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75" yWindow="1050" windowWidth="15480" windowHeight="9435"/>
  </bookViews>
  <sheets>
    <sheet name="ЗВЕДЕНА" sheetId="22" r:id="rId1"/>
    <sheet name="cходова" sheetId="2" state="hidden" r:id="rId2"/>
    <sheet name="прибуд." sheetId="3" state="hidden" r:id="rId3"/>
    <sheet name="дератизац." sheetId="4" state="hidden" r:id="rId4"/>
    <sheet name="підготовка до зими" sheetId="6" state="hidden" r:id="rId5"/>
    <sheet name="електрики" sheetId="5" state="hidden" r:id="rId6"/>
    <sheet name="зварювальн" sheetId="9" state="hidden" r:id="rId7"/>
    <sheet name="димоканал" sheetId="7" state="hidden" r:id="rId8"/>
    <sheet name="покрівлі" sheetId="10" state="hidden" r:id="rId9"/>
    <sheet name="Лист1" sheetId="15" state="hidden" r:id="rId10"/>
    <sheet name="майстерні" sheetId="11" state="hidden" r:id="rId11"/>
    <sheet name="маляри" sheetId="8" state="hidden" r:id="rId12"/>
    <sheet name="гар.вода" sheetId="14" state="hidden" r:id="rId13"/>
    <sheet name="ц.о." sheetId="18" state="hidden" r:id="rId14"/>
    <sheet name="хол.вода" sheetId="12" state="hidden" r:id="rId15"/>
    <sheet name="каналізація" sheetId="17" state="hidden" r:id="rId16"/>
    <sheet name="аварійні" sheetId="13" state="hidden" r:id="rId17"/>
  </sheets>
  <externalReferences>
    <externalReference r:id="rId18"/>
  </externalReferences>
  <definedNames>
    <definedName name="_xlnm._FilterDatabase" localSheetId="12" hidden="1">гар.вода!$A$1:$N$1232</definedName>
    <definedName name="_xlnm._FilterDatabase" localSheetId="0" hidden="1">ЗВЕДЕНА!$A$3:$Q$1236</definedName>
    <definedName name="_xlnm._FilterDatabase" localSheetId="15" hidden="1">каналізація!$A$1:$R$1232</definedName>
    <definedName name="_xlnm._FilterDatabase" localSheetId="2" hidden="1">прибуд.!$A$1:$O$1232</definedName>
    <definedName name="_xlnm._FilterDatabase" localSheetId="14" hidden="1">хол.вода!$A$1:$S$1232</definedName>
    <definedName name="_xlnm._FilterDatabase" localSheetId="13" hidden="1">ц.о.!$A$1:$N$1232</definedName>
    <definedName name="_xlnm.Print_Titles" localSheetId="0">ЗВЕДЕНА!$3:$3</definedName>
    <definedName name="_xlnm.Print_Titles" localSheetId="2">прибуд.!$3:$3</definedName>
    <definedName name="_xlnm.Print_Area" localSheetId="1">cходова!$A$1:$U$1234</definedName>
    <definedName name="_xlnm.Print_Area" localSheetId="0">ЗВЕДЕНА!$A$1:$Q$1235</definedName>
    <definedName name="_xlnm.Print_Area" localSheetId="4">'підготовка до зими'!$A$1:$P$1552</definedName>
  </definedNames>
  <calcPr calcId="125725"/>
</workbook>
</file>

<file path=xl/calcChain.xml><?xml version="1.0" encoding="utf-8"?>
<calcChain xmlns="http://schemas.openxmlformats.org/spreadsheetml/2006/main">
  <c r="G1222" i="18"/>
  <c r="G1223"/>
  <c r="G1224"/>
  <c r="G1225"/>
  <c r="G1226"/>
  <c r="G1229"/>
  <c r="G1230"/>
  <c r="G1231"/>
  <c r="I92" i="10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1"/>
  <c r="I382"/>
  <c r="I383"/>
  <c r="K746" i="12"/>
  <c r="G1148" i="18"/>
  <c r="G1149"/>
  <c r="G1150"/>
  <c r="G1151"/>
  <c r="G1152"/>
  <c r="G1153"/>
  <c r="G1154"/>
  <c r="G1155"/>
  <c r="G1156"/>
  <c r="G1157"/>
  <c r="G1158"/>
  <c r="G1159"/>
  <c r="G1160"/>
  <c r="G1161"/>
  <c r="G1165"/>
  <c r="G1166"/>
  <c r="G1167"/>
  <c r="G1168"/>
  <c r="G1169"/>
  <c r="G1170"/>
  <c r="G1171"/>
  <c r="G1172"/>
  <c r="G1173"/>
  <c r="G1174"/>
  <c r="G1175"/>
  <c r="G1176"/>
  <c r="G1177"/>
  <c r="G1178"/>
  <c r="G1179"/>
  <c r="G911"/>
  <c r="G912"/>
  <c r="G916"/>
  <c r="G919"/>
  <c r="G920"/>
  <c r="G921"/>
  <c r="G922"/>
  <c r="G923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60"/>
  <c r="G961"/>
  <c r="G962"/>
  <c r="G963"/>
  <c r="G968"/>
  <c r="G970"/>
  <c r="G971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5"/>
  <c r="G1006"/>
  <c r="G1007"/>
  <c r="G1008"/>
  <c r="G1009"/>
  <c r="G1010"/>
  <c r="G1011"/>
  <c r="G1012"/>
  <c r="G1013"/>
  <c r="G1014"/>
  <c r="G1016"/>
  <c r="G1017"/>
  <c r="G1018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2"/>
  <c r="G1054"/>
  <c r="G1055"/>
  <c r="G1056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5"/>
  <c r="G553"/>
  <c r="G554"/>
  <c r="G555"/>
  <c r="G556"/>
  <c r="G557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7"/>
  <c r="G719"/>
  <c r="G720"/>
  <c r="G721"/>
  <c r="G722"/>
  <c r="G723"/>
  <c r="G724"/>
  <c r="G725"/>
  <c r="G726"/>
  <c r="G727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7"/>
  <c r="G119"/>
  <c r="G120"/>
  <c r="G121"/>
  <c r="G122"/>
  <c r="G124"/>
  <c r="G127"/>
  <c r="G130"/>
  <c r="G132"/>
  <c r="G133"/>
  <c r="G134"/>
  <c r="G136"/>
  <c r="G137"/>
  <c r="G138"/>
  <c r="G141"/>
  <c r="G143"/>
  <c r="G144"/>
  <c r="G146"/>
  <c r="G149"/>
  <c r="G158"/>
  <c r="G160"/>
  <c r="G161"/>
  <c r="G162"/>
  <c r="G164"/>
  <c r="G165"/>
  <c r="G166"/>
  <c r="G167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7"/>
  <c r="G188"/>
  <c r="G191"/>
  <c r="G192"/>
  <c r="G193"/>
  <c r="G194"/>
  <c r="G195"/>
  <c r="G196"/>
  <c r="G197"/>
  <c r="G198"/>
  <c r="G199"/>
  <c r="G201"/>
  <c r="G202"/>
  <c r="G203"/>
  <c r="G204"/>
  <c r="G205"/>
  <c r="G206"/>
  <c r="G207"/>
  <c r="G209"/>
  <c r="G213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4"/>
  <c r="G235"/>
  <c r="G236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9"/>
  <c r="G270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1"/>
  <c r="G382"/>
  <c r="G383"/>
  <c r="G1148" i="14"/>
  <c r="G1149"/>
  <c r="G1150"/>
  <c r="G1151"/>
  <c r="G1152"/>
  <c r="G1153"/>
  <c r="G1154"/>
  <c r="G1155"/>
  <c r="G1156"/>
  <c r="G1157"/>
  <c r="G1158"/>
  <c r="G1159"/>
  <c r="G1160"/>
  <c r="G1161"/>
  <c r="G1165"/>
  <c r="G1166"/>
  <c r="G1167"/>
  <c r="G1168"/>
  <c r="G1169"/>
  <c r="G1170"/>
  <c r="G1171"/>
  <c r="G1172"/>
  <c r="G1173"/>
  <c r="G1174"/>
  <c r="G1175"/>
  <c r="G1176"/>
  <c r="G1177"/>
  <c r="G1178"/>
  <c r="G1179"/>
  <c r="G897"/>
  <c r="G761"/>
  <c r="G762"/>
  <c r="G764"/>
  <c r="G769"/>
  <c r="G770"/>
  <c r="G771"/>
  <c r="G772"/>
  <c r="G773"/>
  <c r="G774"/>
  <c r="G783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5"/>
  <c r="G553"/>
  <c r="G554"/>
  <c r="G555"/>
  <c r="G556"/>
  <c r="G557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377"/>
  <c r="G378"/>
  <c r="G379"/>
  <c r="G381"/>
  <c r="G382"/>
  <c r="G383"/>
  <c r="O40" i="12"/>
  <c r="I858" i="3"/>
  <c r="I1224"/>
  <c r="K1224" i="7"/>
  <c r="F881" i="14"/>
  <c r="F882"/>
  <c r="G882" s="1"/>
  <c r="F883"/>
  <c r="G883" s="1"/>
  <c r="F884"/>
  <c r="G884" s="1"/>
  <c r="F885"/>
  <c r="G885" s="1"/>
  <c r="F886"/>
  <c r="G886" s="1"/>
  <c r="F887"/>
  <c r="G887" s="1"/>
  <c r="F888"/>
  <c r="G888" s="1"/>
  <c r="F889"/>
  <c r="G889" s="1"/>
  <c r="F890"/>
  <c r="G890" s="1"/>
  <c r="F891"/>
  <c r="G891" s="1"/>
  <c r="F892"/>
  <c r="G892" s="1"/>
  <c r="F893"/>
  <c r="G893" s="1"/>
  <c r="F894"/>
  <c r="G894" s="1"/>
  <c r="F895"/>
  <c r="G895" s="1"/>
  <c r="F896"/>
  <c r="G896" s="1"/>
  <c r="F898"/>
  <c r="G898" s="1"/>
  <c r="F899"/>
  <c r="G899" s="1"/>
  <c r="F900"/>
  <c r="G900" s="1"/>
  <c r="F901"/>
  <c r="G901" s="1"/>
  <c r="F902"/>
  <c r="G902" s="1"/>
  <c r="F903"/>
  <c r="G903" s="1"/>
  <c r="F904"/>
  <c r="G904" s="1"/>
  <c r="F905"/>
  <c r="G905" s="1"/>
  <c r="F906"/>
  <c r="G906" s="1"/>
  <c r="F907"/>
  <c r="G907" s="1"/>
  <c r="F908"/>
  <c r="G908" s="1"/>
  <c r="F909"/>
  <c r="G909" s="1"/>
  <c r="F910"/>
  <c r="G910" s="1"/>
  <c r="F911"/>
  <c r="G911" s="1"/>
  <c r="F912"/>
  <c r="G912" s="1"/>
  <c r="F913"/>
  <c r="G913" s="1"/>
  <c r="F914"/>
  <c r="G914" s="1"/>
  <c r="F915"/>
  <c r="G915" s="1"/>
  <c r="F916"/>
  <c r="G916" s="1"/>
  <c r="F917"/>
  <c r="G917" s="1"/>
  <c r="F918"/>
  <c r="G918" s="1"/>
  <c r="F919"/>
  <c r="G919" s="1"/>
  <c r="F920"/>
  <c r="G920" s="1"/>
  <c r="F921"/>
  <c r="G921" s="1"/>
  <c r="F922"/>
  <c r="G922" s="1"/>
  <c r="F923"/>
  <c r="G923" s="1"/>
  <c r="F924"/>
  <c r="G924" s="1"/>
  <c r="F925"/>
  <c r="G925" s="1"/>
  <c r="F926"/>
  <c r="G926" s="1"/>
  <c r="F927"/>
  <c r="G927" s="1"/>
  <c r="F928"/>
  <c r="G928" s="1"/>
  <c r="F929"/>
  <c r="G929" s="1"/>
  <c r="F930"/>
  <c r="G930" s="1"/>
  <c r="F931"/>
  <c r="G931" s="1"/>
  <c r="F932"/>
  <c r="G932" s="1"/>
  <c r="F933"/>
  <c r="G933" s="1"/>
  <c r="F934"/>
  <c r="G934" s="1"/>
  <c r="F935"/>
  <c r="G935" s="1"/>
  <c r="F936"/>
  <c r="G936" s="1"/>
  <c r="F937"/>
  <c r="G937" s="1"/>
  <c r="F938"/>
  <c r="G938" s="1"/>
  <c r="F939"/>
  <c r="G939" s="1"/>
  <c r="F940"/>
  <c r="G940" s="1"/>
  <c r="G38"/>
  <c r="G39"/>
  <c r="G40"/>
  <c r="G47"/>
  <c r="G49"/>
  <c r="G50"/>
  <c r="G51"/>
  <c r="G52"/>
  <c r="G59"/>
  <c r="I6" i="10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H67"/>
  <c r="I67" s="1"/>
  <c r="J60" i="3"/>
  <c r="K60"/>
  <c r="M60"/>
  <c r="K60" i="7"/>
  <c r="P60"/>
  <c r="M60"/>
  <c r="N60"/>
  <c r="J60" i="10"/>
  <c r="K60"/>
  <c r="M60" i="2"/>
  <c r="N60"/>
  <c r="P60"/>
  <c r="R60"/>
  <c r="C60" i="22"/>
  <c r="J665" i="12"/>
  <c r="K665" s="1"/>
  <c r="O665"/>
  <c r="L665"/>
  <c r="M665"/>
  <c r="H92" i="13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I48" i="3"/>
  <c r="E568" i="22"/>
  <c r="M7" i="10"/>
  <c r="J7"/>
  <c r="K7"/>
  <c r="M8"/>
  <c r="J8"/>
  <c r="K8"/>
  <c r="M9"/>
  <c r="J9"/>
  <c r="K9"/>
  <c r="M10"/>
  <c r="J10"/>
  <c r="K10"/>
  <c r="M11"/>
  <c r="J11"/>
  <c r="K11"/>
  <c r="M12"/>
  <c r="J12"/>
  <c r="K12"/>
  <c r="M13"/>
  <c r="J13"/>
  <c r="K13"/>
  <c r="M14"/>
  <c r="J14"/>
  <c r="K14"/>
  <c r="M15"/>
  <c r="J15"/>
  <c r="K15"/>
  <c r="M16"/>
  <c r="J16"/>
  <c r="K16"/>
  <c r="M17"/>
  <c r="J17"/>
  <c r="K17"/>
  <c r="M18"/>
  <c r="J18"/>
  <c r="K18"/>
  <c r="M19"/>
  <c r="J19"/>
  <c r="K19"/>
  <c r="M20"/>
  <c r="J20"/>
  <c r="K20"/>
  <c r="M21"/>
  <c r="J21"/>
  <c r="K21"/>
  <c r="M22"/>
  <c r="J22"/>
  <c r="K22"/>
  <c r="M23"/>
  <c r="J23"/>
  <c r="K23"/>
  <c r="M24"/>
  <c r="J24"/>
  <c r="K24"/>
  <c r="M25"/>
  <c r="J25"/>
  <c r="K25"/>
  <c r="M26"/>
  <c r="J26"/>
  <c r="K26"/>
  <c r="M27"/>
  <c r="J27"/>
  <c r="K27"/>
  <c r="M28"/>
  <c r="J28"/>
  <c r="K28"/>
  <c r="M29"/>
  <c r="J29"/>
  <c r="K29"/>
  <c r="M30"/>
  <c r="J30"/>
  <c r="K30"/>
  <c r="M31"/>
  <c r="J31"/>
  <c r="K31"/>
  <c r="M32"/>
  <c r="J32"/>
  <c r="K32"/>
  <c r="M33"/>
  <c r="J33"/>
  <c r="K33"/>
  <c r="M34"/>
  <c r="J34"/>
  <c r="K34"/>
  <c r="M35"/>
  <c r="J35"/>
  <c r="K35"/>
  <c r="M36"/>
  <c r="J36"/>
  <c r="K36"/>
  <c r="M37"/>
  <c r="J37"/>
  <c r="K37"/>
  <c r="M38"/>
  <c r="J38"/>
  <c r="K38"/>
  <c r="O38" i="12"/>
  <c r="L38"/>
  <c r="M38"/>
  <c r="M39" i="10"/>
  <c r="J39"/>
  <c r="K39"/>
  <c r="P39" i="7"/>
  <c r="M39"/>
  <c r="N39"/>
  <c r="M40" i="10"/>
  <c r="J40"/>
  <c r="K40"/>
  <c r="K40" i="6"/>
  <c r="H40"/>
  <c r="I40"/>
  <c r="M40"/>
  <c r="L40" i="12"/>
  <c r="M40"/>
  <c r="M41" i="10"/>
  <c r="J41"/>
  <c r="K41"/>
  <c r="M42"/>
  <c r="J42"/>
  <c r="K42"/>
  <c r="M43"/>
  <c r="J43"/>
  <c r="K43"/>
  <c r="M44"/>
  <c r="J44"/>
  <c r="K44"/>
  <c r="M45"/>
  <c r="J45"/>
  <c r="K45"/>
  <c r="M46"/>
  <c r="J46"/>
  <c r="K46"/>
  <c r="M47"/>
  <c r="J47"/>
  <c r="K47"/>
  <c r="M48"/>
  <c r="J48"/>
  <c r="K48"/>
  <c r="M49"/>
  <c r="J49"/>
  <c r="K49"/>
  <c r="M50"/>
  <c r="J50"/>
  <c r="K50"/>
  <c r="P50" i="7"/>
  <c r="M50"/>
  <c r="N50"/>
  <c r="M51" i="10"/>
  <c r="J51"/>
  <c r="K51"/>
  <c r="M52"/>
  <c r="J52"/>
  <c r="K52"/>
  <c r="M53"/>
  <c r="J53"/>
  <c r="K53"/>
  <c r="M54"/>
  <c r="J54"/>
  <c r="K54"/>
  <c r="M55"/>
  <c r="J55"/>
  <c r="K55"/>
  <c r="M56"/>
  <c r="J56"/>
  <c r="K56"/>
  <c r="M57"/>
  <c r="J57"/>
  <c r="K57"/>
  <c r="M58"/>
  <c r="J58"/>
  <c r="K58"/>
  <c r="M59"/>
  <c r="J59"/>
  <c r="K59"/>
  <c r="I59" i="14"/>
  <c r="K59"/>
  <c r="M61" i="10"/>
  <c r="J61"/>
  <c r="K61"/>
  <c r="M62"/>
  <c r="J62"/>
  <c r="K62"/>
  <c r="M63"/>
  <c r="J63"/>
  <c r="K63"/>
  <c r="M64"/>
  <c r="J64"/>
  <c r="K64"/>
  <c r="M65"/>
  <c r="J65"/>
  <c r="K65"/>
  <c r="M66"/>
  <c r="J66"/>
  <c r="K66"/>
  <c r="M6"/>
  <c r="J6"/>
  <c r="K6"/>
  <c r="O90" i="22"/>
  <c r="M92" i="10"/>
  <c r="J92"/>
  <c r="K92"/>
  <c r="M93"/>
  <c r="J93"/>
  <c r="K93"/>
  <c r="M94"/>
  <c r="J94"/>
  <c r="K94"/>
  <c r="M95"/>
  <c r="J95"/>
  <c r="K95"/>
  <c r="M96"/>
  <c r="J96"/>
  <c r="K96"/>
  <c r="M97"/>
  <c r="J97"/>
  <c r="K97"/>
  <c r="M98"/>
  <c r="J98"/>
  <c r="K98"/>
  <c r="M99"/>
  <c r="J99"/>
  <c r="K99"/>
  <c r="M100"/>
  <c r="J100"/>
  <c r="K100"/>
  <c r="M101"/>
  <c r="J101"/>
  <c r="K101"/>
  <c r="M102"/>
  <c r="J102"/>
  <c r="K102"/>
  <c r="M103"/>
  <c r="J103"/>
  <c r="K103"/>
  <c r="M104"/>
  <c r="J104"/>
  <c r="K104"/>
  <c r="M105"/>
  <c r="J105"/>
  <c r="K105"/>
  <c r="M106"/>
  <c r="J106"/>
  <c r="K106"/>
  <c r="M107"/>
  <c r="J107"/>
  <c r="K107"/>
  <c r="M108"/>
  <c r="J108"/>
  <c r="K108"/>
  <c r="M109"/>
  <c r="J109"/>
  <c r="K109"/>
  <c r="M110"/>
  <c r="J110"/>
  <c r="K110"/>
  <c r="M111"/>
  <c r="J111"/>
  <c r="K111"/>
  <c r="M112"/>
  <c r="J112"/>
  <c r="K112"/>
  <c r="M113"/>
  <c r="J113"/>
  <c r="K113"/>
  <c r="M114"/>
  <c r="J114"/>
  <c r="K114"/>
  <c r="M115"/>
  <c r="J115"/>
  <c r="K115"/>
  <c r="M116"/>
  <c r="J116"/>
  <c r="K116"/>
  <c r="M117"/>
  <c r="J117"/>
  <c r="K117"/>
  <c r="M118"/>
  <c r="J118"/>
  <c r="K118"/>
  <c r="M119"/>
  <c r="J119"/>
  <c r="K119"/>
  <c r="M120"/>
  <c r="J120"/>
  <c r="K120"/>
  <c r="M121"/>
  <c r="J121"/>
  <c r="K121"/>
  <c r="M122"/>
  <c r="J122"/>
  <c r="K122"/>
  <c r="M123"/>
  <c r="J123"/>
  <c r="K123"/>
  <c r="M124"/>
  <c r="J124"/>
  <c r="K124"/>
  <c r="M125"/>
  <c r="J125"/>
  <c r="K125"/>
  <c r="M126"/>
  <c r="J126"/>
  <c r="K126"/>
  <c r="M127"/>
  <c r="J127"/>
  <c r="K127"/>
  <c r="M128"/>
  <c r="J128"/>
  <c r="K128"/>
  <c r="M129"/>
  <c r="J129"/>
  <c r="K129"/>
  <c r="M130"/>
  <c r="J130"/>
  <c r="K130"/>
  <c r="M131"/>
  <c r="J131"/>
  <c r="K131"/>
  <c r="M132"/>
  <c r="J132"/>
  <c r="K132"/>
  <c r="M133"/>
  <c r="J133"/>
  <c r="K133"/>
  <c r="M134"/>
  <c r="J134"/>
  <c r="K134"/>
  <c r="M135"/>
  <c r="J135"/>
  <c r="K135"/>
  <c r="M136"/>
  <c r="J136"/>
  <c r="K136"/>
  <c r="M137"/>
  <c r="J137"/>
  <c r="K137"/>
  <c r="M138"/>
  <c r="J138"/>
  <c r="K138"/>
  <c r="M139"/>
  <c r="J139"/>
  <c r="K139"/>
  <c r="M140"/>
  <c r="J140"/>
  <c r="K140"/>
  <c r="M141"/>
  <c r="J141"/>
  <c r="K141"/>
  <c r="M142"/>
  <c r="J142"/>
  <c r="K142"/>
  <c r="M143"/>
  <c r="J143"/>
  <c r="K143"/>
  <c r="M144"/>
  <c r="J144"/>
  <c r="K144"/>
  <c r="M145"/>
  <c r="J145"/>
  <c r="K145"/>
  <c r="M146"/>
  <c r="J146"/>
  <c r="K146"/>
  <c r="M147"/>
  <c r="J147"/>
  <c r="K147"/>
  <c r="M148"/>
  <c r="J148"/>
  <c r="K148"/>
  <c r="M149"/>
  <c r="J149"/>
  <c r="K149"/>
  <c r="M150"/>
  <c r="J150"/>
  <c r="K150"/>
  <c r="M151"/>
  <c r="J151"/>
  <c r="K151"/>
  <c r="M152"/>
  <c r="J152"/>
  <c r="K152"/>
  <c r="M153"/>
  <c r="J153"/>
  <c r="K153"/>
  <c r="M154"/>
  <c r="J154"/>
  <c r="K154"/>
  <c r="M155"/>
  <c r="J155"/>
  <c r="K155"/>
  <c r="M156"/>
  <c r="J156"/>
  <c r="K156"/>
  <c r="M157"/>
  <c r="J157"/>
  <c r="K157"/>
  <c r="M158"/>
  <c r="J158"/>
  <c r="K158"/>
  <c r="M159"/>
  <c r="J159"/>
  <c r="K159"/>
  <c r="M160"/>
  <c r="J160"/>
  <c r="K160"/>
  <c r="M161"/>
  <c r="J161"/>
  <c r="K161"/>
  <c r="M162"/>
  <c r="J162"/>
  <c r="K162"/>
  <c r="M163"/>
  <c r="J163"/>
  <c r="K163"/>
  <c r="M164"/>
  <c r="J164"/>
  <c r="K164"/>
  <c r="M165"/>
  <c r="J165"/>
  <c r="K165"/>
  <c r="M166"/>
  <c r="J166"/>
  <c r="K166"/>
  <c r="M167"/>
  <c r="J167"/>
  <c r="K167"/>
  <c r="M168"/>
  <c r="J168"/>
  <c r="K168"/>
  <c r="M169"/>
  <c r="J169"/>
  <c r="K169"/>
  <c r="M170"/>
  <c r="J170"/>
  <c r="K170"/>
  <c r="M171"/>
  <c r="J171"/>
  <c r="K171"/>
  <c r="M172"/>
  <c r="J172"/>
  <c r="K172"/>
  <c r="M173"/>
  <c r="J173"/>
  <c r="K173"/>
  <c r="M174"/>
  <c r="J174"/>
  <c r="K174"/>
  <c r="M175"/>
  <c r="J175"/>
  <c r="K175"/>
  <c r="M176"/>
  <c r="J176"/>
  <c r="K176"/>
  <c r="M177"/>
  <c r="J177"/>
  <c r="K177"/>
  <c r="M178"/>
  <c r="J178"/>
  <c r="K178"/>
  <c r="M179"/>
  <c r="J179"/>
  <c r="K179"/>
  <c r="M180"/>
  <c r="J180"/>
  <c r="K180"/>
  <c r="M181"/>
  <c r="J181"/>
  <c r="K181"/>
  <c r="M182"/>
  <c r="J182"/>
  <c r="K182"/>
  <c r="M183"/>
  <c r="J183"/>
  <c r="K183"/>
  <c r="M184"/>
  <c r="J184"/>
  <c r="K184"/>
  <c r="M185"/>
  <c r="J185"/>
  <c r="K185"/>
  <c r="M186"/>
  <c r="J186"/>
  <c r="K186"/>
  <c r="M187"/>
  <c r="J187"/>
  <c r="K187"/>
  <c r="M188"/>
  <c r="J188"/>
  <c r="K188"/>
  <c r="M189"/>
  <c r="J189"/>
  <c r="K189"/>
  <c r="M190"/>
  <c r="J190"/>
  <c r="K190"/>
  <c r="M191"/>
  <c r="J191"/>
  <c r="K191"/>
  <c r="M192"/>
  <c r="J192"/>
  <c r="K192"/>
  <c r="M193"/>
  <c r="J193"/>
  <c r="K193"/>
  <c r="M194"/>
  <c r="J194"/>
  <c r="K194"/>
  <c r="M195"/>
  <c r="J195"/>
  <c r="K195"/>
  <c r="M196"/>
  <c r="J196"/>
  <c r="K196"/>
  <c r="M197"/>
  <c r="J197"/>
  <c r="K197"/>
  <c r="M198"/>
  <c r="J198"/>
  <c r="K198"/>
  <c r="M199"/>
  <c r="J199"/>
  <c r="K199"/>
  <c r="M200"/>
  <c r="J200"/>
  <c r="K200"/>
  <c r="M201"/>
  <c r="J201"/>
  <c r="K201"/>
  <c r="M202"/>
  <c r="J202"/>
  <c r="K202"/>
  <c r="M203"/>
  <c r="J203"/>
  <c r="K203"/>
  <c r="M204"/>
  <c r="J204"/>
  <c r="K204"/>
  <c r="M205"/>
  <c r="J205"/>
  <c r="K205"/>
  <c r="M206"/>
  <c r="J206"/>
  <c r="K206"/>
  <c r="M207"/>
  <c r="J207"/>
  <c r="K207"/>
  <c r="M208"/>
  <c r="J208"/>
  <c r="K208"/>
  <c r="M209"/>
  <c r="J209"/>
  <c r="K209"/>
  <c r="M210"/>
  <c r="J210"/>
  <c r="K210"/>
  <c r="M211"/>
  <c r="J211"/>
  <c r="K211"/>
  <c r="M212"/>
  <c r="J212"/>
  <c r="K212"/>
  <c r="M213"/>
  <c r="J213"/>
  <c r="K213"/>
  <c r="M214"/>
  <c r="J214"/>
  <c r="K214"/>
  <c r="M215"/>
  <c r="J215"/>
  <c r="K215"/>
  <c r="M216"/>
  <c r="J216"/>
  <c r="K216"/>
  <c r="M217"/>
  <c r="J217"/>
  <c r="K217"/>
  <c r="M218"/>
  <c r="J218"/>
  <c r="K218"/>
  <c r="M219"/>
  <c r="J219"/>
  <c r="K219"/>
  <c r="M220"/>
  <c r="J220"/>
  <c r="K220"/>
  <c r="M221"/>
  <c r="J221"/>
  <c r="K221"/>
  <c r="M222"/>
  <c r="J222"/>
  <c r="K222"/>
  <c r="M223"/>
  <c r="J223"/>
  <c r="K223"/>
  <c r="O223"/>
  <c r="M224"/>
  <c r="J224"/>
  <c r="K224"/>
  <c r="M225"/>
  <c r="J225"/>
  <c r="K225"/>
  <c r="M226"/>
  <c r="J226"/>
  <c r="K226"/>
  <c r="M227"/>
  <c r="J227"/>
  <c r="K227"/>
  <c r="M228"/>
  <c r="J228"/>
  <c r="K228"/>
  <c r="M229"/>
  <c r="J229"/>
  <c r="K229"/>
  <c r="M230"/>
  <c r="J230"/>
  <c r="K230"/>
  <c r="M231"/>
  <c r="J231"/>
  <c r="K231"/>
  <c r="M232"/>
  <c r="J232"/>
  <c r="K232"/>
  <c r="M233"/>
  <c r="J233"/>
  <c r="K233"/>
  <c r="M234"/>
  <c r="J234"/>
  <c r="K234"/>
  <c r="M235"/>
  <c r="J235"/>
  <c r="K235"/>
  <c r="M236"/>
  <c r="J236"/>
  <c r="K236"/>
  <c r="M237"/>
  <c r="J237"/>
  <c r="K237"/>
  <c r="M238"/>
  <c r="J238"/>
  <c r="K238"/>
  <c r="M239"/>
  <c r="J239"/>
  <c r="K239"/>
  <c r="M240"/>
  <c r="J240"/>
  <c r="K240"/>
  <c r="M241"/>
  <c r="J241"/>
  <c r="K241"/>
  <c r="M242"/>
  <c r="J242"/>
  <c r="K242"/>
  <c r="M243"/>
  <c r="J243"/>
  <c r="K243"/>
  <c r="M244"/>
  <c r="J244"/>
  <c r="K244"/>
  <c r="M245"/>
  <c r="J245"/>
  <c r="K245"/>
  <c r="M246"/>
  <c r="J246"/>
  <c r="K246"/>
  <c r="M247"/>
  <c r="J247"/>
  <c r="K247"/>
  <c r="M248"/>
  <c r="J248"/>
  <c r="K248"/>
  <c r="M249"/>
  <c r="J249"/>
  <c r="K249"/>
  <c r="M250"/>
  <c r="J250"/>
  <c r="K250"/>
  <c r="M251"/>
  <c r="J251"/>
  <c r="K251"/>
  <c r="M252"/>
  <c r="J252"/>
  <c r="K252"/>
  <c r="M253"/>
  <c r="J253"/>
  <c r="K253"/>
  <c r="M254"/>
  <c r="J254"/>
  <c r="K254"/>
  <c r="M255"/>
  <c r="J255"/>
  <c r="K255"/>
  <c r="M256"/>
  <c r="J256"/>
  <c r="K256"/>
  <c r="M257"/>
  <c r="J257"/>
  <c r="K257"/>
  <c r="M258"/>
  <c r="J258"/>
  <c r="K258"/>
  <c r="M259"/>
  <c r="J259"/>
  <c r="K259"/>
  <c r="M260"/>
  <c r="J260"/>
  <c r="K260"/>
  <c r="M261"/>
  <c r="J261"/>
  <c r="K261"/>
  <c r="M262"/>
  <c r="J262"/>
  <c r="K262"/>
  <c r="M263"/>
  <c r="J263"/>
  <c r="K263"/>
  <c r="M264"/>
  <c r="J264"/>
  <c r="K264"/>
  <c r="M265"/>
  <c r="J265"/>
  <c r="K265"/>
  <c r="M266"/>
  <c r="J266"/>
  <c r="K266"/>
  <c r="M267"/>
  <c r="J267"/>
  <c r="K267"/>
  <c r="M268"/>
  <c r="J268"/>
  <c r="K268"/>
  <c r="M269"/>
  <c r="J269"/>
  <c r="K269"/>
  <c r="M270"/>
  <c r="J270"/>
  <c r="K270"/>
  <c r="M271"/>
  <c r="J271"/>
  <c r="K271"/>
  <c r="M272"/>
  <c r="J272"/>
  <c r="K272"/>
  <c r="M273"/>
  <c r="J273"/>
  <c r="K273"/>
  <c r="M274"/>
  <c r="J274"/>
  <c r="K274"/>
  <c r="M275"/>
  <c r="J275"/>
  <c r="K275"/>
  <c r="M276"/>
  <c r="J276"/>
  <c r="K276"/>
  <c r="M277"/>
  <c r="J277"/>
  <c r="K277"/>
  <c r="M278"/>
  <c r="J278"/>
  <c r="K278"/>
  <c r="M279"/>
  <c r="J279"/>
  <c r="K279"/>
  <c r="M280"/>
  <c r="J280"/>
  <c r="K280"/>
  <c r="M281"/>
  <c r="J281"/>
  <c r="K281"/>
  <c r="M282"/>
  <c r="J282"/>
  <c r="K282"/>
  <c r="M283"/>
  <c r="J283"/>
  <c r="K283"/>
  <c r="M284"/>
  <c r="J284"/>
  <c r="K284"/>
  <c r="M285"/>
  <c r="J285"/>
  <c r="K285"/>
  <c r="M286"/>
  <c r="J286"/>
  <c r="K286"/>
  <c r="M287"/>
  <c r="J287"/>
  <c r="K287"/>
  <c r="M288"/>
  <c r="J288"/>
  <c r="K288"/>
  <c r="M289"/>
  <c r="J289"/>
  <c r="K289"/>
  <c r="M290"/>
  <c r="J290"/>
  <c r="K290"/>
  <c r="M291"/>
  <c r="J291"/>
  <c r="K291"/>
  <c r="M292"/>
  <c r="J292"/>
  <c r="K292"/>
  <c r="M293"/>
  <c r="J293"/>
  <c r="K293"/>
  <c r="M294"/>
  <c r="J294"/>
  <c r="K294"/>
  <c r="M295"/>
  <c r="J295"/>
  <c r="K295"/>
  <c r="M296"/>
  <c r="J296"/>
  <c r="K296"/>
  <c r="M297"/>
  <c r="J297"/>
  <c r="K297"/>
  <c r="M298"/>
  <c r="J298"/>
  <c r="K298"/>
  <c r="M299"/>
  <c r="J299"/>
  <c r="K299"/>
  <c r="M300"/>
  <c r="J300"/>
  <c r="K300"/>
  <c r="M301"/>
  <c r="J301"/>
  <c r="K301"/>
  <c r="M302"/>
  <c r="J302"/>
  <c r="K302"/>
  <c r="M303"/>
  <c r="J303"/>
  <c r="K303"/>
  <c r="M304"/>
  <c r="J304"/>
  <c r="K304"/>
  <c r="M305"/>
  <c r="J305"/>
  <c r="K305"/>
  <c r="M306"/>
  <c r="J306"/>
  <c r="K306"/>
  <c r="M307"/>
  <c r="J307"/>
  <c r="K307"/>
  <c r="M308"/>
  <c r="J308"/>
  <c r="K308"/>
  <c r="M309"/>
  <c r="J309"/>
  <c r="K309"/>
  <c r="M310"/>
  <c r="J310"/>
  <c r="K310"/>
  <c r="M311"/>
  <c r="J311"/>
  <c r="K311"/>
  <c r="M312"/>
  <c r="J312"/>
  <c r="K312"/>
  <c r="M313"/>
  <c r="J313"/>
  <c r="K313"/>
  <c r="M314"/>
  <c r="J314"/>
  <c r="K314"/>
  <c r="M315"/>
  <c r="J315"/>
  <c r="K315"/>
  <c r="M316"/>
  <c r="J316"/>
  <c r="K316"/>
  <c r="M317"/>
  <c r="J317"/>
  <c r="K317"/>
  <c r="M318"/>
  <c r="J318"/>
  <c r="K318"/>
  <c r="M319"/>
  <c r="J319"/>
  <c r="K319"/>
  <c r="M320"/>
  <c r="J320"/>
  <c r="K320"/>
  <c r="M321"/>
  <c r="J321"/>
  <c r="K321"/>
  <c r="M322"/>
  <c r="J322"/>
  <c r="K322"/>
  <c r="M323"/>
  <c r="J323"/>
  <c r="K323"/>
  <c r="M324"/>
  <c r="J324"/>
  <c r="K324"/>
  <c r="M325"/>
  <c r="J325"/>
  <c r="K325"/>
  <c r="M326"/>
  <c r="J326"/>
  <c r="K326"/>
  <c r="M327"/>
  <c r="J327"/>
  <c r="K327"/>
  <c r="M328"/>
  <c r="J328"/>
  <c r="K328"/>
  <c r="M329"/>
  <c r="J329"/>
  <c r="K329"/>
  <c r="M330"/>
  <c r="J330"/>
  <c r="K330"/>
  <c r="M331"/>
  <c r="J331"/>
  <c r="K331"/>
  <c r="M332"/>
  <c r="J332"/>
  <c r="K332"/>
  <c r="M333"/>
  <c r="J333"/>
  <c r="K333"/>
  <c r="M334"/>
  <c r="J334"/>
  <c r="K334"/>
  <c r="M335"/>
  <c r="J335"/>
  <c r="K335"/>
  <c r="M336"/>
  <c r="J336"/>
  <c r="K336"/>
  <c r="M337"/>
  <c r="J337"/>
  <c r="K337"/>
  <c r="M338"/>
  <c r="J338"/>
  <c r="K338"/>
  <c r="M339"/>
  <c r="J339"/>
  <c r="K339"/>
  <c r="M340"/>
  <c r="J340"/>
  <c r="K340"/>
  <c r="M341"/>
  <c r="J341"/>
  <c r="K341"/>
  <c r="M342"/>
  <c r="J342"/>
  <c r="K342"/>
  <c r="M343"/>
  <c r="J343"/>
  <c r="K343"/>
  <c r="M344"/>
  <c r="J344"/>
  <c r="K344"/>
  <c r="M345"/>
  <c r="J345"/>
  <c r="K345"/>
  <c r="M346"/>
  <c r="J346"/>
  <c r="K346"/>
  <c r="M347"/>
  <c r="J347"/>
  <c r="K347"/>
  <c r="M348"/>
  <c r="J348"/>
  <c r="K348"/>
  <c r="M349"/>
  <c r="J349"/>
  <c r="K349"/>
  <c r="M350"/>
  <c r="J350"/>
  <c r="K350"/>
  <c r="M351"/>
  <c r="J351"/>
  <c r="K351"/>
  <c r="M352"/>
  <c r="J352"/>
  <c r="K352"/>
  <c r="M353"/>
  <c r="J353"/>
  <c r="K353"/>
  <c r="M354"/>
  <c r="J354"/>
  <c r="K354"/>
  <c r="M355"/>
  <c r="J355"/>
  <c r="K355"/>
  <c r="M356"/>
  <c r="J356"/>
  <c r="K356"/>
  <c r="M357"/>
  <c r="J357"/>
  <c r="K357"/>
  <c r="M358"/>
  <c r="J358"/>
  <c r="K358"/>
  <c r="M359"/>
  <c r="J359"/>
  <c r="K359"/>
  <c r="M360"/>
  <c r="J360"/>
  <c r="K360"/>
  <c r="M361"/>
  <c r="J361"/>
  <c r="K361"/>
  <c r="M362"/>
  <c r="J362"/>
  <c r="K362"/>
  <c r="M363"/>
  <c r="J363"/>
  <c r="K363"/>
  <c r="M364"/>
  <c r="J364"/>
  <c r="K364"/>
  <c r="M365"/>
  <c r="J365"/>
  <c r="K365"/>
  <c r="M366"/>
  <c r="J366"/>
  <c r="K366"/>
  <c r="M367"/>
  <c r="J367"/>
  <c r="K367"/>
  <c r="M368"/>
  <c r="J368"/>
  <c r="K368"/>
  <c r="M369"/>
  <c r="J369"/>
  <c r="K369"/>
  <c r="M370"/>
  <c r="J370"/>
  <c r="K370"/>
  <c r="M371"/>
  <c r="J371"/>
  <c r="K371"/>
  <c r="M372"/>
  <c r="J372"/>
  <c r="K372"/>
  <c r="M373"/>
  <c r="J373"/>
  <c r="K373"/>
  <c r="M374"/>
  <c r="J374"/>
  <c r="K374"/>
  <c r="M375"/>
  <c r="J375"/>
  <c r="K375"/>
  <c r="M376"/>
  <c r="J376"/>
  <c r="K376"/>
  <c r="M377"/>
  <c r="J377"/>
  <c r="K377"/>
  <c r="M378"/>
  <c r="J378"/>
  <c r="K378"/>
  <c r="M379"/>
  <c r="J379"/>
  <c r="K379"/>
  <c r="M381"/>
  <c r="J381"/>
  <c r="K381"/>
  <c r="M382"/>
  <c r="J382"/>
  <c r="K382"/>
  <c r="M383"/>
  <c r="J383"/>
  <c r="K383"/>
  <c r="O535" i="22"/>
  <c r="J537" i="12"/>
  <c r="J538"/>
  <c r="K538" s="1"/>
  <c r="O538"/>
  <c r="L538"/>
  <c r="M538"/>
  <c r="J539"/>
  <c r="K539" s="1"/>
  <c r="O539"/>
  <c r="L539"/>
  <c r="M539"/>
  <c r="J540"/>
  <c r="K540" s="1"/>
  <c r="O540"/>
  <c r="L540"/>
  <c r="M540"/>
  <c r="J541"/>
  <c r="K541" s="1"/>
  <c r="O541"/>
  <c r="L541"/>
  <c r="M541"/>
  <c r="J542"/>
  <c r="K542" s="1"/>
  <c r="O542"/>
  <c r="L542"/>
  <c r="M542"/>
  <c r="J543"/>
  <c r="K543" s="1"/>
  <c r="O543"/>
  <c r="L543"/>
  <c r="M543"/>
  <c r="J544"/>
  <c r="K544" s="1"/>
  <c r="O544"/>
  <c r="L544"/>
  <c r="M544"/>
  <c r="J545"/>
  <c r="K545" s="1"/>
  <c r="O545"/>
  <c r="L545"/>
  <c r="M545"/>
  <c r="J546"/>
  <c r="K546" s="1"/>
  <c r="O546"/>
  <c r="L546"/>
  <c r="M546"/>
  <c r="J547"/>
  <c r="K547" s="1"/>
  <c r="O547"/>
  <c r="L547"/>
  <c r="M547"/>
  <c r="J548"/>
  <c r="K548" s="1"/>
  <c r="O548"/>
  <c r="L548"/>
  <c r="M548"/>
  <c r="J549"/>
  <c r="K549" s="1"/>
  <c r="O549"/>
  <c r="L549"/>
  <c r="M549"/>
  <c r="J550"/>
  <c r="K550" s="1"/>
  <c r="O550"/>
  <c r="L550"/>
  <c r="M550"/>
  <c r="J551"/>
  <c r="K551" s="1"/>
  <c r="O551"/>
  <c r="L551"/>
  <c r="M551"/>
  <c r="J552"/>
  <c r="K552" s="1"/>
  <c r="O552"/>
  <c r="L552"/>
  <c r="M552"/>
  <c r="J553"/>
  <c r="K553" s="1"/>
  <c r="O553"/>
  <c r="L553"/>
  <c r="M553"/>
  <c r="J554"/>
  <c r="K554" s="1"/>
  <c r="O554"/>
  <c r="L554"/>
  <c r="M554"/>
  <c r="J555"/>
  <c r="K555" s="1"/>
  <c r="O555"/>
  <c r="L555"/>
  <c r="M555"/>
  <c r="E556" i="22"/>
  <c r="J557" i="12"/>
  <c r="K557" s="1"/>
  <c r="O557"/>
  <c r="L557"/>
  <c r="M557"/>
  <c r="J558"/>
  <c r="K558" s="1"/>
  <c r="O558"/>
  <c r="L558"/>
  <c r="M558"/>
  <c r="J559"/>
  <c r="K559" s="1"/>
  <c r="O559"/>
  <c r="L559"/>
  <c r="M559"/>
  <c r="J560"/>
  <c r="K560" s="1"/>
  <c r="O560"/>
  <c r="L560"/>
  <c r="M560"/>
  <c r="J561"/>
  <c r="K561" s="1"/>
  <c r="O561"/>
  <c r="L561"/>
  <c r="M561"/>
  <c r="J562"/>
  <c r="K562" s="1"/>
  <c r="O562"/>
  <c r="L562"/>
  <c r="M562"/>
  <c r="J563"/>
  <c r="K563" s="1"/>
  <c r="O563"/>
  <c r="L563"/>
  <c r="M563"/>
  <c r="E564" i="22"/>
  <c r="E565"/>
  <c r="J566" i="12"/>
  <c r="K566" s="1"/>
  <c r="O566"/>
  <c r="L566"/>
  <c r="M566"/>
  <c r="J567"/>
  <c r="K567" s="1"/>
  <c r="O567"/>
  <c r="L567"/>
  <c r="M567"/>
  <c r="J572"/>
  <c r="K572" s="1"/>
  <c r="O572"/>
  <c r="L572"/>
  <c r="M572"/>
  <c r="J574"/>
  <c r="K574" s="1"/>
  <c r="O574"/>
  <c r="L574"/>
  <c r="M574"/>
  <c r="J575"/>
  <c r="K575" s="1"/>
  <c r="O575"/>
  <c r="L575"/>
  <c r="M575"/>
  <c r="J576"/>
  <c r="K576" s="1"/>
  <c r="O576"/>
  <c r="L576"/>
  <c r="M576"/>
  <c r="J577"/>
  <c r="K577" s="1"/>
  <c r="O577"/>
  <c r="L577"/>
  <c r="M577"/>
  <c r="J578"/>
  <c r="K578" s="1"/>
  <c r="O578"/>
  <c r="L578"/>
  <c r="M578"/>
  <c r="J579"/>
  <c r="K579" s="1"/>
  <c r="O579"/>
  <c r="L579"/>
  <c r="M579"/>
  <c r="J580"/>
  <c r="K580" s="1"/>
  <c r="O580"/>
  <c r="L580"/>
  <c r="M580"/>
  <c r="J582"/>
  <c r="K582" s="1"/>
  <c r="O582"/>
  <c r="L582"/>
  <c r="M582"/>
  <c r="J583"/>
  <c r="K583" s="1"/>
  <c r="O583"/>
  <c r="L583"/>
  <c r="M583"/>
  <c r="J585"/>
  <c r="K585" s="1"/>
  <c r="O585"/>
  <c r="L585"/>
  <c r="M585"/>
  <c r="J587"/>
  <c r="K587" s="1"/>
  <c r="O587"/>
  <c r="L587"/>
  <c r="M587"/>
  <c r="J588"/>
  <c r="K588" s="1"/>
  <c r="O588"/>
  <c r="L588"/>
  <c r="M588"/>
  <c r="J589"/>
  <c r="K589" s="1"/>
  <c r="O589"/>
  <c r="L589"/>
  <c r="M589"/>
  <c r="J590"/>
  <c r="K590" s="1"/>
  <c r="O590"/>
  <c r="L590"/>
  <c r="M590"/>
  <c r="J592"/>
  <c r="K592" s="1"/>
  <c r="O592"/>
  <c r="L592"/>
  <c r="M592"/>
  <c r="J593"/>
  <c r="K593" s="1"/>
  <c r="O593"/>
  <c r="L593"/>
  <c r="M593"/>
  <c r="J594"/>
  <c r="K594" s="1"/>
  <c r="O594"/>
  <c r="L594"/>
  <c r="M594"/>
  <c r="J595"/>
  <c r="K595" s="1"/>
  <c r="O595"/>
  <c r="L595"/>
  <c r="M595"/>
  <c r="J596"/>
  <c r="K596" s="1"/>
  <c r="O596"/>
  <c r="L596"/>
  <c r="M596"/>
  <c r="J597"/>
  <c r="K597" s="1"/>
  <c r="O597"/>
  <c r="L597"/>
  <c r="M597"/>
  <c r="J598"/>
  <c r="K598" s="1"/>
  <c r="O598"/>
  <c r="L598"/>
  <c r="M598"/>
  <c r="J599"/>
  <c r="K599" s="1"/>
  <c r="O599"/>
  <c r="L599"/>
  <c r="M599"/>
  <c r="J600"/>
  <c r="K600" s="1"/>
  <c r="O600"/>
  <c r="L600"/>
  <c r="M600"/>
  <c r="J601"/>
  <c r="K601" s="1"/>
  <c r="O601"/>
  <c r="L601"/>
  <c r="M601"/>
  <c r="J602"/>
  <c r="K602" s="1"/>
  <c r="O602"/>
  <c r="L602"/>
  <c r="M602"/>
  <c r="J603"/>
  <c r="K603" s="1"/>
  <c r="O603"/>
  <c r="L603"/>
  <c r="M603"/>
  <c r="J604"/>
  <c r="K604" s="1"/>
  <c r="O604"/>
  <c r="L604"/>
  <c r="M604"/>
  <c r="J605"/>
  <c r="K605" s="1"/>
  <c r="O605"/>
  <c r="L605"/>
  <c r="M605"/>
  <c r="J606"/>
  <c r="K606" s="1"/>
  <c r="O606"/>
  <c r="L606"/>
  <c r="M606"/>
  <c r="J607"/>
  <c r="K607" s="1"/>
  <c r="O607"/>
  <c r="L607"/>
  <c r="M607"/>
  <c r="J608"/>
  <c r="K608" s="1"/>
  <c r="O608"/>
  <c r="L608"/>
  <c r="M608"/>
  <c r="J609"/>
  <c r="K609" s="1"/>
  <c r="O609"/>
  <c r="L609"/>
  <c r="M609"/>
  <c r="J610"/>
  <c r="K610" s="1"/>
  <c r="O610"/>
  <c r="L610"/>
  <c r="M610"/>
  <c r="J611"/>
  <c r="K611" s="1"/>
  <c r="O611"/>
  <c r="L611"/>
  <c r="M611"/>
  <c r="J612"/>
  <c r="K612" s="1"/>
  <c r="O612"/>
  <c r="L612"/>
  <c r="M612"/>
  <c r="J613"/>
  <c r="K613" s="1"/>
  <c r="O613"/>
  <c r="L613"/>
  <c r="M613"/>
  <c r="J614"/>
  <c r="K614" s="1"/>
  <c r="O614"/>
  <c r="L614"/>
  <c r="M614"/>
  <c r="J615"/>
  <c r="K615" s="1"/>
  <c r="O615"/>
  <c r="L615"/>
  <c r="M615"/>
  <c r="J616"/>
  <c r="K616" s="1"/>
  <c r="O616"/>
  <c r="L616"/>
  <c r="M616"/>
  <c r="J617"/>
  <c r="K617" s="1"/>
  <c r="O617"/>
  <c r="L617"/>
  <c r="M617"/>
  <c r="J618"/>
  <c r="K618" s="1"/>
  <c r="O618"/>
  <c r="L618"/>
  <c r="M618"/>
  <c r="J619"/>
  <c r="K619" s="1"/>
  <c r="O619"/>
  <c r="L619"/>
  <c r="M619"/>
  <c r="J620"/>
  <c r="K620" s="1"/>
  <c r="O620"/>
  <c r="L620"/>
  <c r="M620"/>
  <c r="J621"/>
  <c r="K621" s="1"/>
  <c r="O621"/>
  <c r="L621"/>
  <c r="M621"/>
  <c r="J622"/>
  <c r="K622" s="1"/>
  <c r="O622"/>
  <c r="L622"/>
  <c r="M622"/>
  <c r="J623"/>
  <c r="K623" s="1"/>
  <c r="O623"/>
  <c r="L623"/>
  <c r="M623"/>
  <c r="J624"/>
  <c r="K624" s="1"/>
  <c r="O624"/>
  <c r="L624"/>
  <c r="M624"/>
  <c r="J625"/>
  <c r="K625" s="1"/>
  <c r="O625"/>
  <c r="L625"/>
  <c r="M625"/>
  <c r="J626"/>
  <c r="K626" s="1"/>
  <c r="O626"/>
  <c r="L626"/>
  <c r="M626"/>
  <c r="J627"/>
  <c r="K627" s="1"/>
  <c r="O627"/>
  <c r="L627"/>
  <c r="M627"/>
  <c r="J628"/>
  <c r="K628" s="1"/>
  <c r="O628"/>
  <c r="L628"/>
  <c r="M628"/>
  <c r="J629"/>
  <c r="K629" s="1"/>
  <c r="O629"/>
  <c r="L629"/>
  <c r="M629"/>
  <c r="J630"/>
  <c r="K630" s="1"/>
  <c r="O630"/>
  <c r="L630"/>
  <c r="M630"/>
  <c r="J631"/>
  <c r="K631" s="1"/>
  <c r="O631"/>
  <c r="L631"/>
  <c r="M631"/>
  <c r="J632"/>
  <c r="K632" s="1"/>
  <c r="O632"/>
  <c r="L632"/>
  <c r="M632"/>
  <c r="J633"/>
  <c r="K633" s="1"/>
  <c r="O633"/>
  <c r="L633"/>
  <c r="M633"/>
  <c r="J634"/>
  <c r="K634" s="1"/>
  <c r="O634"/>
  <c r="L634"/>
  <c r="M634"/>
  <c r="J635"/>
  <c r="K635" s="1"/>
  <c r="O635"/>
  <c r="L635"/>
  <c r="M635"/>
  <c r="J636"/>
  <c r="K636" s="1"/>
  <c r="O636"/>
  <c r="L636"/>
  <c r="M636"/>
  <c r="J637"/>
  <c r="K637" s="1"/>
  <c r="O637"/>
  <c r="L637"/>
  <c r="M637"/>
  <c r="J638"/>
  <c r="K638" s="1"/>
  <c r="O638"/>
  <c r="L638"/>
  <c r="M638"/>
  <c r="J639"/>
  <c r="K639" s="1"/>
  <c r="O639"/>
  <c r="L639"/>
  <c r="M639"/>
  <c r="J640"/>
  <c r="K640" s="1"/>
  <c r="O640"/>
  <c r="L640"/>
  <c r="M640"/>
  <c r="J641"/>
  <c r="K641" s="1"/>
  <c r="O641"/>
  <c r="L641"/>
  <c r="M641"/>
  <c r="J642"/>
  <c r="K642" s="1"/>
  <c r="O642"/>
  <c r="L642"/>
  <c r="M642"/>
  <c r="J643"/>
  <c r="K643" s="1"/>
  <c r="O643"/>
  <c r="L643"/>
  <c r="M643"/>
  <c r="J644"/>
  <c r="K644" s="1"/>
  <c r="O644"/>
  <c r="L644"/>
  <c r="M644"/>
  <c r="J645"/>
  <c r="K645" s="1"/>
  <c r="O645"/>
  <c r="L645"/>
  <c r="M645"/>
  <c r="J646"/>
  <c r="K646" s="1"/>
  <c r="O646"/>
  <c r="L646"/>
  <c r="M646"/>
  <c r="J647"/>
  <c r="K647" s="1"/>
  <c r="O647"/>
  <c r="L647"/>
  <c r="M647"/>
  <c r="J648"/>
  <c r="K648" s="1"/>
  <c r="O648"/>
  <c r="L648"/>
  <c r="M648"/>
  <c r="J649"/>
  <c r="K649" s="1"/>
  <c r="O649"/>
  <c r="L649"/>
  <c r="M649"/>
  <c r="J650"/>
  <c r="K650" s="1"/>
  <c r="O650"/>
  <c r="L650"/>
  <c r="M650"/>
  <c r="J651"/>
  <c r="K651" s="1"/>
  <c r="O651"/>
  <c r="L651"/>
  <c r="M651"/>
  <c r="J652"/>
  <c r="K652" s="1"/>
  <c r="O652"/>
  <c r="L652"/>
  <c r="M652"/>
  <c r="J653"/>
  <c r="K653" s="1"/>
  <c r="O653"/>
  <c r="L653"/>
  <c r="M653"/>
  <c r="J654"/>
  <c r="K654" s="1"/>
  <c r="O654"/>
  <c r="L654"/>
  <c r="M654"/>
  <c r="J655"/>
  <c r="K655" s="1"/>
  <c r="O655"/>
  <c r="L655"/>
  <c r="M655"/>
  <c r="J656"/>
  <c r="K656" s="1"/>
  <c r="O656"/>
  <c r="L656"/>
  <c r="M656"/>
  <c r="J657"/>
  <c r="K657" s="1"/>
  <c r="O657"/>
  <c r="L657"/>
  <c r="M657"/>
  <c r="J658"/>
  <c r="K658" s="1"/>
  <c r="O658"/>
  <c r="L658"/>
  <c r="M658"/>
  <c r="J659"/>
  <c r="K659" s="1"/>
  <c r="O659"/>
  <c r="L659"/>
  <c r="M659"/>
  <c r="J660"/>
  <c r="K660" s="1"/>
  <c r="O660"/>
  <c r="L660"/>
  <c r="M660"/>
  <c r="J661"/>
  <c r="K661" s="1"/>
  <c r="O661"/>
  <c r="L661"/>
  <c r="M661"/>
  <c r="J662"/>
  <c r="K662" s="1"/>
  <c r="O662"/>
  <c r="L662"/>
  <c r="M662"/>
  <c r="J663"/>
  <c r="K663" s="1"/>
  <c r="O663"/>
  <c r="L663"/>
  <c r="M663"/>
  <c r="J664"/>
  <c r="K664" s="1"/>
  <c r="O664"/>
  <c r="L664"/>
  <c r="M664"/>
  <c r="J666"/>
  <c r="K666" s="1"/>
  <c r="O666"/>
  <c r="L666"/>
  <c r="M666"/>
  <c r="J667"/>
  <c r="K667" s="1"/>
  <c r="O667"/>
  <c r="L667"/>
  <c r="M667"/>
  <c r="J668"/>
  <c r="K668" s="1"/>
  <c r="O668"/>
  <c r="L668"/>
  <c r="M668"/>
  <c r="J669"/>
  <c r="K669" s="1"/>
  <c r="O669"/>
  <c r="L669"/>
  <c r="M669"/>
  <c r="J670"/>
  <c r="K670" s="1"/>
  <c r="O670"/>
  <c r="L670"/>
  <c r="M670"/>
  <c r="J671"/>
  <c r="K671" s="1"/>
  <c r="O671"/>
  <c r="L671"/>
  <c r="M671"/>
  <c r="J672"/>
  <c r="K672" s="1"/>
  <c r="O672"/>
  <c r="L672"/>
  <c r="M672"/>
  <c r="J673"/>
  <c r="K673" s="1"/>
  <c r="O673"/>
  <c r="L673"/>
  <c r="M673"/>
  <c r="J674"/>
  <c r="K674" s="1"/>
  <c r="O674"/>
  <c r="L674"/>
  <c r="M674"/>
  <c r="J675"/>
  <c r="K675" s="1"/>
  <c r="O675"/>
  <c r="L675"/>
  <c r="M675"/>
  <c r="J676"/>
  <c r="K676" s="1"/>
  <c r="O676"/>
  <c r="L676"/>
  <c r="M676"/>
  <c r="J677"/>
  <c r="K677" s="1"/>
  <c r="O677"/>
  <c r="L677"/>
  <c r="M677"/>
  <c r="J678"/>
  <c r="K678" s="1"/>
  <c r="O678"/>
  <c r="L678"/>
  <c r="M678"/>
  <c r="J679"/>
  <c r="K679" s="1"/>
  <c r="O679"/>
  <c r="L679"/>
  <c r="M679"/>
  <c r="J680"/>
  <c r="K680" s="1"/>
  <c r="O680"/>
  <c r="L680"/>
  <c r="M680"/>
  <c r="J681"/>
  <c r="K681" s="1"/>
  <c r="O681"/>
  <c r="L681"/>
  <c r="M681"/>
  <c r="J682"/>
  <c r="K682" s="1"/>
  <c r="O682"/>
  <c r="L682"/>
  <c r="M682"/>
  <c r="J683"/>
  <c r="K683" s="1"/>
  <c r="O683"/>
  <c r="L683"/>
  <c r="M683"/>
  <c r="J684"/>
  <c r="K684" s="1"/>
  <c r="O684"/>
  <c r="L684"/>
  <c r="M684"/>
  <c r="J685"/>
  <c r="K685" s="1"/>
  <c r="O685"/>
  <c r="L685"/>
  <c r="M685"/>
  <c r="J686"/>
  <c r="K686" s="1"/>
  <c r="O686"/>
  <c r="L686"/>
  <c r="M686"/>
  <c r="J687"/>
  <c r="K687" s="1"/>
  <c r="O687"/>
  <c r="L687"/>
  <c r="M687"/>
  <c r="J688"/>
  <c r="K688" s="1"/>
  <c r="O688"/>
  <c r="L688"/>
  <c r="M688"/>
  <c r="J690"/>
  <c r="K690" s="1"/>
  <c r="O690"/>
  <c r="L690"/>
  <c r="M690"/>
  <c r="J691"/>
  <c r="K691" s="1"/>
  <c r="O691"/>
  <c r="L691"/>
  <c r="M691"/>
  <c r="J692"/>
  <c r="K692" s="1"/>
  <c r="O692"/>
  <c r="L692"/>
  <c r="M692"/>
  <c r="J693"/>
  <c r="K693" s="1"/>
  <c r="O693"/>
  <c r="L693"/>
  <c r="M693"/>
  <c r="J694"/>
  <c r="K694" s="1"/>
  <c r="O694"/>
  <c r="L694"/>
  <c r="M694"/>
  <c r="J695"/>
  <c r="K695" s="1"/>
  <c r="O695"/>
  <c r="L695"/>
  <c r="M695"/>
  <c r="J696"/>
  <c r="K696" s="1"/>
  <c r="O696"/>
  <c r="L696"/>
  <c r="M696"/>
  <c r="J697"/>
  <c r="K697" s="1"/>
  <c r="O697"/>
  <c r="L697"/>
  <c r="M697"/>
  <c r="J698"/>
  <c r="K698" s="1"/>
  <c r="O698"/>
  <c r="L698"/>
  <c r="M698"/>
  <c r="J699"/>
  <c r="K699" s="1"/>
  <c r="O699"/>
  <c r="L699"/>
  <c r="M699"/>
  <c r="J700"/>
  <c r="K700" s="1"/>
  <c r="O700"/>
  <c r="L700"/>
  <c r="M700"/>
  <c r="J701"/>
  <c r="K701" s="1"/>
  <c r="O701"/>
  <c r="L701"/>
  <c r="M701"/>
  <c r="J702"/>
  <c r="K702" s="1"/>
  <c r="O702"/>
  <c r="L702"/>
  <c r="M702"/>
  <c r="J703"/>
  <c r="K703" s="1"/>
  <c r="O703"/>
  <c r="L703"/>
  <c r="M703"/>
  <c r="J704"/>
  <c r="K704" s="1"/>
  <c r="O704"/>
  <c r="L704"/>
  <c r="M704"/>
  <c r="J705"/>
  <c r="K705" s="1"/>
  <c r="O705"/>
  <c r="L705"/>
  <c r="M705"/>
  <c r="J706"/>
  <c r="K706" s="1"/>
  <c r="O706"/>
  <c r="L706"/>
  <c r="M706"/>
  <c r="J707"/>
  <c r="K707" s="1"/>
  <c r="O707"/>
  <c r="L707"/>
  <c r="M707"/>
  <c r="J708"/>
  <c r="K708" s="1"/>
  <c r="O708"/>
  <c r="L708"/>
  <c r="M708"/>
  <c r="J709"/>
  <c r="K709" s="1"/>
  <c r="O709"/>
  <c r="L709"/>
  <c r="M709"/>
  <c r="J710"/>
  <c r="K710" s="1"/>
  <c r="O710"/>
  <c r="L710"/>
  <c r="M710"/>
  <c r="J711"/>
  <c r="K711" s="1"/>
  <c r="O711"/>
  <c r="L711"/>
  <c r="M711"/>
  <c r="J712"/>
  <c r="K712" s="1"/>
  <c r="O712"/>
  <c r="L712"/>
  <c r="M712"/>
  <c r="J713"/>
  <c r="K713" s="1"/>
  <c r="O713"/>
  <c r="L713"/>
  <c r="M713"/>
  <c r="J714"/>
  <c r="K714" s="1"/>
  <c r="O714"/>
  <c r="L714"/>
  <c r="M714"/>
  <c r="J715"/>
  <c r="K715" s="1"/>
  <c r="O715"/>
  <c r="L715"/>
  <c r="M715"/>
  <c r="J716"/>
  <c r="K716" s="1"/>
  <c r="O716"/>
  <c r="L716"/>
  <c r="M716"/>
  <c r="J717"/>
  <c r="K717" s="1"/>
  <c r="O717"/>
  <c r="L717"/>
  <c r="M717"/>
  <c r="J718"/>
  <c r="K718" s="1"/>
  <c r="O718"/>
  <c r="L718"/>
  <c r="M718"/>
  <c r="J719"/>
  <c r="K719" s="1"/>
  <c r="O719"/>
  <c r="L719"/>
  <c r="M719"/>
  <c r="J720"/>
  <c r="K720" s="1"/>
  <c r="O720"/>
  <c r="L720"/>
  <c r="M720"/>
  <c r="J721"/>
  <c r="K721" s="1"/>
  <c r="O721"/>
  <c r="L721"/>
  <c r="M721"/>
  <c r="J722"/>
  <c r="K722" s="1"/>
  <c r="O722"/>
  <c r="L722"/>
  <c r="M722"/>
  <c r="J723"/>
  <c r="K723" s="1"/>
  <c r="O723"/>
  <c r="L723"/>
  <c r="M723"/>
  <c r="J724"/>
  <c r="K724" s="1"/>
  <c r="O724"/>
  <c r="L724"/>
  <c r="M724"/>
  <c r="J725"/>
  <c r="K725" s="1"/>
  <c r="O725"/>
  <c r="L725"/>
  <c r="M725"/>
  <c r="J726"/>
  <c r="K726" s="1"/>
  <c r="O726"/>
  <c r="L726"/>
  <c r="M726"/>
  <c r="J727"/>
  <c r="K727" s="1"/>
  <c r="O727"/>
  <c r="L727"/>
  <c r="M727"/>
  <c r="J728"/>
  <c r="K728" s="1"/>
  <c r="O728"/>
  <c r="L728"/>
  <c r="M728"/>
  <c r="J729"/>
  <c r="K729" s="1"/>
  <c r="O729"/>
  <c r="L729"/>
  <c r="M729"/>
  <c r="J730"/>
  <c r="K730" s="1"/>
  <c r="O730"/>
  <c r="L730"/>
  <c r="M730"/>
  <c r="J731"/>
  <c r="K731" s="1"/>
  <c r="O731"/>
  <c r="L731"/>
  <c r="M731"/>
  <c r="J732"/>
  <c r="K732" s="1"/>
  <c r="O732"/>
  <c r="L732"/>
  <c r="M732"/>
  <c r="J733"/>
  <c r="K733" s="1"/>
  <c r="O733"/>
  <c r="L733"/>
  <c r="M733"/>
  <c r="J734"/>
  <c r="K734" s="1"/>
  <c r="O734"/>
  <c r="L734"/>
  <c r="M734"/>
  <c r="J735"/>
  <c r="K735" s="1"/>
  <c r="O735"/>
  <c r="L735"/>
  <c r="M735"/>
  <c r="J736"/>
  <c r="K736" s="1"/>
  <c r="O736"/>
  <c r="L736"/>
  <c r="M736"/>
  <c r="J737"/>
  <c r="K737" s="1"/>
  <c r="O737"/>
  <c r="L737"/>
  <c r="M737"/>
  <c r="J738"/>
  <c r="K738" s="1"/>
  <c r="O738"/>
  <c r="L738"/>
  <c r="M738"/>
  <c r="J739"/>
  <c r="K739" s="1"/>
  <c r="O739"/>
  <c r="L739"/>
  <c r="M739"/>
  <c r="J740"/>
  <c r="K740" s="1"/>
  <c r="O740"/>
  <c r="L740"/>
  <c r="M740"/>
  <c r="J741"/>
  <c r="K741" s="1"/>
  <c r="O741"/>
  <c r="L741"/>
  <c r="M741"/>
  <c r="J742"/>
  <c r="K742" s="1"/>
  <c r="O742"/>
  <c r="L742"/>
  <c r="M742"/>
  <c r="J743"/>
  <c r="K743" s="1"/>
  <c r="O743"/>
  <c r="L743"/>
  <c r="M743"/>
  <c r="J744"/>
  <c r="K744" s="1"/>
  <c r="O744"/>
  <c r="L744"/>
  <c r="M744"/>
  <c r="I745" i="22"/>
  <c r="D745"/>
  <c r="C745"/>
  <c r="O746" i="12"/>
  <c r="L746"/>
  <c r="M746"/>
  <c r="O747" i="22"/>
  <c r="D798"/>
  <c r="D821"/>
  <c r="I878" i="10"/>
  <c r="M878"/>
  <c r="J878"/>
  <c r="K878"/>
  <c r="I878" i="3"/>
  <c r="J878"/>
  <c r="K878"/>
  <c r="L878" i="2"/>
  <c r="M878"/>
  <c r="N878"/>
  <c r="P878"/>
  <c r="R878"/>
  <c r="C878" i="22"/>
  <c r="O879"/>
  <c r="H882" i="14"/>
  <c r="I882"/>
  <c r="K882"/>
  <c r="L882"/>
  <c r="M882"/>
  <c r="H883"/>
  <c r="I883"/>
  <c r="K883"/>
  <c r="L883"/>
  <c r="M883"/>
  <c r="H884"/>
  <c r="I884"/>
  <c r="K884"/>
  <c r="L884"/>
  <c r="M884"/>
  <c r="H885"/>
  <c r="I885"/>
  <c r="K885"/>
  <c r="L885"/>
  <c r="M885"/>
  <c r="H886"/>
  <c r="I886"/>
  <c r="K886"/>
  <c r="L886"/>
  <c r="M886"/>
  <c r="H887"/>
  <c r="I887"/>
  <c r="K887"/>
  <c r="L887"/>
  <c r="M887"/>
  <c r="H888"/>
  <c r="I888"/>
  <c r="K888"/>
  <c r="L888"/>
  <c r="M888"/>
  <c r="H889"/>
  <c r="I889"/>
  <c r="K889"/>
  <c r="L889"/>
  <c r="M889"/>
  <c r="H890"/>
  <c r="I890"/>
  <c r="K890"/>
  <c r="L890"/>
  <c r="M890"/>
  <c r="H891"/>
  <c r="I891"/>
  <c r="K891"/>
  <c r="L891"/>
  <c r="M891"/>
  <c r="H892"/>
  <c r="I892"/>
  <c r="K892"/>
  <c r="L892"/>
  <c r="M892"/>
  <c r="H893"/>
  <c r="I893"/>
  <c r="K893"/>
  <c r="L893"/>
  <c r="M893"/>
  <c r="H894"/>
  <c r="I894"/>
  <c r="K894"/>
  <c r="L894"/>
  <c r="M894"/>
  <c r="H895"/>
  <c r="I895"/>
  <c r="K895"/>
  <c r="L895"/>
  <c r="M895"/>
  <c r="H896"/>
  <c r="I896"/>
  <c r="K896"/>
  <c r="L896"/>
  <c r="M896"/>
  <c r="H897"/>
  <c r="I897"/>
  <c r="K897"/>
  <c r="L897"/>
  <c r="H898"/>
  <c r="I898"/>
  <c r="K898"/>
  <c r="L898"/>
  <c r="M898"/>
  <c r="H899"/>
  <c r="I899"/>
  <c r="K899"/>
  <c r="L899"/>
  <c r="M899"/>
  <c r="H900"/>
  <c r="I900"/>
  <c r="K900"/>
  <c r="L900"/>
  <c r="M900"/>
  <c r="H901"/>
  <c r="I901"/>
  <c r="K901"/>
  <c r="L901"/>
  <c r="M901"/>
  <c r="H902"/>
  <c r="I902"/>
  <c r="K902"/>
  <c r="L902"/>
  <c r="M902"/>
  <c r="H903"/>
  <c r="I903"/>
  <c r="K903"/>
  <c r="L903"/>
  <c r="M903"/>
  <c r="H904"/>
  <c r="I904"/>
  <c r="K904"/>
  <c r="L904"/>
  <c r="M904"/>
  <c r="H905"/>
  <c r="I905"/>
  <c r="K905"/>
  <c r="L905"/>
  <c r="M905"/>
  <c r="H906"/>
  <c r="I906"/>
  <c r="K906"/>
  <c r="L906"/>
  <c r="M906"/>
  <c r="H907"/>
  <c r="I907"/>
  <c r="K907"/>
  <c r="L907"/>
  <c r="M907"/>
  <c r="H908"/>
  <c r="I908"/>
  <c r="K908"/>
  <c r="L908"/>
  <c r="M908"/>
  <c r="H909"/>
  <c r="I909"/>
  <c r="K909"/>
  <c r="L909"/>
  <c r="M909"/>
  <c r="H910"/>
  <c r="I910"/>
  <c r="K910"/>
  <c r="L910"/>
  <c r="M910"/>
  <c r="H914"/>
  <c r="I914"/>
  <c r="K914"/>
  <c r="L914"/>
  <c r="M914"/>
  <c r="H915"/>
  <c r="I915"/>
  <c r="K915"/>
  <c r="L915"/>
  <c r="M915"/>
  <c r="H917"/>
  <c r="I917"/>
  <c r="K917"/>
  <c r="L917"/>
  <c r="M917"/>
  <c r="H924"/>
  <c r="I924"/>
  <c r="K924"/>
  <c r="L924"/>
  <c r="M924"/>
  <c r="G1054" i="13"/>
  <c r="I1054"/>
  <c r="O1146" i="22"/>
  <c r="I1160"/>
  <c r="H1160"/>
  <c r="O1202"/>
  <c r="F1222" i="3"/>
  <c r="I1223"/>
  <c r="J1223"/>
  <c r="K1223"/>
  <c r="M1223"/>
  <c r="J1224"/>
  <c r="K1224"/>
  <c r="M1224"/>
  <c r="I1225"/>
  <c r="J1225"/>
  <c r="K1225"/>
  <c r="M1225"/>
  <c r="I1226"/>
  <c r="J1226"/>
  <c r="K1226"/>
  <c r="M1226"/>
  <c r="I1227"/>
  <c r="J1227"/>
  <c r="K1227"/>
  <c r="M1227"/>
  <c r="I1228"/>
  <c r="J1228"/>
  <c r="K1228"/>
  <c r="M1228"/>
  <c r="O1232" i="22"/>
  <c r="I741" i="3"/>
  <c r="K1232" i="22"/>
  <c r="K1202"/>
  <c r="K1146"/>
  <c r="K879"/>
  <c r="K747"/>
  <c r="K535"/>
  <c r="K384"/>
  <c r="K90"/>
  <c r="K67"/>
  <c r="F144" i="14"/>
  <c r="G144" s="1"/>
  <c r="Q68" i="17"/>
  <c r="J569" i="12"/>
  <c r="K569" s="1"/>
  <c r="O569"/>
  <c r="L569"/>
  <c r="M569"/>
  <c r="J570"/>
  <c r="K570" s="1"/>
  <c r="O570"/>
  <c r="L570"/>
  <c r="M570"/>
  <c r="J571"/>
  <c r="K571" s="1"/>
  <c r="O571"/>
  <c r="L571"/>
  <c r="M571"/>
  <c r="J581"/>
  <c r="K581" s="1"/>
  <c r="O581"/>
  <c r="L581"/>
  <c r="M581"/>
  <c r="J584"/>
  <c r="K584" s="1"/>
  <c r="O584"/>
  <c r="L584"/>
  <c r="M584"/>
  <c r="J586"/>
  <c r="K586" s="1"/>
  <c r="O586"/>
  <c r="L586"/>
  <c r="M586"/>
  <c r="J591"/>
  <c r="K591" s="1"/>
  <c r="O591"/>
  <c r="L591"/>
  <c r="M591"/>
  <c r="J689"/>
  <c r="K689" s="1"/>
  <c r="O689"/>
  <c r="L689"/>
  <c r="M689"/>
  <c r="J556"/>
  <c r="K556" s="1"/>
  <c r="J564"/>
  <c r="K564" s="1"/>
  <c r="J565"/>
  <c r="K565" s="1"/>
  <c r="J568"/>
  <c r="K568" s="1"/>
  <c r="K38" i="14"/>
  <c r="K39"/>
  <c r="K40"/>
  <c r="K47"/>
  <c r="K49"/>
  <c r="K50"/>
  <c r="K51"/>
  <c r="K52"/>
  <c r="J67" i="8"/>
  <c r="M385"/>
  <c r="M536"/>
  <c r="M746"/>
  <c r="M748"/>
  <c r="M880"/>
  <c r="M1147"/>
  <c r="M68" i="11"/>
  <c r="M91"/>
  <c r="M536"/>
  <c r="M1147"/>
  <c r="M67" i="10"/>
  <c r="J67"/>
  <c r="K67"/>
  <c r="O68"/>
  <c r="H67" i="7"/>
  <c r="K67"/>
  <c r="J67"/>
  <c r="L67"/>
  <c r="P67"/>
  <c r="M67"/>
  <c r="N67"/>
  <c r="O67"/>
  <c r="M1203" i="9"/>
  <c r="R536" i="5"/>
  <c r="J90" i="6"/>
  <c r="M536"/>
  <c r="M880"/>
  <c r="O68" i="3"/>
  <c r="L879"/>
  <c r="G1222"/>
  <c r="O67" i="2"/>
  <c r="I383" i="3"/>
  <c r="L383" i="2"/>
  <c r="M383"/>
  <c r="N383"/>
  <c r="P383"/>
  <c r="Q383"/>
  <c r="I69" i="10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384" i="2"/>
  <c r="Q536"/>
  <c r="N536" i="3"/>
  <c r="L385" i="6"/>
  <c r="L536"/>
  <c r="Q882" i="5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881"/>
  <c r="Q385"/>
  <c r="Q536"/>
  <c r="L385" i="9"/>
  <c r="L536"/>
  <c r="N93" i="10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1"/>
  <c r="N382"/>
  <c r="N383"/>
  <c r="N385"/>
  <c r="N536"/>
  <c r="N92"/>
  <c r="L385" i="11"/>
  <c r="L536"/>
  <c r="L746"/>
  <c r="L536" i="8"/>
  <c r="L746"/>
  <c r="L385"/>
  <c r="K911" i="14"/>
  <c r="L911"/>
  <c r="K912"/>
  <c r="L912"/>
  <c r="K913"/>
  <c r="L913"/>
  <c r="K916"/>
  <c r="L916"/>
  <c r="K918"/>
  <c r="L918"/>
  <c r="K919"/>
  <c r="L919"/>
  <c r="K920"/>
  <c r="L920"/>
  <c r="K921"/>
  <c r="L921"/>
  <c r="K922"/>
  <c r="L922"/>
  <c r="K923"/>
  <c r="L923"/>
  <c r="K925"/>
  <c r="L925"/>
  <c r="K926"/>
  <c r="L926"/>
  <c r="K927"/>
  <c r="L927"/>
  <c r="K928"/>
  <c r="L928"/>
  <c r="K929"/>
  <c r="L929"/>
  <c r="K930"/>
  <c r="L930"/>
  <c r="K931"/>
  <c r="L931"/>
  <c r="K932"/>
  <c r="L932"/>
  <c r="K933"/>
  <c r="L933"/>
  <c r="K934"/>
  <c r="L934"/>
  <c r="K935"/>
  <c r="L935"/>
  <c r="K936"/>
  <c r="L936"/>
  <c r="K937"/>
  <c r="L937"/>
  <c r="K938"/>
  <c r="L938"/>
  <c r="K939"/>
  <c r="L939"/>
  <c r="K940"/>
  <c r="L940"/>
  <c r="L536"/>
  <c r="K553"/>
  <c r="L553"/>
  <c r="K554"/>
  <c r="L554"/>
  <c r="K555"/>
  <c r="L555"/>
  <c r="K556"/>
  <c r="L556"/>
  <c r="K557"/>
  <c r="L557"/>
  <c r="K559"/>
  <c r="L559"/>
  <c r="K560"/>
  <c r="L560"/>
  <c r="K561"/>
  <c r="L561"/>
  <c r="K562"/>
  <c r="L562"/>
  <c r="K563"/>
  <c r="L563"/>
  <c r="K564"/>
  <c r="L564"/>
  <c r="K565"/>
  <c r="L565"/>
  <c r="K566"/>
  <c r="L566"/>
  <c r="K567"/>
  <c r="L567"/>
  <c r="K568"/>
  <c r="L568"/>
  <c r="K569"/>
  <c r="L569"/>
  <c r="K570"/>
  <c r="L570"/>
  <c r="K571"/>
  <c r="L571"/>
  <c r="K572"/>
  <c r="L572"/>
  <c r="K573"/>
  <c r="L573"/>
  <c r="K574"/>
  <c r="L574"/>
  <c r="K575"/>
  <c r="L575"/>
  <c r="K576"/>
  <c r="L576"/>
  <c r="K577"/>
  <c r="L577"/>
  <c r="K579"/>
  <c r="L579"/>
  <c r="K580"/>
  <c r="L580"/>
  <c r="K581"/>
  <c r="L581"/>
  <c r="K582"/>
  <c r="L582"/>
  <c r="K583"/>
  <c r="L583"/>
  <c r="K584"/>
  <c r="L584"/>
  <c r="K585"/>
  <c r="L585"/>
  <c r="K586"/>
  <c r="L586"/>
  <c r="K587"/>
  <c r="L587"/>
  <c r="K588"/>
  <c r="L588"/>
  <c r="K589"/>
  <c r="L589"/>
  <c r="K590"/>
  <c r="L590"/>
  <c r="K591"/>
  <c r="L591"/>
  <c r="K592"/>
  <c r="L592"/>
  <c r="K593"/>
  <c r="L593"/>
  <c r="K594"/>
  <c r="L594"/>
  <c r="K595"/>
  <c r="L595"/>
  <c r="K596"/>
  <c r="L596"/>
  <c r="K597"/>
  <c r="L597"/>
  <c r="K598"/>
  <c r="L598"/>
  <c r="K599"/>
  <c r="L599"/>
  <c r="K600"/>
  <c r="L600"/>
  <c r="K601"/>
  <c r="L601"/>
  <c r="K602"/>
  <c r="L602"/>
  <c r="K603"/>
  <c r="L603"/>
  <c r="K604"/>
  <c r="L604"/>
  <c r="K605"/>
  <c r="L605"/>
  <c r="K606"/>
  <c r="L606"/>
  <c r="K607"/>
  <c r="L607"/>
  <c r="K608"/>
  <c r="L608"/>
  <c r="K609"/>
  <c r="L609"/>
  <c r="K610"/>
  <c r="L610"/>
  <c r="K611"/>
  <c r="L611"/>
  <c r="K612"/>
  <c r="L612"/>
  <c r="K613"/>
  <c r="L613"/>
  <c r="K614"/>
  <c r="L614"/>
  <c r="K615"/>
  <c r="L615"/>
  <c r="K616"/>
  <c r="L616"/>
  <c r="K617"/>
  <c r="L617"/>
  <c r="K623"/>
  <c r="L623"/>
  <c r="K624"/>
  <c r="L624"/>
  <c r="K625"/>
  <c r="L625"/>
  <c r="K626"/>
  <c r="L626"/>
  <c r="K627"/>
  <c r="L627"/>
  <c r="K628"/>
  <c r="L628"/>
  <c r="K629"/>
  <c r="L629"/>
  <c r="K630"/>
  <c r="L630"/>
  <c r="K631"/>
  <c r="L631"/>
  <c r="K632"/>
  <c r="L632"/>
  <c r="K633"/>
  <c r="L633"/>
  <c r="K634"/>
  <c r="L634"/>
  <c r="K635"/>
  <c r="L635"/>
  <c r="K636"/>
  <c r="L636"/>
  <c r="K637"/>
  <c r="L637"/>
  <c r="K638"/>
  <c r="L638"/>
  <c r="K639"/>
  <c r="L639"/>
  <c r="K640"/>
  <c r="L640"/>
  <c r="K641"/>
  <c r="L641"/>
  <c r="K642"/>
  <c r="L642"/>
  <c r="K643"/>
  <c r="L643"/>
  <c r="K644"/>
  <c r="L644"/>
  <c r="K645"/>
  <c r="L645"/>
  <c r="K646"/>
  <c r="L646"/>
  <c r="K647"/>
  <c r="L647"/>
  <c r="K648"/>
  <c r="L648"/>
  <c r="K649"/>
  <c r="L649"/>
  <c r="K650"/>
  <c r="L650"/>
  <c r="K651"/>
  <c r="L651"/>
  <c r="K652"/>
  <c r="L652"/>
  <c r="K653"/>
  <c r="L653"/>
  <c r="K654"/>
  <c r="L654"/>
  <c r="K655"/>
  <c r="L655"/>
  <c r="K656"/>
  <c r="L656"/>
  <c r="K661"/>
  <c r="L661"/>
  <c r="K662"/>
  <c r="L662"/>
  <c r="K663"/>
  <c r="L663"/>
  <c r="K664"/>
  <c r="L664"/>
  <c r="K665"/>
  <c r="L665"/>
  <c r="K666"/>
  <c r="L666"/>
  <c r="K667"/>
  <c r="L667"/>
  <c r="K668"/>
  <c r="L668"/>
  <c r="K669"/>
  <c r="L669"/>
  <c r="K670"/>
  <c r="L670"/>
  <c r="K671"/>
  <c r="L671"/>
  <c r="K672"/>
  <c r="L672"/>
  <c r="K673"/>
  <c r="L673"/>
  <c r="K674"/>
  <c r="L674"/>
  <c r="K675"/>
  <c r="L675"/>
  <c r="K676"/>
  <c r="L676"/>
  <c r="K677"/>
  <c r="L677"/>
  <c r="K678"/>
  <c r="L678"/>
  <c r="K679"/>
  <c r="L679"/>
  <c r="K680"/>
  <c r="L680"/>
  <c r="K681"/>
  <c r="L681"/>
  <c r="K682"/>
  <c r="L682"/>
  <c r="K683"/>
  <c r="L683"/>
  <c r="K684"/>
  <c r="L684"/>
  <c r="K686"/>
  <c r="L686"/>
  <c r="K687"/>
  <c r="L687"/>
  <c r="K688"/>
  <c r="L688"/>
  <c r="K689"/>
  <c r="L689"/>
  <c r="K690"/>
  <c r="L690"/>
  <c r="K691"/>
  <c r="L691"/>
  <c r="K692"/>
  <c r="L692"/>
  <c r="K693"/>
  <c r="L693"/>
  <c r="K694"/>
  <c r="L694"/>
  <c r="K695"/>
  <c r="L695"/>
  <c r="K696"/>
  <c r="L696"/>
  <c r="K697"/>
  <c r="L697"/>
  <c r="K698"/>
  <c r="L698"/>
  <c r="K699"/>
  <c r="L699"/>
  <c r="K700"/>
  <c r="L700"/>
  <c r="K701"/>
  <c r="L701"/>
  <c r="K702"/>
  <c r="L702"/>
  <c r="K703"/>
  <c r="L703"/>
  <c r="K704"/>
  <c r="L704"/>
  <c r="K705"/>
  <c r="L705"/>
  <c r="K706"/>
  <c r="L706"/>
  <c r="K707"/>
  <c r="L707"/>
  <c r="K708"/>
  <c r="L708"/>
  <c r="K709"/>
  <c r="L709"/>
  <c r="K710"/>
  <c r="L710"/>
  <c r="K711"/>
  <c r="L711"/>
  <c r="K712"/>
  <c r="L712"/>
  <c r="K713"/>
  <c r="L713"/>
  <c r="K714"/>
  <c r="L714"/>
  <c r="K715"/>
  <c r="L715"/>
  <c r="K716"/>
  <c r="L716"/>
  <c r="K717"/>
  <c r="L717"/>
  <c r="K718"/>
  <c r="L718"/>
  <c r="K719"/>
  <c r="L719"/>
  <c r="K720"/>
  <c r="L720"/>
  <c r="K721"/>
  <c r="L721"/>
  <c r="K722"/>
  <c r="L722"/>
  <c r="K723"/>
  <c r="L723"/>
  <c r="K724"/>
  <c r="L724"/>
  <c r="K725"/>
  <c r="L725"/>
  <c r="K726"/>
  <c r="L726"/>
  <c r="K727"/>
  <c r="L727"/>
  <c r="K729"/>
  <c r="L729"/>
  <c r="K730"/>
  <c r="L730"/>
  <c r="K731"/>
  <c r="L731"/>
  <c r="K732"/>
  <c r="L732"/>
  <c r="K733"/>
  <c r="L733"/>
  <c r="K734"/>
  <c r="L734"/>
  <c r="K735"/>
  <c r="L735"/>
  <c r="K736"/>
  <c r="L736"/>
  <c r="K737"/>
  <c r="L737"/>
  <c r="K738"/>
  <c r="L738"/>
  <c r="K739"/>
  <c r="L739"/>
  <c r="K740"/>
  <c r="L740"/>
  <c r="K741"/>
  <c r="L741"/>
  <c r="K742"/>
  <c r="L742"/>
  <c r="K743"/>
  <c r="L743"/>
  <c r="K744"/>
  <c r="L744"/>
  <c r="K745"/>
  <c r="L745"/>
  <c r="L746"/>
  <c r="K144"/>
  <c r="L144"/>
  <c r="K377"/>
  <c r="L377"/>
  <c r="K378"/>
  <c r="L378"/>
  <c r="K379"/>
  <c r="L379"/>
  <c r="K381"/>
  <c r="L381"/>
  <c r="K382"/>
  <c r="L382"/>
  <c r="K383"/>
  <c r="L383"/>
  <c r="K911" i="18"/>
  <c r="L911"/>
  <c r="K912"/>
  <c r="L912"/>
  <c r="K916"/>
  <c r="L916"/>
  <c r="K919"/>
  <c r="L919"/>
  <c r="K920"/>
  <c r="L920"/>
  <c r="K921"/>
  <c r="L921"/>
  <c r="K922"/>
  <c r="L922"/>
  <c r="K923"/>
  <c r="L923"/>
  <c r="K925"/>
  <c r="L925"/>
  <c r="K926"/>
  <c r="L926"/>
  <c r="K927"/>
  <c r="L927"/>
  <c r="K928"/>
  <c r="L928"/>
  <c r="K929"/>
  <c r="L929"/>
  <c r="K930"/>
  <c r="L930"/>
  <c r="K931"/>
  <c r="L931"/>
  <c r="K932"/>
  <c r="L932"/>
  <c r="K933"/>
  <c r="L933"/>
  <c r="K934"/>
  <c r="L934"/>
  <c r="K935"/>
  <c r="L935"/>
  <c r="K936"/>
  <c r="L936"/>
  <c r="K937"/>
  <c r="L937"/>
  <c r="K938"/>
  <c r="L938"/>
  <c r="K939"/>
  <c r="L939"/>
  <c r="K940"/>
  <c r="L940"/>
  <c r="K941"/>
  <c r="L941"/>
  <c r="K942"/>
  <c r="L942"/>
  <c r="K943"/>
  <c r="L943"/>
  <c r="K944"/>
  <c r="L944"/>
  <c r="K945"/>
  <c r="L945"/>
  <c r="K946"/>
  <c r="L946"/>
  <c r="K947"/>
  <c r="L947"/>
  <c r="K948"/>
  <c r="L948"/>
  <c r="K949"/>
  <c r="L949"/>
  <c r="K950"/>
  <c r="L950"/>
  <c r="K951"/>
  <c r="L951"/>
  <c r="K952"/>
  <c r="L952"/>
  <c r="K953"/>
  <c r="L953"/>
  <c r="K954"/>
  <c r="L954"/>
  <c r="K955"/>
  <c r="L955"/>
  <c r="K956"/>
  <c r="L956"/>
  <c r="K957"/>
  <c r="L957"/>
  <c r="K958"/>
  <c r="L958"/>
  <c r="K960"/>
  <c r="L960"/>
  <c r="K961"/>
  <c r="L961"/>
  <c r="K962"/>
  <c r="L962"/>
  <c r="K963"/>
  <c r="L963"/>
  <c r="K968"/>
  <c r="L968"/>
  <c r="K970"/>
  <c r="L970"/>
  <c r="K971"/>
  <c r="L971"/>
  <c r="K973"/>
  <c r="L973"/>
  <c r="K974"/>
  <c r="L974"/>
  <c r="K975"/>
  <c r="L975"/>
  <c r="K976"/>
  <c r="L976"/>
  <c r="K977"/>
  <c r="L977"/>
  <c r="K978"/>
  <c r="L978"/>
  <c r="K979"/>
  <c r="L979"/>
  <c r="K980"/>
  <c r="L980"/>
  <c r="K981"/>
  <c r="L981"/>
  <c r="K982"/>
  <c r="L982"/>
  <c r="K983"/>
  <c r="L983"/>
  <c r="K984"/>
  <c r="L984"/>
  <c r="K985"/>
  <c r="L985"/>
  <c r="K986"/>
  <c r="L986"/>
  <c r="K987"/>
  <c r="L987"/>
  <c r="K988"/>
  <c r="L988"/>
  <c r="K989"/>
  <c r="L989"/>
  <c r="K990"/>
  <c r="L990"/>
  <c r="K991"/>
  <c r="L991"/>
  <c r="K992"/>
  <c r="L992"/>
  <c r="K993"/>
  <c r="L993"/>
  <c r="K994"/>
  <c r="L994"/>
  <c r="K995"/>
  <c r="L995"/>
  <c r="K996"/>
  <c r="L996"/>
  <c r="K997"/>
  <c r="L997"/>
  <c r="K998"/>
  <c r="L998"/>
  <c r="K999"/>
  <c r="L999"/>
  <c r="K1000"/>
  <c r="L1000"/>
  <c r="K1001"/>
  <c r="L1001"/>
  <c r="K1002"/>
  <c r="L1002"/>
  <c r="K1003"/>
  <c r="L1003"/>
  <c r="K1005"/>
  <c r="L1005"/>
  <c r="K1006"/>
  <c r="L1006"/>
  <c r="K1007"/>
  <c r="L1007"/>
  <c r="K1008"/>
  <c r="L1008"/>
  <c r="K1009"/>
  <c r="L1009"/>
  <c r="K1010"/>
  <c r="L1010"/>
  <c r="K1011"/>
  <c r="L1011"/>
  <c r="K1012"/>
  <c r="L1012"/>
  <c r="K1013"/>
  <c r="L1013"/>
  <c r="K1014"/>
  <c r="L1014"/>
  <c r="K1016"/>
  <c r="L1016"/>
  <c r="K1017"/>
  <c r="L1017"/>
  <c r="K1018"/>
  <c r="L1018"/>
  <c r="K1020"/>
  <c r="L1020"/>
  <c r="K1021"/>
  <c r="L1021"/>
  <c r="K1022"/>
  <c r="L1022"/>
  <c r="K1023"/>
  <c r="L1023"/>
  <c r="K1024"/>
  <c r="L1024"/>
  <c r="K1025"/>
  <c r="L1025"/>
  <c r="K1026"/>
  <c r="L1026"/>
  <c r="K1027"/>
  <c r="L1027"/>
  <c r="K1028"/>
  <c r="L1028"/>
  <c r="K1029"/>
  <c r="L1029"/>
  <c r="K1030"/>
  <c r="L1030"/>
  <c r="K1031"/>
  <c r="L1031"/>
  <c r="K1032"/>
  <c r="L1032"/>
  <c r="K1033"/>
  <c r="L1033"/>
  <c r="K1034"/>
  <c r="L1034"/>
  <c r="K1035"/>
  <c r="L1035"/>
  <c r="K1036"/>
  <c r="L1036"/>
  <c r="K1037"/>
  <c r="L1037"/>
  <c r="K1038"/>
  <c r="L1038"/>
  <c r="K1039"/>
  <c r="L1039"/>
  <c r="K1040"/>
  <c r="L1040"/>
  <c r="K1041"/>
  <c r="L1041"/>
  <c r="K1042"/>
  <c r="L1042"/>
  <c r="K1043"/>
  <c r="L1043"/>
  <c r="K1044"/>
  <c r="L1044"/>
  <c r="K1045"/>
  <c r="L1045"/>
  <c r="K1046"/>
  <c r="L1046"/>
  <c r="K1047"/>
  <c r="L1047"/>
  <c r="K1048"/>
  <c r="L1048"/>
  <c r="K1049"/>
  <c r="L1049"/>
  <c r="K1050"/>
  <c r="L1050"/>
  <c r="K1052"/>
  <c r="L1052"/>
  <c r="K1054"/>
  <c r="L1054"/>
  <c r="K1055"/>
  <c r="L1055"/>
  <c r="K1056"/>
  <c r="L1056"/>
  <c r="K1060"/>
  <c r="L1060"/>
  <c r="K1061"/>
  <c r="L1061"/>
  <c r="K1062"/>
  <c r="L1062"/>
  <c r="K1063"/>
  <c r="L1063"/>
  <c r="K1064"/>
  <c r="L1064"/>
  <c r="K1065"/>
  <c r="L1065"/>
  <c r="K1066"/>
  <c r="L1066"/>
  <c r="K1067"/>
  <c r="L1067"/>
  <c r="K1068"/>
  <c r="L1068"/>
  <c r="K1069"/>
  <c r="L1069"/>
  <c r="K1070"/>
  <c r="L1070"/>
  <c r="K1071"/>
  <c r="L1071"/>
  <c r="K1072"/>
  <c r="L1072"/>
  <c r="K1073"/>
  <c r="L1073"/>
  <c r="K1074"/>
  <c r="L1074"/>
  <c r="K1075"/>
  <c r="L1075"/>
  <c r="K1076"/>
  <c r="L1076"/>
  <c r="K1077"/>
  <c r="L1077"/>
  <c r="K1078"/>
  <c r="L1078"/>
  <c r="K1079"/>
  <c r="L1079"/>
  <c r="K1080"/>
  <c r="L1080"/>
  <c r="K1081"/>
  <c r="L1081"/>
  <c r="K1082"/>
  <c r="L1082"/>
  <c r="K1083"/>
  <c r="L1083"/>
  <c r="K1084"/>
  <c r="L1084"/>
  <c r="K1085"/>
  <c r="L1085"/>
  <c r="K1086"/>
  <c r="L1086"/>
  <c r="K1087"/>
  <c r="L1087"/>
  <c r="K1088"/>
  <c r="L1088"/>
  <c r="K1089"/>
  <c r="L1089"/>
  <c r="K1090"/>
  <c r="L1090"/>
  <c r="K1091"/>
  <c r="L1091"/>
  <c r="K1092"/>
  <c r="L1092"/>
  <c r="K1093"/>
  <c r="L1093"/>
  <c r="K1094"/>
  <c r="L1094"/>
  <c r="K1095"/>
  <c r="L1095"/>
  <c r="K1096"/>
  <c r="L1096"/>
  <c r="K1097"/>
  <c r="L1097"/>
  <c r="K1098"/>
  <c r="L1098"/>
  <c r="K1099"/>
  <c r="L1099"/>
  <c r="K1100"/>
  <c r="L1100"/>
  <c r="K1101"/>
  <c r="L1101"/>
  <c r="K1102"/>
  <c r="L1102"/>
  <c r="K1103"/>
  <c r="L1103"/>
  <c r="K1104"/>
  <c r="L1104"/>
  <c r="K1105"/>
  <c r="L1105"/>
  <c r="K1106"/>
  <c r="L1106"/>
  <c r="K1107"/>
  <c r="L1107"/>
  <c r="K1108"/>
  <c r="L1108"/>
  <c r="K1109"/>
  <c r="L1109"/>
  <c r="K1110"/>
  <c r="L1110"/>
  <c r="K1111"/>
  <c r="L1111"/>
  <c r="K1112"/>
  <c r="L1112"/>
  <c r="K1113"/>
  <c r="L1113"/>
  <c r="K1114"/>
  <c r="L1114"/>
  <c r="K1115"/>
  <c r="L1115"/>
  <c r="K1116"/>
  <c r="L1116"/>
  <c r="K1117"/>
  <c r="L1117"/>
  <c r="K1119"/>
  <c r="L1119"/>
  <c r="K1120"/>
  <c r="L1120"/>
  <c r="K1121"/>
  <c r="L1121"/>
  <c r="K1122"/>
  <c r="L1122"/>
  <c r="K1123"/>
  <c r="L1123"/>
  <c r="K1124"/>
  <c r="L1124"/>
  <c r="K1125"/>
  <c r="L1125"/>
  <c r="K1126"/>
  <c r="L1126"/>
  <c r="K1127"/>
  <c r="L1127"/>
  <c r="K1128"/>
  <c r="L1128"/>
  <c r="K1129"/>
  <c r="L1129"/>
  <c r="K1130"/>
  <c r="L1130"/>
  <c r="K1131"/>
  <c r="L1131"/>
  <c r="K1132"/>
  <c r="L1132"/>
  <c r="K1133"/>
  <c r="L1133"/>
  <c r="K1134"/>
  <c r="L1134"/>
  <c r="K1135"/>
  <c r="L1135"/>
  <c r="K1136"/>
  <c r="L1136"/>
  <c r="K1137"/>
  <c r="L1137"/>
  <c r="K1138"/>
  <c r="L1138"/>
  <c r="K1139"/>
  <c r="L1139"/>
  <c r="K1140"/>
  <c r="L1140"/>
  <c r="K1141"/>
  <c r="L1141"/>
  <c r="K1142"/>
  <c r="L1142"/>
  <c r="K1143"/>
  <c r="L1143"/>
  <c r="K1144"/>
  <c r="L1144"/>
  <c r="K1145"/>
  <c r="L1145"/>
  <c r="L746"/>
  <c r="L385"/>
  <c r="K419"/>
  <c r="L419"/>
  <c r="K420"/>
  <c r="L420"/>
  <c r="K421"/>
  <c r="L421"/>
  <c r="K422"/>
  <c r="L422"/>
  <c r="K423"/>
  <c r="L423"/>
  <c r="K424"/>
  <c r="L424"/>
  <c r="K425"/>
  <c r="L425"/>
  <c r="K426"/>
  <c r="L426"/>
  <c r="K427"/>
  <c r="L427"/>
  <c r="K428"/>
  <c r="L428"/>
  <c r="K429"/>
  <c r="L429"/>
  <c r="K430"/>
  <c r="L430"/>
  <c r="K431"/>
  <c r="L431"/>
  <c r="K432"/>
  <c r="L432"/>
  <c r="K433"/>
  <c r="L433"/>
  <c r="K434"/>
  <c r="L434"/>
  <c r="K435"/>
  <c r="L435"/>
  <c r="K436"/>
  <c r="L436"/>
  <c r="K437"/>
  <c r="L437"/>
  <c r="K438"/>
  <c r="L438"/>
  <c r="K439"/>
  <c r="L439"/>
  <c r="K440"/>
  <c r="L440"/>
  <c r="K441"/>
  <c r="L441"/>
  <c r="K442"/>
  <c r="L442"/>
  <c r="K443"/>
  <c r="L443"/>
  <c r="K444"/>
  <c r="L444"/>
  <c r="K445"/>
  <c r="L445"/>
  <c r="K446"/>
  <c r="L446"/>
  <c r="K447"/>
  <c r="L447"/>
  <c r="K448"/>
  <c r="L448"/>
  <c r="K449"/>
  <c r="L449"/>
  <c r="K450"/>
  <c r="L450"/>
  <c r="K451"/>
  <c r="L451"/>
  <c r="K452"/>
  <c r="L452"/>
  <c r="K453"/>
  <c r="L453"/>
  <c r="K454"/>
  <c r="L454"/>
  <c r="K455"/>
  <c r="L455"/>
  <c r="K456"/>
  <c r="L456"/>
  <c r="K457"/>
  <c r="L457"/>
  <c r="K458"/>
  <c r="L458"/>
  <c r="K459"/>
  <c r="L459"/>
  <c r="K460"/>
  <c r="L460"/>
  <c r="K461"/>
  <c r="L461"/>
  <c r="K462"/>
  <c r="L462"/>
  <c r="K463"/>
  <c r="L463"/>
  <c r="K464"/>
  <c r="L464"/>
  <c r="K465"/>
  <c r="L465"/>
  <c r="K466"/>
  <c r="L466"/>
  <c r="K467"/>
  <c r="L467"/>
  <c r="K468"/>
  <c r="L468"/>
  <c r="K469"/>
  <c r="L469"/>
  <c r="K470"/>
  <c r="L470"/>
  <c r="K471"/>
  <c r="L471"/>
  <c r="K472"/>
  <c r="L472"/>
  <c r="K473"/>
  <c r="L473"/>
  <c r="K474"/>
  <c r="L474"/>
  <c r="K475"/>
  <c r="L475"/>
  <c r="K476"/>
  <c r="L476"/>
  <c r="K477"/>
  <c r="L477"/>
  <c r="K478"/>
  <c r="L478"/>
  <c r="K479"/>
  <c r="L479"/>
  <c r="K480"/>
  <c r="L480"/>
  <c r="K481"/>
  <c r="L481"/>
  <c r="K482"/>
  <c r="L482"/>
  <c r="K483"/>
  <c r="L483"/>
  <c r="K484"/>
  <c r="L484"/>
  <c r="K485"/>
  <c r="L485"/>
  <c r="K486"/>
  <c r="L486"/>
  <c r="K487"/>
  <c r="L487"/>
  <c r="K488"/>
  <c r="L488"/>
  <c r="K489"/>
  <c r="L489"/>
  <c r="K490"/>
  <c r="L490"/>
  <c r="K491"/>
  <c r="L491"/>
  <c r="K492"/>
  <c r="L492"/>
  <c r="K493"/>
  <c r="L493"/>
  <c r="K494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6"/>
  <c r="K553"/>
  <c r="L553"/>
  <c r="K554"/>
  <c r="L554"/>
  <c r="K555"/>
  <c r="L555"/>
  <c r="K556"/>
  <c r="L556"/>
  <c r="K557"/>
  <c r="L557"/>
  <c r="K559"/>
  <c r="L559"/>
  <c r="K560"/>
  <c r="L560"/>
  <c r="K561"/>
  <c r="L561"/>
  <c r="K562"/>
  <c r="L562"/>
  <c r="K563"/>
  <c r="L563"/>
  <c r="K564"/>
  <c r="L564"/>
  <c r="K565"/>
  <c r="L565"/>
  <c r="K566"/>
  <c r="L566"/>
  <c r="K567"/>
  <c r="L567"/>
  <c r="K568"/>
  <c r="L568"/>
  <c r="K569"/>
  <c r="L569"/>
  <c r="K570"/>
  <c r="L570"/>
  <c r="K571"/>
  <c r="L571"/>
  <c r="K572"/>
  <c r="L572"/>
  <c r="K573"/>
  <c r="L573"/>
  <c r="K574"/>
  <c r="L574"/>
  <c r="K575"/>
  <c r="L575"/>
  <c r="K576"/>
  <c r="L576"/>
  <c r="K577"/>
  <c r="L577"/>
  <c r="K579"/>
  <c r="L579"/>
  <c r="K580"/>
  <c r="L580"/>
  <c r="K581"/>
  <c r="L581"/>
  <c r="K582"/>
  <c r="L582"/>
  <c r="K583"/>
  <c r="L583"/>
  <c r="K584"/>
  <c r="L584"/>
  <c r="K585"/>
  <c r="L585"/>
  <c r="K586"/>
  <c r="L586"/>
  <c r="K587"/>
  <c r="L587"/>
  <c r="K588"/>
  <c r="L588"/>
  <c r="K589"/>
  <c r="L589"/>
  <c r="K590"/>
  <c r="L590"/>
  <c r="K591"/>
  <c r="L591"/>
  <c r="K592"/>
  <c r="L592"/>
  <c r="K593"/>
  <c r="L593"/>
  <c r="K594"/>
  <c r="L594"/>
  <c r="K595"/>
  <c r="L595"/>
  <c r="K596"/>
  <c r="L596"/>
  <c r="K597"/>
  <c r="L597"/>
  <c r="K598"/>
  <c r="L598"/>
  <c r="K599"/>
  <c r="L599"/>
  <c r="K600"/>
  <c r="L600"/>
  <c r="K601"/>
  <c r="L601"/>
  <c r="K602"/>
  <c r="L602"/>
  <c r="K603"/>
  <c r="L603"/>
  <c r="K604"/>
  <c r="L604"/>
  <c r="K605"/>
  <c r="L605"/>
  <c r="K606"/>
  <c r="L606"/>
  <c r="K607"/>
  <c r="L607"/>
  <c r="K608"/>
  <c r="L608"/>
  <c r="K609"/>
  <c r="L609"/>
  <c r="K610"/>
  <c r="L610"/>
  <c r="K611"/>
  <c r="L611"/>
  <c r="K612"/>
  <c r="L612"/>
  <c r="K613"/>
  <c r="L613"/>
  <c r="K614"/>
  <c r="L614"/>
  <c r="K615"/>
  <c r="L615"/>
  <c r="K616"/>
  <c r="L616"/>
  <c r="K617"/>
  <c r="L617"/>
  <c r="K623"/>
  <c r="L623"/>
  <c r="K624"/>
  <c r="L624"/>
  <c r="K625"/>
  <c r="L625"/>
  <c r="K626"/>
  <c r="L626"/>
  <c r="K627"/>
  <c r="L627"/>
  <c r="K628"/>
  <c r="L628"/>
  <c r="K629"/>
  <c r="L629"/>
  <c r="K630"/>
  <c r="L630"/>
  <c r="K631"/>
  <c r="L631"/>
  <c r="K632"/>
  <c r="L632"/>
  <c r="K633"/>
  <c r="L633"/>
  <c r="K634"/>
  <c r="L634"/>
  <c r="K635"/>
  <c r="L635"/>
  <c r="K636"/>
  <c r="L636"/>
  <c r="K637"/>
  <c r="L637"/>
  <c r="K638"/>
  <c r="L638"/>
  <c r="K639"/>
  <c r="L639"/>
  <c r="K640"/>
  <c r="L640"/>
  <c r="K641"/>
  <c r="L641"/>
  <c r="K642"/>
  <c r="L642"/>
  <c r="K643"/>
  <c r="L643"/>
  <c r="K644"/>
  <c r="L644"/>
  <c r="K645"/>
  <c r="L645"/>
  <c r="K646"/>
  <c r="L646"/>
  <c r="K647"/>
  <c r="L647"/>
  <c r="K648"/>
  <c r="L648"/>
  <c r="K649"/>
  <c r="L649"/>
  <c r="K650"/>
  <c r="L650"/>
  <c r="K651"/>
  <c r="L651"/>
  <c r="K652"/>
  <c r="L652"/>
  <c r="K653"/>
  <c r="L653"/>
  <c r="K654"/>
  <c r="L654"/>
  <c r="K655"/>
  <c r="L655"/>
  <c r="K656"/>
  <c r="L656"/>
  <c r="K662"/>
  <c r="L662"/>
  <c r="K663"/>
  <c r="L663"/>
  <c r="K664"/>
  <c r="L664"/>
  <c r="K665"/>
  <c r="L665"/>
  <c r="K666"/>
  <c r="L666"/>
  <c r="K667"/>
  <c r="L667"/>
  <c r="K668"/>
  <c r="L668"/>
  <c r="K669"/>
  <c r="L669"/>
  <c r="K670"/>
  <c r="L670"/>
  <c r="K671"/>
  <c r="L671"/>
  <c r="K672"/>
  <c r="L672"/>
  <c r="K673"/>
  <c r="L673"/>
  <c r="K674"/>
  <c r="L674"/>
  <c r="K675"/>
  <c r="L675"/>
  <c r="K676"/>
  <c r="L676"/>
  <c r="K677"/>
  <c r="L677"/>
  <c r="K678"/>
  <c r="L678"/>
  <c r="K679"/>
  <c r="L679"/>
  <c r="K680"/>
  <c r="L680"/>
  <c r="K681"/>
  <c r="L681"/>
  <c r="K686"/>
  <c r="L686"/>
  <c r="K687"/>
  <c r="L687"/>
  <c r="K688"/>
  <c r="L688"/>
  <c r="K689"/>
  <c r="L689"/>
  <c r="K690"/>
  <c r="L690"/>
  <c r="K691"/>
  <c r="L691"/>
  <c r="K692"/>
  <c r="L692"/>
  <c r="K693"/>
  <c r="L693"/>
  <c r="K694"/>
  <c r="L694"/>
  <c r="K695"/>
  <c r="L695"/>
  <c r="K696"/>
  <c r="L696"/>
  <c r="K697"/>
  <c r="L697"/>
  <c r="K698"/>
  <c r="L698"/>
  <c r="K699"/>
  <c r="L699"/>
  <c r="K700"/>
  <c r="L700"/>
  <c r="K701"/>
  <c r="L701"/>
  <c r="K702"/>
  <c r="L702"/>
  <c r="K703"/>
  <c r="L703"/>
  <c r="K704"/>
  <c r="L704"/>
  <c r="K705"/>
  <c r="L705"/>
  <c r="K706"/>
  <c r="L706"/>
  <c r="K707"/>
  <c r="L707"/>
  <c r="K708"/>
  <c r="L708"/>
  <c r="K709"/>
  <c r="L709"/>
  <c r="K710"/>
  <c r="L710"/>
  <c r="K711"/>
  <c r="L711"/>
  <c r="K712"/>
  <c r="L712"/>
  <c r="K717"/>
  <c r="L717"/>
  <c r="K719"/>
  <c r="L719"/>
  <c r="K720"/>
  <c r="L720"/>
  <c r="K721"/>
  <c r="L721"/>
  <c r="K722"/>
  <c r="L722"/>
  <c r="K723"/>
  <c r="L723"/>
  <c r="K724"/>
  <c r="L724"/>
  <c r="K725"/>
  <c r="L725"/>
  <c r="K726"/>
  <c r="L726"/>
  <c r="K727"/>
  <c r="L727"/>
  <c r="K729"/>
  <c r="L729"/>
  <c r="K730"/>
  <c r="L730"/>
  <c r="K731"/>
  <c r="L731"/>
  <c r="K732"/>
  <c r="L732"/>
  <c r="K733"/>
  <c r="L733"/>
  <c r="K734"/>
  <c r="L734"/>
  <c r="K735"/>
  <c r="L735"/>
  <c r="K736"/>
  <c r="L736"/>
  <c r="K737"/>
  <c r="L737"/>
  <c r="K738"/>
  <c r="L738"/>
  <c r="K739"/>
  <c r="L739"/>
  <c r="K740"/>
  <c r="L740"/>
  <c r="K741"/>
  <c r="L741"/>
  <c r="K742"/>
  <c r="L742"/>
  <c r="K743"/>
  <c r="L743"/>
  <c r="K744"/>
  <c r="L744"/>
  <c r="K745"/>
  <c r="L745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K114"/>
  <c r="L114"/>
  <c r="K115"/>
  <c r="L115"/>
  <c r="K117"/>
  <c r="L117"/>
  <c r="K119"/>
  <c r="L119"/>
  <c r="K120"/>
  <c r="L120"/>
  <c r="K121"/>
  <c r="L121"/>
  <c r="K122"/>
  <c r="L122"/>
  <c r="K124"/>
  <c r="L124"/>
  <c r="K127"/>
  <c r="L127"/>
  <c r="K130"/>
  <c r="L130"/>
  <c r="K132"/>
  <c r="L132"/>
  <c r="K133"/>
  <c r="L133"/>
  <c r="K134"/>
  <c r="L134"/>
  <c r="K136"/>
  <c r="L136"/>
  <c r="K137"/>
  <c r="L137"/>
  <c r="K138"/>
  <c r="L138"/>
  <c r="K141"/>
  <c r="L141"/>
  <c r="K143"/>
  <c r="L143"/>
  <c r="K144"/>
  <c r="L144"/>
  <c r="K146"/>
  <c r="L146"/>
  <c r="K149"/>
  <c r="L149"/>
  <c r="K158"/>
  <c r="L158"/>
  <c r="K160"/>
  <c r="L160"/>
  <c r="K161"/>
  <c r="L161"/>
  <c r="K162"/>
  <c r="L162"/>
  <c r="K164"/>
  <c r="L164"/>
  <c r="K165"/>
  <c r="L165"/>
  <c r="K166"/>
  <c r="L166"/>
  <c r="K167"/>
  <c r="L167"/>
  <c r="K169"/>
  <c r="L169"/>
  <c r="K170"/>
  <c r="L170"/>
  <c r="K171"/>
  <c r="L171"/>
  <c r="K172"/>
  <c r="L172"/>
  <c r="K173"/>
  <c r="L173"/>
  <c r="K174"/>
  <c r="L174"/>
  <c r="K175"/>
  <c r="L175"/>
  <c r="K176"/>
  <c r="L176"/>
  <c r="K177"/>
  <c r="L177"/>
  <c r="K178"/>
  <c r="L178"/>
  <c r="K179"/>
  <c r="L179"/>
  <c r="K180"/>
  <c r="L180"/>
  <c r="K181"/>
  <c r="L181"/>
  <c r="K182"/>
  <c r="L182"/>
  <c r="K183"/>
  <c r="L183"/>
  <c r="K184"/>
  <c r="L184"/>
  <c r="K185"/>
  <c r="L185"/>
  <c r="K187"/>
  <c r="L187"/>
  <c r="K188"/>
  <c r="L188"/>
  <c r="K191"/>
  <c r="L191"/>
  <c r="K192"/>
  <c r="L192"/>
  <c r="K193"/>
  <c r="L193"/>
  <c r="K194"/>
  <c r="L194"/>
  <c r="K195"/>
  <c r="L195"/>
  <c r="K196"/>
  <c r="L196"/>
  <c r="K197"/>
  <c r="L197"/>
  <c r="K198"/>
  <c r="L198"/>
  <c r="K199"/>
  <c r="L199"/>
  <c r="K201"/>
  <c r="L201"/>
  <c r="K202"/>
  <c r="L202"/>
  <c r="K203"/>
  <c r="L203"/>
  <c r="K204"/>
  <c r="L204"/>
  <c r="K205"/>
  <c r="L205"/>
  <c r="K206"/>
  <c r="L206"/>
  <c r="K207"/>
  <c r="L207"/>
  <c r="K209"/>
  <c r="L209"/>
  <c r="K213"/>
  <c r="L213"/>
  <c r="K215"/>
  <c r="L215"/>
  <c r="K216"/>
  <c r="L216"/>
  <c r="K217"/>
  <c r="L217"/>
  <c r="K218"/>
  <c r="L218"/>
  <c r="K219"/>
  <c r="L219"/>
  <c r="K220"/>
  <c r="L220"/>
  <c r="K221"/>
  <c r="L221"/>
  <c r="K222"/>
  <c r="L222"/>
  <c r="K223"/>
  <c r="L223"/>
  <c r="K224"/>
  <c r="L224"/>
  <c r="K225"/>
  <c r="L225"/>
  <c r="K226"/>
  <c r="L226"/>
  <c r="K227"/>
  <c r="L227"/>
  <c r="K228"/>
  <c r="L228"/>
  <c r="K229"/>
  <c r="L229"/>
  <c r="K230"/>
  <c r="L230"/>
  <c r="K231"/>
  <c r="L231"/>
  <c r="K232"/>
  <c r="L232"/>
  <c r="K234"/>
  <c r="L234"/>
  <c r="K235"/>
  <c r="L235"/>
  <c r="K236"/>
  <c r="L236"/>
  <c r="K238"/>
  <c r="L238"/>
  <c r="K239"/>
  <c r="L239"/>
  <c r="K240"/>
  <c r="L240"/>
  <c r="K241"/>
  <c r="L241"/>
  <c r="K242"/>
  <c r="L242"/>
  <c r="K243"/>
  <c r="L243"/>
  <c r="K244"/>
  <c r="L244"/>
  <c r="K245"/>
  <c r="L245"/>
  <c r="K246"/>
  <c r="L246"/>
  <c r="K247"/>
  <c r="L247"/>
  <c r="K248"/>
  <c r="L248"/>
  <c r="K249"/>
  <c r="L249"/>
  <c r="K250"/>
  <c r="L250"/>
  <c r="K251"/>
  <c r="L251"/>
  <c r="K252"/>
  <c r="L252"/>
  <c r="K253"/>
  <c r="L253"/>
  <c r="K254"/>
  <c r="L254"/>
  <c r="K255"/>
  <c r="L255"/>
  <c r="K256"/>
  <c r="L256"/>
  <c r="K257"/>
  <c r="L257"/>
  <c r="K258"/>
  <c r="L258"/>
  <c r="K259"/>
  <c r="L259"/>
  <c r="K260"/>
  <c r="L260"/>
  <c r="K261"/>
  <c r="L261"/>
  <c r="K262"/>
  <c r="L262"/>
  <c r="K263"/>
  <c r="L263"/>
  <c r="K264"/>
  <c r="L264"/>
  <c r="K265"/>
  <c r="L265"/>
  <c r="K266"/>
  <c r="L266"/>
  <c r="K267"/>
  <c r="L267"/>
  <c r="K269"/>
  <c r="L269"/>
  <c r="K270"/>
  <c r="L270"/>
  <c r="K272"/>
  <c r="L272"/>
  <c r="K273"/>
  <c r="L273"/>
  <c r="K274"/>
  <c r="L274"/>
  <c r="K275"/>
  <c r="L275"/>
  <c r="K276"/>
  <c r="L276"/>
  <c r="K277"/>
  <c r="L277"/>
  <c r="K278"/>
  <c r="L278"/>
  <c r="K279"/>
  <c r="L279"/>
  <c r="K280"/>
  <c r="L280"/>
  <c r="K281"/>
  <c r="L281"/>
  <c r="K282"/>
  <c r="L282"/>
  <c r="K283"/>
  <c r="L283"/>
  <c r="K284"/>
  <c r="L284"/>
  <c r="K285"/>
  <c r="L285"/>
  <c r="K286"/>
  <c r="L286"/>
  <c r="K287"/>
  <c r="L287"/>
  <c r="K288"/>
  <c r="L288"/>
  <c r="K289"/>
  <c r="L289"/>
  <c r="K290"/>
  <c r="L290"/>
  <c r="K291"/>
  <c r="L291"/>
  <c r="K292"/>
  <c r="L292"/>
  <c r="K293"/>
  <c r="L293"/>
  <c r="K294"/>
  <c r="L294"/>
  <c r="K295"/>
  <c r="L295"/>
  <c r="K296"/>
  <c r="L296"/>
  <c r="K297"/>
  <c r="L297"/>
  <c r="K298"/>
  <c r="L298"/>
  <c r="K299"/>
  <c r="L299"/>
  <c r="K300"/>
  <c r="L300"/>
  <c r="K301"/>
  <c r="L301"/>
  <c r="K302"/>
  <c r="L302"/>
  <c r="K303"/>
  <c r="L303"/>
  <c r="K304"/>
  <c r="L304"/>
  <c r="K305"/>
  <c r="L305"/>
  <c r="K306"/>
  <c r="L306"/>
  <c r="K307"/>
  <c r="L307"/>
  <c r="K308"/>
  <c r="L308"/>
  <c r="K309"/>
  <c r="L309"/>
  <c r="K310"/>
  <c r="L310"/>
  <c r="K311"/>
  <c r="L311"/>
  <c r="K312"/>
  <c r="L312"/>
  <c r="K313"/>
  <c r="L313"/>
  <c r="K314"/>
  <c r="L314"/>
  <c r="K315"/>
  <c r="L315"/>
  <c r="K316"/>
  <c r="L316"/>
  <c r="K317"/>
  <c r="L317"/>
  <c r="K318"/>
  <c r="L318"/>
  <c r="K319"/>
  <c r="L319"/>
  <c r="K320"/>
  <c r="L320"/>
  <c r="K321"/>
  <c r="L321"/>
  <c r="K322"/>
  <c r="L322"/>
  <c r="K323"/>
  <c r="L323"/>
  <c r="K324"/>
  <c r="L324"/>
  <c r="K325"/>
  <c r="L325"/>
  <c r="K326"/>
  <c r="L326"/>
  <c r="K329"/>
  <c r="L329"/>
  <c r="K330"/>
  <c r="L330"/>
  <c r="K331"/>
  <c r="L331"/>
  <c r="K332"/>
  <c r="L332"/>
  <c r="K333"/>
  <c r="L333"/>
  <c r="K334"/>
  <c r="L334"/>
  <c r="K335"/>
  <c r="L335"/>
  <c r="K336"/>
  <c r="L336"/>
  <c r="K337"/>
  <c r="L337"/>
  <c r="K338"/>
  <c r="L338"/>
  <c r="K339"/>
  <c r="L339"/>
  <c r="K340"/>
  <c r="L340"/>
  <c r="K341"/>
  <c r="L341"/>
  <c r="K342"/>
  <c r="L342"/>
  <c r="K343"/>
  <c r="L343"/>
  <c r="K344"/>
  <c r="L344"/>
  <c r="K345"/>
  <c r="L345"/>
  <c r="K346"/>
  <c r="L346"/>
  <c r="K347"/>
  <c r="L347"/>
  <c r="K348"/>
  <c r="L348"/>
  <c r="K349"/>
  <c r="L349"/>
  <c r="K350"/>
  <c r="L350"/>
  <c r="K351"/>
  <c r="L351"/>
  <c r="K352"/>
  <c r="L352"/>
  <c r="K353"/>
  <c r="L353"/>
  <c r="K354"/>
  <c r="L354"/>
  <c r="K355"/>
  <c r="L355"/>
  <c r="K356"/>
  <c r="L356"/>
  <c r="K357"/>
  <c r="L357"/>
  <c r="K358"/>
  <c r="L358"/>
  <c r="K359"/>
  <c r="L359"/>
  <c r="K360"/>
  <c r="L360"/>
  <c r="K361"/>
  <c r="L361"/>
  <c r="K362"/>
  <c r="L362"/>
  <c r="K363"/>
  <c r="L363"/>
  <c r="K364"/>
  <c r="L364"/>
  <c r="K365"/>
  <c r="L365"/>
  <c r="K366"/>
  <c r="L366"/>
  <c r="K367"/>
  <c r="L367"/>
  <c r="K368"/>
  <c r="L368"/>
  <c r="K369"/>
  <c r="L369"/>
  <c r="K370"/>
  <c r="L370"/>
  <c r="K371"/>
  <c r="L371"/>
  <c r="K372"/>
  <c r="L372"/>
  <c r="K373"/>
  <c r="L373"/>
  <c r="K374"/>
  <c r="L374"/>
  <c r="K375"/>
  <c r="L375"/>
  <c r="K376"/>
  <c r="L376"/>
  <c r="K377"/>
  <c r="L377"/>
  <c r="K378"/>
  <c r="L378"/>
  <c r="K379"/>
  <c r="L379"/>
  <c r="K381"/>
  <c r="L381"/>
  <c r="K382"/>
  <c r="L382"/>
  <c r="K383"/>
  <c r="L383"/>
  <c r="K92"/>
  <c r="L92"/>
  <c r="P536" i="12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O556"/>
  <c r="P556"/>
  <c r="P557"/>
  <c r="P558"/>
  <c r="P559"/>
  <c r="P560"/>
  <c r="P561"/>
  <c r="P562"/>
  <c r="P563"/>
  <c r="O564"/>
  <c r="P564"/>
  <c r="O565"/>
  <c r="P565"/>
  <c r="P566"/>
  <c r="P567"/>
  <c r="O568"/>
  <c r="P568"/>
  <c r="P569"/>
  <c r="P570"/>
  <c r="P571"/>
  <c r="P572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6"/>
  <c r="H90" i="13"/>
  <c r="H91"/>
  <c r="M89" i="10"/>
  <c r="J89"/>
  <c r="K89"/>
  <c r="L90" i="3"/>
  <c r="H384" i="2"/>
  <c r="L384" s="1"/>
  <c r="O384"/>
  <c r="C380"/>
  <c r="C384"/>
  <c r="L6"/>
  <c r="M6"/>
  <c r="N6"/>
  <c r="P6"/>
  <c r="L386"/>
  <c r="M386"/>
  <c r="N386"/>
  <c r="P386"/>
  <c r="Q386" s="1"/>
  <c r="L387"/>
  <c r="M387"/>
  <c r="N387"/>
  <c r="P387"/>
  <c r="Q387" s="1"/>
  <c r="L388"/>
  <c r="M388"/>
  <c r="N388"/>
  <c r="P388"/>
  <c r="Q388" s="1"/>
  <c r="L389"/>
  <c r="M389"/>
  <c r="N389"/>
  <c r="P389"/>
  <c r="Q389" s="1"/>
  <c r="L390"/>
  <c r="M390"/>
  <c r="N390"/>
  <c r="P390"/>
  <c r="Q390" s="1"/>
  <c r="L391"/>
  <c r="M391"/>
  <c r="N391"/>
  <c r="P391"/>
  <c r="Q391" s="1"/>
  <c r="L392"/>
  <c r="M392"/>
  <c r="N392"/>
  <c r="P392"/>
  <c r="Q392" s="1"/>
  <c r="L393"/>
  <c r="M393"/>
  <c r="N393"/>
  <c r="P393"/>
  <c r="Q393" s="1"/>
  <c r="L394"/>
  <c r="M394"/>
  <c r="N394"/>
  <c r="P394"/>
  <c r="Q394" s="1"/>
  <c r="L395"/>
  <c r="M395"/>
  <c r="N395"/>
  <c r="P395"/>
  <c r="Q395" s="1"/>
  <c r="L396"/>
  <c r="M396"/>
  <c r="N396"/>
  <c r="P396"/>
  <c r="Q396" s="1"/>
  <c r="L397"/>
  <c r="M397"/>
  <c r="N397"/>
  <c r="P397"/>
  <c r="Q397" s="1"/>
  <c r="L398"/>
  <c r="M398"/>
  <c r="N398"/>
  <c r="P398"/>
  <c r="Q398" s="1"/>
  <c r="L399"/>
  <c r="M399"/>
  <c r="N399"/>
  <c r="P399"/>
  <c r="Q399" s="1"/>
  <c r="L400"/>
  <c r="M400"/>
  <c r="N400"/>
  <c r="P400"/>
  <c r="Q400" s="1"/>
  <c r="L401"/>
  <c r="M401"/>
  <c r="N401"/>
  <c r="P401"/>
  <c r="Q401" s="1"/>
  <c r="L402"/>
  <c r="M402"/>
  <c r="N402"/>
  <c r="P402"/>
  <c r="Q402" s="1"/>
  <c r="L403"/>
  <c r="M403"/>
  <c r="N403"/>
  <c r="P403"/>
  <c r="Q403" s="1"/>
  <c r="L404"/>
  <c r="M404"/>
  <c r="N404"/>
  <c r="P404"/>
  <c r="Q404" s="1"/>
  <c r="L405"/>
  <c r="M405"/>
  <c r="N405"/>
  <c r="P405"/>
  <c r="Q405" s="1"/>
  <c r="L406"/>
  <c r="M406"/>
  <c r="N406"/>
  <c r="P406"/>
  <c r="Q406" s="1"/>
  <c r="L407"/>
  <c r="M407"/>
  <c r="N407"/>
  <c r="P407"/>
  <c r="Q407" s="1"/>
  <c r="L408"/>
  <c r="M408"/>
  <c r="N408"/>
  <c r="P408"/>
  <c r="Q408" s="1"/>
  <c r="L409"/>
  <c r="M409"/>
  <c r="N409"/>
  <c r="P409"/>
  <c r="Q409" s="1"/>
  <c r="L410"/>
  <c r="M410"/>
  <c r="N410"/>
  <c r="P410"/>
  <c r="Q410" s="1"/>
  <c r="L411"/>
  <c r="M411"/>
  <c r="N411"/>
  <c r="P411"/>
  <c r="Q411" s="1"/>
  <c r="L412"/>
  <c r="M412"/>
  <c r="N412"/>
  <c r="P412"/>
  <c r="Q412" s="1"/>
  <c r="L413"/>
  <c r="M413"/>
  <c r="N413"/>
  <c r="P413"/>
  <c r="Q413" s="1"/>
  <c r="L414"/>
  <c r="M414"/>
  <c r="N414"/>
  <c r="P414"/>
  <c r="Q414" s="1"/>
  <c r="L415"/>
  <c r="M415"/>
  <c r="N415"/>
  <c r="P415"/>
  <c r="Q415" s="1"/>
  <c r="L416"/>
  <c r="M416"/>
  <c r="N416"/>
  <c r="P416"/>
  <c r="Q416" s="1"/>
  <c r="L417"/>
  <c r="M417"/>
  <c r="N417"/>
  <c r="P417"/>
  <c r="Q417" s="1"/>
  <c r="L418"/>
  <c r="M418"/>
  <c r="N418"/>
  <c r="P418"/>
  <c r="Q418" s="1"/>
  <c r="L419"/>
  <c r="M419"/>
  <c r="N419"/>
  <c r="P419"/>
  <c r="Q419" s="1"/>
  <c r="L420"/>
  <c r="M420"/>
  <c r="N420"/>
  <c r="P420"/>
  <c r="Q420" s="1"/>
  <c r="L421"/>
  <c r="M421"/>
  <c r="N421"/>
  <c r="P421"/>
  <c r="Q421" s="1"/>
  <c r="L422"/>
  <c r="M422"/>
  <c r="N422"/>
  <c r="P422"/>
  <c r="Q422" s="1"/>
  <c r="L423"/>
  <c r="M423"/>
  <c r="N423"/>
  <c r="P423"/>
  <c r="Q423" s="1"/>
  <c r="L424"/>
  <c r="M424"/>
  <c r="N424"/>
  <c r="P424"/>
  <c r="Q424" s="1"/>
  <c r="L425"/>
  <c r="M425"/>
  <c r="N425"/>
  <c r="P425"/>
  <c r="Q425" s="1"/>
  <c r="L426"/>
  <c r="M426"/>
  <c r="N426"/>
  <c r="P426"/>
  <c r="Q426" s="1"/>
  <c r="L427"/>
  <c r="M427"/>
  <c r="N427"/>
  <c r="P427"/>
  <c r="Q427" s="1"/>
  <c r="L428"/>
  <c r="M428"/>
  <c r="N428"/>
  <c r="P428"/>
  <c r="Q428" s="1"/>
  <c r="L429"/>
  <c r="M429"/>
  <c r="N429"/>
  <c r="P429"/>
  <c r="Q429" s="1"/>
  <c r="L430"/>
  <c r="M430"/>
  <c r="N430"/>
  <c r="P430"/>
  <c r="Q430" s="1"/>
  <c r="L431"/>
  <c r="M431"/>
  <c r="N431"/>
  <c r="P431"/>
  <c r="Q431" s="1"/>
  <c r="L432"/>
  <c r="M432"/>
  <c r="N432"/>
  <c r="P432"/>
  <c r="Q432" s="1"/>
  <c r="L433"/>
  <c r="M433"/>
  <c r="N433"/>
  <c r="P433"/>
  <c r="Q433" s="1"/>
  <c r="L434"/>
  <c r="M434"/>
  <c r="N434"/>
  <c r="P434"/>
  <c r="Q434" s="1"/>
  <c r="L435"/>
  <c r="M435"/>
  <c r="N435"/>
  <c r="P435"/>
  <c r="Q435" s="1"/>
  <c r="L436"/>
  <c r="M436"/>
  <c r="N436"/>
  <c r="P436"/>
  <c r="Q436" s="1"/>
  <c r="L437"/>
  <c r="M437"/>
  <c r="N437"/>
  <c r="P437"/>
  <c r="Q437" s="1"/>
  <c r="L438"/>
  <c r="M438"/>
  <c r="N438"/>
  <c r="P438"/>
  <c r="Q438" s="1"/>
  <c r="L439"/>
  <c r="M439"/>
  <c r="N439"/>
  <c r="P439"/>
  <c r="Q439" s="1"/>
  <c r="L440"/>
  <c r="M440"/>
  <c r="N440"/>
  <c r="P440"/>
  <c r="Q440" s="1"/>
  <c r="L441"/>
  <c r="M441"/>
  <c r="N441"/>
  <c r="P441"/>
  <c r="Q441" s="1"/>
  <c r="L442"/>
  <c r="M442"/>
  <c r="N442"/>
  <c r="P442"/>
  <c r="Q442" s="1"/>
  <c r="L443"/>
  <c r="M443"/>
  <c r="N443"/>
  <c r="P443"/>
  <c r="Q443" s="1"/>
  <c r="L444"/>
  <c r="M444"/>
  <c r="N444"/>
  <c r="P444"/>
  <c r="Q444" s="1"/>
  <c r="L445"/>
  <c r="M445"/>
  <c r="N445"/>
  <c r="P445"/>
  <c r="Q445" s="1"/>
  <c r="L446"/>
  <c r="M446"/>
  <c r="N446"/>
  <c r="P446"/>
  <c r="Q446" s="1"/>
  <c r="L447"/>
  <c r="M447"/>
  <c r="N447"/>
  <c r="P447"/>
  <c r="Q447" s="1"/>
  <c r="L448"/>
  <c r="M448"/>
  <c r="N448"/>
  <c r="P448"/>
  <c r="Q448" s="1"/>
  <c r="L449"/>
  <c r="M449"/>
  <c r="N449"/>
  <c r="P449"/>
  <c r="Q449" s="1"/>
  <c r="L450"/>
  <c r="M450"/>
  <c r="N450"/>
  <c r="P450"/>
  <c r="Q450" s="1"/>
  <c r="L451"/>
  <c r="M451"/>
  <c r="N451"/>
  <c r="P451"/>
  <c r="Q451" s="1"/>
  <c r="L452"/>
  <c r="M452"/>
  <c r="N452"/>
  <c r="P452"/>
  <c r="Q452" s="1"/>
  <c r="L453"/>
  <c r="M453"/>
  <c r="N453"/>
  <c r="P453"/>
  <c r="Q453" s="1"/>
  <c r="L454"/>
  <c r="M454"/>
  <c r="N454"/>
  <c r="P454"/>
  <c r="Q454" s="1"/>
  <c r="L455"/>
  <c r="M455"/>
  <c r="N455"/>
  <c r="P455"/>
  <c r="Q455" s="1"/>
  <c r="L456"/>
  <c r="M456"/>
  <c r="N456"/>
  <c r="P456"/>
  <c r="Q456" s="1"/>
  <c r="L457"/>
  <c r="M457"/>
  <c r="N457"/>
  <c r="P457"/>
  <c r="Q457" s="1"/>
  <c r="L458"/>
  <c r="M458"/>
  <c r="N458"/>
  <c r="P458"/>
  <c r="Q458" s="1"/>
  <c r="L459"/>
  <c r="M459"/>
  <c r="N459"/>
  <c r="P459"/>
  <c r="Q459" s="1"/>
  <c r="L460"/>
  <c r="M460"/>
  <c r="N460"/>
  <c r="P460"/>
  <c r="Q460" s="1"/>
  <c r="L461"/>
  <c r="M461"/>
  <c r="N461"/>
  <c r="P461"/>
  <c r="Q461" s="1"/>
  <c r="L462"/>
  <c r="M462"/>
  <c r="N462"/>
  <c r="P462"/>
  <c r="Q462" s="1"/>
  <c r="L463"/>
  <c r="M463"/>
  <c r="N463"/>
  <c r="P463"/>
  <c r="Q463" s="1"/>
  <c r="L464"/>
  <c r="M464"/>
  <c r="N464"/>
  <c r="P464"/>
  <c r="Q464" s="1"/>
  <c r="L465"/>
  <c r="M465"/>
  <c r="N465"/>
  <c r="P465"/>
  <c r="Q465" s="1"/>
  <c r="L466"/>
  <c r="M466"/>
  <c r="N466"/>
  <c r="P466"/>
  <c r="Q466" s="1"/>
  <c r="L467"/>
  <c r="M467"/>
  <c r="N467"/>
  <c r="P467"/>
  <c r="Q467" s="1"/>
  <c r="L468"/>
  <c r="M468"/>
  <c r="N468"/>
  <c r="P468"/>
  <c r="Q468" s="1"/>
  <c r="L469"/>
  <c r="M469"/>
  <c r="N469"/>
  <c r="P469"/>
  <c r="Q469" s="1"/>
  <c r="L470"/>
  <c r="M470"/>
  <c r="N470"/>
  <c r="P470"/>
  <c r="Q470" s="1"/>
  <c r="L471"/>
  <c r="M471"/>
  <c r="N471"/>
  <c r="P471"/>
  <c r="Q471" s="1"/>
  <c r="L472"/>
  <c r="M472"/>
  <c r="N472"/>
  <c r="P472"/>
  <c r="Q472" s="1"/>
  <c r="L473"/>
  <c r="M473"/>
  <c r="N473"/>
  <c r="P473"/>
  <c r="Q473" s="1"/>
  <c r="L474"/>
  <c r="M474"/>
  <c r="N474"/>
  <c r="P474"/>
  <c r="Q474" s="1"/>
  <c r="L475"/>
  <c r="M475"/>
  <c r="N475"/>
  <c r="P475"/>
  <c r="Q475" s="1"/>
  <c r="L476"/>
  <c r="M476"/>
  <c r="N476"/>
  <c r="P476"/>
  <c r="Q476" s="1"/>
  <c r="L477"/>
  <c r="M477"/>
  <c r="N477"/>
  <c r="P477"/>
  <c r="Q477" s="1"/>
  <c r="L478"/>
  <c r="M478"/>
  <c r="N478"/>
  <c r="P478"/>
  <c r="Q478" s="1"/>
  <c r="L479"/>
  <c r="M479"/>
  <c r="N479"/>
  <c r="P479"/>
  <c r="Q479" s="1"/>
  <c r="L480"/>
  <c r="M480"/>
  <c r="N480"/>
  <c r="P480"/>
  <c r="Q480" s="1"/>
  <c r="L481"/>
  <c r="M481"/>
  <c r="N481"/>
  <c r="P481"/>
  <c r="Q481" s="1"/>
  <c r="L482"/>
  <c r="M482"/>
  <c r="N482"/>
  <c r="P482"/>
  <c r="Q482" s="1"/>
  <c r="L483"/>
  <c r="M483"/>
  <c r="N483"/>
  <c r="P483"/>
  <c r="Q483" s="1"/>
  <c r="L484"/>
  <c r="M484"/>
  <c r="N484"/>
  <c r="P484"/>
  <c r="Q484" s="1"/>
  <c r="L485"/>
  <c r="M485"/>
  <c r="N485"/>
  <c r="P485"/>
  <c r="Q485" s="1"/>
  <c r="L486"/>
  <c r="M486"/>
  <c r="N486"/>
  <c r="P486"/>
  <c r="Q486" s="1"/>
  <c r="L487"/>
  <c r="M487"/>
  <c r="N487"/>
  <c r="P487"/>
  <c r="Q487" s="1"/>
  <c r="L488"/>
  <c r="M488"/>
  <c r="N488"/>
  <c r="P488"/>
  <c r="Q488" s="1"/>
  <c r="L489"/>
  <c r="M489"/>
  <c r="N489"/>
  <c r="P489"/>
  <c r="Q489" s="1"/>
  <c r="L490"/>
  <c r="M490"/>
  <c r="N490"/>
  <c r="P490"/>
  <c r="Q490" s="1"/>
  <c r="L491"/>
  <c r="M491"/>
  <c r="N491"/>
  <c r="P491"/>
  <c r="Q491" s="1"/>
  <c r="L492"/>
  <c r="M492"/>
  <c r="N492"/>
  <c r="P492"/>
  <c r="Q492" s="1"/>
  <c r="L493"/>
  <c r="M493"/>
  <c r="N493"/>
  <c r="P493"/>
  <c r="Q493" s="1"/>
  <c r="L494"/>
  <c r="M494"/>
  <c r="N494"/>
  <c r="P494"/>
  <c r="Q494" s="1"/>
  <c r="L495"/>
  <c r="M495"/>
  <c r="N495"/>
  <c r="P495"/>
  <c r="Q495" s="1"/>
  <c r="L496"/>
  <c r="M496"/>
  <c r="N496"/>
  <c r="P496"/>
  <c r="Q496" s="1"/>
  <c r="L497"/>
  <c r="M497"/>
  <c r="N497"/>
  <c r="P497"/>
  <c r="Q497" s="1"/>
  <c r="L498"/>
  <c r="M498"/>
  <c r="N498"/>
  <c r="P498"/>
  <c r="Q498" s="1"/>
  <c r="L499"/>
  <c r="M499"/>
  <c r="N499"/>
  <c r="P499"/>
  <c r="Q499" s="1"/>
  <c r="L500"/>
  <c r="M500"/>
  <c r="N500"/>
  <c r="P500"/>
  <c r="Q500" s="1"/>
  <c r="L501"/>
  <c r="M501"/>
  <c r="N501"/>
  <c r="P501"/>
  <c r="Q501" s="1"/>
  <c r="L502"/>
  <c r="M502"/>
  <c r="N502"/>
  <c r="P502"/>
  <c r="Q502" s="1"/>
  <c r="L503"/>
  <c r="M503"/>
  <c r="N503"/>
  <c r="P503"/>
  <c r="Q503" s="1"/>
  <c r="L504"/>
  <c r="M504"/>
  <c r="N504"/>
  <c r="P504"/>
  <c r="Q504" s="1"/>
  <c r="L505"/>
  <c r="M505"/>
  <c r="N505"/>
  <c r="P505"/>
  <c r="Q505" s="1"/>
  <c r="L506"/>
  <c r="M506"/>
  <c r="N506"/>
  <c r="P506"/>
  <c r="Q506" s="1"/>
  <c r="L507"/>
  <c r="M507"/>
  <c r="N507"/>
  <c r="P507"/>
  <c r="Q507" s="1"/>
  <c r="L508"/>
  <c r="M508"/>
  <c r="N508"/>
  <c r="P508"/>
  <c r="Q508" s="1"/>
  <c r="L509"/>
  <c r="M509"/>
  <c r="N509"/>
  <c r="P509"/>
  <c r="Q509" s="1"/>
  <c r="L510"/>
  <c r="M510"/>
  <c r="N510"/>
  <c r="P510"/>
  <c r="Q510" s="1"/>
  <c r="L511"/>
  <c r="M511"/>
  <c r="N511"/>
  <c r="P511"/>
  <c r="Q511" s="1"/>
  <c r="L512"/>
  <c r="M512"/>
  <c r="N512"/>
  <c r="P512"/>
  <c r="Q512" s="1"/>
  <c r="L513"/>
  <c r="M513"/>
  <c r="N513"/>
  <c r="P513"/>
  <c r="Q513" s="1"/>
  <c r="L514"/>
  <c r="M514"/>
  <c r="N514"/>
  <c r="P514"/>
  <c r="Q514" s="1"/>
  <c r="L515"/>
  <c r="M515"/>
  <c r="N515"/>
  <c r="P515"/>
  <c r="Q515" s="1"/>
  <c r="L516"/>
  <c r="M516"/>
  <c r="N516"/>
  <c r="P516"/>
  <c r="Q516" s="1"/>
  <c r="L517"/>
  <c r="M517"/>
  <c r="N517"/>
  <c r="P517"/>
  <c r="Q517" s="1"/>
  <c r="L518"/>
  <c r="M518"/>
  <c r="N518"/>
  <c r="P518"/>
  <c r="Q518" s="1"/>
  <c r="L519"/>
  <c r="M519"/>
  <c r="N519"/>
  <c r="P519"/>
  <c r="Q519" s="1"/>
  <c r="L520"/>
  <c r="M520"/>
  <c r="N520"/>
  <c r="P520"/>
  <c r="Q520" s="1"/>
  <c r="L521"/>
  <c r="M521"/>
  <c r="N521"/>
  <c r="P521"/>
  <c r="Q521" s="1"/>
  <c r="L522"/>
  <c r="M522"/>
  <c r="N522"/>
  <c r="P522"/>
  <c r="Q522" s="1"/>
  <c r="L523"/>
  <c r="M523"/>
  <c r="N523"/>
  <c r="P523"/>
  <c r="Q523" s="1"/>
  <c r="L524"/>
  <c r="M524"/>
  <c r="N524"/>
  <c r="P524"/>
  <c r="Q524" s="1"/>
  <c r="L525"/>
  <c r="M525"/>
  <c r="N525"/>
  <c r="P525"/>
  <c r="Q525" s="1"/>
  <c r="L526"/>
  <c r="M526"/>
  <c r="N526"/>
  <c r="P526"/>
  <c r="Q526" s="1"/>
  <c r="L527"/>
  <c r="M527"/>
  <c r="N527"/>
  <c r="P527"/>
  <c r="Q527" s="1"/>
  <c r="L528"/>
  <c r="M528"/>
  <c r="N528"/>
  <c r="P528"/>
  <c r="Q528" s="1"/>
  <c r="L529"/>
  <c r="M529"/>
  <c r="N529"/>
  <c r="P529"/>
  <c r="Q529" s="1"/>
  <c r="L530"/>
  <c r="M530"/>
  <c r="N530"/>
  <c r="P530"/>
  <c r="Q530" s="1"/>
  <c r="L531"/>
  <c r="M531"/>
  <c r="N531"/>
  <c r="P531"/>
  <c r="Q531" s="1"/>
  <c r="L532"/>
  <c r="M532"/>
  <c r="N532"/>
  <c r="P532"/>
  <c r="Q532" s="1"/>
  <c r="L533"/>
  <c r="M533"/>
  <c r="N533"/>
  <c r="P533"/>
  <c r="Q533" s="1"/>
  <c r="L534"/>
  <c r="M534"/>
  <c r="P534"/>
  <c r="Q534" s="1"/>
  <c r="L69"/>
  <c r="M69"/>
  <c r="N69"/>
  <c r="P69"/>
  <c r="M69" i="10"/>
  <c r="J69"/>
  <c r="K69"/>
  <c r="L70" i="2"/>
  <c r="M70"/>
  <c r="N70"/>
  <c r="P70"/>
  <c r="M70" i="10"/>
  <c r="J70"/>
  <c r="K70"/>
  <c r="L71" i="2"/>
  <c r="M71"/>
  <c r="N71"/>
  <c r="P71"/>
  <c r="M71" i="10"/>
  <c r="J71"/>
  <c r="K71"/>
  <c r="L72" i="2"/>
  <c r="M72"/>
  <c r="N72"/>
  <c r="P72"/>
  <c r="M72" i="10"/>
  <c r="J72"/>
  <c r="K72"/>
  <c r="L73" i="2"/>
  <c r="M73"/>
  <c r="N73"/>
  <c r="P73"/>
  <c r="M73" i="10"/>
  <c r="J73"/>
  <c r="K73"/>
  <c r="L74" i="2"/>
  <c r="M74"/>
  <c r="N74"/>
  <c r="P74"/>
  <c r="M74" i="10"/>
  <c r="J74"/>
  <c r="K74"/>
  <c r="L75" i="2"/>
  <c r="M75"/>
  <c r="N75"/>
  <c r="P75"/>
  <c r="M75" i="10"/>
  <c r="J75"/>
  <c r="K75"/>
  <c r="L76" i="2"/>
  <c r="M76"/>
  <c r="N76"/>
  <c r="P76"/>
  <c r="M76" i="10"/>
  <c r="J76"/>
  <c r="K76"/>
  <c r="L77" i="2"/>
  <c r="M77"/>
  <c r="N77"/>
  <c r="P77"/>
  <c r="M77" i="10"/>
  <c r="J77"/>
  <c r="K77"/>
  <c r="L78" i="2"/>
  <c r="M78"/>
  <c r="N78"/>
  <c r="P78"/>
  <c r="M78" i="10"/>
  <c r="J78"/>
  <c r="K78"/>
  <c r="L79" i="2"/>
  <c r="M79"/>
  <c r="N79"/>
  <c r="P79"/>
  <c r="M79" i="10"/>
  <c r="J79"/>
  <c r="K79"/>
  <c r="L80" i="2"/>
  <c r="M80"/>
  <c r="N80"/>
  <c r="P80"/>
  <c r="M80" i="10"/>
  <c r="J80"/>
  <c r="K80"/>
  <c r="L81" i="2"/>
  <c r="M81"/>
  <c r="N81"/>
  <c r="P81"/>
  <c r="M81" i="10"/>
  <c r="J81"/>
  <c r="K81"/>
  <c r="L82" i="2"/>
  <c r="M82"/>
  <c r="N82"/>
  <c r="P82"/>
  <c r="M82" i="10"/>
  <c r="J82"/>
  <c r="K82"/>
  <c r="L83" i="2"/>
  <c r="M83"/>
  <c r="N83"/>
  <c r="P83"/>
  <c r="M83" i="10"/>
  <c r="J83"/>
  <c r="K83"/>
  <c r="L84" i="2"/>
  <c r="M84"/>
  <c r="N84"/>
  <c r="P84"/>
  <c r="M84" i="10"/>
  <c r="J84"/>
  <c r="K84"/>
  <c r="L85" i="2"/>
  <c r="M85"/>
  <c r="N85"/>
  <c r="P85"/>
  <c r="M85" i="10"/>
  <c r="J85"/>
  <c r="K85"/>
  <c r="L86" i="2"/>
  <c r="M86"/>
  <c r="N86"/>
  <c r="P86"/>
  <c r="M86" i="10"/>
  <c r="J86"/>
  <c r="K86"/>
  <c r="L87" i="2"/>
  <c r="M87"/>
  <c r="N87"/>
  <c r="P87"/>
  <c r="M87" i="10"/>
  <c r="J87"/>
  <c r="K87"/>
  <c r="L88" i="2"/>
  <c r="M88"/>
  <c r="N88"/>
  <c r="P88"/>
  <c r="M88" i="10"/>
  <c r="J88"/>
  <c r="K88"/>
  <c r="L7" i="2"/>
  <c r="M7"/>
  <c r="N7"/>
  <c r="P7"/>
  <c r="L8"/>
  <c r="M8"/>
  <c r="N8"/>
  <c r="P8"/>
  <c r="L9"/>
  <c r="M9"/>
  <c r="N9"/>
  <c r="P9"/>
  <c r="L10"/>
  <c r="M10"/>
  <c r="N10"/>
  <c r="P10"/>
  <c r="L11"/>
  <c r="M11"/>
  <c r="N11"/>
  <c r="P11"/>
  <c r="L12"/>
  <c r="M12"/>
  <c r="N12"/>
  <c r="P12"/>
  <c r="L13"/>
  <c r="M13"/>
  <c r="N13"/>
  <c r="P13"/>
  <c r="L14"/>
  <c r="M14"/>
  <c r="N14"/>
  <c r="P14"/>
  <c r="L15"/>
  <c r="M15"/>
  <c r="N15"/>
  <c r="P15"/>
  <c r="L16"/>
  <c r="M16"/>
  <c r="N16"/>
  <c r="P16"/>
  <c r="L17"/>
  <c r="M17"/>
  <c r="N17"/>
  <c r="P17"/>
  <c r="L18"/>
  <c r="M18"/>
  <c r="N18"/>
  <c r="P18"/>
  <c r="L19"/>
  <c r="M19"/>
  <c r="N19"/>
  <c r="P19"/>
  <c r="L20"/>
  <c r="M20"/>
  <c r="N20"/>
  <c r="P20"/>
  <c r="L21"/>
  <c r="M21"/>
  <c r="N21"/>
  <c r="P21"/>
  <c r="L22"/>
  <c r="M22"/>
  <c r="N22"/>
  <c r="P22"/>
  <c r="L23"/>
  <c r="M23"/>
  <c r="N23"/>
  <c r="P23"/>
  <c r="L24"/>
  <c r="M24"/>
  <c r="N24"/>
  <c r="P24"/>
  <c r="L25"/>
  <c r="M25"/>
  <c r="N25"/>
  <c r="P25"/>
  <c r="L26"/>
  <c r="M26"/>
  <c r="N26"/>
  <c r="P26"/>
  <c r="L27"/>
  <c r="M27"/>
  <c r="N27"/>
  <c r="P27"/>
  <c r="L28"/>
  <c r="M28"/>
  <c r="N28"/>
  <c r="P28"/>
  <c r="L29"/>
  <c r="M29"/>
  <c r="N29"/>
  <c r="P29"/>
  <c r="L30"/>
  <c r="M30"/>
  <c r="N30"/>
  <c r="P30"/>
  <c r="L31"/>
  <c r="M31"/>
  <c r="N31"/>
  <c r="P31"/>
  <c r="L32"/>
  <c r="M32"/>
  <c r="N32"/>
  <c r="P32"/>
  <c r="L33"/>
  <c r="M33"/>
  <c r="N33"/>
  <c r="P33"/>
  <c r="L34"/>
  <c r="M34"/>
  <c r="N34"/>
  <c r="P34"/>
  <c r="L35"/>
  <c r="M35"/>
  <c r="N35"/>
  <c r="P35"/>
  <c r="L36"/>
  <c r="M36"/>
  <c r="N36"/>
  <c r="P36"/>
  <c r="L37"/>
  <c r="M37"/>
  <c r="N37"/>
  <c r="P37"/>
  <c r="L38"/>
  <c r="M38"/>
  <c r="N38"/>
  <c r="P38"/>
  <c r="L39"/>
  <c r="M39"/>
  <c r="N39"/>
  <c r="P39"/>
  <c r="L40"/>
  <c r="M40"/>
  <c r="N40"/>
  <c r="P40"/>
  <c r="L41"/>
  <c r="M41"/>
  <c r="N41"/>
  <c r="P41"/>
  <c r="L42"/>
  <c r="M42"/>
  <c r="N42"/>
  <c r="P42"/>
  <c r="L43"/>
  <c r="M43"/>
  <c r="N43"/>
  <c r="P43"/>
  <c r="L44"/>
  <c r="M44"/>
  <c r="N44"/>
  <c r="P44"/>
  <c r="L45"/>
  <c r="M45"/>
  <c r="N45"/>
  <c r="P45"/>
  <c r="L46"/>
  <c r="M46"/>
  <c r="N46"/>
  <c r="P46"/>
  <c r="L47"/>
  <c r="M47"/>
  <c r="N47"/>
  <c r="P47"/>
  <c r="L48"/>
  <c r="M48"/>
  <c r="N48"/>
  <c r="P48"/>
  <c r="L49"/>
  <c r="M49"/>
  <c r="N49"/>
  <c r="P49"/>
  <c r="L50"/>
  <c r="M50"/>
  <c r="N50"/>
  <c r="P50"/>
  <c r="L51"/>
  <c r="M51"/>
  <c r="N51"/>
  <c r="P51"/>
  <c r="L52"/>
  <c r="M52"/>
  <c r="N52"/>
  <c r="P52"/>
  <c r="L53"/>
  <c r="M53"/>
  <c r="N53"/>
  <c r="P53"/>
  <c r="L54"/>
  <c r="M54"/>
  <c r="N54"/>
  <c r="P54"/>
  <c r="L55"/>
  <c r="M55"/>
  <c r="N55"/>
  <c r="P55"/>
  <c r="L56"/>
  <c r="M56"/>
  <c r="N56"/>
  <c r="P56"/>
  <c r="L57"/>
  <c r="M57"/>
  <c r="N57"/>
  <c r="P57"/>
  <c r="L58"/>
  <c r="M58"/>
  <c r="N58"/>
  <c r="P58"/>
  <c r="L59"/>
  <c r="M59"/>
  <c r="N59"/>
  <c r="P59"/>
  <c r="L61"/>
  <c r="M61"/>
  <c r="N61"/>
  <c r="P61"/>
  <c r="L62"/>
  <c r="M62"/>
  <c r="N62"/>
  <c r="P62"/>
  <c r="L63"/>
  <c r="M63"/>
  <c r="N63"/>
  <c r="P63"/>
  <c r="L64"/>
  <c r="M64"/>
  <c r="N64"/>
  <c r="P64"/>
  <c r="L65"/>
  <c r="M65"/>
  <c r="N65"/>
  <c r="P65"/>
  <c r="L66"/>
  <c r="M66"/>
  <c r="N66"/>
  <c r="P66"/>
  <c r="L1204"/>
  <c r="M1204"/>
  <c r="N1204"/>
  <c r="P1204"/>
  <c r="L1205"/>
  <c r="M1205"/>
  <c r="N1205"/>
  <c r="P1205"/>
  <c r="L1206"/>
  <c r="M1206"/>
  <c r="N1206"/>
  <c r="P1206"/>
  <c r="L1207"/>
  <c r="M1207"/>
  <c r="N1207"/>
  <c r="P1207"/>
  <c r="L1208"/>
  <c r="M1208"/>
  <c r="N1208"/>
  <c r="P1208"/>
  <c r="L1209"/>
  <c r="M1209"/>
  <c r="N1209"/>
  <c r="P1209"/>
  <c r="L1210"/>
  <c r="M1210"/>
  <c r="N1210"/>
  <c r="P1210"/>
  <c r="L1211"/>
  <c r="M1211"/>
  <c r="N1211"/>
  <c r="P1211"/>
  <c r="L1212"/>
  <c r="M1212"/>
  <c r="N1212"/>
  <c r="P1212"/>
  <c r="L1213"/>
  <c r="M1213"/>
  <c r="N1213"/>
  <c r="P1213"/>
  <c r="L1214"/>
  <c r="M1214"/>
  <c r="N1214"/>
  <c r="P1214"/>
  <c r="L1215"/>
  <c r="M1215"/>
  <c r="N1215"/>
  <c r="P1215"/>
  <c r="L1216"/>
  <c r="M1216"/>
  <c r="N1216"/>
  <c r="P1216"/>
  <c r="L1217"/>
  <c r="M1217"/>
  <c r="N1217"/>
  <c r="P1217"/>
  <c r="L1218"/>
  <c r="M1218"/>
  <c r="N1218"/>
  <c r="P1218"/>
  <c r="L1219"/>
  <c r="M1219"/>
  <c r="N1219"/>
  <c r="P1219"/>
  <c r="L1220"/>
  <c r="M1220"/>
  <c r="N1220"/>
  <c r="P1220"/>
  <c r="L1221"/>
  <c r="M1221"/>
  <c r="N1221"/>
  <c r="P1221"/>
  <c r="L1222"/>
  <c r="M1222"/>
  <c r="N1222"/>
  <c r="P1222"/>
  <c r="L1223"/>
  <c r="M1223"/>
  <c r="N1223"/>
  <c r="P1223"/>
  <c r="L1224"/>
  <c r="M1224"/>
  <c r="N1224"/>
  <c r="P1224"/>
  <c r="L1225"/>
  <c r="M1225"/>
  <c r="N1225"/>
  <c r="P1225"/>
  <c r="L1226"/>
  <c r="M1226"/>
  <c r="N1226"/>
  <c r="P1226"/>
  <c r="L1227"/>
  <c r="M1227"/>
  <c r="N1227"/>
  <c r="P1227"/>
  <c r="L1228"/>
  <c r="M1228"/>
  <c r="N1228"/>
  <c r="P1228"/>
  <c r="L1229"/>
  <c r="M1229"/>
  <c r="N1229"/>
  <c r="P1229"/>
  <c r="L1230"/>
  <c r="M1230"/>
  <c r="N1230"/>
  <c r="P1230"/>
  <c r="L1231"/>
  <c r="M1231"/>
  <c r="N1231"/>
  <c r="P1231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L1148"/>
  <c r="M1148"/>
  <c r="N1148"/>
  <c r="P1148"/>
  <c r="L1149"/>
  <c r="M1149"/>
  <c r="N1149"/>
  <c r="P1149"/>
  <c r="L1150"/>
  <c r="M1150"/>
  <c r="N1150"/>
  <c r="P1150"/>
  <c r="L1151"/>
  <c r="M1151"/>
  <c r="N1151"/>
  <c r="P1151"/>
  <c r="L1152"/>
  <c r="M1152"/>
  <c r="N1152"/>
  <c r="P1152"/>
  <c r="L1153"/>
  <c r="M1153"/>
  <c r="N1153"/>
  <c r="P1153"/>
  <c r="L1154"/>
  <c r="M1154"/>
  <c r="N1154"/>
  <c r="P1154"/>
  <c r="L1155"/>
  <c r="M1155"/>
  <c r="N1155"/>
  <c r="P1155"/>
  <c r="L1156"/>
  <c r="M1156"/>
  <c r="N1156"/>
  <c r="P1156"/>
  <c r="L1157"/>
  <c r="M1157"/>
  <c r="N1157"/>
  <c r="P1157"/>
  <c r="L1158"/>
  <c r="M1158"/>
  <c r="N1158"/>
  <c r="P1158"/>
  <c r="L1159"/>
  <c r="M1159"/>
  <c r="N1159"/>
  <c r="P1159"/>
  <c r="L1160"/>
  <c r="M1160"/>
  <c r="N1160"/>
  <c r="P1160"/>
  <c r="L1161"/>
  <c r="M1161"/>
  <c r="N1161"/>
  <c r="P1161"/>
  <c r="L1162"/>
  <c r="M1162"/>
  <c r="N1162"/>
  <c r="P1162"/>
  <c r="L1163"/>
  <c r="M1163"/>
  <c r="N1163"/>
  <c r="P1163"/>
  <c r="L1164"/>
  <c r="M1164"/>
  <c r="N1164"/>
  <c r="P1164"/>
  <c r="L1165"/>
  <c r="M1165"/>
  <c r="N1165"/>
  <c r="P1165"/>
  <c r="L1166"/>
  <c r="M1166"/>
  <c r="N1166"/>
  <c r="P1166"/>
  <c r="L1167"/>
  <c r="M1167"/>
  <c r="N1167"/>
  <c r="P1167"/>
  <c r="L1168"/>
  <c r="M1168"/>
  <c r="N1168"/>
  <c r="P1168"/>
  <c r="L1169"/>
  <c r="M1169"/>
  <c r="N1169"/>
  <c r="P1169"/>
  <c r="L1170"/>
  <c r="M1170"/>
  <c r="N1170"/>
  <c r="P1170"/>
  <c r="L1171"/>
  <c r="M1171"/>
  <c r="N1171"/>
  <c r="P1171"/>
  <c r="L1172"/>
  <c r="M1172"/>
  <c r="N1172"/>
  <c r="P1172"/>
  <c r="L1173"/>
  <c r="M1173"/>
  <c r="N1173"/>
  <c r="P1173"/>
  <c r="L1174"/>
  <c r="M1174"/>
  <c r="N1174"/>
  <c r="P1174"/>
  <c r="L1175"/>
  <c r="M1175"/>
  <c r="N1175"/>
  <c r="P1175"/>
  <c r="L1176"/>
  <c r="M1176"/>
  <c r="N1176"/>
  <c r="P1176"/>
  <c r="L1177"/>
  <c r="M1177"/>
  <c r="N1177"/>
  <c r="P1177"/>
  <c r="L1178"/>
  <c r="M1178"/>
  <c r="N1178"/>
  <c r="P1178"/>
  <c r="L1179"/>
  <c r="M1179"/>
  <c r="N1179"/>
  <c r="P1179"/>
  <c r="L1180"/>
  <c r="M1180"/>
  <c r="N1180"/>
  <c r="P1180"/>
  <c r="L1181"/>
  <c r="M1181"/>
  <c r="N1181"/>
  <c r="P1181"/>
  <c r="L1182"/>
  <c r="M1182"/>
  <c r="N1182"/>
  <c r="P1182"/>
  <c r="L1183"/>
  <c r="M1183"/>
  <c r="N1183"/>
  <c r="P1183"/>
  <c r="L1184"/>
  <c r="M1184"/>
  <c r="N1184"/>
  <c r="P1184"/>
  <c r="L1185"/>
  <c r="M1185"/>
  <c r="N1185"/>
  <c r="P1185"/>
  <c r="L1186"/>
  <c r="M1186"/>
  <c r="N1186"/>
  <c r="P1186"/>
  <c r="L1187"/>
  <c r="M1187"/>
  <c r="N1187"/>
  <c r="P1187"/>
  <c r="L1188"/>
  <c r="M1188"/>
  <c r="N1188"/>
  <c r="P1188"/>
  <c r="L1189"/>
  <c r="M1189"/>
  <c r="N1189"/>
  <c r="P1189"/>
  <c r="L1190"/>
  <c r="M1190"/>
  <c r="N1190"/>
  <c r="P1190"/>
  <c r="L1191"/>
  <c r="M1191"/>
  <c r="N1191"/>
  <c r="P1191"/>
  <c r="C1191"/>
  <c r="L1192"/>
  <c r="M1192"/>
  <c r="N1192"/>
  <c r="P1192"/>
  <c r="L1193"/>
  <c r="M1193"/>
  <c r="N1193"/>
  <c r="P1193"/>
  <c r="L1194"/>
  <c r="M1194"/>
  <c r="N1194"/>
  <c r="P1194"/>
  <c r="L1195"/>
  <c r="M1195"/>
  <c r="N1195"/>
  <c r="P1195"/>
  <c r="L1196"/>
  <c r="M1196"/>
  <c r="N1196"/>
  <c r="P1196"/>
  <c r="L1197"/>
  <c r="M1197"/>
  <c r="N1197"/>
  <c r="P1197"/>
  <c r="L1198"/>
  <c r="M1198"/>
  <c r="N1198"/>
  <c r="P1198"/>
  <c r="L1199"/>
  <c r="M1199"/>
  <c r="N1199"/>
  <c r="P1199"/>
  <c r="L1200"/>
  <c r="M1200"/>
  <c r="N1200"/>
  <c r="P1200"/>
  <c r="L1201"/>
  <c r="M1201"/>
  <c r="N1201"/>
  <c r="P1201"/>
  <c r="L881"/>
  <c r="M881"/>
  <c r="N881"/>
  <c r="P881"/>
  <c r="Q881" s="1"/>
  <c r="L882"/>
  <c r="M882"/>
  <c r="N882"/>
  <c r="P882"/>
  <c r="Q882" s="1"/>
  <c r="L883"/>
  <c r="M883"/>
  <c r="N883"/>
  <c r="P883"/>
  <c r="Q883" s="1"/>
  <c r="L884"/>
  <c r="M884"/>
  <c r="N884"/>
  <c r="P884"/>
  <c r="Q884" s="1"/>
  <c r="L885"/>
  <c r="M885"/>
  <c r="N885"/>
  <c r="P885"/>
  <c r="Q885" s="1"/>
  <c r="L886"/>
  <c r="M886"/>
  <c r="N886"/>
  <c r="P886"/>
  <c r="Q886" s="1"/>
  <c r="L887"/>
  <c r="M887"/>
  <c r="N887"/>
  <c r="P887"/>
  <c r="Q887" s="1"/>
  <c r="L888"/>
  <c r="M888"/>
  <c r="N888"/>
  <c r="P888"/>
  <c r="Q888" s="1"/>
  <c r="L889"/>
  <c r="M889"/>
  <c r="N889"/>
  <c r="P889"/>
  <c r="Q889" s="1"/>
  <c r="L890"/>
  <c r="M890"/>
  <c r="N890"/>
  <c r="P890"/>
  <c r="Q890" s="1"/>
  <c r="L891"/>
  <c r="M891"/>
  <c r="N891"/>
  <c r="P891"/>
  <c r="Q891" s="1"/>
  <c r="L892"/>
  <c r="M892"/>
  <c r="N892"/>
  <c r="P892"/>
  <c r="Q892" s="1"/>
  <c r="L893"/>
  <c r="M893"/>
  <c r="N893"/>
  <c r="P893"/>
  <c r="Q893" s="1"/>
  <c r="L894"/>
  <c r="M894"/>
  <c r="N894"/>
  <c r="P894"/>
  <c r="Q894" s="1"/>
  <c r="L895"/>
  <c r="M895"/>
  <c r="N895"/>
  <c r="P895"/>
  <c r="Q895" s="1"/>
  <c r="L896"/>
  <c r="M896"/>
  <c r="N896"/>
  <c r="P896"/>
  <c r="Q896" s="1"/>
  <c r="L897"/>
  <c r="M897"/>
  <c r="N897"/>
  <c r="P897"/>
  <c r="Q897" s="1"/>
  <c r="L898"/>
  <c r="M898"/>
  <c r="N898"/>
  <c r="P898"/>
  <c r="Q898" s="1"/>
  <c r="L899"/>
  <c r="M899"/>
  <c r="N899"/>
  <c r="P899"/>
  <c r="Q899" s="1"/>
  <c r="L900"/>
  <c r="M900"/>
  <c r="N900"/>
  <c r="P900"/>
  <c r="Q900" s="1"/>
  <c r="L901"/>
  <c r="M901"/>
  <c r="N901"/>
  <c r="P901"/>
  <c r="Q901" s="1"/>
  <c r="L902"/>
  <c r="M902"/>
  <c r="N902"/>
  <c r="P902"/>
  <c r="Q902" s="1"/>
  <c r="L903"/>
  <c r="M903"/>
  <c r="N903"/>
  <c r="P903"/>
  <c r="Q903" s="1"/>
  <c r="L904"/>
  <c r="M904"/>
  <c r="N904"/>
  <c r="P904"/>
  <c r="Q904" s="1"/>
  <c r="L905"/>
  <c r="M905"/>
  <c r="N905"/>
  <c r="P905"/>
  <c r="Q905" s="1"/>
  <c r="L906"/>
  <c r="M906"/>
  <c r="N906"/>
  <c r="P906"/>
  <c r="Q906" s="1"/>
  <c r="L907"/>
  <c r="M907"/>
  <c r="N907"/>
  <c r="P907"/>
  <c r="Q907" s="1"/>
  <c r="L908"/>
  <c r="M908"/>
  <c r="N908"/>
  <c r="P908"/>
  <c r="Q908" s="1"/>
  <c r="L909"/>
  <c r="M909"/>
  <c r="N909"/>
  <c r="P909"/>
  <c r="Q909" s="1"/>
  <c r="L910"/>
  <c r="M910"/>
  <c r="N910"/>
  <c r="P910"/>
  <c r="Q910" s="1"/>
  <c r="L911"/>
  <c r="M911"/>
  <c r="N911"/>
  <c r="P911"/>
  <c r="Q911" s="1"/>
  <c r="L912"/>
  <c r="M912"/>
  <c r="N912"/>
  <c r="P912"/>
  <c r="Q912" s="1"/>
  <c r="L913"/>
  <c r="M913"/>
  <c r="N913"/>
  <c r="P913"/>
  <c r="Q913" s="1"/>
  <c r="L914"/>
  <c r="M914"/>
  <c r="N914"/>
  <c r="P914"/>
  <c r="Q914" s="1"/>
  <c r="L915"/>
  <c r="M915"/>
  <c r="N915"/>
  <c r="P915"/>
  <c r="Q915" s="1"/>
  <c r="L916"/>
  <c r="M916"/>
  <c r="N916"/>
  <c r="P916"/>
  <c r="Q916" s="1"/>
  <c r="L917"/>
  <c r="M917"/>
  <c r="N917"/>
  <c r="P917"/>
  <c r="Q917" s="1"/>
  <c r="L918"/>
  <c r="M918"/>
  <c r="N918"/>
  <c r="P918"/>
  <c r="Q918" s="1"/>
  <c r="L919"/>
  <c r="M919"/>
  <c r="N919"/>
  <c r="P919"/>
  <c r="Q919" s="1"/>
  <c r="L920"/>
  <c r="M920"/>
  <c r="N920"/>
  <c r="P920"/>
  <c r="Q920" s="1"/>
  <c r="L921"/>
  <c r="M921"/>
  <c r="N921"/>
  <c r="P921"/>
  <c r="Q921" s="1"/>
  <c r="L922"/>
  <c r="M922"/>
  <c r="N922"/>
  <c r="P922"/>
  <c r="Q922" s="1"/>
  <c r="L923"/>
  <c r="M923"/>
  <c r="N923"/>
  <c r="P923"/>
  <c r="Q923" s="1"/>
  <c r="L924"/>
  <c r="M924"/>
  <c r="N924"/>
  <c r="P924"/>
  <c r="Q924" s="1"/>
  <c r="L925"/>
  <c r="M925"/>
  <c r="N925"/>
  <c r="P925"/>
  <c r="Q925" s="1"/>
  <c r="L926"/>
  <c r="M926"/>
  <c r="N926"/>
  <c r="P926"/>
  <c r="Q926" s="1"/>
  <c r="L927"/>
  <c r="M927"/>
  <c r="N927"/>
  <c r="P927"/>
  <c r="Q927" s="1"/>
  <c r="L928"/>
  <c r="M928"/>
  <c r="N928"/>
  <c r="P928"/>
  <c r="Q928" s="1"/>
  <c r="L929"/>
  <c r="M929"/>
  <c r="N929"/>
  <c r="P929"/>
  <c r="Q929" s="1"/>
  <c r="L930"/>
  <c r="M930"/>
  <c r="N930"/>
  <c r="P930"/>
  <c r="Q930" s="1"/>
  <c r="L931"/>
  <c r="M931"/>
  <c r="N931"/>
  <c r="P931"/>
  <c r="Q931" s="1"/>
  <c r="L932"/>
  <c r="M932"/>
  <c r="N932"/>
  <c r="P932"/>
  <c r="Q932" s="1"/>
  <c r="L933"/>
  <c r="M933"/>
  <c r="N933"/>
  <c r="P933"/>
  <c r="Q933" s="1"/>
  <c r="L934"/>
  <c r="M934"/>
  <c r="N934"/>
  <c r="P934"/>
  <c r="Q934" s="1"/>
  <c r="L935"/>
  <c r="M935"/>
  <c r="N935"/>
  <c r="P935"/>
  <c r="Q935" s="1"/>
  <c r="L936"/>
  <c r="M936"/>
  <c r="N936"/>
  <c r="P936"/>
  <c r="Q936" s="1"/>
  <c r="L937"/>
  <c r="M937"/>
  <c r="N937"/>
  <c r="P937"/>
  <c r="Q937" s="1"/>
  <c r="L938"/>
  <c r="M938"/>
  <c r="N938"/>
  <c r="P938"/>
  <c r="Q938" s="1"/>
  <c r="L939"/>
  <c r="M939"/>
  <c r="N939"/>
  <c r="P939"/>
  <c r="Q939" s="1"/>
  <c r="L940"/>
  <c r="M940"/>
  <c r="N940"/>
  <c r="P940"/>
  <c r="Q940" s="1"/>
  <c r="L941"/>
  <c r="M941"/>
  <c r="N941"/>
  <c r="P941"/>
  <c r="Q941" s="1"/>
  <c r="L942"/>
  <c r="M942"/>
  <c r="N942"/>
  <c r="P942"/>
  <c r="Q942" s="1"/>
  <c r="L943"/>
  <c r="M943"/>
  <c r="N943"/>
  <c r="P943"/>
  <c r="Q943" s="1"/>
  <c r="L944"/>
  <c r="M944"/>
  <c r="N944"/>
  <c r="P944"/>
  <c r="Q944" s="1"/>
  <c r="L945"/>
  <c r="M945"/>
  <c r="N945"/>
  <c r="P945"/>
  <c r="Q945" s="1"/>
  <c r="L946"/>
  <c r="M946"/>
  <c r="N946"/>
  <c r="P946"/>
  <c r="Q946" s="1"/>
  <c r="L947"/>
  <c r="M947"/>
  <c r="N947"/>
  <c r="P947"/>
  <c r="Q947" s="1"/>
  <c r="L948"/>
  <c r="M948"/>
  <c r="N948"/>
  <c r="P948"/>
  <c r="Q948" s="1"/>
  <c r="L949"/>
  <c r="M949"/>
  <c r="N949"/>
  <c r="P949"/>
  <c r="Q949" s="1"/>
  <c r="L950"/>
  <c r="M950"/>
  <c r="N950"/>
  <c r="P950"/>
  <c r="Q950" s="1"/>
  <c r="L951"/>
  <c r="M951"/>
  <c r="N951"/>
  <c r="P951"/>
  <c r="Q951" s="1"/>
  <c r="L952"/>
  <c r="M952"/>
  <c r="N952"/>
  <c r="P952"/>
  <c r="Q952" s="1"/>
  <c r="L953"/>
  <c r="M953"/>
  <c r="N953"/>
  <c r="P953"/>
  <c r="Q953" s="1"/>
  <c r="L954"/>
  <c r="M954"/>
  <c r="N954"/>
  <c r="P954"/>
  <c r="Q954" s="1"/>
  <c r="L955"/>
  <c r="M955"/>
  <c r="N955"/>
  <c r="P955"/>
  <c r="Q955" s="1"/>
  <c r="L956"/>
  <c r="M956"/>
  <c r="N956"/>
  <c r="P956"/>
  <c r="Q956" s="1"/>
  <c r="L957"/>
  <c r="M957"/>
  <c r="N957"/>
  <c r="P957"/>
  <c r="Q957" s="1"/>
  <c r="L958"/>
  <c r="M958"/>
  <c r="N958"/>
  <c r="P958"/>
  <c r="Q958" s="1"/>
  <c r="L959"/>
  <c r="M959"/>
  <c r="N959"/>
  <c r="P959"/>
  <c r="Q959" s="1"/>
  <c r="L960"/>
  <c r="M960"/>
  <c r="N960"/>
  <c r="P960"/>
  <c r="Q960" s="1"/>
  <c r="L961"/>
  <c r="M961"/>
  <c r="N961"/>
  <c r="P961"/>
  <c r="Q961" s="1"/>
  <c r="L962"/>
  <c r="M962"/>
  <c r="N962"/>
  <c r="P962"/>
  <c r="Q962" s="1"/>
  <c r="L963"/>
  <c r="M963"/>
  <c r="N963"/>
  <c r="P963"/>
  <c r="Q963" s="1"/>
  <c r="L964"/>
  <c r="M964"/>
  <c r="N964"/>
  <c r="P964"/>
  <c r="Q964" s="1"/>
  <c r="L965"/>
  <c r="M965"/>
  <c r="N965"/>
  <c r="P965"/>
  <c r="Q965" s="1"/>
  <c r="L966"/>
  <c r="M966"/>
  <c r="N966"/>
  <c r="P966"/>
  <c r="Q966" s="1"/>
  <c r="L967"/>
  <c r="M967"/>
  <c r="N967"/>
  <c r="P967"/>
  <c r="Q967" s="1"/>
  <c r="L968"/>
  <c r="M968"/>
  <c r="N968"/>
  <c r="P968"/>
  <c r="Q968" s="1"/>
  <c r="L969"/>
  <c r="M969"/>
  <c r="N969"/>
  <c r="P969"/>
  <c r="Q969" s="1"/>
  <c r="L970"/>
  <c r="M970"/>
  <c r="N970"/>
  <c r="P970"/>
  <c r="Q970" s="1"/>
  <c r="L971"/>
  <c r="M971"/>
  <c r="N971"/>
  <c r="P971"/>
  <c r="Q971" s="1"/>
  <c r="L972"/>
  <c r="M972"/>
  <c r="N972"/>
  <c r="P972"/>
  <c r="Q972" s="1"/>
  <c r="L973"/>
  <c r="M973"/>
  <c r="N973"/>
  <c r="P973"/>
  <c r="Q973" s="1"/>
  <c r="L974"/>
  <c r="M974"/>
  <c r="N974"/>
  <c r="P974"/>
  <c r="Q974" s="1"/>
  <c r="L975"/>
  <c r="M975"/>
  <c r="N975"/>
  <c r="P975"/>
  <c r="Q975" s="1"/>
  <c r="L976"/>
  <c r="M976"/>
  <c r="N976"/>
  <c r="P976"/>
  <c r="Q976" s="1"/>
  <c r="L977"/>
  <c r="M977"/>
  <c r="N977"/>
  <c r="P977"/>
  <c r="Q977" s="1"/>
  <c r="L978"/>
  <c r="M978"/>
  <c r="N978"/>
  <c r="P978"/>
  <c r="Q978" s="1"/>
  <c r="L979"/>
  <c r="M979"/>
  <c r="N979"/>
  <c r="P979"/>
  <c r="Q979" s="1"/>
  <c r="L980"/>
  <c r="M980"/>
  <c r="N980"/>
  <c r="P980"/>
  <c r="Q980" s="1"/>
  <c r="L981"/>
  <c r="M981"/>
  <c r="N981"/>
  <c r="P981"/>
  <c r="Q981" s="1"/>
  <c r="L982"/>
  <c r="M982"/>
  <c r="N982"/>
  <c r="P982"/>
  <c r="Q982" s="1"/>
  <c r="L983"/>
  <c r="M983"/>
  <c r="N983"/>
  <c r="P983"/>
  <c r="Q983" s="1"/>
  <c r="L984"/>
  <c r="M984"/>
  <c r="N984"/>
  <c r="P984"/>
  <c r="Q984" s="1"/>
  <c r="L985"/>
  <c r="M985"/>
  <c r="N985"/>
  <c r="P985"/>
  <c r="Q985" s="1"/>
  <c r="L986"/>
  <c r="M986"/>
  <c r="N986"/>
  <c r="P986"/>
  <c r="Q986" s="1"/>
  <c r="L987"/>
  <c r="M987"/>
  <c r="N987"/>
  <c r="P987"/>
  <c r="Q987" s="1"/>
  <c r="L988"/>
  <c r="M988"/>
  <c r="N988"/>
  <c r="P988"/>
  <c r="Q988" s="1"/>
  <c r="L989"/>
  <c r="M989"/>
  <c r="N989"/>
  <c r="P989"/>
  <c r="Q989" s="1"/>
  <c r="L990"/>
  <c r="M990"/>
  <c r="N990"/>
  <c r="P990"/>
  <c r="Q990" s="1"/>
  <c r="L991"/>
  <c r="M991"/>
  <c r="N991"/>
  <c r="P991"/>
  <c r="Q991" s="1"/>
  <c r="L992"/>
  <c r="M992"/>
  <c r="N992"/>
  <c r="P992"/>
  <c r="Q992" s="1"/>
  <c r="L993"/>
  <c r="M993"/>
  <c r="N993"/>
  <c r="P993"/>
  <c r="Q993" s="1"/>
  <c r="L994"/>
  <c r="M994"/>
  <c r="N994"/>
  <c r="P994"/>
  <c r="Q994" s="1"/>
  <c r="L995"/>
  <c r="M995"/>
  <c r="N995"/>
  <c r="P995"/>
  <c r="Q995" s="1"/>
  <c r="L996"/>
  <c r="M996"/>
  <c r="N996"/>
  <c r="P996"/>
  <c r="Q996" s="1"/>
  <c r="L997"/>
  <c r="M997"/>
  <c r="N997"/>
  <c r="P997"/>
  <c r="Q997" s="1"/>
  <c r="L998"/>
  <c r="M998"/>
  <c r="N998"/>
  <c r="P998"/>
  <c r="Q998" s="1"/>
  <c r="L999"/>
  <c r="M999"/>
  <c r="N999"/>
  <c r="P999"/>
  <c r="Q999" s="1"/>
  <c r="L1000"/>
  <c r="M1000"/>
  <c r="N1000"/>
  <c r="P1000"/>
  <c r="Q1000" s="1"/>
  <c r="L1001"/>
  <c r="M1001"/>
  <c r="N1001"/>
  <c r="P1001"/>
  <c r="Q1001" s="1"/>
  <c r="L1002"/>
  <c r="M1002"/>
  <c r="N1002"/>
  <c r="P1002"/>
  <c r="Q1002" s="1"/>
  <c r="L1003"/>
  <c r="M1003"/>
  <c r="N1003"/>
  <c r="P1003"/>
  <c r="Q1003" s="1"/>
  <c r="L1004"/>
  <c r="M1004"/>
  <c r="N1004"/>
  <c r="P1004"/>
  <c r="Q1004" s="1"/>
  <c r="L1005"/>
  <c r="M1005"/>
  <c r="N1005"/>
  <c r="P1005"/>
  <c r="Q1005" s="1"/>
  <c r="L1006"/>
  <c r="M1006"/>
  <c r="N1006"/>
  <c r="P1006"/>
  <c r="Q1006" s="1"/>
  <c r="L1007"/>
  <c r="M1007"/>
  <c r="N1007"/>
  <c r="P1007"/>
  <c r="Q1007" s="1"/>
  <c r="L1008"/>
  <c r="M1008"/>
  <c r="N1008"/>
  <c r="P1008"/>
  <c r="Q1008" s="1"/>
  <c r="L1009"/>
  <c r="M1009"/>
  <c r="N1009"/>
  <c r="P1009"/>
  <c r="Q1009" s="1"/>
  <c r="L1010"/>
  <c r="M1010"/>
  <c r="N1010"/>
  <c r="P1010"/>
  <c r="Q1010" s="1"/>
  <c r="L1011"/>
  <c r="M1011"/>
  <c r="N1011"/>
  <c r="P1011"/>
  <c r="Q1011" s="1"/>
  <c r="L1012"/>
  <c r="M1012"/>
  <c r="N1012"/>
  <c r="P1012"/>
  <c r="Q1012" s="1"/>
  <c r="L1013"/>
  <c r="M1013"/>
  <c r="N1013"/>
  <c r="P1013"/>
  <c r="Q1013" s="1"/>
  <c r="L1014"/>
  <c r="M1014"/>
  <c r="N1014"/>
  <c r="P1014"/>
  <c r="Q1014" s="1"/>
  <c r="L1015"/>
  <c r="M1015"/>
  <c r="N1015"/>
  <c r="P1015"/>
  <c r="Q1015" s="1"/>
  <c r="L1016"/>
  <c r="M1016"/>
  <c r="N1016"/>
  <c r="P1016"/>
  <c r="Q1016" s="1"/>
  <c r="L1017"/>
  <c r="M1017"/>
  <c r="N1017"/>
  <c r="P1017"/>
  <c r="Q1017" s="1"/>
  <c r="L1018"/>
  <c r="M1018"/>
  <c r="N1018"/>
  <c r="P1018"/>
  <c r="Q1018" s="1"/>
  <c r="L1019"/>
  <c r="M1019"/>
  <c r="N1019"/>
  <c r="P1019"/>
  <c r="Q1019" s="1"/>
  <c r="L1020"/>
  <c r="M1020"/>
  <c r="N1020"/>
  <c r="P1020"/>
  <c r="Q1020" s="1"/>
  <c r="L1021"/>
  <c r="M1021"/>
  <c r="N1021"/>
  <c r="P1021"/>
  <c r="Q1021" s="1"/>
  <c r="L1022"/>
  <c r="M1022"/>
  <c r="N1022"/>
  <c r="P1022"/>
  <c r="Q1022" s="1"/>
  <c r="L1023"/>
  <c r="M1023"/>
  <c r="N1023"/>
  <c r="P1023"/>
  <c r="Q1023" s="1"/>
  <c r="L1024"/>
  <c r="M1024"/>
  <c r="N1024"/>
  <c r="P1024"/>
  <c r="Q1024" s="1"/>
  <c r="L1025"/>
  <c r="M1025"/>
  <c r="N1025"/>
  <c r="P1025"/>
  <c r="Q1025" s="1"/>
  <c r="L1026"/>
  <c r="M1026"/>
  <c r="N1026"/>
  <c r="P1026"/>
  <c r="Q1026" s="1"/>
  <c r="L1027"/>
  <c r="M1027"/>
  <c r="N1027"/>
  <c r="P1027"/>
  <c r="Q1027" s="1"/>
  <c r="L1028"/>
  <c r="M1028"/>
  <c r="N1028"/>
  <c r="P1028"/>
  <c r="Q1028" s="1"/>
  <c r="L1029"/>
  <c r="M1029"/>
  <c r="N1029"/>
  <c r="P1029"/>
  <c r="Q1029" s="1"/>
  <c r="L1030"/>
  <c r="M1030"/>
  <c r="N1030"/>
  <c r="P1030"/>
  <c r="Q1030" s="1"/>
  <c r="L1031"/>
  <c r="M1031"/>
  <c r="N1031"/>
  <c r="P1031"/>
  <c r="Q1031" s="1"/>
  <c r="L1032"/>
  <c r="M1032"/>
  <c r="N1032"/>
  <c r="P1032"/>
  <c r="Q1032" s="1"/>
  <c r="L1033"/>
  <c r="M1033"/>
  <c r="N1033"/>
  <c r="P1033"/>
  <c r="Q1033" s="1"/>
  <c r="L1034"/>
  <c r="M1034"/>
  <c r="N1034"/>
  <c r="P1034"/>
  <c r="Q1034" s="1"/>
  <c r="L1035"/>
  <c r="M1035"/>
  <c r="N1035"/>
  <c r="P1035"/>
  <c r="Q1035" s="1"/>
  <c r="L1036"/>
  <c r="M1036"/>
  <c r="N1036"/>
  <c r="P1036"/>
  <c r="Q1036" s="1"/>
  <c r="L1037"/>
  <c r="M1037"/>
  <c r="N1037"/>
  <c r="P1037"/>
  <c r="Q1037" s="1"/>
  <c r="L1038"/>
  <c r="M1038"/>
  <c r="N1038"/>
  <c r="P1038"/>
  <c r="Q1038" s="1"/>
  <c r="L1039"/>
  <c r="M1039"/>
  <c r="N1039"/>
  <c r="P1039"/>
  <c r="Q1039" s="1"/>
  <c r="L1040"/>
  <c r="M1040"/>
  <c r="N1040"/>
  <c r="P1040"/>
  <c r="Q1040" s="1"/>
  <c r="L1041"/>
  <c r="M1041"/>
  <c r="N1041"/>
  <c r="P1041"/>
  <c r="Q1041" s="1"/>
  <c r="L1042"/>
  <c r="M1042"/>
  <c r="N1042"/>
  <c r="P1042"/>
  <c r="Q1042" s="1"/>
  <c r="L1043"/>
  <c r="M1043"/>
  <c r="N1043"/>
  <c r="P1043"/>
  <c r="Q1043" s="1"/>
  <c r="L1044"/>
  <c r="M1044"/>
  <c r="N1044"/>
  <c r="P1044"/>
  <c r="Q1044" s="1"/>
  <c r="L1045"/>
  <c r="M1045"/>
  <c r="N1045"/>
  <c r="P1045"/>
  <c r="Q1045" s="1"/>
  <c r="L1046"/>
  <c r="M1046"/>
  <c r="N1046"/>
  <c r="P1046"/>
  <c r="Q1046" s="1"/>
  <c r="L1047"/>
  <c r="M1047"/>
  <c r="N1047"/>
  <c r="P1047"/>
  <c r="Q1047" s="1"/>
  <c r="L1048"/>
  <c r="M1048"/>
  <c r="N1048"/>
  <c r="P1048"/>
  <c r="Q1048" s="1"/>
  <c r="L1049"/>
  <c r="M1049"/>
  <c r="N1049"/>
  <c r="P1049"/>
  <c r="Q1049" s="1"/>
  <c r="L1050"/>
  <c r="M1050"/>
  <c r="N1050"/>
  <c r="P1050"/>
  <c r="Q1050" s="1"/>
  <c r="L1051"/>
  <c r="M1051"/>
  <c r="N1051"/>
  <c r="P1051"/>
  <c r="Q1051" s="1"/>
  <c r="L1052"/>
  <c r="M1052"/>
  <c r="N1052"/>
  <c r="P1052"/>
  <c r="Q1052" s="1"/>
  <c r="L1053"/>
  <c r="M1053"/>
  <c r="N1053"/>
  <c r="P1053"/>
  <c r="Q1053" s="1"/>
  <c r="L1054"/>
  <c r="M1054"/>
  <c r="N1054"/>
  <c r="P1054"/>
  <c r="Q1054" s="1"/>
  <c r="L1055"/>
  <c r="M1055"/>
  <c r="N1055"/>
  <c r="P1055"/>
  <c r="Q1055" s="1"/>
  <c r="L1056"/>
  <c r="M1056"/>
  <c r="N1056"/>
  <c r="P1056"/>
  <c r="Q1056" s="1"/>
  <c r="L1057"/>
  <c r="M1057"/>
  <c r="N1057"/>
  <c r="P1057"/>
  <c r="Q1057" s="1"/>
  <c r="L1058"/>
  <c r="M1058"/>
  <c r="N1058"/>
  <c r="P1058"/>
  <c r="Q1058" s="1"/>
  <c r="L1059"/>
  <c r="M1059"/>
  <c r="N1059"/>
  <c r="P1059"/>
  <c r="Q1059" s="1"/>
  <c r="L1060"/>
  <c r="M1060"/>
  <c r="N1060"/>
  <c r="P1060"/>
  <c r="Q1060" s="1"/>
  <c r="L1061"/>
  <c r="M1061"/>
  <c r="N1061"/>
  <c r="P1061"/>
  <c r="Q1061" s="1"/>
  <c r="L1062"/>
  <c r="M1062"/>
  <c r="N1062"/>
  <c r="P1062"/>
  <c r="Q1062" s="1"/>
  <c r="L1063"/>
  <c r="M1063"/>
  <c r="N1063"/>
  <c r="P1063"/>
  <c r="Q1063" s="1"/>
  <c r="L1064"/>
  <c r="M1064"/>
  <c r="N1064"/>
  <c r="P1064"/>
  <c r="Q1064" s="1"/>
  <c r="L1065"/>
  <c r="M1065"/>
  <c r="N1065"/>
  <c r="P1065"/>
  <c r="Q1065" s="1"/>
  <c r="L1066"/>
  <c r="M1066"/>
  <c r="N1066"/>
  <c r="P1066"/>
  <c r="Q1066" s="1"/>
  <c r="L1067"/>
  <c r="M1067"/>
  <c r="N1067"/>
  <c r="P1067"/>
  <c r="Q1067" s="1"/>
  <c r="L1068"/>
  <c r="M1068"/>
  <c r="N1068"/>
  <c r="P1068"/>
  <c r="Q1068" s="1"/>
  <c r="L1069"/>
  <c r="M1069"/>
  <c r="N1069"/>
  <c r="P1069"/>
  <c r="Q1069" s="1"/>
  <c r="L1070"/>
  <c r="M1070"/>
  <c r="N1070"/>
  <c r="P1070"/>
  <c r="Q1070" s="1"/>
  <c r="L1071"/>
  <c r="M1071"/>
  <c r="N1071"/>
  <c r="P1071"/>
  <c r="Q1071" s="1"/>
  <c r="L1072"/>
  <c r="M1072"/>
  <c r="N1072"/>
  <c r="P1072"/>
  <c r="Q1072" s="1"/>
  <c r="L1073"/>
  <c r="M1073"/>
  <c r="N1073"/>
  <c r="P1073"/>
  <c r="Q1073" s="1"/>
  <c r="L1074"/>
  <c r="M1074"/>
  <c r="N1074"/>
  <c r="P1074"/>
  <c r="Q1074" s="1"/>
  <c r="L1075"/>
  <c r="M1075"/>
  <c r="N1075"/>
  <c r="P1075"/>
  <c r="Q1075" s="1"/>
  <c r="L1076"/>
  <c r="M1076"/>
  <c r="N1076"/>
  <c r="P1076"/>
  <c r="Q1076" s="1"/>
  <c r="L1077"/>
  <c r="M1077"/>
  <c r="N1077"/>
  <c r="P1077"/>
  <c r="Q1077" s="1"/>
  <c r="L1078"/>
  <c r="M1078"/>
  <c r="N1078"/>
  <c r="P1078"/>
  <c r="Q1078" s="1"/>
  <c r="L1079"/>
  <c r="M1079"/>
  <c r="N1079"/>
  <c r="P1079"/>
  <c r="Q1079" s="1"/>
  <c r="L1080"/>
  <c r="M1080"/>
  <c r="N1080"/>
  <c r="P1080"/>
  <c r="Q1080" s="1"/>
  <c r="L1081"/>
  <c r="M1081"/>
  <c r="N1081"/>
  <c r="P1081"/>
  <c r="Q1081" s="1"/>
  <c r="L1082"/>
  <c r="M1082"/>
  <c r="N1082"/>
  <c r="P1082"/>
  <c r="Q1082" s="1"/>
  <c r="L1083"/>
  <c r="M1083"/>
  <c r="N1083"/>
  <c r="P1083"/>
  <c r="Q1083" s="1"/>
  <c r="L1084"/>
  <c r="M1084"/>
  <c r="N1084"/>
  <c r="P1084"/>
  <c r="Q1084" s="1"/>
  <c r="L1085"/>
  <c r="M1085"/>
  <c r="N1085"/>
  <c r="P1085"/>
  <c r="Q1085" s="1"/>
  <c r="L1086"/>
  <c r="M1086"/>
  <c r="N1086"/>
  <c r="P1086"/>
  <c r="Q1086" s="1"/>
  <c r="L1087"/>
  <c r="M1087"/>
  <c r="N1087"/>
  <c r="P1087"/>
  <c r="Q1087" s="1"/>
  <c r="L1088"/>
  <c r="M1088"/>
  <c r="N1088"/>
  <c r="P1088"/>
  <c r="Q1088" s="1"/>
  <c r="L1089"/>
  <c r="M1089"/>
  <c r="N1089"/>
  <c r="P1089"/>
  <c r="Q1089" s="1"/>
  <c r="L1090"/>
  <c r="M1090"/>
  <c r="N1090"/>
  <c r="P1090"/>
  <c r="Q1090" s="1"/>
  <c r="L1091"/>
  <c r="M1091"/>
  <c r="N1091"/>
  <c r="P1091"/>
  <c r="Q1091" s="1"/>
  <c r="L1092"/>
  <c r="M1092"/>
  <c r="N1092"/>
  <c r="P1092"/>
  <c r="Q1092" s="1"/>
  <c r="L1093"/>
  <c r="M1093"/>
  <c r="N1093"/>
  <c r="P1093"/>
  <c r="Q1093" s="1"/>
  <c r="L1094"/>
  <c r="M1094"/>
  <c r="N1094"/>
  <c r="P1094"/>
  <c r="Q1094" s="1"/>
  <c r="L1095"/>
  <c r="M1095"/>
  <c r="N1095"/>
  <c r="P1095"/>
  <c r="Q1095" s="1"/>
  <c r="L1096"/>
  <c r="M1096"/>
  <c r="N1096"/>
  <c r="P1096"/>
  <c r="Q1096" s="1"/>
  <c r="L1097"/>
  <c r="M1097"/>
  <c r="N1097"/>
  <c r="P1097"/>
  <c r="Q1097" s="1"/>
  <c r="L1098"/>
  <c r="M1098"/>
  <c r="N1098"/>
  <c r="P1098"/>
  <c r="Q1098" s="1"/>
  <c r="L1099"/>
  <c r="M1099"/>
  <c r="N1099"/>
  <c r="P1099"/>
  <c r="Q1099" s="1"/>
  <c r="L1100"/>
  <c r="M1100"/>
  <c r="N1100"/>
  <c r="P1100"/>
  <c r="Q1100" s="1"/>
  <c r="L1101"/>
  <c r="M1101"/>
  <c r="N1101"/>
  <c r="P1101"/>
  <c r="Q1101" s="1"/>
  <c r="L1102"/>
  <c r="M1102"/>
  <c r="N1102"/>
  <c r="P1102"/>
  <c r="Q1102" s="1"/>
  <c r="L1103"/>
  <c r="M1103"/>
  <c r="N1103"/>
  <c r="P1103"/>
  <c r="Q1103" s="1"/>
  <c r="L1104"/>
  <c r="M1104"/>
  <c r="N1104"/>
  <c r="P1104"/>
  <c r="Q1104" s="1"/>
  <c r="L1105"/>
  <c r="M1105"/>
  <c r="N1105"/>
  <c r="P1105"/>
  <c r="Q1105" s="1"/>
  <c r="L1106"/>
  <c r="M1106"/>
  <c r="N1106"/>
  <c r="P1106"/>
  <c r="Q1106" s="1"/>
  <c r="L1107"/>
  <c r="M1107"/>
  <c r="N1107"/>
  <c r="P1107"/>
  <c r="Q1107" s="1"/>
  <c r="L1108"/>
  <c r="M1108"/>
  <c r="N1108"/>
  <c r="P1108"/>
  <c r="Q1108" s="1"/>
  <c r="L1109"/>
  <c r="M1109"/>
  <c r="N1109"/>
  <c r="P1109"/>
  <c r="Q1109" s="1"/>
  <c r="L1110"/>
  <c r="M1110"/>
  <c r="N1110"/>
  <c r="P1110"/>
  <c r="Q1110" s="1"/>
  <c r="L1111"/>
  <c r="M1111"/>
  <c r="N1111"/>
  <c r="P1111"/>
  <c r="Q1111" s="1"/>
  <c r="L1112"/>
  <c r="M1112"/>
  <c r="N1112"/>
  <c r="P1112"/>
  <c r="Q1112" s="1"/>
  <c r="L1113"/>
  <c r="M1113"/>
  <c r="N1113"/>
  <c r="P1113"/>
  <c r="Q1113" s="1"/>
  <c r="L1114"/>
  <c r="M1114"/>
  <c r="N1114"/>
  <c r="P1114"/>
  <c r="Q1114" s="1"/>
  <c r="L1115"/>
  <c r="M1115"/>
  <c r="N1115"/>
  <c r="P1115"/>
  <c r="Q1115" s="1"/>
  <c r="L1116"/>
  <c r="M1116"/>
  <c r="N1116"/>
  <c r="P1116"/>
  <c r="Q1116" s="1"/>
  <c r="L1117"/>
  <c r="M1117"/>
  <c r="N1117"/>
  <c r="P1117"/>
  <c r="Q1117" s="1"/>
  <c r="L1118"/>
  <c r="M1118"/>
  <c r="N1118"/>
  <c r="P1118"/>
  <c r="Q1118" s="1"/>
  <c r="L1119"/>
  <c r="M1119"/>
  <c r="N1119"/>
  <c r="P1119"/>
  <c r="Q1119" s="1"/>
  <c r="L1120"/>
  <c r="M1120"/>
  <c r="N1120"/>
  <c r="P1120"/>
  <c r="Q1120" s="1"/>
  <c r="L1121"/>
  <c r="M1121"/>
  <c r="N1121"/>
  <c r="P1121"/>
  <c r="Q1121" s="1"/>
  <c r="L1122"/>
  <c r="M1122"/>
  <c r="N1122"/>
  <c r="P1122"/>
  <c r="Q1122" s="1"/>
  <c r="L1123"/>
  <c r="M1123"/>
  <c r="N1123"/>
  <c r="P1123"/>
  <c r="Q1123" s="1"/>
  <c r="L1124"/>
  <c r="M1124"/>
  <c r="N1124"/>
  <c r="P1124"/>
  <c r="Q1124" s="1"/>
  <c r="L1125"/>
  <c r="M1125"/>
  <c r="N1125"/>
  <c r="P1125"/>
  <c r="Q1125" s="1"/>
  <c r="L1126"/>
  <c r="M1126"/>
  <c r="N1126"/>
  <c r="P1126"/>
  <c r="Q1126" s="1"/>
  <c r="L1127"/>
  <c r="M1127"/>
  <c r="N1127"/>
  <c r="P1127"/>
  <c r="Q1127" s="1"/>
  <c r="L1128"/>
  <c r="M1128"/>
  <c r="N1128"/>
  <c r="P1128"/>
  <c r="Q1128" s="1"/>
  <c r="L1129"/>
  <c r="M1129"/>
  <c r="N1129"/>
  <c r="P1129"/>
  <c r="Q1129" s="1"/>
  <c r="L1130"/>
  <c r="M1130"/>
  <c r="N1130"/>
  <c r="P1130"/>
  <c r="Q1130" s="1"/>
  <c r="L1131"/>
  <c r="M1131"/>
  <c r="N1131"/>
  <c r="P1131"/>
  <c r="Q1131" s="1"/>
  <c r="L1132"/>
  <c r="M1132"/>
  <c r="N1132"/>
  <c r="P1132"/>
  <c r="Q1132" s="1"/>
  <c r="L1133"/>
  <c r="M1133"/>
  <c r="N1133"/>
  <c r="P1133"/>
  <c r="Q1133" s="1"/>
  <c r="L1134"/>
  <c r="M1134"/>
  <c r="N1134"/>
  <c r="P1134"/>
  <c r="Q1134" s="1"/>
  <c r="L1135"/>
  <c r="M1135"/>
  <c r="N1135"/>
  <c r="P1135"/>
  <c r="Q1135" s="1"/>
  <c r="L1136"/>
  <c r="M1136"/>
  <c r="N1136"/>
  <c r="P1136"/>
  <c r="Q1136" s="1"/>
  <c r="L1137"/>
  <c r="M1137"/>
  <c r="N1137"/>
  <c r="P1137"/>
  <c r="Q1137" s="1"/>
  <c r="L1138"/>
  <c r="M1138"/>
  <c r="N1138"/>
  <c r="P1138"/>
  <c r="Q1138" s="1"/>
  <c r="L1139"/>
  <c r="M1139"/>
  <c r="N1139"/>
  <c r="P1139"/>
  <c r="Q1139" s="1"/>
  <c r="L1140"/>
  <c r="M1140"/>
  <c r="N1140"/>
  <c r="P1140"/>
  <c r="Q1140" s="1"/>
  <c r="L1141"/>
  <c r="M1141"/>
  <c r="N1141"/>
  <c r="P1141"/>
  <c r="Q1141" s="1"/>
  <c r="L1142"/>
  <c r="M1142"/>
  <c r="N1142"/>
  <c r="P1142"/>
  <c r="Q1142" s="1"/>
  <c r="L1143"/>
  <c r="M1143"/>
  <c r="N1143"/>
  <c r="P1143"/>
  <c r="Q1143" s="1"/>
  <c r="L1144"/>
  <c r="M1144"/>
  <c r="N1144"/>
  <c r="P1144"/>
  <c r="Q1144" s="1"/>
  <c r="L1145"/>
  <c r="M1145"/>
  <c r="N1145"/>
  <c r="P1145"/>
  <c r="Q1145" s="1"/>
  <c r="L749"/>
  <c r="M749"/>
  <c r="N749"/>
  <c r="P749"/>
  <c r="L750"/>
  <c r="M750"/>
  <c r="N750"/>
  <c r="P750"/>
  <c r="L751"/>
  <c r="M751"/>
  <c r="N751"/>
  <c r="P751"/>
  <c r="L752"/>
  <c r="M752"/>
  <c r="N752"/>
  <c r="P752"/>
  <c r="L753"/>
  <c r="M753"/>
  <c r="N753"/>
  <c r="P753"/>
  <c r="L754"/>
  <c r="M754"/>
  <c r="N754"/>
  <c r="P754"/>
  <c r="L755"/>
  <c r="M755"/>
  <c r="N755"/>
  <c r="P755"/>
  <c r="L756"/>
  <c r="M756"/>
  <c r="N756"/>
  <c r="P756"/>
  <c r="L757"/>
  <c r="M757"/>
  <c r="N757"/>
  <c r="P757"/>
  <c r="L758"/>
  <c r="M758"/>
  <c r="N758"/>
  <c r="P758"/>
  <c r="L759"/>
  <c r="M759"/>
  <c r="N759"/>
  <c r="P759"/>
  <c r="L760"/>
  <c r="M760"/>
  <c r="N760"/>
  <c r="P760"/>
  <c r="L761"/>
  <c r="M761"/>
  <c r="N761"/>
  <c r="P761"/>
  <c r="L762"/>
  <c r="M762"/>
  <c r="N762"/>
  <c r="P762"/>
  <c r="L763"/>
  <c r="M763"/>
  <c r="N763"/>
  <c r="P763"/>
  <c r="L764"/>
  <c r="M764"/>
  <c r="N764"/>
  <c r="P764"/>
  <c r="L765"/>
  <c r="M765"/>
  <c r="N765"/>
  <c r="P765"/>
  <c r="L766"/>
  <c r="M766"/>
  <c r="N766"/>
  <c r="P766"/>
  <c r="L767"/>
  <c r="M767"/>
  <c r="N767"/>
  <c r="P767"/>
  <c r="L768"/>
  <c r="M768"/>
  <c r="N768"/>
  <c r="P768"/>
  <c r="L769"/>
  <c r="M769"/>
  <c r="N769"/>
  <c r="P769"/>
  <c r="L770"/>
  <c r="M770"/>
  <c r="N770"/>
  <c r="P770"/>
  <c r="L771"/>
  <c r="M771"/>
  <c r="N771"/>
  <c r="P771"/>
  <c r="L772"/>
  <c r="M772"/>
  <c r="N772"/>
  <c r="P772"/>
  <c r="L773"/>
  <c r="M773"/>
  <c r="N773"/>
  <c r="P773"/>
  <c r="L774"/>
  <c r="M774"/>
  <c r="N774"/>
  <c r="P774"/>
  <c r="L775"/>
  <c r="M775"/>
  <c r="N775"/>
  <c r="P775"/>
  <c r="L776"/>
  <c r="M776"/>
  <c r="N776"/>
  <c r="P776"/>
  <c r="L777"/>
  <c r="M777"/>
  <c r="N777"/>
  <c r="P777"/>
  <c r="L778"/>
  <c r="M778"/>
  <c r="N778"/>
  <c r="P778"/>
  <c r="L779"/>
  <c r="M779"/>
  <c r="N779"/>
  <c r="P779"/>
  <c r="L780"/>
  <c r="M780"/>
  <c r="N780"/>
  <c r="P780"/>
  <c r="L781"/>
  <c r="M781"/>
  <c r="N781"/>
  <c r="P781"/>
  <c r="L782"/>
  <c r="M782"/>
  <c r="N782"/>
  <c r="P782"/>
  <c r="L783"/>
  <c r="M783"/>
  <c r="N783"/>
  <c r="P783"/>
  <c r="L784"/>
  <c r="M784"/>
  <c r="N784"/>
  <c r="P784"/>
  <c r="L785"/>
  <c r="M785"/>
  <c r="N785"/>
  <c r="P785"/>
  <c r="L786"/>
  <c r="M786"/>
  <c r="N786"/>
  <c r="P786"/>
  <c r="L787"/>
  <c r="M787"/>
  <c r="N787"/>
  <c r="P787"/>
  <c r="L788"/>
  <c r="M788"/>
  <c r="N788"/>
  <c r="P788"/>
  <c r="L789"/>
  <c r="M789"/>
  <c r="N789"/>
  <c r="P789"/>
  <c r="L790"/>
  <c r="M790"/>
  <c r="N790"/>
  <c r="P790"/>
  <c r="L791"/>
  <c r="M791"/>
  <c r="N791"/>
  <c r="P791"/>
  <c r="L792"/>
  <c r="M792"/>
  <c r="N792"/>
  <c r="P792"/>
  <c r="L793"/>
  <c r="M793"/>
  <c r="N793"/>
  <c r="P793"/>
  <c r="L794"/>
  <c r="M794"/>
  <c r="N794"/>
  <c r="P794"/>
  <c r="L795"/>
  <c r="M795"/>
  <c r="N795"/>
  <c r="P795"/>
  <c r="L796"/>
  <c r="M796"/>
  <c r="N796"/>
  <c r="P796"/>
  <c r="L797"/>
  <c r="M797"/>
  <c r="N797"/>
  <c r="P797"/>
  <c r="L798"/>
  <c r="M798"/>
  <c r="N798"/>
  <c r="P798"/>
  <c r="L799"/>
  <c r="M799"/>
  <c r="N799"/>
  <c r="P799"/>
  <c r="L800"/>
  <c r="M800"/>
  <c r="N800"/>
  <c r="P800"/>
  <c r="L801"/>
  <c r="M801"/>
  <c r="N801"/>
  <c r="P801"/>
  <c r="L802"/>
  <c r="M802"/>
  <c r="N802"/>
  <c r="P802"/>
  <c r="L803"/>
  <c r="M803"/>
  <c r="N803"/>
  <c r="P803"/>
  <c r="L804"/>
  <c r="M804"/>
  <c r="N804"/>
  <c r="P804"/>
  <c r="L805"/>
  <c r="M805"/>
  <c r="N805"/>
  <c r="P805"/>
  <c r="L806"/>
  <c r="M806"/>
  <c r="N806"/>
  <c r="P806"/>
  <c r="L807"/>
  <c r="M807"/>
  <c r="N807"/>
  <c r="P807"/>
  <c r="L808"/>
  <c r="M808"/>
  <c r="N808"/>
  <c r="P808"/>
  <c r="L809"/>
  <c r="M809"/>
  <c r="N809"/>
  <c r="P809"/>
  <c r="L810"/>
  <c r="M810"/>
  <c r="N810"/>
  <c r="P810"/>
  <c r="L811"/>
  <c r="M811"/>
  <c r="N811"/>
  <c r="P811"/>
  <c r="L812"/>
  <c r="M812"/>
  <c r="N812"/>
  <c r="P812"/>
  <c r="L813"/>
  <c r="M813"/>
  <c r="N813"/>
  <c r="P813"/>
  <c r="L814"/>
  <c r="M814"/>
  <c r="N814"/>
  <c r="P814"/>
  <c r="L815"/>
  <c r="M815"/>
  <c r="N815"/>
  <c r="P815"/>
  <c r="L816"/>
  <c r="M816"/>
  <c r="N816"/>
  <c r="P816"/>
  <c r="L817"/>
  <c r="M817"/>
  <c r="N817"/>
  <c r="P817"/>
  <c r="L818"/>
  <c r="M818"/>
  <c r="N818"/>
  <c r="P818"/>
  <c r="L819"/>
  <c r="M819"/>
  <c r="N819"/>
  <c r="P819"/>
  <c r="L820"/>
  <c r="M820"/>
  <c r="N820"/>
  <c r="P820"/>
  <c r="L821"/>
  <c r="M821"/>
  <c r="N821"/>
  <c r="P821"/>
  <c r="L822"/>
  <c r="M822"/>
  <c r="N822"/>
  <c r="P822"/>
  <c r="L823"/>
  <c r="M823"/>
  <c r="N823"/>
  <c r="P823"/>
  <c r="L824"/>
  <c r="M824"/>
  <c r="N824"/>
  <c r="P824"/>
  <c r="L825"/>
  <c r="M825"/>
  <c r="N825"/>
  <c r="P825"/>
  <c r="L826"/>
  <c r="M826"/>
  <c r="N826"/>
  <c r="P826"/>
  <c r="L827"/>
  <c r="M827"/>
  <c r="N827"/>
  <c r="P827"/>
  <c r="L828"/>
  <c r="M828"/>
  <c r="N828"/>
  <c r="P828"/>
  <c r="L829"/>
  <c r="M829"/>
  <c r="N829"/>
  <c r="P829"/>
  <c r="L830"/>
  <c r="M830"/>
  <c r="N830"/>
  <c r="P830"/>
  <c r="L831"/>
  <c r="M831"/>
  <c r="N831"/>
  <c r="P831"/>
  <c r="L832"/>
  <c r="M832"/>
  <c r="N832"/>
  <c r="P832"/>
  <c r="L833"/>
  <c r="M833"/>
  <c r="N833"/>
  <c r="P833"/>
  <c r="L834"/>
  <c r="M834"/>
  <c r="N834"/>
  <c r="P834"/>
  <c r="L835"/>
  <c r="M835"/>
  <c r="N835"/>
  <c r="P835"/>
  <c r="L836"/>
  <c r="M836"/>
  <c r="N836"/>
  <c r="P836"/>
  <c r="L837"/>
  <c r="M837"/>
  <c r="N837"/>
  <c r="P837"/>
  <c r="L838"/>
  <c r="M838"/>
  <c r="N838"/>
  <c r="P838"/>
  <c r="L839"/>
  <c r="M839"/>
  <c r="N839"/>
  <c r="P839"/>
  <c r="L840"/>
  <c r="M840"/>
  <c r="N840"/>
  <c r="P840"/>
  <c r="L841"/>
  <c r="M841"/>
  <c r="N841"/>
  <c r="P841"/>
  <c r="L842"/>
  <c r="M842"/>
  <c r="N842"/>
  <c r="P842"/>
  <c r="L843"/>
  <c r="M843"/>
  <c r="N843"/>
  <c r="P843"/>
  <c r="L844"/>
  <c r="M844"/>
  <c r="N844"/>
  <c r="P844"/>
  <c r="L845"/>
  <c r="M845"/>
  <c r="N845"/>
  <c r="P845"/>
  <c r="L846"/>
  <c r="M846"/>
  <c r="N846"/>
  <c r="P846"/>
  <c r="L847"/>
  <c r="M847"/>
  <c r="N847"/>
  <c r="P847"/>
  <c r="L848"/>
  <c r="M848"/>
  <c r="N848"/>
  <c r="P848"/>
  <c r="L849"/>
  <c r="M849"/>
  <c r="N849"/>
  <c r="P849"/>
  <c r="L850"/>
  <c r="M850"/>
  <c r="N850"/>
  <c r="P850"/>
  <c r="L851"/>
  <c r="M851"/>
  <c r="N851"/>
  <c r="P851"/>
  <c r="L852"/>
  <c r="M852"/>
  <c r="N852"/>
  <c r="P852"/>
  <c r="L853"/>
  <c r="M853"/>
  <c r="N853"/>
  <c r="P853"/>
  <c r="L854"/>
  <c r="M854"/>
  <c r="N854"/>
  <c r="P854"/>
  <c r="L855"/>
  <c r="M855"/>
  <c r="N855"/>
  <c r="P855"/>
  <c r="L856"/>
  <c r="M856"/>
  <c r="N856"/>
  <c r="P856"/>
  <c r="L857"/>
  <c r="M857"/>
  <c r="N857"/>
  <c r="P857"/>
  <c r="L858"/>
  <c r="M858"/>
  <c r="N858"/>
  <c r="P858"/>
  <c r="L859"/>
  <c r="M859"/>
  <c r="N859"/>
  <c r="P859"/>
  <c r="L860"/>
  <c r="M860"/>
  <c r="N860"/>
  <c r="P860"/>
  <c r="L861"/>
  <c r="M861"/>
  <c r="N861"/>
  <c r="P861"/>
  <c r="L862"/>
  <c r="M862"/>
  <c r="N862"/>
  <c r="P862"/>
  <c r="L863"/>
  <c r="M863"/>
  <c r="N863"/>
  <c r="P863"/>
  <c r="L864"/>
  <c r="M864"/>
  <c r="N864"/>
  <c r="P864"/>
  <c r="L865"/>
  <c r="M865"/>
  <c r="N865"/>
  <c r="P865"/>
  <c r="L866"/>
  <c r="M866"/>
  <c r="N866"/>
  <c r="P866"/>
  <c r="L867"/>
  <c r="M867"/>
  <c r="N867"/>
  <c r="P867"/>
  <c r="L868"/>
  <c r="M868"/>
  <c r="N868"/>
  <c r="P868"/>
  <c r="L869"/>
  <c r="M869"/>
  <c r="N869"/>
  <c r="P869"/>
  <c r="L870"/>
  <c r="M870"/>
  <c r="N870"/>
  <c r="P870"/>
  <c r="L871"/>
  <c r="M871"/>
  <c r="N871"/>
  <c r="P871"/>
  <c r="L872"/>
  <c r="M872"/>
  <c r="N872"/>
  <c r="P872"/>
  <c r="L873"/>
  <c r="M873"/>
  <c r="N873"/>
  <c r="P873"/>
  <c r="L874"/>
  <c r="M874"/>
  <c r="N874"/>
  <c r="P874"/>
  <c r="L875"/>
  <c r="M875"/>
  <c r="N875"/>
  <c r="P875"/>
  <c r="L876"/>
  <c r="M876"/>
  <c r="N876"/>
  <c r="P876"/>
  <c r="L877"/>
  <c r="M877"/>
  <c r="N877"/>
  <c r="P877"/>
  <c r="L746"/>
  <c r="M746"/>
  <c r="N746"/>
  <c r="P746"/>
  <c r="Q746" s="1"/>
  <c r="L537"/>
  <c r="M537"/>
  <c r="N537"/>
  <c r="P537"/>
  <c r="Q537" s="1"/>
  <c r="L538"/>
  <c r="M538"/>
  <c r="N538"/>
  <c r="P538"/>
  <c r="Q538" s="1"/>
  <c r="L539"/>
  <c r="M539"/>
  <c r="N539"/>
  <c r="P539"/>
  <c r="Q539" s="1"/>
  <c r="L540"/>
  <c r="M540"/>
  <c r="N540"/>
  <c r="P540"/>
  <c r="Q540" s="1"/>
  <c r="L541"/>
  <c r="M541"/>
  <c r="N541"/>
  <c r="P541"/>
  <c r="Q541" s="1"/>
  <c r="L542"/>
  <c r="M542"/>
  <c r="N542"/>
  <c r="P542"/>
  <c r="Q542" s="1"/>
  <c r="L543"/>
  <c r="M543"/>
  <c r="N543"/>
  <c r="P543"/>
  <c r="Q543" s="1"/>
  <c r="L544"/>
  <c r="M544"/>
  <c r="N544"/>
  <c r="P544"/>
  <c r="Q544" s="1"/>
  <c r="L545"/>
  <c r="M545"/>
  <c r="N545"/>
  <c r="P545"/>
  <c r="Q545" s="1"/>
  <c r="L546"/>
  <c r="M546"/>
  <c r="N546"/>
  <c r="P546"/>
  <c r="Q546" s="1"/>
  <c r="L547"/>
  <c r="M547"/>
  <c r="N547"/>
  <c r="P547"/>
  <c r="Q547" s="1"/>
  <c r="L548"/>
  <c r="M548"/>
  <c r="N548"/>
  <c r="P548"/>
  <c r="Q548" s="1"/>
  <c r="L549"/>
  <c r="M549"/>
  <c r="N549"/>
  <c r="P549"/>
  <c r="Q549" s="1"/>
  <c r="L550"/>
  <c r="M550"/>
  <c r="N550"/>
  <c r="P550"/>
  <c r="Q550" s="1"/>
  <c r="L551"/>
  <c r="M551"/>
  <c r="N551"/>
  <c r="P551"/>
  <c r="Q551" s="1"/>
  <c r="L552"/>
  <c r="M552"/>
  <c r="N552"/>
  <c r="P552"/>
  <c r="Q552" s="1"/>
  <c r="L553"/>
  <c r="M553"/>
  <c r="N553"/>
  <c r="P553"/>
  <c r="Q553" s="1"/>
  <c r="L554"/>
  <c r="M554"/>
  <c r="N554"/>
  <c r="P554"/>
  <c r="Q554" s="1"/>
  <c r="L555"/>
  <c r="M555"/>
  <c r="N555"/>
  <c r="P555"/>
  <c r="Q555" s="1"/>
  <c r="L556"/>
  <c r="M556"/>
  <c r="N556"/>
  <c r="P556"/>
  <c r="Q556" s="1"/>
  <c r="L557"/>
  <c r="M557"/>
  <c r="N557"/>
  <c r="P557"/>
  <c r="Q557" s="1"/>
  <c r="L558"/>
  <c r="M558"/>
  <c r="N558"/>
  <c r="P558"/>
  <c r="Q558" s="1"/>
  <c r="L559"/>
  <c r="M559"/>
  <c r="N559"/>
  <c r="P559"/>
  <c r="Q559" s="1"/>
  <c r="L560"/>
  <c r="M560"/>
  <c r="N560"/>
  <c r="P560"/>
  <c r="Q560" s="1"/>
  <c r="L561"/>
  <c r="M561"/>
  <c r="N561"/>
  <c r="P561"/>
  <c r="Q561" s="1"/>
  <c r="L562"/>
  <c r="M562"/>
  <c r="N562"/>
  <c r="P562"/>
  <c r="Q562" s="1"/>
  <c r="L563"/>
  <c r="M563"/>
  <c r="N563"/>
  <c r="P563"/>
  <c r="Q563" s="1"/>
  <c r="L564"/>
  <c r="M564"/>
  <c r="N564"/>
  <c r="P564"/>
  <c r="Q564" s="1"/>
  <c r="L565"/>
  <c r="M565"/>
  <c r="N565"/>
  <c r="P565"/>
  <c r="Q565" s="1"/>
  <c r="L566"/>
  <c r="M566"/>
  <c r="N566"/>
  <c r="P566"/>
  <c r="Q566" s="1"/>
  <c r="L567"/>
  <c r="M567"/>
  <c r="N567"/>
  <c r="P567"/>
  <c r="Q567" s="1"/>
  <c r="L568"/>
  <c r="M568"/>
  <c r="N568"/>
  <c r="P568"/>
  <c r="Q568" s="1"/>
  <c r="L569"/>
  <c r="M569"/>
  <c r="N569"/>
  <c r="P569"/>
  <c r="Q569" s="1"/>
  <c r="L570"/>
  <c r="M570"/>
  <c r="N570"/>
  <c r="P570"/>
  <c r="Q570" s="1"/>
  <c r="L571"/>
  <c r="M571"/>
  <c r="N571"/>
  <c r="P571"/>
  <c r="Q571" s="1"/>
  <c r="L572"/>
  <c r="M572"/>
  <c r="N572"/>
  <c r="P572"/>
  <c r="Q572" s="1"/>
  <c r="L573"/>
  <c r="M573"/>
  <c r="N573"/>
  <c r="P573"/>
  <c r="Q573" s="1"/>
  <c r="L574"/>
  <c r="M574"/>
  <c r="N574"/>
  <c r="P574"/>
  <c r="Q574" s="1"/>
  <c r="L575"/>
  <c r="M575"/>
  <c r="N575"/>
  <c r="P575"/>
  <c r="Q575" s="1"/>
  <c r="L576"/>
  <c r="M576"/>
  <c r="N576"/>
  <c r="P576"/>
  <c r="Q576" s="1"/>
  <c r="L577"/>
  <c r="M577"/>
  <c r="N577"/>
  <c r="P577"/>
  <c r="Q577" s="1"/>
  <c r="L578"/>
  <c r="M578"/>
  <c r="N578"/>
  <c r="P578"/>
  <c r="Q578" s="1"/>
  <c r="L579"/>
  <c r="M579"/>
  <c r="N579"/>
  <c r="P579"/>
  <c r="Q579" s="1"/>
  <c r="L580"/>
  <c r="M580"/>
  <c r="N580"/>
  <c r="P580"/>
  <c r="Q580" s="1"/>
  <c r="L581"/>
  <c r="M581"/>
  <c r="N581"/>
  <c r="P581"/>
  <c r="Q581" s="1"/>
  <c r="L582"/>
  <c r="M582"/>
  <c r="N582"/>
  <c r="P582"/>
  <c r="Q582" s="1"/>
  <c r="L583"/>
  <c r="M583"/>
  <c r="N583"/>
  <c r="P583"/>
  <c r="Q583" s="1"/>
  <c r="L584"/>
  <c r="M584"/>
  <c r="N584"/>
  <c r="P584"/>
  <c r="Q584" s="1"/>
  <c r="L585"/>
  <c r="M585"/>
  <c r="N585"/>
  <c r="P585"/>
  <c r="Q585" s="1"/>
  <c r="L586"/>
  <c r="M586"/>
  <c r="N586"/>
  <c r="P586"/>
  <c r="Q586" s="1"/>
  <c r="L587"/>
  <c r="M587"/>
  <c r="N587"/>
  <c r="P587"/>
  <c r="Q587" s="1"/>
  <c r="L588"/>
  <c r="M588"/>
  <c r="N588"/>
  <c r="P588"/>
  <c r="Q588" s="1"/>
  <c r="L589"/>
  <c r="M589"/>
  <c r="N589"/>
  <c r="P589"/>
  <c r="Q589" s="1"/>
  <c r="L590"/>
  <c r="M590"/>
  <c r="N590"/>
  <c r="P590"/>
  <c r="Q590" s="1"/>
  <c r="L591"/>
  <c r="M591"/>
  <c r="N591"/>
  <c r="P591"/>
  <c r="Q591" s="1"/>
  <c r="L592"/>
  <c r="M592"/>
  <c r="N592"/>
  <c r="P592"/>
  <c r="Q592" s="1"/>
  <c r="L593"/>
  <c r="M593"/>
  <c r="N593"/>
  <c r="P593"/>
  <c r="Q593" s="1"/>
  <c r="L594"/>
  <c r="M594"/>
  <c r="N594"/>
  <c r="P594"/>
  <c r="Q594" s="1"/>
  <c r="L595"/>
  <c r="M595"/>
  <c r="N595"/>
  <c r="P595"/>
  <c r="Q595" s="1"/>
  <c r="L596"/>
  <c r="M596"/>
  <c r="N596"/>
  <c r="P596"/>
  <c r="Q596" s="1"/>
  <c r="L597"/>
  <c r="M597"/>
  <c r="N597"/>
  <c r="P597"/>
  <c r="Q597" s="1"/>
  <c r="L598"/>
  <c r="M598"/>
  <c r="N598"/>
  <c r="P598"/>
  <c r="Q598" s="1"/>
  <c r="L599"/>
  <c r="M599"/>
  <c r="N599"/>
  <c r="P599"/>
  <c r="Q599" s="1"/>
  <c r="L600"/>
  <c r="M600"/>
  <c r="N600"/>
  <c r="P600"/>
  <c r="Q600" s="1"/>
  <c r="L601"/>
  <c r="M601"/>
  <c r="N601"/>
  <c r="P601"/>
  <c r="Q601" s="1"/>
  <c r="L602"/>
  <c r="M602"/>
  <c r="N602"/>
  <c r="P602"/>
  <c r="Q602" s="1"/>
  <c r="L603"/>
  <c r="M603"/>
  <c r="N603"/>
  <c r="P603"/>
  <c r="Q603" s="1"/>
  <c r="L604"/>
  <c r="M604"/>
  <c r="N604"/>
  <c r="P604"/>
  <c r="Q604" s="1"/>
  <c r="L605"/>
  <c r="M605"/>
  <c r="N605"/>
  <c r="P605"/>
  <c r="Q605" s="1"/>
  <c r="L606"/>
  <c r="M606"/>
  <c r="N606"/>
  <c r="P606"/>
  <c r="Q606" s="1"/>
  <c r="L607"/>
  <c r="M607"/>
  <c r="N607"/>
  <c r="P607"/>
  <c r="Q607" s="1"/>
  <c r="L608"/>
  <c r="M608"/>
  <c r="N608"/>
  <c r="P608"/>
  <c r="Q608" s="1"/>
  <c r="L609"/>
  <c r="M609"/>
  <c r="N609"/>
  <c r="P609"/>
  <c r="Q609" s="1"/>
  <c r="L610"/>
  <c r="M610"/>
  <c r="N610"/>
  <c r="P610"/>
  <c r="Q610" s="1"/>
  <c r="L611"/>
  <c r="M611"/>
  <c r="N611"/>
  <c r="P611"/>
  <c r="Q611" s="1"/>
  <c r="L612"/>
  <c r="M612"/>
  <c r="N612"/>
  <c r="P612"/>
  <c r="Q612" s="1"/>
  <c r="L613"/>
  <c r="M613"/>
  <c r="N613"/>
  <c r="P613"/>
  <c r="Q613" s="1"/>
  <c r="L614"/>
  <c r="M614"/>
  <c r="N614"/>
  <c r="P614"/>
  <c r="Q614" s="1"/>
  <c r="L615"/>
  <c r="M615"/>
  <c r="N615"/>
  <c r="P615"/>
  <c r="Q615" s="1"/>
  <c r="L616"/>
  <c r="M616"/>
  <c r="N616"/>
  <c r="P616"/>
  <c r="Q616" s="1"/>
  <c r="L617"/>
  <c r="M617"/>
  <c r="N617"/>
  <c r="P617"/>
  <c r="Q617" s="1"/>
  <c r="L618"/>
  <c r="M618"/>
  <c r="N618"/>
  <c r="P618"/>
  <c r="Q618" s="1"/>
  <c r="L619"/>
  <c r="M619"/>
  <c r="N619"/>
  <c r="P619"/>
  <c r="Q619" s="1"/>
  <c r="L620"/>
  <c r="M620"/>
  <c r="N620"/>
  <c r="P620"/>
  <c r="Q620" s="1"/>
  <c r="L621"/>
  <c r="M621"/>
  <c r="N621"/>
  <c r="P621"/>
  <c r="Q621" s="1"/>
  <c r="L622"/>
  <c r="M622"/>
  <c r="N622"/>
  <c r="P622"/>
  <c r="Q622" s="1"/>
  <c r="L623"/>
  <c r="M623"/>
  <c r="N623"/>
  <c r="P623"/>
  <c r="Q623" s="1"/>
  <c r="L624"/>
  <c r="M624"/>
  <c r="N624"/>
  <c r="P624"/>
  <c r="Q624" s="1"/>
  <c r="L625"/>
  <c r="M625"/>
  <c r="N625"/>
  <c r="P625"/>
  <c r="Q625" s="1"/>
  <c r="L626"/>
  <c r="M626"/>
  <c r="N626"/>
  <c r="P626"/>
  <c r="Q626" s="1"/>
  <c r="L627"/>
  <c r="M627"/>
  <c r="N627"/>
  <c r="P627"/>
  <c r="Q627" s="1"/>
  <c r="L628"/>
  <c r="M628"/>
  <c r="N628"/>
  <c r="P628"/>
  <c r="Q628" s="1"/>
  <c r="L629"/>
  <c r="M629"/>
  <c r="N629"/>
  <c r="P629"/>
  <c r="Q629" s="1"/>
  <c r="L630"/>
  <c r="M630"/>
  <c r="N630"/>
  <c r="P630"/>
  <c r="Q630" s="1"/>
  <c r="L631"/>
  <c r="M631"/>
  <c r="N631"/>
  <c r="P631"/>
  <c r="Q631" s="1"/>
  <c r="L632"/>
  <c r="M632"/>
  <c r="N632"/>
  <c r="P632"/>
  <c r="Q632" s="1"/>
  <c r="L633"/>
  <c r="M633"/>
  <c r="N633"/>
  <c r="P633"/>
  <c r="Q633" s="1"/>
  <c r="L634"/>
  <c r="M634"/>
  <c r="N634"/>
  <c r="P634"/>
  <c r="Q634" s="1"/>
  <c r="L635"/>
  <c r="M635"/>
  <c r="N635"/>
  <c r="P635"/>
  <c r="Q635" s="1"/>
  <c r="L636"/>
  <c r="M636"/>
  <c r="N636"/>
  <c r="P636"/>
  <c r="Q636" s="1"/>
  <c r="L637"/>
  <c r="M637"/>
  <c r="N637"/>
  <c r="P637"/>
  <c r="Q637" s="1"/>
  <c r="L638"/>
  <c r="M638"/>
  <c r="N638"/>
  <c r="P638"/>
  <c r="Q638" s="1"/>
  <c r="L639"/>
  <c r="M639"/>
  <c r="N639"/>
  <c r="P639"/>
  <c r="Q639" s="1"/>
  <c r="L640"/>
  <c r="M640"/>
  <c r="N640"/>
  <c r="P640"/>
  <c r="Q640" s="1"/>
  <c r="L641"/>
  <c r="M641"/>
  <c r="N641"/>
  <c r="P641"/>
  <c r="Q641" s="1"/>
  <c r="L642"/>
  <c r="M642"/>
  <c r="N642"/>
  <c r="P642"/>
  <c r="Q642" s="1"/>
  <c r="L643"/>
  <c r="M643"/>
  <c r="N643"/>
  <c r="P643"/>
  <c r="Q643" s="1"/>
  <c r="L644"/>
  <c r="M644"/>
  <c r="N644"/>
  <c r="P644"/>
  <c r="Q644" s="1"/>
  <c r="L645"/>
  <c r="M645"/>
  <c r="N645"/>
  <c r="P645"/>
  <c r="Q645" s="1"/>
  <c r="L646"/>
  <c r="M646"/>
  <c r="N646"/>
  <c r="P646"/>
  <c r="Q646" s="1"/>
  <c r="L647"/>
  <c r="M647"/>
  <c r="N647"/>
  <c r="P647"/>
  <c r="Q647" s="1"/>
  <c r="L648"/>
  <c r="M648"/>
  <c r="N648"/>
  <c r="P648"/>
  <c r="Q648" s="1"/>
  <c r="L649"/>
  <c r="M649"/>
  <c r="N649"/>
  <c r="P649"/>
  <c r="Q649" s="1"/>
  <c r="L650"/>
  <c r="M650"/>
  <c r="N650"/>
  <c r="P650"/>
  <c r="Q650" s="1"/>
  <c r="L651"/>
  <c r="M651"/>
  <c r="N651"/>
  <c r="P651"/>
  <c r="Q651" s="1"/>
  <c r="L652"/>
  <c r="M652"/>
  <c r="N652"/>
  <c r="P652"/>
  <c r="Q652" s="1"/>
  <c r="L653"/>
  <c r="M653"/>
  <c r="N653"/>
  <c r="P653"/>
  <c r="Q653" s="1"/>
  <c r="L654"/>
  <c r="M654"/>
  <c r="N654"/>
  <c r="P654"/>
  <c r="Q654" s="1"/>
  <c r="L655"/>
  <c r="M655"/>
  <c r="N655"/>
  <c r="P655"/>
  <c r="Q655" s="1"/>
  <c r="L656"/>
  <c r="M656"/>
  <c r="N656"/>
  <c r="P656"/>
  <c r="Q656" s="1"/>
  <c r="L657"/>
  <c r="M657"/>
  <c r="N657"/>
  <c r="P657"/>
  <c r="Q657" s="1"/>
  <c r="L658"/>
  <c r="M658"/>
  <c r="N658"/>
  <c r="P658"/>
  <c r="Q658" s="1"/>
  <c r="L659"/>
  <c r="M659"/>
  <c r="N659"/>
  <c r="P659"/>
  <c r="Q659" s="1"/>
  <c r="L660"/>
  <c r="M660"/>
  <c r="N660"/>
  <c r="P660"/>
  <c r="Q660" s="1"/>
  <c r="L661"/>
  <c r="M661"/>
  <c r="N661"/>
  <c r="P661"/>
  <c r="Q661" s="1"/>
  <c r="L662"/>
  <c r="M662"/>
  <c r="N662"/>
  <c r="P662"/>
  <c r="Q662" s="1"/>
  <c r="L663"/>
  <c r="M663"/>
  <c r="N663"/>
  <c r="P663"/>
  <c r="Q663" s="1"/>
  <c r="L664"/>
  <c r="M664"/>
  <c r="N664"/>
  <c r="P664"/>
  <c r="Q664" s="1"/>
  <c r="L665"/>
  <c r="M665"/>
  <c r="N665"/>
  <c r="P665"/>
  <c r="Q665" s="1"/>
  <c r="L666"/>
  <c r="M666"/>
  <c r="N666"/>
  <c r="P666"/>
  <c r="Q666" s="1"/>
  <c r="L667"/>
  <c r="M667"/>
  <c r="N667"/>
  <c r="P667"/>
  <c r="Q667" s="1"/>
  <c r="L668"/>
  <c r="M668"/>
  <c r="N668"/>
  <c r="P668"/>
  <c r="Q668" s="1"/>
  <c r="L669"/>
  <c r="M669"/>
  <c r="N669"/>
  <c r="P669"/>
  <c r="Q669" s="1"/>
  <c r="L670"/>
  <c r="M670"/>
  <c r="N670"/>
  <c r="P670"/>
  <c r="Q670" s="1"/>
  <c r="L671"/>
  <c r="M671"/>
  <c r="N671"/>
  <c r="P671"/>
  <c r="Q671" s="1"/>
  <c r="L672"/>
  <c r="M672"/>
  <c r="N672"/>
  <c r="P672"/>
  <c r="Q672" s="1"/>
  <c r="L673"/>
  <c r="M673"/>
  <c r="N673"/>
  <c r="P673"/>
  <c r="Q673" s="1"/>
  <c r="L674"/>
  <c r="M674"/>
  <c r="N674"/>
  <c r="P674"/>
  <c r="Q674" s="1"/>
  <c r="L675"/>
  <c r="M675"/>
  <c r="N675"/>
  <c r="P675"/>
  <c r="Q675" s="1"/>
  <c r="L676"/>
  <c r="M676"/>
  <c r="N676"/>
  <c r="P676"/>
  <c r="Q676" s="1"/>
  <c r="L677"/>
  <c r="M677"/>
  <c r="N677"/>
  <c r="P677"/>
  <c r="Q677" s="1"/>
  <c r="L678"/>
  <c r="M678"/>
  <c r="N678"/>
  <c r="P678"/>
  <c r="Q678" s="1"/>
  <c r="L679"/>
  <c r="M679"/>
  <c r="N679"/>
  <c r="P679"/>
  <c r="Q679" s="1"/>
  <c r="L680"/>
  <c r="M680"/>
  <c r="N680"/>
  <c r="P680"/>
  <c r="Q680" s="1"/>
  <c r="L681"/>
  <c r="M681"/>
  <c r="N681"/>
  <c r="P681"/>
  <c r="Q681" s="1"/>
  <c r="L682"/>
  <c r="M682"/>
  <c r="N682"/>
  <c r="P682"/>
  <c r="Q682" s="1"/>
  <c r="L683"/>
  <c r="M683"/>
  <c r="N683"/>
  <c r="P683"/>
  <c r="Q683" s="1"/>
  <c r="L684"/>
  <c r="M684"/>
  <c r="N684"/>
  <c r="P684"/>
  <c r="Q684" s="1"/>
  <c r="L685"/>
  <c r="M685"/>
  <c r="N685"/>
  <c r="P685"/>
  <c r="Q685" s="1"/>
  <c r="L686"/>
  <c r="M686"/>
  <c r="N686"/>
  <c r="P686"/>
  <c r="Q686" s="1"/>
  <c r="L687"/>
  <c r="M687"/>
  <c r="N687"/>
  <c r="P687"/>
  <c r="Q687" s="1"/>
  <c r="L688"/>
  <c r="M688"/>
  <c r="N688"/>
  <c r="P688"/>
  <c r="Q688" s="1"/>
  <c r="L689"/>
  <c r="M689"/>
  <c r="N689"/>
  <c r="P689"/>
  <c r="Q689" s="1"/>
  <c r="L690"/>
  <c r="M690"/>
  <c r="N690"/>
  <c r="P690"/>
  <c r="Q690" s="1"/>
  <c r="L691"/>
  <c r="M691"/>
  <c r="N691"/>
  <c r="P691"/>
  <c r="Q691" s="1"/>
  <c r="L692"/>
  <c r="M692"/>
  <c r="N692"/>
  <c r="P692"/>
  <c r="Q692" s="1"/>
  <c r="L693"/>
  <c r="M693"/>
  <c r="N693"/>
  <c r="P693"/>
  <c r="Q693" s="1"/>
  <c r="L694"/>
  <c r="M694"/>
  <c r="N694"/>
  <c r="P694"/>
  <c r="Q694" s="1"/>
  <c r="L695"/>
  <c r="M695"/>
  <c r="N695"/>
  <c r="P695"/>
  <c r="Q695" s="1"/>
  <c r="L696"/>
  <c r="M696"/>
  <c r="N696"/>
  <c r="P696"/>
  <c r="Q696" s="1"/>
  <c r="L697"/>
  <c r="M697"/>
  <c r="N697"/>
  <c r="P697"/>
  <c r="Q697" s="1"/>
  <c r="L698"/>
  <c r="M698"/>
  <c r="N698"/>
  <c r="P698"/>
  <c r="Q698" s="1"/>
  <c r="L699"/>
  <c r="M699"/>
  <c r="N699"/>
  <c r="P699"/>
  <c r="Q699" s="1"/>
  <c r="L700"/>
  <c r="M700"/>
  <c r="N700"/>
  <c r="P700"/>
  <c r="Q700" s="1"/>
  <c r="L701"/>
  <c r="M701"/>
  <c r="N701"/>
  <c r="P701"/>
  <c r="Q701" s="1"/>
  <c r="L702"/>
  <c r="M702"/>
  <c r="N702"/>
  <c r="P702"/>
  <c r="Q702" s="1"/>
  <c r="L703"/>
  <c r="M703"/>
  <c r="N703"/>
  <c r="P703"/>
  <c r="Q703" s="1"/>
  <c r="L704"/>
  <c r="M704"/>
  <c r="N704"/>
  <c r="P704"/>
  <c r="Q704" s="1"/>
  <c r="L705"/>
  <c r="M705"/>
  <c r="N705"/>
  <c r="P705"/>
  <c r="Q705" s="1"/>
  <c r="L706"/>
  <c r="M706"/>
  <c r="N706"/>
  <c r="P706"/>
  <c r="Q706" s="1"/>
  <c r="L707"/>
  <c r="M707"/>
  <c r="N707"/>
  <c r="P707"/>
  <c r="Q707" s="1"/>
  <c r="L708"/>
  <c r="M708"/>
  <c r="N708"/>
  <c r="P708"/>
  <c r="Q708" s="1"/>
  <c r="L709"/>
  <c r="M709"/>
  <c r="N709"/>
  <c r="P709"/>
  <c r="Q709" s="1"/>
  <c r="L710"/>
  <c r="M710"/>
  <c r="N710"/>
  <c r="P710"/>
  <c r="Q710" s="1"/>
  <c r="L711"/>
  <c r="M711"/>
  <c r="N711"/>
  <c r="P711"/>
  <c r="Q711" s="1"/>
  <c r="L712"/>
  <c r="M712"/>
  <c r="N712"/>
  <c r="P712"/>
  <c r="Q712" s="1"/>
  <c r="L713"/>
  <c r="M713"/>
  <c r="N713"/>
  <c r="P713"/>
  <c r="Q713" s="1"/>
  <c r="L714"/>
  <c r="M714"/>
  <c r="N714"/>
  <c r="P714"/>
  <c r="Q714" s="1"/>
  <c r="L715"/>
  <c r="M715"/>
  <c r="N715"/>
  <c r="P715"/>
  <c r="Q715" s="1"/>
  <c r="L716"/>
  <c r="M716"/>
  <c r="N716"/>
  <c r="P716"/>
  <c r="Q716" s="1"/>
  <c r="L717"/>
  <c r="M717"/>
  <c r="N717"/>
  <c r="P717"/>
  <c r="Q717" s="1"/>
  <c r="L718"/>
  <c r="M718"/>
  <c r="N718"/>
  <c r="P718"/>
  <c r="Q718" s="1"/>
  <c r="L719"/>
  <c r="M719"/>
  <c r="N719"/>
  <c r="P719"/>
  <c r="Q719" s="1"/>
  <c r="L720"/>
  <c r="M720"/>
  <c r="N720"/>
  <c r="P720"/>
  <c r="Q720" s="1"/>
  <c r="L721"/>
  <c r="M721"/>
  <c r="N721"/>
  <c r="P721"/>
  <c r="Q721" s="1"/>
  <c r="L722"/>
  <c r="M722"/>
  <c r="N722"/>
  <c r="P722"/>
  <c r="Q722" s="1"/>
  <c r="L723"/>
  <c r="M723"/>
  <c r="N723"/>
  <c r="P723"/>
  <c r="Q723" s="1"/>
  <c r="L724"/>
  <c r="M724"/>
  <c r="N724"/>
  <c r="P724"/>
  <c r="Q724" s="1"/>
  <c r="L725"/>
  <c r="M725"/>
  <c r="N725"/>
  <c r="P725"/>
  <c r="Q725" s="1"/>
  <c r="L726"/>
  <c r="M726"/>
  <c r="N726"/>
  <c r="P726"/>
  <c r="Q726" s="1"/>
  <c r="L727"/>
  <c r="M727"/>
  <c r="N727"/>
  <c r="P727"/>
  <c r="Q727" s="1"/>
  <c r="L728"/>
  <c r="M728"/>
  <c r="N728"/>
  <c r="P728"/>
  <c r="Q728" s="1"/>
  <c r="L729"/>
  <c r="M729"/>
  <c r="N729"/>
  <c r="P729"/>
  <c r="Q729" s="1"/>
  <c r="L730"/>
  <c r="M730"/>
  <c r="N730"/>
  <c r="P730"/>
  <c r="Q730" s="1"/>
  <c r="L731"/>
  <c r="M731"/>
  <c r="N731"/>
  <c r="P731"/>
  <c r="Q731" s="1"/>
  <c r="L732"/>
  <c r="M732"/>
  <c r="N732"/>
  <c r="P732"/>
  <c r="Q732" s="1"/>
  <c r="L733"/>
  <c r="M733"/>
  <c r="N733"/>
  <c r="P733"/>
  <c r="Q733" s="1"/>
  <c r="L734"/>
  <c r="M734"/>
  <c r="N734"/>
  <c r="P734"/>
  <c r="Q734" s="1"/>
  <c r="L735"/>
  <c r="M735"/>
  <c r="N735"/>
  <c r="P735"/>
  <c r="Q735" s="1"/>
  <c r="L736"/>
  <c r="M736"/>
  <c r="N736"/>
  <c r="P736"/>
  <c r="Q736" s="1"/>
  <c r="L737"/>
  <c r="M737"/>
  <c r="N737"/>
  <c r="P737"/>
  <c r="Q737" s="1"/>
  <c r="L738"/>
  <c r="M738"/>
  <c r="N738"/>
  <c r="P738"/>
  <c r="Q738" s="1"/>
  <c r="L739"/>
  <c r="M739"/>
  <c r="N739"/>
  <c r="P739"/>
  <c r="Q739" s="1"/>
  <c r="L740"/>
  <c r="M740"/>
  <c r="N740"/>
  <c r="P740"/>
  <c r="Q740" s="1"/>
  <c r="L741"/>
  <c r="M741"/>
  <c r="N741"/>
  <c r="P741"/>
  <c r="Q741" s="1"/>
  <c r="L742"/>
  <c r="M742"/>
  <c r="N742"/>
  <c r="P742"/>
  <c r="Q742" s="1"/>
  <c r="L743"/>
  <c r="M743"/>
  <c r="N743"/>
  <c r="P743"/>
  <c r="Q743" s="1"/>
  <c r="L744"/>
  <c r="M744"/>
  <c r="N744"/>
  <c r="P744"/>
  <c r="Q744" s="1"/>
  <c r="L92"/>
  <c r="M92"/>
  <c r="N92"/>
  <c r="P92"/>
  <c r="Q92" s="1"/>
  <c r="L93"/>
  <c r="M93"/>
  <c r="N93"/>
  <c r="P93"/>
  <c r="Q93" s="1"/>
  <c r="L94"/>
  <c r="M94"/>
  <c r="N94"/>
  <c r="P94"/>
  <c r="Q94" s="1"/>
  <c r="L95"/>
  <c r="M95"/>
  <c r="N95"/>
  <c r="P95"/>
  <c r="Q95" s="1"/>
  <c r="L96"/>
  <c r="M96"/>
  <c r="N96"/>
  <c r="P96"/>
  <c r="Q96" s="1"/>
  <c r="L97"/>
  <c r="M97"/>
  <c r="N97"/>
  <c r="P97"/>
  <c r="Q97" s="1"/>
  <c r="L98"/>
  <c r="M98"/>
  <c r="N98"/>
  <c r="P98"/>
  <c r="Q98" s="1"/>
  <c r="L99"/>
  <c r="M99"/>
  <c r="N99"/>
  <c r="P99"/>
  <c r="Q99" s="1"/>
  <c r="L100"/>
  <c r="M100"/>
  <c r="N100"/>
  <c r="P100"/>
  <c r="Q100" s="1"/>
  <c r="L101"/>
  <c r="M101"/>
  <c r="N101"/>
  <c r="P101"/>
  <c r="Q101" s="1"/>
  <c r="L102"/>
  <c r="M102"/>
  <c r="N102"/>
  <c r="P102"/>
  <c r="Q102" s="1"/>
  <c r="L103"/>
  <c r="M103"/>
  <c r="N103"/>
  <c r="P103"/>
  <c r="Q103" s="1"/>
  <c r="L104"/>
  <c r="M104"/>
  <c r="N104"/>
  <c r="P104"/>
  <c r="Q104" s="1"/>
  <c r="L105"/>
  <c r="M105"/>
  <c r="N105"/>
  <c r="P105"/>
  <c r="Q105" s="1"/>
  <c r="L106"/>
  <c r="M106"/>
  <c r="N106"/>
  <c r="P106"/>
  <c r="Q106" s="1"/>
  <c r="L107"/>
  <c r="M107"/>
  <c r="N107"/>
  <c r="P107"/>
  <c r="Q107" s="1"/>
  <c r="L108"/>
  <c r="M108"/>
  <c r="N108"/>
  <c r="P108"/>
  <c r="Q108" s="1"/>
  <c r="L109"/>
  <c r="M109"/>
  <c r="N109"/>
  <c r="P109"/>
  <c r="Q109" s="1"/>
  <c r="L110"/>
  <c r="M110"/>
  <c r="N110"/>
  <c r="P110"/>
  <c r="Q110" s="1"/>
  <c r="L111"/>
  <c r="M111"/>
  <c r="N111"/>
  <c r="P111"/>
  <c r="Q111" s="1"/>
  <c r="L112"/>
  <c r="M112"/>
  <c r="N112"/>
  <c r="P112"/>
  <c r="Q112" s="1"/>
  <c r="L113"/>
  <c r="M113"/>
  <c r="N113"/>
  <c r="P113"/>
  <c r="Q113" s="1"/>
  <c r="L114"/>
  <c r="M114"/>
  <c r="N114"/>
  <c r="P114"/>
  <c r="Q114" s="1"/>
  <c r="L115"/>
  <c r="M115"/>
  <c r="N115"/>
  <c r="P115"/>
  <c r="Q115" s="1"/>
  <c r="L116"/>
  <c r="M116"/>
  <c r="N116"/>
  <c r="P116"/>
  <c r="Q116" s="1"/>
  <c r="L117"/>
  <c r="M117"/>
  <c r="N117"/>
  <c r="P117"/>
  <c r="Q117" s="1"/>
  <c r="L118"/>
  <c r="M118"/>
  <c r="N118"/>
  <c r="P118"/>
  <c r="Q118" s="1"/>
  <c r="L119"/>
  <c r="M119"/>
  <c r="N119"/>
  <c r="P119"/>
  <c r="Q119" s="1"/>
  <c r="L120"/>
  <c r="M120"/>
  <c r="N120"/>
  <c r="P120"/>
  <c r="Q120" s="1"/>
  <c r="L121"/>
  <c r="M121"/>
  <c r="N121"/>
  <c r="P121"/>
  <c r="Q121" s="1"/>
  <c r="L122"/>
  <c r="M122"/>
  <c r="N122"/>
  <c r="P122"/>
  <c r="Q122" s="1"/>
  <c r="L123"/>
  <c r="M123"/>
  <c r="N123"/>
  <c r="P123"/>
  <c r="Q123" s="1"/>
  <c r="L124"/>
  <c r="M124"/>
  <c r="N124"/>
  <c r="P124"/>
  <c r="Q124" s="1"/>
  <c r="L125"/>
  <c r="M125"/>
  <c r="N125"/>
  <c r="P125"/>
  <c r="Q125" s="1"/>
  <c r="L126"/>
  <c r="M126"/>
  <c r="N126"/>
  <c r="P126"/>
  <c r="Q126" s="1"/>
  <c r="L127"/>
  <c r="M127"/>
  <c r="N127"/>
  <c r="P127"/>
  <c r="Q127" s="1"/>
  <c r="L128"/>
  <c r="M128"/>
  <c r="N128"/>
  <c r="P128"/>
  <c r="Q128" s="1"/>
  <c r="L129"/>
  <c r="M129"/>
  <c r="N129"/>
  <c r="P129"/>
  <c r="Q129" s="1"/>
  <c r="L130"/>
  <c r="M130"/>
  <c r="N130"/>
  <c r="P130"/>
  <c r="Q130" s="1"/>
  <c r="L131"/>
  <c r="M131"/>
  <c r="N131"/>
  <c r="P131"/>
  <c r="Q131" s="1"/>
  <c r="L132"/>
  <c r="M132"/>
  <c r="N132"/>
  <c r="P132"/>
  <c r="Q132" s="1"/>
  <c r="L133"/>
  <c r="M133"/>
  <c r="N133"/>
  <c r="P133"/>
  <c r="Q133" s="1"/>
  <c r="L134"/>
  <c r="M134"/>
  <c r="N134"/>
  <c r="P134"/>
  <c r="Q134" s="1"/>
  <c r="L135"/>
  <c r="M135"/>
  <c r="N135"/>
  <c r="P135"/>
  <c r="Q135" s="1"/>
  <c r="L136"/>
  <c r="M136"/>
  <c r="N136"/>
  <c r="P136"/>
  <c r="Q136" s="1"/>
  <c r="L137"/>
  <c r="M137"/>
  <c r="N137"/>
  <c r="P137"/>
  <c r="Q137" s="1"/>
  <c r="L138"/>
  <c r="M138"/>
  <c r="N138"/>
  <c r="P138"/>
  <c r="Q138" s="1"/>
  <c r="L139"/>
  <c r="M139"/>
  <c r="N139"/>
  <c r="P139"/>
  <c r="Q139" s="1"/>
  <c r="L140"/>
  <c r="M140"/>
  <c r="N140"/>
  <c r="P140"/>
  <c r="Q140" s="1"/>
  <c r="L141"/>
  <c r="M141"/>
  <c r="N141"/>
  <c r="P141"/>
  <c r="Q141" s="1"/>
  <c r="L142"/>
  <c r="M142"/>
  <c r="N142"/>
  <c r="P142"/>
  <c r="Q142" s="1"/>
  <c r="L143"/>
  <c r="M143"/>
  <c r="N143"/>
  <c r="P143"/>
  <c r="Q143" s="1"/>
  <c r="L144"/>
  <c r="M144"/>
  <c r="N144"/>
  <c r="P144"/>
  <c r="Q144" s="1"/>
  <c r="L145"/>
  <c r="M145"/>
  <c r="N145"/>
  <c r="P145"/>
  <c r="Q145" s="1"/>
  <c r="L146"/>
  <c r="M146"/>
  <c r="N146"/>
  <c r="P146"/>
  <c r="Q146" s="1"/>
  <c r="L147"/>
  <c r="M147"/>
  <c r="N147"/>
  <c r="P147"/>
  <c r="Q147" s="1"/>
  <c r="L148"/>
  <c r="M148"/>
  <c r="N148"/>
  <c r="P148"/>
  <c r="Q148" s="1"/>
  <c r="L149"/>
  <c r="M149"/>
  <c r="N149"/>
  <c r="P149"/>
  <c r="Q149" s="1"/>
  <c r="L150"/>
  <c r="M150"/>
  <c r="N150"/>
  <c r="P150"/>
  <c r="Q150" s="1"/>
  <c r="L151"/>
  <c r="M151"/>
  <c r="N151"/>
  <c r="P151"/>
  <c r="Q151" s="1"/>
  <c r="L152"/>
  <c r="M152"/>
  <c r="N152"/>
  <c r="P152"/>
  <c r="Q152" s="1"/>
  <c r="L153"/>
  <c r="M153"/>
  <c r="N153"/>
  <c r="P153"/>
  <c r="Q153" s="1"/>
  <c r="L154"/>
  <c r="M154"/>
  <c r="N154"/>
  <c r="P154"/>
  <c r="Q154" s="1"/>
  <c r="L155"/>
  <c r="M155"/>
  <c r="N155"/>
  <c r="P155"/>
  <c r="Q155" s="1"/>
  <c r="L156"/>
  <c r="M156"/>
  <c r="N156"/>
  <c r="P156"/>
  <c r="Q156" s="1"/>
  <c r="L157"/>
  <c r="M157"/>
  <c r="N157"/>
  <c r="P157"/>
  <c r="Q157" s="1"/>
  <c r="L158"/>
  <c r="M158"/>
  <c r="N158"/>
  <c r="P158"/>
  <c r="Q158" s="1"/>
  <c r="L159"/>
  <c r="M159"/>
  <c r="N159"/>
  <c r="P159"/>
  <c r="Q159" s="1"/>
  <c r="L160"/>
  <c r="M160"/>
  <c r="N160"/>
  <c r="P160"/>
  <c r="Q160" s="1"/>
  <c r="L161"/>
  <c r="M161"/>
  <c r="N161"/>
  <c r="P161"/>
  <c r="Q161" s="1"/>
  <c r="L162"/>
  <c r="M162"/>
  <c r="N162"/>
  <c r="P162"/>
  <c r="Q162" s="1"/>
  <c r="L163"/>
  <c r="M163"/>
  <c r="N163"/>
  <c r="P163"/>
  <c r="Q163" s="1"/>
  <c r="L164"/>
  <c r="M164"/>
  <c r="N164"/>
  <c r="P164"/>
  <c r="Q164" s="1"/>
  <c r="L165"/>
  <c r="M165"/>
  <c r="N165"/>
  <c r="P165"/>
  <c r="Q165" s="1"/>
  <c r="L166"/>
  <c r="M166"/>
  <c r="N166"/>
  <c r="P166"/>
  <c r="Q166" s="1"/>
  <c r="L167"/>
  <c r="M167"/>
  <c r="N167"/>
  <c r="P167"/>
  <c r="Q167" s="1"/>
  <c r="L168"/>
  <c r="M168"/>
  <c r="N168"/>
  <c r="P168"/>
  <c r="Q168" s="1"/>
  <c r="L169"/>
  <c r="M169"/>
  <c r="N169"/>
  <c r="P169"/>
  <c r="Q169" s="1"/>
  <c r="L170"/>
  <c r="M170"/>
  <c r="N170"/>
  <c r="P170"/>
  <c r="Q170" s="1"/>
  <c r="L171"/>
  <c r="M171"/>
  <c r="N171"/>
  <c r="P171"/>
  <c r="Q171" s="1"/>
  <c r="L172"/>
  <c r="M172"/>
  <c r="N172"/>
  <c r="P172"/>
  <c r="Q172" s="1"/>
  <c r="L173"/>
  <c r="M173"/>
  <c r="N173"/>
  <c r="P173"/>
  <c r="Q173" s="1"/>
  <c r="L174"/>
  <c r="M174"/>
  <c r="N174"/>
  <c r="P174"/>
  <c r="Q174" s="1"/>
  <c r="L175"/>
  <c r="M175"/>
  <c r="N175"/>
  <c r="P175"/>
  <c r="Q175" s="1"/>
  <c r="L176"/>
  <c r="M176"/>
  <c r="N176"/>
  <c r="P176"/>
  <c r="Q176" s="1"/>
  <c r="L177"/>
  <c r="M177"/>
  <c r="N177"/>
  <c r="P177"/>
  <c r="Q177" s="1"/>
  <c r="L178"/>
  <c r="M178"/>
  <c r="N178"/>
  <c r="P178"/>
  <c r="Q178" s="1"/>
  <c r="L179"/>
  <c r="M179"/>
  <c r="N179"/>
  <c r="P179"/>
  <c r="Q179" s="1"/>
  <c r="L180"/>
  <c r="M180"/>
  <c r="N180"/>
  <c r="P180"/>
  <c r="Q180" s="1"/>
  <c r="L181"/>
  <c r="M181"/>
  <c r="N181"/>
  <c r="P181"/>
  <c r="Q181" s="1"/>
  <c r="L182"/>
  <c r="M182"/>
  <c r="N182"/>
  <c r="P182"/>
  <c r="Q182" s="1"/>
  <c r="L183"/>
  <c r="M183"/>
  <c r="N183"/>
  <c r="P183"/>
  <c r="Q183" s="1"/>
  <c r="L184"/>
  <c r="M184"/>
  <c r="N184"/>
  <c r="P184"/>
  <c r="Q184" s="1"/>
  <c r="L185"/>
  <c r="M185"/>
  <c r="N185"/>
  <c r="P185"/>
  <c r="Q185" s="1"/>
  <c r="L186"/>
  <c r="M186"/>
  <c r="N186"/>
  <c r="P186"/>
  <c r="Q186" s="1"/>
  <c r="L187"/>
  <c r="M187"/>
  <c r="N187"/>
  <c r="P187"/>
  <c r="Q187" s="1"/>
  <c r="L188"/>
  <c r="M188"/>
  <c r="N188"/>
  <c r="P188"/>
  <c r="Q188" s="1"/>
  <c r="L189"/>
  <c r="M189"/>
  <c r="N189"/>
  <c r="P189"/>
  <c r="Q189" s="1"/>
  <c r="L190"/>
  <c r="M190"/>
  <c r="N190"/>
  <c r="P190"/>
  <c r="Q190" s="1"/>
  <c r="L191"/>
  <c r="M191"/>
  <c r="N191"/>
  <c r="P191"/>
  <c r="Q191" s="1"/>
  <c r="L192"/>
  <c r="M192"/>
  <c r="N192"/>
  <c r="P192"/>
  <c r="Q192" s="1"/>
  <c r="L193"/>
  <c r="M193"/>
  <c r="N193"/>
  <c r="P193"/>
  <c r="Q193" s="1"/>
  <c r="L194"/>
  <c r="M194"/>
  <c r="N194"/>
  <c r="P194"/>
  <c r="Q194" s="1"/>
  <c r="L195"/>
  <c r="M195"/>
  <c r="N195"/>
  <c r="P195"/>
  <c r="Q195" s="1"/>
  <c r="L196"/>
  <c r="M196"/>
  <c r="N196"/>
  <c r="P196"/>
  <c r="Q196" s="1"/>
  <c r="L197"/>
  <c r="M197"/>
  <c r="N197"/>
  <c r="P197"/>
  <c r="Q197" s="1"/>
  <c r="L198"/>
  <c r="M198"/>
  <c r="N198"/>
  <c r="P198"/>
  <c r="Q198" s="1"/>
  <c r="L199"/>
  <c r="M199"/>
  <c r="N199"/>
  <c r="P199"/>
  <c r="Q199" s="1"/>
  <c r="L200"/>
  <c r="M200"/>
  <c r="N200"/>
  <c r="P200"/>
  <c r="Q200" s="1"/>
  <c r="L201"/>
  <c r="M201"/>
  <c r="N201"/>
  <c r="P201"/>
  <c r="Q201" s="1"/>
  <c r="L202"/>
  <c r="M202"/>
  <c r="N202"/>
  <c r="P202"/>
  <c r="Q202" s="1"/>
  <c r="L203"/>
  <c r="M203"/>
  <c r="N203"/>
  <c r="P203"/>
  <c r="Q203" s="1"/>
  <c r="L204"/>
  <c r="M204"/>
  <c r="N204"/>
  <c r="P204"/>
  <c r="Q204" s="1"/>
  <c r="L205"/>
  <c r="M205"/>
  <c r="N205"/>
  <c r="P205"/>
  <c r="Q205" s="1"/>
  <c r="L206"/>
  <c r="M206"/>
  <c r="N206"/>
  <c r="P206"/>
  <c r="Q206" s="1"/>
  <c r="L207"/>
  <c r="M207"/>
  <c r="N207"/>
  <c r="P207"/>
  <c r="Q207" s="1"/>
  <c r="L208"/>
  <c r="M208"/>
  <c r="N208"/>
  <c r="P208"/>
  <c r="Q208" s="1"/>
  <c r="L209"/>
  <c r="M209"/>
  <c r="N209"/>
  <c r="P209"/>
  <c r="Q209" s="1"/>
  <c r="L210"/>
  <c r="M210"/>
  <c r="N210"/>
  <c r="P210"/>
  <c r="Q210" s="1"/>
  <c r="L211"/>
  <c r="M211"/>
  <c r="N211"/>
  <c r="P211"/>
  <c r="Q211" s="1"/>
  <c r="L212"/>
  <c r="M212"/>
  <c r="N212"/>
  <c r="P212"/>
  <c r="Q212" s="1"/>
  <c r="L213"/>
  <c r="M213"/>
  <c r="N213"/>
  <c r="P213"/>
  <c r="Q213" s="1"/>
  <c r="L214"/>
  <c r="M214"/>
  <c r="N214"/>
  <c r="P214"/>
  <c r="Q214" s="1"/>
  <c r="L215"/>
  <c r="M215"/>
  <c r="N215"/>
  <c r="P215"/>
  <c r="Q215" s="1"/>
  <c r="L216"/>
  <c r="M216"/>
  <c r="N216"/>
  <c r="P216"/>
  <c r="Q216" s="1"/>
  <c r="L217"/>
  <c r="M217"/>
  <c r="N217"/>
  <c r="P217"/>
  <c r="Q217" s="1"/>
  <c r="L218"/>
  <c r="M218"/>
  <c r="N218"/>
  <c r="P218"/>
  <c r="Q218" s="1"/>
  <c r="L219"/>
  <c r="M219"/>
  <c r="N219"/>
  <c r="P219"/>
  <c r="Q219" s="1"/>
  <c r="L220"/>
  <c r="M220"/>
  <c r="N220"/>
  <c r="P220"/>
  <c r="Q220" s="1"/>
  <c r="L221"/>
  <c r="M221"/>
  <c r="N221"/>
  <c r="P221"/>
  <c r="Q221" s="1"/>
  <c r="L222"/>
  <c r="M222"/>
  <c r="N222"/>
  <c r="P222"/>
  <c r="Q222" s="1"/>
  <c r="L223"/>
  <c r="M223"/>
  <c r="N223"/>
  <c r="P223"/>
  <c r="Q223" s="1"/>
  <c r="L224"/>
  <c r="M224"/>
  <c r="N224"/>
  <c r="P224"/>
  <c r="Q224" s="1"/>
  <c r="L225"/>
  <c r="M225"/>
  <c r="N225"/>
  <c r="P225"/>
  <c r="Q225" s="1"/>
  <c r="L226"/>
  <c r="M226"/>
  <c r="N226"/>
  <c r="P226"/>
  <c r="Q226" s="1"/>
  <c r="L227"/>
  <c r="M227"/>
  <c r="N227"/>
  <c r="P227"/>
  <c r="Q227" s="1"/>
  <c r="L228"/>
  <c r="M228"/>
  <c r="N228"/>
  <c r="P228"/>
  <c r="Q228" s="1"/>
  <c r="L229"/>
  <c r="M229"/>
  <c r="N229"/>
  <c r="P229"/>
  <c r="Q229" s="1"/>
  <c r="L230"/>
  <c r="M230"/>
  <c r="N230"/>
  <c r="P230"/>
  <c r="Q230" s="1"/>
  <c r="L231"/>
  <c r="M231"/>
  <c r="N231"/>
  <c r="P231"/>
  <c r="Q231" s="1"/>
  <c r="L232"/>
  <c r="M232"/>
  <c r="N232"/>
  <c r="P232"/>
  <c r="Q232" s="1"/>
  <c r="L233"/>
  <c r="M233"/>
  <c r="N233"/>
  <c r="P233"/>
  <c r="Q233" s="1"/>
  <c r="L234"/>
  <c r="M234"/>
  <c r="N234"/>
  <c r="P234"/>
  <c r="Q234" s="1"/>
  <c r="L235"/>
  <c r="M235"/>
  <c r="N235"/>
  <c r="P235"/>
  <c r="Q235" s="1"/>
  <c r="L236"/>
  <c r="M236"/>
  <c r="N236"/>
  <c r="P236"/>
  <c r="Q236" s="1"/>
  <c r="L237"/>
  <c r="M237"/>
  <c r="N237"/>
  <c r="P237"/>
  <c r="Q237" s="1"/>
  <c r="L238"/>
  <c r="M238"/>
  <c r="N238"/>
  <c r="P238"/>
  <c r="Q238" s="1"/>
  <c r="L239"/>
  <c r="M239"/>
  <c r="N239"/>
  <c r="P239"/>
  <c r="Q239" s="1"/>
  <c r="L240"/>
  <c r="M240"/>
  <c r="N240"/>
  <c r="P240"/>
  <c r="Q240" s="1"/>
  <c r="L241"/>
  <c r="M241"/>
  <c r="N241"/>
  <c r="P241"/>
  <c r="Q241" s="1"/>
  <c r="L242"/>
  <c r="M242"/>
  <c r="N242"/>
  <c r="P242"/>
  <c r="Q242" s="1"/>
  <c r="L243"/>
  <c r="M243"/>
  <c r="N243"/>
  <c r="P243"/>
  <c r="Q243" s="1"/>
  <c r="L244"/>
  <c r="M244"/>
  <c r="N244"/>
  <c r="P244"/>
  <c r="Q244" s="1"/>
  <c r="L245"/>
  <c r="M245"/>
  <c r="N245"/>
  <c r="P245"/>
  <c r="Q245" s="1"/>
  <c r="L246"/>
  <c r="M246"/>
  <c r="N246"/>
  <c r="P246"/>
  <c r="Q246" s="1"/>
  <c r="L247"/>
  <c r="M247"/>
  <c r="N247"/>
  <c r="P247"/>
  <c r="Q247" s="1"/>
  <c r="L248"/>
  <c r="M248"/>
  <c r="N248"/>
  <c r="P248"/>
  <c r="Q248" s="1"/>
  <c r="L249"/>
  <c r="M249"/>
  <c r="N249"/>
  <c r="P249"/>
  <c r="Q249" s="1"/>
  <c r="L250"/>
  <c r="M250"/>
  <c r="N250"/>
  <c r="P250"/>
  <c r="Q250" s="1"/>
  <c r="L251"/>
  <c r="M251"/>
  <c r="N251"/>
  <c r="P251"/>
  <c r="Q251" s="1"/>
  <c r="L252"/>
  <c r="M252"/>
  <c r="N252"/>
  <c r="P252"/>
  <c r="Q252" s="1"/>
  <c r="L253"/>
  <c r="M253"/>
  <c r="N253"/>
  <c r="P253"/>
  <c r="Q253" s="1"/>
  <c r="L254"/>
  <c r="M254"/>
  <c r="N254"/>
  <c r="P254"/>
  <c r="Q254" s="1"/>
  <c r="L255"/>
  <c r="M255"/>
  <c r="N255"/>
  <c r="P255"/>
  <c r="Q255" s="1"/>
  <c r="L256"/>
  <c r="M256"/>
  <c r="N256"/>
  <c r="P256"/>
  <c r="Q256" s="1"/>
  <c r="L257"/>
  <c r="M257"/>
  <c r="N257"/>
  <c r="P257"/>
  <c r="Q257" s="1"/>
  <c r="L258"/>
  <c r="M258"/>
  <c r="N258"/>
  <c r="P258"/>
  <c r="Q258" s="1"/>
  <c r="L259"/>
  <c r="M259"/>
  <c r="N259"/>
  <c r="P259"/>
  <c r="Q259" s="1"/>
  <c r="L260"/>
  <c r="M260"/>
  <c r="N260"/>
  <c r="P260"/>
  <c r="Q260" s="1"/>
  <c r="L261"/>
  <c r="M261"/>
  <c r="N261"/>
  <c r="P261"/>
  <c r="Q261" s="1"/>
  <c r="L262"/>
  <c r="M262"/>
  <c r="N262"/>
  <c r="P262"/>
  <c r="Q262" s="1"/>
  <c r="L263"/>
  <c r="M263"/>
  <c r="N263"/>
  <c r="P263"/>
  <c r="Q263" s="1"/>
  <c r="L264"/>
  <c r="M264"/>
  <c r="N264"/>
  <c r="P264"/>
  <c r="Q264" s="1"/>
  <c r="L265"/>
  <c r="M265"/>
  <c r="N265"/>
  <c r="P265"/>
  <c r="Q265" s="1"/>
  <c r="L266"/>
  <c r="M266"/>
  <c r="N266"/>
  <c r="P266"/>
  <c r="Q266" s="1"/>
  <c r="L267"/>
  <c r="M267"/>
  <c r="N267"/>
  <c r="P267"/>
  <c r="Q267" s="1"/>
  <c r="L268"/>
  <c r="M268"/>
  <c r="N268"/>
  <c r="P268"/>
  <c r="Q268" s="1"/>
  <c r="L269"/>
  <c r="M269"/>
  <c r="N269"/>
  <c r="P269"/>
  <c r="Q269" s="1"/>
  <c r="L270"/>
  <c r="M270"/>
  <c r="N270"/>
  <c r="P270"/>
  <c r="Q270" s="1"/>
  <c r="L271"/>
  <c r="M271"/>
  <c r="N271"/>
  <c r="P271"/>
  <c r="Q271" s="1"/>
  <c r="L272"/>
  <c r="M272"/>
  <c r="N272"/>
  <c r="P272"/>
  <c r="Q272" s="1"/>
  <c r="L273"/>
  <c r="M273"/>
  <c r="N273"/>
  <c r="P273"/>
  <c r="Q273" s="1"/>
  <c r="L274"/>
  <c r="M274"/>
  <c r="N274"/>
  <c r="P274"/>
  <c r="Q274" s="1"/>
  <c r="L275"/>
  <c r="M275"/>
  <c r="N275"/>
  <c r="P275"/>
  <c r="Q275" s="1"/>
  <c r="L276"/>
  <c r="M276"/>
  <c r="N276"/>
  <c r="P276"/>
  <c r="Q276" s="1"/>
  <c r="L277"/>
  <c r="M277"/>
  <c r="N277"/>
  <c r="P277"/>
  <c r="Q277" s="1"/>
  <c r="L278"/>
  <c r="M278"/>
  <c r="N278"/>
  <c r="P278"/>
  <c r="Q278" s="1"/>
  <c r="L279"/>
  <c r="M279"/>
  <c r="N279"/>
  <c r="P279"/>
  <c r="Q279" s="1"/>
  <c r="L280"/>
  <c r="M280"/>
  <c r="N280"/>
  <c r="P280"/>
  <c r="Q280" s="1"/>
  <c r="L281"/>
  <c r="M281"/>
  <c r="N281"/>
  <c r="P281"/>
  <c r="Q281" s="1"/>
  <c r="L282"/>
  <c r="M282"/>
  <c r="N282"/>
  <c r="P282"/>
  <c r="Q282" s="1"/>
  <c r="L283"/>
  <c r="M283"/>
  <c r="N283"/>
  <c r="P283"/>
  <c r="Q283" s="1"/>
  <c r="L284"/>
  <c r="M284"/>
  <c r="N284"/>
  <c r="P284"/>
  <c r="Q284" s="1"/>
  <c r="L285"/>
  <c r="M285"/>
  <c r="N285"/>
  <c r="P285"/>
  <c r="Q285" s="1"/>
  <c r="L286"/>
  <c r="M286"/>
  <c r="N286"/>
  <c r="P286"/>
  <c r="Q286" s="1"/>
  <c r="L287"/>
  <c r="M287"/>
  <c r="N287"/>
  <c r="P287"/>
  <c r="Q287" s="1"/>
  <c r="L288"/>
  <c r="M288"/>
  <c r="N288"/>
  <c r="P288"/>
  <c r="Q288" s="1"/>
  <c r="L289"/>
  <c r="M289"/>
  <c r="N289"/>
  <c r="P289"/>
  <c r="Q289" s="1"/>
  <c r="L290"/>
  <c r="M290"/>
  <c r="N290"/>
  <c r="P290"/>
  <c r="Q290" s="1"/>
  <c r="L291"/>
  <c r="M291"/>
  <c r="N291"/>
  <c r="P291"/>
  <c r="Q291" s="1"/>
  <c r="L292"/>
  <c r="M292"/>
  <c r="N292"/>
  <c r="P292"/>
  <c r="Q292" s="1"/>
  <c r="L293"/>
  <c r="M293"/>
  <c r="N293"/>
  <c r="P293"/>
  <c r="Q293" s="1"/>
  <c r="L294"/>
  <c r="M294"/>
  <c r="N294"/>
  <c r="P294"/>
  <c r="Q294" s="1"/>
  <c r="L295"/>
  <c r="M295"/>
  <c r="N295"/>
  <c r="P295"/>
  <c r="Q295" s="1"/>
  <c r="L296"/>
  <c r="M296"/>
  <c r="N296"/>
  <c r="P296"/>
  <c r="Q296" s="1"/>
  <c r="L297"/>
  <c r="M297"/>
  <c r="N297"/>
  <c r="P297"/>
  <c r="Q297" s="1"/>
  <c r="L298"/>
  <c r="M298"/>
  <c r="N298"/>
  <c r="P298"/>
  <c r="Q298" s="1"/>
  <c r="L299"/>
  <c r="M299"/>
  <c r="N299"/>
  <c r="P299"/>
  <c r="Q299" s="1"/>
  <c r="L300"/>
  <c r="M300"/>
  <c r="N300"/>
  <c r="P300"/>
  <c r="Q300" s="1"/>
  <c r="L301"/>
  <c r="M301"/>
  <c r="N301"/>
  <c r="P301"/>
  <c r="Q301" s="1"/>
  <c r="L302"/>
  <c r="M302"/>
  <c r="N302"/>
  <c r="P302"/>
  <c r="Q302" s="1"/>
  <c r="L303"/>
  <c r="M303"/>
  <c r="N303"/>
  <c r="P303"/>
  <c r="Q303" s="1"/>
  <c r="L304"/>
  <c r="M304"/>
  <c r="N304"/>
  <c r="P304"/>
  <c r="Q304" s="1"/>
  <c r="L305"/>
  <c r="M305"/>
  <c r="N305"/>
  <c r="P305"/>
  <c r="Q305" s="1"/>
  <c r="L306"/>
  <c r="M306"/>
  <c r="N306"/>
  <c r="P306"/>
  <c r="Q306" s="1"/>
  <c r="L307"/>
  <c r="M307"/>
  <c r="N307"/>
  <c r="P307"/>
  <c r="Q307" s="1"/>
  <c r="L308"/>
  <c r="M308"/>
  <c r="N308"/>
  <c r="P308"/>
  <c r="Q308" s="1"/>
  <c r="L309"/>
  <c r="M309"/>
  <c r="N309"/>
  <c r="P309"/>
  <c r="Q309" s="1"/>
  <c r="L310"/>
  <c r="M310"/>
  <c r="N310"/>
  <c r="P310"/>
  <c r="Q310" s="1"/>
  <c r="L311"/>
  <c r="M311"/>
  <c r="N311"/>
  <c r="P311"/>
  <c r="Q311" s="1"/>
  <c r="L312"/>
  <c r="M312"/>
  <c r="N312"/>
  <c r="P312"/>
  <c r="Q312" s="1"/>
  <c r="L313"/>
  <c r="M313"/>
  <c r="N313"/>
  <c r="P313"/>
  <c r="Q313" s="1"/>
  <c r="L314"/>
  <c r="M314"/>
  <c r="N314"/>
  <c r="P314"/>
  <c r="Q314" s="1"/>
  <c r="L315"/>
  <c r="M315"/>
  <c r="N315"/>
  <c r="P315"/>
  <c r="Q315" s="1"/>
  <c r="L316"/>
  <c r="M316"/>
  <c r="N316"/>
  <c r="P316"/>
  <c r="Q316" s="1"/>
  <c r="L317"/>
  <c r="M317"/>
  <c r="N317"/>
  <c r="P317"/>
  <c r="Q317" s="1"/>
  <c r="L318"/>
  <c r="M318"/>
  <c r="N318"/>
  <c r="P318"/>
  <c r="Q318" s="1"/>
  <c r="L319"/>
  <c r="M319"/>
  <c r="N319"/>
  <c r="P319"/>
  <c r="Q319" s="1"/>
  <c r="L320"/>
  <c r="M320"/>
  <c r="N320"/>
  <c r="P320"/>
  <c r="Q320" s="1"/>
  <c r="L321"/>
  <c r="M321"/>
  <c r="N321"/>
  <c r="P321"/>
  <c r="Q321" s="1"/>
  <c r="L322"/>
  <c r="M322"/>
  <c r="N322"/>
  <c r="P322"/>
  <c r="Q322" s="1"/>
  <c r="L323"/>
  <c r="M323"/>
  <c r="N323"/>
  <c r="P323"/>
  <c r="Q323" s="1"/>
  <c r="L324"/>
  <c r="M324"/>
  <c r="N324"/>
  <c r="P324"/>
  <c r="Q324" s="1"/>
  <c r="L325"/>
  <c r="M325"/>
  <c r="N325"/>
  <c r="P325"/>
  <c r="Q325" s="1"/>
  <c r="L326"/>
  <c r="M326"/>
  <c r="N326"/>
  <c r="P326"/>
  <c r="Q326" s="1"/>
  <c r="L327"/>
  <c r="M327"/>
  <c r="N327"/>
  <c r="P327"/>
  <c r="Q327" s="1"/>
  <c r="L328"/>
  <c r="M328"/>
  <c r="N328"/>
  <c r="P328"/>
  <c r="Q328" s="1"/>
  <c r="L329"/>
  <c r="M329"/>
  <c r="N329"/>
  <c r="P329"/>
  <c r="Q329" s="1"/>
  <c r="L330"/>
  <c r="M330"/>
  <c r="N330"/>
  <c r="P330"/>
  <c r="Q330" s="1"/>
  <c r="L331"/>
  <c r="M331"/>
  <c r="N331"/>
  <c r="P331"/>
  <c r="Q331" s="1"/>
  <c r="L332"/>
  <c r="M332"/>
  <c r="N332"/>
  <c r="P332"/>
  <c r="Q332" s="1"/>
  <c r="L333"/>
  <c r="M333"/>
  <c r="N333"/>
  <c r="P333"/>
  <c r="Q333" s="1"/>
  <c r="L334"/>
  <c r="M334"/>
  <c r="N334"/>
  <c r="P334"/>
  <c r="Q334" s="1"/>
  <c r="L335"/>
  <c r="M335"/>
  <c r="N335"/>
  <c r="P335"/>
  <c r="Q335" s="1"/>
  <c r="L336"/>
  <c r="M336"/>
  <c r="N336"/>
  <c r="P336"/>
  <c r="Q336" s="1"/>
  <c r="L337"/>
  <c r="M337"/>
  <c r="N337"/>
  <c r="P337"/>
  <c r="Q337" s="1"/>
  <c r="L338"/>
  <c r="M338"/>
  <c r="N338"/>
  <c r="P338"/>
  <c r="Q338" s="1"/>
  <c r="L339"/>
  <c r="M339"/>
  <c r="N339"/>
  <c r="P339"/>
  <c r="Q339" s="1"/>
  <c r="L340"/>
  <c r="M340"/>
  <c r="N340"/>
  <c r="P340"/>
  <c r="Q340" s="1"/>
  <c r="L341"/>
  <c r="M341"/>
  <c r="N341"/>
  <c r="P341"/>
  <c r="Q341" s="1"/>
  <c r="L342"/>
  <c r="M342"/>
  <c r="N342"/>
  <c r="P342"/>
  <c r="Q342" s="1"/>
  <c r="L343"/>
  <c r="M343"/>
  <c r="N343"/>
  <c r="P343"/>
  <c r="Q343" s="1"/>
  <c r="L344"/>
  <c r="M344"/>
  <c r="N344"/>
  <c r="P344"/>
  <c r="Q344" s="1"/>
  <c r="L345"/>
  <c r="M345"/>
  <c r="N345"/>
  <c r="P345"/>
  <c r="Q345" s="1"/>
  <c r="L346"/>
  <c r="M346"/>
  <c r="N346"/>
  <c r="P346"/>
  <c r="Q346" s="1"/>
  <c r="L347"/>
  <c r="M347"/>
  <c r="N347"/>
  <c r="P347"/>
  <c r="Q347" s="1"/>
  <c r="L348"/>
  <c r="M348"/>
  <c r="N348"/>
  <c r="P348"/>
  <c r="Q348" s="1"/>
  <c r="L349"/>
  <c r="M349"/>
  <c r="N349"/>
  <c r="P349"/>
  <c r="Q349" s="1"/>
  <c r="L350"/>
  <c r="M350"/>
  <c r="N350"/>
  <c r="P350"/>
  <c r="Q350" s="1"/>
  <c r="L351"/>
  <c r="M351"/>
  <c r="N351"/>
  <c r="P351"/>
  <c r="Q351" s="1"/>
  <c r="L352"/>
  <c r="M352"/>
  <c r="N352"/>
  <c r="P352"/>
  <c r="Q352" s="1"/>
  <c r="L353"/>
  <c r="M353"/>
  <c r="N353"/>
  <c r="P353"/>
  <c r="Q353" s="1"/>
  <c r="L354"/>
  <c r="M354"/>
  <c r="N354"/>
  <c r="P354"/>
  <c r="Q354" s="1"/>
  <c r="L355"/>
  <c r="M355"/>
  <c r="N355"/>
  <c r="P355"/>
  <c r="Q355" s="1"/>
  <c r="L356"/>
  <c r="M356"/>
  <c r="N356"/>
  <c r="P356"/>
  <c r="Q356" s="1"/>
  <c r="L357"/>
  <c r="M357"/>
  <c r="N357"/>
  <c r="P357"/>
  <c r="Q357" s="1"/>
  <c r="L358"/>
  <c r="M358"/>
  <c r="N358"/>
  <c r="P358"/>
  <c r="Q358" s="1"/>
  <c r="L359"/>
  <c r="M359"/>
  <c r="N359"/>
  <c r="P359"/>
  <c r="Q359" s="1"/>
  <c r="L360"/>
  <c r="M360"/>
  <c r="N360"/>
  <c r="P360"/>
  <c r="Q360" s="1"/>
  <c r="L361"/>
  <c r="M361"/>
  <c r="N361"/>
  <c r="P361"/>
  <c r="Q361" s="1"/>
  <c r="L362"/>
  <c r="M362"/>
  <c r="N362"/>
  <c r="P362"/>
  <c r="Q362" s="1"/>
  <c r="L363"/>
  <c r="M363"/>
  <c r="N363"/>
  <c r="P363"/>
  <c r="Q363" s="1"/>
  <c r="L364"/>
  <c r="M364"/>
  <c r="N364"/>
  <c r="P364"/>
  <c r="Q364" s="1"/>
  <c r="L365"/>
  <c r="M365"/>
  <c r="N365"/>
  <c r="P365"/>
  <c r="Q365" s="1"/>
  <c r="L366"/>
  <c r="M366"/>
  <c r="N366"/>
  <c r="P366"/>
  <c r="Q366" s="1"/>
  <c r="L367"/>
  <c r="M367"/>
  <c r="N367"/>
  <c r="P367"/>
  <c r="Q367" s="1"/>
  <c r="L368"/>
  <c r="M368"/>
  <c r="N368"/>
  <c r="P368"/>
  <c r="Q368" s="1"/>
  <c r="L369"/>
  <c r="M369"/>
  <c r="N369"/>
  <c r="P369"/>
  <c r="Q369" s="1"/>
  <c r="L370"/>
  <c r="M370"/>
  <c r="N370"/>
  <c r="P370"/>
  <c r="Q370" s="1"/>
  <c r="L371"/>
  <c r="M371"/>
  <c r="N371"/>
  <c r="P371"/>
  <c r="Q371" s="1"/>
  <c r="L372"/>
  <c r="M372"/>
  <c r="N372"/>
  <c r="P372"/>
  <c r="Q372" s="1"/>
  <c r="L373"/>
  <c r="M373"/>
  <c r="N373"/>
  <c r="P373"/>
  <c r="Q373" s="1"/>
  <c r="L374"/>
  <c r="M374"/>
  <c r="N374"/>
  <c r="P374"/>
  <c r="Q374" s="1"/>
  <c r="L375"/>
  <c r="M375"/>
  <c r="N375"/>
  <c r="P375"/>
  <c r="Q375" s="1"/>
  <c r="L376"/>
  <c r="M376"/>
  <c r="N376"/>
  <c r="P376"/>
  <c r="Q376" s="1"/>
  <c r="L377"/>
  <c r="M377"/>
  <c r="N377"/>
  <c r="P377"/>
  <c r="Q377" s="1"/>
  <c r="L378"/>
  <c r="M378"/>
  <c r="N378"/>
  <c r="P378"/>
  <c r="Q378" s="1"/>
  <c r="L379"/>
  <c r="M379"/>
  <c r="N379"/>
  <c r="P379"/>
  <c r="Q379" s="1"/>
  <c r="L380"/>
  <c r="M380"/>
  <c r="N380"/>
  <c r="P380"/>
  <c r="Q380" s="1"/>
  <c r="L381"/>
  <c r="M381"/>
  <c r="N381"/>
  <c r="P381"/>
  <c r="Q381" s="1"/>
  <c r="L382"/>
  <c r="M382"/>
  <c r="N382"/>
  <c r="P382"/>
  <c r="Q382" s="1"/>
  <c r="L89"/>
  <c r="M89"/>
  <c r="N89"/>
  <c r="P89"/>
  <c r="G747" i="17"/>
  <c r="G747" i="12"/>
  <c r="J746" i="17"/>
  <c r="K746" s="1"/>
  <c r="N747" i="12"/>
  <c r="I537" i="10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K537" i="7"/>
  <c r="L537"/>
  <c r="K538"/>
  <c r="L538"/>
  <c r="K539"/>
  <c r="L539"/>
  <c r="K540"/>
  <c r="L540"/>
  <c r="K541"/>
  <c r="L541"/>
  <c r="K542"/>
  <c r="L542"/>
  <c r="K543"/>
  <c r="L543"/>
  <c r="K544"/>
  <c r="L544"/>
  <c r="K545"/>
  <c r="L545"/>
  <c r="K546"/>
  <c r="L546"/>
  <c r="K547"/>
  <c r="L547"/>
  <c r="K548"/>
  <c r="L548"/>
  <c r="K549"/>
  <c r="L549"/>
  <c r="K550"/>
  <c r="L550"/>
  <c r="K551"/>
  <c r="L551"/>
  <c r="K552"/>
  <c r="L552"/>
  <c r="K553"/>
  <c r="L553"/>
  <c r="K554"/>
  <c r="L554"/>
  <c r="K555"/>
  <c r="L555"/>
  <c r="K556"/>
  <c r="L556"/>
  <c r="K557"/>
  <c r="L557"/>
  <c r="K558"/>
  <c r="L558"/>
  <c r="K559"/>
  <c r="L559"/>
  <c r="K560"/>
  <c r="L560"/>
  <c r="K561"/>
  <c r="L561"/>
  <c r="K562"/>
  <c r="L562"/>
  <c r="K563"/>
  <c r="L563"/>
  <c r="K564"/>
  <c r="L564"/>
  <c r="K565"/>
  <c r="L565"/>
  <c r="K566"/>
  <c r="L566"/>
  <c r="K567"/>
  <c r="L567"/>
  <c r="K568"/>
  <c r="L568"/>
  <c r="K569"/>
  <c r="L569"/>
  <c r="K570"/>
  <c r="L570"/>
  <c r="K571"/>
  <c r="L571"/>
  <c r="K572"/>
  <c r="L572"/>
  <c r="K573"/>
  <c r="L573"/>
  <c r="K574"/>
  <c r="L574"/>
  <c r="K575"/>
  <c r="L575"/>
  <c r="K576"/>
  <c r="L576"/>
  <c r="K577"/>
  <c r="L577"/>
  <c r="K578"/>
  <c r="L578"/>
  <c r="K579"/>
  <c r="L579"/>
  <c r="K580"/>
  <c r="L580"/>
  <c r="K581"/>
  <c r="L581"/>
  <c r="K582"/>
  <c r="L582"/>
  <c r="K583"/>
  <c r="L583"/>
  <c r="K584"/>
  <c r="L584"/>
  <c r="K585"/>
  <c r="L585"/>
  <c r="K586"/>
  <c r="L586"/>
  <c r="K587"/>
  <c r="L587"/>
  <c r="K588"/>
  <c r="L588"/>
  <c r="K589"/>
  <c r="L589"/>
  <c r="K590"/>
  <c r="L590"/>
  <c r="K591"/>
  <c r="L591"/>
  <c r="K592"/>
  <c r="L592"/>
  <c r="K593"/>
  <c r="L593"/>
  <c r="K594"/>
  <c r="L594"/>
  <c r="K595"/>
  <c r="L595"/>
  <c r="K596"/>
  <c r="L596"/>
  <c r="K597"/>
  <c r="L597"/>
  <c r="K598"/>
  <c r="L598"/>
  <c r="K599"/>
  <c r="L599"/>
  <c r="K600"/>
  <c r="L600"/>
  <c r="K601"/>
  <c r="L601"/>
  <c r="K602"/>
  <c r="L602"/>
  <c r="K603"/>
  <c r="L603"/>
  <c r="K604"/>
  <c r="L604"/>
  <c r="K605"/>
  <c r="L605"/>
  <c r="K606"/>
  <c r="L606"/>
  <c r="K607"/>
  <c r="L607"/>
  <c r="K608"/>
  <c r="L608"/>
  <c r="K609"/>
  <c r="L609"/>
  <c r="K610"/>
  <c r="L610"/>
  <c r="K611"/>
  <c r="L611"/>
  <c r="K612"/>
  <c r="L612"/>
  <c r="K613"/>
  <c r="L613"/>
  <c r="K614"/>
  <c r="L614"/>
  <c r="K615"/>
  <c r="L615"/>
  <c r="K616"/>
  <c r="L616"/>
  <c r="K617"/>
  <c r="L617"/>
  <c r="K618"/>
  <c r="L618"/>
  <c r="K619"/>
  <c r="L619"/>
  <c r="K620"/>
  <c r="L620"/>
  <c r="K621"/>
  <c r="L621"/>
  <c r="K622"/>
  <c r="L622"/>
  <c r="K623"/>
  <c r="L623"/>
  <c r="K624"/>
  <c r="L624"/>
  <c r="K625"/>
  <c r="L625"/>
  <c r="K626"/>
  <c r="L626"/>
  <c r="K627"/>
  <c r="L627"/>
  <c r="K628"/>
  <c r="L628"/>
  <c r="K629"/>
  <c r="L629"/>
  <c r="K630"/>
  <c r="L630"/>
  <c r="K631"/>
  <c r="L631"/>
  <c r="K632"/>
  <c r="L632"/>
  <c r="K633"/>
  <c r="L633"/>
  <c r="K634"/>
  <c r="L634"/>
  <c r="K635"/>
  <c r="L635"/>
  <c r="K636"/>
  <c r="L636"/>
  <c r="K637"/>
  <c r="L637"/>
  <c r="K638"/>
  <c r="L638"/>
  <c r="K639"/>
  <c r="L639"/>
  <c r="K640"/>
  <c r="L640"/>
  <c r="K641"/>
  <c r="L641"/>
  <c r="K642"/>
  <c r="L642"/>
  <c r="K643"/>
  <c r="L643"/>
  <c r="K644"/>
  <c r="L644"/>
  <c r="K645"/>
  <c r="L645"/>
  <c r="K646"/>
  <c r="L646"/>
  <c r="K647"/>
  <c r="L647"/>
  <c r="K648"/>
  <c r="L648"/>
  <c r="K649"/>
  <c r="L649"/>
  <c r="K650"/>
  <c r="L650"/>
  <c r="K651"/>
  <c r="L651"/>
  <c r="K652"/>
  <c r="L652"/>
  <c r="K653"/>
  <c r="L653"/>
  <c r="K654"/>
  <c r="L654"/>
  <c r="K655"/>
  <c r="L655"/>
  <c r="K656"/>
  <c r="L656"/>
  <c r="K657"/>
  <c r="L657"/>
  <c r="K658"/>
  <c r="L658"/>
  <c r="K659"/>
  <c r="L659"/>
  <c r="K660"/>
  <c r="L660"/>
  <c r="K661"/>
  <c r="L661"/>
  <c r="K662"/>
  <c r="L662"/>
  <c r="K663"/>
  <c r="L663"/>
  <c r="K664"/>
  <c r="L664"/>
  <c r="K665"/>
  <c r="L665"/>
  <c r="K666"/>
  <c r="L666"/>
  <c r="K667"/>
  <c r="L667"/>
  <c r="K668"/>
  <c r="L668"/>
  <c r="K669"/>
  <c r="L669"/>
  <c r="K670"/>
  <c r="L670"/>
  <c r="K671"/>
  <c r="L671"/>
  <c r="K672"/>
  <c r="L672"/>
  <c r="K673"/>
  <c r="L673"/>
  <c r="K674"/>
  <c r="L674"/>
  <c r="K675"/>
  <c r="L675"/>
  <c r="K676"/>
  <c r="L676"/>
  <c r="K677"/>
  <c r="L677"/>
  <c r="K678"/>
  <c r="L678"/>
  <c r="K679"/>
  <c r="L679"/>
  <c r="K680"/>
  <c r="L680"/>
  <c r="K681"/>
  <c r="L681"/>
  <c r="K682"/>
  <c r="L682"/>
  <c r="K683"/>
  <c r="L683"/>
  <c r="K684"/>
  <c r="L684"/>
  <c r="K685"/>
  <c r="L685"/>
  <c r="K686"/>
  <c r="L686"/>
  <c r="K687"/>
  <c r="L687"/>
  <c r="K688"/>
  <c r="L688"/>
  <c r="K689"/>
  <c r="L689"/>
  <c r="K690"/>
  <c r="L690"/>
  <c r="K691"/>
  <c r="L691"/>
  <c r="K692"/>
  <c r="L692"/>
  <c r="K693"/>
  <c r="L693"/>
  <c r="K694"/>
  <c r="L694"/>
  <c r="K695"/>
  <c r="L695"/>
  <c r="K696"/>
  <c r="L696"/>
  <c r="K697"/>
  <c r="L697"/>
  <c r="K698"/>
  <c r="L698"/>
  <c r="K699"/>
  <c r="L699"/>
  <c r="K700"/>
  <c r="L700"/>
  <c r="K701"/>
  <c r="L701"/>
  <c r="K702"/>
  <c r="L702"/>
  <c r="K703"/>
  <c r="L703"/>
  <c r="K704"/>
  <c r="L704"/>
  <c r="K705"/>
  <c r="L705"/>
  <c r="K706"/>
  <c r="L706"/>
  <c r="K707"/>
  <c r="L707"/>
  <c r="K708"/>
  <c r="L708"/>
  <c r="K709"/>
  <c r="L709"/>
  <c r="K710"/>
  <c r="L710"/>
  <c r="K711"/>
  <c r="L711"/>
  <c r="K712"/>
  <c r="L712"/>
  <c r="K713"/>
  <c r="L713"/>
  <c r="K714"/>
  <c r="L714"/>
  <c r="K715"/>
  <c r="L715"/>
  <c r="K716"/>
  <c r="L716"/>
  <c r="K717"/>
  <c r="L717"/>
  <c r="K718"/>
  <c r="L718"/>
  <c r="K719"/>
  <c r="L719"/>
  <c r="K720"/>
  <c r="L720"/>
  <c r="K721"/>
  <c r="L721"/>
  <c r="K722"/>
  <c r="L722"/>
  <c r="K723"/>
  <c r="L723"/>
  <c r="K724"/>
  <c r="L724"/>
  <c r="K725"/>
  <c r="L725"/>
  <c r="K726"/>
  <c r="L726"/>
  <c r="K727"/>
  <c r="L727"/>
  <c r="K728"/>
  <c r="L728"/>
  <c r="K729"/>
  <c r="L729"/>
  <c r="K730"/>
  <c r="L730"/>
  <c r="K731"/>
  <c r="L731"/>
  <c r="K732"/>
  <c r="L732"/>
  <c r="K733"/>
  <c r="L733"/>
  <c r="K734"/>
  <c r="L734"/>
  <c r="K735"/>
  <c r="L735"/>
  <c r="K736"/>
  <c r="L736"/>
  <c r="K737"/>
  <c r="L737"/>
  <c r="K738"/>
  <c r="L738"/>
  <c r="K739"/>
  <c r="L739"/>
  <c r="K740"/>
  <c r="L740"/>
  <c r="K741"/>
  <c r="L741"/>
  <c r="K742"/>
  <c r="L742"/>
  <c r="K743"/>
  <c r="L743"/>
  <c r="K744"/>
  <c r="L744"/>
  <c r="K745"/>
  <c r="L745"/>
  <c r="K746"/>
  <c r="L746"/>
  <c r="L747" i="10"/>
  <c r="J745"/>
  <c r="K745"/>
  <c r="M745"/>
  <c r="J746"/>
  <c r="K746"/>
  <c r="M746"/>
  <c r="H747"/>
  <c r="I747" s="1"/>
  <c r="J747" s="1"/>
  <c r="K747" s="1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7"/>
  <c r="M746" i="7"/>
  <c r="N746"/>
  <c r="P746"/>
  <c r="J747"/>
  <c r="L747" s="1"/>
  <c r="H747"/>
  <c r="K747" s="1"/>
  <c r="H747" i="5"/>
  <c r="K746"/>
  <c r="L746" s="1"/>
  <c r="G747" i="4"/>
  <c r="I746" i="3"/>
  <c r="J746"/>
  <c r="K746"/>
  <c r="M746"/>
  <c r="N746" s="1"/>
  <c r="F746" i="13"/>
  <c r="G746" s="1"/>
  <c r="I746" s="1"/>
  <c r="F746" i="17"/>
  <c r="F746" i="12"/>
  <c r="Q746" s="1"/>
  <c r="F746" i="18"/>
  <c r="F746" i="14"/>
  <c r="F746" i="8"/>
  <c r="F746" i="11"/>
  <c r="M746" s="1"/>
  <c r="F746" i="10"/>
  <c r="F746" i="7"/>
  <c r="F746" i="9"/>
  <c r="G746" s="1"/>
  <c r="F746" i="5"/>
  <c r="F746" i="6"/>
  <c r="G746" s="1"/>
  <c r="F746" i="4"/>
  <c r="I746" s="1"/>
  <c r="F746" i="22" s="1"/>
  <c r="F746" i="3"/>
  <c r="G746" i="2"/>
  <c r="C747"/>
  <c r="J889" i="17"/>
  <c r="K889"/>
  <c r="O889"/>
  <c r="L889"/>
  <c r="M889"/>
  <c r="L556" i="12"/>
  <c r="M556"/>
  <c r="L564"/>
  <c r="M564"/>
  <c r="L565"/>
  <c r="M565"/>
  <c r="L568"/>
  <c r="M568"/>
  <c r="F418" i="18"/>
  <c r="G418" s="1"/>
  <c r="F417"/>
  <c r="G417" s="1"/>
  <c r="F416"/>
  <c r="G416" s="1"/>
  <c r="F415"/>
  <c r="G415" s="1"/>
  <c r="F414"/>
  <c r="G414" s="1"/>
  <c r="F413"/>
  <c r="G413" s="1"/>
  <c r="F412"/>
  <c r="G412" s="1"/>
  <c r="F411"/>
  <c r="G411" s="1"/>
  <c r="F410"/>
  <c r="G410" s="1"/>
  <c r="F409"/>
  <c r="G409" s="1"/>
  <c r="F408"/>
  <c r="G408" s="1"/>
  <c r="F407"/>
  <c r="G407" s="1"/>
  <c r="F406"/>
  <c r="G406" s="1"/>
  <c r="F405"/>
  <c r="G405" s="1"/>
  <c r="F404"/>
  <c r="G404" s="1"/>
  <c r="F403"/>
  <c r="G403" s="1"/>
  <c r="F402"/>
  <c r="G402" s="1"/>
  <c r="F401"/>
  <c r="G401" s="1"/>
  <c r="F400"/>
  <c r="G400" s="1"/>
  <c r="F399"/>
  <c r="G399" s="1"/>
  <c r="F398"/>
  <c r="G398" s="1"/>
  <c r="F397"/>
  <c r="G397" s="1"/>
  <c r="F396"/>
  <c r="G396" s="1"/>
  <c r="F395"/>
  <c r="G395" s="1"/>
  <c r="F394"/>
  <c r="G394" s="1"/>
  <c r="F393"/>
  <c r="G393" s="1"/>
  <c r="F392"/>
  <c r="G392" s="1"/>
  <c r="F391"/>
  <c r="G391" s="1"/>
  <c r="F390"/>
  <c r="G390" s="1"/>
  <c r="F389"/>
  <c r="G389" s="1"/>
  <c r="F388"/>
  <c r="G388" s="1"/>
  <c r="F387"/>
  <c r="G387" s="1"/>
  <c r="F386"/>
  <c r="F1118"/>
  <c r="G1118" s="1"/>
  <c r="F965"/>
  <c r="G965" s="1"/>
  <c r="H419"/>
  <c r="I419"/>
  <c r="H420"/>
  <c r="I420"/>
  <c r="H421"/>
  <c r="I421"/>
  <c r="H422"/>
  <c r="I422"/>
  <c r="H423"/>
  <c r="I423"/>
  <c r="H424"/>
  <c r="I424"/>
  <c r="H425"/>
  <c r="I425"/>
  <c r="H426"/>
  <c r="I426"/>
  <c r="H427"/>
  <c r="I427"/>
  <c r="H428"/>
  <c r="I428"/>
  <c r="H429"/>
  <c r="I429"/>
  <c r="H430"/>
  <c r="I430"/>
  <c r="H431"/>
  <c r="I431"/>
  <c r="H432"/>
  <c r="I432"/>
  <c r="H433"/>
  <c r="I433"/>
  <c r="H434"/>
  <c r="I434"/>
  <c r="H435"/>
  <c r="I435"/>
  <c r="H436"/>
  <c r="I436"/>
  <c r="H437"/>
  <c r="I437"/>
  <c r="H438"/>
  <c r="I438"/>
  <c r="H439"/>
  <c r="I439"/>
  <c r="H440"/>
  <c r="I440"/>
  <c r="H441"/>
  <c r="I441"/>
  <c r="H442"/>
  <c r="I442"/>
  <c r="H443"/>
  <c r="I443"/>
  <c r="H444"/>
  <c r="I444"/>
  <c r="H445"/>
  <c r="I445"/>
  <c r="H446"/>
  <c r="I446"/>
  <c r="H447"/>
  <c r="I447"/>
  <c r="H448"/>
  <c r="I448"/>
  <c r="H449"/>
  <c r="I449"/>
  <c r="H450"/>
  <c r="I450"/>
  <c r="H451"/>
  <c r="I451"/>
  <c r="H452"/>
  <c r="I452"/>
  <c r="H453"/>
  <c r="I453"/>
  <c r="H454"/>
  <c r="I454"/>
  <c r="H455"/>
  <c r="I455"/>
  <c r="H456"/>
  <c r="I456"/>
  <c r="H457"/>
  <c r="I457"/>
  <c r="H458"/>
  <c r="I458"/>
  <c r="H459"/>
  <c r="I459"/>
  <c r="H460"/>
  <c r="I460"/>
  <c r="H461"/>
  <c r="I461"/>
  <c r="H462"/>
  <c r="I462"/>
  <c r="H463"/>
  <c r="I463"/>
  <c r="H464"/>
  <c r="I464"/>
  <c r="H465"/>
  <c r="I465"/>
  <c r="H466"/>
  <c r="I466"/>
  <c r="H467"/>
  <c r="I467"/>
  <c r="H468"/>
  <c r="I468"/>
  <c r="H469"/>
  <c r="I469"/>
  <c r="H470"/>
  <c r="I470"/>
  <c r="H471"/>
  <c r="I471"/>
  <c r="H472"/>
  <c r="I472"/>
  <c r="H473"/>
  <c r="I473"/>
  <c r="H474"/>
  <c r="I474"/>
  <c r="H475"/>
  <c r="I475"/>
  <c r="H476"/>
  <c r="I476"/>
  <c r="H477"/>
  <c r="I477"/>
  <c r="H478"/>
  <c r="I478"/>
  <c r="H479"/>
  <c r="I479"/>
  <c r="H480"/>
  <c r="I480"/>
  <c r="H481"/>
  <c r="I481"/>
  <c r="H482"/>
  <c r="I482"/>
  <c r="H483"/>
  <c r="I483"/>
  <c r="H484"/>
  <c r="I484"/>
  <c r="H485"/>
  <c r="I485"/>
  <c r="H486"/>
  <c r="I486"/>
  <c r="H487"/>
  <c r="I487"/>
  <c r="H488"/>
  <c r="I488"/>
  <c r="H489"/>
  <c r="I489"/>
  <c r="H490"/>
  <c r="I490"/>
  <c r="H491"/>
  <c r="I491"/>
  <c r="H492"/>
  <c r="I492"/>
  <c r="H493"/>
  <c r="I493"/>
  <c r="H494"/>
  <c r="I494"/>
  <c r="H495"/>
  <c r="I495"/>
  <c r="H496"/>
  <c r="I496"/>
  <c r="H497"/>
  <c r="I497"/>
  <c r="H498"/>
  <c r="I498"/>
  <c r="H499"/>
  <c r="I499"/>
  <c r="H500"/>
  <c r="I500"/>
  <c r="H501"/>
  <c r="I501"/>
  <c r="H502"/>
  <c r="I502"/>
  <c r="H503"/>
  <c r="I503"/>
  <c r="H504"/>
  <c r="I504"/>
  <c r="H505"/>
  <c r="I505"/>
  <c r="H506"/>
  <c r="I506"/>
  <c r="H507"/>
  <c r="I507"/>
  <c r="H508"/>
  <c r="I508"/>
  <c r="H509"/>
  <c r="I509"/>
  <c r="H510"/>
  <c r="I510"/>
  <c r="H511"/>
  <c r="I511"/>
  <c r="H512"/>
  <c r="I512"/>
  <c r="H513"/>
  <c r="I513"/>
  <c r="H514"/>
  <c r="I514"/>
  <c r="H515"/>
  <c r="I515"/>
  <c r="H516"/>
  <c r="I516"/>
  <c r="H517"/>
  <c r="I517"/>
  <c r="H518"/>
  <c r="I518"/>
  <c r="H519"/>
  <c r="I519"/>
  <c r="H520"/>
  <c r="I520"/>
  <c r="H521"/>
  <c r="I521"/>
  <c r="H522"/>
  <c r="I522"/>
  <c r="H523"/>
  <c r="I523"/>
  <c r="H524"/>
  <c r="I524"/>
  <c r="H525"/>
  <c r="I525"/>
  <c r="H526"/>
  <c r="I526"/>
  <c r="H527"/>
  <c r="I527"/>
  <c r="H528"/>
  <c r="I528"/>
  <c r="H529"/>
  <c r="I529"/>
  <c r="H530"/>
  <c r="I530"/>
  <c r="H531"/>
  <c r="I531"/>
  <c r="H532"/>
  <c r="I532"/>
  <c r="H533"/>
  <c r="I533"/>
  <c r="H534"/>
  <c r="I534"/>
  <c r="C535"/>
  <c r="D535"/>
  <c r="E535"/>
  <c r="F541" i="14"/>
  <c r="G541" s="1"/>
  <c r="J747"/>
  <c r="J537" i="10"/>
  <c r="K537"/>
  <c r="J538"/>
  <c r="K538"/>
  <c r="J539"/>
  <c r="K539"/>
  <c r="J540"/>
  <c r="K540"/>
  <c r="J541"/>
  <c r="K541"/>
  <c r="J542"/>
  <c r="K542"/>
  <c r="J543"/>
  <c r="K543"/>
  <c r="J544"/>
  <c r="K544"/>
  <c r="J545"/>
  <c r="K545"/>
  <c r="J546"/>
  <c r="K546"/>
  <c r="J547"/>
  <c r="K547"/>
  <c r="J548"/>
  <c r="K548"/>
  <c r="J549"/>
  <c r="K549"/>
  <c r="J550"/>
  <c r="K550"/>
  <c r="J551"/>
  <c r="K551"/>
  <c r="J552"/>
  <c r="K552"/>
  <c r="J553"/>
  <c r="K553"/>
  <c r="J554"/>
  <c r="K554"/>
  <c r="J555"/>
  <c r="K555"/>
  <c r="J556"/>
  <c r="K556"/>
  <c r="J557"/>
  <c r="K557"/>
  <c r="J558"/>
  <c r="K558"/>
  <c r="J559"/>
  <c r="K559"/>
  <c r="J560"/>
  <c r="K560"/>
  <c r="J561"/>
  <c r="K561"/>
  <c r="J562"/>
  <c r="K562"/>
  <c r="J563"/>
  <c r="K563"/>
  <c r="J564"/>
  <c r="K564"/>
  <c r="J565"/>
  <c r="K565"/>
  <c r="J566"/>
  <c r="K566"/>
  <c r="J567"/>
  <c r="K567"/>
  <c r="J568"/>
  <c r="K568"/>
  <c r="J569"/>
  <c r="K569"/>
  <c r="J570"/>
  <c r="K570"/>
  <c r="J571"/>
  <c r="K571"/>
  <c r="J572"/>
  <c r="K572"/>
  <c r="J573"/>
  <c r="K573"/>
  <c r="J574"/>
  <c r="K574"/>
  <c r="J575"/>
  <c r="K575"/>
  <c r="J576"/>
  <c r="K576"/>
  <c r="J577"/>
  <c r="K577"/>
  <c r="J578"/>
  <c r="K578"/>
  <c r="J579"/>
  <c r="K579"/>
  <c r="J580"/>
  <c r="K580"/>
  <c r="J581"/>
  <c r="K581"/>
  <c r="J582"/>
  <c r="K582"/>
  <c r="J583"/>
  <c r="K583"/>
  <c r="J584"/>
  <c r="K584"/>
  <c r="J585"/>
  <c r="K585"/>
  <c r="J586"/>
  <c r="K586"/>
  <c r="J587"/>
  <c r="K587"/>
  <c r="J588"/>
  <c r="K588"/>
  <c r="J589"/>
  <c r="K589"/>
  <c r="J590"/>
  <c r="K590"/>
  <c r="J591"/>
  <c r="K591"/>
  <c r="J592"/>
  <c r="K592"/>
  <c r="J593"/>
  <c r="K593"/>
  <c r="J594"/>
  <c r="K594"/>
  <c r="J595"/>
  <c r="K595"/>
  <c r="J596"/>
  <c r="K596"/>
  <c r="J597"/>
  <c r="K597"/>
  <c r="J598"/>
  <c r="K598"/>
  <c r="J599"/>
  <c r="K599"/>
  <c r="J600"/>
  <c r="K600"/>
  <c r="J601"/>
  <c r="K601"/>
  <c r="J602"/>
  <c r="K602"/>
  <c r="J603"/>
  <c r="K603"/>
  <c r="J604"/>
  <c r="K604"/>
  <c r="J605"/>
  <c r="K605"/>
  <c r="J606"/>
  <c r="K606"/>
  <c r="J607"/>
  <c r="K607"/>
  <c r="J608"/>
  <c r="K608"/>
  <c r="J609"/>
  <c r="K609"/>
  <c r="J610"/>
  <c r="K610"/>
  <c r="J611"/>
  <c r="K611"/>
  <c r="J612"/>
  <c r="K612"/>
  <c r="J613"/>
  <c r="K613"/>
  <c r="J614"/>
  <c r="K614"/>
  <c r="J615"/>
  <c r="K615"/>
  <c r="J616"/>
  <c r="K616"/>
  <c r="J617"/>
  <c r="K617"/>
  <c r="J618"/>
  <c r="K618"/>
  <c r="J619"/>
  <c r="K619"/>
  <c r="J620"/>
  <c r="K620"/>
  <c r="J621"/>
  <c r="K621"/>
  <c r="J622"/>
  <c r="K622"/>
  <c r="J623"/>
  <c r="K623"/>
  <c r="J624"/>
  <c r="K624"/>
  <c r="J625"/>
  <c r="K625"/>
  <c r="J626"/>
  <c r="K626"/>
  <c r="J627"/>
  <c r="K627"/>
  <c r="J628"/>
  <c r="K628"/>
  <c r="J629"/>
  <c r="K629"/>
  <c r="J630"/>
  <c r="K630"/>
  <c r="J631"/>
  <c r="K631"/>
  <c r="J632"/>
  <c r="K632"/>
  <c r="J633"/>
  <c r="K633"/>
  <c r="J634"/>
  <c r="K634"/>
  <c r="J635"/>
  <c r="K635"/>
  <c r="J636"/>
  <c r="K636"/>
  <c r="J637"/>
  <c r="K637"/>
  <c r="J638"/>
  <c r="K638"/>
  <c r="J639"/>
  <c r="K639"/>
  <c r="J640"/>
  <c r="K640"/>
  <c r="J641"/>
  <c r="K641"/>
  <c r="J642"/>
  <c r="K642"/>
  <c r="J643"/>
  <c r="K643"/>
  <c r="J644"/>
  <c r="K644"/>
  <c r="J645"/>
  <c r="K645"/>
  <c r="J646"/>
  <c r="K646"/>
  <c r="J647"/>
  <c r="K647"/>
  <c r="J648"/>
  <c r="K648"/>
  <c r="J649"/>
  <c r="K649"/>
  <c r="J650"/>
  <c r="K650"/>
  <c r="J651"/>
  <c r="K651"/>
  <c r="J652"/>
  <c r="K652"/>
  <c r="J653"/>
  <c r="K653"/>
  <c r="J654"/>
  <c r="K654"/>
  <c r="J655"/>
  <c r="K655"/>
  <c r="J656"/>
  <c r="K656"/>
  <c r="J657"/>
  <c r="K657"/>
  <c r="J658"/>
  <c r="K658"/>
  <c r="J659"/>
  <c r="K659"/>
  <c r="J660"/>
  <c r="K660"/>
  <c r="J661"/>
  <c r="K661"/>
  <c r="J662"/>
  <c r="K662"/>
  <c r="J663"/>
  <c r="K663"/>
  <c r="J664"/>
  <c r="K664"/>
  <c r="J665"/>
  <c r="K665"/>
  <c r="J666"/>
  <c r="K666"/>
  <c r="J667"/>
  <c r="K667"/>
  <c r="J668"/>
  <c r="K668"/>
  <c r="J669"/>
  <c r="K669"/>
  <c r="J670"/>
  <c r="K670"/>
  <c r="J671"/>
  <c r="K671"/>
  <c r="J672"/>
  <c r="K672"/>
  <c r="J673"/>
  <c r="K673"/>
  <c r="J674"/>
  <c r="K674"/>
  <c r="J675"/>
  <c r="K675"/>
  <c r="J676"/>
  <c r="K676"/>
  <c r="J677"/>
  <c r="K677"/>
  <c r="J678"/>
  <c r="K678"/>
  <c r="J679"/>
  <c r="K679"/>
  <c r="J680"/>
  <c r="K680"/>
  <c r="J681"/>
  <c r="K681"/>
  <c r="J682"/>
  <c r="K682"/>
  <c r="J683"/>
  <c r="K683"/>
  <c r="J684"/>
  <c r="K684"/>
  <c r="J685"/>
  <c r="K685"/>
  <c r="J686"/>
  <c r="K686"/>
  <c r="J687"/>
  <c r="K687"/>
  <c r="J688"/>
  <c r="K688"/>
  <c r="J689"/>
  <c r="K689"/>
  <c r="J690"/>
  <c r="K690"/>
  <c r="J691"/>
  <c r="K691"/>
  <c r="J692"/>
  <c r="K692"/>
  <c r="J693"/>
  <c r="K693"/>
  <c r="J694"/>
  <c r="K694"/>
  <c r="J695"/>
  <c r="K695"/>
  <c r="J696"/>
  <c r="K696"/>
  <c r="J697"/>
  <c r="K697"/>
  <c r="J698"/>
  <c r="K698"/>
  <c r="J699"/>
  <c r="K699"/>
  <c r="J700"/>
  <c r="K700"/>
  <c r="J701"/>
  <c r="K701"/>
  <c r="J702"/>
  <c r="K702"/>
  <c r="J703"/>
  <c r="K703"/>
  <c r="J704"/>
  <c r="K704"/>
  <c r="J705"/>
  <c r="K705"/>
  <c r="J706"/>
  <c r="K706"/>
  <c r="J707"/>
  <c r="K707"/>
  <c r="J708"/>
  <c r="K708"/>
  <c r="J709"/>
  <c r="K709"/>
  <c r="J710"/>
  <c r="K710"/>
  <c r="J711"/>
  <c r="K711"/>
  <c r="J712"/>
  <c r="K712"/>
  <c r="J713"/>
  <c r="K713"/>
  <c r="J714"/>
  <c r="K714"/>
  <c r="J715"/>
  <c r="K715"/>
  <c r="J716"/>
  <c r="K716"/>
  <c r="J717"/>
  <c r="K717"/>
  <c r="J718"/>
  <c r="K718"/>
  <c r="J719"/>
  <c r="K719"/>
  <c r="J720"/>
  <c r="K720"/>
  <c r="J721"/>
  <c r="K721"/>
  <c r="J722"/>
  <c r="K722"/>
  <c r="J723"/>
  <c r="K723"/>
  <c r="J724"/>
  <c r="K724"/>
  <c r="J725"/>
  <c r="K725"/>
  <c r="J726"/>
  <c r="K726"/>
  <c r="J727"/>
  <c r="K727"/>
  <c r="J728"/>
  <c r="K728"/>
  <c r="J729"/>
  <c r="K729"/>
  <c r="J730"/>
  <c r="K730"/>
  <c r="J731"/>
  <c r="K731"/>
  <c r="J732"/>
  <c r="K732"/>
  <c r="J733"/>
  <c r="K733"/>
  <c r="J734"/>
  <c r="K734"/>
  <c r="J735"/>
  <c r="K735"/>
  <c r="J736"/>
  <c r="K736"/>
  <c r="J737"/>
  <c r="K737"/>
  <c r="J738"/>
  <c r="K738"/>
  <c r="J739"/>
  <c r="K739"/>
  <c r="J740"/>
  <c r="K740"/>
  <c r="J741"/>
  <c r="K741"/>
  <c r="J742"/>
  <c r="K742"/>
  <c r="J743"/>
  <c r="K743"/>
  <c r="J744"/>
  <c r="K744"/>
  <c r="P537" i="7"/>
  <c r="M537"/>
  <c r="N537"/>
  <c r="P538"/>
  <c r="M538"/>
  <c r="N538"/>
  <c r="P539"/>
  <c r="M539"/>
  <c r="N539"/>
  <c r="P540"/>
  <c r="M540"/>
  <c r="N540"/>
  <c r="P541"/>
  <c r="M541"/>
  <c r="N541"/>
  <c r="P542"/>
  <c r="M542"/>
  <c r="N542"/>
  <c r="P543"/>
  <c r="M543"/>
  <c r="N543"/>
  <c r="P544"/>
  <c r="M544"/>
  <c r="N544"/>
  <c r="P545"/>
  <c r="M545"/>
  <c r="N545"/>
  <c r="P546"/>
  <c r="M546"/>
  <c r="N546"/>
  <c r="P547"/>
  <c r="M547"/>
  <c r="N547"/>
  <c r="P548"/>
  <c r="M548"/>
  <c r="N548"/>
  <c r="P549"/>
  <c r="M549"/>
  <c r="N549"/>
  <c r="P550"/>
  <c r="M550"/>
  <c r="N550"/>
  <c r="P551"/>
  <c r="M551"/>
  <c r="N551"/>
  <c r="P552"/>
  <c r="M552"/>
  <c r="N552"/>
  <c r="P553"/>
  <c r="M553"/>
  <c r="N553"/>
  <c r="P554"/>
  <c r="M554"/>
  <c r="N554"/>
  <c r="P555"/>
  <c r="M555"/>
  <c r="N555"/>
  <c r="P556"/>
  <c r="M556"/>
  <c r="N556"/>
  <c r="P557"/>
  <c r="M557"/>
  <c r="N557"/>
  <c r="P558"/>
  <c r="M558"/>
  <c r="N558"/>
  <c r="P559"/>
  <c r="M559"/>
  <c r="N559"/>
  <c r="P560"/>
  <c r="M560"/>
  <c r="N560"/>
  <c r="P561"/>
  <c r="M561"/>
  <c r="N561"/>
  <c r="P562"/>
  <c r="M562"/>
  <c r="N562"/>
  <c r="P563"/>
  <c r="M563"/>
  <c r="N563"/>
  <c r="P564"/>
  <c r="M564"/>
  <c r="N564"/>
  <c r="P565"/>
  <c r="M565"/>
  <c r="N565"/>
  <c r="P566"/>
  <c r="M566"/>
  <c r="N566"/>
  <c r="P567"/>
  <c r="M567"/>
  <c r="N567"/>
  <c r="P568"/>
  <c r="M568"/>
  <c r="N568"/>
  <c r="P569"/>
  <c r="M569"/>
  <c r="N569"/>
  <c r="P570"/>
  <c r="M570"/>
  <c r="N570"/>
  <c r="P571"/>
  <c r="M571"/>
  <c r="N571"/>
  <c r="P572"/>
  <c r="M572"/>
  <c r="N572"/>
  <c r="P573"/>
  <c r="M573"/>
  <c r="N573"/>
  <c r="P574"/>
  <c r="M574"/>
  <c r="N574"/>
  <c r="P575"/>
  <c r="M575"/>
  <c r="N575"/>
  <c r="P576"/>
  <c r="M576"/>
  <c r="N576"/>
  <c r="P577"/>
  <c r="M577"/>
  <c r="N577"/>
  <c r="P578"/>
  <c r="M578"/>
  <c r="N578"/>
  <c r="P579"/>
  <c r="M579"/>
  <c r="N579"/>
  <c r="P580"/>
  <c r="M580"/>
  <c r="N580"/>
  <c r="P581"/>
  <c r="M581"/>
  <c r="N581"/>
  <c r="P582"/>
  <c r="M582"/>
  <c r="N582"/>
  <c r="P583"/>
  <c r="M583"/>
  <c r="N583"/>
  <c r="P584"/>
  <c r="M584"/>
  <c r="N584"/>
  <c r="P585"/>
  <c r="M585"/>
  <c r="N585"/>
  <c r="P586"/>
  <c r="M586"/>
  <c r="N586"/>
  <c r="P587"/>
  <c r="M587"/>
  <c r="N587"/>
  <c r="P588"/>
  <c r="M588"/>
  <c r="N588"/>
  <c r="P589"/>
  <c r="M589"/>
  <c r="N589"/>
  <c r="P590"/>
  <c r="M590"/>
  <c r="N590"/>
  <c r="P591"/>
  <c r="M591"/>
  <c r="N591"/>
  <c r="P592"/>
  <c r="M592"/>
  <c r="N592"/>
  <c r="P593"/>
  <c r="M593"/>
  <c r="N593"/>
  <c r="P594"/>
  <c r="M594"/>
  <c r="N594"/>
  <c r="P595"/>
  <c r="M595"/>
  <c r="N595"/>
  <c r="P596"/>
  <c r="M596"/>
  <c r="N596"/>
  <c r="P597"/>
  <c r="M597"/>
  <c r="N597"/>
  <c r="P598"/>
  <c r="M598"/>
  <c r="N598"/>
  <c r="P599"/>
  <c r="M599"/>
  <c r="N599"/>
  <c r="P600"/>
  <c r="M600"/>
  <c r="N600"/>
  <c r="P601"/>
  <c r="M601"/>
  <c r="N601"/>
  <c r="P602"/>
  <c r="M602"/>
  <c r="N602"/>
  <c r="P603"/>
  <c r="M603"/>
  <c r="N603"/>
  <c r="P604"/>
  <c r="M604"/>
  <c r="N604"/>
  <c r="P605"/>
  <c r="M605"/>
  <c r="N605"/>
  <c r="P606"/>
  <c r="M606"/>
  <c r="N606"/>
  <c r="P607"/>
  <c r="M607"/>
  <c r="N607"/>
  <c r="P608"/>
  <c r="M608"/>
  <c r="N608"/>
  <c r="P609"/>
  <c r="M609"/>
  <c r="N609"/>
  <c r="P610"/>
  <c r="M610"/>
  <c r="N610"/>
  <c r="P611"/>
  <c r="M611"/>
  <c r="N611"/>
  <c r="P612"/>
  <c r="M612"/>
  <c r="N612"/>
  <c r="P613"/>
  <c r="M613"/>
  <c r="N613"/>
  <c r="P614"/>
  <c r="M614"/>
  <c r="N614"/>
  <c r="P615"/>
  <c r="M615"/>
  <c r="N615"/>
  <c r="P616"/>
  <c r="M616"/>
  <c r="N616"/>
  <c r="P617"/>
  <c r="M617"/>
  <c r="N617"/>
  <c r="P618"/>
  <c r="M618"/>
  <c r="N618"/>
  <c r="P619"/>
  <c r="M619"/>
  <c r="N619"/>
  <c r="P620"/>
  <c r="M620"/>
  <c r="N620"/>
  <c r="P621"/>
  <c r="M621"/>
  <c r="N621"/>
  <c r="P622"/>
  <c r="M622"/>
  <c r="N622"/>
  <c r="P623"/>
  <c r="M623"/>
  <c r="N623"/>
  <c r="P624"/>
  <c r="M624"/>
  <c r="N624"/>
  <c r="P625"/>
  <c r="M625"/>
  <c r="N625"/>
  <c r="P626"/>
  <c r="M626"/>
  <c r="N626"/>
  <c r="P627"/>
  <c r="M627"/>
  <c r="N627"/>
  <c r="P628"/>
  <c r="M628"/>
  <c r="N628"/>
  <c r="P629"/>
  <c r="M629"/>
  <c r="N629"/>
  <c r="P630"/>
  <c r="M630"/>
  <c r="N630"/>
  <c r="P631"/>
  <c r="M631"/>
  <c r="N631"/>
  <c r="P632"/>
  <c r="M632"/>
  <c r="N632"/>
  <c r="P633"/>
  <c r="M633"/>
  <c r="N633"/>
  <c r="P634"/>
  <c r="M634"/>
  <c r="N634"/>
  <c r="P635"/>
  <c r="M635"/>
  <c r="N635"/>
  <c r="P636"/>
  <c r="M636"/>
  <c r="N636"/>
  <c r="P637"/>
  <c r="M637"/>
  <c r="N637"/>
  <c r="P638"/>
  <c r="M638"/>
  <c r="N638"/>
  <c r="P639"/>
  <c r="M639"/>
  <c r="N639"/>
  <c r="P640"/>
  <c r="M640"/>
  <c r="N640"/>
  <c r="P641"/>
  <c r="M641"/>
  <c r="N641"/>
  <c r="P642"/>
  <c r="M642"/>
  <c r="N642"/>
  <c r="P643"/>
  <c r="M643"/>
  <c r="N643"/>
  <c r="P644"/>
  <c r="M644"/>
  <c r="N644"/>
  <c r="P645"/>
  <c r="M645"/>
  <c r="N645"/>
  <c r="P646"/>
  <c r="M646"/>
  <c r="N646"/>
  <c r="P647"/>
  <c r="M647"/>
  <c r="N647"/>
  <c r="P648"/>
  <c r="M648"/>
  <c r="N648"/>
  <c r="P649"/>
  <c r="M649"/>
  <c r="N649"/>
  <c r="P650"/>
  <c r="M650"/>
  <c r="N650"/>
  <c r="P651"/>
  <c r="M651"/>
  <c r="N651"/>
  <c r="P652"/>
  <c r="M652"/>
  <c r="N652"/>
  <c r="P653"/>
  <c r="M653"/>
  <c r="N653"/>
  <c r="P654"/>
  <c r="M654"/>
  <c r="N654"/>
  <c r="P655"/>
  <c r="M655"/>
  <c r="N655"/>
  <c r="P656"/>
  <c r="M656"/>
  <c r="N656"/>
  <c r="P657"/>
  <c r="M657"/>
  <c r="N657"/>
  <c r="P658"/>
  <c r="M658"/>
  <c r="N658"/>
  <c r="P659"/>
  <c r="M659"/>
  <c r="N659"/>
  <c r="P660"/>
  <c r="M660"/>
  <c r="N660"/>
  <c r="P661"/>
  <c r="M661"/>
  <c r="N661"/>
  <c r="P662"/>
  <c r="M662"/>
  <c r="N662"/>
  <c r="P663"/>
  <c r="M663"/>
  <c r="N663"/>
  <c r="P664"/>
  <c r="M664"/>
  <c r="N664"/>
  <c r="P665"/>
  <c r="M665"/>
  <c r="N665"/>
  <c r="P666"/>
  <c r="M666"/>
  <c r="N666"/>
  <c r="P667"/>
  <c r="M667"/>
  <c r="N667"/>
  <c r="P668"/>
  <c r="M668"/>
  <c r="N668"/>
  <c r="P669"/>
  <c r="M669"/>
  <c r="N669"/>
  <c r="P670"/>
  <c r="M670"/>
  <c r="N670"/>
  <c r="P671"/>
  <c r="M671"/>
  <c r="N671"/>
  <c r="P672"/>
  <c r="M672"/>
  <c r="N672"/>
  <c r="P673"/>
  <c r="M673"/>
  <c r="N673"/>
  <c r="P674"/>
  <c r="M674"/>
  <c r="N674"/>
  <c r="P675"/>
  <c r="M675"/>
  <c r="N675"/>
  <c r="P676"/>
  <c r="M676"/>
  <c r="N676"/>
  <c r="P677"/>
  <c r="M677"/>
  <c r="N677"/>
  <c r="P678"/>
  <c r="M678"/>
  <c r="N678"/>
  <c r="P679"/>
  <c r="M679"/>
  <c r="N679"/>
  <c r="P680"/>
  <c r="M680"/>
  <c r="N680"/>
  <c r="P681"/>
  <c r="M681"/>
  <c r="N681"/>
  <c r="P682"/>
  <c r="M682"/>
  <c r="N682"/>
  <c r="P683"/>
  <c r="M683"/>
  <c r="N683"/>
  <c r="P684"/>
  <c r="M684"/>
  <c r="N684"/>
  <c r="P685"/>
  <c r="M685"/>
  <c r="N685"/>
  <c r="P686"/>
  <c r="M686"/>
  <c r="N686"/>
  <c r="P687"/>
  <c r="M687"/>
  <c r="N687"/>
  <c r="P688"/>
  <c r="M688"/>
  <c r="N688"/>
  <c r="P689"/>
  <c r="M689"/>
  <c r="N689"/>
  <c r="P690"/>
  <c r="M690"/>
  <c r="N690"/>
  <c r="P691"/>
  <c r="M691"/>
  <c r="N691"/>
  <c r="P692"/>
  <c r="M692"/>
  <c r="N692"/>
  <c r="P693"/>
  <c r="M693"/>
  <c r="N693"/>
  <c r="P694"/>
  <c r="M694"/>
  <c r="N694"/>
  <c r="P695"/>
  <c r="M695"/>
  <c r="N695"/>
  <c r="P696"/>
  <c r="M696"/>
  <c r="N696"/>
  <c r="P697"/>
  <c r="M697"/>
  <c r="N697"/>
  <c r="P698"/>
  <c r="M698"/>
  <c r="N698"/>
  <c r="P699"/>
  <c r="M699"/>
  <c r="N699"/>
  <c r="P700"/>
  <c r="M700"/>
  <c r="N700"/>
  <c r="P701"/>
  <c r="M701"/>
  <c r="N701"/>
  <c r="P702"/>
  <c r="M702"/>
  <c r="N702"/>
  <c r="P703"/>
  <c r="M703"/>
  <c r="N703"/>
  <c r="P704"/>
  <c r="M704"/>
  <c r="N704"/>
  <c r="P705"/>
  <c r="M705"/>
  <c r="N705"/>
  <c r="P706"/>
  <c r="M706"/>
  <c r="N706"/>
  <c r="P707"/>
  <c r="M707"/>
  <c r="N707"/>
  <c r="P708"/>
  <c r="M708"/>
  <c r="N708"/>
  <c r="P709"/>
  <c r="M709"/>
  <c r="N709"/>
  <c r="P710"/>
  <c r="M710"/>
  <c r="N710"/>
  <c r="P711"/>
  <c r="M711"/>
  <c r="N711"/>
  <c r="P712"/>
  <c r="M712"/>
  <c r="N712"/>
  <c r="P713"/>
  <c r="M713"/>
  <c r="N713"/>
  <c r="P714"/>
  <c r="M714"/>
  <c r="N714"/>
  <c r="P715"/>
  <c r="M715"/>
  <c r="N715"/>
  <c r="P716"/>
  <c r="M716"/>
  <c r="N716"/>
  <c r="P717"/>
  <c r="M717"/>
  <c r="N717"/>
  <c r="P718"/>
  <c r="M718"/>
  <c r="N718"/>
  <c r="P719"/>
  <c r="M719"/>
  <c r="N719"/>
  <c r="P720"/>
  <c r="M720"/>
  <c r="N720"/>
  <c r="P721"/>
  <c r="M721"/>
  <c r="N721"/>
  <c r="P722"/>
  <c r="M722"/>
  <c r="N722"/>
  <c r="P723"/>
  <c r="M723"/>
  <c r="N723"/>
  <c r="P724"/>
  <c r="M724"/>
  <c r="N724"/>
  <c r="P725"/>
  <c r="M725"/>
  <c r="N725"/>
  <c r="P726"/>
  <c r="M726"/>
  <c r="N726"/>
  <c r="P727"/>
  <c r="M727"/>
  <c r="N727"/>
  <c r="P728"/>
  <c r="M728"/>
  <c r="N728"/>
  <c r="P729"/>
  <c r="M729"/>
  <c r="N729"/>
  <c r="P730"/>
  <c r="M730"/>
  <c r="N730"/>
  <c r="P731"/>
  <c r="M731"/>
  <c r="N731"/>
  <c r="P732"/>
  <c r="M732"/>
  <c r="N732"/>
  <c r="P733"/>
  <c r="M733"/>
  <c r="N733"/>
  <c r="P734"/>
  <c r="M734"/>
  <c r="N734"/>
  <c r="P735"/>
  <c r="M735"/>
  <c r="N735"/>
  <c r="P736"/>
  <c r="M736"/>
  <c r="N736"/>
  <c r="P737"/>
  <c r="M737"/>
  <c r="N737"/>
  <c r="P738"/>
  <c r="M738"/>
  <c r="N738"/>
  <c r="P739"/>
  <c r="M739"/>
  <c r="N739"/>
  <c r="P740"/>
  <c r="M740"/>
  <c r="N740"/>
  <c r="P741"/>
  <c r="M741"/>
  <c r="N741"/>
  <c r="P742"/>
  <c r="M742"/>
  <c r="N742"/>
  <c r="P743"/>
  <c r="M743"/>
  <c r="N743"/>
  <c r="P744"/>
  <c r="M744"/>
  <c r="N744"/>
  <c r="P745"/>
  <c r="M745"/>
  <c r="N745"/>
  <c r="O747" i="5"/>
  <c r="I745" i="3"/>
  <c r="M745"/>
  <c r="N745" s="1"/>
  <c r="H747"/>
  <c r="I747"/>
  <c r="M747"/>
  <c r="N747"/>
  <c r="J747"/>
  <c r="K747"/>
  <c r="H1146" i="2"/>
  <c r="I1146"/>
  <c r="L1146"/>
  <c r="P1146"/>
  <c r="Q1146" s="1"/>
  <c r="M1146"/>
  <c r="N1146"/>
  <c r="O1146"/>
  <c r="C1146"/>
  <c r="H535"/>
  <c r="I535"/>
  <c r="L535"/>
  <c r="M535"/>
  <c r="N535"/>
  <c r="O535"/>
  <c r="P535"/>
  <c r="Q535" s="1"/>
  <c r="C535"/>
  <c r="M536"/>
  <c r="R536" s="1"/>
  <c r="H747"/>
  <c r="I747"/>
  <c r="L747"/>
  <c r="M747"/>
  <c r="N747"/>
  <c r="O747"/>
  <c r="P747"/>
  <c r="Q747" s="1"/>
  <c r="L745"/>
  <c r="P745"/>
  <c r="Q745" s="1"/>
  <c r="F1204" i="6"/>
  <c r="G1204"/>
  <c r="K1204"/>
  <c r="H1204"/>
  <c r="I1204"/>
  <c r="F1205"/>
  <c r="G1205"/>
  <c r="K1205"/>
  <c r="H1205"/>
  <c r="I1205"/>
  <c r="F1206"/>
  <c r="G1206"/>
  <c r="K1206"/>
  <c r="H1206"/>
  <c r="I1206"/>
  <c r="F1207"/>
  <c r="G1207"/>
  <c r="K1207"/>
  <c r="H1207"/>
  <c r="I1207"/>
  <c r="F1208"/>
  <c r="G1208"/>
  <c r="K1208"/>
  <c r="H1208"/>
  <c r="I1208"/>
  <c r="F1209"/>
  <c r="G1209"/>
  <c r="K1209"/>
  <c r="H1209"/>
  <c r="I1209"/>
  <c r="F1210"/>
  <c r="G1210"/>
  <c r="K1210"/>
  <c r="H1210"/>
  <c r="I1210"/>
  <c r="F1211"/>
  <c r="G1211"/>
  <c r="K1211"/>
  <c r="H1211"/>
  <c r="I1211"/>
  <c r="F1212"/>
  <c r="G1212"/>
  <c r="K1212"/>
  <c r="H1212"/>
  <c r="I1212"/>
  <c r="F1213"/>
  <c r="G1213"/>
  <c r="K1213"/>
  <c r="H1213"/>
  <c r="I1213"/>
  <c r="F1214"/>
  <c r="G1214"/>
  <c r="K1214"/>
  <c r="H1214"/>
  <c r="I1214"/>
  <c r="F1215"/>
  <c r="G1215"/>
  <c r="K1215"/>
  <c r="H1215"/>
  <c r="I1215"/>
  <c r="F1216"/>
  <c r="G1216"/>
  <c r="K1216"/>
  <c r="H1216"/>
  <c r="I1216"/>
  <c r="F1217"/>
  <c r="G1217"/>
  <c r="K1217"/>
  <c r="H1217"/>
  <c r="I1217"/>
  <c r="F1218"/>
  <c r="G1218"/>
  <c r="K1218"/>
  <c r="H1218"/>
  <c r="I1218"/>
  <c r="F1219"/>
  <c r="G1219"/>
  <c r="K1219"/>
  <c r="H1219"/>
  <c r="I1219"/>
  <c r="F1220"/>
  <c r="G1220"/>
  <c r="K1220"/>
  <c r="H1220"/>
  <c r="I1220"/>
  <c r="F1221"/>
  <c r="G1221"/>
  <c r="K1221"/>
  <c r="H1221"/>
  <c r="I1221"/>
  <c r="F1222"/>
  <c r="G1222"/>
  <c r="K1222"/>
  <c r="H1222"/>
  <c r="I1222"/>
  <c r="F1223"/>
  <c r="G1223"/>
  <c r="K1223"/>
  <c r="H1223"/>
  <c r="I1223"/>
  <c r="F1224"/>
  <c r="G1224"/>
  <c r="K1224"/>
  <c r="H1224"/>
  <c r="I1224"/>
  <c r="F1225"/>
  <c r="G1225"/>
  <c r="K1225"/>
  <c r="H1225"/>
  <c r="I1225"/>
  <c r="F1226"/>
  <c r="G1226"/>
  <c r="K1226"/>
  <c r="H1226"/>
  <c r="I1226"/>
  <c r="F1227"/>
  <c r="G1227"/>
  <c r="K1227"/>
  <c r="H1227"/>
  <c r="I1227"/>
  <c r="F1228"/>
  <c r="G1228"/>
  <c r="K1228"/>
  <c r="H1228"/>
  <c r="I1228"/>
  <c r="F1229"/>
  <c r="G1229"/>
  <c r="K1229"/>
  <c r="H1229"/>
  <c r="I1229"/>
  <c r="F1230"/>
  <c r="G1230"/>
  <c r="K1230"/>
  <c r="H1230"/>
  <c r="I1230"/>
  <c r="F1231"/>
  <c r="G1231"/>
  <c r="K1231"/>
  <c r="H1231"/>
  <c r="I1231"/>
  <c r="I69" i="3"/>
  <c r="J69"/>
  <c r="K69"/>
  <c r="M69"/>
  <c r="F69"/>
  <c r="F69" i="6"/>
  <c r="G69"/>
  <c r="K69"/>
  <c r="H69"/>
  <c r="I69"/>
  <c r="F69" i="10"/>
  <c r="F69" i="11"/>
  <c r="G69"/>
  <c r="H69" s="1"/>
  <c r="K69"/>
  <c r="I69"/>
  <c r="F69" i="8"/>
  <c r="G69"/>
  <c r="K69"/>
  <c r="H69"/>
  <c r="I69"/>
  <c r="F69" i="9"/>
  <c r="G69" s="1"/>
  <c r="F69" i="14"/>
  <c r="F69" i="18"/>
  <c r="F69" i="12"/>
  <c r="F69" i="17"/>
  <c r="F69" i="7"/>
  <c r="F69" i="4"/>
  <c r="I69"/>
  <c r="F69" i="22" s="1"/>
  <c r="I70" i="3"/>
  <c r="J70"/>
  <c r="K70"/>
  <c r="M70"/>
  <c r="F70"/>
  <c r="F70" i="6"/>
  <c r="G70"/>
  <c r="K70"/>
  <c r="H70"/>
  <c r="I70"/>
  <c r="F70" i="10"/>
  <c r="F70" i="11"/>
  <c r="G70"/>
  <c r="H70" s="1"/>
  <c r="K70"/>
  <c r="I70"/>
  <c r="F70" i="8"/>
  <c r="G70"/>
  <c r="K70"/>
  <c r="H70"/>
  <c r="I70"/>
  <c r="F70" i="9"/>
  <c r="G70" s="1"/>
  <c r="F70" i="14"/>
  <c r="G70" s="1"/>
  <c r="F70" i="18"/>
  <c r="G70" s="1"/>
  <c r="F70" i="12"/>
  <c r="F70" i="17"/>
  <c r="F70" i="7"/>
  <c r="F70" i="4"/>
  <c r="I70"/>
  <c r="F70" i="22" s="1"/>
  <c r="I71" i="3"/>
  <c r="J71"/>
  <c r="K71"/>
  <c r="M71"/>
  <c r="F71"/>
  <c r="F71" i="6"/>
  <c r="G71"/>
  <c r="K71"/>
  <c r="H71"/>
  <c r="I71"/>
  <c r="F71" i="10"/>
  <c r="F71" i="11"/>
  <c r="G71"/>
  <c r="H71" s="1"/>
  <c r="K71"/>
  <c r="I71"/>
  <c r="F71" i="8"/>
  <c r="G71"/>
  <c r="K71"/>
  <c r="H71"/>
  <c r="I71"/>
  <c r="F71" i="9"/>
  <c r="G71" s="1"/>
  <c r="F71" i="14"/>
  <c r="G71" s="1"/>
  <c r="F71" i="18"/>
  <c r="G71" s="1"/>
  <c r="F71" i="12"/>
  <c r="F71" i="17"/>
  <c r="F71" i="7"/>
  <c r="F71" i="4"/>
  <c r="I71"/>
  <c r="F71" i="22" s="1"/>
  <c r="I72" i="3"/>
  <c r="J72"/>
  <c r="K72"/>
  <c r="M72"/>
  <c r="F72"/>
  <c r="F72" i="6"/>
  <c r="G72"/>
  <c r="K72"/>
  <c r="H72"/>
  <c r="I72"/>
  <c r="F72" i="10"/>
  <c r="F72" i="11"/>
  <c r="G72"/>
  <c r="H72" s="1"/>
  <c r="K72"/>
  <c r="I72"/>
  <c r="F72" i="8"/>
  <c r="G72"/>
  <c r="K72"/>
  <c r="H72"/>
  <c r="I72"/>
  <c r="F72" i="9"/>
  <c r="G72" s="1"/>
  <c r="F72" i="14"/>
  <c r="G72" s="1"/>
  <c r="F72" i="18"/>
  <c r="G72" s="1"/>
  <c r="F72" i="12"/>
  <c r="F72" i="17"/>
  <c r="F72" i="7"/>
  <c r="F72" i="4"/>
  <c r="I72"/>
  <c r="F72" i="22" s="1"/>
  <c r="I73" i="3"/>
  <c r="J73"/>
  <c r="K73"/>
  <c r="M73"/>
  <c r="F73"/>
  <c r="F73" i="6"/>
  <c r="G73"/>
  <c r="K73"/>
  <c r="H73"/>
  <c r="I73"/>
  <c r="F73" i="10"/>
  <c r="F73" i="11"/>
  <c r="G73"/>
  <c r="H73" s="1"/>
  <c r="K73"/>
  <c r="I73"/>
  <c r="F73" i="8"/>
  <c r="G73"/>
  <c r="K73"/>
  <c r="H73"/>
  <c r="I73"/>
  <c r="F73" i="9"/>
  <c r="G73" s="1"/>
  <c r="F73" i="14"/>
  <c r="G73" s="1"/>
  <c r="F73" i="18"/>
  <c r="G73" s="1"/>
  <c r="F73" i="12"/>
  <c r="F73" i="17"/>
  <c r="F73" i="7"/>
  <c r="F73" i="4"/>
  <c r="I73"/>
  <c r="F73" i="22" s="1"/>
  <c r="I74" i="3"/>
  <c r="J74"/>
  <c r="K74"/>
  <c r="M74"/>
  <c r="F74"/>
  <c r="F74" i="6"/>
  <c r="G74"/>
  <c r="K74"/>
  <c r="H74"/>
  <c r="I74"/>
  <c r="F74" i="10"/>
  <c r="F74" i="11"/>
  <c r="G74"/>
  <c r="H74" s="1"/>
  <c r="K74"/>
  <c r="I74"/>
  <c r="F74" i="8"/>
  <c r="G74"/>
  <c r="K74"/>
  <c r="H74"/>
  <c r="I74"/>
  <c r="F74" i="9"/>
  <c r="G74" s="1"/>
  <c r="F74" i="14"/>
  <c r="G74" s="1"/>
  <c r="F74" i="18"/>
  <c r="G74" s="1"/>
  <c r="F74" i="12"/>
  <c r="F74" i="17"/>
  <c r="F74" i="7"/>
  <c r="F74" i="4"/>
  <c r="I74"/>
  <c r="F74" i="22" s="1"/>
  <c r="I75" i="3"/>
  <c r="J75"/>
  <c r="K75"/>
  <c r="M75"/>
  <c r="F75"/>
  <c r="F75" i="6"/>
  <c r="G75"/>
  <c r="K75"/>
  <c r="H75"/>
  <c r="I75"/>
  <c r="F75" i="10"/>
  <c r="F75" i="11"/>
  <c r="G75"/>
  <c r="H75" s="1"/>
  <c r="K75"/>
  <c r="I75"/>
  <c r="F75" i="8"/>
  <c r="G75"/>
  <c r="K75"/>
  <c r="H75"/>
  <c r="I75"/>
  <c r="F75" i="9"/>
  <c r="G75" s="1"/>
  <c r="F75" i="14"/>
  <c r="G75" s="1"/>
  <c r="F75" i="18"/>
  <c r="G75" s="1"/>
  <c r="F75" i="12"/>
  <c r="F75" i="17"/>
  <c r="F75" i="7"/>
  <c r="F75" i="4"/>
  <c r="I75"/>
  <c r="F75" i="22" s="1"/>
  <c r="I76" i="3"/>
  <c r="J76"/>
  <c r="K76"/>
  <c r="M76"/>
  <c r="F76"/>
  <c r="F76" i="6"/>
  <c r="G76"/>
  <c r="K76"/>
  <c r="H76"/>
  <c r="I76"/>
  <c r="F76" i="10"/>
  <c r="F76" i="11"/>
  <c r="G76"/>
  <c r="H76" s="1"/>
  <c r="K76"/>
  <c r="I76"/>
  <c r="F76" i="8"/>
  <c r="G76"/>
  <c r="K76"/>
  <c r="H76"/>
  <c r="I76"/>
  <c r="F76" i="9"/>
  <c r="G76" s="1"/>
  <c r="F76" i="14"/>
  <c r="G76" s="1"/>
  <c r="F76" i="18"/>
  <c r="G76" s="1"/>
  <c r="F76" i="12"/>
  <c r="F76" i="17"/>
  <c r="F76" i="7"/>
  <c r="F76" i="4"/>
  <c r="I76"/>
  <c r="F76" i="22" s="1"/>
  <c r="I77" i="3"/>
  <c r="J77"/>
  <c r="K77"/>
  <c r="M77"/>
  <c r="F77"/>
  <c r="F77" i="6"/>
  <c r="G77"/>
  <c r="K77"/>
  <c r="H77"/>
  <c r="I77"/>
  <c r="F77" i="10"/>
  <c r="F77" i="11"/>
  <c r="G77"/>
  <c r="H77" s="1"/>
  <c r="K77"/>
  <c r="I77"/>
  <c r="F77" i="8"/>
  <c r="G77"/>
  <c r="K77"/>
  <c r="H77"/>
  <c r="I77"/>
  <c r="F77" i="9"/>
  <c r="G77" s="1"/>
  <c r="F77" i="14"/>
  <c r="G77" s="1"/>
  <c r="F77" i="18"/>
  <c r="G77" s="1"/>
  <c r="F77" i="12"/>
  <c r="F77" i="17"/>
  <c r="F77" i="7"/>
  <c r="F77" i="4"/>
  <c r="I77"/>
  <c r="F77" i="22" s="1"/>
  <c r="I78" i="3"/>
  <c r="J78"/>
  <c r="K78"/>
  <c r="M78"/>
  <c r="F78"/>
  <c r="F78" i="6"/>
  <c r="G78"/>
  <c r="K78"/>
  <c r="H78"/>
  <c r="I78"/>
  <c r="F78" i="10"/>
  <c r="F78" i="11"/>
  <c r="G78"/>
  <c r="H78" s="1"/>
  <c r="K78"/>
  <c r="I78"/>
  <c r="F78" i="8"/>
  <c r="G78"/>
  <c r="K78"/>
  <c r="H78"/>
  <c r="I78"/>
  <c r="F78" i="9"/>
  <c r="G78" s="1"/>
  <c r="F78" i="14"/>
  <c r="G78" s="1"/>
  <c r="F78" i="18"/>
  <c r="G78" s="1"/>
  <c r="F78" i="12"/>
  <c r="F78" i="17"/>
  <c r="F78" i="7"/>
  <c r="F78" i="4"/>
  <c r="I78"/>
  <c r="F78" i="22" s="1"/>
  <c r="I79" i="3"/>
  <c r="J79"/>
  <c r="K79"/>
  <c r="M79"/>
  <c r="F79"/>
  <c r="F79" i="6"/>
  <c r="G79"/>
  <c r="K79"/>
  <c r="H79"/>
  <c r="I79"/>
  <c r="F79" i="10"/>
  <c r="F79" i="11"/>
  <c r="G79"/>
  <c r="H79" s="1"/>
  <c r="K79"/>
  <c r="I79"/>
  <c r="F79" i="8"/>
  <c r="G79"/>
  <c r="K79"/>
  <c r="H79"/>
  <c r="I79"/>
  <c r="F79" i="9"/>
  <c r="G79" s="1"/>
  <c r="F79" i="14"/>
  <c r="G79" s="1"/>
  <c r="F79" i="18"/>
  <c r="G79" s="1"/>
  <c r="F79" i="12"/>
  <c r="F79" i="17"/>
  <c r="F79" i="7"/>
  <c r="F79" i="4"/>
  <c r="I79"/>
  <c r="F79" i="22" s="1"/>
  <c r="I80" i="3"/>
  <c r="J80"/>
  <c r="K80"/>
  <c r="M80"/>
  <c r="F80"/>
  <c r="F80" i="6"/>
  <c r="G80"/>
  <c r="K80"/>
  <c r="H80"/>
  <c r="I80"/>
  <c r="F80" i="10"/>
  <c r="F80" i="11"/>
  <c r="G80"/>
  <c r="H80" s="1"/>
  <c r="K80"/>
  <c r="I80"/>
  <c r="F80" i="8"/>
  <c r="G80"/>
  <c r="K80"/>
  <c r="H80"/>
  <c r="I80"/>
  <c r="F80" i="9"/>
  <c r="G80" s="1"/>
  <c r="F80" i="14"/>
  <c r="G80" s="1"/>
  <c r="F80" i="18"/>
  <c r="G80" s="1"/>
  <c r="F80" i="12"/>
  <c r="F80" i="17"/>
  <c r="F80" i="7"/>
  <c r="F80" i="4"/>
  <c r="I80"/>
  <c r="F80" i="22" s="1"/>
  <c r="I81" i="3"/>
  <c r="J81"/>
  <c r="K81"/>
  <c r="M81"/>
  <c r="F81"/>
  <c r="F81" i="6"/>
  <c r="G81"/>
  <c r="K81"/>
  <c r="H81"/>
  <c r="I81"/>
  <c r="F81" i="10"/>
  <c r="F81" i="11"/>
  <c r="G81"/>
  <c r="H81" s="1"/>
  <c r="K81"/>
  <c r="I81"/>
  <c r="F81" i="8"/>
  <c r="G81"/>
  <c r="K81"/>
  <c r="H81"/>
  <c r="I81"/>
  <c r="F81" i="9"/>
  <c r="G81" s="1"/>
  <c r="F81" i="14"/>
  <c r="G81" s="1"/>
  <c r="F81" i="18"/>
  <c r="G81" s="1"/>
  <c r="F81" i="12"/>
  <c r="F81" i="17"/>
  <c r="F81" i="7"/>
  <c r="F81" i="4"/>
  <c r="I81"/>
  <c r="F81" i="22" s="1"/>
  <c r="I82" i="3"/>
  <c r="J82"/>
  <c r="K82"/>
  <c r="M82"/>
  <c r="F82"/>
  <c r="F82" i="6"/>
  <c r="G82"/>
  <c r="K82"/>
  <c r="H82"/>
  <c r="I82"/>
  <c r="F82" i="10"/>
  <c r="F82" i="11"/>
  <c r="G82"/>
  <c r="H82" s="1"/>
  <c r="K82"/>
  <c r="I82"/>
  <c r="F82" i="8"/>
  <c r="G82"/>
  <c r="K82"/>
  <c r="H82"/>
  <c r="I82"/>
  <c r="F82" i="9"/>
  <c r="G82" s="1"/>
  <c r="F82" i="14"/>
  <c r="G82" s="1"/>
  <c r="F82" i="18"/>
  <c r="G82" s="1"/>
  <c r="F82" i="12"/>
  <c r="F82" i="17"/>
  <c r="F82" i="7"/>
  <c r="F82" i="4"/>
  <c r="I82"/>
  <c r="F82" i="22" s="1"/>
  <c r="I83" i="3"/>
  <c r="J83"/>
  <c r="K83"/>
  <c r="M83"/>
  <c r="F83"/>
  <c r="F83" i="6"/>
  <c r="G83"/>
  <c r="K83"/>
  <c r="H83"/>
  <c r="I83"/>
  <c r="F83" i="10"/>
  <c r="F83" i="11"/>
  <c r="G83"/>
  <c r="H83" s="1"/>
  <c r="K83"/>
  <c r="I83"/>
  <c r="F83" i="8"/>
  <c r="G83"/>
  <c r="K83"/>
  <c r="H83"/>
  <c r="I83"/>
  <c r="F83" i="9"/>
  <c r="G83" s="1"/>
  <c r="F83" i="14"/>
  <c r="G83" s="1"/>
  <c r="F83" i="18"/>
  <c r="G83" s="1"/>
  <c r="F83" i="12"/>
  <c r="F83" i="17"/>
  <c r="F83" i="7"/>
  <c r="F83" i="4"/>
  <c r="I83"/>
  <c r="F83" i="22" s="1"/>
  <c r="I84" i="3"/>
  <c r="J84"/>
  <c r="K84"/>
  <c r="M84"/>
  <c r="F84"/>
  <c r="F84" i="6"/>
  <c r="G84"/>
  <c r="K84"/>
  <c r="H84"/>
  <c r="I84"/>
  <c r="F84" i="10"/>
  <c r="F84" i="11"/>
  <c r="G84"/>
  <c r="H84" s="1"/>
  <c r="K84"/>
  <c r="I84"/>
  <c r="F84" i="8"/>
  <c r="G84"/>
  <c r="K84"/>
  <c r="H84"/>
  <c r="I84"/>
  <c r="F84" i="9"/>
  <c r="G84" s="1"/>
  <c r="F84" i="14"/>
  <c r="G84" s="1"/>
  <c r="F84" i="18"/>
  <c r="G84" s="1"/>
  <c r="F84" i="12"/>
  <c r="F84" i="17"/>
  <c r="F84" i="7"/>
  <c r="F84" i="4"/>
  <c r="I84"/>
  <c r="F84" i="22" s="1"/>
  <c r="I85" i="3"/>
  <c r="J85"/>
  <c r="K85"/>
  <c r="M85"/>
  <c r="F85"/>
  <c r="F85" i="6"/>
  <c r="G85"/>
  <c r="K85"/>
  <c r="H85"/>
  <c r="I85"/>
  <c r="F85" i="10"/>
  <c r="F85" i="11"/>
  <c r="G85"/>
  <c r="H85" s="1"/>
  <c r="K85"/>
  <c r="I85"/>
  <c r="F85" i="8"/>
  <c r="G85"/>
  <c r="K85"/>
  <c r="H85"/>
  <c r="I85"/>
  <c r="F85" i="9"/>
  <c r="G85" s="1"/>
  <c r="F85" i="14"/>
  <c r="G85" s="1"/>
  <c r="F85" i="18"/>
  <c r="G85" s="1"/>
  <c r="F85" i="12"/>
  <c r="F85" i="17"/>
  <c r="F85" i="7"/>
  <c r="F85" i="4"/>
  <c r="I85"/>
  <c r="F85" i="22" s="1"/>
  <c r="I86" i="3"/>
  <c r="J86"/>
  <c r="K86"/>
  <c r="M86"/>
  <c r="F86"/>
  <c r="F86" i="6"/>
  <c r="G86"/>
  <c r="K86"/>
  <c r="H86"/>
  <c r="I86"/>
  <c r="F86" i="10"/>
  <c r="F86" i="11"/>
  <c r="G86"/>
  <c r="H86" s="1"/>
  <c r="K86"/>
  <c r="I86"/>
  <c r="F86" i="8"/>
  <c r="G86"/>
  <c r="K86"/>
  <c r="H86"/>
  <c r="I86"/>
  <c r="F86" i="9"/>
  <c r="G86" s="1"/>
  <c r="F86" i="14"/>
  <c r="G86" s="1"/>
  <c r="F86" i="18"/>
  <c r="G86" s="1"/>
  <c r="F86" i="12"/>
  <c r="F86" i="17"/>
  <c r="F86" i="7"/>
  <c r="F86" i="4"/>
  <c r="I86"/>
  <c r="F86" i="22" s="1"/>
  <c r="I87" i="3"/>
  <c r="J87"/>
  <c r="K87"/>
  <c r="M87"/>
  <c r="F87"/>
  <c r="F87" i="6"/>
  <c r="G87"/>
  <c r="K87"/>
  <c r="H87"/>
  <c r="I87"/>
  <c r="F87" i="10"/>
  <c r="F87" i="11"/>
  <c r="G87"/>
  <c r="H87" s="1"/>
  <c r="K87"/>
  <c r="I87"/>
  <c r="F87" i="8"/>
  <c r="G87"/>
  <c r="K87"/>
  <c r="H87"/>
  <c r="I87"/>
  <c r="F87" i="9"/>
  <c r="G87" s="1"/>
  <c r="F87" i="14"/>
  <c r="G87" s="1"/>
  <c r="F87" i="18"/>
  <c r="G87" s="1"/>
  <c r="F87" i="12"/>
  <c r="F87" i="17"/>
  <c r="F87" i="7"/>
  <c r="F87" i="4"/>
  <c r="I87"/>
  <c r="F87" i="22" s="1"/>
  <c r="I88" i="3"/>
  <c r="J88"/>
  <c r="K88"/>
  <c r="M88"/>
  <c r="F88"/>
  <c r="F88" i="6"/>
  <c r="G88"/>
  <c r="K88"/>
  <c r="H88"/>
  <c r="I88"/>
  <c r="F88" i="10"/>
  <c r="F88" i="11"/>
  <c r="G88"/>
  <c r="H88" s="1"/>
  <c r="K88"/>
  <c r="I88"/>
  <c r="F88" i="8"/>
  <c r="G88"/>
  <c r="K88"/>
  <c r="H88"/>
  <c r="I88"/>
  <c r="F88" i="9"/>
  <c r="G88" s="1"/>
  <c r="F88" i="14"/>
  <c r="G88" s="1"/>
  <c r="F88" i="18"/>
  <c r="G88" s="1"/>
  <c r="F88" i="12"/>
  <c r="F88" i="17"/>
  <c r="F88" i="7"/>
  <c r="F88" i="4"/>
  <c r="I88"/>
  <c r="F88" i="22" s="1"/>
  <c r="I89" i="3"/>
  <c r="J89"/>
  <c r="K89"/>
  <c r="M89"/>
  <c r="F89"/>
  <c r="F89" i="6"/>
  <c r="G89"/>
  <c r="K89" s="1"/>
  <c r="H89"/>
  <c r="I89"/>
  <c r="F89" i="10"/>
  <c r="F89" i="11"/>
  <c r="G89"/>
  <c r="H89" s="1"/>
  <c r="K89"/>
  <c r="I89"/>
  <c r="F89" i="8"/>
  <c r="G89"/>
  <c r="K89"/>
  <c r="H89"/>
  <c r="I89"/>
  <c r="F89" i="9"/>
  <c r="G89" s="1"/>
  <c r="F89" i="14"/>
  <c r="G89" s="1"/>
  <c r="F89" i="18"/>
  <c r="G89" s="1"/>
  <c r="F89" i="12"/>
  <c r="F89" i="17"/>
  <c r="F89" i="7"/>
  <c r="F89" i="4"/>
  <c r="I89"/>
  <c r="F89" i="22" s="1"/>
  <c r="J383" i="3"/>
  <c r="K383"/>
  <c r="M383"/>
  <c r="N383" s="1"/>
  <c r="F383"/>
  <c r="F383" i="6"/>
  <c r="G383"/>
  <c r="K383"/>
  <c r="H383"/>
  <c r="I383"/>
  <c r="H383" i="14"/>
  <c r="I383"/>
  <c r="H383" i="18"/>
  <c r="I383"/>
  <c r="I92" i="3"/>
  <c r="J92"/>
  <c r="K92"/>
  <c r="M92"/>
  <c r="N92" s="1"/>
  <c r="F92"/>
  <c r="F92" i="6"/>
  <c r="G92"/>
  <c r="K92"/>
  <c r="H92"/>
  <c r="I92"/>
  <c r="I93" i="3"/>
  <c r="J93"/>
  <c r="K93"/>
  <c r="M93"/>
  <c r="N93" s="1"/>
  <c r="F93"/>
  <c r="F93" i="6"/>
  <c r="G93"/>
  <c r="K93"/>
  <c r="H93"/>
  <c r="I93"/>
  <c r="I94" i="3"/>
  <c r="J94"/>
  <c r="K94"/>
  <c r="M94"/>
  <c r="N94" s="1"/>
  <c r="F94"/>
  <c r="F94" i="6"/>
  <c r="G94"/>
  <c r="K94"/>
  <c r="H94"/>
  <c r="I94"/>
  <c r="I95" i="3"/>
  <c r="J95"/>
  <c r="K95"/>
  <c r="M95"/>
  <c r="N95" s="1"/>
  <c r="F95"/>
  <c r="F95" i="6"/>
  <c r="G95"/>
  <c r="K95"/>
  <c r="H95"/>
  <c r="I95"/>
  <c r="I96" i="3"/>
  <c r="J96"/>
  <c r="K96"/>
  <c r="M96"/>
  <c r="N96" s="1"/>
  <c r="F96"/>
  <c r="F96" i="6"/>
  <c r="G96"/>
  <c r="K96"/>
  <c r="H96"/>
  <c r="I96"/>
  <c r="I97" i="3"/>
  <c r="J97"/>
  <c r="K97"/>
  <c r="M97"/>
  <c r="N97" s="1"/>
  <c r="F97"/>
  <c r="F97" i="6"/>
  <c r="G97"/>
  <c r="K97"/>
  <c r="H97"/>
  <c r="I97"/>
  <c r="I98" i="3"/>
  <c r="J98"/>
  <c r="K98"/>
  <c r="M98"/>
  <c r="N98" s="1"/>
  <c r="F98"/>
  <c r="F98" i="6"/>
  <c r="G98"/>
  <c r="K98"/>
  <c r="H98"/>
  <c r="I98"/>
  <c r="I99" i="3"/>
  <c r="J99"/>
  <c r="K99"/>
  <c r="M99"/>
  <c r="N99" s="1"/>
  <c r="F99"/>
  <c r="F99" i="6"/>
  <c r="G99"/>
  <c r="K99"/>
  <c r="H99"/>
  <c r="I99"/>
  <c r="I100" i="3"/>
  <c r="J100"/>
  <c r="K100"/>
  <c r="M100"/>
  <c r="N100" s="1"/>
  <c r="F100"/>
  <c r="F100" i="6"/>
  <c r="G100"/>
  <c r="K100"/>
  <c r="H100"/>
  <c r="I100"/>
  <c r="I101" i="3"/>
  <c r="J101"/>
  <c r="K101"/>
  <c r="M101"/>
  <c r="N101" s="1"/>
  <c r="F101"/>
  <c r="F101" i="6"/>
  <c r="G101"/>
  <c r="K101"/>
  <c r="H101"/>
  <c r="I101"/>
  <c r="I102" i="3"/>
  <c r="J102"/>
  <c r="K102"/>
  <c r="M102"/>
  <c r="N102" s="1"/>
  <c r="F102"/>
  <c r="F102" i="6"/>
  <c r="G102"/>
  <c r="K102"/>
  <c r="H102"/>
  <c r="I102"/>
  <c r="I103" i="3"/>
  <c r="J103"/>
  <c r="K103"/>
  <c r="M103"/>
  <c r="N103" s="1"/>
  <c r="F103"/>
  <c r="F103" i="6"/>
  <c r="G103"/>
  <c r="K103"/>
  <c r="H103"/>
  <c r="I103"/>
  <c r="I104" i="3"/>
  <c r="J104"/>
  <c r="K104"/>
  <c r="M104"/>
  <c r="N104" s="1"/>
  <c r="F104"/>
  <c r="F104" i="6"/>
  <c r="G104"/>
  <c r="K104"/>
  <c r="H104"/>
  <c r="I104"/>
  <c r="I105" i="3"/>
  <c r="J105"/>
  <c r="K105"/>
  <c r="M105"/>
  <c r="N105" s="1"/>
  <c r="F105"/>
  <c r="F105" i="6"/>
  <c r="G105"/>
  <c r="K105"/>
  <c r="H105"/>
  <c r="I105"/>
  <c r="I106" i="3"/>
  <c r="J106"/>
  <c r="K106"/>
  <c r="M106"/>
  <c r="N106" s="1"/>
  <c r="F106"/>
  <c r="F106" i="6"/>
  <c r="G106"/>
  <c r="K106"/>
  <c r="H106"/>
  <c r="I106"/>
  <c r="I107" i="3"/>
  <c r="J107"/>
  <c r="K107"/>
  <c r="M107"/>
  <c r="N107" s="1"/>
  <c r="F107"/>
  <c r="F107" i="6"/>
  <c r="G107"/>
  <c r="K107"/>
  <c r="H107"/>
  <c r="I107"/>
  <c r="I108" i="3"/>
  <c r="J108"/>
  <c r="K108"/>
  <c r="M108"/>
  <c r="N108" s="1"/>
  <c r="F108"/>
  <c r="F108" i="6"/>
  <c r="G108"/>
  <c r="K108"/>
  <c r="H108"/>
  <c r="I108"/>
  <c r="I109" i="3"/>
  <c r="J109"/>
  <c r="K109"/>
  <c r="M109"/>
  <c r="N109" s="1"/>
  <c r="F109"/>
  <c r="F109" i="6"/>
  <c r="G109"/>
  <c r="K109"/>
  <c r="H109"/>
  <c r="I109"/>
  <c r="I110" i="3"/>
  <c r="J110"/>
  <c r="K110"/>
  <c r="M110"/>
  <c r="N110" s="1"/>
  <c r="F110"/>
  <c r="F110" i="6"/>
  <c r="G110"/>
  <c r="K110"/>
  <c r="H110"/>
  <c r="I110"/>
  <c r="I111" i="3"/>
  <c r="J111"/>
  <c r="K111"/>
  <c r="M111"/>
  <c r="N111" s="1"/>
  <c r="F111"/>
  <c r="F111" i="6"/>
  <c r="G111"/>
  <c r="K111"/>
  <c r="H111"/>
  <c r="I111"/>
  <c r="I112" i="3"/>
  <c r="J112"/>
  <c r="K112"/>
  <c r="M112"/>
  <c r="N112" s="1"/>
  <c r="F112"/>
  <c r="F112" i="6"/>
  <c r="G112"/>
  <c r="K112"/>
  <c r="H112"/>
  <c r="I112"/>
  <c r="I113" i="3"/>
  <c r="J113"/>
  <c r="K113"/>
  <c r="M113"/>
  <c r="N113" s="1"/>
  <c r="F113"/>
  <c r="F113" i="6"/>
  <c r="G113"/>
  <c r="K113"/>
  <c r="H113"/>
  <c r="I113"/>
  <c r="I114" i="3"/>
  <c r="J114"/>
  <c r="K114"/>
  <c r="M114"/>
  <c r="N114" s="1"/>
  <c r="F114"/>
  <c r="F114" i="6"/>
  <c r="G114"/>
  <c r="K114"/>
  <c r="H114"/>
  <c r="I114"/>
  <c r="I115" i="3"/>
  <c r="J115"/>
  <c r="K115"/>
  <c r="M115"/>
  <c r="N115" s="1"/>
  <c r="F115"/>
  <c r="F115" i="6"/>
  <c r="G115"/>
  <c r="K115"/>
  <c r="H115"/>
  <c r="I115"/>
  <c r="I116" i="3"/>
  <c r="J116"/>
  <c r="K116"/>
  <c r="M116"/>
  <c r="N116" s="1"/>
  <c r="F116"/>
  <c r="F116" i="6"/>
  <c r="G116"/>
  <c r="K116"/>
  <c r="H116"/>
  <c r="I116"/>
  <c r="I117" i="3"/>
  <c r="J117"/>
  <c r="K117"/>
  <c r="M117"/>
  <c r="N117" s="1"/>
  <c r="F117"/>
  <c r="F117" i="6"/>
  <c r="G117"/>
  <c r="K117"/>
  <c r="H117"/>
  <c r="I117"/>
  <c r="I118" i="3"/>
  <c r="J118"/>
  <c r="K118"/>
  <c r="M118"/>
  <c r="N118" s="1"/>
  <c r="F118"/>
  <c r="F118" i="6"/>
  <c r="G118"/>
  <c r="K118"/>
  <c r="H118"/>
  <c r="I118"/>
  <c r="I119" i="3"/>
  <c r="J119"/>
  <c r="K119"/>
  <c r="M119"/>
  <c r="N119" s="1"/>
  <c r="F119"/>
  <c r="F119" i="6"/>
  <c r="G119"/>
  <c r="K119"/>
  <c r="H119"/>
  <c r="I119"/>
  <c r="I120" i="3"/>
  <c r="J120"/>
  <c r="K120"/>
  <c r="M120"/>
  <c r="N120" s="1"/>
  <c r="F120"/>
  <c r="F120" i="6"/>
  <c r="G120"/>
  <c r="K120"/>
  <c r="H120"/>
  <c r="I120"/>
  <c r="I121" i="3"/>
  <c r="J121"/>
  <c r="K121"/>
  <c r="M121"/>
  <c r="N121" s="1"/>
  <c r="F121"/>
  <c r="F121" i="6"/>
  <c r="G121"/>
  <c r="K121"/>
  <c r="H121"/>
  <c r="I121"/>
  <c r="I122" i="3"/>
  <c r="J122"/>
  <c r="K122"/>
  <c r="M122"/>
  <c r="N122" s="1"/>
  <c r="F122"/>
  <c r="F122" i="6"/>
  <c r="G122"/>
  <c r="K122"/>
  <c r="H122"/>
  <c r="I122"/>
  <c r="I123" i="3"/>
  <c r="J123"/>
  <c r="K123"/>
  <c r="M123"/>
  <c r="N123" s="1"/>
  <c r="F123"/>
  <c r="F123" i="6"/>
  <c r="G123"/>
  <c r="K123"/>
  <c r="H123"/>
  <c r="I123"/>
  <c r="I124" i="3"/>
  <c r="J124"/>
  <c r="K124"/>
  <c r="M124"/>
  <c r="N124" s="1"/>
  <c r="F124"/>
  <c r="F124" i="6"/>
  <c r="G124"/>
  <c r="K124"/>
  <c r="H124"/>
  <c r="I124"/>
  <c r="I125" i="3"/>
  <c r="J125"/>
  <c r="K125"/>
  <c r="M125"/>
  <c r="N125" s="1"/>
  <c r="F125"/>
  <c r="F125" i="6"/>
  <c r="G125"/>
  <c r="K125"/>
  <c r="H125"/>
  <c r="I125"/>
  <c r="I126" i="3"/>
  <c r="J126"/>
  <c r="K126"/>
  <c r="M126"/>
  <c r="N126" s="1"/>
  <c r="F126"/>
  <c r="F126" i="6"/>
  <c r="G126"/>
  <c r="K126"/>
  <c r="H126"/>
  <c r="I126"/>
  <c r="I127" i="3"/>
  <c r="J127"/>
  <c r="K127"/>
  <c r="M127"/>
  <c r="N127" s="1"/>
  <c r="F127"/>
  <c r="F127" i="6"/>
  <c r="G127"/>
  <c r="K127"/>
  <c r="H127"/>
  <c r="I127"/>
  <c r="I128" i="3"/>
  <c r="J128"/>
  <c r="K128"/>
  <c r="M128"/>
  <c r="N128" s="1"/>
  <c r="F128"/>
  <c r="F128" i="6"/>
  <c r="G128"/>
  <c r="K128"/>
  <c r="H128"/>
  <c r="I128"/>
  <c r="I129" i="3"/>
  <c r="J129"/>
  <c r="K129"/>
  <c r="M129"/>
  <c r="N129" s="1"/>
  <c r="F129"/>
  <c r="F129" i="6"/>
  <c r="G129"/>
  <c r="K129"/>
  <c r="H129"/>
  <c r="I129"/>
  <c r="I130" i="3"/>
  <c r="J130"/>
  <c r="K130"/>
  <c r="M130"/>
  <c r="N130" s="1"/>
  <c r="F130"/>
  <c r="F130" i="6"/>
  <c r="G130"/>
  <c r="K130"/>
  <c r="H130"/>
  <c r="I130"/>
  <c r="I131" i="3"/>
  <c r="J131"/>
  <c r="K131"/>
  <c r="M131"/>
  <c r="N131" s="1"/>
  <c r="F131"/>
  <c r="F131" i="6"/>
  <c r="G131"/>
  <c r="K131"/>
  <c r="H131"/>
  <c r="I131"/>
  <c r="I132" i="3"/>
  <c r="J132"/>
  <c r="K132"/>
  <c r="M132"/>
  <c r="N132" s="1"/>
  <c r="F132"/>
  <c r="F132" i="6"/>
  <c r="G132"/>
  <c r="K132"/>
  <c r="H132"/>
  <c r="I132"/>
  <c r="I133" i="3"/>
  <c r="J133"/>
  <c r="K133"/>
  <c r="M133"/>
  <c r="N133" s="1"/>
  <c r="F133"/>
  <c r="F133" i="6"/>
  <c r="G133"/>
  <c r="K133"/>
  <c r="H133"/>
  <c r="I133"/>
  <c r="I134" i="3"/>
  <c r="J134"/>
  <c r="K134"/>
  <c r="M134"/>
  <c r="N134" s="1"/>
  <c r="F134"/>
  <c r="F134" i="6"/>
  <c r="G134"/>
  <c r="K134"/>
  <c r="H134"/>
  <c r="I134"/>
  <c r="I135" i="3"/>
  <c r="J135"/>
  <c r="K135"/>
  <c r="M135"/>
  <c r="N135" s="1"/>
  <c r="F135"/>
  <c r="F135" i="6"/>
  <c r="G135"/>
  <c r="K135"/>
  <c r="H135"/>
  <c r="I135"/>
  <c r="I136" i="3"/>
  <c r="J136"/>
  <c r="K136"/>
  <c r="M136"/>
  <c r="N136" s="1"/>
  <c r="F136"/>
  <c r="F136" i="6"/>
  <c r="G136"/>
  <c r="K136"/>
  <c r="H136"/>
  <c r="I136"/>
  <c r="I137" i="3"/>
  <c r="J137"/>
  <c r="K137"/>
  <c r="M137"/>
  <c r="N137" s="1"/>
  <c r="F137"/>
  <c r="F137" i="6"/>
  <c r="G137"/>
  <c r="K137"/>
  <c r="H137"/>
  <c r="I137"/>
  <c r="I138" i="3"/>
  <c r="J138"/>
  <c r="K138"/>
  <c r="M138"/>
  <c r="N138" s="1"/>
  <c r="F138"/>
  <c r="F138" i="6"/>
  <c r="G138"/>
  <c r="K138"/>
  <c r="H138"/>
  <c r="I138"/>
  <c r="I139" i="3"/>
  <c r="J139"/>
  <c r="K139"/>
  <c r="M139"/>
  <c r="N139" s="1"/>
  <c r="F139"/>
  <c r="F139" i="6"/>
  <c r="G139"/>
  <c r="K139"/>
  <c r="H139"/>
  <c r="I139"/>
  <c r="I140" i="3"/>
  <c r="J140"/>
  <c r="K140"/>
  <c r="M140"/>
  <c r="N140" s="1"/>
  <c r="F140"/>
  <c r="F140" i="6"/>
  <c r="G140"/>
  <c r="K140"/>
  <c r="H140"/>
  <c r="I140"/>
  <c r="I141" i="3"/>
  <c r="J141"/>
  <c r="K141"/>
  <c r="M141"/>
  <c r="N141" s="1"/>
  <c r="F141"/>
  <c r="F141" i="6"/>
  <c r="G141"/>
  <c r="K141"/>
  <c r="H141"/>
  <c r="I141"/>
  <c r="I142" i="3"/>
  <c r="J142"/>
  <c r="K142"/>
  <c r="M142"/>
  <c r="N142" s="1"/>
  <c r="F142"/>
  <c r="F142" i="6"/>
  <c r="G142"/>
  <c r="K142"/>
  <c r="H142"/>
  <c r="I142"/>
  <c r="I143" i="3"/>
  <c r="J143"/>
  <c r="K143"/>
  <c r="M143"/>
  <c r="N143" s="1"/>
  <c r="F143"/>
  <c r="F143" i="6"/>
  <c r="G143"/>
  <c r="K143"/>
  <c r="H143"/>
  <c r="I143"/>
  <c r="I144" i="3"/>
  <c r="J144"/>
  <c r="K144"/>
  <c r="M144"/>
  <c r="N144" s="1"/>
  <c r="F144"/>
  <c r="F144" i="6"/>
  <c r="G144"/>
  <c r="K144"/>
  <c r="H144"/>
  <c r="I144"/>
  <c r="I145" i="3"/>
  <c r="J145"/>
  <c r="K145"/>
  <c r="M145"/>
  <c r="N145" s="1"/>
  <c r="F145"/>
  <c r="F145" i="6"/>
  <c r="G145"/>
  <c r="K145"/>
  <c r="H145"/>
  <c r="I145"/>
  <c r="I146" i="3"/>
  <c r="J146"/>
  <c r="K146"/>
  <c r="M146"/>
  <c r="N146" s="1"/>
  <c r="F146"/>
  <c r="F146" i="6"/>
  <c r="G146"/>
  <c r="K146"/>
  <c r="H146"/>
  <c r="I146"/>
  <c r="I147" i="3"/>
  <c r="J147"/>
  <c r="K147"/>
  <c r="M147"/>
  <c r="N147" s="1"/>
  <c r="F147"/>
  <c r="F147" i="6"/>
  <c r="G147"/>
  <c r="K147"/>
  <c r="H147"/>
  <c r="I147"/>
  <c r="I148" i="3"/>
  <c r="J148"/>
  <c r="K148"/>
  <c r="M148"/>
  <c r="N148" s="1"/>
  <c r="F148"/>
  <c r="F148" i="6"/>
  <c r="G148"/>
  <c r="K148"/>
  <c r="H148"/>
  <c r="I148"/>
  <c r="I149" i="3"/>
  <c r="J149"/>
  <c r="K149"/>
  <c r="M149"/>
  <c r="N149" s="1"/>
  <c r="F149"/>
  <c r="F149" i="6"/>
  <c r="G149"/>
  <c r="K149"/>
  <c r="H149"/>
  <c r="I149"/>
  <c r="I150" i="3"/>
  <c r="J150"/>
  <c r="K150"/>
  <c r="M150"/>
  <c r="N150" s="1"/>
  <c r="F150"/>
  <c r="F150" i="6"/>
  <c r="G150"/>
  <c r="K150"/>
  <c r="H150"/>
  <c r="I150"/>
  <c r="I151" i="3"/>
  <c r="J151"/>
  <c r="K151"/>
  <c r="M151"/>
  <c r="N151" s="1"/>
  <c r="F151"/>
  <c r="F151" i="6"/>
  <c r="G151"/>
  <c r="K151"/>
  <c r="H151"/>
  <c r="I151"/>
  <c r="I152" i="3"/>
  <c r="J152"/>
  <c r="K152"/>
  <c r="M152"/>
  <c r="N152" s="1"/>
  <c r="F152"/>
  <c r="F152" i="6"/>
  <c r="G152"/>
  <c r="K152"/>
  <c r="H152"/>
  <c r="I152"/>
  <c r="I153" i="3"/>
  <c r="J153"/>
  <c r="K153"/>
  <c r="M153"/>
  <c r="N153" s="1"/>
  <c r="F153"/>
  <c r="F153" i="6"/>
  <c r="G153"/>
  <c r="K153"/>
  <c r="H153"/>
  <c r="I153"/>
  <c r="I154" i="3"/>
  <c r="J154"/>
  <c r="K154"/>
  <c r="M154"/>
  <c r="N154" s="1"/>
  <c r="F154"/>
  <c r="F154" i="6"/>
  <c r="G154"/>
  <c r="K154"/>
  <c r="H154"/>
  <c r="I154"/>
  <c r="I155" i="3"/>
  <c r="J155"/>
  <c r="K155"/>
  <c r="M155"/>
  <c r="N155" s="1"/>
  <c r="F155"/>
  <c r="F155" i="6"/>
  <c r="G155"/>
  <c r="K155"/>
  <c r="H155"/>
  <c r="I155"/>
  <c r="I156" i="3"/>
  <c r="J156"/>
  <c r="K156"/>
  <c r="M156"/>
  <c r="N156" s="1"/>
  <c r="F156"/>
  <c r="F156" i="6"/>
  <c r="G156"/>
  <c r="K156"/>
  <c r="H156"/>
  <c r="I156"/>
  <c r="I157" i="3"/>
  <c r="J157"/>
  <c r="K157"/>
  <c r="M157"/>
  <c r="N157" s="1"/>
  <c r="F157"/>
  <c r="F157" i="6"/>
  <c r="G157"/>
  <c r="K157"/>
  <c r="H157"/>
  <c r="I157"/>
  <c r="I158" i="3"/>
  <c r="J158"/>
  <c r="K158"/>
  <c r="M158"/>
  <c r="N158" s="1"/>
  <c r="F158"/>
  <c r="F158" i="6"/>
  <c r="G158"/>
  <c r="K158"/>
  <c r="H158"/>
  <c r="I158"/>
  <c r="I159" i="3"/>
  <c r="J159"/>
  <c r="K159"/>
  <c r="M159"/>
  <c r="N159" s="1"/>
  <c r="F159"/>
  <c r="F159" i="6"/>
  <c r="G159"/>
  <c r="K159"/>
  <c r="H159"/>
  <c r="I159"/>
  <c r="I160" i="3"/>
  <c r="J160"/>
  <c r="K160"/>
  <c r="M160"/>
  <c r="N160" s="1"/>
  <c r="F160"/>
  <c r="F160" i="6"/>
  <c r="G160"/>
  <c r="K160"/>
  <c r="H160"/>
  <c r="I160"/>
  <c r="I161" i="3"/>
  <c r="J161"/>
  <c r="K161"/>
  <c r="M161"/>
  <c r="N161" s="1"/>
  <c r="F161"/>
  <c r="F161" i="6"/>
  <c r="G161"/>
  <c r="K161"/>
  <c r="H161"/>
  <c r="I161"/>
  <c r="I162" i="3"/>
  <c r="J162"/>
  <c r="K162"/>
  <c r="M162"/>
  <c r="N162" s="1"/>
  <c r="F162"/>
  <c r="F162" i="6"/>
  <c r="G162"/>
  <c r="K162"/>
  <c r="H162"/>
  <c r="I162"/>
  <c r="I163" i="3"/>
  <c r="J163"/>
  <c r="K163"/>
  <c r="M163"/>
  <c r="N163" s="1"/>
  <c r="F163"/>
  <c r="F163" i="6"/>
  <c r="G163"/>
  <c r="K163"/>
  <c r="H163"/>
  <c r="I163"/>
  <c r="I164" i="3"/>
  <c r="J164"/>
  <c r="K164"/>
  <c r="M164"/>
  <c r="N164" s="1"/>
  <c r="F164"/>
  <c r="F164" i="6"/>
  <c r="G164"/>
  <c r="K164"/>
  <c r="H164"/>
  <c r="I164"/>
  <c r="I165" i="3"/>
  <c r="J165"/>
  <c r="K165"/>
  <c r="M165"/>
  <c r="N165" s="1"/>
  <c r="F165"/>
  <c r="F165" i="6"/>
  <c r="G165"/>
  <c r="K165"/>
  <c r="H165"/>
  <c r="I165"/>
  <c r="I166" i="3"/>
  <c r="J166"/>
  <c r="K166"/>
  <c r="M166"/>
  <c r="N166" s="1"/>
  <c r="F166"/>
  <c r="F166" i="6"/>
  <c r="G166"/>
  <c r="K166"/>
  <c r="H166"/>
  <c r="I166"/>
  <c r="I167" i="3"/>
  <c r="J167"/>
  <c r="K167"/>
  <c r="M167"/>
  <c r="N167" s="1"/>
  <c r="F167"/>
  <c r="F167" i="6"/>
  <c r="G167"/>
  <c r="K167"/>
  <c r="H167"/>
  <c r="I167"/>
  <c r="I168" i="3"/>
  <c r="J168"/>
  <c r="K168"/>
  <c r="M168"/>
  <c r="N168" s="1"/>
  <c r="F168"/>
  <c r="F168" i="6"/>
  <c r="G168"/>
  <c r="K168"/>
  <c r="H168"/>
  <c r="I168"/>
  <c r="I169" i="3"/>
  <c r="J169"/>
  <c r="K169"/>
  <c r="M169"/>
  <c r="N169" s="1"/>
  <c r="F169"/>
  <c r="F169" i="6"/>
  <c r="G169"/>
  <c r="K169"/>
  <c r="H169"/>
  <c r="I169"/>
  <c r="I170" i="3"/>
  <c r="J170"/>
  <c r="K170"/>
  <c r="M170"/>
  <c r="N170" s="1"/>
  <c r="F170"/>
  <c r="F170" i="6"/>
  <c r="G170"/>
  <c r="K170"/>
  <c r="H170"/>
  <c r="I170"/>
  <c r="I171" i="3"/>
  <c r="J171"/>
  <c r="K171"/>
  <c r="M171"/>
  <c r="N171" s="1"/>
  <c r="F171"/>
  <c r="F171" i="6"/>
  <c r="G171"/>
  <c r="K171"/>
  <c r="H171"/>
  <c r="I171"/>
  <c r="I172" i="3"/>
  <c r="J172"/>
  <c r="K172"/>
  <c r="M172"/>
  <c r="N172" s="1"/>
  <c r="F172"/>
  <c r="F172" i="6"/>
  <c r="G172"/>
  <c r="K172"/>
  <c r="H172"/>
  <c r="I172"/>
  <c r="I173" i="3"/>
  <c r="J173"/>
  <c r="K173"/>
  <c r="M173"/>
  <c r="N173" s="1"/>
  <c r="F173"/>
  <c r="F173" i="6"/>
  <c r="G173"/>
  <c r="K173"/>
  <c r="H173"/>
  <c r="I173"/>
  <c r="I174" i="3"/>
  <c r="J174"/>
  <c r="K174"/>
  <c r="M174"/>
  <c r="N174" s="1"/>
  <c r="F174"/>
  <c r="F174" i="6"/>
  <c r="G174"/>
  <c r="K174"/>
  <c r="H174"/>
  <c r="I174"/>
  <c r="I175" i="3"/>
  <c r="J175"/>
  <c r="K175"/>
  <c r="M175"/>
  <c r="N175" s="1"/>
  <c r="F175"/>
  <c r="F175" i="6"/>
  <c r="G175"/>
  <c r="K175"/>
  <c r="H175"/>
  <c r="I175"/>
  <c r="I176" i="3"/>
  <c r="J176"/>
  <c r="K176"/>
  <c r="M176"/>
  <c r="N176" s="1"/>
  <c r="F176"/>
  <c r="F176" i="6"/>
  <c r="G176"/>
  <c r="K176"/>
  <c r="H176"/>
  <c r="I176"/>
  <c r="I177" i="3"/>
  <c r="J177"/>
  <c r="K177"/>
  <c r="M177"/>
  <c r="N177" s="1"/>
  <c r="F177"/>
  <c r="F177" i="6"/>
  <c r="G177"/>
  <c r="K177"/>
  <c r="H177"/>
  <c r="I177"/>
  <c r="I178" i="3"/>
  <c r="J178"/>
  <c r="K178"/>
  <c r="M178"/>
  <c r="N178" s="1"/>
  <c r="F178"/>
  <c r="F178" i="6"/>
  <c r="G178"/>
  <c r="K178"/>
  <c r="H178"/>
  <c r="I178"/>
  <c r="I179" i="3"/>
  <c r="J179"/>
  <c r="K179"/>
  <c r="M179"/>
  <c r="N179" s="1"/>
  <c r="F179"/>
  <c r="F179" i="6"/>
  <c r="G179"/>
  <c r="K179"/>
  <c r="H179"/>
  <c r="I179"/>
  <c r="I180" i="3"/>
  <c r="J180"/>
  <c r="K180"/>
  <c r="M180"/>
  <c r="N180" s="1"/>
  <c r="F180"/>
  <c r="F180" i="6"/>
  <c r="G180"/>
  <c r="K180"/>
  <c r="H180"/>
  <c r="I180"/>
  <c r="I181" i="3"/>
  <c r="J181"/>
  <c r="K181"/>
  <c r="M181"/>
  <c r="N181" s="1"/>
  <c r="F181"/>
  <c r="F181" i="6"/>
  <c r="G181"/>
  <c r="K181"/>
  <c r="H181"/>
  <c r="I181"/>
  <c r="I182" i="3"/>
  <c r="J182"/>
  <c r="K182"/>
  <c r="M182"/>
  <c r="N182" s="1"/>
  <c r="F182"/>
  <c r="F182" i="6"/>
  <c r="G182"/>
  <c r="K182"/>
  <c r="H182"/>
  <c r="I182"/>
  <c r="I183" i="3"/>
  <c r="J183"/>
  <c r="K183"/>
  <c r="M183"/>
  <c r="N183" s="1"/>
  <c r="F183"/>
  <c r="F183" i="6"/>
  <c r="G183"/>
  <c r="K183"/>
  <c r="H183"/>
  <c r="I183"/>
  <c r="I184" i="3"/>
  <c r="J184"/>
  <c r="K184"/>
  <c r="M184"/>
  <c r="N184" s="1"/>
  <c r="F184"/>
  <c r="F184" i="6"/>
  <c r="G184"/>
  <c r="K184"/>
  <c r="H184"/>
  <c r="I184"/>
  <c r="I185" i="3"/>
  <c r="J185"/>
  <c r="K185"/>
  <c r="M185"/>
  <c r="N185" s="1"/>
  <c r="F185"/>
  <c r="F185" i="6"/>
  <c r="G185"/>
  <c r="K185"/>
  <c r="H185"/>
  <c r="I185"/>
  <c r="I186" i="3"/>
  <c r="J186"/>
  <c r="K186"/>
  <c r="M186"/>
  <c r="N186" s="1"/>
  <c r="F186"/>
  <c r="F186" i="6"/>
  <c r="G186"/>
  <c r="K186"/>
  <c r="H186"/>
  <c r="I186"/>
  <c r="I187" i="3"/>
  <c r="J187"/>
  <c r="K187"/>
  <c r="M187"/>
  <c r="N187" s="1"/>
  <c r="F187"/>
  <c r="F187" i="6"/>
  <c r="G187"/>
  <c r="K187"/>
  <c r="H187"/>
  <c r="I187"/>
  <c r="I188" i="3"/>
  <c r="J188"/>
  <c r="K188"/>
  <c r="M188"/>
  <c r="N188" s="1"/>
  <c r="F188"/>
  <c r="F188" i="6"/>
  <c r="G188"/>
  <c r="K188"/>
  <c r="H188"/>
  <c r="I188"/>
  <c r="I189" i="3"/>
  <c r="J189"/>
  <c r="K189"/>
  <c r="M189"/>
  <c r="N189" s="1"/>
  <c r="F189"/>
  <c r="F189" i="6"/>
  <c r="G189"/>
  <c r="K189"/>
  <c r="H189"/>
  <c r="I189"/>
  <c r="I190" i="3"/>
  <c r="J190"/>
  <c r="K190"/>
  <c r="M190"/>
  <c r="N190" s="1"/>
  <c r="F190"/>
  <c r="F190" i="6"/>
  <c r="G190"/>
  <c r="K190"/>
  <c r="H190"/>
  <c r="I190"/>
  <c r="I191" i="3"/>
  <c r="J191"/>
  <c r="K191"/>
  <c r="M191"/>
  <c r="N191" s="1"/>
  <c r="F191"/>
  <c r="F191" i="6"/>
  <c r="G191"/>
  <c r="K191"/>
  <c r="H191"/>
  <c r="I191"/>
  <c r="I192" i="3"/>
  <c r="J192"/>
  <c r="K192"/>
  <c r="M192"/>
  <c r="N192" s="1"/>
  <c r="F192"/>
  <c r="F192" i="6"/>
  <c r="G192"/>
  <c r="K192"/>
  <c r="H192"/>
  <c r="I192"/>
  <c r="I193" i="3"/>
  <c r="J193"/>
  <c r="K193"/>
  <c r="M193"/>
  <c r="N193" s="1"/>
  <c r="F193"/>
  <c r="F193" i="6"/>
  <c r="G193"/>
  <c r="K193"/>
  <c r="H193"/>
  <c r="I193"/>
  <c r="I194" i="3"/>
  <c r="J194"/>
  <c r="K194"/>
  <c r="M194"/>
  <c r="N194" s="1"/>
  <c r="F194"/>
  <c r="F194" i="6"/>
  <c r="G194"/>
  <c r="K194"/>
  <c r="H194"/>
  <c r="I194"/>
  <c r="I195" i="3"/>
  <c r="J195"/>
  <c r="K195"/>
  <c r="M195"/>
  <c r="N195" s="1"/>
  <c r="F195"/>
  <c r="F195" i="6"/>
  <c r="G195"/>
  <c r="K195"/>
  <c r="H195"/>
  <c r="I195"/>
  <c r="I196" i="3"/>
  <c r="J196"/>
  <c r="K196"/>
  <c r="M196"/>
  <c r="N196" s="1"/>
  <c r="F196"/>
  <c r="F196" i="6"/>
  <c r="G196"/>
  <c r="K196"/>
  <c r="H196"/>
  <c r="I196"/>
  <c r="I197" i="3"/>
  <c r="J197"/>
  <c r="K197"/>
  <c r="M197"/>
  <c r="N197" s="1"/>
  <c r="F197"/>
  <c r="F197" i="6"/>
  <c r="G197"/>
  <c r="K197"/>
  <c r="H197"/>
  <c r="I197"/>
  <c r="I198" i="3"/>
  <c r="J198"/>
  <c r="K198"/>
  <c r="M198"/>
  <c r="N198" s="1"/>
  <c r="F198"/>
  <c r="F198" i="6"/>
  <c r="G198"/>
  <c r="K198"/>
  <c r="H198"/>
  <c r="I198"/>
  <c r="I199" i="3"/>
  <c r="J199"/>
  <c r="K199"/>
  <c r="M199"/>
  <c r="N199" s="1"/>
  <c r="F199"/>
  <c r="F199" i="6"/>
  <c r="G199"/>
  <c r="K199"/>
  <c r="H199"/>
  <c r="I199"/>
  <c r="I200" i="3"/>
  <c r="J200"/>
  <c r="K200"/>
  <c r="M200"/>
  <c r="N200" s="1"/>
  <c r="F200"/>
  <c r="F200" i="6"/>
  <c r="G200"/>
  <c r="K200"/>
  <c r="H200"/>
  <c r="I200"/>
  <c r="I201" i="3"/>
  <c r="J201"/>
  <c r="K201"/>
  <c r="M201"/>
  <c r="N201" s="1"/>
  <c r="F201"/>
  <c r="F201" i="6"/>
  <c r="G201"/>
  <c r="K201"/>
  <c r="H201"/>
  <c r="I201"/>
  <c r="I202" i="3"/>
  <c r="J202"/>
  <c r="K202"/>
  <c r="M202"/>
  <c r="N202" s="1"/>
  <c r="F202"/>
  <c r="F202" i="6"/>
  <c r="G202"/>
  <c r="K202"/>
  <c r="H202"/>
  <c r="I202"/>
  <c r="I203" i="3"/>
  <c r="J203"/>
  <c r="K203"/>
  <c r="M203"/>
  <c r="N203" s="1"/>
  <c r="F203"/>
  <c r="F203" i="6"/>
  <c r="G203"/>
  <c r="K203"/>
  <c r="H203"/>
  <c r="I203"/>
  <c r="I204" i="3"/>
  <c r="J204"/>
  <c r="K204"/>
  <c r="M204"/>
  <c r="N204" s="1"/>
  <c r="F204"/>
  <c r="F204" i="6"/>
  <c r="G204"/>
  <c r="K204"/>
  <c r="H204"/>
  <c r="I204"/>
  <c r="I205" i="3"/>
  <c r="J205"/>
  <c r="K205"/>
  <c r="M205"/>
  <c r="N205" s="1"/>
  <c r="F205"/>
  <c r="F205" i="6"/>
  <c r="G205"/>
  <c r="K205"/>
  <c r="H205"/>
  <c r="I205"/>
  <c r="I206" i="3"/>
  <c r="J206"/>
  <c r="K206"/>
  <c r="M206"/>
  <c r="N206" s="1"/>
  <c r="F206"/>
  <c r="F206" i="6"/>
  <c r="G206"/>
  <c r="K206"/>
  <c r="H206"/>
  <c r="I206"/>
  <c r="I207" i="3"/>
  <c r="J207"/>
  <c r="K207"/>
  <c r="M207"/>
  <c r="N207" s="1"/>
  <c r="F207"/>
  <c r="F207" i="6"/>
  <c r="G207"/>
  <c r="K207"/>
  <c r="H207"/>
  <c r="I207"/>
  <c r="I208" i="3"/>
  <c r="J208"/>
  <c r="K208"/>
  <c r="M208"/>
  <c r="N208" s="1"/>
  <c r="F208"/>
  <c r="F208" i="6"/>
  <c r="G208"/>
  <c r="K208"/>
  <c r="H208"/>
  <c r="I208"/>
  <c r="I209" i="3"/>
  <c r="J209"/>
  <c r="K209"/>
  <c r="M209"/>
  <c r="N209" s="1"/>
  <c r="F209"/>
  <c r="F209" i="6"/>
  <c r="G209"/>
  <c r="K209"/>
  <c r="H209"/>
  <c r="I209"/>
  <c r="I210" i="3"/>
  <c r="J210"/>
  <c r="K210"/>
  <c r="M210"/>
  <c r="N210" s="1"/>
  <c r="F210"/>
  <c r="F210" i="6"/>
  <c r="G210"/>
  <c r="K210"/>
  <c r="H210"/>
  <c r="I210"/>
  <c r="I211" i="3"/>
  <c r="J211"/>
  <c r="K211"/>
  <c r="M211"/>
  <c r="N211" s="1"/>
  <c r="F211"/>
  <c r="F211" i="6"/>
  <c r="G211"/>
  <c r="K211"/>
  <c r="H211"/>
  <c r="I211"/>
  <c r="I212" i="3"/>
  <c r="J212"/>
  <c r="K212"/>
  <c r="M212"/>
  <c r="N212" s="1"/>
  <c r="F212"/>
  <c r="F212" i="6"/>
  <c r="G212"/>
  <c r="K212"/>
  <c r="H212"/>
  <c r="I212"/>
  <c r="I213" i="3"/>
  <c r="J213"/>
  <c r="K213"/>
  <c r="M213"/>
  <c r="N213" s="1"/>
  <c r="F213"/>
  <c r="F213" i="6"/>
  <c r="G213"/>
  <c r="K213"/>
  <c r="H213"/>
  <c r="I213"/>
  <c r="I214" i="3"/>
  <c r="J214"/>
  <c r="K214"/>
  <c r="M214"/>
  <c r="N214" s="1"/>
  <c r="F214"/>
  <c r="F214" i="6"/>
  <c r="G214"/>
  <c r="K214"/>
  <c r="H214"/>
  <c r="I214"/>
  <c r="I215" i="3"/>
  <c r="J215"/>
  <c r="K215"/>
  <c r="M215"/>
  <c r="N215" s="1"/>
  <c r="F215"/>
  <c r="F215" i="6"/>
  <c r="G215"/>
  <c r="K215"/>
  <c r="H215"/>
  <c r="I215"/>
  <c r="I216" i="3"/>
  <c r="J216"/>
  <c r="K216"/>
  <c r="M216"/>
  <c r="N216" s="1"/>
  <c r="F216"/>
  <c r="F216" i="6"/>
  <c r="G216"/>
  <c r="K216"/>
  <c r="H216"/>
  <c r="I216"/>
  <c r="I217" i="3"/>
  <c r="J217"/>
  <c r="K217"/>
  <c r="L217"/>
  <c r="M217"/>
  <c r="N217" s="1"/>
  <c r="F217"/>
  <c r="F217" i="6"/>
  <c r="G217"/>
  <c r="K217"/>
  <c r="H217"/>
  <c r="I217"/>
  <c r="I218" i="3"/>
  <c r="J218"/>
  <c r="K218"/>
  <c r="L218"/>
  <c r="M218"/>
  <c r="N218" s="1"/>
  <c r="F218"/>
  <c r="F218" i="6"/>
  <c r="G218"/>
  <c r="K218"/>
  <c r="H218"/>
  <c r="I218"/>
  <c r="I219" i="3"/>
  <c r="J219"/>
  <c r="K219"/>
  <c r="L219"/>
  <c r="M219"/>
  <c r="N219" s="1"/>
  <c r="F219"/>
  <c r="F219" i="6"/>
  <c r="G219"/>
  <c r="K219"/>
  <c r="H219"/>
  <c r="I219"/>
  <c r="I220" i="3"/>
  <c r="J220"/>
  <c r="K220"/>
  <c r="L220"/>
  <c r="M220"/>
  <c r="N220" s="1"/>
  <c r="F220"/>
  <c r="F220" i="6"/>
  <c r="G220"/>
  <c r="K220"/>
  <c r="H220"/>
  <c r="I220"/>
  <c r="I221" i="3"/>
  <c r="J221"/>
  <c r="K221"/>
  <c r="L221"/>
  <c r="M221"/>
  <c r="N221" s="1"/>
  <c r="F221"/>
  <c r="F221" i="6"/>
  <c r="G221"/>
  <c r="K221"/>
  <c r="H221"/>
  <c r="I221"/>
  <c r="I222" i="3"/>
  <c r="J222"/>
  <c r="K222"/>
  <c r="L222"/>
  <c r="M222"/>
  <c r="N222" s="1"/>
  <c r="F222"/>
  <c r="F222" i="6"/>
  <c r="G222"/>
  <c r="K222"/>
  <c r="H222"/>
  <c r="I222"/>
  <c r="I223" i="3"/>
  <c r="J223"/>
  <c r="K223"/>
  <c r="L223"/>
  <c r="M223"/>
  <c r="N223" s="1"/>
  <c r="F223"/>
  <c r="F223" i="6"/>
  <c r="G223"/>
  <c r="K223"/>
  <c r="H223"/>
  <c r="I223"/>
  <c r="I224" i="3"/>
  <c r="J224"/>
  <c r="K224"/>
  <c r="L224"/>
  <c r="M224"/>
  <c r="N224" s="1"/>
  <c r="F224"/>
  <c r="F224" i="6"/>
  <c r="G224"/>
  <c r="K224"/>
  <c r="H224"/>
  <c r="I224"/>
  <c r="I225" i="3"/>
  <c r="J225"/>
  <c r="K225"/>
  <c r="L225"/>
  <c r="M225"/>
  <c r="N225" s="1"/>
  <c r="F225"/>
  <c r="F225" i="6"/>
  <c r="G225"/>
  <c r="K225"/>
  <c r="H225"/>
  <c r="I225"/>
  <c r="I226" i="3"/>
  <c r="J226"/>
  <c r="K226"/>
  <c r="L226"/>
  <c r="M226"/>
  <c r="N226" s="1"/>
  <c r="F226"/>
  <c r="F226" i="6"/>
  <c r="G226"/>
  <c r="K226"/>
  <c r="H226"/>
  <c r="I226"/>
  <c r="I227" i="3"/>
  <c r="J227"/>
  <c r="K227"/>
  <c r="L227"/>
  <c r="M227"/>
  <c r="N227" s="1"/>
  <c r="F227"/>
  <c r="F227" i="6"/>
  <c r="G227"/>
  <c r="K227"/>
  <c r="H227"/>
  <c r="I227"/>
  <c r="I228" i="3"/>
  <c r="J228"/>
  <c r="K228"/>
  <c r="L228"/>
  <c r="M228"/>
  <c r="N228" s="1"/>
  <c r="F228"/>
  <c r="F228" i="6"/>
  <c r="G228"/>
  <c r="K228"/>
  <c r="H228"/>
  <c r="I228"/>
  <c r="I229" i="3"/>
  <c r="J229"/>
  <c r="K229"/>
  <c r="L229"/>
  <c r="M229"/>
  <c r="N229" s="1"/>
  <c r="F229"/>
  <c r="F229" i="6"/>
  <c r="G229"/>
  <c r="K229"/>
  <c r="H229"/>
  <c r="I229"/>
  <c r="I230" i="3"/>
  <c r="J230"/>
  <c r="K230"/>
  <c r="L230"/>
  <c r="M230"/>
  <c r="N230" s="1"/>
  <c r="F230"/>
  <c r="F230" i="6"/>
  <c r="G230"/>
  <c r="K230"/>
  <c r="H230"/>
  <c r="I230"/>
  <c r="I231" i="3"/>
  <c r="J231"/>
  <c r="K231"/>
  <c r="L231"/>
  <c r="M231"/>
  <c r="N231" s="1"/>
  <c r="F231"/>
  <c r="F231" i="6"/>
  <c r="G231"/>
  <c r="K231"/>
  <c r="H231"/>
  <c r="I231"/>
  <c r="I232" i="3"/>
  <c r="J232"/>
  <c r="K232"/>
  <c r="L232"/>
  <c r="M232"/>
  <c r="N232" s="1"/>
  <c r="F232"/>
  <c r="F232" i="6"/>
  <c r="G232"/>
  <c r="K232"/>
  <c r="H232"/>
  <c r="I232"/>
  <c r="I233" i="3"/>
  <c r="J233"/>
  <c r="K233"/>
  <c r="L233"/>
  <c r="M233"/>
  <c r="N233" s="1"/>
  <c r="F233"/>
  <c r="F233" i="6"/>
  <c r="G233"/>
  <c r="K233"/>
  <c r="H233"/>
  <c r="I233"/>
  <c r="I234" i="3"/>
  <c r="J234"/>
  <c r="K234"/>
  <c r="L234"/>
  <c r="M234"/>
  <c r="N234" s="1"/>
  <c r="F234"/>
  <c r="F234" i="6"/>
  <c r="G234"/>
  <c r="K234"/>
  <c r="H234"/>
  <c r="I234"/>
  <c r="I235" i="3"/>
  <c r="J235"/>
  <c r="K235"/>
  <c r="L235"/>
  <c r="M235"/>
  <c r="N235" s="1"/>
  <c r="F235"/>
  <c r="F235" i="6"/>
  <c r="G235"/>
  <c r="K235"/>
  <c r="H235"/>
  <c r="I235"/>
  <c r="I236" i="3"/>
  <c r="J236"/>
  <c r="K236"/>
  <c r="L236"/>
  <c r="M236"/>
  <c r="N236" s="1"/>
  <c r="F236"/>
  <c r="F236" i="6"/>
  <c r="G236"/>
  <c r="K236"/>
  <c r="H236"/>
  <c r="I236"/>
  <c r="I237" i="3"/>
  <c r="J237"/>
  <c r="K237"/>
  <c r="L237"/>
  <c r="M237"/>
  <c r="N237" s="1"/>
  <c r="F237"/>
  <c r="F237" i="6"/>
  <c r="G237"/>
  <c r="K237"/>
  <c r="H237"/>
  <c r="I237"/>
  <c r="I238" i="3"/>
  <c r="J238"/>
  <c r="K238"/>
  <c r="L238"/>
  <c r="M238"/>
  <c r="N238" s="1"/>
  <c r="F238"/>
  <c r="F238" i="6"/>
  <c r="G238"/>
  <c r="K238"/>
  <c r="H238"/>
  <c r="I238"/>
  <c r="I239" i="3"/>
  <c r="J239"/>
  <c r="K239"/>
  <c r="L239"/>
  <c r="M239"/>
  <c r="N239" s="1"/>
  <c r="F239"/>
  <c r="F239" i="6"/>
  <c r="G239"/>
  <c r="K239"/>
  <c r="H239"/>
  <c r="I239"/>
  <c r="I240" i="3"/>
  <c r="J240"/>
  <c r="K240"/>
  <c r="L240"/>
  <c r="M240"/>
  <c r="N240" s="1"/>
  <c r="F240"/>
  <c r="F240" i="6"/>
  <c r="G240"/>
  <c r="K240"/>
  <c r="H240"/>
  <c r="I240"/>
  <c r="I241" i="3"/>
  <c r="J241"/>
  <c r="K241"/>
  <c r="L241"/>
  <c r="M241"/>
  <c r="N241" s="1"/>
  <c r="F241"/>
  <c r="F241" i="6"/>
  <c r="G241"/>
  <c r="K241"/>
  <c r="H241"/>
  <c r="I241"/>
  <c r="I242" i="3"/>
  <c r="J242"/>
  <c r="K242"/>
  <c r="L242"/>
  <c r="M242"/>
  <c r="N242" s="1"/>
  <c r="F242"/>
  <c r="F242" i="6"/>
  <c r="G242"/>
  <c r="K242"/>
  <c r="H242"/>
  <c r="I242"/>
  <c r="I243" i="3"/>
  <c r="J243"/>
  <c r="K243"/>
  <c r="L243"/>
  <c r="M243"/>
  <c r="N243" s="1"/>
  <c r="F243"/>
  <c r="F243" i="6"/>
  <c r="G243"/>
  <c r="K243"/>
  <c r="H243"/>
  <c r="I243"/>
  <c r="I244" i="3"/>
  <c r="J244"/>
  <c r="K244"/>
  <c r="L244"/>
  <c r="M244"/>
  <c r="N244" s="1"/>
  <c r="F244"/>
  <c r="F244" i="6"/>
  <c r="G244"/>
  <c r="K244"/>
  <c r="H244"/>
  <c r="I244"/>
  <c r="I245" i="3"/>
  <c r="J245"/>
  <c r="K245"/>
  <c r="L245"/>
  <c r="M245"/>
  <c r="N245" s="1"/>
  <c r="F245"/>
  <c r="F245" i="6"/>
  <c r="G245"/>
  <c r="K245"/>
  <c r="H245"/>
  <c r="I245"/>
  <c r="I246" i="3"/>
  <c r="J246"/>
  <c r="K246"/>
  <c r="L246"/>
  <c r="M246"/>
  <c r="N246" s="1"/>
  <c r="F246"/>
  <c r="F246" i="6"/>
  <c r="G246"/>
  <c r="K246"/>
  <c r="H246"/>
  <c r="I246"/>
  <c r="I247" i="3"/>
  <c r="J247"/>
  <c r="K247"/>
  <c r="L247"/>
  <c r="M247"/>
  <c r="N247" s="1"/>
  <c r="F247"/>
  <c r="F247" i="6"/>
  <c r="G247"/>
  <c r="K247"/>
  <c r="H247"/>
  <c r="I247"/>
  <c r="I248" i="3"/>
  <c r="J248"/>
  <c r="K248"/>
  <c r="L248"/>
  <c r="M248"/>
  <c r="N248" s="1"/>
  <c r="F248"/>
  <c r="F248" i="6"/>
  <c r="G248"/>
  <c r="K248"/>
  <c r="H248"/>
  <c r="I248"/>
  <c r="I249" i="3"/>
  <c r="J249"/>
  <c r="K249"/>
  <c r="L249"/>
  <c r="M249"/>
  <c r="N249" s="1"/>
  <c r="F249"/>
  <c r="F249" i="6"/>
  <c r="G249"/>
  <c r="K249"/>
  <c r="H249"/>
  <c r="I249"/>
  <c r="I250" i="3"/>
  <c r="J250"/>
  <c r="K250"/>
  <c r="L250"/>
  <c r="M250"/>
  <c r="N250" s="1"/>
  <c r="F250"/>
  <c r="F250" i="6"/>
  <c r="G250"/>
  <c r="K250"/>
  <c r="H250"/>
  <c r="I250"/>
  <c r="I251" i="3"/>
  <c r="J251"/>
  <c r="K251"/>
  <c r="M251"/>
  <c r="N251" s="1"/>
  <c r="F251"/>
  <c r="F251" i="6"/>
  <c r="G251"/>
  <c r="K251"/>
  <c r="H251"/>
  <c r="I251"/>
  <c r="I252" i="3"/>
  <c r="J252"/>
  <c r="K252"/>
  <c r="M252"/>
  <c r="N252" s="1"/>
  <c r="F252"/>
  <c r="F252" i="6"/>
  <c r="G252"/>
  <c r="K252"/>
  <c r="H252"/>
  <c r="I252"/>
  <c r="I253" i="3"/>
  <c r="J253"/>
  <c r="K253"/>
  <c r="M253"/>
  <c r="N253" s="1"/>
  <c r="F253"/>
  <c r="F253" i="6"/>
  <c r="G253"/>
  <c r="K253"/>
  <c r="H253"/>
  <c r="I253"/>
  <c r="I254" i="3"/>
  <c r="J254"/>
  <c r="K254"/>
  <c r="M254"/>
  <c r="N254" s="1"/>
  <c r="F254"/>
  <c r="F254" i="6"/>
  <c r="G254"/>
  <c r="K254"/>
  <c r="H254"/>
  <c r="I254"/>
  <c r="I255" i="3"/>
  <c r="J255"/>
  <c r="K255"/>
  <c r="M255"/>
  <c r="N255" s="1"/>
  <c r="F255"/>
  <c r="F255" i="6"/>
  <c r="G255"/>
  <c r="K255"/>
  <c r="H255"/>
  <c r="I255"/>
  <c r="I256" i="3"/>
  <c r="J256"/>
  <c r="K256"/>
  <c r="M256"/>
  <c r="N256" s="1"/>
  <c r="F256"/>
  <c r="F256" i="6"/>
  <c r="G256"/>
  <c r="K256"/>
  <c r="H256"/>
  <c r="I256"/>
  <c r="I257" i="3"/>
  <c r="J257"/>
  <c r="K257"/>
  <c r="M257"/>
  <c r="N257" s="1"/>
  <c r="F257"/>
  <c r="F257" i="6"/>
  <c r="G257"/>
  <c r="K257"/>
  <c r="H257"/>
  <c r="I257"/>
  <c r="I258" i="3"/>
  <c r="J258"/>
  <c r="K258"/>
  <c r="M258"/>
  <c r="N258" s="1"/>
  <c r="F258"/>
  <c r="F258" i="6"/>
  <c r="G258"/>
  <c r="K258"/>
  <c r="H258"/>
  <c r="I258"/>
  <c r="I259" i="3"/>
  <c r="J259"/>
  <c r="K259"/>
  <c r="M259"/>
  <c r="N259" s="1"/>
  <c r="F259"/>
  <c r="F259" i="6"/>
  <c r="G259"/>
  <c r="K259"/>
  <c r="H259"/>
  <c r="I259"/>
  <c r="I260" i="3"/>
  <c r="J260"/>
  <c r="K260"/>
  <c r="M260"/>
  <c r="N260" s="1"/>
  <c r="F260"/>
  <c r="F260" i="6"/>
  <c r="G260"/>
  <c r="K260"/>
  <c r="H260"/>
  <c r="I260"/>
  <c r="I261" i="3"/>
  <c r="J261"/>
  <c r="K261"/>
  <c r="M261"/>
  <c r="N261" s="1"/>
  <c r="F261"/>
  <c r="F261" i="6"/>
  <c r="G261"/>
  <c r="K261"/>
  <c r="H261"/>
  <c r="I261"/>
  <c r="I262" i="3"/>
  <c r="J262"/>
  <c r="K262"/>
  <c r="M262"/>
  <c r="N262" s="1"/>
  <c r="F262"/>
  <c r="F262" i="6"/>
  <c r="G262"/>
  <c r="K262"/>
  <c r="H262"/>
  <c r="I262"/>
  <c r="I263" i="3"/>
  <c r="J263"/>
  <c r="K263"/>
  <c r="M263"/>
  <c r="N263" s="1"/>
  <c r="F263"/>
  <c r="F263" i="6"/>
  <c r="G263"/>
  <c r="K263"/>
  <c r="H263"/>
  <c r="I263"/>
  <c r="I264" i="3"/>
  <c r="J264"/>
  <c r="K264"/>
  <c r="M264"/>
  <c r="N264" s="1"/>
  <c r="F264"/>
  <c r="F264" i="6"/>
  <c r="G264"/>
  <c r="K264"/>
  <c r="H264"/>
  <c r="I264"/>
  <c r="I265" i="3"/>
  <c r="J265"/>
  <c r="K265"/>
  <c r="M265"/>
  <c r="N265" s="1"/>
  <c r="F265"/>
  <c r="F265" i="6"/>
  <c r="G265"/>
  <c r="K265"/>
  <c r="H265"/>
  <c r="I265"/>
  <c r="I266" i="3"/>
  <c r="J266"/>
  <c r="K266"/>
  <c r="M266"/>
  <c r="N266" s="1"/>
  <c r="F266"/>
  <c r="F266" i="6"/>
  <c r="G266"/>
  <c r="K266"/>
  <c r="H266"/>
  <c r="I266"/>
  <c r="I267" i="3"/>
  <c r="J267"/>
  <c r="K267"/>
  <c r="M267"/>
  <c r="N267" s="1"/>
  <c r="F267"/>
  <c r="F267" i="6"/>
  <c r="G267"/>
  <c r="K267"/>
  <c r="H267"/>
  <c r="I267"/>
  <c r="I268" i="3"/>
  <c r="J268"/>
  <c r="K268"/>
  <c r="M268"/>
  <c r="N268" s="1"/>
  <c r="F268"/>
  <c r="F268" i="6"/>
  <c r="G268"/>
  <c r="K268"/>
  <c r="H268"/>
  <c r="I268"/>
  <c r="I269" i="3"/>
  <c r="J269"/>
  <c r="K269"/>
  <c r="M269"/>
  <c r="N269" s="1"/>
  <c r="F269"/>
  <c r="F269" i="6"/>
  <c r="G269"/>
  <c r="K269"/>
  <c r="H269"/>
  <c r="I269"/>
  <c r="I270" i="3"/>
  <c r="J270"/>
  <c r="K270"/>
  <c r="M270"/>
  <c r="N270" s="1"/>
  <c r="F270"/>
  <c r="F270" i="6"/>
  <c r="G270"/>
  <c r="K270"/>
  <c r="H270"/>
  <c r="I270"/>
  <c r="I271" i="3"/>
  <c r="J271"/>
  <c r="K271"/>
  <c r="M271"/>
  <c r="N271" s="1"/>
  <c r="F271"/>
  <c r="F271" i="6"/>
  <c r="G271"/>
  <c r="K271"/>
  <c r="H271"/>
  <c r="I271"/>
  <c r="I272" i="3"/>
  <c r="J272"/>
  <c r="K272"/>
  <c r="M272"/>
  <c r="N272" s="1"/>
  <c r="F272"/>
  <c r="F272" i="6"/>
  <c r="G272"/>
  <c r="K272"/>
  <c r="H272"/>
  <c r="I272"/>
  <c r="I273" i="3"/>
  <c r="J273"/>
  <c r="K273"/>
  <c r="M273"/>
  <c r="N273" s="1"/>
  <c r="F273"/>
  <c r="F273" i="6"/>
  <c r="G273"/>
  <c r="K273"/>
  <c r="H273"/>
  <c r="I273"/>
  <c r="I274" i="3"/>
  <c r="J274"/>
  <c r="K274"/>
  <c r="M274"/>
  <c r="N274" s="1"/>
  <c r="F274"/>
  <c r="F274" i="6"/>
  <c r="G274"/>
  <c r="K274"/>
  <c r="H274"/>
  <c r="I274"/>
  <c r="I275" i="3"/>
  <c r="J275"/>
  <c r="K275"/>
  <c r="M275"/>
  <c r="N275" s="1"/>
  <c r="F275"/>
  <c r="F275" i="6"/>
  <c r="G275"/>
  <c r="K275"/>
  <c r="H275"/>
  <c r="I275"/>
  <c r="I276" i="3"/>
  <c r="J276"/>
  <c r="K276"/>
  <c r="M276"/>
  <c r="N276" s="1"/>
  <c r="F276"/>
  <c r="F276" i="6"/>
  <c r="G276"/>
  <c r="K276"/>
  <c r="H276"/>
  <c r="I276"/>
  <c r="I277" i="3"/>
  <c r="J277"/>
  <c r="K277"/>
  <c r="M277"/>
  <c r="N277" s="1"/>
  <c r="F277"/>
  <c r="F277" i="6"/>
  <c r="G277"/>
  <c r="K277"/>
  <c r="H277"/>
  <c r="I277"/>
  <c r="I278" i="3"/>
  <c r="J278"/>
  <c r="K278"/>
  <c r="M278"/>
  <c r="N278" s="1"/>
  <c r="F278"/>
  <c r="F278" i="6"/>
  <c r="G278"/>
  <c r="K278"/>
  <c r="H278"/>
  <c r="I278"/>
  <c r="I279" i="3"/>
  <c r="J279"/>
  <c r="K279"/>
  <c r="M279"/>
  <c r="N279" s="1"/>
  <c r="F279"/>
  <c r="F279" i="6"/>
  <c r="G279"/>
  <c r="K279"/>
  <c r="H279"/>
  <c r="I279"/>
  <c r="I280" i="3"/>
  <c r="J280"/>
  <c r="K280"/>
  <c r="M280"/>
  <c r="N280" s="1"/>
  <c r="F280"/>
  <c r="F280" i="6"/>
  <c r="G280"/>
  <c r="K280"/>
  <c r="H280"/>
  <c r="I280"/>
  <c r="I281" i="3"/>
  <c r="J281"/>
  <c r="K281"/>
  <c r="M281"/>
  <c r="N281" s="1"/>
  <c r="F281"/>
  <c r="F281" i="6"/>
  <c r="G281"/>
  <c r="K281"/>
  <c r="H281"/>
  <c r="I281"/>
  <c r="I282" i="3"/>
  <c r="J282"/>
  <c r="K282"/>
  <c r="M282"/>
  <c r="N282" s="1"/>
  <c r="F282"/>
  <c r="F282" i="6"/>
  <c r="G282"/>
  <c r="K282"/>
  <c r="H282"/>
  <c r="I282"/>
  <c r="I283" i="3"/>
  <c r="J283"/>
  <c r="K283"/>
  <c r="M283"/>
  <c r="N283" s="1"/>
  <c r="F283"/>
  <c r="F283" i="6"/>
  <c r="G283"/>
  <c r="K283"/>
  <c r="H283"/>
  <c r="I283"/>
  <c r="I284" i="3"/>
  <c r="J284"/>
  <c r="K284"/>
  <c r="M284"/>
  <c r="N284" s="1"/>
  <c r="F284"/>
  <c r="F284" i="6"/>
  <c r="G284"/>
  <c r="K284"/>
  <c r="H284"/>
  <c r="I284"/>
  <c r="I285" i="3"/>
  <c r="J285"/>
  <c r="K285"/>
  <c r="M285"/>
  <c r="N285" s="1"/>
  <c r="F285"/>
  <c r="F285" i="6"/>
  <c r="G285"/>
  <c r="K285"/>
  <c r="H285"/>
  <c r="I285"/>
  <c r="I286" i="3"/>
  <c r="J286"/>
  <c r="K286"/>
  <c r="M286"/>
  <c r="N286" s="1"/>
  <c r="F286"/>
  <c r="F286" i="6"/>
  <c r="G286"/>
  <c r="K286"/>
  <c r="H286"/>
  <c r="I286"/>
  <c r="I287" i="3"/>
  <c r="J287"/>
  <c r="K287"/>
  <c r="M287"/>
  <c r="N287" s="1"/>
  <c r="F287"/>
  <c r="F287" i="6"/>
  <c r="G287"/>
  <c r="K287"/>
  <c r="H287"/>
  <c r="I287"/>
  <c r="I288" i="3"/>
  <c r="J288"/>
  <c r="K288"/>
  <c r="M288"/>
  <c r="N288" s="1"/>
  <c r="F288"/>
  <c r="F288" i="6"/>
  <c r="G288"/>
  <c r="K288"/>
  <c r="H288"/>
  <c r="I288"/>
  <c r="I289" i="3"/>
  <c r="J289"/>
  <c r="K289"/>
  <c r="M289"/>
  <c r="N289" s="1"/>
  <c r="F289"/>
  <c r="F289" i="6"/>
  <c r="G289"/>
  <c r="K289"/>
  <c r="H289"/>
  <c r="I289"/>
  <c r="I290" i="3"/>
  <c r="J290"/>
  <c r="K290"/>
  <c r="M290"/>
  <c r="N290" s="1"/>
  <c r="F290"/>
  <c r="F290" i="6"/>
  <c r="G290"/>
  <c r="K290"/>
  <c r="H290"/>
  <c r="I290"/>
  <c r="I291" i="3"/>
  <c r="J291"/>
  <c r="K291"/>
  <c r="M291"/>
  <c r="N291" s="1"/>
  <c r="F291"/>
  <c r="F291" i="6"/>
  <c r="G291"/>
  <c r="K291"/>
  <c r="H291"/>
  <c r="I291"/>
  <c r="I292" i="3"/>
  <c r="J292"/>
  <c r="K292"/>
  <c r="M292"/>
  <c r="N292" s="1"/>
  <c r="F292"/>
  <c r="F292" i="6"/>
  <c r="G292"/>
  <c r="K292"/>
  <c r="H292"/>
  <c r="I292"/>
  <c r="I293" i="3"/>
  <c r="J293"/>
  <c r="K293"/>
  <c r="M293"/>
  <c r="N293" s="1"/>
  <c r="F293"/>
  <c r="F293" i="6"/>
  <c r="G293"/>
  <c r="K293"/>
  <c r="H293"/>
  <c r="I293"/>
  <c r="I294" i="3"/>
  <c r="J294"/>
  <c r="K294"/>
  <c r="M294"/>
  <c r="N294" s="1"/>
  <c r="F294"/>
  <c r="F294" i="6"/>
  <c r="G294"/>
  <c r="K294"/>
  <c r="H294"/>
  <c r="I294"/>
  <c r="I295" i="3"/>
  <c r="J295"/>
  <c r="K295"/>
  <c r="M295"/>
  <c r="N295" s="1"/>
  <c r="F295"/>
  <c r="F295" i="6"/>
  <c r="G295"/>
  <c r="K295"/>
  <c r="H295"/>
  <c r="I295"/>
  <c r="I296" i="3"/>
  <c r="J296"/>
  <c r="K296"/>
  <c r="M296"/>
  <c r="N296" s="1"/>
  <c r="F296"/>
  <c r="F296" i="6"/>
  <c r="G296"/>
  <c r="K296"/>
  <c r="H296"/>
  <c r="I296"/>
  <c r="I297" i="3"/>
  <c r="J297"/>
  <c r="K297"/>
  <c r="M297"/>
  <c r="N297" s="1"/>
  <c r="F297"/>
  <c r="F297" i="6"/>
  <c r="G297"/>
  <c r="K297"/>
  <c r="H297"/>
  <c r="I297"/>
  <c r="I298" i="3"/>
  <c r="J298"/>
  <c r="K298"/>
  <c r="M298"/>
  <c r="N298" s="1"/>
  <c r="F298"/>
  <c r="F298" i="6"/>
  <c r="G298"/>
  <c r="K298"/>
  <c r="H298"/>
  <c r="I298"/>
  <c r="I299" i="3"/>
  <c r="J299"/>
  <c r="K299"/>
  <c r="M299"/>
  <c r="N299" s="1"/>
  <c r="F299"/>
  <c r="F299" i="6"/>
  <c r="G299"/>
  <c r="K299"/>
  <c r="H299"/>
  <c r="I299"/>
  <c r="I300" i="3"/>
  <c r="J300"/>
  <c r="K300"/>
  <c r="M300"/>
  <c r="N300" s="1"/>
  <c r="F300"/>
  <c r="F300" i="6"/>
  <c r="G300"/>
  <c r="K300"/>
  <c r="H300"/>
  <c r="I300"/>
  <c r="I301" i="3"/>
  <c r="J301"/>
  <c r="K301"/>
  <c r="M301"/>
  <c r="N301" s="1"/>
  <c r="F301"/>
  <c r="F301" i="6"/>
  <c r="G301"/>
  <c r="K301"/>
  <c r="H301"/>
  <c r="I301"/>
  <c r="I302" i="3"/>
  <c r="J302"/>
  <c r="K302"/>
  <c r="M302"/>
  <c r="N302" s="1"/>
  <c r="F302"/>
  <c r="F302" i="6"/>
  <c r="G302"/>
  <c r="K302"/>
  <c r="H302"/>
  <c r="I302"/>
  <c r="I303" i="3"/>
  <c r="J303"/>
  <c r="K303"/>
  <c r="M303"/>
  <c r="N303" s="1"/>
  <c r="F303"/>
  <c r="F303" i="6"/>
  <c r="G303"/>
  <c r="K303"/>
  <c r="H303"/>
  <c r="I303"/>
  <c r="I304" i="3"/>
  <c r="J304"/>
  <c r="K304"/>
  <c r="M304"/>
  <c r="N304" s="1"/>
  <c r="F304"/>
  <c r="F304" i="6"/>
  <c r="G304"/>
  <c r="K304"/>
  <c r="H304"/>
  <c r="I304"/>
  <c r="I305" i="3"/>
  <c r="J305"/>
  <c r="K305"/>
  <c r="M305"/>
  <c r="N305" s="1"/>
  <c r="F305"/>
  <c r="F305" i="6"/>
  <c r="G305"/>
  <c r="K305"/>
  <c r="H305"/>
  <c r="I305"/>
  <c r="I306" i="3"/>
  <c r="J306"/>
  <c r="K306"/>
  <c r="M306"/>
  <c r="N306" s="1"/>
  <c r="F306"/>
  <c r="F306" i="6"/>
  <c r="G306"/>
  <c r="K306"/>
  <c r="H306"/>
  <c r="I306"/>
  <c r="I307" i="3"/>
  <c r="J307"/>
  <c r="K307"/>
  <c r="M307"/>
  <c r="N307" s="1"/>
  <c r="F307"/>
  <c r="F307" i="6"/>
  <c r="G307"/>
  <c r="K307"/>
  <c r="H307"/>
  <c r="I307"/>
  <c r="I308" i="3"/>
  <c r="J308"/>
  <c r="K308"/>
  <c r="M308"/>
  <c r="N308" s="1"/>
  <c r="F308"/>
  <c r="F308" i="6"/>
  <c r="G308"/>
  <c r="K308"/>
  <c r="H308"/>
  <c r="I308"/>
  <c r="I309" i="3"/>
  <c r="J309"/>
  <c r="K309"/>
  <c r="M309"/>
  <c r="N309" s="1"/>
  <c r="F309"/>
  <c r="F309" i="6"/>
  <c r="G309"/>
  <c r="K309"/>
  <c r="H309"/>
  <c r="I309"/>
  <c r="I310" i="3"/>
  <c r="J310"/>
  <c r="K310"/>
  <c r="M310"/>
  <c r="N310" s="1"/>
  <c r="F310"/>
  <c r="F310" i="6"/>
  <c r="G310"/>
  <c r="K310"/>
  <c r="H310"/>
  <c r="I310"/>
  <c r="I311" i="3"/>
  <c r="J311"/>
  <c r="K311"/>
  <c r="M311"/>
  <c r="N311" s="1"/>
  <c r="F311"/>
  <c r="F311" i="6"/>
  <c r="G311"/>
  <c r="K311"/>
  <c r="H311"/>
  <c r="I311"/>
  <c r="I312" i="3"/>
  <c r="J312"/>
  <c r="K312"/>
  <c r="M312"/>
  <c r="N312" s="1"/>
  <c r="F312"/>
  <c r="F312" i="6"/>
  <c r="G312"/>
  <c r="K312"/>
  <c r="H312"/>
  <c r="I312"/>
  <c r="I313" i="3"/>
  <c r="J313"/>
  <c r="K313"/>
  <c r="M313"/>
  <c r="N313" s="1"/>
  <c r="F313"/>
  <c r="F313" i="6"/>
  <c r="G313"/>
  <c r="K313"/>
  <c r="H313"/>
  <c r="I313"/>
  <c r="I314" i="3"/>
  <c r="J314"/>
  <c r="K314"/>
  <c r="M314"/>
  <c r="N314" s="1"/>
  <c r="F314"/>
  <c r="F314" i="6"/>
  <c r="G314"/>
  <c r="K314"/>
  <c r="H314"/>
  <c r="I314"/>
  <c r="I315" i="3"/>
  <c r="J315"/>
  <c r="K315"/>
  <c r="M315"/>
  <c r="N315" s="1"/>
  <c r="F315"/>
  <c r="F315" i="6"/>
  <c r="G315"/>
  <c r="K315"/>
  <c r="H315"/>
  <c r="I315"/>
  <c r="I316" i="3"/>
  <c r="J316"/>
  <c r="K316"/>
  <c r="M316"/>
  <c r="N316" s="1"/>
  <c r="F316"/>
  <c r="F316" i="6"/>
  <c r="G316"/>
  <c r="K316"/>
  <c r="H316"/>
  <c r="I316"/>
  <c r="I317" i="3"/>
  <c r="J317"/>
  <c r="K317"/>
  <c r="M317"/>
  <c r="N317" s="1"/>
  <c r="F317"/>
  <c r="F317" i="6"/>
  <c r="G317"/>
  <c r="K317"/>
  <c r="H317"/>
  <c r="I317"/>
  <c r="I318" i="3"/>
  <c r="J318"/>
  <c r="K318"/>
  <c r="M318"/>
  <c r="N318" s="1"/>
  <c r="F318"/>
  <c r="F318" i="6"/>
  <c r="G318"/>
  <c r="K318"/>
  <c r="H318"/>
  <c r="I318"/>
  <c r="I319" i="3"/>
  <c r="J319"/>
  <c r="K319"/>
  <c r="M319"/>
  <c r="N319" s="1"/>
  <c r="F319"/>
  <c r="F319" i="6"/>
  <c r="G319"/>
  <c r="K319"/>
  <c r="H319"/>
  <c r="I319"/>
  <c r="I320" i="3"/>
  <c r="J320"/>
  <c r="K320"/>
  <c r="M320"/>
  <c r="N320" s="1"/>
  <c r="F320"/>
  <c r="F320" i="6"/>
  <c r="G320"/>
  <c r="K320"/>
  <c r="H320"/>
  <c r="I320"/>
  <c r="I321" i="3"/>
  <c r="J321"/>
  <c r="K321"/>
  <c r="M321"/>
  <c r="N321" s="1"/>
  <c r="F321"/>
  <c r="F321" i="6"/>
  <c r="G321"/>
  <c r="K321"/>
  <c r="H321"/>
  <c r="I321"/>
  <c r="I322" i="3"/>
  <c r="J322"/>
  <c r="K322"/>
  <c r="M322"/>
  <c r="N322" s="1"/>
  <c r="F322"/>
  <c r="F322" i="6"/>
  <c r="G322"/>
  <c r="K322"/>
  <c r="H322"/>
  <c r="I322"/>
  <c r="I323" i="3"/>
  <c r="J323"/>
  <c r="K323"/>
  <c r="M323"/>
  <c r="N323" s="1"/>
  <c r="F323"/>
  <c r="F323" i="6"/>
  <c r="G323"/>
  <c r="K323"/>
  <c r="H323"/>
  <c r="I323"/>
  <c r="I324" i="3"/>
  <c r="J324"/>
  <c r="K324"/>
  <c r="M324"/>
  <c r="N324" s="1"/>
  <c r="F324"/>
  <c r="F324" i="6"/>
  <c r="G324"/>
  <c r="K324"/>
  <c r="H324"/>
  <c r="I324"/>
  <c r="I325" i="3"/>
  <c r="J325"/>
  <c r="K325"/>
  <c r="M325"/>
  <c r="N325" s="1"/>
  <c r="F325"/>
  <c r="F325" i="6"/>
  <c r="G325"/>
  <c r="K325"/>
  <c r="H325"/>
  <c r="I325"/>
  <c r="I326" i="3"/>
  <c r="J326"/>
  <c r="K326"/>
  <c r="M326"/>
  <c r="N326" s="1"/>
  <c r="F326"/>
  <c r="F326" i="6"/>
  <c r="G326"/>
  <c r="K326"/>
  <c r="H326"/>
  <c r="I326"/>
  <c r="I327" i="3"/>
  <c r="J327"/>
  <c r="K327"/>
  <c r="M327"/>
  <c r="N327" s="1"/>
  <c r="F327"/>
  <c r="F327" i="6"/>
  <c r="G327"/>
  <c r="K327"/>
  <c r="H327"/>
  <c r="I327"/>
  <c r="I328" i="3"/>
  <c r="J328"/>
  <c r="K328"/>
  <c r="M328"/>
  <c r="N328" s="1"/>
  <c r="F328"/>
  <c r="F328" i="6"/>
  <c r="G328"/>
  <c r="K328"/>
  <c r="H328"/>
  <c r="I328"/>
  <c r="I329" i="3"/>
  <c r="J329"/>
  <c r="K329"/>
  <c r="M329"/>
  <c r="N329" s="1"/>
  <c r="F329"/>
  <c r="F329" i="6"/>
  <c r="G329"/>
  <c r="K329"/>
  <c r="H329"/>
  <c r="I329"/>
  <c r="I330" i="3"/>
  <c r="J330"/>
  <c r="K330"/>
  <c r="M330"/>
  <c r="N330" s="1"/>
  <c r="F330"/>
  <c r="F330" i="6"/>
  <c r="G330"/>
  <c r="K330"/>
  <c r="H330"/>
  <c r="I330"/>
  <c r="I331" i="3"/>
  <c r="J331"/>
  <c r="K331"/>
  <c r="M331"/>
  <c r="N331" s="1"/>
  <c r="F331"/>
  <c r="F331" i="6"/>
  <c r="G331"/>
  <c r="K331"/>
  <c r="H331"/>
  <c r="I331"/>
  <c r="I332" i="3"/>
  <c r="J332"/>
  <c r="K332"/>
  <c r="M332"/>
  <c r="N332" s="1"/>
  <c r="F332"/>
  <c r="F332" i="6"/>
  <c r="G332"/>
  <c r="K332"/>
  <c r="H332"/>
  <c r="I332"/>
  <c r="I333" i="3"/>
  <c r="J333"/>
  <c r="K333"/>
  <c r="M333"/>
  <c r="N333" s="1"/>
  <c r="F333"/>
  <c r="F333" i="6"/>
  <c r="G333"/>
  <c r="K333"/>
  <c r="H333"/>
  <c r="I333"/>
  <c r="I334" i="3"/>
  <c r="J334"/>
  <c r="K334"/>
  <c r="M334"/>
  <c r="N334" s="1"/>
  <c r="F334"/>
  <c r="F334" i="6"/>
  <c r="G334"/>
  <c r="K334"/>
  <c r="H334"/>
  <c r="I334"/>
  <c r="I335" i="3"/>
  <c r="J335"/>
  <c r="K335"/>
  <c r="M335"/>
  <c r="N335" s="1"/>
  <c r="F335"/>
  <c r="F335" i="6"/>
  <c r="G335"/>
  <c r="K335"/>
  <c r="H335"/>
  <c r="I335"/>
  <c r="I336" i="3"/>
  <c r="J336"/>
  <c r="K336"/>
  <c r="M336"/>
  <c r="N336" s="1"/>
  <c r="F336"/>
  <c r="F336" i="6"/>
  <c r="G336"/>
  <c r="K336"/>
  <c r="H336"/>
  <c r="I336"/>
  <c r="I337" i="3"/>
  <c r="J337"/>
  <c r="K337"/>
  <c r="M337"/>
  <c r="N337" s="1"/>
  <c r="F337"/>
  <c r="F337" i="6"/>
  <c r="G337"/>
  <c r="K337"/>
  <c r="H337"/>
  <c r="I337"/>
  <c r="I338" i="3"/>
  <c r="J338"/>
  <c r="K338"/>
  <c r="M338"/>
  <c r="N338" s="1"/>
  <c r="F338"/>
  <c r="F338" i="6"/>
  <c r="G338"/>
  <c r="K338"/>
  <c r="H338"/>
  <c r="I338"/>
  <c r="I339" i="3"/>
  <c r="J339"/>
  <c r="K339"/>
  <c r="M339"/>
  <c r="N339" s="1"/>
  <c r="F339"/>
  <c r="F339" i="6"/>
  <c r="G339"/>
  <c r="K339"/>
  <c r="H339"/>
  <c r="I339"/>
  <c r="I340" i="3"/>
  <c r="J340"/>
  <c r="K340"/>
  <c r="M340"/>
  <c r="N340" s="1"/>
  <c r="F340"/>
  <c r="F340" i="6"/>
  <c r="G340"/>
  <c r="K340"/>
  <c r="H340"/>
  <c r="I340"/>
  <c r="I341" i="3"/>
  <c r="J341"/>
  <c r="K341"/>
  <c r="M341"/>
  <c r="N341" s="1"/>
  <c r="F341"/>
  <c r="F341" i="6"/>
  <c r="G341"/>
  <c r="K341"/>
  <c r="H341"/>
  <c r="I341"/>
  <c r="I342" i="3"/>
  <c r="J342"/>
  <c r="K342"/>
  <c r="M342"/>
  <c r="N342" s="1"/>
  <c r="F342"/>
  <c r="F342" i="6"/>
  <c r="G342"/>
  <c r="K342"/>
  <c r="H342"/>
  <c r="I342"/>
  <c r="I343" i="3"/>
  <c r="J343"/>
  <c r="K343"/>
  <c r="M343"/>
  <c r="N343" s="1"/>
  <c r="F343"/>
  <c r="F343" i="6"/>
  <c r="G343"/>
  <c r="K343"/>
  <c r="H343"/>
  <c r="I343"/>
  <c r="I344" i="3"/>
  <c r="J344"/>
  <c r="K344"/>
  <c r="M344"/>
  <c r="N344" s="1"/>
  <c r="F344"/>
  <c r="F344" i="6"/>
  <c r="G344"/>
  <c r="K344"/>
  <c r="H344"/>
  <c r="I344"/>
  <c r="I345" i="3"/>
  <c r="J345"/>
  <c r="K345"/>
  <c r="M345"/>
  <c r="N345" s="1"/>
  <c r="F345"/>
  <c r="F345" i="6"/>
  <c r="G345"/>
  <c r="K345"/>
  <c r="H345"/>
  <c r="I345"/>
  <c r="I346" i="3"/>
  <c r="J346"/>
  <c r="K346"/>
  <c r="M346"/>
  <c r="N346" s="1"/>
  <c r="F346"/>
  <c r="F346" i="6"/>
  <c r="G346"/>
  <c r="K346"/>
  <c r="H346"/>
  <c r="I346"/>
  <c r="I347" i="3"/>
  <c r="J347"/>
  <c r="K347"/>
  <c r="M347"/>
  <c r="N347" s="1"/>
  <c r="F347"/>
  <c r="F347" i="6"/>
  <c r="G347"/>
  <c r="K347"/>
  <c r="H347"/>
  <c r="I347"/>
  <c r="I348" i="3"/>
  <c r="J348"/>
  <c r="K348"/>
  <c r="M348"/>
  <c r="N348" s="1"/>
  <c r="F348"/>
  <c r="F348" i="6"/>
  <c r="G348"/>
  <c r="K348"/>
  <c r="H348"/>
  <c r="I348"/>
  <c r="I349" i="3"/>
  <c r="J349"/>
  <c r="K349"/>
  <c r="M349"/>
  <c r="N349" s="1"/>
  <c r="F349"/>
  <c r="F349" i="6"/>
  <c r="G349"/>
  <c r="K349"/>
  <c r="H349"/>
  <c r="I349"/>
  <c r="I350" i="3"/>
  <c r="J350"/>
  <c r="K350"/>
  <c r="M350"/>
  <c r="N350" s="1"/>
  <c r="F350"/>
  <c r="F350" i="6"/>
  <c r="G350"/>
  <c r="K350"/>
  <c r="H350"/>
  <c r="I350"/>
  <c r="I351" i="3"/>
  <c r="J351"/>
  <c r="K351"/>
  <c r="M351"/>
  <c r="N351" s="1"/>
  <c r="F351"/>
  <c r="F351" i="6"/>
  <c r="G351"/>
  <c r="K351"/>
  <c r="H351"/>
  <c r="I351"/>
  <c r="I352" i="3"/>
  <c r="J352"/>
  <c r="K352"/>
  <c r="M352"/>
  <c r="N352" s="1"/>
  <c r="F352"/>
  <c r="F352" i="6"/>
  <c r="G352"/>
  <c r="K352"/>
  <c r="H352"/>
  <c r="I352"/>
  <c r="I353" i="3"/>
  <c r="J353"/>
  <c r="K353"/>
  <c r="M353"/>
  <c r="N353" s="1"/>
  <c r="F353"/>
  <c r="F353" i="6"/>
  <c r="G353"/>
  <c r="K353"/>
  <c r="H353"/>
  <c r="I353"/>
  <c r="I354" i="3"/>
  <c r="J354"/>
  <c r="K354"/>
  <c r="M354"/>
  <c r="N354" s="1"/>
  <c r="F354"/>
  <c r="F354" i="6"/>
  <c r="G354"/>
  <c r="K354"/>
  <c r="H354"/>
  <c r="I354"/>
  <c r="I355" i="3"/>
  <c r="J355"/>
  <c r="K355"/>
  <c r="M355"/>
  <c r="N355" s="1"/>
  <c r="F355"/>
  <c r="F355" i="6"/>
  <c r="G355"/>
  <c r="K355"/>
  <c r="H355"/>
  <c r="I355"/>
  <c r="I356" i="3"/>
  <c r="J356"/>
  <c r="K356"/>
  <c r="M356"/>
  <c r="N356" s="1"/>
  <c r="F356"/>
  <c r="F356" i="6"/>
  <c r="G356"/>
  <c r="K356"/>
  <c r="H356"/>
  <c r="I356"/>
  <c r="I357" i="3"/>
  <c r="J357"/>
  <c r="K357"/>
  <c r="M357"/>
  <c r="N357" s="1"/>
  <c r="F357"/>
  <c r="F357" i="6"/>
  <c r="G357"/>
  <c r="K357"/>
  <c r="H357"/>
  <c r="I357"/>
  <c r="I358" i="3"/>
  <c r="J358"/>
  <c r="K358"/>
  <c r="M358"/>
  <c r="N358" s="1"/>
  <c r="F358"/>
  <c r="F358" i="6"/>
  <c r="G358"/>
  <c r="K358"/>
  <c r="H358"/>
  <c r="I358"/>
  <c r="I359" i="3"/>
  <c r="J359"/>
  <c r="K359"/>
  <c r="M359"/>
  <c r="N359" s="1"/>
  <c r="F359"/>
  <c r="F359" i="6"/>
  <c r="G359"/>
  <c r="K359"/>
  <c r="H359"/>
  <c r="I359"/>
  <c r="I360" i="3"/>
  <c r="J360"/>
  <c r="K360"/>
  <c r="M360"/>
  <c r="N360" s="1"/>
  <c r="F360"/>
  <c r="F360" i="6"/>
  <c r="G360"/>
  <c r="K360"/>
  <c r="H360"/>
  <c r="I360"/>
  <c r="I361" i="3"/>
  <c r="J361"/>
  <c r="K361"/>
  <c r="M361"/>
  <c r="N361" s="1"/>
  <c r="F361"/>
  <c r="F361" i="6"/>
  <c r="G361"/>
  <c r="K361"/>
  <c r="H361"/>
  <c r="I361"/>
  <c r="I362" i="3"/>
  <c r="J362"/>
  <c r="K362"/>
  <c r="M362"/>
  <c r="N362" s="1"/>
  <c r="F362"/>
  <c r="F362" i="6"/>
  <c r="G362"/>
  <c r="K362"/>
  <c r="H362"/>
  <c r="I362"/>
  <c r="I363" i="3"/>
  <c r="J363"/>
  <c r="K363"/>
  <c r="M363"/>
  <c r="N363" s="1"/>
  <c r="F363"/>
  <c r="F363" i="6"/>
  <c r="G363"/>
  <c r="K363"/>
  <c r="H363"/>
  <c r="I363"/>
  <c r="I364" i="3"/>
  <c r="J364"/>
  <c r="K364"/>
  <c r="M364"/>
  <c r="N364" s="1"/>
  <c r="F364"/>
  <c r="F364" i="6"/>
  <c r="G364"/>
  <c r="K364"/>
  <c r="H364"/>
  <c r="I364"/>
  <c r="I365" i="3"/>
  <c r="J365"/>
  <c r="K365"/>
  <c r="M365"/>
  <c r="N365" s="1"/>
  <c r="F365"/>
  <c r="F365" i="6"/>
  <c r="G365"/>
  <c r="K365"/>
  <c r="H365"/>
  <c r="I365"/>
  <c r="I366" i="3"/>
  <c r="J366"/>
  <c r="K366"/>
  <c r="M366"/>
  <c r="N366" s="1"/>
  <c r="F366"/>
  <c r="F366" i="6"/>
  <c r="G366"/>
  <c r="K366"/>
  <c r="H366"/>
  <c r="I366"/>
  <c r="I367" i="3"/>
  <c r="J367"/>
  <c r="K367"/>
  <c r="M367"/>
  <c r="N367" s="1"/>
  <c r="F367"/>
  <c r="F367" i="6"/>
  <c r="G367"/>
  <c r="K367"/>
  <c r="H367"/>
  <c r="I367"/>
  <c r="I368" i="3"/>
  <c r="J368"/>
  <c r="K368"/>
  <c r="M368"/>
  <c r="N368" s="1"/>
  <c r="F368"/>
  <c r="F368" i="6"/>
  <c r="G368"/>
  <c r="K368"/>
  <c r="H368"/>
  <c r="I368"/>
  <c r="I369" i="3"/>
  <c r="J369"/>
  <c r="K369"/>
  <c r="M369"/>
  <c r="N369" s="1"/>
  <c r="F369"/>
  <c r="F369" i="6"/>
  <c r="G369"/>
  <c r="K369"/>
  <c r="H369"/>
  <c r="I369"/>
  <c r="I370" i="3"/>
  <c r="J370"/>
  <c r="K370"/>
  <c r="M370"/>
  <c r="N370" s="1"/>
  <c r="F370"/>
  <c r="F370" i="6"/>
  <c r="G370"/>
  <c r="K370"/>
  <c r="H370"/>
  <c r="I370"/>
  <c r="I371" i="3"/>
  <c r="J371"/>
  <c r="K371"/>
  <c r="M371"/>
  <c r="N371" s="1"/>
  <c r="F371"/>
  <c r="F371" i="6"/>
  <c r="G371"/>
  <c r="K371"/>
  <c r="H371"/>
  <c r="I371"/>
  <c r="I372" i="3"/>
  <c r="J372"/>
  <c r="K372"/>
  <c r="M372"/>
  <c r="N372" s="1"/>
  <c r="F372"/>
  <c r="F372" i="6"/>
  <c r="G372"/>
  <c r="K372"/>
  <c r="H372"/>
  <c r="I372"/>
  <c r="I373" i="3"/>
  <c r="J373"/>
  <c r="K373"/>
  <c r="M373"/>
  <c r="N373" s="1"/>
  <c r="F373"/>
  <c r="F373" i="6"/>
  <c r="G373"/>
  <c r="K373"/>
  <c r="H373"/>
  <c r="I373"/>
  <c r="I374" i="3"/>
  <c r="J374"/>
  <c r="K374"/>
  <c r="M374"/>
  <c r="N374" s="1"/>
  <c r="F374"/>
  <c r="F374" i="6"/>
  <c r="G374"/>
  <c r="K374"/>
  <c r="H374"/>
  <c r="I374"/>
  <c r="I375" i="3"/>
  <c r="J375"/>
  <c r="K375"/>
  <c r="M375"/>
  <c r="N375" s="1"/>
  <c r="F375"/>
  <c r="F375" i="6"/>
  <c r="G375"/>
  <c r="K375"/>
  <c r="H375"/>
  <c r="I375"/>
  <c r="I376" i="3"/>
  <c r="J376"/>
  <c r="K376"/>
  <c r="M376"/>
  <c r="N376" s="1"/>
  <c r="F376"/>
  <c r="F376" i="6"/>
  <c r="G376"/>
  <c r="K376"/>
  <c r="H376"/>
  <c r="I376"/>
  <c r="I377" i="3"/>
  <c r="J377"/>
  <c r="K377"/>
  <c r="M377"/>
  <c r="N377" s="1"/>
  <c r="F377"/>
  <c r="F377" i="6"/>
  <c r="G377"/>
  <c r="K377"/>
  <c r="H377"/>
  <c r="I377"/>
  <c r="H377" i="14"/>
  <c r="I377"/>
  <c r="H377" i="18"/>
  <c r="I377"/>
  <c r="I378" i="3"/>
  <c r="J378"/>
  <c r="K378"/>
  <c r="M378"/>
  <c r="N378" s="1"/>
  <c r="F378"/>
  <c r="F378" i="6"/>
  <c r="G378"/>
  <c r="K378"/>
  <c r="H378"/>
  <c r="I378"/>
  <c r="H378" i="14"/>
  <c r="I378"/>
  <c r="H378" i="18"/>
  <c r="I378"/>
  <c r="I379" i="3"/>
  <c r="J379"/>
  <c r="K379"/>
  <c r="M379"/>
  <c r="N379" s="1"/>
  <c r="F379"/>
  <c r="F379" i="6"/>
  <c r="G379"/>
  <c r="K379"/>
  <c r="H379"/>
  <c r="I379"/>
  <c r="H379" i="14"/>
  <c r="I379"/>
  <c r="H379" i="18"/>
  <c r="I379"/>
  <c r="I380" i="3"/>
  <c r="J380"/>
  <c r="K380"/>
  <c r="M380"/>
  <c r="N380" s="1"/>
  <c r="C380"/>
  <c r="F380"/>
  <c r="C380" i="6"/>
  <c r="F380"/>
  <c r="G380"/>
  <c r="K380"/>
  <c r="H380"/>
  <c r="I380"/>
  <c r="I381" i="3"/>
  <c r="J381"/>
  <c r="K381"/>
  <c r="M381"/>
  <c r="N381" s="1"/>
  <c r="F381"/>
  <c r="F381" i="6"/>
  <c r="G381"/>
  <c r="K381"/>
  <c r="H381"/>
  <c r="I381"/>
  <c r="H381" i="14"/>
  <c r="I381"/>
  <c r="H381" i="18"/>
  <c r="I381"/>
  <c r="I382" i="3"/>
  <c r="J382"/>
  <c r="K382"/>
  <c r="M382"/>
  <c r="N382" s="1"/>
  <c r="F382"/>
  <c r="F382" i="6"/>
  <c r="G382"/>
  <c r="K382"/>
  <c r="H382"/>
  <c r="I382"/>
  <c r="H382" i="14"/>
  <c r="I382"/>
  <c r="H382" i="18"/>
  <c r="I382"/>
  <c r="I749" i="3"/>
  <c r="J749"/>
  <c r="K749"/>
  <c r="M749"/>
  <c r="F749"/>
  <c r="F749" i="6"/>
  <c r="G749"/>
  <c r="K749"/>
  <c r="H749"/>
  <c r="I749"/>
  <c r="I750" i="3"/>
  <c r="J750"/>
  <c r="K750"/>
  <c r="M750"/>
  <c r="F750"/>
  <c r="F750" i="6"/>
  <c r="G750"/>
  <c r="K750"/>
  <c r="H750"/>
  <c r="I750"/>
  <c r="I751" i="3"/>
  <c r="J751"/>
  <c r="K751"/>
  <c r="M751"/>
  <c r="F751"/>
  <c r="F751" i="6"/>
  <c r="G751"/>
  <c r="K751"/>
  <c r="H751"/>
  <c r="I751"/>
  <c r="I752" i="3"/>
  <c r="J752"/>
  <c r="K752"/>
  <c r="M752"/>
  <c r="F752"/>
  <c r="F752" i="6"/>
  <c r="G752"/>
  <c r="K752"/>
  <c r="H752"/>
  <c r="I752"/>
  <c r="I753" i="3"/>
  <c r="J753"/>
  <c r="K753"/>
  <c r="M753"/>
  <c r="F753"/>
  <c r="F753" i="6"/>
  <c r="G753"/>
  <c r="K753"/>
  <c r="H753"/>
  <c r="I753"/>
  <c r="F753" i="13"/>
  <c r="G753" s="1"/>
  <c r="I753" s="1"/>
  <c r="I754" i="3"/>
  <c r="J754"/>
  <c r="K754"/>
  <c r="M754"/>
  <c r="F754"/>
  <c r="F754" i="6"/>
  <c r="G754"/>
  <c r="K754"/>
  <c r="H754"/>
  <c r="I754"/>
  <c r="I755" i="3"/>
  <c r="J755"/>
  <c r="K755"/>
  <c r="M755"/>
  <c r="F755"/>
  <c r="F755" i="6"/>
  <c r="G755"/>
  <c r="K755"/>
  <c r="H755"/>
  <c r="I755"/>
  <c r="F755" i="13"/>
  <c r="G755" s="1"/>
  <c r="I755" s="1"/>
  <c r="I756" i="3"/>
  <c r="J756"/>
  <c r="K756"/>
  <c r="M756"/>
  <c r="F756"/>
  <c r="F756" i="6"/>
  <c r="G756"/>
  <c r="K756"/>
  <c r="H756"/>
  <c r="I756"/>
  <c r="F756" i="13"/>
  <c r="G756" s="1"/>
  <c r="I756" s="1"/>
  <c r="I757" i="3"/>
  <c r="J757"/>
  <c r="K757"/>
  <c r="M757"/>
  <c r="F757"/>
  <c r="F757" i="6"/>
  <c r="G757"/>
  <c r="K757"/>
  <c r="H757"/>
  <c r="I757"/>
  <c r="I758" i="3"/>
  <c r="J758"/>
  <c r="K758"/>
  <c r="M758"/>
  <c r="F758"/>
  <c r="F758" i="6"/>
  <c r="G758"/>
  <c r="K758"/>
  <c r="H758"/>
  <c r="I758"/>
  <c r="I759" i="3"/>
  <c r="J759"/>
  <c r="K759"/>
  <c r="M759"/>
  <c r="F759"/>
  <c r="F759" i="6"/>
  <c r="G759"/>
  <c r="K759"/>
  <c r="H759"/>
  <c r="I759"/>
  <c r="I760" i="3"/>
  <c r="J760"/>
  <c r="K760"/>
  <c r="M760"/>
  <c r="F760"/>
  <c r="F760" i="6"/>
  <c r="G760"/>
  <c r="K760"/>
  <c r="H760"/>
  <c r="I760"/>
  <c r="I761" i="3"/>
  <c r="J761"/>
  <c r="K761"/>
  <c r="M761"/>
  <c r="F761"/>
  <c r="F761" i="6"/>
  <c r="G761"/>
  <c r="K761"/>
  <c r="H761"/>
  <c r="I761"/>
  <c r="I762" i="3"/>
  <c r="J762"/>
  <c r="K762"/>
  <c r="M762"/>
  <c r="F762"/>
  <c r="F762" i="6"/>
  <c r="G762"/>
  <c r="K762"/>
  <c r="H762"/>
  <c r="I762"/>
  <c r="I763" i="3"/>
  <c r="J763"/>
  <c r="K763"/>
  <c r="M763"/>
  <c r="F763"/>
  <c r="F763" i="6"/>
  <c r="G763"/>
  <c r="K763"/>
  <c r="H763"/>
  <c r="I763"/>
  <c r="I764" i="3"/>
  <c r="J764"/>
  <c r="K764"/>
  <c r="M764"/>
  <c r="F764"/>
  <c r="F764" i="6"/>
  <c r="G764"/>
  <c r="K764"/>
  <c r="H764"/>
  <c r="I764"/>
  <c r="I765" i="3"/>
  <c r="J765"/>
  <c r="K765"/>
  <c r="M765"/>
  <c r="F765"/>
  <c r="F765" i="6"/>
  <c r="G765"/>
  <c r="K765"/>
  <c r="H765"/>
  <c r="I765"/>
  <c r="I766" i="3"/>
  <c r="J766"/>
  <c r="K766"/>
  <c r="M766"/>
  <c r="F766"/>
  <c r="F766" i="6"/>
  <c r="G766"/>
  <c r="K766"/>
  <c r="H766"/>
  <c r="I766"/>
  <c r="I767" i="3"/>
  <c r="J767"/>
  <c r="K767"/>
  <c r="M767"/>
  <c r="F767"/>
  <c r="F767" i="6"/>
  <c r="G767"/>
  <c r="K767"/>
  <c r="H767"/>
  <c r="I767"/>
  <c r="I768" i="3"/>
  <c r="J768"/>
  <c r="K768"/>
  <c r="M768"/>
  <c r="F768"/>
  <c r="F768" i="6"/>
  <c r="G768"/>
  <c r="K768"/>
  <c r="H768"/>
  <c r="I768"/>
  <c r="I769" i="3"/>
  <c r="J769"/>
  <c r="K769"/>
  <c r="M769"/>
  <c r="F769"/>
  <c r="F769" i="6"/>
  <c r="G769"/>
  <c r="K769"/>
  <c r="H769"/>
  <c r="I769"/>
  <c r="I770" i="3"/>
  <c r="J770"/>
  <c r="K770"/>
  <c r="M770"/>
  <c r="F770"/>
  <c r="F770" i="6"/>
  <c r="G770"/>
  <c r="K770"/>
  <c r="H770"/>
  <c r="I770"/>
  <c r="I771" i="3"/>
  <c r="J771"/>
  <c r="K771"/>
  <c r="M771"/>
  <c r="F771"/>
  <c r="F771" i="6"/>
  <c r="G771"/>
  <c r="K771"/>
  <c r="H771"/>
  <c r="I771"/>
  <c r="I772" i="3"/>
  <c r="J772"/>
  <c r="K772"/>
  <c r="M772"/>
  <c r="F772"/>
  <c r="F772" i="6"/>
  <c r="G772"/>
  <c r="K772"/>
  <c r="H772"/>
  <c r="I772"/>
  <c r="I773" i="3"/>
  <c r="J773"/>
  <c r="K773"/>
  <c r="M773"/>
  <c r="F773"/>
  <c r="F773" i="6"/>
  <c r="G773"/>
  <c r="K773"/>
  <c r="H773"/>
  <c r="I773"/>
  <c r="I774" i="3"/>
  <c r="J774"/>
  <c r="K774"/>
  <c r="M774"/>
  <c r="F774"/>
  <c r="F774" i="6"/>
  <c r="G774"/>
  <c r="K774"/>
  <c r="H774"/>
  <c r="I774"/>
  <c r="I775" i="3"/>
  <c r="J775"/>
  <c r="K775"/>
  <c r="M775"/>
  <c r="F775"/>
  <c r="F775" i="6"/>
  <c r="G775"/>
  <c r="K775"/>
  <c r="H775"/>
  <c r="I775"/>
  <c r="I776" i="3"/>
  <c r="J776"/>
  <c r="K776"/>
  <c r="M776"/>
  <c r="F776"/>
  <c r="F776" i="6"/>
  <c r="G776"/>
  <c r="K776"/>
  <c r="H776"/>
  <c r="I776"/>
  <c r="I777" i="3"/>
  <c r="J777"/>
  <c r="K777"/>
  <c r="M777"/>
  <c r="F777"/>
  <c r="F777" i="6"/>
  <c r="G777"/>
  <c r="K777"/>
  <c r="H777"/>
  <c r="I777"/>
  <c r="I778" i="3"/>
  <c r="J778"/>
  <c r="K778"/>
  <c r="M778"/>
  <c r="F778"/>
  <c r="F778" i="6"/>
  <c r="G778"/>
  <c r="K778"/>
  <c r="H778"/>
  <c r="I778"/>
  <c r="I779" i="3"/>
  <c r="J779"/>
  <c r="K779"/>
  <c r="M779"/>
  <c r="F779"/>
  <c r="F779" i="6"/>
  <c r="G779"/>
  <c r="K779"/>
  <c r="H779"/>
  <c r="I779"/>
  <c r="I780" i="3"/>
  <c r="J780"/>
  <c r="K780"/>
  <c r="M780"/>
  <c r="F780"/>
  <c r="F780" i="6"/>
  <c r="G780"/>
  <c r="K780"/>
  <c r="H780"/>
  <c r="I780"/>
  <c r="I781" i="3"/>
  <c r="J781"/>
  <c r="K781"/>
  <c r="M781"/>
  <c r="F781"/>
  <c r="F781" i="6"/>
  <c r="G781"/>
  <c r="K781"/>
  <c r="H781"/>
  <c r="I781"/>
  <c r="I782" i="3"/>
  <c r="J782"/>
  <c r="K782"/>
  <c r="M782"/>
  <c r="F782"/>
  <c r="F782" i="6"/>
  <c r="G782"/>
  <c r="K782"/>
  <c r="H782"/>
  <c r="I782"/>
  <c r="I783" i="3"/>
  <c r="J783"/>
  <c r="K783"/>
  <c r="M783"/>
  <c r="F783"/>
  <c r="F783" i="6"/>
  <c r="G783"/>
  <c r="K783"/>
  <c r="H783"/>
  <c r="I783"/>
  <c r="I784" i="3"/>
  <c r="J784"/>
  <c r="K784"/>
  <c r="M784"/>
  <c r="F784"/>
  <c r="F784" i="6"/>
  <c r="G784"/>
  <c r="K784"/>
  <c r="H784"/>
  <c r="I784"/>
  <c r="I785" i="3"/>
  <c r="J785"/>
  <c r="K785"/>
  <c r="M785"/>
  <c r="F785"/>
  <c r="F785" i="6"/>
  <c r="G785"/>
  <c r="K785"/>
  <c r="H785"/>
  <c r="I785"/>
  <c r="I786" i="3"/>
  <c r="J786"/>
  <c r="K786"/>
  <c r="M786"/>
  <c r="F786"/>
  <c r="F786" i="6"/>
  <c r="G786"/>
  <c r="K786"/>
  <c r="H786"/>
  <c r="I786"/>
  <c r="I787" i="3"/>
  <c r="J787"/>
  <c r="K787"/>
  <c r="M787"/>
  <c r="F787"/>
  <c r="F787" i="6"/>
  <c r="G787"/>
  <c r="K787"/>
  <c r="H787"/>
  <c r="I787"/>
  <c r="I788" i="3"/>
  <c r="J788"/>
  <c r="K788"/>
  <c r="M788"/>
  <c r="F788"/>
  <c r="F788" i="6"/>
  <c r="G788"/>
  <c r="K788"/>
  <c r="H788"/>
  <c r="I788"/>
  <c r="I789" i="3"/>
  <c r="J789"/>
  <c r="K789"/>
  <c r="M789"/>
  <c r="F789"/>
  <c r="F789" i="6"/>
  <c r="G789"/>
  <c r="K789"/>
  <c r="H789"/>
  <c r="I789"/>
  <c r="I790" i="3"/>
  <c r="J790"/>
  <c r="K790"/>
  <c r="M790"/>
  <c r="F790"/>
  <c r="F790" i="6"/>
  <c r="G790"/>
  <c r="K790"/>
  <c r="H790"/>
  <c r="I790"/>
  <c r="I791" i="3"/>
  <c r="J791"/>
  <c r="K791"/>
  <c r="M791"/>
  <c r="F791"/>
  <c r="F791" i="6"/>
  <c r="G791"/>
  <c r="K791"/>
  <c r="H791"/>
  <c r="I791"/>
  <c r="I792" i="3"/>
  <c r="J792"/>
  <c r="K792"/>
  <c r="M792"/>
  <c r="F792"/>
  <c r="F792" i="6"/>
  <c r="G792"/>
  <c r="K792"/>
  <c r="H792"/>
  <c r="I792"/>
  <c r="I793" i="3"/>
  <c r="J793"/>
  <c r="K793"/>
  <c r="M793"/>
  <c r="F793"/>
  <c r="F793" i="6"/>
  <c r="G793"/>
  <c r="K793"/>
  <c r="H793"/>
  <c r="I793"/>
  <c r="I794" i="3"/>
  <c r="J794"/>
  <c r="K794"/>
  <c r="M794"/>
  <c r="F794"/>
  <c r="F794" i="6"/>
  <c r="G794"/>
  <c r="K794"/>
  <c r="H794"/>
  <c r="I794"/>
  <c r="I795" i="3"/>
  <c r="J795"/>
  <c r="K795"/>
  <c r="M795"/>
  <c r="F795"/>
  <c r="F795" i="6"/>
  <c r="G795"/>
  <c r="K795"/>
  <c r="H795"/>
  <c r="I795"/>
  <c r="I796" i="3"/>
  <c r="J796"/>
  <c r="K796"/>
  <c r="M796"/>
  <c r="F796"/>
  <c r="F796" i="6"/>
  <c r="G796"/>
  <c r="K796"/>
  <c r="H796"/>
  <c r="I796"/>
  <c r="I797" i="3"/>
  <c r="J797"/>
  <c r="K797"/>
  <c r="M797"/>
  <c r="F797"/>
  <c r="F797" i="6"/>
  <c r="G797"/>
  <c r="K797"/>
  <c r="H797"/>
  <c r="I797"/>
  <c r="I798" i="3"/>
  <c r="J798"/>
  <c r="K798"/>
  <c r="M798"/>
  <c r="F798"/>
  <c r="F798" i="6"/>
  <c r="G798"/>
  <c r="K798"/>
  <c r="H798"/>
  <c r="I798"/>
  <c r="I799" i="3"/>
  <c r="J799"/>
  <c r="K799"/>
  <c r="M799"/>
  <c r="F799"/>
  <c r="F799" i="6"/>
  <c r="G799"/>
  <c r="K799"/>
  <c r="H799"/>
  <c r="I799"/>
  <c r="I800" i="3"/>
  <c r="J800"/>
  <c r="K800"/>
  <c r="M800"/>
  <c r="F800"/>
  <c r="F800" i="6"/>
  <c r="G800"/>
  <c r="K800"/>
  <c r="H800"/>
  <c r="I800"/>
  <c r="I801" i="3"/>
  <c r="J801"/>
  <c r="K801"/>
  <c r="M801"/>
  <c r="F801"/>
  <c r="F801" i="6"/>
  <c r="G801"/>
  <c r="K801"/>
  <c r="H801"/>
  <c r="I801"/>
  <c r="I802" i="3"/>
  <c r="J802"/>
  <c r="K802"/>
  <c r="M802"/>
  <c r="F802"/>
  <c r="F802" i="6"/>
  <c r="G802"/>
  <c r="K802"/>
  <c r="H802"/>
  <c r="I802"/>
  <c r="I803" i="3"/>
  <c r="J803"/>
  <c r="K803"/>
  <c r="M803"/>
  <c r="F803"/>
  <c r="F803" i="6"/>
  <c r="G803"/>
  <c r="K803"/>
  <c r="H803"/>
  <c r="I803"/>
  <c r="I804" i="3"/>
  <c r="J804"/>
  <c r="K804"/>
  <c r="M804"/>
  <c r="F804"/>
  <c r="F804" i="6"/>
  <c r="G804"/>
  <c r="K804"/>
  <c r="H804"/>
  <c r="I804"/>
  <c r="I805" i="3"/>
  <c r="J805"/>
  <c r="K805"/>
  <c r="M805"/>
  <c r="F805"/>
  <c r="F805" i="6"/>
  <c r="G805"/>
  <c r="K805"/>
  <c r="H805"/>
  <c r="I805"/>
  <c r="I806" i="3"/>
  <c r="J806"/>
  <c r="K806"/>
  <c r="M806"/>
  <c r="F806"/>
  <c r="F806" i="6"/>
  <c r="G806"/>
  <c r="K806"/>
  <c r="H806"/>
  <c r="I806"/>
  <c r="I807" i="3"/>
  <c r="J807"/>
  <c r="K807"/>
  <c r="M807"/>
  <c r="F807"/>
  <c r="F807" i="6"/>
  <c r="G807"/>
  <c r="K807"/>
  <c r="H807"/>
  <c r="I807"/>
  <c r="I808" i="3"/>
  <c r="J808"/>
  <c r="K808"/>
  <c r="M808"/>
  <c r="F808"/>
  <c r="F808" i="6"/>
  <c r="G808"/>
  <c r="K808"/>
  <c r="H808"/>
  <c r="I808"/>
  <c r="I809" i="3"/>
  <c r="J809"/>
  <c r="K809"/>
  <c r="M809"/>
  <c r="F809"/>
  <c r="F809" i="6"/>
  <c r="G809"/>
  <c r="K809"/>
  <c r="H809"/>
  <c r="I809"/>
  <c r="I810" i="3"/>
  <c r="J810"/>
  <c r="K810"/>
  <c r="M810"/>
  <c r="F810"/>
  <c r="F810" i="6"/>
  <c r="G810"/>
  <c r="K810"/>
  <c r="H810"/>
  <c r="I810"/>
  <c r="I811" i="3"/>
  <c r="J811"/>
  <c r="K811"/>
  <c r="M811"/>
  <c r="F811"/>
  <c r="F811" i="6"/>
  <c r="G811"/>
  <c r="K811"/>
  <c r="H811"/>
  <c r="I811"/>
  <c r="I812" i="3"/>
  <c r="J812"/>
  <c r="K812"/>
  <c r="M812"/>
  <c r="F812"/>
  <c r="F812" i="6"/>
  <c r="G812"/>
  <c r="K812"/>
  <c r="H812"/>
  <c r="I812"/>
  <c r="I813" i="3"/>
  <c r="J813"/>
  <c r="K813"/>
  <c r="M813"/>
  <c r="F813"/>
  <c r="F813" i="6"/>
  <c r="G813"/>
  <c r="K813"/>
  <c r="H813"/>
  <c r="I813"/>
  <c r="I814" i="3"/>
  <c r="J814"/>
  <c r="K814"/>
  <c r="M814"/>
  <c r="F814"/>
  <c r="F814" i="6"/>
  <c r="G814"/>
  <c r="K814"/>
  <c r="H814"/>
  <c r="I814"/>
  <c r="I815" i="3"/>
  <c r="J815"/>
  <c r="K815"/>
  <c r="M815"/>
  <c r="F815"/>
  <c r="F815" i="6"/>
  <c r="G815"/>
  <c r="K815"/>
  <c r="H815"/>
  <c r="I815"/>
  <c r="I816" i="3"/>
  <c r="J816"/>
  <c r="K816"/>
  <c r="M816"/>
  <c r="F816"/>
  <c r="F816" i="6"/>
  <c r="G816"/>
  <c r="K816"/>
  <c r="H816"/>
  <c r="I816"/>
  <c r="I817" i="3"/>
  <c r="J817"/>
  <c r="K817"/>
  <c r="M817"/>
  <c r="F817"/>
  <c r="F817" i="6"/>
  <c r="G817"/>
  <c r="K817"/>
  <c r="H817"/>
  <c r="I817"/>
  <c r="I818" i="3"/>
  <c r="J818"/>
  <c r="K818"/>
  <c r="M818"/>
  <c r="F818"/>
  <c r="F818" i="6"/>
  <c r="G818"/>
  <c r="K818"/>
  <c r="H818"/>
  <c r="I818"/>
  <c r="I819" i="3"/>
  <c r="J819"/>
  <c r="K819"/>
  <c r="M819"/>
  <c r="F819"/>
  <c r="F819" i="6"/>
  <c r="G819"/>
  <c r="K819"/>
  <c r="H819"/>
  <c r="I819"/>
  <c r="I820" i="3"/>
  <c r="J820"/>
  <c r="K820"/>
  <c r="M820"/>
  <c r="F820"/>
  <c r="F820" i="6"/>
  <c r="G820"/>
  <c r="K820"/>
  <c r="H820"/>
  <c r="I820"/>
  <c r="I821" i="3"/>
  <c r="J821"/>
  <c r="K821"/>
  <c r="M821"/>
  <c r="F821"/>
  <c r="F821" i="6"/>
  <c r="G821"/>
  <c r="K821"/>
  <c r="H821"/>
  <c r="I821"/>
  <c r="I822" i="3"/>
  <c r="J822"/>
  <c r="K822"/>
  <c r="M822"/>
  <c r="F822"/>
  <c r="F822" i="6"/>
  <c r="G822"/>
  <c r="K822"/>
  <c r="H822"/>
  <c r="I822"/>
  <c r="I823" i="3"/>
  <c r="J823"/>
  <c r="K823"/>
  <c r="M823"/>
  <c r="F823"/>
  <c r="F823" i="6"/>
  <c r="G823"/>
  <c r="K823"/>
  <c r="H823"/>
  <c r="I823"/>
  <c r="I824" i="3"/>
  <c r="J824"/>
  <c r="K824"/>
  <c r="M824"/>
  <c r="F824"/>
  <c r="F824" i="6"/>
  <c r="G824"/>
  <c r="K824"/>
  <c r="H824"/>
  <c r="I824"/>
  <c r="I825" i="3"/>
  <c r="J825"/>
  <c r="K825"/>
  <c r="M825"/>
  <c r="F825"/>
  <c r="F825" i="6"/>
  <c r="G825"/>
  <c r="K825"/>
  <c r="H825"/>
  <c r="I825"/>
  <c r="I826" i="3"/>
  <c r="J826"/>
  <c r="K826"/>
  <c r="M826"/>
  <c r="F826"/>
  <c r="F826" i="6"/>
  <c r="G826"/>
  <c r="K826"/>
  <c r="H826"/>
  <c r="I826"/>
  <c r="I827" i="3"/>
  <c r="J827"/>
  <c r="K827"/>
  <c r="M827"/>
  <c r="F827"/>
  <c r="F827" i="6"/>
  <c r="G827"/>
  <c r="K827"/>
  <c r="H827"/>
  <c r="I827"/>
  <c r="I828" i="3"/>
  <c r="J828"/>
  <c r="K828"/>
  <c r="M828"/>
  <c r="F828"/>
  <c r="F828" i="6"/>
  <c r="G828"/>
  <c r="K828"/>
  <c r="H828"/>
  <c r="I828"/>
  <c r="I829" i="3"/>
  <c r="J829"/>
  <c r="K829"/>
  <c r="M829"/>
  <c r="F829"/>
  <c r="F829" i="6"/>
  <c r="G829"/>
  <c r="K829"/>
  <c r="H829"/>
  <c r="I829"/>
  <c r="I830" i="3"/>
  <c r="J830"/>
  <c r="K830"/>
  <c r="M830"/>
  <c r="F830"/>
  <c r="F830" i="6"/>
  <c r="G830"/>
  <c r="K830"/>
  <c r="H830"/>
  <c r="I830"/>
  <c r="I831" i="3"/>
  <c r="J831"/>
  <c r="K831"/>
  <c r="M831"/>
  <c r="F831"/>
  <c r="F831" i="6"/>
  <c r="G831"/>
  <c r="K831"/>
  <c r="H831"/>
  <c r="I831"/>
  <c r="I832" i="3"/>
  <c r="J832"/>
  <c r="K832"/>
  <c r="M832"/>
  <c r="F832"/>
  <c r="F832" i="6"/>
  <c r="G832"/>
  <c r="K832"/>
  <c r="H832"/>
  <c r="I832"/>
  <c r="I833" i="3"/>
  <c r="J833"/>
  <c r="K833"/>
  <c r="M833"/>
  <c r="F833"/>
  <c r="F833" i="6"/>
  <c r="G833"/>
  <c r="K833"/>
  <c r="H833"/>
  <c r="I833"/>
  <c r="I834" i="3"/>
  <c r="J834"/>
  <c r="K834"/>
  <c r="M834"/>
  <c r="F834"/>
  <c r="F834" i="6"/>
  <c r="G834"/>
  <c r="K834"/>
  <c r="H834"/>
  <c r="I834"/>
  <c r="I835" i="3"/>
  <c r="J835"/>
  <c r="K835"/>
  <c r="M835"/>
  <c r="F835"/>
  <c r="F835" i="6"/>
  <c r="G835"/>
  <c r="K835"/>
  <c r="H835"/>
  <c r="I835"/>
  <c r="I836" i="3"/>
  <c r="J836"/>
  <c r="K836"/>
  <c r="M836"/>
  <c r="F836"/>
  <c r="F836" i="6"/>
  <c r="G836"/>
  <c r="K836"/>
  <c r="H836"/>
  <c r="I836"/>
  <c r="I837" i="3"/>
  <c r="J837"/>
  <c r="K837"/>
  <c r="M837"/>
  <c r="F837"/>
  <c r="F837" i="6"/>
  <c r="G837"/>
  <c r="K837"/>
  <c r="H837"/>
  <c r="I837"/>
  <c r="I838" i="3"/>
  <c r="J838"/>
  <c r="K838"/>
  <c r="M838"/>
  <c r="F838"/>
  <c r="F838" i="6"/>
  <c r="G838"/>
  <c r="K838"/>
  <c r="H838"/>
  <c r="I838"/>
  <c r="I839" i="3"/>
  <c r="J839"/>
  <c r="K839"/>
  <c r="M839"/>
  <c r="F839"/>
  <c r="F839" i="6"/>
  <c r="G839"/>
  <c r="K839"/>
  <c r="H839"/>
  <c r="I839"/>
  <c r="I840" i="3"/>
  <c r="J840"/>
  <c r="K840"/>
  <c r="M840"/>
  <c r="F840"/>
  <c r="F840" i="6"/>
  <c r="G840"/>
  <c r="K840"/>
  <c r="H840"/>
  <c r="I840"/>
  <c r="I841" i="3"/>
  <c r="J841"/>
  <c r="K841"/>
  <c r="M841"/>
  <c r="F841"/>
  <c r="F841" i="6"/>
  <c r="G841"/>
  <c r="K841"/>
  <c r="H841"/>
  <c r="I841"/>
  <c r="I842" i="3"/>
  <c r="J842"/>
  <c r="K842"/>
  <c r="M842"/>
  <c r="F842"/>
  <c r="F842" i="6"/>
  <c r="G842"/>
  <c r="K842"/>
  <c r="H842"/>
  <c r="I842"/>
  <c r="I843" i="3"/>
  <c r="J843"/>
  <c r="K843"/>
  <c r="M843"/>
  <c r="F843"/>
  <c r="F843" i="6"/>
  <c r="G843"/>
  <c r="K843"/>
  <c r="H843"/>
  <c r="I843"/>
  <c r="I844" i="3"/>
  <c r="J844"/>
  <c r="K844"/>
  <c r="M844"/>
  <c r="F844"/>
  <c r="F844" i="6"/>
  <c r="G844"/>
  <c r="K844"/>
  <c r="H844"/>
  <c r="I844"/>
  <c r="I845" i="3"/>
  <c r="J845"/>
  <c r="K845"/>
  <c r="M845"/>
  <c r="F845"/>
  <c r="F845" i="6"/>
  <c r="G845"/>
  <c r="K845"/>
  <c r="H845"/>
  <c r="I845"/>
  <c r="I846" i="3"/>
  <c r="J846"/>
  <c r="K846"/>
  <c r="M846"/>
  <c r="F846"/>
  <c r="F846" i="6"/>
  <c r="G846"/>
  <c r="K846"/>
  <c r="H846"/>
  <c r="I846"/>
  <c r="I847" i="3"/>
  <c r="J847"/>
  <c r="K847"/>
  <c r="M847"/>
  <c r="F847"/>
  <c r="F847" i="6"/>
  <c r="G847"/>
  <c r="K847"/>
  <c r="H847"/>
  <c r="I847"/>
  <c r="I848" i="3"/>
  <c r="J848"/>
  <c r="K848"/>
  <c r="M848"/>
  <c r="F848"/>
  <c r="F848" i="6"/>
  <c r="G848"/>
  <c r="K848"/>
  <c r="H848"/>
  <c r="I848"/>
  <c r="I849" i="3"/>
  <c r="J849"/>
  <c r="K849"/>
  <c r="M849"/>
  <c r="F849"/>
  <c r="F849" i="6"/>
  <c r="G849"/>
  <c r="K849"/>
  <c r="H849"/>
  <c r="I849"/>
  <c r="I850" i="3"/>
  <c r="J850"/>
  <c r="K850"/>
  <c r="M850"/>
  <c r="F850"/>
  <c r="F850" i="6"/>
  <c r="G850"/>
  <c r="K850"/>
  <c r="H850"/>
  <c r="I850"/>
  <c r="I851" i="3"/>
  <c r="J851"/>
  <c r="K851"/>
  <c r="M851"/>
  <c r="F851"/>
  <c r="F851" i="6"/>
  <c r="G851"/>
  <c r="K851"/>
  <c r="H851"/>
  <c r="I851"/>
  <c r="I852" i="3"/>
  <c r="J852"/>
  <c r="K852"/>
  <c r="M852"/>
  <c r="F852"/>
  <c r="F852" i="6"/>
  <c r="G852"/>
  <c r="K852"/>
  <c r="H852"/>
  <c r="I852"/>
  <c r="I853" i="3"/>
  <c r="J853"/>
  <c r="K853"/>
  <c r="M853"/>
  <c r="F853"/>
  <c r="F853" i="6"/>
  <c r="G853"/>
  <c r="K853"/>
  <c r="H853"/>
  <c r="I853"/>
  <c r="I854" i="3"/>
  <c r="J854"/>
  <c r="K854"/>
  <c r="M854"/>
  <c r="F854"/>
  <c r="F854" i="6"/>
  <c r="G854"/>
  <c r="K854"/>
  <c r="H854"/>
  <c r="I854"/>
  <c r="I855" i="3"/>
  <c r="J855"/>
  <c r="K855"/>
  <c r="M855"/>
  <c r="F855"/>
  <c r="F855" i="6"/>
  <c r="G855"/>
  <c r="K855"/>
  <c r="H855"/>
  <c r="I855"/>
  <c r="I856" i="3"/>
  <c r="J856"/>
  <c r="K856"/>
  <c r="M856"/>
  <c r="F856"/>
  <c r="F856" i="6"/>
  <c r="G856"/>
  <c r="K856"/>
  <c r="H856"/>
  <c r="I856"/>
  <c r="I857" i="3"/>
  <c r="J857"/>
  <c r="K857"/>
  <c r="M857"/>
  <c r="F857"/>
  <c r="F857" i="6"/>
  <c r="G857"/>
  <c r="K857"/>
  <c r="H857"/>
  <c r="I857"/>
  <c r="J858" i="3"/>
  <c r="K858"/>
  <c r="F858"/>
  <c r="F858" i="6"/>
  <c r="G858"/>
  <c r="K858"/>
  <c r="H858"/>
  <c r="I858"/>
  <c r="I859" i="3"/>
  <c r="J859"/>
  <c r="K859"/>
  <c r="M859"/>
  <c r="F859"/>
  <c r="F859" i="6"/>
  <c r="G859"/>
  <c r="K859"/>
  <c r="H859"/>
  <c r="I859"/>
  <c r="I860" i="3"/>
  <c r="J860"/>
  <c r="K860"/>
  <c r="M860"/>
  <c r="F860"/>
  <c r="F860" i="6"/>
  <c r="G860"/>
  <c r="K860"/>
  <c r="H860"/>
  <c r="I860"/>
  <c r="I861" i="3"/>
  <c r="J861"/>
  <c r="K861"/>
  <c r="M861"/>
  <c r="F861"/>
  <c r="F861" i="6"/>
  <c r="G861"/>
  <c r="K861"/>
  <c r="H861"/>
  <c r="I861"/>
  <c r="I862" i="3"/>
  <c r="J862"/>
  <c r="K862"/>
  <c r="M862"/>
  <c r="F862"/>
  <c r="F862" i="6"/>
  <c r="G862"/>
  <c r="K862"/>
  <c r="H862"/>
  <c r="I862"/>
  <c r="I863" i="3"/>
  <c r="J863"/>
  <c r="K863"/>
  <c r="M863"/>
  <c r="F863"/>
  <c r="F863" i="6"/>
  <c r="G863"/>
  <c r="K863"/>
  <c r="H863"/>
  <c r="I863"/>
  <c r="I864" i="3"/>
  <c r="J864"/>
  <c r="K864"/>
  <c r="M864"/>
  <c r="F864"/>
  <c r="F864" i="6"/>
  <c r="G864"/>
  <c r="K864"/>
  <c r="H864"/>
  <c r="I864"/>
  <c r="I865" i="3"/>
  <c r="J865"/>
  <c r="K865"/>
  <c r="M865"/>
  <c r="F865"/>
  <c r="F865" i="6"/>
  <c r="G865"/>
  <c r="K865"/>
  <c r="H865"/>
  <c r="I865"/>
  <c r="I866" i="3"/>
  <c r="J866"/>
  <c r="K866"/>
  <c r="M866"/>
  <c r="F866"/>
  <c r="F866" i="6"/>
  <c r="G866"/>
  <c r="K866"/>
  <c r="H866"/>
  <c r="I866"/>
  <c r="I867" i="3"/>
  <c r="J867"/>
  <c r="K867"/>
  <c r="M867"/>
  <c r="F867"/>
  <c r="F867" i="6"/>
  <c r="G867"/>
  <c r="K867"/>
  <c r="H867"/>
  <c r="I867"/>
  <c r="I868" i="3"/>
  <c r="J868"/>
  <c r="K868"/>
  <c r="M868"/>
  <c r="F868"/>
  <c r="F868" i="6"/>
  <c r="G868"/>
  <c r="K868"/>
  <c r="H868"/>
  <c r="I868"/>
  <c r="I869" i="3"/>
  <c r="J869"/>
  <c r="K869"/>
  <c r="M869"/>
  <c r="F869"/>
  <c r="F869" i="6"/>
  <c r="G869"/>
  <c r="K869"/>
  <c r="H869"/>
  <c r="I869"/>
  <c r="I870" i="3"/>
  <c r="J870"/>
  <c r="K870"/>
  <c r="M870"/>
  <c r="F870"/>
  <c r="F870" i="6"/>
  <c r="G870"/>
  <c r="K870"/>
  <c r="H870"/>
  <c r="I870"/>
  <c r="I871" i="3"/>
  <c r="J871"/>
  <c r="K871"/>
  <c r="M871"/>
  <c r="F871"/>
  <c r="F871" i="6"/>
  <c r="G871"/>
  <c r="K871"/>
  <c r="H871"/>
  <c r="I871"/>
  <c r="I872" i="3"/>
  <c r="J872"/>
  <c r="K872"/>
  <c r="M872"/>
  <c r="F872"/>
  <c r="F872" i="6"/>
  <c r="G872"/>
  <c r="K872"/>
  <c r="H872"/>
  <c r="I872"/>
  <c r="I873" i="3"/>
  <c r="J873"/>
  <c r="K873"/>
  <c r="M873"/>
  <c r="F873"/>
  <c r="F873" i="6"/>
  <c r="G873"/>
  <c r="K873"/>
  <c r="H873"/>
  <c r="I873"/>
  <c r="I874" i="3"/>
  <c r="J874"/>
  <c r="K874"/>
  <c r="M874"/>
  <c r="F874"/>
  <c r="F874" i="6"/>
  <c r="G874"/>
  <c r="K874"/>
  <c r="H874"/>
  <c r="I874"/>
  <c r="I875" i="3"/>
  <c r="J875"/>
  <c r="K875"/>
  <c r="M875"/>
  <c r="F875"/>
  <c r="F875" i="6"/>
  <c r="G875"/>
  <c r="K875"/>
  <c r="H875"/>
  <c r="I875"/>
  <c r="I876" i="3"/>
  <c r="J876"/>
  <c r="K876"/>
  <c r="M876"/>
  <c r="F876"/>
  <c r="F876" i="6"/>
  <c r="G876"/>
  <c r="K876"/>
  <c r="H876"/>
  <c r="I876"/>
  <c r="I877" i="3"/>
  <c r="J877"/>
  <c r="K877"/>
  <c r="M877"/>
  <c r="F877"/>
  <c r="F877" i="6"/>
  <c r="G877"/>
  <c r="K877"/>
  <c r="H877"/>
  <c r="I877"/>
  <c r="F878" i="3"/>
  <c r="O878" s="1"/>
  <c r="D878" i="22" s="1"/>
  <c r="F878" i="6"/>
  <c r="G878"/>
  <c r="K878"/>
  <c r="H878"/>
  <c r="I878"/>
  <c r="K1226" i="18"/>
  <c r="K1225"/>
  <c r="K1224"/>
  <c r="K1223"/>
  <c r="K1222"/>
  <c r="K1179"/>
  <c r="K1178"/>
  <c r="K1177"/>
  <c r="K1176"/>
  <c r="K1175"/>
  <c r="K1174"/>
  <c r="K1173"/>
  <c r="K1172"/>
  <c r="K1171"/>
  <c r="K1170"/>
  <c r="K1169"/>
  <c r="K1168"/>
  <c r="K1167"/>
  <c r="K1166"/>
  <c r="K1165"/>
  <c r="K875"/>
  <c r="K872"/>
  <c r="K871"/>
  <c r="K870"/>
  <c r="K869"/>
  <c r="K868"/>
  <c r="K867"/>
  <c r="K866"/>
  <c r="K865"/>
  <c r="K864"/>
  <c r="K863"/>
  <c r="K862"/>
  <c r="K861"/>
  <c r="K860"/>
  <c r="K859"/>
  <c r="K858"/>
  <c r="K857"/>
  <c r="K856"/>
  <c r="K855"/>
  <c r="K854"/>
  <c r="K853"/>
  <c r="K852"/>
  <c r="K851"/>
  <c r="K850"/>
  <c r="K849"/>
  <c r="K848"/>
  <c r="K847"/>
  <c r="K846"/>
  <c r="K845"/>
  <c r="K844"/>
  <c r="K843"/>
  <c r="K842"/>
  <c r="K841"/>
  <c r="K840"/>
  <c r="K839"/>
  <c r="K838"/>
  <c r="K837"/>
  <c r="K836"/>
  <c r="K835"/>
  <c r="K795"/>
  <c r="K794"/>
  <c r="K793"/>
  <c r="K792"/>
  <c r="K1179" i="14"/>
  <c r="K1178"/>
  <c r="K1177"/>
  <c r="K1176"/>
  <c r="K1175"/>
  <c r="K1174"/>
  <c r="K1173"/>
  <c r="K1172"/>
  <c r="K1171"/>
  <c r="K1170"/>
  <c r="K1169"/>
  <c r="K1168"/>
  <c r="K1167"/>
  <c r="K1166"/>
  <c r="K1165"/>
  <c r="K875"/>
  <c r="K795"/>
  <c r="K794"/>
  <c r="K793"/>
  <c r="K792"/>
  <c r="K783"/>
  <c r="K774"/>
  <c r="K773"/>
  <c r="K772"/>
  <c r="K771"/>
  <c r="K770"/>
  <c r="K769"/>
  <c r="K764"/>
  <c r="K762"/>
  <c r="K761"/>
  <c r="F728"/>
  <c r="G728" s="1"/>
  <c r="F181"/>
  <c r="G181" s="1"/>
  <c r="K181" s="1"/>
  <c r="L181" s="1"/>
  <c r="F180"/>
  <c r="G180" s="1"/>
  <c r="K180" s="1"/>
  <c r="L180" s="1"/>
  <c r="F179"/>
  <c r="G179" s="1"/>
  <c r="K179" s="1"/>
  <c r="L179" s="1"/>
  <c r="F178"/>
  <c r="G178" s="1"/>
  <c r="K178" s="1"/>
  <c r="L178" s="1"/>
  <c r="F177"/>
  <c r="G177" s="1"/>
  <c r="K177" s="1"/>
  <c r="L177" s="1"/>
  <c r="F176"/>
  <c r="G176" s="1"/>
  <c r="K176" s="1"/>
  <c r="L176" s="1"/>
  <c r="F175"/>
  <c r="G175" s="1"/>
  <c r="K175" s="1"/>
  <c r="L175" s="1"/>
  <c r="F174"/>
  <c r="G174" s="1"/>
  <c r="K174" s="1"/>
  <c r="L174" s="1"/>
  <c r="F173"/>
  <c r="G173" s="1"/>
  <c r="K173" s="1"/>
  <c r="L173" s="1"/>
  <c r="F172"/>
  <c r="G172" s="1"/>
  <c r="K172" s="1"/>
  <c r="L172" s="1"/>
  <c r="F171"/>
  <c r="G171" s="1"/>
  <c r="K171" s="1"/>
  <c r="L171" s="1"/>
  <c r="F170"/>
  <c r="G170" s="1"/>
  <c r="K170" s="1"/>
  <c r="L170" s="1"/>
  <c r="F169"/>
  <c r="G169" s="1"/>
  <c r="K169" s="1"/>
  <c r="L169" s="1"/>
  <c r="F168"/>
  <c r="G168" s="1"/>
  <c r="F167"/>
  <c r="G167" s="1"/>
  <c r="K167" s="1"/>
  <c r="L167" s="1"/>
  <c r="F166"/>
  <c r="G166" s="1"/>
  <c r="K166" s="1"/>
  <c r="L166" s="1"/>
  <c r="F165"/>
  <c r="G165" s="1"/>
  <c r="K165" s="1"/>
  <c r="L165" s="1"/>
  <c r="F164"/>
  <c r="G164" s="1"/>
  <c r="K164" s="1"/>
  <c r="L164" s="1"/>
  <c r="F163"/>
  <c r="G163" s="1"/>
  <c r="K163" s="1"/>
  <c r="L163" s="1"/>
  <c r="F162"/>
  <c r="G162" s="1"/>
  <c r="K162" s="1"/>
  <c r="L162" s="1"/>
  <c r="F161"/>
  <c r="G161" s="1"/>
  <c r="K161" s="1"/>
  <c r="L161" s="1"/>
  <c r="F160"/>
  <c r="G160" s="1"/>
  <c r="K160" s="1"/>
  <c r="L160" s="1"/>
  <c r="F159"/>
  <c r="G159" s="1"/>
  <c r="K159" s="1"/>
  <c r="L159" s="1"/>
  <c r="F158"/>
  <c r="G158" s="1"/>
  <c r="K158" s="1"/>
  <c r="L158" s="1"/>
  <c r="F157"/>
  <c r="G157" s="1"/>
  <c r="K157" s="1"/>
  <c r="L157" s="1"/>
  <c r="F156"/>
  <c r="G156" s="1"/>
  <c r="K156" s="1"/>
  <c r="L156" s="1"/>
  <c r="F155"/>
  <c r="G155" s="1"/>
  <c r="K155" s="1"/>
  <c r="L155" s="1"/>
  <c r="F154"/>
  <c r="G154" s="1"/>
  <c r="K154" s="1"/>
  <c r="L154" s="1"/>
  <c r="F153"/>
  <c r="G153" s="1"/>
  <c r="K153" s="1"/>
  <c r="L153" s="1"/>
  <c r="F152"/>
  <c r="G152" s="1"/>
  <c r="K152" s="1"/>
  <c r="L152" s="1"/>
  <c r="F151"/>
  <c r="G151" s="1"/>
  <c r="K151" s="1"/>
  <c r="L151" s="1"/>
  <c r="F150"/>
  <c r="G150" s="1"/>
  <c r="K150" s="1"/>
  <c r="L150" s="1"/>
  <c r="F149"/>
  <c r="G149" s="1"/>
  <c r="K149" s="1"/>
  <c r="L149" s="1"/>
  <c r="F148"/>
  <c r="G148" s="1"/>
  <c r="K148" s="1"/>
  <c r="L148" s="1"/>
  <c r="F147"/>
  <c r="G147" s="1"/>
  <c r="F146"/>
  <c r="G146" s="1"/>
  <c r="F145"/>
  <c r="G145" s="1"/>
  <c r="F143"/>
  <c r="G143" s="1"/>
  <c r="K143" s="1"/>
  <c r="L143" s="1"/>
  <c r="F142"/>
  <c r="G142" s="1"/>
  <c r="K142" s="1"/>
  <c r="L142" s="1"/>
  <c r="F141"/>
  <c r="G141" s="1"/>
  <c r="K141" s="1"/>
  <c r="L141" s="1"/>
  <c r="F140"/>
  <c r="G140" s="1"/>
  <c r="K140" s="1"/>
  <c r="L140" s="1"/>
  <c r="F139"/>
  <c r="G139" s="1"/>
  <c r="K139" s="1"/>
  <c r="L139" s="1"/>
  <c r="F138"/>
  <c r="G138" s="1"/>
  <c r="K138" s="1"/>
  <c r="L138" s="1"/>
  <c r="F137"/>
  <c r="G137" s="1"/>
  <c r="K137" s="1"/>
  <c r="L137" s="1"/>
  <c r="F136"/>
  <c r="G136" s="1"/>
  <c r="K136" s="1"/>
  <c r="L136" s="1"/>
  <c r="F135"/>
  <c r="G135" s="1"/>
  <c r="K135" s="1"/>
  <c r="L135" s="1"/>
  <c r="F134"/>
  <c r="G134" s="1"/>
  <c r="K134" s="1"/>
  <c r="L134" s="1"/>
  <c r="F133"/>
  <c r="G133" s="1"/>
  <c r="K133" s="1"/>
  <c r="L133" s="1"/>
  <c r="F132"/>
  <c r="G132" s="1"/>
  <c r="K132" s="1"/>
  <c r="L132" s="1"/>
  <c r="F131"/>
  <c r="G131" s="1"/>
  <c r="K131" s="1"/>
  <c r="L131" s="1"/>
  <c r="F130"/>
  <c r="G130" s="1"/>
  <c r="K130" s="1"/>
  <c r="L130" s="1"/>
  <c r="F129"/>
  <c r="G129" s="1"/>
  <c r="K129" s="1"/>
  <c r="L129" s="1"/>
  <c r="F128"/>
  <c r="G128" s="1"/>
  <c r="K128" s="1"/>
  <c r="L128" s="1"/>
  <c r="F127"/>
  <c r="G127" s="1"/>
  <c r="K127" s="1"/>
  <c r="L127" s="1"/>
  <c r="F126"/>
  <c r="G126" s="1"/>
  <c r="K126" s="1"/>
  <c r="L126" s="1"/>
  <c r="F125"/>
  <c r="G125" s="1"/>
  <c r="K125" s="1"/>
  <c r="L125" s="1"/>
  <c r="F124"/>
  <c r="G124" s="1"/>
  <c r="K124" s="1"/>
  <c r="L124" s="1"/>
  <c r="F123"/>
  <c r="G123" s="1"/>
  <c r="K123" s="1"/>
  <c r="L123" s="1"/>
  <c r="F122"/>
  <c r="G122" s="1"/>
  <c r="K122" s="1"/>
  <c r="L122" s="1"/>
  <c r="F121"/>
  <c r="G121" s="1"/>
  <c r="K121" s="1"/>
  <c r="L121" s="1"/>
  <c r="F120"/>
  <c r="G120" s="1"/>
  <c r="K120" s="1"/>
  <c r="L120" s="1"/>
  <c r="F119"/>
  <c r="G119" s="1"/>
  <c r="K119" s="1"/>
  <c r="L119" s="1"/>
  <c r="F118"/>
  <c r="G118" s="1"/>
  <c r="K118" s="1"/>
  <c r="L118" s="1"/>
  <c r="F117"/>
  <c r="G117" s="1"/>
  <c r="K117" s="1"/>
  <c r="L117" s="1"/>
  <c r="F116"/>
  <c r="G116" s="1"/>
  <c r="K116" s="1"/>
  <c r="L116" s="1"/>
  <c r="F115"/>
  <c r="G115" s="1"/>
  <c r="K115" s="1"/>
  <c r="L115" s="1"/>
  <c r="F114"/>
  <c r="G114" s="1"/>
  <c r="K114" s="1"/>
  <c r="L114" s="1"/>
  <c r="F113"/>
  <c r="G113" s="1"/>
  <c r="K113" s="1"/>
  <c r="L113" s="1"/>
  <c r="F112"/>
  <c r="G112" s="1"/>
  <c r="K112" s="1"/>
  <c r="L112" s="1"/>
  <c r="F111"/>
  <c r="G111" s="1"/>
  <c r="K111" s="1"/>
  <c r="L111" s="1"/>
  <c r="F110"/>
  <c r="G110" s="1"/>
  <c r="K110" s="1"/>
  <c r="L110" s="1"/>
  <c r="F109"/>
  <c r="G109" s="1"/>
  <c r="K109" s="1"/>
  <c r="L109" s="1"/>
  <c r="F108"/>
  <c r="G108" s="1"/>
  <c r="K108" s="1"/>
  <c r="L108" s="1"/>
  <c r="F107"/>
  <c r="G107" s="1"/>
  <c r="K107" s="1"/>
  <c r="L107" s="1"/>
  <c r="F106"/>
  <c r="G106" s="1"/>
  <c r="K106" s="1"/>
  <c r="L106" s="1"/>
  <c r="F105"/>
  <c r="G105" s="1"/>
  <c r="K105" s="1"/>
  <c r="L105" s="1"/>
  <c r="F104"/>
  <c r="G104" s="1"/>
  <c r="K104" s="1"/>
  <c r="L104" s="1"/>
  <c r="F103"/>
  <c r="G103" s="1"/>
  <c r="K103" s="1"/>
  <c r="L103" s="1"/>
  <c r="F102"/>
  <c r="G102" s="1"/>
  <c r="K102" s="1"/>
  <c r="L102" s="1"/>
  <c r="F101"/>
  <c r="G101" s="1"/>
  <c r="K101" s="1"/>
  <c r="L101" s="1"/>
  <c r="F100"/>
  <c r="G100" s="1"/>
  <c r="K100" s="1"/>
  <c r="L100" s="1"/>
  <c r="F99"/>
  <c r="G99" s="1"/>
  <c r="K99" s="1"/>
  <c r="L99" s="1"/>
  <c r="F98"/>
  <c r="G98" s="1"/>
  <c r="K98" s="1"/>
  <c r="L98" s="1"/>
  <c r="F97"/>
  <c r="G97" s="1"/>
  <c r="K97" s="1"/>
  <c r="L97" s="1"/>
  <c r="F96"/>
  <c r="G96" s="1"/>
  <c r="K96" s="1"/>
  <c r="L96" s="1"/>
  <c r="F95"/>
  <c r="G95" s="1"/>
  <c r="K95" s="1"/>
  <c r="L95" s="1"/>
  <c r="F94"/>
  <c r="G94" s="1"/>
  <c r="K94" s="1"/>
  <c r="L94" s="1"/>
  <c r="F93"/>
  <c r="G93" s="1"/>
  <c r="K93" s="1"/>
  <c r="L93" s="1"/>
  <c r="F92"/>
  <c r="F376"/>
  <c r="G376" s="1"/>
  <c r="K376" s="1"/>
  <c r="L376" s="1"/>
  <c r="F375"/>
  <c r="G375" s="1"/>
  <c r="K375" s="1"/>
  <c r="L375" s="1"/>
  <c r="F374"/>
  <c r="G374" s="1"/>
  <c r="K374" s="1"/>
  <c r="L374" s="1"/>
  <c r="F373"/>
  <c r="G373" s="1"/>
  <c r="K373" s="1"/>
  <c r="L373" s="1"/>
  <c r="F372"/>
  <c r="G372" s="1"/>
  <c r="K372" s="1"/>
  <c r="L372" s="1"/>
  <c r="F371"/>
  <c r="G371" s="1"/>
  <c r="K371" s="1"/>
  <c r="L371" s="1"/>
  <c r="F370"/>
  <c r="G370" s="1"/>
  <c r="K370" s="1"/>
  <c r="L370" s="1"/>
  <c r="F369"/>
  <c r="G369" s="1"/>
  <c r="K369" s="1"/>
  <c r="L369" s="1"/>
  <c r="F368"/>
  <c r="G368" s="1"/>
  <c r="K368" s="1"/>
  <c r="L368" s="1"/>
  <c r="F367"/>
  <c r="G367" s="1"/>
  <c r="K367" s="1"/>
  <c r="L367" s="1"/>
  <c r="F366"/>
  <c r="G366" s="1"/>
  <c r="K366" s="1"/>
  <c r="L366" s="1"/>
  <c r="F365"/>
  <c r="G365" s="1"/>
  <c r="K365" s="1"/>
  <c r="L365" s="1"/>
  <c r="F364"/>
  <c r="G364" s="1"/>
  <c r="K364" s="1"/>
  <c r="L364" s="1"/>
  <c r="F363"/>
  <c r="G363" s="1"/>
  <c r="K363" s="1"/>
  <c r="L363" s="1"/>
  <c r="F362"/>
  <c r="G362" s="1"/>
  <c r="K362" s="1"/>
  <c r="L362" s="1"/>
  <c r="F361"/>
  <c r="G361" s="1"/>
  <c r="K361" s="1"/>
  <c r="L361" s="1"/>
  <c r="F360"/>
  <c r="G360" s="1"/>
  <c r="K360" s="1"/>
  <c r="L360" s="1"/>
  <c r="F359"/>
  <c r="G359" s="1"/>
  <c r="K359" s="1"/>
  <c r="L359" s="1"/>
  <c r="F358"/>
  <c r="G358" s="1"/>
  <c r="K358" s="1"/>
  <c r="L358" s="1"/>
  <c r="F357"/>
  <c r="G357" s="1"/>
  <c r="K357" s="1"/>
  <c r="L357" s="1"/>
  <c r="F356"/>
  <c r="G356" s="1"/>
  <c r="K356" s="1"/>
  <c r="L356" s="1"/>
  <c r="F355"/>
  <c r="G355" s="1"/>
  <c r="K355" s="1"/>
  <c r="L355" s="1"/>
  <c r="F354"/>
  <c r="G354" s="1"/>
  <c r="K354" s="1"/>
  <c r="L354" s="1"/>
  <c r="F353"/>
  <c r="G353" s="1"/>
  <c r="K353" s="1"/>
  <c r="L353" s="1"/>
  <c r="F352"/>
  <c r="G352" s="1"/>
  <c r="K352" s="1"/>
  <c r="L352" s="1"/>
  <c r="F351"/>
  <c r="G351" s="1"/>
  <c r="K351" s="1"/>
  <c r="L351" s="1"/>
  <c r="F350"/>
  <c r="G350" s="1"/>
  <c r="K350" s="1"/>
  <c r="L350" s="1"/>
  <c r="F349"/>
  <c r="G349" s="1"/>
  <c r="K349" s="1"/>
  <c r="L349" s="1"/>
  <c r="F348"/>
  <c r="G348" s="1"/>
  <c r="K348" s="1"/>
  <c r="L348" s="1"/>
  <c r="F347"/>
  <c r="G347" s="1"/>
  <c r="K347" s="1"/>
  <c r="L347" s="1"/>
  <c r="F346"/>
  <c r="G346" s="1"/>
  <c r="K346" s="1"/>
  <c r="L346" s="1"/>
  <c r="F345"/>
  <c r="G345" s="1"/>
  <c r="K345" s="1"/>
  <c r="L345" s="1"/>
  <c r="F344"/>
  <c r="G344" s="1"/>
  <c r="K344" s="1"/>
  <c r="L344" s="1"/>
  <c r="F343"/>
  <c r="G343" s="1"/>
  <c r="K343" s="1"/>
  <c r="L343" s="1"/>
  <c r="F342"/>
  <c r="G342" s="1"/>
  <c r="K342" s="1"/>
  <c r="L342" s="1"/>
  <c r="F341"/>
  <c r="G341" s="1"/>
  <c r="K341" s="1"/>
  <c r="L341" s="1"/>
  <c r="F340"/>
  <c r="G340" s="1"/>
  <c r="K340" s="1"/>
  <c r="L340" s="1"/>
  <c r="F339"/>
  <c r="G339" s="1"/>
  <c r="K339" s="1"/>
  <c r="L339" s="1"/>
  <c r="F338"/>
  <c r="G338" s="1"/>
  <c r="K338" s="1"/>
  <c r="L338" s="1"/>
  <c r="F337"/>
  <c r="G337" s="1"/>
  <c r="K337" s="1"/>
  <c r="L337" s="1"/>
  <c r="F336"/>
  <c r="G336" s="1"/>
  <c r="K336" s="1"/>
  <c r="L336" s="1"/>
  <c r="F335"/>
  <c r="G335" s="1"/>
  <c r="K335" s="1"/>
  <c r="L335" s="1"/>
  <c r="F334"/>
  <c r="G334" s="1"/>
  <c r="K334" s="1"/>
  <c r="L334" s="1"/>
  <c r="F333"/>
  <c r="G333" s="1"/>
  <c r="K333" s="1"/>
  <c r="L333" s="1"/>
  <c r="F332"/>
  <c r="G332" s="1"/>
  <c r="K332" s="1"/>
  <c r="L332" s="1"/>
  <c r="F331"/>
  <c r="G331" s="1"/>
  <c r="K331" s="1"/>
  <c r="L331" s="1"/>
  <c r="F330"/>
  <c r="G330" s="1"/>
  <c r="K330" s="1"/>
  <c r="L330" s="1"/>
  <c r="F329"/>
  <c r="G329" s="1"/>
  <c r="K329" s="1"/>
  <c r="L329" s="1"/>
  <c r="F328"/>
  <c r="G328" s="1"/>
  <c r="K328" s="1"/>
  <c r="L328" s="1"/>
  <c r="F327"/>
  <c r="G327" s="1"/>
  <c r="K327" s="1"/>
  <c r="L327" s="1"/>
  <c r="F326"/>
  <c r="G326" s="1"/>
  <c r="K326" s="1"/>
  <c r="L326" s="1"/>
  <c r="F325"/>
  <c r="G325" s="1"/>
  <c r="K325" s="1"/>
  <c r="L325" s="1"/>
  <c r="F324"/>
  <c r="G324" s="1"/>
  <c r="K324" s="1"/>
  <c r="L324" s="1"/>
  <c r="F323"/>
  <c r="G323" s="1"/>
  <c r="K323" s="1"/>
  <c r="L323" s="1"/>
  <c r="F322"/>
  <c r="G322" s="1"/>
  <c r="K322" s="1"/>
  <c r="L322" s="1"/>
  <c r="F321"/>
  <c r="G321" s="1"/>
  <c r="K321" s="1"/>
  <c r="L321" s="1"/>
  <c r="F320"/>
  <c r="G320" s="1"/>
  <c r="K320" s="1"/>
  <c r="L320" s="1"/>
  <c r="F319"/>
  <c r="G319" s="1"/>
  <c r="K319" s="1"/>
  <c r="L319" s="1"/>
  <c r="F318"/>
  <c r="G318" s="1"/>
  <c r="K318" s="1"/>
  <c r="L318" s="1"/>
  <c r="F317"/>
  <c r="G317" s="1"/>
  <c r="K317" s="1"/>
  <c r="L317" s="1"/>
  <c r="F316"/>
  <c r="G316" s="1"/>
  <c r="K316" s="1"/>
  <c r="L316" s="1"/>
  <c r="F315"/>
  <c r="G315" s="1"/>
  <c r="K315" s="1"/>
  <c r="L315" s="1"/>
  <c r="F314"/>
  <c r="G314" s="1"/>
  <c r="K314" s="1"/>
  <c r="L314" s="1"/>
  <c r="F313"/>
  <c r="G313" s="1"/>
  <c r="K313" s="1"/>
  <c r="L313" s="1"/>
  <c r="F312"/>
  <c r="G312" s="1"/>
  <c r="K312" s="1"/>
  <c r="L312" s="1"/>
  <c r="F311"/>
  <c r="G311" s="1"/>
  <c r="K311" s="1"/>
  <c r="L311" s="1"/>
  <c r="F310"/>
  <c r="G310" s="1"/>
  <c r="K310" s="1"/>
  <c r="L310" s="1"/>
  <c r="F309"/>
  <c r="G309" s="1"/>
  <c r="K309" s="1"/>
  <c r="L309" s="1"/>
  <c r="F308"/>
  <c r="G308" s="1"/>
  <c r="K308" s="1"/>
  <c r="L308" s="1"/>
  <c r="F307"/>
  <c r="G307" s="1"/>
  <c r="K307" s="1"/>
  <c r="L307" s="1"/>
  <c r="F306"/>
  <c r="G306" s="1"/>
  <c r="K306" s="1"/>
  <c r="L306" s="1"/>
  <c r="F305"/>
  <c r="G305" s="1"/>
  <c r="K305" s="1"/>
  <c r="L305" s="1"/>
  <c r="F304"/>
  <c r="G304" s="1"/>
  <c r="K304" s="1"/>
  <c r="L304" s="1"/>
  <c r="F303"/>
  <c r="G303" s="1"/>
  <c r="K303" s="1"/>
  <c r="L303" s="1"/>
  <c r="F302"/>
  <c r="G302" s="1"/>
  <c r="K302" s="1"/>
  <c r="L302" s="1"/>
  <c r="F301"/>
  <c r="G301" s="1"/>
  <c r="K301" s="1"/>
  <c r="L301" s="1"/>
  <c r="F300"/>
  <c r="G300" s="1"/>
  <c r="K300" s="1"/>
  <c r="L300" s="1"/>
  <c r="F299"/>
  <c r="G299" s="1"/>
  <c r="K299" s="1"/>
  <c r="L299" s="1"/>
  <c r="F298"/>
  <c r="G298" s="1"/>
  <c r="K298" s="1"/>
  <c r="L298" s="1"/>
  <c r="F297"/>
  <c r="G297" s="1"/>
  <c r="K297" s="1"/>
  <c r="L297" s="1"/>
  <c r="F296"/>
  <c r="G296" s="1"/>
  <c r="K296" s="1"/>
  <c r="L296" s="1"/>
  <c r="F295"/>
  <c r="G295" s="1"/>
  <c r="K295" s="1"/>
  <c r="L295" s="1"/>
  <c r="F294"/>
  <c r="G294" s="1"/>
  <c r="K294" s="1"/>
  <c r="L294" s="1"/>
  <c r="F293"/>
  <c r="G293" s="1"/>
  <c r="K293" s="1"/>
  <c r="L293" s="1"/>
  <c r="F292"/>
  <c r="G292" s="1"/>
  <c r="K292" s="1"/>
  <c r="L292" s="1"/>
  <c r="F291"/>
  <c r="G291" s="1"/>
  <c r="K291" s="1"/>
  <c r="L291" s="1"/>
  <c r="F290"/>
  <c r="G290" s="1"/>
  <c r="K290" s="1"/>
  <c r="L290" s="1"/>
  <c r="F289"/>
  <c r="G289" s="1"/>
  <c r="K289" s="1"/>
  <c r="L289" s="1"/>
  <c r="F288"/>
  <c r="G288" s="1"/>
  <c r="K288" s="1"/>
  <c r="L288" s="1"/>
  <c r="F287"/>
  <c r="G287" s="1"/>
  <c r="K287" s="1"/>
  <c r="L287" s="1"/>
  <c r="F286"/>
  <c r="G286" s="1"/>
  <c r="K286" s="1"/>
  <c r="L286" s="1"/>
  <c r="F285"/>
  <c r="G285" s="1"/>
  <c r="K285" s="1"/>
  <c r="L285" s="1"/>
  <c r="F284"/>
  <c r="G284" s="1"/>
  <c r="K284" s="1"/>
  <c r="L284" s="1"/>
  <c r="F283"/>
  <c r="G283" s="1"/>
  <c r="K283" s="1"/>
  <c r="L283" s="1"/>
  <c r="F282"/>
  <c r="G282" s="1"/>
  <c r="K282" s="1"/>
  <c r="L282" s="1"/>
  <c r="F281"/>
  <c r="G281" s="1"/>
  <c r="K281" s="1"/>
  <c r="L281" s="1"/>
  <c r="F280"/>
  <c r="G280" s="1"/>
  <c r="K280" s="1"/>
  <c r="L280" s="1"/>
  <c r="F279"/>
  <c r="G279" s="1"/>
  <c r="K279" s="1"/>
  <c r="L279" s="1"/>
  <c r="F278"/>
  <c r="G278" s="1"/>
  <c r="K278" s="1"/>
  <c r="L278" s="1"/>
  <c r="F277"/>
  <c r="G277" s="1"/>
  <c r="K277" s="1"/>
  <c r="L277" s="1"/>
  <c r="F276"/>
  <c r="G276" s="1"/>
  <c r="K276" s="1"/>
  <c r="L276" s="1"/>
  <c r="F275"/>
  <c r="G275" s="1"/>
  <c r="K275" s="1"/>
  <c r="L275" s="1"/>
  <c r="F274"/>
  <c r="G274" s="1"/>
  <c r="K274" s="1"/>
  <c r="L274" s="1"/>
  <c r="F273"/>
  <c r="G273" s="1"/>
  <c r="K273" s="1"/>
  <c r="L273" s="1"/>
  <c r="F272"/>
  <c r="G272" s="1"/>
  <c r="K272" s="1"/>
  <c r="L272" s="1"/>
  <c r="F271"/>
  <c r="G271" s="1"/>
  <c r="F1201" i="6"/>
  <c r="G1201"/>
  <c r="K1201"/>
  <c r="F1200"/>
  <c r="G1200"/>
  <c r="K1200"/>
  <c r="F1199"/>
  <c r="G1199"/>
  <c r="K1199"/>
  <c r="F1198"/>
  <c r="G1198"/>
  <c r="K1198"/>
  <c r="F1197"/>
  <c r="G1197"/>
  <c r="K1197"/>
  <c r="F1196"/>
  <c r="G1196"/>
  <c r="K1196"/>
  <c r="F1195"/>
  <c r="G1195"/>
  <c r="K1195"/>
  <c r="F1194"/>
  <c r="G1194"/>
  <c r="K1194"/>
  <c r="F1193"/>
  <c r="G1193"/>
  <c r="K1193"/>
  <c r="F1192"/>
  <c r="G1192"/>
  <c r="K1192"/>
  <c r="C1191"/>
  <c r="F1191"/>
  <c r="G1191"/>
  <c r="K1191"/>
  <c r="F1190"/>
  <c r="G1190"/>
  <c r="K1190"/>
  <c r="F1189"/>
  <c r="G1189"/>
  <c r="K1189"/>
  <c r="F1188"/>
  <c r="G1188"/>
  <c r="K1188"/>
  <c r="F1187"/>
  <c r="G1187"/>
  <c r="K1187"/>
  <c r="F1186"/>
  <c r="G1186"/>
  <c r="K1186"/>
  <c r="F1185"/>
  <c r="G1185"/>
  <c r="K1185"/>
  <c r="F1184"/>
  <c r="G1184"/>
  <c r="K1184"/>
  <c r="F1183"/>
  <c r="G1183"/>
  <c r="K1183"/>
  <c r="F1182"/>
  <c r="G1182"/>
  <c r="K1182"/>
  <c r="F1181"/>
  <c r="G1181"/>
  <c r="K1181"/>
  <c r="F1180"/>
  <c r="G1180"/>
  <c r="K1180"/>
  <c r="F1179"/>
  <c r="G1179"/>
  <c r="K1179"/>
  <c r="F1178"/>
  <c r="G1178"/>
  <c r="K1178"/>
  <c r="F1177"/>
  <c r="G1177"/>
  <c r="K1177"/>
  <c r="F1176"/>
  <c r="G1176"/>
  <c r="K1176"/>
  <c r="F1175"/>
  <c r="G1175"/>
  <c r="K1175"/>
  <c r="F1174"/>
  <c r="G1174"/>
  <c r="K1174"/>
  <c r="F1173"/>
  <c r="G1173"/>
  <c r="K1173"/>
  <c r="F1172"/>
  <c r="G1172"/>
  <c r="K1172"/>
  <c r="F1171"/>
  <c r="G1171"/>
  <c r="K1171"/>
  <c r="F1170"/>
  <c r="G1170"/>
  <c r="K1170"/>
  <c r="F1169"/>
  <c r="G1169"/>
  <c r="K1169"/>
  <c r="F1168"/>
  <c r="G1168"/>
  <c r="K1168"/>
  <c r="F1167"/>
  <c r="G1167"/>
  <c r="K1167"/>
  <c r="F1166"/>
  <c r="G1166"/>
  <c r="K1166"/>
  <c r="F1165"/>
  <c r="G1165"/>
  <c r="K1165"/>
  <c r="F1164"/>
  <c r="G1164"/>
  <c r="K1164"/>
  <c r="F1163"/>
  <c r="G1163"/>
  <c r="K1163"/>
  <c r="F1162"/>
  <c r="G1162"/>
  <c r="K1162"/>
  <c r="F1161"/>
  <c r="G1161"/>
  <c r="K1161"/>
  <c r="F1160"/>
  <c r="G1160"/>
  <c r="K1160"/>
  <c r="F1159"/>
  <c r="G1159"/>
  <c r="K1159"/>
  <c r="F1158"/>
  <c r="G1158"/>
  <c r="K1158"/>
  <c r="F1157"/>
  <c r="G1157"/>
  <c r="K1157"/>
  <c r="F1156"/>
  <c r="G1156"/>
  <c r="K1156"/>
  <c r="F1155"/>
  <c r="G1155"/>
  <c r="K1155"/>
  <c r="F1154"/>
  <c r="G1154"/>
  <c r="K1154"/>
  <c r="F1153"/>
  <c r="G1153"/>
  <c r="K1153"/>
  <c r="F1152"/>
  <c r="G1152"/>
  <c r="K1152"/>
  <c r="F1151"/>
  <c r="G1151"/>
  <c r="K1151"/>
  <c r="F1150"/>
  <c r="G1150"/>
  <c r="K1150"/>
  <c r="F1149"/>
  <c r="G1149"/>
  <c r="K1149"/>
  <c r="F1148"/>
  <c r="G1148"/>
  <c r="K1148"/>
  <c r="F1145"/>
  <c r="G1145"/>
  <c r="K1145"/>
  <c r="F1144"/>
  <c r="G1144"/>
  <c r="K1144"/>
  <c r="F1143"/>
  <c r="G1143"/>
  <c r="K1143"/>
  <c r="F1142"/>
  <c r="G1142"/>
  <c r="K1142"/>
  <c r="F1141"/>
  <c r="G1141"/>
  <c r="K1141"/>
  <c r="F1140"/>
  <c r="G1140"/>
  <c r="K1140"/>
  <c r="F1139"/>
  <c r="G1139"/>
  <c r="K1139"/>
  <c r="F1138"/>
  <c r="G1138"/>
  <c r="K1138"/>
  <c r="F1137"/>
  <c r="G1137"/>
  <c r="K1137"/>
  <c r="F1136"/>
  <c r="G1136"/>
  <c r="K1136"/>
  <c r="F1135"/>
  <c r="G1135"/>
  <c r="K1135"/>
  <c r="F1134"/>
  <c r="G1134"/>
  <c r="K1134"/>
  <c r="F1133"/>
  <c r="G1133"/>
  <c r="K1133"/>
  <c r="F1132"/>
  <c r="G1132"/>
  <c r="K1132"/>
  <c r="F1131"/>
  <c r="G1131"/>
  <c r="K1131"/>
  <c r="F1130"/>
  <c r="G1130"/>
  <c r="K1130"/>
  <c r="F1129"/>
  <c r="G1129"/>
  <c r="K1129"/>
  <c r="F1128"/>
  <c r="G1128"/>
  <c r="K1128"/>
  <c r="F1127"/>
  <c r="G1127"/>
  <c r="K1127"/>
  <c r="F1126"/>
  <c r="G1126"/>
  <c r="K1126"/>
  <c r="F1125"/>
  <c r="G1125"/>
  <c r="K1125"/>
  <c r="F1124"/>
  <c r="G1124"/>
  <c r="K1124"/>
  <c r="F1123"/>
  <c r="G1123"/>
  <c r="K1123"/>
  <c r="F1122"/>
  <c r="G1122"/>
  <c r="K1122"/>
  <c r="F1121"/>
  <c r="G1121"/>
  <c r="K1121"/>
  <c r="F1120"/>
  <c r="G1120"/>
  <c r="K1120"/>
  <c r="F1119"/>
  <c r="G1119"/>
  <c r="K1119"/>
  <c r="F1118"/>
  <c r="G1118"/>
  <c r="K1118"/>
  <c r="F1117"/>
  <c r="G1117"/>
  <c r="K1117"/>
  <c r="F1116"/>
  <c r="G1116"/>
  <c r="K1116"/>
  <c r="F1115"/>
  <c r="G1115"/>
  <c r="K1115"/>
  <c r="F1114"/>
  <c r="G1114"/>
  <c r="K1114"/>
  <c r="F1113"/>
  <c r="G1113"/>
  <c r="K1113"/>
  <c r="F1112"/>
  <c r="G1112"/>
  <c r="K1112"/>
  <c r="F1111"/>
  <c r="G1111"/>
  <c r="K1111"/>
  <c r="F1110"/>
  <c r="G1110"/>
  <c r="K1110"/>
  <c r="F1109"/>
  <c r="G1109"/>
  <c r="K1109"/>
  <c r="F1108"/>
  <c r="G1108"/>
  <c r="K1108"/>
  <c r="F1107"/>
  <c r="G1107"/>
  <c r="K1107"/>
  <c r="F1106"/>
  <c r="G1106"/>
  <c r="K1106"/>
  <c r="F1105"/>
  <c r="G1105"/>
  <c r="K1105"/>
  <c r="F1104"/>
  <c r="G1104"/>
  <c r="K1104"/>
  <c r="F1103"/>
  <c r="G1103"/>
  <c r="K1103"/>
  <c r="F1102"/>
  <c r="G1102"/>
  <c r="K1102"/>
  <c r="F1101"/>
  <c r="G1101"/>
  <c r="K1101"/>
  <c r="F1100"/>
  <c r="G1100"/>
  <c r="K1100"/>
  <c r="F1099"/>
  <c r="G1099"/>
  <c r="K1099"/>
  <c r="F1098"/>
  <c r="G1098"/>
  <c r="K1098"/>
  <c r="F1097"/>
  <c r="G1097"/>
  <c r="K1097"/>
  <c r="F1096"/>
  <c r="G1096"/>
  <c r="K1096"/>
  <c r="F1095"/>
  <c r="G1095"/>
  <c r="K1095"/>
  <c r="F1094"/>
  <c r="G1094"/>
  <c r="K1094"/>
  <c r="F1093"/>
  <c r="G1093"/>
  <c r="K1093"/>
  <c r="F1092"/>
  <c r="G1092"/>
  <c r="K1092"/>
  <c r="F1091"/>
  <c r="G1091"/>
  <c r="K1091"/>
  <c r="F1090"/>
  <c r="G1090"/>
  <c r="K1090"/>
  <c r="F1089"/>
  <c r="G1089"/>
  <c r="K1089"/>
  <c r="F1088"/>
  <c r="G1088"/>
  <c r="K1088"/>
  <c r="F1087"/>
  <c r="G1087"/>
  <c r="K1087"/>
  <c r="F1086"/>
  <c r="G1086"/>
  <c r="K1086"/>
  <c r="F1085"/>
  <c r="G1085"/>
  <c r="K1085"/>
  <c r="F1084"/>
  <c r="G1084"/>
  <c r="K1084"/>
  <c r="F1083"/>
  <c r="G1083"/>
  <c r="K1083"/>
  <c r="F1082"/>
  <c r="G1082"/>
  <c r="K1082"/>
  <c r="K1081"/>
  <c r="F1080"/>
  <c r="G1080"/>
  <c r="K1080"/>
  <c r="F1079"/>
  <c r="G1079"/>
  <c r="K1079"/>
  <c r="F1078"/>
  <c r="G1078"/>
  <c r="K1078"/>
  <c r="F1077"/>
  <c r="G1077"/>
  <c r="K1077"/>
  <c r="F1076"/>
  <c r="G1076"/>
  <c r="K1076"/>
  <c r="F1075"/>
  <c r="G1075"/>
  <c r="K1075"/>
  <c r="F1074"/>
  <c r="G1074"/>
  <c r="K1074"/>
  <c r="F1073"/>
  <c r="G1073"/>
  <c r="K1073"/>
  <c r="F1072"/>
  <c r="G1072"/>
  <c r="K1072"/>
  <c r="F1071"/>
  <c r="G1071"/>
  <c r="K1071"/>
  <c r="F1070"/>
  <c r="G1070"/>
  <c r="K1070"/>
  <c r="F1069"/>
  <c r="G1069"/>
  <c r="K1069"/>
  <c r="F1068"/>
  <c r="G1068"/>
  <c r="K1068"/>
  <c r="F1067"/>
  <c r="G1067"/>
  <c r="K1067"/>
  <c r="F1066"/>
  <c r="G1066"/>
  <c r="K1066"/>
  <c r="F1065"/>
  <c r="G1065"/>
  <c r="K1065"/>
  <c r="F1064"/>
  <c r="G1064"/>
  <c r="K1064"/>
  <c r="F1063"/>
  <c r="G1063"/>
  <c r="K1063"/>
  <c r="F1062"/>
  <c r="G1062"/>
  <c r="K1062"/>
  <c r="F1061"/>
  <c r="G1061"/>
  <c r="K1061"/>
  <c r="F1060"/>
  <c r="G1060"/>
  <c r="K1060"/>
  <c r="F1059"/>
  <c r="G1059"/>
  <c r="K1059"/>
  <c r="F1058"/>
  <c r="G1058"/>
  <c r="K1058"/>
  <c r="F1057"/>
  <c r="G1057"/>
  <c r="K1057"/>
  <c r="F1056"/>
  <c r="G1056"/>
  <c r="K1056"/>
  <c r="F1055"/>
  <c r="G1055"/>
  <c r="K1055"/>
  <c r="F1054"/>
  <c r="G1054"/>
  <c r="K1054"/>
  <c r="F1053"/>
  <c r="G1053"/>
  <c r="K1053"/>
  <c r="F1052"/>
  <c r="G1052"/>
  <c r="K1052"/>
  <c r="F1051"/>
  <c r="G1051"/>
  <c r="K1051"/>
  <c r="F1050"/>
  <c r="G1050"/>
  <c r="K1050"/>
  <c r="F1049"/>
  <c r="G1049"/>
  <c r="K1049"/>
  <c r="F1048"/>
  <c r="G1048"/>
  <c r="K1048"/>
  <c r="F1047"/>
  <c r="G1047"/>
  <c r="K1047"/>
  <c r="F1046"/>
  <c r="G1046"/>
  <c r="K1046"/>
  <c r="F1045"/>
  <c r="G1045"/>
  <c r="K1045"/>
  <c r="F1044"/>
  <c r="G1044"/>
  <c r="K1044"/>
  <c r="F1043"/>
  <c r="G1043"/>
  <c r="K1043"/>
  <c r="F1042"/>
  <c r="G1042"/>
  <c r="K1042"/>
  <c r="F1041"/>
  <c r="G1041"/>
  <c r="K1041"/>
  <c r="F1040"/>
  <c r="G1040"/>
  <c r="K1040"/>
  <c r="F1039"/>
  <c r="G1039"/>
  <c r="K1039"/>
  <c r="F1038"/>
  <c r="G1038"/>
  <c r="K1038"/>
  <c r="F1037"/>
  <c r="G1037"/>
  <c r="K1037"/>
  <c r="F1036"/>
  <c r="G1036"/>
  <c r="K1036"/>
  <c r="F1035"/>
  <c r="G1035"/>
  <c r="K1035"/>
  <c r="F1034"/>
  <c r="G1034"/>
  <c r="K1034"/>
  <c r="F1033"/>
  <c r="G1033"/>
  <c r="K1033"/>
  <c r="F1032"/>
  <c r="G1032"/>
  <c r="K1032"/>
  <c r="F1031"/>
  <c r="G1031"/>
  <c r="K1031"/>
  <c r="F1030"/>
  <c r="G1030"/>
  <c r="K1030"/>
  <c r="F1029"/>
  <c r="G1029"/>
  <c r="K1029"/>
  <c r="F1028"/>
  <c r="G1028"/>
  <c r="K1028"/>
  <c r="F1027"/>
  <c r="G1027"/>
  <c r="K1027"/>
  <c r="F1026"/>
  <c r="G1026"/>
  <c r="K1026"/>
  <c r="F1025"/>
  <c r="G1025"/>
  <c r="K1025"/>
  <c r="F1024"/>
  <c r="G1024"/>
  <c r="K1024"/>
  <c r="F1023"/>
  <c r="G1023"/>
  <c r="K1023"/>
  <c r="F1022"/>
  <c r="G1022"/>
  <c r="K1022"/>
  <c r="F1021"/>
  <c r="G1021"/>
  <c r="K1021"/>
  <c r="F1020"/>
  <c r="G1020"/>
  <c r="K1020"/>
  <c r="F1019"/>
  <c r="G1019"/>
  <c r="K1019"/>
  <c r="F1018"/>
  <c r="G1018"/>
  <c r="K1018"/>
  <c r="F1017"/>
  <c r="G1017"/>
  <c r="K1017"/>
  <c r="F1016"/>
  <c r="G1016"/>
  <c r="K1016"/>
  <c r="F1015"/>
  <c r="G1015"/>
  <c r="K1015"/>
  <c r="F1014"/>
  <c r="G1014"/>
  <c r="K1014"/>
  <c r="F1013"/>
  <c r="G1013"/>
  <c r="K1013"/>
  <c r="F1012"/>
  <c r="G1012"/>
  <c r="K1012"/>
  <c r="F1011"/>
  <c r="G1011"/>
  <c r="K1011"/>
  <c r="F1010"/>
  <c r="G1010"/>
  <c r="K1010"/>
  <c r="F1009"/>
  <c r="G1009"/>
  <c r="K1009"/>
  <c r="F1008"/>
  <c r="G1008"/>
  <c r="K1008"/>
  <c r="F1007"/>
  <c r="G1007"/>
  <c r="K1007"/>
  <c r="F1006"/>
  <c r="G1006"/>
  <c r="K1006"/>
  <c r="F1005"/>
  <c r="G1005"/>
  <c r="K1005"/>
  <c r="F1004"/>
  <c r="G1004"/>
  <c r="K1004"/>
  <c r="F1003"/>
  <c r="G1003"/>
  <c r="K1003"/>
  <c r="F1002"/>
  <c r="G1002"/>
  <c r="K1002"/>
  <c r="F1001"/>
  <c r="G1001"/>
  <c r="K1001"/>
  <c r="F1000"/>
  <c r="G1000"/>
  <c r="K1000"/>
  <c r="F999"/>
  <c r="G999"/>
  <c r="K999"/>
  <c r="F998"/>
  <c r="G998"/>
  <c r="K998"/>
  <c r="F997"/>
  <c r="G997"/>
  <c r="K997"/>
  <c r="F996"/>
  <c r="G996"/>
  <c r="K996"/>
  <c r="F995"/>
  <c r="G995"/>
  <c r="K995"/>
  <c r="F994"/>
  <c r="G994"/>
  <c r="K994"/>
  <c r="F993"/>
  <c r="G993"/>
  <c r="K993"/>
  <c r="F992"/>
  <c r="G992"/>
  <c r="K992"/>
  <c r="F991"/>
  <c r="G991"/>
  <c r="K991"/>
  <c r="F990"/>
  <c r="G990"/>
  <c r="K990"/>
  <c r="F989"/>
  <c r="G989"/>
  <c r="K989"/>
  <c r="F988"/>
  <c r="G988"/>
  <c r="K988"/>
  <c r="F987"/>
  <c r="G987"/>
  <c r="K987"/>
  <c r="F986"/>
  <c r="G986"/>
  <c r="K986"/>
  <c r="F985"/>
  <c r="G985"/>
  <c r="K985"/>
  <c r="F984"/>
  <c r="G984"/>
  <c r="K984"/>
  <c r="F983"/>
  <c r="G983"/>
  <c r="K983"/>
  <c r="F982"/>
  <c r="G982"/>
  <c r="K982"/>
  <c r="F981"/>
  <c r="G981"/>
  <c r="K981"/>
  <c r="F980"/>
  <c r="G980"/>
  <c r="K980"/>
  <c r="F979"/>
  <c r="G979"/>
  <c r="K979"/>
  <c r="F978"/>
  <c r="G978"/>
  <c r="K978"/>
  <c r="F977"/>
  <c r="G977"/>
  <c r="K977"/>
  <c r="F976"/>
  <c r="G976"/>
  <c r="K976"/>
  <c r="F975"/>
  <c r="G975"/>
  <c r="K975"/>
  <c r="F974"/>
  <c r="G974"/>
  <c r="K974"/>
  <c r="F973"/>
  <c r="G973"/>
  <c r="K973"/>
  <c r="F972"/>
  <c r="G972"/>
  <c r="K972"/>
  <c r="F971"/>
  <c r="G971"/>
  <c r="K971"/>
  <c r="F970"/>
  <c r="G970"/>
  <c r="K970"/>
  <c r="F969"/>
  <c r="G969"/>
  <c r="K969"/>
  <c r="F968"/>
  <c r="G968"/>
  <c r="K968"/>
  <c r="F967"/>
  <c r="G967"/>
  <c r="K967"/>
  <c r="F966"/>
  <c r="G966"/>
  <c r="K966"/>
  <c r="F965"/>
  <c r="G965"/>
  <c r="K965"/>
  <c r="F964"/>
  <c r="G964"/>
  <c r="K964"/>
  <c r="F963"/>
  <c r="G963"/>
  <c r="K963"/>
  <c r="F962"/>
  <c r="G962"/>
  <c r="K962"/>
  <c r="F961"/>
  <c r="G961"/>
  <c r="K961"/>
  <c r="F960"/>
  <c r="G960"/>
  <c r="K960"/>
  <c r="F959"/>
  <c r="G959"/>
  <c r="K959"/>
  <c r="F958"/>
  <c r="G958"/>
  <c r="K958"/>
  <c r="F957"/>
  <c r="G957"/>
  <c r="K957"/>
  <c r="F956"/>
  <c r="G956"/>
  <c r="K956"/>
  <c r="F955"/>
  <c r="G955"/>
  <c r="K955"/>
  <c r="F954"/>
  <c r="G954"/>
  <c r="K954"/>
  <c r="F953"/>
  <c r="G953"/>
  <c r="K953"/>
  <c r="F952"/>
  <c r="G952"/>
  <c r="K952"/>
  <c r="F951"/>
  <c r="G951"/>
  <c r="K951"/>
  <c r="F950"/>
  <c r="G950"/>
  <c r="K950"/>
  <c r="F949"/>
  <c r="G949"/>
  <c r="K949"/>
  <c r="F948"/>
  <c r="G948"/>
  <c r="K948"/>
  <c r="F947"/>
  <c r="G947"/>
  <c r="K947"/>
  <c r="F946"/>
  <c r="G946"/>
  <c r="K946"/>
  <c r="F945"/>
  <c r="G945"/>
  <c r="K945"/>
  <c r="F944"/>
  <c r="G944"/>
  <c r="K944"/>
  <c r="F943"/>
  <c r="G943"/>
  <c r="K943"/>
  <c r="F942"/>
  <c r="G942"/>
  <c r="K942"/>
  <c r="F941"/>
  <c r="G941"/>
  <c r="K941"/>
  <c r="K940"/>
  <c r="F939"/>
  <c r="G939"/>
  <c r="K939"/>
  <c r="F938"/>
  <c r="G938"/>
  <c r="K938"/>
  <c r="F937"/>
  <c r="G937"/>
  <c r="K937"/>
  <c r="F936"/>
  <c r="G936"/>
  <c r="K936"/>
  <c r="F935"/>
  <c r="G935"/>
  <c r="K935"/>
  <c r="F934"/>
  <c r="G934"/>
  <c r="K934"/>
  <c r="F933"/>
  <c r="G933"/>
  <c r="K933"/>
  <c r="F932"/>
  <c r="G932"/>
  <c r="K932"/>
  <c r="F931"/>
  <c r="G931"/>
  <c r="K931"/>
  <c r="F930"/>
  <c r="G930"/>
  <c r="K930"/>
  <c r="F929"/>
  <c r="G929"/>
  <c r="K929"/>
  <c r="F928"/>
  <c r="G928"/>
  <c r="K928"/>
  <c r="F927"/>
  <c r="G927"/>
  <c r="K927"/>
  <c r="F926"/>
  <c r="G926"/>
  <c r="K926"/>
  <c r="F925"/>
  <c r="G925"/>
  <c r="K925"/>
  <c r="F924"/>
  <c r="G924"/>
  <c r="K924"/>
  <c r="F923"/>
  <c r="G923"/>
  <c r="K923"/>
  <c r="F922"/>
  <c r="G922"/>
  <c r="K922"/>
  <c r="F921"/>
  <c r="G921"/>
  <c r="K921"/>
  <c r="F920"/>
  <c r="G920"/>
  <c r="K920"/>
  <c r="F919"/>
  <c r="G919"/>
  <c r="K919"/>
  <c r="F918"/>
  <c r="G918"/>
  <c r="K918"/>
  <c r="F917"/>
  <c r="G917"/>
  <c r="K917"/>
  <c r="F916"/>
  <c r="G916"/>
  <c r="K916"/>
  <c r="F915"/>
  <c r="G915"/>
  <c r="K915"/>
  <c r="F914"/>
  <c r="G914"/>
  <c r="K914"/>
  <c r="F913"/>
  <c r="G913"/>
  <c r="K913"/>
  <c r="F912"/>
  <c r="G912"/>
  <c r="K912"/>
  <c r="F911"/>
  <c r="G911"/>
  <c r="K911"/>
  <c r="F910"/>
  <c r="G910"/>
  <c r="K910"/>
  <c r="F909"/>
  <c r="G909"/>
  <c r="K909"/>
  <c r="F908"/>
  <c r="G908"/>
  <c r="K908"/>
  <c r="F907"/>
  <c r="G907"/>
  <c r="K907"/>
  <c r="F906"/>
  <c r="G906"/>
  <c r="K906"/>
  <c r="F905"/>
  <c r="G905"/>
  <c r="K905"/>
  <c r="F904"/>
  <c r="G904"/>
  <c r="K904"/>
  <c r="F903"/>
  <c r="G903"/>
  <c r="K903"/>
  <c r="F902"/>
  <c r="G902"/>
  <c r="K902"/>
  <c r="F901"/>
  <c r="G901"/>
  <c r="K901"/>
  <c r="F900"/>
  <c r="G900"/>
  <c r="K900"/>
  <c r="F899"/>
  <c r="G899"/>
  <c r="K899"/>
  <c r="F898"/>
  <c r="G898"/>
  <c r="K898"/>
  <c r="F897"/>
  <c r="G897"/>
  <c r="K897"/>
  <c r="F896"/>
  <c r="G896"/>
  <c r="K896"/>
  <c r="F895"/>
  <c r="G895"/>
  <c r="K895"/>
  <c r="F894"/>
  <c r="G894"/>
  <c r="K894"/>
  <c r="F893"/>
  <c r="G893"/>
  <c r="K893"/>
  <c r="F892"/>
  <c r="G892"/>
  <c r="K892"/>
  <c r="F891"/>
  <c r="G891"/>
  <c r="K891"/>
  <c r="F890"/>
  <c r="G890"/>
  <c r="K890"/>
  <c r="F889"/>
  <c r="G889"/>
  <c r="K889"/>
  <c r="F888"/>
  <c r="G888"/>
  <c r="K888"/>
  <c r="F887"/>
  <c r="G887"/>
  <c r="K887"/>
  <c r="F886"/>
  <c r="G886"/>
  <c r="K886"/>
  <c r="F885"/>
  <c r="G885"/>
  <c r="K885"/>
  <c r="F884"/>
  <c r="G884"/>
  <c r="K884"/>
  <c r="F883"/>
  <c r="G883"/>
  <c r="K883"/>
  <c r="F882"/>
  <c r="G882"/>
  <c r="K882"/>
  <c r="F881"/>
  <c r="G881"/>
  <c r="K881"/>
  <c r="F744"/>
  <c r="G744" s="1"/>
  <c r="F743"/>
  <c r="G743" s="1"/>
  <c r="F742"/>
  <c r="G742" s="1"/>
  <c r="F741"/>
  <c r="G741" s="1"/>
  <c r="F740"/>
  <c r="G740" s="1"/>
  <c r="F739"/>
  <c r="G739" s="1"/>
  <c r="F738"/>
  <c r="G738" s="1"/>
  <c r="F737"/>
  <c r="G737" s="1"/>
  <c r="F736"/>
  <c r="G736" s="1"/>
  <c r="F735"/>
  <c r="G735" s="1"/>
  <c r="F734"/>
  <c r="G734" s="1"/>
  <c r="F733"/>
  <c r="G733" s="1"/>
  <c r="F732"/>
  <c r="G732" s="1"/>
  <c r="F731"/>
  <c r="G731" s="1"/>
  <c r="F730"/>
  <c r="G730" s="1"/>
  <c r="F729"/>
  <c r="G729" s="1"/>
  <c r="F728"/>
  <c r="G728" s="1"/>
  <c r="F727"/>
  <c r="G727" s="1"/>
  <c r="F726"/>
  <c r="G726" s="1"/>
  <c r="F725"/>
  <c r="G725" s="1"/>
  <c r="F724"/>
  <c r="G724" s="1"/>
  <c r="F723"/>
  <c r="G723" s="1"/>
  <c r="F722"/>
  <c r="G722" s="1"/>
  <c r="F721"/>
  <c r="G721" s="1"/>
  <c r="F720"/>
  <c r="G720" s="1"/>
  <c r="F719"/>
  <c r="G719" s="1"/>
  <c r="F718"/>
  <c r="G718" s="1"/>
  <c r="F717"/>
  <c r="G717" s="1"/>
  <c r="F716"/>
  <c r="G716" s="1"/>
  <c r="F715"/>
  <c r="G715" s="1"/>
  <c r="F714"/>
  <c r="G714" s="1"/>
  <c r="F713"/>
  <c r="G713" s="1"/>
  <c r="F712"/>
  <c r="G712" s="1"/>
  <c r="F711"/>
  <c r="G711" s="1"/>
  <c r="F710"/>
  <c r="G710" s="1"/>
  <c r="F709"/>
  <c r="G709" s="1"/>
  <c r="F708"/>
  <c r="G708" s="1"/>
  <c r="F707"/>
  <c r="G707" s="1"/>
  <c r="F706"/>
  <c r="G706" s="1"/>
  <c r="F705"/>
  <c r="G705" s="1"/>
  <c r="F704"/>
  <c r="G704" s="1"/>
  <c r="F703"/>
  <c r="G703" s="1"/>
  <c r="F702"/>
  <c r="G702" s="1"/>
  <c r="F701"/>
  <c r="G701" s="1"/>
  <c r="F700"/>
  <c r="G700" s="1"/>
  <c r="F699"/>
  <c r="G699" s="1"/>
  <c r="F698"/>
  <c r="G698" s="1"/>
  <c r="F697"/>
  <c r="G697" s="1"/>
  <c r="F696"/>
  <c r="G696" s="1"/>
  <c r="F695"/>
  <c r="G695" s="1"/>
  <c r="F694"/>
  <c r="G694" s="1"/>
  <c r="F693"/>
  <c r="G693" s="1"/>
  <c r="F692"/>
  <c r="G692" s="1"/>
  <c r="F691"/>
  <c r="G691" s="1"/>
  <c r="F690"/>
  <c r="G690" s="1"/>
  <c r="F689"/>
  <c r="G689" s="1"/>
  <c r="F688"/>
  <c r="G688" s="1"/>
  <c r="F687"/>
  <c r="G687" s="1"/>
  <c r="F686"/>
  <c r="G686" s="1"/>
  <c r="F685"/>
  <c r="G685" s="1"/>
  <c r="F684"/>
  <c r="G684" s="1"/>
  <c r="F683"/>
  <c r="G683" s="1"/>
  <c r="F682"/>
  <c r="G682" s="1"/>
  <c r="F681"/>
  <c r="G681" s="1"/>
  <c r="F680"/>
  <c r="G680" s="1"/>
  <c r="F679"/>
  <c r="G679" s="1"/>
  <c r="F678"/>
  <c r="G678" s="1"/>
  <c r="F677"/>
  <c r="G677" s="1"/>
  <c r="F676"/>
  <c r="G676" s="1"/>
  <c r="F675"/>
  <c r="G675" s="1"/>
  <c r="F674"/>
  <c r="G674" s="1"/>
  <c r="F673"/>
  <c r="G673" s="1"/>
  <c r="F672"/>
  <c r="G672" s="1"/>
  <c r="F671"/>
  <c r="G671" s="1"/>
  <c r="F670"/>
  <c r="G670" s="1"/>
  <c r="F669"/>
  <c r="G669" s="1"/>
  <c r="F668"/>
  <c r="G668" s="1"/>
  <c r="F667"/>
  <c r="G667" s="1"/>
  <c r="F666"/>
  <c r="G666" s="1"/>
  <c r="F665"/>
  <c r="G665" s="1"/>
  <c r="F664"/>
  <c r="G664" s="1"/>
  <c r="F663"/>
  <c r="G663" s="1"/>
  <c r="F662"/>
  <c r="G662" s="1"/>
  <c r="F661"/>
  <c r="G661" s="1"/>
  <c r="F660"/>
  <c r="G660" s="1"/>
  <c r="F659"/>
  <c r="G659" s="1"/>
  <c r="F658"/>
  <c r="G658" s="1"/>
  <c r="F657"/>
  <c r="G657" s="1"/>
  <c r="F656"/>
  <c r="G656" s="1"/>
  <c r="F655"/>
  <c r="G655" s="1"/>
  <c r="F654"/>
  <c r="G654" s="1"/>
  <c r="F653"/>
  <c r="G653" s="1"/>
  <c r="F652"/>
  <c r="G652" s="1"/>
  <c r="F651"/>
  <c r="G651" s="1"/>
  <c r="F650"/>
  <c r="G650" s="1"/>
  <c r="F649"/>
  <c r="G649" s="1"/>
  <c r="F648"/>
  <c r="G648" s="1"/>
  <c r="F647"/>
  <c r="G647" s="1"/>
  <c r="F646"/>
  <c r="G646" s="1"/>
  <c r="F645"/>
  <c r="G645" s="1"/>
  <c r="F644"/>
  <c r="G644" s="1"/>
  <c r="F643"/>
  <c r="G643" s="1"/>
  <c r="F642"/>
  <c r="G642" s="1"/>
  <c r="F641"/>
  <c r="G641" s="1"/>
  <c r="F640"/>
  <c r="G640" s="1"/>
  <c r="F639"/>
  <c r="G639" s="1"/>
  <c r="F638"/>
  <c r="G638" s="1"/>
  <c r="F637"/>
  <c r="G637" s="1"/>
  <c r="F636"/>
  <c r="G636" s="1"/>
  <c r="F635"/>
  <c r="G635" s="1"/>
  <c r="F634"/>
  <c r="G634" s="1"/>
  <c r="F633"/>
  <c r="G633" s="1"/>
  <c r="F632"/>
  <c r="G632" s="1"/>
  <c r="F631"/>
  <c r="G631" s="1"/>
  <c r="F630"/>
  <c r="G630" s="1"/>
  <c r="F629"/>
  <c r="G629" s="1"/>
  <c r="F628"/>
  <c r="G628" s="1"/>
  <c r="F627"/>
  <c r="G627" s="1"/>
  <c r="F626"/>
  <c r="G626" s="1"/>
  <c r="F625"/>
  <c r="G625" s="1"/>
  <c r="F624"/>
  <c r="G624" s="1"/>
  <c r="F623"/>
  <c r="G623" s="1"/>
  <c r="F622"/>
  <c r="G622" s="1"/>
  <c r="F621"/>
  <c r="G621" s="1"/>
  <c r="F620"/>
  <c r="G620" s="1"/>
  <c r="F619"/>
  <c r="G619" s="1"/>
  <c r="F618"/>
  <c r="G618" s="1"/>
  <c r="F617"/>
  <c r="G617" s="1"/>
  <c r="F616"/>
  <c r="G616" s="1"/>
  <c r="F615"/>
  <c r="G615" s="1"/>
  <c r="F614"/>
  <c r="G614" s="1"/>
  <c r="F613"/>
  <c r="G613" s="1"/>
  <c r="F612"/>
  <c r="G612" s="1"/>
  <c r="F611"/>
  <c r="G611" s="1"/>
  <c r="F610"/>
  <c r="G610" s="1"/>
  <c r="F609"/>
  <c r="G609" s="1"/>
  <c r="F608"/>
  <c r="G608" s="1"/>
  <c r="F607"/>
  <c r="G607" s="1"/>
  <c r="F606"/>
  <c r="G606" s="1"/>
  <c r="F605"/>
  <c r="G605" s="1"/>
  <c r="F604"/>
  <c r="G604" s="1"/>
  <c r="F603"/>
  <c r="G603" s="1"/>
  <c r="F602"/>
  <c r="G602" s="1"/>
  <c r="F601"/>
  <c r="G601" s="1"/>
  <c r="F600"/>
  <c r="G600" s="1"/>
  <c r="F599"/>
  <c r="G599" s="1"/>
  <c r="F598"/>
  <c r="G598" s="1"/>
  <c r="F597"/>
  <c r="G597" s="1"/>
  <c r="F596"/>
  <c r="G596" s="1"/>
  <c r="F595"/>
  <c r="G595" s="1"/>
  <c r="F594"/>
  <c r="G594" s="1"/>
  <c r="F593"/>
  <c r="G593" s="1"/>
  <c r="F592"/>
  <c r="G592" s="1"/>
  <c r="F591"/>
  <c r="G591" s="1"/>
  <c r="F590"/>
  <c r="G590" s="1"/>
  <c r="F589"/>
  <c r="G589" s="1"/>
  <c r="F588"/>
  <c r="G588" s="1"/>
  <c r="F587"/>
  <c r="G587" s="1"/>
  <c r="F586"/>
  <c r="G586" s="1"/>
  <c r="F585"/>
  <c r="G585" s="1"/>
  <c r="F584"/>
  <c r="G584" s="1"/>
  <c r="F583"/>
  <c r="G583" s="1"/>
  <c r="F582"/>
  <c r="G582" s="1"/>
  <c r="F581"/>
  <c r="G581" s="1"/>
  <c r="F580"/>
  <c r="G580" s="1"/>
  <c r="F579"/>
  <c r="G579" s="1"/>
  <c r="F578"/>
  <c r="G578" s="1"/>
  <c r="F577"/>
  <c r="G577" s="1"/>
  <c r="F576"/>
  <c r="G576" s="1"/>
  <c r="F575"/>
  <c r="G575" s="1"/>
  <c r="F574"/>
  <c r="G574" s="1"/>
  <c r="F573"/>
  <c r="G573" s="1"/>
  <c r="F572"/>
  <c r="G572" s="1"/>
  <c r="F571"/>
  <c r="G571" s="1"/>
  <c r="F570"/>
  <c r="G570" s="1"/>
  <c r="F569"/>
  <c r="G569" s="1"/>
  <c r="F568"/>
  <c r="G568" s="1"/>
  <c r="F567"/>
  <c r="G567" s="1"/>
  <c r="F566"/>
  <c r="G566" s="1"/>
  <c r="F565"/>
  <c r="G565" s="1"/>
  <c r="F564"/>
  <c r="G564" s="1"/>
  <c r="F563"/>
  <c r="G563" s="1"/>
  <c r="F562"/>
  <c r="G562" s="1"/>
  <c r="F561"/>
  <c r="G561" s="1"/>
  <c r="F560"/>
  <c r="G560" s="1"/>
  <c r="F559"/>
  <c r="G559" s="1"/>
  <c r="F558"/>
  <c r="G558" s="1"/>
  <c r="F557"/>
  <c r="G557" s="1"/>
  <c r="F556"/>
  <c r="G556" s="1"/>
  <c r="F555"/>
  <c r="G555" s="1"/>
  <c r="F554"/>
  <c r="G554" s="1"/>
  <c r="F553"/>
  <c r="G553" s="1"/>
  <c r="F552"/>
  <c r="G552" s="1"/>
  <c r="F551"/>
  <c r="G551" s="1"/>
  <c r="F550"/>
  <c r="G550" s="1"/>
  <c r="F549"/>
  <c r="G549" s="1"/>
  <c r="F548"/>
  <c r="G548" s="1"/>
  <c r="F547"/>
  <c r="G547" s="1"/>
  <c r="F546"/>
  <c r="G546" s="1"/>
  <c r="F545"/>
  <c r="G545" s="1"/>
  <c r="F544"/>
  <c r="G544" s="1"/>
  <c r="F543"/>
  <c r="G543" s="1"/>
  <c r="F542"/>
  <c r="G542" s="1"/>
  <c r="F541"/>
  <c r="G541" s="1"/>
  <c r="F540"/>
  <c r="G540" s="1"/>
  <c r="F539"/>
  <c r="G539" s="1"/>
  <c r="F538"/>
  <c r="G538" s="1"/>
  <c r="F537"/>
  <c r="G537" s="1"/>
  <c r="F533"/>
  <c r="G533"/>
  <c r="K533"/>
  <c r="F532"/>
  <c r="G532"/>
  <c r="K532"/>
  <c r="F531"/>
  <c r="G531"/>
  <c r="K531"/>
  <c r="F530"/>
  <c r="G530"/>
  <c r="K530"/>
  <c r="F529"/>
  <c r="G529"/>
  <c r="K529"/>
  <c r="F528"/>
  <c r="G528"/>
  <c r="K528"/>
  <c r="F527"/>
  <c r="G527"/>
  <c r="K527"/>
  <c r="F526"/>
  <c r="G526"/>
  <c r="K526"/>
  <c r="F525"/>
  <c r="G525"/>
  <c r="K525"/>
  <c r="F524"/>
  <c r="G524"/>
  <c r="K524"/>
  <c r="F523"/>
  <c r="G523"/>
  <c r="K523"/>
  <c r="F522"/>
  <c r="G522"/>
  <c r="K522"/>
  <c r="F521"/>
  <c r="G521"/>
  <c r="K521"/>
  <c r="F520"/>
  <c r="G520"/>
  <c r="K520"/>
  <c r="F519"/>
  <c r="G519"/>
  <c r="K519"/>
  <c r="F518"/>
  <c r="G518"/>
  <c r="K518"/>
  <c r="F517"/>
  <c r="G517"/>
  <c r="K517"/>
  <c r="F516"/>
  <c r="G516"/>
  <c r="K516"/>
  <c r="F515"/>
  <c r="G515"/>
  <c r="K515"/>
  <c r="F514"/>
  <c r="G514"/>
  <c r="K514"/>
  <c r="F513"/>
  <c r="G513"/>
  <c r="K513"/>
  <c r="F512"/>
  <c r="G512"/>
  <c r="K512"/>
  <c r="F511"/>
  <c r="G511"/>
  <c r="K511"/>
  <c r="F510"/>
  <c r="G510"/>
  <c r="K510"/>
  <c r="F509"/>
  <c r="G509"/>
  <c r="K509"/>
  <c r="F508"/>
  <c r="G508"/>
  <c r="K508"/>
  <c r="F507"/>
  <c r="G507"/>
  <c r="K507"/>
  <c r="F506"/>
  <c r="G506"/>
  <c r="K506"/>
  <c r="F505"/>
  <c r="G505"/>
  <c r="K505"/>
  <c r="F504"/>
  <c r="G504"/>
  <c r="K504"/>
  <c r="F503"/>
  <c r="G503"/>
  <c r="K503"/>
  <c r="F502"/>
  <c r="G502"/>
  <c r="K502"/>
  <c r="F501"/>
  <c r="G501"/>
  <c r="K501"/>
  <c r="F500"/>
  <c r="G500"/>
  <c r="K500"/>
  <c r="F499"/>
  <c r="G499"/>
  <c r="K499"/>
  <c r="F498"/>
  <c r="G498"/>
  <c r="K498"/>
  <c r="F497"/>
  <c r="G497"/>
  <c r="K497"/>
  <c r="F496"/>
  <c r="G496"/>
  <c r="K496"/>
  <c r="F495"/>
  <c r="G495"/>
  <c r="K495"/>
  <c r="F494"/>
  <c r="G494"/>
  <c r="K494"/>
  <c r="F493"/>
  <c r="G493"/>
  <c r="K493"/>
  <c r="F492"/>
  <c r="G492"/>
  <c r="K492"/>
  <c r="F491"/>
  <c r="G491"/>
  <c r="K491"/>
  <c r="F490"/>
  <c r="G490"/>
  <c r="K490"/>
  <c r="F489"/>
  <c r="G489"/>
  <c r="K489"/>
  <c r="F488"/>
  <c r="G488"/>
  <c r="K488"/>
  <c r="F487"/>
  <c r="G487"/>
  <c r="K487"/>
  <c r="F486"/>
  <c r="G486"/>
  <c r="K486"/>
  <c r="F485"/>
  <c r="G485"/>
  <c r="K485"/>
  <c r="F484"/>
  <c r="G484"/>
  <c r="K484"/>
  <c r="F483"/>
  <c r="G483"/>
  <c r="K483"/>
  <c r="F482"/>
  <c r="G482"/>
  <c r="K482"/>
  <c r="F481"/>
  <c r="G481"/>
  <c r="K481"/>
  <c r="F480"/>
  <c r="G480"/>
  <c r="K480"/>
  <c r="F479"/>
  <c r="G479"/>
  <c r="K479"/>
  <c r="F478"/>
  <c r="G478"/>
  <c r="K478"/>
  <c r="F477"/>
  <c r="G477"/>
  <c r="K477"/>
  <c r="F476"/>
  <c r="G476"/>
  <c r="K476"/>
  <c r="F475"/>
  <c r="G475"/>
  <c r="K475"/>
  <c r="F474"/>
  <c r="G474"/>
  <c r="K474"/>
  <c r="F473"/>
  <c r="G473"/>
  <c r="K473"/>
  <c r="F472"/>
  <c r="G472"/>
  <c r="K472"/>
  <c r="F471"/>
  <c r="G471"/>
  <c r="K471"/>
  <c r="F470"/>
  <c r="G470"/>
  <c r="K470"/>
  <c r="F469"/>
  <c r="G469"/>
  <c r="K469"/>
  <c r="F468"/>
  <c r="G468"/>
  <c r="K468"/>
  <c r="F467"/>
  <c r="G467"/>
  <c r="K467"/>
  <c r="F466"/>
  <c r="G466"/>
  <c r="K466"/>
  <c r="F465"/>
  <c r="G465"/>
  <c r="K465"/>
  <c r="F464"/>
  <c r="G464"/>
  <c r="K464"/>
  <c r="F463"/>
  <c r="G463"/>
  <c r="K463"/>
  <c r="F462"/>
  <c r="G462"/>
  <c r="K462"/>
  <c r="F461"/>
  <c r="G461"/>
  <c r="K461"/>
  <c r="F460"/>
  <c r="G460"/>
  <c r="K460"/>
  <c r="F459"/>
  <c r="G459"/>
  <c r="K459"/>
  <c r="F458"/>
  <c r="G458"/>
  <c r="K458"/>
  <c r="F457"/>
  <c r="G457"/>
  <c r="K457"/>
  <c r="F456"/>
  <c r="G456"/>
  <c r="K456"/>
  <c r="F455"/>
  <c r="G455"/>
  <c r="K455"/>
  <c r="F454"/>
  <c r="G454"/>
  <c r="K454"/>
  <c r="F453"/>
  <c r="G453"/>
  <c r="K453"/>
  <c r="F452"/>
  <c r="G452"/>
  <c r="K452"/>
  <c r="F451"/>
  <c r="G451"/>
  <c r="K451"/>
  <c r="F450"/>
  <c r="G450"/>
  <c r="K450"/>
  <c r="F449"/>
  <c r="G449"/>
  <c r="K449"/>
  <c r="F448"/>
  <c r="G448"/>
  <c r="K448"/>
  <c r="F447"/>
  <c r="G447"/>
  <c r="K447"/>
  <c r="F446"/>
  <c r="G446"/>
  <c r="K446"/>
  <c r="F445"/>
  <c r="G445"/>
  <c r="K445"/>
  <c r="F444"/>
  <c r="G444"/>
  <c r="K444"/>
  <c r="F443"/>
  <c r="G443"/>
  <c r="K443"/>
  <c r="F442"/>
  <c r="G442"/>
  <c r="K442"/>
  <c r="F441"/>
  <c r="G441"/>
  <c r="K441"/>
  <c r="F440"/>
  <c r="G440"/>
  <c r="K440"/>
  <c r="F439"/>
  <c r="G439"/>
  <c r="K439"/>
  <c r="F438"/>
  <c r="G438"/>
  <c r="K438"/>
  <c r="F437"/>
  <c r="G437"/>
  <c r="K437"/>
  <c r="F436"/>
  <c r="G436"/>
  <c r="K436"/>
  <c r="F435"/>
  <c r="G435"/>
  <c r="K435"/>
  <c r="F434"/>
  <c r="G434"/>
  <c r="K434"/>
  <c r="F433"/>
  <c r="G433"/>
  <c r="K433"/>
  <c r="F432"/>
  <c r="G432"/>
  <c r="K432"/>
  <c r="F431"/>
  <c r="G431"/>
  <c r="K431"/>
  <c r="F430"/>
  <c r="G430"/>
  <c r="K430"/>
  <c r="F429"/>
  <c r="G429"/>
  <c r="K429"/>
  <c r="F428"/>
  <c r="G428"/>
  <c r="K428"/>
  <c r="F427"/>
  <c r="G427"/>
  <c r="K427"/>
  <c r="F426"/>
  <c r="G426"/>
  <c r="K426"/>
  <c r="F425"/>
  <c r="G425"/>
  <c r="K425"/>
  <c r="F424"/>
  <c r="G424"/>
  <c r="K424"/>
  <c r="F423"/>
  <c r="G423"/>
  <c r="K423"/>
  <c r="F422"/>
  <c r="G422"/>
  <c r="K422"/>
  <c r="F421"/>
  <c r="G421"/>
  <c r="K421"/>
  <c r="F420"/>
  <c r="G420"/>
  <c r="K420"/>
  <c r="F419"/>
  <c r="G419"/>
  <c r="K419"/>
  <c r="F418"/>
  <c r="G418"/>
  <c r="K418"/>
  <c r="F417"/>
  <c r="G417"/>
  <c r="K417"/>
  <c r="F416"/>
  <c r="G416"/>
  <c r="K416"/>
  <c r="F415"/>
  <c r="G415"/>
  <c r="K415"/>
  <c r="F414"/>
  <c r="G414"/>
  <c r="K414"/>
  <c r="F413"/>
  <c r="G413"/>
  <c r="K413"/>
  <c r="F412"/>
  <c r="G412"/>
  <c r="K412"/>
  <c r="F411"/>
  <c r="G411"/>
  <c r="K411"/>
  <c r="F410"/>
  <c r="G410"/>
  <c r="K410"/>
  <c r="F409"/>
  <c r="G409"/>
  <c r="K409"/>
  <c r="F408"/>
  <c r="G408"/>
  <c r="K408"/>
  <c r="F407"/>
  <c r="G407"/>
  <c r="K407"/>
  <c r="F406"/>
  <c r="G406"/>
  <c r="K406"/>
  <c r="F405"/>
  <c r="G405"/>
  <c r="K405"/>
  <c r="F404"/>
  <c r="G404"/>
  <c r="K404"/>
  <c r="F403"/>
  <c r="G403"/>
  <c r="K403"/>
  <c r="F402"/>
  <c r="G402"/>
  <c r="K402"/>
  <c r="F401"/>
  <c r="G401"/>
  <c r="K401"/>
  <c r="F400"/>
  <c r="G400"/>
  <c r="K400"/>
  <c r="F399"/>
  <c r="G399"/>
  <c r="K399"/>
  <c r="F398"/>
  <c r="G398"/>
  <c r="K398"/>
  <c r="F397"/>
  <c r="G397"/>
  <c r="K397"/>
  <c r="F396"/>
  <c r="G396"/>
  <c r="K396"/>
  <c r="F395"/>
  <c r="G395"/>
  <c r="K395"/>
  <c r="F394"/>
  <c r="G394"/>
  <c r="K394"/>
  <c r="F393"/>
  <c r="G393"/>
  <c r="K393"/>
  <c r="F392"/>
  <c r="G392"/>
  <c r="K392"/>
  <c r="F391"/>
  <c r="G391"/>
  <c r="K391"/>
  <c r="F390"/>
  <c r="G390"/>
  <c r="K390"/>
  <c r="F389"/>
  <c r="G389"/>
  <c r="K389"/>
  <c r="F388"/>
  <c r="G388"/>
  <c r="K388"/>
  <c r="F387"/>
  <c r="G387"/>
  <c r="K387"/>
  <c r="F386"/>
  <c r="G386"/>
  <c r="K386"/>
  <c r="F59"/>
  <c r="G59"/>
  <c r="K59"/>
  <c r="F58"/>
  <c r="G58"/>
  <c r="K58"/>
  <c r="F57"/>
  <c r="G57"/>
  <c r="K57"/>
  <c r="F56"/>
  <c r="G56"/>
  <c r="K56"/>
  <c r="F55"/>
  <c r="G55"/>
  <c r="K55"/>
  <c r="F54"/>
  <c r="G54"/>
  <c r="K54"/>
  <c r="F53"/>
  <c r="G53"/>
  <c r="K53"/>
  <c r="F52"/>
  <c r="G52"/>
  <c r="K52"/>
  <c r="F51"/>
  <c r="G51"/>
  <c r="K51"/>
  <c r="F50"/>
  <c r="G50"/>
  <c r="K50"/>
  <c r="F49"/>
  <c r="G49"/>
  <c r="K49"/>
  <c r="F48"/>
  <c r="G48"/>
  <c r="K48"/>
  <c r="F47"/>
  <c r="G47"/>
  <c r="K47"/>
  <c r="F46"/>
  <c r="G46"/>
  <c r="K46"/>
  <c r="F45"/>
  <c r="G45"/>
  <c r="K45"/>
  <c r="F44"/>
  <c r="G44"/>
  <c r="K44"/>
  <c r="F43"/>
  <c r="G43"/>
  <c r="K43"/>
  <c r="F42"/>
  <c r="G42"/>
  <c r="K42"/>
  <c r="F41"/>
  <c r="G41"/>
  <c r="K41"/>
  <c r="F40"/>
  <c r="F39"/>
  <c r="G39"/>
  <c r="K39"/>
  <c r="F38"/>
  <c r="G38"/>
  <c r="K38"/>
  <c r="F37"/>
  <c r="G37"/>
  <c r="K37"/>
  <c r="F36"/>
  <c r="G36"/>
  <c r="K36"/>
  <c r="F35"/>
  <c r="G35"/>
  <c r="K35"/>
  <c r="F34"/>
  <c r="G34"/>
  <c r="K34"/>
  <c r="F33"/>
  <c r="G33"/>
  <c r="K33"/>
  <c r="F32"/>
  <c r="G32"/>
  <c r="K32"/>
  <c r="F31"/>
  <c r="G31"/>
  <c r="K31"/>
  <c r="F30"/>
  <c r="G30"/>
  <c r="K30"/>
  <c r="F29"/>
  <c r="G29"/>
  <c r="K29"/>
  <c r="F28"/>
  <c r="G28"/>
  <c r="K28"/>
  <c r="F27"/>
  <c r="G27"/>
  <c r="K27"/>
  <c r="F26"/>
  <c r="G26"/>
  <c r="K26"/>
  <c r="F25"/>
  <c r="G25"/>
  <c r="K25"/>
  <c r="F24"/>
  <c r="G24"/>
  <c r="K24"/>
  <c r="F23"/>
  <c r="G23"/>
  <c r="K23"/>
  <c r="F22"/>
  <c r="G22"/>
  <c r="K22"/>
  <c r="F21"/>
  <c r="G21"/>
  <c r="K21"/>
  <c r="F20"/>
  <c r="G20"/>
  <c r="K20"/>
  <c r="F19"/>
  <c r="G19"/>
  <c r="K19"/>
  <c r="F18"/>
  <c r="G18"/>
  <c r="K18"/>
  <c r="F17"/>
  <c r="G17"/>
  <c r="K17"/>
  <c r="F16"/>
  <c r="G16"/>
  <c r="K16"/>
  <c r="F15"/>
  <c r="G15"/>
  <c r="K15"/>
  <c r="F14"/>
  <c r="G14"/>
  <c r="K14"/>
  <c r="F13"/>
  <c r="G13"/>
  <c r="K13"/>
  <c r="F12"/>
  <c r="G12"/>
  <c r="K12"/>
  <c r="F11"/>
  <c r="G11"/>
  <c r="K11"/>
  <c r="F10"/>
  <c r="G10"/>
  <c r="K10"/>
  <c r="F9"/>
  <c r="G9"/>
  <c r="K9"/>
  <c r="F8"/>
  <c r="G8"/>
  <c r="K8"/>
  <c r="F7"/>
  <c r="G7"/>
  <c r="K7"/>
  <c r="F6"/>
  <c r="G6"/>
  <c r="K6"/>
  <c r="G909" i="8"/>
  <c r="K909" s="1"/>
  <c r="F792" i="13"/>
  <c r="G792" s="1"/>
  <c r="I792" s="1"/>
  <c r="F793"/>
  <c r="G793" s="1"/>
  <c r="I793" s="1"/>
  <c r="M741" i="3"/>
  <c r="N741" s="1"/>
  <c r="I538"/>
  <c r="J538"/>
  <c r="K538"/>
  <c r="M538"/>
  <c r="N538" s="1"/>
  <c r="I539"/>
  <c r="J539"/>
  <c r="K539"/>
  <c r="M539"/>
  <c r="N539" s="1"/>
  <c r="I540"/>
  <c r="J540"/>
  <c r="K540"/>
  <c r="M540"/>
  <c r="N540" s="1"/>
  <c r="I541"/>
  <c r="J541"/>
  <c r="K541"/>
  <c r="M541"/>
  <c r="N541" s="1"/>
  <c r="I542"/>
  <c r="J542"/>
  <c r="K542"/>
  <c r="M542"/>
  <c r="N542" s="1"/>
  <c r="I543"/>
  <c r="J543"/>
  <c r="K543"/>
  <c r="M543"/>
  <c r="N543" s="1"/>
  <c r="I544"/>
  <c r="J544"/>
  <c r="K544"/>
  <c r="M544"/>
  <c r="N544" s="1"/>
  <c r="I545"/>
  <c r="J545"/>
  <c r="K545"/>
  <c r="M545"/>
  <c r="N545" s="1"/>
  <c r="I546"/>
  <c r="J546"/>
  <c r="K546"/>
  <c r="M546"/>
  <c r="N546" s="1"/>
  <c r="I547"/>
  <c r="J547"/>
  <c r="K547"/>
  <c r="M547"/>
  <c r="N547" s="1"/>
  <c r="I548"/>
  <c r="J548"/>
  <c r="K548"/>
  <c r="M548"/>
  <c r="N548" s="1"/>
  <c r="I549"/>
  <c r="J549"/>
  <c r="K549"/>
  <c r="M549"/>
  <c r="N549" s="1"/>
  <c r="I550"/>
  <c r="J550"/>
  <c r="K550"/>
  <c r="M550"/>
  <c r="N550" s="1"/>
  <c r="I551"/>
  <c r="J551"/>
  <c r="K551"/>
  <c r="M551"/>
  <c r="N551" s="1"/>
  <c r="I552"/>
  <c r="J552"/>
  <c r="K552"/>
  <c r="M552"/>
  <c r="N552" s="1"/>
  <c r="I553"/>
  <c r="J553"/>
  <c r="K553"/>
  <c r="M553"/>
  <c r="N553" s="1"/>
  <c r="I554"/>
  <c r="J554"/>
  <c r="K554"/>
  <c r="M554"/>
  <c r="N554" s="1"/>
  <c r="I555"/>
  <c r="J555"/>
  <c r="K555"/>
  <c r="M555"/>
  <c r="N555" s="1"/>
  <c r="I556"/>
  <c r="J556"/>
  <c r="K556"/>
  <c r="M556"/>
  <c r="N556" s="1"/>
  <c r="I557"/>
  <c r="J557"/>
  <c r="K557"/>
  <c r="M557"/>
  <c r="N557" s="1"/>
  <c r="I558"/>
  <c r="J558"/>
  <c r="K558"/>
  <c r="M558"/>
  <c r="N558" s="1"/>
  <c r="I559"/>
  <c r="J559"/>
  <c r="K559"/>
  <c r="M559"/>
  <c r="N559" s="1"/>
  <c r="I560"/>
  <c r="J560"/>
  <c r="K560"/>
  <c r="M560"/>
  <c r="N560" s="1"/>
  <c r="I561"/>
  <c r="J561"/>
  <c r="K561"/>
  <c r="M561"/>
  <c r="N561" s="1"/>
  <c r="I562"/>
  <c r="J562"/>
  <c r="K562"/>
  <c r="M562"/>
  <c r="N562" s="1"/>
  <c r="I563"/>
  <c r="J563"/>
  <c r="K563"/>
  <c r="M563"/>
  <c r="N563" s="1"/>
  <c r="I564"/>
  <c r="J564"/>
  <c r="K564"/>
  <c r="M564"/>
  <c r="N564" s="1"/>
  <c r="I565"/>
  <c r="J565"/>
  <c r="K565"/>
  <c r="M565"/>
  <c r="N565" s="1"/>
  <c r="I566"/>
  <c r="J566"/>
  <c r="K566"/>
  <c r="M566"/>
  <c r="N566" s="1"/>
  <c r="I567"/>
  <c r="J567"/>
  <c r="K567"/>
  <c r="M567"/>
  <c r="N567" s="1"/>
  <c r="I568"/>
  <c r="J568"/>
  <c r="K568"/>
  <c r="M568"/>
  <c r="N568" s="1"/>
  <c r="I569"/>
  <c r="J569"/>
  <c r="K569"/>
  <c r="M569"/>
  <c r="N569" s="1"/>
  <c r="I570"/>
  <c r="J570"/>
  <c r="K570"/>
  <c r="M570"/>
  <c r="N570" s="1"/>
  <c r="I571"/>
  <c r="J571"/>
  <c r="K571"/>
  <c r="M571"/>
  <c r="N571" s="1"/>
  <c r="I572"/>
  <c r="J572"/>
  <c r="K572"/>
  <c r="M572"/>
  <c r="N572" s="1"/>
  <c r="I573"/>
  <c r="J573"/>
  <c r="K573"/>
  <c r="M573"/>
  <c r="N573" s="1"/>
  <c r="I574"/>
  <c r="J574"/>
  <c r="K574"/>
  <c r="M574"/>
  <c r="N574" s="1"/>
  <c r="I575"/>
  <c r="J575"/>
  <c r="K575"/>
  <c r="M575"/>
  <c r="N575" s="1"/>
  <c r="I576"/>
  <c r="J576"/>
  <c r="K576"/>
  <c r="M576"/>
  <c r="N576" s="1"/>
  <c r="I577"/>
  <c r="J577"/>
  <c r="K577"/>
  <c r="M577"/>
  <c r="N577" s="1"/>
  <c r="I578"/>
  <c r="J578"/>
  <c r="K578"/>
  <c r="M578"/>
  <c r="N578" s="1"/>
  <c r="I579"/>
  <c r="J579"/>
  <c r="K579"/>
  <c r="M579"/>
  <c r="N579" s="1"/>
  <c r="I580"/>
  <c r="J580"/>
  <c r="K580"/>
  <c r="M580"/>
  <c r="N580" s="1"/>
  <c r="I581"/>
  <c r="J581"/>
  <c r="K581"/>
  <c r="M581"/>
  <c r="N581" s="1"/>
  <c r="I582"/>
  <c r="J582"/>
  <c r="K582"/>
  <c r="M582"/>
  <c r="N582" s="1"/>
  <c r="I583"/>
  <c r="J583"/>
  <c r="K583"/>
  <c r="M583"/>
  <c r="N583" s="1"/>
  <c r="I584"/>
  <c r="J584"/>
  <c r="K584"/>
  <c r="M584"/>
  <c r="N584" s="1"/>
  <c r="I585"/>
  <c r="J585"/>
  <c r="K585"/>
  <c r="M585"/>
  <c r="N585" s="1"/>
  <c r="I586"/>
  <c r="J586"/>
  <c r="K586"/>
  <c r="M586"/>
  <c r="N586" s="1"/>
  <c r="I587"/>
  <c r="J587"/>
  <c r="K587"/>
  <c r="M587"/>
  <c r="N587" s="1"/>
  <c r="I588"/>
  <c r="J588"/>
  <c r="K588"/>
  <c r="M588"/>
  <c r="N588" s="1"/>
  <c r="I589"/>
  <c r="J589"/>
  <c r="K589"/>
  <c r="M589"/>
  <c r="N589" s="1"/>
  <c r="I590"/>
  <c r="J590"/>
  <c r="K590"/>
  <c r="M590"/>
  <c r="N590" s="1"/>
  <c r="I591"/>
  <c r="J591"/>
  <c r="K591"/>
  <c r="M591"/>
  <c r="N591" s="1"/>
  <c r="I592"/>
  <c r="J592"/>
  <c r="K592"/>
  <c r="M592"/>
  <c r="N592" s="1"/>
  <c r="I593"/>
  <c r="J593"/>
  <c r="K593"/>
  <c r="M593"/>
  <c r="N593" s="1"/>
  <c r="I594"/>
  <c r="J594"/>
  <c r="K594"/>
  <c r="M594"/>
  <c r="N594" s="1"/>
  <c r="I595"/>
  <c r="J595"/>
  <c r="K595"/>
  <c r="M595"/>
  <c r="N595" s="1"/>
  <c r="I596"/>
  <c r="J596"/>
  <c r="K596"/>
  <c r="M596"/>
  <c r="N596" s="1"/>
  <c r="I597"/>
  <c r="J597"/>
  <c r="K597"/>
  <c r="M597"/>
  <c r="N597" s="1"/>
  <c r="I598"/>
  <c r="J598"/>
  <c r="K598"/>
  <c r="M598"/>
  <c r="N598" s="1"/>
  <c r="I599"/>
  <c r="J599"/>
  <c r="K599"/>
  <c r="M599"/>
  <c r="N599" s="1"/>
  <c r="I600"/>
  <c r="J600"/>
  <c r="K600"/>
  <c r="M600"/>
  <c r="N600" s="1"/>
  <c r="I601"/>
  <c r="J601"/>
  <c r="K601"/>
  <c r="M601"/>
  <c r="N601" s="1"/>
  <c r="I602"/>
  <c r="J602"/>
  <c r="K602"/>
  <c r="M602"/>
  <c r="N602" s="1"/>
  <c r="I603"/>
  <c r="J603"/>
  <c r="K603"/>
  <c r="M603"/>
  <c r="N603" s="1"/>
  <c r="I604"/>
  <c r="J604"/>
  <c r="K604"/>
  <c r="M604"/>
  <c r="N604" s="1"/>
  <c r="I605"/>
  <c r="J605"/>
  <c r="K605"/>
  <c r="M605"/>
  <c r="N605" s="1"/>
  <c r="I606"/>
  <c r="J606"/>
  <c r="K606"/>
  <c r="M606"/>
  <c r="N606" s="1"/>
  <c r="I607"/>
  <c r="J607"/>
  <c r="K607"/>
  <c r="M607"/>
  <c r="N607" s="1"/>
  <c r="I608"/>
  <c r="J608"/>
  <c r="K608"/>
  <c r="M608"/>
  <c r="N608" s="1"/>
  <c r="I609"/>
  <c r="J609"/>
  <c r="K609"/>
  <c r="M609"/>
  <c r="N609" s="1"/>
  <c r="I610"/>
  <c r="J610"/>
  <c r="K610"/>
  <c r="M610"/>
  <c r="N610" s="1"/>
  <c r="I611"/>
  <c r="J611"/>
  <c r="K611"/>
  <c r="M611"/>
  <c r="N611" s="1"/>
  <c r="I612"/>
  <c r="J612"/>
  <c r="K612"/>
  <c r="M612"/>
  <c r="N612" s="1"/>
  <c r="I613"/>
  <c r="J613"/>
  <c r="K613"/>
  <c r="M613"/>
  <c r="N613" s="1"/>
  <c r="I614"/>
  <c r="J614"/>
  <c r="K614"/>
  <c r="M614"/>
  <c r="N614" s="1"/>
  <c r="I615"/>
  <c r="J615"/>
  <c r="K615"/>
  <c r="M615"/>
  <c r="N615" s="1"/>
  <c r="I616"/>
  <c r="J616"/>
  <c r="K616"/>
  <c r="M616"/>
  <c r="N616" s="1"/>
  <c r="I617"/>
  <c r="J617"/>
  <c r="K617"/>
  <c r="M617"/>
  <c r="N617" s="1"/>
  <c r="I618"/>
  <c r="J618"/>
  <c r="K618"/>
  <c r="M618"/>
  <c r="N618" s="1"/>
  <c r="I619"/>
  <c r="J619"/>
  <c r="K619"/>
  <c r="M619"/>
  <c r="N619" s="1"/>
  <c r="I620"/>
  <c r="J620"/>
  <c r="K620"/>
  <c r="M620"/>
  <c r="N620" s="1"/>
  <c r="I621"/>
  <c r="J621"/>
  <c r="K621"/>
  <c r="M621"/>
  <c r="N621" s="1"/>
  <c r="I622"/>
  <c r="J622"/>
  <c r="K622"/>
  <c r="M622"/>
  <c r="N622" s="1"/>
  <c r="I623"/>
  <c r="J623"/>
  <c r="K623"/>
  <c r="M623"/>
  <c r="N623" s="1"/>
  <c r="I624"/>
  <c r="J624"/>
  <c r="K624"/>
  <c r="M624"/>
  <c r="N624" s="1"/>
  <c r="I625"/>
  <c r="J625"/>
  <c r="K625"/>
  <c r="M625"/>
  <c r="N625" s="1"/>
  <c r="I626"/>
  <c r="J626"/>
  <c r="K626"/>
  <c r="M626"/>
  <c r="N626" s="1"/>
  <c r="I627"/>
  <c r="J627"/>
  <c r="K627"/>
  <c r="M627"/>
  <c r="N627" s="1"/>
  <c r="I628"/>
  <c r="J628"/>
  <c r="K628"/>
  <c r="M628"/>
  <c r="N628" s="1"/>
  <c r="I629"/>
  <c r="J629"/>
  <c r="K629"/>
  <c r="M629"/>
  <c r="N629" s="1"/>
  <c r="I630"/>
  <c r="J630"/>
  <c r="K630"/>
  <c r="M630"/>
  <c r="N630" s="1"/>
  <c r="I631"/>
  <c r="J631"/>
  <c r="K631"/>
  <c r="M631"/>
  <c r="N631" s="1"/>
  <c r="I632"/>
  <c r="J632"/>
  <c r="K632"/>
  <c r="M632"/>
  <c r="N632" s="1"/>
  <c r="I633"/>
  <c r="J633"/>
  <c r="K633"/>
  <c r="M633"/>
  <c r="N633" s="1"/>
  <c r="I634"/>
  <c r="J634"/>
  <c r="K634"/>
  <c r="M634"/>
  <c r="N634" s="1"/>
  <c r="I635"/>
  <c r="J635"/>
  <c r="K635"/>
  <c r="M635"/>
  <c r="N635" s="1"/>
  <c r="I636"/>
  <c r="J636"/>
  <c r="K636"/>
  <c r="M636"/>
  <c r="N636" s="1"/>
  <c r="I637"/>
  <c r="J637"/>
  <c r="K637"/>
  <c r="M637"/>
  <c r="N637" s="1"/>
  <c r="I638"/>
  <c r="J638"/>
  <c r="K638"/>
  <c r="M638"/>
  <c r="N638" s="1"/>
  <c r="I639"/>
  <c r="J639"/>
  <c r="K639"/>
  <c r="M639"/>
  <c r="N639" s="1"/>
  <c r="I640"/>
  <c r="J640"/>
  <c r="K640"/>
  <c r="M640"/>
  <c r="N640" s="1"/>
  <c r="I641"/>
  <c r="J641"/>
  <c r="K641"/>
  <c r="M641"/>
  <c r="N641" s="1"/>
  <c r="I642"/>
  <c r="J642"/>
  <c r="K642"/>
  <c r="M642"/>
  <c r="N642" s="1"/>
  <c r="I643"/>
  <c r="J643"/>
  <c r="K643"/>
  <c r="M643"/>
  <c r="N643" s="1"/>
  <c r="I644"/>
  <c r="J644"/>
  <c r="K644"/>
  <c r="M644"/>
  <c r="N644" s="1"/>
  <c r="I645"/>
  <c r="J645"/>
  <c r="K645"/>
  <c r="M645"/>
  <c r="N645" s="1"/>
  <c r="I646"/>
  <c r="J646"/>
  <c r="K646"/>
  <c r="M646"/>
  <c r="N646" s="1"/>
  <c r="I647"/>
  <c r="J647"/>
  <c r="K647"/>
  <c r="M647"/>
  <c r="N647" s="1"/>
  <c r="I648"/>
  <c r="J648"/>
  <c r="K648"/>
  <c r="M648"/>
  <c r="N648" s="1"/>
  <c r="I649"/>
  <c r="J649"/>
  <c r="K649"/>
  <c r="M649"/>
  <c r="N649" s="1"/>
  <c r="I650"/>
  <c r="J650"/>
  <c r="K650"/>
  <c r="M650"/>
  <c r="N650" s="1"/>
  <c r="I651"/>
  <c r="J651"/>
  <c r="K651"/>
  <c r="M651"/>
  <c r="N651" s="1"/>
  <c r="I652"/>
  <c r="J652"/>
  <c r="K652"/>
  <c r="M652"/>
  <c r="N652" s="1"/>
  <c r="I653"/>
  <c r="J653"/>
  <c r="K653"/>
  <c r="M653"/>
  <c r="N653" s="1"/>
  <c r="I654"/>
  <c r="J654"/>
  <c r="K654"/>
  <c r="M654"/>
  <c r="N654" s="1"/>
  <c r="I655"/>
  <c r="J655"/>
  <c r="K655"/>
  <c r="M655"/>
  <c r="N655" s="1"/>
  <c r="I656"/>
  <c r="J656"/>
  <c r="K656"/>
  <c r="M656"/>
  <c r="N656" s="1"/>
  <c r="I657"/>
  <c r="J657"/>
  <c r="K657"/>
  <c r="M657"/>
  <c r="N657" s="1"/>
  <c r="I658"/>
  <c r="J658"/>
  <c r="K658"/>
  <c r="M658"/>
  <c r="N658" s="1"/>
  <c r="I659"/>
  <c r="J659"/>
  <c r="K659"/>
  <c r="M659"/>
  <c r="N659" s="1"/>
  <c r="I660"/>
  <c r="J660"/>
  <c r="K660"/>
  <c r="M660"/>
  <c r="N660" s="1"/>
  <c r="I661"/>
  <c r="J661"/>
  <c r="K661"/>
  <c r="M661"/>
  <c r="N661" s="1"/>
  <c r="I662"/>
  <c r="J662"/>
  <c r="K662"/>
  <c r="M662"/>
  <c r="N662" s="1"/>
  <c r="I663"/>
  <c r="J663"/>
  <c r="K663"/>
  <c r="M663"/>
  <c r="N663" s="1"/>
  <c r="I664"/>
  <c r="J664"/>
  <c r="K664"/>
  <c r="M664"/>
  <c r="N664" s="1"/>
  <c r="I665"/>
  <c r="J665"/>
  <c r="K665"/>
  <c r="M665"/>
  <c r="N665" s="1"/>
  <c r="I666"/>
  <c r="J666"/>
  <c r="K666"/>
  <c r="M666"/>
  <c r="N666" s="1"/>
  <c r="I667"/>
  <c r="J667"/>
  <c r="K667"/>
  <c r="M667"/>
  <c r="N667" s="1"/>
  <c r="I668"/>
  <c r="J668"/>
  <c r="K668"/>
  <c r="M668"/>
  <c r="N668" s="1"/>
  <c r="I669"/>
  <c r="J669"/>
  <c r="K669"/>
  <c r="M669"/>
  <c r="N669" s="1"/>
  <c r="I670"/>
  <c r="J670"/>
  <c r="K670"/>
  <c r="M670"/>
  <c r="N670" s="1"/>
  <c r="I671"/>
  <c r="J671"/>
  <c r="K671"/>
  <c r="M671"/>
  <c r="N671" s="1"/>
  <c r="I672"/>
  <c r="J672"/>
  <c r="K672"/>
  <c r="M672"/>
  <c r="N672" s="1"/>
  <c r="I673"/>
  <c r="J673"/>
  <c r="K673"/>
  <c r="M673"/>
  <c r="N673" s="1"/>
  <c r="I674"/>
  <c r="J674"/>
  <c r="K674"/>
  <c r="M674"/>
  <c r="N674" s="1"/>
  <c r="I675"/>
  <c r="J675"/>
  <c r="K675"/>
  <c r="M675"/>
  <c r="N675" s="1"/>
  <c r="I676"/>
  <c r="J676"/>
  <c r="K676"/>
  <c r="M676"/>
  <c r="N676" s="1"/>
  <c r="I677"/>
  <c r="J677"/>
  <c r="K677"/>
  <c r="M677"/>
  <c r="N677" s="1"/>
  <c r="I678"/>
  <c r="J678"/>
  <c r="K678"/>
  <c r="M678"/>
  <c r="N678" s="1"/>
  <c r="I679"/>
  <c r="J679"/>
  <c r="K679"/>
  <c r="M679"/>
  <c r="N679" s="1"/>
  <c r="I680"/>
  <c r="J680"/>
  <c r="K680"/>
  <c r="M680"/>
  <c r="N680" s="1"/>
  <c r="I681"/>
  <c r="J681"/>
  <c r="K681"/>
  <c r="M681"/>
  <c r="N681" s="1"/>
  <c r="I682"/>
  <c r="J682"/>
  <c r="K682"/>
  <c r="M682"/>
  <c r="N682" s="1"/>
  <c r="I683"/>
  <c r="J683"/>
  <c r="K683"/>
  <c r="M683"/>
  <c r="N683" s="1"/>
  <c r="I684"/>
  <c r="J684"/>
  <c r="K684"/>
  <c r="M684"/>
  <c r="N684" s="1"/>
  <c r="I685"/>
  <c r="J685"/>
  <c r="K685"/>
  <c r="M685"/>
  <c r="N685" s="1"/>
  <c r="I686"/>
  <c r="J686"/>
  <c r="K686"/>
  <c r="M686"/>
  <c r="N686" s="1"/>
  <c r="I687"/>
  <c r="J687"/>
  <c r="K687"/>
  <c r="M687"/>
  <c r="N687" s="1"/>
  <c r="I688"/>
  <c r="J688"/>
  <c r="K688"/>
  <c r="M688"/>
  <c r="N688" s="1"/>
  <c r="I689"/>
  <c r="J689"/>
  <c r="K689"/>
  <c r="M689"/>
  <c r="N689" s="1"/>
  <c r="I690"/>
  <c r="J690"/>
  <c r="K690"/>
  <c r="M690"/>
  <c r="N690" s="1"/>
  <c r="I691"/>
  <c r="J691"/>
  <c r="K691"/>
  <c r="M691"/>
  <c r="N691" s="1"/>
  <c r="I692"/>
  <c r="J692"/>
  <c r="K692"/>
  <c r="M692"/>
  <c r="N692" s="1"/>
  <c r="I693"/>
  <c r="J693"/>
  <c r="K693"/>
  <c r="M693"/>
  <c r="N693" s="1"/>
  <c r="I694"/>
  <c r="J694"/>
  <c r="K694"/>
  <c r="M694"/>
  <c r="N694" s="1"/>
  <c r="I695"/>
  <c r="J695"/>
  <c r="K695"/>
  <c r="M695"/>
  <c r="N695" s="1"/>
  <c r="I696"/>
  <c r="J696"/>
  <c r="K696"/>
  <c r="M696"/>
  <c r="N696" s="1"/>
  <c r="I697"/>
  <c r="J697"/>
  <c r="K697"/>
  <c r="M697"/>
  <c r="N697" s="1"/>
  <c r="I698"/>
  <c r="J698"/>
  <c r="K698"/>
  <c r="M698"/>
  <c r="N698" s="1"/>
  <c r="I699"/>
  <c r="J699"/>
  <c r="K699"/>
  <c r="M699"/>
  <c r="N699" s="1"/>
  <c r="I700"/>
  <c r="J700"/>
  <c r="K700"/>
  <c r="M700"/>
  <c r="N700" s="1"/>
  <c r="I701"/>
  <c r="J701"/>
  <c r="K701"/>
  <c r="M701"/>
  <c r="N701" s="1"/>
  <c r="I702"/>
  <c r="J702"/>
  <c r="K702"/>
  <c r="M702"/>
  <c r="N702" s="1"/>
  <c r="I703"/>
  <c r="J703"/>
  <c r="K703"/>
  <c r="M703"/>
  <c r="N703" s="1"/>
  <c r="I704"/>
  <c r="J704"/>
  <c r="K704"/>
  <c r="M704"/>
  <c r="N704" s="1"/>
  <c r="I705"/>
  <c r="J705"/>
  <c r="K705"/>
  <c r="M705"/>
  <c r="N705" s="1"/>
  <c r="I706"/>
  <c r="J706"/>
  <c r="K706"/>
  <c r="M706"/>
  <c r="N706" s="1"/>
  <c r="I707"/>
  <c r="J707"/>
  <c r="K707"/>
  <c r="M707"/>
  <c r="N707" s="1"/>
  <c r="I708"/>
  <c r="J708"/>
  <c r="K708"/>
  <c r="M708"/>
  <c r="N708" s="1"/>
  <c r="I709"/>
  <c r="J709"/>
  <c r="K709"/>
  <c r="M709"/>
  <c r="N709" s="1"/>
  <c r="I710"/>
  <c r="J710"/>
  <c r="K710"/>
  <c r="M710"/>
  <c r="N710" s="1"/>
  <c r="I711"/>
  <c r="J711"/>
  <c r="K711"/>
  <c r="M711"/>
  <c r="N711" s="1"/>
  <c r="I712"/>
  <c r="J712"/>
  <c r="K712"/>
  <c r="M712"/>
  <c r="N712" s="1"/>
  <c r="I713"/>
  <c r="J713"/>
  <c r="K713"/>
  <c r="M713"/>
  <c r="N713" s="1"/>
  <c r="I714"/>
  <c r="J714"/>
  <c r="K714"/>
  <c r="M714"/>
  <c r="N714" s="1"/>
  <c r="I715"/>
  <c r="J715"/>
  <c r="K715"/>
  <c r="M715"/>
  <c r="N715" s="1"/>
  <c r="I716"/>
  <c r="J716"/>
  <c r="K716"/>
  <c r="M716"/>
  <c r="N716" s="1"/>
  <c r="I717"/>
  <c r="J717"/>
  <c r="K717"/>
  <c r="M717"/>
  <c r="N717" s="1"/>
  <c r="I718"/>
  <c r="J718"/>
  <c r="K718"/>
  <c r="M718"/>
  <c r="N718" s="1"/>
  <c r="I719"/>
  <c r="J719"/>
  <c r="K719"/>
  <c r="M719"/>
  <c r="N719" s="1"/>
  <c r="I720"/>
  <c r="J720"/>
  <c r="K720"/>
  <c r="M720"/>
  <c r="N720" s="1"/>
  <c r="I721"/>
  <c r="J721"/>
  <c r="K721"/>
  <c r="M721"/>
  <c r="N721" s="1"/>
  <c r="I722"/>
  <c r="J722"/>
  <c r="K722"/>
  <c r="M722"/>
  <c r="N722" s="1"/>
  <c r="I723"/>
  <c r="J723"/>
  <c r="K723"/>
  <c r="M723"/>
  <c r="N723" s="1"/>
  <c r="I724"/>
  <c r="J724"/>
  <c r="K724"/>
  <c r="M724"/>
  <c r="N724" s="1"/>
  <c r="I725"/>
  <c r="J725"/>
  <c r="K725"/>
  <c r="M725"/>
  <c r="N725" s="1"/>
  <c r="I726"/>
  <c r="J726"/>
  <c r="K726"/>
  <c r="M726"/>
  <c r="N726" s="1"/>
  <c r="I727"/>
  <c r="J727"/>
  <c r="K727"/>
  <c r="M727"/>
  <c r="N727" s="1"/>
  <c r="I728"/>
  <c r="J728"/>
  <c r="K728"/>
  <c r="M728"/>
  <c r="N728" s="1"/>
  <c r="I729"/>
  <c r="J729"/>
  <c r="K729"/>
  <c r="M729"/>
  <c r="N729" s="1"/>
  <c r="I730"/>
  <c r="J730"/>
  <c r="K730"/>
  <c r="M730"/>
  <c r="N730" s="1"/>
  <c r="I731"/>
  <c r="J731"/>
  <c r="K731"/>
  <c r="M731"/>
  <c r="N731" s="1"/>
  <c r="I732"/>
  <c r="J732"/>
  <c r="K732"/>
  <c r="M732"/>
  <c r="N732" s="1"/>
  <c r="I733"/>
  <c r="J733"/>
  <c r="K733"/>
  <c r="M733"/>
  <c r="N733" s="1"/>
  <c r="I734"/>
  <c r="J734"/>
  <c r="K734"/>
  <c r="M734"/>
  <c r="N734" s="1"/>
  <c r="I735"/>
  <c r="J735"/>
  <c r="K735"/>
  <c r="M735"/>
  <c r="N735" s="1"/>
  <c r="I736"/>
  <c r="J736"/>
  <c r="K736"/>
  <c r="M736"/>
  <c r="N736" s="1"/>
  <c r="I737"/>
  <c r="J737"/>
  <c r="K737"/>
  <c r="M737"/>
  <c r="N737" s="1"/>
  <c r="I738"/>
  <c r="J738"/>
  <c r="K738"/>
  <c r="M738"/>
  <c r="N738" s="1"/>
  <c r="I739"/>
  <c r="J739"/>
  <c r="K739"/>
  <c r="M739"/>
  <c r="N739" s="1"/>
  <c r="I740"/>
  <c r="J740"/>
  <c r="K740"/>
  <c r="M740"/>
  <c r="N740" s="1"/>
  <c r="J741"/>
  <c r="K741"/>
  <c r="I742"/>
  <c r="J742"/>
  <c r="K742"/>
  <c r="M742"/>
  <c r="N742" s="1"/>
  <c r="I743"/>
  <c r="J743"/>
  <c r="K743"/>
  <c r="M743"/>
  <c r="N743" s="1"/>
  <c r="I744"/>
  <c r="J744"/>
  <c r="K744"/>
  <c r="M744"/>
  <c r="N744" s="1"/>
  <c r="L747"/>
  <c r="C747"/>
  <c r="I537"/>
  <c r="J537"/>
  <c r="K537"/>
  <c r="M537"/>
  <c r="N537" s="1"/>
  <c r="J665" i="17"/>
  <c r="K665" s="1"/>
  <c r="H386" i="6"/>
  <c r="I386"/>
  <c r="J386" i="12"/>
  <c r="J386" i="17"/>
  <c r="K386"/>
  <c r="O386" s="1"/>
  <c r="L386"/>
  <c r="M386"/>
  <c r="F386" i="13"/>
  <c r="G386" s="1"/>
  <c r="I386" s="1"/>
  <c r="I386" i="3"/>
  <c r="J386"/>
  <c r="K386"/>
  <c r="M386"/>
  <c r="N386" s="1"/>
  <c r="F386"/>
  <c r="H387" i="6"/>
  <c r="I387"/>
  <c r="J387" i="12"/>
  <c r="K387" s="1"/>
  <c r="J387" i="17"/>
  <c r="K387"/>
  <c r="O387" s="1"/>
  <c r="L387"/>
  <c r="M387"/>
  <c r="F387" i="13"/>
  <c r="G387" s="1"/>
  <c r="I387" s="1"/>
  <c r="I387" i="3"/>
  <c r="J387"/>
  <c r="K387"/>
  <c r="M387"/>
  <c r="N387" s="1"/>
  <c r="F387"/>
  <c r="H388" i="6"/>
  <c r="I388"/>
  <c r="J388" i="12"/>
  <c r="K388" s="1"/>
  <c r="J388" i="17"/>
  <c r="K388"/>
  <c r="O388" s="1"/>
  <c r="L388"/>
  <c r="M388"/>
  <c r="F388" i="13"/>
  <c r="G388" s="1"/>
  <c r="I388" s="1"/>
  <c r="I388" i="3"/>
  <c r="J388"/>
  <c r="K388"/>
  <c r="M388"/>
  <c r="N388" s="1"/>
  <c r="F388"/>
  <c r="H389" i="6"/>
  <c r="I389"/>
  <c r="J389" i="12"/>
  <c r="K389" s="1"/>
  <c r="J389" i="17"/>
  <c r="K389"/>
  <c r="O389" s="1"/>
  <c r="L389"/>
  <c r="M389"/>
  <c r="F389" i="13"/>
  <c r="G389" s="1"/>
  <c r="I389" s="1"/>
  <c r="I389" i="3"/>
  <c r="J389"/>
  <c r="K389"/>
  <c r="M389"/>
  <c r="N389" s="1"/>
  <c r="F389"/>
  <c r="H390" i="6"/>
  <c r="I390"/>
  <c r="J390" i="12"/>
  <c r="K390" s="1"/>
  <c r="J390" i="17"/>
  <c r="K390"/>
  <c r="O390" s="1"/>
  <c r="L390"/>
  <c r="M390"/>
  <c r="F390" i="13"/>
  <c r="G390" s="1"/>
  <c r="I390" s="1"/>
  <c r="I390" i="3"/>
  <c r="J390"/>
  <c r="K390"/>
  <c r="M390"/>
  <c r="N390" s="1"/>
  <c r="F390"/>
  <c r="H391" i="6"/>
  <c r="I391"/>
  <c r="J391" i="12"/>
  <c r="K391" s="1"/>
  <c r="J391" i="17"/>
  <c r="K391"/>
  <c r="O391" s="1"/>
  <c r="L391"/>
  <c r="M391"/>
  <c r="F391" i="13"/>
  <c r="G391" s="1"/>
  <c r="I391" s="1"/>
  <c r="I391" i="3"/>
  <c r="J391"/>
  <c r="K391"/>
  <c r="M391"/>
  <c r="N391" s="1"/>
  <c r="F391"/>
  <c r="H392" i="6"/>
  <c r="I392"/>
  <c r="J392" i="12"/>
  <c r="K392" s="1"/>
  <c r="J392" i="17"/>
  <c r="K392"/>
  <c r="O392" s="1"/>
  <c r="L392"/>
  <c r="M392"/>
  <c r="F392" i="13"/>
  <c r="G392" s="1"/>
  <c r="I392" s="1"/>
  <c r="I392" i="3"/>
  <c r="J392"/>
  <c r="K392"/>
  <c r="M392"/>
  <c r="N392" s="1"/>
  <c r="F392"/>
  <c r="H393" i="6"/>
  <c r="I393"/>
  <c r="J393" i="12"/>
  <c r="K393" s="1"/>
  <c r="J393" i="17"/>
  <c r="K393"/>
  <c r="O393" s="1"/>
  <c r="L393"/>
  <c r="M393"/>
  <c r="F393" i="13"/>
  <c r="G393" s="1"/>
  <c r="I393" s="1"/>
  <c r="I393" i="3"/>
  <c r="J393"/>
  <c r="K393"/>
  <c r="M393"/>
  <c r="N393" s="1"/>
  <c r="F393"/>
  <c r="H394" i="6"/>
  <c r="I394"/>
  <c r="J394" i="12"/>
  <c r="K394" s="1"/>
  <c r="J394" i="17"/>
  <c r="K394"/>
  <c r="O394" s="1"/>
  <c r="L394"/>
  <c r="M394"/>
  <c r="F394" i="13"/>
  <c r="G394" s="1"/>
  <c r="I394" s="1"/>
  <c r="I394" i="3"/>
  <c r="J394"/>
  <c r="K394"/>
  <c r="M394"/>
  <c r="N394" s="1"/>
  <c r="F394"/>
  <c r="H395" i="6"/>
  <c r="I395"/>
  <c r="J395" i="12"/>
  <c r="K395" s="1"/>
  <c r="J395" i="17"/>
  <c r="K395"/>
  <c r="O395" s="1"/>
  <c r="L395"/>
  <c r="M395"/>
  <c r="F395" i="13"/>
  <c r="G395" s="1"/>
  <c r="I395" s="1"/>
  <c r="I395" i="3"/>
  <c r="J395"/>
  <c r="K395"/>
  <c r="M395"/>
  <c r="N395" s="1"/>
  <c r="F395"/>
  <c r="H396" i="6"/>
  <c r="I396"/>
  <c r="J396" i="12"/>
  <c r="K396" s="1"/>
  <c r="J396" i="17"/>
  <c r="K396"/>
  <c r="O396" s="1"/>
  <c r="L396"/>
  <c r="M396"/>
  <c r="F396" i="13"/>
  <c r="G396" s="1"/>
  <c r="I396" s="1"/>
  <c r="I396" i="3"/>
  <c r="J396"/>
  <c r="K396"/>
  <c r="M396"/>
  <c r="N396" s="1"/>
  <c r="F396"/>
  <c r="H397" i="6"/>
  <c r="I397"/>
  <c r="J397" i="12"/>
  <c r="K397" s="1"/>
  <c r="J397" i="17"/>
  <c r="K397"/>
  <c r="O397" s="1"/>
  <c r="L397"/>
  <c r="M397"/>
  <c r="F397" i="13"/>
  <c r="G397" s="1"/>
  <c r="I397" s="1"/>
  <c r="I397" i="3"/>
  <c r="J397"/>
  <c r="K397"/>
  <c r="M397"/>
  <c r="N397" s="1"/>
  <c r="F397"/>
  <c r="H398" i="6"/>
  <c r="I398"/>
  <c r="J398" i="12"/>
  <c r="K398" s="1"/>
  <c r="J398" i="17"/>
  <c r="K398"/>
  <c r="O398" s="1"/>
  <c r="L398"/>
  <c r="M398"/>
  <c r="F398" i="13"/>
  <c r="G398" s="1"/>
  <c r="I398" s="1"/>
  <c r="I398" i="3"/>
  <c r="J398"/>
  <c r="K398"/>
  <c r="M398"/>
  <c r="N398" s="1"/>
  <c r="F398"/>
  <c r="H399" i="6"/>
  <c r="I399"/>
  <c r="J399" i="12"/>
  <c r="K399" s="1"/>
  <c r="J399" i="17"/>
  <c r="K399"/>
  <c r="O399" s="1"/>
  <c r="L399"/>
  <c r="M399"/>
  <c r="F399" i="13"/>
  <c r="G399" s="1"/>
  <c r="I399" s="1"/>
  <c r="I399" i="3"/>
  <c r="J399"/>
  <c r="K399"/>
  <c r="M399"/>
  <c r="N399" s="1"/>
  <c r="F399"/>
  <c r="H400" i="6"/>
  <c r="I400"/>
  <c r="J400" i="12"/>
  <c r="K400" s="1"/>
  <c r="J400" i="17"/>
  <c r="K400"/>
  <c r="O400" s="1"/>
  <c r="L400"/>
  <c r="M400"/>
  <c r="F400" i="13"/>
  <c r="G400" s="1"/>
  <c r="I400" s="1"/>
  <c r="I400" i="3"/>
  <c r="J400"/>
  <c r="K400"/>
  <c r="M400"/>
  <c r="N400" s="1"/>
  <c r="F400"/>
  <c r="H401" i="6"/>
  <c r="I401"/>
  <c r="J401" i="12"/>
  <c r="K401" s="1"/>
  <c r="J401" i="17"/>
  <c r="K401"/>
  <c r="O401" s="1"/>
  <c r="L401"/>
  <c r="M401"/>
  <c r="F401" i="13"/>
  <c r="G401" s="1"/>
  <c r="I401" s="1"/>
  <c r="I401" i="3"/>
  <c r="J401"/>
  <c r="K401"/>
  <c r="M401"/>
  <c r="N401" s="1"/>
  <c r="F401"/>
  <c r="H402" i="6"/>
  <c r="I402"/>
  <c r="J402" i="12"/>
  <c r="K402" s="1"/>
  <c r="J402" i="17"/>
  <c r="K402"/>
  <c r="O402" s="1"/>
  <c r="L402"/>
  <c r="M402"/>
  <c r="F402" i="13"/>
  <c r="G402" s="1"/>
  <c r="I402" s="1"/>
  <c r="I402" i="3"/>
  <c r="J402"/>
  <c r="K402"/>
  <c r="M402"/>
  <c r="N402" s="1"/>
  <c r="F402"/>
  <c r="H403" i="6"/>
  <c r="I403"/>
  <c r="J403" i="12"/>
  <c r="K403" s="1"/>
  <c r="J403" i="17"/>
  <c r="K403"/>
  <c r="O403" s="1"/>
  <c r="L403"/>
  <c r="M403"/>
  <c r="F403" i="13"/>
  <c r="G403" s="1"/>
  <c r="I403" s="1"/>
  <c r="I403" i="3"/>
  <c r="J403"/>
  <c r="K403"/>
  <c r="M403"/>
  <c r="N403" s="1"/>
  <c r="F403"/>
  <c r="H404" i="6"/>
  <c r="I404"/>
  <c r="J404" i="12"/>
  <c r="K404" s="1"/>
  <c r="J404" i="17"/>
  <c r="K404"/>
  <c r="O404" s="1"/>
  <c r="L404"/>
  <c r="M404"/>
  <c r="F404" i="13"/>
  <c r="G404" s="1"/>
  <c r="I404" s="1"/>
  <c r="I404" i="3"/>
  <c r="J404"/>
  <c r="K404"/>
  <c r="M404"/>
  <c r="N404" s="1"/>
  <c r="F404"/>
  <c r="H405" i="6"/>
  <c r="I405"/>
  <c r="J405" i="12"/>
  <c r="K405" s="1"/>
  <c r="J405" i="17"/>
  <c r="K405"/>
  <c r="O405" s="1"/>
  <c r="L405"/>
  <c r="M405"/>
  <c r="F405" i="13"/>
  <c r="G405" s="1"/>
  <c r="I405" s="1"/>
  <c r="I405" i="3"/>
  <c r="J405"/>
  <c r="K405"/>
  <c r="M405"/>
  <c r="N405" s="1"/>
  <c r="F405"/>
  <c r="H406" i="6"/>
  <c r="I406"/>
  <c r="J406" i="12"/>
  <c r="K406" s="1"/>
  <c r="J406" i="17"/>
  <c r="K406"/>
  <c r="O406" s="1"/>
  <c r="L406"/>
  <c r="M406"/>
  <c r="F406" i="13"/>
  <c r="G406" s="1"/>
  <c r="I406" s="1"/>
  <c r="I406" i="3"/>
  <c r="J406"/>
  <c r="K406"/>
  <c r="M406"/>
  <c r="N406" s="1"/>
  <c r="F406"/>
  <c r="H407" i="6"/>
  <c r="I407"/>
  <c r="J407" i="12"/>
  <c r="K407" s="1"/>
  <c r="J407" i="17"/>
  <c r="K407"/>
  <c r="O407" s="1"/>
  <c r="L407"/>
  <c r="M407"/>
  <c r="F407" i="13"/>
  <c r="G407" s="1"/>
  <c r="I407" s="1"/>
  <c r="I407" i="3"/>
  <c r="J407"/>
  <c r="K407"/>
  <c r="M407"/>
  <c r="N407" s="1"/>
  <c r="F407"/>
  <c r="H408" i="6"/>
  <c r="I408"/>
  <c r="J408" i="12"/>
  <c r="K408" s="1"/>
  <c r="J408" i="17"/>
  <c r="K408"/>
  <c r="O408" s="1"/>
  <c r="L408"/>
  <c r="M408"/>
  <c r="F408" i="13"/>
  <c r="G408" s="1"/>
  <c r="I408" s="1"/>
  <c r="I408" i="3"/>
  <c r="J408"/>
  <c r="K408"/>
  <c r="M408"/>
  <c r="N408" s="1"/>
  <c r="F408"/>
  <c r="H409" i="6"/>
  <c r="I409"/>
  <c r="J409" i="12"/>
  <c r="K409" s="1"/>
  <c r="J409" i="17"/>
  <c r="K409"/>
  <c r="O409" s="1"/>
  <c r="L409"/>
  <c r="M409"/>
  <c r="F409" i="13"/>
  <c r="G409" s="1"/>
  <c r="I409" s="1"/>
  <c r="I409" i="3"/>
  <c r="J409"/>
  <c r="K409"/>
  <c r="M409"/>
  <c r="N409" s="1"/>
  <c r="F409"/>
  <c r="H410" i="6"/>
  <c r="I410"/>
  <c r="J410" i="12"/>
  <c r="K410" s="1"/>
  <c r="J410" i="17"/>
  <c r="K410"/>
  <c r="O410" s="1"/>
  <c r="L410"/>
  <c r="M410"/>
  <c r="F410" i="13"/>
  <c r="G410" s="1"/>
  <c r="I410" s="1"/>
  <c r="I410" i="3"/>
  <c r="J410"/>
  <c r="K410"/>
  <c r="M410"/>
  <c r="N410" s="1"/>
  <c r="F410"/>
  <c r="H411" i="6"/>
  <c r="I411"/>
  <c r="J411" i="12"/>
  <c r="K411" s="1"/>
  <c r="J411" i="17"/>
  <c r="K411"/>
  <c r="O411" s="1"/>
  <c r="L411"/>
  <c r="M411"/>
  <c r="F411" i="13"/>
  <c r="G411" s="1"/>
  <c r="I411" s="1"/>
  <c r="I411" i="3"/>
  <c r="J411"/>
  <c r="K411"/>
  <c r="M411"/>
  <c r="N411" s="1"/>
  <c r="F411"/>
  <c r="H412" i="6"/>
  <c r="I412"/>
  <c r="J412" i="12"/>
  <c r="K412" s="1"/>
  <c r="J412" i="17"/>
  <c r="K412"/>
  <c r="O412" s="1"/>
  <c r="L412"/>
  <c r="M412"/>
  <c r="F412" i="13"/>
  <c r="G412" s="1"/>
  <c r="I412" s="1"/>
  <c r="I412" i="3"/>
  <c r="J412"/>
  <c r="K412"/>
  <c r="M412"/>
  <c r="N412" s="1"/>
  <c r="F412"/>
  <c r="H413" i="6"/>
  <c r="I413"/>
  <c r="J413" i="12"/>
  <c r="K413" s="1"/>
  <c r="J413" i="17"/>
  <c r="K413"/>
  <c r="O413" s="1"/>
  <c r="L413"/>
  <c r="M413"/>
  <c r="F413" i="13"/>
  <c r="G413" s="1"/>
  <c r="I413" s="1"/>
  <c r="I413" i="3"/>
  <c r="J413"/>
  <c r="K413"/>
  <c r="M413"/>
  <c r="N413" s="1"/>
  <c r="F413"/>
  <c r="H414" i="6"/>
  <c r="I414"/>
  <c r="J414" i="12"/>
  <c r="K414" s="1"/>
  <c r="J414" i="17"/>
  <c r="K414"/>
  <c r="O414" s="1"/>
  <c r="L414"/>
  <c r="M414"/>
  <c r="F414" i="13"/>
  <c r="G414" s="1"/>
  <c r="I414" s="1"/>
  <c r="I414" i="3"/>
  <c r="J414"/>
  <c r="K414"/>
  <c r="M414"/>
  <c r="N414" s="1"/>
  <c r="F414"/>
  <c r="H415" i="6"/>
  <c r="I415"/>
  <c r="J415" i="12"/>
  <c r="K415" s="1"/>
  <c r="J415" i="17"/>
  <c r="K415"/>
  <c r="O415" s="1"/>
  <c r="L415"/>
  <c r="M415"/>
  <c r="F415" i="13"/>
  <c r="G415" s="1"/>
  <c r="I415" s="1"/>
  <c r="I415" i="3"/>
  <c r="J415"/>
  <c r="K415"/>
  <c r="M415"/>
  <c r="N415" s="1"/>
  <c r="F415"/>
  <c r="H416" i="6"/>
  <c r="I416"/>
  <c r="J416" i="12"/>
  <c r="K416" s="1"/>
  <c r="J416" i="17"/>
  <c r="K416"/>
  <c r="O416" s="1"/>
  <c r="L416"/>
  <c r="M416"/>
  <c r="F416" i="13"/>
  <c r="G416" s="1"/>
  <c r="I416" s="1"/>
  <c r="I416" i="3"/>
  <c r="J416"/>
  <c r="K416"/>
  <c r="M416"/>
  <c r="N416" s="1"/>
  <c r="F416"/>
  <c r="H417" i="6"/>
  <c r="I417"/>
  <c r="J417" i="12"/>
  <c r="K417" s="1"/>
  <c r="J417" i="17"/>
  <c r="K417"/>
  <c r="O417" s="1"/>
  <c r="L417"/>
  <c r="M417"/>
  <c r="F417" i="13"/>
  <c r="G417" s="1"/>
  <c r="I417" s="1"/>
  <c r="I417" i="3"/>
  <c r="J417"/>
  <c r="K417"/>
  <c r="M417"/>
  <c r="N417" s="1"/>
  <c r="F417"/>
  <c r="H418" i="6"/>
  <c r="I418"/>
  <c r="J418" i="12"/>
  <c r="K418" s="1"/>
  <c r="J418" i="17"/>
  <c r="K418"/>
  <c r="O418" s="1"/>
  <c r="L418"/>
  <c r="M418"/>
  <c r="F418" i="13"/>
  <c r="G418" s="1"/>
  <c r="I418" s="1"/>
  <c r="I418" i="3"/>
  <c r="J418"/>
  <c r="K418"/>
  <c r="M418"/>
  <c r="N418" s="1"/>
  <c r="F418"/>
  <c r="H419" i="6"/>
  <c r="I419"/>
  <c r="J419" i="12"/>
  <c r="K419" s="1"/>
  <c r="J419" i="17"/>
  <c r="K419"/>
  <c r="O419" s="1"/>
  <c r="L419"/>
  <c r="M419"/>
  <c r="F419" i="13"/>
  <c r="G419" s="1"/>
  <c r="I419" s="1"/>
  <c r="I419" i="3"/>
  <c r="J419"/>
  <c r="K419"/>
  <c r="M419"/>
  <c r="N419" s="1"/>
  <c r="F419"/>
  <c r="H420" i="6"/>
  <c r="I420"/>
  <c r="J420" i="12"/>
  <c r="K420" s="1"/>
  <c r="J420" i="17"/>
  <c r="K420"/>
  <c r="O420" s="1"/>
  <c r="L420"/>
  <c r="M420"/>
  <c r="F420" i="13"/>
  <c r="G420" s="1"/>
  <c r="I420" s="1"/>
  <c r="I420" i="3"/>
  <c r="J420"/>
  <c r="K420"/>
  <c r="M420"/>
  <c r="N420" s="1"/>
  <c r="F420"/>
  <c r="H421" i="6"/>
  <c r="I421"/>
  <c r="J421" i="12"/>
  <c r="K421" s="1"/>
  <c r="J421" i="17"/>
  <c r="K421"/>
  <c r="O421" s="1"/>
  <c r="L421"/>
  <c r="M421"/>
  <c r="F421" i="13"/>
  <c r="G421" s="1"/>
  <c r="I421" s="1"/>
  <c r="I421" i="3"/>
  <c r="J421"/>
  <c r="K421"/>
  <c r="M421"/>
  <c r="N421" s="1"/>
  <c r="F421"/>
  <c r="H422" i="6"/>
  <c r="I422"/>
  <c r="J422" i="12"/>
  <c r="K422" s="1"/>
  <c r="J422" i="17"/>
  <c r="K422"/>
  <c r="O422" s="1"/>
  <c r="L422"/>
  <c r="M422"/>
  <c r="F422" i="13"/>
  <c r="G422" s="1"/>
  <c r="I422" s="1"/>
  <c r="I422" i="3"/>
  <c r="J422"/>
  <c r="K422"/>
  <c r="M422"/>
  <c r="N422" s="1"/>
  <c r="F422"/>
  <c r="H423" i="6"/>
  <c r="I423"/>
  <c r="J423" i="12"/>
  <c r="K423" s="1"/>
  <c r="J423" i="17"/>
  <c r="K423"/>
  <c r="O423" s="1"/>
  <c r="L423"/>
  <c r="M423"/>
  <c r="F423" i="13"/>
  <c r="G423" s="1"/>
  <c r="I423" s="1"/>
  <c r="I423" i="3"/>
  <c r="J423"/>
  <c r="K423"/>
  <c r="M423"/>
  <c r="N423" s="1"/>
  <c r="F423"/>
  <c r="H424" i="6"/>
  <c r="I424"/>
  <c r="J424" i="12"/>
  <c r="K424" s="1"/>
  <c r="J424" i="17"/>
  <c r="K424"/>
  <c r="O424" s="1"/>
  <c r="L424"/>
  <c r="M424"/>
  <c r="F424" i="13"/>
  <c r="G424" s="1"/>
  <c r="I424" s="1"/>
  <c r="I424" i="3"/>
  <c r="J424"/>
  <c r="K424"/>
  <c r="M424"/>
  <c r="N424" s="1"/>
  <c r="F424"/>
  <c r="H425" i="6"/>
  <c r="I425"/>
  <c r="J425" i="12"/>
  <c r="K425" s="1"/>
  <c r="J425" i="17"/>
  <c r="K425"/>
  <c r="O425" s="1"/>
  <c r="L425"/>
  <c r="M425"/>
  <c r="F425" i="13"/>
  <c r="G425" s="1"/>
  <c r="I425" s="1"/>
  <c r="I425" i="3"/>
  <c r="J425"/>
  <c r="K425"/>
  <c r="M425"/>
  <c r="N425" s="1"/>
  <c r="F425"/>
  <c r="H426" i="6"/>
  <c r="I426"/>
  <c r="J426" i="12"/>
  <c r="K426" s="1"/>
  <c r="J426" i="17"/>
  <c r="K426"/>
  <c r="O426" s="1"/>
  <c r="L426"/>
  <c r="M426"/>
  <c r="F426" i="13"/>
  <c r="G426" s="1"/>
  <c r="I426" s="1"/>
  <c r="I426" i="3"/>
  <c r="J426"/>
  <c r="K426"/>
  <c r="M426"/>
  <c r="N426" s="1"/>
  <c r="F426"/>
  <c r="H427" i="6"/>
  <c r="I427"/>
  <c r="J427" i="12"/>
  <c r="K427" s="1"/>
  <c r="J427" i="17"/>
  <c r="K427"/>
  <c r="O427" s="1"/>
  <c r="L427"/>
  <c r="M427"/>
  <c r="F427" i="13"/>
  <c r="G427" s="1"/>
  <c r="I427" s="1"/>
  <c r="I427" i="3"/>
  <c r="J427"/>
  <c r="K427"/>
  <c r="M427"/>
  <c r="N427" s="1"/>
  <c r="F427"/>
  <c r="H428" i="6"/>
  <c r="I428"/>
  <c r="J428" i="12"/>
  <c r="K428" s="1"/>
  <c r="J428" i="17"/>
  <c r="K428"/>
  <c r="O428" s="1"/>
  <c r="L428"/>
  <c r="M428"/>
  <c r="F428" i="13"/>
  <c r="G428" s="1"/>
  <c r="I428" s="1"/>
  <c r="I428" i="3"/>
  <c r="J428"/>
  <c r="K428"/>
  <c r="M428"/>
  <c r="N428" s="1"/>
  <c r="F428"/>
  <c r="H429" i="6"/>
  <c r="I429"/>
  <c r="J429" i="12"/>
  <c r="K429" s="1"/>
  <c r="J429" i="17"/>
  <c r="K429"/>
  <c r="O429" s="1"/>
  <c r="L429"/>
  <c r="M429"/>
  <c r="F429" i="13"/>
  <c r="G429" s="1"/>
  <c r="I429" s="1"/>
  <c r="I429" i="3"/>
  <c r="J429"/>
  <c r="K429"/>
  <c r="M429"/>
  <c r="N429" s="1"/>
  <c r="F429"/>
  <c r="H430" i="6"/>
  <c r="I430"/>
  <c r="J430" i="12"/>
  <c r="K430" s="1"/>
  <c r="J430" i="17"/>
  <c r="K430"/>
  <c r="O430" s="1"/>
  <c r="L430"/>
  <c r="M430"/>
  <c r="F430" i="13"/>
  <c r="G430" s="1"/>
  <c r="I430" s="1"/>
  <c r="I430" i="3"/>
  <c r="J430"/>
  <c r="K430"/>
  <c r="M430"/>
  <c r="N430" s="1"/>
  <c r="F430"/>
  <c r="H431" i="6"/>
  <c r="I431"/>
  <c r="J431" i="12"/>
  <c r="K431" s="1"/>
  <c r="J431" i="17"/>
  <c r="K431"/>
  <c r="O431" s="1"/>
  <c r="L431"/>
  <c r="M431"/>
  <c r="F431" i="13"/>
  <c r="G431" s="1"/>
  <c r="I431" s="1"/>
  <c r="I431" i="3"/>
  <c r="J431"/>
  <c r="K431"/>
  <c r="M431"/>
  <c r="N431" s="1"/>
  <c r="F431"/>
  <c r="H432" i="6"/>
  <c r="I432"/>
  <c r="J432" i="12"/>
  <c r="K432" s="1"/>
  <c r="J432" i="17"/>
  <c r="K432"/>
  <c r="O432" s="1"/>
  <c r="L432"/>
  <c r="M432"/>
  <c r="F432" i="13"/>
  <c r="G432" s="1"/>
  <c r="I432" s="1"/>
  <c r="I432" i="3"/>
  <c r="J432"/>
  <c r="K432"/>
  <c r="M432"/>
  <c r="N432" s="1"/>
  <c r="F432"/>
  <c r="H433" i="6"/>
  <c r="I433"/>
  <c r="J433" i="12"/>
  <c r="K433" s="1"/>
  <c r="J433" i="17"/>
  <c r="K433"/>
  <c r="O433" s="1"/>
  <c r="L433"/>
  <c r="M433"/>
  <c r="F433" i="13"/>
  <c r="G433" s="1"/>
  <c r="I433" s="1"/>
  <c r="I433" i="3"/>
  <c r="J433"/>
  <c r="K433"/>
  <c r="M433"/>
  <c r="N433" s="1"/>
  <c r="F433"/>
  <c r="H434" i="6"/>
  <c r="I434"/>
  <c r="J434" i="12"/>
  <c r="K434" s="1"/>
  <c r="J434" i="17"/>
  <c r="K434"/>
  <c r="O434" s="1"/>
  <c r="L434"/>
  <c r="M434"/>
  <c r="F434" i="13"/>
  <c r="G434" s="1"/>
  <c r="I434" s="1"/>
  <c r="I434" i="3"/>
  <c r="J434"/>
  <c r="K434"/>
  <c r="M434"/>
  <c r="N434" s="1"/>
  <c r="F434"/>
  <c r="H435" i="6"/>
  <c r="I435"/>
  <c r="J435" i="12"/>
  <c r="K435" s="1"/>
  <c r="J435" i="17"/>
  <c r="K435"/>
  <c r="O435" s="1"/>
  <c r="L435"/>
  <c r="M435"/>
  <c r="F435" i="13"/>
  <c r="G435" s="1"/>
  <c r="I435" s="1"/>
  <c r="I435" i="3"/>
  <c r="J435"/>
  <c r="K435"/>
  <c r="M435"/>
  <c r="N435" s="1"/>
  <c r="F435"/>
  <c r="H436" i="6"/>
  <c r="I436"/>
  <c r="J436" i="12"/>
  <c r="K436" s="1"/>
  <c r="J436" i="17"/>
  <c r="K436"/>
  <c r="O436" s="1"/>
  <c r="L436"/>
  <c r="M436"/>
  <c r="F436" i="13"/>
  <c r="G436" s="1"/>
  <c r="I436" s="1"/>
  <c r="I436" i="3"/>
  <c r="J436"/>
  <c r="K436"/>
  <c r="M436"/>
  <c r="N436" s="1"/>
  <c r="F436"/>
  <c r="H437" i="6"/>
  <c r="I437"/>
  <c r="J437" i="12"/>
  <c r="K437" s="1"/>
  <c r="J437" i="17"/>
  <c r="K437"/>
  <c r="O437" s="1"/>
  <c r="L437"/>
  <c r="M437"/>
  <c r="F437" i="13"/>
  <c r="G437" s="1"/>
  <c r="I437" s="1"/>
  <c r="I437" i="3"/>
  <c r="J437"/>
  <c r="K437"/>
  <c r="M437"/>
  <c r="N437" s="1"/>
  <c r="F437"/>
  <c r="H438" i="6"/>
  <c r="I438"/>
  <c r="J438" i="12"/>
  <c r="K438" s="1"/>
  <c r="J438" i="17"/>
  <c r="K438"/>
  <c r="O438" s="1"/>
  <c r="L438"/>
  <c r="M438"/>
  <c r="F438" i="13"/>
  <c r="G438" s="1"/>
  <c r="I438" s="1"/>
  <c r="I438" i="3"/>
  <c r="J438"/>
  <c r="K438"/>
  <c r="M438"/>
  <c r="N438" s="1"/>
  <c r="F438"/>
  <c r="H439" i="6"/>
  <c r="I439"/>
  <c r="J439" i="12"/>
  <c r="K439" s="1"/>
  <c r="J439" i="17"/>
  <c r="K439"/>
  <c r="O439" s="1"/>
  <c r="L439"/>
  <c r="M439"/>
  <c r="F439" i="13"/>
  <c r="G439" s="1"/>
  <c r="I439" s="1"/>
  <c r="I439" i="3"/>
  <c r="J439"/>
  <c r="K439"/>
  <c r="M439"/>
  <c r="N439" s="1"/>
  <c r="F439"/>
  <c r="H440" i="6"/>
  <c r="I440"/>
  <c r="J440" i="12"/>
  <c r="K440" s="1"/>
  <c r="J440" i="17"/>
  <c r="K440"/>
  <c r="O440" s="1"/>
  <c r="L440"/>
  <c r="M440"/>
  <c r="F440" i="13"/>
  <c r="G440" s="1"/>
  <c r="I440" s="1"/>
  <c r="I440" i="3"/>
  <c r="J440"/>
  <c r="K440"/>
  <c r="M440"/>
  <c r="N440" s="1"/>
  <c r="F440"/>
  <c r="H441" i="6"/>
  <c r="I441"/>
  <c r="J441" i="12"/>
  <c r="K441" s="1"/>
  <c r="J441" i="17"/>
  <c r="K441"/>
  <c r="O441" s="1"/>
  <c r="L441"/>
  <c r="M441"/>
  <c r="F441" i="13"/>
  <c r="G441" s="1"/>
  <c r="I441" s="1"/>
  <c r="I441" i="3"/>
  <c r="J441"/>
  <c r="K441"/>
  <c r="M441"/>
  <c r="N441" s="1"/>
  <c r="F441"/>
  <c r="H442" i="6"/>
  <c r="I442"/>
  <c r="J442" i="12"/>
  <c r="K442" s="1"/>
  <c r="J442" i="17"/>
  <c r="K442"/>
  <c r="O442" s="1"/>
  <c r="L442"/>
  <c r="M442"/>
  <c r="F442" i="13"/>
  <c r="G442" s="1"/>
  <c r="I442" s="1"/>
  <c r="I442" i="3"/>
  <c r="J442"/>
  <c r="K442"/>
  <c r="M442"/>
  <c r="N442" s="1"/>
  <c r="F442"/>
  <c r="H443" i="6"/>
  <c r="I443"/>
  <c r="J443" i="12"/>
  <c r="K443" s="1"/>
  <c r="J443" i="17"/>
  <c r="K443"/>
  <c r="O443" s="1"/>
  <c r="L443"/>
  <c r="M443"/>
  <c r="F443" i="13"/>
  <c r="G443" s="1"/>
  <c r="I443" s="1"/>
  <c r="I443" i="3"/>
  <c r="J443"/>
  <c r="K443"/>
  <c r="M443"/>
  <c r="N443" s="1"/>
  <c r="F443"/>
  <c r="H444" i="6"/>
  <c r="I444"/>
  <c r="J444" i="12"/>
  <c r="K444" s="1"/>
  <c r="J444" i="17"/>
  <c r="K444"/>
  <c r="O444" s="1"/>
  <c r="L444"/>
  <c r="M444"/>
  <c r="F444" i="13"/>
  <c r="G444" s="1"/>
  <c r="I444" s="1"/>
  <c r="I444" i="3"/>
  <c r="J444"/>
  <c r="K444"/>
  <c r="M444"/>
  <c r="N444" s="1"/>
  <c r="F444"/>
  <c r="H445" i="6"/>
  <c r="I445"/>
  <c r="J445" i="12"/>
  <c r="K445" s="1"/>
  <c r="J445" i="17"/>
  <c r="K445"/>
  <c r="O445" s="1"/>
  <c r="L445"/>
  <c r="M445"/>
  <c r="F445" i="13"/>
  <c r="G445" s="1"/>
  <c r="I445" s="1"/>
  <c r="I445" i="3"/>
  <c r="J445"/>
  <c r="K445"/>
  <c r="M445"/>
  <c r="N445" s="1"/>
  <c r="F445"/>
  <c r="H446" i="6"/>
  <c r="I446"/>
  <c r="J446" i="12"/>
  <c r="K446" s="1"/>
  <c r="J446" i="17"/>
  <c r="K446"/>
  <c r="O446" s="1"/>
  <c r="L446"/>
  <c r="M446"/>
  <c r="F446" i="13"/>
  <c r="G446" s="1"/>
  <c r="I446" s="1"/>
  <c r="I446" i="3"/>
  <c r="J446"/>
  <c r="K446"/>
  <c r="M446"/>
  <c r="N446" s="1"/>
  <c r="F446"/>
  <c r="H447" i="6"/>
  <c r="I447"/>
  <c r="J447" i="12"/>
  <c r="K447" s="1"/>
  <c r="J447" i="17"/>
  <c r="K447"/>
  <c r="O447" s="1"/>
  <c r="L447"/>
  <c r="M447"/>
  <c r="F447" i="13"/>
  <c r="G447" s="1"/>
  <c r="I447" s="1"/>
  <c r="I447" i="3"/>
  <c r="J447"/>
  <c r="K447"/>
  <c r="M447"/>
  <c r="N447" s="1"/>
  <c r="F447"/>
  <c r="H448" i="6"/>
  <c r="I448"/>
  <c r="J448" i="12"/>
  <c r="K448" s="1"/>
  <c r="J448" i="17"/>
  <c r="K448"/>
  <c r="O448" s="1"/>
  <c r="L448"/>
  <c r="M448"/>
  <c r="F448" i="13"/>
  <c r="G448" s="1"/>
  <c r="I448" s="1"/>
  <c r="I448" i="3"/>
  <c r="J448"/>
  <c r="K448"/>
  <c r="M448"/>
  <c r="N448" s="1"/>
  <c r="F448"/>
  <c r="H449" i="6"/>
  <c r="I449"/>
  <c r="J449" i="12"/>
  <c r="K449" s="1"/>
  <c r="J449" i="17"/>
  <c r="K449"/>
  <c r="O449" s="1"/>
  <c r="L449"/>
  <c r="M449"/>
  <c r="F449" i="13"/>
  <c r="G449" s="1"/>
  <c r="I449" s="1"/>
  <c r="I449" i="3"/>
  <c r="J449"/>
  <c r="K449"/>
  <c r="M449"/>
  <c r="N449" s="1"/>
  <c r="F449"/>
  <c r="H450" i="6"/>
  <c r="I450"/>
  <c r="J450" i="12"/>
  <c r="K450" s="1"/>
  <c r="J450" i="17"/>
  <c r="K450"/>
  <c r="O450" s="1"/>
  <c r="L450"/>
  <c r="M450"/>
  <c r="F450" i="13"/>
  <c r="G450" s="1"/>
  <c r="I450" s="1"/>
  <c r="I450" i="3"/>
  <c r="J450"/>
  <c r="K450"/>
  <c r="M450"/>
  <c r="N450" s="1"/>
  <c r="F450"/>
  <c r="H451" i="6"/>
  <c r="I451"/>
  <c r="J451" i="12"/>
  <c r="K451" s="1"/>
  <c r="J451" i="17"/>
  <c r="K451"/>
  <c r="O451" s="1"/>
  <c r="L451"/>
  <c r="M451"/>
  <c r="F451" i="13"/>
  <c r="G451" s="1"/>
  <c r="I451" s="1"/>
  <c r="I451" i="3"/>
  <c r="J451"/>
  <c r="K451"/>
  <c r="M451"/>
  <c r="N451" s="1"/>
  <c r="F451"/>
  <c r="H452" i="6"/>
  <c r="I452"/>
  <c r="J452" i="12"/>
  <c r="K452" s="1"/>
  <c r="J452" i="17"/>
  <c r="K452"/>
  <c r="O452" s="1"/>
  <c r="L452"/>
  <c r="M452"/>
  <c r="F452" i="13"/>
  <c r="G452" s="1"/>
  <c r="I452" s="1"/>
  <c r="I452" i="3"/>
  <c r="J452"/>
  <c r="K452"/>
  <c r="M452"/>
  <c r="N452" s="1"/>
  <c r="F452"/>
  <c r="H453" i="6"/>
  <c r="I453"/>
  <c r="J453" i="12"/>
  <c r="K453" s="1"/>
  <c r="J453" i="17"/>
  <c r="K453"/>
  <c r="O453" s="1"/>
  <c r="L453"/>
  <c r="M453"/>
  <c r="F453" i="13"/>
  <c r="G453" s="1"/>
  <c r="I453" s="1"/>
  <c r="I453" i="3"/>
  <c r="J453"/>
  <c r="K453"/>
  <c r="M453"/>
  <c r="N453" s="1"/>
  <c r="F453"/>
  <c r="H454" i="6"/>
  <c r="I454"/>
  <c r="J454" i="12"/>
  <c r="K454" s="1"/>
  <c r="J454" i="17"/>
  <c r="K454"/>
  <c r="O454" s="1"/>
  <c r="L454"/>
  <c r="M454"/>
  <c r="F454" i="13"/>
  <c r="G454" s="1"/>
  <c r="I454" s="1"/>
  <c r="I454" i="3"/>
  <c r="J454"/>
  <c r="K454"/>
  <c r="M454"/>
  <c r="N454" s="1"/>
  <c r="F454"/>
  <c r="H455" i="6"/>
  <c r="I455"/>
  <c r="J455" i="12"/>
  <c r="K455" s="1"/>
  <c r="J455" i="17"/>
  <c r="K455"/>
  <c r="O455" s="1"/>
  <c r="L455"/>
  <c r="M455"/>
  <c r="F455" i="13"/>
  <c r="G455" s="1"/>
  <c r="I455" s="1"/>
  <c r="I455" i="3"/>
  <c r="J455"/>
  <c r="K455"/>
  <c r="M455"/>
  <c r="N455" s="1"/>
  <c r="F455"/>
  <c r="H456" i="6"/>
  <c r="I456"/>
  <c r="J456" i="12"/>
  <c r="K456" s="1"/>
  <c r="J456" i="17"/>
  <c r="K456"/>
  <c r="O456" s="1"/>
  <c r="L456"/>
  <c r="M456"/>
  <c r="F456" i="13"/>
  <c r="G456" s="1"/>
  <c r="I456" s="1"/>
  <c r="I456" i="3"/>
  <c r="J456"/>
  <c r="K456"/>
  <c r="M456"/>
  <c r="N456" s="1"/>
  <c r="F456"/>
  <c r="H457" i="6"/>
  <c r="I457"/>
  <c r="J457" i="12"/>
  <c r="K457" s="1"/>
  <c r="J457" i="17"/>
  <c r="K457"/>
  <c r="O457" s="1"/>
  <c r="L457"/>
  <c r="M457"/>
  <c r="F457" i="13"/>
  <c r="G457" s="1"/>
  <c r="I457" s="1"/>
  <c r="I457" i="3"/>
  <c r="J457"/>
  <c r="K457"/>
  <c r="M457"/>
  <c r="N457" s="1"/>
  <c r="F457"/>
  <c r="H458" i="6"/>
  <c r="I458"/>
  <c r="J458" i="12"/>
  <c r="K458" s="1"/>
  <c r="J458" i="17"/>
  <c r="K458"/>
  <c r="O458" s="1"/>
  <c r="L458"/>
  <c r="M458"/>
  <c r="F458" i="13"/>
  <c r="G458" s="1"/>
  <c r="I458" s="1"/>
  <c r="I458" i="3"/>
  <c r="J458"/>
  <c r="K458"/>
  <c r="M458"/>
  <c r="N458" s="1"/>
  <c r="F458"/>
  <c r="H459" i="6"/>
  <c r="I459"/>
  <c r="J459" i="12"/>
  <c r="K459" s="1"/>
  <c r="J459" i="17"/>
  <c r="K459"/>
  <c r="O459" s="1"/>
  <c r="L459"/>
  <c r="M459"/>
  <c r="F459" i="13"/>
  <c r="G459" s="1"/>
  <c r="I459" s="1"/>
  <c r="I459" i="3"/>
  <c r="J459"/>
  <c r="K459"/>
  <c r="M459"/>
  <c r="N459" s="1"/>
  <c r="F459"/>
  <c r="H460" i="6"/>
  <c r="I460"/>
  <c r="J460" i="12"/>
  <c r="K460" s="1"/>
  <c r="J460" i="17"/>
  <c r="K460"/>
  <c r="O460" s="1"/>
  <c r="L460"/>
  <c r="M460"/>
  <c r="F460" i="13"/>
  <c r="G460" s="1"/>
  <c r="I460" s="1"/>
  <c r="I460" i="3"/>
  <c r="J460"/>
  <c r="K460"/>
  <c r="M460"/>
  <c r="N460" s="1"/>
  <c r="F460"/>
  <c r="H461" i="6"/>
  <c r="I461"/>
  <c r="J461" i="12"/>
  <c r="K461" s="1"/>
  <c r="J461" i="17"/>
  <c r="K461"/>
  <c r="O461" s="1"/>
  <c r="L461"/>
  <c r="M461"/>
  <c r="F461" i="13"/>
  <c r="G461" s="1"/>
  <c r="I461" s="1"/>
  <c r="I461" i="3"/>
  <c r="J461"/>
  <c r="K461"/>
  <c r="M461"/>
  <c r="N461" s="1"/>
  <c r="F461"/>
  <c r="H462" i="6"/>
  <c r="I462"/>
  <c r="J462" i="12"/>
  <c r="K462" s="1"/>
  <c r="J462" i="17"/>
  <c r="K462"/>
  <c r="O462" s="1"/>
  <c r="L462"/>
  <c r="M462"/>
  <c r="F462" i="13"/>
  <c r="G462" s="1"/>
  <c r="I462" s="1"/>
  <c r="I462" i="3"/>
  <c r="J462"/>
  <c r="K462"/>
  <c r="M462"/>
  <c r="N462" s="1"/>
  <c r="F462"/>
  <c r="H463" i="6"/>
  <c r="I463"/>
  <c r="J463" i="12"/>
  <c r="K463" s="1"/>
  <c r="J463" i="17"/>
  <c r="K463"/>
  <c r="O463" s="1"/>
  <c r="L463"/>
  <c r="M463"/>
  <c r="F463" i="13"/>
  <c r="G463" s="1"/>
  <c r="I463" s="1"/>
  <c r="I463" i="3"/>
  <c r="J463"/>
  <c r="K463"/>
  <c r="M463"/>
  <c r="N463" s="1"/>
  <c r="F463"/>
  <c r="H464" i="6"/>
  <c r="I464"/>
  <c r="J464" i="12"/>
  <c r="K464" s="1"/>
  <c r="J464" i="17"/>
  <c r="K464"/>
  <c r="O464" s="1"/>
  <c r="L464"/>
  <c r="M464"/>
  <c r="F464" i="13"/>
  <c r="G464" s="1"/>
  <c r="I464" s="1"/>
  <c r="I464" i="3"/>
  <c r="J464"/>
  <c r="K464"/>
  <c r="M464"/>
  <c r="N464" s="1"/>
  <c r="F464"/>
  <c r="H465" i="6"/>
  <c r="I465"/>
  <c r="J465" i="12"/>
  <c r="K465" s="1"/>
  <c r="J465" i="17"/>
  <c r="K465"/>
  <c r="O465" s="1"/>
  <c r="L465"/>
  <c r="M465"/>
  <c r="F465" i="13"/>
  <c r="G465" s="1"/>
  <c r="I465" s="1"/>
  <c r="I465" i="3"/>
  <c r="J465"/>
  <c r="K465"/>
  <c r="M465"/>
  <c r="N465" s="1"/>
  <c r="F465"/>
  <c r="H466" i="6"/>
  <c r="I466"/>
  <c r="J466" i="12"/>
  <c r="K466" s="1"/>
  <c r="J466" i="17"/>
  <c r="K466"/>
  <c r="O466" s="1"/>
  <c r="L466"/>
  <c r="M466"/>
  <c r="F466" i="13"/>
  <c r="G466" s="1"/>
  <c r="I466" s="1"/>
  <c r="I466" i="3"/>
  <c r="J466"/>
  <c r="K466"/>
  <c r="M466"/>
  <c r="N466" s="1"/>
  <c r="F466"/>
  <c r="H467" i="6"/>
  <c r="I467"/>
  <c r="J467" i="12"/>
  <c r="K467" s="1"/>
  <c r="J467" i="17"/>
  <c r="K467"/>
  <c r="O467" s="1"/>
  <c r="L467"/>
  <c r="M467"/>
  <c r="F467" i="13"/>
  <c r="G467" s="1"/>
  <c r="I467" s="1"/>
  <c r="I467" i="3"/>
  <c r="J467"/>
  <c r="K467"/>
  <c r="M467"/>
  <c r="N467" s="1"/>
  <c r="F467"/>
  <c r="H468" i="6"/>
  <c r="I468"/>
  <c r="J468" i="12"/>
  <c r="K468" s="1"/>
  <c r="J468" i="17"/>
  <c r="K468"/>
  <c r="O468" s="1"/>
  <c r="L468"/>
  <c r="M468"/>
  <c r="F468" i="13"/>
  <c r="G468" s="1"/>
  <c r="I468" s="1"/>
  <c r="I468" i="3"/>
  <c r="J468"/>
  <c r="K468"/>
  <c r="M468"/>
  <c r="N468" s="1"/>
  <c r="F468"/>
  <c r="H469" i="6"/>
  <c r="I469"/>
  <c r="J469" i="12"/>
  <c r="K469" s="1"/>
  <c r="J469" i="17"/>
  <c r="K469"/>
  <c r="O469" s="1"/>
  <c r="L469"/>
  <c r="M469"/>
  <c r="F469" i="13"/>
  <c r="G469" s="1"/>
  <c r="I469" s="1"/>
  <c r="I469" i="3"/>
  <c r="J469"/>
  <c r="K469"/>
  <c r="M469"/>
  <c r="N469" s="1"/>
  <c r="F469"/>
  <c r="H470" i="6"/>
  <c r="I470"/>
  <c r="J470" i="12"/>
  <c r="K470" s="1"/>
  <c r="J470" i="17"/>
  <c r="K470"/>
  <c r="O470" s="1"/>
  <c r="L470"/>
  <c r="M470"/>
  <c r="F470" i="13"/>
  <c r="G470" s="1"/>
  <c r="I470" s="1"/>
  <c r="I470" i="3"/>
  <c r="J470"/>
  <c r="K470"/>
  <c r="M470"/>
  <c r="N470" s="1"/>
  <c r="F470"/>
  <c r="H471" i="6"/>
  <c r="I471"/>
  <c r="J471" i="12"/>
  <c r="K471" s="1"/>
  <c r="J471" i="17"/>
  <c r="K471"/>
  <c r="O471" s="1"/>
  <c r="L471"/>
  <c r="M471"/>
  <c r="F471" i="13"/>
  <c r="G471" s="1"/>
  <c r="I471" s="1"/>
  <c r="I471" i="3"/>
  <c r="J471"/>
  <c r="K471"/>
  <c r="M471"/>
  <c r="N471" s="1"/>
  <c r="F471"/>
  <c r="H472" i="6"/>
  <c r="I472"/>
  <c r="J472" i="12"/>
  <c r="K472" s="1"/>
  <c r="J472" i="17"/>
  <c r="K472"/>
  <c r="O472" s="1"/>
  <c r="L472"/>
  <c r="M472"/>
  <c r="F472" i="13"/>
  <c r="G472" s="1"/>
  <c r="I472" s="1"/>
  <c r="I472" i="3"/>
  <c r="J472"/>
  <c r="K472"/>
  <c r="M472"/>
  <c r="N472" s="1"/>
  <c r="F472"/>
  <c r="H473" i="6"/>
  <c r="I473"/>
  <c r="J473" i="12"/>
  <c r="K473" s="1"/>
  <c r="J473" i="17"/>
  <c r="K473"/>
  <c r="O473" s="1"/>
  <c r="L473"/>
  <c r="M473"/>
  <c r="F473" i="13"/>
  <c r="G473" s="1"/>
  <c r="I473" s="1"/>
  <c r="I473" i="3"/>
  <c r="J473"/>
  <c r="K473"/>
  <c r="M473"/>
  <c r="N473" s="1"/>
  <c r="F473"/>
  <c r="H474" i="6"/>
  <c r="I474"/>
  <c r="J474" i="12"/>
  <c r="K474" s="1"/>
  <c r="J474" i="17"/>
  <c r="K474"/>
  <c r="O474" s="1"/>
  <c r="L474"/>
  <c r="M474"/>
  <c r="F474" i="13"/>
  <c r="G474" s="1"/>
  <c r="I474" s="1"/>
  <c r="I474" i="3"/>
  <c r="J474"/>
  <c r="K474"/>
  <c r="M474"/>
  <c r="N474" s="1"/>
  <c r="F474"/>
  <c r="H475" i="6"/>
  <c r="I475"/>
  <c r="J475" i="12"/>
  <c r="K475" s="1"/>
  <c r="J475" i="17"/>
  <c r="K475"/>
  <c r="O475" s="1"/>
  <c r="L475"/>
  <c r="M475"/>
  <c r="F475" i="13"/>
  <c r="G475" s="1"/>
  <c r="I475" s="1"/>
  <c r="I475" i="3"/>
  <c r="J475"/>
  <c r="K475"/>
  <c r="M475"/>
  <c r="N475" s="1"/>
  <c r="F475"/>
  <c r="H476" i="6"/>
  <c r="I476"/>
  <c r="J476" i="12"/>
  <c r="K476" s="1"/>
  <c r="J476" i="17"/>
  <c r="K476"/>
  <c r="O476" s="1"/>
  <c r="L476"/>
  <c r="M476"/>
  <c r="F476" i="13"/>
  <c r="G476" s="1"/>
  <c r="I476" s="1"/>
  <c r="I476" i="3"/>
  <c r="J476"/>
  <c r="K476"/>
  <c r="M476"/>
  <c r="N476" s="1"/>
  <c r="F476"/>
  <c r="H477" i="6"/>
  <c r="I477"/>
  <c r="J477" i="12"/>
  <c r="K477" s="1"/>
  <c r="J477" i="17"/>
  <c r="K477"/>
  <c r="O477" s="1"/>
  <c r="L477"/>
  <c r="M477"/>
  <c r="F477" i="13"/>
  <c r="G477" s="1"/>
  <c r="I477" s="1"/>
  <c r="I477" i="3"/>
  <c r="J477"/>
  <c r="K477"/>
  <c r="M477"/>
  <c r="N477" s="1"/>
  <c r="F477"/>
  <c r="H478" i="6"/>
  <c r="I478"/>
  <c r="J478" i="12"/>
  <c r="K478" s="1"/>
  <c r="J478" i="17"/>
  <c r="K478"/>
  <c r="O478" s="1"/>
  <c r="L478"/>
  <c r="M478"/>
  <c r="F478" i="13"/>
  <c r="G478" s="1"/>
  <c r="I478" s="1"/>
  <c r="I478" i="3"/>
  <c r="J478"/>
  <c r="K478"/>
  <c r="M478"/>
  <c r="N478" s="1"/>
  <c r="F478"/>
  <c r="H479" i="6"/>
  <c r="I479"/>
  <c r="J479" i="12"/>
  <c r="K479" s="1"/>
  <c r="J479" i="17"/>
  <c r="K479"/>
  <c r="O479" s="1"/>
  <c r="L479"/>
  <c r="M479"/>
  <c r="F479" i="13"/>
  <c r="G479" s="1"/>
  <c r="I479" s="1"/>
  <c r="I479" i="3"/>
  <c r="J479"/>
  <c r="K479"/>
  <c r="M479"/>
  <c r="N479" s="1"/>
  <c r="F479"/>
  <c r="H480" i="6"/>
  <c r="I480"/>
  <c r="J480" i="12"/>
  <c r="K480" s="1"/>
  <c r="J480" i="17"/>
  <c r="K480"/>
  <c r="O480" s="1"/>
  <c r="L480"/>
  <c r="M480"/>
  <c r="F480" i="13"/>
  <c r="G480" s="1"/>
  <c r="I480" s="1"/>
  <c r="I480" i="3"/>
  <c r="J480"/>
  <c r="K480"/>
  <c r="M480"/>
  <c r="N480" s="1"/>
  <c r="F480"/>
  <c r="H481" i="6"/>
  <c r="I481"/>
  <c r="J481" i="12"/>
  <c r="K481" s="1"/>
  <c r="J481" i="17"/>
  <c r="K481"/>
  <c r="O481" s="1"/>
  <c r="L481"/>
  <c r="M481"/>
  <c r="F481" i="13"/>
  <c r="G481" s="1"/>
  <c r="I481" s="1"/>
  <c r="I481" i="3"/>
  <c r="J481"/>
  <c r="K481"/>
  <c r="M481"/>
  <c r="N481" s="1"/>
  <c r="F481"/>
  <c r="H482" i="6"/>
  <c r="I482"/>
  <c r="J482" i="12"/>
  <c r="K482" s="1"/>
  <c r="J482" i="17"/>
  <c r="K482"/>
  <c r="O482" s="1"/>
  <c r="L482"/>
  <c r="M482"/>
  <c r="F482" i="13"/>
  <c r="G482" s="1"/>
  <c r="I482" s="1"/>
  <c r="I482" i="3"/>
  <c r="J482"/>
  <c r="K482"/>
  <c r="M482"/>
  <c r="N482" s="1"/>
  <c r="F482"/>
  <c r="H483" i="6"/>
  <c r="I483"/>
  <c r="J483" i="12"/>
  <c r="K483" s="1"/>
  <c r="J483" i="17"/>
  <c r="K483"/>
  <c r="O483" s="1"/>
  <c r="L483"/>
  <c r="M483"/>
  <c r="F483" i="13"/>
  <c r="G483" s="1"/>
  <c r="I483" s="1"/>
  <c r="I483" i="3"/>
  <c r="J483"/>
  <c r="K483"/>
  <c r="M483"/>
  <c r="N483" s="1"/>
  <c r="F483"/>
  <c r="H484" i="6"/>
  <c r="I484"/>
  <c r="J484" i="12"/>
  <c r="K484" s="1"/>
  <c r="J484" i="17"/>
  <c r="K484"/>
  <c r="O484" s="1"/>
  <c r="L484"/>
  <c r="M484"/>
  <c r="F484" i="13"/>
  <c r="G484" s="1"/>
  <c r="I484" s="1"/>
  <c r="I484" i="3"/>
  <c r="J484"/>
  <c r="K484"/>
  <c r="M484"/>
  <c r="N484" s="1"/>
  <c r="F484"/>
  <c r="H485" i="6"/>
  <c r="I485"/>
  <c r="J485" i="12"/>
  <c r="K485" s="1"/>
  <c r="J485" i="17"/>
  <c r="K485"/>
  <c r="O485" s="1"/>
  <c r="L485"/>
  <c r="M485"/>
  <c r="F485" i="13"/>
  <c r="G485" s="1"/>
  <c r="I485" s="1"/>
  <c r="I485" i="3"/>
  <c r="J485"/>
  <c r="K485"/>
  <c r="M485"/>
  <c r="N485" s="1"/>
  <c r="F485"/>
  <c r="H486" i="6"/>
  <c r="I486"/>
  <c r="J486" i="12"/>
  <c r="K486" s="1"/>
  <c r="J486" i="17"/>
  <c r="K486"/>
  <c r="O486" s="1"/>
  <c r="L486"/>
  <c r="M486"/>
  <c r="F486" i="13"/>
  <c r="G486" s="1"/>
  <c r="I486" s="1"/>
  <c r="I486" i="3"/>
  <c r="J486"/>
  <c r="K486"/>
  <c r="M486"/>
  <c r="N486" s="1"/>
  <c r="F486"/>
  <c r="H487" i="6"/>
  <c r="I487"/>
  <c r="J487" i="12"/>
  <c r="K487" s="1"/>
  <c r="J487" i="17"/>
  <c r="K487"/>
  <c r="O487" s="1"/>
  <c r="L487"/>
  <c r="M487"/>
  <c r="F487" i="13"/>
  <c r="G487" s="1"/>
  <c r="I487" s="1"/>
  <c r="I487" i="3"/>
  <c r="J487"/>
  <c r="K487"/>
  <c r="M487"/>
  <c r="N487" s="1"/>
  <c r="F487"/>
  <c r="H488" i="6"/>
  <c r="I488"/>
  <c r="J488" i="12"/>
  <c r="K488" s="1"/>
  <c r="J488" i="17"/>
  <c r="K488"/>
  <c r="O488" s="1"/>
  <c r="L488"/>
  <c r="M488"/>
  <c r="F488" i="13"/>
  <c r="G488" s="1"/>
  <c r="I488" s="1"/>
  <c r="I488" i="3"/>
  <c r="J488"/>
  <c r="K488"/>
  <c r="M488"/>
  <c r="N488" s="1"/>
  <c r="F488"/>
  <c r="H489" i="6"/>
  <c r="I489"/>
  <c r="J489" i="12"/>
  <c r="K489" s="1"/>
  <c r="J489" i="17"/>
  <c r="K489"/>
  <c r="O489" s="1"/>
  <c r="L489"/>
  <c r="M489"/>
  <c r="F489" i="13"/>
  <c r="G489" s="1"/>
  <c r="I489" s="1"/>
  <c r="I489" i="3"/>
  <c r="J489"/>
  <c r="K489"/>
  <c r="M489"/>
  <c r="N489" s="1"/>
  <c r="F489"/>
  <c r="H490" i="6"/>
  <c r="I490"/>
  <c r="J490" i="12"/>
  <c r="K490" s="1"/>
  <c r="J490" i="17"/>
  <c r="K490"/>
  <c r="O490" s="1"/>
  <c r="L490"/>
  <c r="M490"/>
  <c r="F490" i="13"/>
  <c r="G490" s="1"/>
  <c r="I490" s="1"/>
  <c r="I490" i="3"/>
  <c r="J490"/>
  <c r="K490"/>
  <c r="M490"/>
  <c r="N490" s="1"/>
  <c r="F490"/>
  <c r="H491" i="6"/>
  <c r="I491"/>
  <c r="J491" i="12"/>
  <c r="K491" s="1"/>
  <c r="J491" i="17"/>
  <c r="K491"/>
  <c r="O491" s="1"/>
  <c r="L491"/>
  <c r="M491"/>
  <c r="F491" i="13"/>
  <c r="G491" s="1"/>
  <c r="I491" s="1"/>
  <c r="I491" i="3"/>
  <c r="J491"/>
  <c r="K491"/>
  <c r="M491"/>
  <c r="N491" s="1"/>
  <c r="F491"/>
  <c r="H492" i="6"/>
  <c r="I492"/>
  <c r="J492" i="12"/>
  <c r="K492" s="1"/>
  <c r="J492" i="17"/>
  <c r="K492"/>
  <c r="O492" s="1"/>
  <c r="L492"/>
  <c r="M492"/>
  <c r="F492" i="13"/>
  <c r="G492" s="1"/>
  <c r="I492" s="1"/>
  <c r="I492" i="3"/>
  <c r="J492"/>
  <c r="K492"/>
  <c r="M492"/>
  <c r="N492" s="1"/>
  <c r="F492"/>
  <c r="H493" i="6"/>
  <c r="I493"/>
  <c r="J493" i="12"/>
  <c r="K493" s="1"/>
  <c r="J493" i="17"/>
  <c r="K493"/>
  <c r="O493" s="1"/>
  <c r="L493"/>
  <c r="M493"/>
  <c r="F493" i="13"/>
  <c r="G493" s="1"/>
  <c r="I493" s="1"/>
  <c r="I493" i="3"/>
  <c r="J493"/>
  <c r="K493"/>
  <c r="M493"/>
  <c r="N493" s="1"/>
  <c r="F493"/>
  <c r="H494" i="6"/>
  <c r="I494"/>
  <c r="J494" i="12"/>
  <c r="K494" s="1"/>
  <c r="J494" i="17"/>
  <c r="K494"/>
  <c r="O494" s="1"/>
  <c r="L494"/>
  <c r="M494"/>
  <c r="F494" i="13"/>
  <c r="G494" s="1"/>
  <c r="I494" s="1"/>
  <c r="I494" i="3"/>
  <c r="J494"/>
  <c r="K494"/>
  <c r="M494"/>
  <c r="N494" s="1"/>
  <c r="F494"/>
  <c r="H495" i="6"/>
  <c r="I495"/>
  <c r="J495" i="12"/>
  <c r="K495" s="1"/>
  <c r="J495" i="17"/>
  <c r="K495"/>
  <c r="O495" s="1"/>
  <c r="L495"/>
  <c r="M495"/>
  <c r="F495" i="13"/>
  <c r="G495" s="1"/>
  <c r="I495" s="1"/>
  <c r="I495" i="3"/>
  <c r="J495"/>
  <c r="K495"/>
  <c r="M495"/>
  <c r="N495" s="1"/>
  <c r="F495"/>
  <c r="H496" i="6"/>
  <c r="I496"/>
  <c r="J496" i="12"/>
  <c r="K496" s="1"/>
  <c r="J496" i="17"/>
  <c r="K496"/>
  <c r="O496" s="1"/>
  <c r="L496"/>
  <c r="M496"/>
  <c r="F496" i="13"/>
  <c r="G496" s="1"/>
  <c r="I496" s="1"/>
  <c r="I496" i="3"/>
  <c r="J496"/>
  <c r="K496"/>
  <c r="M496"/>
  <c r="N496" s="1"/>
  <c r="F496"/>
  <c r="H497" i="6"/>
  <c r="I497"/>
  <c r="J497" i="12"/>
  <c r="K497" s="1"/>
  <c r="J497" i="17"/>
  <c r="K497"/>
  <c r="O497" s="1"/>
  <c r="L497"/>
  <c r="M497"/>
  <c r="F497" i="13"/>
  <c r="G497" s="1"/>
  <c r="I497" s="1"/>
  <c r="I497" i="3"/>
  <c r="J497"/>
  <c r="K497"/>
  <c r="M497"/>
  <c r="N497" s="1"/>
  <c r="F497"/>
  <c r="H498" i="6"/>
  <c r="I498"/>
  <c r="J498" i="12"/>
  <c r="K498" s="1"/>
  <c r="J498" i="17"/>
  <c r="K498"/>
  <c r="O498" s="1"/>
  <c r="L498"/>
  <c r="M498"/>
  <c r="F498" i="13"/>
  <c r="G498" s="1"/>
  <c r="I498" s="1"/>
  <c r="I498" i="3"/>
  <c r="J498"/>
  <c r="K498"/>
  <c r="M498"/>
  <c r="N498" s="1"/>
  <c r="F498"/>
  <c r="H499" i="6"/>
  <c r="I499"/>
  <c r="J499" i="12"/>
  <c r="K499" s="1"/>
  <c r="J499" i="17"/>
  <c r="K499"/>
  <c r="O499" s="1"/>
  <c r="L499"/>
  <c r="M499"/>
  <c r="F499" i="13"/>
  <c r="G499" s="1"/>
  <c r="I499" s="1"/>
  <c r="I499" i="3"/>
  <c r="J499"/>
  <c r="K499"/>
  <c r="M499"/>
  <c r="N499" s="1"/>
  <c r="F499"/>
  <c r="H500" i="6"/>
  <c r="I500"/>
  <c r="J500" i="12"/>
  <c r="K500" s="1"/>
  <c r="J500" i="17"/>
  <c r="K500"/>
  <c r="O500" s="1"/>
  <c r="L500"/>
  <c r="M500"/>
  <c r="F500" i="13"/>
  <c r="G500" s="1"/>
  <c r="I500" s="1"/>
  <c r="I500" i="3"/>
  <c r="J500"/>
  <c r="K500"/>
  <c r="M500"/>
  <c r="N500" s="1"/>
  <c r="F500"/>
  <c r="H501" i="6"/>
  <c r="I501"/>
  <c r="J501" i="12"/>
  <c r="K501" s="1"/>
  <c r="J501" i="17"/>
  <c r="K501"/>
  <c r="O501" s="1"/>
  <c r="L501"/>
  <c r="M501"/>
  <c r="F501" i="13"/>
  <c r="G501" s="1"/>
  <c r="I501" s="1"/>
  <c r="I501" i="3"/>
  <c r="J501"/>
  <c r="K501"/>
  <c r="M501"/>
  <c r="N501" s="1"/>
  <c r="F501"/>
  <c r="H502" i="6"/>
  <c r="I502"/>
  <c r="J502" i="12"/>
  <c r="K502" s="1"/>
  <c r="J502" i="17"/>
  <c r="K502"/>
  <c r="O502" s="1"/>
  <c r="L502"/>
  <c r="M502"/>
  <c r="F502" i="13"/>
  <c r="G502" s="1"/>
  <c r="I502" s="1"/>
  <c r="I502" i="3"/>
  <c r="J502"/>
  <c r="K502"/>
  <c r="M502"/>
  <c r="N502" s="1"/>
  <c r="F502"/>
  <c r="H503" i="6"/>
  <c r="I503"/>
  <c r="J503" i="12"/>
  <c r="K503" s="1"/>
  <c r="J503" i="17"/>
  <c r="K503"/>
  <c r="O503" s="1"/>
  <c r="L503"/>
  <c r="M503"/>
  <c r="F503" i="13"/>
  <c r="G503" s="1"/>
  <c r="I503" s="1"/>
  <c r="I503" i="3"/>
  <c r="J503"/>
  <c r="K503"/>
  <c r="M503"/>
  <c r="N503" s="1"/>
  <c r="F503"/>
  <c r="H504" i="6"/>
  <c r="I504"/>
  <c r="J504" i="12"/>
  <c r="K504" s="1"/>
  <c r="J504" i="17"/>
  <c r="K504"/>
  <c r="O504" s="1"/>
  <c r="L504"/>
  <c r="M504"/>
  <c r="F504" i="13"/>
  <c r="G504" s="1"/>
  <c r="I504" s="1"/>
  <c r="I504" i="3"/>
  <c r="J504"/>
  <c r="K504"/>
  <c r="M504"/>
  <c r="N504" s="1"/>
  <c r="F504"/>
  <c r="H505" i="6"/>
  <c r="I505"/>
  <c r="J505" i="12"/>
  <c r="K505" s="1"/>
  <c r="J505" i="17"/>
  <c r="K505"/>
  <c r="O505" s="1"/>
  <c r="L505"/>
  <c r="M505"/>
  <c r="F505" i="13"/>
  <c r="G505" s="1"/>
  <c r="I505" s="1"/>
  <c r="I505" i="3"/>
  <c r="J505"/>
  <c r="K505"/>
  <c r="M505"/>
  <c r="N505" s="1"/>
  <c r="F505"/>
  <c r="H506" i="6"/>
  <c r="I506"/>
  <c r="J506" i="12"/>
  <c r="K506" s="1"/>
  <c r="J506" i="17"/>
  <c r="K506"/>
  <c r="O506" s="1"/>
  <c r="L506"/>
  <c r="M506"/>
  <c r="F506" i="13"/>
  <c r="G506" s="1"/>
  <c r="I506" s="1"/>
  <c r="I506" i="3"/>
  <c r="J506"/>
  <c r="K506"/>
  <c r="M506"/>
  <c r="N506" s="1"/>
  <c r="F506"/>
  <c r="H507" i="6"/>
  <c r="I507"/>
  <c r="J507" i="12"/>
  <c r="K507" s="1"/>
  <c r="J507" i="17"/>
  <c r="K507"/>
  <c r="O507" s="1"/>
  <c r="L507"/>
  <c r="M507"/>
  <c r="F507" i="13"/>
  <c r="G507" s="1"/>
  <c r="I507" s="1"/>
  <c r="I507" i="3"/>
  <c r="J507"/>
  <c r="K507"/>
  <c r="M507"/>
  <c r="N507" s="1"/>
  <c r="F507"/>
  <c r="H508" i="6"/>
  <c r="I508"/>
  <c r="J508" i="12"/>
  <c r="K508" s="1"/>
  <c r="J508" i="17"/>
  <c r="K508"/>
  <c r="O508" s="1"/>
  <c r="L508"/>
  <c r="M508"/>
  <c r="F508" i="13"/>
  <c r="G508" s="1"/>
  <c r="I508" s="1"/>
  <c r="I508" i="3"/>
  <c r="J508"/>
  <c r="K508"/>
  <c r="M508"/>
  <c r="N508" s="1"/>
  <c r="F508"/>
  <c r="H509" i="6"/>
  <c r="I509"/>
  <c r="J509" i="12"/>
  <c r="K509" s="1"/>
  <c r="J509" i="17"/>
  <c r="K509"/>
  <c r="O509" s="1"/>
  <c r="L509"/>
  <c r="M509"/>
  <c r="F509" i="13"/>
  <c r="G509" s="1"/>
  <c r="I509" s="1"/>
  <c r="I509" i="3"/>
  <c r="J509"/>
  <c r="K509"/>
  <c r="M509"/>
  <c r="N509" s="1"/>
  <c r="F509"/>
  <c r="H510" i="6"/>
  <c r="I510"/>
  <c r="J510" i="12"/>
  <c r="K510" s="1"/>
  <c r="J510" i="17"/>
  <c r="K510"/>
  <c r="O510" s="1"/>
  <c r="L510"/>
  <c r="M510"/>
  <c r="F510" i="13"/>
  <c r="G510" s="1"/>
  <c r="I510" s="1"/>
  <c r="I510" i="3"/>
  <c r="J510"/>
  <c r="K510"/>
  <c r="M510"/>
  <c r="N510" s="1"/>
  <c r="F510"/>
  <c r="H511" i="6"/>
  <c r="I511"/>
  <c r="J511" i="12"/>
  <c r="K511" s="1"/>
  <c r="J511" i="17"/>
  <c r="K511"/>
  <c r="O511" s="1"/>
  <c r="L511"/>
  <c r="M511"/>
  <c r="F511" i="13"/>
  <c r="G511" s="1"/>
  <c r="I511" s="1"/>
  <c r="I511" i="3"/>
  <c r="J511"/>
  <c r="K511"/>
  <c r="M511"/>
  <c r="N511" s="1"/>
  <c r="F511"/>
  <c r="H512" i="6"/>
  <c r="I512"/>
  <c r="J512" i="12"/>
  <c r="K512" s="1"/>
  <c r="J512" i="17"/>
  <c r="K512"/>
  <c r="O512" s="1"/>
  <c r="L512"/>
  <c r="M512"/>
  <c r="F512" i="13"/>
  <c r="G512" s="1"/>
  <c r="I512" s="1"/>
  <c r="I512" i="3"/>
  <c r="J512"/>
  <c r="K512"/>
  <c r="M512"/>
  <c r="N512" s="1"/>
  <c r="F512"/>
  <c r="H513" i="6"/>
  <c r="I513"/>
  <c r="J513" i="12"/>
  <c r="K513" s="1"/>
  <c r="J513" i="17"/>
  <c r="K513"/>
  <c r="O513" s="1"/>
  <c r="L513"/>
  <c r="M513"/>
  <c r="F513" i="13"/>
  <c r="G513" s="1"/>
  <c r="I513" s="1"/>
  <c r="I513" i="3"/>
  <c r="J513"/>
  <c r="K513"/>
  <c r="M513"/>
  <c r="N513" s="1"/>
  <c r="F513"/>
  <c r="H514" i="6"/>
  <c r="I514"/>
  <c r="J514" i="12"/>
  <c r="K514" s="1"/>
  <c r="J514" i="17"/>
  <c r="K514"/>
  <c r="O514" s="1"/>
  <c r="L514"/>
  <c r="M514"/>
  <c r="F514" i="13"/>
  <c r="G514" s="1"/>
  <c r="I514" s="1"/>
  <c r="I514" i="3"/>
  <c r="J514"/>
  <c r="K514"/>
  <c r="M514"/>
  <c r="N514" s="1"/>
  <c r="F514"/>
  <c r="H515" i="6"/>
  <c r="I515"/>
  <c r="J515" i="12"/>
  <c r="K515" s="1"/>
  <c r="J515" i="17"/>
  <c r="K515"/>
  <c r="O515" s="1"/>
  <c r="L515"/>
  <c r="M515"/>
  <c r="F515" i="13"/>
  <c r="G515" s="1"/>
  <c r="I515" s="1"/>
  <c r="I515" i="3"/>
  <c r="J515"/>
  <c r="K515"/>
  <c r="M515"/>
  <c r="N515" s="1"/>
  <c r="F515"/>
  <c r="H516" i="6"/>
  <c r="I516"/>
  <c r="J516" i="12"/>
  <c r="K516" s="1"/>
  <c r="J516" i="17"/>
  <c r="K516"/>
  <c r="O516" s="1"/>
  <c r="L516"/>
  <c r="M516"/>
  <c r="F516" i="13"/>
  <c r="G516" s="1"/>
  <c r="I516" s="1"/>
  <c r="I516" i="3"/>
  <c r="J516"/>
  <c r="K516"/>
  <c r="M516"/>
  <c r="N516" s="1"/>
  <c r="F516"/>
  <c r="H517" i="6"/>
  <c r="I517"/>
  <c r="J517" i="12"/>
  <c r="K517" s="1"/>
  <c r="J517" i="17"/>
  <c r="K517"/>
  <c r="O517" s="1"/>
  <c r="L517"/>
  <c r="M517"/>
  <c r="F517" i="13"/>
  <c r="G517" s="1"/>
  <c r="I517" s="1"/>
  <c r="I517" i="3"/>
  <c r="J517"/>
  <c r="K517"/>
  <c r="M517"/>
  <c r="N517" s="1"/>
  <c r="F517"/>
  <c r="H518" i="6"/>
  <c r="I518"/>
  <c r="J518" i="12"/>
  <c r="K518" s="1"/>
  <c r="J518" i="17"/>
  <c r="K518"/>
  <c r="O518" s="1"/>
  <c r="L518"/>
  <c r="M518"/>
  <c r="F518" i="13"/>
  <c r="G518" s="1"/>
  <c r="I518" s="1"/>
  <c r="I518" i="3"/>
  <c r="J518"/>
  <c r="K518"/>
  <c r="M518"/>
  <c r="N518" s="1"/>
  <c r="F518"/>
  <c r="H519" i="6"/>
  <c r="I519"/>
  <c r="J519" i="12"/>
  <c r="K519" s="1"/>
  <c r="J519" i="17"/>
  <c r="K519"/>
  <c r="O519" s="1"/>
  <c r="L519"/>
  <c r="M519"/>
  <c r="F519" i="13"/>
  <c r="G519" s="1"/>
  <c r="I519" s="1"/>
  <c r="I519" i="3"/>
  <c r="J519"/>
  <c r="K519"/>
  <c r="M519"/>
  <c r="N519" s="1"/>
  <c r="F519"/>
  <c r="H520" i="6"/>
  <c r="I520"/>
  <c r="J520" i="12"/>
  <c r="K520" s="1"/>
  <c r="J520" i="17"/>
  <c r="K520"/>
  <c r="O520" s="1"/>
  <c r="L520"/>
  <c r="M520"/>
  <c r="F520" i="13"/>
  <c r="G520" s="1"/>
  <c r="I520" s="1"/>
  <c r="I520" i="3"/>
  <c r="J520"/>
  <c r="K520"/>
  <c r="M520"/>
  <c r="N520" s="1"/>
  <c r="F520"/>
  <c r="H521" i="6"/>
  <c r="I521"/>
  <c r="J521" i="12"/>
  <c r="K521" s="1"/>
  <c r="J521" i="17"/>
  <c r="K521"/>
  <c r="O521" s="1"/>
  <c r="L521"/>
  <c r="M521"/>
  <c r="F521" i="13"/>
  <c r="G521" s="1"/>
  <c r="I521" s="1"/>
  <c r="I521" i="3"/>
  <c r="J521"/>
  <c r="K521"/>
  <c r="M521"/>
  <c r="N521" s="1"/>
  <c r="F521"/>
  <c r="H522" i="6"/>
  <c r="I522"/>
  <c r="J522" i="12"/>
  <c r="K522" s="1"/>
  <c r="J522" i="17"/>
  <c r="K522"/>
  <c r="O522" s="1"/>
  <c r="L522"/>
  <c r="M522"/>
  <c r="F522" i="13"/>
  <c r="G522" s="1"/>
  <c r="I522" s="1"/>
  <c r="I522" i="3"/>
  <c r="J522"/>
  <c r="K522"/>
  <c r="M522"/>
  <c r="N522" s="1"/>
  <c r="F522"/>
  <c r="H523" i="6"/>
  <c r="I523"/>
  <c r="J523" i="12"/>
  <c r="K523" s="1"/>
  <c r="J523" i="17"/>
  <c r="K523"/>
  <c r="O523" s="1"/>
  <c r="L523"/>
  <c r="M523"/>
  <c r="F523" i="13"/>
  <c r="G523" s="1"/>
  <c r="I523" s="1"/>
  <c r="I523" i="3"/>
  <c r="J523"/>
  <c r="K523"/>
  <c r="M523"/>
  <c r="N523" s="1"/>
  <c r="F523"/>
  <c r="H524" i="6"/>
  <c r="I524"/>
  <c r="J524" i="12"/>
  <c r="K524" s="1"/>
  <c r="J524" i="17"/>
  <c r="K524"/>
  <c r="O524" s="1"/>
  <c r="L524"/>
  <c r="M524"/>
  <c r="F524" i="13"/>
  <c r="G524" s="1"/>
  <c r="I524" s="1"/>
  <c r="I524" i="3"/>
  <c r="J524"/>
  <c r="K524"/>
  <c r="M524"/>
  <c r="N524" s="1"/>
  <c r="F524"/>
  <c r="H525" i="6"/>
  <c r="I525"/>
  <c r="J525" i="12"/>
  <c r="K525" s="1"/>
  <c r="J525" i="17"/>
  <c r="K525"/>
  <c r="O525" s="1"/>
  <c r="L525"/>
  <c r="M525"/>
  <c r="F525" i="13"/>
  <c r="G525" s="1"/>
  <c r="I525" s="1"/>
  <c r="I525" i="3"/>
  <c r="J525"/>
  <c r="K525"/>
  <c r="M525"/>
  <c r="N525" s="1"/>
  <c r="F525"/>
  <c r="H526" i="6"/>
  <c r="I526"/>
  <c r="J526" i="12"/>
  <c r="K526" s="1"/>
  <c r="J526" i="17"/>
  <c r="K526"/>
  <c r="O526" s="1"/>
  <c r="L526"/>
  <c r="M526"/>
  <c r="F526" i="13"/>
  <c r="G526" s="1"/>
  <c r="I526" s="1"/>
  <c r="I526" i="3"/>
  <c r="J526"/>
  <c r="K526"/>
  <c r="M526"/>
  <c r="N526" s="1"/>
  <c r="F526"/>
  <c r="H527" i="6"/>
  <c r="I527"/>
  <c r="J527" i="12"/>
  <c r="K527" s="1"/>
  <c r="J527" i="17"/>
  <c r="K527"/>
  <c r="O527" s="1"/>
  <c r="L527"/>
  <c r="M527"/>
  <c r="F527" i="13"/>
  <c r="G527" s="1"/>
  <c r="I527" s="1"/>
  <c r="I527" i="3"/>
  <c r="J527"/>
  <c r="K527"/>
  <c r="M527"/>
  <c r="N527" s="1"/>
  <c r="F527"/>
  <c r="H528" i="6"/>
  <c r="I528"/>
  <c r="J528" i="12"/>
  <c r="K528" s="1"/>
  <c r="J528" i="17"/>
  <c r="K528"/>
  <c r="O528" s="1"/>
  <c r="L528"/>
  <c r="M528"/>
  <c r="F528" i="13"/>
  <c r="G528" s="1"/>
  <c r="I528" s="1"/>
  <c r="I528" i="3"/>
  <c r="J528"/>
  <c r="K528"/>
  <c r="M528"/>
  <c r="N528" s="1"/>
  <c r="F528"/>
  <c r="H529" i="6"/>
  <c r="I529"/>
  <c r="J529" i="12"/>
  <c r="K529" s="1"/>
  <c r="J529" i="17"/>
  <c r="K529"/>
  <c r="O529" s="1"/>
  <c r="L529"/>
  <c r="M529"/>
  <c r="F529" i="13"/>
  <c r="G529" s="1"/>
  <c r="I529" s="1"/>
  <c r="I529" i="3"/>
  <c r="J529"/>
  <c r="K529"/>
  <c r="M529"/>
  <c r="N529" s="1"/>
  <c r="F529"/>
  <c r="H530" i="6"/>
  <c r="I530"/>
  <c r="J530" i="12"/>
  <c r="K530" s="1"/>
  <c r="J530" i="17"/>
  <c r="K530"/>
  <c r="O530" s="1"/>
  <c r="L530"/>
  <c r="M530"/>
  <c r="F530" i="13"/>
  <c r="G530" s="1"/>
  <c r="I530" s="1"/>
  <c r="I530" i="3"/>
  <c r="J530"/>
  <c r="K530"/>
  <c r="M530"/>
  <c r="N530" s="1"/>
  <c r="F530"/>
  <c r="H531" i="6"/>
  <c r="I531"/>
  <c r="J531" i="12"/>
  <c r="K531" s="1"/>
  <c r="J531" i="17"/>
  <c r="K531"/>
  <c r="O531" s="1"/>
  <c r="L531"/>
  <c r="M531"/>
  <c r="F531" i="13"/>
  <c r="G531" s="1"/>
  <c r="I531" s="1"/>
  <c r="I531" i="3"/>
  <c r="J531"/>
  <c r="K531"/>
  <c r="M531"/>
  <c r="N531" s="1"/>
  <c r="F531"/>
  <c r="H532" i="6"/>
  <c r="I532"/>
  <c r="J532" i="12"/>
  <c r="K532" s="1"/>
  <c r="J532" i="17"/>
  <c r="K532"/>
  <c r="O532" s="1"/>
  <c r="L532"/>
  <c r="M532"/>
  <c r="F532" i="13"/>
  <c r="G532" s="1"/>
  <c r="I532" s="1"/>
  <c r="I532" i="3"/>
  <c r="J532"/>
  <c r="K532"/>
  <c r="M532"/>
  <c r="N532" s="1"/>
  <c r="F532"/>
  <c r="H533" i="6"/>
  <c r="I533"/>
  <c r="J533" i="12"/>
  <c r="K533" s="1"/>
  <c r="J533" i="17"/>
  <c r="K533"/>
  <c r="O533" s="1"/>
  <c r="L533"/>
  <c r="M533"/>
  <c r="F533" i="13"/>
  <c r="G533" s="1"/>
  <c r="I533" s="1"/>
  <c r="I533" i="3"/>
  <c r="J533"/>
  <c r="K533"/>
  <c r="M533"/>
  <c r="N533" s="1"/>
  <c r="F533"/>
  <c r="F534" i="6"/>
  <c r="G534"/>
  <c r="K534"/>
  <c r="H534"/>
  <c r="I534"/>
  <c r="J534" i="17"/>
  <c r="K534"/>
  <c r="O534"/>
  <c r="L534"/>
  <c r="M534"/>
  <c r="F534" i="13"/>
  <c r="G534" s="1"/>
  <c r="I534" s="1"/>
  <c r="I534" i="3"/>
  <c r="J534"/>
  <c r="K534"/>
  <c r="M534"/>
  <c r="N534" s="1"/>
  <c r="F534"/>
  <c r="J69" i="12"/>
  <c r="K69"/>
  <c r="O69" s="1"/>
  <c r="L69"/>
  <c r="M69"/>
  <c r="J69" i="17"/>
  <c r="K69"/>
  <c r="O69" s="1"/>
  <c r="L69"/>
  <c r="M69"/>
  <c r="J70" i="12"/>
  <c r="K70"/>
  <c r="O70" s="1"/>
  <c r="L70"/>
  <c r="M70"/>
  <c r="J70" i="17"/>
  <c r="K70"/>
  <c r="O70" s="1"/>
  <c r="L70"/>
  <c r="M70"/>
  <c r="J71" i="12"/>
  <c r="K71"/>
  <c r="O71" s="1"/>
  <c r="L71"/>
  <c r="M71"/>
  <c r="J71" i="17"/>
  <c r="K71"/>
  <c r="O71" s="1"/>
  <c r="L71"/>
  <c r="M71"/>
  <c r="J72" i="12"/>
  <c r="K72"/>
  <c r="O72" s="1"/>
  <c r="L72"/>
  <c r="M72"/>
  <c r="J72" i="17"/>
  <c r="K72"/>
  <c r="O72" s="1"/>
  <c r="L72"/>
  <c r="M72"/>
  <c r="J73" i="12"/>
  <c r="K73"/>
  <c r="O73" s="1"/>
  <c r="L73"/>
  <c r="M73"/>
  <c r="J73" i="17"/>
  <c r="K73"/>
  <c r="O73" s="1"/>
  <c r="L73"/>
  <c r="M73"/>
  <c r="J74" i="12"/>
  <c r="K74"/>
  <c r="O74" s="1"/>
  <c r="L74"/>
  <c r="M74"/>
  <c r="J74" i="17"/>
  <c r="K74"/>
  <c r="O74" s="1"/>
  <c r="L74"/>
  <c r="M74"/>
  <c r="J75" i="12"/>
  <c r="K75"/>
  <c r="O75" s="1"/>
  <c r="L75"/>
  <c r="M75"/>
  <c r="J75" i="17"/>
  <c r="K75"/>
  <c r="O75" s="1"/>
  <c r="L75"/>
  <c r="M75"/>
  <c r="J76" i="12"/>
  <c r="K76"/>
  <c r="O76" s="1"/>
  <c r="L76"/>
  <c r="M76"/>
  <c r="J76" i="17"/>
  <c r="K76"/>
  <c r="O76" s="1"/>
  <c r="L76"/>
  <c r="M76"/>
  <c r="J77" i="12"/>
  <c r="K77"/>
  <c r="O77" s="1"/>
  <c r="L77"/>
  <c r="M77"/>
  <c r="J77" i="17"/>
  <c r="K77"/>
  <c r="O77" s="1"/>
  <c r="L77"/>
  <c r="M77"/>
  <c r="J78" i="12"/>
  <c r="K78"/>
  <c r="O78" s="1"/>
  <c r="L78"/>
  <c r="M78"/>
  <c r="J78" i="17"/>
  <c r="K78"/>
  <c r="O78" s="1"/>
  <c r="L78"/>
  <c r="M78"/>
  <c r="J79" i="12"/>
  <c r="K79"/>
  <c r="O79" s="1"/>
  <c r="L79"/>
  <c r="M79"/>
  <c r="J79" i="17"/>
  <c r="K79"/>
  <c r="O79" s="1"/>
  <c r="L79"/>
  <c r="M79"/>
  <c r="J80" i="12"/>
  <c r="K80"/>
  <c r="O80" s="1"/>
  <c r="L80"/>
  <c r="M80"/>
  <c r="J80" i="17"/>
  <c r="K80"/>
  <c r="O80" s="1"/>
  <c r="L80"/>
  <c r="M80"/>
  <c r="J81" i="12"/>
  <c r="K81"/>
  <c r="O81" s="1"/>
  <c r="L81"/>
  <c r="M81"/>
  <c r="J81" i="17"/>
  <c r="K81"/>
  <c r="O81" s="1"/>
  <c r="L81"/>
  <c r="M81"/>
  <c r="J82" i="12"/>
  <c r="K82"/>
  <c r="O82" s="1"/>
  <c r="L82"/>
  <c r="M82"/>
  <c r="J82" i="17"/>
  <c r="K82"/>
  <c r="O82" s="1"/>
  <c r="L82"/>
  <c r="M82"/>
  <c r="J83" i="12"/>
  <c r="K83"/>
  <c r="O83" s="1"/>
  <c r="L83"/>
  <c r="M83"/>
  <c r="J83" i="17"/>
  <c r="K83"/>
  <c r="O83" s="1"/>
  <c r="L83"/>
  <c r="M83"/>
  <c r="J84" i="12"/>
  <c r="K84"/>
  <c r="O84" s="1"/>
  <c r="L84"/>
  <c r="M84"/>
  <c r="J84" i="17"/>
  <c r="K84"/>
  <c r="O84" s="1"/>
  <c r="L84"/>
  <c r="M84"/>
  <c r="J85" i="12"/>
  <c r="K85"/>
  <c r="O85" s="1"/>
  <c r="L85"/>
  <c r="M85"/>
  <c r="J85" i="17"/>
  <c r="K85"/>
  <c r="O85" s="1"/>
  <c r="L85"/>
  <c r="M85"/>
  <c r="J86" i="12"/>
  <c r="K86"/>
  <c r="O86" s="1"/>
  <c r="L86"/>
  <c r="M86"/>
  <c r="J86" i="17"/>
  <c r="K86"/>
  <c r="O86" s="1"/>
  <c r="L86"/>
  <c r="M86"/>
  <c r="J87" i="12"/>
  <c r="K87"/>
  <c r="O87" s="1"/>
  <c r="L87"/>
  <c r="M87"/>
  <c r="J87" i="17"/>
  <c r="K87"/>
  <c r="O87" s="1"/>
  <c r="L87"/>
  <c r="M87"/>
  <c r="J88"/>
  <c r="K88"/>
  <c r="O88"/>
  <c r="L88"/>
  <c r="M88"/>
  <c r="J89"/>
  <c r="K89"/>
  <c r="O89" s="1"/>
  <c r="L89"/>
  <c r="M89"/>
  <c r="J882"/>
  <c r="K882"/>
  <c r="O882" s="1"/>
  <c r="J883"/>
  <c r="K883"/>
  <c r="O883" s="1"/>
  <c r="J884"/>
  <c r="K884"/>
  <c r="O884" s="1"/>
  <c r="J885"/>
  <c r="K885"/>
  <c r="O885" s="1"/>
  <c r="J886"/>
  <c r="K886"/>
  <c r="O886" s="1"/>
  <c r="J887"/>
  <c r="K887"/>
  <c r="O887" s="1"/>
  <c r="J888"/>
  <c r="K888"/>
  <c r="O888" s="1"/>
  <c r="J890"/>
  <c r="K890"/>
  <c r="O890" s="1"/>
  <c r="J891"/>
  <c r="K891"/>
  <c r="O891" s="1"/>
  <c r="J892"/>
  <c r="K892"/>
  <c r="O892" s="1"/>
  <c r="J893"/>
  <c r="K893"/>
  <c r="O893" s="1"/>
  <c r="J894"/>
  <c r="K894"/>
  <c r="O894" s="1"/>
  <c r="J895"/>
  <c r="K895"/>
  <c r="O895" s="1"/>
  <c r="J896"/>
  <c r="K896"/>
  <c r="O896" s="1"/>
  <c r="J897"/>
  <c r="K897"/>
  <c r="O897" s="1"/>
  <c r="J898"/>
  <c r="K898"/>
  <c r="O898" s="1"/>
  <c r="J899"/>
  <c r="K899"/>
  <c r="O899" s="1"/>
  <c r="J900"/>
  <c r="K900"/>
  <c r="O900" s="1"/>
  <c r="J901"/>
  <c r="K901"/>
  <c r="O901" s="1"/>
  <c r="J902"/>
  <c r="K902"/>
  <c r="O902" s="1"/>
  <c r="J903"/>
  <c r="K903"/>
  <c r="O903" s="1"/>
  <c r="J904"/>
  <c r="K904"/>
  <c r="O904" s="1"/>
  <c r="J905"/>
  <c r="K905"/>
  <c r="O905" s="1"/>
  <c r="J906"/>
  <c r="K906"/>
  <c r="O906" s="1"/>
  <c r="J907"/>
  <c r="K907"/>
  <c r="O907" s="1"/>
  <c r="J908"/>
  <c r="K908"/>
  <c r="O908" s="1"/>
  <c r="J909"/>
  <c r="K909"/>
  <c r="O909" s="1"/>
  <c r="J910"/>
  <c r="K910"/>
  <c r="O910" s="1"/>
  <c r="J911"/>
  <c r="K911"/>
  <c r="O911" s="1"/>
  <c r="J912"/>
  <c r="K912"/>
  <c r="O912" s="1"/>
  <c r="J913"/>
  <c r="K913"/>
  <c r="O913" s="1"/>
  <c r="J914"/>
  <c r="K914"/>
  <c r="O914" s="1"/>
  <c r="J915"/>
  <c r="K915"/>
  <c r="O915" s="1"/>
  <c r="J916"/>
  <c r="K916"/>
  <c r="O916" s="1"/>
  <c r="J917"/>
  <c r="K917"/>
  <c r="O917" s="1"/>
  <c r="J918"/>
  <c r="K918"/>
  <c r="O918" s="1"/>
  <c r="J919"/>
  <c r="K919"/>
  <c r="O919" s="1"/>
  <c r="J920"/>
  <c r="K920"/>
  <c r="O920" s="1"/>
  <c r="J921"/>
  <c r="K921"/>
  <c r="O921" s="1"/>
  <c r="J922"/>
  <c r="K922"/>
  <c r="O922" s="1"/>
  <c r="J923"/>
  <c r="K923"/>
  <c r="O923" s="1"/>
  <c r="J924"/>
  <c r="K924"/>
  <c r="O924" s="1"/>
  <c r="J925"/>
  <c r="K925"/>
  <c r="O925" s="1"/>
  <c r="J926"/>
  <c r="K926"/>
  <c r="O926" s="1"/>
  <c r="J927"/>
  <c r="K927"/>
  <c r="O927" s="1"/>
  <c r="J928"/>
  <c r="K928"/>
  <c r="O928" s="1"/>
  <c r="J929"/>
  <c r="K929"/>
  <c r="O929" s="1"/>
  <c r="J930"/>
  <c r="K930"/>
  <c r="O930" s="1"/>
  <c r="J931"/>
  <c r="K931"/>
  <c r="O931" s="1"/>
  <c r="J932"/>
  <c r="K932"/>
  <c r="O932" s="1"/>
  <c r="J933"/>
  <c r="K933"/>
  <c r="O933" s="1"/>
  <c r="J934"/>
  <c r="K934"/>
  <c r="O934" s="1"/>
  <c r="J935"/>
  <c r="K935"/>
  <c r="O935" s="1"/>
  <c r="J936"/>
  <c r="K936"/>
  <c r="O936" s="1"/>
  <c r="J937"/>
  <c r="K937"/>
  <c r="O937" s="1"/>
  <c r="J938"/>
  <c r="K938"/>
  <c r="O938" s="1"/>
  <c r="J939"/>
  <c r="K939"/>
  <c r="O939" s="1"/>
  <c r="J940"/>
  <c r="K940"/>
  <c r="O940" s="1"/>
  <c r="J941"/>
  <c r="K941"/>
  <c r="O941" s="1"/>
  <c r="J942"/>
  <c r="K942"/>
  <c r="O942" s="1"/>
  <c r="J943"/>
  <c r="K943"/>
  <c r="O943" s="1"/>
  <c r="J944"/>
  <c r="K944"/>
  <c r="O944" s="1"/>
  <c r="J945"/>
  <c r="K945"/>
  <c r="O945" s="1"/>
  <c r="J946"/>
  <c r="K946"/>
  <c r="O946" s="1"/>
  <c r="J947"/>
  <c r="K947"/>
  <c r="O947" s="1"/>
  <c r="J948"/>
  <c r="K948"/>
  <c r="O948" s="1"/>
  <c r="J949"/>
  <c r="K949"/>
  <c r="O949" s="1"/>
  <c r="J950"/>
  <c r="K950"/>
  <c r="O950" s="1"/>
  <c r="J951"/>
  <c r="K951"/>
  <c r="O951" s="1"/>
  <c r="J952"/>
  <c r="K952"/>
  <c r="O952" s="1"/>
  <c r="J953"/>
  <c r="K953"/>
  <c r="O953" s="1"/>
  <c r="J954"/>
  <c r="K954"/>
  <c r="O954" s="1"/>
  <c r="J955"/>
  <c r="K955"/>
  <c r="O955" s="1"/>
  <c r="J956"/>
  <c r="K956"/>
  <c r="O956" s="1"/>
  <c r="J957"/>
  <c r="K957"/>
  <c r="O957" s="1"/>
  <c r="J958"/>
  <c r="K958"/>
  <c r="O958" s="1"/>
  <c r="J959"/>
  <c r="K959"/>
  <c r="O959" s="1"/>
  <c r="J960"/>
  <c r="K960"/>
  <c r="O960" s="1"/>
  <c r="J961"/>
  <c r="K961"/>
  <c r="O961" s="1"/>
  <c r="J962"/>
  <c r="K962"/>
  <c r="O962" s="1"/>
  <c r="J963"/>
  <c r="K963"/>
  <c r="O963" s="1"/>
  <c r="J964"/>
  <c r="K964"/>
  <c r="O964" s="1"/>
  <c r="J965"/>
  <c r="K965"/>
  <c r="O965" s="1"/>
  <c r="J966"/>
  <c r="K966"/>
  <c r="O966" s="1"/>
  <c r="J967"/>
  <c r="K967"/>
  <c r="O967" s="1"/>
  <c r="J968"/>
  <c r="K968"/>
  <c r="O968" s="1"/>
  <c r="J969"/>
  <c r="K969"/>
  <c r="O969" s="1"/>
  <c r="J970"/>
  <c r="K970"/>
  <c r="O970" s="1"/>
  <c r="J971"/>
  <c r="K971"/>
  <c r="O971" s="1"/>
  <c r="J972"/>
  <c r="K972"/>
  <c r="O972" s="1"/>
  <c r="J973"/>
  <c r="K973"/>
  <c r="O973" s="1"/>
  <c r="J974"/>
  <c r="K974"/>
  <c r="O974" s="1"/>
  <c r="J975"/>
  <c r="K975"/>
  <c r="O975" s="1"/>
  <c r="J976"/>
  <c r="K976"/>
  <c r="O976" s="1"/>
  <c r="J977"/>
  <c r="K977"/>
  <c r="O977" s="1"/>
  <c r="J978"/>
  <c r="K978"/>
  <c r="O978" s="1"/>
  <c r="J979"/>
  <c r="K979"/>
  <c r="O979" s="1"/>
  <c r="J980"/>
  <c r="K980"/>
  <c r="O980" s="1"/>
  <c r="J981"/>
  <c r="K981"/>
  <c r="O981" s="1"/>
  <c r="J982"/>
  <c r="K982"/>
  <c r="O982" s="1"/>
  <c r="J983"/>
  <c r="K983"/>
  <c r="O983" s="1"/>
  <c r="J984"/>
  <c r="K984"/>
  <c r="O984" s="1"/>
  <c r="J985"/>
  <c r="K985"/>
  <c r="O985" s="1"/>
  <c r="J986"/>
  <c r="K986"/>
  <c r="O986" s="1"/>
  <c r="J987"/>
  <c r="K987"/>
  <c r="O987" s="1"/>
  <c r="J988"/>
  <c r="K988"/>
  <c r="O988" s="1"/>
  <c r="J989"/>
  <c r="K989"/>
  <c r="O989" s="1"/>
  <c r="J990"/>
  <c r="K990"/>
  <c r="O990" s="1"/>
  <c r="J991"/>
  <c r="K991"/>
  <c r="O991" s="1"/>
  <c r="J992"/>
  <c r="K992"/>
  <c r="O992" s="1"/>
  <c r="J993"/>
  <c r="K993"/>
  <c r="O993" s="1"/>
  <c r="J994"/>
  <c r="K994"/>
  <c r="O994" s="1"/>
  <c r="J995"/>
  <c r="K995"/>
  <c r="O995" s="1"/>
  <c r="J996"/>
  <c r="K996"/>
  <c r="O996" s="1"/>
  <c r="J997"/>
  <c r="K997"/>
  <c r="O997" s="1"/>
  <c r="J998"/>
  <c r="K998"/>
  <c r="O998" s="1"/>
  <c r="J999"/>
  <c r="K999"/>
  <c r="O999" s="1"/>
  <c r="J1000"/>
  <c r="K1000"/>
  <c r="O1000" s="1"/>
  <c r="J1001"/>
  <c r="K1001"/>
  <c r="O1001" s="1"/>
  <c r="J1002"/>
  <c r="K1002"/>
  <c r="O1002" s="1"/>
  <c r="J1003"/>
  <c r="K1003"/>
  <c r="O1003" s="1"/>
  <c r="J1004"/>
  <c r="K1004"/>
  <c r="O1004" s="1"/>
  <c r="J1005"/>
  <c r="K1005"/>
  <c r="O1005" s="1"/>
  <c r="J1006"/>
  <c r="K1006"/>
  <c r="O1006" s="1"/>
  <c r="J1007"/>
  <c r="K1007"/>
  <c r="O1007" s="1"/>
  <c r="J1008"/>
  <c r="K1008"/>
  <c r="O1008" s="1"/>
  <c r="J1009"/>
  <c r="K1009"/>
  <c r="O1009" s="1"/>
  <c r="J1010"/>
  <c r="K1010"/>
  <c r="O1010" s="1"/>
  <c r="J1011"/>
  <c r="K1011"/>
  <c r="O1011" s="1"/>
  <c r="J1012"/>
  <c r="K1012"/>
  <c r="O1012" s="1"/>
  <c r="J1013"/>
  <c r="K1013"/>
  <c r="O1013" s="1"/>
  <c r="J1014"/>
  <c r="K1014"/>
  <c r="O1014" s="1"/>
  <c r="J1015"/>
  <c r="K1015"/>
  <c r="O1015" s="1"/>
  <c r="J1016"/>
  <c r="K1016"/>
  <c r="O1016" s="1"/>
  <c r="J1017"/>
  <c r="K1017"/>
  <c r="O1017" s="1"/>
  <c r="J1018"/>
  <c r="K1018"/>
  <c r="O1018" s="1"/>
  <c r="J1019"/>
  <c r="K1019"/>
  <c r="O1019" s="1"/>
  <c r="J1020"/>
  <c r="K1020"/>
  <c r="O1020" s="1"/>
  <c r="J1021"/>
  <c r="K1021"/>
  <c r="O1021" s="1"/>
  <c r="J1022"/>
  <c r="K1022"/>
  <c r="O1022" s="1"/>
  <c r="J1023"/>
  <c r="K1023"/>
  <c r="O1023" s="1"/>
  <c r="J1024"/>
  <c r="K1024"/>
  <c r="O1024" s="1"/>
  <c r="J1025"/>
  <c r="K1025"/>
  <c r="O1025" s="1"/>
  <c r="J1026"/>
  <c r="K1026"/>
  <c r="O1026" s="1"/>
  <c r="J1027"/>
  <c r="K1027"/>
  <c r="O1027" s="1"/>
  <c r="J1028"/>
  <c r="K1028"/>
  <c r="O1028" s="1"/>
  <c r="J1029"/>
  <c r="K1029"/>
  <c r="O1029" s="1"/>
  <c r="J1030"/>
  <c r="K1030"/>
  <c r="O1030" s="1"/>
  <c r="J1031"/>
  <c r="K1031"/>
  <c r="O1031" s="1"/>
  <c r="J1032"/>
  <c r="K1032"/>
  <c r="O1032" s="1"/>
  <c r="J1033"/>
  <c r="K1033"/>
  <c r="O1033" s="1"/>
  <c r="J1034"/>
  <c r="K1034"/>
  <c r="O1034" s="1"/>
  <c r="J1035"/>
  <c r="K1035"/>
  <c r="O1035" s="1"/>
  <c r="J1036"/>
  <c r="K1036"/>
  <c r="O1036" s="1"/>
  <c r="J1037"/>
  <c r="K1037"/>
  <c r="O1037" s="1"/>
  <c r="J1038"/>
  <c r="K1038"/>
  <c r="O1038" s="1"/>
  <c r="J1039"/>
  <c r="K1039"/>
  <c r="O1039" s="1"/>
  <c r="J1040"/>
  <c r="K1040"/>
  <c r="O1040" s="1"/>
  <c r="J1041"/>
  <c r="K1041"/>
  <c r="O1041" s="1"/>
  <c r="J1042"/>
  <c r="K1042"/>
  <c r="O1042" s="1"/>
  <c r="J1043"/>
  <c r="K1043"/>
  <c r="O1043" s="1"/>
  <c r="J1044"/>
  <c r="K1044"/>
  <c r="O1044" s="1"/>
  <c r="J1045"/>
  <c r="K1045"/>
  <c r="O1045" s="1"/>
  <c r="J1046"/>
  <c r="K1046"/>
  <c r="O1046" s="1"/>
  <c r="J1047"/>
  <c r="K1047"/>
  <c r="O1047" s="1"/>
  <c r="J1048"/>
  <c r="K1048"/>
  <c r="O1048" s="1"/>
  <c r="J1049"/>
  <c r="K1049"/>
  <c r="O1049" s="1"/>
  <c r="J1050"/>
  <c r="K1050"/>
  <c r="O1050" s="1"/>
  <c r="J1051"/>
  <c r="K1051"/>
  <c r="O1051" s="1"/>
  <c r="J1052"/>
  <c r="K1052"/>
  <c r="O1052" s="1"/>
  <c r="J1053"/>
  <c r="K1053"/>
  <c r="O1053" s="1"/>
  <c r="J1054"/>
  <c r="K1054"/>
  <c r="O1054" s="1"/>
  <c r="J1055"/>
  <c r="K1055"/>
  <c r="O1055" s="1"/>
  <c r="J1056"/>
  <c r="K1056"/>
  <c r="O1056" s="1"/>
  <c r="J1057"/>
  <c r="K1057"/>
  <c r="O1057" s="1"/>
  <c r="J1058"/>
  <c r="K1058"/>
  <c r="O1058" s="1"/>
  <c r="J1059"/>
  <c r="K1059"/>
  <c r="O1059" s="1"/>
  <c r="J1060"/>
  <c r="K1060"/>
  <c r="O1060" s="1"/>
  <c r="J1061"/>
  <c r="K1061"/>
  <c r="O1061" s="1"/>
  <c r="J1062"/>
  <c r="K1062"/>
  <c r="O1062" s="1"/>
  <c r="J1063"/>
  <c r="K1063"/>
  <c r="O1063" s="1"/>
  <c r="J1064"/>
  <c r="K1064"/>
  <c r="O1064" s="1"/>
  <c r="J1065"/>
  <c r="K1065"/>
  <c r="O1065" s="1"/>
  <c r="J1066"/>
  <c r="K1066"/>
  <c r="O1066" s="1"/>
  <c r="J1067"/>
  <c r="K1067"/>
  <c r="O1067" s="1"/>
  <c r="J1068"/>
  <c r="K1068"/>
  <c r="O1068" s="1"/>
  <c r="J1069"/>
  <c r="K1069"/>
  <c r="O1069" s="1"/>
  <c r="J1070"/>
  <c r="K1070"/>
  <c r="O1070" s="1"/>
  <c r="J1071"/>
  <c r="K1071"/>
  <c r="O1071" s="1"/>
  <c r="J1072"/>
  <c r="K1072"/>
  <c r="O1072" s="1"/>
  <c r="J1073"/>
  <c r="K1073"/>
  <c r="O1073" s="1"/>
  <c r="J1074"/>
  <c r="K1074"/>
  <c r="O1074" s="1"/>
  <c r="J1075"/>
  <c r="K1075"/>
  <c r="O1075" s="1"/>
  <c r="J1076"/>
  <c r="K1076"/>
  <c r="O1076" s="1"/>
  <c r="J1077"/>
  <c r="K1077"/>
  <c r="O1077" s="1"/>
  <c r="J1078"/>
  <c r="K1078"/>
  <c r="O1078" s="1"/>
  <c r="J1079"/>
  <c r="K1079"/>
  <c r="O1079" s="1"/>
  <c r="J1080"/>
  <c r="K1080"/>
  <c r="O1080" s="1"/>
  <c r="J1081"/>
  <c r="K1081"/>
  <c r="O1081" s="1"/>
  <c r="J1082"/>
  <c r="K1082"/>
  <c r="O1082" s="1"/>
  <c r="J1083"/>
  <c r="K1083"/>
  <c r="O1083" s="1"/>
  <c r="J1084"/>
  <c r="K1084"/>
  <c r="O1084" s="1"/>
  <c r="J1085"/>
  <c r="K1085"/>
  <c r="O1085" s="1"/>
  <c r="J1086"/>
  <c r="K1086"/>
  <c r="O1086" s="1"/>
  <c r="J1087"/>
  <c r="K1087"/>
  <c r="O1087" s="1"/>
  <c r="J1088"/>
  <c r="K1088"/>
  <c r="O1088" s="1"/>
  <c r="J1089"/>
  <c r="K1089"/>
  <c r="O1089" s="1"/>
  <c r="J1090"/>
  <c r="K1090"/>
  <c r="O1090" s="1"/>
  <c r="J1091"/>
  <c r="K1091"/>
  <c r="O1091" s="1"/>
  <c r="J1092"/>
  <c r="K1092"/>
  <c r="O1092" s="1"/>
  <c r="J1093"/>
  <c r="K1093"/>
  <c r="O1093" s="1"/>
  <c r="J1094"/>
  <c r="K1094"/>
  <c r="O1094" s="1"/>
  <c r="J1095"/>
  <c r="K1095"/>
  <c r="O1095" s="1"/>
  <c r="J1096"/>
  <c r="K1096"/>
  <c r="O1096" s="1"/>
  <c r="J1097"/>
  <c r="K1097"/>
  <c r="O1097" s="1"/>
  <c r="J1098"/>
  <c r="K1098"/>
  <c r="O1098" s="1"/>
  <c r="J1099"/>
  <c r="K1099"/>
  <c r="O1099" s="1"/>
  <c r="J1100"/>
  <c r="K1100"/>
  <c r="O1100" s="1"/>
  <c r="J1101"/>
  <c r="K1101"/>
  <c r="O1101" s="1"/>
  <c r="J1102"/>
  <c r="K1102"/>
  <c r="O1102" s="1"/>
  <c r="J1103"/>
  <c r="K1103"/>
  <c r="O1103" s="1"/>
  <c r="J1104"/>
  <c r="K1104"/>
  <c r="O1104" s="1"/>
  <c r="J1105"/>
  <c r="K1105"/>
  <c r="O1105" s="1"/>
  <c r="J1106"/>
  <c r="K1106"/>
  <c r="O1106" s="1"/>
  <c r="J1107"/>
  <c r="K1107"/>
  <c r="O1107" s="1"/>
  <c r="J1108"/>
  <c r="K1108"/>
  <c r="O1108" s="1"/>
  <c r="J1109"/>
  <c r="K1109"/>
  <c r="O1109" s="1"/>
  <c r="J1110"/>
  <c r="K1110"/>
  <c r="O1110" s="1"/>
  <c r="J1111"/>
  <c r="K1111"/>
  <c r="O1111" s="1"/>
  <c r="J1112"/>
  <c r="K1112"/>
  <c r="O1112" s="1"/>
  <c r="J1113"/>
  <c r="K1113"/>
  <c r="O1113" s="1"/>
  <c r="J1114"/>
  <c r="K1114"/>
  <c r="O1114" s="1"/>
  <c r="J1115"/>
  <c r="K1115"/>
  <c r="O1115" s="1"/>
  <c r="J1116"/>
  <c r="K1116"/>
  <c r="O1116" s="1"/>
  <c r="J1117"/>
  <c r="K1117"/>
  <c r="O1117" s="1"/>
  <c r="J1118"/>
  <c r="K1118"/>
  <c r="O1118" s="1"/>
  <c r="J1119"/>
  <c r="K1119"/>
  <c r="O1119" s="1"/>
  <c r="J1120"/>
  <c r="K1120"/>
  <c r="O1120" s="1"/>
  <c r="J1121"/>
  <c r="K1121"/>
  <c r="O1121" s="1"/>
  <c r="J1122"/>
  <c r="K1122"/>
  <c r="O1122" s="1"/>
  <c r="J1123"/>
  <c r="K1123"/>
  <c r="O1123" s="1"/>
  <c r="J1124"/>
  <c r="K1124"/>
  <c r="O1124" s="1"/>
  <c r="J1125"/>
  <c r="K1125"/>
  <c r="O1125" s="1"/>
  <c r="J1126"/>
  <c r="K1126"/>
  <c r="O1126" s="1"/>
  <c r="J1127"/>
  <c r="K1127"/>
  <c r="O1127" s="1"/>
  <c r="J1128"/>
  <c r="K1128"/>
  <c r="O1128" s="1"/>
  <c r="J1129"/>
  <c r="K1129"/>
  <c r="O1129" s="1"/>
  <c r="J1130"/>
  <c r="K1130"/>
  <c r="O1130" s="1"/>
  <c r="J1131"/>
  <c r="K1131"/>
  <c r="O1131" s="1"/>
  <c r="J1132"/>
  <c r="K1132"/>
  <c r="O1132" s="1"/>
  <c r="J1133"/>
  <c r="K1133"/>
  <c r="O1133" s="1"/>
  <c r="J1134"/>
  <c r="K1134"/>
  <c r="O1134" s="1"/>
  <c r="J1135"/>
  <c r="K1135"/>
  <c r="O1135" s="1"/>
  <c r="J1136"/>
  <c r="K1136"/>
  <c r="O1136" s="1"/>
  <c r="J1137"/>
  <c r="K1137"/>
  <c r="O1137" s="1"/>
  <c r="J1138"/>
  <c r="K1138"/>
  <c r="O1138" s="1"/>
  <c r="J1139"/>
  <c r="K1139"/>
  <c r="O1139" s="1"/>
  <c r="J1140"/>
  <c r="K1140"/>
  <c r="O1140" s="1"/>
  <c r="J1141"/>
  <c r="K1141"/>
  <c r="O1141" s="1"/>
  <c r="J1142"/>
  <c r="K1142"/>
  <c r="O1142" s="1"/>
  <c r="J1143"/>
  <c r="K1143"/>
  <c r="O1143" s="1"/>
  <c r="J1144"/>
  <c r="K1144"/>
  <c r="O1144" s="1"/>
  <c r="J1145"/>
  <c r="K1145"/>
  <c r="O1145" s="1"/>
  <c r="J881"/>
  <c r="J1146" s="1"/>
  <c r="K1146" s="1"/>
  <c r="K881"/>
  <c r="O881" s="1"/>
  <c r="J749"/>
  <c r="J538"/>
  <c r="K538" s="1"/>
  <c r="J539"/>
  <c r="K539" s="1"/>
  <c r="J540"/>
  <c r="K540" s="1"/>
  <c r="J541"/>
  <c r="K541" s="1"/>
  <c r="J542"/>
  <c r="K542" s="1"/>
  <c r="J543"/>
  <c r="K543" s="1"/>
  <c r="J544"/>
  <c r="K544" s="1"/>
  <c r="J545"/>
  <c r="K545" s="1"/>
  <c r="J546"/>
  <c r="K546" s="1"/>
  <c r="J547"/>
  <c r="K547" s="1"/>
  <c r="J548"/>
  <c r="K548" s="1"/>
  <c r="J549"/>
  <c r="K549" s="1"/>
  <c r="J550"/>
  <c r="K550" s="1"/>
  <c r="J551"/>
  <c r="K551" s="1"/>
  <c r="J552"/>
  <c r="K552" s="1"/>
  <c r="J553"/>
  <c r="K553" s="1"/>
  <c r="J554"/>
  <c r="K554" s="1"/>
  <c r="J555"/>
  <c r="K555" s="1"/>
  <c r="J556"/>
  <c r="K556" s="1"/>
  <c r="J557"/>
  <c r="K557" s="1"/>
  <c r="J558"/>
  <c r="K558" s="1"/>
  <c r="J559"/>
  <c r="K559" s="1"/>
  <c r="J560"/>
  <c r="K560" s="1"/>
  <c r="J561"/>
  <c r="K561" s="1"/>
  <c r="J562"/>
  <c r="K562" s="1"/>
  <c r="J563"/>
  <c r="K563" s="1"/>
  <c r="J564"/>
  <c r="K564" s="1"/>
  <c r="J565"/>
  <c r="K565" s="1"/>
  <c r="J566"/>
  <c r="K566" s="1"/>
  <c r="J567"/>
  <c r="K567" s="1"/>
  <c r="J568"/>
  <c r="K568" s="1"/>
  <c r="J569"/>
  <c r="K569" s="1"/>
  <c r="J570"/>
  <c r="K570" s="1"/>
  <c r="J571"/>
  <c r="K571" s="1"/>
  <c r="J572"/>
  <c r="K572" s="1"/>
  <c r="J573"/>
  <c r="K573" s="1"/>
  <c r="J574"/>
  <c r="K574" s="1"/>
  <c r="J575"/>
  <c r="K575" s="1"/>
  <c r="J576"/>
  <c r="K576" s="1"/>
  <c r="J577"/>
  <c r="K577" s="1"/>
  <c r="J578"/>
  <c r="K578" s="1"/>
  <c r="J579"/>
  <c r="K579" s="1"/>
  <c r="J580"/>
  <c r="K580" s="1"/>
  <c r="J581"/>
  <c r="K581" s="1"/>
  <c r="J582"/>
  <c r="K582" s="1"/>
  <c r="J583"/>
  <c r="K583" s="1"/>
  <c r="J584"/>
  <c r="K584" s="1"/>
  <c r="J585"/>
  <c r="K585" s="1"/>
  <c r="J586"/>
  <c r="K586" s="1"/>
  <c r="J587"/>
  <c r="K587" s="1"/>
  <c r="J588"/>
  <c r="K588" s="1"/>
  <c r="J589"/>
  <c r="K589" s="1"/>
  <c r="J590"/>
  <c r="K590" s="1"/>
  <c r="J591"/>
  <c r="K591" s="1"/>
  <c r="J592"/>
  <c r="K592" s="1"/>
  <c r="J593"/>
  <c r="K593" s="1"/>
  <c r="J594"/>
  <c r="K594" s="1"/>
  <c r="J595"/>
  <c r="K595" s="1"/>
  <c r="J596"/>
  <c r="K596" s="1"/>
  <c r="J597"/>
  <c r="K597" s="1"/>
  <c r="J598"/>
  <c r="K598" s="1"/>
  <c r="J599"/>
  <c r="K599" s="1"/>
  <c r="J600"/>
  <c r="K600" s="1"/>
  <c r="J601"/>
  <c r="K601" s="1"/>
  <c r="J602"/>
  <c r="K602" s="1"/>
  <c r="J603"/>
  <c r="K603" s="1"/>
  <c r="J604"/>
  <c r="K604" s="1"/>
  <c r="J605"/>
  <c r="K605" s="1"/>
  <c r="J606"/>
  <c r="K606" s="1"/>
  <c r="J607"/>
  <c r="K607" s="1"/>
  <c r="J608"/>
  <c r="K608" s="1"/>
  <c r="J609"/>
  <c r="K609" s="1"/>
  <c r="J610"/>
  <c r="K610" s="1"/>
  <c r="J611"/>
  <c r="K611" s="1"/>
  <c r="J612"/>
  <c r="K612" s="1"/>
  <c r="J613"/>
  <c r="K613" s="1"/>
  <c r="J614"/>
  <c r="K614" s="1"/>
  <c r="J615"/>
  <c r="K615" s="1"/>
  <c r="J616"/>
  <c r="K616" s="1"/>
  <c r="J617"/>
  <c r="K617" s="1"/>
  <c r="J618"/>
  <c r="K618" s="1"/>
  <c r="J619"/>
  <c r="K619" s="1"/>
  <c r="J620"/>
  <c r="K620" s="1"/>
  <c r="J621"/>
  <c r="K621" s="1"/>
  <c r="J622"/>
  <c r="K622" s="1"/>
  <c r="J623"/>
  <c r="K623" s="1"/>
  <c r="J624"/>
  <c r="K624" s="1"/>
  <c r="J625"/>
  <c r="K625" s="1"/>
  <c r="J626"/>
  <c r="K626" s="1"/>
  <c r="J627"/>
  <c r="K627" s="1"/>
  <c r="J628"/>
  <c r="K628" s="1"/>
  <c r="J629"/>
  <c r="K629" s="1"/>
  <c r="J630"/>
  <c r="K630" s="1"/>
  <c r="J631"/>
  <c r="K631" s="1"/>
  <c r="J632"/>
  <c r="K632" s="1"/>
  <c r="J633"/>
  <c r="K633" s="1"/>
  <c r="J634"/>
  <c r="K634" s="1"/>
  <c r="J635"/>
  <c r="K635" s="1"/>
  <c r="J636"/>
  <c r="K636" s="1"/>
  <c r="J637"/>
  <c r="K637" s="1"/>
  <c r="J638"/>
  <c r="K638" s="1"/>
  <c r="J639"/>
  <c r="K639" s="1"/>
  <c r="J640"/>
  <c r="K640" s="1"/>
  <c r="J641"/>
  <c r="K641" s="1"/>
  <c r="J642"/>
  <c r="K642" s="1"/>
  <c r="J643"/>
  <c r="K643" s="1"/>
  <c r="J644"/>
  <c r="K644" s="1"/>
  <c r="J645"/>
  <c r="K645" s="1"/>
  <c r="J646"/>
  <c r="K646" s="1"/>
  <c r="J647"/>
  <c r="K647" s="1"/>
  <c r="J648"/>
  <c r="K648" s="1"/>
  <c r="J649"/>
  <c r="K649" s="1"/>
  <c r="J650"/>
  <c r="K650" s="1"/>
  <c r="J651"/>
  <c r="K651" s="1"/>
  <c r="J652"/>
  <c r="K652" s="1"/>
  <c r="J653"/>
  <c r="K653" s="1"/>
  <c r="J654"/>
  <c r="K654" s="1"/>
  <c r="J655"/>
  <c r="K655" s="1"/>
  <c r="J656"/>
  <c r="K656" s="1"/>
  <c r="J657"/>
  <c r="K657" s="1"/>
  <c r="J658"/>
  <c r="K658" s="1"/>
  <c r="J659"/>
  <c r="K659" s="1"/>
  <c r="J660"/>
  <c r="K660" s="1"/>
  <c r="J661"/>
  <c r="K661" s="1"/>
  <c r="J662"/>
  <c r="K662" s="1"/>
  <c r="J663"/>
  <c r="K663" s="1"/>
  <c r="J664"/>
  <c r="K664" s="1"/>
  <c r="J666"/>
  <c r="K666" s="1"/>
  <c r="J667"/>
  <c r="K667" s="1"/>
  <c r="J668"/>
  <c r="K668" s="1"/>
  <c r="J669"/>
  <c r="K669" s="1"/>
  <c r="J670"/>
  <c r="K670" s="1"/>
  <c r="J671"/>
  <c r="K671" s="1"/>
  <c r="J672"/>
  <c r="K672" s="1"/>
  <c r="J673"/>
  <c r="K673" s="1"/>
  <c r="J674"/>
  <c r="K674" s="1"/>
  <c r="J675"/>
  <c r="K675" s="1"/>
  <c r="J676"/>
  <c r="K676" s="1"/>
  <c r="J677"/>
  <c r="K677" s="1"/>
  <c r="J678"/>
  <c r="K678" s="1"/>
  <c r="J679"/>
  <c r="K679" s="1"/>
  <c r="J680"/>
  <c r="K680" s="1"/>
  <c r="J681"/>
  <c r="K681" s="1"/>
  <c r="J682"/>
  <c r="K682" s="1"/>
  <c r="J683"/>
  <c r="K683" s="1"/>
  <c r="J684"/>
  <c r="K684" s="1"/>
  <c r="J685"/>
  <c r="K685" s="1"/>
  <c r="J686"/>
  <c r="K686" s="1"/>
  <c r="J687"/>
  <c r="K687" s="1"/>
  <c r="J688"/>
  <c r="K688" s="1"/>
  <c r="J689"/>
  <c r="K689" s="1"/>
  <c r="J690"/>
  <c r="K690" s="1"/>
  <c r="J691"/>
  <c r="K691" s="1"/>
  <c r="J692"/>
  <c r="K692" s="1"/>
  <c r="J693"/>
  <c r="K693" s="1"/>
  <c r="J694"/>
  <c r="K694" s="1"/>
  <c r="J695"/>
  <c r="K695" s="1"/>
  <c r="J696"/>
  <c r="K696" s="1"/>
  <c r="J697"/>
  <c r="K697" s="1"/>
  <c r="J698"/>
  <c r="K698" s="1"/>
  <c r="J699"/>
  <c r="K699" s="1"/>
  <c r="J700"/>
  <c r="K700" s="1"/>
  <c r="J701"/>
  <c r="K701" s="1"/>
  <c r="J702"/>
  <c r="K702" s="1"/>
  <c r="J703"/>
  <c r="K703" s="1"/>
  <c r="J704"/>
  <c r="K704" s="1"/>
  <c r="J705"/>
  <c r="K705" s="1"/>
  <c r="J706"/>
  <c r="K706" s="1"/>
  <c r="J707"/>
  <c r="K707" s="1"/>
  <c r="J708"/>
  <c r="K708" s="1"/>
  <c r="J709"/>
  <c r="K709" s="1"/>
  <c r="J710"/>
  <c r="K710" s="1"/>
  <c r="J711"/>
  <c r="K711" s="1"/>
  <c r="J712"/>
  <c r="K712" s="1"/>
  <c r="J713"/>
  <c r="K713" s="1"/>
  <c r="J714"/>
  <c r="K714" s="1"/>
  <c r="J715"/>
  <c r="K715" s="1"/>
  <c r="J716"/>
  <c r="K716" s="1"/>
  <c r="J717"/>
  <c r="K717" s="1"/>
  <c r="J718"/>
  <c r="K718" s="1"/>
  <c r="J719"/>
  <c r="K719" s="1"/>
  <c r="J720"/>
  <c r="K720" s="1"/>
  <c r="J721"/>
  <c r="K721" s="1"/>
  <c r="J722"/>
  <c r="K722" s="1"/>
  <c r="J723"/>
  <c r="K723" s="1"/>
  <c r="J724"/>
  <c r="K724" s="1"/>
  <c r="J725"/>
  <c r="K725" s="1"/>
  <c r="J726"/>
  <c r="K726" s="1"/>
  <c r="J727"/>
  <c r="K727" s="1"/>
  <c r="J728"/>
  <c r="K728" s="1"/>
  <c r="J729"/>
  <c r="K729" s="1"/>
  <c r="J730"/>
  <c r="K730" s="1"/>
  <c r="J731"/>
  <c r="K731" s="1"/>
  <c r="J732"/>
  <c r="K732" s="1"/>
  <c r="J733"/>
  <c r="K733" s="1"/>
  <c r="J734"/>
  <c r="K734" s="1"/>
  <c r="J735"/>
  <c r="K735" s="1"/>
  <c r="J736"/>
  <c r="K736" s="1"/>
  <c r="J737"/>
  <c r="K737" s="1"/>
  <c r="J738"/>
  <c r="K738" s="1"/>
  <c r="J739"/>
  <c r="K739" s="1"/>
  <c r="J740"/>
  <c r="K740" s="1"/>
  <c r="J741"/>
  <c r="K741" s="1"/>
  <c r="J742"/>
  <c r="K742" s="1"/>
  <c r="J743"/>
  <c r="K743" s="1"/>
  <c r="J744"/>
  <c r="K744" s="1"/>
  <c r="J745"/>
  <c r="K745" s="1"/>
  <c r="J537"/>
  <c r="J747" s="1"/>
  <c r="K747" s="1"/>
  <c r="G535"/>
  <c r="H535"/>
  <c r="I535"/>
  <c r="J882" i="12"/>
  <c r="K882"/>
  <c r="O882" s="1"/>
  <c r="J883"/>
  <c r="K883"/>
  <c r="O883" s="1"/>
  <c r="J884"/>
  <c r="K884"/>
  <c r="O884" s="1"/>
  <c r="J885"/>
  <c r="K885"/>
  <c r="O885" s="1"/>
  <c r="J886"/>
  <c r="K886"/>
  <c r="O886" s="1"/>
  <c r="J887"/>
  <c r="K887"/>
  <c r="O887" s="1"/>
  <c r="J888"/>
  <c r="K888"/>
  <c r="O888" s="1"/>
  <c r="J889"/>
  <c r="K889"/>
  <c r="O889" s="1"/>
  <c r="J890"/>
  <c r="K890"/>
  <c r="O890" s="1"/>
  <c r="J891"/>
  <c r="K891"/>
  <c r="O891" s="1"/>
  <c r="J892"/>
  <c r="K892"/>
  <c r="O892" s="1"/>
  <c r="J893"/>
  <c r="K893"/>
  <c r="O893" s="1"/>
  <c r="J894"/>
  <c r="K894"/>
  <c r="O894" s="1"/>
  <c r="J895"/>
  <c r="K895"/>
  <c r="O895" s="1"/>
  <c r="J896"/>
  <c r="K896"/>
  <c r="O896" s="1"/>
  <c r="J897"/>
  <c r="K897"/>
  <c r="O897" s="1"/>
  <c r="J898"/>
  <c r="K898"/>
  <c r="O898" s="1"/>
  <c r="J899"/>
  <c r="K899"/>
  <c r="O899" s="1"/>
  <c r="J900"/>
  <c r="K900"/>
  <c r="O900" s="1"/>
  <c r="J901"/>
  <c r="K901"/>
  <c r="O901" s="1"/>
  <c r="J902"/>
  <c r="K902"/>
  <c r="O902" s="1"/>
  <c r="J903"/>
  <c r="K903"/>
  <c r="O903" s="1"/>
  <c r="J904"/>
  <c r="K904"/>
  <c r="O904" s="1"/>
  <c r="J905"/>
  <c r="K905"/>
  <c r="O905" s="1"/>
  <c r="J906"/>
  <c r="K906"/>
  <c r="O906" s="1"/>
  <c r="J907"/>
  <c r="K907"/>
  <c r="O907" s="1"/>
  <c r="J908"/>
  <c r="K908"/>
  <c r="O908" s="1"/>
  <c r="J909"/>
  <c r="K909"/>
  <c r="O909" s="1"/>
  <c r="J910"/>
  <c r="K910"/>
  <c r="O910" s="1"/>
  <c r="J911"/>
  <c r="K911"/>
  <c r="O911" s="1"/>
  <c r="J912"/>
  <c r="K912"/>
  <c r="O912" s="1"/>
  <c r="J913"/>
  <c r="K913"/>
  <c r="O913" s="1"/>
  <c r="J914"/>
  <c r="K914"/>
  <c r="O914" s="1"/>
  <c r="J915"/>
  <c r="K915"/>
  <c r="O915" s="1"/>
  <c r="J916"/>
  <c r="K916" s="1"/>
  <c r="O916" s="1"/>
  <c r="J917"/>
  <c r="K917"/>
  <c r="O917" s="1"/>
  <c r="J918"/>
  <c r="K918"/>
  <c r="O918" s="1"/>
  <c r="J919"/>
  <c r="K919"/>
  <c r="O919" s="1"/>
  <c r="J920"/>
  <c r="K920"/>
  <c r="O920" s="1"/>
  <c r="J921"/>
  <c r="K921"/>
  <c r="O921" s="1"/>
  <c r="J922"/>
  <c r="K922"/>
  <c r="O922" s="1"/>
  <c r="J923"/>
  <c r="K923"/>
  <c r="O923" s="1"/>
  <c r="J924"/>
  <c r="K924"/>
  <c r="O924" s="1"/>
  <c r="J925"/>
  <c r="K925"/>
  <c r="O925" s="1"/>
  <c r="J926"/>
  <c r="K926"/>
  <c r="O926" s="1"/>
  <c r="J927"/>
  <c r="K927"/>
  <c r="O927" s="1"/>
  <c r="J928"/>
  <c r="K928"/>
  <c r="O928" s="1"/>
  <c r="J929"/>
  <c r="K929"/>
  <c r="O929" s="1"/>
  <c r="J930"/>
  <c r="K930"/>
  <c r="O930" s="1"/>
  <c r="J931"/>
  <c r="K931"/>
  <c r="O931" s="1"/>
  <c r="J932"/>
  <c r="K932"/>
  <c r="O932" s="1"/>
  <c r="J933"/>
  <c r="K933"/>
  <c r="O933" s="1"/>
  <c r="J934"/>
  <c r="K934"/>
  <c r="O934" s="1"/>
  <c r="J935"/>
  <c r="K935"/>
  <c r="O935" s="1"/>
  <c r="J936"/>
  <c r="K936"/>
  <c r="O936" s="1"/>
  <c r="J937"/>
  <c r="K937"/>
  <c r="O937" s="1"/>
  <c r="J938"/>
  <c r="K938"/>
  <c r="O938" s="1"/>
  <c r="J939"/>
  <c r="K939"/>
  <c r="O939" s="1"/>
  <c r="J940"/>
  <c r="K940"/>
  <c r="O940" s="1"/>
  <c r="J941"/>
  <c r="K941"/>
  <c r="O941" s="1"/>
  <c r="J942"/>
  <c r="K942"/>
  <c r="O942" s="1"/>
  <c r="J943"/>
  <c r="K943"/>
  <c r="O943" s="1"/>
  <c r="J944"/>
  <c r="K944"/>
  <c r="O944" s="1"/>
  <c r="J945"/>
  <c r="K945"/>
  <c r="O945" s="1"/>
  <c r="J946"/>
  <c r="K946"/>
  <c r="O946" s="1"/>
  <c r="J947"/>
  <c r="K947"/>
  <c r="O947" s="1"/>
  <c r="J948"/>
  <c r="K948"/>
  <c r="O948" s="1"/>
  <c r="J949"/>
  <c r="K949"/>
  <c r="O949" s="1"/>
  <c r="J950"/>
  <c r="K950"/>
  <c r="O950" s="1"/>
  <c r="J951"/>
  <c r="K951"/>
  <c r="O951" s="1"/>
  <c r="J952"/>
  <c r="K952"/>
  <c r="O952" s="1"/>
  <c r="J953"/>
  <c r="K953"/>
  <c r="O953" s="1"/>
  <c r="J954"/>
  <c r="K954"/>
  <c r="O954" s="1"/>
  <c r="J955"/>
  <c r="K955"/>
  <c r="O955" s="1"/>
  <c r="J956"/>
  <c r="K956"/>
  <c r="O956" s="1"/>
  <c r="J957"/>
  <c r="K957"/>
  <c r="O957" s="1"/>
  <c r="J958"/>
  <c r="K958"/>
  <c r="O958" s="1"/>
  <c r="J959"/>
  <c r="K959"/>
  <c r="O959" s="1"/>
  <c r="J960"/>
  <c r="K960"/>
  <c r="O960" s="1"/>
  <c r="J961"/>
  <c r="K961"/>
  <c r="O961" s="1"/>
  <c r="J962"/>
  <c r="K962"/>
  <c r="O962" s="1"/>
  <c r="J963"/>
  <c r="K963"/>
  <c r="O963" s="1"/>
  <c r="J964"/>
  <c r="K964"/>
  <c r="O964" s="1"/>
  <c r="J965"/>
  <c r="K965"/>
  <c r="O965" s="1"/>
  <c r="J966"/>
  <c r="K966"/>
  <c r="O966" s="1"/>
  <c r="J967"/>
  <c r="K967"/>
  <c r="O967" s="1"/>
  <c r="J968"/>
  <c r="K968"/>
  <c r="O968" s="1"/>
  <c r="J969"/>
  <c r="K969"/>
  <c r="O969" s="1"/>
  <c r="J970"/>
  <c r="K970"/>
  <c r="O970" s="1"/>
  <c r="J971"/>
  <c r="K971"/>
  <c r="O971" s="1"/>
  <c r="J972"/>
  <c r="K972"/>
  <c r="O972" s="1"/>
  <c r="J973"/>
  <c r="K973"/>
  <c r="O973" s="1"/>
  <c r="J974"/>
  <c r="K974"/>
  <c r="O974" s="1"/>
  <c r="J975"/>
  <c r="K975"/>
  <c r="O975" s="1"/>
  <c r="J976"/>
  <c r="K976"/>
  <c r="O976" s="1"/>
  <c r="J977"/>
  <c r="K977"/>
  <c r="O977" s="1"/>
  <c r="J978"/>
  <c r="K978"/>
  <c r="O978" s="1"/>
  <c r="J979"/>
  <c r="K979"/>
  <c r="O979" s="1"/>
  <c r="J980"/>
  <c r="K980"/>
  <c r="O980" s="1"/>
  <c r="J981"/>
  <c r="K981"/>
  <c r="O981" s="1"/>
  <c r="J982"/>
  <c r="K982"/>
  <c r="O982" s="1"/>
  <c r="J983"/>
  <c r="K983"/>
  <c r="O983" s="1"/>
  <c r="J984"/>
  <c r="K984"/>
  <c r="O984" s="1"/>
  <c r="J985"/>
  <c r="K985"/>
  <c r="O985" s="1"/>
  <c r="J986"/>
  <c r="K986"/>
  <c r="O986" s="1"/>
  <c r="J987"/>
  <c r="K987"/>
  <c r="O987" s="1"/>
  <c r="J988"/>
  <c r="K988"/>
  <c r="O988" s="1"/>
  <c r="J989"/>
  <c r="K989"/>
  <c r="O989" s="1"/>
  <c r="J990"/>
  <c r="K990"/>
  <c r="O990" s="1"/>
  <c r="J991"/>
  <c r="K991"/>
  <c r="O991" s="1"/>
  <c r="J992"/>
  <c r="K992"/>
  <c r="O992" s="1"/>
  <c r="J993"/>
  <c r="K993"/>
  <c r="O993" s="1"/>
  <c r="J994"/>
  <c r="K994"/>
  <c r="O994" s="1"/>
  <c r="J995"/>
  <c r="K995"/>
  <c r="O995" s="1"/>
  <c r="J996"/>
  <c r="K996"/>
  <c r="O996" s="1"/>
  <c r="J997"/>
  <c r="K997"/>
  <c r="O997" s="1"/>
  <c r="J998"/>
  <c r="K998"/>
  <c r="O998" s="1"/>
  <c r="J999"/>
  <c r="K999"/>
  <c r="O999" s="1"/>
  <c r="J1000"/>
  <c r="K1000"/>
  <c r="O1000" s="1"/>
  <c r="J1001"/>
  <c r="K1001"/>
  <c r="O1001" s="1"/>
  <c r="J1002"/>
  <c r="K1002"/>
  <c r="O1002" s="1"/>
  <c r="J1003"/>
  <c r="K1003"/>
  <c r="O1003" s="1"/>
  <c r="J1004"/>
  <c r="K1004"/>
  <c r="O1004" s="1"/>
  <c r="J1005"/>
  <c r="K1005"/>
  <c r="O1005" s="1"/>
  <c r="J1006"/>
  <c r="K1006"/>
  <c r="O1006" s="1"/>
  <c r="J1007"/>
  <c r="K1007"/>
  <c r="O1007" s="1"/>
  <c r="J1008"/>
  <c r="K1008"/>
  <c r="O1008" s="1"/>
  <c r="J1009"/>
  <c r="K1009"/>
  <c r="O1009" s="1"/>
  <c r="J1010"/>
  <c r="K1010"/>
  <c r="O1010" s="1"/>
  <c r="J1011"/>
  <c r="K1011"/>
  <c r="O1011" s="1"/>
  <c r="J1012"/>
  <c r="K1012"/>
  <c r="O1012" s="1"/>
  <c r="J1013"/>
  <c r="K1013"/>
  <c r="O1013" s="1"/>
  <c r="J1014"/>
  <c r="K1014"/>
  <c r="O1014" s="1"/>
  <c r="J1015"/>
  <c r="K1015"/>
  <c r="O1015" s="1"/>
  <c r="J1016"/>
  <c r="K1016"/>
  <c r="O1016" s="1"/>
  <c r="J1017"/>
  <c r="K1017"/>
  <c r="O1017" s="1"/>
  <c r="J1018"/>
  <c r="K1018"/>
  <c r="O1018" s="1"/>
  <c r="J1019"/>
  <c r="K1019"/>
  <c r="O1019" s="1"/>
  <c r="J1020"/>
  <c r="K1020"/>
  <c r="O1020" s="1"/>
  <c r="J1021"/>
  <c r="K1021"/>
  <c r="O1021" s="1"/>
  <c r="J1022"/>
  <c r="K1022"/>
  <c r="O1022" s="1"/>
  <c r="J1023"/>
  <c r="K1023"/>
  <c r="O1023" s="1"/>
  <c r="J1024"/>
  <c r="K1024"/>
  <c r="O1024" s="1"/>
  <c r="J1025"/>
  <c r="K1025"/>
  <c r="O1025" s="1"/>
  <c r="J1026"/>
  <c r="K1026"/>
  <c r="O1026" s="1"/>
  <c r="J1027"/>
  <c r="K1027"/>
  <c r="O1027" s="1"/>
  <c r="J1028"/>
  <c r="K1028"/>
  <c r="O1028" s="1"/>
  <c r="J1029"/>
  <c r="K1029"/>
  <c r="O1029" s="1"/>
  <c r="J1030"/>
  <c r="K1030"/>
  <c r="O1030" s="1"/>
  <c r="J1031"/>
  <c r="K1031"/>
  <c r="O1031" s="1"/>
  <c r="J1032"/>
  <c r="K1032"/>
  <c r="O1032" s="1"/>
  <c r="J1033"/>
  <c r="K1033"/>
  <c r="O1033" s="1"/>
  <c r="J1034"/>
  <c r="K1034"/>
  <c r="O1034" s="1"/>
  <c r="J1035"/>
  <c r="K1035"/>
  <c r="O1035" s="1"/>
  <c r="J1036"/>
  <c r="K1036"/>
  <c r="O1036" s="1"/>
  <c r="J1037"/>
  <c r="K1037"/>
  <c r="O1037" s="1"/>
  <c r="J1038"/>
  <c r="K1038"/>
  <c r="O1038" s="1"/>
  <c r="J1039"/>
  <c r="K1039"/>
  <c r="O1039" s="1"/>
  <c r="J1040"/>
  <c r="K1040"/>
  <c r="O1040" s="1"/>
  <c r="J1041"/>
  <c r="K1041"/>
  <c r="O1041" s="1"/>
  <c r="J1042"/>
  <c r="K1042"/>
  <c r="O1042" s="1"/>
  <c r="J1043"/>
  <c r="K1043"/>
  <c r="O1043" s="1"/>
  <c r="J1044"/>
  <c r="K1044"/>
  <c r="O1044" s="1"/>
  <c r="J1045"/>
  <c r="K1045"/>
  <c r="O1045" s="1"/>
  <c r="J1046"/>
  <c r="K1046"/>
  <c r="O1046" s="1"/>
  <c r="J1047"/>
  <c r="K1047"/>
  <c r="O1047" s="1"/>
  <c r="J1048"/>
  <c r="K1048"/>
  <c r="O1048" s="1"/>
  <c r="J1049"/>
  <c r="K1049"/>
  <c r="O1049" s="1"/>
  <c r="J1050"/>
  <c r="K1050"/>
  <c r="O1050" s="1"/>
  <c r="J1051"/>
  <c r="K1051"/>
  <c r="O1051" s="1"/>
  <c r="J1052"/>
  <c r="K1052"/>
  <c r="O1052" s="1"/>
  <c r="J1053"/>
  <c r="K1053"/>
  <c r="O1053" s="1"/>
  <c r="J1054"/>
  <c r="K1054"/>
  <c r="O1054" s="1"/>
  <c r="J1055"/>
  <c r="K1055"/>
  <c r="O1055" s="1"/>
  <c r="J1056"/>
  <c r="K1056"/>
  <c r="O1056" s="1"/>
  <c r="J1057"/>
  <c r="K1057"/>
  <c r="O1057" s="1"/>
  <c r="J1058"/>
  <c r="K1058"/>
  <c r="O1058" s="1"/>
  <c r="J1059"/>
  <c r="K1059"/>
  <c r="O1059" s="1"/>
  <c r="J1060"/>
  <c r="K1060"/>
  <c r="O1060" s="1"/>
  <c r="J1061"/>
  <c r="K1061"/>
  <c r="O1061" s="1"/>
  <c r="J1062"/>
  <c r="K1062"/>
  <c r="O1062" s="1"/>
  <c r="J1063"/>
  <c r="K1063"/>
  <c r="O1063" s="1"/>
  <c r="J1064"/>
  <c r="K1064"/>
  <c r="O1064" s="1"/>
  <c r="J1065"/>
  <c r="K1065"/>
  <c r="O1065" s="1"/>
  <c r="J1066"/>
  <c r="K1066"/>
  <c r="O1066" s="1"/>
  <c r="J1067"/>
  <c r="K1067"/>
  <c r="O1067" s="1"/>
  <c r="J1068"/>
  <c r="K1068"/>
  <c r="O1068" s="1"/>
  <c r="J1069"/>
  <c r="K1069"/>
  <c r="O1069" s="1"/>
  <c r="J1070"/>
  <c r="K1070"/>
  <c r="O1070" s="1"/>
  <c r="J1071"/>
  <c r="K1071"/>
  <c r="O1071" s="1"/>
  <c r="J1072"/>
  <c r="K1072"/>
  <c r="O1072" s="1"/>
  <c r="J1073"/>
  <c r="K1073"/>
  <c r="O1073" s="1"/>
  <c r="J1074"/>
  <c r="K1074"/>
  <c r="O1074" s="1"/>
  <c r="J1075"/>
  <c r="K1075"/>
  <c r="O1075" s="1"/>
  <c r="J1076"/>
  <c r="K1076"/>
  <c r="O1076" s="1"/>
  <c r="J1077"/>
  <c r="K1077"/>
  <c r="O1077" s="1"/>
  <c r="J1078"/>
  <c r="K1078"/>
  <c r="O1078" s="1"/>
  <c r="J1079"/>
  <c r="K1079"/>
  <c r="O1079" s="1"/>
  <c r="J1080"/>
  <c r="K1080"/>
  <c r="O1080" s="1"/>
  <c r="J1081"/>
  <c r="K1081"/>
  <c r="O1081" s="1"/>
  <c r="J1082"/>
  <c r="K1082"/>
  <c r="O1082" s="1"/>
  <c r="J1083"/>
  <c r="K1083"/>
  <c r="O1083" s="1"/>
  <c r="J1084"/>
  <c r="K1084"/>
  <c r="O1084" s="1"/>
  <c r="J1085"/>
  <c r="K1085"/>
  <c r="O1085" s="1"/>
  <c r="J1086"/>
  <c r="K1086"/>
  <c r="O1086" s="1"/>
  <c r="J1087"/>
  <c r="K1087"/>
  <c r="O1087" s="1"/>
  <c r="J1088"/>
  <c r="K1088"/>
  <c r="O1088" s="1"/>
  <c r="J1089"/>
  <c r="K1089"/>
  <c r="O1089" s="1"/>
  <c r="J1090"/>
  <c r="K1090"/>
  <c r="O1090" s="1"/>
  <c r="J1091"/>
  <c r="K1091"/>
  <c r="O1091" s="1"/>
  <c r="J1092"/>
  <c r="K1092"/>
  <c r="O1092" s="1"/>
  <c r="J1093"/>
  <c r="K1093"/>
  <c r="O1093" s="1"/>
  <c r="J1094"/>
  <c r="K1094"/>
  <c r="O1094" s="1"/>
  <c r="J1095"/>
  <c r="K1095"/>
  <c r="O1095" s="1"/>
  <c r="J1096"/>
  <c r="K1096"/>
  <c r="O1096" s="1"/>
  <c r="J1097"/>
  <c r="K1097"/>
  <c r="O1097" s="1"/>
  <c r="J1098"/>
  <c r="K1098"/>
  <c r="O1098" s="1"/>
  <c r="J1099"/>
  <c r="K1099"/>
  <c r="O1099" s="1"/>
  <c r="J1100"/>
  <c r="K1100"/>
  <c r="O1100" s="1"/>
  <c r="J1101"/>
  <c r="K1101"/>
  <c r="O1101" s="1"/>
  <c r="J1102"/>
  <c r="K1102"/>
  <c r="O1102" s="1"/>
  <c r="J1103"/>
  <c r="K1103"/>
  <c r="O1103" s="1"/>
  <c r="J1104"/>
  <c r="K1104"/>
  <c r="O1104" s="1"/>
  <c r="J1105"/>
  <c r="K1105"/>
  <c r="O1105" s="1"/>
  <c r="J1106"/>
  <c r="K1106"/>
  <c r="O1106" s="1"/>
  <c r="J1107"/>
  <c r="K1107"/>
  <c r="O1107" s="1"/>
  <c r="J1108"/>
  <c r="K1108"/>
  <c r="O1108" s="1"/>
  <c r="J1109"/>
  <c r="K1109"/>
  <c r="O1109" s="1"/>
  <c r="J1110"/>
  <c r="K1110"/>
  <c r="O1110" s="1"/>
  <c r="J1111"/>
  <c r="K1111"/>
  <c r="O1111" s="1"/>
  <c r="J1112"/>
  <c r="K1112"/>
  <c r="O1112" s="1"/>
  <c r="J1113"/>
  <c r="K1113"/>
  <c r="O1113" s="1"/>
  <c r="J1114"/>
  <c r="K1114"/>
  <c r="O1114" s="1"/>
  <c r="J1115"/>
  <c r="K1115"/>
  <c r="O1115" s="1"/>
  <c r="J1116"/>
  <c r="K1116"/>
  <c r="O1116" s="1"/>
  <c r="J1117"/>
  <c r="K1117"/>
  <c r="O1117" s="1"/>
  <c r="J1118"/>
  <c r="K1118"/>
  <c r="O1118" s="1"/>
  <c r="J1119"/>
  <c r="K1119"/>
  <c r="O1119" s="1"/>
  <c r="J1120"/>
  <c r="K1120"/>
  <c r="O1120" s="1"/>
  <c r="J1121"/>
  <c r="K1121"/>
  <c r="O1121" s="1"/>
  <c r="J1122"/>
  <c r="K1122"/>
  <c r="O1122" s="1"/>
  <c r="J1123"/>
  <c r="K1123"/>
  <c r="O1123" s="1"/>
  <c r="J1124"/>
  <c r="K1124"/>
  <c r="O1124" s="1"/>
  <c r="J1125"/>
  <c r="K1125"/>
  <c r="O1125" s="1"/>
  <c r="J1126"/>
  <c r="K1126"/>
  <c r="O1126" s="1"/>
  <c r="J1127"/>
  <c r="K1127"/>
  <c r="O1127" s="1"/>
  <c r="J1128"/>
  <c r="K1128"/>
  <c r="O1128" s="1"/>
  <c r="J1129"/>
  <c r="K1129"/>
  <c r="O1129" s="1"/>
  <c r="J1130"/>
  <c r="K1130"/>
  <c r="O1130" s="1"/>
  <c r="J1131"/>
  <c r="K1131"/>
  <c r="O1131" s="1"/>
  <c r="J1132"/>
  <c r="K1132"/>
  <c r="O1132" s="1"/>
  <c r="J1133"/>
  <c r="K1133"/>
  <c r="O1133" s="1"/>
  <c r="J1134"/>
  <c r="K1134"/>
  <c r="O1134" s="1"/>
  <c r="J1135"/>
  <c r="K1135"/>
  <c r="O1135" s="1"/>
  <c r="J1136"/>
  <c r="K1136"/>
  <c r="O1136" s="1"/>
  <c r="J1137"/>
  <c r="K1137"/>
  <c r="O1137" s="1"/>
  <c r="J1138"/>
  <c r="K1138"/>
  <c r="O1138" s="1"/>
  <c r="J1139"/>
  <c r="K1139"/>
  <c r="O1139" s="1"/>
  <c r="J1140"/>
  <c r="K1140"/>
  <c r="O1140" s="1"/>
  <c r="J1141"/>
  <c r="K1141"/>
  <c r="O1141" s="1"/>
  <c r="J1142"/>
  <c r="K1142"/>
  <c r="O1142" s="1"/>
  <c r="J1143"/>
  <c r="K1143"/>
  <c r="O1143" s="1"/>
  <c r="J1144"/>
  <c r="K1144"/>
  <c r="O1144" s="1"/>
  <c r="J1145"/>
  <c r="K1145"/>
  <c r="O1145" s="1"/>
  <c r="G1146"/>
  <c r="H1146"/>
  <c r="I1146"/>
  <c r="J881"/>
  <c r="J1146" s="1"/>
  <c r="K1146" s="1"/>
  <c r="K881"/>
  <c r="O881" s="1"/>
  <c r="J573"/>
  <c r="K573" s="1"/>
  <c r="F940" i="6"/>
  <c r="F1081"/>
  <c r="F1146"/>
  <c r="G1146"/>
  <c r="K1146"/>
  <c r="F745"/>
  <c r="G745" s="1"/>
  <c r="K745" s="1"/>
  <c r="C535"/>
  <c r="D535"/>
  <c r="E535"/>
  <c r="F535"/>
  <c r="G535"/>
  <c r="K535"/>
  <c r="I882" i="3"/>
  <c r="M882"/>
  <c r="N882" s="1"/>
  <c r="I883"/>
  <c r="M883"/>
  <c r="N883" s="1"/>
  <c r="I884"/>
  <c r="M884"/>
  <c r="N884" s="1"/>
  <c r="I885"/>
  <c r="M885"/>
  <c r="N885" s="1"/>
  <c r="I886"/>
  <c r="M886"/>
  <c r="N886" s="1"/>
  <c r="I887"/>
  <c r="M887"/>
  <c r="N887" s="1"/>
  <c r="I888"/>
  <c r="M888"/>
  <c r="N888" s="1"/>
  <c r="I889"/>
  <c r="M889"/>
  <c r="N889" s="1"/>
  <c r="I890"/>
  <c r="M890"/>
  <c r="N890" s="1"/>
  <c r="I891"/>
  <c r="M891"/>
  <c r="N891" s="1"/>
  <c r="I892"/>
  <c r="M892"/>
  <c r="N892" s="1"/>
  <c r="I893"/>
  <c r="M893"/>
  <c r="N893" s="1"/>
  <c r="I894"/>
  <c r="M894"/>
  <c r="N894" s="1"/>
  <c r="I895"/>
  <c r="M895"/>
  <c r="N895" s="1"/>
  <c r="I896"/>
  <c r="M896"/>
  <c r="N896" s="1"/>
  <c r="I897"/>
  <c r="M897"/>
  <c r="N897" s="1"/>
  <c r="I898"/>
  <c r="M898"/>
  <c r="N898" s="1"/>
  <c r="I899"/>
  <c r="M899"/>
  <c r="N899" s="1"/>
  <c r="I900"/>
  <c r="M900"/>
  <c r="N900" s="1"/>
  <c r="I901"/>
  <c r="M901"/>
  <c r="N901" s="1"/>
  <c r="I902"/>
  <c r="M902"/>
  <c r="N902" s="1"/>
  <c r="I903"/>
  <c r="M903"/>
  <c r="N903" s="1"/>
  <c r="I904"/>
  <c r="M904"/>
  <c r="N904" s="1"/>
  <c r="I905"/>
  <c r="M905"/>
  <c r="N905" s="1"/>
  <c r="I906"/>
  <c r="M906"/>
  <c r="N906" s="1"/>
  <c r="I907"/>
  <c r="M907"/>
  <c r="N907" s="1"/>
  <c r="I908"/>
  <c r="M908"/>
  <c r="N908" s="1"/>
  <c r="I909"/>
  <c r="M909"/>
  <c r="N909" s="1"/>
  <c r="I910"/>
  <c r="M910"/>
  <c r="N910" s="1"/>
  <c r="I911"/>
  <c r="M911"/>
  <c r="N911" s="1"/>
  <c r="I912"/>
  <c r="M912"/>
  <c r="N912" s="1"/>
  <c r="I913"/>
  <c r="M913"/>
  <c r="N913" s="1"/>
  <c r="I914"/>
  <c r="M914"/>
  <c r="N914" s="1"/>
  <c r="I915"/>
  <c r="M915"/>
  <c r="N915" s="1"/>
  <c r="I916"/>
  <c r="M916"/>
  <c r="N916" s="1"/>
  <c r="I917"/>
  <c r="M917"/>
  <c r="N917" s="1"/>
  <c r="I918"/>
  <c r="M918"/>
  <c r="N918" s="1"/>
  <c r="I919"/>
  <c r="M919"/>
  <c r="N919" s="1"/>
  <c r="I920"/>
  <c r="M920"/>
  <c r="N920" s="1"/>
  <c r="I921"/>
  <c r="M921"/>
  <c r="N921" s="1"/>
  <c r="I922"/>
  <c r="M922"/>
  <c r="N922" s="1"/>
  <c r="I923"/>
  <c r="M923"/>
  <c r="N923" s="1"/>
  <c r="I924"/>
  <c r="M924"/>
  <c r="N924" s="1"/>
  <c r="I925"/>
  <c r="M925"/>
  <c r="N925" s="1"/>
  <c r="I926"/>
  <c r="M926"/>
  <c r="N926" s="1"/>
  <c r="I927"/>
  <c r="M927"/>
  <c r="N927" s="1"/>
  <c r="I928"/>
  <c r="M928"/>
  <c r="N928" s="1"/>
  <c r="I929"/>
  <c r="M929"/>
  <c r="N929" s="1"/>
  <c r="I930"/>
  <c r="M930"/>
  <c r="N930" s="1"/>
  <c r="I931"/>
  <c r="M931"/>
  <c r="N931" s="1"/>
  <c r="I932"/>
  <c r="M932"/>
  <c r="N932" s="1"/>
  <c r="I933"/>
  <c r="M933"/>
  <c r="N933" s="1"/>
  <c r="I934"/>
  <c r="M934"/>
  <c r="N934" s="1"/>
  <c r="I935"/>
  <c r="M935"/>
  <c r="N935" s="1"/>
  <c r="I936"/>
  <c r="M936"/>
  <c r="N936" s="1"/>
  <c r="I937"/>
  <c r="M937"/>
  <c r="N937" s="1"/>
  <c r="I938"/>
  <c r="M938"/>
  <c r="N938" s="1"/>
  <c r="I939"/>
  <c r="M939"/>
  <c r="N939" s="1"/>
  <c r="I940"/>
  <c r="M940"/>
  <c r="N940" s="1"/>
  <c r="I941"/>
  <c r="M941"/>
  <c r="N941" s="1"/>
  <c r="I942"/>
  <c r="M942"/>
  <c r="N942" s="1"/>
  <c r="I943"/>
  <c r="M943"/>
  <c r="N943" s="1"/>
  <c r="I944"/>
  <c r="M944"/>
  <c r="N944" s="1"/>
  <c r="I945"/>
  <c r="M945"/>
  <c r="N945" s="1"/>
  <c r="I946"/>
  <c r="M946"/>
  <c r="N946" s="1"/>
  <c r="I947"/>
  <c r="M947"/>
  <c r="N947" s="1"/>
  <c r="I948"/>
  <c r="M948"/>
  <c r="N948" s="1"/>
  <c r="I949"/>
  <c r="M949"/>
  <c r="N949" s="1"/>
  <c r="I950"/>
  <c r="M950"/>
  <c r="N950" s="1"/>
  <c r="I951"/>
  <c r="M951"/>
  <c r="N951" s="1"/>
  <c r="I952"/>
  <c r="M952"/>
  <c r="N952" s="1"/>
  <c r="I953"/>
  <c r="M953"/>
  <c r="N953" s="1"/>
  <c r="I954"/>
  <c r="M954"/>
  <c r="N954" s="1"/>
  <c r="I955"/>
  <c r="M955"/>
  <c r="N955" s="1"/>
  <c r="I956"/>
  <c r="M956"/>
  <c r="N956" s="1"/>
  <c r="I957"/>
  <c r="M957"/>
  <c r="N957" s="1"/>
  <c r="I958"/>
  <c r="M958"/>
  <c r="N958" s="1"/>
  <c r="I959"/>
  <c r="M959"/>
  <c r="N959" s="1"/>
  <c r="I960"/>
  <c r="M960"/>
  <c r="N960" s="1"/>
  <c r="I961"/>
  <c r="M961"/>
  <c r="N961" s="1"/>
  <c r="I962"/>
  <c r="M962"/>
  <c r="N962" s="1"/>
  <c r="I963"/>
  <c r="M963"/>
  <c r="N963" s="1"/>
  <c r="I964"/>
  <c r="M964"/>
  <c r="N964" s="1"/>
  <c r="I965"/>
  <c r="M965"/>
  <c r="N965" s="1"/>
  <c r="I966"/>
  <c r="M966"/>
  <c r="N966" s="1"/>
  <c r="I967"/>
  <c r="M967"/>
  <c r="N967" s="1"/>
  <c r="I968"/>
  <c r="M968"/>
  <c r="N968" s="1"/>
  <c r="I969"/>
  <c r="M969"/>
  <c r="N969" s="1"/>
  <c r="I970"/>
  <c r="M970"/>
  <c r="N970" s="1"/>
  <c r="I971"/>
  <c r="M971"/>
  <c r="N971" s="1"/>
  <c r="I972"/>
  <c r="M972"/>
  <c r="N972" s="1"/>
  <c r="I973"/>
  <c r="M973"/>
  <c r="N973" s="1"/>
  <c r="I974"/>
  <c r="M974"/>
  <c r="N974" s="1"/>
  <c r="I975"/>
  <c r="M975"/>
  <c r="N975" s="1"/>
  <c r="I976"/>
  <c r="M976"/>
  <c r="N976" s="1"/>
  <c r="I977"/>
  <c r="M977"/>
  <c r="N977" s="1"/>
  <c r="I978"/>
  <c r="M978"/>
  <c r="N978" s="1"/>
  <c r="I979"/>
  <c r="M979"/>
  <c r="N979" s="1"/>
  <c r="I980"/>
  <c r="M980"/>
  <c r="N980" s="1"/>
  <c r="I981"/>
  <c r="M981"/>
  <c r="N981" s="1"/>
  <c r="I982"/>
  <c r="M982"/>
  <c r="N982" s="1"/>
  <c r="I983"/>
  <c r="M983"/>
  <c r="N983" s="1"/>
  <c r="I984"/>
  <c r="M984"/>
  <c r="N984" s="1"/>
  <c r="I985"/>
  <c r="M985"/>
  <c r="N985" s="1"/>
  <c r="I986"/>
  <c r="M986"/>
  <c r="N986" s="1"/>
  <c r="I987"/>
  <c r="M987"/>
  <c r="N987" s="1"/>
  <c r="I988"/>
  <c r="M988"/>
  <c r="N988" s="1"/>
  <c r="I989"/>
  <c r="M989"/>
  <c r="N989" s="1"/>
  <c r="I990"/>
  <c r="M990"/>
  <c r="N990" s="1"/>
  <c r="I991"/>
  <c r="M991"/>
  <c r="N991" s="1"/>
  <c r="I992"/>
  <c r="M992"/>
  <c r="N992" s="1"/>
  <c r="I993"/>
  <c r="M993"/>
  <c r="N993" s="1"/>
  <c r="I994"/>
  <c r="M994"/>
  <c r="N994" s="1"/>
  <c r="I995"/>
  <c r="M995"/>
  <c r="N995" s="1"/>
  <c r="I996"/>
  <c r="M996"/>
  <c r="N996" s="1"/>
  <c r="I997"/>
  <c r="M997"/>
  <c r="N997" s="1"/>
  <c r="I998"/>
  <c r="M998"/>
  <c r="N998" s="1"/>
  <c r="I999"/>
  <c r="M999"/>
  <c r="N999" s="1"/>
  <c r="I1000"/>
  <c r="M1000"/>
  <c r="N1000" s="1"/>
  <c r="I1001"/>
  <c r="M1001"/>
  <c r="N1001" s="1"/>
  <c r="I1002"/>
  <c r="M1002"/>
  <c r="N1002" s="1"/>
  <c r="I1003"/>
  <c r="M1003"/>
  <c r="N1003" s="1"/>
  <c r="I1004"/>
  <c r="M1004"/>
  <c r="N1004" s="1"/>
  <c r="I1005"/>
  <c r="M1005"/>
  <c r="N1005" s="1"/>
  <c r="I1006"/>
  <c r="M1006"/>
  <c r="N1006" s="1"/>
  <c r="I1007"/>
  <c r="M1007"/>
  <c r="N1007" s="1"/>
  <c r="I1008"/>
  <c r="M1008"/>
  <c r="N1008" s="1"/>
  <c r="I1009"/>
  <c r="M1009"/>
  <c r="N1009" s="1"/>
  <c r="I1010"/>
  <c r="M1010"/>
  <c r="N1010" s="1"/>
  <c r="I1011"/>
  <c r="M1011"/>
  <c r="N1011" s="1"/>
  <c r="I1012"/>
  <c r="M1012"/>
  <c r="N1012" s="1"/>
  <c r="I1013"/>
  <c r="M1013"/>
  <c r="N1013" s="1"/>
  <c r="I1014"/>
  <c r="M1014"/>
  <c r="N1014" s="1"/>
  <c r="I1015"/>
  <c r="M1015"/>
  <c r="N1015" s="1"/>
  <c r="I1016"/>
  <c r="M1016"/>
  <c r="N1016" s="1"/>
  <c r="I1017"/>
  <c r="M1017"/>
  <c r="N1017" s="1"/>
  <c r="I1018"/>
  <c r="M1018"/>
  <c r="N1018" s="1"/>
  <c r="I1019"/>
  <c r="M1019"/>
  <c r="N1019" s="1"/>
  <c r="I1020"/>
  <c r="M1020"/>
  <c r="N1020" s="1"/>
  <c r="I1021"/>
  <c r="M1021"/>
  <c r="N1021" s="1"/>
  <c r="I1022"/>
  <c r="M1022"/>
  <c r="N1022" s="1"/>
  <c r="I1023"/>
  <c r="M1023"/>
  <c r="N1023" s="1"/>
  <c r="I1024"/>
  <c r="M1024"/>
  <c r="N1024" s="1"/>
  <c r="I1025"/>
  <c r="M1025"/>
  <c r="N1025" s="1"/>
  <c r="I1026"/>
  <c r="M1026"/>
  <c r="N1026" s="1"/>
  <c r="I1027"/>
  <c r="M1027"/>
  <c r="N1027" s="1"/>
  <c r="I1028"/>
  <c r="M1028"/>
  <c r="N1028" s="1"/>
  <c r="I1029"/>
  <c r="M1029"/>
  <c r="N1029" s="1"/>
  <c r="I1030"/>
  <c r="M1030"/>
  <c r="N1030" s="1"/>
  <c r="I1031"/>
  <c r="M1031"/>
  <c r="N1031" s="1"/>
  <c r="I1032"/>
  <c r="M1032"/>
  <c r="N1032" s="1"/>
  <c r="I1033"/>
  <c r="M1033"/>
  <c r="N1033" s="1"/>
  <c r="I1034"/>
  <c r="M1034"/>
  <c r="N1034" s="1"/>
  <c r="I1035"/>
  <c r="M1035"/>
  <c r="N1035" s="1"/>
  <c r="I1036"/>
  <c r="M1036"/>
  <c r="N1036" s="1"/>
  <c r="I1037"/>
  <c r="M1037"/>
  <c r="N1037" s="1"/>
  <c r="I1038"/>
  <c r="M1038"/>
  <c r="N1038" s="1"/>
  <c r="I1039"/>
  <c r="M1039"/>
  <c r="N1039" s="1"/>
  <c r="I1040"/>
  <c r="M1040"/>
  <c r="N1040" s="1"/>
  <c r="I1041"/>
  <c r="M1041"/>
  <c r="N1041" s="1"/>
  <c r="I1042"/>
  <c r="M1042"/>
  <c r="N1042" s="1"/>
  <c r="I1043"/>
  <c r="M1043"/>
  <c r="N1043" s="1"/>
  <c r="I1044"/>
  <c r="M1044"/>
  <c r="N1044" s="1"/>
  <c r="I1045"/>
  <c r="M1045"/>
  <c r="N1045" s="1"/>
  <c r="I1046"/>
  <c r="M1046"/>
  <c r="N1046" s="1"/>
  <c r="I1047"/>
  <c r="M1047"/>
  <c r="N1047" s="1"/>
  <c r="I1048"/>
  <c r="M1048"/>
  <c r="N1048" s="1"/>
  <c r="I1049"/>
  <c r="M1049"/>
  <c r="N1049" s="1"/>
  <c r="I1050"/>
  <c r="M1050"/>
  <c r="N1050" s="1"/>
  <c r="I1051"/>
  <c r="M1051"/>
  <c r="N1051" s="1"/>
  <c r="I1052"/>
  <c r="M1052"/>
  <c r="N1052" s="1"/>
  <c r="I1053"/>
  <c r="M1053"/>
  <c r="N1053" s="1"/>
  <c r="I1054"/>
  <c r="M1054"/>
  <c r="N1054" s="1"/>
  <c r="I1055"/>
  <c r="M1055"/>
  <c r="N1055" s="1"/>
  <c r="I1056"/>
  <c r="M1056"/>
  <c r="N1056" s="1"/>
  <c r="I1057"/>
  <c r="M1057"/>
  <c r="N1057" s="1"/>
  <c r="I1058"/>
  <c r="M1058"/>
  <c r="N1058" s="1"/>
  <c r="I1059"/>
  <c r="M1059"/>
  <c r="N1059" s="1"/>
  <c r="I1060"/>
  <c r="M1060"/>
  <c r="N1060" s="1"/>
  <c r="I1061"/>
  <c r="M1061"/>
  <c r="N1061" s="1"/>
  <c r="I1062"/>
  <c r="M1062"/>
  <c r="N1062" s="1"/>
  <c r="I1063"/>
  <c r="M1063"/>
  <c r="N1063" s="1"/>
  <c r="I1064"/>
  <c r="M1064"/>
  <c r="N1064" s="1"/>
  <c r="I1065"/>
  <c r="M1065"/>
  <c r="N1065" s="1"/>
  <c r="I1066"/>
  <c r="M1066"/>
  <c r="N1066" s="1"/>
  <c r="I1067"/>
  <c r="M1067"/>
  <c r="N1067" s="1"/>
  <c r="I1068"/>
  <c r="M1068"/>
  <c r="N1068" s="1"/>
  <c r="I1069"/>
  <c r="M1069"/>
  <c r="N1069" s="1"/>
  <c r="I1070"/>
  <c r="M1070"/>
  <c r="N1070" s="1"/>
  <c r="I1071"/>
  <c r="M1071"/>
  <c r="N1071" s="1"/>
  <c r="I1072"/>
  <c r="M1072"/>
  <c r="N1072" s="1"/>
  <c r="I1073"/>
  <c r="M1073"/>
  <c r="N1073" s="1"/>
  <c r="I1074"/>
  <c r="M1074"/>
  <c r="N1074" s="1"/>
  <c r="I1075"/>
  <c r="M1075"/>
  <c r="N1075" s="1"/>
  <c r="I1076"/>
  <c r="M1076"/>
  <c r="N1076" s="1"/>
  <c r="I1077"/>
  <c r="M1077"/>
  <c r="N1077" s="1"/>
  <c r="I1078"/>
  <c r="M1078"/>
  <c r="N1078" s="1"/>
  <c r="I1079"/>
  <c r="M1079"/>
  <c r="N1079" s="1"/>
  <c r="I1080"/>
  <c r="M1080"/>
  <c r="N1080" s="1"/>
  <c r="I1081"/>
  <c r="M1081"/>
  <c r="N1081" s="1"/>
  <c r="I1082"/>
  <c r="M1082"/>
  <c r="N1082" s="1"/>
  <c r="I1083"/>
  <c r="M1083"/>
  <c r="N1083" s="1"/>
  <c r="I1084"/>
  <c r="M1084"/>
  <c r="N1084" s="1"/>
  <c r="I1085"/>
  <c r="M1085"/>
  <c r="N1085" s="1"/>
  <c r="I1086"/>
  <c r="M1086"/>
  <c r="N1086" s="1"/>
  <c r="I1087"/>
  <c r="M1087"/>
  <c r="N1087" s="1"/>
  <c r="I1088"/>
  <c r="M1088"/>
  <c r="N1088" s="1"/>
  <c r="I1089"/>
  <c r="M1089"/>
  <c r="N1089" s="1"/>
  <c r="I1090"/>
  <c r="M1090"/>
  <c r="N1090" s="1"/>
  <c r="I1091"/>
  <c r="M1091"/>
  <c r="N1091" s="1"/>
  <c r="I1092"/>
  <c r="M1092"/>
  <c r="N1092" s="1"/>
  <c r="I1093"/>
  <c r="M1093"/>
  <c r="N1093" s="1"/>
  <c r="I1094"/>
  <c r="M1094"/>
  <c r="N1094" s="1"/>
  <c r="I1095"/>
  <c r="M1095"/>
  <c r="N1095" s="1"/>
  <c r="I1096"/>
  <c r="M1096"/>
  <c r="N1096" s="1"/>
  <c r="I1097"/>
  <c r="M1097"/>
  <c r="N1097" s="1"/>
  <c r="I1098"/>
  <c r="M1098"/>
  <c r="N1098" s="1"/>
  <c r="I1099"/>
  <c r="M1099"/>
  <c r="N1099" s="1"/>
  <c r="I1100"/>
  <c r="M1100"/>
  <c r="N1100" s="1"/>
  <c r="I1101"/>
  <c r="M1101"/>
  <c r="N1101" s="1"/>
  <c r="I1102"/>
  <c r="M1102"/>
  <c r="N1102" s="1"/>
  <c r="I1103"/>
  <c r="M1103"/>
  <c r="N1103" s="1"/>
  <c r="I1104"/>
  <c r="M1104"/>
  <c r="N1104" s="1"/>
  <c r="I1105"/>
  <c r="M1105"/>
  <c r="N1105" s="1"/>
  <c r="I1106"/>
  <c r="M1106"/>
  <c r="N1106" s="1"/>
  <c r="I1107"/>
  <c r="M1107"/>
  <c r="N1107" s="1"/>
  <c r="I1108"/>
  <c r="M1108"/>
  <c r="N1108" s="1"/>
  <c r="I1109"/>
  <c r="M1109"/>
  <c r="N1109" s="1"/>
  <c r="I1110"/>
  <c r="M1110"/>
  <c r="N1110" s="1"/>
  <c r="I1111"/>
  <c r="M1111"/>
  <c r="N1111" s="1"/>
  <c r="I1112"/>
  <c r="M1112"/>
  <c r="N1112" s="1"/>
  <c r="I1113"/>
  <c r="M1113"/>
  <c r="N1113" s="1"/>
  <c r="I1114"/>
  <c r="M1114"/>
  <c r="N1114" s="1"/>
  <c r="I1115"/>
  <c r="M1115"/>
  <c r="N1115" s="1"/>
  <c r="I1116"/>
  <c r="M1116"/>
  <c r="N1116" s="1"/>
  <c r="I1117"/>
  <c r="M1117"/>
  <c r="N1117" s="1"/>
  <c r="I1118"/>
  <c r="M1118"/>
  <c r="N1118" s="1"/>
  <c r="I1119"/>
  <c r="M1119"/>
  <c r="N1119" s="1"/>
  <c r="I1120"/>
  <c r="M1120"/>
  <c r="N1120" s="1"/>
  <c r="I1121"/>
  <c r="M1121"/>
  <c r="N1121" s="1"/>
  <c r="I1122"/>
  <c r="M1122"/>
  <c r="N1122" s="1"/>
  <c r="I1123"/>
  <c r="M1123"/>
  <c r="N1123" s="1"/>
  <c r="I1124"/>
  <c r="M1124"/>
  <c r="N1124" s="1"/>
  <c r="I1125"/>
  <c r="M1125"/>
  <c r="N1125" s="1"/>
  <c r="I1126"/>
  <c r="M1126"/>
  <c r="N1126" s="1"/>
  <c r="I1127"/>
  <c r="M1127"/>
  <c r="N1127" s="1"/>
  <c r="I1128"/>
  <c r="M1128"/>
  <c r="N1128" s="1"/>
  <c r="I1129"/>
  <c r="M1129"/>
  <c r="N1129" s="1"/>
  <c r="I1130"/>
  <c r="M1130"/>
  <c r="N1130" s="1"/>
  <c r="I1131"/>
  <c r="M1131"/>
  <c r="N1131" s="1"/>
  <c r="I1132"/>
  <c r="M1132"/>
  <c r="N1132" s="1"/>
  <c r="I1133"/>
  <c r="M1133"/>
  <c r="N1133" s="1"/>
  <c r="I1134"/>
  <c r="M1134"/>
  <c r="N1134" s="1"/>
  <c r="I1135"/>
  <c r="M1135"/>
  <c r="N1135" s="1"/>
  <c r="I1136"/>
  <c r="M1136"/>
  <c r="N1136" s="1"/>
  <c r="I1137"/>
  <c r="M1137"/>
  <c r="N1137" s="1"/>
  <c r="I1138"/>
  <c r="M1138"/>
  <c r="N1138" s="1"/>
  <c r="I1139"/>
  <c r="M1139"/>
  <c r="N1139" s="1"/>
  <c r="I1140"/>
  <c r="M1140"/>
  <c r="N1140" s="1"/>
  <c r="I1141"/>
  <c r="M1141"/>
  <c r="N1141" s="1"/>
  <c r="I1142"/>
  <c r="M1142"/>
  <c r="N1142" s="1"/>
  <c r="I1143"/>
  <c r="M1143"/>
  <c r="N1143" s="1"/>
  <c r="I1144"/>
  <c r="M1144"/>
  <c r="N1144" s="1"/>
  <c r="I1145"/>
  <c r="M1145"/>
  <c r="N1145" s="1"/>
  <c r="G1146"/>
  <c r="I1146"/>
  <c r="M1146"/>
  <c r="N1146" s="1"/>
  <c r="I881"/>
  <c r="M881"/>
  <c r="N881" s="1"/>
  <c r="H535"/>
  <c r="I535"/>
  <c r="M535"/>
  <c r="N535" s="1"/>
  <c r="P748" i="2"/>
  <c r="R748" s="1"/>
  <c r="H879"/>
  <c r="I879"/>
  <c r="L879"/>
  <c r="P879"/>
  <c r="H963" i="6"/>
  <c r="I963"/>
  <c r="H7"/>
  <c r="I7"/>
  <c r="J7" i="12"/>
  <c r="K7"/>
  <c r="O7" s="1"/>
  <c r="L7"/>
  <c r="M7"/>
  <c r="J7" i="17"/>
  <c r="K7" s="1"/>
  <c r="I7" i="3"/>
  <c r="J7"/>
  <c r="K7"/>
  <c r="M7"/>
  <c r="F7"/>
  <c r="H8" i="6"/>
  <c r="I8"/>
  <c r="J8" i="12"/>
  <c r="K8"/>
  <c r="O8" s="1"/>
  <c r="L8"/>
  <c r="M8"/>
  <c r="J8" i="17"/>
  <c r="K8" s="1"/>
  <c r="I8" i="3"/>
  <c r="J8"/>
  <c r="K8"/>
  <c r="M8"/>
  <c r="F8"/>
  <c r="H9" i="6"/>
  <c r="I9"/>
  <c r="J9" i="12"/>
  <c r="K9"/>
  <c r="O9" s="1"/>
  <c r="L9"/>
  <c r="M9"/>
  <c r="J9" i="17"/>
  <c r="K9" s="1"/>
  <c r="I9" i="3"/>
  <c r="J9"/>
  <c r="K9"/>
  <c r="M9"/>
  <c r="F9"/>
  <c r="H10" i="6"/>
  <c r="I10"/>
  <c r="J10" i="12"/>
  <c r="K10"/>
  <c r="O10" s="1"/>
  <c r="L10"/>
  <c r="M10"/>
  <c r="J10" i="17"/>
  <c r="K10" s="1"/>
  <c r="I10" i="3"/>
  <c r="J10"/>
  <c r="K10"/>
  <c r="M10"/>
  <c r="F10"/>
  <c r="H11" i="6"/>
  <c r="I11"/>
  <c r="J11" i="12"/>
  <c r="K11"/>
  <c r="O11" s="1"/>
  <c r="L11"/>
  <c r="M11"/>
  <c r="J11" i="17"/>
  <c r="K11" s="1"/>
  <c r="I11" i="3"/>
  <c r="J11"/>
  <c r="K11"/>
  <c r="M11"/>
  <c r="F11"/>
  <c r="H12" i="6"/>
  <c r="I12"/>
  <c r="J12" i="12"/>
  <c r="K12"/>
  <c r="O12" s="1"/>
  <c r="L12"/>
  <c r="M12"/>
  <c r="J12" i="17"/>
  <c r="K12" s="1"/>
  <c r="I12" i="3"/>
  <c r="J12"/>
  <c r="K12"/>
  <c r="M12"/>
  <c r="F12"/>
  <c r="H13" i="6"/>
  <c r="I13"/>
  <c r="J13" i="12"/>
  <c r="K13"/>
  <c r="O13" s="1"/>
  <c r="L13"/>
  <c r="M13"/>
  <c r="J13" i="17"/>
  <c r="K13" s="1"/>
  <c r="I13" i="3"/>
  <c r="J13"/>
  <c r="K13"/>
  <c r="M13"/>
  <c r="F13"/>
  <c r="H14" i="6"/>
  <c r="I14"/>
  <c r="J14" i="12"/>
  <c r="K14"/>
  <c r="O14" s="1"/>
  <c r="L14"/>
  <c r="M14"/>
  <c r="J14" i="17"/>
  <c r="K14" s="1"/>
  <c r="I14" i="3"/>
  <c r="J14"/>
  <c r="K14"/>
  <c r="M14"/>
  <c r="F14"/>
  <c r="H15" i="6"/>
  <c r="I15"/>
  <c r="J15" i="12"/>
  <c r="K15"/>
  <c r="O15" s="1"/>
  <c r="L15"/>
  <c r="M15"/>
  <c r="J15" i="17"/>
  <c r="K15" s="1"/>
  <c r="I15" i="3"/>
  <c r="J15"/>
  <c r="K15"/>
  <c r="M15"/>
  <c r="F15"/>
  <c r="H16" i="6"/>
  <c r="I16"/>
  <c r="J16" i="12"/>
  <c r="K16"/>
  <c r="O16" s="1"/>
  <c r="L16"/>
  <c r="M16"/>
  <c r="J16" i="17"/>
  <c r="K16" s="1"/>
  <c r="I16" i="3"/>
  <c r="J16"/>
  <c r="K16"/>
  <c r="M16"/>
  <c r="F16"/>
  <c r="H17" i="6"/>
  <c r="I17"/>
  <c r="J17" i="12"/>
  <c r="K17"/>
  <c r="O17" s="1"/>
  <c r="L17"/>
  <c r="M17"/>
  <c r="J17" i="17"/>
  <c r="K17" s="1"/>
  <c r="I17" i="3"/>
  <c r="J17"/>
  <c r="K17"/>
  <c r="M17"/>
  <c r="F17"/>
  <c r="H18" i="6"/>
  <c r="I18"/>
  <c r="J18" i="12"/>
  <c r="K18"/>
  <c r="O18" s="1"/>
  <c r="L18"/>
  <c r="M18"/>
  <c r="J18" i="17"/>
  <c r="K18" s="1"/>
  <c r="I18" i="3"/>
  <c r="J18"/>
  <c r="K18"/>
  <c r="M18"/>
  <c r="F18"/>
  <c r="H19" i="6"/>
  <c r="I19"/>
  <c r="J19" i="12"/>
  <c r="K19"/>
  <c r="O19" s="1"/>
  <c r="L19"/>
  <c r="M19"/>
  <c r="J19" i="17"/>
  <c r="K19" s="1"/>
  <c r="I19" i="3"/>
  <c r="J19"/>
  <c r="K19"/>
  <c r="M19"/>
  <c r="F19"/>
  <c r="H20" i="6"/>
  <c r="I20"/>
  <c r="J20" i="12"/>
  <c r="K20"/>
  <c r="O20" s="1"/>
  <c r="L20"/>
  <c r="M20"/>
  <c r="J20" i="17"/>
  <c r="K20" s="1"/>
  <c r="I20" i="3"/>
  <c r="J20"/>
  <c r="K20"/>
  <c r="M20"/>
  <c r="F20"/>
  <c r="H21" i="6"/>
  <c r="I21"/>
  <c r="J21" i="12"/>
  <c r="K21"/>
  <c r="O21" s="1"/>
  <c r="L21"/>
  <c r="M21"/>
  <c r="J21" i="17"/>
  <c r="K21" s="1"/>
  <c r="I21" i="3"/>
  <c r="J21"/>
  <c r="K21"/>
  <c r="M21"/>
  <c r="F21"/>
  <c r="H22" i="6"/>
  <c r="I22"/>
  <c r="J22" i="12"/>
  <c r="K22"/>
  <c r="O22" s="1"/>
  <c r="L22"/>
  <c r="M22"/>
  <c r="J22" i="17"/>
  <c r="K22" s="1"/>
  <c r="I22" i="3"/>
  <c r="J22"/>
  <c r="K22"/>
  <c r="M22"/>
  <c r="F22"/>
  <c r="H23" i="6"/>
  <c r="I23"/>
  <c r="J23" i="12"/>
  <c r="K23"/>
  <c r="O23" s="1"/>
  <c r="L23"/>
  <c r="M23"/>
  <c r="J23" i="17"/>
  <c r="K23" s="1"/>
  <c r="I23" i="3"/>
  <c r="J23"/>
  <c r="K23"/>
  <c r="M23"/>
  <c r="F23"/>
  <c r="H24" i="6"/>
  <c r="I24"/>
  <c r="J24" i="12"/>
  <c r="K24"/>
  <c r="O24" s="1"/>
  <c r="L24"/>
  <c r="M24"/>
  <c r="J24" i="17"/>
  <c r="K24" s="1"/>
  <c r="I24" i="3"/>
  <c r="J24"/>
  <c r="K24"/>
  <c r="M24"/>
  <c r="F24"/>
  <c r="H25" i="6"/>
  <c r="I25"/>
  <c r="J25" i="12"/>
  <c r="K25"/>
  <c r="O25" s="1"/>
  <c r="L25"/>
  <c r="M25"/>
  <c r="J25" i="17"/>
  <c r="K25" s="1"/>
  <c r="I25" i="3"/>
  <c r="J25"/>
  <c r="K25"/>
  <c r="M25"/>
  <c r="F25"/>
  <c r="H26" i="6"/>
  <c r="I26"/>
  <c r="J26" i="12"/>
  <c r="K26"/>
  <c r="O26" s="1"/>
  <c r="L26"/>
  <c r="M26"/>
  <c r="J26" i="17"/>
  <c r="K26" s="1"/>
  <c r="I26" i="3"/>
  <c r="J26"/>
  <c r="K26"/>
  <c r="M26"/>
  <c r="F26"/>
  <c r="H27" i="6"/>
  <c r="I27"/>
  <c r="J27" i="12"/>
  <c r="K27"/>
  <c r="O27" s="1"/>
  <c r="L27"/>
  <c r="M27"/>
  <c r="J27" i="17"/>
  <c r="K27" s="1"/>
  <c r="I27" i="3"/>
  <c r="J27"/>
  <c r="K27"/>
  <c r="M27"/>
  <c r="F27"/>
  <c r="H28" i="6"/>
  <c r="I28"/>
  <c r="J28" i="12"/>
  <c r="K28"/>
  <c r="O28" s="1"/>
  <c r="L28"/>
  <c r="M28"/>
  <c r="J28" i="17"/>
  <c r="K28" s="1"/>
  <c r="I28" i="3"/>
  <c r="J28"/>
  <c r="K28"/>
  <c r="M28"/>
  <c r="F28"/>
  <c r="H29" i="6"/>
  <c r="I29"/>
  <c r="J29" i="12"/>
  <c r="K29"/>
  <c r="O29" s="1"/>
  <c r="L29"/>
  <c r="M29"/>
  <c r="J29" i="17"/>
  <c r="K29" s="1"/>
  <c r="I29" i="3"/>
  <c r="J29"/>
  <c r="K29"/>
  <c r="M29"/>
  <c r="F29"/>
  <c r="H30" i="6"/>
  <c r="I30"/>
  <c r="J30" i="12"/>
  <c r="K30"/>
  <c r="O30" s="1"/>
  <c r="L30"/>
  <c r="M30"/>
  <c r="J30" i="17"/>
  <c r="K30" s="1"/>
  <c r="I30" i="3"/>
  <c r="J30"/>
  <c r="K30"/>
  <c r="M30"/>
  <c r="F30"/>
  <c r="H31" i="6"/>
  <c r="I31"/>
  <c r="J31" i="12"/>
  <c r="K31"/>
  <c r="O31" s="1"/>
  <c r="L31"/>
  <c r="M31"/>
  <c r="J31" i="17"/>
  <c r="K31" s="1"/>
  <c r="I31" i="3"/>
  <c r="J31"/>
  <c r="K31"/>
  <c r="M31"/>
  <c r="F31"/>
  <c r="H32" i="6"/>
  <c r="I32"/>
  <c r="J32" i="12"/>
  <c r="K32"/>
  <c r="O32" s="1"/>
  <c r="L32"/>
  <c r="M32"/>
  <c r="J32" i="17"/>
  <c r="K32" s="1"/>
  <c r="I32" i="3"/>
  <c r="J32"/>
  <c r="K32"/>
  <c r="M32"/>
  <c r="F32"/>
  <c r="H33" i="6"/>
  <c r="I33"/>
  <c r="J33" i="12"/>
  <c r="K33"/>
  <c r="O33" s="1"/>
  <c r="L33"/>
  <c r="M33"/>
  <c r="J33" i="17"/>
  <c r="K33" s="1"/>
  <c r="I33" i="3"/>
  <c r="J33"/>
  <c r="K33"/>
  <c r="M33"/>
  <c r="F33"/>
  <c r="H34" i="6"/>
  <c r="I34"/>
  <c r="J34" i="12"/>
  <c r="K34"/>
  <c r="O34" s="1"/>
  <c r="L34"/>
  <c r="M34"/>
  <c r="J34" i="17"/>
  <c r="K34" s="1"/>
  <c r="I34" i="3"/>
  <c r="J34"/>
  <c r="K34"/>
  <c r="M34"/>
  <c r="F34"/>
  <c r="H35" i="6"/>
  <c r="I35"/>
  <c r="J35" i="12"/>
  <c r="K35"/>
  <c r="O35" s="1"/>
  <c r="L35"/>
  <c r="M35"/>
  <c r="J35" i="17"/>
  <c r="K35" s="1"/>
  <c r="I35" i="3"/>
  <c r="J35"/>
  <c r="K35"/>
  <c r="M35"/>
  <c r="F35"/>
  <c r="H36" i="6"/>
  <c r="I36"/>
  <c r="J36" i="12"/>
  <c r="K36"/>
  <c r="O36" s="1"/>
  <c r="L36"/>
  <c r="M36"/>
  <c r="J36" i="17"/>
  <c r="K36" s="1"/>
  <c r="I36" i="3"/>
  <c r="J36"/>
  <c r="K36"/>
  <c r="M36"/>
  <c r="F36"/>
  <c r="H37" i="6"/>
  <c r="I37"/>
  <c r="J37" i="12"/>
  <c r="K37"/>
  <c r="O37" s="1"/>
  <c r="L37"/>
  <c r="M37"/>
  <c r="J37" i="17"/>
  <c r="K37" s="1"/>
  <c r="I37" i="3"/>
  <c r="J37"/>
  <c r="K37"/>
  <c r="M37"/>
  <c r="F37"/>
  <c r="H38" i="6"/>
  <c r="I38"/>
  <c r="J38" i="12"/>
  <c r="J38" i="17"/>
  <c r="K38" s="1"/>
  <c r="I38" i="3"/>
  <c r="J38"/>
  <c r="K38"/>
  <c r="M38"/>
  <c r="F38"/>
  <c r="H39" i="6"/>
  <c r="I39"/>
  <c r="J39" i="12"/>
  <c r="K39"/>
  <c r="O39" s="1"/>
  <c r="L39"/>
  <c r="M39"/>
  <c r="J39" i="17"/>
  <c r="K39" s="1"/>
  <c r="I39" i="3"/>
  <c r="J39"/>
  <c r="K39"/>
  <c r="M39"/>
  <c r="F39"/>
  <c r="J40" i="12"/>
  <c r="J40" i="17"/>
  <c r="K40" s="1"/>
  <c r="I40" i="3"/>
  <c r="J40"/>
  <c r="K40"/>
  <c r="M40"/>
  <c r="F40"/>
  <c r="H41" i="6"/>
  <c r="I41"/>
  <c r="J41" i="12"/>
  <c r="K41"/>
  <c r="O41" s="1"/>
  <c r="L41"/>
  <c r="M41"/>
  <c r="J41" i="17"/>
  <c r="K41" s="1"/>
  <c r="I41" i="3"/>
  <c r="J41"/>
  <c r="K41"/>
  <c r="M41"/>
  <c r="F41"/>
  <c r="H42" i="6"/>
  <c r="I42"/>
  <c r="J42" i="12"/>
  <c r="K42"/>
  <c r="O42" s="1"/>
  <c r="L42"/>
  <c r="M42"/>
  <c r="J42" i="17"/>
  <c r="K42" s="1"/>
  <c r="I42" i="3"/>
  <c r="J42"/>
  <c r="K42"/>
  <c r="M42"/>
  <c r="F42"/>
  <c r="H43" i="6"/>
  <c r="I43"/>
  <c r="J43" i="12"/>
  <c r="K43"/>
  <c r="O43" s="1"/>
  <c r="L43"/>
  <c r="M43"/>
  <c r="J43" i="17"/>
  <c r="K43" s="1"/>
  <c r="I43" i="3"/>
  <c r="J43"/>
  <c r="K43"/>
  <c r="M43"/>
  <c r="F43"/>
  <c r="H44" i="6"/>
  <c r="I44"/>
  <c r="J44" i="12"/>
  <c r="K44"/>
  <c r="O44" s="1"/>
  <c r="L44"/>
  <c r="M44"/>
  <c r="J44" i="17"/>
  <c r="K44" s="1"/>
  <c r="I44" i="3"/>
  <c r="J44"/>
  <c r="K44"/>
  <c r="M44"/>
  <c r="F44"/>
  <c r="H45" i="6"/>
  <c r="I45"/>
  <c r="J45" i="12"/>
  <c r="K45"/>
  <c r="O45" s="1"/>
  <c r="L45"/>
  <c r="M45"/>
  <c r="J45" i="17"/>
  <c r="K45" s="1"/>
  <c r="I45" i="3"/>
  <c r="J45"/>
  <c r="K45"/>
  <c r="M45"/>
  <c r="F45"/>
  <c r="H46" i="6"/>
  <c r="I46"/>
  <c r="J46" i="12"/>
  <c r="K46"/>
  <c r="O46" s="1"/>
  <c r="L46"/>
  <c r="M46"/>
  <c r="J46" i="17"/>
  <c r="K46" s="1"/>
  <c r="I46" i="3"/>
  <c r="J46"/>
  <c r="K46"/>
  <c r="M46"/>
  <c r="F46"/>
  <c r="H47" i="6"/>
  <c r="I47"/>
  <c r="J47" i="12"/>
  <c r="K47"/>
  <c r="O47" s="1"/>
  <c r="L47"/>
  <c r="M47"/>
  <c r="J47" i="17"/>
  <c r="K47" s="1"/>
  <c r="I47" i="3"/>
  <c r="J47"/>
  <c r="K47"/>
  <c r="M47"/>
  <c r="F47"/>
  <c r="H48" i="6"/>
  <c r="I48"/>
  <c r="J48" i="12"/>
  <c r="K48"/>
  <c r="O48" s="1"/>
  <c r="L48"/>
  <c r="M48"/>
  <c r="J48" i="17"/>
  <c r="K48" s="1"/>
  <c r="J48" i="3"/>
  <c r="K48"/>
  <c r="M48"/>
  <c r="F48"/>
  <c r="H49" i="6"/>
  <c r="I49"/>
  <c r="J49" i="12"/>
  <c r="K49"/>
  <c r="O49" s="1"/>
  <c r="L49"/>
  <c r="M49"/>
  <c r="J49" i="17"/>
  <c r="K49" s="1"/>
  <c r="I49" i="3"/>
  <c r="J49"/>
  <c r="K49"/>
  <c r="M49"/>
  <c r="F49"/>
  <c r="H50" i="6"/>
  <c r="I50"/>
  <c r="J50" i="12"/>
  <c r="K50"/>
  <c r="O50" s="1"/>
  <c r="L50"/>
  <c r="M50"/>
  <c r="J50" i="17"/>
  <c r="K50" s="1"/>
  <c r="I50" i="3"/>
  <c r="J50"/>
  <c r="K50"/>
  <c r="M50"/>
  <c r="F50"/>
  <c r="H51" i="6"/>
  <c r="I51"/>
  <c r="J51" i="12"/>
  <c r="K51"/>
  <c r="O51" s="1"/>
  <c r="L51"/>
  <c r="M51"/>
  <c r="J51" i="17"/>
  <c r="K51" s="1"/>
  <c r="I51" i="3"/>
  <c r="J51"/>
  <c r="K51"/>
  <c r="M51"/>
  <c r="F51"/>
  <c r="H52" i="6"/>
  <c r="I52"/>
  <c r="J52" i="12"/>
  <c r="K52"/>
  <c r="O52" s="1"/>
  <c r="L52"/>
  <c r="M52"/>
  <c r="J52" i="17"/>
  <c r="K52" s="1"/>
  <c r="I52" i="3"/>
  <c r="J52"/>
  <c r="K52"/>
  <c r="M52"/>
  <c r="F52"/>
  <c r="H53" i="6"/>
  <c r="I53"/>
  <c r="J53" i="12"/>
  <c r="K53"/>
  <c r="O53" s="1"/>
  <c r="L53"/>
  <c r="M53"/>
  <c r="J53" i="17"/>
  <c r="K53" s="1"/>
  <c r="I53" i="3"/>
  <c r="J53"/>
  <c r="K53"/>
  <c r="M53"/>
  <c r="F53"/>
  <c r="H54" i="6"/>
  <c r="I54"/>
  <c r="J54" i="12"/>
  <c r="K54"/>
  <c r="O54" s="1"/>
  <c r="L54"/>
  <c r="M54"/>
  <c r="J54" i="17"/>
  <c r="K54" s="1"/>
  <c r="I54" i="3"/>
  <c r="J54"/>
  <c r="K54"/>
  <c r="M54"/>
  <c r="F54"/>
  <c r="H55" i="6"/>
  <c r="I55"/>
  <c r="J55" i="12"/>
  <c r="K55"/>
  <c r="O55" s="1"/>
  <c r="L55"/>
  <c r="M55"/>
  <c r="J55" i="17"/>
  <c r="K55" s="1"/>
  <c r="I55" i="3"/>
  <c r="J55"/>
  <c r="K55"/>
  <c r="M55"/>
  <c r="F55"/>
  <c r="H56" i="6"/>
  <c r="I56"/>
  <c r="J56" i="12"/>
  <c r="K56"/>
  <c r="O56" s="1"/>
  <c r="L56"/>
  <c r="M56"/>
  <c r="J56" i="17"/>
  <c r="K56" s="1"/>
  <c r="I56" i="3"/>
  <c r="J56"/>
  <c r="K56"/>
  <c r="M56"/>
  <c r="F56"/>
  <c r="H57" i="6"/>
  <c r="I57"/>
  <c r="J57" i="12"/>
  <c r="K57"/>
  <c r="O57" s="1"/>
  <c r="L57"/>
  <c r="M57"/>
  <c r="J57" i="17"/>
  <c r="K57" s="1"/>
  <c r="I57" i="3"/>
  <c r="J57"/>
  <c r="K57"/>
  <c r="M57"/>
  <c r="F57"/>
  <c r="H58" i="6"/>
  <c r="I58"/>
  <c r="J58" i="12"/>
  <c r="K58"/>
  <c r="O58" s="1"/>
  <c r="L58"/>
  <c r="M58"/>
  <c r="J58" i="17"/>
  <c r="K58" s="1"/>
  <c r="I58" i="3"/>
  <c r="J58"/>
  <c r="K58"/>
  <c r="M58"/>
  <c r="F58"/>
  <c r="H59" i="6"/>
  <c r="I59"/>
  <c r="J59" i="12"/>
  <c r="K59"/>
  <c r="O59" s="1"/>
  <c r="L59"/>
  <c r="M59"/>
  <c r="J59" i="17"/>
  <c r="K59" s="1"/>
  <c r="I59" i="3"/>
  <c r="J59"/>
  <c r="K59"/>
  <c r="M59"/>
  <c r="F59"/>
  <c r="F60" i="6"/>
  <c r="G60"/>
  <c r="K60"/>
  <c r="H60"/>
  <c r="I60"/>
  <c r="J60" i="17"/>
  <c r="K60" s="1"/>
  <c r="F60" i="3"/>
  <c r="F61" i="6"/>
  <c r="G61"/>
  <c r="K61"/>
  <c r="H61"/>
  <c r="I61"/>
  <c r="J61" i="17"/>
  <c r="K61" s="1"/>
  <c r="I61" i="3"/>
  <c r="J61"/>
  <c r="K61"/>
  <c r="M61"/>
  <c r="F61"/>
  <c r="F62" i="6"/>
  <c r="G62"/>
  <c r="K62"/>
  <c r="H62"/>
  <c r="I62"/>
  <c r="J62" i="17"/>
  <c r="K62" s="1"/>
  <c r="I62" i="3"/>
  <c r="J62"/>
  <c r="K62"/>
  <c r="M62"/>
  <c r="F62"/>
  <c r="F63" i="6"/>
  <c r="G63"/>
  <c r="K63"/>
  <c r="H63"/>
  <c r="I63"/>
  <c r="J63" i="17"/>
  <c r="K63" s="1"/>
  <c r="I63" i="3"/>
  <c r="J63"/>
  <c r="K63"/>
  <c r="M63"/>
  <c r="F63"/>
  <c r="F64" i="6"/>
  <c r="G64"/>
  <c r="K64"/>
  <c r="H64"/>
  <c r="I64"/>
  <c r="J64" i="17"/>
  <c r="K64" s="1"/>
  <c r="I64" i="3"/>
  <c r="J64"/>
  <c r="K64"/>
  <c r="M64"/>
  <c r="F64"/>
  <c r="F65" i="6"/>
  <c r="G65"/>
  <c r="K65"/>
  <c r="H65"/>
  <c r="I65"/>
  <c r="J65" i="17"/>
  <c r="K65" s="1"/>
  <c r="I65" i="3"/>
  <c r="J65"/>
  <c r="K65"/>
  <c r="M65"/>
  <c r="F65"/>
  <c r="F66" i="6"/>
  <c r="G66"/>
  <c r="K66"/>
  <c r="H66"/>
  <c r="I66"/>
  <c r="J66" i="17"/>
  <c r="K66" s="1"/>
  <c r="I66" i="3"/>
  <c r="J66"/>
  <c r="K66"/>
  <c r="M66"/>
  <c r="F66"/>
  <c r="H6" i="6"/>
  <c r="I6"/>
  <c r="J6" i="12"/>
  <c r="K6"/>
  <c r="O6" s="1"/>
  <c r="L6"/>
  <c r="M6"/>
  <c r="J6" i="17"/>
  <c r="I6" i="3"/>
  <c r="J6"/>
  <c r="K6"/>
  <c r="M6"/>
  <c r="F6"/>
  <c r="J92" i="12"/>
  <c r="K92"/>
  <c r="O92" s="1"/>
  <c r="L92"/>
  <c r="M92"/>
  <c r="J92" i="17"/>
  <c r="K92"/>
  <c r="O92" s="1"/>
  <c r="L92"/>
  <c r="M92"/>
  <c r="F92" i="13"/>
  <c r="G92" s="1"/>
  <c r="I92" s="1"/>
  <c r="J93" i="12"/>
  <c r="K93"/>
  <c r="O93" s="1"/>
  <c r="L93"/>
  <c r="M93"/>
  <c r="J93" i="17"/>
  <c r="K93"/>
  <c r="O93" s="1"/>
  <c r="L93"/>
  <c r="M93"/>
  <c r="F93" i="13"/>
  <c r="G93" s="1"/>
  <c r="I93" s="1"/>
  <c r="J94" i="12"/>
  <c r="K94"/>
  <c r="O94" s="1"/>
  <c r="L94"/>
  <c r="M94"/>
  <c r="J94" i="17"/>
  <c r="K94"/>
  <c r="O94" s="1"/>
  <c r="L94"/>
  <c r="M94"/>
  <c r="F94" i="13"/>
  <c r="G94" s="1"/>
  <c r="I94" s="1"/>
  <c r="J95" i="12"/>
  <c r="K95"/>
  <c r="O95" s="1"/>
  <c r="L95"/>
  <c r="M95"/>
  <c r="J95" i="17"/>
  <c r="K95"/>
  <c r="O95" s="1"/>
  <c r="L95"/>
  <c r="M95"/>
  <c r="F95" i="13"/>
  <c r="G95" s="1"/>
  <c r="I95" s="1"/>
  <c r="J96" i="12"/>
  <c r="K96"/>
  <c r="O96" s="1"/>
  <c r="L96"/>
  <c r="M96"/>
  <c r="J96" i="17"/>
  <c r="K96"/>
  <c r="O96" s="1"/>
  <c r="L96"/>
  <c r="M96"/>
  <c r="F96" i="13"/>
  <c r="G96" s="1"/>
  <c r="I96" s="1"/>
  <c r="J97" i="12"/>
  <c r="K97"/>
  <c r="O97" s="1"/>
  <c r="L97"/>
  <c r="M97"/>
  <c r="J97" i="17"/>
  <c r="K97"/>
  <c r="O97" s="1"/>
  <c r="L97"/>
  <c r="M97"/>
  <c r="F97" i="13"/>
  <c r="G97" s="1"/>
  <c r="I97" s="1"/>
  <c r="J98" i="12"/>
  <c r="K98"/>
  <c r="O98" s="1"/>
  <c r="L98"/>
  <c r="M98"/>
  <c r="J98" i="17"/>
  <c r="K98"/>
  <c r="O98" s="1"/>
  <c r="L98"/>
  <c r="M98"/>
  <c r="F98" i="13"/>
  <c r="G98" s="1"/>
  <c r="I98" s="1"/>
  <c r="J99" i="12"/>
  <c r="K99"/>
  <c r="O99" s="1"/>
  <c r="L99"/>
  <c r="M99"/>
  <c r="J99" i="17"/>
  <c r="K99"/>
  <c r="O99" s="1"/>
  <c r="L99"/>
  <c r="M99"/>
  <c r="F99" i="13"/>
  <c r="G99" s="1"/>
  <c r="I99" s="1"/>
  <c r="J100" i="12"/>
  <c r="K100"/>
  <c r="O100" s="1"/>
  <c r="L100"/>
  <c r="M100"/>
  <c r="J100" i="17"/>
  <c r="K100"/>
  <c r="O100" s="1"/>
  <c r="L100"/>
  <c r="M100"/>
  <c r="F100" i="13"/>
  <c r="G100" s="1"/>
  <c r="I100" s="1"/>
  <c r="J101" i="12"/>
  <c r="K101"/>
  <c r="O101" s="1"/>
  <c r="L101"/>
  <c r="M101"/>
  <c r="J101" i="17"/>
  <c r="K101"/>
  <c r="O101" s="1"/>
  <c r="L101"/>
  <c r="M101"/>
  <c r="F101" i="13"/>
  <c r="G101" s="1"/>
  <c r="I101" s="1"/>
  <c r="J102" i="12"/>
  <c r="K102"/>
  <c r="O102" s="1"/>
  <c r="L102"/>
  <c r="M102"/>
  <c r="J102" i="17"/>
  <c r="K102"/>
  <c r="O102" s="1"/>
  <c r="L102"/>
  <c r="M102"/>
  <c r="F102" i="13"/>
  <c r="G102" s="1"/>
  <c r="I102" s="1"/>
  <c r="J103" i="12"/>
  <c r="K103"/>
  <c r="O103" s="1"/>
  <c r="L103"/>
  <c r="M103"/>
  <c r="J103" i="17"/>
  <c r="K103"/>
  <c r="O103" s="1"/>
  <c r="L103"/>
  <c r="M103"/>
  <c r="F103" i="13"/>
  <c r="G103" s="1"/>
  <c r="I103" s="1"/>
  <c r="J104" i="12"/>
  <c r="K104"/>
  <c r="O104" s="1"/>
  <c r="L104"/>
  <c r="M104"/>
  <c r="J104" i="17"/>
  <c r="K104"/>
  <c r="O104" s="1"/>
  <c r="L104"/>
  <c r="M104"/>
  <c r="F104" i="13"/>
  <c r="G104" s="1"/>
  <c r="I104" s="1"/>
  <c r="J105" i="12"/>
  <c r="K105"/>
  <c r="O105" s="1"/>
  <c r="L105"/>
  <c r="M105"/>
  <c r="J105" i="17"/>
  <c r="K105"/>
  <c r="O105" s="1"/>
  <c r="L105"/>
  <c r="M105"/>
  <c r="F105" i="13"/>
  <c r="G105" s="1"/>
  <c r="I105" s="1"/>
  <c r="J106" i="12"/>
  <c r="K106"/>
  <c r="O106" s="1"/>
  <c r="L106"/>
  <c r="M106"/>
  <c r="J106" i="17"/>
  <c r="K106"/>
  <c r="O106" s="1"/>
  <c r="L106"/>
  <c r="M106"/>
  <c r="F106" i="13"/>
  <c r="G106" s="1"/>
  <c r="I106" s="1"/>
  <c r="J107" i="12"/>
  <c r="K107"/>
  <c r="O107" s="1"/>
  <c r="L107"/>
  <c r="M107"/>
  <c r="J107" i="17"/>
  <c r="K107"/>
  <c r="O107" s="1"/>
  <c r="L107"/>
  <c r="M107"/>
  <c r="F107" i="13"/>
  <c r="G107" s="1"/>
  <c r="I107" s="1"/>
  <c r="J108" i="12"/>
  <c r="K108"/>
  <c r="O108" s="1"/>
  <c r="L108"/>
  <c r="M108"/>
  <c r="J108" i="17"/>
  <c r="K108"/>
  <c r="O108" s="1"/>
  <c r="L108"/>
  <c r="M108"/>
  <c r="F108" i="13"/>
  <c r="G108" s="1"/>
  <c r="I108" s="1"/>
  <c r="J109" i="12"/>
  <c r="K109"/>
  <c r="O109" s="1"/>
  <c r="L109"/>
  <c r="M109"/>
  <c r="J109" i="17"/>
  <c r="K109"/>
  <c r="O109" s="1"/>
  <c r="L109"/>
  <c r="M109"/>
  <c r="F109" i="13"/>
  <c r="G109" s="1"/>
  <c r="I109" s="1"/>
  <c r="J110" i="12"/>
  <c r="K110"/>
  <c r="O110" s="1"/>
  <c r="L110"/>
  <c r="M110"/>
  <c r="J110" i="17"/>
  <c r="K110"/>
  <c r="O110" s="1"/>
  <c r="L110"/>
  <c r="M110"/>
  <c r="F110" i="13"/>
  <c r="G110" s="1"/>
  <c r="I110" s="1"/>
  <c r="J111" i="12"/>
  <c r="K111"/>
  <c r="O111" s="1"/>
  <c r="L111"/>
  <c r="M111"/>
  <c r="J111" i="17"/>
  <c r="K111"/>
  <c r="O111" s="1"/>
  <c r="L111"/>
  <c r="M111"/>
  <c r="F111" i="13"/>
  <c r="G111" s="1"/>
  <c r="I111" s="1"/>
  <c r="J112" i="12"/>
  <c r="K112"/>
  <c r="O112" s="1"/>
  <c r="L112"/>
  <c r="M112"/>
  <c r="J112" i="17"/>
  <c r="K112"/>
  <c r="O112" s="1"/>
  <c r="L112"/>
  <c r="M112"/>
  <c r="F112" i="13"/>
  <c r="G112" s="1"/>
  <c r="I112" s="1"/>
  <c r="J113" i="12"/>
  <c r="K113"/>
  <c r="O113" s="1"/>
  <c r="L113"/>
  <c r="M113"/>
  <c r="J113" i="17"/>
  <c r="K113"/>
  <c r="O113" s="1"/>
  <c r="L113"/>
  <c r="M113"/>
  <c r="F113" i="13"/>
  <c r="G113" s="1"/>
  <c r="I113" s="1"/>
  <c r="J114" i="12"/>
  <c r="K114"/>
  <c r="O114" s="1"/>
  <c r="L114"/>
  <c r="M114"/>
  <c r="J114" i="17"/>
  <c r="K114"/>
  <c r="O114" s="1"/>
  <c r="L114"/>
  <c r="M114"/>
  <c r="F114" i="13"/>
  <c r="G114" s="1"/>
  <c r="I114" s="1"/>
  <c r="J115" i="12"/>
  <c r="K115"/>
  <c r="O115" s="1"/>
  <c r="L115"/>
  <c r="M115"/>
  <c r="J115" i="17"/>
  <c r="K115"/>
  <c r="O115" s="1"/>
  <c r="L115"/>
  <c r="M115"/>
  <c r="F115" i="13"/>
  <c r="G115" s="1"/>
  <c r="I115" s="1"/>
  <c r="J116" i="12"/>
  <c r="K116"/>
  <c r="O116" s="1"/>
  <c r="L116"/>
  <c r="M116"/>
  <c r="J116" i="17"/>
  <c r="K116"/>
  <c r="O116" s="1"/>
  <c r="L116"/>
  <c r="M116"/>
  <c r="F116" i="13"/>
  <c r="G116" s="1"/>
  <c r="I116" s="1"/>
  <c r="H116" i="14"/>
  <c r="I116"/>
  <c r="J117" i="12"/>
  <c r="K117"/>
  <c r="O117" s="1"/>
  <c r="L117"/>
  <c r="M117"/>
  <c r="J117" i="17"/>
  <c r="K117"/>
  <c r="O117" s="1"/>
  <c r="L117"/>
  <c r="M117"/>
  <c r="F117" i="13"/>
  <c r="G117" s="1"/>
  <c r="I117" s="1"/>
  <c r="J118" i="12"/>
  <c r="K118"/>
  <c r="O118" s="1"/>
  <c r="L118"/>
  <c r="M118"/>
  <c r="J118" i="17"/>
  <c r="K118"/>
  <c r="O118" s="1"/>
  <c r="L118"/>
  <c r="M118"/>
  <c r="F118" i="13"/>
  <c r="G118" s="1"/>
  <c r="I118" s="1"/>
  <c r="H118" i="14"/>
  <c r="I118"/>
  <c r="J119" i="12"/>
  <c r="K119"/>
  <c r="O119" s="1"/>
  <c r="L119"/>
  <c r="M119"/>
  <c r="J119" i="17"/>
  <c r="K119"/>
  <c r="O119" s="1"/>
  <c r="L119"/>
  <c r="M119"/>
  <c r="F119" i="13"/>
  <c r="G119" s="1"/>
  <c r="I119" s="1"/>
  <c r="J120" i="12"/>
  <c r="K120"/>
  <c r="O120" s="1"/>
  <c r="L120"/>
  <c r="M120"/>
  <c r="J120" i="17"/>
  <c r="K120"/>
  <c r="O120" s="1"/>
  <c r="L120"/>
  <c r="M120"/>
  <c r="F120" i="13"/>
  <c r="G120" s="1"/>
  <c r="I120" s="1"/>
  <c r="J121" i="12"/>
  <c r="K121"/>
  <c r="O121" s="1"/>
  <c r="L121"/>
  <c r="M121"/>
  <c r="J121" i="17"/>
  <c r="K121"/>
  <c r="O121" s="1"/>
  <c r="L121"/>
  <c r="M121"/>
  <c r="F121" i="13"/>
  <c r="G121" s="1"/>
  <c r="I121" s="1"/>
  <c r="J122" i="12"/>
  <c r="K122"/>
  <c r="O122" s="1"/>
  <c r="L122"/>
  <c r="M122"/>
  <c r="J122" i="17"/>
  <c r="K122"/>
  <c r="O122" s="1"/>
  <c r="L122"/>
  <c r="M122"/>
  <c r="F122" i="13"/>
  <c r="G122" s="1"/>
  <c r="I122" s="1"/>
  <c r="J123" i="12"/>
  <c r="K123"/>
  <c r="O123" s="1"/>
  <c r="L123"/>
  <c r="M123"/>
  <c r="J123" i="17"/>
  <c r="K123"/>
  <c r="O123" s="1"/>
  <c r="L123"/>
  <c r="M123"/>
  <c r="F123" i="13"/>
  <c r="G123" s="1"/>
  <c r="I123" s="1"/>
  <c r="H123" i="14"/>
  <c r="I123"/>
  <c r="J124" i="12"/>
  <c r="K124"/>
  <c r="O124" s="1"/>
  <c r="L124"/>
  <c r="M124"/>
  <c r="J124" i="17"/>
  <c r="K124"/>
  <c r="O124" s="1"/>
  <c r="L124"/>
  <c r="M124"/>
  <c r="F124" i="13"/>
  <c r="G124" s="1"/>
  <c r="I124" s="1"/>
  <c r="J125" i="12"/>
  <c r="K125"/>
  <c r="O125" s="1"/>
  <c r="L125"/>
  <c r="M125"/>
  <c r="J125" i="17"/>
  <c r="K125"/>
  <c r="O125" s="1"/>
  <c r="L125"/>
  <c r="M125"/>
  <c r="F125" i="13"/>
  <c r="G125" s="1"/>
  <c r="I125" s="1"/>
  <c r="H125" i="14"/>
  <c r="I125"/>
  <c r="J126" i="12"/>
  <c r="K126"/>
  <c r="O126" s="1"/>
  <c r="L126"/>
  <c r="M126"/>
  <c r="J126" i="17"/>
  <c r="K126"/>
  <c r="O126" s="1"/>
  <c r="L126"/>
  <c r="M126"/>
  <c r="F126" i="13"/>
  <c r="G126" s="1"/>
  <c r="I126" s="1"/>
  <c r="H126" i="14"/>
  <c r="I126"/>
  <c r="J127" i="12"/>
  <c r="K127"/>
  <c r="O127" s="1"/>
  <c r="L127"/>
  <c r="M127"/>
  <c r="J127" i="17"/>
  <c r="K127"/>
  <c r="O127" s="1"/>
  <c r="L127"/>
  <c r="M127"/>
  <c r="F127" i="13"/>
  <c r="G127" s="1"/>
  <c r="I127" s="1"/>
  <c r="J128" i="12"/>
  <c r="K128"/>
  <c r="O128" s="1"/>
  <c r="L128"/>
  <c r="M128"/>
  <c r="J128" i="17"/>
  <c r="K128"/>
  <c r="O128" s="1"/>
  <c r="L128"/>
  <c r="M128"/>
  <c r="F128" i="13"/>
  <c r="G128" s="1"/>
  <c r="I128" s="1"/>
  <c r="H128" i="14"/>
  <c r="I128"/>
  <c r="J129" i="12"/>
  <c r="K129"/>
  <c r="O129" s="1"/>
  <c r="L129"/>
  <c r="M129"/>
  <c r="J129" i="17"/>
  <c r="K129"/>
  <c r="O129" s="1"/>
  <c r="L129"/>
  <c r="M129"/>
  <c r="F129" i="13"/>
  <c r="G129" s="1"/>
  <c r="I129" s="1"/>
  <c r="H129" i="14"/>
  <c r="I129"/>
  <c r="J130" i="12"/>
  <c r="K130"/>
  <c r="O130" s="1"/>
  <c r="L130"/>
  <c r="M130"/>
  <c r="J130" i="17"/>
  <c r="K130"/>
  <c r="O130" s="1"/>
  <c r="L130"/>
  <c r="M130"/>
  <c r="F130" i="13"/>
  <c r="G130" s="1"/>
  <c r="I130" s="1"/>
  <c r="J131" i="12"/>
  <c r="K131"/>
  <c r="O131" s="1"/>
  <c r="L131"/>
  <c r="M131"/>
  <c r="J131" i="17"/>
  <c r="K131"/>
  <c r="O131" s="1"/>
  <c r="L131"/>
  <c r="M131"/>
  <c r="F131" i="13"/>
  <c r="G131" s="1"/>
  <c r="I131" s="1"/>
  <c r="H131" i="14"/>
  <c r="I131"/>
  <c r="J132" i="12"/>
  <c r="K132"/>
  <c r="O132" s="1"/>
  <c r="L132"/>
  <c r="M132"/>
  <c r="J132" i="17"/>
  <c r="K132"/>
  <c r="O132" s="1"/>
  <c r="L132"/>
  <c r="M132"/>
  <c r="F132" i="13"/>
  <c r="G132" s="1"/>
  <c r="I132" s="1"/>
  <c r="J133" i="12"/>
  <c r="K133"/>
  <c r="O133" s="1"/>
  <c r="L133"/>
  <c r="M133"/>
  <c r="J133" i="17"/>
  <c r="K133"/>
  <c r="O133" s="1"/>
  <c r="L133"/>
  <c r="M133"/>
  <c r="F133" i="13"/>
  <c r="G133" s="1"/>
  <c r="I133" s="1"/>
  <c r="J134" i="12"/>
  <c r="K134"/>
  <c r="O134" s="1"/>
  <c r="L134"/>
  <c r="M134"/>
  <c r="J134" i="17"/>
  <c r="K134"/>
  <c r="O134" s="1"/>
  <c r="L134"/>
  <c r="M134"/>
  <c r="F134" i="13"/>
  <c r="G134" s="1"/>
  <c r="I134" s="1"/>
  <c r="J135" i="12"/>
  <c r="K135"/>
  <c r="O135" s="1"/>
  <c r="L135"/>
  <c r="M135"/>
  <c r="J135" i="17"/>
  <c r="K135"/>
  <c r="O135" s="1"/>
  <c r="L135"/>
  <c r="M135"/>
  <c r="F135" i="13"/>
  <c r="G135" s="1"/>
  <c r="I135" s="1"/>
  <c r="H135" i="14"/>
  <c r="I135"/>
  <c r="J136" i="12"/>
  <c r="K136"/>
  <c r="O136" s="1"/>
  <c r="L136"/>
  <c r="M136"/>
  <c r="J136" i="17"/>
  <c r="K136"/>
  <c r="O136" s="1"/>
  <c r="L136"/>
  <c r="M136"/>
  <c r="F136" i="13"/>
  <c r="G136" s="1"/>
  <c r="I136" s="1"/>
  <c r="J137" i="12"/>
  <c r="K137"/>
  <c r="O137" s="1"/>
  <c r="L137"/>
  <c r="M137"/>
  <c r="J137" i="17"/>
  <c r="K137"/>
  <c r="O137" s="1"/>
  <c r="L137"/>
  <c r="M137"/>
  <c r="F137" i="13"/>
  <c r="G137" s="1"/>
  <c r="I137" s="1"/>
  <c r="J138" i="12"/>
  <c r="K138"/>
  <c r="O138" s="1"/>
  <c r="L138"/>
  <c r="M138"/>
  <c r="J138" i="17"/>
  <c r="K138"/>
  <c r="O138" s="1"/>
  <c r="L138"/>
  <c r="M138"/>
  <c r="F138" i="13"/>
  <c r="G138" s="1"/>
  <c r="I138" s="1"/>
  <c r="J139" i="12"/>
  <c r="K139"/>
  <c r="O139" s="1"/>
  <c r="L139"/>
  <c r="M139"/>
  <c r="J139" i="17"/>
  <c r="K139"/>
  <c r="O139" s="1"/>
  <c r="L139"/>
  <c r="M139"/>
  <c r="F139" i="13"/>
  <c r="G139" s="1"/>
  <c r="I139" s="1"/>
  <c r="H139" i="14"/>
  <c r="I139"/>
  <c r="J140" i="12"/>
  <c r="K140"/>
  <c r="O140" s="1"/>
  <c r="L140"/>
  <c r="M140"/>
  <c r="J140" i="17"/>
  <c r="K140"/>
  <c r="O140" s="1"/>
  <c r="L140"/>
  <c r="M140"/>
  <c r="F140" i="13"/>
  <c r="G140" s="1"/>
  <c r="I140" s="1"/>
  <c r="H140" i="14"/>
  <c r="I140"/>
  <c r="J141" i="12"/>
  <c r="K141"/>
  <c r="O141" s="1"/>
  <c r="L141"/>
  <c r="M141"/>
  <c r="J141" i="17"/>
  <c r="K141"/>
  <c r="O141" s="1"/>
  <c r="L141"/>
  <c r="M141"/>
  <c r="F141" i="13"/>
  <c r="G141" s="1"/>
  <c r="I141" s="1"/>
  <c r="J142" i="12"/>
  <c r="K142"/>
  <c r="O142" s="1"/>
  <c r="L142"/>
  <c r="M142"/>
  <c r="J142" i="17"/>
  <c r="K142"/>
  <c r="O142" s="1"/>
  <c r="L142"/>
  <c r="M142"/>
  <c r="F142" i="13"/>
  <c r="G142" s="1"/>
  <c r="I142" s="1"/>
  <c r="H142" i="14"/>
  <c r="I142"/>
  <c r="J143" i="12"/>
  <c r="K143"/>
  <c r="O143" s="1"/>
  <c r="L143"/>
  <c r="M143"/>
  <c r="J143" i="17"/>
  <c r="K143"/>
  <c r="O143" s="1"/>
  <c r="L143"/>
  <c r="M143"/>
  <c r="F143" i="13"/>
  <c r="G143" s="1"/>
  <c r="I143" s="1"/>
  <c r="J144" i="12"/>
  <c r="K144"/>
  <c r="O144" s="1"/>
  <c r="L144"/>
  <c r="M144"/>
  <c r="J144" i="17"/>
  <c r="K144"/>
  <c r="O144" s="1"/>
  <c r="L144"/>
  <c r="M144"/>
  <c r="F144" i="13"/>
  <c r="G144" s="1"/>
  <c r="I144" s="1"/>
  <c r="J145" i="12"/>
  <c r="K145"/>
  <c r="O145" s="1"/>
  <c r="L145"/>
  <c r="M145"/>
  <c r="J145" i="17"/>
  <c r="K145"/>
  <c r="O145" s="1"/>
  <c r="L145"/>
  <c r="M145"/>
  <c r="F145" i="13"/>
  <c r="G145" s="1"/>
  <c r="I145" s="1"/>
  <c r="J146" i="12"/>
  <c r="K146"/>
  <c r="O146" s="1"/>
  <c r="L146"/>
  <c r="M146"/>
  <c r="J146" i="17"/>
  <c r="K146"/>
  <c r="O146" s="1"/>
  <c r="L146"/>
  <c r="M146"/>
  <c r="F146" i="13"/>
  <c r="G146" s="1"/>
  <c r="I146" s="1"/>
  <c r="J147" i="12"/>
  <c r="K147"/>
  <c r="O147" s="1"/>
  <c r="L147"/>
  <c r="M147"/>
  <c r="J147" i="17"/>
  <c r="K147"/>
  <c r="O147" s="1"/>
  <c r="L147"/>
  <c r="M147"/>
  <c r="F147" i="13"/>
  <c r="G147" s="1"/>
  <c r="I147" s="1"/>
  <c r="J148" i="12"/>
  <c r="K148"/>
  <c r="O148" s="1"/>
  <c r="L148"/>
  <c r="M148"/>
  <c r="J148" i="17"/>
  <c r="K148"/>
  <c r="O148" s="1"/>
  <c r="L148"/>
  <c r="M148"/>
  <c r="F148" i="13"/>
  <c r="G148" s="1"/>
  <c r="I148" s="1"/>
  <c r="H148" i="14"/>
  <c r="I148"/>
  <c r="J149" i="12"/>
  <c r="K149"/>
  <c r="O149" s="1"/>
  <c r="L149"/>
  <c r="M149"/>
  <c r="J149" i="17"/>
  <c r="K149"/>
  <c r="O149" s="1"/>
  <c r="L149"/>
  <c r="M149"/>
  <c r="F149" i="13"/>
  <c r="G149" s="1"/>
  <c r="I149" s="1"/>
  <c r="H149" i="14"/>
  <c r="I149"/>
  <c r="J150" i="12"/>
  <c r="K150"/>
  <c r="O150" s="1"/>
  <c r="L150"/>
  <c r="M150"/>
  <c r="J150" i="17"/>
  <c r="K150"/>
  <c r="O150" s="1"/>
  <c r="L150"/>
  <c r="M150"/>
  <c r="F150" i="13"/>
  <c r="G150" s="1"/>
  <c r="I150" s="1"/>
  <c r="H150" i="14"/>
  <c r="I150"/>
  <c r="J151" i="12"/>
  <c r="K151"/>
  <c r="O151" s="1"/>
  <c r="L151"/>
  <c r="M151"/>
  <c r="J151" i="17"/>
  <c r="K151"/>
  <c r="O151" s="1"/>
  <c r="L151"/>
  <c r="M151"/>
  <c r="F151" i="13"/>
  <c r="G151" s="1"/>
  <c r="I151" s="1"/>
  <c r="H151" i="14"/>
  <c r="I151"/>
  <c r="J152" i="12"/>
  <c r="K152"/>
  <c r="O152" s="1"/>
  <c r="L152"/>
  <c r="M152"/>
  <c r="J152" i="17"/>
  <c r="K152"/>
  <c r="O152" s="1"/>
  <c r="L152"/>
  <c r="M152"/>
  <c r="F152" i="13"/>
  <c r="G152" s="1"/>
  <c r="I152" s="1"/>
  <c r="H152" i="14"/>
  <c r="I152"/>
  <c r="J153" i="12"/>
  <c r="K153"/>
  <c r="O153" s="1"/>
  <c r="L153"/>
  <c r="M153"/>
  <c r="J153" i="17"/>
  <c r="K153"/>
  <c r="O153" s="1"/>
  <c r="L153"/>
  <c r="M153"/>
  <c r="F153" i="13"/>
  <c r="G153" s="1"/>
  <c r="I153" s="1"/>
  <c r="H153" i="14"/>
  <c r="I153"/>
  <c r="J154" i="12"/>
  <c r="K154"/>
  <c r="O154" s="1"/>
  <c r="L154"/>
  <c r="M154"/>
  <c r="J154" i="17"/>
  <c r="K154"/>
  <c r="O154" s="1"/>
  <c r="L154"/>
  <c r="M154"/>
  <c r="F154" i="13"/>
  <c r="G154" s="1"/>
  <c r="I154" s="1"/>
  <c r="H154" i="14"/>
  <c r="I154"/>
  <c r="J155" i="12"/>
  <c r="K155"/>
  <c r="O155" s="1"/>
  <c r="L155"/>
  <c r="M155"/>
  <c r="J155" i="17"/>
  <c r="K155"/>
  <c r="O155" s="1"/>
  <c r="L155"/>
  <c r="M155"/>
  <c r="F155" i="13"/>
  <c r="G155" s="1"/>
  <c r="I155" s="1"/>
  <c r="H155" i="14"/>
  <c r="I155"/>
  <c r="J156" i="12"/>
  <c r="K156"/>
  <c r="O156" s="1"/>
  <c r="L156"/>
  <c r="M156"/>
  <c r="J156" i="17"/>
  <c r="K156"/>
  <c r="O156" s="1"/>
  <c r="L156"/>
  <c r="M156"/>
  <c r="F156" i="13"/>
  <c r="G156" s="1"/>
  <c r="I156" s="1"/>
  <c r="H156" i="14"/>
  <c r="I156"/>
  <c r="J157" i="12"/>
  <c r="K157"/>
  <c r="O157" s="1"/>
  <c r="L157"/>
  <c r="M157"/>
  <c r="J157" i="17"/>
  <c r="K157"/>
  <c r="O157" s="1"/>
  <c r="L157"/>
  <c r="M157"/>
  <c r="F157" i="13"/>
  <c r="G157" s="1"/>
  <c r="I157" s="1"/>
  <c r="H157" i="14"/>
  <c r="I157"/>
  <c r="J158" i="12"/>
  <c r="K158"/>
  <c r="O158" s="1"/>
  <c r="L158"/>
  <c r="M158"/>
  <c r="J158" i="17"/>
  <c r="K158"/>
  <c r="O158" s="1"/>
  <c r="L158"/>
  <c r="M158"/>
  <c r="F158" i="13"/>
  <c r="G158" s="1"/>
  <c r="I158" s="1"/>
  <c r="J159" i="12"/>
  <c r="K159"/>
  <c r="O159" s="1"/>
  <c r="L159"/>
  <c r="M159"/>
  <c r="J159" i="17"/>
  <c r="K159"/>
  <c r="O159" s="1"/>
  <c r="L159"/>
  <c r="M159"/>
  <c r="F159" i="13"/>
  <c r="G159" s="1"/>
  <c r="I159" s="1"/>
  <c r="H159" i="14"/>
  <c r="I159"/>
  <c r="J160" i="12"/>
  <c r="K160"/>
  <c r="O160" s="1"/>
  <c r="L160"/>
  <c r="M160"/>
  <c r="J160" i="17"/>
  <c r="K160"/>
  <c r="O160" s="1"/>
  <c r="L160"/>
  <c r="M160"/>
  <c r="F160" i="13"/>
  <c r="G160" s="1"/>
  <c r="I160" s="1"/>
  <c r="J161" i="12"/>
  <c r="K161"/>
  <c r="O161" s="1"/>
  <c r="L161"/>
  <c r="M161"/>
  <c r="J161" i="17"/>
  <c r="K161"/>
  <c r="O161" s="1"/>
  <c r="L161"/>
  <c r="M161"/>
  <c r="F161" i="13"/>
  <c r="G161" s="1"/>
  <c r="I161" s="1"/>
  <c r="J162" i="12"/>
  <c r="K162"/>
  <c r="O162" s="1"/>
  <c r="L162"/>
  <c r="M162"/>
  <c r="J162" i="17"/>
  <c r="K162"/>
  <c r="O162" s="1"/>
  <c r="L162"/>
  <c r="M162"/>
  <c r="F162" i="13"/>
  <c r="G162" s="1"/>
  <c r="I162" s="1"/>
  <c r="J163" i="12"/>
  <c r="K163"/>
  <c r="O163" s="1"/>
  <c r="L163"/>
  <c r="M163"/>
  <c r="J163" i="17"/>
  <c r="K163"/>
  <c r="O163" s="1"/>
  <c r="L163"/>
  <c r="M163"/>
  <c r="F163" i="13"/>
  <c r="G163" s="1"/>
  <c r="I163" s="1"/>
  <c r="H163" i="14"/>
  <c r="I163"/>
  <c r="J164" i="12"/>
  <c r="K164"/>
  <c r="O164" s="1"/>
  <c r="L164"/>
  <c r="M164"/>
  <c r="J164" i="17"/>
  <c r="K164"/>
  <c r="O164" s="1"/>
  <c r="L164"/>
  <c r="M164"/>
  <c r="F164" i="13"/>
  <c r="G164" s="1"/>
  <c r="I164" s="1"/>
  <c r="J165" i="12"/>
  <c r="K165"/>
  <c r="O165" s="1"/>
  <c r="L165"/>
  <c r="M165"/>
  <c r="J165" i="17"/>
  <c r="K165"/>
  <c r="O165" s="1"/>
  <c r="L165"/>
  <c r="M165"/>
  <c r="F165" i="13"/>
  <c r="G165" s="1"/>
  <c r="I165" s="1"/>
  <c r="J166" i="12"/>
  <c r="K166"/>
  <c r="O166" s="1"/>
  <c r="L166"/>
  <c r="M166"/>
  <c r="J166" i="17"/>
  <c r="K166"/>
  <c r="O166" s="1"/>
  <c r="L166"/>
  <c r="M166"/>
  <c r="F166" i="13"/>
  <c r="G166" s="1"/>
  <c r="I166" s="1"/>
  <c r="J167" i="12"/>
  <c r="K167"/>
  <c r="O167" s="1"/>
  <c r="L167"/>
  <c r="M167"/>
  <c r="J167" i="17"/>
  <c r="K167"/>
  <c r="O167" s="1"/>
  <c r="L167"/>
  <c r="M167"/>
  <c r="F167" i="13"/>
  <c r="G167" s="1"/>
  <c r="I167" s="1"/>
  <c r="J168" i="12"/>
  <c r="K168"/>
  <c r="O168" s="1"/>
  <c r="L168"/>
  <c r="M168"/>
  <c r="J168" i="17"/>
  <c r="K168"/>
  <c r="O168" s="1"/>
  <c r="L168"/>
  <c r="M168"/>
  <c r="F168" i="13"/>
  <c r="G168" s="1"/>
  <c r="I168" s="1"/>
  <c r="J169" i="12"/>
  <c r="K169"/>
  <c r="O169" s="1"/>
  <c r="L169"/>
  <c r="M169"/>
  <c r="J169" i="17"/>
  <c r="K169"/>
  <c r="O169" s="1"/>
  <c r="L169"/>
  <c r="M169"/>
  <c r="F169" i="13"/>
  <c r="G169" s="1"/>
  <c r="I169" s="1"/>
  <c r="J170" i="12"/>
  <c r="K170"/>
  <c r="O170" s="1"/>
  <c r="L170"/>
  <c r="M170"/>
  <c r="J170" i="17"/>
  <c r="K170"/>
  <c r="O170" s="1"/>
  <c r="L170"/>
  <c r="M170"/>
  <c r="F170" i="13"/>
  <c r="G170" s="1"/>
  <c r="I170" s="1"/>
  <c r="J171" i="12"/>
  <c r="K171"/>
  <c r="O171" s="1"/>
  <c r="L171"/>
  <c r="M171"/>
  <c r="J171" i="17"/>
  <c r="K171"/>
  <c r="O171" s="1"/>
  <c r="L171"/>
  <c r="M171"/>
  <c r="F171" i="13"/>
  <c r="G171" s="1"/>
  <c r="I171" s="1"/>
  <c r="J172" i="12"/>
  <c r="K172"/>
  <c r="O172" s="1"/>
  <c r="L172"/>
  <c r="M172"/>
  <c r="J172" i="17"/>
  <c r="K172"/>
  <c r="O172" s="1"/>
  <c r="L172"/>
  <c r="M172"/>
  <c r="F172" i="13"/>
  <c r="G172" s="1"/>
  <c r="I172" s="1"/>
  <c r="J173" i="12"/>
  <c r="K173"/>
  <c r="O173" s="1"/>
  <c r="L173"/>
  <c r="M173"/>
  <c r="J173" i="17"/>
  <c r="K173"/>
  <c r="O173" s="1"/>
  <c r="L173"/>
  <c r="M173"/>
  <c r="F173" i="13"/>
  <c r="G173" s="1"/>
  <c r="I173" s="1"/>
  <c r="J174" i="12"/>
  <c r="K174"/>
  <c r="O174" s="1"/>
  <c r="L174"/>
  <c r="M174"/>
  <c r="J174" i="17"/>
  <c r="K174"/>
  <c r="O174" s="1"/>
  <c r="L174"/>
  <c r="M174"/>
  <c r="F174" i="13"/>
  <c r="G174" s="1"/>
  <c r="I174" s="1"/>
  <c r="J175" i="12"/>
  <c r="K175"/>
  <c r="O175" s="1"/>
  <c r="L175"/>
  <c r="M175"/>
  <c r="J175" i="17"/>
  <c r="K175"/>
  <c r="O175" s="1"/>
  <c r="L175"/>
  <c r="M175"/>
  <c r="F175" i="13"/>
  <c r="G175" s="1"/>
  <c r="I175" s="1"/>
  <c r="J176" i="12"/>
  <c r="K176"/>
  <c r="O176" s="1"/>
  <c r="L176"/>
  <c r="M176"/>
  <c r="J176" i="17"/>
  <c r="K176"/>
  <c r="O176" s="1"/>
  <c r="L176"/>
  <c r="M176"/>
  <c r="F176" i="13"/>
  <c r="G176" s="1"/>
  <c r="I176" s="1"/>
  <c r="J177" i="12"/>
  <c r="K177"/>
  <c r="O177" s="1"/>
  <c r="L177"/>
  <c r="M177"/>
  <c r="J177" i="17"/>
  <c r="K177"/>
  <c r="O177" s="1"/>
  <c r="L177"/>
  <c r="M177"/>
  <c r="F177" i="13"/>
  <c r="G177" s="1"/>
  <c r="I177" s="1"/>
  <c r="J178" i="12"/>
  <c r="K178"/>
  <c r="O178" s="1"/>
  <c r="L178"/>
  <c r="M178"/>
  <c r="J178" i="17"/>
  <c r="K178"/>
  <c r="O178" s="1"/>
  <c r="L178"/>
  <c r="M178"/>
  <c r="F178" i="13"/>
  <c r="G178" s="1"/>
  <c r="I178" s="1"/>
  <c r="J179" i="12"/>
  <c r="K179"/>
  <c r="O179" s="1"/>
  <c r="L179"/>
  <c r="M179"/>
  <c r="J179" i="17"/>
  <c r="K179"/>
  <c r="O179" s="1"/>
  <c r="L179"/>
  <c r="M179"/>
  <c r="F179" i="13"/>
  <c r="G179" s="1"/>
  <c r="I179" s="1"/>
  <c r="J180" i="12"/>
  <c r="K180"/>
  <c r="O180" s="1"/>
  <c r="L180"/>
  <c r="M180"/>
  <c r="J180" i="17"/>
  <c r="K180"/>
  <c r="O180" s="1"/>
  <c r="L180"/>
  <c r="M180"/>
  <c r="F180" i="13"/>
  <c r="G180" s="1"/>
  <c r="I180" s="1"/>
  <c r="J181" i="12"/>
  <c r="K181"/>
  <c r="O181" s="1"/>
  <c r="L181"/>
  <c r="M181"/>
  <c r="J181" i="17"/>
  <c r="K181"/>
  <c r="O181" s="1"/>
  <c r="L181"/>
  <c r="M181"/>
  <c r="F181" i="13"/>
  <c r="G181" s="1"/>
  <c r="I181" s="1"/>
  <c r="J182" i="12"/>
  <c r="K182"/>
  <c r="O182" s="1"/>
  <c r="L182"/>
  <c r="M182"/>
  <c r="J182" i="17"/>
  <c r="K182"/>
  <c r="O182" s="1"/>
  <c r="L182"/>
  <c r="M182"/>
  <c r="F182" i="13"/>
  <c r="G182" s="1"/>
  <c r="I182" s="1"/>
  <c r="J183" i="12"/>
  <c r="K183"/>
  <c r="O183" s="1"/>
  <c r="L183"/>
  <c r="M183"/>
  <c r="J183" i="17"/>
  <c r="K183"/>
  <c r="O183" s="1"/>
  <c r="L183"/>
  <c r="M183"/>
  <c r="F183" i="13"/>
  <c r="G183" s="1"/>
  <c r="I183" s="1"/>
  <c r="J184" i="12"/>
  <c r="K184"/>
  <c r="O184" s="1"/>
  <c r="L184"/>
  <c r="M184"/>
  <c r="J184" i="17"/>
  <c r="K184"/>
  <c r="O184" s="1"/>
  <c r="L184"/>
  <c r="M184"/>
  <c r="F184" i="13"/>
  <c r="G184" s="1"/>
  <c r="I184" s="1"/>
  <c r="J185" i="12"/>
  <c r="K185"/>
  <c r="O185" s="1"/>
  <c r="L185"/>
  <c r="M185"/>
  <c r="J185" i="17"/>
  <c r="K185"/>
  <c r="O185" s="1"/>
  <c r="L185"/>
  <c r="M185"/>
  <c r="F185" i="13"/>
  <c r="G185" s="1"/>
  <c r="I185" s="1"/>
  <c r="J186" i="12"/>
  <c r="K186"/>
  <c r="O186" s="1"/>
  <c r="L186"/>
  <c r="M186"/>
  <c r="J186" i="17"/>
  <c r="K186"/>
  <c r="O186" s="1"/>
  <c r="L186"/>
  <c r="M186"/>
  <c r="F186" i="13"/>
  <c r="G186" s="1"/>
  <c r="I186" s="1"/>
  <c r="F186" i="14"/>
  <c r="G186" s="1"/>
  <c r="J187" i="12"/>
  <c r="K187"/>
  <c r="O187" s="1"/>
  <c r="L187"/>
  <c r="M187"/>
  <c r="J187" i="17"/>
  <c r="K187"/>
  <c r="O187" s="1"/>
  <c r="L187"/>
  <c r="M187"/>
  <c r="F187" i="13"/>
  <c r="G187" s="1"/>
  <c r="I187" s="1"/>
  <c r="J188" i="12"/>
  <c r="K188"/>
  <c r="O188" s="1"/>
  <c r="L188"/>
  <c r="M188"/>
  <c r="J188" i="17"/>
  <c r="K188"/>
  <c r="O188" s="1"/>
  <c r="L188"/>
  <c r="M188"/>
  <c r="F188" i="13"/>
  <c r="G188" s="1"/>
  <c r="I188" s="1"/>
  <c r="J189" i="12"/>
  <c r="K189"/>
  <c r="O189" s="1"/>
  <c r="L189"/>
  <c r="M189"/>
  <c r="J189" i="17"/>
  <c r="K189"/>
  <c r="O189" s="1"/>
  <c r="L189"/>
  <c r="M189"/>
  <c r="F189" i="13"/>
  <c r="G189" s="1"/>
  <c r="I189" s="1"/>
  <c r="F189" i="14"/>
  <c r="G189" s="1"/>
  <c r="J190" i="12"/>
  <c r="K190"/>
  <c r="O190" s="1"/>
  <c r="L190"/>
  <c r="M190"/>
  <c r="J190" i="17"/>
  <c r="K190"/>
  <c r="O190" s="1"/>
  <c r="L190"/>
  <c r="M190"/>
  <c r="F190" i="13"/>
  <c r="G190" s="1"/>
  <c r="I190" s="1"/>
  <c r="F190" i="14"/>
  <c r="G190" s="1"/>
  <c r="K190" s="1"/>
  <c r="L190" s="1"/>
  <c r="H190"/>
  <c r="I190"/>
  <c r="J191" i="12"/>
  <c r="K191"/>
  <c r="O191" s="1"/>
  <c r="L191"/>
  <c r="M191"/>
  <c r="J191" i="17"/>
  <c r="K191"/>
  <c r="O191" s="1"/>
  <c r="L191"/>
  <c r="M191"/>
  <c r="F191" i="13"/>
  <c r="G191" s="1"/>
  <c r="I191" s="1"/>
  <c r="J192" i="12"/>
  <c r="K192"/>
  <c r="O192" s="1"/>
  <c r="L192"/>
  <c r="M192"/>
  <c r="J192" i="17"/>
  <c r="K192"/>
  <c r="O192" s="1"/>
  <c r="L192"/>
  <c r="M192"/>
  <c r="F192" i="13"/>
  <c r="G192" s="1"/>
  <c r="I192" s="1"/>
  <c r="J193" i="12"/>
  <c r="K193"/>
  <c r="O193" s="1"/>
  <c r="L193"/>
  <c r="M193"/>
  <c r="J193" i="17"/>
  <c r="K193"/>
  <c r="O193" s="1"/>
  <c r="L193"/>
  <c r="M193"/>
  <c r="F193" i="13"/>
  <c r="G193" s="1"/>
  <c r="I193" s="1"/>
  <c r="J194" i="12"/>
  <c r="K194"/>
  <c r="O194" s="1"/>
  <c r="L194"/>
  <c r="M194"/>
  <c r="J194" i="17"/>
  <c r="K194"/>
  <c r="O194" s="1"/>
  <c r="L194"/>
  <c r="M194"/>
  <c r="F194" i="13"/>
  <c r="G194" s="1"/>
  <c r="I194" s="1"/>
  <c r="J195" i="12"/>
  <c r="K195"/>
  <c r="O195" s="1"/>
  <c r="L195"/>
  <c r="M195"/>
  <c r="J195" i="17"/>
  <c r="K195"/>
  <c r="O195" s="1"/>
  <c r="L195"/>
  <c r="M195"/>
  <c r="F195" i="13"/>
  <c r="G195" s="1"/>
  <c r="I195" s="1"/>
  <c r="J196" i="12"/>
  <c r="K196"/>
  <c r="O196" s="1"/>
  <c r="L196"/>
  <c r="M196"/>
  <c r="J196" i="17"/>
  <c r="K196"/>
  <c r="O196" s="1"/>
  <c r="L196"/>
  <c r="M196"/>
  <c r="F196" i="13"/>
  <c r="G196" s="1"/>
  <c r="I196" s="1"/>
  <c r="J197" i="12"/>
  <c r="K197"/>
  <c r="O197" s="1"/>
  <c r="L197"/>
  <c r="M197"/>
  <c r="J197" i="17"/>
  <c r="K197"/>
  <c r="O197" s="1"/>
  <c r="L197"/>
  <c r="M197"/>
  <c r="F197" i="13"/>
  <c r="G197" s="1"/>
  <c r="I197" s="1"/>
  <c r="J198" i="12"/>
  <c r="K198"/>
  <c r="O198" s="1"/>
  <c r="L198"/>
  <c r="M198"/>
  <c r="J198" i="17"/>
  <c r="K198"/>
  <c r="O198" s="1"/>
  <c r="L198"/>
  <c r="M198"/>
  <c r="F198" i="13"/>
  <c r="G198" s="1"/>
  <c r="I198" s="1"/>
  <c r="J199" i="12"/>
  <c r="K199"/>
  <c r="O199" s="1"/>
  <c r="L199"/>
  <c r="M199"/>
  <c r="J199" i="17"/>
  <c r="K199"/>
  <c r="O199" s="1"/>
  <c r="L199"/>
  <c r="M199"/>
  <c r="F199" i="13"/>
  <c r="G199" s="1"/>
  <c r="I199" s="1"/>
  <c r="J200" i="12"/>
  <c r="K200"/>
  <c r="O200" s="1"/>
  <c r="L200"/>
  <c r="M200"/>
  <c r="J200" i="17"/>
  <c r="K200"/>
  <c r="O200" s="1"/>
  <c r="L200"/>
  <c r="M200"/>
  <c r="F200" i="13"/>
  <c r="G200" s="1"/>
  <c r="I200" s="1"/>
  <c r="F200" i="14"/>
  <c r="G200" s="1"/>
  <c r="K200" s="1"/>
  <c r="L200" s="1"/>
  <c r="H200"/>
  <c r="I200"/>
  <c r="J201" i="12"/>
  <c r="K201"/>
  <c r="O201" s="1"/>
  <c r="L201"/>
  <c r="M201"/>
  <c r="J201" i="17"/>
  <c r="K201"/>
  <c r="O201" s="1"/>
  <c r="L201"/>
  <c r="M201"/>
  <c r="F201" i="13"/>
  <c r="G201" s="1"/>
  <c r="I201" s="1"/>
  <c r="J202" i="12"/>
  <c r="K202"/>
  <c r="O202" s="1"/>
  <c r="L202"/>
  <c r="M202"/>
  <c r="J202" i="17"/>
  <c r="K202"/>
  <c r="O202" s="1"/>
  <c r="L202"/>
  <c r="M202"/>
  <c r="F202" i="13"/>
  <c r="G202" s="1"/>
  <c r="I202" s="1"/>
  <c r="J203" i="12"/>
  <c r="K203"/>
  <c r="O203" s="1"/>
  <c r="L203"/>
  <c r="M203"/>
  <c r="J203" i="17"/>
  <c r="K203"/>
  <c r="O203" s="1"/>
  <c r="L203"/>
  <c r="M203"/>
  <c r="F203" i="13"/>
  <c r="G203" s="1"/>
  <c r="I203" s="1"/>
  <c r="J204" i="12"/>
  <c r="K204"/>
  <c r="O204" s="1"/>
  <c r="L204"/>
  <c r="M204"/>
  <c r="J204" i="17"/>
  <c r="K204"/>
  <c r="O204" s="1"/>
  <c r="L204"/>
  <c r="M204"/>
  <c r="F204" i="13"/>
  <c r="G204" s="1"/>
  <c r="I204" s="1"/>
  <c r="J205" i="12"/>
  <c r="K205"/>
  <c r="O205" s="1"/>
  <c r="L205"/>
  <c r="M205"/>
  <c r="J205" i="17"/>
  <c r="K205"/>
  <c r="O205" s="1"/>
  <c r="L205"/>
  <c r="M205"/>
  <c r="F205" i="13"/>
  <c r="G205" s="1"/>
  <c r="I205" s="1"/>
  <c r="J206" i="12"/>
  <c r="K206"/>
  <c r="O206" s="1"/>
  <c r="L206"/>
  <c r="M206"/>
  <c r="J206" i="17"/>
  <c r="K206"/>
  <c r="O206" s="1"/>
  <c r="L206"/>
  <c r="M206"/>
  <c r="F206" i="13"/>
  <c r="G206" s="1"/>
  <c r="I206" s="1"/>
  <c r="J207" i="12"/>
  <c r="K207"/>
  <c r="O207" s="1"/>
  <c r="L207"/>
  <c r="M207"/>
  <c r="J207" i="17"/>
  <c r="K207"/>
  <c r="O207" s="1"/>
  <c r="L207"/>
  <c r="M207"/>
  <c r="F207" i="13"/>
  <c r="G207" s="1"/>
  <c r="I207" s="1"/>
  <c r="J208" i="12"/>
  <c r="K208"/>
  <c r="O208" s="1"/>
  <c r="L208"/>
  <c r="M208"/>
  <c r="J208" i="17"/>
  <c r="K208"/>
  <c r="O208" s="1"/>
  <c r="L208"/>
  <c r="M208"/>
  <c r="F208" i="13"/>
  <c r="G208" s="1"/>
  <c r="I208" s="1"/>
  <c r="F208" i="14"/>
  <c r="G208" s="1"/>
  <c r="J209" i="12"/>
  <c r="K209"/>
  <c r="O209" s="1"/>
  <c r="L209"/>
  <c r="M209"/>
  <c r="J209" i="17"/>
  <c r="K209"/>
  <c r="O209" s="1"/>
  <c r="L209"/>
  <c r="M209"/>
  <c r="F209" i="13"/>
  <c r="G209" s="1"/>
  <c r="I209" s="1"/>
  <c r="J210" i="12"/>
  <c r="K210"/>
  <c r="O210" s="1"/>
  <c r="L210"/>
  <c r="M210"/>
  <c r="J210" i="17"/>
  <c r="K210"/>
  <c r="O210" s="1"/>
  <c r="L210"/>
  <c r="M210"/>
  <c r="F210" i="13"/>
  <c r="G210" s="1"/>
  <c r="I210" s="1"/>
  <c r="F210" i="14"/>
  <c r="G210" s="1"/>
  <c r="K210" s="1"/>
  <c r="L210" s="1"/>
  <c r="H210"/>
  <c r="I210"/>
  <c r="J211" i="12"/>
  <c r="K211"/>
  <c r="O211" s="1"/>
  <c r="L211"/>
  <c r="M211"/>
  <c r="J211" i="17"/>
  <c r="K211"/>
  <c r="O211" s="1"/>
  <c r="L211"/>
  <c r="M211"/>
  <c r="F211" i="13"/>
  <c r="G211" s="1"/>
  <c r="I211" s="1"/>
  <c r="F211" i="14"/>
  <c r="G211" s="1"/>
  <c r="K211" s="1"/>
  <c r="L211" s="1"/>
  <c r="H211"/>
  <c r="I211"/>
  <c r="J212" i="12"/>
  <c r="K212"/>
  <c r="O212" s="1"/>
  <c r="L212"/>
  <c r="M212"/>
  <c r="J212" i="17"/>
  <c r="K212"/>
  <c r="O212" s="1"/>
  <c r="L212"/>
  <c r="M212"/>
  <c r="F212" i="13"/>
  <c r="G212" s="1"/>
  <c r="I212" s="1"/>
  <c r="F212" i="14"/>
  <c r="G212" s="1"/>
  <c r="K212" s="1"/>
  <c r="L212" s="1"/>
  <c r="H212"/>
  <c r="I212"/>
  <c r="J213" i="12"/>
  <c r="K213"/>
  <c r="O213" s="1"/>
  <c r="L213"/>
  <c r="M213"/>
  <c r="J213" i="17"/>
  <c r="K213"/>
  <c r="O213" s="1"/>
  <c r="L213"/>
  <c r="M213"/>
  <c r="F213" i="13"/>
  <c r="G213" s="1"/>
  <c r="I213" s="1"/>
  <c r="J214" i="12"/>
  <c r="K214"/>
  <c r="O214" s="1"/>
  <c r="L214"/>
  <c r="M214"/>
  <c r="J214" i="17"/>
  <c r="K214"/>
  <c r="O214" s="1"/>
  <c r="L214"/>
  <c r="M214"/>
  <c r="F214" i="13"/>
  <c r="G214" s="1"/>
  <c r="I214" s="1"/>
  <c r="F214" i="14"/>
  <c r="G214" s="1"/>
  <c r="K214" s="1"/>
  <c r="L214" s="1"/>
  <c r="H214"/>
  <c r="I214"/>
  <c r="J215" i="12"/>
  <c r="K215"/>
  <c r="O215" s="1"/>
  <c r="L215"/>
  <c r="M215"/>
  <c r="J215" i="17"/>
  <c r="K215"/>
  <c r="O215" s="1"/>
  <c r="L215"/>
  <c r="M215"/>
  <c r="F215" i="13"/>
  <c r="G215" s="1"/>
  <c r="I215" s="1"/>
  <c r="J216" i="12"/>
  <c r="K216"/>
  <c r="O216" s="1"/>
  <c r="L216"/>
  <c r="M216"/>
  <c r="J216" i="17"/>
  <c r="K216"/>
  <c r="O216" s="1"/>
  <c r="L216"/>
  <c r="M216"/>
  <c r="F216" i="13"/>
  <c r="G216" s="1"/>
  <c r="I216" s="1"/>
  <c r="J217" i="12"/>
  <c r="K217"/>
  <c r="O217" s="1"/>
  <c r="L217"/>
  <c r="M217"/>
  <c r="J217" i="17"/>
  <c r="K217"/>
  <c r="O217" s="1"/>
  <c r="L217"/>
  <c r="M217"/>
  <c r="F217" i="13"/>
  <c r="G217" s="1"/>
  <c r="I217" s="1"/>
  <c r="J218" i="12"/>
  <c r="K218"/>
  <c r="O218" s="1"/>
  <c r="L218"/>
  <c r="M218"/>
  <c r="J218" i="17"/>
  <c r="K218"/>
  <c r="O218" s="1"/>
  <c r="L218"/>
  <c r="M218"/>
  <c r="F218" i="13"/>
  <c r="G218" s="1"/>
  <c r="I218" s="1"/>
  <c r="J219" i="12"/>
  <c r="K219"/>
  <c r="O219" s="1"/>
  <c r="L219"/>
  <c r="M219"/>
  <c r="J219" i="17"/>
  <c r="K219"/>
  <c r="O219" s="1"/>
  <c r="L219"/>
  <c r="M219"/>
  <c r="F219" i="13"/>
  <c r="G219" s="1"/>
  <c r="I219" s="1"/>
  <c r="J220" i="12"/>
  <c r="K220"/>
  <c r="O220" s="1"/>
  <c r="L220"/>
  <c r="M220"/>
  <c r="J220" i="17"/>
  <c r="K220"/>
  <c r="O220" s="1"/>
  <c r="L220"/>
  <c r="M220"/>
  <c r="F220" i="13"/>
  <c r="G220" s="1"/>
  <c r="I220" s="1"/>
  <c r="J221" i="12"/>
  <c r="K221"/>
  <c r="O221" s="1"/>
  <c r="L221"/>
  <c r="M221"/>
  <c r="J221" i="17"/>
  <c r="K221"/>
  <c r="O221" s="1"/>
  <c r="L221"/>
  <c r="M221"/>
  <c r="F221" i="13"/>
  <c r="G221" s="1"/>
  <c r="I221" s="1"/>
  <c r="J222" i="12"/>
  <c r="K222"/>
  <c r="O222" s="1"/>
  <c r="L222"/>
  <c r="M222"/>
  <c r="J222" i="17"/>
  <c r="K222"/>
  <c r="O222" s="1"/>
  <c r="L222"/>
  <c r="M222"/>
  <c r="F222" i="13"/>
  <c r="G222" s="1"/>
  <c r="I222" s="1"/>
  <c r="J223" i="12"/>
  <c r="K223"/>
  <c r="O223" s="1"/>
  <c r="L223"/>
  <c r="M223"/>
  <c r="J223" i="17"/>
  <c r="K223"/>
  <c r="O223" s="1"/>
  <c r="L223"/>
  <c r="M223"/>
  <c r="F223" i="13"/>
  <c r="G223" s="1"/>
  <c r="I223" s="1"/>
  <c r="J224" i="12"/>
  <c r="K224"/>
  <c r="O224" s="1"/>
  <c r="L224"/>
  <c r="M224"/>
  <c r="J224" i="17"/>
  <c r="K224"/>
  <c r="O224" s="1"/>
  <c r="L224"/>
  <c r="M224"/>
  <c r="F224" i="13"/>
  <c r="G224" s="1"/>
  <c r="I224" s="1"/>
  <c r="J225" i="12"/>
  <c r="K225"/>
  <c r="O225" s="1"/>
  <c r="L225"/>
  <c r="M225"/>
  <c r="J225" i="17"/>
  <c r="K225"/>
  <c r="O225" s="1"/>
  <c r="L225"/>
  <c r="M225"/>
  <c r="F225" i="13"/>
  <c r="G225" s="1"/>
  <c r="I225" s="1"/>
  <c r="J226" i="12"/>
  <c r="K226"/>
  <c r="O226" s="1"/>
  <c r="L226"/>
  <c r="M226"/>
  <c r="J226" i="17"/>
  <c r="K226"/>
  <c r="O226" s="1"/>
  <c r="L226"/>
  <c r="M226"/>
  <c r="F226" i="13"/>
  <c r="G226" s="1"/>
  <c r="I226" s="1"/>
  <c r="J227" i="12"/>
  <c r="K227"/>
  <c r="O227" s="1"/>
  <c r="L227"/>
  <c r="M227"/>
  <c r="J227" i="17"/>
  <c r="K227"/>
  <c r="O227" s="1"/>
  <c r="L227"/>
  <c r="M227"/>
  <c r="F227" i="13"/>
  <c r="G227" s="1"/>
  <c r="I227" s="1"/>
  <c r="J228" i="12"/>
  <c r="K228"/>
  <c r="O228" s="1"/>
  <c r="L228"/>
  <c r="M228"/>
  <c r="J228" i="17"/>
  <c r="K228"/>
  <c r="O228" s="1"/>
  <c r="L228"/>
  <c r="M228"/>
  <c r="F228" i="13"/>
  <c r="G228" s="1"/>
  <c r="I228" s="1"/>
  <c r="J229" i="12"/>
  <c r="K229"/>
  <c r="O229" s="1"/>
  <c r="L229"/>
  <c r="M229"/>
  <c r="J229" i="17"/>
  <c r="K229"/>
  <c r="O229" s="1"/>
  <c r="L229"/>
  <c r="M229"/>
  <c r="F229" i="13"/>
  <c r="G229" s="1"/>
  <c r="I229" s="1"/>
  <c r="J230" i="12"/>
  <c r="K230"/>
  <c r="O230" s="1"/>
  <c r="L230"/>
  <c r="M230"/>
  <c r="J230" i="17"/>
  <c r="K230"/>
  <c r="O230" s="1"/>
  <c r="L230"/>
  <c r="M230"/>
  <c r="F230" i="13"/>
  <c r="G230" s="1"/>
  <c r="I230" s="1"/>
  <c r="J231" i="12"/>
  <c r="K231"/>
  <c r="O231" s="1"/>
  <c r="L231"/>
  <c r="M231"/>
  <c r="J231" i="17"/>
  <c r="K231"/>
  <c r="O231" s="1"/>
  <c r="L231"/>
  <c r="M231"/>
  <c r="F231" i="13"/>
  <c r="G231" s="1"/>
  <c r="I231" s="1"/>
  <c r="J232" i="12"/>
  <c r="K232"/>
  <c r="O232" s="1"/>
  <c r="L232"/>
  <c r="M232"/>
  <c r="J232" i="17"/>
  <c r="K232"/>
  <c r="O232" s="1"/>
  <c r="L232"/>
  <c r="M232"/>
  <c r="F232" i="13"/>
  <c r="G232" s="1"/>
  <c r="I232" s="1"/>
  <c r="J233" i="12"/>
  <c r="K233"/>
  <c r="O233" s="1"/>
  <c r="L233"/>
  <c r="M233"/>
  <c r="J233" i="17"/>
  <c r="K233"/>
  <c r="O233" s="1"/>
  <c r="L233"/>
  <c r="M233"/>
  <c r="F233" i="13"/>
  <c r="G233" s="1"/>
  <c r="I233" s="1"/>
  <c r="F233" i="14"/>
  <c r="G233" s="1"/>
  <c r="K233" s="1"/>
  <c r="L233" s="1"/>
  <c r="H233"/>
  <c r="I233"/>
  <c r="J234" i="12"/>
  <c r="K234"/>
  <c r="O234" s="1"/>
  <c r="L234"/>
  <c r="M234"/>
  <c r="J234" i="17"/>
  <c r="K234"/>
  <c r="O234" s="1"/>
  <c r="L234"/>
  <c r="M234"/>
  <c r="F234" i="13"/>
  <c r="G234" s="1"/>
  <c r="I234" s="1"/>
  <c r="J235" i="12"/>
  <c r="K235"/>
  <c r="O235" s="1"/>
  <c r="L235"/>
  <c r="M235"/>
  <c r="J235" i="17"/>
  <c r="K235"/>
  <c r="O235" s="1"/>
  <c r="L235"/>
  <c r="M235"/>
  <c r="F235" i="13"/>
  <c r="G235" s="1"/>
  <c r="I235" s="1"/>
  <c r="J236" i="12"/>
  <c r="K236"/>
  <c r="O236" s="1"/>
  <c r="L236"/>
  <c r="M236"/>
  <c r="J236" i="17"/>
  <c r="K236"/>
  <c r="O236" s="1"/>
  <c r="L236"/>
  <c r="M236"/>
  <c r="F236" i="13"/>
  <c r="G236" s="1"/>
  <c r="I236" s="1"/>
  <c r="J237" i="12"/>
  <c r="K237"/>
  <c r="O237" s="1"/>
  <c r="L237"/>
  <c r="M237"/>
  <c r="J237" i="17"/>
  <c r="K237"/>
  <c r="O237" s="1"/>
  <c r="L237"/>
  <c r="M237"/>
  <c r="F237" i="13"/>
  <c r="G237" s="1"/>
  <c r="I237" s="1"/>
  <c r="F237" i="14"/>
  <c r="G237" s="1"/>
  <c r="K237" s="1"/>
  <c r="L237" s="1"/>
  <c r="H237"/>
  <c r="I237"/>
  <c r="J238" i="12"/>
  <c r="K238"/>
  <c r="O238" s="1"/>
  <c r="L238"/>
  <c r="M238"/>
  <c r="J238" i="17"/>
  <c r="K238"/>
  <c r="O238" s="1"/>
  <c r="L238"/>
  <c r="M238"/>
  <c r="F238" i="13"/>
  <c r="G238" s="1"/>
  <c r="I238" s="1"/>
  <c r="J239" i="12"/>
  <c r="K239"/>
  <c r="O239" s="1"/>
  <c r="L239"/>
  <c r="M239"/>
  <c r="J239" i="17"/>
  <c r="K239"/>
  <c r="O239" s="1"/>
  <c r="L239"/>
  <c r="M239"/>
  <c r="F239" i="13"/>
  <c r="G239" s="1"/>
  <c r="I239" s="1"/>
  <c r="J240" i="12"/>
  <c r="K240"/>
  <c r="O240" s="1"/>
  <c r="L240"/>
  <c r="M240"/>
  <c r="J240" i="17"/>
  <c r="K240"/>
  <c r="O240" s="1"/>
  <c r="L240"/>
  <c r="M240"/>
  <c r="F240" i="13"/>
  <c r="G240" s="1"/>
  <c r="I240" s="1"/>
  <c r="J241" i="12"/>
  <c r="K241"/>
  <c r="O241" s="1"/>
  <c r="L241"/>
  <c r="M241"/>
  <c r="J241" i="17"/>
  <c r="K241"/>
  <c r="O241" s="1"/>
  <c r="L241"/>
  <c r="M241"/>
  <c r="F241" i="13"/>
  <c r="G241" s="1"/>
  <c r="I241" s="1"/>
  <c r="J242" i="12"/>
  <c r="K242"/>
  <c r="O242" s="1"/>
  <c r="L242"/>
  <c r="M242"/>
  <c r="J242" i="17"/>
  <c r="K242"/>
  <c r="O242" s="1"/>
  <c r="L242"/>
  <c r="M242"/>
  <c r="F242" i="13"/>
  <c r="G242" s="1"/>
  <c r="I242" s="1"/>
  <c r="J243" i="12"/>
  <c r="K243"/>
  <c r="O243" s="1"/>
  <c r="L243"/>
  <c r="M243"/>
  <c r="J243" i="17"/>
  <c r="K243"/>
  <c r="O243" s="1"/>
  <c r="L243"/>
  <c r="M243"/>
  <c r="F243" i="13"/>
  <c r="G243" s="1"/>
  <c r="I243" s="1"/>
  <c r="J244" i="12"/>
  <c r="K244"/>
  <c r="O244" s="1"/>
  <c r="L244"/>
  <c r="M244"/>
  <c r="J244" i="17"/>
  <c r="K244"/>
  <c r="O244" s="1"/>
  <c r="L244"/>
  <c r="M244"/>
  <c r="F244" i="13"/>
  <c r="G244" s="1"/>
  <c r="I244" s="1"/>
  <c r="J245" i="12"/>
  <c r="K245"/>
  <c r="O245" s="1"/>
  <c r="L245"/>
  <c r="M245"/>
  <c r="J245" i="17"/>
  <c r="K245"/>
  <c r="O245" s="1"/>
  <c r="L245"/>
  <c r="M245"/>
  <c r="F245" i="13"/>
  <c r="G245" s="1"/>
  <c r="I245" s="1"/>
  <c r="J246" i="12"/>
  <c r="K246"/>
  <c r="O246" s="1"/>
  <c r="L246"/>
  <c r="M246"/>
  <c r="J246" i="17"/>
  <c r="K246"/>
  <c r="O246" s="1"/>
  <c r="L246"/>
  <c r="M246"/>
  <c r="F246" i="13"/>
  <c r="G246" s="1"/>
  <c r="I246" s="1"/>
  <c r="J247" i="12"/>
  <c r="K247"/>
  <c r="O247" s="1"/>
  <c r="L247"/>
  <c r="M247"/>
  <c r="J247" i="17"/>
  <c r="K247"/>
  <c r="O247" s="1"/>
  <c r="L247"/>
  <c r="M247"/>
  <c r="F247" i="13"/>
  <c r="G247" s="1"/>
  <c r="I247" s="1"/>
  <c r="J248" i="12"/>
  <c r="K248"/>
  <c r="O248" s="1"/>
  <c r="L248"/>
  <c r="M248"/>
  <c r="J248" i="17"/>
  <c r="K248"/>
  <c r="O248" s="1"/>
  <c r="L248"/>
  <c r="M248"/>
  <c r="F248" i="13"/>
  <c r="G248" s="1"/>
  <c r="I248" s="1"/>
  <c r="J249" i="12"/>
  <c r="K249"/>
  <c r="O249" s="1"/>
  <c r="L249"/>
  <c r="M249"/>
  <c r="J249" i="17"/>
  <c r="K249"/>
  <c r="O249" s="1"/>
  <c r="L249"/>
  <c r="M249"/>
  <c r="F249" i="13"/>
  <c r="G249" s="1"/>
  <c r="I249" s="1"/>
  <c r="J250" i="12"/>
  <c r="K250"/>
  <c r="O250" s="1"/>
  <c r="L250"/>
  <c r="M250"/>
  <c r="J250" i="17"/>
  <c r="K250"/>
  <c r="O250" s="1"/>
  <c r="L250"/>
  <c r="M250"/>
  <c r="F250" i="13"/>
  <c r="G250" s="1"/>
  <c r="I250" s="1"/>
  <c r="J251" i="12"/>
  <c r="K251"/>
  <c r="O251" s="1"/>
  <c r="L251"/>
  <c r="M251"/>
  <c r="J251" i="17"/>
  <c r="K251"/>
  <c r="O251" s="1"/>
  <c r="L251"/>
  <c r="M251"/>
  <c r="F251" i="13"/>
  <c r="G251" s="1"/>
  <c r="I251" s="1"/>
  <c r="J252" i="12"/>
  <c r="K252"/>
  <c r="O252" s="1"/>
  <c r="L252"/>
  <c r="M252"/>
  <c r="J252" i="17"/>
  <c r="K252"/>
  <c r="O252" s="1"/>
  <c r="L252"/>
  <c r="M252"/>
  <c r="F252" i="13"/>
  <c r="G252" s="1"/>
  <c r="I252" s="1"/>
  <c r="J253" i="12"/>
  <c r="K253"/>
  <c r="O253" s="1"/>
  <c r="L253"/>
  <c r="M253"/>
  <c r="J253" i="17"/>
  <c r="K253"/>
  <c r="O253" s="1"/>
  <c r="L253"/>
  <c r="M253"/>
  <c r="F253" i="13"/>
  <c r="G253" s="1"/>
  <c r="I253" s="1"/>
  <c r="J254" i="12"/>
  <c r="K254"/>
  <c r="O254" s="1"/>
  <c r="L254"/>
  <c r="M254"/>
  <c r="J254" i="17"/>
  <c r="K254"/>
  <c r="O254" s="1"/>
  <c r="L254"/>
  <c r="M254"/>
  <c r="F254" i="13"/>
  <c r="G254" s="1"/>
  <c r="I254" s="1"/>
  <c r="J255" i="12"/>
  <c r="K255"/>
  <c r="O255" s="1"/>
  <c r="L255"/>
  <c r="M255"/>
  <c r="J255" i="17"/>
  <c r="K255"/>
  <c r="O255" s="1"/>
  <c r="L255"/>
  <c r="M255"/>
  <c r="F255" i="13"/>
  <c r="G255" s="1"/>
  <c r="I255" s="1"/>
  <c r="J256" i="12"/>
  <c r="K256"/>
  <c r="O256" s="1"/>
  <c r="L256"/>
  <c r="M256"/>
  <c r="J256" i="17"/>
  <c r="K256"/>
  <c r="O256" s="1"/>
  <c r="L256"/>
  <c r="M256"/>
  <c r="F256" i="13"/>
  <c r="G256" s="1"/>
  <c r="I256" s="1"/>
  <c r="J257" i="12"/>
  <c r="K257"/>
  <c r="O257" s="1"/>
  <c r="L257"/>
  <c r="M257"/>
  <c r="J257" i="17"/>
  <c r="K257"/>
  <c r="O257" s="1"/>
  <c r="L257"/>
  <c r="M257"/>
  <c r="F257" i="13"/>
  <c r="G257" s="1"/>
  <c r="I257" s="1"/>
  <c r="J258" i="12"/>
  <c r="K258"/>
  <c r="O258" s="1"/>
  <c r="L258"/>
  <c r="M258"/>
  <c r="J258" i="17"/>
  <c r="K258"/>
  <c r="O258" s="1"/>
  <c r="L258"/>
  <c r="M258"/>
  <c r="F258" i="13"/>
  <c r="G258" s="1"/>
  <c r="I258" s="1"/>
  <c r="J259" i="12"/>
  <c r="K259"/>
  <c r="O259" s="1"/>
  <c r="L259"/>
  <c r="M259"/>
  <c r="J259" i="17"/>
  <c r="K259"/>
  <c r="O259" s="1"/>
  <c r="L259"/>
  <c r="M259"/>
  <c r="F259" i="13"/>
  <c r="G259" s="1"/>
  <c r="I259" s="1"/>
  <c r="J260" i="12"/>
  <c r="K260"/>
  <c r="O260" s="1"/>
  <c r="L260"/>
  <c r="M260"/>
  <c r="J260" i="17"/>
  <c r="K260"/>
  <c r="O260" s="1"/>
  <c r="L260"/>
  <c r="M260"/>
  <c r="F260" i="13"/>
  <c r="G260" s="1"/>
  <c r="I260" s="1"/>
  <c r="J261" i="12"/>
  <c r="K261"/>
  <c r="O261" s="1"/>
  <c r="L261"/>
  <c r="M261"/>
  <c r="J261" i="17"/>
  <c r="K261"/>
  <c r="O261" s="1"/>
  <c r="L261"/>
  <c r="M261"/>
  <c r="F261" i="13"/>
  <c r="G261" s="1"/>
  <c r="I261" s="1"/>
  <c r="J262" i="12"/>
  <c r="K262"/>
  <c r="O262" s="1"/>
  <c r="L262"/>
  <c r="M262"/>
  <c r="J262" i="17"/>
  <c r="K262"/>
  <c r="O262" s="1"/>
  <c r="L262"/>
  <c r="M262"/>
  <c r="F262" i="13"/>
  <c r="G262" s="1"/>
  <c r="I262" s="1"/>
  <c r="J263" i="12"/>
  <c r="K263"/>
  <c r="O263" s="1"/>
  <c r="L263"/>
  <c r="M263"/>
  <c r="J263" i="17"/>
  <c r="K263"/>
  <c r="O263" s="1"/>
  <c r="L263"/>
  <c r="M263"/>
  <c r="F263" i="13"/>
  <c r="G263" s="1"/>
  <c r="I263" s="1"/>
  <c r="J264" i="12"/>
  <c r="K264"/>
  <c r="O264" s="1"/>
  <c r="L264"/>
  <c r="M264"/>
  <c r="J264" i="17"/>
  <c r="K264"/>
  <c r="O264" s="1"/>
  <c r="L264"/>
  <c r="M264"/>
  <c r="F264" i="13"/>
  <c r="G264" s="1"/>
  <c r="I264" s="1"/>
  <c r="J265" i="12"/>
  <c r="K265"/>
  <c r="O265" s="1"/>
  <c r="L265"/>
  <c r="M265"/>
  <c r="J265" i="17"/>
  <c r="K265"/>
  <c r="O265" s="1"/>
  <c r="L265"/>
  <c r="M265"/>
  <c r="F265" i="13"/>
  <c r="G265" s="1"/>
  <c r="I265" s="1"/>
  <c r="J266" i="12"/>
  <c r="K266"/>
  <c r="O266" s="1"/>
  <c r="L266"/>
  <c r="M266"/>
  <c r="J266" i="17"/>
  <c r="K266"/>
  <c r="O266" s="1"/>
  <c r="L266"/>
  <c r="M266"/>
  <c r="F266" i="13"/>
  <c r="G266" s="1"/>
  <c r="I266" s="1"/>
  <c r="J267" i="12"/>
  <c r="K267"/>
  <c r="O267" s="1"/>
  <c r="L267"/>
  <c r="M267"/>
  <c r="J267" i="17"/>
  <c r="K267"/>
  <c r="O267" s="1"/>
  <c r="L267"/>
  <c r="M267"/>
  <c r="F267" i="13"/>
  <c r="G267" s="1"/>
  <c r="I267" s="1"/>
  <c r="J268" i="12"/>
  <c r="K268"/>
  <c r="O268" s="1"/>
  <c r="L268"/>
  <c r="M268"/>
  <c r="J268" i="17"/>
  <c r="K268"/>
  <c r="O268" s="1"/>
  <c r="L268"/>
  <c r="M268"/>
  <c r="F268" i="13"/>
  <c r="G268" s="1"/>
  <c r="I268" s="1"/>
  <c r="F268" i="14"/>
  <c r="G268" s="1"/>
  <c r="K268" s="1"/>
  <c r="L268" s="1"/>
  <c r="H268"/>
  <c r="I268"/>
  <c r="J269" i="12"/>
  <c r="K269"/>
  <c r="O269" s="1"/>
  <c r="L269"/>
  <c r="M269"/>
  <c r="J269" i="17"/>
  <c r="K269"/>
  <c r="O269" s="1"/>
  <c r="L269"/>
  <c r="M269"/>
  <c r="F269" i="13"/>
  <c r="G269" s="1"/>
  <c r="I269" s="1"/>
  <c r="J270" i="12"/>
  <c r="K270"/>
  <c r="O270" s="1"/>
  <c r="L270"/>
  <c r="M270"/>
  <c r="J270" i="17"/>
  <c r="K270"/>
  <c r="O270" s="1"/>
  <c r="L270"/>
  <c r="M270"/>
  <c r="F270" i="13"/>
  <c r="G270" s="1"/>
  <c r="I270" s="1"/>
  <c r="J271" i="12"/>
  <c r="K271"/>
  <c r="O271" s="1"/>
  <c r="L271"/>
  <c r="M271"/>
  <c r="J271" i="17"/>
  <c r="K271"/>
  <c r="O271" s="1"/>
  <c r="L271"/>
  <c r="M271"/>
  <c r="F271" i="13"/>
  <c r="G271" s="1"/>
  <c r="I271" s="1"/>
  <c r="J272" i="12"/>
  <c r="K272"/>
  <c r="O272" s="1"/>
  <c r="L272"/>
  <c r="M272"/>
  <c r="J272" i="17"/>
  <c r="K272"/>
  <c r="O272" s="1"/>
  <c r="L272"/>
  <c r="M272"/>
  <c r="F272" i="13"/>
  <c r="G272" s="1"/>
  <c r="I272" s="1"/>
  <c r="J273" i="12"/>
  <c r="K273"/>
  <c r="O273" s="1"/>
  <c r="L273"/>
  <c r="M273"/>
  <c r="J273" i="17"/>
  <c r="K273"/>
  <c r="O273" s="1"/>
  <c r="L273"/>
  <c r="M273"/>
  <c r="F273" i="13"/>
  <c r="G273" s="1"/>
  <c r="I273" s="1"/>
  <c r="J274" i="12"/>
  <c r="K274"/>
  <c r="O274" s="1"/>
  <c r="L274"/>
  <c r="M274"/>
  <c r="J274" i="17"/>
  <c r="K274"/>
  <c r="O274" s="1"/>
  <c r="L274"/>
  <c r="M274"/>
  <c r="F274" i="13"/>
  <c r="G274" s="1"/>
  <c r="I274" s="1"/>
  <c r="J275" i="12"/>
  <c r="K275"/>
  <c r="O275" s="1"/>
  <c r="L275"/>
  <c r="M275"/>
  <c r="J275" i="17"/>
  <c r="K275"/>
  <c r="O275" s="1"/>
  <c r="L275"/>
  <c r="M275"/>
  <c r="F275" i="13"/>
  <c r="G275" s="1"/>
  <c r="I275" s="1"/>
  <c r="J276" i="12"/>
  <c r="K276"/>
  <c r="O276" s="1"/>
  <c r="L276"/>
  <c r="M276"/>
  <c r="J276" i="17"/>
  <c r="K276"/>
  <c r="O276" s="1"/>
  <c r="L276"/>
  <c r="M276"/>
  <c r="F276" i="13"/>
  <c r="G276" s="1"/>
  <c r="I276" s="1"/>
  <c r="J277" i="12"/>
  <c r="K277"/>
  <c r="O277" s="1"/>
  <c r="L277"/>
  <c r="M277"/>
  <c r="J277" i="17"/>
  <c r="K277"/>
  <c r="O277" s="1"/>
  <c r="L277"/>
  <c r="M277"/>
  <c r="F277" i="13"/>
  <c r="G277" s="1"/>
  <c r="I277" s="1"/>
  <c r="J278" i="12"/>
  <c r="K278"/>
  <c r="O278" s="1"/>
  <c r="L278"/>
  <c r="M278"/>
  <c r="J278" i="17"/>
  <c r="K278"/>
  <c r="O278" s="1"/>
  <c r="L278"/>
  <c r="M278"/>
  <c r="F278" i="13"/>
  <c r="G278" s="1"/>
  <c r="I278" s="1"/>
  <c r="J279" i="12"/>
  <c r="K279"/>
  <c r="O279" s="1"/>
  <c r="L279"/>
  <c r="M279"/>
  <c r="J279" i="17"/>
  <c r="K279"/>
  <c r="O279" s="1"/>
  <c r="L279"/>
  <c r="M279"/>
  <c r="F279" i="13"/>
  <c r="G279" s="1"/>
  <c r="I279" s="1"/>
  <c r="J280" i="12"/>
  <c r="K280"/>
  <c r="O280" s="1"/>
  <c r="L280"/>
  <c r="M280"/>
  <c r="J280" i="17"/>
  <c r="K280"/>
  <c r="O280" s="1"/>
  <c r="L280"/>
  <c r="M280"/>
  <c r="F280" i="13"/>
  <c r="G280" s="1"/>
  <c r="I280" s="1"/>
  <c r="J281" i="12"/>
  <c r="K281"/>
  <c r="O281" s="1"/>
  <c r="L281"/>
  <c r="M281"/>
  <c r="J281" i="17"/>
  <c r="K281"/>
  <c r="O281" s="1"/>
  <c r="L281"/>
  <c r="M281"/>
  <c r="F281" i="13"/>
  <c r="G281" s="1"/>
  <c r="I281" s="1"/>
  <c r="J282" i="12"/>
  <c r="K282"/>
  <c r="O282" s="1"/>
  <c r="L282"/>
  <c r="M282"/>
  <c r="J282" i="17"/>
  <c r="K282"/>
  <c r="O282" s="1"/>
  <c r="L282"/>
  <c r="M282"/>
  <c r="F282" i="13"/>
  <c r="G282" s="1"/>
  <c r="I282" s="1"/>
  <c r="J283" i="12"/>
  <c r="K283"/>
  <c r="O283" s="1"/>
  <c r="L283"/>
  <c r="M283"/>
  <c r="J283" i="17"/>
  <c r="K283"/>
  <c r="O283" s="1"/>
  <c r="L283"/>
  <c r="M283"/>
  <c r="F283" i="13"/>
  <c r="G283" s="1"/>
  <c r="I283" s="1"/>
  <c r="J284" i="12"/>
  <c r="K284"/>
  <c r="O284" s="1"/>
  <c r="L284"/>
  <c r="M284"/>
  <c r="J284" i="17"/>
  <c r="K284"/>
  <c r="O284" s="1"/>
  <c r="L284"/>
  <c r="M284"/>
  <c r="F284" i="13"/>
  <c r="G284" s="1"/>
  <c r="I284" s="1"/>
  <c r="J285" i="12"/>
  <c r="K285"/>
  <c r="O285" s="1"/>
  <c r="L285"/>
  <c r="M285"/>
  <c r="J285" i="17"/>
  <c r="K285"/>
  <c r="O285" s="1"/>
  <c r="L285"/>
  <c r="M285"/>
  <c r="F285" i="13"/>
  <c r="G285" s="1"/>
  <c r="I285" s="1"/>
  <c r="J286" i="12"/>
  <c r="K286"/>
  <c r="O286" s="1"/>
  <c r="L286"/>
  <c r="M286"/>
  <c r="J286" i="17"/>
  <c r="K286"/>
  <c r="O286" s="1"/>
  <c r="L286"/>
  <c r="M286"/>
  <c r="F286" i="13"/>
  <c r="G286" s="1"/>
  <c r="I286" s="1"/>
  <c r="J287" i="12"/>
  <c r="K287"/>
  <c r="O287" s="1"/>
  <c r="L287"/>
  <c r="M287"/>
  <c r="J287" i="17"/>
  <c r="K287"/>
  <c r="O287" s="1"/>
  <c r="L287"/>
  <c r="M287"/>
  <c r="F287" i="13"/>
  <c r="G287" s="1"/>
  <c r="I287" s="1"/>
  <c r="J288" i="12"/>
  <c r="K288"/>
  <c r="O288" s="1"/>
  <c r="L288"/>
  <c r="M288"/>
  <c r="J288" i="17"/>
  <c r="K288"/>
  <c r="O288" s="1"/>
  <c r="L288"/>
  <c r="M288"/>
  <c r="F288" i="13"/>
  <c r="G288" s="1"/>
  <c r="I288" s="1"/>
  <c r="J289" i="12"/>
  <c r="K289"/>
  <c r="O289" s="1"/>
  <c r="L289"/>
  <c r="M289"/>
  <c r="J289" i="17"/>
  <c r="K289"/>
  <c r="O289" s="1"/>
  <c r="L289"/>
  <c r="M289"/>
  <c r="F289" i="13"/>
  <c r="G289" s="1"/>
  <c r="I289" s="1"/>
  <c r="J290" i="12"/>
  <c r="K290"/>
  <c r="O290" s="1"/>
  <c r="L290"/>
  <c r="M290"/>
  <c r="J290" i="17"/>
  <c r="K290"/>
  <c r="O290" s="1"/>
  <c r="L290"/>
  <c r="M290"/>
  <c r="F290" i="13"/>
  <c r="G290" s="1"/>
  <c r="I290" s="1"/>
  <c r="J291" i="12"/>
  <c r="K291"/>
  <c r="O291" s="1"/>
  <c r="L291"/>
  <c r="M291"/>
  <c r="J291" i="17"/>
  <c r="K291"/>
  <c r="O291" s="1"/>
  <c r="L291"/>
  <c r="M291"/>
  <c r="F291" i="13"/>
  <c r="G291" s="1"/>
  <c r="I291" s="1"/>
  <c r="J292" i="12"/>
  <c r="K292"/>
  <c r="O292" s="1"/>
  <c r="L292"/>
  <c r="M292"/>
  <c r="J292" i="17"/>
  <c r="K292"/>
  <c r="O292" s="1"/>
  <c r="L292"/>
  <c r="M292"/>
  <c r="F292" i="13"/>
  <c r="G292" s="1"/>
  <c r="I292" s="1"/>
  <c r="J293" i="12"/>
  <c r="K293"/>
  <c r="O293" s="1"/>
  <c r="L293"/>
  <c r="M293"/>
  <c r="J293" i="17"/>
  <c r="K293"/>
  <c r="O293" s="1"/>
  <c r="L293"/>
  <c r="M293"/>
  <c r="F293" i="13"/>
  <c r="G293" s="1"/>
  <c r="I293" s="1"/>
  <c r="J294" i="12"/>
  <c r="K294"/>
  <c r="O294" s="1"/>
  <c r="L294"/>
  <c r="M294"/>
  <c r="J294" i="17"/>
  <c r="K294"/>
  <c r="O294" s="1"/>
  <c r="L294"/>
  <c r="M294"/>
  <c r="F294" i="13"/>
  <c r="G294" s="1"/>
  <c r="I294" s="1"/>
  <c r="J295" i="12"/>
  <c r="K295"/>
  <c r="O295" s="1"/>
  <c r="L295"/>
  <c r="M295"/>
  <c r="J295" i="17"/>
  <c r="K295"/>
  <c r="O295" s="1"/>
  <c r="L295"/>
  <c r="M295"/>
  <c r="F295" i="13"/>
  <c r="G295" s="1"/>
  <c r="I295" s="1"/>
  <c r="J296" i="12"/>
  <c r="K296"/>
  <c r="O296" s="1"/>
  <c r="L296"/>
  <c r="M296"/>
  <c r="J296" i="17"/>
  <c r="K296"/>
  <c r="O296" s="1"/>
  <c r="L296"/>
  <c r="M296"/>
  <c r="F296" i="13"/>
  <c r="G296" s="1"/>
  <c r="I296" s="1"/>
  <c r="J297" i="12"/>
  <c r="K297"/>
  <c r="O297" s="1"/>
  <c r="L297"/>
  <c r="M297"/>
  <c r="J297" i="17"/>
  <c r="K297"/>
  <c r="O297" s="1"/>
  <c r="L297"/>
  <c r="M297"/>
  <c r="F297" i="13"/>
  <c r="G297" s="1"/>
  <c r="I297" s="1"/>
  <c r="J298" i="12"/>
  <c r="K298"/>
  <c r="O298" s="1"/>
  <c r="L298"/>
  <c r="M298"/>
  <c r="J298" i="17"/>
  <c r="K298"/>
  <c r="O298" s="1"/>
  <c r="L298"/>
  <c r="M298"/>
  <c r="F298" i="13"/>
  <c r="G298" s="1"/>
  <c r="I298" s="1"/>
  <c r="J299" i="12"/>
  <c r="K299"/>
  <c r="O299" s="1"/>
  <c r="L299"/>
  <c r="M299"/>
  <c r="J299" i="17"/>
  <c r="K299"/>
  <c r="O299" s="1"/>
  <c r="L299"/>
  <c r="M299"/>
  <c r="F299" i="13"/>
  <c r="G299" s="1"/>
  <c r="I299" s="1"/>
  <c r="J300" i="12"/>
  <c r="K300"/>
  <c r="O300" s="1"/>
  <c r="L300"/>
  <c r="M300"/>
  <c r="J300" i="17"/>
  <c r="K300"/>
  <c r="O300" s="1"/>
  <c r="L300"/>
  <c r="M300"/>
  <c r="F300" i="13"/>
  <c r="G300" s="1"/>
  <c r="I300" s="1"/>
  <c r="J301" i="12"/>
  <c r="K301"/>
  <c r="O301" s="1"/>
  <c r="L301"/>
  <c r="M301"/>
  <c r="J301" i="17"/>
  <c r="K301"/>
  <c r="O301" s="1"/>
  <c r="L301"/>
  <c r="M301"/>
  <c r="F301" i="13"/>
  <c r="G301" s="1"/>
  <c r="I301" s="1"/>
  <c r="J302" i="12"/>
  <c r="K302"/>
  <c r="O302" s="1"/>
  <c r="L302"/>
  <c r="M302"/>
  <c r="J302" i="17"/>
  <c r="K302"/>
  <c r="O302" s="1"/>
  <c r="L302"/>
  <c r="M302"/>
  <c r="F302" i="13"/>
  <c r="G302" s="1"/>
  <c r="I302" s="1"/>
  <c r="J303" i="12"/>
  <c r="K303"/>
  <c r="O303" s="1"/>
  <c r="L303"/>
  <c r="M303"/>
  <c r="J303" i="17"/>
  <c r="K303"/>
  <c r="O303" s="1"/>
  <c r="L303"/>
  <c r="M303"/>
  <c r="F303" i="13"/>
  <c r="G303" s="1"/>
  <c r="I303" s="1"/>
  <c r="J304" i="12"/>
  <c r="K304"/>
  <c r="O304" s="1"/>
  <c r="L304"/>
  <c r="M304"/>
  <c r="J304" i="17"/>
  <c r="K304"/>
  <c r="O304" s="1"/>
  <c r="L304"/>
  <c r="M304"/>
  <c r="F304" i="13"/>
  <c r="G304" s="1"/>
  <c r="I304" s="1"/>
  <c r="J305" i="12"/>
  <c r="K305"/>
  <c r="O305" s="1"/>
  <c r="L305"/>
  <c r="M305"/>
  <c r="J305" i="17"/>
  <c r="K305"/>
  <c r="O305" s="1"/>
  <c r="L305"/>
  <c r="M305"/>
  <c r="F305" i="13"/>
  <c r="G305" s="1"/>
  <c r="I305" s="1"/>
  <c r="J306" i="12"/>
  <c r="K306"/>
  <c r="O306" s="1"/>
  <c r="L306"/>
  <c r="M306"/>
  <c r="J306" i="17"/>
  <c r="K306"/>
  <c r="O306" s="1"/>
  <c r="L306"/>
  <c r="M306"/>
  <c r="F306" i="13"/>
  <c r="G306" s="1"/>
  <c r="I306" s="1"/>
  <c r="J307" i="12"/>
  <c r="K307"/>
  <c r="O307" s="1"/>
  <c r="L307"/>
  <c r="M307"/>
  <c r="J307" i="17"/>
  <c r="K307"/>
  <c r="O307" s="1"/>
  <c r="L307"/>
  <c r="M307"/>
  <c r="F307" i="13"/>
  <c r="G307" s="1"/>
  <c r="I307" s="1"/>
  <c r="J308" i="12"/>
  <c r="K308"/>
  <c r="O308" s="1"/>
  <c r="L308"/>
  <c r="M308"/>
  <c r="J308" i="17"/>
  <c r="K308"/>
  <c r="O308" s="1"/>
  <c r="L308"/>
  <c r="M308"/>
  <c r="F308" i="13"/>
  <c r="G308" s="1"/>
  <c r="I308" s="1"/>
  <c r="J309" i="12"/>
  <c r="K309"/>
  <c r="O309" s="1"/>
  <c r="L309"/>
  <c r="M309"/>
  <c r="J309" i="17"/>
  <c r="K309"/>
  <c r="O309" s="1"/>
  <c r="L309"/>
  <c r="M309"/>
  <c r="F309" i="13"/>
  <c r="G309" s="1"/>
  <c r="I309" s="1"/>
  <c r="J310" i="12"/>
  <c r="K310"/>
  <c r="O310" s="1"/>
  <c r="L310"/>
  <c r="M310"/>
  <c r="J310" i="17"/>
  <c r="K310"/>
  <c r="O310" s="1"/>
  <c r="L310"/>
  <c r="M310"/>
  <c r="F310" i="13"/>
  <c r="G310" s="1"/>
  <c r="I310" s="1"/>
  <c r="J311" i="12"/>
  <c r="K311"/>
  <c r="O311" s="1"/>
  <c r="L311"/>
  <c r="M311"/>
  <c r="J311" i="17"/>
  <c r="K311"/>
  <c r="O311" s="1"/>
  <c r="L311"/>
  <c r="M311"/>
  <c r="F311" i="13"/>
  <c r="G311" s="1"/>
  <c r="I311" s="1"/>
  <c r="J312" i="12"/>
  <c r="K312"/>
  <c r="O312" s="1"/>
  <c r="L312"/>
  <c r="M312"/>
  <c r="J312" i="17"/>
  <c r="K312"/>
  <c r="O312" s="1"/>
  <c r="L312"/>
  <c r="M312"/>
  <c r="F312" i="13"/>
  <c r="G312" s="1"/>
  <c r="I312" s="1"/>
  <c r="J313" i="12"/>
  <c r="K313"/>
  <c r="O313" s="1"/>
  <c r="L313"/>
  <c r="M313"/>
  <c r="J313" i="17"/>
  <c r="K313"/>
  <c r="O313" s="1"/>
  <c r="L313"/>
  <c r="M313"/>
  <c r="F313" i="13"/>
  <c r="G313" s="1"/>
  <c r="I313" s="1"/>
  <c r="J314" i="12"/>
  <c r="K314"/>
  <c r="O314" s="1"/>
  <c r="L314"/>
  <c r="M314"/>
  <c r="J314" i="17"/>
  <c r="K314"/>
  <c r="O314" s="1"/>
  <c r="L314"/>
  <c r="M314"/>
  <c r="F314" i="13"/>
  <c r="G314" s="1"/>
  <c r="I314" s="1"/>
  <c r="J315" i="12"/>
  <c r="K315"/>
  <c r="O315" s="1"/>
  <c r="L315"/>
  <c r="M315"/>
  <c r="J315" i="17"/>
  <c r="K315"/>
  <c r="O315" s="1"/>
  <c r="L315"/>
  <c r="M315"/>
  <c r="F315" i="13"/>
  <c r="G315" s="1"/>
  <c r="I315" s="1"/>
  <c r="J316" i="12"/>
  <c r="K316"/>
  <c r="O316" s="1"/>
  <c r="L316"/>
  <c r="M316"/>
  <c r="J316" i="17"/>
  <c r="K316"/>
  <c r="O316" s="1"/>
  <c r="L316"/>
  <c r="M316"/>
  <c r="F316" i="13"/>
  <c r="G316" s="1"/>
  <c r="I316" s="1"/>
  <c r="J317" i="12"/>
  <c r="K317"/>
  <c r="O317" s="1"/>
  <c r="L317"/>
  <c r="M317"/>
  <c r="J317" i="17"/>
  <c r="K317"/>
  <c r="O317" s="1"/>
  <c r="L317"/>
  <c r="M317"/>
  <c r="F317" i="13"/>
  <c r="G317" s="1"/>
  <c r="I317" s="1"/>
  <c r="J318" i="12"/>
  <c r="K318"/>
  <c r="O318" s="1"/>
  <c r="L318"/>
  <c r="M318"/>
  <c r="J318" i="17"/>
  <c r="K318"/>
  <c r="O318" s="1"/>
  <c r="L318"/>
  <c r="M318"/>
  <c r="F318" i="13"/>
  <c r="G318" s="1"/>
  <c r="I318" s="1"/>
  <c r="J319" i="12"/>
  <c r="K319"/>
  <c r="O319" s="1"/>
  <c r="L319"/>
  <c r="M319"/>
  <c r="J319" i="17"/>
  <c r="K319"/>
  <c r="O319" s="1"/>
  <c r="L319"/>
  <c r="M319"/>
  <c r="F319" i="13"/>
  <c r="G319" s="1"/>
  <c r="I319" s="1"/>
  <c r="J320" i="12"/>
  <c r="K320"/>
  <c r="O320" s="1"/>
  <c r="L320"/>
  <c r="M320"/>
  <c r="J320" i="17"/>
  <c r="K320"/>
  <c r="O320" s="1"/>
  <c r="L320"/>
  <c r="M320"/>
  <c r="F320" i="13"/>
  <c r="G320" s="1"/>
  <c r="I320" s="1"/>
  <c r="J321" i="12"/>
  <c r="K321"/>
  <c r="O321" s="1"/>
  <c r="L321"/>
  <c r="M321"/>
  <c r="J321" i="17"/>
  <c r="K321"/>
  <c r="O321" s="1"/>
  <c r="L321"/>
  <c r="M321"/>
  <c r="F321" i="13"/>
  <c r="G321" s="1"/>
  <c r="I321" s="1"/>
  <c r="J322" i="12"/>
  <c r="K322"/>
  <c r="O322" s="1"/>
  <c r="L322"/>
  <c r="M322"/>
  <c r="J322" i="17"/>
  <c r="K322"/>
  <c r="O322" s="1"/>
  <c r="L322"/>
  <c r="M322"/>
  <c r="F322" i="13"/>
  <c r="G322" s="1"/>
  <c r="I322" s="1"/>
  <c r="J323" i="12"/>
  <c r="K323"/>
  <c r="O323" s="1"/>
  <c r="L323"/>
  <c r="M323"/>
  <c r="J323" i="17"/>
  <c r="K323"/>
  <c r="O323" s="1"/>
  <c r="L323"/>
  <c r="M323"/>
  <c r="F323" i="13"/>
  <c r="G323" s="1"/>
  <c r="I323" s="1"/>
  <c r="J324" i="12"/>
  <c r="K324"/>
  <c r="O324" s="1"/>
  <c r="L324"/>
  <c r="M324"/>
  <c r="J324" i="17"/>
  <c r="K324"/>
  <c r="O324" s="1"/>
  <c r="L324"/>
  <c r="M324"/>
  <c r="F324" i="13"/>
  <c r="G324" s="1"/>
  <c r="I324" s="1"/>
  <c r="J325" i="12"/>
  <c r="K325"/>
  <c r="O325" s="1"/>
  <c r="L325"/>
  <c r="M325"/>
  <c r="J325" i="17"/>
  <c r="K325"/>
  <c r="O325" s="1"/>
  <c r="L325"/>
  <c r="M325"/>
  <c r="F325" i="13"/>
  <c r="G325" s="1"/>
  <c r="I325" s="1"/>
  <c r="J326" i="12"/>
  <c r="K326"/>
  <c r="O326" s="1"/>
  <c r="L326"/>
  <c r="M326"/>
  <c r="J326" i="17"/>
  <c r="K326"/>
  <c r="O326" s="1"/>
  <c r="L326"/>
  <c r="M326"/>
  <c r="F326" i="13"/>
  <c r="G326" s="1"/>
  <c r="I326" s="1"/>
  <c r="J327" i="12"/>
  <c r="K327"/>
  <c r="O327" s="1"/>
  <c r="L327"/>
  <c r="M327"/>
  <c r="J327" i="17"/>
  <c r="K327"/>
  <c r="O327" s="1"/>
  <c r="L327"/>
  <c r="M327"/>
  <c r="F327" i="13"/>
  <c r="G327" s="1"/>
  <c r="I327" s="1"/>
  <c r="H327" i="14"/>
  <c r="I327"/>
  <c r="J328" i="12"/>
  <c r="K328"/>
  <c r="O328" s="1"/>
  <c r="L328"/>
  <c r="M328"/>
  <c r="J328" i="17"/>
  <c r="K328"/>
  <c r="O328" s="1"/>
  <c r="L328"/>
  <c r="M328"/>
  <c r="F328" i="13"/>
  <c r="G328" s="1"/>
  <c r="I328" s="1"/>
  <c r="H328" i="14"/>
  <c r="I328"/>
  <c r="J329" i="12"/>
  <c r="K329"/>
  <c r="O329" s="1"/>
  <c r="L329"/>
  <c r="M329"/>
  <c r="J329" i="17"/>
  <c r="K329"/>
  <c r="O329" s="1"/>
  <c r="L329"/>
  <c r="M329"/>
  <c r="F329" i="13"/>
  <c r="G329" s="1"/>
  <c r="I329" s="1"/>
  <c r="J330" i="12"/>
  <c r="K330"/>
  <c r="O330" s="1"/>
  <c r="L330"/>
  <c r="M330"/>
  <c r="J330" i="17"/>
  <c r="K330"/>
  <c r="O330" s="1"/>
  <c r="L330"/>
  <c r="M330"/>
  <c r="F330" i="13"/>
  <c r="G330" s="1"/>
  <c r="I330" s="1"/>
  <c r="J331" i="12"/>
  <c r="K331"/>
  <c r="O331" s="1"/>
  <c r="L331"/>
  <c r="M331"/>
  <c r="J331" i="17"/>
  <c r="K331"/>
  <c r="O331" s="1"/>
  <c r="L331"/>
  <c r="M331"/>
  <c r="F331" i="13"/>
  <c r="G331" s="1"/>
  <c r="I331" s="1"/>
  <c r="J332" i="12"/>
  <c r="K332"/>
  <c r="O332" s="1"/>
  <c r="L332"/>
  <c r="M332"/>
  <c r="J332" i="17"/>
  <c r="K332"/>
  <c r="O332" s="1"/>
  <c r="L332"/>
  <c r="M332"/>
  <c r="F332" i="13"/>
  <c r="G332" s="1"/>
  <c r="I332" s="1"/>
  <c r="J333" i="12"/>
  <c r="K333"/>
  <c r="O333" s="1"/>
  <c r="L333"/>
  <c r="M333"/>
  <c r="J333" i="17"/>
  <c r="K333"/>
  <c r="O333" s="1"/>
  <c r="L333"/>
  <c r="M333"/>
  <c r="F333" i="13"/>
  <c r="G333" s="1"/>
  <c r="I333" s="1"/>
  <c r="J334" i="12"/>
  <c r="K334"/>
  <c r="O334" s="1"/>
  <c r="L334"/>
  <c r="M334"/>
  <c r="J334" i="17"/>
  <c r="K334"/>
  <c r="O334" s="1"/>
  <c r="L334"/>
  <c r="M334"/>
  <c r="F334" i="13"/>
  <c r="G334" s="1"/>
  <c r="I334" s="1"/>
  <c r="J335" i="12"/>
  <c r="K335"/>
  <c r="O335" s="1"/>
  <c r="L335"/>
  <c r="M335"/>
  <c r="J335" i="17"/>
  <c r="K335"/>
  <c r="O335" s="1"/>
  <c r="L335"/>
  <c r="M335"/>
  <c r="F335" i="13"/>
  <c r="G335" s="1"/>
  <c r="I335" s="1"/>
  <c r="J336" i="12"/>
  <c r="K336"/>
  <c r="O336" s="1"/>
  <c r="L336"/>
  <c r="M336"/>
  <c r="J336" i="17"/>
  <c r="K336"/>
  <c r="O336" s="1"/>
  <c r="L336"/>
  <c r="M336"/>
  <c r="F336" i="13"/>
  <c r="G336" s="1"/>
  <c r="I336" s="1"/>
  <c r="J337" i="12"/>
  <c r="K337"/>
  <c r="O337" s="1"/>
  <c r="L337"/>
  <c r="M337"/>
  <c r="J337" i="17"/>
  <c r="K337"/>
  <c r="O337" s="1"/>
  <c r="L337"/>
  <c r="M337"/>
  <c r="F337" i="13"/>
  <c r="G337" s="1"/>
  <c r="I337" s="1"/>
  <c r="J338" i="12"/>
  <c r="K338"/>
  <c r="O338" s="1"/>
  <c r="L338"/>
  <c r="M338"/>
  <c r="J338" i="17"/>
  <c r="K338"/>
  <c r="O338" s="1"/>
  <c r="L338"/>
  <c r="M338"/>
  <c r="F338" i="13"/>
  <c r="G338" s="1"/>
  <c r="I338" s="1"/>
  <c r="J339" i="12"/>
  <c r="K339"/>
  <c r="O339" s="1"/>
  <c r="L339"/>
  <c r="M339"/>
  <c r="J339" i="17"/>
  <c r="K339"/>
  <c r="O339" s="1"/>
  <c r="L339"/>
  <c r="M339"/>
  <c r="F339" i="13"/>
  <c r="G339" s="1"/>
  <c r="I339" s="1"/>
  <c r="J340" i="12"/>
  <c r="K340"/>
  <c r="O340" s="1"/>
  <c r="L340"/>
  <c r="M340"/>
  <c r="J340" i="17"/>
  <c r="K340"/>
  <c r="O340" s="1"/>
  <c r="L340"/>
  <c r="M340"/>
  <c r="F340" i="13"/>
  <c r="G340" s="1"/>
  <c r="I340" s="1"/>
  <c r="J341" i="12"/>
  <c r="K341"/>
  <c r="O341" s="1"/>
  <c r="L341"/>
  <c r="M341"/>
  <c r="J341" i="17"/>
  <c r="K341"/>
  <c r="O341" s="1"/>
  <c r="L341"/>
  <c r="M341"/>
  <c r="F341" i="13"/>
  <c r="G341" s="1"/>
  <c r="I341" s="1"/>
  <c r="J342" i="12"/>
  <c r="K342"/>
  <c r="O342" s="1"/>
  <c r="L342"/>
  <c r="M342"/>
  <c r="J342" i="17"/>
  <c r="K342"/>
  <c r="O342" s="1"/>
  <c r="L342"/>
  <c r="M342"/>
  <c r="F342" i="13"/>
  <c r="G342" s="1"/>
  <c r="I342" s="1"/>
  <c r="J343" i="12"/>
  <c r="K343"/>
  <c r="O343" s="1"/>
  <c r="L343"/>
  <c r="M343"/>
  <c r="J343" i="17"/>
  <c r="K343"/>
  <c r="O343" s="1"/>
  <c r="L343"/>
  <c r="M343"/>
  <c r="F343" i="13"/>
  <c r="G343" s="1"/>
  <c r="I343" s="1"/>
  <c r="J344" i="12"/>
  <c r="K344"/>
  <c r="O344" s="1"/>
  <c r="L344"/>
  <c r="M344"/>
  <c r="J344" i="17"/>
  <c r="K344"/>
  <c r="O344" s="1"/>
  <c r="L344"/>
  <c r="M344"/>
  <c r="F344" i="13"/>
  <c r="G344" s="1"/>
  <c r="I344" s="1"/>
  <c r="J345" i="12"/>
  <c r="K345"/>
  <c r="O345" s="1"/>
  <c r="L345"/>
  <c r="M345"/>
  <c r="J345" i="17"/>
  <c r="K345"/>
  <c r="O345" s="1"/>
  <c r="L345"/>
  <c r="M345"/>
  <c r="F345" i="13"/>
  <c r="G345" s="1"/>
  <c r="I345" s="1"/>
  <c r="J346" i="12"/>
  <c r="K346"/>
  <c r="O346" s="1"/>
  <c r="L346"/>
  <c r="M346"/>
  <c r="J346" i="17"/>
  <c r="K346"/>
  <c r="O346" s="1"/>
  <c r="L346"/>
  <c r="M346"/>
  <c r="F346" i="13"/>
  <c r="G346" s="1"/>
  <c r="I346" s="1"/>
  <c r="J347" i="12"/>
  <c r="K347"/>
  <c r="O347" s="1"/>
  <c r="L347"/>
  <c r="M347"/>
  <c r="J347" i="17"/>
  <c r="K347"/>
  <c r="O347" s="1"/>
  <c r="L347"/>
  <c r="M347"/>
  <c r="F347" i="13"/>
  <c r="G347" s="1"/>
  <c r="I347" s="1"/>
  <c r="J348" i="12"/>
  <c r="K348"/>
  <c r="O348" s="1"/>
  <c r="L348"/>
  <c r="M348"/>
  <c r="J348" i="17"/>
  <c r="K348"/>
  <c r="O348" s="1"/>
  <c r="L348"/>
  <c r="M348"/>
  <c r="F348" i="13"/>
  <c r="G348" s="1"/>
  <c r="I348" s="1"/>
  <c r="J349" i="12"/>
  <c r="K349"/>
  <c r="O349" s="1"/>
  <c r="L349"/>
  <c r="M349"/>
  <c r="J349" i="17"/>
  <c r="K349"/>
  <c r="O349" s="1"/>
  <c r="L349"/>
  <c r="M349"/>
  <c r="F349" i="13"/>
  <c r="G349" s="1"/>
  <c r="I349" s="1"/>
  <c r="J350" i="12"/>
  <c r="K350"/>
  <c r="O350" s="1"/>
  <c r="L350"/>
  <c r="M350"/>
  <c r="J350" i="17"/>
  <c r="K350"/>
  <c r="O350" s="1"/>
  <c r="L350"/>
  <c r="M350"/>
  <c r="F350" i="13"/>
  <c r="G350" s="1"/>
  <c r="I350" s="1"/>
  <c r="J351" i="12"/>
  <c r="K351"/>
  <c r="O351" s="1"/>
  <c r="L351"/>
  <c r="M351"/>
  <c r="J351" i="17"/>
  <c r="K351"/>
  <c r="O351" s="1"/>
  <c r="L351"/>
  <c r="M351"/>
  <c r="F351" i="13"/>
  <c r="G351" s="1"/>
  <c r="I351" s="1"/>
  <c r="J352" i="12"/>
  <c r="K352"/>
  <c r="O352" s="1"/>
  <c r="L352"/>
  <c r="M352"/>
  <c r="J352" i="17"/>
  <c r="K352"/>
  <c r="O352" s="1"/>
  <c r="L352"/>
  <c r="M352"/>
  <c r="F352" i="13"/>
  <c r="G352" s="1"/>
  <c r="I352" s="1"/>
  <c r="J353" i="12"/>
  <c r="K353"/>
  <c r="O353" s="1"/>
  <c r="L353"/>
  <c r="M353"/>
  <c r="J353" i="17"/>
  <c r="K353"/>
  <c r="O353" s="1"/>
  <c r="L353"/>
  <c r="M353"/>
  <c r="F353" i="13"/>
  <c r="G353" s="1"/>
  <c r="I353" s="1"/>
  <c r="J354" i="12"/>
  <c r="K354"/>
  <c r="O354" s="1"/>
  <c r="L354"/>
  <c r="M354"/>
  <c r="J354" i="17"/>
  <c r="K354"/>
  <c r="O354" s="1"/>
  <c r="L354"/>
  <c r="M354"/>
  <c r="F354" i="13"/>
  <c r="G354" s="1"/>
  <c r="I354" s="1"/>
  <c r="J355" i="12"/>
  <c r="K355"/>
  <c r="O355" s="1"/>
  <c r="L355"/>
  <c r="M355"/>
  <c r="J355" i="17"/>
  <c r="K355"/>
  <c r="O355" s="1"/>
  <c r="L355"/>
  <c r="M355"/>
  <c r="F355" i="13"/>
  <c r="G355" s="1"/>
  <c r="I355" s="1"/>
  <c r="J356" i="12"/>
  <c r="K356"/>
  <c r="O356" s="1"/>
  <c r="L356"/>
  <c r="M356"/>
  <c r="J356" i="17"/>
  <c r="K356"/>
  <c r="O356" s="1"/>
  <c r="L356"/>
  <c r="M356"/>
  <c r="F356" i="13"/>
  <c r="G356" s="1"/>
  <c r="I356" s="1"/>
  <c r="J357" i="12"/>
  <c r="K357"/>
  <c r="O357" s="1"/>
  <c r="L357"/>
  <c r="M357"/>
  <c r="J357" i="17"/>
  <c r="K357"/>
  <c r="O357" s="1"/>
  <c r="L357"/>
  <c r="M357"/>
  <c r="F357" i="13"/>
  <c r="G357" s="1"/>
  <c r="I357" s="1"/>
  <c r="J358" i="12"/>
  <c r="K358"/>
  <c r="O358" s="1"/>
  <c r="L358"/>
  <c r="M358"/>
  <c r="J358" i="17"/>
  <c r="K358"/>
  <c r="O358" s="1"/>
  <c r="L358"/>
  <c r="M358"/>
  <c r="F358" i="13"/>
  <c r="G358" s="1"/>
  <c r="I358" s="1"/>
  <c r="J359" i="12"/>
  <c r="K359"/>
  <c r="O359" s="1"/>
  <c r="L359"/>
  <c r="M359"/>
  <c r="J359" i="17"/>
  <c r="K359"/>
  <c r="O359" s="1"/>
  <c r="L359"/>
  <c r="M359"/>
  <c r="F359" i="13"/>
  <c r="G359" s="1"/>
  <c r="I359" s="1"/>
  <c r="J360" i="12"/>
  <c r="K360"/>
  <c r="O360" s="1"/>
  <c r="L360"/>
  <c r="M360"/>
  <c r="J360" i="17"/>
  <c r="K360"/>
  <c r="O360" s="1"/>
  <c r="L360"/>
  <c r="M360"/>
  <c r="F360" i="13"/>
  <c r="G360" s="1"/>
  <c r="I360" s="1"/>
  <c r="J361" i="12"/>
  <c r="K361"/>
  <c r="O361" s="1"/>
  <c r="L361"/>
  <c r="M361"/>
  <c r="J361" i="17"/>
  <c r="K361"/>
  <c r="O361" s="1"/>
  <c r="L361"/>
  <c r="M361"/>
  <c r="F361" i="13"/>
  <c r="G361" s="1"/>
  <c r="I361" s="1"/>
  <c r="J362" i="12"/>
  <c r="K362"/>
  <c r="O362" s="1"/>
  <c r="L362"/>
  <c r="M362"/>
  <c r="J362" i="17"/>
  <c r="K362"/>
  <c r="O362" s="1"/>
  <c r="L362"/>
  <c r="M362"/>
  <c r="F362" i="13"/>
  <c r="G362" s="1"/>
  <c r="I362" s="1"/>
  <c r="J363" i="12"/>
  <c r="K363"/>
  <c r="O363" s="1"/>
  <c r="L363"/>
  <c r="M363"/>
  <c r="J363" i="17"/>
  <c r="K363"/>
  <c r="O363" s="1"/>
  <c r="L363"/>
  <c r="M363"/>
  <c r="F363" i="13"/>
  <c r="G363" s="1"/>
  <c r="I363" s="1"/>
  <c r="J364" i="12"/>
  <c r="K364"/>
  <c r="O364" s="1"/>
  <c r="L364"/>
  <c r="M364"/>
  <c r="J364" i="17"/>
  <c r="K364"/>
  <c r="O364" s="1"/>
  <c r="L364"/>
  <c r="M364"/>
  <c r="F364" i="13"/>
  <c r="G364" s="1"/>
  <c r="I364" s="1"/>
  <c r="J365" i="12"/>
  <c r="K365"/>
  <c r="O365" s="1"/>
  <c r="L365"/>
  <c r="M365"/>
  <c r="J365" i="17"/>
  <c r="K365"/>
  <c r="O365" s="1"/>
  <c r="L365"/>
  <c r="M365"/>
  <c r="F365" i="13"/>
  <c r="G365" s="1"/>
  <c r="I365" s="1"/>
  <c r="J366" i="12"/>
  <c r="K366"/>
  <c r="O366" s="1"/>
  <c r="L366"/>
  <c r="M366"/>
  <c r="J366" i="17"/>
  <c r="K366"/>
  <c r="O366" s="1"/>
  <c r="L366"/>
  <c r="M366"/>
  <c r="F366" i="13"/>
  <c r="G366" s="1"/>
  <c r="I366" s="1"/>
  <c r="J367" i="12"/>
  <c r="K367"/>
  <c r="O367" s="1"/>
  <c r="L367"/>
  <c r="M367"/>
  <c r="J367" i="17"/>
  <c r="K367"/>
  <c r="O367" s="1"/>
  <c r="L367"/>
  <c r="M367"/>
  <c r="F367" i="13"/>
  <c r="G367" s="1"/>
  <c r="I367" s="1"/>
  <c r="J368" i="12"/>
  <c r="K368"/>
  <c r="O368" s="1"/>
  <c r="L368"/>
  <c r="M368"/>
  <c r="J368" i="17"/>
  <c r="K368"/>
  <c r="O368" s="1"/>
  <c r="L368"/>
  <c r="M368"/>
  <c r="F368" i="13"/>
  <c r="G368" s="1"/>
  <c r="I368" s="1"/>
  <c r="J369" i="12"/>
  <c r="K369"/>
  <c r="O369" s="1"/>
  <c r="L369"/>
  <c r="M369"/>
  <c r="J369" i="17"/>
  <c r="K369"/>
  <c r="O369" s="1"/>
  <c r="L369"/>
  <c r="M369"/>
  <c r="F369" i="13"/>
  <c r="G369" s="1"/>
  <c r="I369" s="1"/>
  <c r="J370" i="12"/>
  <c r="K370"/>
  <c r="O370" s="1"/>
  <c r="L370"/>
  <c r="M370"/>
  <c r="J370" i="17"/>
  <c r="K370"/>
  <c r="O370" s="1"/>
  <c r="L370"/>
  <c r="M370"/>
  <c r="F370" i="13"/>
  <c r="G370" s="1"/>
  <c r="I370" s="1"/>
  <c r="J371" i="12"/>
  <c r="K371"/>
  <c r="O371" s="1"/>
  <c r="L371"/>
  <c r="M371"/>
  <c r="J371" i="17"/>
  <c r="K371"/>
  <c r="O371" s="1"/>
  <c r="L371"/>
  <c r="M371"/>
  <c r="F371" i="13"/>
  <c r="G371" s="1"/>
  <c r="I371" s="1"/>
  <c r="J372" i="12"/>
  <c r="K372"/>
  <c r="O372" s="1"/>
  <c r="L372"/>
  <c r="M372"/>
  <c r="J372" i="17"/>
  <c r="K372"/>
  <c r="O372" s="1"/>
  <c r="L372"/>
  <c r="M372"/>
  <c r="F372" i="13"/>
  <c r="G372" s="1"/>
  <c r="I372" s="1"/>
  <c r="J373" i="12"/>
  <c r="K373"/>
  <c r="O373" s="1"/>
  <c r="L373"/>
  <c r="M373"/>
  <c r="J373" i="17"/>
  <c r="K373"/>
  <c r="O373" s="1"/>
  <c r="L373"/>
  <c r="M373"/>
  <c r="F373" i="13"/>
  <c r="G373" s="1"/>
  <c r="I373" s="1"/>
  <c r="J374" i="12"/>
  <c r="K374"/>
  <c r="O374" s="1"/>
  <c r="L374"/>
  <c r="M374"/>
  <c r="J374" i="17"/>
  <c r="K374"/>
  <c r="O374" s="1"/>
  <c r="L374"/>
  <c r="M374"/>
  <c r="F374" i="13"/>
  <c r="G374" s="1"/>
  <c r="I374" s="1"/>
  <c r="J375" i="12"/>
  <c r="K375"/>
  <c r="O375" s="1"/>
  <c r="L375"/>
  <c r="M375"/>
  <c r="J375" i="17"/>
  <c r="K375"/>
  <c r="O375" s="1"/>
  <c r="L375"/>
  <c r="M375"/>
  <c r="F375" i="13"/>
  <c r="G375" s="1"/>
  <c r="I375" s="1"/>
  <c r="J376" i="12"/>
  <c r="K376"/>
  <c r="O376" s="1"/>
  <c r="L376"/>
  <c r="M376"/>
  <c r="J376" i="17"/>
  <c r="K376"/>
  <c r="O376" s="1"/>
  <c r="L376"/>
  <c r="M376"/>
  <c r="F376" i="13"/>
  <c r="G376" s="1"/>
  <c r="I376" s="1"/>
  <c r="J377" i="12"/>
  <c r="K377"/>
  <c r="O377" s="1"/>
  <c r="L377"/>
  <c r="M377"/>
  <c r="J377" i="17"/>
  <c r="K377"/>
  <c r="O377" s="1"/>
  <c r="L377"/>
  <c r="M377"/>
  <c r="F377" i="13"/>
  <c r="G377" s="1"/>
  <c r="I377" s="1"/>
  <c r="J378" i="12"/>
  <c r="K378"/>
  <c r="O378" s="1"/>
  <c r="L378"/>
  <c r="M378"/>
  <c r="J378" i="17"/>
  <c r="K378"/>
  <c r="O378" s="1"/>
  <c r="L378"/>
  <c r="M378"/>
  <c r="F378" i="13"/>
  <c r="G378" s="1"/>
  <c r="I378" s="1"/>
  <c r="J379" i="12"/>
  <c r="K379"/>
  <c r="O379" s="1"/>
  <c r="L379"/>
  <c r="M379"/>
  <c r="J379" i="17"/>
  <c r="K379"/>
  <c r="O379" s="1"/>
  <c r="L379"/>
  <c r="M379"/>
  <c r="F379" i="13"/>
  <c r="G379" s="1"/>
  <c r="I379" s="1"/>
  <c r="J380" i="17"/>
  <c r="K380"/>
  <c r="O380"/>
  <c r="L380"/>
  <c r="M380"/>
  <c r="C380" i="13"/>
  <c r="F380"/>
  <c r="G380" s="1"/>
  <c r="I380" s="1"/>
  <c r="J381" i="17"/>
  <c r="K381"/>
  <c r="O381"/>
  <c r="L381"/>
  <c r="M381"/>
  <c r="F381" i="13"/>
  <c r="G381" s="1"/>
  <c r="I381" s="1"/>
  <c r="J382" i="17"/>
  <c r="K382"/>
  <c r="O382"/>
  <c r="L382"/>
  <c r="M382"/>
  <c r="F382" i="13"/>
  <c r="G382" s="1"/>
  <c r="I382" s="1"/>
  <c r="J383" i="17"/>
  <c r="K383"/>
  <c r="O383"/>
  <c r="L383"/>
  <c r="M383"/>
  <c r="F383" i="13"/>
  <c r="G383" s="1"/>
  <c r="I383" s="1"/>
  <c r="F537"/>
  <c r="G537" s="1"/>
  <c r="I537" s="1"/>
  <c r="F538"/>
  <c r="G538" s="1"/>
  <c r="I538" s="1"/>
  <c r="F539"/>
  <c r="G539" s="1"/>
  <c r="I539" s="1"/>
  <c r="F540"/>
  <c r="G540" s="1"/>
  <c r="I540" s="1"/>
  <c r="F541"/>
  <c r="G541" s="1"/>
  <c r="I541" s="1"/>
  <c r="F542"/>
  <c r="G542" s="1"/>
  <c r="I542" s="1"/>
  <c r="F543"/>
  <c r="G543" s="1"/>
  <c r="I543" s="1"/>
  <c r="F544"/>
  <c r="G544" s="1"/>
  <c r="I544" s="1"/>
  <c r="F545"/>
  <c r="G545" s="1"/>
  <c r="I545" s="1"/>
  <c r="F546"/>
  <c r="G546" s="1"/>
  <c r="I546" s="1"/>
  <c r="F547"/>
  <c r="G547" s="1"/>
  <c r="I547" s="1"/>
  <c r="F548"/>
  <c r="G548" s="1"/>
  <c r="I548" s="1"/>
  <c r="F549"/>
  <c r="G549" s="1"/>
  <c r="I549" s="1"/>
  <c r="F550"/>
  <c r="G550" s="1"/>
  <c r="I550" s="1"/>
  <c r="F551"/>
  <c r="G551" s="1"/>
  <c r="I551" s="1"/>
  <c r="F552"/>
  <c r="G552" s="1"/>
  <c r="I552" s="1"/>
  <c r="F553"/>
  <c r="G553" s="1"/>
  <c r="I553" s="1"/>
  <c r="F554"/>
  <c r="G554" s="1"/>
  <c r="I554" s="1"/>
  <c r="F555"/>
  <c r="G555" s="1"/>
  <c r="I555" s="1"/>
  <c r="F557"/>
  <c r="G557" s="1"/>
  <c r="I557" s="1"/>
  <c r="F558"/>
  <c r="G558" s="1"/>
  <c r="I558" s="1"/>
  <c r="F559"/>
  <c r="G559" s="1"/>
  <c r="I559" s="1"/>
  <c r="F560"/>
  <c r="G560" s="1"/>
  <c r="I560" s="1"/>
  <c r="F561"/>
  <c r="G561" s="1"/>
  <c r="I561" s="1"/>
  <c r="F562"/>
  <c r="G562" s="1"/>
  <c r="I562" s="1"/>
  <c r="F563"/>
  <c r="G563" s="1"/>
  <c r="I563" s="1"/>
  <c r="F566"/>
  <c r="G566" s="1"/>
  <c r="I566" s="1"/>
  <c r="F573"/>
  <c r="G573" s="1"/>
  <c r="I573" s="1"/>
  <c r="F574"/>
  <c r="G574" s="1"/>
  <c r="I574" s="1"/>
  <c r="F575"/>
  <c r="G575" s="1"/>
  <c r="I575" s="1"/>
  <c r="F576"/>
  <c r="G576" s="1"/>
  <c r="I576" s="1"/>
  <c r="F577"/>
  <c r="G577" s="1"/>
  <c r="I577" s="1"/>
  <c r="F578"/>
  <c r="G578" s="1"/>
  <c r="I578" s="1"/>
  <c r="F579"/>
  <c r="G579" s="1"/>
  <c r="I579" s="1"/>
  <c r="F580"/>
  <c r="G580" s="1"/>
  <c r="I580" s="1"/>
  <c r="F582"/>
  <c r="G582" s="1"/>
  <c r="I582" s="1"/>
  <c r="F583"/>
  <c r="G583" s="1"/>
  <c r="I583" s="1"/>
  <c r="F585"/>
  <c r="G585" s="1"/>
  <c r="I585" s="1"/>
  <c r="F587"/>
  <c r="G587" s="1"/>
  <c r="I587" s="1"/>
  <c r="F588"/>
  <c r="G588" s="1"/>
  <c r="I588" s="1"/>
  <c r="F589"/>
  <c r="G589" s="1"/>
  <c r="I589" s="1"/>
  <c r="F590"/>
  <c r="G590" s="1"/>
  <c r="I590" s="1"/>
  <c r="F592"/>
  <c r="G592" s="1"/>
  <c r="I592" s="1"/>
  <c r="F593"/>
  <c r="G593" s="1"/>
  <c r="I593" s="1"/>
  <c r="F594"/>
  <c r="G594" s="1"/>
  <c r="I594" s="1"/>
  <c r="F595"/>
  <c r="G595" s="1"/>
  <c r="I595" s="1"/>
  <c r="F596"/>
  <c r="G596" s="1"/>
  <c r="I596" s="1"/>
  <c r="F597"/>
  <c r="G597" s="1"/>
  <c r="I597" s="1"/>
  <c r="F598"/>
  <c r="G598" s="1"/>
  <c r="I598" s="1"/>
  <c r="F599"/>
  <c r="G599" s="1"/>
  <c r="I599" s="1"/>
  <c r="F600"/>
  <c r="G600" s="1"/>
  <c r="I600" s="1"/>
  <c r="F601"/>
  <c r="G601" s="1"/>
  <c r="I601" s="1"/>
  <c r="F602"/>
  <c r="G602" s="1"/>
  <c r="I602" s="1"/>
  <c r="F603"/>
  <c r="G603" s="1"/>
  <c r="I603" s="1"/>
  <c r="F604"/>
  <c r="G604" s="1"/>
  <c r="I604" s="1"/>
  <c r="F605"/>
  <c r="G605" s="1"/>
  <c r="I605" s="1"/>
  <c r="F606"/>
  <c r="G606" s="1"/>
  <c r="I606" s="1"/>
  <c r="F607"/>
  <c r="G607" s="1"/>
  <c r="I607" s="1"/>
  <c r="F608"/>
  <c r="G608" s="1"/>
  <c r="I608" s="1"/>
  <c r="F609"/>
  <c r="G609" s="1"/>
  <c r="I609" s="1"/>
  <c r="F610"/>
  <c r="G610" s="1"/>
  <c r="I610" s="1"/>
  <c r="F611"/>
  <c r="G611" s="1"/>
  <c r="I611" s="1"/>
  <c r="F612"/>
  <c r="G612" s="1"/>
  <c r="I612" s="1"/>
  <c r="F613"/>
  <c r="G613" s="1"/>
  <c r="I613" s="1"/>
  <c r="F614"/>
  <c r="G614" s="1"/>
  <c r="I614" s="1"/>
  <c r="F615"/>
  <c r="G615" s="1"/>
  <c r="I615" s="1"/>
  <c r="F616"/>
  <c r="G616" s="1"/>
  <c r="I616" s="1"/>
  <c r="F617"/>
  <c r="G617" s="1"/>
  <c r="I617" s="1"/>
  <c r="F618"/>
  <c r="G618" s="1"/>
  <c r="I618" s="1"/>
  <c r="F619"/>
  <c r="G619" s="1"/>
  <c r="I619" s="1"/>
  <c r="F620"/>
  <c r="G620" s="1"/>
  <c r="I620" s="1"/>
  <c r="F621"/>
  <c r="G621" s="1"/>
  <c r="I621" s="1"/>
  <c r="F622"/>
  <c r="G622" s="1"/>
  <c r="I622" s="1"/>
  <c r="F623"/>
  <c r="G623" s="1"/>
  <c r="I623" s="1"/>
  <c r="F624"/>
  <c r="G624" s="1"/>
  <c r="I624" s="1"/>
  <c r="F625"/>
  <c r="G625" s="1"/>
  <c r="I625" s="1"/>
  <c r="F626"/>
  <c r="G626" s="1"/>
  <c r="I626" s="1"/>
  <c r="F627"/>
  <c r="G627" s="1"/>
  <c r="I627" s="1"/>
  <c r="F628"/>
  <c r="G628" s="1"/>
  <c r="I628" s="1"/>
  <c r="F629"/>
  <c r="G629" s="1"/>
  <c r="I629" s="1"/>
  <c r="F630"/>
  <c r="G630" s="1"/>
  <c r="I630" s="1"/>
  <c r="F631"/>
  <c r="G631" s="1"/>
  <c r="I631" s="1"/>
  <c r="F632"/>
  <c r="G632" s="1"/>
  <c r="I632" s="1"/>
  <c r="F633"/>
  <c r="G633" s="1"/>
  <c r="I633" s="1"/>
  <c r="F634"/>
  <c r="G634" s="1"/>
  <c r="I634" s="1"/>
  <c r="F635"/>
  <c r="G635" s="1"/>
  <c r="I635" s="1"/>
  <c r="F636"/>
  <c r="G636" s="1"/>
  <c r="I636" s="1"/>
  <c r="F637"/>
  <c r="G637" s="1"/>
  <c r="I637" s="1"/>
  <c r="F638"/>
  <c r="G638" s="1"/>
  <c r="I638" s="1"/>
  <c r="F639"/>
  <c r="G639" s="1"/>
  <c r="I639" s="1"/>
  <c r="F640"/>
  <c r="G640" s="1"/>
  <c r="I640" s="1"/>
  <c r="F641"/>
  <c r="G641" s="1"/>
  <c r="I641" s="1"/>
  <c r="F642"/>
  <c r="G642" s="1"/>
  <c r="I642" s="1"/>
  <c r="F643"/>
  <c r="G643" s="1"/>
  <c r="I643" s="1"/>
  <c r="F644"/>
  <c r="G644" s="1"/>
  <c r="I644" s="1"/>
  <c r="F645"/>
  <c r="G645" s="1"/>
  <c r="I645" s="1"/>
  <c r="F646"/>
  <c r="G646" s="1"/>
  <c r="I646" s="1"/>
  <c r="F647"/>
  <c r="G647" s="1"/>
  <c r="I647" s="1"/>
  <c r="F648"/>
  <c r="G648" s="1"/>
  <c r="I648" s="1"/>
  <c r="F649"/>
  <c r="G649" s="1"/>
  <c r="I649" s="1"/>
  <c r="F650"/>
  <c r="G650" s="1"/>
  <c r="I650" s="1"/>
  <c r="F651"/>
  <c r="G651" s="1"/>
  <c r="I651" s="1"/>
  <c r="F652"/>
  <c r="G652" s="1"/>
  <c r="I652" s="1"/>
  <c r="F653"/>
  <c r="G653" s="1"/>
  <c r="I653" s="1"/>
  <c r="F654"/>
  <c r="G654" s="1"/>
  <c r="I654" s="1"/>
  <c r="F655"/>
  <c r="G655" s="1"/>
  <c r="I655" s="1"/>
  <c r="F656"/>
  <c r="G656" s="1"/>
  <c r="I656" s="1"/>
  <c r="F657"/>
  <c r="G657" s="1"/>
  <c r="I657" s="1"/>
  <c r="F658"/>
  <c r="G658" s="1"/>
  <c r="I658" s="1"/>
  <c r="F659"/>
  <c r="G659" s="1"/>
  <c r="I659" s="1"/>
  <c r="F660"/>
  <c r="G660" s="1"/>
  <c r="I660" s="1"/>
  <c r="F661"/>
  <c r="G661" s="1"/>
  <c r="I661" s="1"/>
  <c r="F662"/>
  <c r="G662" s="1"/>
  <c r="I662" s="1"/>
  <c r="F663"/>
  <c r="G663" s="1"/>
  <c r="I663" s="1"/>
  <c r="F664"/>
  <c r="G664" s="1"/>
  <c r="I664" s="1"/>
  <c r="F665"/>
  <c r="G665" s="1"/>
  <c r="I665" s="1"/>
  <c r="F666"/>
  <c r="G666" s="1"/>
  <c r="I666" s="1"/>
  <c r="F667"/>
  <c r="G667" s="1"/>
  <c r="I667" s="1"/>
  <c r="F668"/>
  <c r="G668" s="1"/>
  <c r="I668" s="1"/>
  <c r="F669"/>
  <c r="G669" s="1"/>
  <c r="I669" s="1"/>
  <c r="F670"/>
  <c r="G670" s="1"/>
  <c r="I670" s="1"/>
  <c r="F671"/>
  <c r="G671" s="1"/>
  <c r="I671" s="1"/>
  <c r="F672"/>
  <c r="G672" s="1"/>
  <c r="I672" s="1"/>
  <c r="F673"/>
  <c r="G673" s="1"/>
  <c r="I673" s="1"/>
  <c r="F674"/>
  <c r="G674" s="1"/>
  <c r="I674" s="1"/>
  <c r="F675"/>
  <c r="G675" s="1"/>
  <c r="I675" s="1"/>
  <c r="F676"/>
  <c r="G676" s="1"/>
  <c r="I676" s="1"/>
  <c r="F677"/>
  <c r="G677" s="1"/>
  <c r="I677" s="1"/>
  <c r="F678"/>
  <c r="G678" s="1"/>
  <c r="I678" s="1"/>
  <c r="F679"/>
  <c r="G679" s="1"/>
  <c r="I679" s="1"/>
  <c r="F680"/>
  <c r="G680" s="1"/>
  <c r="I680" s="1"/>
  <c r="F681"/>
  <c r="G681" s="1"/>
  <c r="I681" s="1"/>
  <c r="F682"/>
  <c r="G682" s="1"/>
  <c r="I682" s="1"/>
  <c r="F683"/>
  <c r="G683" s="1"/>
  <c r="I683" s="1"/>
  <c r="F684"/>
  <c r="G684" s="1"/>
  <c r="I684" s="1"/>
  <c r="F685"/>
  <c r="G685" s="1"/>
  <c r="I685" s="1"/>
  <c r="F686"/>
  <c r="G686" s="1"/>
  <c r="I686" s="1"/>
  <c r="F687"/>
  <c r="G687" s="1"/>
  <c r="I687" s="1"/>
  <c r="F688"/>
  <c r="G688" s="1"/>
  <c r="I688" s="1"/>
  <c r="F690"/>
  <c r="G690" s="1"/>
  <c r="I690" s="1"/>
  <c r="F691"/>
  <c r="G691" s="1"/>
  <c r="I691" s="1"/>
  <c r="F692"/>
  <c r="G692" s="1"/>
  <c r="I692" s="1"/>
  <c r="F693"/>
  <c r="G693" s="1"/>
  <c r="I693" s="1"/>
  <c r="F694"/>
  <c r="G694" s="1"/>
  <c r="I694" s="1"/>
  <c r="F695"/>
  <c r="G695" s="1"/>
  <c r="I695" s="1"/>
  <c r="F696"/>
  <c r="G696" s="1"/>
  <c r="I696" s="1"/>
  <c r="F697"/>
  <c r="G697" s="1"/>
  <c r="I697" s="1"/>
  <c r="F698"/>
  <c r="G698" s="1"/>
  <c r="I698" s="1"/>
  <c r="F699"/>
  <c r="G699" s="1"/>
  <c r="I699" s="1"/>
  <c r="F700"/>
  <c r="G700" s="1"/>
  <c r="I700" s="1"/>
  <c r="F701"/>
  <c r="G701" s="1"/>
  <c r="I701" s="1"/>
  <c r="F702"/>
  <c r="G702" s="1"/>
  <c r="I702" s="1"/>
  <c r="F703"/>
  <c r="G703" s="1"/>
  <c r="I703" s="1"/>
  <c r="F706"/>
  <c r="G706" s="1"/>
  <c r="I706" s="1"/>
  <c r="F707"/>
  <c r="G707" s="1"/>
  <c r="I707" s="1"/>
  <c r="F708"/>
  <c r="G708" s="1"/>
  <c r="I708" s="1"/>
  <c r="F709"/>
  <c r="G709" s="1"/>
  <c r="I709" s="1"/>
  <c r="F710"/>
  <c r="G710" s="1"/>
  <c r="I710" s="1"/>
  <c r="F711"/>
  <c r="G711" s="1"/>
  <c r="I711" s="1"/>
  <c r="F712"/>
  <c r="G712" s="1"/>
  <c r="I712" s="1"/>
  <c r="F713"/>
  <c r="G713" s="1"/>
  <c r="I713" s="1"/>
  <c r="F714"/>
  <c r="G714" s="1"/>
  <c r="I714" s="1"/>
  <c r="F715"/>
  <c r="G715" s="1"/>
  <c r="I715" s="1"/>
  <c r="F716"/>
  <c r="G716" s="1"/>
  <c r="I716" s="1"/>
  <c r="F717"/>
  <c r="G717" s="1"/>
  <c r="I717" s="1"/>
  <c r="F718"/>
  <c r="G718" s="1"/>
  <c r="I718" s="1"/>
  <c r="F719"/>
  <c r="G719" s="1"/>
  <c r="I719" s="1"/>
  <c r="F720"/>
  <c r="G720" s="1"/>
  <c r="I720" s="1"/>
  <c r="F721"/>
  <c r="G721" s="1"/>
  <c r="I721" s="1"/>
  <c r="F722"/>
  <c r="G722" s="1"/>
  <c r="I722" s="1"/>
  <c r="F723"/>
  <c r="G723" s="1"/>
  <c r="I723" s="1"/>
  <c r="F724"/>
  <c r="G724" s="1"/>
  <c r="I724" s="1"/>
  <c r="F725"/>
  <c r="G725" s="1"/>
  <c r="I725" s="1"/>
  <c r="F726"/>
  <c r="G726" s="1"/>
  <c r="I726" s="1"/>
  <c r="F727"/>
  <c r="G727" s="1"/>
  <c r="I727" s="1"/>
  <c r="F728"/>
  <c r="G728" s="1"/>
  <c r="I728" s="1"/>
  <c r="F729"/>
  <c r="G729" s="1"/>
  <c r="I729" s="1"/>
  <c r="F730"/>
  <c r="G730" s="1"/>
  <c r="I730" s="1"/>
  <c r="F731"/>
  <c r="G731" s="1"/>
  <c r="I731" s="1"/>
  <c r="F732"/>
  <c r="G732" s="1"/>
  <c r="I732" s="1"/>
  <c r="F733"/>
  <c r="G733" s="1"/>
  <c r="I733" s="1"/>
  <c r="F734"/>
  <c r="G734" s="1"/>
  <c r="I734" s="1"/>
  <c r="F735"/>
  <c r="G735" s="1"/>
  <c r="I735" s="1"/>
  <c r="F736"/>
  <c r="G736" s="1"/>
  <c r="I736" s="1"/>
  <c r="F737"/>
  <c r="G737" s="1"/>
  <c r="I737" s="1"/>
  <c r="F738"/>
  <c r="G738" s="1"/>
  <c r="I738" s="1"/>
  <c r="F739"/>
  <c r="G739" s="1"/>
  <c r="I739" s="1"/>
  <c r="F740"/>
  <c r="G740" s="1"/>
  <c r="I740" s="1"/>
  <c r="F741"/>
  <c r="G741" s="1"/>
  <c r="I741" s="1"/>
  <c r="F742"/>
  <c r="G742" s="1"/>
  <c r="I742" s="1"/>
  <c r="F743"/>
  <c r="G743" s="1"/>
  <c r="I743" s="1"/>
  <c r="F744"/>
  <c r="G744" s="1"/>
  <c r="I744" s="1"/>
  <c r="F745"/>
  <c r="G745" s="1"/>
  <c r="I745" s="1"/>
  <c r="J749" i="12"/>
  <c r="F749" i="13"/>
  <c r="G749" s="1"/>
  <c r="I749" s="1"/>
  <c r="J750" i="12"/>
  <c r="K750" s="1"/>
  <c r="J750" i="17"/>
  <c r="K750" s="1"/>
  <c r="F750" i="13"/>
  <c r="G750" s="1"/>
  <c r="I750" s="1"/>
  <c r="J751" i="12"/>
  <c r="K751" s="1"/>
  <c r="J751" i="17"/>
  <c r="K751" s="1"/>
  <c r="F751" i="13"/>
  <c r="G751" s="1"/>
  <c r="I751" s="1"/>
  <c r="J752" i="12"/>
  <c r="K752" s="1"/>
  <c r="J752" i="17"/>
  <c r="K752" s="1"/>
  <c r="F752" i="13"/>
  <c r="G752" s="1"/>
  <c r="I752" s="1"/>
  <c r="J753" i="12"/>
  <c r="K753" s="1"/>
  <c r="J753" i="17"/>
  <c r="K753" s="1"/>
  <c r="J754" i="12"/>
  <c r="K754" s="1"/>
  <c r="J754" i="17"/>
  <c r="K754" s="1"/>
  <c r="F754" i="13"/>
  <c r="G754" s="1"/>
  <c r="I754" s="1"/>
  <c r="J755" i="12"/>
  <c r="K755" s="1"/>
  <c r="J755" i="17"/>
  <c r="K755" s="1"/>
  <c r="J756" i="12"/>
  <c r="K756" s="1"/>
  <c r="J756" i="17"/>
  <c r="K756" s="1"/>
  <c r="J757" i="12"/>
  <c r="K757" s="1"/>
  <c r="J757" i="17"/>
  <c r="K757" s="1"/>
  <c r="F757" i="13"/>
  <c r="G757" s="1"/>
  <c r="I757" s="1"/>
  <c r="J758" i="12"/>
  <c r="K758" s="1"/>
  <c r="J758" i="17"/>
  <c r="K758" s="1"/>
  <c r="F758" i="13"/>
  <c r="G758" s="1"/>
  <c r="I758" s="1"/>
  <c r="J759" i="12"/>
  <c r="K759" s="1"/>
  <c r="J759" i="17"/>
  <c r="K759" s="1"/>
  <c r="F759" i="13"/>
  <c r="G759" s="1"/>
  <c r="I759" s="1"/>
  <c r="J760" i="12"/>
  <c r="K760" s="1"/>
  <c r="J760" i="17"/>
  <c r="K760" s="1"/>
  <c r="F760" i="13"/>
  <c r="G760" s="1"/>
  <c r="I760" s="1"/>
  <c r="J761" i="12"/>
  <c r="K761" s="1"/>
  <c r="J761" i="17"/>
  <c r="K761" s="1"/>
  <c r="F761" i="13"/>
  <c r="G761" s="1"/>
  <c r="I761" s="1"/>
  <c r="J762" i="12"/>
  <c r="K762" s="1"/>
  <c r="J762" i="17"/>
  <c r="K762" s="1"/>
  <c r="F762" i="13"/>
  <c r="G762" s="1"/>
  <c r="I762" s="1"/>
  <c r="J763" i="12"/>
  <c r="K763" s="1"/>
  <c r="J763" i="17"/>
  <c r="K763" s="1"/>
  <c r="F763" i="13"/>
  <c r="G763" s="1"/>
  <c r="I763" s="1"/>
  <c r="J764" i="12"/>
  <c r="K764" s="1"/>
  <c r="J764" i="17"/>
  <c r="K764" s="1"/>
  <c r="F764" i="13"/>
  <c r="G764" s="1"/>
  <c r="I764" s="1"/>
  <c r="J765" i="12"/>
  <c r="K765" s="1"/>
  <c r="J765" i="17"/>
  <c r="K765" s="1"/>
  <c r="F765" i="13"/>
  <c r="G765" s="1"/>
  <c r="I765" s="1"/>
  <c r="J766" i="12"/>
  <c r="K766" s="1"/>
  <c r="J766" i="17"/>
  <c r="K766" s="1"/>
  <c r="F766" i="13"/>
  <c r="G766" s="1"/>
  <c r="I766" s="1"/>
  <c r="J767" i="12"/>
  <c r="K767" s="1"/>
  <c r="J767" i="17"/>
  <c r="K767" s="1"/>
  <c r="F767" i="13"/>
  <c r="G767" s="1"/>
  <c r="I767" s="1"/>
  <c r="J768" i="12"/>
  <c r="K768" s="1"/>
  <c r="J768" i="17"/>
  <c r="K768" s="1"/>
  <c r="F768" i="13"/>
  <c r="G768" s="1"/>
  <c r="I768" s="1"/>
  <c r="J769" i="12"/>
  <c r="K769" s="1"/>
  <c r="J769" i="17"/>
  <c r="K769" s="1"/>
  <c r="F769" i="13"/>
  <c r="G769" s="1"/>
  <c r="I769" s="1"/>
  <c r="J770" i="12"/>
  <c r="K770" s="1"/>
  <c r="J770" i="17"/>
  <c r="K770" s="1"/>
  <c r="F770" i="13"/>
  <c r="G770" s="1"/>
  <c r="I770" s="1"/>
  <c r="J771" i="12"/>
  <c r="K771" s="1"/>
  <c r="J771" i="17"/>
  <c r="K771" s="1"/>
  <c r="F771" i="13"/>
  <c r="G771" s="1"/>
  <c r="I771" s="1"/>
  <c r="J772" i="12"/>
  <c r="K772" s="1"/>
  <c r="J772" i="17"/>
  <c r="K772" s="1"/>
  <c r="F772" i="13"/>
  <c r="G772" s="1"/>
  <c r="I772" s="1"/>
  <c r="J773" i="12"/>
  <c r="K773" s="1"/>
  <c r="J773" i="17"/>
  <c r="K773" s="1"/>
  <c r="F773" i="13"/>
  <c r="G773" s="1"/>
  <c r="I773" s="1"/>
  <c r="J774" i="12"/>
  <c r="K774" s="1"/>
  <c r="J774" i="17"/>
  <c r="K774" s="1"/>
  <c r="F774" i="13"/>
  <c r="G774" s="1"/>
  <c r="I774" s="1"/>
  <c r="J775" i="12"/>
  <c r="K775" s="1"/>
  <c r="J775" i="17"/>
  <c r="K775" s="1"/>
  <c r="F775" i="13"/>
  <c r="G775" s="1"/>
  <c r="I775" s="1"/>
  <c r="J776" i="12"/>
  <c r="K776" s="1"/>
  <c r="J776" i="17"/>
  <c r="K776" s="1"/>
  <c r="F776" i="13"/>
  <c r="G776" s="1"/>
  <c r="I776" s="1"/>
  <c r="J777" i="12"/>
  <c r="K777" s="1"/>
  <c r="J777" i="17"/>
  <c r="K777" s="1"/>
  <c r="F777" i="13"/>
  <c r="G777" s="1"/>
  <c r="I777" s="1"/>
  <c r="J778" i="12"/>
  <c r="K778" s="1"/>
  <c r="J778" i="17"/>
  <c r="K778" s="1"/>
  <c r="F778" i="13"/>
  <c r="G778" s="1"/>
  <c r="I778" s="1"/>
  <c r="J779" i="12"/>
  <c r="K779" s="1"/>
  <c r="J779" i="17"/>
  <c r="K779" s="1"/>
  <c r="F779" i="13"/>
  <c r="G779" s="1"/>
  <c r="I779" s="1"/>
  <c r="J780" i="12"/>
  <c r="K780" s="1"/>
  <c r="J780" i="17"/>
  <c r="K780" s="1"/>
  <c r="F780" i="13"/>
  <c r="G780" s="1"/>
  <c r="I780" s="1"/>
  <c r="J781" i="12"/>
  <c r="K781" s="1"/>
  <c r="J781" i="17"/>
  <c r="K781" s="1"/>
  <c r="F781" i="13"/>
  <c r="G781" s="1"/>
  <c r="I781" s="1"/>
  <c r="J782" i="12"/>
  <c r="K782" s="1"/>
  <c r="J782" i="17"/>
  <c r="K782" s="1"/>
  <c r="F782" i="13"/>
  <c r="G782" s="1"/>
  <c r="I782" s="1"/>
  <c r="J783" i="12"/>
  <c r="K783" s="1"/>
  <c r="J783" i="17"/>
  <c r="K783" s="1"/>
  <c r="F783" i="13"/>
  <c r="G783" s="1"/>
  <c r="I783" s="1"/>
  <c r="J784" i="12"/>
  <c r="K784" s="1"/>
  <c r="J784" i="17"/>
  <c r="K784" s="1"/>
  <c r="F784" i="13"/>
  <c r="G784" s="1"/>
  <c r="I784" s="1"/>
  <c r="J785" i="12"/>
  <c r="K785" s="1"/>
  <c r="J785" i="17"/>
  <c r="K785" s="1"/>
  <c r="F785" i="13"/>
  <c r="G785" s="1"/>
  <c r="I785" s="1"/>
  <c r="J786" i="12"/>
  <c r="K786" s="1"/>
  <c r="J786" i="17"/>
  <c r="K786" s="1"/>
  <c r="F786" i="13"/>
  <c r="G786" s="1"/>
  <c r="I786" s="1"/>
  <c r="J787" i="12"/>
  <c r="K787" s="1"/>
  <c r="J787" i="17"/>
  <c r="K787" s="1"/>
  <c r="F787" i="13"/>
  <c r="G787" s="1"/>
  <c r="I787" s="1"/>
  <c r="J788" i="12"/>
  <c r="K788" s="1"/>
  <c r="J788" i="17"/>
  <c r="K788" s="1"/>
  <c r="F788" i="13"/>
  <c r="G788" s="1"/>
  <c r="I788" s="1"/>
  <c r="J789" i="12"/>
  <c r="K789" s="1"/>
  <c r="J789" i="17"/>
  <c r="K789" s="1"/>
  <c r="F789" i="13"/>
  <c r="G789" s="1"/>
  <c r="I789" s="1"/>
  <c r="J790" i="12"/>
  <c r="K790" s="1"/>
  <c r="J790" i="17"/>
  <c r="K790" s="1"/>
  <c r="F790" i="13"/>
  <c r="G790" s="1"/>
  <c r="I790" s="1"/>
  <c r="J791" i="12"/>
  <c r="K791" s="1"/>
  <c r="J791" i="17"/>
  <c r="K791" s="1"/>
  <c r="F791" i="13"/>
  <c r="G791" s="1"/>
  <c r="I791" s="1"/>
  <c r="J794" i="12"/>
  <c r="K794" s="1"/>
  <c r="J794" i="17"/>
  <c r="K794" s="1"/>
  <c r="F794" i="13"/>
  <c r="G794" s="1"/>
  <c r="I794" s="1"/>
  <c r="J795" i="12"/>
  <c r="K795" s="1"/>
  <c r="J795" i="17"/>
  <c r="K795" s="1"/>
  <c r="F795" i="13"/>
  <c r="G795" s="1"/>
  <c r="I795" s="1"/>
  <c r="J796" i="12"/>
  <c r="K796" s="1"/>
  <c r="J796" i="17"/>
  <c r="K796" s="1"/>
  <c r="F796" i="13"/>
  <c r="G796" s="1"/>
  <c r="I796" s="1"/>
  <c r="J797" i="12"/>
  <c r="K797" s="1"/>
  <c r="J797" i="17"/>
  <c r="K797" s="1"/>
  <c r="F797" i="13"/>
  <c r="G797" s="1"/>
  <c r="I797" s="1"/>
  <c r="J798" i="12"/>
  <c r="K798" s="1"/>
  <c r="J798" i="17"/>
  <c r="K798" s="1"/>
  <c r="F798" i="13"/>
  <c r="G798" s="1"/>
  <c r="I798" s="1"/>
  <c r="J799" i="12"/>
  <c r="K799" s="1"/>
  <c r="J799" i="17"/>
  <c r="K799" s="1"/>
  <c r="F799" i="13"/>
  <c r="G799" s="1"/>
  <c r="I799" s="1"/>
  <c r="J800" i="12"/>
  <c r="K800" s="1"/>
  <c r="J800" i="17"/>
  <c r="K800" s="1"/>
  <c r="F800" i="13"/>
  <c r="G800" s="1"/>
  <c r="I800" s="1"/>
  <c r="J801" i="12"/>
  <c r="K801" s="1"/>
  <c r="J801" i="17"/>
  <c r="K801" s="1"/>
  <c r="F801" i="13"/>
  <c r="G801" s="1"/>
  <c r="I801" s="1"/>
  <c r="J802" i="12"/>
  <c r="K802" s="1"/>
  <c r="J802" i="17"/>
  <c r="K802" s="1"/>
  <c r="F802" i="13"/>
  <c r="G802" s="1"/>
  <c r="I802" s="1"/>
  <c r="J803" i="12"/>
  <c r="K803" s="1"/>
  <c r="J803" i="17"/>
  <c r="K803" s="1"/>
  <c r="F803" i="13"/>
  <c r="G803" s="1"/>
  <c r="I803" s="1"/>
  <c r="J804" i="12"/>
  <c r="K804" s="1"/>
  <c r="J804" i="17"/>
  <c r="K804" s="1"/>
  <c r="F804" i="13"/>
  <c r="G804" s="1"/>
  <c r="I804" s="1"/>
  <c r="J805" i="12"/>
  <c r="K805" s="1"/>
  <c r="J805" i="17"/>
  <c r="K805" s="1"/>
  <c r="F805" i="13"/>
  <c r="G805" s="1"/>
  <c r="I805" s="1"/>
  <c r="J806" i="12"/>
  <c r="K806" s="1"/>
  <c r="J806" i="17"/>
  <c r="K806" s="1"/>
  <c r="F806" i="13"/>
  <c r="G806" s="1"/>
  <c r="I806" s="1"/>
  <c r="J807" i="12"/>
  <c r="K807" s="1"/>
  <c r="J807" i="17"/>
  <c r="K807" s="1"/>
  <c r="F807" i="13"/>
  <c r="G807" s="1"/>
  <c r="I807" s="1"/>
  <c r="J808" i="12"/>
  <c r="K808" s="1"/>
  <c r="J808" i="17"/>
  <c r="K808" s="1"/>
  <c r="F808" i="13"/>
  <c r="G808" s="1"/>
  <c r="I808" s="1"/>
  <c r="J809" i="12"/>
  <c r="K809" s="1"/>
  <c r="J809" i="17"/>
  <c r="K809" s="1"/>
  <c r="F809" i="13"/>
  <c r="G809" s="1"/>
  <c r="I809" s="1"/>
  <c r="J810" i="12"/>
  <c r="K810" s="1"/>
  <c r="J810" i="17"/>
  <c r="K810" s="1"/>
  <c r="F810" i="13"/>
  <c r="G810" s="1"/>
  <c r="I810" s="1"/>
  <c r="J811" i="12"/>
  <c r="K811" s="1"/>
  <c r="J811" i="17"/>
  <c r="K811" s="1"/>
  <c r="F811" i="13"/>
  <c r="G811" s="1"/>
  <c r="I811" s="1"/>
  <c r="J812" i="12"/>
  <c r="K812" s="1"/>
  <c r="J812" i="17"/>
  <c r="K812" s="1"/>
  <c r="F812" i="13"/>
  <c r="G812" s="1"/>
  <c r="I812" s="1"/>
  <c r="J813" i="12"/>
  <c r="K813" s="1"/>
  <c r="J813" i="17"/>
  <c r="K813" s="1"/>
  <c r="F813" i="13"/>
  <c r="G813" s="1"/>
  <c r="I813" s="1"/>
  <c r="J814" i="12"/>
  <c r="K814" s="1"/>
  <c r="J814" i="17"/>
  <c r="K814" s="1"/>
  <c r="F814" i="13"/>
  <c r="G814" s="1"/>
  <c r="I814" s="1"/>
  <c r="J815" i="12"/>
  <c r="K815" s="1"/>
  <c r="J815" i="17"/>
  <c r="K815" s="1"/>
  <c r="F815" i="13"/>
  <c r="G815" s="1"/>
  <c r="I815" s="1"/>
  <c r="J816" i="12"/>
  <c r="K816" s="1"/>
  <c r="J816" i="17"/>
  <c r="K816" s="1"/>
  <c r="F816" i="13"/>
  <c r="G816" s="1"/>
  <c r="I816" s="1"/>
  <c r="J817" i="12"/>
  <c r="K817" s="1"/>
  <c r="J817" i="17"/>
  <c r="K817" s="1"/>
  <c r="F817" i="13"/>
  <c r="G817" s="1"/>
  <c r="I817" s="1"/>
  <c r="J818" i="12"/>
  <c r="K818" s="1"/>
  <c r="J818" i="17"/>
  <c r="K818" s="1"/>
  <c r="F818" i="13"/>
  <c r="G818" s="1"/>
  <c r="I818" s="1"/>
  <c r="J819" i="12"/>
  <c r="K819" s="1"/>
  <c r="J819" i="17"/>
  <c r="K819" s="1"/>
  <c r="F819" i="13"/>
  <c r="G819" s="1"/>
  <c r="I819" s="1"/>
  <c r="J820" i="12"/>
  <c r="K820" s="1"/>
  <c r="J820" i="17"/>
  <c r="K820" s="1"/>
  <c r="F820" i="13"/>
  <c r="G820" s="1"/>
  <c r="I820" s="1"/>
  <c r="J821" i="12"/>
  <c r="K821" s="1"/>
  <c r="J821" i="17"/>
  <c r="K821" s="1"/>
  <c r="F821" i="13"/>
  <c r="G821" s="1"/>
  <c r="I821" s="1"/>
  <c r="J822" i="12"/>
  <c r="K822" s="1"/>
  <c r="J822" i="17"/>
  <c r="K822" s="1"/>
  <c r="F822" i="13"/>
  <c r="G822" s="1"/>
  <c r="I822" s="1"/>
  <c r="J823" i="12"/>
  <c r="K823" s="1"/>
  <c r="J823" i="17"/>
  <c r="K823" s="1"/>
  <c r="F823" i="13"/>
  <c r="G823" s="1"/>
  <c r="I823" s="1"/>
  <c r="J824" i="12"/>
  <c r="K824" s="1"/>
  <c r="J824" i="17"/>
  <c r="K824" s="1"/>
  <c r="F824" i="13"/>
  <c r="G824" s="1"/>
  <c r="I824" s="1"/>
  <c r="J825" i="12"/>
  <c r="K825" s="1"/>
  <c r="J825" i="17"/>
  <c r="K825" s="1"/>
  <c r="F825" i="13"/>
  <c r="G825" s="1"/>
  <c r="I825" s="1"/>
  <c r="J826" i="12"/>
  <c r="K826" s="1"/>
  <c r="J826" i="17"/>
  <c r="K826" s="1"/>
  <c r="F826" i="13"/>
  <c r="G826" s="1"/>
  <c r="I826" s="1"/>
  <c r="J827" i="12"/>
  <c r="K827" s="1"/>
  <c r="J827" i="17"/>
  <c r="K827" s="1"/>
  <c r="F827" i="13"/>
  <c r="G827" s="1"/>
  <c r="I827" s="1"/>
  <c r="J828" i="12"/>
  <c r="K828" s="1"/>
  <c r="J828" i="17"/>
  <c r="K828" s="1"/>
  <c r="F828" i="13"/>
  <c r="G828" s="1"/>
  <c r="I828" s="1"/>
  <c r="K828" i="18"/>
  <c r="H828"/>
  <c r="I828"/>
  <c r="J829" i="12"/>
  <c r="K829" s="1"/>
  <c r="J829" i="17"/>
  <c r="K829" s="1"/>
  <c r="F829" i="13"/>
  <c r="G829" s="1"/>
  <c r="I829" s="1"/>
  <c r="J830" i="12"/>
  <c r="K830" s="1"/>
  <c r="J830" i="17"/>
  <c r="K830" s="1"/>
  <c r="F830" i="13"/>
  <c r="G830" s="1"/>
  <c r="I830" s="1"/>
  <c r="J831" i="12"/>
  <c r="K831" s="1"/>
  <c r="J831" i="17"/>
  <c r="K831" s="1"/>
  <c r="F831" i="13"/>
  <c r="G831" s="1"/>
  <c r="I831" s="1"/>
  <c r="J832" i="12"/>
  <c r="K832" s="1"/>
  <c r="J832" i="17"/>
  <c r="K832" s="1"/>
  <c r="F832" i="13"/>
  <c r="G832" s="1"/>
  <c r="I832" s="1"/>
  <c r="J833" i="17"/>
  <c r="K833" s="1"/>
  <c r="F833" i="13"/>
  <c r="G833" s="1"/>
  <c r="I833" s="1"/>
  <c r="J833" i="12"/>
  <c r="K833" s="1"/>
  <c r="J834"/>
  <c r="K834" s="1"/>
  <c r="J834" i="17"/>
  <c r="K834" s="1"/>
  <c r="F834" i="13"/>
  <c r="G834" s="1"/>
  <c r="I834" s="1"/>
  <c r="J835" i="12"/>
  <c r="K835" s="1"/>
  <c r="J835" i="17"/>
  <c r="K835" s="1"/>
  <c r="F835" i="13"/>
  <c r="G835" s="1"/>
  <c r="I835" s="1"/>
  <c r="J836" i="12"/>
  <c r="K836" s="1"/>
  <c r="J836" i="17"/>
  <c r="K836" s="1"/>
  <c r="F836" i="13"/>
  <c r="G836" s="1"/>
  <c r="I836" s="1"/>
  <c r="J837" i="12"/>
  <c r="K837" s="1"/>
  <c r="J837" i="17"/>
  <c r="K837" s="1"/>
  <c r="F837" i="13"/>
  <c r="G837" s="1"/>
  <c r="I837" s="1"/>
  <c r="J838" i="12"/>
  <c r="K838" s="1"/>
  <c r="J838" i="17"/>
  <c r="K838" s="1"/>
  <c r="F838" i="13"/>
  <c r="G838" s="1"/>
  <c r="I838" s="1"/>
  <c r="J839" i="12"/>
  <c r="K839" s="1"/>
  <c r="J839" i="17"/>
  <c r="K839" s="1"/>
  <c r="F839" i="13"/>
  <c r="G839" s="1"/>
  <c r="I839" s="1"/>
  <c r="J840" i="12"/>
  <c r="K840" s="1"/>
  <c r="J840" i="17"/>
  <c r="K840" s="1"/>
  <c r="F840" i="13"/>
  <c r="G840" s="1"/>
  <c r="I840" s="1"/>
  <c r="J841" i="12"/>
  <c r="K841" s="1"/>
  <c r="J841" i="17"/>
  <c r="K841" s="1"/>
  <c r="F841" i="13"/>
  <c r="G841" s="1"/>
  <c r="I841" s="1"/>
  <c r="J842" i="12"/>
  <c r="K842" s="1"/>
  <c r="J842" i="17"/>
  <c r="K842" s="1"/>
  <c r="F842" i="13"/>
  <c r="G842" s="1"/>
  <c r="I842" s="1"/>
  <c r="J843" i="12"/>
  <c r="K843" s="1"/>
  <c r="J843" i="17"/>
  <c r="K843" s="1"/>
  <c r="F843" i="13"/>
  <c r="G843" s="1"/>
  <c r="I843" s="1"/>
  <c r="J844" i="12"/>
  <c r="K844" s="1"/>
  <c r="J844" i="17"/>
  <c r="K844" s="1"/>
  <c r="F844" i="13"/>
  <c r="G844" s="1"/>
  <c r="I844" s="1"/>
  <c r="J845" i="12"/>
  <c r="K845" s="1"/>
  <c r="J845" i="17"/>
  <c r="K845" s="1"/>
  <c r="F845" i="13"/>
  <c r="G845" s="1"/>
  <c r="I845" s="1"/>
  <c r="J846" i="12"/>
  <c r="K846" s="1"/>
  <c r="J846" i="17"/>
  <c r="K846" s="1"/>
  <c r="F846" i="13"/>
  <c r="G846" s="1"/>
  <c r="I846" s="1"/>
  <c r="J847" i="12"/>
  <c r="K847" s="1"/>
  <c r="J847" i="17"/>
  <c r="K847" s="1"/>
  <c r="F847" i="13"/>
  <c r="G847" s="1"/>
  <c r="I847" s="1"/>
  <c r="J848" i="12"/>
  <c r="K848" s="1"/>
  <c r="J848" i="17"/>
  <c r="K848" s="1"/>
  <c r="F848" i="13"/>
  <c r="G848" s="1"/>
  <c r="I848" s="1"/>
  <c r="J849" i="12"/>
  <c r="K849" s="1"/>
  <c r="J849" i="17"/>
  <c r="K849" s="1"/>
  <c r="F849" i="13"/>
  <c r="G849" s="1"/>
  <c r="I849" s="1"/>
  <c r="J850" i="12"/>
  <c r="K850" s="1"/>
  <c r="J850" i="17"/>
  <c r="K850" s="1"/>
  <c r="F850" i="13"/>
  <c r="G850" s="1"/>
  <c r="I850" s="1"/>
  <c r="J851" i="12"/>
  <c r="K851" s="1"/>
  <c r="J851" i="17"/>
  <c r="K851" s="1"/>
  <c r="F851" i="13"/>
  <c r="G851" s="1"/>
  <c r="I851" s="1"/>
  <c r="J852" i="12"/>
  <c r="K852" s="1"/>
  <c r="J852" i="17"/>
  <c r="K852" s="1"/>
  <c r="F852" i="13"/>
  <c r="G852" s="1"/>
  <c r="I852" s="1"/>
  <c r="J853" i="12"/>
  <c r="K853" s="1"/>
  <c r="J853" i="17"/>
  <c r="K853" s="1"/>
  <c r="F853" i="13"/>
  <c r="G853" s="1"/>
  <c r="I853" s="1"/>
  <c r="J854" i="12"/>
  <c r="K854" s="1"/>
  <c r="J854" i="17"/>
  <c r="K854" s="1"/>
  <c r="F854" i="13"/>
  <c r="G854" s="1"/>
  <c r="I854" s="1"/>
  <c r="J855" i="12"/>
  <c r="K855" s="1"/>
  <c r="J855" i="17"/>
  <c r="K855" s="1"/>
  <c r="F855" i="13"/>
  <c r="G855" s="1"/>
  <c r="I855" s="1"/>
  <c r="J856" i="12"/>
  <c r="K856" s="1"/>
  <c r="J856" i="17"/>
  <c r="K856" s="1"/>
  <c r="F856" i="13"/>
  <c r="G856" s="1"/>
  <c r="I856" s="1"/>
  <c r="J857" i="12"/>
  <c r="K857" s="1"/>
  <c r="J857" i="17"/>
  <c r="K857" s="1"/>
  <c r="F857" i="13"/>
  <c r="G857" s="1"/>
  <c r="I857" s="1"/>
  <c r="J858" i="12"/>
  <c r="K858" s="1"/>
  <c r="J858" i="17"/>
  <c r="K858" s="1"/>
  <c r="F858" i="13"/>
  <c r="G858" s="1"/>
  <c r="I858" s="1"/>
  <c r="J859" i="12"/>
  <c r="K859" s="1"/>
  <c r="J859" i="17"/>
  <c r="K859" s="1"/>
  <c r="F859" i="13"/>
  <c r="G859" s="1"/>
  <c r="I859" s="1"/>
  <c r="J860" i="12"/>
  <c r="K860" s="1"/>
  <c r="J860" i="17"/>
  <c r="K860" s="1"/>
  <c r="F860" i="13"/>
  <c r="G860" s="1"/>
  <c r="I860" s="1"/>
  <c r="J861" i="12"/>
  <c r="K861" s="1"/>
  <c r="J861" i="17"/>
  <c r="K861" s="1"/>
  <c r="F861" i="13"/>
  <c r="G861" s="1"/>
  <c r="I861" s="1"/>
  <c r="J862" i="12"/>
  <c r="K862" s="1"/>
  <c r="J862" i="17"/>
  <c r="K862" s="1"/>
  <c r="F862" i="13"/>
  <c r="G862" s="1"/>
  <c r="I862" s="1"/>
  <c r="J863" i="12"/>
  <c r="K863" s="1"/>
  <c r="J863" i="17"/>
  <c r="K863" s="1"/>
  <c r="F863" i="13"/>
  <c r="G863" s="1"/>
  <c r="I863" s="1"/>
  <c r="J864" i="12"/>
  <c r="K864" s="1"/>
  <c r="J864" i="17"/>
  <c r="K864" s="1"/>
  <c r="F864" i="13"/>
  <c r="G864" s="1"/>
  <c r="I864" s="1"/>
  <c r="J865" i="12"/>
  <c r="K865" s="1"/>
  <c r="J865" i="17"/>
  <c r="K865" s="1"/>
  <c r="F865" i="13"/>
  <c r="G865" s="1"/>
  <c r="I865" s="1"/>
  <c r="J866" i="12"/>
  <c r="K866" s="1"/>
  <c r="J866" i="17"/>
  <c r="K866" s="1"/>
  <c r="F866" i="13"/>
  <c r="G866" s="1"/>
  <c r="I866" s="1"/>
  <c r="J867" i="12"/>
  <c r="K867" s="1"/>
  <c r="J867" i="17"/>
  <c r="K867" s="1"/>
  <c r="F867" i="13"/>
  <c r="G867" s="1"/>
  <c r="I867" s="1"/>
  <c r="J868" i="12"/>
  <c r="K868" s="1"/>
  <c r="J868" i="17"/>
  <c r="K868" s="1"/>
  <c r="F868" i="13"/>
  <c r="G868" s="1"/>
  <c r="I868" s="1"/>
  <c r="J869" i="12"/>
  <c r="K869" s="1"/>
  <c r="J869" i="17"/>
  <c r="K869" s="1"/>
  <c r="F869" i="13"/>
  <c r="G869" s="1"/>
  <c r="I869" s="1"/>
  <c r="J870" i="12"/>
  <c r="K870" s="1"/>
  <c r="J870" i="17"/>
  <c r="K870" s="1"/>
  <c r="F870" i="13"/>
  <c r="G870" s="1"/>
  <c r="I870" s="1"/>
  <c r="J871" i="12"/>
  <c r="K871" s="1"/>
  <c r="J871" i="17"/>
  <c r="K871" s="1"/>
  <c r="F871" i="13"/>
  <c r="G871" s="1"/>
  <c r="I871" s="1"/>
  <c r="J872" i="12"/>
  <c r="K872" s="1"/>
  <c r="J872" i="17"/>
  <c r="K872" s="1"/>
  <c r="F872" i="13"/>
  <c r="G872" s="1"/>
  <c r="I872" s="1"/>
  <c r="J873" i="12"/>
  <c r="K873" s="1"/>
  <c r="J873" i="17"/>
  <c r="K873" s="1"/>
  <c r="F873" i="13"/>
  <c r="G873" s="1"/>
  <c r="I873" s="1"/>
  <c r="J874" i="12"/>
  <c r="K874" s="1"/>
  <c r="J874" i="17"/>
  <c r="K874" s="1"/>
  <c r="F874" i="13"/>
  <c r="G874" s="1"/>
  <c r="I874" s="1"/>
  <c r="J875" i="12"/>
  <c r="K875" s="1"/>
  <c r="J875" i="17"/>
  <c r="K875" s="1"/>
  <c r="F875" i="13"/>
  <c r="G875" s="1"/>
  <c r="I875" s="1"/>
  <c r="J876" i="17"/>
  <c r="K876" s="1"/>
  <c r="F876" i="13"/>
  <c r="G876" s="1"/>
  <c r="I876" s="1"/>
  <c r="J877" i="17"/>
  <c r="K877" s="1"/>
  <c r="F877" i="13"/>
  <c r="G877" s="1"/>
  <c r="I877" s="1"/>
  <c r="J878" i="17"/>
  <c r="K878" s="1"/>
  <c r="F878" i="13"/>
  <c r="G878" s="1"/>
  <c r="I878" s="1"/>
  <c r="H881" i="6"/>
  <c r="I881"/>
  <c r="J881" i="3"/>
  <c r="K881"/>
  <c r="F881"/>
  <c r="L881" i="12"/>
  <c r="M881"/>
  <c r="L881" i="17"/>
  <c r="M881"/>
  <c r="F881" i="13"/>
  <c r="G881" s="1"/>
  <c r="I881" s="1"/>
  <c r="H882" i="6"/>
  <c r="I882"/>
  <c r="J882" i="3"/>
  <c r="K882"/>
  <c r="F882"/>
  <c r="L882" i="12"/>
  <c r="M882"/>
  <c r="L882" i="17"/>
  <c r="M882"/>
  <c r="F882" i="13"/>
  <c r="G882" s="1"/>
  <c r="I882" s="1"/>
  <c r="H883" i="6"/>
  <c r="I883"/>
  <c r="J883" i="3"/>
  <c r="K883"/>
  <c r="F883"/>
  <c r="L883" i="12"/>
  <c r="M883"/>
  <c r="L883" i="17"/>
  <c r="M883"/>
  <c r="F883" i="13"/>
  <c r="G883" s="1"/>
  <c r="I883" s="1"/>
  <c r="H884" i="6"/>
  <c r="I884"/>
  <c r="J884" i="3"/>
  <c r="K884"/>
  <c r="F884"/>
  <c r="L884" i="12"/>
  <c r="M884"/>
  <c r="L884" i="17"/>
  <c r="M884"/>
  <c r="F884" i="13"/>
  <c r="G884" s="1"/>
  <c r="I884" s="1"/>
  <c r="H885" i="6"/>
  <c r="I885"/>
  <c r="J885" i="3"/>
  <c r="K885"/>
  <c r="F885"/>
  <c r="L885" i="12"/>
  <c r="M885"/>
  <c r="L885" i="17"/>
  <c r="M885"/>
  <c r="F885" i="13"/>
  <c r="G885" s="1"/>
  <c r="I885" s="1"/>
  <c r="H886" i="6"/>
  <c r="I886"/>
  <c r="J886" i="3"/>
  <c r="K886"/>
  <c r="F886"/>
  <c r="L886" i="12"/>
  <c r="M886"/>
  <c r="L886" i="17"/>
  <c r="M886"/>
  <c r="F886" i="13"/>
  <c r="G886" s="1"/>
  <c r="I886" s="1"/>
  <c r="H887" i="6"/>
  <c r="I887"/>
  <c r="J887" i="3"/>
  <c r="K887"/>
  <c r="F887"/>
  <c r="L887" i="12"/>
  <c r="M887"/>
  <c r="L887" i="17"/>
  <c r="M887"/>
  <c r="F887" i="13"/>
  <c r="G887" s="1"/>
  <c r="I887" s="1"/>
  <c r="H888" i="6"/>
  <c r="I888"/>
  <c r="J888" i="3"/>
  <c r="K888"/>
  <c r="F888"/>
  <c r="L888" i="12"/>
  <c r="M888"/>
  <c r="L888" i="17"/>
  <c r="M888"/>
  <c r="F888" i="13"/>
  <c r="G888" s="1"/>
  <c r="I888" s="1"/>
  <c r="H889" i="6"/>
  <c r="I889"/>
  <c r="J889" i="3"/>
  <c r="K889"/>
  <c r="F889"/>
  <c r="L889" i="12"/>
  <c r="M889"/>
  <c r="F889" i="13"/>
  <c r="G889" s="1"/>
  <c r="I889" s="1"/>
  <c r="H890" i="6"/>
  <c r="I890"/>
  <c r="J890" i="3"/>
  <c r="K890"/>
  <c r="F890"/>
  <c r="L890" i="12"/>
  <c r="M890"/>
  <c r="L890" i="17"/>
  <c r="M890"/>
  <c r="F890" i="13"/>
  <c r="G890" s="1"/>
  <c r="I890" s="1"/>
  <c r="H891" i="6"/>
  <c r="I891"/>
  <c r="J891" i="3"/>
  <c r="K891"/>
  <c r="F891"/>
  <c r="L891" i="12"/>
  <c r="M891"/>
  <c r="L891" i="17"/>
  <c r="M891"/>
  <c r="F891" i="13"/>
  <c r="G891" s="1"/>
  <c r="I891" s="1"/>
  <c r="H892" i="6"/>
  <c r="I892"/>
  <c r="J892" i="3"/>
  <c r="K892"/>
  <c r="F892"/>
  <c r="L892" i="12"/>
  <c r="M892"/>
  <c r="L892" i="17"/>
  <c r="M892"/>
  <c r="F892" i="13"/>
  <c r="G892" s="1"/>
  <c r="I892" s="1"/>
  <c r="H893" i="6"/>
  <c r="I893"/>
  <c r="J893" i="3"/>
  <c r="K893"/>
  <c r="F893"/>
  <c r="L893" i="12"/>
  <c r="M893"/>
  <c r="L893" i="17"/>
  <c r="M893"/>
  <c r="F893" i="13"/>
  <c r="G893" s="1"/>
  <c r="I893" s="1"/>
  <c r="H894" i="6"/>
  <c r="I894"/>
  <c r="J894" i="3"/>
  <c r="K894"/>
  <c r="F894"/>
  <c r="L894" i="12"/>
  <c r="M894"/>
  <c r="L894" i="17"/>
  <c r="M894"/>
  <c r="F894" i="13"/>
  <c r="G894" s="1"/>
  <c r="I894" s="1"/>
  <c r="H895" i="6"/>
  <c r="I895"/>
  <c r="J895" i="3"/>
  <c r="K895"/>
  <c r="F895"/>
  <c r="L895" i="12"/>
  <c r="M895"/>
  <c r="L895" i="17"/>
  <c r="M895"/>
  <c r="F895" i="13"/>
  <c r="G895" s="1"/>
  <c r="I895" s="1"/>
  <c r="H896" i="6"/>
  <c r="I896"/>
  <c r="J896" i="3"/>
  <c r="K896"/>
  <c r="F896"/>
  <c r="L896" i="12"/>
  <c r="M896"/>
  <c r="L896" i="17"/>
  <c r="M896"/>
  <c r="F896" i="13"/>
  <c r="G896" s="1"/>
  <c r="I896" s="1"/>
  <c r="H897" i="6"/>
  <c r="I897"/>
  <c r="J897" i="3"/>
  <c r="K897"/>
  <c r="F897"/>
  <c r="L897" i="12"/>
  <c r="M897"/>
  <c r="L897" i="17"/>
  <c r="M897"/>
  <c r="F897" i="13"/>
  <c r="G897" s="1"/>
  <c r="I897" s="1"/>
  <c r="H898" i="6"/>
  <c r="I898"/>
  <c r="J898" i="3"/>
  <c r="K898"/>
  <c r="F898"/>
  <c r="L898" i="12"/>
  <c r="M898"/>
  <c r="L898" i="17"/>
  <c r="M898"/>
  <c r="F898" i="13"/>
  <c r="G898" s="1"/>
  <c r="I898" s="1"/>
  <c r="H899" i="6"/>
  <c r="I899"/>
  <c r="J899" i="3"/>
  <c r="K899"/>
  <c r="F899"/>
  <c r="L899" i="12"/>
  <c r="M899"/>
  <c r="L899" i="17"/>
  <c r="M899"/>
  <c r="F899" i="13"/>
  <c r="G899" s="1"/>
  <c r="I899" s="1"/>
  <c r="H900" i="6"/>
  <c r="I900"/>
  <c r="J900" i="3"/>
  <c r="K900"/>
  <c r="F900"/>
  <c r="L900" i="12"/>
  <c r="M900"/>
  <c r="L900" i="17"/>
  <c r="M900"/>
  <c r="F900" i="13"/>
  <c r="G900" s="1"/>
  <c r="I900" s="1"/>
  <c r="H901" i="6"/>
  <c r="I901"/>
  <c r="J901" i="3"/>
  <c r="K901"/>
  <c r="F901"/>
  <c r="L901" i="12"/>
  <c r="M901"/>
  <c r="L901" i="17"/>
  <c r="M901"/>
  <c r="F901" i="13"/>
  <c r="G901" s="1"/>
  <c r="I901" s="1"/>
  <c r="H902" i="6"/>
  <c r="I902"/>
  <c r="J902" i="3"/>
  <c r="K902"/>
  <c r="F902"/>
  <c r="L902" i="12"/>
  <c r="M902"/>
  <c r="L902" i="17"/>
  <c r="M902"/>
  <c r="F902" i="13"/>
  <c r="G902" s="1"/>
  <c r="I902" s="1"/>
  <c r="H903" i="6"/>
  <c r="I903"/>
  <c r="J903" i="3"/>
  <c r="K903"/>
  <c r="F903"/>
  <c r="L903" i="12"/>
  <c r="M903"/>
  <c r="L903" i="17"/>
  <c r="M903"/>
  <c r="F903" i="13"/>
  <c r="G903" s="1"/>
  <c r="I903" s="1"/>
  <c r="H904" i="6"/>
  <c r="I904"/>
  <c r="J904" i="3"/>
  <c r="K904"/>
  <c r="F904"/>
  <c r="L904" i="12"/>
  <c r="M904"/>
  <c r="L904" i="17"/>
  <c r="M904"/>
  <c r="F904" i="13"/>
  <c r="G904" s="1"/>
  <c r="I904" s="1"/>
  <c r="H905" i="6"/>
  <c r="I905"/>
  <c r="J905" i="3"/>
  <c r="K905"/>
  <c r="F905"/>
  <c r="L905" i="12"/>
  <c r="M905"/>
  <c r="L905" i="17"/>
  <c r="M905"/>
  <c r="F905" i="13"/>
  <c r="G905" s="1"/>
  <c r="I905" s="1"/>
  <c r="H906" i="6"/>
  <c r="I906"/>
  <c r="J906" i="3"/>
  <c r="K906"/>
  <c r="F906"/>
  <c r="L906" i="12"/>
  <c r="M906"/>
  <c r="L906" i="17"/>
  <c r="M906"/>
  <c r="F906" i="13"/>
  <c r="G906" s="1"/>
  <c r="I906" s="1"/>
  <c r="H907" i="6"/>
  <c r="I907"/>
  <c r="J907" i="3"/>
  <c r="K907"/>
  <c r="F907"/>
  <c r="L907" i="12"/>
  <c r="M907"/>
  <c r="L907" i="17"/>
  <c r="M907"/>
  <c r="F907" i="13"/>
  <c r="G907" s="1"/>
  <c r="I907" s="1"/>
  <c r="H908" i="6"/>
  <c r="I908"/>
  <c r="J908" i="3"/>
  <c r="K908"/>
  <c r="F908"/>
  <c r="L908" i="12"/>
  <c r="M908"/>
  <c r="L908" i="17"/>
  <c r="M908"/>
  <c r="F908" i="13"/>
  <c r="G908" s="1"/>
  <c r="I908" s="1"/>
  <c r="H909" i="6"/>
  <c r="I909"/>
  <c r="H909" i="8"/>
  <c r="I909"/>
  <c r="J909" i="3"/>
  <c r="K909"/>
  <c r="F909"/>
  <c r="L909" i="12"/>
  <c r="M909"/>
  <c r="L909" i="17"/>
  <c r="M909"/>
  <c r="F909" i="13"/>
  <c r="G909" s="1"/>
  <c r="I909" s="1"/>
  <c r="H910" i="6"/>
  <c r="I910"/>
  <c r="J910" i="3"/>
  <c r="K910"/>
  <c r="F910"/>
  <c r="L910" i="12"/>
  <c r="M910"/>
  <c r="L910" i="17"/>
  <c r="M910"/>
  <c r="F910" i="13"/>
  <c r="G910" s="1"/>
  <c r="I910" s="1"/>
  <c r="H911" i="6"/>
  <c r="I911"/>
  <c r="J911" i="3"/>
  <c r="K911"/>
  <c r="F911"/>
  <c r="L911" i="12"/>
  <c r="M911"/>
  <c r="L911" i="17"/>
  <c r="M911"/>
  <c r="F911" i="13"/>
  <c r="G911" s="1"/>
  <c r="I911" s="1"/>
  <c r="H912" i="6"/>
  <c r="I912"/>
  <c r="J912" i="3"/>
  <c r="K912"/>
  <c r="F912"/>
  <c r="L912" i="12"/>
  <c r="M912"/>
  <c r="L912" i="17"/>
  <c r="M912"/>
  <c r="F912" i="13"/>
  <c r="G912" s="1"/>
  <c r="I912" s="1"/>
  <c r="H913" i="6"/>
  <c r="I913"/>
  <c r="J913" i="3"/>
  <c r="K913"/>
  <c r="F913"/>
  <c r="L913" i="12"/>
  <c r="M913"/>
  <c r="L913" i="17"/>
  <c r="M913"/>
  <c r="F913" i="13"/>
  <c r="G913" s="1"/>
  <c r="I913" s="1"/>
  <c r="H914" i="6"/>
  <c r="I914"/>
  <c r="J914" i="3"/>
  <c r="K914"/>
  <c r="F914"/>
  <c r="L914" i="12"/>
  <c r="M914"/>
  <c r="L914" i="17"/>
  <c r="M914"/>
  <c r="F914" i="13"/>
  <c r="G914" s="1"/>
  <c r="I914" s="1"/>
  <c r="H915" i="6"/>
  <c r="I915"/>
  <c r="J915" i="3"/>
  <c r="K915"/>
  <c r="F915"/>
  <c r="L915" i="12"/>
  <c r="M915"/>
  <c r="L915" i="17"/>
  <c r="M915"/>
  <c r="F915" i="13"/>
  <c r="G915" s="1"/>
  <c r="I915" s="1"/>
  <c r="H916" i="6"/>
  <c r="I916"/>
  <c r="J916" i="3"/>
  <c r="K916"/>
  <c r="F916"/>
  <c r="L916" i="12"/>
  <c r="M916"/>
  <c r="L916" i="17"/>
  <c r="M916"/>
  <c r="F916" i="13"/>
  <c r="G916" s="1"/>
  <c r="I916" s="1"/>
  <c r="H917" i="6"/>
  <c r="I917"/>
  <c r="J917" i="3"/>
  <c r="K917"/>
  <c r="F917"/>
  <c r="L917" i="12"/>
  <c r="M917"/>
  <c r="L917" i="17"/>
  <c r="M917"/>
  <c r="F917" i="13"/>
  <c r="G917" s="1"/>
  <c r="I917" s="1"/>
  <c r="H918" i="6"/>
  <c r="I918"/>
  <c r="J918" i="3"/>
  <c r="K918"/>
  <c r="F918"/>
  <c r="L918" i="12"/>
  <c r="M918"/>
  <c r="L918" i="17"/>
  <c r="M918"/>
  <c r="F918" i="13"/>
  <c r="G918" s="1"/>
  <c r="I918" s="1"/>
  <c r="H919" i="6"/>
  <c r="I919"/>
  <c r="J919" i="3"/>
  <c r="K919"/>
  <c r="F919"/>
  <c r="L919" i="12"/>
  <c r="M919"/>
  <c r="L919" i="17"/>
  <c r="M919"/>
  <c r="F919" i="13"/>
  <c r="G919" s="1"/>
  <c r="I919" s="1"/>
  <c r="H920" i="6"/>
  <c r="I920"/>
  <c r="J920" i="3"/>
  <c r="K920"/>
  <c r="F920"/>
  <c r="L920" i="12"/>
  <c r="M920"/>
  <c r="L920" i="17"/>
  <c r="M920"/>
  <c r="F920" i="13"/>
  <c r="G920" s="1"/>
  <c r="I920" s="1"/>
  <c r="H921" i="6"/>
  <c r="I921"/>
  <c r="J921" i="3"/>
  <c r="K921"/>
  <c r="F921"/>
  <c r="L921" i="12"/>
  <c r="M921"/>
  <c r="L921" i="17"/>
  <c r="M921"/>
  <c r="F921" i="13"/>
  <c r="G921" s="1"/>
  <c r="I921" s="1"/>
  <c r="H922" i="6"/>
  <c r="I922"/>
  <c r="J922" i="3"/>
  <c r="K922"/>
  <c r="F922"/>
  <c r="L922" i="12"/>
  <c r="M922"/>
  <c r="L922" i="17"/>
  <c r="M922"/>
  <c r="F922" i="13"/>
  <c r="G922" s="1"/>
  <c r="I922" s="1"/>
  <c r="H923" i="6"/>
  <c r="I923"/>
  <c r="J923" i="3"/>
  <c r="K923"/>
  <c r="F923"/>
  <c r="L923" i="12"/>
  <c r="M923"/>
  <c r="L923" i="17"/>
  <c r="M923"/>
  <c r="F923" i="13"/>
  <c r="G923" s="1"/>
  <c r="I923" s="1"/>
  <c r="H924" i="6"/>
  <c r="I924"/>
  <c r="J924" i="3"/>
  <c r="K924"/>
  <c r="F924"/>
  <c r="L924" i="12"/>
  <c r="M924"/>
  <c r="L924" i="17"/>
  <c r="M924"/>
  <c r="F924" i="13"/>
  <c r="G924" s="1"/>
  <c r="I924" s="1"/>
  <c r="H925" i="6"/>
  <c r="I925"/>
  <c r="J925" i="3"/>
  <c r="K925"/>
  <c r="F925"/>
  <c r="L925" i="12"/>
  <c r="M925"/>
  <c r="L925" i="17"/>
  <c r="M925"/>
  <c r="F925" i="13"/>
  <c r="G925" s="1"/>
  <c r="I925" s="1"/>
  <c r="H926" i="6"/>
  <c r="I926"/>
  <c r="J926" i="3"/>
  <c r="K926"/>
  <c r="F926"/>
  <c r="L926" i="12"/>
  <c r="M926"/>
  <c r="L926" i="17"/>
  <c r="M926"/>
  <c r="F926" i="13"/>
  <c r="G926" s="1"/>
  <c r="I926" s="1"/>
  <c r="H927" i="6"/>
  <c r="I927"/>
  <c r="J927" i="3"/>
  <c r="K927"/>
  <c r="F927"/>
  <c r="L927" i="12"/>
  <c r="M927"/>
  <c r="L927" i="17"/>
  <c r="M927"/>
  <c r="F927" i="13"/>
  <c r="G927" s="1"/>
  <c r="I927" s="1"/>
  <c r="H928" i="6"/>
  <c r="I928"/>
  <c r="J928" i="3"/>
  <c r="K928"/>
  <c r="F928"/>
  <c r="L928" i="12"/>
  <c r="M928"/>
  <c r="L928" i="17"/>
  <c r="M928"/>
  <c r="F928" i="13"/>
  <c r="G928" s="1"/>
  <c r="I928" s="1"/>
  <c r="H929" i="6"/>
  <c r="I929"/>
  <c r="J929" i="3"/>
  <c r="K929"/>
  <c r="F929"/>
  <c r="L929" i="12"/>
  <c r="M929"/>
  <c r="L929" i="17"/>
  <c r="M929"/>
  <c r="F929" i="13"/>
  <c r="G929" s="1"/>
  <c r="I929" s="1"/>
  <c r="H930" i="6"/>
  <c r="I930"/>
  <c r="J930" i="3"/>
  <c r="K930"/>
  <c r="F930"/>
  <c r="L930" i="12"/>
  <c r="M930"/>
  <c r="L930" i="17"/>
  <c r="M930"/>
  <c r="F930" i="13"/>
  <c r="G930" s="1"/>
  <c r="I930" s="1"/>
  <c r="H931" i="6"/>
  <c r="I931"/>
  <c r="J931" i="3"/>
  <c r="K931"/>
  <c r="F931"/>
  <c r="L931" i="12"/>
  <c r="M931"/>
  <c r="L931" i="17"/>
  <c r="M931"/>
  <c r="F931" i="13"/>
  <c r="G931" s="1"/>
  <c r="I931" s="1"/>
  <c r="H932" i="6"/>
  <c r="I932"/>
  <c r="J932" i="3"/>
  <c r="K932"/>
  <c r="F932"/>
  <c r="L932" i="12"/>
  <c r="M932"/>
  <c r="L932" i="17"/>
  <c r="M932"/>
  <c r="F932" i="13"/>
  <c r="G932" s="1"/>
  <c r="I932" s="1"/>
  <c r="H933" i="6"/>
  <c r="I933"/>
  <c r="J933" i="3"/>
  <c r="K933"/>
  <c r="F933"/>
  <c r="L933" i="12"/>
  <c r="M933"/>
  <c r="L933" i="17"/>
  <c r="M933"/>
  <c r="F933" i="13"/>
  <c r="G933" s="1"/>
  <c r="I933" s="1"/>
  <c r="H934" i="6"/>
  <c r="I934"/>
  <c r="J934" i="3"/>
  <c r="K934"/>
  <c r="F934"/>
  <c r="L934" i="12"/>
  <c r="M934"/>
  <c r="L934" i="17"/>
  <c r="M934"/>
  <c r="F934" i="13"/>
  <c r="G934" s="1"/>
  <c r="I934" s="1"/>
  <c r="H935" i="6"/>
  <c r="I935"/>
  <c r="J935" i="3"/>
  <c r="K935"/>
  <c r="F935"/>
  <c r="L935" i="12"/>
  <c r="M935"/>
  <c r="L935" i="17"/>
  <c r="M935"/>
  <c r="F935" i="13"/>
  <c r="G935" s="1"/>
  <c r="I935" s="1"/>
  <c r="H936" i="6"/>
  <c r="I936"/>
  <c r="J936" i="3"/>
  <c r="K936"/>
  <c r="F936"/>
  <c r="L936" i="12"/>
  <c r="M936"/>
  <c r="L936" i="17"/>
  <c r="M936"/>
  <c r="F936" i="13"/>
  <c r="G936" s="1"/>
  <c r="I936" s="1"/>
  <c r="H937" i="6"/>
  <c r="I937"/>
  <c r="J937" i="3"/>
  <c r="K937"/>
  <c r="F937"/>
  <c r="L937" i="12"/>
  <c r="M937"/>
  <c r="L937" i="17"/>
  <c r="M937"/>
  <c r="F937" i="13"/>
  <c r="G937" s="1"/>
  <c r="I937" s="1"/>
  <c r="H938" i="6"/>
  <c r="I938"/>
  <c r="J938" i="3"/>
  <c r="K938"/>
  <c r="F938"/>
  <c r="L938" i="12"/>
  <c r="M938"/>
  <c r="L938" i="17"/>
  <c r="M938"/>
  <c r="F938" i="13"/>
  <c r="G938" s="1"/>
  <c r="I938" s="1"/>
  <c r="H939" i="6"/>
  <c r="I939"/>
  <c r="J939" i="3"/>
  <c r="K939"/>
  <c r="F939"/>
  <c r="L939" i="12"/>
  <c r="M939"/>
  <c r="L939" i="17"/>
  <c r="M939"/>
  <c r="F939" i="13"/>
  <c r="G939" s="1"/>
  <c r="I939" s="1"/>
  <c r="G940" i="6"/>
  <c r="H940"/>
  <c r="I940"/>
  <c r="J940" i="3"/>
  <c r="K940"/>
  <c r="F940"/>
  <c r="L940" i="12"/>
  <c r="M940"/>
  <c r="L940" i="17"/>
  <c r="M940"/>
  <c r="F940" i="13"/>
  <c r="G940" s="1"/>
  <c r="I940" s="1"/>
  <c r="H941" i="6"/>
  <c r="I941"/>
  <c r="J941" i="3"/>
  <c r="K941"/>
  <c r="F941"/>
  <c r="L941" i="12"/>
  <c r="M941"/>
  <c r="L941" i="17"/>
  <c r="M941"/>
  <c r="F941" i="13"/>
  <c r="G941" s="1"/>
  <c r="I941" s="1"/>
  <c r="H942" i="6"/>
  <c r="I942"/>
  <c r="J942" i="3"/>
  <c r="K942"/>
  <c r="F942"/>
  <c r="L942" i="12"/>
  <c r="M942"/>
  <c r="L942" i="17"/>
  <c r="M942"/>
  <c r="F942" i="13"/>
  <c r="G942" s="1"/>
  <c r="I942" s="1"/>
  <c r="H943" i="6"/>
  <c r="I943"/>
  <c r="J943" i="3"/>
  <c r="K943"/>
  <c r="F943"/>
  <c r="L943" i="12"/>
  <c r="M943"/>
  <c r="L943" i="17"/>
  <c r="M943"/>
  <c r="F943" i="13"/>
  <c r="G943" s="1"/>
  <c r="I943" s="1"/>
  <c r="H944" i="6"/>
  <c r="I944"/>
  <c r="J944" i="3"/>
  <c r="K944"/>
  <c r="F944"/>
  <c r="L944" i="12"/>
  <c r="M944"/>
  <c r="L944" i="17"/>
  <c r="M944"/>
  <c r="F944" i="13"/>
  <c r="G944" s="1"/>
  <c r="I944" s="1"/>
  <c r="H945" i="6"/>
  <c r="I945"/>
  <c r="J945" i="3"/>
  <c r="K945"/>
  <c r="F945"/>
  <c r="L945" i="12"/>
  <c r="M945"/>
  <c r="L945" i="17"/>
  <c r="M945"/>
  <c r="F945" i="13"/>
  <c r="G945" s="1"/>
  <c r="I945" s="1"/>
  <c r="H946" i="6"/>
  <c r="I946"/>
  <c r="J946" i="3"/>
  <c r="K946"/>
  <c r="F946"/>
  <c r="L946" i="12"/>
  <c r="M946"/>
  <c r="L946" i="17"/>
  <c r="M946"/>
  <c r="F946" i="13"/>
  <c r="G946" s="1"/>
  <c r="I946" s="1"/>
  <c r="H947" i="6"/>
  <c r="I947"/>
  <c r="J947" i="3"/>
  <c r="K947"/>
  <c r="F947"/>
  <c r="L947" i="12"/>
  <c r="M947"/>
  <c r="L947" i="17"/>
  <c r="M947"/>
  <c r="F947" i="13"/>
  <c r="G947" s="1"/>
  <c r="I947" s="1"/>
  <c r="H948" i="6"/>
  <c r="I948"/>
  <c r="J948" i="3"/>
  <c r="K948"/>
  <c r="F948"/>
  <c r="L948" i="12"/>
  <c r="M948"/>
  <c r="L948" i="17"/>
  <c r="M948"/>
  <c r="F948" i="13"/>
  <c r="G948" s="1"/>
  <c r="I948" s="1"/>
  <c r="H949" i="6"/>
  <c r="I949"/>
  <c r="J949" i="3"/>
  <c r="K949"/>
  <c r="F949"/>
  <c r="L949" i="12"/>
  <c r="M949"/>
  <c r="L949" i="17"/>
  <c r="M949"/>
  <c r="F949" i="13"/>
  <c r="G949" s="1"/>
  <c r="I949" s="1"/>
  <c r="H950" i="6"/>
  <c r="I950"/>
  <c r="J950" i="3"/>
  <c r="K950"/>
  <c r="F950"/>
  <c r="L950" i="12"/>
  <c r="M950"/>
  <c r="L950" i="17"/>
  <c r="M950"/>
  <c r="F950" i="13"/>
  <c r="G950" s="1"/>
  <c r="I950" s="1"/>
  <c r="H951" i="6"/>
  <c r="I951"/>
  <c r="J951" i="3"/>
  <c r="K951"/>
  <c r="F951"/>
  <c r="L951" i="12"/>
  <c r="M951"/>
  <c r="L951" i="17"/>
  <c r="M951"/>
  <c r="F951" i="13"/>
  <c r="G951" s="1"/>
  <c r="I951" s="1"/>
  <c r="H952" i="6"/>
  <c r="I952"/>
  <c r="J952" i="3"/>
  <c r="K952"/>
  <c r="F952"/>
  <c r="L952" i="12"/>
  <c r="M952"/>
  <c r="L952" i="17"/>
  <c r="M952"/>
  <c r="F952" i="13"/>
  <c r="G952" s="1"/>
  <c r="I952" s="1"/>
  <c r="H953" i="6"/>
  <c r="I953"/>
  <c r="J953" i="3"/>
  <c r="K953"/>
  <c r="F953"/>
  <c r="L953" i="12"/>
  <c r="M953"/>
  <c r="L953" i="17"/>
  <c r="M953"/>
  <c r="F953" i="13"/>
  <c r="G953" s="1"/>
  <c r="I953" s="1"/>
  <c r="H954" i="6"/>
  <c r="I954"/>
  <c r="J954" i="3"/>
  <c r="K954"/>
  <c r="F954"/>
  <c r="L954" i="12"/>
  <c r="M954"/>
  <c r="L954" i="17"/>
  <c r="M954"/>
  <c r="F954" i="13"/>
  <c r="G954" s="1"/>
  <c r="I954" s="1"/>
  <c r="H955" i="6"/>
  <c r="I955"/>
  <c r="J955" i="3"/>
  <c r="K955"/>
  <c r="F955"/>
  <c r="L955" i="12"/>
  <c r="M955"/>
  <c r="L955" i="17"/>
  <c r="M955"/>
  <c r="F955" i="13"/>
  <c r="G955" s="1"/>
  <c r="I955" s="1"/>
  <c r="H956" i="6"/>
  <c r="I956"/>
  <c r="J956" i="3"/>
  <c r="K956"/>
  <c r="F956"/>
  <c r="L956" i="12"/>
  <c r="M956"/>
  <c r="L956" i="17"/>
  <c r="M956"/>
  <c r="F956" i="13"/>
  <c r="G956" s="1"/>
  <c r="I956" s="1"/>
  <c r="H957" i="6"/>
  <c r="I957"/>
  <c r="J957" i="3"/>
  <c r="K957"/>
  <c r="F957"/>
  <c r="L957" i="12"/>
  <c r="M957"/>
  <c r="L957" i="17"/>
  <c r="M957"/>
  <c r="F957" i="13"/>
  <c r="G957" s="1"/>
  <c r="I957" s="1"/>
  <c r="H958" i="6"/>
  <c r="I958"/>
  <c r="J958" i="3"/>
  <c r="K958"/>
  <c r="F958"/>
  <c r="L958" i="12"/>
  <c r="M958"/>
  <c r="L958" i="17"/>
  <c r="M958"/>
  <c r="F958" i="13"/>
  <c r="G958" s="1"/>
  <c r="I958" s="1"/>
  <c r="H959" i="6"/>
  <c r="I959"/>
  <c r="J959" i="3"/>
  <c r="K959"/>
  <c r="F959"/>
  <c r="L959" i="12"/>
  <c r="M959"/>
  <c r="L959" i="17"/>
  <c r="M959"/>
  <c r="F959" i="13"/>
  <c r="G959" s="1"/>
  <c r="I959" s="1"/>
  <c r="H960" i="6"/>
  <c r="I960"/>
  <c r="J960" i="3"/>
  <c r="K960"/>
  <c r="F960"/>
  <c r="L960" i="12"/>
  <c r="M960"/>
  <c r="L960" i="17"/>
  <c r="M960"/>
  <c r="F960" i="13"/>
  <c r="G960" s="1"/>
  <c r="I960" s="1"/>
  <c r="H961" i="6"/>
  <c r="I961"/>
  <c r="J961" i="3"/>
  <c r="K961"/>
  <c r="F961"/>
  <c r="L961" i="12"/>
  <c r="M961"/>
  <c r="L961" i="17"/>
  <c r="M961"/>
  <c r="F961" i="13"/>
  <c r="G961" s="1"/>
  <c r="I961" s="1"/>
  <c r="H962" i="6"/>
  <c r="I962"/>
  <c r="J962" i="3"/>
  <c r="K962"/>
  <c r="F962"/>
  <c r="L962" i="12"/>
  <c r="M962"/>
  <c r="L962" i="17"/>
  <c r="M962"/>
  <c r="F962" i="13"/>
  <c r="G962" s="1"/>
  <c r="I962" s="1"/>
  <c r="J963" i="3"/>
  <c r="K963"/>
  <c r="F963"/>
  <c r="L963" i="12"/>
  <c r="M963"/>
  <c r="L963" i="17"/>
  <c r="M963"/>
  <c r="F963" i="13"/>
  <c r="G963" s="1"/>
  <c r="I963" s="1"/>
  <c r="H964" i="6"/>
  <c r="I964"/>
  <c r="J964" i="3"/>
  <c r="K964"/>
  <c r="F964"/>
  <c r="L964" i="12"/>
  <c r="M964"/>
  <c r="L964" i="17"/>
  <c r="M964"/>
  <c r="F964" i="13"/>
  <c r="G964" s="1"/>
  <c r="I964" s="1"/>
  <c r="H965" i="6"/>
  <c r="I965"/>
  <c r="J965" i="3"/>
  <c r="K965"/>
  <c r="F965"/>
  <c r="L965" i="12"/>
  <c r="M965"/>
  <c r="L965" i="17"/>
  <c r="M965"/>
  <c r="F965" i="13"/>
  <c r="G965" s="1"/>
  <c r="I965" s="1"/>
  <c r="H966" i="6"/>
  <c r="I966"/>
  <c r="J966" i="3"/>
  <c r="K966"/>
  <c r="F966"/>
  <c r="L966" i="12"/>
  <c r="M966"/>
  <c r="L966" i="17"/>
  <c r="M966"/>
  <c r="F966" i="13"/>
  <c r="G966" s="1"/>
  <c r="I966" s="1"/>
  <c r="H967" i="6"/>
  <c r="I967"/>
  <c r="J967" i="3"/>
  <c r="K967"/>
  <c r="F967"/>
  <c r="L967" i="12"/>
  <c r="M967"/>
  <c r="L967" i="17"/>
  <c r="M967"/>
  <c r="F967" i="13"/>
  <c r="G967" s="1"/>
  <c r="I967" s="1"/>
  <c r="H968" i="6"/>
  <c r="I968"/>
  <c r="J968" i="3"/>
  <c r="K968"/>
  <c r="F968"/>
  <c r="L968" i="12"/>
  <c r="M968"/>
  <c r="L968" i="17"/>
  <c r="M968"/>
  <c r="F968" i="13"/>
  <c r="G968" s="1"/>
  <c r="I968" s="1"/>
  <c r="H969" i="6"/>
  <c r="I969"/>
  <c r="J969" i="3"/>
  <c r="K969"/>
  <c r="F969"/>
  <c r="L969" i="12"/>
  <c r="M969"/>
  <c r="L969" i="17"/>
  <c r="M969"/>
  <c r="F969" i="13"/>
  <c r="G969" s="1"/>
  <c r="I969" s="1"/>
  <c r="H970" i="6"/>
  <c r="I970"/>
  <c r="J970" i="3"/>
  <c r="K970"/>
  <c r="F970"/>
  <c r="L970" i="12"/>
  <c r="M970"/>
  <c r="L970" i="17"/>
  <c r="M970"/>
  <c r="F970" i="13"/>
  <c r="G970" s="1"/>
  <c r="I970" s="1"/>
  <c r="H971" i="6"/>
  <c r="I971"/>
  <c r="J971" i="3"/>
  <c r="K971"/>
  <c r="F971"/>
  <c r="L971" i="12"/>
  <c r="M971"/>
  <c r="L971" i="17"/>
  <c r="M971"/>
  <c r="F971" i="13"/>
  <c r="G971" s="1"/>
  <c r="I971" s="1"/>
  <c r="H972" i="6"/>
  <c r="I972"/>
  <c r="J972" i="3"/>
  <c r="K972"/>
  <c r="F972"/>
  <c r="L972" i="12"/>
  <c r="M972"/>
  <c r="L972" i="17"/>
  <c r="M972"/>
  <c r="F972" i="13"/>
  <c r="G972" s="1"/>
  <c r="I972" s="1"/>
  <c r="H973" i="6"/>
  <c r="I973"/>
  <c r="J973" i="3"/>
  <c r="K973"/>
  <c r="F973"/>
  <c r="L973" i="12"/>
  <c r="M973"/>
  <c r="L973" i="17"/>
  <c r="M973"/>
  <c r="F973" i="13"/>
  <c r="G973" s="1"/>
  <c r="I973" s="1"/>
  <c r="H974" i="6"/>
  <c r="I974"/>
  <c r="J974" i="3"/>
  <c r="K974"/>
  <c r="F974"/>
  <c r="L974" i="12"/>
  <c r="M974"/>
  <c r="L974" i="17"/>
  <c r="M974"/>
  <c r="F974" i="13"/>
  <c r="G974" s="1"/>
  <c r="I974" s="1"/>
  <c r="H975" i="6"/>
  <c r="I975"/>
  <c r="J975" i="3"/>
  <c r="K975"/>
  <c r="F975"/>
  <c r="L975" i="12"/>
  <c r="M975"/>
  <c r="L975" i="17"/>
  <c r="M975"/>
  <c r="F975" i="13"/>
  <c r="G975" s="1"/>
  <c r="I975" s="1"/>
  <c r="H976" i="6"/>
  <c r="I976"/>
  <c r="J976" i="3"/>
  <c r="K976"/>
  <c r="F976"/>
  <c r="L976" i="12"/>
  <c r="M976"/>
  <c r="L976" i="17"/>
  <c r="M976"/>
  <c r="F976" i="13"/>
  <c r="G976" s="1"/>
  <c r="I976" s="1"/>
  <c r="H977" i="6"/>
  <c r="I977"/>
  <c r="J977" i="3"/>
  <c r="K977"/>
  <c r="F977"/>
  <c r="L977" i="12"/>
  <c r="M977"/>
  <c r="L977" i="17"/>
  <c r="M977"/>
  <c r="F977" i="13"/>
  <c r="G977" s="1"/>
  <c r="I977" s="1"/>
  <c r="H978" i="6"/>
  <c r="I978"/>
  <c r="J978" i="3"/>
  <c r="K978"/>
  <c r="F978"/>
  <c r="L978" i="12"/>
  <c r="M978"/>
  <c r="L978" i="17"/>
  <c r="M978"/>
  <c r="F978" i="13"/>
  <c r="G978" s="1"/>
  <c r="I978" s="1"/>
  <c r="H979" i="6"/>
  <c r="I979"/>
  <c r="J979" i="3"/>
  <c r="K979"/>
  <c r="F979"/>
  <c r="L979" i="12"/>
  <c r="M979"/>
  <c r="L979" i="17"/>
  <c r="M979"/>
  <c r="F979" i="13"/>
  <c r="G979" s="1"/>
  <c r="I979" s="1"/>
  <c r="H980" i="6"/>
  <c r="I980"/>
  <c r="J980" i="3"/>
  <c r="K980"/>
  <c r="F980"/>
  <c r="L980" i="12"/>
  <c r="M980"/>
  <c r="L980" i="17"/>
  <c r="M980"/>
  <c r="F980" i="13"/>
  <c r="G980" s="1"/>
  <c r="I980" s="1"/>
  <c r="H981" i="6"/>
  <c r="I981"/>
  <c r="J981" i="3"/>
  <c r="K981"/>
  <c r="F981"/>
  <c r="L981" i="12"/>
  <c r="M981"/>
  <c r="L981" i="17"/>
  <c r="M981"/>
  <c r="F981" i="13"/>
  <c r="G981" s="1"/>
  <c r="I981" s="1"/>
  <c r="H982" i="6"/>
  <c r="I982"/>
  <c r="J982" i="3"/>
  <c r="K982"/>
  <c r="F982"/>
  <c r="L982" i="12"/>
  <c r="M982"/>
  <c r="L982" i="17"/>
  <c r="M982"/>
  <c r="F982" i="13"/>
  <c r="G982" s="1"/>
  <c r="I982" s="1"/>
  <c r="H983" i="6"/>
  <c r="I983"/>
  <c r="J983" i="3"/>
  <c r="K983"/>
  <c r="F983"/>
  <c r="L983" i="12"/>
  <c r="M983"/>
  <c r="L983" i="17"/>
  <c r="M983"/>
  <c r="F983" i="13"/>
  <c r="G983" s="1"/>
  <c r="I983" s="1"/>
  <c r="H984" i="6"/>
  <c r="I984"/>
  <c r="J984" i="3"/>
  <c r="K984"/>
  <c r="F984"/>
  <c r="L984" i="12"/>
  <c r="M984"/>
  <c r="L984" i="17"/>
  <c r="M984"/>
  <c r="F984" i="13"/>
  <c r="G984" s="1"/>
  <c r="I984" s="1"/>
  <c r="H985" i="6"/>
  <c r="I985"/>
  <c r="J985" i="3"/>
  <c r="K985"/>
  <c r="F985"/>
  <c r="L985" i="12"/>
  <c r="M985"/>
  <c r="L985" i="17"/>
  <c r="M985"/>
  <c r="F985" i="13"/>
  <c r="G985" s="1"/>
  <c r="I985" s="1"/>
  <c r="H986" i="6"/>
  <c r="I986"/>
  <c r="J986" i="3"/>
  <c r="K986"/>
  <c r="F986"/>
  <c r="L986" i="12"/>
  <c r="M986"/>
  <c r="L986" i="17"/>
  <c r="M986"/>
  <c r="F986" i="13"/>
  <c r="G986" s="1"/>
  <c r="I986" s="1"/>
  <c r="H987" i="6"/>
  <c r="I987"/>
  <c r="J987" i="3"/>
  <c r="K987"/>
  <c r="F987"/>
  <c r="L987" i="12"/>
  <c r="M987"/>
  <c r="L987" i="17"/>
  <c r="M987"/>
  <c r="F987" i="13"/>
  <c r="G987" s="1"/>
  <c r="I987" s="1"/>
  <c r="H988" i="6"/>
  <c r="I988"/>
  <c r="J988" i="3"/>
  <c r="K988"/>
  <c r="F988"/>
  <c r="L988" i="12"/>
  <c r="M988"/>
  <c r="L988" i="17"/>
  <c r="M988"/>
  <c r="F988" i="13"/>
  <c r="G988" s="1"/>
  <c r="I988" s="1"/>
  <c r="H989" i="6"/>
  <c r="I989"/>
  <c r="J989" i="3"/>
  <c r="K989"/>
  <c r="F989"/>
  <c r="L989" i="12"/>
  <c r="M989"/>
  <c r="L989" i="17"/>
  <c r="M989"/>
  <c r="F989" i="13"/>
  <c r="G989" s="1"/>
  <c r="I989" s="1"/>
  <c r="H990" i="6"/>
  <c r="I990"/>
  <c r="J990" i="3"/>
  <c r="K990"/>
  <c r="F990"/>
  <c r="L990" i="12"/>
  <c r="M990"/>
  <c r="L990" i="17"/>
  <c r="M990"/>
  <c r="F990" i="13"/>
  <c r="G990" s="1"/>
  <c r="I990" s="1"/>
  <c r="H991" i="6"/>
  <c r="I991"/>
  <c r="J991" i="3"/>
  <c r="K991"/>
  <c r="F991"/>
  <c r="L991" i="12"/>
  <c r="M991"/>
  <c r="L991" i="17"/>
  <c r="M991"/>
  <c r="F991" i="13"/>
  <c r="G991" s="1"/>
  <c r="I991" s="1"/>
  <c r="H992" i="6"/>
  <c r="I992"/>
  <c r="J992" i="3"/>
  <c r="K992"/>
  <c r="F992"/>
  <c r="L992" i="12"/>
  <c r="M992"/>
  <c r="L992" i="17"/>
  <c r="M992"/>
  <c r="F992" i="13"/>
  <c r="G992" s="1"/>
  <c r="I992" s="1"/>
  <c r="H993" i="6"/>
  <c r="I993"/>
  <c r="J993" i="3"/>
  <c r="K993"/>
  <c r="F993"/>
  <c r="L993" i="12"/>
  <c r="M993"/>
  <c r="L993" i="17"/>
  <c r="M993"/>
  <c r="F993" i="13"/>
  <c r="G993" s="1"/>
  <c r="I993" s="1"/>
  <c r="H994" i="6"/>
  <c r="I994"/>
  <c r="J994" i="3"/>
  <c r="K994"/>
  <c r="F994"/>
  <c r="L994" i="12"/>
  <c r="M994"/>
  <c r="L994" i="17"/>
  <c r="M994"/>
  <c r="F994" i="13"/>
  <c r="G994" s="1"/>
  <c r="I994" s="1"/>
  <c r="H995" i="6"/>
  <c r="I995"/>
  <c r="J995" i="3"/>
  <c r="K995"/>
  <c r="F995"/>
  <c r="L995" i="12"/>
  <c r="M995"/>
  <c r="L995" i="17"/>
  <c r="M995"/>
  <c r="F995" i="13"/>
  <c r="G995" s="1"/>
  <c r="I995" s="1"/>
  <c r="H996" i="6"/>
  <c r="I996"/>
  <c r="J996" i="3"/>
  <c r="K996"/>
  <c r="F996"/>
  <c r="L996" i="12"/>
  <c r="M996"/>
  <c r="L996" i="17"/>
  <c r="M996"/>
  <c r="F996" i="13"/>
  <c r="G996" s="1"/>
  <c r="I996" s="1"/>
  <c r="H997" i="6"/>
  <c r="I997"/>
  <c r="J997" i="3"/>
  <c r="K997"/>
  <c r="F997"/>
  <c r="L997" i="12"/>
  <c r="M997"/>
  <c r="L997" i="17"/>
  <c r="M997"/>
  <c r="F997" i="13"/>
  <c r="G997" s="1"/>
  <c r="I997" s="1"/>
  <c r="H998" i="6"/>
  <c r="I998"/>
  <c r="J998" i="3"/>
  <c r="K998"/>
  <c r="F998"/>
  <c r="L998" i="12"/>
  <c r="M998"/>
  <c r="L998" i="17"/>
  <c r="M998"/>
  <c r="F998" i="13"/>
  <c r="G998" s="1"/>
  <c r="I998" s="1"/>
  <c r="H999" i="6"/>
  <c r="I999"/>
  <c r="J999" i="3"/>
  <c r="K999"/>
  <c r="F999"/>
  <c r="L999" i="12"/>
  <c r="M999"/>
  <c r="L999" i="17"/>
  <c r="M999"/>
  <c r="F999" i="13"/>
  <c r="G999" s="1"/>
  <c r="I999" s="1"/>
  <c r="H1000" i="6"/>
  <c r="I1000"/>
  <c r="J1000" i="3"/>
  <c r="K1000"/>
  <c r="F1000"/>
  <c r="L1000" i="12"/>
  <c r="M1000"/>
  <c r="L1000" i="17"/>
  <c r="M1000"/>
  <c r="F1000" i="13"/>
  <c r="G1000" s="1"/>
  <c r="I1000" s="1"/>
  <c r="H1001" i="6"/>
  <c r="I1001"/>
  <c r="J1001" i="3"/>
  <c r="K1001"/>
  <c r="F1001"/>
  <c r="L1001" i="12"/>
  <c r="M1001"/>
  <c r="L1001" i="17"/>
  <c r="M1001"/>
  <c r="F1001" i="13"/>
  <c r="G1001" s="1"/>
  <c r="I1001" s="1"/>
  <c r="H1002" i="6"/>
  <c r="I1002"/>
  <c r="J1002" i="3"/>
  <c r="K1002"/>
  <c r="F1002"/>
  <c r="L1002" i="12"/>
  <c r="M1002"/>
  <c r="L1002" i="17"/>
  <c r="M1002"/>
  <c r="F1002" i="13"/>
  <c r="G1002" s="1"/>
  <c r="I1002" s="1"/>
  <c r="H1003" i="6"/>
  <c r="I1003"/>
  <c r="J1003" i="3"/>
  <c r="K1003"/>
  <c r="F1003"/>
  <c r="L1003" i="12"/>
  <c r="M1003"/>
  <c r="L1003" i="17"/>
  <c r="M1003"/>
  <c r="F1003" i="13"/>
  <c r="G1003" s="1"/>
  <c r="I1003" s="1"/>
  <c r="H1004" i="6"/>
  <c r="I1004"/>
  <c r="J1004" i="3"/>
  <c r="K1004"/>
  <c r="F1004"/>
  <c r="L1004" i="12"/>
  <c r="M1004"/>
  <c r="L1004" i="17"/>
  <c r="M1004"/>
  <c r="F1004" i="13"/>
  <c r="G1004" s="1"/>
  <c r="I1004" s="1"/>
  <c r="H1005" i="6"/>
  <c r="I1005"/>
  <c r="J1005" i="3"/>
  <c r="K1005"/>
  <c r="F1005"/>
  <c r="L1005" i="12"/>
  <c r="M1005"/>
  <c r="L1005" i="17"/>
  <c r="M1005"/>
  <c r="F1005" i="13"/>
  <c r="G1005" s="1"/>
  <c r="I1005" s="1"/>
  <c r="H1006" i="6"/>
  <c r="I1006"/>
  <c r="J1006" i="3"/>
  <c r="K1006"/>
  <c r="F1006"/>
  <c r="L1006" i="12"/>
  <c r="M1006"/>
  <c r="L1006" i="17"/>
  <c r="M1006"/>
  <c r="F1006" i="13"/>
  <c r="G1006" s="1"/>
  <c r="I1006" s="1"/>
  <c r="H1007" i="6"/>
  <c r="I1007"/>
  <c r="J1007" i="3"/>
  <c r="K1007"/>
  <c r="F1007"/>
  <c r="L1007" i="12"/>
  <c r="M1007"/>
  <c r="L1007" i="17"/>
  <c r="M1007"/>
  <c r="F1007" i="13"/>
  <c r="G1007" s="1"/>
  <c r="I1007" s="1"/>
  <c r="H1008" i="6"/>
  <c r="I1008"/>
  <c r="J1008" i="3"/>
  <c r="K1008"/>
  <c r="F1008"/>
  <c r="L1008" i="12"/>
  <c r="M1008"/>
  <c r="L1008" i="17"/>
  <c r="M1008"/>
  <c r="F1008" i="13"/>
  <c r="G1008" s="1"/>
  <c r="I1008" s="1"/>
  <c r="H1009" i="6"/>
  <c r="I1009"/>
  <c r="J1009" i="3"/>
  <c r="K1009"/>
  <c r="F1009"/>
  <c r="L1009" i="12"/>
  <c r="M1009"/>
  <c r="L1009" i="17"/>
  <c r="M1009"/>
  <c r="F1009" i="13"/>
  <c r="G1009" s="1"/>
  <c r="I1009" s="1"/>
  <c r="H1010" i="6"/>
  <c r="I1010"/>
  <c r="J1010" i="3"/>
  <c r="K1010"/>
  <c r="F1010"/>
  <c r="L1010" i="12"/>
  <c r="M1010"/>
  <c r="L1010" i="17"/>
  <c r="M1010"/>
  <c r="F1010" i="13"/>
  <c r="G1010" s="1"/>
  <c r="I1010" s="1"/>
  <c r="H1011" i="6"/>
  <c r="I1011"/>
  <c r="J1011" i="3"/>
  <c r="K1011"/>
  <c r="F1011"/>
  <c r="L1011" i="12"/>
  <c r="M1011"/>
  <c r="L1011" i="17"/>
  <c r="M1011"/>
  <c r="F1011" i="13"/>
  <c r="G1011" s="1"/>
  <c r="I1011" s="1"/>
  <c r="H1012" i="6"/>
  <c r="I1012"/>
  <c r="J1012" i="3"/>
  <c r="K1012"/>
  <c r="F1012"/>
  <c r="L1012" i="12"/>
  <c r="M1012"/>
  <c r="L1012" i="17"/>
  <c r="M1012"/>
  <c r="F1012" i="13"/>
  <c r="G1012" s="1"/>
  <c r="I1012" s="1"/>
  <c r="H1013" i="6"/>
  <c r="I1013"/>
  <c r="J1013" i="3"/>
  <c r="K1013"/>
  <c r="F1013"/>
  <c r="L1013" i="12"/>
  <c r="M1013"/>
  <c r="L1013" i="17"/>
  <c r="M1013"/>
  <c r="F1013" i="13"/>
  <c r="G1013" s="1"/>
  <c r="I1013" s="1"/>
  <c r="H1014" i="6"/>
  <c r="I1014"/>
  <c r="J1014" i="3"/>
  <c r="K1014"/>
  <c r="F1014"/>
  <c r="L1014" i="12"/>
  <c r="M1014"/>
  <c r="L1014" i="17"/>
  <c r="M1014"/>
  <c r="F1014" i="13"/>
  <c r="G1014" s="1"/>
  <c r="I1014" s="1"/>
  <c r="H1015" i="6"/>
  <c r="I1015"/>
  <c r="J1015" i="3"/>
  <c r="K1015"/>
  <c r="F1015"/>
  <c r="L1015" i="12"/>
  <c r="M1015"/>
  <c r="L1015" i="17"/>
  <c r="M1015"/>
  <c r="F1015" i="13"/>
  <c r="G1015" s="1"/>
  <c r="I1015" s="1"/>
  <c r="H1016" i="6"/>
  <c r="I1016"/>
  <c r="J1016" i="3"/>
  <c r="K1016"/>
  <c r="F1016"/>
  <c r="L1016" i="12"/>
  <c r="M1016"/>
  <c r="L1016" i="17"/>
  <c r="M1016"/>
  <c r="F1016" i="13"/>
  <c r="G1016" s="1"/>
  <c r="I1016" s="1"/>
  <c r="H1017" i="6"/>
  <c r="I1017"/>
  <c r="J1017" i="3"/>
  <c r="K1017"/>
  <c r="F1017"/>
  <c r="L1017" i="12"/>
  <c r="M1017"/>
  <c r="L1017" i="17"/>
  <c r="M1017"/>
  <c r="F1017" i="13"/>
  <c r="G1017" s="1"/>
  <c r="I1017" s="1"/>
  <c r="H1018" i="6"/>
  <c r="I1018"/>
  <c r="J1018" i="3"/>
  <c r="K1018"/>
  <c r="F1018"/>
  <c r="L1018" i="12"/>
  <c r="M1018"/>
  <c r="L1018" i="17"/>
  <c r="M1018"/>
  <c r="F1018" i="13"/>
  <c r="G1018" s="1"/>
  <c r="I1018" s="1"/>
  <c r="H1019" i="6"/>
  <c r="I1019"/>
  <c r="J1019" i="3"/>
  <c r="K1019"/>
  <c r="F1019"/>
  <c r="L1019" i="12"/>
  <c r="M1019"/>
  <c r="L1019" i="17"/>
  <c r="M1019"/>
  <c r="F1019" i="13"/>
  <c r="G1019" s="1"/>
  <c r="I1019" s="1"/>
  <c r="H1020" i="6"/>
  <c r="I1020"/>
  <c r="J1020" i="3"/>
  <c r="K1020"/>
  <c r="F1020"/>
  <c r="L1020" i="12"/>
  <c r="M1020"/>
  <c r="L1020" i="17"/>
  <c r="M1020"/>
  <c r="F1020" i="13"/>
  <c r="G1020" s="1"/>
  <c r="I1020" s="1"/>
  <c r="H1021" i="6"/>
  <c r="I1021"/>
  <c r="J1021" i="3"/>
  <c r="K1021"/>
  <c r="F1021"/>
  <c r="L1021" i="12"/>
  <c r="M1021"/>
  <c r="L1021" i="17"/>
  <c r="M1021"/>
  <c r="F1021" i="13"/>
  <c r="G1021" s="1"/>
  <c r="I1021" s="1"/>
  <c r="H1022" i="6"/>
  <c r="I1022"/>
  <c r="J1022" i="3"/>
  <c r="K1022"/>
  <c r="F1022"/>
  <c r="L1022" i="12"/>
  <c r="M1022"/>
  <c r="L1022" i="17"/>
  <c r="M1022"/>
  <c r="F1022" i="13"/>
  <c r="G1022" s="1"/>
  <c r="I1022" s="1"/>
  <c r="H1023" i="6"/>
  <c r="I1023"/>
  <c r="J1023" i="3"/>
  <c r="K1023"/>
  <c r="F1023"/>
  <c r="L1023" i="12"/>
  <c r="M1023"/>
  <c r="L1023" i="17"/>
  <c r="M1023"/>
  <c r="F1023" i="13"/>
  <c r="G1023" s="1"/>
  <c r="I1023" s="1"/>
  <c r="H1024" i="6"/>
  <c r="I1024"/>
  <c r="J1024" i="3"/>
  <c r="K1024"/>
  <c r="F1024"/>
  <c r="L1024" i="12"/>
  <c r="M1024"/>
  <c r="L1024" i="17"/>
  <c r="M1024"/>
  <c r="F1024" i="13"/>
  <c r="G1024" s="1"/>
  <c r="I1024" s="1"/>
  <c r="H1025" i="6"/>
  <c r="I1025"/>
  <c r="J1025" i="3"/>
  <c r="K1025"/>
  <c r="F1025"/>
  <c r="L1025" i="12"/>
  <c r="M1025"/>
  <c r="L1025" i="17"/>
  <c r="M1025"/>
  <c r="F1025" i="13"/>
  <c r="G1025" s="1"/>
  <c r="I1025" s="1"/>
  <c r="H1026" i="6"/>
  <c r="I1026"/>
  <c r="J1026" i="3"/>
  <c r="K1026"/>
  <c r="F1026"/>
  <c r="L1026" i="12"/>
  <c r="M1026"/>
  <c r="L1026" i="17"/>
  <c r="M1026"/>
  <c r="F1026" i="13"/>
  <c r="G1026" s="1"/>
  <c r="I1026" s="1"/>
  <c r="H1027" i="6"/>
  <c r="I1027"/>
  <c r="J1027" i="3"/>
  <c r="K1027"/>
  <c r="F1027"/>
  <c r="L1027" i="12"/>
  <c r="M1027"/>
  <c r="L1027" i="17"/>
  <c r="M1027"/>
  <c r="F1027" i="13"/>
  <c r="G1027" s="1"/>
  <c r="I1027" s="1"/>
  <c r="H1028" i="6"/>
  <c r="I1028"/>
  <c r="J1028" i="3"/>
  <c r="K1028"/>
  <c r="F1028"/>
  <c r="L1028" i="12"/>
  <c r="M1028"/>
  <c r="L1028" i="17"/>
  <c r="M1028"/>
  <c r="F1028" i="13"/>
  <c r="G1028" s="1"/>
  <c r="I1028" s="1"/>
  <c r="H1029" i="6"/>
  <c r="I1029"/>
  <c r="J1029" i="3"/>
  <c r="K1029"/>
  <c r="F1029"/>
  <c r="L1029" i="12"/>
  <c r="M1029"/>
  <c r="L1029" i="17"/>
  <c r="M1029"/>
  <c r="F1029" i="13"/>
  <c r="G1029" s="1"/>
  <c r="I1029" s="1"/>
  <c r="H1030" i="6"/>
  <c r="I1030"/>
  <c r="J1030" i="3"/>
  <c r="K1030"/>
  <c r="F1030"/>
  <c r="L1030" i="12"/>
  <c r="M1030"/>
  <c r="L1030" i="17"/>
  <c r="M1030"/>
  <c r="F1030" i="13"/>
  <c r="G1030" s="1"/>
  <c r="I1030" s="1"/>
  <c r="H1031" i="6"/>
  <c r="I1031"/>
  <c r="J1031" i="3"/>
  <c r="K1031"/>
  <c r="F1031"/>
  <c r="L1031" i="12"/>
  <c r="M1031"/>
  <c r="L1031" i="17"/>
  <c r="M1031"/>
  <c r="F1031" i="13"/>
  <c r="G1031" s="1"/>
  <c r="I1031" s="1"/>
  <c r="H1032" i="6"/>
  <c r="I1032"/>
  <c r="J1032" i="3"/>
  <c r="K1032"/>
  <c r="F1032"/>
  <c r="L1032" i="12"/>
  <c r="M1032"/>
  <c r="L1032" i="17"/>
  <c r="M1032"/>
  <c r="F1032" i="13"/>
  <c r="G1032" s="1"/>
  <c r="I1032" s="1"/>
  <c r="H1033" i="6"/>
  <c r="I1033"/>
  <c r="J1033" i="3"/>
  <c r="K1033"/>
  <c r="F1033"/>
  <c r="L1033" i="12"/>
  <c r="M1033"/>
  <c r="L1033" i="17"/>
  <c r="M1033"/>
  <c r="F1033" i="13"/>
  <c r="G1033" s="1"/>
  <c r="I1033" s="1"/>
  <c r="H1034" i="6"/>
  <c r="I1034"/>
  <c r="J1034" i="3"/>
  <c r="K1034"/>
  <c r="F1034"/>
  <c r="L1034" i="12"/>
  <c r="M1034"/>
  <c r="L1034" i="17"/>
  <c r="M1034"/>
  <c r="F1034" i="13"/>
  <c r="G1034" s="1"/>
  <c r="I1034" s="1"/>
  <c r="H1035" i="6"/>
  <c r="I1035"/>
  <c r="J1035" i="3"/>
  <c r="K1035"/>
  <c r="F1035"/>
  <c r="L1035" i="12"/>
  <c r="M1035"/>
  <c r="L1035" i="17"/>
  <c r="M1035"/>
  <c r="F1035" i="13"/>
  <c r="G1035" s="1"/>
  <c r="I1035" s="1"/>
  <c r="H1036" i="6"/>
  <c r="I1036"/>
  <c r="J1036" i="3"/>
  <c r="K1036"/>
  <c r="F1036"/>
  <c r="L1036" i="12"/>
  <c r="M1036"/>
  <c r="L1036" i="17"/>
  <c r="M1036"/>
  <c r="F1036" i="13"/>
  <c r="G1036" s="1"/>
  <c r="I1036" s="1"/>
  <c r="H1037" i="6"/>
  <c r="I1037"/>
  <c r="J1037" i="3"/>
  <c r="K1037"/>
  <c r="F1037"/>
  <c r="L1037" i="12"/>
  <c r="M1037"/>
  <c r="L1037" i="17"/>
  <c r="M1037"/>
  <c r="F1037" i="13"/>
  <c r="G1037" s="1"/>
  <c r="I1037" s="1"/>
  <c r="H1038" i="6"/>
  <c r="I1038"/>
  <c r="J1038" i="3"/>
  <c r="K1038"/>
  <c r="F1038"/>
  <c r="L1038" i="12"/>
  <c r="M1038"/>
  <c r="L1038" i="17"/>
  <c r="M1038"/>
  <c r="F1038" i="13"/>
  <c r="G1038" s="1"/>
  <c r="I1038" s="1"/>
  <c r="H1039" i="6"/>
  <c r="I1039"/>
  <c r="J1039" i="3"/>
  <c r="K1039"/>
  <c r="F1039"/>
  <c r="L1039" i="12"/>
  <c r="M1039"/>
  <c r="L1039" i="17"/>
  <c r="M1039"/>
  <c r="F1039" i="13"/>
  <c r="G1039" s="1"/>
  <c r="I1039" s="1"/>
  <c r="H1040" i="6"/>
  <c r="I1040"/>
  <c r="J1040" i="3"/>
  <c r="K1040"/>
  <c r="F1040"/>
  <c r="L1040" i="12"/>
  <c r="M1040"/>
  <c r="L1040" i="17"/>
  <c r="M1040"/>
  <c r="F1040" i="13"/>
  <c r="G1040" s="1"/>
  <c r="I1040" s="1"/>
  <c r="H1041" i="6"/>
  <c r="I1041"/>
  <c r="J1041" i="3"/>
  <c r="K1041"/>
  <c r="F1041"/>
  <c r="L1041" i="12"/>
  <c r="M1041"/>
  <c r="L1041" i="17"/>
  <c r="M1041"/>
  <c r="F1041" i="13"/>
  <c r="G1041" s="1"/>
  <c r="I1041" s="1"/>
  <c r="H1042" i="6"/>
  <c r="I1042"/>
  <c r="J1042" i="3"/>
  <c r="K1042"/>
  <c r="F1042"/>
  <c r="L1042" i="12"/>
  <c r="M1042"/>
  <c r="L1042" i="17"/>
  <c r="M1042"/>
  <c r="F1042" i="13"/>
  <c r="G1042" s="1"/>
  <c r="I1042" s="1"/>
  <c r="H1043" i="6"/>
  <c r="I1043"/>
  <c r="J1043" i="3"/>
  <c r="K1043"/>
  <c r="F1043"/>
  <c r="L1043" i="12"/>
  <c r="M1043"/>
  <c r="L1043" i="17"/>
  <c r="M1043"/>
  <c r="F1043" i="13"/>
  <c r="G1043" s="1"/>
  <c r="I1043" s="1"/>
  <c r="H1044" i="6"/>
  <c r="I1044"/>
  <c r="J1044" i="3"/>
  <c r="K1044"/>
  <c r="F1044"/>
  <c r="L1044" i="12"/>
  <c r="M1044"/>
  <c r="L1044" i="17"/>
  <c r="M1044"/>
  <c r="F1044" i="13"/>
  <c r="G1044" s="1"/>
  <c r="I1044" s="1"/>
  <c r="H1045" i="6"/>
  <c r="I1045"/>
  <c r="J1045" i="3"/>
  <c r="K1045"/>
  <c r="F1045"/>
  <c r="L1045" i="12"/>
  <c r="M1045"/>
  <c r="L1045" i="17"/>
  <c r="M1045"/>
  <c r="F1045" i="13"/>
  <c r="G1045" s="1"/>
  <c r="I1045" s="1"/>
  <c r="H1046" i="6"/>
  <c r="I1046"/>
  <c r="J1046" i="3"/>
  <c r="K1046"/>
  <c r="F1046"/>
  <c r="L1046" i="12"/>
  <c r="M1046"/>
  <c r="L1046" i="17"/>
  <c r="M1046"/>
  <c r="F1046" i="13"/>
  <c r="G1046" s="1"/>
  <c r="I1046" s="1"/>
  <c r="H1047" i="6"/>
  <c r="I1047"/>
  <c r="J1047" i="3"/>
  <c r="K1047"/>
  <c r="F1047"/>
  <c r="L1047" i="12"/>
  <c r="M1047"/>
  <c r="L1047" i="17"/>
  <c r="M1047"/>
  <c r="F1047" i="13"/>
  <c r="G1047" s="1"/>
  <c r="I1047" s="1"/>
  <c r="H1048" i="6"/>
  <c r="I1048"/>
  <c r="J1048" i="3"/>
  <c r="K1048"/>
  <c r="F1048"/>
  <c r="L1048" i="12"/>
  <c r="M1048"/>
  <c r="L1048" i="17"/>
  <c r="M1048"/>
  <c r="F1048" i="13"/>
  <c r="G1048" s="1"/>
  <c r="I1048" s="1"/>
  <c r="H1049" i="6"/>
  <c r="I1049"/>
  <c r="J1049" i="3"/>
  <c r="K1049"/>
  <c r="F1049"/>
  <c r="L1049" i="12"/>
  <c r="M1049"/>
  <c r="L1049" i="17"/>
  <c r="M1049"/>
  <c r="F1049" i="13"/>
  <c r="G1049" s="1"/>
  <c r="I1049" s="1"/>
  <c r="H1050" i="6"/>
  <c r="I1050"/>
  <c r="J1050" i="3"/>
  <c r="K1050"/>
  <c r="F1050"/>
  <c r="L1050" i="12"/>
  <c r="M1050"/>
  <c r="L1050" i="17"/>
  <c r="M1050"/>
  <c r="F1050" i="13"/>
  <c r="G1050" s="1"/>
  <c r="I1050" s="1"/>
  <c r="H1051" i="6"/>
  <c r="I1051"/>
  <c r="J1051" i="3"/>
  <c r="K1051"/>
  <c r="F1051"/>
  <c r="L1051" i="12"/>
  <c r="M1051"/>
  <c r="L1051" i="17"/>
  <c r="M1051"/>
  <c r="F1051" i="13"/>
  <c r="G1051" s="1"/>
  <c r="I1051" s="1"/>
  <c r="H1052" i="6"/>
  <c r="I1052"/>
  <c r="J1052" i="3"/>
  <c r="K1052"/>
  <c r="F1052"/>
  <c r="L1052" i="12"/>
  <c r="M1052"/>
  <c r="L1052" i="17"/>
  <c r="M1052"/>
  <c r="F1052" i="13"/>
  <c r="G1052" s="1"/>
  <c r="I1052" s="1"/>
  <c r="H1053" i="6"/>
  <c r="I1053"/>
  <c r="J1053" i="3"/>
  <c r="K1053"/>
  <c r="F1053"/>
  <c r="L1053" i="12"/>
  <c r="M1053"/>
  <c r="L1053" i="17"/>
  <c r="M1053"/>
  <c r="F1053" i="13"/>
  <c r="G1053" s="1"/>
  <c r="I1053" s="1"/>
  <c r="H1054" i="6"/>
  <c r="I1054"/>
  <c r="J1054" i="3"/>
  <c r="K1054"/>
  <c r="F1054"/>
  <c r="L1054" i="12"/>
  <c r="M1054"/>
  <c r="L1054" i="17"/>
  <c r="M1054"/>
  <c r="H1055" i="6"/>
  <c r="I1055"/>
  <c r="J1055" i="3"/>
  <c r="K1055"/>
  <c r="F1055"/>
  <c r="L1055" i="12"/>
  <c r="M1055"/>
  <c r="L1055" i="17"/>
  <c r="M1055"/>
  <c r="F1055" i="13"/>
  <c r="G1055" s="1"/>
  <c r="I1055" s="1"/>
  <c r="H1056" i="6"/>
  <c r="I1056"/>
  <c r="J1056" i="3"/>
  <c r="K1056"/>
  <c r="F1056"/>
  <c r="L1056" i="12"/>
  <c r="M1056"/>
  <c r="L1056" i="17"/>
  <c r="M1056"/>
  <c r="F1056" i="13"/>
  <c r="G1056" s="1"/>
  <c r="I1056" s="1"/>
  <c r="H1057" i="6"/>
  <c r="I1057"/>
  <c r="J1057" i="3"/>
  <c r="K1057"/>
  <c r="F1057"/>
  <c r="L1057" i="12"/>
  <c r="M1057"/>
  <c r="L1057" i="17"/>
  <c r="M1057"/>
  <c r="F1057" i="13"/>
  <c r="G1057" s="1"/>
  <c r="I1057" s="1"/>
  <c r="H1058" i="6"/>
  <c r="I1058"/>
  <c r="J1058" i="3"/>
  <c r="K1058"/>
  <c r="F1058"/>
  <c r="L1058" i="12"/>
  <c r="M1058"/>
  <c r="L1058" i="17"/>
  <c r="M1058"/>
  <c r="F1058" i="13"/>
  <c r="G1058" s="1"/>
  <c r="I1058" s="1"/>
  <c r="H1059" i="6"/>
  <c r="I1059"/>
  <c r="J1059" i="3"/>
  <c r="K1059"/>
  <c r="F1059"/>
  <c r="L1059" i="12"/>
  <c r="M1059"/>
  <c r="L1059" i="17"/>
  <c r="M1059"/>
  <c r="F1059" i="13"/>
  <c r="G1059" s="1"/>
  <c r="I1059" s="1"/>
  <c r="H1060" i="6"/>
  <c r="I1060"/>
  <c r="J1060" i="3"/>
  <c r="K1060"/>
  <c r="F1060"/>
  <c r="L1060" i="12"/>
  <c r="M1060"/>
  <c r="L1060" i="17"/>
  <c r="M1060"/>
  <c r="F1060" i="13"/>
  <c r="G1060" s="1"/>
  <c r="I1060" s="1"/>
  <c r="H1061" i="6"/>
  <c r="I1061"/>
  <c r="J1061" i="3"/>
  <c r="K1061"/>
  <c r="F1061"/>
  <c r="L1061" i="12"/>
  <c r="M1061"/>
  <c r="L1061" i="17"/>
  <c r="M1061"/>
  <c r="F1061" i="13"/>
  <c r="G1061" s="1"/>
  <c r="I1061" s="1"/>
  <c r="H1062" i="6"/>
  <c r="I1062"/>
  <c r="J1062" i="3"/>
  <c r="K1062"/>
  <c r="F1062"/>
  <c r="L1062" i="12"/>
  <c r="M1062"/>
  <c r="L1062" i="17"/>
  <c r="M1062"/>
  <c r="F1062" i="13"/>
  <c r="G1062" s="1"/>
  <c r="I1062" s="1"/>
  <c r="H1063" i="6"/>
  <c r="I1063"/>
  <c r="J1063" i="3"/>
  <c r="K1063"/>
  <c r="F1063"/>
  <c r="L1063" i="12"/>
  <c r="M1063"/>
  <c r="L1063" i="17"/>
  <c r="M1063"/>
  <c r="F1063" i="13"/>
  <c r="G1063" s="1"/>
  <c r="I1063" s="1"/>
  <c r="H1064" i="6"/>
  <c r="I1064"/>
  <c r="J1064" i="3"/>
  <c r="K1064"/>
  <c r="F1064"/>
  <c r="L1064" i="12"/>
  <c r="M1064"/>
  <c r="L1064" i="17"/>
  <c r="M1064"/>
  <c r="F1064" i="13"/>
  <c r="G1064" s="1"/>
  <c r="I1064" s="1"/>
  <c r="H1065" i="6"/>
  <c r="I1065"/>
  <c r="J1065" i="3"/>
  <c r="K1065"/>
  <c r="F1065"/>
  <c r="L1065" i="12"/>
  <c r="M1065"/>
  <c r="L1065" i="17"/>
  <c r="M1065"/>
  <c r="F1065" i="13"/>
  <c r="G1065" s="1"/>
  <c r="I1065" s="1"/>
  <c r="H1066" i="6"/>
  <c r="I1066"/>
  <c r="J1066" i="3"/>
  <c r="K1066"/>
  <c r="F1066"/>
  <c r="L1066" i="12"/>
  <c r="M1066"/>
  <c r="L1066" i="17"/>
  <c r="M1066"/>
  <c r="F1066" i="13"/>
  <c r="G1066" s="1"/>
  <c r="I1066" s="1"/>
  <c r="H1067" i="6"/>
  <c r="I1067"/>
  <c r="J1067" i="3"/>
  <c r="K1067"/>
  <c r="F1067"/>
  <c r="L1067" i="12"/>
  <c r="M1067"/>
  <c r="L1067" i="17"/>
  <c r="M1067"/>
  <c r="F1067" i="13"/>
  <c r="G1067" s="1"/>
  <c r="I1067" s="1"/>
  <c r="H1068" i="6"/>
  <c r="I1068"/>
  <c r="J1068" i="3"/>
  <c r="K1068"/>
  <c r="F1068"/>
  <c r="L1068" i="12"/>
  <c r="M1068"/>
  <c r="L1068" i="17"/>
  <c r="M1068"/>
  <c r="F1068" i="13"/>
  <c r="G1068" s="1"/>
  <c r="I1068" s="1"/>
  <c r="H1069" i="6"/>
  <c r="I1069"/>
  <c r="J1069" i="3"/>
  <c r="K1069"/>
  <c r="F1069"/>
  <c r="L1069" i="12"/>
  <c r="M1069"/>
  <c r="L1069" i="17"/>
  <c r="M1069"/>
  <c r="F1069" i="13"/>
  <c r="G1069" s="1"/>
  <c r="I1069" s="1"/>
  <c r="H1070" i="6"/>
  <c r="I1070"/>
  <c r="J1070" i="3"/>
  <c r="K1070"/>
  <c r="F1070"/>
  <c r="L1070" i="12"/>
  <c r="M1070"/>
  <c r="L1070" i="17"/>
  <c r="M1070"/>
  <c r="F1070" i="13"/>
  <c r="G1070" s="1"/>
  <c r="I1070" s="1"/>
  <c r="H1071" i="6"/>
  <c r="I1071"/>
  <c r="J1071" i="3"/>
  <c r="K1071"/>
  <c r="F1071"/>
  <c r="L1071" i="12"/>
  <c r="M1071"/>
  <c r="L1071" i="17"/>
  <c r="M1071"/>
  <c r="F1071" i="13"/>
  <c r="G1071" s="1"/>
  <c r="I1071" s="1"/>
  <c r="H1072" i="6"/>
  <c r="I1072"/>
  <c r="J1072" i="3"/>
  <c r="K1072"/>
  <c r="F1072"/>
  <c r="L1072" i="12"/>
  <c r="M1072"/>
  <c r="L1072" i="17"/>
  <c r="M1072"/>
  <c r="F1072" i="13"/>
  <c r="G1072" s="1"/>
  <c r="I1072" s="1"/>
  <c r="H1073" i="6"/>
  <c r="I1073"/>
  <c r="J1073" i="3"/>
  <c r="K1073"/>
  <c r="F1073"/>
  <c r="L1073" i="12"/>
  <c r="M1073"/>
  <c r="L1073" i="17"/>
  <c r="M1073"/>
  <c r="F1073" i="13"/>
  <c r="G1073" s="1"/>
  <c r="I1073" s="1"/>
  <c r="H1074" i="6"/>
  <c r="I1074"/>
  <c r="J1074" i="3"/>
  <c r="K1074"/>
  <c r="F1074"/>
  <c r="L1074" i="12"/>
  <c r="M1074"/>
  <c r="L1074" i="17"/>
  <c r="M1074"/>
  <c r="F1074" i="13"/>
  <c r="G1074" s="1"/>
  <c r="I1074" s="1"/>
  <c r="H1075" i="6"/>
  <c r="I1075"/>
  <c r="J1075" i="3"/>
  <c r="K1075"/>
  <c r="F1075"/>
  <c r="L1075" i="12"/>
  <c r="M1075"/>
  <c r="L1075" i="17"/>
  <c r="M1075"/>
  <c r="F1075" i="13"/>
  <c r="G1075" s="1"/>
  <c r="I1075" s="1"/>
  <c r="H1076" i="6"/>
  <c r="I1076"/>
  <c r="J1076" i="3"/>
  <c r="K1076"/>
  <c r="F1076"/>
  <c r="L1076" i="12"/>
  <c r="M1076"/>
  <c r="L1076" i="17"/>
  <c r="M1076"/>
  <c r="F1076" i="13"/>
  <c r="G1076" s="1"/>
  <c r="I1076" s="1"/>
  <c r="H1077" i="6"/>
  <c r="I1077"/>
  <c r="J1077" i="3"/>
  <c r="K1077"/>
  <c r="F1077"/>
  <c r="L1077" i="12"/>
  <c r="M1077"/>
  <c r="L1077" i="17"/>
  <c r="M1077"/>
  <c r="F1077" i="13"/>
  <c r="G1077" s="1"/>
  <c r="I1077" s="1"/>
  <c r="H1078" i="6"/>
  <c r="I1078"/>
  <c r="J1078" i="3"/>
  <c r="K1078"/>
  <c r="F1078"/>
  <c r="L1078" i="12"/>
  <c r="M1078"/>
  <c r="L1078" i="17"/>
  <c r="M1078"/>
  <c r="F1078" i="13"/>
  <c r="G1078" s="1"/>
  <c r="I1078" s="1"/>
  <c r="H1079" i="6"/>
  <c r="I1079"/>
  <c r="J1079" i="3"/>
  <c r="K1079"/>
  <c r="F1079"/>
  <c r="L1079" i="12"/>
  <c r="M1079"/>
  <c r="L1079" i="17"/>
  <c r="M1079"/>
  <c r="F1079" i="13"/>
  <c r="G1079" s="1"/>
  <c r="I1079" s="1"/>
  <c r="H1080" i="6"/>
  <c r="I1080"/>
  <c r="J1080" i="3"/>
  <c r="K1080"/>
  <c r="F1080"/>
  <c r="L1080" i="12"/>
  <c r="M1080"/>
  <c r="L1080" i="17"/>
  <c r="M1080"/>
  <c r="F1080" i="13"/>
  <c r="G1080" s="1"/>
  <c r="I1080" s="1"/>
  <c r="G1081" i="6"/>
  <c r="H1081"/>
  <c r="I1081"/>
  <c r="J1081" i="3"/>
  <c r="K1081"/>
  <c r="F1081"/>
  <c r="L1081" i="12"/>
  <c r="M1081"/>
  <c r="L1081" i="17"/>
  <c r="M1081"/>
  <c r="F1081" i="13"/>
  <c r="G1081" s="1"/>
  <c r="I1081" s="1"/>
  <c r="H1082" i="6"/>
  <c r="I1082"/>
  <c r="J1082" i="3"/>
  <c r="K1082"/>
  <c r="F1082"/>
  <c r="L1082" i="12"/>
  <c r="M1082"/>
  <c r="L1082" i="17"/>
  <c r="M1082"/>
  <c r="F1082" i="13"/>
  <c r="G1082" s="1"/>
  <c r="I1082" s="1"/>
  <c r="H1083" i="6"/>
  <c r="I1083"/>
  <c r="J1083" i="3"/>
  <c r="K1083"/>
  <c r="F1083"/>
  <c r="L1083" i="12"/>
  <c r="M1083"/>
  <c r="L1083" i="17"/>
  <c r="M1083"/>
  <c r="F1083" i="13"/>
  <c r="G1083" s="1"/>
  <c r="I1083" s="1"/>
  <c r="H1084" i="6"/>
  <c r="I1084"/>
  <c r="J1084" i="3"/>
  <c r="K1084"/>
  <c r="F1084"/>
  <c r="L1084" i="12"/>
  <c r="M1084"/>
  <c r="L1084" i="17"/>
  <c r="M1084"/>
  <c r="F1084" i="13"/>
  <c r="G1084" s="1"/>
  <c r="I1084" s="1"/>
  <c r="H1085" i="6"/>
  <c r="I1085"/>
  <c r="J1085" i="3"/>
  <c r="K1085"/>
  <c r="F1085"/>
  <c r="L1085" i="12"/>
  <c r="M1085"/>
  <c r="L1085" i="17"/>
  <c r="M1085"/>
  <c r="F1085" i="13"/>
  <c r="G1085" s="1"/>
  <c r="I1085" s="1"/>
  <c r="H1086" i="6"/>
  <c r="I1086"/>
  <c r="J1086" i="3"/>
  <c r="K1086"/>
  <c r="F1086"/>
  <c r="L1086" i="12"/>
  <c r="M1086"/>
  <c r="L1086" i="17"/>
  <c r="M1086"/>
  <c r="F1086" i="13"/>
  <c r="G1086" s="1"/>
  <c r="I1086" s="1"/>
  <c r="H1087" i="6"/>
  <c r="I1087"/>
  <c r="J1087" i="3"/>
  <c r="K1087"/>
  <c r="F1087"/>
  <c r="L1087" i="12"/>
  <c r="M1087"/>
  <c r="L1087" i="17"/>
  <c r="M1087"/>
  <c r="F1087" i="13"/>
  <c r="G1087" s="1"/>
  <c r="I1087" s="1"/>
  <c r="H1088" i="6"/>
  <c r="I1088"/>
  <c r="J1088" i="3"/>
  <c r="K1088"/>
  <c r="F1088"/>
  <c r="L1088" i="12"/>
  <c r="M1088"/>
  <c r="L1088" i="17"/>
  <c r="M1088"/>
  <c r="F1088" i="13"/>
  <c r="G1088" s="1"/>
  <c r="I1088" s="1"/>
  <c r="H1089" i="6"/>
  <c r="I1089"/>
  <c r="J1089" i="3"/>
  <c r="K1089"/>
  <c r="F1089"/>
  <c r="L1089" i="12"/>
  <c r="M1089"/>
  <c r="L1089" i="17"/>
  <c r="M1089"/>
  <c r="F1089" i="13"/>
  <c r="G1089" s="1"/>
  <c r="I1089" s="1"/>
  <c r="H1090" i="6"/>
  <c r="I1090"/>
  <c r="J1090" i="3"/>
  <c r="K1090"/>
  <c r="F1090"/>
  <c r="L1090" i="12"/>
  <c r="M1090"/>
  <c r="L1090" i="17"/>
  <c r="M1090"/>
  <c r="F1090" i="13"/>
  <c r="G1090" s="1"/>
  <c r="I1090" s="1"/>
  <c r="H1091" i="6"/>
  <c r="I1091"/>
  <c r="J1091" i="3"/>
  <c r="K1091"/>
  <c r="F1091"/>
  <c r="L1091" i="12"/>
  <c r="M1091"/>
  <c r="L1091" i="17"/>
  <c r="M1091"/>
  <c r="F1091" i="13"/>
  <c r="G1091" s="1"/>
  <c r="I1091" s="1"/>
  <c r="H1092" i="6"/>
  <c r="I1092"/>
  <c r="J1092" i="3"/>
  <c r="K1092"/>
  <c r="F1092"/>
  <c r="L1092" i="12"/>
  <c r="M1092"/>
  <c r="L1092" i="17"/>
  <c r="M1092"/>
  <c r="F1092" i="13"/>
  <c r="G1092" s="1"/>
  <c r="I1092" s="1"/>
  <c r="H1093" i="6"/>
  <c r="I1093"/>
  <c r="J1093" i="3"/>
  <c r="K1093"/>
  <c r="F1093"/>
  <c r="L1093" i="12"/>
  <c r="M1093"/>
  <c r="L1093" i="17"/>
  <c r="M1093"/>
  <c r="F1093" i="13"/>
  <c r="G1093" s="1"/>
  <c r="I1093" s="1"/>
  <c r="H1094" i="6"/>
  <c r="I1094"/>
  <c r="J1094" i="3"/>
  <c r="K1094"/>
  <c r="F1094"/>
  <c r="L1094" i="12"/>
  <c r="M1094"/>
  <c r="L1094" i="17"/>
  <c r="M1094"/>
  <c r="F1094" i="13"/>
  <c r="G1094" s="1"/>
  <c r="I1094" s="1"/>
  <c r="H1095" i="6"/>
  <c r="I1095"/>
  <c r="J1095" i="3"/>
  <c r="K1095"/>
  <c r="F1095"/>
  <c r="L1095" i="12"/>
  <c r="M1095"/>
  <c r="L1095" i="17"/>
  <c r="M1095"/>
  <c r="F1095" i="13"/>
  <c r="G1095" s="1"/>
  <c r="I1095" s="1"/>
  <c r="H1096" i="6"/>
  <c r="I1096"/>
  <c r="J1096" i="3"/>
  <c r="K1096"/>
  <c r="F1096"/>
  <c r="L1096" i="12"/>
  <c r="M1096"/>
  <c r="L1096" i="17"/>
  <c r="M1096"/>
  <c r="F1096" i="13"/>
  <c r="G1096" s="1"/>
  <c r="I1096" s="1"/>
  <c r="H1097" i="6"/>
  <c r="I1097"/>
  <c r="J1097" i="3"/>
  <c r="K1097"/>
  <c r="F1097"/>
  <c r="L1097" i="12"/>
  <c r="M1097"/>
  <c r="L1097" i="17"/>
  <c r="M1097"/>
  <c r="F1097" i="13"/>
  <c r="G1097" s="1"/>
  <c r="I1097" s="1"/>
  <c r="H1098" i="6"/>
  <c r="I1098"/>
  <c r="J1098" i="3"/>
  <c r="K1098"/>
  <c r="F1098"/>
  <c r="L1098" i="12"/>
  <c r="M1098"/>
  <c r="L1098" i="17"/>
  <c r="M1098"/>
  <c r="F1098" i="13"/>
  <c r="G1098" s="1"/>
  <c r="I1098" s="1"/>
  <c r="H1099" i="6"/>
  <c r="I1099"/>
  <c r="J1099" i="3"/>
  <c r="K1099"/>
  <c r="F1099"/>
  <c r="L1099" i="12"/>
  <c r="M1099"/>
  <c r="L1099" i="17"/>
  <c r="M1099"/>
  <c r="F1099" i="13"/>
  <c r="G1099" s="1"/>
  <c r="I1099" s="1"/>
  <c r="H1100" i="6"/>
  <c r="I1100"/>
  <c r="J1100" i="3"/>
  <c r="K1100"/>
  <c r="F1100"/>
  <c r="L1100" i="12"/>
  <c r="M1100"/>
  <c r="L1100" i="17"/>
  <c r="M1100"/>
  <c r="F1100" i="13"/>
  <c r="G1100" s="1"/>
  <c r="I1100" s="1"/>
  <c r="H1101" i="6"/>
  <c r="I1101"/>
  <c r="J1101" i="3"/>
  <c r="K1101"/>
  <c r="F1101"/>
  <c r="L1101" i="12"/>
  <c r="M1101"/>
  <c r="L1101" i="17"/>
  <c r="M1101"/>
  <c r="F1101" i="13"/>
  <c r="G1101" s="1"/>
  <c r="I1101" s="1"/>
  <c r="H1102" i="6"/>
  <c r="I1102"/>
  <c r="J1102" i="3"/>
  <c r="K1102"/>
  <c r="F1102"/>
  <c r="L1102" i="12"/>
  <c r="M1102"/>
  <c r="L1102" i="17"/>
  <c r="M1102"/>
  <c r="F1102" i="13"/>
  <c r="G1102" s="1"/>
  <c r="I1102" s="1"/>
  <c r="H1103" i="6"/>
  <c r="I1103"/>
  <c r="J1103" i="3"/>
  <c r="K1103"/>
  <c r="F1103"/>
  <c r="L1103" i="12"/>
  <c r="M1103"/>
  <c r="L1103" i="17"/>
  <c r="M1103"/>
  <c r="F1103" i="13"/>
  <c r="G1103" s="1"/>
  <c r="I1103" s="1"/>
  <c r="H1104" i="6"/>
  <c r="I1104"/>
  <c r="J1104" i="3"/>
  <c r="K1104"/>
  <c r="F1104"/>
  <c r="L1104" i="12"/>
  <c r="M1104"/>
  <c r="L1104" i="17"/>
  <c r="M1104"/>
  <c r="F1104" i="13"/>
  <c r="G1104" s="1"/>
  <c r="I1104" s="1"/>
  <c r="H1105" i="6"/>
  <c r="I1105"/>
  <c r="J1105" i="3"/>
  <c r="K1105"/>
  <c r="F1105"/>
  <c r="L1105" i="12"/>
  <c r="M1105"/>
  <c r="L1105" i="17"/>
  <c r="M1105"/>
  <c r="F1105" i="13"/>
  <c r="G1105" s="1"/>
  <c r="I1105" s="1"/>
  <c r="H1106" i="6"/>
  <c r="I1106"/>
  <c r="J1106" i="3"/>
  <c r="K1106"/>
  <c r="F1106"/>
  <c r="L1106" i="12"/>
  <c r="M1106"/>
  <c r="L1106" i="17"/>
  <c r="M1106"/>
  <c r="F1106" i="13"/>
  <c r="G1106" s="1"/>
  <c r="I1106" s="1"/>
  <c r="H1107" i="6"/>
  <c r="I1107"/>
  <c r="J1107" i="3"/>
  <c r="K1107"/>
  <c r="F1107"/>
  <c r="L1107" i="12"/>
  <c r="M1107"/>
  <c r="L1107" i="17"/>
  <c r="M1107"/>
  <c r="F1107" i="13"/>
  <c r="G1107" s="1"/>
  <c r="I1107" s="1"/>
  <c r="H1108" i="6"/>
  <c r="I1108"/>
  <c r="J1108" i="3"/>
  <c r="K1108"/>
  <c r="F1108"/>
  <c r="L1108" i="12"/>
  <c r="M1108"/>
  <c r="L1108" i="17"/>
  <c r="M1108"/>
  <c r="F1108" i="13"/>
  <c r="G1108" s="1"/>
  <c r="I1108" s="1"/>
  <c r="H1109" i="6"/>
  <c r="I1109"/>
  <c r="J1109" i="3"/>
  <c r="K1109"/>
  <c r="F1109"/>
  <c r="L1109" i="12"/>
  <c r="M1109"/>
  <c r="L1109" i="17"/>
  <c r="M1109"/>
  <c r="F1109" i="13"/>
  <c r="G1109" s="1"/>
  <c r="I1109" s="1"/>
  <c r="H1110" i="6"/>
  <c r="I1110"/>
  <c r="J1110" i="3"/>
  <c r="K1110"/>
  <c r="F1110"/>
  <c r="L1110" i="12"/>
  <c r="M1110"/>
  <c r="L1110" i="17"/>
  <c r="M1110"/>
  <c r="F1110" i="13"/>
  <c r="G1110" s="1"/>
  <c r="I1110" s="1"/>
  <c r="H1111" i="6"/>
  <c r="I1111"/>
  <c r="J1111" i="3"/>
  <c r="K1111"/>
  <c r="F1111"/>
  <c r="L1111" i="12"/>
  <c r="M1111"/>
  <c r="L1111" i="17"/>
  <c r="M1111"/>
  <c r="F1111" i="13"/>
  <c r="G1111" s="1"/>
  <c r="I1111" s="1"/>
  <c r="H1112" i="6"/>
  <c r="I1112"/>
  <c r="J1112" i="3"/>
  <c r="K1112"/>
  <c r="F1112"/>
  <c r="L1112" i="12"/>
  <c r="M1112"/>
  <c r="L1112" i="17"/>
  <c r="M1112"/>
  <c r="F1112" i="13"/>
  <c r="G1112" s="1"/>
  <c r="I1112" s="1"/>
  <c r="H1113" i="6"/>
  <c r="I1113"/>
  <c r="J1113" i="3"/>
  <c r="K1113"/>
  <c r="F1113"/>
  <c r="L1113" i="12"/>
  <c r="M1113"/>
  <c r="L1113" i="17"/>
  <c r="M1113"/>
  <c r="F1113" i="13"/>
  <c r="G1113" s="1"/>
  <c r="I1113" s="1"/>
  <c r="H1114" i="6"/>
  <c r="I1114"/>
  <c r="J1114" i="3"/>
  <c r="K1114"/>
  <c r="F1114"/>
  <c r="L1114" i="12"/>
  <c r="M1114"/>
  <c r="L1114" i="17"/>
  <c r="M1114"/>
  <c r="F1114" i="13"/>
  <c r="G1114" s="1"/>
  <c r="I1114" s="1"/>
  <c r="H1115" i="6"/>
  <c r="I1115"/>
  <c r="J1115" i="3"/>
  <c r="K1115"/>
  <c r="F1115"/>
  <c r="L1115" i="12"/>
  <c r="M1115"/>
  <c r="L1115" i="17"/>
  <c r="M1115"/>
  <c r="F1115" i="13"/>
  <c r="G1115" s="1"/>
  <c r="I1115" s="1"/>
  <c r="H1116" i="6"/>
  <c r="I1116"/>
  <c r="J1116" i="3"/>
  <c r="K1116"/>
  <c r="F1116"/>
  <c r="L1116" i="12"/>
  <c r="M1116"/>
  <c r="L1116" i="17"/>
  <c r="M1116"/>
  <c r="F1116" i="13"/>
  <c r="G1116" s="1"/>
  <c r="I1116" s="1"/>
  <c r="H1117" i="6"/>
  <c r="I1117"/>
  <c r="J1117" i="3"/>
  <c r="K1117"/>
  <c r="F1117"/>
  <c r="L1117" i="12"/>
  <c r="M1117"/>
  <c r="L1117" i="17"/>
  <c r="M1117"/>
  <c r="F1117" i="13"/>
  <c r="G1117" s="1"/>
  <c r="I1117" s="1"/>
  <c r="H1118" i="6"/>
  <c r="I1118"/>
  <c r="J1118" i="3"/>
  <c r="K1118"/>
  <c r="F1118"/>
  <c r="L1118" i="12"/>
  <c r="M1118"/>
  <c r="L1118" i="17"/>
  <c r="M1118"/>
  <c r="F1118" i="13"/>
  <c r="G1118" s="1"/>
  <c r="I1118" s="1"/>
  <c r="H1119" i="6"/>
  <c r="I1119"/>
  <c r="J1119" i="3"/>
  <c r="K1119"/>
  <c r="F1119"/>
  <c r="L1119" i="12"/>
  <c r="M1119"/>
  <c r="L1119" i="17"/>
  <c r="M1119"/>
  <c r="F1119" i="13"/>
  <c r="G1119" s="1"/>
  <c r="I1119" s="1"/>
  <c r="H1120" i="6"/>
  <c r="I1120"/>
  <c r="J1120" i="3"/>
  <c r="K1120"/>
  <c r="F1120"/>
  <c r="L1120" i="12"/>
  <c r="M1120"/>
  <c r="L1120" i="17"/>
  <c r="M1120"/>
  <c r="F1120" i="13"/>
  <c r="G1120" s="1"/>
  <c r="I1120" s="1"/>
  <c r="H1121" i="6"/>
  <c r="I1121"/>
  <c r="J1121" i="3"/>
  <c r="K1121"/>
  <c r="F1121"/>
  <c r="L1121" i="12"/>
  <c r="M1121"/>
  <c r="L1121" i="17"/>
  <c r="M1121"/>
  <c r="F1121" i="13"/>
  <c r="G1121" s="1"/>
  <c r="I1121" s="1"/>
  <c r="H1122" i="6"/>
  <c r="I1122"/>
  <c r="J1122" i="3"/>
  <c r="K1122"/>
  <c r="F1122"/>
  <c r="L1122" i="12"/>
  <c r="M1122"/>
  <c r="L1122" i="17"/>
  <c r="M1122"/>
  <c r="F1122" i="13"/>
  <c r="G1122" s="1"/>
  <c r="I1122" s="1"/>
  <c r="H1123" i="6"/>
  <c r="I1123"/>
  <c r="J1123" i="3"/>
  <c r="K1123"/>
  <c r="F1123"/>
  <c r="L1123" i="12"/>
  <c r="M1123"/>
  <c r="L1123" i="17"/>
  <c r="M1123"/>
  <c r="F1123" i="13"/>
  <c r="G1123" s="1"/>
  <c r="I1123" s="1"/>
  <c r="H1124" i="6"/>
  <c r="I1124"/>
  <c r="J1124" i="3"/>
  <c r="K1124"/>
  <c r="F1124"/>
  <c r="L1124" i="12"/>
  <c r="M1124"/>
  <c r="L1124" i="17"/>
  <c r="M1124"/>
  <c r="F1124" i="13"/>
  <c r="G1124" s="1"/>
  <c r="I1124" s="1"/>
  <c r="H1125" i="6"/>
  <c r="I1125"/>
  <c r="J1125" i="3"/>
  <c r="K1125"/>
  <c r="F1125"/>
  <c r="L1125" i="12"/>
  <c r="M1125"/>
  <c r="L1125" i="17"/>
  <c r="M1125"/>
  <c r="F1125" i="13"/>
  <c r="G1125" s="1"/>
  <c r="I1125" s="1"/>
  <c r="H1126" i="6"/>
  <c r="I1126"/>
  <c r="J1126" i="3"/>
  <c r="K1126"/>
  <c r="F1126"/>
  <c r="L1126" i="12"/>
  <c r="M1126"/>
  <c r="L1126" i="17"/>
  <c r="M1126"/>
  <c r="F1126" i="13"/>
  <c r="G1126" s="1"/>
  <c r="I1126" s="1"/>
  <c r="H1127" i="6"/>
  <c r="I1127"/>
  <c r="J1127" i="3"/>
  <c r="K1127"/>
  <c r="F1127"/>
  <c r="L1127" i="12"/>
  <c r="M1127"/>
  <c r="L1127" i="17"/>
  <c r="M1127"/>
  <c r="F1127" i="13"/>
  <c r="G1127" s="1"/>
  <c r="I1127" s="1"/>
  <c r="H1128" i="6"/>
  <c r="I1128"/>
  <c r="J1128" i="3"/>
  <c r="K1128"/>
  <c r="F1128"/>
  <c r="L1128" i="12"/>
  <c r="M1128"/>
  <c r="L1128" i="17"/>
  <c r="M1128"/>
  <c r="F1128" i="13"/>
  <c r="G1128" s="1"/>
  <c r="I1128" s="1"/>
  <c r="H1129" i="6"/>
  <c r="I1129"/>
  <c r="J1129" i="3"/>
  <c r="K1129"/>
  <c r="F1129"/>
  <c r="L1129" i="12"/>
  <c r="M1129"/>
  <c r="L1129" i="17"/>
  <c r="M1129"/>
  <c r="F1129" i="13"/>
  <c r="G1129" s="1"/>
  <c r="I1129" s="1"/>
  <c r="H1130" i="6"/>
  <c r="I1130"/>
  <c r="J1130" i="3"/>
  <c r="K1130"/>
  <c r="F1130"/>
  <c r="L1130" i="12"/>
  <c r="M1130"/>
  <c r="L1130" i="17"/>
  <c r="M1130"/>
  <c r="F1130" i="13"/>
  <c r="G1130" s="1"/>
  <c r="I1130" s="1"/>
  <c r="H1131" i="6"/>
  <c r="I1131"/>
  <c r="J1131" i="3"/>
  <c r="K1131"/>
  <c r="F1131"/>
  <c r="L1131" i="12"/>
  <c r="M1131"/>
  <c r="L1131" i="17"/>
  <c r="M1131"/>
  <c r="F1131" i="13"/>
  <c r="G1131" s="1"/>
  <c r="I1131" s="1"/>
  <c r="H1132" i="6"/>
  <c r="I1132"/>
  <c r="J1132" i="3"/>
  <c r="K1132"/>
  <c r="F1132"/>
  <c r="L1132" i="12"/>
  <c r="M1132"/>
  <c r="L1132" i="17"/>
  <c r="M1132"/>
  <c r="F1132" i="13"/>
  <c r="G1132" s="1"/>
  <c r="I1132" s="1"/>
  <c r="H1133" i="6"/>
  <c r="I1133"/>
  <c r="J1133" i="3"/>
  <c r="K1133"/>
  <c r="F1133"/>
  <c r="L1133" i="12"/>
  <c r="M1133"/>
  <c r="L1133" i="17"/>
  <c r="M1133"/>
  <c r="F1133" i="13"/>
  <c r="G1133" s="1"/>
  <c r="I1133" s="1"/>
  <c r="H1134" i="6"/>
  <c r="I1134"/>
  <c r="J1134" i="3"/>
  <c r="K1134"/>
  <c r="F1134"/>
  <c r="L1134" i="12"/>
  <c r="M1134"/>
  <c r="L1134" i="17"/>
  <c r="M1134"/>
  <c r="F1134" i="13"/>
  <c r="G1134" s="1"/>
  <c r="I1134" s="1"/>
  <c r="H1135" i="6"/>
  <c r="I1135"/>
  <c r="J1135" i="3"/>
  <c r="K1135"/>
  <c r="F1135"/>
  <c r="L1135" i="12"/>
  <c r="M1135"/>
  <c r="L1135" i="17"/>
  <c r="M1135"/>
  <c r="F1135" i="13"/>
  <c r="G1135" s="1"/>
  <c r="I1135" s="1"/>
  <c r="H1136" i="6"/>
  <c r="I1136"/>
  <c r="J1136" i="3"/>
  <c r="K1136"/>
  <c r="F1136"/>
  <c r="L1136" i="12"/>
  <c r="M1136"/>
  <c r="L1136" i="17"/>
  <c r="M1136"/>
  <c r="F1136" i="13"/>
  <c r="G1136" s="1"/>
  <c r="I1136" s="1"/>
  <c r="H1137" i="6"/>
  <c r="I1137"/>
  <c r="J1137" i="3"/>
  <c r="K1137"/>
  <c r="F1137"/>
  <c r="L1137" i="12"/>
  <c r="M1137"/>
  <c r="L1137" i="17"/>
  <c r="M1137"/>
  <c r="F1137" i="13"/>
  <c r="G1137" s="1"/>
  <c r="I1137" s="1"/>
  <c r="H1138" i="6"/>
  <c r="I1138"/>
  <c r="J1138" i="3"/>
  <c r="K1138"/>
  <c r="F1138"/>
  <c r="L1138" i="12"/>
  <c r="M1138"/>
  <c r="L1138" i="17"/>
  <c r="M1138"/>
  <c r="F1138" i="13"/>
  <c r="G1138" s="1"/>
  <c r="I1138" s="1"/>
  <c r="H1139" i="6"/>
  <c r="I1139"/>
  <c r="J1139" i="3"/>
  <c r="K1139"/>
  <c r="F1139"/>
  <c r="L1139" i="12"/>
  <c r="M1139"/>
  <c r="L1139" i="17"/>
  <c r="M1139"/>
  <c r="F1139" i="13"/>
  <c r="G1139" s="1"/>
  <c r="I1139" s="1"/>
  <c r="H1140" i="6"/>
  <c r="I1140"/>
  <c r="J1140" i="3"/>
  <c r="K1140"/>
  <c r="F1140"/>
  <c r="L1140" i="12"/>
  <c r="M1140"/>
  <c r="L1140" i="17"/>
  <c r="M1140"/>
  <c r="F1140" i="13"/>
  <c r="G1140" s="1"/>
  <c r="I1140" s="1"/>
  <c r="H1141" i="6"/>
  <c r="I1141"/>
  <c r="J1141" i="3"/>
  <c r="K1141"/>
  <c r="F1141"/>
  <c r="L1141" i="12"/>
  <c r="M1141"/>
  <c r="L1141" i="17"/>
  <c r="M1141"/>
  <c r="F1141" i="13"/>
  <c r="G1141" s="1"/>
  <c r="I1141" s="1"/>
  <c r="H1142" i="6"/>
  <c r="I1142"/>
  <c r="J1142" i="3"/>
  <c r="K1142"/>
  <c r="F1142"/>
  <c r="L1142" i="12"/>
  <c r="M1142"/>
  <c r="L1142" i="17"/>
  <c r="M1142"/>
  <c r="F1142" i="13"/>
  <c r="G1142" s="1"/>
  <c r="I1142" s="1"/>
  <c r="H1143" i="6"/>
  <c r="I1143"/>
  <c r="J1143" i="3"/>
  <c r="K1143"/>
  <c r="F1143"/>
  <c r="L1143" i="12"/>
  <c r="M1143"/>
  <c r="L1143" i="17"/>
  <c r="M1143"/>
  <c r="F1143" i="13"/>
  <c r="G1143" s="1"/>
  <c r="I1143" s="1"/>
  <c r="H1144" i="6"/>
  <c r="I1144"/>
  <c r="J1144" i="3"/>
  <c r="K1144"/>
  <c r="F1144"/>
  <c r="L1144" i="12"/>
  <c r="M1144"/>
  <c r="L1144" i="17"/>
  <c r="M1144"/>
  <c r="F1144" i="13"/>
  <c r="G1144" s="1"/>
  <c r="I1144" s="1"/>
  <c r="H1145" i="6"/>
  <c r="I1145"/>
  <c r="J1145" i="3"/>
  <c r="K1145"/>
  <c r="F1145"/>
  <c r="L1145" i="12"/>
  <c r="M1145"/>
  <c r="L1145" i="17"/>
  <c r="M1145"/>
  <c r="F1145" i="13"/>
  <c r="G1145" s="1"/>
  <c r="I1145" s="1"/>
  <c r="H1148" i="6"/>
  <c r="I1148"/>
  <c r="J1148" i="17"/>
  <c r="F1148" i="13"/>
  <c r="G1148" s="1"/>
  <c r="I1148" s="1"/>
  <c r="I1148" i="3"/>
  <c r="J1148"/>
  <c r="K1148"/>
  <c r="M1148"/>
  <c r="F1148"/>
  <c r="H1149" i="6"/>
  <c r="I1149"/>
  <c r="J1149" i="17"/>
  <c r="K1149" s="1"/>
  <c r="F1149" i="13"/>
  <c r="G1149" s="1"/>
  <c r="I1149" s="1"/>
  <c r="I1149" i="3"/>
  <c r="J1149"/>
  <c r="K1149"/>
  <c r="M1149"/>
  <c r="F1149"/>
  <c r="H1150" i="6"/>
  <c r="I1150"/>
  <c r="J1150" i="17"/>
  <c r="K1150" s="1"/>
  <c r="F1150" i="13"/>
  <c r="G1150" s="1"/>
  <c r="I1150" s="1"/>
  <c r="I1150" i="3"/>
  <c r="J1150"/>
  <c r="K1150"/>
  <c r="M1150"/>
  <c r="F1150"/>
  <c r="H1151" i="6"/>
  <c r="I1151"/>
  <c r="J1151" i="17"/>
  <c r="K1151" s="1"/>
  <c r="F1151" i="13"/>
  <c r="G1151" s="1"/>
  <c r="I1151" s="1"/>
  <c r="I1151" i="3"/>
  <c r="J1151"/>
  <c r="K1151"/>
  <c r="M1151"/>
  <c r="F1151"/>
  <c r="H1152" i="6"/>
  <c r="I1152"/>
  <c r="J1152" i="17"/>
  <c r="K1152" s="1"/>
  <c r="F1152" i="13"/>
  <c r="G1152" s="1"/>
  <c r="I1152" s="1"/>
  <c r="I1152" i="3"/>
  <c r="J1152"/>
  <c r="K1152"/>
  <c r="M1152"/>
  <c r="F1152"/>
  <c r="H1153" i="6"/>
  <c r="I1153"/>
  <c r="J1153" i="17"/>
  <c r="K1153" s="1"/>
  <c r="F1153" i="13"/>
  <c r="G1153" s="1"/>
  <c r="I1153" s="1"/>
  <c r="I1153" i="3"/>
  <c r="J1153"/>
  <c r="K1153"/>
  <c r="M1153"/>
  <c r="F1153"/>
  <c r="H1154" i="6"/>
  <c r="I1154"/>
  <c r="F1154" i="11"/>
  <c r="G1154"/>
  <c r="K1154" s="1"/>
  <c r="H1154"/>
  <c r="I1154"/>
  <c r="J1154" i="17"/>
  <c r="K1154" s="1"/>
  <c r="F1154" i="13"/>
  <c r="G1154" s="1"/>
  <c r="I1154" s="1"/>
  <c r="I1154" i="3"/>
  <c r="J1154"/>
  <c r="K1154"/>
  <c r="M1154"/>
  <c r="F1154"/>
  <c r="H1155" i="6"/>
  <c r="I1155"/>
  <c r="J1155" i="17"/>
  <c r="K1155" s="1"/>
  <c r="F1155" i="13"/>
  <c r="G1155" s="1"/>
  <c r="I1155" s="1"/>
  <c r="I1155" i="3"/>
  <c r="J1155"/>
  <c r="K1155"/>
  <c r="M1155"/>
  <c r="H1156" i="6"/>
  <c r="I1156"/>
  <c r="J1156" i="17"/>
  <c r="K1156" s="1"/>
  <c r="F1156" i="13"/>
  <c r="G1156" s="1"/>
  <c r="I1156" s="1"/>
  <c r="I1156" i="3"/>
  <c r="J1156"/>
  <c r="K1156"/>
  <c r="M1156"/>
  <c r="F1156"/>
  <c r="H1157" i="6"/>
  <c r="I1157"/>
  <c r="J1157" i="17"/>
  <c r="K1157" s="1"/>
  <c r="F1157" i="13"/>
  <c r="G1157" s="1"/>
  <c r="I1157" s="1"/>
  <c r="I1157" i="3"/>
  <c r="J1157"/>
  <c r="K1157"/>
  <c r="M1157"/>
  <c r="F1157"/>
  <c r="H1158" i="6"/>
  <c r="I1158"/>
  <c r="J1158" i="17"/>
  <c r="K1158" s="1"/>
  <c r="F1158" i="13"/>
  <c r="G1158" s="1"/>
  <c r="I1158" s="1"/>
  <c r="I1158" i="3"/>
  <c r="J1158"/>
  <c r="K1158"/>
  <c r="M1158"/>
  <c r="F1158"/>
  <c r="H1159" i="6"/>
  <c r="I1159"/>
  <c r="J1159" i="17"/>
  <c r="K1159" s="1"/>
  <c r="F1159" i="13"/>
  <c r="G1159" s="1"/>
  <c r="I1159" s="1"/>
  <c r="I1159" i="3"/>
  <c r="J1159"/>
  <c r="K1159"/>
  <c r="M1159"/>
  <c r="F1159"/>
  <c r="H1160" i="6"/>
  <c r="I1160"/>
  <c r="J1160" i="17"/>
  <c r="K1160" s="1"/>
  <c r="F1160" i="13"/>
  <c r="G1160" s="1"/>
  <c r="I1160" s="1"/>
  <c r="H1161" i="6"/>
  <c r="I1161"/>
  <c r="J1161" i="17"/>
  <c r="K1161" s="1"/>
  <c r="F1161" i="13"/>
  <c r="G1161" s="1"/>
  <c r="I1161" s="1"/>
  <c r="I1161" i="3"/>
  <c r="J1161"/>
  <c r="K1161"/>
  <c r="M1161"/>
  <c r="F1161"/>
  <c r="H1162" i="6"/>
  <c r="I1162"/>
  <c r="J1162" i="17"/>
  <c r="K1162" s="1"/>
  <c r="F1162" i="13"/>
  <c r="G1162" s="1"/>
  <c r="I1162" s="1"/>
  <c r="I1162" i="3"/>
  <c r="J1162"/>
  <c r="K1162"/>
  <c r="M1162"/>
  <c r="F1162"/>
  <c r="H1163" i="6"/>
  <c r="I1163"/>
  <c r="J1163" i="17"/>
  <c r="K1163" s="1"/>
  <c r="F1163" i="13"/>
  <c r="G1163" s="1"/>
  <c r="I1163" s="1"/>
  <c r="I1163" i="3"/>
  <c r="J1163"/>
  <c r="K1163"/>
  <c r="M1163"/>
  <c r="F1163"/>
  <c r="H1164" i="6"/>
  <c r="I1164"/>
  <c r="J1164" i="17"/>
  <c r="K1164" s="1"/>
  <c r="F1164" i="13"/>
  <c r="G1164" s="1"/>
  <c r="I1164" s="1"/>
  <c r="I1164" i="3"/>
  <c r="J1164"/>
  <c r="K1164"/>
  <c r="M1164"/>
  <c r="F1164"/>
  <c r="H1165" i="6"/>
  <c r="I1165"/>
  <c r="J1165" i="17"/>
  <c r="K1165" s="1"/>
  <c r="F1165" i="13"/>
  <c r="G1165" s="1"/>
  <c r="I1165" s="1"/>
  <c r="I1165" i="3"/>
  <c r="J1165"/>
  <c r="K1165"/>
  <c r="M1165"/>
  <c r="F1165"/>
  <c r="H1166" i="6"/>
  <c r="I1166"/>
  <c r="J1166" i="17"/>
  <c r="K1166" s="1"/>
  <c r="F1166" i="13"/>
  <c r="G1166" s="1"/>
  <c r="I1166" s="1"/>
  <c r="I1166" i="3"/>
  <c r="J1166"/>
  <c r="K1166"/>
  <c r="M1166"/>
  <c r="F1166"/>
  <c r="H1167" i="6"/>
  <c r="I1167"/>
  <c r="J1167" i="17"/>
  <c r="K1167" s="1"/>
  <c r="F1167" i="13"/>
  <c r="G1167" s="1"/>
  <c r="I1167" s="1"/>
  <c r="I1167" i="3"/>
  <c r="J1167"/>
  <c r="K1167"/>
  <c r="M1167"/>
  <c r="F1167"/>
  <c r="H1168" i="6"/>
  <c r="I1168"/>
  <c r="J1168" i="17"/>
  <c r="K1168" s="1"/>
  <c r="F1168" i="13"/>
  <c r="G1168" s="1"/>
  <c r="I1168" s="1"/>
  <c r="I1168" i="3"/>
  <c r="J1168"/>
  <c r="K1168"/>
  <c r="M1168"/>
  <c r="F1168"/>
  <c r="H1169" i="6"/>
  <c r="I1169"/>
  <c r="J1169" i="17"/>
  <c r="K1169" s="1"/>
  <c r="F1169" i="13"/>
  <c r="G1169" s="1"/>
  <c r="I1169" s="1"/>
  <c r="I1169" i="3"/>
  <c r="J1169"/>
  <c r="K1169"/>
  <c r="M1169"/>
  <c r="F1169"/>
  <c r="H1170" i="6"/>
  <c r="I1170"/>
  <c r="J1170" i="17"/>
  <c r="K1170" s="1"/>
  <c r="F1170" i="13"/>
  <c r="G1170" s="1"/>
  <c r="I1170" s="1"/>
  <c r="I1170" i="3"/>
  <c r="J1170"/>
  <c r="K1170"/>
  <c r="M1170"/>
  <c r="F1170"/>
  <c r="H1171" i="6"/>
  <c r="I1171"/>
  <c r="J1171" i="17"/>
  <c r="K1171" s="1"/>
  <c r="F1171" i="13"/>
  <c r="G1171" s="1"/>
  <c r="I1171" s="1"/>
  <c r="I1171" i="3"/>
  <c r="J1171"/>
  <c r="K1171"/>
  <c r="M1171"/>
  <c r="F1171"/>
  <c r="H1172" i="6"/>
  <c r="I1172"/>
  <c r="J1172" i="17"/>
  <c r="K1172" s="1"/>
  <c r="F1172" i="13"/>
  <c r="G1172" s="1"/>
  <c r="I1172" s="1"/>
  <c r="I1172" i="3"/>
  <c r="J1172"/>
  <c r="K1172"/>
  <c r="M1172"/>
  <c r="F1172"/>
  <c r="H1173" i="6"/>
  <c r="I1173"/>
  <c r="J1173" i="17"/>
  <c r="K1173" s="1"/>
  <c r="F1173" i="13"/>
  <c r="G1173" s="1"/>
  <c r="I1173" s="1"/>
  <c r="I1173" i="3"/>
  <c r="J1173"/>
  <c r="K1173"/>
  <c r="M1173"/>
  <c r="F1173"/>
  <c r="H1174" i="6"/>
  <c r="I1174"/>
  <c r="J1174" i="17"/>
  <c r="K1174" s="1"/>
  <c r="F1174" i="13"/>
  <c r="G1174" s="1"/>
  <c r="I1174" s="1"/>
  <c r="I1174" i="3"/>
  <c r="J1174"/>
  <c r="K1174"/>
  <c r="M1174"/>
  <c r="F1174"/>
  <c r="H1175" i="6"/>
  <c r="I1175"/>
  <c r="J1175" i="17"/>
  <c r="K1175" s="1"/>
  <c r="F1175" i="13"/>
  <c r="G1175" s="1"/>
  <c r="I1175" s="1"/>
  <c r="I1175" i="3"/>
  <c r="J1175"/>
  <c r="K1175"/>
  <c r="M1175"/>
  <c r="F1175"/>
  <c r="H1176" i="6"/>
  <c r="I1176"/>
  <c r="J1176" i="17"/>
  <c r="K1176" s="1"/>
  <c r="F1176" i="13"/>
  <c r="G1176" s="1"/>
  <c r="I1176" s="1"/>
  <c r="I1176" i="3"/>
  <c r="J1176"/>
  <c r="K1176"/>
  <c r="M1176"/>
  <c r="F1176"/>
  <c r="H1177" i="6"/>
  <c r="I1177"/>
  <c r="J1177" i="17"/>
  <c r="K1177" s="1"/>
  <c r="F1177" i="13"/>
  <c r="G1177" s="1"/>
  <c r="I1177" s="1"/>
  <c r="I1177" i="3"/>
  <c r="J1177"/>
  <c r="K1177"/>
  <c r="M1177"/>
  <c r="F1177"/>
  <c r="H1178" i="6"/>
  <c r="I1178"/>
  <c r="J1178" i="17"/>
  <c r="K1178" s="1"/>
  <c r="F1178" i="13"/>
  <c r="G1178" s="1"/>
  <c r="I1178" s="1"/>
  <c r="I1178" i="3"/>
  <c r="J1178"/>
  <c r="K1178"/>
  <c r="M1178"/>
  <c r="F1178"/>
  <c r="H1179" i="6"/>
  <c r="I1179"/>
  <c r="J1179" i="17"/>
  <c r="K1179" s="1"/>
  <c r="F1179" i="13"/>
  <c r="G1179" s="1"/>
  <c r="I1179" s="1"/>
  <c r="I1179" i="3"/>
  <c r="J1179"/>
  <c r="K1179"/>
  <c r="M1179"/>
  <c r="F1179"/>
  <c r="H1180" i="6"/>
  <c r="I1180"/>
  <c r="J1180" i="17"/>
  <c r="K1180" s="1"/>
  <c r="F1180" i="13"/>
  <c r="G1180" s="1"/>
  <c r="I1180" s="1"/>
  <c r="I1180" i="3"/>
  <c r="J1180"/>
  <c r="K1180"/>
  <c r="M1180"/>
  <c r="F1180"/>
  <c r="H1181" i="6"/>
  <c r="I1181"/>
  <c r="J1181" i="17"/>
  <c r="K1181" s="1"/>
  <c r="F1181" i="13"/>
  <c r="G1181" s="1"/>
  <c r="I1181" s="1"/>
  <c r="I1181" i="3"/>
  <c r="J1181"/>
  <c r="K1181"/>
  <c r="M1181"/>
  <c r="F1181"/>
  <c r="H1182" i="6"/>
  <c r="I1182"/>
  <c r="J1182" i="17"/>
  <c r="K1182" s="1"/>
  <c r="F1182" i="13"/>
  <c r="G1182" s="1"/>
  <c r="I1182" s="1"/>
  <c r="I1182" i="3"/>
  <c r="J1182"/>
  <c r="K1182"/>
  <c r="M1182"/>
  <c r="F1182"/>
  <c r="H1183" i="6"/>
  <c r="I1183"/>
  <c r="J1183" i="17"/>
  <c r="K1183" s="1"/>
  <c r="F1183" i="13"/>
  <c r="G1183" s="1"/>
  <c r="I1183" s="1"/>
  <c r="I1183" i="3"/>
  <c r="J1183"/>
  <c r="K1183"/>
  <c r="M1183"/>
  <c r="F1183"/>
  <c r="H1184" i="6"/>
  <c r="I1184"/>
  <c r="J1184" i="17"/>
  <c r="K1184" s="1"/>
  <c r="F1184" i="13"/>
  <c r="G1184" s="1"/>
  <c r="I1184" s="1"/>
  <c r="I1184" i="3"/>
  <c r="J1184"/>
  <c r="K1184"/>
  <c r="M1184"/>
  <c r="F1184"/>
  <c r="H1185" i="6"/>
  <c r="I1185"/>
  <c r="J1185" i="17"/>
  <c r="K1185" s="1"/>
  <c r="F1185" i="13"/>
  <c r="G1185" s="1"/>
  <c r="I1185" s="1"/>
  <c r="I1185" i="3"/>
  <c r="J1185"/>
  <c r="K1185"/>
  <c r="M1185"/>
  <c r="F1185"/>
  <c r="H1186" i="6"/>
  <c r="I1186"/>
  <c r="J1186" i="17"/>
  <c r="K1186" s="1"/>
  <c r="F1186" i="13"/>
  <c r="G1186" s="1"/>
  <c r="I1186" s="1"/>
  <c r="I1186" i="3"/>
  <c r="J1186"/>
  <c r="K1186"/>
  <c r="M1186"/>
  <c r="F1186"/>
  <c r="H1187" i="6"/>
  <c r="I1187"/>
  <c r="J1187" i="17"/>
  <c r="K1187" s="1"/>
  <c r="F1187" i="13"/>
  <c r="G1187" s="1"/>
  <c r="I1187" s="1"/>
  <c r="I1187" i="3"/>
  <c r="J1187"/>
  <c r="K1187"/>
  <c r="M1187"/>
  <c r="F1187"/>
  <c r="H1188" i="6"/>
  <c r="I1188"/>
  <c r="J1188" i="17"/>
  <c r="K1188" s="1"/>
  <c r="F1188" i="13"/>
  <c r="G1188" s="1"/>
  <c r="I1188" s="1"/>
  <c r="H1188" i="3"/>
  <c r="I1188"/>
  <c r="J1188"/>
  <c r="K1188"/>
  <c r="M1188"/>
  <c r="F1188"/>
  <c r="H1189" i="6"/>
  <c r="I1189"/>
  <c r="J1189" i="17"/>
  <c r="K1189" s="1"/>
  <c r="F1189" i="13"/>
  <c r="G1189" s="1"/>
  <c r="I1189" s="1"/>
  <c r="I1189" i="3"/>
  <c r="J1189"/>
  <c r="K1189"/>
  <c r="M1189"/>
  <c r="F1189"/>
  <c r="H1190" i="6"/>
  <c r="I1190"/>
  <c r="J1190" i="17"/>
  <c r="K1190" s="1"/>
  <c r="F1190" i="13"/>
  <c r="G1190" s="1"/>
  <c r="I1190" s="1"/>
  <c r="I1190" i="3"/>
  <c r="J1190"/>
  <c r="K1190"/>
  <c r="M1190"/>
  <c r="F1190"/>
  <c r="H1191" i="6"/>
  <c r="I1191"/>
  <c r="J1191" i="17"/>
  <c r="K1191" s="1"/>
  <c r="C1191" i="13"/>
  <c r="F1191"/>
  <c r="G1191" s="1"/>
  <c r="I1191" s="1"/>
  <c r="I1191" i="3"/>
  <c r="J1191"/>
  <c r="K1191"/>
  <c r="M1191"/>
  <c r="C1191"/>
  <c r="F1191"/>
  <c r="H1192" i="6"/>
  <c r="I1192"/>
  <c r="J1192" i="17"/>
  <c r="K1192" s="1"/>
  <c r="F1192" i="13"/>
  <c r="G1192" s="1"/>
  <c r="I1192" s="1"/>
  <c r="I1192" i="3"/>
  <c r="J1192"/>
  <c r="K1192"/>
  <c r="M1192"/>
  <c r="F1192"/>
  <c r="H1193" i="6"/>
  <c r="I1193"/>
  <c r="J1193" i="17"/>
  <c r="K1193" s="1"/>
  <c r="F1193" i="13"/>
  <c r="G1193" s="1"/>
  <c r="I1193" s="1"/>
  <c r="I1193" i="3"/>
  <c r="J1193"/>
  <c r="K1193"/>
  <c r="M1193"/>
  <c r="F1193"/>
  <c r="H1194" i="6"/>
  <c r="I1194"/>
  <c r="J1194" i="17"/>
  <c r="K1194" s="1"/>
  <c r="F1194" i="13"/>
  <c r="G1194" s="1"/>
  <c r="I1194" s="1"/>
  <c r="I1194" i="3"/>
  <c r="J1194"/>
  <c r="K1194"/>
  <c r="M1194"/>
  <c r="F1194"/>
  <c r="H1195" i="6"/>
  <c r="I1195"/>
  <c r="J1195" i="17"/>
  <c r="K1195" s="1"/>
  <c r="F1195" i="13"/>
  <c r="G1195" s="1"/>
  <c r="I1195" s="1"/>
  <c r="I1195" i="3"/>
  <c r="J1195"/>
  <c r="K1195"/>
  <c r="M1195"/>
  <c r="F1195"/>
  <c r="H1196" i="6"/>
  <c r="I1196"/>
  <c r="J1196" i="17"/>
  <c r="K1196" s="1"/>
  <c r="F1196" i="13"/>
  <c r="G1196" s="1"/>
  <c r="I1196" s="1"/>
  <c r="I1196" i="3"/>
  <c r="J1196"/>
  <c r="K1196"/>
  <c r="M1196"/>
  <c r="F1196"/>
  <c r="H1197" i="6"/>
  <c r="I1197"/>
  <c r="J1197" i="17"/>
  <c r="K1197" s="1"/>
  <c r="F1197" i="13"/>
  <c r="G1197" s="1"/>
  <c r="I1197" s="1"/>
  <c r="I1197" i="3"/>
  <c r="J1197"/>
  <c r="K1197"/>
  <c r="M1197"/>
  <c r="F1197"/>
  <c r="H1198" i="6"/>
  <c r="I1198"/>
  <c r="J1198" i="17"/>
  <c r="K1198" s="1"/>
  <c r="F1198" i="13"/>
  <c r="G1198" s="1"/>
  <c r="I1198" s="1"/>
  <c r="I1198" i="3"/>
  <c r="J1198"/>
  <c r="K1198"/>
  <c r="M1198"/>
  <c r="F1198"/>
  <c r="H1199" i="6"/>
  <c r="I1199"/>
  <c r="J1199" i="17"/>
  <c r="K1199" s="1"/>
  <c r="F1199" i="13"/>
  <c r="G1199" s="1"/>
  <c r="I1199" s="1"/>
  <c r="I1199" i="3"/>
  <c r="J1199"/>
  <c r="K1199"/>
  <c r="M1199"/>
  <c r="F1199"/>
  <c r="H1200" i="6"/>
  <c r="I1200"/>
  <c r="J1200" i="17"/>
  <c r="K1200" s="1"/>
  <c r="F1200" i="13"/>
  <c r="G1200" s="1"/>
  <c r="I1200" s="1"/>
  <c r="I1200" i="3"/>
  <c r="J1200"/>
  <c r="K1200"/>
  <c r="M1200"/>
  <c r="F1200"/>
  <c r="H1201" i="6"/>
  <c r="I1201"/>
  <c r="J1201" i="17"/>
  <c r="K1201" s="1"/>
  <c r="F1201" i="13"/>
  <c r="G1201" s="1"/>
  <c r="I1201" s="1"/>
  <c r="I1201" i="3"/>
  <c r="J1201"/>
  <c r="K1201"/>
  <c r="M1201"/>
  <c r="F1201"/>
  <c r="J1204" i="12"/>
  <c r="J1204" i="17"/>
  <c r="K1204"/>
  <c r="O1204" s="1"/>
  <c r="L1204"/>
  <c r="M1204"/>
  <c r="F1204" i="13"/>
  <c r="G1204" s="1"/>
  <c r="I1204" s="1"/>
  <c r="I1204" i="3"/>
  <c r="J1204"/>
  <c r="K1204"/>
  <c r="M1204"/>
  <c r="F1204"/>
  <c r="J1205" i="12"/>
  <c r="K1205" s="1"/>
  <c r="J1205" i="17"/>
  <c r="K1205"/>
  <c r="O1205" s="1"/>
  <c r="L1205"/>
  <c r="M1205"/>
  <c r="F1205" i="13"/>
  <c r="G1205" s="1"/>
  <c r="I1205" s="1"/>
  <c r="I1205" i="3"/>
  <c r="J1205"/>
  <c r="K1205"/>
  <c r="M1205"/>
  <c r="F1205"/>
  <c r="J1206" i="12"/>
  <c r="K1206" s="1"/>
  <c r="J1206" i="17"/>
  <c r="K1206"/>
  <c r="O1206" s="1"/>
  <c r="L1206"/>
  <c r="M1206"/>
  <c r="F1206" i="13"/>
  <c r="G1206" s="1"/>
  <c r="I1206" s="1"/>
  <c r="I1206" i="3"/>
  <c r="J1206"/>
  <c r="K1206"/>
  <c r="M1206"/>
  <c r="F1206"/>
  <c r="J1207" i="12"/>
  <c r="K1207" s="1"/>
  <c r="J1207" i="17"/>
  <c r="K1207"/>
  <c r="O1207" s="1"/>
  <c r="L1207"/>
  <c r="M1207"/>
  <c r="F1207" i="13"/>
  <c r="G1207" s="1"/>
  <c r="I1207" s="1"/>
  <c r="I1207" i="3"/>
  <c r="J1207"/>
  <c r="K1207"/>
  <c r="M1207"/>
  <c r="F1207"/>
  <c r="J1208" i="12"/>
  <c r="K1208" s="1"/>
  <c r="J1208" i="17"/>
  <c r="K1208"/>
  <c r="O1208" s="1"/>
  <c r="L1208"/>
  <c r="M1208"/>
  <c r="F1208" i="13"/>
  <c r="G1208" s="1"/>
  <c r="I1208" s="1"/>
  <c r="I1208" i="3"/>
  <c r="J1208"/>
  <c r="K1208"/>
  <c r="M1208"/>
  <c r="F1208"/>
  <c r="J1209" i="12"/>
  <c r="K1209" s="1"/>
  <c r="J1209" i="17"/>
  <c r="K1209"/>
  <c r="O1209" s="1"/>
  <c r="L1209"/>
  <c r="M1209"/>
  <c r="F1209" i="13"/>
  <c r="G1209" s="1"/>
  <c r="I1209" s="1"/>
  <c r="I1209" i="3"/>
  <c r="J1209"/>
  <c r="K1209"/>
  <c r="M1209"/>
  <c r="F1209"/>
  <c r="J1210" i="12"/>
  <c r="K1210" s="1"/>
  <c r="J1210" i="17"/>
  <c r="K1210"/>
  <c r="O1210" s="1"/>
  <c r="L1210"/>
  <c r="M1210"/>
  <c r="F1210" i="13"/>
  <c r="G1210" s="1"/>
  <c r="I1210" s="1"/>
  <c r="I1210" i="3"/>
  <c r="J1210"/>
  <c r="K1210"/>
  <c r="M1210"/>
  <c r="F1210"/>
  <c r="J1211" i="12"/>
  <c r="K1211" s="1"/>
  <c r="J1211" i="17"/>
  <c r="K1211"/>
  <c r="O1211" s="1"/>
  <c r="L1211"/>
  <c r="M1211"/>
  <c r="F1211" i="13"/>
  <c r="G1211" s="1"/>
  <c r="I1211" s="1"/>
  <c r="I1211" i="3"/>
  <c r="J1211"/>
  <c r="K1211"/>
  <c r="M1211"/>
  <c r="F1211"/>
  <c r="J1212" i="12"/>
  <c r="K1212" s="1"/>
  <c r="J1212" i="17"/>
  <c r="K1212"/>
  <c r="O1212" s="1"/>
  <c r="L1212"/>
  <c r="M1212"/>
  <c r="F1212" i="13"/>
  <c r="G1212" s="1"/>
  <c r="I1212" s="1"/>
  <c r="I1212" i="3"/>
  <c r="J1212"/>
  <c r="K1212"/>
  <c r="M1212"/>
  <c r="F1212"/>
  <c r="J1213" i="12"/>
  <c r="K1213" s="1"/>
  <c r="J1213" i="17"/>
  <c r="K1213"/>
  <c r="O1213" s="1"/>
  <c r="L1213"/>
  <c r="M1213"/>
  <c r="F1213" i="13"/>
  <c r="G1213" s="1"/>
  <c r="I1213" s="1"/>
  <c r="I1213" i="3"/>
  <c r="J1213"/>
  <c r="K1213"/>
  <c r="M1213"/>
  <c r="F1213"/>
  <c r="J1214" i="12"/>
  <c r="K1214" s="1"/>
  <c r="J1214" i="17"/>
  <c r="K1214"/>
  <c r="O1214" s="1"/>
  <c r="L1214"/>
  <c r="M1214"/>
  <c r="F1214" i="13"/>
  <c r="G1214" s="1"/>
  <c r="I1214" s="1"/>
  <c r="I1214" i="3"/>
  <c r="J1214"/>
  <c r="K1214"/>
  <c r="M1214"/>
  <c r="F1214"/>
  <c r="J1215" i="12"/>
  <c r="K1215" s="1"/>
  <c r="J1215" i="17"/>
  <c r="K1215"/>
  <c r="O1215" s="1"/>
  <c r="L1215"/>
  <c r="M1215"/>
  <c r="F1215" i="13"/>
  <c r="G1215" s="1"/>
  <c r="I1215" s="1"/>
  <c r="I1215" i="3"/>
  <c r="J1215"/>
  <c r="K1215"/>
  <c r="M1215"/>
  <c r="F1215"/>
  <c r="J1216" i="12"/>
  <c r="K1216" s="1"/>
  <c r="J1216" i="17"/>
  <c r="K1216"/>
  <c r="O1216" s="1"/>
  <c r="L1216"/>
  <c r="M1216"/>
  <c r="F1216" i="13"/>
  <c r="G1216" s="1"/>
  <c r="I1216" s="1"/>
  <c r="I1216" i="3"/>
  <c r="J1216"/>
  <c r="K1216"/>
  <c r="M1216"/>
  <c r="F1216"/>
  <c r="J1217" i="12"/>
  <c r="K1217" s="1"/>
  <c r="J1217" i="17"/>
  <c r="K1217"/>
  <c r="O1217" s="1"/>
  <c r="L1217"/>
  <c r="M1217"/>
  <c r="F1217" i="13"/>
  <c r="G1217" s="1"/>
  <c r="I1217" s="1"/>
  <c r="I1217" i="3"/>
  <c r="J1217"/>
  <c r="K1217"/>
  <c r="M1217"/>
  <c r="F1217"/>
  <c r="J1218" i="12"/>
  <c r="K1218" s="1"/>
  <c r="J1218" i="17"/>
  <c r="K1218"/>
  <c r="O1218" s="1"/>
  <c r="L1218"/>
  <c r="M1218"/>
  <c r="F1218" i="13"/>
  <c r="G1218" s="1"/>
  <c r="I1218" s="1"/>
  <c r="I1218" i="3"/>
  <c r="J1218"/>
  <c r="K1218"/>
  <c r="M1218"/>
  <c r="F1218"/>
  <c r="J1219" i="12"/>
  <c r="K1219" s="1"/>
  <c r="J1219" i="17"/>
  <c r="K1219"/>
  <c r="O1219" s="1"/>
  <c r="L1219"/>
  <c r="M1219"/>
  <c r="F1219" i="13"/>
  <c r="G1219" s="1"/>
  <c r="I1219" s="1"/>
  <c r="I1219" i="3"/>
  <c r="J1219"/>
  <c r="K1219"/>
  <c r="M1219"/>
  <c r="F1219"/>
  <c r="J1220" i="12"/>
  <c r="K1220" s="1"/>
  <c r="J1220" i="17"/>
  <c r="K1220"/>
  <c r="O1220" s="1"/>
  <c r="L1220"/>
  <c r="M1220"/>
  <c r="F1220" i="13"/>
  <c r="G1220" s="1"/>
  <c r="I1220" s="1"/>
  <c r="I1220" i="3"/>
  <c r="J1220"/>
  <c r="K1220"/>
  <c r="M1220"/>
  <c r="F1220"/>
  <c r="J1221" i="12"/>
  <c r="K1221" s="1"/>
  <c r="J1221" i="17"/>
  <c r="K1221"/>
  <c r="O1221" s="1"/>
  <c r="L1221"/>
  <c r="M1221"/>
  <c r="F1221" i="13"/>
  <c r="G1221" s="1"/>
  <c r="I1221" s="1"/>
  <c r="I1221" i="3"/>
  <c r="J1221"/>
  <c r="K1221"/>
  <c r="M1221"/>
  <c r="F1221"/>
  <c r="F1222" i="13"/>
  <c r="G1222" s="1"/>
  <c r="I1222" s="1"/>
  <c r="J1223" i="12"/>
  <c r="K1223" s="1"/>
  <c r="J1223" i="17"/>
  <c r="K1223"/>
  <c r="O1223" s="1"/>
  <c r="L1223"/>
  <c r="M1223"/>
  <c r="F1223" i="3"/>
  <c r="O1223" s="1"/>
  <c r="D1223" i="22" s="1"/>
  <c r="J1224" i="12"/>
  <c r="K1224" s="1"/>
  <c r="J1224" i="17"/>
  <c r="K1224"/>
  <c r="O1224" s="1"/>
  <c r="L1224"/>
  <c r="M1224"/>
  <c r="F1224" i="3"/>
  <c r="O1224" s="1"/>
  <c r="D1224" i="22" s="1"/>
  <c r="J1225" i="12"/>
  <c r="K1225" s="1"/>
  <c r="J1225" i="17"/>
  <c r="K1225"/>
  <c r="O1225" s="1"/>
  <c r="L1225"/>
  <c r="M1225"/>
  <c r="F1225" i="3"/>
  <c r="O1225" s="1"/>
  <c r="D1225" i="22" s="1"/>
  <c r="J1226" i="12"/>
  <c r="K1226" s="1"/>
  <c r="J1226" i="17"/>
  <c r="K1226"/>
  <c r="O1226" s="1"/>
  <c r="L1226"/>
  <c r="M1226"/>
  <c r="F1226" i="3"/>
  <c r="O1226" s="1"/>
  <c r="D1226" i="22" s="1"/>
  <c r="J1227" i="12"/>
  <c r="K1227" s="1"/>
  <c r="J1227" i="17"/>
  <c r="K1227"/>
  <c r="O1227" s="1"/>
  <c r="L1227"/>
  <c r="M1227"/>
  <c r="F1227" i="13"/>
  <c r="G1227" s="1"/>
  <c r="I1227" s="1"/>
  <c r="F1227" i="3"/>
  <c r="O1227" s="1"/>
  <c r="D1227" i="22" s="1"/>
  <c r="J1228" i="12"/>
  <c r="K1228" s="1"/>
  <c r="J1228" i="17"/>
  <c r="K1228"/>
  <c r="O1228" s="1"/>
  <c r="L1228"/>
  <c r="M1228"/>
  <c r="F1228" i="13"/>
  <c r="G1228" s="1"/>
  <c r="I1228" s="1"/>
  <c r="F1228" i="3"/>
  <c r="O1228" s="1"/>
  <c r="D1228" i="22" s="1"/>
  <c r="J1229" i="12"/>
  <c r="K1229" s="1"/>
  <c r="J1229" i="17"/>
  <c r="K1229"/>
  <c r="O1229" s="1"/>
  <c r="L1229"/>
  <c r="M1229"/>
  <c r="I1229" i="3"/>
  <c r="J1229"/>
  <c r="K1229"/>
  <c r="M1229"/>
  <c r="F1229"/>
  <c r="J1230" i="17"/>
  <c r="K1230"/>
  <c r="O1230"/>
  <c r="L1230"/>
  <c r="M1230"/>
  <c r="I1230" i="3"/>
  <c r="J1230"/>
  <c r="K1230"/>
  <c r="M1230"/>
  <c r="F1230"/>
  <c r="J1231" i="17"/>
  <c r="K1231"/>
  <c r="O1231"/>
  <c r="L1231"/>
  <c r="M1231"/>
  <c r="I1231" i="3"/>
  <c r="J1231"/>
  <c r="K1231"/>
  <c r="M1231"/>
  <c r="F1231"/>
  <c r="G879" i="4"/>
  <c r="I881" i="10"/>
  <c r="M881" s="1"/>
  <c r="J881"/>
  <c r="K881"/>
  <c r="I882"/>
  <c r="M882" s="1"/>
  <c r="J882"/>
  <c r="K882"/>
  <c r="I883"/>
  <c r="M883" s="1"/>
  <c r="J883"/>
  <c r="K883"/>
  <c r="I884"/>
  <c r="M884" s="1"/>
  <c r="J884"/>
  <c r="K884"/>
  <c r="I885"/>
  <c r="M885" s="1"/>
  <c r="J885"/>
  <c r="K885"/>
  <c r="I886"/>
  <c r="M886" s="1"/>
  <c r="J886"/>
  <c r="K886"/>
  <c r="I887"/>
  <c r="M887" s="1"/>
  <c r="J887"/>
  <c r="K887"/>
  <c r="I888"/>
  <c r="M888" s="1"/>
  <c r="J888"/>
  <c r="K888"/>
  <c r="I889"/>
  <c r="M889" s="1"/>
  <c r="J889"/>
  <c r="K889"/>
  <c r="I890"/>
  <c r="M890" s="1"/>
  <c r="J890"/>
  <c r="K890"/>
  <c r="I891"/>
  <c r="M891" s="1"/>
  <c r="J891"/>
  <c r="K891"/>
  <c r="I892"/>
  <c r="M892" s="1"/>
  <c r="J892"/>
  <c r="K892"/>
  <c r="I893"/>
  <c r="M893" s="1"/>
  <c r="J893"/>
  <c r="K893"/>
  <c r="I894"/>
  <c r="M894" s="1"/>
  <c r="J894"/>
  <c r="K894"/>
  <c r="I895"/>
  <c r="M895" s="1"/>
  <c r="J895"/>
  <c r="K895"/>
  <c r="I896"/>
  <c r="M896" s="1"/>
  <c r="J896"/>
  <c r="K896"/>
  <c r="I897"/>
  <c r="M897" s="1"/>
  <c r="J897"/>
  <c r="K897"/>
  <c r="I898"/>
  <c r="M898" s="1"/>
  <c r="J898"/>
  <c r="K898"/>
  <c r="I899"/>
  <c r="M899" s="1"/>
  <c r="J899"/>
  <c r="K899"/>
  <c r="I900"/>
  <c r="M900" s="1"/>
  <c r="J900"/>
  <c r="K900"/>
  <c r="I901"/>
  <c r="M901" s="1"/>
  <c r="J901"/>
  <c r="K901"/>
  <c r="I902"/>
  <c r="M902" s="1"/>
  <c r="J902"/>
  <c r="K902"/>
  <c r="I903"/>
  <c r="M903" s="1"/>
  <c r="J903"/>
  <c r="K903"/>
  <c r="I904"/>
  <c r="M904" s="1"/>
  <c r="J904"/>
  <c r="K904"/>
  <c r="I905"/>
  <c r="M905" s="1"/>
  <c r="J905"/>
  <c r="K905"/>
  <c r="I906"/>
  <c r="M906" s="1"/>
  <c r="J906"/>
  <c r="K906"/>
  <c r="I907"/>
  <c r="M907" s="1"/>
  <c r="J907"/>
  <c r="K907"/>
  <c r="I908"/>
  <c r="M908" s="1"/>
  <c r="J908"/>
  <c r="K908"/>
  <c r="I909"/>
  <c r="M909" s="1"/>
  <c r="J909"/>
  <c r="K909"/>
  <c r="I910"/>
  <c r="M910" s="1"/>
  <c r="J910"/>
  <c r="K910"/>
  <c r="I911"/>
  <c r="M911" s="1"/>
  <c r="J911"/>
  <c r="K911"/>
  <c r="I912"/>
  <c r="M912" s="1"/>
  <c r="J912"/>
  <c r="K912"/>
  <c r="I913"/>
  <c r="M913" s="1"/>
  <c r="J913"/>
  <c r="K913"/>
  <c r="I914"/>
  <c r="M914" s="1"/>
  <c r="J914"/>
  <c r="K914"/>
  <c r="I915"/>
  <c r="M915" s="1"/>
  <c r="J915"/>
  <c r="K915"/>
  <c r="I916"/>
  <c r="M916" s="1"/>
  <c r="J916"/>
  <c r="K916"/>
  <c r="I917"/>
  <c r="M917" s="1"/>
  <c r="J917"/>
  <c r="K917"/>
  <c r="I918"/>
  <c r="M918" s="1"/>
  <c r="J918"/>
  <c r="K918"/>
  <c r="I919"/>
  <c r="M919" s="1"/>
  <c r="J919"/>
  <c r="K919"/>
  <c r="I920"/>
  <c r="M920" s="1"/>
  <c r="J920"/>
  <c r="K920"/>
  <c r="I921"/>
  <c r="M921" s="1"/>
  <c r="J921"/>
  <c r="K921"/>
  <c r="I922"/>
  <c r="M922" s="1"/>
  <c r="J922"/>
  <c r="K922"/>
  <c r="I923"/>
  <c r="M923" s="1"/>
  <c r="J923"/>
  <c r="K923"/>
  <c r="I924"/>
  <c r="M924" s="1"/>
  <c r="J924"/>
  <c r="K924"/>
  <c r="I925"/>
  <c r="M925" s="1"/>
  <c r="J925"/>
  <c r="K925"/>
  <c r="I926"/>
  <c r="M926" s="1"/>
  <c r="J926"/>
  <c r="K926"/>
  <c r="I927"/>
  <c r="M927" s="1"/>
  <c r="J927"/>
  <c r="K927"/>
  <c r="I928"/>
  <c r="M928" s="1"/>
  <c r="J928"/>
  <c r="K928"/>
  <c r="I929"/>
  <c r="M929" s="1"/>
  <c r="J929"/>
  <c r="K929"/>
  <c r="I930"/>
  <c r="M930" s="1"/>
  <c r="J930"/>
  <c r="K930"/>
  <c r="I931"/>
  <c r="M931" s="1"/>
  <c r="J931"/>
  <c r="K931"/>
  <c r="I932"/>
  <c r="M932" s="1"/>
  <c r="J932"/>
  <c r="K932"/>
  <c r="I933"/>
  <c r="M933" s="1"/>
  <c r="J933"/>
  <c r="K933"/>
  <c r="I934"/>
  <c r="M934" s="1"/>
  <c r="J934"/>
  <c r="K934"/>
  <c r="I935"/>
  <c r="M935" s="1"/>
  <c r="J935"/>
  <c r="K935"/>
  <c r="I936"/>
  <c r="M936" s="1"/>
  <c r="J936"/>
  <c r="K936"/>
  <c r="I937"/>
  <c r="M937" s="1"/>
  <c r="J937"/>
  <c r="K937"/>
  <c r="I938"/>
  <c r="M938" s="1"/>
  <c r="J938"/>
  <c r="K938"/>
  <c r="I939"/>
  <c r="M939" s="1"/>
  <c r="J939"/>
  <c r="K939"/>
  <c r="I940"/>
  <c r="M940" s="1"/>
  <c r="J940"/>
  <c r="K940"/>
  <c r="I941"/>
  <c r="M941" s="1"/>
  <c r="J941"/>
  <c r="K941"/>
  <c r="I942"/>
  <c r="M942" s="1"/>
  <c r="J942"/>
  <c r="K942"/>
  <c r="I943"/>
  <c r="M943" s="1"/>
  <c r="J943"/>
  <c r="K943"/>
  <c r="I944"/>
  <c r="M944" s="1"/>
  <c r="J944"/>
  <c r="K944"/>
  <c r="I945"/>
  <c r="M945" s="1"/>
  <c r="J945"/>
  <c r="K945"/>
  <c r="I946"/>
  <c r="M946" s="1"/>
  <c r="J946"/>
  <c r="K946"/>
  <c r="I947"/>
  <c r="M947" s="1"/>
  <c r="J947"/>
  <c r="K947"/>
  <c r="I948"/>
  <c r="M948" s="1"/>
  <c r="J948"/>
  <c r="K948"/>
  <c r="I949"/>
  <c r="M949" s="1"/>
  <c r="J949"/>
  <c r="K949"/>
  <c r="I950"/>
  <c r="M950" s="1"/>
  <c r="J950"/>
  <c r="K950"/>
  <c r="I951"/>
  <c r="M951" s="1"/>
  <c r="J951"/>
  <c r="K951"/>
  <c r="I952"/>
  <c r="M952" s="1"/>
  <c r="J952"/>
  <c r="K952"/>
  <c r="I953"/>
  <c r="M953" s="1"/>
  <c r="J953"/>
  <c r="K953"/>
  <c r="I954"/>
  <c r="M954" s="1"/>
  <c r="J954"/>
  <c r="K954"/>
  <c r="I955"/>
  <c r="M955" s="1"/>
  <c r="J955"/>
  <c r="K955"/>
  <c r="I956"/>
  <c r="M956" s="1"/>
  <c r="J956"/>
  <c r="K956"/>
  <c r="I957"/>
  <c r="M957" s="1"/>
  <c r="J957"/>
  <c r="K957"/>
  <c r="I958"/>
  <c r="M958" s="1"/>
  <c r="J958"/>
  <c r="K958"/>
  <c r="I959"/>
  <c r="M959" s="1"/>
  <c r="J959"/>
  <c r="K959"/>
  <c r="I960"/>
  <c r="M960" s="1"/>
  <c r="J960"/>
  <c r="K960"/>
  <c r="I961"/>
  <c r="M961" s="1"/>
  <c r="J961"/>
  <c r="K961"/>
  <c r="I962"/>
  <c r="M962" s="1"/>
  <c r="J962"/>
  <c r="K962"/>
  <c r="I963"/>
  <c r="M963" s="1"/>
  <c r="J963"/>
  <c r="K963"/>
  <c r="I964"/>
  <c r="M964" s="1"/>
  <c r="J964"/>
  <c r="K964"/>
  <c r="I965"/>
  <c r="M965" s="1"/>
  <c r="J965"/>
  <c r="K965"/>
  <c r="I966"/>
  <c r="M966" s="1"/>
  <c r="J966"/>
  <c r="K966"/>
  <c r="I967"/>
  <c r="M967" s="1"/>
  <c r="J967"/>
  <c r="K967"/>
  <c r="I968"/>
  <c r="M968" s="1"/>
  <c r="J968"/>
  <c r="K968"/>
  <c r="I969"/>
  <c r="M969" s="1"/>
  <c r="J969"/>
  <c r="K969"/>
  <c r="I970"/>
  <c r="M970" s="1"/>
  <c r="J970"/>
  <c r="K970"/>
  <c r="I971"/>
  <c r="M971" s="1"/>
  <c r="J971"/>
  <c r="K971"/>
  <c r="I972"/>
  <c r="M972" s="1"/>
  <c r="J972"/>
  <c r="K972"/>
  <c r="I973"/>
  <c r="M973" s="1"/>
  <c r="J973"/>
  <c r="K973"/>
  <c r="I974"/>
  <c r="M974" s="1"/>
  <c r="J974"/>
  <c r="K974"/>
  <c r="I975"/>
  <c r="M975" s="1"/>
  <c r="J975"/>
  <c r="K975"/>
  <c r="I976"/>
  <c r="M976" s="1"/>
  <c r="J976"/>
  <c r="K976"/>
  <c r="I977"/>
  <c r="M977" s="1"/>
  <c r="J977"/>
  <c r="K977"/>
  <c r="I978"/>
  <c r="M978" s="1"/>
  <c r="J978"/>
  <c r="K978"/>
  <c r="I979"/>
  <c r="M979" s="1"/>
  <c r="J979"/>
  <c r="K979"/>
  <c r="I980"/>
  <c r="M980" s="1"/>
  <c r="J980"/>
  <c r="K980"/>
  <c r="I981"/>
  <c r="M981" s="1"/>
  <c r="J981"/>
  <c r="K981"/>
  <c r="I982"/>
  <c r="M982" s="1"/>
  <c r="J982"/>
  <c r="K982"/>
  <c r="I983"/>
  <c r="M983" s="1"/>
  <c r="J983"/>
  <c r="K983"/>
  <c r="I984"/>
  <c r="M984" s="1"/>
  <c r="J984"/>
  <c r="K984"/>
  <c r="I985"/>
  <c r="M985" s="1"/>
  <c r="J985"/>
  <c r="K985"/>
  <c r="I986"/>
  <c r="M986" s="1"/>
  <c r="J986"/>
  <c r="K986"/>
  <c r="I987"/>
  <c r="M987" s="1"/>
  <c r="J987"/>
  <c r="K987"/>
  <c r="I988"/>
  <c r="M988" s="1"/>
  <c r="J988"/>
  <c r="K988"/>
  <c r="I989"/>
  <c r="M989" s="1"/>
  <c r="J989"/>
  <c r="K989"/>
  <c r="I990"/>
  <c r="M990" s="1"/>
  <c r="J990"/>
  <c r="K990"/>
  <c r="I991"/>
  <c r="M991" s="1"/>
  <c r="J991"/>
  <c r="K991"/>
  <c r="I992"/>
  <c r="M992" s="1"/>
  <c r="J992"/>
  <c r="K992"/>
  <c r="I993"/>
  <c r="M993" s="1"/>
  <c r="J993"/>
  <c r="K993"/>
  <c r="I994"/>
  <c r="M994" s="1"/>
  <c r="J994"/>
  <c r="K994"/>
  <c r="I995"/>
  <c r="M995" s="1"/>
  <c r="J995"/>
  <c r="K995"/>
  <c r="I996"/>
  <c r="M996" s="1"/>
  <c r="J996"/>
  <c r="K996"/>
  <c r="I997"/>
  <c r="M997" s="1"/>
  <c r="J997"/>
  <c r="K997"/>
  <c r="I998"/>
  <c r="M998" s="1"/>
  <c r="J998"/>
  <c r="K998"/>
  <c r="I999"/>
  <c r="M999" s="1"/>
  <c r="J999"/>
  <c r="K999"/>
  <c r="I1000"/>
  <c r="M1000" s="1"/>
  <c r="J1000"/>
  <c r="K1000"/>
  <c r="I1001"/>
  <c r="M1001" s="1"/>
  <c r="J1001"/>
  <c r="K1001"/>
  <c r="I1002"/>
  <c r="M1002" s="1"/>
  <c r="J1002"/>
  <c r="K1002"/>
  <c r="I1003"/>
  <c r="M1003" s="1"/>
  <c r="J1003"/>
  <c r="K1003"/>
  <c r="I1004"/>
  <c r="M1004" s="1"/>
  <c r="J1004"/>
  <c r="K1004"/>
  <c r="I1005"/>
  <c r="M1005" s="1"/>
  <c r="J1005"/>
  <c r="K1005"/>
  <c r="I1006"/>
  <c r="M1006" s="1"/>
  <c r="J1006"/>
  <c r="K1006"/>
  <c r="I1007"/>
  <c r="M1007" s="1"/>
  <c r="J1007"/>
  <c r="K1007"/>
  <c r="I1008"/>
  <c r="M1008" s="1"/>
  <c r="J1008"/>
  <c r="K1008"/>
  <c r="I1009"/>
  <c r="M1009" s="1"/>
  <c r="J1009"/>
  <c r="K1009"/>
  <c r="I1010"/>
  <c r="M1010" s="1"/>
  <c r="J1010"/>
  <c r="K1010"/>
  <c r="I1011"/>
  <c r="M1011" s="1"/>
  <c r="J1011"/>
  <c r="K1011"/>
  <c r="I1012"/>
  <c r="M1012" s="1"/>
  <c r="J1012"/>
  <c r="K1012"/>
  <c r="I1013"/>
  <c r="M1013" s="1"/>
  <c r="J1013"/>
  <c r="K1013"/>
  <c r="I1014"/>
  <c r="M1014" s="1"/>
  <c r="J1014"/>
  <c r="K1014"/>
  <c r="I1015"/>
  <c r="M1015" s="1"/>
  <c r="J1015"/>
  <c r="K1015"/>
  <c r="I1016"/>
  <c r="M1016" s="1"/>
  <c r="J1016"/>
  <c r="K1016"/>
  <c r="I1017"/>
  <c r="M1017" s="1"/>
  <c r="J1017"/>
  <c r="K1017"/>
  <c r="I1018"/>
  <c r="M1018" s="1"/>
  <c r="J1018"/>
  <c r="K1018"/>
  <c r="I1019"/>
  <c r="M1019" s="1"/>
  <c r="J1019"/>
  <c r="K1019"/>
  <c r="I1020"/>
  <c r="M1020" s="1"/>
  <c r="J1020"/>
  <c r="K1020"/>
  <c r="I1021"/>
  <c r="M1021" s="1"/>
  <c r="J1021"/>
  <c r="K1021"/>
  <c r="I1022"/>
  <c r="M1022" s="1"/>
  <c r="J1022"/>
  <c r="K1022"/>
  <c r="I1023"/>
  <c r="M1023" s="1"/>
  <c r="J1023"/>
  <c r="K1023"/>
  <c r="I1024"/>
  <c r="M1024" s="1"/>
  <c r="J1024"/>
  <c r="K1024"/>
  <c r="I1025"/>
  <c r="M1025" s="1"/>
  <c r="J1025"/>
  <c r="K1025"/>
  <c r="I1026"/>
  <c r="M1026" s="1"/>
  <c r="J1026"/>
  <c r="K1026"/>
  <c r="I1027"/>
  <c r="M1027" s="1"/>
  <c r="J1027"/>
  <c r="K1027"/>
  <c r="I1028"/>
  <c r="M1028" s="1"/>
  <c r="J1028"/>
  <c r="K1028"/>
  <c r="I1029"/>
  <c r="M1029" s="1"/>
  <c r="J1029"/>
  <c r="K1029"/>
  <c r="I1030"/>
  <c r="M1030" s="1"/>
  <c r="J1030"/>
  <c r="K1030"/>
  <c r="I1031"/>
  <c r="M1031" s="1"/>
  <c r="J1031"/>
  <c r="K1031"/>
  <c r="I1032"/>
  <c r="M1032" s="1"/>
  <c r="J1032"/>
  <c r="K1032"/>
  <c r="I1033"/>
  <c r="M1033" s="1"/>
  <c r="J1033"/>
  <c r="K1033"/>
  <c r="I1034"/>
  <c r="M1034" s="1"/>
  <c r="J1034"/>
  <c r="K1034"/>
  <c r="I1035"/>
  <c r="M1035" s="1"/>
  <c r="J1035"/>
  <c r="K1035"/>
  <c r="I1036"/>
  <c r="M1036" s="1"/>
  <c r="J1036"/>
  <c r="K1036"/>
  <c r="I1037"/>
  <c r="M1037" s="1"/>
  <c r="J1037"/>
  <c r="K1037"/>
  <c r="I1038"/>
  <c r="M1038" s="1"/>
  <c r="J1038"/>
  <c r="K1038"/>
  <c r="I1039"/>
  <c r="M1039" s="1"/>
  <c r="J1039"/>
  <c r="K1039"/>
  <c r="I1040"/>
  <c r="M1040" s="1"/>
  <c r="J1040"/>
  <c r="K1040"/>
  <c r="I1041"/>
  <c r="M1041" s="1"/>
  <c r="J1041"/>
  <c r="K1041"/>
  <c r="I1042"/>
  <c r="M1042" s="1"/>
  <c r="J1042"/>
  <c r="K1042"/>
  <c r="I1043"/>
  <c r="M1043" s="1"/>
  <c r="J1043"/>
  <c r="K1043"/>
  <c r="I1044"/>
  <c r="M1044" s="1"/>
  <c r="J1044"/>
  <c r="K1044"/>
  <c r="I1045"/>
  <c r="M1045" s="1"/>
  <c r="J1045"/>
  <c r="K1045"/>
  <c r="I1046"/>
  <c r="M1046" s="1"/>
  <c r="J1046"/>
  <c r="K1046"/>
  <c r="I1047"/>
  <c r="M1047" s="1"/>
  <c r="J1047"/>
  <c r="K1047"/>
  <c r="I1048"/>
  <c r="M1048" s="1"/>
  <c r="J1048"/>
  <c r="K1048"/>
  <c r="I1049"/>
  <c r="M1049" s="1"/>
  <c r="J1049"/>
  <c r="K1049"/>
  <c r="I1050"/>
  <c r="M1050" s="1"/>
  <c r="J1050"/>
  <c r="K1050"/>
  <c r="I1051"/>
  <c r="M1051" s="1"/>
  <c r="J1051"/>
  <c r="K1051"/>
  <c r="I1052"/>
  <c r="M1052" s="1"/>
  <c r="J1052"/>
  <c r="K1052"/>
  <c r="I1053"/>
  <c r="M1053" s="1"/>
  <c r="J1053"/>
  <c r="K1053"/>
  <c r="I1054"/>
  <c r="M1054" s="1"/>
  <c r="J1054"/>
  <c r="K1054"/>
  <c r="I1055"/>
  <c r="M1055" s="1"/>
  <c r="J1055"/>
  <c r="K1055"/>
  <c r="I1056"/>
  <c r="M1056" s="1"/>
  <c r="J1056"/>
  <c r="K1056"/>
  <c r="I1057"/>
  <c r="M1057" s="1"/>
  <c r="J1057"/>
  <c r="K1057"/>
  <c r="I1058"/>
  <c r="M1058" s="1"/>
  <c r="J1058"/>
  <c r="K1058"/>
  <c r="I1059"/>
  <c r="M1059" s="1"/>
  <c r="J1059"/>
  <c r="K1059"/>
  <c r="I1060"/>
  <c r="M1060" s="1"/>
  <c r="J1060"/>
  <c r="K1060"/>
  <c r="I1061"/>
  <c r="M1061" s="1"/>
  <c r="J1061"/>
  <c r="K1061"/>
  <c r="I1062"/>
  <c r="M1062" s="1"/>
  <c r="J1062"/>
  <c r="K1062"/>
  <c r="I1063"/>
  <c r="M1063" s="1"/>
  <c r="J1063"/>
  <c r="K1063"/>
  <c r="I1064"/>
  <c r="M1064" s="1"/>
  <c r="J1064"/>
  <c r="K1064"/>
  <c r="I1065"/>
  <c r="M1065" s="1"/>
  <c r="J1065"/>
  <c r="K1065"/>
  <c r="I1066"/>
  <c r="M1066" s="1"/>
  <c r="J1066"/>
  <c r="K1066"/>
  <c r="I1067"/>
  <c r="M1067" s="1"/>
  <c r="J1067"/>
  <c r="K1067"/>
  <c r="I1068"/>
  <c r="M1068" s="1"/>
  <c r="J1068"/>
  <c r="K1068"/>
  <c r="I1069"/>
  <c r="M1069" s="1"/>
  <c r="J1069"/>
  <c r="K1069"/>
  <c r="I1070"/>
  <c r="M1070" s="1"/>
  <c r="J1070"/>
  <c r="K1070"/>
  <c r="I1071"/>
  <c r="M1071" s="1"/>
  <c r="J1071"/>
  <c r="K1071"/>
  <c r="I1072"/>
  <c r="M1072" s="1"/>
  <c r="J1072"/>
  <c r="K1072"/>
  <c r="I1073"/>
  <c r="M1073" s="1"/>
  <c r="J1073"/>
  <c r="K1073"/>
  <c r="I1074"/>
  <c r="M1074" s="1"/>
  <c r="J1074"/>
  <c r="K1074"/>
  <c r="I1075"/>
  <c r="M1075" s="1"/>
  <c r="J1075"/>
  <c r="K1075"/>
  <c r="I1076"/>
  <c r="M1076" s="1"/>
  <c r="J1076"/>
  <c r="K1076"/>
  <c r="I1077"/>
  <c r="M1077" s="1"/>
  <c r="J1077"/>
  <c r="K1077"/>
  <c r="I1078"/>
  <c r="M1078" s="1"/>
  <c r="J1078"/>
  <c r="K1078"/>
  <c r="I1079"/>
  <c r="M1079" s="1"/>
  <c r="J1079"/>
  <c r="K1079"/>
  <c r="I1080"/>
  <c r="M1080" s="1"/>
  <c r="J1080"/>
  <c r="K1080"/>
  <c r="I1081"/>
  <c r="M1081" s="1"/>
  <c r="J1081"/>
  <c r="K1081"/>
  <c r="I1082"/>
  <c r="M1082" s="1"/>
  <c r="J1082"/>
  <c r="K1082"/>
  <c r="I1083"/>
  <c r="M1083" s="1"/>
  <c r="J1083"/>
  <c r="K1083"/>
  <c r="I1084"/>
  <c r="M1084" s="1"/>
  <c r="J1084"/>
  <c r="K1084"/>
  <c r="I1085"/>
  <c r="M1085" s="1"/>
  <c r="J1085"/>
  <c r="K1085"/>
  <c r="I1086"/>
  <c r="M1086" s="1"/>
  <c r="J1086"/>
  <c r="K1086"/>
  <c r="I1087"/>
  <c r="M1087" s="1"/>
  <c r="J1087"/>
  <c r="K1087"/>
  <c r="I1088"/>
  <c r="M1088" s="1"/>
  <c r="J1088"/>
  <c r="K1088"/>
  <c r="I1089"/>
  <c r="M1089" s="1"/>
  <c r="J1089"/>
  <c r="K1089"/>
  <c r="I1090"/>
  <c r="M1090" s="1"/>
  <c r="J1090"/>
  <c r="K1090"/>
  <c r="I1091"/>
  <c r="M1091" s="1"/>
  <c r="J1091"/>
  <c r="K1091"/>
  <c r="I1092"/>
  <c r="M1092" s="1"/>
  <c r="J1092"/>
  <c r="K1092"/>
  <c r="I1093"/>
  <c r="M1093" s="1"/>
  <c r="J1093"/>
  <c r="K1093"/>
  <c r="I1094"/>
  <c r="M1094" s="1"/>
  <c r="J1094"/>
  <c r="K1094"/>
  <c r="I1095"/>
  <c r="M1095" s="1"/>
  <c r="J1095"/>
  <c r="K1095"/>
  <c r="I1096"/>
  <c r="M1096" s="1"/>
  <c r="J1096"/>
  <c r="K1096"/>
  <c r="I1097"/>
  <c r="M1097" s="1"/>
  <c r="J1097"/>
  <c r="K1097"/>
  <c r="I1098"/>
  <c r="M1098" s="1"/>
  <c r="J1098"/>
  <c r="K1098"/>
  <c r="I1099"/>
  <c r="M1099" s="1"/>
  <c r="J1099"/>
  <c r="K1099"/>
  <c r="I1100"/>
  <c r="M1100" s="1"/>
  <c r="J1100"/>
  <c r="K1100"/>
  <c r="I1101"/>
  <c r="M1101" s="1"/>
  <c r="J1101"/>
  <c r="K1101"/>
  <c r="I1102"/>
  <c r="M1102" s="1"/>
  <c r="J1102"/>
  <c r="K1102"/>
  <c r="I1103"/>
  <c r="M1103" s="1"/>
  <c r="J1103"/>
  <c r="K1103"/>
  <c r="I1104"/>
  <c r="M1104" s="1"/>
  <c r="J1104"/>
  <c r="K1104"/>
  <c r="I1105"/>
  <c r="M1105" s="1"/>
  <c r="J1105"/>
  <c r="K1105"/>
  <c r="I1106"/>
  <c r="M1106" s="1"/>
  <c r="J1106"/>
  <c r="K1106"/>
  <c r="I1107"/>
  <c r="M1107" s="1"/>
  <c r="J1107"/>
  <c r="K1107"/>
  <c r="I1108"/>
  <c r="M1108" s="1"/>
  <c r="J1108"/>
  <c r="K1108"/>
  <c r="I1109"/>
  <c r="M1109" s="1"/>
  <c r="J1109"/>
  <c r="K1109"/>
  <c r="I1110"/>
  <c r="M1110" s="1"/>
  <c r="J1110"/>
  <c r="K1110"/>
  <c r="I1111"/>
  <c r="M1111" s="1"/>
  <c r="J1111"/>
  <c r="K1111"/>
  <c r="I1112"/>
  <c r="M1112" s="1"/>
  <c r="J1112"/>
  <c r="K1112"/>
  <c r="I1113"/>
  <c r="M1113" s="1"/>
  <c r="J1113"/>
  <c r="K1113"/>
  <c r="I1114"/>
  <c r="M1114" s="1"/>
  <c r="J1114"/>
  <c r="K1114"/>
  <c r="I1115"/>
  <c r="M1115" s="1"/>
  <c r="J1115"/>
  <c r="K1115"/>
  <c r="I1116"/>
  <c r="M1116" s="1"/>
  <c r="J1116"/>
  <c r="K1116"/>
  <c r="I1117"/>
  <c r="M1117" s="1"/>
  <c r="J1117"/>
  <c r="K1117"/>
  <c r="I1118"/>
  <c r="M1118" s="1"/>
  <c r="J1118"/>
  <c r="K1118"/>
  <c r="I1119"/>
  <c r="M1119" s="1"/>
  <c r="J1119"/>
  <c r="K1119"/>
  <c r="I1120"/>
  <c r="M1120" s="1"/>
  <c r="J1120"/>
  <c r="K1120"/>
  <c r="I1121"/>
  <c r="M1121" s="1"/>
  <c r="J1121"/>
  <c r="K1121"/>
  <c r="I1122"/>
  <c r="M1122" s="1"/>
  <c r="J1122"/>
  <c r="K1122"/>
  <c r="I1123"/>
  <c r="M1123" s="1"/>
  <c r="J1123"/>
  <c r="K1123"/>
  <c r="I1124"/>
  <c r="M1124" s="1"/>
  <c r="J1124"/>
  <c r="K1124"/>
  <c r="I1125"/>
  <c r="M1125" s="1"/>
  <c r="J1125"/>
  <c r="K1125"/>
  <c r="I1126"/>
  <c r="M1126" s="1"/>
  <c r="J1126"/>
  <c r="K1126"/>
  <c r="I1127"/>
  <c r="M1127" s="1"/>
  <c r="J1127"/>
  <c r="K1127"/>
  <c r="I1128"/>
  <c r="M1128" s="1"/>
  <c r="J1128"/>
  <c r="K1128"/>
  <c r="I1129"/>
  <c r="M1129" s="1"/>
  <c r="J1129"/>
  <c r="K1129"/>
  <c r="I1130"/>
  <c r="M1130" s="1"/>
  <c r="J1130"/>
  <c r="K1130"/>
  <c r="I1131"/>
  <c r="M1131" s="1"/>
  <c r="J1131"/>
  <c r="K1131"/>
  <c r="I1132"/>
  <c r="M1132" s="1"/>
  <c r="J1132"/>
  <c r="K1132"/>
  <c r="I1133"/>
  <c r="M1133" s="1"/>
  <c r="J1133"/>
  <c r="K1133"/>
  <c r="I1134"/>
  <c r="M1134" s="1"/>
  <c r="J1134"/>
  <c r="K1134"/>
  <c r="I1135"/>
  <c r="M1135" s="1"/>
  <c r="J1135"/>
  <c r="K1135"/>
  <c r="I1136"/>
  <c r="M1136" s="1"/>
  <c r="J1136"/>
  <c r="K1136"/>
  <c r="I1137"/>
  <c r="M1137" s="1"/>
  <c r="J1137"/>
  <c r="K1137"/>
  <c r="I1138"/>
  <c r="M1138" s="1"/>
  <c r="J1138"/>
  <c r="K1138"/>
  <c r="I1139"/>
  <c r="M1139" s="1"/>
  <c r="J1139"/>
  <c r="K1139"/>
  <c r="I1140"/>
  <c r="M1140" s="1"/>
  <c r="J1140"/>
  <c r="K1140"/>
  <c r="I1141"/>
  <c r="M1141" s="1"/>
  <c r="J1141"/>
  <c r="K1141"/>
  <c r="I1142"/>
  <c r="M1142" s="1"/>
  <c r="J1142"/>
  <c r="K1142"/>
  <c r="I1143"/>
  <c r="M1143" s="1"/>
  <c r="J1143"/>
  <c r="K1143"/>
  <c r="I1144"/>
  <c r="M1144" s="1"/>
  <c r="J1144"/>
  <c r="K1144"/>
  <c r="I1145"/>
  <c r="M1145" s="1"/>
  <c r="J1145"/>
  <c r="K1145"/>
  <c r="I386"/>
  <c r="M386" s="1"/>
  <c r="J386"/>
  <c r="K386"/>
  <c r="I387"/>
  <c r="M387" s="1"/>
  <c r="J387"/>
  <c r="K387"/>
  <c r="I388"/>
  <c r="M388" s="1"/>
  <c r="J388"/>
  <c r="K388"/>
  <c r="I389"/>
  <c r="M389" s="1"/>
  <c r="J389"/>
  <c r="K389"/>
  <c r="I390"/>
  <c r="M390" s="1"/>
  <c r="J390"/>
  <c r="K390"/>
  <c r="I391"/>
  <c r="M391" s="1"/>
  <c r="J391"/>
  <c r="K391"/>
  <c r="I392"/>
  <c r="M392" s="1"/>
  <c r="J392"/>
  <c r="K392"/>
  <c r="I393"/>
  <c r="M393" s="1"/>
  <c r="J393"/>
  <c r="K393"/>
  <c r="I394"/>
  <c r="M394" s="1"/>
  <c r="J394"/>
  <c r="K394"/>
  <c r="I395"/>
  <c r="M395" s="1"/>
  <c r="J395"/>
  <c r="K395"/>
  <c r="I396"/>
  <c r="M396" s="1"/>
  <c r="J396"/>
  <c r="K396"/>
  <c r="I397"/>
  <c r="M397" s="1"/>
  <c r="J397"/>
  <c r="K397"/>
  <c r="I398"/>
  <c r="M398" s="1"/>
  <c r="J398"/>
  <c r="K398"/>
  <c r="I399"/>
  <c r="M399" s="1"/>
  <c r="J399"/>
  <c r="K399"/>
  <c r="I400"/>
  <c r="M400" s="1"/>
  <c r="J400"/>
  <c r="K400"/>
  <c r="I401"/>
  <c r="M401" s="1"/>
  <c r="J401"/>
  <c r="K401"/>
  <c r="I402"/>
  <c r="M402" s="1"/>
  <c r="J402"/>
  <c r="K402"/>
  <c r="I403"/>
  <c r="M403" s="1"/>
  <c r="J403"/>
  <c r="K403"/>
  <c r="I404"/>
  <c r="M404" s="1"/>
  <c r="J404"/>
  <c r="K404"/>
  <c r="I405"/>
  <c r="M405" s="1"/>
  <c r="J405"/>
  <c r="K405"/>
  <c r="I406"/>
  <c r="M406" s="1"/>
  <c r="J406"/>
  <c r="K406"/>
  <c r="I407"/>
  <c r="M407" s="1"/>
  <c r="J407"/>
  <c r="K407"/>
  <c r="I408"/>
  <c r="M408" s="1"/>
  <c r="J408"/>
  <c r="K408"/>
  <c r="I409"/>
  <c r="M409" s="1"/>
  <c r="J409"/>
  <c r="K409"/>
  <c r="I410"/>
  <c r="M410" s="1"/>
  <c r="J410"/>
  <c r="K410"/>
  <c r="I411"/>
  <c r="M411" s="1"/>
  <c r="J411"/>
  <c r="K411"/>
  <c r="I412"/>
  <c r="M412" s="1"/>
  <c r="J412"/>
  <c r="K412"/>
  <c r="I413"/>
  <c r="M413" s="1"/>
  <c r="J413"/>
  <c r="K413"/>
  <c r="I414"/>
  <c r="M414" s="1"/>
  <c r="J414"/>
  <c r="K414"/>
  <c r="I415"/>
  <c r="M415" s="1"/>
  <c r="J415"/>
  <c r="K415"/>
  <c r="I416"/>
  <c r="M416" s="1"/>
  <c r="J416"/>
  <c r="K416"/>
  <c r="I417"/>
  <c r="M417" s="1"/>
  <c r="J417"/>
  <c r="K417"/>
  <c r="I418"/>
  <c r="M418" s="1"/>
  <c r="J418"/>
  <c r="K418"/>
  <c r="I419"/>
  <c r="M419" s="1"/>
  <c r="J419"/>
  <c r="K419"/>
  <c r="I420"/>
  <c r="M420" s="1"/>
  <c r="J420"/>
  <c r="K420"/>
  <c r="I421"/>
  <c r="M421" s="1"/>
  <c r="J421"/>
  <c r="K421"/>
  <c r="I422"/>
  <c r="M422" s="1"/>
  <c r="J422"/>
  <c r="K422"/>
  <c r="I423"/>
  <c r="M423" s="1"/>
  <c r="J423"/>
  <c r="K423"/>
  <c r="I424"/>
  <c r="M424" s="1"/>
  <c r="J424"/>
  <c r="K424"/>
  <c r="I425"/>
  <c r="M425" s="1"/>
  <c r="J425"/>
  <c r="K425"/>
  <c r="I426"/>
  <c r="M426" s="1"/>
  <c r="J426"/>
  <c r="K426"/>
  <c r="I427"/>
  <c r="M427" s="1"/>
  <c r="J427"/>
  <c r="K427"/>
  <c r="I428"/>
  <c r="M428" s="1"/>
  <c r="J428"/>
  <c r="K428"/>
  <c r="I429"/>
  <c r="M429" s="1"/>
  <c r="J429"/>
  <c r="K429"/>
  <c r="I430"/>
  <c r="M430" s="1"/>
  <c r="J430"/>
  <c r="K430"/>
  <c r="I431"/>
  <c r="M431" s="1"/>
  <c r="J431"/>
  <c r="K431"/>
  <c r="I432"/>
  <c r="M432" s="1"/>
  <c r="J432"/>
  <c r="K432"/>
  <c r="I433"/>
  <c r="M433" s="1"/>
  <c r="J433"/>
  <c r="K433"/>
  <c r="I434"/>
  <c r="M434" s="1"/>
  <c r="J434"/>
  <c r="K434"/>
  <c r="I435"/>
  <c r="M435" s="1"/>
  <c r="J435"/>
  <c r="K435"/>
  <c r="I436"/>
  <c r="M436" s="1"/>
  <c r="J436"/>
  <c r="K436"/>
  <c r="I437"/>
  <c r="M437" s="1"/>
  <c r="J437"/>
  <c r="K437"/>
  <c r="I438"/>
  <c r="M438" s="1"/>
  <c r="J438"/>
  <c r="K438"/>
  <c r="I439"/>
  <c r="M439" s="1"/>
  <c r="J439"/>
  <c r="K439"/>
  <c r="I440"/>
  <c r="M440" s="1"/>
  <c r="J440"/>
  <c r="K440"/>
  <c r="I441"/>
  <c r="M441" s="1"/>
  <c r="J441"/>
  <c r="K441"/>
  <c r="I442"/>
  <c r="M442" s="1"/>
  <c r="J442"/>
  <c r="K442"/>
  <c r="I443"/>
  <c r="M443" s="1"/>
  <c r="J443"/>
  <c r="K443"/>
  <c r="I444"/>
  <c r="M444" s="1"/>
  <c r="J444"/>
  <c r="K444"/>
  <c r="I445"/>
  <c r="M445" s="1"/>
  <c r="J445"/>
  <c r="K445"/>
  <c r="I446"/>
  <c r="M446" s="1"/>
  <c r="J446"/>
  <c r="K446"/>
  <c r="I447"/>
  <c r="M447" s="1"/>
  <c r="J447"/>
  <c r="K447"/>
  <c r="I448"/>
  <c r="M448" s="1"/>
  <c r="J448"/>
  <c r="K448"/>
  <c r="I449"/>
  <c r="M449" s="1"/>
  <c r="J449"/>
  <c r="K449"/>
  <c r="I450"/>
  <c r="M450" s="1"/>
  <c r="J450"/>
  <c r="K450"/>
  <c r="I451"/>
  <c r="M451" s="1"/>
  <c r="J451"/>
  <c r="K451"/>
  <c r="I452"/>
  <c r="M452" s="1"/>
  <c r="J452"/>
  <c r="K452"/>
  <c r="I453"/>
  <c r="M453" s="1"/>
  <c r="J453"/>
  <c r="K453"/>
  <c r="I454"/>
  <c r="M454" s="1"/>
  <c r="J454"/>
  <c r="K454"/>
  <c r="I455"/>
  <c r="M455" s="1"/>
  <c r="J455"/>
  <c r="K455"/>
  <c r="I456"/>
  <c r="M456" s="1"/>
  <c r="J456"/>
  <c r="K456"/>
  <c r="I457"/>
  <c r="M457" s="1"/>
  <c r="J457"/>
  <c r="K457"/>
  <c r="I458"/>
  <c r="M458" s="1"/>
  <c r="J458"/>
  <c r="K458"/>
  <c r="I459"/>
  <c r="M459" s="1"/>
  <c r="J459"/>
  <c r="K459"/>
  <c r="I460"/>
  <c r="M460" s="1"/>
  <c r="J460"/>
  <c r="K460"/>
  <c r="I461"/>
  <c r="M461" s="1"/>
  <c r="J461"/>
  <c r="K461"/>
  <c r="I462"/>
  <c r="M462" s="1"/>
  <c r="J462"/>
  <c r="K462"/>
  <c r="I463"/>
  <c r="M463" s="1"/>
  <c r="J463"/>
  <c r="K463"/>
  <c r="I464"/>
  <c r="M464" s="1"/>
  <c r="J464"/>
  <c r="K464"/>
  <c r="I465"/>
  <c r="M465" s="1"/>
  <c r="J465"/>
  <c r="K465"/>
  <c r="I466"/>
  <c r="M466" s="1"/>
  <c r="J466"/>
  <c r="K466"/>
  <c r="I467"/>
  <c r="M467" s="1"/>
  <c r="J467"/>
  <c r="K467"/>
  <c r="I468"/>
  <c r="M468" s="1"/>
  <c r="J468"/>
  <c r="K468"/>
  <c r="I469"/>
  <c r="M469" s="1"/>
  <c r="J469"/>
  <c r="K469"/>
  <c r="I470"/>
  <c r="M470" s="1"/>
  <c r="J470"/>
  <c r="K470"/>
  <c r="I471"/>
  <c r="M471" s="1"/>
  <c r="J471"/>
  <c r="K471"/>
  <c r="I472"/>
  <c r="M472" s="1"/>
  <c r="J472"/>
  <c r="K472"/>
  <c r="I473"/>
  <c r="M473" s="1"/>
  <c r="J473"/>
  <c r="K473"/>
  <c r="I474"/>
  <c r="M474" s="1"/>
  <c r="J474"/>
  <c r="K474"/>
  <c r="I475"/>
  <c r="M475" s="1"/>
  <c r="J475"/>
  <c r="K475"/>
  <c r="I476"/>
  <c r="M476" s="1"/>
  <c r="J476"/>
  <c r="K476"/>
  <c r="I477"/>
  <c r="M477" s="1"/>
  <c r="J477"/>
  <c r="K477"/>
  <c r="I478"/>
  <c r="M478" s="1"/>
  <c r="J478"/>
  <c r="K478"/>
  <c r="I479"/>
  <c r="M479" s="1"/>
  <c r="J479"/>
  <c r="K479"/>
  <c r="I480"/>
  <c r="M480" s="1"/>
  <c r="J480"/>
  <c r="K480"/>
  <c r="I481"/>
  <c r="M481" s="1"/>
  <c r="J481"/>
  <c r="K481"/>
  <c r="I482"/>
  <c r="M482" s="1"/>
  <c r="J482"/>
  <c r="K482"/>
  <c r="I483"/>
  <c r="M483" s="1"/>
  <c r="J483"/>
  <c r="K483"/>
  <c r="I484"/>
  <c r="M484" s="1"/>
  <c r="J484"/>
  <c r="K484"/>
  <c r="I485"/>
  <c r="M485" s="1"/>
  <c r="J485"/>
  <c r="K485"/>
  <c r="I486"/>
  <c r="M486" s="1"/>
  <c r="J486"/>
  <c r="K486"/>
  <c r="I487"/>
  <c r="M487" s="1"/>
  <c r="J487"/>
  <c r="K487"/>
  <c r="I488"/>
  <c r="M488" s="1"/>
  <c r="J488"/>
  <c r="K488"/>
  <c r="I489"/>
  <c r="M489" s="1"/>
  <c r="J489"/>
  <c r="K489"/>
  <c r="I490"/>
  <c r="M490" s="1"/>
  <c r="J490"/>
  <c r="K490"/>
  <c r="I491"/>
  <c r="M491" s="1"/>
  <c r="J491"/>
  <c r="K491"/>
  <c r="I492"/>
  <c r="M492" s="1"/>
  <c r="J492"/>
  <c r="K492"/>
  <c r="I493"/>
  <c r="M493" s="1"/>
  <c r="J493"/>
  <c r="K493"/>
  <c r="I494"/>
  <c r="M494" s="1"/>
  <c r="J494"/>
  <c r="K494"/>
  <c r="I495"/>
  <c r="M495" s="1"/>
  <c r="J495"/>
  <c r="K495"/>
  <c r="I496"/>
  <c r="M496" s="1"/>
  <c r="J496"/>
  <c r="K496"/>
  <c r="I497"/>
  <c r="M497" s="1"/>
  <c r="J497"/>
  <c r="K497"/>
  <c r="I498"/>
  <c r="M498" s="1"/>
  <c r="J498"/>
  <c r="K498"/>
  <c r="I499"/>
  <c r="M499" s="1"/>
  <c r="J499"/>
  <c r="K499"/>
  <c r="I500"/>
  <c r="M500" s="1"/>
  <c r="J500"/>
  <c r="K500"/>
  <c r="I501"/>
  <c r="M501" s="1"/>
  <c r="J501"/>
  <c r="K501"/>
  <c r="I502"/>
  <c r="M502" s="1"/>
  <c r="J502"/>
  <c r="K502"/>
  <c r="I503"/>
  <c r="M503" s="1"/>
  <c r="J503"/>
  <c r="K503"/>
  <c r="I504"/>
  <c r="M504" s="1"/>
  <c r="J504"/>
  <c r="K504"/>
  <c r="I505"/>
  <c r="M505" s="1"/>
  <c r="J505"/>
  <c r="K505"/>
  <c r="I506"/>
  <c r="M506" s="1"/>
  <c r="J506"/>
  <c r="K506"/>
  <c r="I507"/>
  <c r="M507" s="1"/>
  <c r="J507"/>
  <c r="K507"/>
  <c r="I508"/>
  <c r="M508" s="1"/>
  <c r="J508"/>
  <c r="K508"/>
  <c r="I509"/>
  <c r="M509" s="1"/>
  <c r="J509"/>
  <c r="K509"/>
  <c r="I510"/>
  <c r="M510" s="1"/>
  <c r="J510"/>
  <c r="K510"/>
  <c r="I511"/>
  <c r="M511" s="1"/>
  <c r="J511"/>
  <c r="K511"/>
  <c r="I512"/>
  <c r="M512" s="1"/>
  <c r="J512"/>
  <c r="K512"/>
  <c r="I513"/>
  <c r="M513" s="1"/>
  <c r="J513"/>
  <c r="K513"/>
  <c r="I514"/>
  <c r="M514" s="1"/>
  <c r="J514"/>
  <c r="K514"/>
  <c r="I515"/>
  <c r="M515" s="1"/>
  <c r="J515"/>
  <c r="K515"/>
  <c r="I516"/>
  <c r="M516" s="1"/>
  <c r="J516"/>
  <c r="K516"/>
  <c r="I517"/>
  <c r="M517" s="1"/>
  <c r="J517"/>
  <c r="K517"/>
  <c r="I518"/>
  <c r="M518" s="1"/>
  <c r="J518"/>
  <c r="K518"/>
  <c r="I519"/>
  <c r="M519" s="1"/>
  <c r="J519"/>
  <c r="K519"/>
  <c r="I520"/>
  <c r="M520" s="1"/>
  <c r="J520"/>
  <c r="K520"/>
  <c r="I521"/>
  <c r="M521" s="1"/>
  <c r="J521"/>
  <c r="K521"/>
  <c r="I522"/>
  <c r="M522" s="1"/>
  <c r="J522"/>
  <c r="K522"/>
  <c r="I523"/>
  <c r="M523" s="1"/>
  <c r="J523"/>
  <c r="K523"/>
  <c r="I524"/>
  <c r="M524" s="1"/>
  <c r="J524"/>
  <c r="K524"/>
  <c r="I525"/>
  <c r="M525" s="1"/>
  <c r="J525"/>
  <c r="K525"/>
  <c r="I526"/>
  <c r="M526" s="1"/>
  <c r="J526"/>
  <c r="K526"/>
  <c r="I527"/>
  <c r="M527" s="1"/>
  <c r="J527"/>
  <c r="K527"/>
  <c r="I528"/>
  <c r="M528" s="1"/>
  <c r="J528"/>
  <c r="K528"/>
  <c r="I529"/>
  <c r="M529" s="1"/>
  <c r="J529"/>
  <c r="K529"/>
  <c r="I530"/>
  <c r="M530" s="1"/>
  <c r="J530"/>
  <c r="K530"/>
  <c r="I531"/>
  <c r="M531" s="1"/>
  <c r="J531"/>
  <c r="K531"/>
  <c r="I532"/>
  <c r="M532" s="1"/>
  <c r="J532"/>
  <c r="K532"/>
  <c r="I533"/>
  <c r="M533" s="1"/>
  <c r="J533"/>
  <c r="K533"/>
  <c r="I1204"/>
  <c r="M1204" s="1"/>
  <c r="J1204"/>
  <c r="K1204"/>
  <c r="I1205"/>
  <c r="M1205" s="1"/>
  <c r="J1205"/>
  <c r="K1205"/>
  <c r="I1206"/>
  <c r="M1206" s="1"/>
  <c r="J1206"/>
  <c r="K1206"/>
  <c r="I1207"/>
  <c r="M1207" s="1"/>
  <c r="J1207"/>
  <c r="K1207"/>
  <c r="I1208"/>
  <c r="M1208" s="1"/>
  <c r="J1208"/>
  <c r="K1208"/>
  <c r="I1209"/>
  <c r="M1209" s="1"/>
  <c r="J1209"/>
  <c r="K1209"/>
  <c r="I1210"/>
  <c r="M1210" s="1"/>
  <c r="J1210"/>
  <c r="K1210"/>
  <c r="I1211"/>
  <c r="M1211" s="1"/>
  <c r="J1211"/>
  <c r="K1211"/>
  <c r="I1212"/>
  <c r="M1212" s="1"/>
  <c r="J1212"/>
  <c r="K1212"/>
  <c r="I1213"/>
  <c r="M1213" s="1"/>
  <c r="J1213"/>
  <c r="K1213"/>
  <c r="I1214"/>
  <c r="M1214" s="1"/>
  <c r="J1214"/>
  <c r="K1214"/>
  <c r="I1215"/>
  <c r="M1215" s="1"/>
  <c r="J1215"/>
  <c r="K1215"/>
  <c r="I1216"/>
  <c r="M1216" s="1"/>
  <c r="J1216"/>
  <c r="K1216"/>
  <c r="I1217"/>
  <c r="M1217" s="1"/>
  <c r="J1217"/>
  <c r="K1217"/>
  <c r="I1218"/>
  <c r="M1218" s="1"/>
  <c r="J1218"/>
  <c r="K1218"/>
  <c r="I1219"/>
  <c r="M1219" s="1"/>
  <c r="J1219"/>
  <c r="K1219"/>
  <c r="I1220"/>
  <c r="M1220" s="1"/>
  <c r="J1220"/>
  <c r="K1220"/>
  <c r="I1221"/>
  <c r="M1221" s="1"/>
  <c r="J1221"/>
  <c r="K1221"/>
  <c r="I1222"/>
  <c r="M1222" s="1"/>
  <c r="J1222"/>
  <c r="K1222"/>
  <c r="I1223"/>
  <c r="M1223" s="1"/>
  <c r="J1223"/>
  <c r="K1223"/>
  <c r="I1224"/>
  <c r="M1224" s="1"/>
  <c r="J1224"/>
  <c r="K1224"/>
  <c r="I1225"/>
  <c r="M1225" s="1"/>
  <c r="J1225"/>
  <c r="K1225"/>
  <c r="I1226"/>
  <c r="M1226" s="1"/>
  <c r="J1226"/>
  <c r="K1226"/>
  <c r="I1227"/>
  <c r="M1227" s="1"/>
  <c r="J1227"/>
  <c r="K1227"/>
  <c r="I1228"/>
  <c r="M1228" s="1"/>
  <c r="J1228"/>
  <c r="K1228"/>
  <c r="I1229"/>
  <c r="M1229" s="1"/>
  <c r="J1229"/>
  <c r="K1229"/>
  <c r="I1230"/>
  <c r="M1230" s="1"/>
  <c r="J1230"/>
  <c r="K1230"/>
  <c r="I1231"/>
  <c r="M1231" s="1"/>
  <c r="J1231"/>
  <c r="K1231"/>
  <c r="I1148"/>
  <c r="M1148" s="1"/>
  <c r="J1148"/>
  <c r="K1148"/>
  <c r="I1149"/>
  <c r="M1149" s="1"/>
  <c r="J1149"/>
  <c r="K1149"/>
  <c r="I1150"/>
  <c r="M1150" s="1"/>
  <c r="J1150"/>
  <c r="K1150"/>
  <c r="I1151"/>
  <c r="M1151" s="1"/>
  <c r="J1151"/>
  <c r="K1151"/>
  <c r="I1152"/>
  <c r="M1152" s="1"/>
  <c r="J1152"/>
  <c r="K1152"/>
  <c r="I1153"/>
  <c r="M1153" s="1"/>
  <c r="J1153"/>
  <c r="K1153"/>
  <c r="I1154"/>
  <c r="M1154" s="1"/>
  <c r="J1154"/>
  <c r="K1154"/>
  <c r="I1155"/>
  <c r="M1155" s="1"/>
  <c r="J1155"/>
  <c r="K1155"/>
  <c r="I1156"/>
  <c r="M1156" s="1"/>
  <c r="J1156"/>
  <c r="K1156"/>
  <c r="I1157"/>
  <c r="M1157" s="1"/>
  <c r="J1157"/>
  <c r="K1157"/>
  <c r="I1158"/>
  <c r="M1158" s="1"/>
  <c r="J1158"/>
  <c r="K1158"/>
  <c r="I1159"/>
  <c r="M1159" s="1"/>
  <c r="J1159"/>
  <c r="K1159"/>
  <c r="I1161"/>
  <c r="M1161" s="1"/>
  <c r="J1161"/>
  <c r="K1161"/>
  <c r="I1162"/>
  <c r="M1162" s="1"/>
  <c r="J1162"/>
  <c r="K1162"/>
  <c r="I1163"/>
  <c r="M1163" s="1"/>
  <c r="J1163"/>
  <c r="K1163"/>
  <c r="I1164"/>
  <c r="M1164" s="1"/>
  <c r="J1164"/>
  <c r="K1164"/>
  <c r="I1165"/>
  <c r="M1165" s="1"/>
  <c r="J1165"/>
  <c r="K1165"/>
  <c r="I1166"/>
  <c r="M1166" s="1"/>
  <c r="J1166"/>
  <c r="K1166"/>
  <c r="I1167"/>
  <c r="M1167" s="1"/>
  <c r="J1167"/>
  <c r="K1167"/>
  <c r="I1168"/>
  <c r="M1168" s="1"/>
  <c r="J1168"/>
  <c r="K1168"/>
  <c r="I1169"/>
  <c r="M1169" s="1"/>
  <c r="J1169"/>
  <c r="K1169"/>
  <c r="I1170"/>
  <c r="M1170" s="1"/>
  <c r="J1170"/>
  <c r="K1170"/>
  <c r="I1171"/>
  <c r="M1171" s="1"/>
  <c r="J1171"/>
  <c r="K1171"/>
  <c r="I1172"/>
  <c r="M1172" s="1"/>
  <c r="J1172"/>
  <c r="K1172"/>
  <c r="I1173"/>
  <c r="M1173" s="1"/>
  <c r="J1173"/>
  <c r="K1173"/>
  <c r="I1174"/>
  <c r="M1174" s="1"/>
  <c r="J1174"/>
  <c r="K1174"/>
  <c r="I1175"/>
  <c r="M1175" s="1"/>
  <c r="J1175"/>
  <c r="K1175"/>
  <c r="I1176"/>
  <c r="M1176" s="1"/>
  <c r="J1176"/>
  <c r="K1176"/>
  <c r="I1177"/>
  <c r="M1177" s="1"/>
  <c r="J1177"/>
  <c r="K1177"/>
  <c r="I1178"/>
  <c r="M1178" s="1"/>
  <c r="J1178"/>
  <c r="K1178"/>
  <c r="I1179"/>
  <c r="M1179" s="1"/>
  <c r="J1179"/>
  <c r="K1179"/>
  <c r="I1180"/>
  <c r="M1180" s="1"/>
  <c r="J1180"/>
  <c r="K1180"/>
  <c r="I1181"/>
  <c r="M1181" s="1"/>
  <c r="J1181"/>
  <c r="K1181"/>
  <c r="I1182"/>
  <c r="M1182" s="1"/>
  <c r="J1182"/>
  <c r="K1182"/>
  <c r="I1183"/>
  <c r="M1183" s="1"/>
  <c r="J1183"/>
  <c r="K1183"/>
  <c r="I1184"/>
  <c r="M1184" s="1"/>
  <c r="J1184"/>
  <c r="K1184"/>
  <c r="I1185"/>
  <c r="M1185" s="1"/>
  <c r="J1185"/>
  <c r="K1185"/>
  <c r="I1186"/>
  <c r="M1186" s="1"/>
  <c r="J1186"/>
  <c r="K1186"/>
  <c r="I1187"/>
  <c r="M1187" s="1"/>
  <c r="J1187"/>
  <c r="K1187"/>
  <c r="I1188"/>
  <c r="M1188" s="1"/>
  <c r="J1188"/>
  <c r="K1188"/>
  <c r="I1189"/>
  <c r="M1189" s="1"/>
  <c r="J1189"/>
  <c r="K1189"/>
  <c r="I1190"/>
  <c r="M1190" s="1"/>
  <c r="J1190"/>
  <c r="K1190"/>
  <c r="I1191"/>
  <c r="M1191" s="1"/>
  <c r="J1191"/>
  <c r="K1191"/>
  <c r="I1192"/>
  <c r="M1192" s="1"/>
  <c r="J1192"/>
  <c r="K1192"/>
  <c r="I1193"/>
  <c r="M1193" s="1"/>
  <c r="J1193"/>
  <c r="K1193"/>
  <c r="I1194"/>
  <c r="M1194" s="1"/>
  <c r="J1194"/>
  <c r="K1194"/>
  <c r="I1195"/>
  <c r="M1195" s="1"/>
  <c r="J1195"/>
  <c r="K1195"/>
  <c r="I1196"/>
  <c r="M1196" s="1"/>
  <c r="J1196"/>
  <c r="K1196"/>
  <c r="I1197"/>
  <c r="M1197" s="1"/>
  <c r="J1197"/>
  <c r="K1197"/>
  <c r="I1198"/>
  <c r="M1198" s="1"/>
  <c r="J1198"/>
  <c r="K1198"/>
  <c r="I1199"/>
  <c r="M1199" s="1"/>
  <c r="J1199"/>
  <c r="K1199"/>
  <c r="I1200"/>
  <c r="M1200" s="1"/>
  <c r="J1200"/>
  <c r="K1200"/>
  <c r="I1201"/>
  <c r="M1201" s="1"/>
  <c r="J1201"/>
  <c r="K1201"/>
  <c r="I749"/>
  <c r="M749" s="1"/>
  <c r="J749"/>
  <c r="K749"/>
  <c r="I750"/>
  <c r="M750" s="1"/>
  <c r="J750"/>
  <c r="K750"/>
  <c r="I751"/>
  <c r="M751" s="1"/>
  <c r="J751"/>
  <c r="K751"/>
  <c r="I752"/>
  <c r="M752" s="1"/>
  <c r="J752"/>
  <c r="K752"/>
  <c r="I753"/>
  <c r="M753" s="1"/>
  <c r="J753"/>
  <c r="K753"/>
  <c r="I754"/>
  <c r="M754" s="1"/>
  <c r="J754"/>
  <c r="K754"/>
  <c r="I755"/>
  <c r="M755" s="1"/>
  <c r="J755"/>
  <c r="K755"/>
  <c r="I756"/>
  <c r="M756" s="1"/>
  <c r="J756"/>
  <c r="K756"/>
  <c r="I757"/>
  <c r="M757" s="1"/>
  <c r="J757"/>
  <c r="K757"/>
  <c r="I758"/>
  <c r="M758" s="1"/>
  <c r="J758"/>
  <c r="K758"/>
  <c r="I759"/>
  <c r="M759" s="1"/>
  <c r="J759"/>
  <c r="K759"/>
  <c r="I760"/>
  <c r="M760" s="1"/>
  <c r="J760"/>
  <c r="K760"/>
  <c r="I761"/>
  <c r="M761" s="1"/>
  <c r="J761"/>
  <c r="K761"/>
  <c r="I762"/>
  <c r="M762" s="1"/>
  <c r="J762"/>
  <c r="K762"/>
  <c r="I763"/>
  <c r="M763" s="1"/>
  <c r="J763"/>
  <c r="K763"/>
  <c r="I764"/>
  <c r="M764" s="1"/>
  <c r="J764"/>
  <c r="K764"/>
  <c r="I765"/>
  <c r="M765" s="1"/>
  <c r="J765"/>
  <c r="K765"/>
  <c r="I766"/>
  <c r="M766" s="1"/>
  <c r="J766"/>
  <c r="K766"/>
  <c r="I767"/>
  <c r="M767" s="1"/>
  <c r="J767"/>
  <c r="K767"/>
  <c r="I768"/>
  <c r="M768" s="1"/>
  <c r="J768"/>
  <c r="K768"/>
  <c r="I769"/>
  <c r="M769" s="1"/>
  <c r="J769"/>
  <c r="K769"/>
  <c r="I770"/>
  <c r="M770" s="1"/>
  <c r="J770"/>
  <c r="K770"/>
  <c r="I771"/>
  <c r="M771" s="1"/>
  <c r="J771"/>
  <c r="K771"/>
  <c r="I772"/>
  <c r="M772" s="1"/>
  <c r="J772"/>
  <c r="K772"/>
  <c r="I773"/>
  <c r="M773" s="1"/>
  <c r="J773"/>
  <c r="K773"/>
  <c r="I774"/>
  <c r="M774" s="1"/>
  <c r="J774"/>
  <c r="K774"/>
  <c r="I775"/>
  <c r="M775" s="1"/>
  <c r="J775"/>
  <c r="K775"/>
  <c r="I776"/>
  <c r="M776" s="1"/>
  <c r="J776"/>
  <c r="K776"/>
  <c r="I777"/>
  <c r="M777" s="1"/>
  <c r="J777"/>
  <c r="K777"/>
  <c r="I778"/>
  <c r="M778" s="1"/>
  <c r="J778"/>
  <c r="K778"/>
  <c r="I779"/>
  <c r="M779" s="1"/>
  <c r="J779"/>
  <c r="K779"/>
  <c r="I780"/>
  <c r="M780" s="1"/>
  <c r="J780"/>
  <c r="K780"/>
  <c r="I781"/>
  <c r="M781" s="1"/>
  <c r="J781"/>
  <c r="K781"/>
  <c r="I782"/>
  <c r="M782" s="1"/>
  <c r="J782"/>
  <c r="K782"/>
  <c r="I783"/>
  <c r="M783" s="1"/>
  <c r="J783"/>
  <c r="K783"/>
  <c r="I784"/>
  <c r="M784" s="1"/>
  <c r="J784"/>
  <c r="K784"/>
  <c r="I785"/>
  <c r="M785" s="1"/>
  <c r="J785"/>
  <c r="K785"/>
  <c r="I786"/>
  <c r="M786" s="1"/>
  <c r="J786"/>
  <c r="K786"/>
  <c r="I787"/>
  <c r="M787" s="1"/>
  <c r="J787"/>
  <c r="K787"/>
  <c r="I788"/>
  <c r="M788" s="1"/>
  <c r="J788"/>
  <c r="K788"/>
  <c r="I789"/>
  <c r="M789" s="1"/>
  <c r="J789"/>
  <c r="K789"/>
  <c r="I790"/>
  <c r="M790" s="1"/>
  <c r="J790"/>
  <c r="K790"/>
  <c r="I791"/>
  <c r="M791" s="1"/>
  <c r="J791"/>
  <c r="K791"/>
  <c r="I795"/>
  <c r="M795" s="1"/>
  <c r="J795"/>
  <c r="K795"/>
  <c r="I796"/>
  <c r="M796" s="1"/>
  <c r="J796"/>
  <c r="K796"/>
  <c r="I797"/>
  <c r="M797" s="1"/>
  <c r="J797"/>
  <c r="K797"/>
  <c r="I798"/>
  <c r="M798" s="1"/>
  <c r="J798"/>
  <c r="K798"/>
  <c r="I799"/>
  <c r="M799" s="1"/>
  <c r="J799"/>
  <c r="K799"/>
  <c r="I800"/>
  <c r="M800" s="1"/>
  <c r="J800"/>
  <c r="K800"/>
  <c r="I801"/>
  <c r="M801" s="1"/>
  <c r="J801"/>
  <c r="K801"/>
  <c r="I802"/>
  <c r="M802" s="1"/>
  <c r="J802"/>
  <c r="K802"/>
  <c r="I803"/>
  <c r="M803" s="1"/>
  <c r="J803"/>
  <c r="K803"/>
  <c r="I804"/>
  <c r="M804" s="1"/>
  <c r="J804"/>
  <c r="K804"/>
  <c r="I805"/>
  <c r="M805" s="1"/>
  <c r="J805"/>
  <c r="K805"/>
  <c r="I806"/>
  <c r="M806" s="1"/>
  <c r="J806"/>
  <c r="K806"/>
  <c r="I807"/>
  <c r="M807" s="1"/>
  <c r="J807"/>
  <c r="K807"/>
  <c r="I808"/>
  <c r="M808" s="1"/>
  <c r="J808"/>
  <c r="K808"/>
  <c r="I809"/>
  <c r="M809" s="1"/>
  <c r="J809"/>
  <c r="K809"/>
  <c r="I810"/>
  <c r="M810" s="1"/>
  <c r="J810"/>
  <c r="K810"/>
  <c r="I811"/>
  <c r="M811" s="1"/>
  <c r="J811"/>
  <c r="K811"/>
  <c r="I812"/>
  <c r="M812" s="1"/>
  <c r="J812"/>
  <c r="K812"/>
  <c r="I813"/>
  <c r="M813" s="1"/>
  <c r="J813"/>
  <c r="K813"/>
  <c r="I814"/>
  <c r="M814" s="1"/>
  <c r="J814"/>
  <c r="K814"/>
  <c r="I815"/>
  <c r="M815" s="1"/>
  <c r="J815"/>
  <c r="K815"/>
  <c r="I816"/>
  <c r="M816" s="1"/>
  <c r="J816"/>
  <c r="K816"/>
  <c r="I817"/>
  <c r="M817" s="1"/>
  <c r="J817"/>
  <c r="K817"/>
  <c r="I818"/>
  <c r="M818" s="1"/>
  <c r="J818"/>
  <c r="K818"/>
  <c r="I819"/>
  <c r="M819" s="1"/>
  <c r="J819"/>
  <c r="K819"/>
  <c r="I820"/>
  <c r="M820" s="1"/>
  <c r="J820"/>
  <c r="K820"/>
  <c r="I821"/>
  <c r="M821" s="1"/>
  <c r="J821"/>
  <c r="K821"/>
  <c r="I822"/>
  <c r="M822" s="1"/>
  <c r="J822"/>
  <c r="K822"/>
  <c r="I823"/>
  <c r="M823" s="1"/>
  <c r="J823"/>
  <c r="K823"/>
  <c r="I824"/>
  <c r="M824" s="1"/>
  <c r="J824"/>
  <c r="K824"/>
  <c r="I825"/>
  <c r="M825" s="1"/>
  <c r="J825"/>
  <c r="K825"/>
  <c r="I826"/>
  <c r="M826" s="1"/>
  <c r="J826"/>
  <c r="K826"/>
  <c r="I827"/>
  <c r="M827" s="1"/>
  <c r="J827"/>
  <c r="K827"/>
  <c r="I828"/>
  <c r="M828" s="1"/>
  <c r="J828"/>
  <c r="K828"/>
  <c r="I829"/>
  <c r="M829" s="1"/>
  <c r="J829"/>
  <c r="K829"/>
  <c r="I830"/>
  <c r="M830" s="1"/>
  <c r="J830"/>
  <c r="K830"/>
  <c r="I831"/>
  <c r="M831" s="1"/>
  <c r="J831"/>
  <c r="K831"/>
  <c r="I832"/>
  <c r="M832" s="1"/>
  <c r="J832"/>
  <c r="K832"/>
  <c r="I833"/>
  <c r="M833" s="1"/>
  <c r="J833"/>
  <c r="K833"/>
  <c r="I834"/>
  <c r="M834" s="1"/>
  <c r="J834"/>
  <c r="K834"/>
  <c r="I835"/>
  <c r="M835" s="1"/>
  <c r="J835"/>
  <c r="K835"/>
  <c r="I836"/>
  <c r="M836" s="1"/>
  <c r="J836"/>
  <c r="K836"/>
  <c r="I837"/>
  <c r="M837" s="1"/>
  <c r="J837"/>
  <c r="K837"/>
  <c r="I838"/>
  <c r="M838" s="1"/>
  <c r="J838"/>
  <c r="K838"/>
  <c r="I839"/>
  <c r="M839" s="1"/>
  <c r="J839"/>
  <c r="K839"/>
  <c r="I840"/>
  <c r="M840" s="1"/>
  <c r="J840"/>
  <c r="K840"/>
  <c r="I841"/>
  <c r="M841" s="1"/>
  <c r="J841"/>
  <c r="K841"/>
  <c r="I842"/>
  <c r="M842" s="1"/>
  <c r="J842"/>
  <c r="K842"/>
  <c r="I843"/>
  <c r="M843" s="1"/>
  <c r="J843"/>
  <c r="K843"/>
  <c r="I844"/>
  <c r="M844" s="1"/>
  <c r="J844"/>
  <c r="K844"/>
  <c r="I845"/>
  <c r="M845" s="1"/>
  <c r="J845"/>
  <c r="K845"/>
  <c r="I846"/>
  <c r="M846" s="1"/>
  <c r="J846"/>
  <c r="K846"/>
  <c r="I847"/>
  <c r="M847" s="1"/>
  <c r="J847"/>
  <c r="K847"/>
  <c r="I848"/>
  <c r="M848" s="1"/>
  <c r="J848"/>
  <c r="K848"/>
  <c r="I849"/>
  <c r="M849" s="1"/>
  <c r="J849"/>
  <c r="K849"/>
  <c r="I850"/>
  <c r="M850" s="1"/>
  <c r="J850"/>
  <c r="K850"/>
  <c r="I851"/>
  <c r="M851" s="1"/>
  <c r="J851"/>
  <c r="K851"/>
  <c r="I852"/>
  <c r="M852" s="1"/>
  <c r="J852"/>
  <c r="K852"/>
  <c r="I853"/>
  <c r="M853" s="1"/>
  <c r="J853"/>
  <c r="K853"/>
  <c r="I854"/>
  <c r="M854" s="1"/>
  <c r="J854"/>
  <c r="K854"/>
  <c r="I855"/>
  <c r="M855" s="1"/>
  <c r="J855"/>
  <c r="K855"/>
  <c r="I856"/>
  <c r="M856" s="1"/>
  <c r="J856"/>
  <c r="K856"/>
  <c r="I857"/>
  <c r="M857" s="1"/>
  <c r="J857"/>
  <c r="K857"/>
  <c r="I858"/>
  <c r="M858" s="1"/>
  <c r="J858"/>
  <c r="K858"/>
  <c r="I859"/>
  <c r="M859" s="1"/>
  <c r="J859"/>
  <c r="K859"/>
  <c r="I860"/>
  <c r="M860" s="1"/>
  <c r="J860"/>
  <c r="K860"/>
  <c r="I861"/>
  <c r="M861" s="1"/>
  <c r="J861"/>
  <c r="K861"/>
  <c r="I862"/>
  <c r="M862" s="1"/>
  <c r="J862"/>
  <c r="K862"/>
  <c r="I863"/>
  <c r="M863" s="1"/>
  <c r="J863"/>
  <c r="K863"/>
  <c r="I864"/>
  <c r="M864" s="1"/>
  <c r="J864"/>
  <c r="K864"/>
  <c r="I865"/>
  <c r="M865" s="1"/>
  <c r="J865"/>
  <c r="K865"/>
  <c r="I866"/>
  <c r="M866" s="1"/>
  <c r="J866"/>
  <c r="K866"/>
  <c r="I867"/>
  <c r="M867" s="1"/>
  <c r="J867"/>
  <c r="K867"/>
  <c r="I868"/>
  <c r="M868" s="1"/>
  <c r="J868"/>
  <c r="K868"/>
  <c r="I869"/>
  <c r="M869" s="1"/>
  <c r="J869"/>
  <c r="K869"/>
  <c r="I870"/>
  <c r="M870" s="1"/>
  <c r="J870"/>
  <c r="K870"/>
  <c r="I871"/>
  <c r="M871" s="1"/>
  <c r="J871"/>
  <c r="K871"/>
  <c r="I872"/>
  <c r="M872" s="1"/>
  <c r="J872"/>
  <c r="K872"/>
  <c r="I873"/>
  <c r="M873" s="1"/>
  <c r="J873"/>
  <c r="K873"/>
  <c r="I874"/>
  <c r="M874" s="1"/>
  <c r="J874"/>
  <c r="K874"/>
  <c r="I875"/>
  <c r="M875" s="1"/>
  <c r="J875"/>
  <c r="K875"/>
  <c r="F7" i="18"/>
  <c r="G7"/>
  <c r="K7" s="1"/>
  <c r="H7"/>
  <c r="F182" i="14"/>
  <c r="G182" s="1"/>
  <c r="K182" s="1"/>
  <c r="L182" s="1"/>
  <c r="F183"/>
  <c r="G183" s="1"/>
  <c r="K183" s="1"/>
  <c r="L183" s="1"/>
  <c r="F184"/>
  <c r="G184" s="1"/>
  <c r="K184" s="1"/>
  <c r="L184" s="1"/>
  <c r="F185"/>
  <c r="G185" s="1"/>
  <c r="K185" s="1"/>
  <c r="L185" s="1"/>
  <c r="F187"/>
  <c r="G187" s="1"/>
  <c r="K187" s="1"/>
  <c r="L187" s="1"/>
  <c r="F188"/>
  <c r="G188" s="1"/>
  <c r="K188" s="1"/>
  <c r="L188" s="1"/>
  <c r="F191"/>
  <c r="G191" s="1"/>
  <c r="K191" s="1"/>
  <c r="L191" s="1"/>
  <c r="F192"/>
  <c r="G192" s="1"/>
  <c r="K192" s="1"/>
  <c r="L192" s="1"/>
  <c r="F193"/>
  <c r="G193" s="1"/>
  <c r="K193" s="1"/>
  <c r="L193" s="1"/>
  <c r="F194"/>
  <c r="G194" s="1"/>
  <c r="K194" s="1"/>
  <c r="L194" s="1"/>
  <c r="F195"/>
  <c r="G195" s="1"/>
  <c r="K195" s="1"/>
  <c r="L195" s="1"/>
  <c r="F196"/>
  <c r="G196" s="1"/>
  <c r="K196" s="1"/>
  <c r="L196" s="1"/>
  <c r="F197"/>
  <c r="G197" s="1"/>
  <c r="K197" s="1"/>
  <c r="L197" s="1"/>
  <c r="F198"/>
  <c r="G198" s="1"/>
  <c r="K198" s="1"/>
  <c r="L198" s="1"/>
  <c r="F199"/>
  <c r="G199" s="1"/>
  <c r="K199" s="1"/>
  <c r="L199" s="1"/>
  <c r="F201"/>
  <c r="G201" s="1"/>
  <c r="K201" s="1"/>
  <c r="L201" s="1"/>
  <c r="F202"/>
  <c r="G202" s="1"/>
  <c r="K202" s="1"/>
  <c r="L202" s="1"/>
  <c r="F203"/>
  <c r="G203" s="1"/>
  <c r="K203" s="1"/>
  <c r="L203" s="1"/>
  <c r="F204"/>
  <c r="G204" s="1"/>
  <c r="K204" s="1"/>
  <c r="L204" s="1"/>
  <c r="F205"/>
  <c r="G205" s="1"/>
  <c r="K205" s="1"/>
  <c r="L205" s="1"/>
  <c r="F206"/>
  <c r="G206" s="1"/>
  <c r="K206" s="1"/>
  <c r="L206" s="1"/>
  <c r="F207"/>
  <c r="G207" s="1"/>
  <c r="K207" s="1"/>
  <c r="L207" s="1"/>
  <c r="F209"/>
  <c r="G209" s="1"/>
  <c r="K209" s="1"/>
  <c r="L209" s="1"/>
  <c r="F213"/>
  <c r="G213" s="1"/>
  <c r="K213" s="1"/>
  <c r="L213" s="1"/>
  <c r="F215"/>
  <c r="G215" s="1"/>
  <c r="K215" s="1"/>
  <c r="L215" s="1"/>
  <c r="F216"/>
  <c r="G216" s="1"/>
  <c r="K216" s="1"/>
  <c r="L216" s="1"/>
  <c r="F217"/>
  <c r="G217" s="1"/>
  <c r="K217" s="1"/>
  <c r="L217" s="1"/>
  <c r="F218"/>
  <c r="G218" s="1"/>
  <c r="K218" s="1"/>
  <c r="L218" s="1"/>
  <c r="F219"/>
  <c r="G219" s="1"/>
  <c r="K219" s="1"/>
  <c r="L219" s="1"/>
  <c r="F220"/>
  <c r="G220" s="1"/>
  <c r="K220" s="1"/>
  <c r="L220" s="1"/>
  <c r="F221"/>
  <c r="G221" s="1"/>
  <c r="K221" s="1"/>
  <c r="L221" s="1"/>
  <c r="F222"/>
  <c r="G222" s="1"/>
  <c r="K222" s="1"/>
  <c r="L222" s="1"/>
  <c r="F223"/>
  <c r="G223" s="1"/>
  <c r="K223" s="1"/>
  <c r="L223" s="1"/>
  <c r="F224"/>
  <c r="G224" s="1"/>
  <c r="K224" s="1"/>
  <c r="L224" s="1"/>
  <c r="F225"/>
  <c r="G225" s="1"/>
  <c r="K225" s="1"/>
  <c r="L225" s="1"/>
  <c r="F226"/>
  <c r="G226" s="1"/>
  <c r="K226" s="1"/>
  <c r="L226" s="1"/>
  <c r="F227"/>
  <c r="G227" s="1"/>
  <c r="K227" s="1"/>
  <c r="L227" s="1"/>
  <c r="F228"/>
  <c r="G228" s="1"/>
  <c r="K228" s="1"/>
  <c r="L228" s="1"/>
  <c r="F229"/>
  <c r="G229" s="1"/>
  <c r="K229" s="1"/>
  <c r="L229" s="1"/>
  <c r="F230"/>
  <c r="G230" s="1"/>
  <c r="K230" s="1"/>
  <c r="L230" s="1"/>
  <c r="F231"/>
  <c r="G231" s="1"/>
  <c r="K231" s="1"/>
  <c r="L231" s="1"/>
  <c r="F232"/>
  <c r="G232" s="1"/>
  <c r="K232" s="1"/>
  <c r="L232" s="1"/>
  <c r="F234"/>
  <c r="G234" s="1"/>
  <c r="K234" s="1"/>
  <c r="L234" s="1"/>
  <c r="F235"/>
  <c r="G235" s="1"/>
  <c r="K235" s="1"/>
  <c r="L235" s="1"/>
  <c r="F236"/>
  <c r="G236" s="1"/>
  <c r="K236" s="1"/>
  <c r="L236" s="1"/>
  <c r="F238"/>
  <c r="G238" s="1"/>
  <c r="K238" s="1"/>
  <c r="L238" s="1"/>
  <c r="F239"/>
  <c r="G239" s="1"/>
  <c r="K239" s="1"/>
  <c r="L239" s="1"/>
  <c r="F240"/>
  <c r="G240" s="1"/>
  <c r="K240" s="1"/>
  <c r="L240" s="1"/>
  <c r="F241"/>
  <c r="G241" s="1"/>
  <c r="K241" s="1"/>
  <c r="L241" s="1"/>
  <c r="F242"/>
  <c r="G242" s="1"/>
  <c r="K242" s="1"/>
  <c r="L242" s="1"/>
  <c r="F243"/>
  <c r="G243" s="1"/>
  <c r="K243" s="1"/>
  <c r="L243" s="1"/>
  <c r="F244"/>
  <c r="G244" s="1"/>
  <c r="K244" s="1"/>
  <c r="L244" s="1"/>
  <c r="F245"/>
  <c r="G245" s="1"/>
  <c r="K245" s="1"/>
  <c r="L245" s="1"/>
  <c r="F246"/>
  <c r="G246" s="1"/>
  <c r="K246" s="1"/>
  <c r="L246" s="1"/>
  <c r="F247"/>
  <c r="G247" s="1"/>
  <c r="K247" s="1"/>
  <c r="L247" s="1"/>
  <c r="F248"/>
  <c r="G248" s="1"/>
  <c r="K248" s="1"/>
  <c r="L248" s="1"/>
  <c r="F249"/>
  <c r="G249" s="1"/>
  <c r="K249" s="1"/>
  <c r="L249" s="1"/>
  <c r="F250"/>
  <c r="G250" s="1"/>
  <c r="K250" s="1"/>
  <c r="L250" s="1"/>
  <c r="F251"/>
  <c r="G251" s="1"/>
  <c r="K251" s="1"/>
  <c r="L251" s="1"/>
  <c r="F252"/>
  <c r="G252" s="1"/>
  <c r="K252" s="1"/>
  <c r="L252" s="1"/>
  <c r="F253"/>
  <c r="G253" s="1"/>
  <c r="K253" s="1"/>
  <c r="L253" s="1"/>
  <c r="F254"/>
  <c r="G254" s="1"/>
  <c r="K254" s="1"/>
  <c r="L254" s="1"/>
  <c r="F255"/>
  <c r="G255" s="1"/>
  <c r="K255" s="1"/>
  <c r="L255" s="1"/>
  <c r="F256"/>
  <c r="G256" s="1"/>
  <c r="K256" s="1"/>
  <c r="L256" s="1"/>
  <c r="F257"/>
  <c r="G257" s="1"/>
  <c r="K257" s="1"/>
  <c r="L257" s="1"/>
  <c r="F258"/>
  <c r="G258" s="1"/>
  <c r="K258" s="1"/>
  <c r="L258" s="1"/>
  <c r="F259"/>
  <c r="G259" s="1"/>
  <c r="K259" s="1"/>
  <c r="L259" s="1"/>
  <c r="F260"/>
  <c r="G260" s="1"/>
  <c r="K260" s="1"/>
  <c r="L260" s="1"/>
  <c r="F261"/>
  <c r="G261" s="1"/>
  <c r="K261" s="1"/>
  <c r="L261" s="1"/>
  <c r="F262"/>
  <c r="G262" s="1"/>
  <c r="K262" s="1"/>
  <c r="L262" s="1"/>
  <c r="F263"/>
  <c r="G263" s="1"/>
  <c r="K263" s="1"/>
  <c r="L263" s="1"/>
  <c r="F264"/>
  <c r="G264" s="1"/>
  <c r="K264" s="1"/>
  <c r="L264" s="1"/>
  <c r="F265"/>
  <c r="G265" s="1"/>
  <c r="K265" s="1"/>
  <c r="L265" s="1"/>
  <c r="F266"/>
  <c r="G266" s="1"/>
  <c r="K266" s="1"/>
  <c r="L266" s="1"/>
  <c r="F267"/>
  <c r="G267" s="1"/>
  <c r="K267" s="1"/>
  <c r="L267" s="1"/>
  <c r="F269"/>
  <c r="G269" s="1"/>
  <c r="K269" s="1"/>
  <c r="L269" s="1"/>
  <c r="F270"/>
  <c r="G270" s="1"/>
  <c r="K270" s="1"/>
  <c r="L270" s="1"/>
  <c r="H1146" i="10"/>
  <c r="I1146"/>
  <c r="C90" i="5"/>
  <c r="O90"/>
  <c r="J1232" i="6"/>
  <c r="F1232"/>
  <c r="G1232"/>
  <c r="K1232"/>
  <c r="H1232"/>
  <c r="I1232"/>
  <c r="C1232"/>
  <c r="J1202"/>
  <c r="F1202"/>
  <c r="G1202"/>
  <c r="K1202"/>
  <c r="H1202"/>
  <c r="I1202"/>
  <c r="C1202"/>
  <c r="J1146"/>
  <c r="H1146"/>
  <c r="I1146"/>
  <c r="C1146"/>
  <c r="K879"/>
  <c r="J879"/>
  <c r="F879"/>
  <c r="G879"/>
  <c r="H879"/>
  <c r="I879"/>
  <c r="C879"/>
  <c r="J747"/>
  <c r="C747"/>
  <c r="J535"/>
  <c r="H535"/>
  <c r="I535"/>
  <c r="K384"/>
  <c r="J384"/>
  <c r="C384"/>
  <c r="D384"/>
  <c r="E384"/>
  <c r="F384"/>
  <c r="G384" s="1"/>
  <c r="H384"/>
  <c r="I384"/>
  <c r="K90"/>
  <c r="I90"/>
  <c r="F90"/>
  <c r="G90" s="1"/>
  <c r="H90"/>
  <c r="C90"/>
  <c r="J67"/>
  <c r="F67"/>
  <c r="G67"/>
  <c r="K67"/>
  <c r="H67"/>
  <c r="I67"/>
  <c r="C67"/>
  <c r="K90" i="8"/>
  <c r="F90"/>
  <c r="G90"/>
  <c r="H90"/>
  <c r="I90"/>
  <c r="C90"/>
  <c r="I7" i="18"/>
  <c r="G552" i="2"/>
  <c r="J745" i="3"/>
  <c r="K745"/>
  <c r="J1222" i="17"/>
  <c r="K1222"/>
  <c r="L1222"/>
  <c r="G1232" i="12"/>
  <c r="H1232"/>
  <c r="I1232"/>
  <c r="H1222" i="18"/>
  <c r="H1223"/>
  <c r="H1224"/>
  <c r="H1225"/>
  <c r="H1226"/>
  <c r="H1229"/>
  <c r="H1230"/>
  <c r="H1231"/>
  <c r="G1222" i="14"/>
  <c r="H1222"/>
  <c r="G1223"/>
  <c r="H1223"/>
  <c r="G1224"/>
  <c r="H1224"/>
  <c r="G1225"/>
  <c r="H1225"/>
  <c r="G1226"/>
  <c r="H1226"/>
  <c r="G1229"/>
  <c r="H1229"/>
  <c r="G1230"/>
  <c r="H1230"/>
  <c r="G1231"/>
  <c r="H1231"/>
  <c r="H1232" i="10"/>
  <c r="I1232"/>
  <c r="J1232"/>
  <c r="I1222" i="3"/>
  <c r="J1222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3"/>
  <c r="G1224"/>
  <c r="G1225"/>
  <c r="G1226"/>
  <c r="G1227"/>
  <c r="G1228"/>
  <c r="G1229"/>
  <c r="G1230"/>
  <c r="G1231"/>
  <c r="I1232" i="2"/>
  <c r="H1232"/>
  <c r="L1232"/>
  <c r="M1232"/>
  <c r="H1148" i="18"/>
  <c r="H1149"/>
  <c r="H1150"/>
  <c r="H1151"/>
  <c r="H1152"/>
  <c r="H1153"/>
  <c r="H1154"/>
  <c r="H1155"/>
  <c r="H1156"/>
  <c r="H1157"/>
  <c r="H1158"/>
  <c r="H1159"/>
  <c r="H1160"/>
  <c r="H1161"/>
  <c r="H1165"/>
  <c r="H1166"/>
  <c r="H1167"/>
  <c r="H1168"/>
  <c r="H1169"/>
  <c r="H1170"/>
  <c r="H1171"/>
  <c r="H1172"/>
  <c r="H1173"/>
  <c r="H1174"/>
  <c r="H1175"/>
  <c r="H1176"/>
  <c r="H1177"/>
  <c r="H1178"/>
  <c r="H1179"/>
  <c r="F1162"/>
  <c r="F1163"/>
  <c r="G1163" s="1"/>
  <c r="F1164"/>
  <c r="G1164" s="1"/>
  <c r="F1180"/>
  <c r="G1180" s="1"/>
  <c r="F1181"/>
  <c r="G1181" s="1"/>
  <c r="F1182"/>
  <c r="G1182" s="1"/>
  <c r="F1183"/>
  <c r="G1183" s="1"/>
  <c r="F1184"/>
  <c r="G1184" s="1"/>
  <c r="F1185"/>
  <c r="G1185" s="1"/>
  <c r="F1186"/>
  <c r="G1186" s="1"/>
  <c r="F1187"/>
  <c r="G1187" s="1"/>
  <c r="F1188"/>
  <c r="G1188" s="1"/>
  <c r="F1189"/>
  <c r="G1189" s="1"/>
  <c r="F1190"/>
  <c r="G1190" s="1"/>
  <c r="F1192"/>
  <c r="G1192" s="1"/>
  <c r="F1193"/>
  <c r="G1193" s="1"/>
  <c r="F1194"/>
  <c r="G1194" s="1"/>
  <c r="F1195"/>
  <c r="G1195" s="1"/>
  <c r="F1196"/>
  <c r="G1196" s="1"/>
  <c r="F1197"/>
  <c r="G1197" s="1"/>
  <c r="F1198"/>
  <c r="G1198" s="1"/>
  <c r="F1199"/>
  <c r="G1199" s="1"/>
  <c r="F1200"/>
  <c r="G1200" s="1"/>
  <c r="F1201"/>
  <c r="G1201" s="1"/>
  <c r="H1148" i="14"/>
  <c r="H1149"/>
  <c r="H1150"/>
  <c r="H1151"/>
  <c r="H1152"/>
  <c r="H1153"/>
  <c r="H1154"/>
  <c r="H1155"/>
  <c r="H1156"/>
  <c r="H1157"/>
  <c r="H1158"/>
  <c r="H1159"/>
  <c r="H1160"/>
  <c r="H1161"/>
  <c r="H1165"/>
  <c r="H1166"/>
  <c r="H1167"/>
  <c r="H1168"/>
  <c r="H1169"/>
  <c r="H1170"/>
  <c r="H1171"/>
  <c r="H1172"/>
  <c r="H1173"/>
  <c r="H1174"/>
  <c r="H1175"/>
  <c r="H1176"/>
  <c r="H1177"/>
  <c r="H1178"/>
  <c r="H1179"/>
  <c r="E1202" i="11"/>
  <c r="I1160" i="10"/>
  <c r="M1160" s="1"/>
  <c r="J1160"/>
  <c r="H1202"/>
  <c r="I1202"/>
  <c r="J1202"/>
  <c r="K1148" i="7"/>
  <c r="L1148"/>
  <c r="K1149"/>
  <c r="L1149"/>
  <c r="K1150"/>
  <c r="L1150"/>
  <c r="K1151"/>
  <c r="L1151"/>
  <c r="K1152"/>
  <c r="L1152"/>
  <c r="K1153"/>
  <c r="L1153"/>
  <c r="K1154"/>
  <c r="L1154"/>
  <c r="K1155"/>
  <c r="L1155"/>
  <c r="K1156"/>
  <c r="L1156"/>
  <c r="K1157"/>
  <c r="L1157"/>
  <c r="K1158"/>
  <c r="L1158"/>
  <c r="K1159"/>
  <c r="L1159"/>
  <c r="K1160"/>
  <c r="L1160"/>
  <c r="K1161"/>
  <c r="L1161"/>
  <c r="K1162"/>
  <c r="L1162"/>
  <c r="K1163"/>
  <c r="L1163"/>
  <c r="K1164"/>
  <c r="L1164"/>
  <c r="K1165"/>
  <c r="L1165"/>
  <c r="K1166"/>
  <c r="L1166"/>
  <c r="K1167"/>
  <c r="L1167"/>
  <c r="K1168"/>
  <c r="L1168"/>
  <c r="K1169"/>
  <c r="L1169"/>
  <c r="K1170"/>
  <c r="L1170"/>
  <c r="K1171"/>
  <c r="L1171"/>
  <c r="K1172"/>
  <c r="L1172"/>
  <c r="K1173"/>
  <c r="L1173"/>
  <c r="K1174"/>
  <c r="L1174"/>
  <c r="K1175"/>
  <c r="L1175"/>
  <c r="K1176"/>
  <c r="L1176"/>
  <c r="K1177"/>
  <c r="L1177"/>
  <c r="K1178"/>
  <c r="L1178"/>
  <c r="K1179"/>
  <c r="L1179"/>
  <c r="K1180"/>
  <c r="L1180"/>
  <c r="K1181"/>
  <c r="L1181"/>
  <c r="K1182"/>
  <c r="L1182"/>
  <c r="K1183"/>
  <c r="L1183"/>
  <c r="K1184"/>
  <c r="L1184"/>
  <c r="K1185"/>
  <c r="L1185"/>
  <c r="K1186"/>
  <c r="L1186"/>
  <c r="K1187"/>
  <c r="L1187"/>
  <c r="K1188"/>
  <c r="L1188"/>
  <c r="K1189"/>
  <c r="L1189"/>
  <c r="K1190"/>
  <c r="L1190"/>
  <c r="K1191"/>
  <c r="L1191"/>
  <c r="K1192"/>
  <c r="L1192"/>
  <c r="K1193"/>
  <c r="L1193"/>
  <c r="K1194"/>
  <c r="L1194"/>
  <c r="K1195"/>
  <c r="L1195"/>
  <c r="K1196"/>
  <c r="L1196"/>
  <c r="K1197"/>
  <c r="L1197"/>
  <c r="K1198"/>
  <c r="L1198"/>
  <c r="K1199"/>
  <c r="L1199"/>
  <c r="K1200"/>
  <c r="L1200"/>
  <c r="K1201"/>
  <c r="L1201"/>
  <c r="K1201" i="5"/>
  <c r="L1201"/>
  <c r="P1201" s="1"/>
  <c r="M1201"/>
  <c r="I1160" i="3"/>
  <c r="J1160"/>
  <c r="H1202"/>
  <c r="I1202"/>
  <c r="J1202"/>
  <c r="H1202" i="2"/>
  <c r="I1202"/>
  <c r="L1202"/>
  <c r="M1202"/>
  <c r="H911" i="18"/>
  <c r="H912"/>
  <c r="H916"/>
  <c r="H919"/>
  <c r="H920"/>
  <c r="H921"/>
  <c r="H922"/>
  <c r="H923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60"/>
  <c r="H961"/>
  <c r="H962"/>
  <c r="H963"/>
  <c r="H968"/>
  <c r="H970"/>
  <c r="H971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5"/>
  <c r="H1006"/>
  <c r="H1007"/>
  <c r="H1008"/>
  <c r="H1009"/>
  <c r="H1010"/>
  <c r="H1011"/>
  <c r="H1012"/>
  <c r="H1013"/>
  <c r="H1014"/>
  <c r="H1016"/>
  <c r="H1017"/>
  <c r="H1018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2"/>
  <c r="H1054"/>
  <c r="H1055"/>
  <c r="H1056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911" i="14"/>
  <c r="H912"/>
  <c r="H913"/>
  <c r="H916"/>
  <c r="H918"/>
  <c r="H919"/>
  <c r="H920"/>
  <c r="H921"/>
  <c r="H922"/>
  <c r="H923"/>
  <c r="H925"/>
  <c r="H926"/>
  <c r="H927"/>
  <c r="H928"/>
  <c r="H929"/>
  <c r="H930"/>
  <c r="H931"/>
  <c r="H932"/>
  <c r="H933"/>
  <c r="H934"/>
  <c r="H935"/>
  <c r="H936"/>
  <c r="H937"/>
  <c r="H938"/>
  <c r="H939"/>
  <c r="H940"/>
  <c r="G909" i="11"/>
  <c r="K909" s="1"/>
  <c r="H909"/>
  <c r="F1143"/>
  <c r="G1143"/>
  <c r="K1143" s="1"/>
  <c r="H1143"/>
  <c r="E1146"/>
  <c r="J1146" i="10"/>
  <c r="K881" i="7"/>
  <c r="L881"/>
  <c r="M881"/>
  <c r="K882"/>
  <c r="L882"/>
  <c r="M882"/>
  <c r="K883"/>
  <c r="L883"/>
  <c r="M883"/>
  <c r="K884"/>
  <c r="L884"/>
  <c r="M884"/>
  <c r="K885"/>
  <c r="L885"/>
  <c r="M885"/>
  <c r="K886"/>
  <c r="L886"/>
  <c r="M886"/>
  <c r="K887"/>
  <c r="L887"/>
  <c r="M887"/>
  <c r="K888"/>
  <c r="L888"/>
  <c r="M888"/>
  <c r="K889"/>
  <c r="L889"/>
  <c r="M889"/>
  <c r="K890"/>
  <c r="L890"/>
  <c r="M890"/>
  <c r="K891"/>
  <c r="L891"/>
  <c r="M891"/>
  <c r="K892"/>
  <c r="L892"/>
  <c r="M892"/>
  <c r="K893"/>
  <c r="L893"/>
  <c r="M893"/>
  <c r="K894"/>
  <c r="L894"/>
  <c r="M894"/>
  <c r="K895"/>
  <c r="L895"/>
  <c r="M895"/>
  <c r="K896"/>
  <c r="L896"/>
  <c r="M896"/>
  <c r="K897"/>
  <c r="L897"/>
  <c r="M897"/>
  <c r="K898"/>
  <c r="L898"/>
  <c r="M898"/>
  <c r="K899"/>
  <c r="L899"/>
  <c r="M899"/>
  <c r="K900"/>
  <c r="L900"/>
  <c r="M900"/>
  <c r="K901"/>
  <c r="L901"/>
  <c r="M901"/>
  <c r="K902"/>
  <c r="L902"/>
  <c r="M902"/>
  <c r="K903"/>
  <c r="L903"/>
  <c r="M903"/>
  <c r="K904"/>
  <c r="L904"/>
  <c r="M904"/>
  <c r="K905"/>
  <c r="L905"/>
  <c r="M905"/>
  <c r="K906"/>
  <c r="L906"/>
  <c r="M906"/>
  <c r="K907"/>
  <c r="L907"/>
  <c r="M907"/>
  <c r="K908"/>
  <c r="L908"/>
  <c r="M908"/>
  <c r="K909"/>
  <c r="L909"/>
  <c r="M909"/>
  <c r="K910"/>
  <c r="L910"/>
  <c r="M910"/>
  <c r="K911"/>
  <c r="L911"/>
  <c r="M911"/>
  <c r="K912"/>
  <c r="L912"/>
  <c r="M912"/>
  <c r="K913"/>
  <c r="L913"/>
  <c r="M913"/>
  <c r="K914"/>
  <c r="L914"/>
  <c r="M914"/>
  <c r="K915"/>
  <c r="L915"/>
  <c r="M915"/>
  <c r="K916"/>
  <c r="L916"/>
  <c r="M916"/>
  <c r="K917"/>
  <c r="L917"/>
  <c r="M917"/>
  <c r="K918"/>
  <c r="L918"/>
  <c r="M918"/>
  <c r="K919"/>
  <c r="L919"/>
  <c r="M919"/>
  <c r="K920"/>
  <c r="L920"/>
  <c r="M920"/>
  <c r="K921"/>
  <c r="L921"/>
  <c r="M921"/>
  <c r="K922"/>
  <c r="L922"/>
  <c r="M922"/>
  <c r="K923"/>
  <c r="L923"/>
  <c r="M923"/>
  <c r="K924"/>
  <c r="L924"/>
  <c r="M924"/>
  <c r="K925"/>
  <c r="L925"/>
  <c r="M925"/>
  <c r="K926"/>
  <c r="L926"/>
  <c r="M926"/>
  <c r="K927"/>
  <c r="L927"/>
  <c r="M927"/>
  <c r="K928"/>
  <c r="L928"/>
  <c r="M928"/>
  <c r="K929"/>
  <c r="L929"/>
  <c r="M929"/>
  <c r="K930"/>
  <c r="L930"/>
  <c r="M930"/>
  <c r="K931"/>
  <c r="L931"/>
  <c r="M931"/>
  <c r="K932"/>
  <c r="L932"/>
  <c r="M932"/>
  <c r="K933"/>
  <c r="L933"/>
  <c r="M933"/>
  <c r="K934"/>
  <c r="L934"/>
  <c r="M934"/>
  <c r="K935"/>
  <c r="L935"/>
  <c r="M935"/>
  <c r="K936"/>
  <c r="L936"/>
  <c r="M936"/>
  <c r="K937"/>
  <c r="L937"/>
  <c r="M937"/>
  <c r="K938"/>
  <c r="L938"/>
  <c r="M938"/>
  <c r="K939"/>
  <c r="L939"/>
  <c r="M939"/>
  <c r="K940"/>
  <c r="L940"/>
  <c r="M940"/>
  <c r="K941"/>
  <c r="L941"/>
  <c r="M941"/>
  <c r="K942"/>
  <c r="L942"/>
  <c r="M942"/>
  <c r="K943"/>
  <c r="L943"/>
  <c r="M943"/>
  <c r="K944"/>
  <c r="L944"/>
  <c r="M944"/>
  <c r="K945"/>
  <c r="L945"/>
  <c r="M945"/>
  <c r="K946"/>
  <c r="L946"/>
  <c r="M946"/>
  <c r="K947"/>
  <c r="L947"/>
  <c r="M947"/>
  <c r="K948"/>
  <c r="L948"/>
  <c r="M948"/>
  <c r="K949"/>
  <c r="L949"/>
  <c r="M949"/>
  <c r="K950"/>
  <c r="L950"/>
  <c r="M950"/>
  <c r="K951"/>
  <c r="L951"/>
  <c r="M951"/>
  <c r="K952"/>
  <c r="L952"/>
  <c r="M952"/>
  <c r="K953"/>
  <c r="L953"/>
  <c r="M953"/>
  <c r="K954"/>
  <c r="L954"/>
  <c r="M954"/>
  <c r="K955"/>
  <c r="L955"/>
  <c r="M955"/>
  <c r="K956"/>
  <c r="L956"/>
  <c r="M956"/>
  <c r="K957"/>
  <c r="L957"/>
  <c r="M957"/>
  <c r="K958"/>
  <c r="L958"/>
  <c r="M958"/>
  <c r="K959"/>
  <c r="L959"/>
  <c r="M959"/>
  <c r="K960"/>
  <c r="L960"/>
  <c r="M960"/>
  <c r="K961"/>
  <c r="L961"/>
  <c r="M961"/>
  <c r="K962"/>
  <c r="L962"/>
  <c r="M962"/>
  <c r="K963"/>
  <c r="L963"/>
  <c r="M963"/>
  <c r="K964"/>
  <c r="L964"/>
  <c r="M964"/>
  <c r="K965"/>
  <c r="L965"/>
  <c r="M965"/>
  <c r="K966"/>
  <c r="L966"/>
  <c r="M966"/>
  <c r="K967"/>
  <c r="L967"/>
  <c r="M967"/>
  <c r="K968"/>
  <c r="L968"/>
  <c r="M968"/>
  <c r="K969"/>
  <c r="L969"/>
  <c r="M969"/>
  <c r="K970"/>
  <c r="L970"/>
  <c r="M970"/>
  <c r="K971"/>
  <c r="L971"/>
  <c r="M971"/>
  <c r="K972"/>
  <c r="L972"/>
  <c r="M972"/>
  <c r="K973"/>
  <c r="L973"/>
  <c r="M973"/>
  <c r="K974"/>
  <c r="L974"/>
  <c r="M974"/>
  <c r="K975"/>
  <c r="L975"/>
  <c r="M975"/>
  <c r="K976"/>
  <c r="L976"/>
  <c r="M976"/>
  <c r="K977"/>
  <c r="L977"/>
  <c r="M977"/>
  <c r="K978"/>
  <c r="L978"/>
  <c r="M978"/>
  <c r="K979"/>
  <c r="L979"/>
  <c r="M979"/>
  <c r="K980"/>
  <c r="L980"/>
  <c r="M980"/>
  <c r="K981"/>
  <c r="L981"/>
  <c r="M981"/>
  <c r="K982"/>
  <c r="L982"/>
  <c r="M982"/>
  <c r="K983"/>
  <c r="L983"/>
  <c r="M983"/>
  <c r="K984"/>
  <c r="L984"/>
  <c r="M984"/>
  <c r="K985"/>
  <c r="L985"/>
  <c r="M985"/>
  <c r="K986"/>
  <c r="L986"/>
  <c r="M986"/>
  <c r="K987"/>
  <c r="L987"/>
  <c r="M987"/>
  <c r="K988"/>
  <c r="L988"/>
  <c r="M988"/>
  <c r="K989"/>
  <c r="L989"/>
  <c r="M989"/>
  <c r="K990"/>
  <c r="L990"/>
  <c r="M990"/>
  <c r="K991"/>
  <c r="L991"/>
  <c r="M991"/>
  <c r="K992"/>
  <c r="L992"/>
  <c r="M992"/>
  <c r="K993"/>
  <c r="L993"/>
  <c r="M993"/>
  <c r="K994"/>
  <c r="L994"/>
  <c r="M994"/>
  <c r="K995"/>
  <c r="L995"/>
  <c r="M995"/>
  <c r="K996"/>
  <c r="L996"/>
  <c r="M996"/>
  <c r="K997"/>
  <c r="L997"/>
  <c r="M997"/>
  <c r="K998"/>
  <c r="L998"/>
  <c r="M998"/>
  <c r="K999"/>
  <c r="L999"/>
  <c r="M999"/>
  <c r="K1000"/>
  <c r="L1000"/>
  <c r="M1000"/>
  <c r="K1001"/>
  <c r="L1001"/>
  <c r="M1001"/>
  <c r="K1002"/>
  <c r="L1002"/>
  <c r="M1002"/>
  <c r="K1003"/>
  <c r="L1003"/>
  <c r="M1003"/>
  <c r="K1004"/>
  <c r="L1004"/>
  <c r="M1004"/>
  <c r="K1005"/>
  <c r="L1005"/>
  <c r="M1005"/>
  <c r="K1006"/>
  <c r="L1006"/>
  <c r="M1006"/>
  <c r="K1007"/>
  <c r="L1007"/>
  <c r="M1007"/>
  <c r="K1008"/>
  <c r="L1008"/>
  <c r="M1008"/>
  <c r="K1009"/>
  <c r="L1009"/>
  <c r="M1009"/>
  <c r="K1010"/>
  <c r="L1010"/>
  <c r="M1010"/>
  <c r="K1011"/>
  <c r="L1011"/>
  <c r="M1011"/>
  <c r="K1012"/>
  <c r="L1012"/>
  <c r="M1012"/>
  <c r="K1013"/>
  <c r="L1013"/>
  <c r="M1013"/>
  <c r="K1014"/>
  <c r="L1014"/>
  <c r="M1014"/>
  <c r="K1015"/>
  <c r="L1015"/>
  <c r="M1015"/>
  <c r="K1016"/>
  <c r="L1016"/>
  <c r="M1016"/>
  <c r="K1017"/>
  <c r="L1017"/>
  <c r="M1017"/>
  <c r="K1018"/>
  <c r="L1018"/>
  <c r="M1018"/>
  <c r="K1019"/>
  <c r="L1019"/>
  <c r="M1019"/>
  <c r="K1020"/>
  <c r="L1020"/>
  <c r="M1020"/>
  <c r="K1021"/>
  <c r="L1021"/>
  <c r="M1021"/>
  <c r="K1022"/>
  <c r="L1022"/>
  <c r="M1022"/>
  <c r="K1023"/>
  <c r="L1023"/>
  <c r="M1023"/>
  <c r="K1024"/>
  <c r="L1024"/>
  <c r="M1024"/>
  <c r="K1025"/>
  <c r="L1025"/>
  <c r="M1025"/>
  <c r="K1026"/>
  <c r="L1026"/>
  <c r="M1026"/>
  <c r="K1027"/>
  <c r="L1027"/>
  <c r="M1027"/>
  <c r="K1028"/>
  <c r="L1028"/>
  <c r="M1028"/>
  <c r="K1029"/>
  <c r="L1029"/>
  <c r="M1029"/>
  <c r="K1030"/>
  <c r="L1030"/>
  <c r="M1030"/>
  <c r="K1031"/>
  <c r="L1031"/>
  <c r="M1031"/>
  <c r="K1032"/>
  <c r="L1032"/>
  <c r="M1032"/>
  <c r="K1033"/>
  <c r="L1033"/>
  <c r="M1033"/>
  <c r="K1034"/>
  <c r="L1034"/>
  <c r="M1034"/>
  <c r="K1035"/>
  <c r="L1035"/>
  <c r="M1035"/>
  <c r="K1036"/>
  <c r="L1036"/>
  <c r="M1036"/>
  <c r="K1037"/>
  <c r="L1037"/>
  <c r="M1037"/>
  <c r="K1038"/>
  <c r="L1038"/>
  <c r="M1038"/>
  <c r="K1039"/>
  <c r="L1039"/>
  <c r="M1039"/>
  <c r="K1040"/>
  <c r="L1040"/>
  <c r="M1040"/>
  <c r="K1041"/>
  <c r="L1041"/>
  <c r="M1041"/>
  <c r="K1042"/>
  <c r="L1042"/>
  <c r="M1042"/>
  <c r="K1043"/>
  <c r="L1043"/>
  <c r="M1043"/>
  <c r="K1044"/>
  <c r="L1044"/>
  <c r="M1044"/>
  <c r="K1045"/>
  <c r="L1045"/>
  <c r="M1045"/>
  <c r="K1046"/>
  <c r="L1046"/>
  <c r="M1046"/>
  <c r="K1047"/>
  <c r="L1047"/>
  <c r="M1047"/>
  <c r="K1048"/>
  <c r="L1048"/>
  <c r="M1048"/>
  <c r="K1049"/>
  <c r="L1049"/>
  <c r="M1049"/>
  <c r="K1050"/>
  <c r="L1050"/>
  <c r="M1050"/>
  <c r="K1051"/>
  <c r="L1051"/>
  <c r="M1051"/>
  <c r="K1052"/>
  <c r="L1052"/>
  <c r="M1052"/>
  <c r="K1053"/>
  <c r="L1053"/>
  <c r="M1053"/>
  <c r="K1054"/>
  <c r="L1054"/>
  <c r="M1054"/>
  <c r="K1055"/>
  <c r="L1055"/>
  <c r="M1055"/>
  <c r="K1056"/>
  <c r="L1056"/>
  <c r="M1056"/>
  <c r="K1057"/>
  <c r="L1057"/>
  <c r="M1057"/>
  <c r="K1058"/>
  <c r="L1058"/>
  <c r="M1058"/>
  <c r="K1059"/>
  <c r="L1059"/>
  <c r="M1059"/>
  <c r="K1060"/>
  <c r="L1060"/>
  <c r="M1060"/>
  <c r="K1061"/>
  <c r="L1061"/>
  <c r="M1061"/>
  <c r="K1062"/>
  <c r="L1062"/>
  <c r="M1062"/>
  <c r="K1063"/>
  <c r="L1063"/>
  <c r="M1063"/>
  <c r="K1064"/>
  <c r="L1064"/>
  <c r="M1064"/>
  <c r="K1065"/>
  <c r="L1065"/>
  <c r="M1065"/>
  <c r="K1066"/>
  <c r="L1066"/>
  <c r="M1066"/>
  <c r="K1067"/>
  <c r="L1067"/>
  <c r="M1067"/>
  <c r="K1068"/>
  <c r="L1068"/>
  <c r="M1068"/>
  <c r="K1069"/>
  <c r="L1069"/>
  <c r="M1069"/>
  <c r="K1070"/>
  <c r="L1070"/>
  <c r="M1070"/>
  <c r="K1071"/>
  <c r="L1071"/>
  <c r="M1071"/>
  <c r="K1072"/>
  <c r="L1072"/>
  <c r="M1072"/>
  <c r="K1073"/>
  <c r="L1073"/>
  <c r="M1073"/>
  <c r="K1074"/>
  <c r="L1074"/>
  <c r="M1074"/>
  <c r="K1075"/>
  <c r="L1075"/>
  <c r="M1075"/>
  <c r="K1076"/>
  <c r="L1076"/>
  <c r="M1076"/>
  <c r="K1077"/>
  <c r="L1077"/>
  <c r="M1077"/>
  <c r="K1078"/>
  <c r="L1078"/>
  <c r="M1078"/>
  <c r="K1079"/>
  <c r="L1079"/>
  <c r="M1079"/>
  <c r="K1080"/>
  <c r="L1080"/>
  <c r="M1080"/>
  <c r="K1081"/>
  <c r="L1081"/>
  <c r="M1081"/>
  <c r="K1082"/>
  <c r="L1082"/>
  <c r="M1082"/>
  <c r="K1083"/>
  <c r="L1083"/>
  <c r="M1083"/>
  <c r="K1084"/>
  <c r="L1084"/>
  <c r="M1084"/>
  <c r="K1085"/>
  <c r="L1085"/>
  <c r="M1085"/>
  <c r="K1086"/>
  <c r="L1086"/>
  <c r="M1086"/>
  <c r="K1087"/>
  <c r="L1087"/>
  <c r="M1087"/>
  <c r="K1088"/>
  <c r="L1088"/>
  <c r="M1088"/>
  <c r="K1089"/>
  <c r="L1089"/>
  <c r="M1089"/>
  <c r="K1090"/>
  <c r="L1090"/>
  <c r="M1090"/>
  <c r="K1091"/>
  <c r="L1091"/>
  <c r="M1091"/>
  <c r="K1092"/>
  <c r="L1092"/>
  <c r="M1092"/>
  <c r="K1093"/>
  <c r="L1093"/>
  <c r="M1093"/>
  <c r="K1094"/>
  <c r="L1094"/>
  <c r="M1094"/>
  <c r="K1095"/>
  <c r="L1095"/>
  <c r="M1095"/>
  <c r="K1096"/>
  <c r="L1096"/>
  <c r="M1096"/>
  <c r="K1097"/>
  <c r="L1097"/>
  <c r="M1097"/>
  <c r="K1098"/>
  <c r="L1098"/>
  <c r="M1098"/>
  <c r="K1099"/>
  <c r="L1099"/>
  <c r="M1099"/>
  <c r="K1100"/>
  <c r="L1100"/>
  <c r="M1100"/>
  <c r="K1101"/>
  <c r="L1101"/>
  <c r="M1101"/>
  <c r="K1102"/>
  <c r="L1102"/>
  <c r="M1102"/>
  <c r="K1103"/>
  <c r="L1103"/>
  <c r="M1103"/>
  <c r="K1104"/>
  <c r="L1104"/>
  <c r="M1104"/>
  <c r="K1105"/>
  <c r="L1105"/>
  <c r="M1105"/>
  <c r="K1106"/>
  <c r="L1106"/>
  <c r="M1106"/>
  <c r="K1107"/>
  <c r="L1107"/>
  <c r="M1107"/>
  <c r="K1108"/>
  <c r="L1108"/>
  <c r="M1108"/>
  <c r="K1109"/>
  <c r="L1109"/>
  <c r="M1109"/>
  <c r="K1110"/>
  <c r="L1110"/>
  <c r="M1110"/>
  <c r="K1111"/>
  <c r="L1111"/>
  <c r="M1111"/>
  <c r="K1112"/>
  <c r="L1112"/>
  <c r="M1112"/>
  <c r="K1113"/>
  <c r="L1113"/>
  <c r="M1113"/>
  <c r="K1114"/>
  <c r="L1114"/>
  <c r="M1114"/>
  <c r="K1115"/>
  <c r="L1115"/>
  <c r="M1115"/>
  <c r="K1116"/>
  <c r="L1116"/>
  <c r="M1116"/>
  <c r="K1117"/>
  <c r="L1117"/>
  <c r="M1117"/>
  <c r="K1118"/>
  <c r="L1118"/>
  <c r="M1118"/>
  <c r="K1119"/>
  <c r="L1119"/>
  <c r="M1119"/>
  <c r="K1120"/>
  <c r="L1120"/>
  <c r="M1120"/>
  <c r="K1121"/>
  <c r="L1121"/>
  <c r="M1121"/>
  <c r="K1122"/>
  <c r="L1122"/>
  <c r="M1122"/>
  <c r="K1123"/>
  <c r="L1123"/>
  <c r="M1123"/>
  <c r="K1124"/>
  <c r="L1124"/>
  <c r="M1124"/>
  <c r="K1125"/>
  <c r="L1125"/>
  <c r="M1125"/>
  <c r="K1126"/>
  <c r="L1126"/>
  <c r="M1126"/>
  <c r="K1127"/>
  <c r="L1127"/>
  <c r="M1127"/>
  <c r="K1128"/>
  <c r="L1128"/>
  <c r="M1128"/>
  <c r="K1129"/>
  <c r="L1129"/>
  <c r="M1129"/>
  <c r="K1130"/>
  <c r="L1130"/>
  <c r="M1130"/>
  <c r="K1131"/>
  <c r="L1131"/>
  <c r="M1131"/>
  <c r="K1132"/>
  <c r="L1132"/>
  <c r="M1132"/>
  <c r="K1133"/>
  <c r="L1133"/>
  <c r="M1133"/>
  <c r="K1134"/>
  <c r="L1134"/>
  <c r="M1134"/>
  <c r="K1135"/>
  <c r="L1135"/>
  <c r="M1135"/>
  <c r="K1136"/>
  <c r="L1136"/>
  <c r="M1136"/>
  <c r="K1137"/>
  <c r="L1137"/>
  <c r="M1137"/>
  <c r="K1138"/>
  <c r="L1138"/>
  <c r="M1138"/>
  <c r="K1139"/>
  <c r="L1139"/>
  <c r="M1139"/>
  <c r="K1140"/>
  <c r="L1140"/>
  <c r="M1140"/>
  <c r="K1141"/>
  <c r="L1141"/>
  <c r="M1141"/>
  <c r="K1142"/>
  <c r="L1142"/>
  <c r="M1142"/>
  <c r="K1143"/>
  <c r="L1143"/>
  <c r="M1143"/>
  <c r="K1144"/>
  <c r="L1144"/>
  <c r="M1144"/>
  <c r="K1145"/>
  <c r="L1145"/>
  <c r="M1145"/>
  <c r="K1144" i="5"/>
  <c r="L1144"/>
  <c r="P1144" s="1"/>
  <c r="M1144"/>
  <c r="J1146" i="3"/>
  <c r="J792" i="17"/>
  <c r="K792" s="1"/>
  <c r="O792" s="1"/>
  <c r="L792"/>
  <c r="J793"/>
  <c r="K793" s="1"/>
  <c r="O793" s="1"/>
  <c r="L793"/>
  <c r="J792" i="12"/>
  <c r="K792" s="1"/>
  <c r="O792" s="1"/>
  <c r="L792"/>
  <c r="J793"/>
  <c r="K793" s="1"/>
  <c r="O793" s="1"/>
  <c r="L793"/>
  <c r="H792" i="18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9"/>
  <c r="H830"/>
  <c r="H831"/>
  <c r="H832"/>
  <c r="H833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5"/>
  <c r="H761" i="14"/>
  <c r="H762"/>
  <c r="H764"/>
  <c r="H769"/>
  <c r="H770"/>
  <c r="H771"/>
  <c r="H772"/>
  <c r="H773"/>
  <c r="H774"/>
  <c r="H783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5"/>
  <c r="I792" i="10"/>
  <c r="M792" s="1"/>
  <c r="J792"/>
  <c r="I793"/>
  <c r="M793" s="1"/>
  <c r="J793"/>
  <c r="I794"/>
  <c r="M794" s="1"/>
  <c r="J794"/>
  <c r="I876"/>
  <c r="J876"/>
  <c r="I877"/>
  <c r="J877"/>
  <c r="H879"/>
  <c r="I879"/>
  <c r="J879"/>
  <c r="K749" i="7"/>
  <c r="P749" s="1"/>
  <c r="L749"/>
  <c r="K750"/>
  <c r="P750" s="1"/>
  <c r="L750"/>
  <c r="K751"/>
  <c r="P751" s="1"/>
  <c r="L751"/>
  <c r="K752"/>
  <c r="P752" s="1"/>
  <c r="L752"/>
  <c r="K753"/>
  <c r="P753" s="1"/>
  <c r="L753"/>
  <c r="K754"/>
  <c r="P754" s="1"/>
  <c r="L754"/>
  <c r="K755"/>
  <c r="P755" s="1"/>
  <c r="L755"/>
  <c r="K756"/>
  <c r="P756" s="1"/>
  <c r="L756"/>
  <c r="K757"/>
  <c r="P757" s="1"/>
  <c r="L757"/>
  <c r="K758"/>
  <c r="P758" s="1"/>
  <c r="L758"/>
  <c r="K759"/>
  <c r="P759" s="1"/>
  <c r="L759"/>
  <c r="K760"/>
  <c r="P760" s="1"/>
  <c r="L760"/>
  <c r="K761"/>
  <c r="P761" s="1"/>
  <c r="L761"/>
  <c r="K762"/>
  <c r="P762" s="1"/>
  <c r="L762"/>
  <c r="K763"/>
  <c r="P763" s="1"/>
  <c r="L763"/>
  <c r="K764"/>
  <c r="P764" s="1"/>
  <c r="L764"/>
  <c r="K765"/>
  <c r="P765" s="1"/>
  <c r="L765"/>
  <c r="K766"/>
  <c r="P766" s="1"/>
  <c r="L766"/>
  <c r="K767"/>
  <c r="P767" s="1"/>
  <c r="L767"/>
  <c r="K768"/>
  <c r="P768" s="1"/>
  <c r="L768"/>
  <c r="K769"/>
  <c r="P769" s="1"/>
  <c r="L769"/>
  <c r="K770"/>
  <c r="P770" s="1"/>
  <c r="L770"/>
  <c r="K771"/>
  <c r="P771" s="1"/>
  <c r="L771"/>
  <c r="K772"/>
  <c r="P772" s="1"/>
  <c r="L772"/>
  <c r="K773"/>
  <c r="P773" s="1"/>
  <c r="L773"/>
  <c r="K774"/>
  <c r="P774" s="1"/>
  <c r="L774"/>
  <c r="K775"/>
  <c r="P775" s="1"/>
  <c r="L775"/>
  <c r="K776"/>
  <c r="P776" s="1"/>
  <c r="L776"/>
  <c r="K777"/>
  <c r="P777" s="1"/>
  <c r="L777"/>
  <c r="K778"/>
  <c r="P778" s="1"/>
  <c r="L778"/>
  <c r="K779"/>
  <c r="P779" s="1"/>
  <c r="L779"/>
  <c r="K780"/>
  <c r="P780" s="1"/>
  <c r="L780"/>
  <c r="K781"/>
  <c r="P781" s="1"/>
  <c r="L781"/>
  <c r="K782"/>
  <c r="P782" s="1"/>
  <c r="L782"/>
  <c r="K783"/>
  <c r="P783" s="1"/>
  <c r="L783"/>
  <c r="K784"/>
  <c r="P784" s="1"/>
  <c r="L784"/>
  <c r="K785"/>
  <c r="P785" s="1"/>
  <c r="L785"/>
  <c r="K786"/>
  <c r="P786" s="1"/>
  <c r="L786"/>
  <c r="K787"/>
  <c r="P787" s="1"/>
  <c r="L787"/>
  <c r="K788"/>
  <c r="P788" s="1"/>
  <c r="L788"/>
  <c r="K789"/>
  <c r="P789" s="1"/>
  <c r="L789"/>
  <c r="K790"/>
  <c r="P790" s="1"/>
  <c r="L790"/>
  <c r="K791"/>
  <c r="P791" s="1"/>
  <c r="L791"/>
  <c r="K792"/>
  <c r="P792" s="1"/>
  <c r="L792"/>
  <c r="K793"/>
  <c r="P793" s="1"/>
  <c r="L793"/>
  <c r="K794"/>
  <c r="P794" s="1"/>
  <c r="L794"/>
  <c r="K795"/>
  <c r="P795" s="1"/>
  <c r="L795"/>
  <c r="K796"/>
  <c r="P796" s="1"/>
  <c r="L796"/>
  <c r="K797"/>
  <c r="P797" s="1"/>
  <c r="L797"/>
  <c r="K798"/>
  <c r="P798" s="1"/>
  <c r="L798"/>
  <c r="K799"/>
  <c r="P799" s="1"/>
  <c r="L799"/>
  <c r="K800"/>
  <c r="P800" s="1"/>
  <c r="L800"/>
  <c r="K801"/>
  <c r="P801" s="1"/>
  <c r="L801"/>
  <c r="K802"/>
  <c r="P802" s="1"/>
  <c r="L802"/>
  <c r="K803"/>
  <c r="P803" s="1"/>
  <c r="L803"/>
  <c r="K804"/>
  <c r="P804" s="1"/>
  <c r="L804"/>
  <c r="K805"/>
  <c r="P805" s="1"/>
  <c r="L805"/>
  <c r="K806"/>
  <c r="P806" s="1"/>
  <c r="L806"/>
  <c r="K807"/>
  <c r="P807" s="1"/>
  <c r="L807"/>
  <c r="K808"/>
  <c r="P808" s="1"/>
  <c r="L808"/>
  <c r="K809"/>
  <c r="P809" s="1"/>
  <c r="L809"/>
  <c r="K810"/>
  <c r="P810" s="1"/>
  <c r="L810"/>
  <c r="K811"/>
  <c r="P811" s="1"/>
  <c r="L811"/>
  <c r="K812"/>
  <c r="P812" s="1"/>
  <c r="L812"/>
  <c r="K813"/>
  <c r="P813" s="1"/>
  <c r="L813"/>
  <c r="K814"/>
  <c r="P814" s="1"/>
  <c r="L814"/>
  <c r="K815"/>
  <c r="P815" s="1"/>
  <c r="L815"/>
  <c r="K816"/>
  <c r="P816" s="1"/>
  <c r="L816"/>
  <c r="K817"/>
  <c r="P817" s="1"/>
  <c r="L817"/>
  <c r="K818"/>
  <c r="P818" s="1"/>
  <c r="L818"/>
  <c r="K819"/>
  <c r="P819" s="1"/>
  <c r="L819"/>
  <c r="K820"/>
  <c r="P820" s="1"/>
  <c r="L820"/>
  <c r="K821"/>
  <c r="P821" s="1"/>
  <c r="L821"/>
  <c r="K822"/>
  <c r="P822" s="1"/>
  <c r="L822"/>
  <c r="K823"/>
  <c r="P823" s="1"/>
  <c r="L823"/>
  <c r="K824"/>
  <c r="P824" s="1"/>
  <c r="L824"/>
  <c r="K825"/>
  <c r="P825" s="1"/>
  <c r="L825"/>
  <c r="K826"/>
  <c r="P826" s="1"/>
  <c r="L826"/>
  <c r="K827"/>
  <c r="P827" s="1"/>
  <c r="L827"/>
  <c r="K828"/>
  <c r="P828" s="1"/>
  <c r="L828"/>
  <c r="K829"/>
  <c r="P829" s="1"/>
  <c r="L829"/>
  <c r="K830"/>
  <c r="P830" s="1"/>
  <c r="L830"/>
  <c r="K831"/>
  <c r="P831" s="1"/>
  <c r="L831"/>
  <c r="K832"/>
  <c r="P832" s="1"/>
  <c r="L832"/>
  <c r="K833"/>
  <c r="P833" s="1"/>
  <c r="L833"/>
  <c r="K834"/>
  <c r="P834" s="1"/>
  <c r="L834"/>
  <c r="K835"/>
  <c r="P835" s="1"/>
  <c r="L835"/>
  <c r="K836"/>
  <c r="P836" s="1"/>
  <c r="L836"/>
  <c r="K837"/>
  <c r="P837" s="1"/>
  <c r="L837"/>
  <c r="K838"/>
  <c r="P838" s="1"/>
  <c r="L838"/>
  <c r="K839"/>
  <c r="P839" s="1"/>
  <c r="L839"/>
  <c r="K840"/>
  <c r="P840" s="1"/>
  <c r="L840"/>
  <c r="K841"/>
  <c r="P841" s="1"/>
  <c r="L841"/>
  <c r="K842"/>
  <c r="P842" s="1"/>
  <c r="L842"/>
  <c r="K843"/>
  <c r="P843" s="1"/>
  <c r="L843"/>
  <c r="K844"/>
  <c r="P844" s="1"/>
  <c r="L844"/>
  <c r="K845"/>
  <c r="P845" s="1"/>
  <c r="L845"/>
  <c r="K846"/>
  <c r="P846" s="1"/>
  <c r="L846"/>
  <c r="K847"/>
  <c r="P847" s="1"/>
  <c r="L847"/>
  <c r="K848"/>
  <c r="P848" s="1"/>
  <c r="L848"/>
  <c r="K849"/>
  <c r="P849" s="1"/>
  <c r="L849"/>
  <c r="K850"/>
  <c r="P850" s="1"/>
  <c r="L850"/>
  <c r="K851"/>
  <c r="P851" s="1"/>
  <c r="L851"/>
  <c r="K852"/>
  <c r="P852" s="1"/>
  <c r="L852"/>
  <c r="K853"/>
  <c r="P853" s="1"/>
  <c r="L853"/>
  <c r="K854"/>
  <c r="P854" s="1"/>
  <c r="L854"/>
  <c r="K855"/>
  <c r="P855" s="1"/>
  <c r="L855"/>
  <c r="K856"/>
  <c r="P856" s="1"/>
  <c r="L856"/>
  <c r="K857"/>
  <c r="P857" s="1"/>
  <c r="L857"/>
  <c r="K858"/>
  <c r="P858" s="1"/>
  <c r="L858"/>
  <c r="K859"/>
  <c r="P859" s="1"/>
  <c r="L859"/>
  <c r="K860"/>
  <c r="P860" s="1"/>
  <c r="L860"/>
  <c r="K861"/>
  <c r="P861" s="1"/>
  <c r="L861"/>
  <c r="K862"/>
  <c r="P862" s="1"/>
  <c r="L862"/>
  <c r="K863"/>
  <c r="P863" s="1"/>
  <c r="L863"/>
  <c r="K864"/>
  <c r="P864" s="1"/>
  <c r="L864"/>
  <c r="K865"/>
  <c r="P865" s="1"/>
  <c r="L865"/>
  <c r="K866"/>
  <c r="P866" s="1"/>
  <c r="L866"/>
  <c r="K867"/>
  <c r="P867" s="1"/>
  <c r="L867"/>
  <c r="K868"/>
  <c r="P868" s="1"/>
  <c r="L868"/>
  <c r="K869"/>
  <c r="P869" s="1"/>
  <c r="L869"/>
  <c r="K870"/>
  <c r="P870" s="1"/>
  <c r="L870"/>
  <c r="K871"/>
  <c r="P871" s="1"/>
  <c r="L871"/>
  <c r="K872"/>
  <c r="P872" s="1"/>
  <c r="L872"/>
  <c r="K873"/>
  <c r="P873" s="1"/>
  <c r="L873"/>
  <c r="K874"/>
  <c r="P874" s="1"/>
  <c r="L874"/>
  <c r="K875"/>
  <c r="P875" s="1"/>
  <c r="L875"/>
  <c r="K876"/>
  <c r="L876"/>
  <c r="K877"/>
  <c r="L877"/>
  <c r="K878"/>
  <c r="L87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H879"/>
  <c r="K879" s="1"/>
  <c r="H879" i="3"/>
  <c r="I879"/>
  <c r="J879"/>
  <c r="M879" i="2"/>
  <c r="H553" i="18"/>
  <c r="H554"/>
  <c r="H555"/>
  <c r="H556"/>
  <c r="H557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7"/>
  <c r="H719"/>
  <c r="H720"/>
  <c r="H721"/>
  <c r="H722"/>
  <c r="H723"/>
  <c r="H724"/>
  <c r="H725"/>
  <c r="H726"/>
  <c r="H727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553" i="14"/>
  <c r="H554"/>
  <c r="H555"/>
  <c r="H556"/>
  <c r="H557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5" i="6"/>
  <c r="M745" i="2"/>
  <c r="G419" i="14"/>
  <c r="K419" s="1"/>
  <c r="L419" s="1"/>
  <c r="H419"/>
  <c r="G420"/>
  <c r="K420" s="1"/>
  <c r="L420" s="1"/>
  <c r="H420"/>
  <c r="G421"/>
  <c r="K421" s="1"/>
  <c r="L421" s="1"/>
  <c r="H421"/>
  <c r="G422"/>
  <c r="K422" s="1"/>
  <c r="L422" s="1"/>
  <c r="H422"/>
  <c r="G423"/>
  <c r="K423" s="1"/>
  <c r="L423" s="1"/>
  <c r="H423"/>
  <c r="G424"/>
  <c r="K424" s="1"/>
  <c r="L424" s="1"/>
  <c r="H424"/>
  <c r="G425"/>
  <c r="K425" s="1"/>
  <c r="L425" s="1"/>
  <c r="H425"/>
  <c r="G426"/>
  <c r="K426" s="1"/>
  <c r="L426" s="1"/>
  <c r="H426"/>
  <c r="G427"/>
  <c r="K427" s="1"/>
  <c r="L427" s="1"/>
  <c r="H427"/>
  <c r="G428"/>
  <c r="K428" s="1"/>
  <c r="L428" s="1"/>
  <c r="H428"/>
  <c r="G429"/>
  <c r="K429" s="1"/>
  <c r="L429" s="1"/>
  <c r="H429"/>
  <c r="G430"/>
  <c r="K430" s="1"/>
  <c r="L430" s="1"/>
  <c r="H430"/>
  <c r="G431"/>
  <c r="K431" s="1"/>
  <c r="L431" s="1"/>
  <c r="H431"/>
  <c r="G432"/>
  <c r="K432" s="1"/>
  <c r="L432" s="1"/>
  <c r="H432"/>
  <c r="G433"/>
  <c r="K433" s="1"/>
  <c r="L433" s="1"/>
  <c r="H433"/>
  <c r="G434"/>
  <c r="K434" s="1"/>
  <c r="L434" s="1"/>
  <c r="H434"/>
  <c r="G435"/>
  <c r="K435" s="1"/>
  <c r="L435" s="1"/>
  <c r="H435"/>
  <c r="G436"/>
  <c r="K436" s="1"/>
  <c r="L436" s="1"/>
  <c r="H436"/>
  <c r="G437"/>
  <c r="K437" s="1"/>
  <c r="L437" s="1"/>
  <c r="H437"/>
  <c r="G438"/>
  <c r="K438" s="1"/>
  <c r="L438" s="1"/>
  <c r="H438"/>
  <c r="G439"/>
  <c r="K439" s="1"/>
  <c r="L439" s="1"/>
  <c r="H439"/>
  <c r="G440"/>
  <c r="K440" s="1"/>
  <c r="L440" s="1"/>
  <c r="H440"/>
  <c r="G441"/>
  <c r="K441" s="1"/>
  <c r="L441" s="1"/>
  <c r="H441"/>
  <c r="G442"/>
  <c r="K442" s="1"/>
  <c r="L442" s="1"/>
  <c r="H442"/>
  <c r="G443"/>
  <c r="K443" s="1"/>
  <c r="L443" s="1"/>
  <c r="H443"/>
  <c r="G444"/>
  <c r="K444" s="1"/>
  <c r="L444" s="1"/>
  <c r="H444"/>
  <c r="G445"/>
  <c r="K445" s="1"/>
  <c r="L445" s="1"/>
  <c r="H445"/>
  <c r="G446"/>
  <c r="K446" s="1"/>
  <c r="L446" s="1"/>
  <c r="H446"/>
  <c r="G447"/>
  <c r="K447" s="1"/>
  <c r="L447" s="1"/>
  <c r="H447"/>
  <c r="G448"/>
  <c r="K448" s="1"/>
  <c r="L448" s="1"/>
  <c r="H448"/>
  <c r="G449"/>
  <c r="K449" s="1"/>
  <c r="L449" s="1"/>
  <c r="H449"/>
  <c r="G450"/>
  <c r="K450" s="1"/>
  <c r="L450" s="1"/>
  <c r="H450"/>
  <c r="G451"/>
  <c r="K451" s="1"/>
  <c r="L451" s="1"/>
  <c r="H451"/>
  <c r="G452"/>
  <c r="K452" s="1"/>
  <c r="L452" s="1"/>
  <c r="H452"/>
  <c r="G453"/>
  <c r="K453" s="1"/>
  <c r="L453" s="1"/>
  <c r="H453"/>
  <c r="G454"/>
  <c r="K454" s="1"/>
  <c r="L454" s="1"/>
  <c r="H454"/>
  <c r="G455"/>
  <c r="K455" s="1"/>
  <c r="L455" s="1"/>
  <c r="H455"/>
  <c r="G456"/>
  <c r="K456" s="1"/>
  <c r="L456" s="1"/>
  <c r="H456"/>
  <c r="G457"/>
  <c r="K457" s="1"/>
  <c r="L457" s="1"/>
  <c r="H457"/>
  <c r="G458"/>
  <c r="K458" s="1"/>
  <c r="L458" s="1"/>
  <c r="H458"/>
  <c r="G459"/>
  <c r="K459" s="1"/>
  <c r="L459" s="1"/>
  <c r="H459"/>
  <c r="G460"/>
  <c r="K460" s="1"/>
  <c r="L460" s="1"/>
  <c r="H460"/>
  <c r="G461"/>
  <c r="K461" s="1"/>
  <c r="L461" s="1"/>
  <c r="H461"/>
  <c r="G462"/>
  <c r="K462" s="1"/>
  <c r="L462" s="1"/>
  <c r="H462"/>
  <c r="G463"/>
  <c r="K463" s="1"/>
  <c r="L463" s="1"/>
  <c r="H463"/>
  <c r="G464"/>
  <c r="K464" s="1"/>
  <c r="L464" s="1"/>
  <c r="H464"/>
  <c r="G465"/>
  <c r="K465" s="1"/>
  <c r="L465" s="1"/>
  <c r="H465"/>
  <c r="G466"/>
  <c r="K466" s="1"/>
  <c r="L466" s="1"/>
  <c r="H466"/>
  <c r="G467"/>
  <c r="K467" s="1"/>
  <c r="L467" s="1"/>
  <c r="H467"/>
  <c r="G468"/>
  <c r="K468" s="1"/>
  <c r="L468" s="1"/>
  <c r="H468"/>
  <c r="G469"/>
  <c r="K469" s="1"/>
  <c r="L469" s="1"/>
  <c r="H469"/>
  <c r="G470"/>
  <c r="K470" s="1"/>
  <c r="L470" s="1"/>
  <c r="H470"/>
  <c r="G471"/>
  <c r="K471" s="1"/>
  <c r="L471" s="1"/>
  <c r="H471"/>
  <c r="G472"/>
  <c r="K472" s="1"/>
  <c r="L472" s="1"/>
  <c r="H472"/>
  <c r="G473"/>
  <c r="K473" s="1"/>
  <c r="L473" s="1"/>
  <c r="H473"/>
  <c r="G474"/>
  <c r="K474" s="1"/>
  <c r="L474" s="1"/>
  <c r="H474"/>
  <c r="G475"/>
  <c r="K475" s="1"/>
  <c r="L475" s="1"/>
  <c r="H475"/>
  <c r="G476"/>
  <c r="K476" s="1"/>
  <c r="L476" s="1"/>
  <c r="H476"/>
  <c r="G477"/>
  <c r="K477" s="1"/>
  <c r="L477" s="1"/>
  <c r="H477"/>
  <c r="G478"/>
  <c r="K478" s="1"/>
  <c r="L478" s="1"/>
  <c r="H478"/>
  <c r="G479"/>
  <c r="K479" s="1"/>
  <c r="L479" s="1"/>
  <c r="H479"/>
  <c r="G480"/>
  <c r="K480" s="1"/>
  <c r="L480" s="1"/>
  <c r="H480"/>
  <c r="G481"/>
  <c r="K481" s="1"/>
  <c r="L481" s="1"/>
  <c r="H481"/>
  <c r="G482"/>
  <c r="K482" s="1"/>
  <c r="L482" s="1"/>
  <c r="H482"/>
  <c r="G483"/>
  <c r="K483" s="1"/>
  <c r="L483" s="1"/>
  <c r="H483"/>
  <c r="G484"/>
  <c r="K484" s="1"/>
  <c r="L484" s="1"/>
  <c r="H484"/>
  <c r="G485"/>
  <c r="K485" s="1"/>
  <c r="L485" s="1"/>
  <c r="H485"/>
  <c r="G486"/>
  <c r="K486" s="1"/>
  <c r="L486" s="1"/>
  <c r="H486"/>
  <c r="G487"/>
  <c r="K487" s="1"/>
  <c r="L487" s="1"/>
  <c r="H487"/>
  <c r="G488"/>
  <c r="K488" s="1"/>
  <c r="L488" s="1"/>
  <c r="H488"/>
  <c r="G489"/>
  <c r="K489" s="1"/>
  <c r="L489" s="1"/>
  <c r="H489"/>
  <c r="G490"/>
  <c r="K490" s="1"/>
  <c r="L490" s="1"/>
  <c r="H490"/>
  <c r="G491"/>
  <c r="K491" s="1"/>
  <c r="L491" s="1"/>
  <c r="H491"/>
  <c r="G492"/>
  <c r="K492" s="1"/>
  <c r="L492" s="1"/>
  <c r="H492"/>
  <c r="G493"/>
  <c r="K493" s="1"/>
  <c r="L493" s="1"/>
  <c r="H493"/>
  <c r="G494"/>
  <c r="K494" s="1"/>
  <c r="L494" s="1"/>
  <c r="H494"/>
  <c r="G495"/>
  <c r="K495" s="1"/>
  <c r="L495" s="1"/>
  <c r="H495"/>
  <c r="G496"/>
  <c r="K496" s="1"/>
  <c r="L496" s="1"/>
  <c r="H496"/>
  <c r="G497"/>
  <c r="K497" s="1"/>
  <c r="L497" s="1"/>
  <c r="H497"/>
  <c r="G498"/>
  <c r="K498" s="1"/>
  <c r="L498" s="1"/>
  <c r="H498"/>
  <c r="G499"/>
  <c r="K499" s="1"/>
  <c r="L499" s="1"/>
  <c r="H499"/>
  <c r="G500"/>
  <c r="K500" s="1"/>
  <c r="L500" s="1"/>
  <c r="H500"/>
  <c r="G501"/>
  <c r="K501" s="1"/>
  <c r="L501" s="1"/>
  <c r="H501"/>
  <c r="G502"/>
  <c r="K502" s="1"/>
  <c r="L502" s="1"/>
  <c r="H502"/>
  <c r="G503"/>
  <c r="K503" s="1"/>
  <c r="L503" s="1"/>
  <c r="H503"/>
  <c r="G504"/>
  <c r="K504" s="1"/>
  <c r="L504" s="1"/>
  <c r="H504"/>
  <c r="G505"/>
  <c r="K505" s="1"/>
  <c r="L505" s="1"/>
  <c r="H505"/>
  <c r="G506"/>
  <c r="K506" s="1"/>
  <c r="L506" s="1"/>
  <c r="H506"/>
  <c r="G507"/>
  <c r="K507" s="1"/>
  <c r="L507" s="1"/>
  <c r="H507"/>
  <c r="G508"/>
  <c r="K508" s="1"/>
  <c r="L508" s="1"/>
  <c r="H508"/>
  <c r="G509"/>
  <c r="K509" s="1"/>
  <c r="L509" s="1"/>
  <c r="H509"/>
  <c r="G510"/>
  <c r="K510" s="1"/>
  <c r="L510" s="1"/>
  <c r="H510"/>
  <c r="G511"/>
  <c r="K511" s="1"/>
  <c r="L511" s="1"/>
  <c r="H511"/>
  <c r="G512"/>
  <c r="K512" s="1"/>
  <c r="L512" s="1"/>
  <c r="H512"/>
  <c r="G513"/>
  <c r="K513" s="1"/>
  <c r="L513" s="1"/>
  <c r="H513"/>
  <c r="G514"/>
  <c r="K514" s="1"/>
  <c r="L514" s="1"/>
  <c r="H514"/>
  <c r="G515"/>
  <c r="K515" s="1"/>
  <c r="L515" s="1"/>
  <c r="H515"/>
  <c r="G516"/>
  <c r="K516" s="1"/>
  <c r="L516" s="1"/>
  <c r="H516"/>
  <c r="G517"/>
  <c r="K517" s="1"/>
  <c r="L517" s="1"/>
  <c r="H517"/>
  <c r="G518"/>
  <c r="K518" s="1"/>
  <c r="L518" s="1"/>
  <c r="H518"/>
  <c r="G519"/>
  <c r="K519" s="1"/>
  <c r="L519" s="1"/>
  <c r="H519"/>
  <c r="G520"/>
  <c r="K520" s="1"/>
  <c r="L520" s="1"/>
  <c r="H520"/>
  <c r="G521"/>
  <c r="K521" s="1"/>
  <c r="L521" s="1"/>
  <c r="H521"/>
  <c r="G522"/>
  <c r="K522" s="1"/>
  <c r="L522" s="1"/>
  <c r="H522"/>
  <c r="G523"/>
  <c r="K523" s="1"/>
  <c r="L523" s="1"/>
  <c r="H523"/>
  <c r="G524"/>
  <c r="K524" s="1"/>
  <c r="L524" s="1"/>
  <c r="H524"/>
  <c r="G525"/>
  <c r="K525" s="1"/>
  <c r="L525" s="1"/>
  <c r="H525"/>
  <c r="G526"/>
  <c r="K526" s="1"/>
  <c r="L526" s="1"/>
  <c r="H526"/>
  <c r="G527"/>
  <c r="K527" s="1"/>
  <c r="L527" s="1"/>
  <c r="H527"/>
  <c r="G528"/>
  <c r="K528" s="1"/>
  <c r="L528" s="1"/>
  <c r="H528"/>
  <c r="G529"/>
  <c r="K529" s="1"/>
  <c r="L529" s="1"/>
  <c r="H529"/>
  <c r="G530"/>
  <c r="K530" s="1"/>
  <c r="L530" s="1"/>
  <c r="H530"/>
  <c r="G531"/>
  <c r="K531" s="1"/>
  <c r="L531" s="1"/>
  <c r="H531"/>
  <c r="G532"/>
  <c r="K532" s="1"/>
  <c r="L532" s="1"/>
  <c r="H532"/>
  <c r="G533"/>
  <c r="K533" s="1"/>
  <c r="L533" s="1"/>
  <c r="H533"/>
  <c r="G534"/>
  <c r="K534" s="1"/>
  <c r="L534" s="1"/>
  <c r="H534"/>
  <c r="I534" i="10"/>
  <c r="M534" s="1"/>
  <c r="J534"/>
  <c r="H535"/>
  <c r="I535"/>
  <c r="J535"/>
  <c r="J535" i="3"/>
  <c r="G384" i="17"/>
  <c r="H384"/>
  <c r="I384"/>
  <c r="H92" i="18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7"/>
  <c r="H119"/>
  <c r="H120"/>
  <c r="H121"/>
  <c r="H122"/>
  <c r="H124"/>
  <c r="H127"/>
  <c r="H130"/>
  <c r="H132"/>
  <c r="H133"/>
  <c r="H134"/>
  <c r="H136"/>
  <c r="H137"/>
  <c r="H138"/>
  <c r="H141"/>
  <c r="H143"/>
  <c r="H144"/>
  <c r="H146"/>
  <c r="H149"/>
  <c r="H158"/>
  <c r="H160"/>
  <c r="H161"/>
  <c r="H162"/>
  <c r="H164"/>
  <c r="H165"/>
  <c r="H166"/>
  <c r="H167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7"/>
  <c r="H188"/>
  <c r="H191"/>
  <c r="H192"/>
  <c r="H193"/>
  <c r="H194"/>
  <c r="H195"/>
  <c r="H196"/>
  <c r="H197"/>
  <c r="H198"/>
  <c r="H199"/>
  <c r="H201"/>
  <c r="H202"/>
  <c r="H203"/>
  <c r="H204"/>
  <c r="H205"/>
  <c r="H206"/>
  <c r="H207"/>
  <c r="H209"/>
  <c r="H213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4"/>
  <c r="H235"/>
  <c r="H236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9"/>
  <c r="H270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93" i="14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7"/>
  <c r="H119"/>
  <c r="H120"/>
  <c r="H121"/>
  <c r="H122"/>
  <c r="H124"/>
  <c r="H127"/>
  <c r="H130"/>
  <c r="H132"/>
  <c r="H133"/>
  <c r="H134"/>
  <c r="H136"/>
  <c r="H137"/>
  <c r="H138"/>
  <c r="H141"/>
  <c r="H143"/>
  <c r="H144"/>
  <c r="H158"/>
  <c r="H160"/>
  <c r="H161"/>
  <c r="H162"/>
  <c r="H164"/>
  <c r="H165"/>
  <c r="H166"/>
  <c r="H167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7"/>
  <c r="H188"/>
  <c r="H191"/>
  <c r="H192"/>
  <c r="H193"/>
  <c r="H194"/>
  <c r="H195"/>
  <c r="H196"/>
  <c r="H197"/>
  <c r="H198"/>
  <c r="H199"/>
  <c r="H201"/>
  <c r="H202"/>
  <c r="H203"/>
  <c r="H204"/>
  <c r="H205"/>
  <c r="H206"/>
  <c r="H207"/>
  <c r="H209"/>
  <c r="H213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4"/>
  <c r="H235"/>
  <c r="H236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9"/>
  <c r="H270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K92" i="7"/>
  <c r="L92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K114"/>
  <c r="L114"/>
  <c r="K115"/>
  <c r="L115"/>
  <c r="K116"/>
  <c r="L116"/>
  <c r="K117"/>
  <c r="L117"/>
  <c r="K118"/>
  <c r="L118"/>
  <c r="K119"/>
  <c r="L119"/>
  <c r="K120"/>
  <c r="L120"/>
  <c r="K121"/>
  <c r="L121"/>
  <c r="K122"/>
  <c r="L122"/>
  <c r="K123"/>
  <c r="L123"/>
  <c r="K124"/>
  <c r="L124"/>
  <c r="K125"/>
  <c r="L125"/>
  <c r="K126"/>
  <c r="L126"/>
  <c r="K127"/>
  <c r="L127"/>
  <c r="K128"/>
  <c r="L128"/>
  <c r="K129"/>
  <c r="L129"/>
  <c r="K130"/>
  <c r="L130"/>
  <c r="K131"/>
  <c r="L131"/>
  <c r="K132"/>
  <c r="L132"/>
  <c r="K133"/>
  <c r="L133"/>
  <c r="K134"/>
  <c r="L134"/>
  <c r="K135"/>
  <c r="L135"/>
  <c r="K136"/>
  <c r="L136"/>
  <c r="K137"/>
  <c r="L137"/>
  <c r="K138"/>
  <c r="L138"/>
  <c r="K139"/>
  <c r="L139"/>
  <c r="K140"/>
  <c r="L140"/>
  <c r="K141"/>
  <c r="L141"/>
  <c r="K142"/>
  <c r="L142"/>
  <c r="K143"/>
  <c r="L143"/>
  <c r="K144"/>
  <c r="L144"/>
  <c r="K145"/>
  <c r="L145"/>
  <c r="K146"/>
  <c r="L146"/>
  <c r="K147"/>
  <c r="L147"/>
  <c r="K148"/>
  <c r="L148"/>
  <c r="K149"/>
  <c r="L149"/>
  <c r="K150"/>
  <c r="L150"/>
  <c r="K151"/>
  <c r="L151"/>
  <c r="K152"/>
  <c r="L152"/>
  <c r="K153"/>
  <c r="L153"/>
  <c r="K154"/>
  <c r="L154"/>
  <c r="K155"/>
  <c r="L155"/>
  <c r="K156"/>
  <c r="L156"/>
  <c r="K157"/>
  <c r="L157"/>
  <c r="K158"/>
  <c r="L158"/>
  <c r="K159"/>
  <c r="L159"/>
  <c r="K160"/>
  <c r="L160"/>
  <c r="K161"/>
  <c r="L161"/>
  <c r="K162"/>
  <c r="L162"/>
  <c r="K163"/>
  <c r="L163"/>
  <c r="K164"/>
  <c r="L164"/>
  <c r="K165"/>
  <c r="L165"/>
  <c r="K166"/>
  <c r="L166"/>
  <c r="K167"/>
  <c r="L167"/>
  <c r="K168"/>
  <c r="L168"/>
  <c r="K169"/>
  <c r="L169"/>
  <c r="K170"/>
  <c r="L170"/>
  <c r="K171"/>
  <c r="L171"/>
  <c r="K172"/>
  <c r="L172"/>
  <c r="K173"/>
  <c r="L173"/>
  <c r="K174"/>
  <c r="L174"/>
  <c r="K175"/>
  <c r="L175"/>
  <c r="K176"/>
  <c r="L176"/>
  <c r="K177"/>
  <c r="L177"/>
  <c r="K178"/>
  <c r="L178"/>
  <c r="K179"/>
  <c r="L179"/>
  <c r="K180"/>
  <c r="L180"/>
  <c r="K181"/>
  <c r="L181"/>
  <c r="K182"/>
  <c r="L182"/>
  <c r="K183"/>
  <c r="L183"/>
  <c r="K184"/>
  <c r="L184"/>
  <c r="K185"/>
  <c r="L185"/>
  <c r="K186"/>
  <c r="L186"/>
  <c r="K187"/>
  <c r="L187"/>
  <c r="K188"/>
  <c r="L188"/>
  <c r="K189"/>
  <c r="L189"/>
  <c r="K190"/>
  <c r="L190"/>
  <c r="K191"/>
  <c r="L191"/>
  <c r="K192"/>
  <c r="L192"/>
  <c r="K193"/>
  <c r="L193"/>
  <c r="K194"/>
  <c r="L194"/>
  <c r="K195"/>
  <c r="L195"/>
  <c r="K196"/>
  <c r="L196"/>
  <c r="K197"/>
  <c r="L197"/>
  <c r="K198"/>
  <c r="L198"/>
  <c r="K199"/>
  <c r="L199"/>
  <c r="K200"/>
  <c r="L200"/>
  <c r="K201"/>
  <c r="L201"/>
  <c r="K202"/>
  <c r="L202"/>
  <c r="K203"/>
  <c r="L203"/>
  <c r="K204"/>
  <c r="L204"/>
  <c r="K205"/>
  <c r="L205"/>
  <c r="K206"/>
  <c r="L206"/>
  <c r="K207"/>
  <c r="L207"/>
  <c r="K208"/>
  <c r="L208"/>
  <c r="K209"/>
  <c r="L209"/>
  <c r="K210"/>
  <c r="L210"/>
  <c r="K211"/>
  <c r="L211"/>
  <c r="K212"/>
  <c r="L212"/>
  <c r="K213"/>
  <c r="L213"/>
  <c r="K214"/>
  <c r="L214"/>
  <c r="K215"/>
  <c r="L215"/>
  <c r="K216"/>
  <c r="L216"/>
  <c r="K217"/>
  <c r="L217"/>
  <c r="K218"/>
  <c r="L218"/>
  <c r="K219"/>
  <c r="L219"/>
  <c r="K220"/>
  <c r="L220"/>
  <c r="K221"/>
  <c r="L221"/>
  <c r="K222"/>
  <c r="L222"/>
  <c r="K223"/>
  <c r="L223"/>
  <c r="K224"/>
  <c r="L224"/>
  <c r="K225"/>
  <c r="L225"/>
  <c r="K226"/>
  <c r="L226"/>
  <c r="K227"/>
  <c r="L227"/>
  <c r="K228"/>
  <c r="L228"/>
  <c r="K229"/>
  <c r="L229"/>
  <c r="K230"/>
  <c r="L230"/>
  <c r="K231"/>
  <c r="L231"/>
  <c r="K232"/>
  <c r="L232"/>
  <c r="K233"/>
  <c r="L233"/>
  <c r="K234"/>
  <c r="L234"/>
  <c r="K235"/>
  <c r="L235"/>
  <c r="K236"/>
  <c r="L236"/>
  <c r="K237"/>
  <c r="L237"/>
  <c r="K238"/>
  <c r="L238"/>
  <c r="K239"/>
  <c r="L239"/>
  <c r="K240"/>
  <c r="L240"/>
  <c r="K241"/>
  <c r="L241"/>
  <c r="K242"/>
  <c r="L242"/>
  <c r="K243"/>
  <c r="L243"/>
  <c r="K244"/>
  <c r="L244"/>
  <c r="K245"/>
  <c r="L245"/>
  <c r="K246"/>
  <c r="L246"/>
  <c r="K247"/>
  <c r="L247"/>
  <c r="K248"/>
  <c r="L248"/>
  <c r="K249"/>
  <c r="L249"/>
  <c r="K250"/>
  <c r="L250"/>
  <c r="K251"/>
  <c r="L251"/>
  <c r="K252"/>
  <c r="L252"/>
  <c r="K253"/>
  <c r="L253"/>
  <c r="K254"/>
  <c r="L254"/>
  <c r="K255"/>
  <c r="L255"/>
  <c r="K256"/>
  <c r="L256"/>
  <c r="K257"/>
  <c r="L257"/>
  <c r="K258"/>
  <c r="L258"/>
  <c r="K259"/>
  <c r="L259"/>
  <c r="K260"/>
  <c r="L260"/>
  <c r="K261"/>
  <c r="L261"/>
  <c r="K262"/>
  <c r="L262"/>
  <c r="K263"/>
  <c r="L263"/>
  <c r="K264"/>
  <c r="L264"/>
  <c r="K265"/>
  <c r="L265"/>
  <c r="K266"/>
  <c r="L266"/>
  <c r="K267"/>
  <c r="L267"/>
  <c r="K268"/>
  <c r="L268"/>
  <c r="K269"/>
  <c r="L269"/>
  <c r="K270"/>
  <c r="L270"/>
  <c r="K271"/>
  <c r="L271"/>
  <c r="K272"/>
  <c r="L272"/>
  <c r="K273"/>
  <c r="L273"/>
  <c r="K274"/>
  <c r="L274"/>
  <c r="K275"/>
  <c r="L275"/>
  <c r="K276"/>
  <c r="L276"/>
  <c r="K277"/>
  <c r="L277"/>
  <c r="K278"/>
  <c r="L278"/>
  <c r="K279"/>
  <c r="L279"/>
  <c r="K280"/>
  <c r="L280"/>
  <c r="K281"/>
  <c r="L281"/>
  <c r="K282"/>
  <c r="L282"/>
  <c r="K283"/>
  <c r="L283"/>
  <c r="K284"/>
  <c r="L284"/>
  <c r="K285"/>
  <c r="L285"/>
  <c r="K286"/>
  <c r="L286"/>
  <c r="K287"/>
  <c r="L287"/>
  <c r="K288"/>
  <c r="L288"/>
  <c r="K289"/>
  <c r="L289"/>
  <c r="K290"/>
  <c r="L290"/>
  <c r="K291"/>
  <c r="L291"/>
  <c r="K292"/>
  <c r="L292"/>
  <c r="K293"/>
  <c r="L293"/>
  <c r="K294"/>
  <c r="L294"/>
  <c r="K295"/>
  <c r="L295"/>
  <c r="K296"/>
  <c r="L296"/>
  <c r="K297"/>
  <c r="L297"/>
  <c r="K298"/>
  <c r="L298"/>
  <c r="K299"/>
  <c r="L299"/>
  <c r="K300"/>
  <c r="L300"/>
  <c r="K301"/>
  <c r="L301"/>
  <c r="K302"/>
  <c r="L302"/>
  <c r="K303"/>
  <c r="L303"/>
  <c r="K304"/>
  <c r="L304"/>
  <c r="K305"/>
  <c r="L305"/>
  <c r="K306"/>
  <c r="L306"/>
  <c r="K307"/>
  <c r="L307"/>
  <c r="K308"/>
  <c r="L308"/>
  <c r="K309"/>
  <c r="L309"/>
  <c r="K310"/>
  <c r="L310"/>
  <c r="K311"/>
  <c r="L311"/>
  <c r="K312"/>
  <c r="L312"/>
  <c r="K313"/>
  <c r="L313"/>
  <c r="K314"/>
  <c r="L314"/>
  <c r="K315"/>
  <c r="L315"/>
  <c r="K316"/>
  <c r="L316"/>
  <c r="K317"/>
  <c r="L317"/>
  <c r="K318"/>
  <c r="L318"/>
  <c r="K319"/>
  <c r="L319"/>
  <c r="K320"/>
  <c r="L320"/>
  <c r="K321"/>
  <c r="L321"/>
  <c r="K322"/>
  <c r="L322"/>
  <c r="K323"/>
  <c r="L323"/>
  <c r="K324"/>
  <c r="L324"/>
  <c r="K325"/>
  <c r="L325"/>
  <c r="K326"/>
  <c r="L326"/>
  <c r="K327"/>
  <c r="L327"/>
  <c r="K328"/>
  <c r="L328"/>
  <c r="K329"/>
  <c r="L329"/>
  <c r="K330"/>
  <c r="L330"/>
  <c r="K331"/>
  <c r="L331"/>
  <c r="K332"/>
  <c r="L332"/>
  <c r="K333"/>
  <c r="L333"/>
  <c r="K334"/>
  <c r="L334"/>
  <c r="K335"/>
  <c r="L335"/>
  <c r="K336"/>
  <c r="L336"/>
  <c r="K337"/>
  <c r="L337"/>
  <c r="K338"/>
  <c r="L338"/>
  <c r="K339"/>
  <c r="L339"/>
  <c r="K340"/>
  <c r="L340"/>
  <c r="K341"/>
  <c r="L341"/>
  <c r="K342"/>
  <c r="L342"/>
  <c r="K343"/>
  <c r="L343"/>
  <c r="K344"/>
  <c r="L344"/>
  <c r="K345"/>
  <c r="L345"/>
  <c r="K346"/>
  <c r="L346"/>
  <c r="K347"/>
  <c r="L347"/>
  <c r="K348"/>
  <c r="L348"/>
  <c r="K349"/>
  <c r="L349"/>
  <c r="K350"/>
  <c r="L350"/>
  <c r="K351"/>
  <c r="L351"/>
  <c r="K352"/>
  <c r="L352"/>
  <c r="K353"/>
  <c r="L353"/>
  <c r="K354"/>
  <c r="L354"/>
  <c r="K355"/>
  <c r="L355"/>
  <c r="K356"/>
  <c r="L356"/>
  <c r="K357"/>
  <c r="L357"/>
  <c r="K358"/>
  <c r="L358"/>
  <c r="K359"/>
  <c r="L359"/>
  <c r="K360"/>
  <c r="L360"/>
  <c r="K361"/>
  <c r="L361"/>
  <c r="K362"/>
  <c r="L362"/>
  <c r="K363"/>
  <c r="L363"/>
  <c r="K364"/>
  <c r="L364"/>
  <c r="K365"/>
  <c r="L365"/>
  <c r="K366"/>
  <c r="L366"/>
  <c r="K367"/>
  <c r="L367"/>
  <c r="K368"/>
  <c r="L368"/>
  <c r="K369"/>
  <c r="L369"/>
  <c r="K370"/>
  <c r="L370"/>
  <c r="K371"/>
  <c r="L371"/>
  <c r="K372"/>
  <c r="L372"/>
  <c r="K373"/>
  <c r="L373"/>
  <c r="K374"/>
  <c r="L374"/>
  <c r="K375"/>
  <c r="L375"/>
  <c r="K376"/>
  <c r="L376"/>
  <c r="K377"/>
  <c r="L377"/>
  <c r="K378"/>
  <c r="L378"/>
  <c r="K379"/>
  <c r="L379"/>
  <c r="K381"/>
  <c r="L381"/>
  <c r="K382"/>
  <c r="L382"/>
  <c r="K383"/>
  <c r="L383"/>
  <c r="H384" i="3"/>
  <c r="I384"/>
  <c r="J384"/>
  <c r="I90" i="12"/>
  <c r="G90"/>
  <c r="H90"/>
  <c r="H90" i="10"/>
  <c r="I90" s="1"/>
  <c r="J90"/>
  <c r="O67" i="5"/>
  <c r="H90" i="3"/>
  <c r="I90"/>
  <c r="J90"/>
  <c r="L90" i="2"/>
  <c r="M90"/>
  <c r="H67" i="3"/>
  <c r="I67"/>
  <c r="J67"/>
  <c r="H67" i="2"/>
  <c r="I67"/>
  <c r="L67"/>
  <c r="M67"/>
  <c r="G67" i="17"/>
  <c r="H67"/>
  <c r="I67"/>
  <c r="G67" i="12"/>
  <c r="H67"/>
  <c r="I67"/>
  <c r="H38" i="14"/>
  <c r="H39"/>
  <c r="H40"/>
  <c r="H47"/>
  <c r="H49"/>
  <c r="H50"/>
  <c r="H51"/>
  <c r="H52"/>
  <c r="C90" i="9"/>
  <c r="D90"/>
  <c r="E90"/>
  <c r="F90"/>
  <c r="G90" s="1"/>
  <c r="H90"/>
  <c r="C1191" i="17"/>
  <c r="C1191" i="12"/>
  <c r="C1191" i="18"/>
  <c r="F1191" s="1"/>
  <c r="G1191" s="1"/>
  <c r="C1191" i="14"/>
  <c r="C1191" i="8"/>
  <c r="C1191" i="11"/>
  <c r="C1191" i="10"/>
  <c r="C1191" i="7"/>
  <c r="C1191" i="9"/>
  <c r="C1191" i="5"/>
  <c r="C1191" i="4"/>
  <c r="F881" i="2"/>
  <c r="O535" i="5"/>
  <c r="K535" i="3"/>
  <c r="C384" i="13"/>
  <c r="D384"/>
  <c r="E384"/>
  <c r="F384"/>
  <c r="G384" s="1"/>
  <c r="F116" i="18"/>
  <c r="F118"/>
  <c r="G118" s="1"/>
  <c r="F123"/>
  <c r="G123" s="1"/>
  <c r="F125"/>
  <c r="G125" s="1"/>
  <c r="F126"/>
  <c r="G126" s="1"/>
  <c r="F128"/>
  <c r="G128" s="1"/>
  <c r="F129"/>
  <c r="G129" s="1"/>
  <c r="F131"/>
  <c r="G131" s="1"/>
  <c r="F135"/>
  <c r="G135" s="1"/>
  <c r="F139"/>
  <c r="G139" s="1"/>
  <c r="F140"/>
  <c r="G140" s="1"/>
  <c r="F142"/>
  <c r="G142" s="1"/>
  <c r="F145"/>
  <c r="G145" s="1"/>
  <c r="F147"/>
  <c r="G147" s="1"/>
  <c r="F148"/>
  <c r="G148" s="1"/>
  <c r="F150"/>
  <c r="G150" s="1"/>
  <c r="F151"/>
  <c r="G151" s="1"/>
  <c r="F152"/>
  <c r="G152" s="1"/>
  <c r="F153"/>
  <c r="G153" s="1"/>
  <c r="F154"/>
  <c r="G154" s="1"/>
  <c r="F155"/>
  <c r="G155" s="1"/>
  <c r="F156"/>
  <c r="G156" s="1"/>
  <c r="F157"/>
  <c r="G157" s="1"/>
  <c r="F159"/>
  <c r="G159" s="1"/>
  <c r="F163"/>
  <c r="G163" s="1"/>
  <c r="F168"/>
  <c r="G168" s="1"/>
  <c r="F186"/>
  <c r="G186" s="1"/>
  <c r="F189"/>
  <c r="G189" s="1"/>
  <c r="F190"/>
  <c r="G190" s="1"/>
  <c r="F200"/>
  <c r="G200" s="1"/>
  <c r="F208"/>
  <c r="G208" s="1"/>
  <c r="F210"/>
  <c r="G210" s="1"/>
  <c r="F211"/>
  <c r="G211" s="1"/>
  <c r="F212"/>
  <c r="G212" s="1"/>
  <c r="F214"/>
  <c r="G214" s="1"/>
  <c r="F233"/>
  <c r="G233" s="1"/>
  <c r="F237"/>
  <c r="G237" s="1"/>
  <c r="F268"/>
  <c r="G268" s="1"/>
  <c r="F271"/>
  <c r="G271" s="1"/>
  <c r="F327"/>
  <c r="G327" s="1"/>
  <c r="F328"/>
  <c r="G328" s="1"/>
  <c r="J384"/>
  <c r="I93" i="14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7"/>
  <c r="I119"/>
  <c r="I120"/>
  <c r="I121"/>
  <c r="I122"/>
  <c r="I124"/>
  <c r="I127"/>
  <c r="I130"/>
  <c r="I132"/>
  <c r="I133"/>
  <c r="I134"/>
  <c r="I136"/>
  <c r="I137"/>
  <c r="I138"/>
  <c r="I141"/>
  <c r="I143"/>
  <c r="I144"/>
  <c r="I158"/>
  <c r="I160"/>
  <c r="I161"/>
  <c r="I162"/>
  <c r="I164"/>
  <c r="I165"/>
  <c r="I166"/>
  <c r="I167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7"/>
  <c r="I188"/>
  <c r="I191"/>
  <c r="I192"/>
  <c r="I193"/>
  <c r="I194"/>
  <c r="I195"/>
  <c r="I196"/>
  <c r="I197"/>
  <c r="I198"/>
  <c r="I199"/>
  <c r="I201"/>
  <c r="I202"/>
  <c r="I203"/>
  <c r="I204"/>
  <c r="I205"/>
  <c r="I206"/>
  <c r="I207"/>
  <c r="I209"/>
  <c r="I213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4"/>
  <c r="I235"/>
  <c r="I236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9"/>
  <c r="I270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J384"/>
  <c r="H380" i="10"/>
  <c r="I380" s="1"/>
  <c r="J380" i="7"/>
  <c r="L380" s="1"/>
  <c r="H380"/>
  <c r="K380" s="1"/>
  <c r="M380" s="1"/>
  <c r="D384" i="2"/>
  <c r="E384"/>
  <c r="G384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92"/>
  <c r="H384" i="5"/>
  <c r="K380"/>
  <c r="L380" s="1"/>
  <c r="K381"/>
  <c r="L381" s="1"/>
  <c r="K382"/>
  <c r="L382" s="1"/>
  <c r="K383"/>
  <c r="L383" s="1"/>
  <c r="G380" i="4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50" i="13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I92" i="18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7"/>
  <c r="I119"/>
  <c r="I120"/>
  <c r="I121"/>
  <c r="I122"/>
  <c r="I124"/>
  <c r="I127"/>
  <c r="I130"/>
  <c r="I132"/>
  <c r="I133"/>
  <c r="I134"/>
  <c r="I136"/>
  <c r="I137"/>
  <c r="I138"/>
  <c r="I141"/>
  <c r="I143"/>
  <c r="I144"/>
  <c r="I146"/>
  <c r="I149"/>
  <c r="I158"/>
  <c r="I160"/>
  <c r="I161"/>
  <c r="I162"/>
  <c r="I164"/>
  <c r="I165"/>
  <c r="I166"/>
  <c r="I167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7"/>
  <c r="I188"/>
  <c r="I191"/>
  <c r="I192"/>
  <c r="I193"/>
  <c r="I194"/>
  <c r="I195"/>
  <c r="I196"/>
  <c r="I197"/>
  <c r="I198"/>
  <c r="I199"/>
  <c r="I201"/>
  <c r="I202"/>
  <c r="I203"/>
  <c r="I204"/>
  <c r="I205"/>
  <c r="I206"/>
  <c r="I207"/>
  <c r="I209"/>
  <c r="I213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4"/>
  <c r="I235"/>
  <c r="I236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9"/>
  <c r="I270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J380" i="12"/>
  <c r="K380" s="1"/>
  <c r="J381"/>
  <c r="K381" s="1"/>
  <c r="L381" s="1"/>
  <c r="J382"/>
  <c r="K382" s="1"/>
  <c r="L382" s="1"/>
  <c r="J383"/>
  <c r="K383" s="1"/>
  <c r="L383" s="1"/>
  <c r="G69" i="2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H70" i="13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69"/>
  <c r="J90" i="14"/>
  <c r="O90" i="7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I70"/>
  <c r="J67" i="11"/>
  <c r="G67" i="4"/>
  <c r="E67"/>
  <c r="K67" i="3"/>
  <c r="L67"/>
  <c r="M67"/>
  <c r="F67"/>
  <c r="N67" i="2"/>
  <c r="P67"/>
  <c r="C67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M876" i="10"/>
  <c r="K876"/>
  <c r="P876" i="7"/>
  <c r="N876"/>
  <c r="M877" i="10"/>
  <c r="K877"/>
  <c r="P877" i="7"/>
  <c r="N877"/>
  <c r="P878"/>
  <c r="N878"/>
  <c r="G879" i="13"/>
  <c r="C879"/>
  <c r="D879"/>
  <c r="E879"/>
  <c r="F879"/>
  <c r="I879"/>
  <c r="F876" i="17"/>
  <c r="F877"/>
  <c r="F878"/>
  <c r="J876" i="12"/>
  <c r="K876" s="1"/>
  <c r="J877"/>
  <c r="K877" s="1"/>
  <c r="J878"/>
  <c r="K878" s="1"/>
  <c r="F876"/>
  <c r="F877"/>
  <c r="F878"/>
  <c r="I875" i="18"/>
  <c r="F877"/>
  <c r="G877" s="1"/>
  <c r="F878"/>
  <c r="G878" s="1"/>
  <c r="F876"/>
  <c r="G876" s="1"/>
  <c r="F877" i="14"/>
  <c r="G877" s="1"/>
  <c r="F878"/>
  <c r="G878" s="1"/>
  <c r="F876"/>
  <c r="G876" s="1"/>
  <c r="F876" i="8"/>
  <c r="G876" s="1"/>
  <c r="F877"/>
  <c r="G877" s="1"/>
  <c r="F878"/>
  <c r="G878" s="1"/>
  <c r="F876" i="11"/>
  <c r="G876" s="1"/>
  <c r="F877"/>
  <c r="G877" s="1"/>
  <c r="F878"/>
  <c r="G878" s="1"/>
  <c r="F876" i="10"/>
  <c r="F877"/>
  <c r="F878"/>
  <c r="O878" s="1"/>
  <c r="F876" i="7"/>
  <c r="F877"/>
  <c r="F878"/>
  <c r="F876" i="9"/>
  <c r="G876" s="1"/>
  <c r="F877"/>
  <c r="G877" s="1"/>
  <c r="F878"/>
  <c r="G878" s="1"/>
  <c r="K876" i="5"/>
  <c r="L876" s="1"/>
  <c r="K877"/>
  <c r="L877" s="1"/>
  <c r="K878"/>
  <c r="L878" s="1"/>
  <c r="F876"/>
  <c r="F877"/>
  <c r="F878"/>
  <c r="F876" i="4"/>
  <c r="I876" s="1"/>
  <c r="F876" i="22" s="1"/>
  <c r="F877" i="4"/>
  <c r="I877" s="1"/>
  <c r="F877" i="22" s="1"/>
  <c r="F878" i="4"/>
  <c r="I878" s="1"/>
  <c r="F878" i="22" s="1"/>
  <c r="K876" i="2"/>
  <c r="G876"/>
  <c r="G877"/>
  <c r="G878"/>
  <c r="F665" i="17"/>
  <c r="F623"/>
  <c r="F624" i="12"/>
  <c r="Q624" s="1"/>
  <c r="F623"/>
  <c r="Q623" s="1"/>
  <c r="F537" i="14"/>
  <c r="F537" i="18"/>
  <c r="F537" i="12"/>
  <c r="F537" i="17"/>
  <c r="F537" i="9"/>
  <c r="G537" s="1"/>
  <c r="K537" i="5"/>
  <c r="L537" s="1"/>
  <c r="F537"/>
  <c r="F537" i="10"/>
  <c r="F537" i="11"/>
  <c r="G537" s="1"/>
  <c r="F537" i="8"/>
  <c r="G537" s="1"/>
  <c r="F537" i="7"/>
  <c r="F537" i="4"/>
  <c r="I537"/>
  <c r="F537" i="22" s="1"/>
  <c r="F537" i="3"/>
  <c r="F538" i="14"/>
  <c r="G538" s="1"/>
  <c r="F538" i="18"/>
  <c r="G538" s="1"/>
  <c r="F538" i="12"/>
  <c r="Q538" s="1"/>
  <c r="F538" i="17"/>
  <c r="F538" i="9"/>
  <c r="G538" s="1"/>
  <c r="K538" i="5"/>
  <c r="L538" s="1"/>
  <c r="F538"/>
  <c r="F538" i="10"/>
  <c r="F538" i="11"/>
  <c r="G538" s="1"/>
  <c r="F538" i="8"/>
  <c r="G538" s="1"/>
  <c r="F538" i="7"/>
  <c r="F538" i="4"/>
  <c r="I538"/>
  <c r="F538" i="22" s="1"/>
  <c r="F538" i="3"/>
  <c r="F539" i="14"/>
  <c r="G539" s="1"/>
  <c r="F539" i="18"/>
  <c r="G539" s="1"/>
  <c r="F539" i="12"/>
  <c r="Q539" s="1"/>
  <c r="F539" i="17"/>
  <c r="F539" i="9"/>
  <c r="G539" s="1"/>
  <c r="K539" i="5"/>
  <c r="L539" s="1"/>
  <c r="F539"/>
  <c r="F539" i="10"/>
  <c r="F539" i="11"/>
  <c r="G539" s="1"/>
  <c r="F539" i="8"/>
  <c r="G539" s="1"/>
  <c r="F539" i="7"/>
  <c r="F539" i="4"/>
  <c r="I539"/>
  <c r="F539" i="22" s="1"/>
  <c r="F539" i="3"/>
  <c r="F540" i="14"/>
  <c r="G540" s="1"/>
  <c r="F540" i="18"/>
  <c r="G540" s="1"/>
  <c r="F540" i="12"/>
  <c r="Q540" s="1"/>
  <c r="F540" i="17"/>
  <c r="F540" i="9"/>
  <c r="G540" s="1"/>
  <c r="K540" i="5"/>
  <c r="L540" s="1"/>
  <c r="F540"/>
  <c r="F540" i="10"/>
  <c r="F540" i="11"/>
  <c r="G540" s="1"/>
  <c r="F540" i="8"/>
  <c r="G540" s="1"/>
  <c r="F540" i="7"/>
  <c r="F540" i="4"/>
  <c r="I540"/>
  <c r="F540" i="22" s="1"/>
  <c r="F540" i="3"/>
  <c r="F541" i="18"/>
  <c r="G541" s="1"/>
  <c r="F541" i="12"/>
  <c r="Q541" s="1"/>
  <c r="F541" i="17"/>
  <c r="F541" i="9"/>
  <c r="G541" s="1"/>
  <c r="K541" i="5"/>
  <c r="L541" s="1"/>
  <c r="F541"/>
  <c r="F541" i="10"/>
  <c r="F541" i="11"/>
  <c r="G541" s="1"/>
  <c r="F541" i="8"/>
  <c r="G541" s="1"/>
  <c r="F541" i="7"/>
  <c r="F541" i="4"/>
  <c r="I541"/>
  <c r="F541" i="22" s="1"/>
  <c r="F541" i="3"/>
  <c r="F542" i="14"/>
  <c r="G542" s="1"/>
  <c r="F542" i="18"/>
  <c r="G542" s="1"/>
  <c r="F542" i="12"/>
  <c r="Q542" s="1"/>
  <c r="F542" i="17"/>
  <c r="F542" i="9"/>
  <c r="G542" s="1"/>
  <c r="K542" i="5"/>
  <c r="L542" s="1"/>
  <c r="F542"/>
  <c r="F542" i="10"/>
  <c r="F542" i="11"/>
  <c r="G542" s="1"/>
  <c r="F542" i="8"/>
  <c r="G542" s="1"/>
  <c r="F542" i="7"/>
  <c r="F542" i="4"/>
  <c r="I542"/>
  <c r="F542" i="22" s="1"/>
  <c r="F542" i="3"/>
  <c r="F543" i="14"/>
  <c r="G543" s="1"/>
  <c r="F543" i="18"/>
  <c r="G543" s="1"/>
  <c r="F543" i="12"/>
  <c r="Q543" s="1"/>
  <c r="F543" i="17"/>
  <c r="F543" i="9"/>
  <c r="G543" s="1"/>
  <c r="K543" i="5"/>
  <c r="L543" s="1"/>
  <c r="F543"/>
  <c r="F543" i="10"/>
  <c r="F543" i="11"/>
  <c r="G543" s="1"/>
  <c r="F543" i="8"/>
  <c r="G543" s="1"/>
  <c r="F543" i="7"/>
  <c r="F543" i="4"/>
  <c r="I543"/>
  <c r="F543" i="22" s="1"/>
  <c r="F543" i="3"/>
  <c r="F544" i="14"/>
  <c r="G544" s="1"/>
  <c r="F544" i="18"/>
  <c r="G544" s="1"/>
  <c r="F544" i="12"/>
  <c r="Q544" s="1"/>
  <c r="F544" i="17"/>
  <c r="F544" i="9"/>
  <c r="G544" s="1"/>
  <c r="K544" i="5"/>
  <c r="L544" s="1"/>
  <c r="F544"/>
  <c r="F544" i="10"/>
  <c r="F544" i="11"/>
  <c r="G544" s="1"/>
  <c r="F544" i="8"/>
  <c r="G544" s="1"/>
  <c r="F544" i="7"/>
  <c r="F544" i="4"/>
  <c r="I544"/>
  <c r="F544" i="22" s="1"/>
  <c r="F544" i="3"/>
  <c r="F545" i="14"/>
  <c r="G545" s="1"/>
  <c r="F545" i="18"/>
  <c r="G545" s="1"/>
  <c r="F545" i="12"/>
  <c r="Q545" s="1"/>
  <c r="F545" i="17"/>
  <c r="F545" i="9"/>
  <c r="G545" s="1"/>
  <c r="K545" i="5"/>
  <c r="L545" s="1"/>
  <c r="F545"/>
  <c r="F545" i="10"/>
  <c r="F545" i="11"/>
  <c r="G545" s="1"/>
  <c r="F545" i="8"/>
  <c r="G545" s="1"/>
  <c r="F545" i="7"/>
  <c r="F545" i="4"/>
  <c r="I545"/>
  <c r="F545" i="22" s="1"/>
  <c r="F545" i="3"/>
  <c r="F546" i="14"/>
  <c r="G546" s="1"/>
  <c r="F546" i="18"/>
  <c r="G546" s="1"/>
  <c r="F546" i="12"/>
  <c r="Q546" s="1"/>
  <c r="F546" i="17"/>
  <c r="F546" i="9"/>
  <c r="G546" s="1"/>
  <c r="K546" i="5"/>
  <c r="L546" s="1"/>
  <c r="F546"/>
  <c r="F546" i="10"/>
  <c r="F546" i="11"/>
  <c r="G546" s="1"/>
  <c r="F546" i="8"/>
  <c r="G546" s="1"/>
  <c r="F546" i="7"/>
  <c r="F546" i="4"/>
  <c r="I546"/>
  <c r="F546" i="22" s="1"/>
  <c r="F546" i="3"/>
  <c r="F547" i="14"/>
  <c r="G547" s="1"/>
  <c r="F547" i="18"/>
  <c r="G547" s="1"/>
  <c r="F547" i="12"/>
  <c r="Q547" s="1"/>
  <c r="F547" i="17"/>
  <c r="F547" i="9"/>
  <c r="G547" s="1"/>
  <c r="K547" i="5"/>
  <c r="L547" s="1"/>
  <c r="F547"/>
  <c r="F547" i="10"/>
  <c r="F547" i="11"/>
  <c r="G547" s="1"/>
  <c r="F547" i="8"/>
  <c r="G547" s="1"/>
  <c r="F547" i="7"/>
  <c r="F547" i="4"/>
  <c r="I547"/>
  <c r="F547" i="22" s="1"/>
  <c r="F547" i="3"/>
  <c r="F548" i="14"/>
  <c r="G548" s="1"/>
  <c r="F548" i="18"/>
  <c r="G548" s="1"/>
  <c r="F548" i="12"/>
  <c r="Q548" s="1"/>
  <c r="F548" i="17"/>
  <c r="F548" i="9"/>
  <c r="G548" s="1"/>
  <c r="K548" i="5"/>
  <c r="L548" s="1"/>
  <c r="F548"/>
  <c r="F548" i="10"/>
  <c r="F548" i="11"/>
  <c r="G548" s="1"/>
  <c r="F548" i="8"/>
  <c r="G548" s="1"/>
  <c r="F548" i="7"/>
  <c r="F548" i="4"/>
  <c r="I548"/>
  <c r="F548" i="22" s="1"/>
  <c r="F548" i="3"/>
  <c r="F549" i="14"/>
  <c r="G549" s="1"/>
  <c r="F549" i="18"/>
  <c r="G549" s="1"/>
  <c r="F549" i="12"/>
  <c r="Q549" s="1"/>
  <c r="F549" i="17"/>
  <c r="F549" i="9"/>
  <c r="G549" s="1"/>
  <c r="K549" i="5"/>
  <c r="L549" s="1"/>
  <c r="F549"/>
  <c r="F549" i="10"/>
  <c r="F549" i="11"/>
  <c r="G549" s="1"/>
  <c r="F549" i="8"/>
  <c r="G549" s="1"/>
  <c r="F549" i="7"/>
  <c r="F549" i="4"/>
  <c r="I549"/>
  <c r="F549" i="22" s="1"/>
  <c r="F549" i="3"/>
  <c r="F550" i="14"/>
  <c r="G550" s="1"/>
  <c r="F550" i="18"/>
  <c r="G550" s="1"/>
  <c r="F550" i="12"/>
  <c r="Q550" s="1"/>
  <c r="F550" i="17"/>
  <c r="F550" i="9"/>
  <c r="G550" s="1"/>
  <c r="K550" i="5"/>
  <c r="L550" s="1"/>
  <c r="F550"/>
  <c r="F550" i="10"/>
  <c r="F550" i="11"/>
  <c r="G550" s="1"/>
  <c r="F550" i="8"/>
  <c r="G550" s="1"/>
  <c r="F550" i="7"/>
  <c r="F550" i="4"/>
  <c r="I550"/>
  <c r="F550" i="22" s="1"/>
  <c r="F550" i="3"/>
  <c r="F551" i="14"/>
  <c r="G551" s="1"/>
  <c r="F551" i="18"/>
  <c r="G551" s="1"/>
  <c r="F551" i="12"/>
  <c r="Q551" s="1"/>
  <c r="F551" i="17"/>
  <c r="F551" i="9"/>
  <c r="G551" s="1"/>
  <c r="K551" i="5"/>
  <c r="L551" s="1"/>
  <c r="F551"/>
  <c r="F551" i="10"/>
  <c r="F551" i="11"/>
  <c r="G551" s="1"/>
  <c r="F551" i="8"/>
  <c r="G551" s="1"/>
  <c r="F551" i="7"/>
  <c r="F551" i="4"/>
  <c r="I551"/>
  <c r="F551" i="22" s="1"/>
  <c r="F551" i="3"/>
  <c r="F552" i="14"/>
  <c r="G552" s="1"/>
  <c r="F552" i="18"/>
  <c r="G552" s="1"/>
  <c r="F552" i="12"/>
  <c r="Q552" s="1"/>
  <c r="F552" i="17"/>
  <c r="F552" i="9"/>
  <c r="G552" s="1"/>
  <c r="K552" i="5"/>
  <c r="L552" s="1"/>
  <c r="F552"/>
  <c r="F552" i="10"/>
  <c r="F552" i="11"/>
  <c r="G552" s="1"/>
  <c r="F552" i="8"/>
  <c r="G552" s="1"/>
  <c r="F552" i="7"/>
  <c r="F552" i="4"/>
  <c r="I552"/>
  <c r="F552" i="22" s="1"/>
  <c r="F552" i="3"/>
  <c r="F553" i="12"/>
  <c r="Q553" s="1"/>
  <c r="F553" i="17"/>
  <c r="F553" i="9"/>
  <c r="G553" s="1"/>
  <c r="K553" i="5"/>
  <c r="L553" s="1"/>
  <c r="F553"/>
  <c r="F553" i="10"/>
  <c r="F553" i="11"/>
  <c r="G553" s="1"/>
  <c r="F553" i="8"/>
  <c r="G553" s="1"/>
  <c r="F553" i="7"/>
  <c r="F553" i="4"/>
  <c r="I553"/>
  <c r="F553" i="22" s="1"/>
  <c r="F553" i="3"/>
  <c r="F554" i="12"/>
  <c r="Q554" s="1"/>
  <c r="F554" i="17"/>
  <c r="F554" i="9"/>
  <c r="G554" s="1"/>
  <c r="K554" i="5"/>
  <c r="L554" s="1"/>
  <c r="F554"/>
  <c r="F554" i="10"/>
  <c r="F554" i="11"/>
  <c r="G554" s="1"/>
  <c r="F554" i="8"/>
  <c r="G554" s="1"/>
  <c r="F554" i="7"/>
  <c r="F554" i="4"/>
  <c r="I554"/>
  <c r="F554" i="22" s="1"/>
  <c r="F554" i="3"/>
  <c r="F555" i="12"/>
  <c r="Q555" s="1"/>
  <c r="F555" i="17"/>
  <c r="F555" i="9"/>
  <c r="G555" s="1"/>
  <c r="K555" i="5"/>
  <c r="L555" s="1"/>
  <c r="F555"/>
  <c r="F555" i="10"/>
  <c r="F555" i="11"/>
  <c r="G555" s="1"/>
  <c r="F555" i="8"/>
  <c r="G555" s="1"/>
  <c r="F555" i="7"/>
  <c r="F555" i="4"/>
  <c r="I555"/>
  <c r="F555" i="22" s="1"/>
  <c r="F555" i="3"/>
  <c r="K556" i="5"/>
  <c r="L556" s="1"/>
  <c r="F556"/>
  <c r="F556" i="10"/>
  <c r="F556" i="11"/>
  <c r="G556" s="1"/>
  <c r="F556" i="8"/>
  <c r="G556" s="1"/>
  <c r="F556" i="7"/>
  <c r="F556" i="4"/>
  <c r="I556"/>
  <c r="F556" i="22" s="1"/>
  <c r="F556" i="3"/>
  <c r="F557" i="12"/>
  <c r="Q557" s="1"/>
  <c r="F557" i="17"/>
  <c r="F557" i="9"/>
  <c r="G557" s="1"/>
  <c r="K557" i="5"/>
  <c r="L557" s="1"/>
  <c r="F557"/>
  <c r="F557" i="10"/>
  <c r="F557" i="11"/>
  <c r="G557" s="1"/>
  <c r="F557" i="8"/>
  <c r="G557" s="1"/>
  <c r="F557" i="7"/>
  <c r="F557" i="4"/>
  <c r="I557"/>
  <c r="F557" i="22" s="1"/>
  <c r="F557" i="3"/>
  <c r="F558" i="14"/>
  <c r="G558" s="1"/>
  <c r="F558" i="18"/>
  <c r="G558" s="1"/>
  <c r="F558" i="12"/>
  <c r="Q558" s="1"/>
  <c r="F558" i="17"/>
  <c r="F558" i="9"/>
  <c r="G558" s="1"/>
  <c r="K558" i="5"/>
  <c r="L558" s="1"/>
  <c r="F558"/>
  <c r="F558" i="10"/>
  <c r="F558" i="11"/>
  <c r="G558" s="1"/>
  <c r="F558" i="8"/>
  <c r="G558" s="1"/>
  <c r="F558" i="7"/>
  <c r="F558" i="4"/>
  <c r="I558"/>
  <c r="F558" i="22" s="1"/>
  <c r="F558" i="3"/>
  <c r="F559" i="12"/>
  <c r="Q559" s="1"/>
  <c r="F559" i="17"/>
  <c r="F559" i="9"/>
  <c r="G559" s="1"/>
  <c r="K559" i="5"/>
  <c r="L559" s="1"/>
  <c r="F559"/>
  <c r="F559" i="10"/>
  <c r="F559" i="11"/>
  <c r="G559" s="1"/>
  <c r="F559" i="8"/>
  <c r="G559" s="1"/>
  <c r="F559" i="7"/>
  <c r="F559" i="4"/>
  <c r="I559"/>
  <c r="F559" i="22" s="1"/>
  <c r="F559" i="3"/>
  <c r="F560" i="12"/>
  <c r="Q560" s="1"/>
  <c r="F560" i="17"/>
  <c r="F560" i="9"/>
  <c r="G560" s="1"/>
  <c r="K560" i="5"/>
  <c r="L560" s="1"/>
  <c r="F560"/>
  <c r="F560" i="10"/>
  <c r="F560" i="11"/>
  <c r="G560" s="1"/>
  <c r="F560" i="8"/>
  <c r="G560" s="1"/>
  <c r="F560" i="7"/>
  <c r="F560" i="4"/>
  <c r="I560"/>
  <c r="F560" i="22" s="1"/>
  <c r="F560" i="3"/>
  <c r="F561" i="12"/>
  <c r="Q561" s="1"/>
  <c r="F561" i="17"/>
  <c r="F561" i="9"/>
  <c r="G561" s="1"/>
  <c r="K561" i="5"/>
  <c r="L561" s="1"/>
  <c r="F561"/>
  <c r="F561" i="10"/>
  <c r="F561" i="11"/>
  <c r="G561" s="1"/>
  <c r="F561" i="8"/>
  <c r="G561" s="1"/>
  <c r="F561" i="7"/>
  <c r="F561" i="4"/>
  <c r="I561"/>
  <c r="F561" i="22" s="1"/>
  <c r="F561" i="3"/>
  <c r="F562" i="12"/>
  <c r="Q562" s="1"/>
  <c r="F562" i="17"/>
  <c r="F562" i="9"/>
  <c r="G562" s="1"/>
  <c r="K562" i="5"/>
  <c r="L562" s="1"/>
  <c r="F562"/>
  <c r="F562" i="10"/>
  <c r="F562" i="11"/>
  <c r="G562" s="1"/>
  <c r="F562" i="8"/>
  <c r="G562" s="1"/>
  <c r="F562" i="7"/>
  <c r="F562" i="4"/>
  <c r="I562"/>
  <c r="F562" i="22" s="1"/>
  <c r="F562" i="3"/>
  <c r="F563" i="12"/>
  <c r="Q563" s="1"/>
  <c r="F563" i="17"/>
  <c r="F563" i="9"/>
  <c r="G563" s="1"/>
  <c r="K563" i="5"/>
  <c r="L563" s="1"/>
  <c r="F563"/>
  <c r="F563" i="10"/>
  <c r="F563" i="11"/>
  <c r="G563" s="1"/>
  <c r="F563" i="8"/>
  <c r="G563" s="1"/>
  <c r="F563" i="7"/>
  <c r="F563" i="4"/>
  <c r="I563"/>
  <c r="F563" i="22" s="1"/>
  <c r="F563" i="3"/>
  <c r="K564" i="5"/>
  <c r="L564" s="1"/>
  <c r="F564"/>
  <c r="F564" i="10"/>
  <c r="F564" i="11"/>
  <c r="G564" s="1"/>
  <c r="F564" i="8"/>
  <c r="G564" s="1"/>
  <c r="F564" i="7"/>
  <c r="F564" i="4"/>
  <c r="I564"/>
  <c r="F564" i="22" s="1"/>
  <c r="F564" i="3"/>
  <c r="K565" i="5"/>
  <c r="L565" s="1"/>
  <c r="F565"/>
  <c r="F565" i="10"/>
  <c r="F565" i="11"/>
  <c r="G565" s="1"/>
  <c r="F565" i="8"/>
  <c r="G565" s="1"/>
  <c r="F565" i="7"/>
  <c r="F565" i="4"/>
  <c r="I565"/>
  <c r="F565" i="22" s="1"/>
  <c r="F565" i="3"/>
  <c r="F566" i="12"/>
  <c r="Q566" s="1"/>
  <c r="F566" i="17"/>
  <c r="F566" i="9"/>
  <c r="G566" s="1"/>
  <c r="K566" i="5"/>
  <c r="L566" s="1"/>
  <c r="F566"/>
  <c r="F566" i="10"/>
  <c r="F566" i="11"/>
  <c r="G566" s="1"/>
  <c r="F566" i="8"/>
  <c r="G566" s="1"/>
  <c r="F566" i="7"/>
  <c r="F566" i="4"/>
  <c r="I566"/>
  <c r="F566" i="22" s="1"/>
  <c r="F566" i="3"/>
  <c r="K567" i="5"/>
  <c r="L567" s="1"/>
  <c r="F567"/>
  <c r="F567" i="10"/>
  <c r="F567" i="11"/>
  <c r="G567" s="1"/>
  <c r="F567" i="8"/>
  <c r="G567" s="1"/>
  <c r="F567" i="7"/>
  <c r="F567" i="4"/>
  <c r="I567"/>
  <c r="F567" i="22" s="1"/>
  <c r="F567" i="3"/>
  <c r="K568" i="5"/>
  <c r="L568" s="1"/>
  <c r="F568"/>
  <c r="F568" i="10"/>
  <c r="F568" i="11"/>
  <c r="G568" s="1"/>
  <c r="F568" i="8"/>
  <c r="G568" s="1"/>
  <c r="F568" i="7"/>
  <c r="F568" i="4"/>
  <c r="I568"/>
  <c r="F568" i="22" s="1"/>
  <c r="F568" i="3"/>
  <c r="K569" i="5"/>
  <c r="L569" s="1"/>
  <c r="F569"/>
  <c r="F569" i="10"/>
  <c r="F569" i="11"/>
  <c r="G569" s="1"/>
  <c r="F569" i="8"/>
  <c r="G569" s="1"/>
  <c r="F569" i="7"/>
  <c r="F569" i="4"/>
  <c r="I569"/>
  <c r="F569" i="22" s="1"/>
  <c r="F569" i="3"/>
  <c r="K570" i="5"/>
  <c r="L570" s="1"/>
  <c r="F570"/>
  <c r="F570" i="10"/>
  <c r="F570" i="11"/>
  <c r="G570" s="1"/>
  <c r="F570" i="8"/>
  <c r="G570" s="1"/>
  <c r="F570" i="7"/>
  <c r="F570" i="4"/>
  <c r="I570"/>
  <c r="F570" i="22" s="1"/>
  <c r="F570" i="3"/>
  <c r="K571" i="5"/>
  <c r="L571" s="1"/>
  <c r="F571"/>
  <c r="F571" i="10"/>
  <c r="F571" i="11"/>
  <c r="G571" s="1"/>
  <c r="F571" i="8"/>
  <c r="G571" s="1"/>
  <c r="F571" i="7"/>
  <c r="F571" i="4"/>
  <c r="I571"/>
  <c r="F571" i="22" s="1"/>
  <c r="F571" i="3"/>
  <c r="K572" i="5"/>
  <c r="L572" s="1"/>
  <c r="F572"/>
  <c r="F572" i="10"/>
  <c r="F572" i="11"/>
  <c r="G572" s="1"/>
  <c r="F572" i="8"/>
  <c r="G572" s="1"/>
  <c r="F572" i="7"/>
  <c r="F572" i="4"/>
  <c r="I572"/>
  <c r="F572" i="22" s="1"/>
  <c r="F572" i="3"/>
  <c r="F573" i="12"/>
  <c r="F573" i="17"/>
  <c r="F573" i="9"/>
  <c r="G573" s="1"/>
  <c r="K573" i="5"/>
  <c r="L573" s="1"/>
  <c r="F573"/>
  <c r="F573" i="10"/>
  <c r="F573" i="11"/>
  <c r="G573" s="1"/>
  <c r="F573" i="8"/>
  <c r="G573" s="1"/>
  <c r="F573" i="7"/>
  <c r="F573" i="4"/>
  <c r="I573"/>
  <c r="F573" i="22" s="1"/>
  <c r="F573" i="3"/>
  <c r="F574" i="12"/>
  <c r="Q574" s="1"/>
  <c r="F574" i="17"/>
  <c r="F574" i="9"/>
  <c r="G574" s="1"/>
  <c r="K574" i="5"/>
  <c r="L574" s="1"/>
  <c r="F574"/>
  <c r="F574" i="10"/>
  <c r="F574" i="11"/>
  <c r="G574" s="1"/>
  <c r="F574" i="8"/>
  <c r="G574" s="1"/>
  <c r="F574" i="7"/>
  <c r="F574" i="4"/>
  <c r="I574"/>
  <c r="F574" i="22" s="1"/>
  <c r="F574" i="3"/>
  <c r="F575" i="12"/>
  <c r="Q575" s="1"/>
  <c r="F575" i="17"/>
  <c r="F575" i="9"/>
  <c r="G575" s="1"/>
  <c r="K575" i="5"/>
  <c r="L575" s="1"/>
  <c r="F575"/>
  <c r="F575" i="10"/>
  <c r="F575" i="11"/>
  <c r="G575" s="1"/>
  <c r="F575" i="8"/>
  <c r="G575" s="1"/>
  <c r="F575" i="7"/>
  <c r="F575" i="4"/>
  <c r="I575"/>
  <c r="F575" i="22" s="1"/>
  <c r="F575" i="3"/>
  <c r="F576" i="12"/>
  <c r="Q576" s="1"/>
  <c r="F576" i="17"/>
  <c r="F576" i="9"/>
  <c r="G576" s="1"/>
  <c r="K576" i="5"/>
  <c r="L576" s="1"/>
  <c r="F576"/>
  <c r="F576" i="10"/>
  <c r="F576" i="11"/>
  <c r="G576" s="1"/>
  <c r="F576" i="8"/>
  <c r="G576" s="1"/>
  <c r="F576" i="7"/>
  <c r="F576" i="4"/>
  <c r="I576"/>
  <c r="F576" i="22" s="1"/>
  <c r="F576" i="3"/>
  <c r="F577" i="12"/>
  <c r="Q577" s="1"/>
  <c r="F577" i="17"/>
  <c r="F577" i="9"/>
  <c r="G577" s="1"/>
  <c r="K577" i="5"/>
  <c r="L577" s="1"/>
  <c r="F577"/>
  <c r="F577" i="10"/>
  <c r="F577" i="11"/>
  <c r="G577" s="1"/>
  <c r="F577" i="8"/>
  <c r="G577" s="1"/>
  <c r="F577" i="7"/>
  <c r="F577" i="4"/>
  <c r="I577"/>
  <c r="F577" i="22" s="1"/>
  <c r="F577" i="3"/>
  <c r="F578" i="14"/>
  <c r="G578" s="1"/>
  <c r="F578" i="18"/>
  <c r="G578" s="1"/>
  <c r="F578" i="12"/>
  <c r="Q578" s="1"/>
  <c r="F578" i="17"/>
  <c r="F578" i="9"/>
  <c r="G578" s="1"/>
  <c r="K578" i="5"/>
  <c r="L578" s="1"/>
  <c r="F578"/>
  <c r="F578" i="10"/>
  <c r="F578" i="11"/>
  <c r="G578" s="1"/>
  <c r="F578" i="8"/>
  <c r="G578" s="1"/>
  <c r="F578" i="7"/>
  <c r="F578" i="4"/>
  <c r="I578"/>
  <c r="F578" i="22" s="1"/>
  <c r="F578" i="3"/>
  <c r="F579" i="12"/>
  <c r="Q579" s="1"/>
  <c r="F579" i="17"/>
  <c r="F579" i="9"/>
  <c r="G579" s="1"/>
  <c r="K579" i="5"/>
  <c r="L579" s="1"/>
  <c r="F579"/>
  <c r="F579" i="10"/>
  <c r="F579" i="11"/>
  <c r="G579" s="1"/>
  <c r="F579" i="8"/>
  <c r="G579" s="1"/>
  <c r="F579" i="7"/>
  <c r="F579" i="4"/>
  <c r="I579"/>
  <c r="F579" i="22" s="1"/>
  <c r="F579" i="3"/>
  <c r="F580" i="12"/>
  <c r="Q580" s="1"/>
  <c r="F580" i="17"/>
  <c r="F580" i="9"/>
  <c r="G580" s="1"/>
  <c r="K580" i="5"/>
  <c r="L580" s="1"/>
  <c r="F580"/>
  <c r="F580" i="10"/>
  <c r="F580" i="11"/>
  <c r="G580" s="1"/>
  <c r="F580" i="8"/>
  <c r="G580" s="1"/>
  <c r="F580" i="7"/>
  <c r="F580" i="4"/>
  <c r="I580"/>
  <c r="F580" i="22" s="1"/>
  <c r="F580" i="3"/>
  <c r="K581" i="5"/>
  <c r="L581" s="1"/>
  <c r="F581"/>
  <c r="F581" i="10"/>
  <c r="F581" i="11"/>
  <c r="G581" s="1"/>
  <c r="F581" i="8"/>
  <c r="G581" s="1"/>
  <c r="F581" i="7"/>
  <c r="F581" i="4"/>
  <c r="I581"/>
  <c r="F581" i="22" s="1"/>
  <c r="F581" i="3"/>
  <c r="F582" i="12"/>
  <c r="Q582" s="1"/>
  <c r="F582" i="17"/>
  <c r="F582" i="9"/>
  <c r="G582" s="1"/>
  <c r="K582" i="5"/>
  <c r="L582" s="1"/>
  <c r="F582"/>
  <c r="F582" i="10"/>
  <c r="F582" i="11"/>
  <c r="G582" s="1"/>
  <c r="F582" i="8"/>
  <c r="G582" s="1"/>
  <c r="F582" i="7"/>
  <c r="F582" i="4"/>
  <c r="I582"/>
  <c r="F582" i="22" s="1"/>
  <c r="F582" i="3"/>
  <c r="F583" i="12"/>
  <c r="Q583" s="1"/>
  <c r="F583" i="17"/>
  <c r="F583" i="9"/>
  <c r="G583" s="1"/>
  <c r="K583" i="5"/>
  <c r="L583" s="1"/>
  <c r="F583"/>
  <c r="F583" i="10"/>
  <c r="F583" i="11"/>
  <c r="G583" s="1"/>
  <c r="F583" i="8"/>
  <c r="G583" s="1"/>
  <c r="F583" i="7"/>
  <c r="F583" i="4"/>
  <c r="I583"/>
  <c r="F583" i="22" s="1"/>
  <c r="F583" i="3"/>
  <c r="K584" i="5"/>
  <c r="L584" s="1"/>
  <c r="F584"/>
  <c r="F584" i="10"/>
  <c r="F584" i="11"/>
  <c r="G584" s="1"/>
  <c r="F584" i="8"/>
  <c r="G584" s="1"/>
  <c r="F584" i="7"/>
  <c r="F584" i="4"/>
  <c r="I584"/>
  <c r="F584" i="22" s="1"/>
  <c r="F584" i="3"/>
  <c r="F585" i="12"/>
  <c r="Q585" s="1"/>
  <c r="F585" i="17"/>
  <c r="F585" i="9"/>
  <c r="G585" s="1"/>
  <c r="K585" i="5"/>
  <c r="L585" s="1"/>
  <c r="F585"/>
  <c r="F585" i="10"/>
  <c r="F585" i="11"/>
  <c r="G585" s="1"/>
  <c r="F585" i="8"/>
  <c r="G585" s="1"/>
  <c r="F585" i="7"/>
  <c r="F585" i="4"/>
  <c r="I585"/>
  <c r="F585" i="22" s="1"/>
  <c r="F585" i="3"/>
  <c r="K586" i="5"/>
  <c r="L586" s="1"/>
  <c r="F586"/>
  <c r="F586" i="10"/>
  <c r="F586" i="11"/>
  <c r="G586" s="1"/>
  <c r="F586" i="8"/>
  <c r="G586" s="1"/>
  <c r="F586" i="7"/>
  <c r="F586" i="4"/>
  <c r="I586"/>
  <c r="F586" i="22" s="1"/>
  <c r="F586" i="3"/>
  <c r="F587" i="12"/>
  <c r="Q587" s="1"/>
  <c r="F587" i="17"/>
  <c r="F587" i="9"/>
  <c r="G587" s="1"/>
  <c r="K587" i="5"/>
  <c r="L587" s="1"/>
  <c r="F587"/>
  <c r="F587" i="10"/>
  <c r="F587" i="11"/>
  <c r="G587" s="1"/>
  <c r="F587" i="8"/>
  <c r="G587" s="1"/>
  <c r="F587" i="7"/>
  <c r="F587" i="4"/>
  <c r="I587"/>
  <c r="F587" i="22" s="1"/>
  <c r="F587" i="3"/>
  <c r="F588" i="12"/>
  <c r="Q588" s="1"/>
  <c r="F588" i="17"/>
  <c r="F588" i="9"/>
  <c r="G588" s="1"/>
  <c r="K588" i="5"/>
  <c r="L588" s="1"/>
  <c r="F588"/>
  <c r="F588" i="10"/>
  <c r="F588" i="11"/>
  <c r="G588" s="1"/>
  <c r="F588" i="8"/>
  <c r="G588" s="1"/>
  <c r="F588" i="7"/>
  <c r="F588" i="4"/>
  <c r="I588"/>
  <c r="F588" i="22" s="1"/>
  <c r="F588" i="3"/>
  <c r="F589" i="12"/>
  <c r="Q589" s="1"/>
  <c r="F589" i="17"/>
  <c r="F589" i="9"/>
  <c r="G589" s="1"/>
  <c r="K589" i="5"/>
  <c r="L589" s="1"/>
  <c r="F589"/>
  <c r="F589" i="10"/>
  <c r="F589" i="11"/>
  <c r="G589" s="1"/>
  <c r="F589" i="8"/>
  <c r="G589" s="1"/>
  <c r="F589" i="7"/>
  <c r="F589" i="4"/>
  <c r="I589"/>
  <c r="F589" i="22" s="1"/>
  <c r="F589" i="3"/>
  <c r="F590" i="12"/>
  <c r="Q590" s="1"/>
  <c r="F590" i="17"/>
  <c r="F590" i="9"/>
  <c r="G590" s="1"/>
  <c r="K590" i="5"/>
  <c r="L590" s="1"/>
  <c r="F590"/>
  <c r="F590" i="10"/>
  <c r="F590" i="11"/>
  <c r="G590" s="1"/>
  <c r="F590" i="8"/>
  <c r="G590" s="1"/>
  <c r="F590" i="7"/>
  <c r="F590" i="4"/>
  <c r="I590"/>
  <c r="F590" i="22" s="1"/>
  <c r="F590" i="3"/>
  <c r="K591" i="5"/>
  <c r="L591" s="1"/>
  <c r="F591"/>
  <c r="F591" i="10"/>
  <c r="F591" i="11"/>
  <c r="G591" s="1"/>
  <c r="F591" i="8"/>
  <c r="G591" s="1"/>
  <c r="F591" i="7"/>
  <c r="F591" i="4"/>
  <c r="I591"/>
  <c r="F591" i="22" s="1"/>
  <c r="F591" i="3"/>
  <c r="F592" i="12"/>
  <c r="Q592" s="1"/>
  <c r="F592" i="17"/>
  <c r="F592" i="9"/>
  <c r="G592" s="1"/>
  <c r="K592" i="5"/>
  <c r="L592" s="1"/>
  <c r="F592"/>
  <c r="F592" i="10"/>
  <c r="F592" i="11"/>
  <c r="G592" s="1"/>
  <c r="F592" i="8"/>
  <c r="G592" s="1"/>
  <c r="F592" i="7"/>
  <c r="F592" i="4"/>
  <c r="I592"/>
  <c r="F592" i="22" s="1"/>
  <c r="F592" i="3"/>
  <c r="F593" i="12"/>
  <c r="Q593" s="1"/>
  <c r="F593" i="17"/>
  <c r="F593" i="9"/>
  <c r="G593" s="1"/>
  <c r="K593" i="5"/>
  <c r="L593" s="1"/>
  <c r="F593"/>
  <c r="F593" i="10"/>
  <c r="F593" i="11"/>
  <c r="G593" s="1"/>
  <c r="F593" i="8"/>
  <c r="G593" s="1"/>
  <c r="F593" i="7"/>
  <c r="F593" i="4"/>
  <c r="I593"/>
  <c r="F593" i="22" s="1"/>
  <c r="F593" i="3"/>
  <c r="F594" i="12"/>
  <c r="Q594" s="1"/>
  <c r="F594" i="17"/>
  <c r="F594" i="9"/>
  <c r="G594" s="1"/>
  <c r="K594" i="5"/>
  <c r="L594" s="1"/>
  <c r="F594"/>
  <c r="F594" i="10"/>
  <c r="F594" i="11"/>
  <c r="G594" s="1"/>
  <c r="F594" i="8"/>
  <c r="G594" s="1"/>
  <c r="F594" i="7"/>
  <c r="F594" i="4"/>
  <c r="I594"/>
  <c r="F594" i="22" s="1"/>
  <c r="F594" i="3"/>
  <c r="F595" i="12"/>
  <c r="Q595" s="1"/>
  <c r="F595" i="17"/>
  <c r="F595" i="9"/>
  <c r="G595" s="1"/>
  <c r="K595" i="5"/>
  <c r="L595" s="1"/>
  <c r="F595"/>
  <c r="F595" i="10"/>
  <c r="F595" i="11"/>
  <c r="G595" s="1"/>
  <c r="F595" i="8"/>
  <c r="G595" s="1"/>
  <c r="F595" i="7"/>
  <c r="F595" i="4"/>
  <c r="I595"/>
  <c r="F595" i="22" s="1"/>
  <c r="F595" i="3"/>
  <c r="F596" i="12"/>
  <c r="Q596" s="1"/>
  <c r="F596" i="17"/>
  <c r="F596" i="9"/>
  <c r="G596" s="1"/>
  <c r="K596" i="5"/>
  <c r="L596" s="1"/>
  <c r="F596"/>
  <c r="F596" i="10"/>
  <c r="F596" i="11"/>
  <c r="G596" s="1"/>
  <c r="F596" i="8"/>
  <c r="G596" s="1"/>
  <c r="F596" i="7"/>
  <c r="F596" i="4"/>
  <c r="I596"/>
  <c r="F596" i="22" s="1"/>
  <c r="F596" i="3"/>
  <c r="F597" i="12"/>
  <c r="Q597" s="1"/>
  <c r="F597" i="17"/>
  <c r="F597" i="9"/>
  <c r="G597" s="1"/>
  <c r="K597" i="5"/>
  <c r="L597" s="1"/>
  <c r="F597"/>
  <c r="F597" i="10"/>
  <c r="F597" i="11"/>
  <c r="G597" s="1"/>
  <c r="F597" i="8"/>
  <c r="G597" s="1"/>
  <c r="F597" i="7"/>
  <c r="F597" i="4"/>
  <c r="I597"/>
  <c r="F597" i="22" s="1"/>
  <c r="F597" i="3"/>
  <c r="F598" i="12"/>
  <c r="Q598" s="1"/>
  <c r="F598" i="17"/>
  <c r="F598" i="9"/>
  <c r="G598" s="1"/>
  <c r="K598" i="5"/>
  <c r="L598" s="1"/>
  <c r="F598"/>
  <c r="F598" i="10"/>
  <c r="F598" i="11"/>
  <c r="G598" s="1"/>
  <c r="F598" i="8"/>
  <c r="G598" s="1"/>
  <c r="F598" i="7"/>
  <c r="F598" i="4"/>
  <c r="I598"/>
  <c r="F598" i="22" s="1"/>
  <c r="F598" i="3"/>
  <c r="F599" i="12"/>
  <c r="Q599" s="1"/>
  <c r="F599" i="17"/>
  <c r="F599" i="9"/>
  <c r="G599" s="1"/>
  <c r="K599" i="5"/>
  <c r="L599" s="1"/>
  <c r="F599"/>
  <c r="F599" i="10"/>
  <c r="F599" i="11"/>
  <c r="G599" s="1"/>
  <c r="F599" i="8"/>
  <c r="G599" s="1"/>
  <c r="F599" i="7"/>
  <c r="F599" i="4"/>
  <c r="I599"/>
  <c r="F599" i="22" s="1"/>
  <c r="F599" i="3"/>
  <c r="F600" i="12"/>
  <c r="Q600" s="1"/>
  <c r="F600" i="17"/>
  <c r="F600" i="9"/>
  <c r="G600" s="1"/>
  <c r="K600" i="5"/>
  <c r="L600" s="1"/>
  <c r="F600"/>
  <c r="F600" i="10"/>
  <c r="F600" i="11"/>
  <c r="G600" s="1"/>
  <c r="F600" i="8"/>
  <c r="G600" s="1"/>
  <c r="F600" i="7"/>
  <c r="F600" i="4"/>
  <c r="I600"/>
  <c r="F600" i="22" s="1"/>
  <c r="F600" i="3"/>
  <c r="F601" i="12"/>
  <c r="Q601" s="1"/>
  <c r="F601" i="17"/>
  <c r="F601" i="9"/>
  <c r="G601" s="1"/>
  <c r="K601" i="5"/>
  <c r="L601" s="1"/>
  <c r="F601"/>
  <c r="F601" i="10"/>
  <c r="F601" i="11"/>
  <c r="G601" s="1"/>
  <c r="F601" i="8"/>
  <c r="G601" s="1"/>
  <c r="F601" i="7"/>
  <c r="F601" i="4"/>
  <c r="I601"/>
  <c r="F601" i="22" s="1"/>
  <c r="F601" i="3"/>
  <c r="F602" i="12"/>
  <c r="Q602" s="1"/>
  <c r="F602" i="17"/>
  <c r="F602" i="9"/>
  <c r="G602" s="1"/>
  <c r="K602" i="5"/>
  <c r="L602" s="1"/>
  <c r="F602"/>
  <c r="F602" i="10"/>
  <c r="F602" i="11"/>
  <c r="G602" s="1"/>
  <c r="F602" i="8"/>
  <c r="G602" s="1"/>
  <c r="F602" i="7"/>
  <c r="F602" i="4"/>
  <c r="I602"/>
  <c r="F602" i="22" s="1"/>
  <c r="F602" i="3"/>
  <c r="F603" i="12"/>
  <c r="Q603" s="1"/>
  <c r="F603" i="17"/>
  <c r="F603" i="9"/>
  <c r="G603" s="1"/>
  <c r="K603" i="5"/>
  <c r="L603" s="1"/>
  <c r="F603"/>
  <c r="F603" i="10"/>
  <c r="F603" i="11"/>
  <c r="G603" s="1"/>
  <c r="F603" i="8"/>
  <c r="G603" s="1"/>
  <c r="F603" i="7"/>
  <c r="F603" i="4"/>
  <c r="I603"/>
  <c r="F603" i="22" s="1"/>
  <c r="F603" i="3"/>
  <c r="F604" i="12"/>
  <c r="Q604" s="1"/>
  <c r="F604" i="17"/>
  <c r="F604" i="9"/>
  <c r="G604" s="1"/>
  <c r="K604" i="5"/>
  <c r="L604" s="1"/>
  <c r="F604"/>
  <c r="F604" i="10"/>
  <c r="F604" i="11"/>
  <c r="G604" s="1"/>
  <c r="F604" i="8"/>
  <c r="G604" s="1"/>
  <c r="F604" i="7"/>
  <c r="F604" i="4"/>
  <c r="I604"/>
  <c r="F604" i="22" s="1"/>
  <c r="F604" i="3"/>
  <c r="F605" i="12"/>
  <c r="Q605" s="1"/>
  <c r="F605" i="17"/>
  <c r="F605" i="9"/>
  <c r="G605" s="1"/>
  <c r="K605" i="5"/>
  <c r="L605" s="1"/>
  <c r="F605"/>
  <c r="F605" i="10"/>
  <c r="F605" i="11"/>
  <c r="G605" s="1"/>
  <c r="F605" i="8"/>
  <c r="G605" s="1"/>
  <c r="F605" i="7"/>
  <c r="F605" i="4"/>
  <c r="I605"/>
  <c r="F605" i="22" s="1"/>
  <c r="F605" i="3"/>
  <c r="F606" i="12"/>
  <c r="Q606" s="1"/>
  <c r="F606" i="17"/>
  <c r="F606" i="9"/>
  <c r="G606" s="1"/>
  <c r="K606" i="5"/>
  <c r="L606" s="1"/>
  <c r="F606"/>
  <c r="F606" i="10"/>
  <c r="F606" i="11"/>
  <c r="G606" s="1"/>
  <c r="F606" i="8"/>
  <c r="G606" s="1"/>
  <c r="F606" i="7"/>
  <c r="F606" i="4"/>
  <c r="I606"/>
  <c r="F606" i="22" s="1"/>
  <c r="F606" i="3"/>
  <c r="F607" i="12"/>
  <c r="Q607" s="1"/>
  <c r="F607" i="17"/>
  <c r="F607" i="9"/>
  <c r="G607" s="1"/>
  <c r="K607" i="5"/>
  <c r="L607" s="1"/>
  <c r="F607"/>
  <c r="F607" i="10"/>
  <c r="F607" i="11"/>
  <c r="G607" s="1"/>
  <c r="F607" i="8"/>
  <c r="G607" s="1"/>
  <c r="F607" i="7"/>
  <c r="F607" i="4"/>
  <c r="I607"/>
  <c r="F607" i="22" s="1"/>
  <c r="F607" i="3"/>
  <c r="F608" i="12"/>
  <c r="Q608" s="1"/>
  <c r="F608" i="17"/>
  <c r="F608" i="9"/>
  <c r="G608" s="1"/>
  <c r="K608" i="5"/>
  <c r="L608" s="1"/>
  <c r="F608"/>
  <c r="F608" i="10"/>
  <c r="F608" i="11"/>
  <c r="G608" s="1"/>
  <c r="F608" i="8"/>
  <c r="G608" s="1"/>
  <c r="F608" i="7"/>
  <c r="F608" i="4"/>
  <c r="I608"/>
  <c r="F608" i="22" s="1"/>
  <c r="F608" i="3"/>
  <c r="F609" i="12"/>
  <c r="Q609" s="1"/>
  <c r="F609" i="17"/>
  <c r="F609" i="9"/>
  <c r="G609" s="1"/>
  <c r="K609" i="5"/>
  <c r="L609" s="1"/>
  <c r="F609"/>
  <c r="F609" i="10"/>
  <c r="F609" i="11"/>
  <c r="G609" s="1"/>
  <c r="F609" i="8"/>
  <c r="G609" s="1"/>
  <c r="F609" i="7"/>
  <c r="F609" i="4"/>
  <c r="I609"/>
  <c r="F609" i="22" s="1"/>
  <c r="F609" i="3"/>
  <c r="F610" i="12"/>
  <c r="Q610" s="1"/>
  <c r="F610" i="17"/>
  <c r="F610" i="9"/>
  <c r="G610" s="1"/>
  <c r="K610" i="5"/>
  <c r="L610" s="1"/>
  <c r="F610"/>
  <c r="F610" i="10"/>
  <c r="F610" i="11"/>
  <c r="G610" s="1"/>
  <c r="F610" i="8"/>
  <c r="G610" s="1"/>
  <c r="F610" i="7"/>
  <c r="F610" i="4"/>
  <c r="I610"/>
  <c r="F610" i="22" s="1"/>
  <c r="F610" i="3"/>
  <c r="F611" i="12"/>
  <c r="Q611" s="1"/>
  <c r="F611" i="17"/>
  <c r="F611" i="9"/>
  <c r="G611" s="1"/>
  <c r="K611" i="5"/>
  <c r="L611" s="1"/>
  <c r="F611"/>
  <c r="F611" i="10"/>
  <c r="F611" i="11"/>
  <c r="G611" s="1"/>
  <c r="F611" i="8"/>
  <c r="G611" s="1"/>
  <c r="F611" i="7"/>
  <c r="F611" i="4"/>
  <c r="I611"/>
  <c r="F611" i="22" s="1"/>
  <c r="F611" i="3"/>
  <c r="F612" i="12"/>
  <c r="Q612" s="1"/>
  <c r="F612" i="17"/>
  <c r="F612" i="9"/>
  <c r="G612" s="1"/>
  <c r="K612" i="5"/>
  <c r="L612" s="1"/>
  <c r="F612"/>
  <c r="F612" i="10"/>
  <c r="F612" i="11"/>
  <c r="G612" s="1"/>
  <c r="F612" i="8"/>
  <c r="G612" s="1"/>
  <c r="F612" i="7"/>
  <c r="F612" i="4"/>
  <c r="I612"/>
  <c r="F612" i="22" s="1"/>
  <c r="F612" i="3"/>
  <c r="F613" i="12"/>
  <c r="Q613" s="1"/>
  <c r="F613" i="17"/>
  <c r="F613" i="9"/>
  <c r="G613" s="1"/>
  <c r="K613" i="5"/>
  <c r="L613" s="1"/>
  <c r="F613"/>
  <c r="F613" i="10"/>
  <c r="F613" i="11"/>
  <c r="G613" s="1"/>
  <c r="F613" i="8"/>
  <c r="G613" s="1"/>
  <c r="F613" i="7"/>
  <c r="F613" i="4"/>
  <c r="I613"/>
  <c r="F613" i="22" s="1"/>
  <c r="F613" i="3"/>
  <c r="F614" i="12"/>
  <c r="Q614" s="1"/>
  <c r="F614" i="17"/>
  <c r="F614" i="9"/>
  <c r="G614" s="1"/>
  <c r="K614" i="5"/>
  <c r="L614" s="1"/>
  <c r="F614"/>
  <c r="F614" i="10"/>
  <c r="F614" i="11"/>
  <c r="G614" s="1"/>
  <c r="F614" i="8"/>
  <c r="G614" s="1"/>
  <c r="F614" i="7"/>
  <c r="F614" i="4"/>
  <c r="I614"/>
  <c r="F614" i="22" s="1"/>
  <c r="F614" i="3"/>
  <c r="F615" i="12"/>
  <c r="Q615" s="1"/>
  <c r="F615" i="17"/>
  <c r="F615" i="9"/>
  <c r="G615" s="1"/>
  <c r="K615" i="5"/>
  <c r="L615" s="1"/>
  <c r="F615"/>
  <c r="F615" i="10"/>
  <c r="F615" i="11"/>
  <c r="G615" s="1"/>
  <c r="F615" i="8"/>
  <c r="G615" s="1"/>
  <c r="F615" i="7"/>
  <c r="F615" i="4"/>
  <c r="I615"/>
  <c r="F615" i="22" s="1"/>
  <c r="F615" i="3"/>
  <c r="F616" i="12"/>
  <c r="Q616" s="1"/>
  <c r="F616" i="17"/>
  <c r="F616" i="9"/>
  <c r="G616" s="1"/>
  <c r="K616" i="5"/>
  <c r="L616" s="1"/>
  <c r="F616"/>
  <c r="F616" i="10"/>
  <c r="F616" i="11"/>
  <c r="G616" s="1"/>
  <c r="F616" i="8"/>
  <c r="G616" s="1"/>
  <c r="F616" i="7"/>
  <c r="F616" i="4"/>
  <c r="I616"/>
  <c r="F616" i="22" s="1"/>
  <c r="F616" i="3"/>
  <c r="F617" i="12"/>
  <c r="Q617" s="1"/>
  <c r="F617" i="17"/>
  <c r="F617" i="9"/>
  <c r="G617" s="1"/>
  <c r="K617" i="5"/>
  <c r="L617" s="1"/>
  <c r="F617"/>
  <c r="F617" i="10"/>
  <c r="F617" i="11"/>
  <c r="G617" s="1"/>
  <c r="F617" i="8"/>
  <c r="G617" s="1"/>
  <c r="F617" i="7"/>
  <c r="F617" i="4"/>
  <c r="I617"/>
  <c r="F617" i="22" s="1"/>
  <c r="F617" i="3"/>
  <c r="F618" i="14"/>
  <c r="G618" s="1"/>
  <c r="F618" i="18"/>
  <c r="G618" s="1"/>
  <c r="F618" i="12"/>
  <c r="Q618" s="1"/>
  <c r="F618" i="17"/>
  <c r="F618" i="9"/>
  <c r="G618" s="1"/>
  <c r="K618" i="5"/>
  <c r="L618" s="1"/>
  <c r="F618"/>
  <c r="F618" i="10"/>
  <c r="F618" i="11"/>
  <c r="G618" s="1"/>
  <c r="F618" i="8"/>
  <c r="G618" s="1"/>
  <c r="F618" i="7"/>
  <c r="F618" i="4"/>
  <c r="I618"/>
  <c r="F618" i="22" s="1"/>
  <c r="F618" i="3"/>
  <c r="F619" i="14"/>
  <c r="G619" s="1"/>
  <c r="F619" i="18"/>
  <c r="G619" s="1"/>
  <c r="F619" i="12"/>
  <c r="Q619" s="1"/>
  <c r="F619" i="17"/>
  <c r="F619" i="9"/>
  <c r="G619" s="1"/>
  <c r="K619" i="5"/>
  <c r="L619" s="1"/>
  <c r="F619"/>
  <c r="F619" i="10"/>
  <c r="F619" i="11"/>
  <c r="G619" s="1"/>
  <c r="F619" i="8"/>
  <c r="G619" s="1"/>
  <c r="F619" i="7"/>
  <c r="F619" i="4"/>
  <c r="I619"/>
  <c r="F619" i="22" s="1"/>
  <c r="F619" i="3"/>
  <c r="F620" i="14"/>
  <c r="G620" s="1"/>
  <c r="F620" i="18"/>
  <c r="G620" s="1"/>
  <c r="F620" i="12"/>
  <c r="Q620" s="1"/>
  <c r="F620" i="17"/>
  <c r="F620" i="9"/>
  <c r="G620" s="1"/>
  <c r="K620" i="5"/>
  <c r="L620" s="1"/>
  <c r="F620"/>
  <c r="F620" i="10"/>
  <c r="F620" i="11"/>
  <c r="G620" s="1"/>
  <c r="F620" i="8"/>
  <c r="G620" s="1"/>
  <c r="F620" i="7"/>
  <c r="F620" i="4"/>
  <c r="I620"/>
  <c r="F620" i="22" s="1"/>
  <c r="F620" i="3"/>
  <c r="F621" i="14"/>
  <c r="G621" s="1"/>
  <c r="F621" i="18"/>
  <c r="G621" s="1"/>
  <c r="F621" i="12"/>
  <c r="Q621" s="1"/>
  <c r="F621" i="17"/>
  <c r="F621" i="9"/>
  <c r="G621" s="1"/>
  <c r="K621" i="5"/>
  <c r="L621" s="1"/>
  <c r="F621"/>
  <c r="F621" i="10"/>
  <c r="F621" i="11"/>
  <c r="G621" s="1"/>
  <c r="F621" i="8"/>
  <c r="G621" s="1"/>
  <c r="F621" i="7"/>
  <c r="F621" i="4"/>
  <c r="I621"/>
  <c r="F621" i="22" s="1"/>
  <c r="F621" i="3"/>
  <c r="F622" i="14"/>
  <c r="G622" s="1"/>
  <c r="F622" i="18"/>
  <c r="G622" s="1"/>
  <c r="F622" i="12"/>
  <c r="Q622" s="1"/>
  <c r="F622" i="17"/>
  <c r="F622" i="9"/>
  <c r="G622" s="1"/>
  <c r="K622" i="5"/>
  <c r="L622" s="1"/>
  <c r="F622"/>
  <c r="F622" i="10"/>
  <c r="F622" i="11"/>
  <c r="G622" s="1"/>
  <c r="F622" i="8"/>
  <c r="G622" s="1"/>
  <c r="F622" i="7"/>
  <c r="F622" i="4"/>
  <c r="I622"/>
  <c r="F622" i="22" s="1"/>
  <c r="F622" i="3"/>
  <c r="F623" i="9"/>
  <c r="G623" s="1"/>
  <c r="K623" i="5"/>
  <c r="L623" s="1"/>
  <c r="F623"/>
  <c r="F623" i="10"/>
  <c r="F623" i="11"/>
  <c r="G623" s="1"/>
  <c r="F623" i="8"/>
  <c r="G623" s="1"/>
  <c r="F623" i="7"/>
  <c r="F623" i="4"/>
  <c r="I623"/>
  <c r="F623" i="22" s="1"/>
  <c r="F623" i="3"/>
  <c r="F624" i="17"/>
  <c r="F624" i="9"/>
  <c r="G624" s="1"/>
  <c r="K624" i="5"/>
  <c r="L624" s="1"/>
  <c r="F624"/>
  <c r="F624" i="10"/>
  <c r="F624" i="11"/>
  <c r="G624" s="1"/>
  <c r="F624" i="8"/>
  <c r="G624" s="1"/>
  <c r="F624" i="7"/>
  <c r="F624" i="4"/>
  <c r="I624"/>
  <c r="F624" i="22" s="1"/>
  <c r="F624" i="3"/>
  <c r="F625" i="12"/>
  <c r="Q625" s="1"/>
  <c r="F625" i="17"/>
  <c r="F625" i="9"/>
  <c r="G625" s="1"/>
  <c r="K625" i="5"/>
  <c r="L625" s="1"/>
  <c r="F625"/>
  <c r="F625" i="10"/>
  <c r="F625" i="11"/>
  <c r="G625" s="1"/>
  <c r="F625" i="8"/>
  <c r="G625" s="1"/>
  <c r="F625" i="7"/>
  <c r="F625" i="4"/>
  <c r="I625"/>
  <c r="F625" i="22" s="1"/>
  <c r="F625" i="3"/>
  <c r="F626" i="12"/>
  <c r="Q626" s="1"/>
  <c r="F626" i="17"/>
  <c r="F626" i="9"/>
  <c r="G626" s="1"/>
  <c r="K626" i="5"/>
  <c r="L626" s="1"/>
  <c r="F626"/>
  <c r="F626" i="10"/>
  <c r="F626" i="11"/>
  <c r="G626" s="1"/>
  <c r="F626" i="8"/>
  <c r="G626" s="1"/>
  <c r="F626" i="7"/>
  <c r="F626" i="4"/>
  <c r="I626"/>
  <c r="F626" i="22" s="1"/>
  <c r="F626" i="3"/>
  <c r="F627" i="12"/>
  <c r="Q627" s="1"/>
  <c r="F627" i="17"/>
  <c r="F627" i="9"/>
  <c r="G627" s="1"/>
  <c r="K627" i="5"/>
  <c r="L627" s="1"/>
  <c r="F627"/>
  <c r="F627" i="10"/>
  <c r="F627" i="11"/>
  <c r="G627" s="1"/>
  <c r="F627" i="8"/>
  <c r="G627" s="1"/>
  <c r="F627" i="7"/>
  <c r="F627" i="4"/>
  <c r="I627"/>
  <c r="F627" i="22" s="1"/>
  <c r="F627" i="3"/>
  <c r="F628" i="12"/>
  <c r="Q628" s="1"/>
  <c r="F628" i="17"/>
  <c r="F628" i="9"/>
  <c r="G628" s="1"/>
  <c r="K628" i="5"/>
  <c r="L628" s="1"/>
  <c r="F628"/>
  <c r="F628" i="10"/>
  <c r="F628" i="11"/>
  <c r="G628" s="1"/>
  <c r="F628" i="8"/>
  <c r="G628" s="1"/>
  <c r="F628" i="7"/>
  <c r="F628" i="4"/>
  <c r="I628"/>
  <c r="F628" i="22" s="1"/>
  <c r="F628" i="3"/>
  <c r="F629" i="12"/>
  <c r="Q629" s="1"/>
  <c r="F629" i="17"/>
  <c r="F629" i="9"/>
  <c r="G629" s="1"/>
  <c r="K629" i="5"/>
  <c r="L629" s="1"/>
  <c r="F629"/>
  <c r="F629" i="10"/>
  <c r="F629" i="11"/>
  <c r="G629" s="1"/>
  <c r="F629" i="8"/>
  <c r="G629" s="1"/>
  <c r="F629" i="7"/>
  <c r="F629" i="4"/>
  <c r="I629"/>
  <c r="F629" i="22" s="1"/>
  <c r="F629" i="3"/>
  <c r="F630" i="12"/>
  <c r="Q630" s="1"/>
  <c r="F630" i="17"/>
  <c r="F630" i="9"/>
  <c r="G630" s="1"/>
  <c r="K630" i="5"/>
  <c r="L630" s="1"/>
  <c r="F630"/>
  <c r="F630" i="10"/>
  <c r="F630" i="11"/>
  <c r="G630" s="1"/>
  <c r="F630" i="8"/>
  <c r="G630" s="1"/>
  <c r="F630" i="7"/>
  <c r="F630" i="4"/>
  <c r="I630"/>
  <c r="F630" i="22" s="1"/>
  <c r="F630" i="3"/>
  <c r="F631" i="12"/>
  <c r="Q631" s="1"/>
  <c r="F631" i="17"/>
  <c r="F631" i="9"/>
  <c r="G631" s="1"/>
  <c r="K631" i="5"/>
  <c r="L631" s="1"/>
  <c r="F631"/>
  <c r="F631" i="10"/>
  <c r="F631" i="11"/>
  <c r="G631" s="1"/>
  <c r="F631" i="8"/>
  <c r="G631" s="1"/>
  <c r="F631" i="7"/>
  <c r="F631" i="4"/>
  <c r="I631"/>
  <c r="F631" i="22" s="1"/>
  <c r="F631" i="3"/>
  <c r="F632" i="12"/>
  <c r="Q632" s="1"/>
  <c r="F632" i="17"/>
  <c r="F632" i="9"/>
  <c r="G632" s="1"/>
  <c r="K632" i="5"/>
  <c r="L632" s="1"/>
  <c r="F632"/>
  <c r="F632" i="10"/>
  <c r="F632" i="11"/>
  <c r="G632" s="1"/>
  <c r="F632" i="8"/>
  <c r="G632" s="1"/>
  <c r="F632" i="7"/>
  <c r="F632" i="4"/>
  <c r="I632"/>
  <c r="F632" i="22" s="1"/>
  <c r="F632" i="3"/>
  <c r="F633" i="12"/>
  <c r="Q633" s="1"/>
  <c r="F633" i="17"/>
  <c r="F633" i="9"/>
  <c r="G633" s="1"/>
  <c r="K633" i="5"/>
  <c r="L633" s="1"/>
  <c r="F633"/>
  <c r="F633" i="10"/>
  <c r="F633" i="11"/>
  <c r="G633" s="1"/>
  <c r="F633" i="8"/>
  <c r="G633" s="1"/>
  <c r="F633" i="7"/>
  <c r="F633" i="4"/>
  <c r="I633"/>
  <c r="F633" i="22" s="1"/>
  <c r="F633" i="3"/>
  <c r="F634" i="12"/>
  <c r="Q634" s="1"/>
  <c r="F634" i="17"/>
  <c r="F634" i="9"/>
  <c r="G634" s="1"/>
  <c r="K634" i="5"/>
  <c r="L634" s="1"/>
  <c r="F634"/>
  <c r="F634" i="10"/>
  <c r="F634" i="11"/>
  <c r="G634" s="1"/>
  <c r="F634" i="8"/>
  <c r="G634" s="1"/>
  <c r="F634" i="7"/>
  <c r="F634" i="4"/>
  <c r="I634"/>
  <c r="F634" i="22" s="1"/>
  <c r="F634" i="3"/>
  <c r="F635" i="12"/>
  <c r="Q635" s="1"/>
  <c r="F635" i="17"/>
  <c r="F635" i="9"/>
  <c r="G635" s="1"/>
  <c r="K635" i="5"/>
  <c r="L635" s="1"/>
  <c r="F635"/>
  <c r="F635" i="10"/>
  <c r="F635" i="11"/>
  <c r="G635" s="1"/>
  <c r="F635" i="8"/>
  <c r="G635" s="1"/>
  <c r="F635" i="7"/>
  <c r="F635" i="4"/>
  <c r="I635"/>
  <c r="F635" i="22" s="1"/>
  <c r="F635" i="3"/>
  <c r="F636" i="12"/>
  <c r="Q636" s="1"/>
  <c r="F636" i="17"/>
  <c r="F636" i="9"/>
  <c r="G636" s="1"/>
  <c r="K636" i="5"/>
  <c r="L636" s="1"/>
  <c r="F636"/>
  <c r="F636" i="10"/>
  <c r="F636" i="11"/>
  <c r="G636" s="1"/>
  <c r="F636" i="8"/>
  <c r="G636" s="1"/>
  <c r="F636" i="7"/>
  <c r="F636" i="4"/>
  <c r="I636"/>
  <c r="F636" i="22" s="1"/>
  <c r="F636" i="3"/>
  <c r="F637" i="12"/>
  <c r="Q637" s="1"/>
  <c r="F637" i="17"/>
  <c r="F637" i="9"/>
  <c r="G637" s="1"/>
  <c r="K637" i="5"/>
  <c r="L637" s="1"/>
  <c r="F637"/>
  <c r="F637" i="10"/>
  <c r="F637" i="11"/>
  <c r="G637" s="1"/>
  <c r="F637" i="8"/>
  <c r="G637" s="1"/>
  <c r="F637" i="7"/>
  <c r="F637" i="4"/>
  <c r="I637"/>
  <c r="F637" i="22" s="1"/>
  <c r="F637" i="3"/>
  <c r="F638" i="12"/>
  <c r="Q638" s="1"/>
  <c r="F638" i="17"/>
  <c r="F638" i="9"/>
  <c r="G638" s="1"/>
  <c r="K638" i="5"/>
  <c r="L638" s="1"/>
  <c r="F638"/>
  <c r="F638" i="10"/>
  <c r="F638" i="11"/>
  <c r="G638" s="1"/>
  <c r="F638" i="8"/>
  <c r="G638" s="1"/>
  <c r="F638" i="7"/>
  <c r="F638" i="4"/>
  <c r="I638"/>
  <c r="F638" i="22" s="1"/>
  <c r="F638" i="3"/>
  <c r="F639" i="12"/>
  <c r="Q639" s="1"/>
  <c r="F639" i="17"/>
  <c r="F639" i="9"/>
  <c r="G639" s="1"/>
  <c r="K639" i="5"/>
  <c r="L639" s="1"/>
  <c r="F639"/>
  <c r="F639" i="10"/>
  <c r="F639" i="11"/>
  <c r="G639" s="1"/>
  <c r="F639" i="8"/>
  <c r="G639" s="1"/>
  <c r="F639" i="7"/>
  <c r="F639" i="4"/>
  <c r="I639"/>
  <c r="F639" i="22" s="1"/>
  <c r="F639" i="3"/>
  <c r="F640" i="12"/>
  <c r="Q640" s="1"/>
  <c r="F640" i="17"/>
  <c r="F640" i="9"/>
  <c r="G640" s="1"/>
  <c r="K640" i="5"/>
  <c r="L640" s="1"/>
  <c r="F640"/>
  <c r="F640" i="10"/>
  <c r="F640" i="11"/>
  <c r="G640" s="1"/>
  <c r="F640" i="8"/>
  <c r="G640" s="1"/>
  <c r="F640" i="7"/>
  <c r="F640" i="4"/>
  <c r="I640"/>
  <c r="F640" i="22" s="1"/>
  <c r="F640" i="3"/>
  <c r="F641" i="12"/>
  <c r="Q641" s="1"/>
  <c r="F641" i="17"/>
  <c r="F641" i="9"/>
  <c r="G641" s="1"/>
  <c r="K641" i="5"/>
  <c r="L641" s="1"/>
  <c r="F641"/>
  <c r="F641" i="10"/>
  <c r="F641" i="11"/>
  <c r="G641" s="1"/>
  <c r="F641" i="8"/>
  <c r="G641" s="1"/>
  <c r="F641" i="7"/>
  <c r="F641" i="4"/>
  <c r="I641"/>
  <c r="F641" i="22" s="1"/>
  <c r="F641" i="3"/>
  <c r="F642" i="12"/>
  <c r="Q642" s="1"/>
  <c r="F642" i="17"/>
  <c r="F642" i="9"/>
  <c r="G642" s="1"/>
  <c r="K642" i="5"/>
  <c r="L642" s="1"/>
  <c r="F642"/>
  <c r="F642" i="10"/>
  <c r="F642" i="11"/>
  <c r="G642" s="1"/>
  <c r="F642" i="8"/>
  <c r="G642" s="1"/>
  <c r="F642" i="7"/>
  <c r="F642" i="4"/>
  <c r="I642"/>
  <c r="F642" i="22" s="1"/>
  <c r="F642" i="3"/>
  <c r="F643" i="12"/>
  <c r="Q643" s="1"/>
  <c r="F643" i="17"/>
  <c r="F643" i="9"/>
  <c r="G643" s="1"/>
  <c r="K643" i="5"/>
  <c r="L643" s="1"/>
  <c r="F643"/>
  <c r="F643" i="10"/>
  <c r="F643" i="11"/>
  <c r="G643" s="1"/>
  <c r="F643" i="8"/>
  <c r="G643" s="1"/>
  <c r="F643" i="7"/>
  <c r="F643" i="4"/>
  <c r="I643"/>
  <c r="F643" i="22" s="1"/>
  <c r="F643" i="3"/>
  <c r="F644" i="12"/>
  <c r="Q644" s="1"/>
  <c r="F644" i="17"/>
  <c r="F644" i="9"/>
  <c r="G644" s="1"/>
  <c r="K644" i="5"/>
  <c r="L644" s="1"/>
  <c r="F644"/>
  <c r="F644" i="10"/>
  <c r="F644" i="11"/>
  <c r="G644" s="1"/>
  <c r="F644" i="8"/>
  <c r="G644" s="1"/>
  <c r="F644" i="7"/>
  <c r="F644" i="4"/>
  <c r="I644"/>
  <c r="F644" i="22" s="1"/>
  <c r="F644" i="3"/>
  <c r="F645" i="12"/>
  <c r="Q645" s="1"/>
  <c r="F645" i="17"/>
  <c r="F645" i="9"/>
  <c r="G645" s="1"/>
  <c r="K645" i="5"/>
  <c r="L645" s="1"/>
  <c r="F645"/>
  <c r="F645" i="10"/>
  <c r="F645" i="11"/>
  <c r="G645" s="1"/>
  <c r="F645" i="8"/>
  <c r="G645" s="1"/>
  <c r="F645" i="7"/>
  <c r="F645" i="4"/>
  <c r="I645"/>
  <c r="F645" i="22" s="1"/>
  <c r="F645" i="3"/>
  <c r="F646" i="12"/>
  <c r="Q646" s="1"/>
  <c r="F646" i="17"/>
  <c r="F646" i="9"/>
  <c r="G646" s="1"/>
  <c r="K646" i="5"/>
  <c r="L646" s="1"/>
  <c r="F646"/>
  <c r="F646" i="10"/>
  <c r="F646" i="11"/>
  <c r="G646" s="1"/>
  <c r="F646" i="8"/>
  <c r="G646" s="1"/>
  <c r="F646" i="7"/>
  <c r="F646" i="4"/>
  <c r="I646"/>
  <c r="F646" i="22" s="1"/>
  <c r="F646" i="3"/>
  <c r="F647" i="12"/>
  <c r="Q647" s="1"/>
  <c r="F647" i="17"/>
  <c r="F647" i="9"/>
  <c r="G647" s="1"/>
  <c r="K647" i="5"/>
  <c r="L647" s="1"/>
  <c r="F647"/>
  <c r="F647" i="10"/>
  <c r="F647" i="11"/>
  <c r="G647" s="1"/>
  <c r="F647" i="8"/>
  <c r="G647" s="1"/>
  <c r="F647" i="7"/>
  <c r="F647" i="4"/>
  <c r="I647"/>
  <c r="F647" i="22" s="1"/>
  <c r="F647" i="3"/>
  <c r="F648" i="12"/>
  <c r="Q648" s="1"/>
  <c r="F648" i="17"/>
  <c r="F648" i="9"/>
  <c r="G648" s="1"/>
  <c r="K648" i="5"/>
  <c r="L648" s="1"/>
  <c r="F648"/>
  <c r="F648" i="10"/>
  <c r="F648" i="11"/>
  <c r="G648" s="1"/>
  <c r="F648" i="8"/>
  <c r="G648" s="1"/>
  <c r="F648" i="7"/>
  <c r="F648" i="4"/>
  <c r="I648"/>
  <c r="F648" i="22" s="1"/>
  <c r="F648" i="3"/>
  <c r="F649" i="12"/>
  <c r="Q649" s="1"/>
  <c r="F649" i="17"/>
  <c r="F649" i="9"/>
  <c r="G649" s="1"/>
  <c r="K649" i="5"/>
  <c r="L649" s="1"/>
  <c r="F649"/>
  <c r="F649" i="10"/>
  <c r="F649" i="11"/>
  <c r="G649" s="1"/>
  <c r="F649" i="8"/>
  <c r="G649" s="1"/>
  <c r="F649" i="7"/>
  <c r="F649" i="4"/>
  <c r="I649"/>
  <c r="F649" i="22" s="1"/>
  <c r="F649" i="3"/>
  <c r="F650" i="12"/>
  <c r="Q650" s="1"/>
  <c r="F650" i="17"/>
  <c r="F650" i="9"/>
  <c r="G650" s="1"/>
  <c r="K650" i="5"/>
  <c r="L650" s="1"/>
  <c r="F650"/>
  <c r="F650" i="10"/>
  <c r="F650" i="11"/>
  <c r="G650" s="1"/>
  <c r="F650" i="8"/>
  <c r="G650" s="1"/>
  <c r="F650" i="7"/>
  <c r="F650" i="4"/>
  <c r="I650"/>
  <c r="F650" i="22" s="1"/>
  <c r="F650" i="3"/>
  <c r="F651" i="12"/>
  <c r="Q651" s="1"/>
  <c r="F651" i="17"/>
  <c r="F651" i="9"/>
  <c r="G651" s="1"/>
  <c r="K651" i="5"/>
  <c r="L651" s="1"/>
  <c r="F651"/>
  <c r="F651" i="10"/>
  <c r="F651" i="11"/>
  <c r="G651" s="1"/>
  <c r="F651" i="8"/>
  <c r="G651" s="1"/>
  <c r="F651" i="7"/>
  <c r="F651" i="4"/>
  <c r="I651"/>
  <c r="F651" i="22" s="1"/>
  <c r="F651" i="3"/>
  <c r="F652" i="12"/>
  <c r="Q652" s="1"/>
  <c r="F652" i="17"/>
  <c r="F652" i="9"/>
  <c r="G652" s="1"/>
  <c r="K652" i="5"/>
  <c r="L652" s="1"/>
  <c r="F652"/>
  <c r="F652" i="10"/>
  <c r="F652" i="11"/>
  <c r="G652" s="1"/>
  <c r="F652" i="8"/>
  <c r="G652" s="1"/>
  <c r="F652" i="7"/>
  <c r="F652" i="4"/>
  <c r="I652"/>
  <c r="F652" i="22" s="1"/>
  <c r="F652" i="3"/>
  <c r="F653" i="12"/>
  <c r="Q653" s="1"/>
  <c r="F653" i="17"/>
  <c r="F653" i="9"/>
  <c r="G653" s="1"/>
  <c r="K653" i="5"/>
  <c r="L653" s="1"/>
  <c r="F653"/>
  <c r="F653" i="10"/>
  <c r="F653" i="11"/>
  <c r="G653" s="1"/>
  <c r="F653" i="8"/>
  <c r="G653" s="1"/>
  <c r="F653" i="7"/>
  <c r="F653" i="4"/>
  <c r="I653"/>
  <c r="F653" i="22" s="1"/>
  <c r="F653" i="3"/>
  <c r="F654" i="12"/>
  <c r="Q654" s="1"/>
  <c r="F654" i="17"/>
  <c r="F654" i="9"/>
  <c r="G654" s="1"/>
  <c r="K654" i="5"/>
  <c r="L654" s="1"/>
  <c r="F654"/>
  <c r="F654" i="10"/>
  <c r="F654" i="11"/>
  <c r="G654" s="1"/>
  <c r="F654" i="8"/>
  <c r="G654" s="1"/>
  <c r="F654" i="7"/>
  <c r="F654" i="4"/>
  <c r="I654"/>
  <c r="F654" i="22" s="1"/>
  <c r="F654" i="3"/>
  <c r="F655" i="12"/>
  <c r="Q655" s="1"/>
  <c r="F655" i="17"/>
  <c r="F655" i="9"/>
  <c r="G655" s="1"/>
  <c r="K655" i="5"/>
  <c r="L655" s="1"/>
  <c r="F655"/>
  <c r="F655" i="10"/>
  <c r="F655" i="11"/>
  <c r="G655" s="1"/>
  <c r="F655" i="8"/>
  <c r="G655" s="1"/>
  <c r="F655" i="7"/>
  <c r="F655" i="4"/>
  <c r="I655"/>
  <c r="F655" i="22" s="1"/>
  <c r="F655" i="3"/>
  <c r="F656" i="12"/>
  <c r="Q656" s="1"/>
  <c r="F656" i="17"/>
  <c r="F656" i="9"/>
  <c r="G656" s="1"/>
  <c r="K656" i="5"/>
  <c r="L656" s="1"/>
  <c r="F656"/>
  <c r="F656" i="10"/>
  <c r="F656" i="11"/>
  <c r="G656" s="1"/>
  <c r="F656" i="8"/>
  <c r="G656" s="1"/>
  <c r="F656" i="7"/>
  <c r="F656" i="4"/>
  <c r="I656"/>
  <c r="F656" i="22" s="1"/>
  <c r="F656" i="3"/>
  <c r="F657" i="14"/>
  <c r="G657" s="1"/>
  <c r="F657" i="18"/>
  <c r="G657" s="1"/>
  <c r="F657" i="12"/>
  <c r="Q657" s="1"/>
  <c r="F657" i="17"/>
  <c r="F657" i="9"/>
  <c r="G657" s="1"/>
  <c r="K657" i="5"/>
  <c r="L657" s="1"/>
  <c r="F657"/>
  <c r="F657" i="10"/>
  <c r="F657" i="11"/>
  <c r="G657" s="1"/>
  <c r="F657" i="8"/>
  <c r="G657" s="1"/>
  <c r="F657" i="7"/>
  <c r="F657" i="4"/>
  <c r="I657"/>
  <c r="F657" i="22" s="1"/>
  <c r="F657" i="3"/>
  <c r="F658" i="14"/>
  <c r="G658" s="1"/>
  <c r="F658" i="18"/>
  <c r="G658" s="1"/>
  <c r="F658" i="12"/>
  <c r="Q658" s="1"/>
  <c r="F658" i="17"/>
  <c r="F658" i="9"/>
  <c r="G658" s="1"/>
  <c r="K658" i="5"/>
  <c r="L658" s="1"/>
  <c r="F658"/>
  <c r="F658" i="10"/>
  <c r="F658" i="11"/>
  <c r="G658" s="1"/>
  <c r="F658" i="8"/>
  <c r="G658" s="1"/>
  <c r="F658" i="7"/>
  <c r="F658" i="4"/>
  <c r="I658"/>
  <c r="F658" i="22" s="1"/>
  <c r="F658" i="3"/>
  <c r="F659" i="14"/>
  <c r="G659" s="1"/>
  <c r="F659" i="18"/>
  <c r="G659" s="1"/>
  <c r="F659" i="12"/>
  <c r="Q659" s="1"/>
  <c r="F659" i="17"/>
  <c r="F659" i="9"/>
  <c r="G659" s="1"/>
  <c r="K659" i="5"/>
  <c r="L659" s="1"/>
  <c r="F659"/>
  <c r="F659" i="10"/>
  <c r="F659" i="11"/>
  <c r="G659" s="1"/>
  <c r="F659" i="8"/>
  <c r="G659" s="1"/>
  <c r="F659" i="7"/>
  <c r="F659" i="4"/>
  <c r="I659"/>
  <c r="F659" i="22" s="1"/>
  <c r="F659" i="3"/>
  <c r="F660" i="14"/>
  <c r="G660" s="1"/>
  <c r="F660" i="18"/>
  <c r="G660" s="1"/>
  <c r="F660" i="12"/>
  <c r="Q660" s="1"/>
  <c r="F660" i="17"/>
  <c r="F660" i="9"/>
  <c r="G660" s="1"/>
  <c r="K660" i="5"/>
  <c r="L660" s="1"/>
  <c r="F660"/>
  <c r="F660" i="10"/>
  <c r="F660" i="11"/>
  <c r="G660" s="1"/>
  <c r="F660" i="8"/>
  <c r="G660" s="1"/>
  <c r="F660" i="7"/>
  <c r="F660" i="4"/>
  <c r="I660"/>
  <c r="F660" i="22" s="1"/>
  <c r="F660" i="3"/>
  <c r="F661" i="18"/>
  <c r="G661" s="1"/>
  <c r="F661" i="12"/>
  <c r="Q661" s="1"/>
  <c r="F661" i="17"/>
  <c r="F661" i="9"/>
  <c r="G661" s="1"/>
  <c r="K661" i="5"/>
  <c r="L661" s="1"/>
  <c r="F661"/>
  <c r="F661" i="10"/>
  <c r="F661" i="11"/>
  <c r="G661" s="1"/>
  <c r="F661" i="8"/>
  <c r="G661" s="1"/>
  <c r="F661" i="7"/>
  <c r="F661" i="4"/>
  <c r="I661"/>
  <c r="F661" i="22" s="1"/>
  <c r="F661" i="3"/>
  <c r="F662" i="12"/>
  <c r="Q662" s="1"/>
  <c r="F662" i="17"/>
  <c r="F662" i="9"/>
  <c r="G662" s="1"/>
  <c r="K662" i="5"/>
  <c r="L662" s="1"/>
  <c r="F662"/>
  <c r="F662" i="10"/>
  <c r="F662" i="11"/>
  <c r="G662" s="1"/>
  <c r="F662" i="8"/>
  <c r="G662" s="1"/>
  <c r="F662" i="7"/>
  <c r="F662" i="4"/>
  <c r="I662"/>
  <c r="F662" i="22" s="1"/>
  <c r="F662" i="3"/>
  <c r="F663" i="12"/>
  <c r="Q663" s="1"/>
  <c r="F663" i="17"/>
  <c r="F663" i="9"/>
  <c r="G663" s="1"/>
  <c r="K663" i="5"/>
  <c r="L663" s="1"/>
  <c r="F663"/>
  <c r="F663" i="10"/>
  <c r="F663" i="11"/>
  <c r="G663" s="1"/>
  <c r="F663" i="8"/>
  <c r="G663" s="1"/>
  <c r="F663" i="7"/>
  <c r="F663" i="4"/>
  <c r="I663"/>
  <c r="F663" i="22" s="1"/>
  <c r="F663" i="3"/>
  <c r="F664" i="12"/>
  <c r="Q664" s="1"/>
  <c r="F664" i="17"/>
  <c r="F664" i="9"/>
  <c r="G664" s="1"/>
  <c r="K664" i="5"/>
  <c r="L664" s="1"/>
  <c r="F664"/>
  <c r="F664" i="10"/>
  <c r="F664" i="11"/>
  <c r="G664" s="1"/>
  <c r="F664" i="8"/>
  <c r="G664" s="1"/>
  <c r="F664" i="7"/>
  <c r="F664" i="4"/>
  <c r="I664"/>
  <c r="F664" i="22" s="1"/>
  <c r="F664" i="3"/>
  <c r="F665" i="12"/>
  <c r="Q665" s="1"/>
  <c r="F665" i="9"/>
  <c r="G665" s="1"/>
  <c r="K665" i="5"/>
  <c r="L665" s="1"/>
  <c r="F665"/>
  <c r="F665" i="10"/>
  <c r="F665" i="11"/>
  <c r="G665" s="1"/>
  <c r="F665" i="8"/>
  <c r="G665" s="1"/>
  <c r="F665" i="7"/>
  <c r="F665" i="4"/>
  <c r="I665"/>
  <c r="F665" i="22" s="1"/>
  <c r="F665" i="3"/>
  <c r="F666" i="12"/>
  <c r="Q666" s="1"/>
  <c r="F666" i="17"/>
  <c r="F666" i="9"/>
  <c r="G666" s="1"/>
  <c r="K666" i="5"/>
  <c r="L666" s="1"/>
  <c r="F666"/>
  <c r="F666" i="10"/>
  <c r="F666" i="11"/>
  <c r="G666" s="1"/>
  <c r="F666" i="8"/>
  <c r="G666" s="1"/>
  <c r="F666" i="7"/>
  <c r="F666" i="4"/>
  <c r="I666"/>
  <c r="F666" i="22" s="1"/>
  <c r="F666" i="3"/>
  <c r="F667" i="12"/>
  <c r="Q667" s="1"/>
  <c r="F667" i="17"/>
  <c r="F667" i="9"/>
  <c r="G667" s="1"/>
  <c r="K667" i="5"/>
  <c r="L667" s="1"/>
  <c r="F667"/>
  <c r="F667" i="10"/>
  <c r="F667" i="11"/>
  <c r="G667" s="1"/>
  <c r="F667" i="8"/>
  <c r="G667" s="1"/>
  <c r="F667" i="7"/>
  <c r="F667" i="4"/>
  <c r="I667"/>
  <c r="F667" i="22" s="1"/>
  <c r="F667" i="3"/>
  <c r="F668" i="12"/>
  <c r="Q668" s="1"/>
  <c r="F668" i="17"/>
  <c r="F668" i="9"/>
  <c r="G668" s="1"/>
  <c r="K668" i="5"/>
  <c r="L668" s="1"/>
  <c r="F668"/>
  <c r="F668" i="10"/>
  <c r="F668" i="11"/>
  <c r="G668" s="1"/>
  <c r="F668" i="8"/>
  <c r="G668" s="1"/>
  <c r="F668" i="7"/>
  <c r="F668" i="4"/>
  <c r="I668"/>
  <c r="F668" i="22" s="1"/>
  <c r="F668" i="3"/>
  <c r="F669" i="12"/>
  <c r="Q669" s="1"/>
  <c r="F669" i="17"/>
  <c r="F669" i="9"/>
  <c r="G669" s="1"/>
  <c r="K669" i="5"/>
  <c r="L669" s="1"/>
  <c r="F669"/>
  <c r="F669" i="10"/>
  <c r="F669" i="11"/>
  <c r="G669" s="1"/>
  <c r="F669" i="8"/>
  <c r="G669" s="1"/>
  <c r="F669" i="7"/>
  <c r="F669" i="4"/>
  <c r="I669"/>
  <c r="F669" i="22" s="1"/>
  <c r="F669" i="3"/>
  <c r="F670" i="12"/>
  <c r="Q670" s="1"/>
  <c r="F670" i="17"/>
  <c r="F670" i="9"/>
  <c r="G670" s="1"/>
  <c r="K670" i="5"/>
  <c r="L670" s="1"/>
  <c r="F670"/>
  <c r="F670" i="10"/>
  <c r="F670" i="11"/>
  <c r="G670" s="1"/>
  <c r="F670" i="8"/>
  <c r="G670" s="1"/>
  <c r="F670" i="7"/>
  <c r="F670" i="4"/>
  <c r="I670"/>
  <c r="F670" i="22" s="1"/>
  <c r="F670" i="3"/>
  <c r="F671" i="12"/>
  <c r="Q671" s="1"/>
  <c r="F671" i="17"/>
  <c r="F671" i="9"/>
  <c r="G671" s="1"/>
  <c r="K671" i="5"/>
  <c r="L671" s="1"/>
  <c r="F671"/>
  <c r="F671" i="10"/>
  <c r="F671" i="11"/>
  <c r="G671" s="1"/>
  <c r="F671" i="8"/>
  <c r="G671" s="1"/>
  <c r="F671" i="7"/>
  <c r="F671" i="4"/>
  <c r="I671"/>
  <c r="F671" i="22" s="1"/>
  <c r="F671" i="3"/>
  <c r="F672" i="12"/>
  <c r="Q672" s="1"/>
  <c r="F672" i="17"/>
  <c r="F672" i="9"/>
  <c r="G672" s="1"/>
  <c r="K672" i="5"/>
  <c r="L672" s="1"/>
  <c r="F672"/>
  <c r="F672" i="10"/>
  <c r="F672" i="11"/>
  <c r="G672" s="1"/>
  <c r="F672" i="8"/>
  <c r="G672" s="1"/>
  <c r="F672" i="7"/>
  <c r="F672" i="4"/>
  <c r="I672"/>
  <c r="F672" i="22" s="1"/>
  <c r="F672" i="3"/>
  <c r="F673" i="12"/>
  <c r="Q673" s="1"/>
  <c r="F673" i="17"/>
  <c r="F673" i="9"/>
  <c r="G673" s="1"/>
  <c r="K673" i="5"/>
  <c r="L673" s="1"/>
  <c r="F673"/>
  <c r="F673" i="10"/>
  <c r="F673" i="11"/>
  <c r="G673" s="1"/>
  <c r="F673" i="8"/>
  <c r="G673" s="1"/>
  <c r="F673" i="7"/>
  <c r="F673" i="4"/>
  <c r="I673"/>
  <c r="F673" i="22" s="1"/>
  <c r="F673" i="3"/>
  <c r="F674" i="12"/>
  <c r="Q674" s="1"/>
  <c r="F674" i="17"/>
  <c r="F674" i="9"/>
  <c r="G674" s="1"/>
  <c r="K674" i="5"/>
  <c r="L674" s="1"/>
  <c r="F674"/>
  <c r="F674" i="10"/>
  <c r="F674" i="11"/>
  <c r="G674" s="1"/>
  <c r="F674" i="8"/>
  <c r="G674" s="1"/>
  <c r="F674" i="7"/>
  <c r="F674" i="4"/>
  <c r="I674"/>
  <c r="F674" i="22" s="1"/>
  <c r="F674" i="3"/>
  <c r="F675" i="12"/>
  <c r="Q675" s="1"/>
  <c r="F675" i="17"/>
  <c r="F675" i="9"/>
  <c r="G675" s="1"/>
  <c r="K675" i="5"/>
  <c r="L675" s="1"/>
  <c r="F675"/>
  <c r="F675" i="10"/>
  <c r="F675" i="11"/>
  <c r="G675" s="1"/>
  <c r="F675" i="8"/>
  <c r="G675" s="1"/>
  <c r="F675" i="7"/>
  <c r="F675" i="4"/>
  <c r="I675"/>
  <c r="F675" i="22" s="1"/>
  <c r="F675" i="3"/>
  <c r="F676" i="12"/>
  <c r="Q676" s="1"/>
  <c r="F676" i="17"/>
  <c r="F676" i="9"/>
  <c r="G676" s="1"/>
  <c r="K676" i="5"/>
  <c r="L676" s="1"/>
  <c r="F676"/>
  <c r="F676" i="10"/>
  <c r="F676" i="11"/>
  <c r="G676" s="1"/>
  <c r="F676" i="8"/>
  <c r="G676" s="1"/>
  <c r="F676" i="7"/>
  <c r="F676" i="4"/>
  <c r="I676"/>
  <c r="F676" i="22" s="1"/>
  <c r="F676" i="3"/>
  <c r="F677" i="12"/>
  <c r="Q677" s="1"/>
  <c r="F677" i="17"/>
  <c r="F677" i="9"/>
  <c r="G677" s="1"/>
  <c r="K677" i="5"/>
  <c r="L677" s="1"/>
  <c r="F677"/>
  <c r="F677" i="10"/>
  <c r="F677" i="11"/>
  <c r="G677" s="1"/>
  <c r="F677" i="8"/>
  <c r="G677" s="1"/>
  <c r="F677" i="7"/>
  <c r="F677" i="4"/>
  <c r="I677"/>
  <c r="F677" i="22" s="1"/>
  <c r="F677" i="3"/>
  <c r="F678" i="12"/>
  <c r="Q678" s="1"/>
  <c r="F678" i="17"/>
  <c r="F678" i="9"/>
  <c r="G678" s="1"/>
  <c r="K678" i="5"/>
  <c r="L678" s="1"/>
  <c r="F678"/>
  <c r="F678" i="10"/>
  <c r="F678" i="11"/>
  <c r="G678" s="1"/>
  <c r="F678" i="8"/>
  <c r="G678" s="1"/>
  <c r="F678" i="7"/>
  <c r="F678" i="4"/>
  <c r="I678"/>
  <c r="F678" i="22" s="1"/>
  <c r="F678" i="3"/>
  <c r="F679" i="12"/>
  <c r="Q679" s="1"/>
  <c r="F679" i="17"/>
  <c r="F679" i="9"/>
  <c r="G679" s="1"/>
  <c r="K679" i="5"/>
  <c r="L679" s="1"/>
  <c r="F679"/>
  <c r="F679" i="10"/>
  <c r="F679" i="11"/>
  <c r="G679" s="1"/>
  <c r="F679" i="8"/>
  <c r="G679" s="1"/>
  <c r="F679" i="7"/>
  <c r="F679" i="4"/>
  <c r="I679"/>
  <c r="F679" i="22" s="1"/>
  <c r="F679" i="3"/>
  <c r="F680" i="12"/>
  <c r="Q680" s="1"/>
  <c r="F680" i="17"/>
  <c r="F680" i="9"/>
  <c r="G680" s="1"/>
  <c r="K680" i="5"/>
  <c r="L680" s="1"/>
  <c r="F680"/>
  <c r="F680" i="10"/>
  <c r="F680" i="11"/>
  <c r="G680" s="1"/>
  <c r="F680" i="8"/>
  <c r="G680" s="1"/>
  <c r="F680" i="7"/>
  <c r="F680" i="4"/>
  <c r="I680"/>
  <c r="F680" i="22" s="1"/>
  <c r="F680" i="3"/>
  <c r="F681" i="12"/>
  <c r="Q681" s="1"/>
  <c r="F681" i="17"/>
  <c r="F681" i="9"/>
  <c r="G681" s="1"/>
  <c r="K681" i="5"/>
  <c r="L681" s="1"/>
  <c r="F681"/>
  <c r="F681" i="10"/>
  <c r="F681" i="11"/>
  <c r="G681" s="1"/>
  <c r="F681" i="8"/>
  <c r="G681" s="1"/>
  <c r="F681" i="7"/>
  <c r="F681" i="4"/>
  <c r="I681"/>
  <c r="F681" i="22" s="1"/>
  <c r="F681" i="3"/>
  <c r="F682" i="18"/>
  <c r="G682" s="1"/>
  <c r="F682" i="12"/>
  <c r="Q682" s="1"/>
  <c r="F682" i="17"/>
  <c r="F682" i="9"/>
  <c r="G682" s="1"/>
  <c r="K682" i="5"/>
  <c r="L682" s="1"/>
  <c r="F682"/>
  <c r="F682" i="10"/>
  <c r="F682" i="11"/>
  <c r="G682" s="1"/>
  <c r="F682" i="8"/>
  <c r="G682" s="1"/>
  <c r="F682" i="7"/>
  <c r="F682" i="4"/>
  <c r="I682"/>
  <c r="F682" i="22" s="1"/>
  <c r="F682" i="3"/>
  <c r="F683" i="18"/>
  <c r="G683" s="1"/>
  <c r="F683" i="12"/>
  <c r="Q683" s="1"/>
  <c r="F683" i="17"/>
  <c r="F683" i="9"/>
  <c r="G683" s="1"/>
  <c r="K683" i="5"/>
  <c r="L683" s="1"/>
  <c r="F683"/>
  <c r="F683" i="10"/>
  <c r="F683" i="11"/>
  <c r="G683" s="1"/>
  <c r="F683" i="8"/>
  <c r="G683" s="1"/>
  <c r="F683" i="7"/>
  <c r="F683" i="4"/>
  <c r="I683"/>
  <c r="F683" i="22" s="1"/>
  <c r="F683" i="3"/>
  <c r="F684" i="18"/>
  <c r="G684" s="1"/>
  <c r="F684" i="12"/>
  <c r="Q684" s="1"/>
  <c r="F684" i="17"/>
  <c r="F684" i="9"/>
  <c r="G684" s="1"/>
  <c r="K684" i="5"/>
  <c r="L684" s="1"/>
  <c r="F684"/>
  <c r="F684" i="10"/>
  <c r="F684" i="11"/>
  <c r="G684" s="1"/>
  <c r="F684" i="8"/>
  <c r="G684" s="1"/>
  <c r="F684" i="7"/>
  <c r="F684" i="4"/>
  <c r="I684"/>
  <c r="F684" i="22" s="1"/>
  <c r="F684" i="3"/>
  <c r="F685" i="14"/>
  <c r="G685" s="1"/>
  <c r="F685" i="18"/>
  <c r="G685" s="1"/>
  <c r="F685" i="12"/>
  <c r="Q685" s="1"/>
  <c r="F685" i="17"/>
  <c r="F685" i="9"/>
  <c r="G685" s="1"/>
  <c r="K685" i="5"/>
  <c r="L685" s="1"/>
  <c r="F685"/>
  <c r="F685" i="10"/>
  <c r="F685" i="11"/>
  <c r="G685" s="1"/>
  <c r="F685" i="8"/>
  <c r="G685" s="1"/>
  <c r="F685" i="7"/>
  <c r="F685" i="4"/>
  <c r="I685"/>
  <c r="F685" i="22" s="1"/>
  <c r="F685" i="3"/>
  <c r="F686" i="12"/>
  <c r="Q686" s="1"/>
  <c r="F686" i="17"/>
  <c r="F686" i="9"/>
  <c r="G686" s="1"/>
  <c r="K686" i="5"/>
  <c r="L686" s="1"/>
  <c r="F686"/>
  <c r="F686" i="10"/>
  <c r="F686" i="11"/>
  <c r="G686" s="1"/>
  <c r="F686" i="8"/>
  <c r="G686" s="1"/>
  <c r="F686" i="7"/>
  <c r="F686" i="4"/>
  <c r="I686"/>
  <c r="F686" i="22" s="1"/>
  <c r="F686" i="3"/>
  <c r="F687" i="12"/>
  <c r="Q687" s="1"/>
  <c r="F687" i="17"/>
  <c r="F687" i="9"/>
  <c r="G687" s="1"/>
  <c r="K687" i="5"/>
  <c r="L687" s="1"/>
  <c r="F687"/>
  <c r="F687" i="10"/>
  <c r="F687" i="11"/>
  <c r="G687" s="1"/>
  <c r="F687" i="8"/>
  <c r="G687" s="1"/>
  <c r="F687" i="7"/>
  <c r="F687" i="4"/>
  <c r="I687"/>
  <c r="F687" i="22" s="1"/>
  <c r="F687" i="3"/>
  <c r="F688" i="12"/>
  <c r="Q688" s="1"/>
  <c r="F688" i="17"/>
  <c r="F688" i="9"/>
  <c r="G688" s="1"/>
  <c r="K688" i="5"/>
  <c r="L688" s="1"/>
  <c r="F688"/>
  <c r="F688" i="10"/>
  <c r="F688" i="11"/>
  <c r="G688" s="1"/>
  <c r="F688" i="8"/>
  <c r="G688" s="1"/>
  <c r="F688" i="7"/>
  <c r="F688" i="4"/>
  <c r="I688"/>
  <c r="F688" i="22" s="1"/>
  <c r="F688" i="3"/>
  <c r="K689" i="5"/>
  <c r="L689" s="1"/>
  <c r="F689"/>
  <c r="F689" i="10"/>
  <c r="F689" i="11"/>
  <c r="G689" s="1"/>
  <c r="F689" i="8"/>
  <c r="G689" s="1"/>
  <c r="F689" i="7"/>
  <c r="F689" i="4"/>
  <c r="I689"/>
  <c r="F689" i="22" s="1"/>
  <c r="F689" i="3"/>
  <c r="F690" i="12"/>
  <c r="Q690" s="1"/>
  <c r="F690" i="17"/>
  <c r="F690" i="9"/>
  <c r="G690" s="1"/>
  <c r="K690" i="5"/>
  <c r="L690" s="1"/>
  <c r="F690"/>
  <c r="F690" i="10"/>
  <c r="F690" i="11"/>
  <c r="G690" s="1"/>
  <c r="F690" i="8"/>
  <c r="G690" s="1"/>
  <c r="F690" i="7"/>
  <c r="F690" i="4"/>
  <c r="I690"/>
  <c r="F690" i="22" s="1"/>
  <c r="F690" i="3"/>
  <c r="F691" i="12"/>
  <c r="Q691" s="1"/>
  <c r="F691" i="17"/>
  <c r="F691" i="9"/>
  <c r="G691" s="1"/>
  <c r="K691" i="5"/>
  <c r="L691" s="1"/>
  <c r="F691"/>
  <c r="F691" i="10"/>
  <c r="F691" i="11"/>
  <c r="G691" s="1"/>
  <c r="F691" i="8"/>
  <c r="G691" s="1"/>
  <c r="F691" i="7"/>
  <c r="F691" i="4"/>
  <c r="I691"/>
  <c r="F691" i="22" s="1"/>
  <c r="F691" i="3"/>
  <c r="F692" i="12"/>
  <c r="Q692" s="1"/>
  <c r="F692" i="17"/>
  <c r="F692" i="9"/>
  <c r="G692" s="1"/>
  <c r="K692" i="5"/>
  <c r="L692" s="1"/>
  <c r="F692"/>
  <c r="F692" i="10"/>
  <c r="F692" i="11"/>
  <c r="G692" s="1"/>
  <c r="F692" i="8"/>
  <c r="G692" s="1"/>
  <c r="F692" i="7"/>
  <c r="F692" i="4"/>
  <c r="I692"/>
  <c r="F692" i="22" s="1"/>
  <c r="F692" i="3"/>
  <c r="F693" i="12"/>
  <c r="Q693" s="1"/>
  <c r="F693" i="17"/>
  <c r="F693" i="9"/>
  <c r="G693" s="1"/>
  <c r="K693" i="5"/>
  <c r="L693" s="1"/>
  <c r="F693"/>
  <c r="F693" i="10"/>
  <c r="F693" i="11"/>
  <c r="G693" s="1"/>
  <c r="F693" i="8"/>
  <c r="G693" s="1"/>
  <c r="F693" i="7"/>
  <c r="F693" i="4"/>
  <c r="I693"/>
  <c r="F693" i="22" s="1"/>
  <c r="F693" i="3"/>
  <c r="F694" i="12"/>
  <c r="Q694" s="1"/>
  <c r="F694" i="17"/>
  <c r="F694" i="9"/>
  <c r="G694" s="1"/>
  <c r="K694" i="5"/>
  <c r="L694" s="1"/>
  <c r="F694"/>
  <c r="F694" i="10"/>
  <c r="F694" i="11"/>
  <c r="G694" s="1"/>
  <c r="F694" i="8"/>
  <c r="G694" s="1"/>
  <c r="F694" i="7"/>
  <c r="F694" i="4"/>
  <c r="I694"/>
  <c r="F694" i="22" s="1"/>
  <c r="F694" i="3"/>
  <c r="F695" i="12"/>
  <c r="Q695" s="1"/>
  <c r="F695" i="17"/>
  <c r="F695" i="9"/>
  <c r="G695" s="1"/>
  <c r="K695" i="5"/>
  <c r="L695" s="1"/>
  <c r="F695"/>
  <c r="F695" i="10"/>
  <c r="F695" i="11"/>
  <c r="G695" s="1"/>
  <c r="F695" i="8"/>
  <c r="G695" s="1"/>
  <c r="F695" i="7"/>
  <c r="F695" i="4"/>
  <c r="I695"/>
  <c r="F695" i="22" s="1"/>
  <c r="F695" i="3"/>
  <c r="F696" i="12"/>
  <c r="Q696" s="1"/>
  <c r="F696" i="17"/>
  <c r="F696" i="9"/>
  <c r="G696" s="1"/>
  <c r="K696" i="5"/>
  <c r="L696" s="1"/>
  <c r="F696"/>
  <c r="F696" i="10"/>
  <c r="F696" i="11"/>
  <c r="G696" s="1"/>
  <c r="F696" i="8"/>
  <c r="G696" s="1"/>
  <c r="F696" i="7"/>
  <c r="F696" i="4"/>
  <c r="I696"/>
  <c r="F696" i="22" s="1"/>
  <c r="F696" i="3"/>
  <c r="F697" i="12"/>
  <c r="Q697" s="1"/>
  <c r="F697" i="17"/>
  <c r="F697" i="9"/>
  <c r="G697" s="1"/>
  <c r="K697" i="5"/>
  <c r="L697" s="1"/>
  <c r="F697"/>
  <c r="F697" i="10"/>
  <c r="F697" i="11"/>
  <c r="G697" s="1"/>
  <c r="F697" i="8"/>
  <c r="G697" s="1"/>
  <c r="F697" i="7"/>
  <c r="F697" i="4"/>
  <c r="I697"/>
  <c r="F697" i="22" s="1"/>
  <c r="F697" i="3"/>
  <c r="F698" i="12"/>
  <c r="Q698" s="1"/>
  <c r="F698" i="17"/>
  <c r="F698" i="9"/>
  <c r="G698" s="1"/>
  <c r="K698" i="5"/>
  <c r="L698" s="1"/>
  <c r="F698"/>
  <c r="F698" i="10"/>
  <c r="F698" i="11"/>
  <c r="G698" s="1"/>
  <c r="F698" i="8"/>
  <c r="G698" s="1"/>
  <c r="F698" i="7"/>
  <c r="F698" i="4"/>
  <c r="I698"/>
  <c r="F698" i="22" s="1"/>
  <c r="F698" i="3"/>
  <c r="F699" i="12"/>
  <c r="Q699" s="1"/>
  <c r="F699" i="17"/>
  <c r="F699" i="9"/>
  <c r="G699" s="1"/>
  <c r="K699" i="5"/>
  <c r="L699" s="1"/>
  <c r="F699"/>
  <c r="F699" i="10"/>
  <c r="F699" i="11"/>
  <c r="G699" s="1"/>
  <c r="F699" i="8"/>
  <c r="G699" s="1"/>
  <c r="F699" i="7"/>
  <c r="F699" i="4"/>
  <c r="I699"/>
  <c r="F699" i="22" s="1"/>
  <c r="F699" i="3"/>
  <c r="F700" i="12"/>
  <c r="Q700" s="1"/>
  <c r="F700" i="17"/>
  <c r="F700" i="9"/>
  <c r="G700" s="1"/>
  <c r="K700" i="5"/>
  <c r="L700" s="1"/>
  <c r="F700"/>
  <c r="F700" i="10"/>
  <c r="F700" i="11"/>
  <c r="G700" s="1"/>
  <c r="F700" i="8"/>
  <c r="G700" s="1"/>
  <c r="F700" i="7"/>
  <c r="F700" i="4"/>
  <c r="I700"/>
  <c r="F700" i="22" s="1"/>
  <c r="F700" i="3"/>
  <c r="F701" i="12"/>
  <c r="Q701" s="1"/>
  <c r="F701" i="17"/>
  <c r="F701" i="9"/>
  <c r="G701" s="1"/>
  <c r="K701" i="5"/>
  <c r="L701" s="1"/>
  <c r="F701"/>
  <c r="F701" i="10"/>
  <c r="F701" i="11"/>
  <c r="G701" s="1"/>
  <c r="F701" i="8"/>
  <c r="G701" s="1"/>
  <c r="F701" i="7"/>
  <c r="F701" i="4"/>
  <c r="I701"/>
  <c r="F701" i="22" s="1"/>
  <c r="F701" i="3"/>
  <c r="F702" i="12"/>
  <c r="Q702" s="1"/>
  <c r="F702" i="17"/>
  <c r="F702" i="9"/>
  <c r="G702" s="1"/>
  <c r="K702" i="5"/>
  <c r="L702" s="1"/>
  <c r="F702"/>
  <c r="F702" i="10"/>
  <c r="F702" i="11"/>
  <c r="G702" s="1"/>
  <c r="F702" i="8"/>
  <c r="G702" s="1"/>
  <c r="F702" i="7"/>
  <c r="F702" i="4"/>
  <c r="I702"/>
  <c r="F702" i="22" s="1"/>
  <c r="F702" i="3"/>
  <c r="F703" i="12"/>
  <c r="Q703" s="1"/>
  <c r="F703" i="17"/>
  <c r="F703" i="9"/>
  <c r="G703" s="1"/>
  <c r="K703" i="5"/>
  <c r="L703" s="1"/>
  <c r="F703"/>
  <c r="F703" i="10"/>
  <c r="F703" i="11"/>
  <c r="G703" s="1"/>
  <c r="F703" i="8"/>
  <c r="G703" s="1"/>
  <c r="F703" i="7"/>
  <c r="F703" i="4"/>
  <c r="I703"/>
  <c r="F703" i="22" s="1"/>
  <c r="F703" i="3"/>
  <c r="K704" i="5"/>
  <c r="L704" s="1"/>
  <c r="F704"/>
  <c r="F704" i="10"/>
  <c r="F704" i="11"/>
  <c r="G704" s="1"/>
  <c r="F704" i="8"/>
  <c r="G704" s="1"/>
  <c r="F704" i="7"/>
  <c r="F704" i="4"/>
  <c r="I704"/>
  <c r="F704" i="22" s="1"/>
  <c r="F705" i="3"/>
  <c r="K705" i="5"/>
  <c r="L705" s="1"/>
  <c r="F705"/>
  <c r="F705" i="10"/>
  <c r="F705" i="11"/>
  <c r="G705" s="1"/>
  <c r="F705" i="8"/>
  <c r="G705" s="1"/>
  <c r="F705" i="7"/>
  <c r="F705" i="4"/>
  <c r="I705"/>
  <c r="F705" i="22" s="1"/>
  <c r="F706" i="3"/>
  <c r="F706" i="12"/>
  <c r="Q706" s="1"/>
  <c r="F706" i="17"/>
  <c r="F706" i="9"/>
  <c r="G706" s="1"/>
  <c r="K706" i="5"/>
  <c r="L706" s="1"/>
  <c r="F706"/>
  <c r="F706" i="10"/>
  <c r="F706" i="11"/>
  <c r="G706" s="1"/>
  <c r="F706" i="8"/>
  <c r="G706" s="1"/>
  <c r="F706" i="7"/>
  <c r="F706" i="4"/>
  <c r="I706"/>
  <c r="F706" i="22" s="1"/>
  <c r="F707" i="3"/>
  <c r="F707" i="12"/>
  <c r="Q707" s="1"/>
  <c r="F707" i="17"/>
  <c r="F707" i="9"/>
  <c r="G707" s="1"/>
  <c r="K707" i="5"/>
  <c r="L707" s="1"/>
  <c r="F707"/>
  <c r="F707" i="10"/>
  <c r="F707" i="11"/>
  <c r="G707" s="1"/>
  <c r="F707" i="8"/>
  <c r="G707" s="1"/>
  <c r="F707" i="7"/>
  <c r="F707" i="4"/>
  <c r="I707"/>
  <c r="F707" i="22" s="1"/>
  <c r="F708" i="3"/>
  <c r="F708" i="12"/>
  <c r="Q708" s="1"/>
  <c r="F708" i="17"/>
  <c r="F708" i="9"/>
  <c r="G708" s="1"/>
  <c r="K708" i="5"/>
  <c r="L708" s="1"/>
  <c r="F708"/>
  <c r="F708" i="10"/>
  <c r="F708" i="11"/>
  <c r="G708" s="1"/>
  <c r="F708" i="8"/>
  <c r="G708" s="1"/>
  <c r="F708" i="7"/>
  <c r="F708" i="4"/>
  <c r="I708"/>
  <c r="F708" i="22" s="1"/>
  <c r="F709" i="3"/>
  <c r="F709" i="12"/>
  <c r="Q709" s="1"/>
  <c r="F709" i="17"/>
  <c r="F709" i="9"/>
  <c r="G709" s="1"/>
  <c r="K709" i="5"/>
  <c r="L709" s="1"/>
  <c r="F709"/>
  <c r="F709" i="10"/>
  <c r="F709" i="11"/>
  <c r="G709" s="1"/>
  <c r="F709" i="8"/>
  <c r="G709" s="1"/>
  <c r="F709" i="7"/>
  <c r="F709" i="4"/>
  <c r="I709"/>
  <c r="F709" i="22" s="1"/>
  <c r="F710" i="3"/>
  <c r="F710" i="12"/>
  <c r="Q710" s="1"/>
  <c r="F710" i="17"/>
  <c r="F710" i="9"/>
  <c r="G710" s="1"/>
  <c r="K710" i="5"/>
  <c r="L710" s="1"/>
  <c r="F710"/>
  <c r="F710" i="10"/>
  <c r="F710" i="11"/>
  <c r="G710" s="1"/>
  <c r="F710" i="8"/>
  <c r="G710" s="1"/>
  <c r="F710" i="7"/>
  <c r="F710" i="4"/>
  <c r="I710"/>
  <c r="F710" i="22" s="1"/>
  <c r="F711" i="3"/>
  <c r="F711" i="12"/>
  <c r="Q711" s="1"/>
  <c r="F711" i="17"/>
  <c r="F711" i="9"/>
  <c r="G711" s="1"/>
  <c r="K711" i="5"/>
  <c r="L711" s="1"/>
  <c r="F711"/>
  <c r="F711" i="10"/>
  <c r="F711" i="11"/>
  <c r="G711" s="1"/>
  <c r="F711" i="8"/>
  <c r="G711" s="1"/>
  <c r="F711" i="7"/>
  <c r="F711" i="4"/>
  <c r="I711"/>
  <c r="F711" i="22" s="1"/>
  <c r="F712" i="3"/>
  <c r="F712" i="12"/>
  <c r="Q712" s="1"/>
  <c r="F712" i="17"/>
  <c r="F712" i="9"/>
  <c r="G712" s="1"/>
  <c r="K712" i="5"/>
  <c r="L712" s="1"/>
  <c r="F712"/>
  <c r="F712" i="10"/>
  <c r="F712" i="11"/>
  <c r="G712" s="1"/>
  <c r="F712" i="8"/>
  <c r="G712" s="1"/>
  <c r="F712" i="7"/>
  <c r="F712" i="4"/>
  <c r="I712"/>
  <c r="F712" i="22" s="1"/>
  <c r="F713" i="3"/>
  <c r="F713" i="18"/>
  <c r="G713" s="1"/>
  <c r="F713" i="12"/>
  <c r="Q713" s="1"/>
  <c r="F713" i="17"/>
  <c r="F713" i="9"/>
  <c r="G713" s="1"/>
  <c r="K713" i="5"/>
  <c r="L713" s="1"/>
  <c r="F713"/>
  <c r="F713" i="10"/>
  <c r="F713" i="11"/>
  <c r="G713" s="1"/>
  <c r="F713" i="8"/>
  <c r="G713" s="1"/>
  <c r="F713" i="7"/>
  <c r="F713" i="4"/>
  <c r="I713"/>
  <c r="F713" i="22" s="1"/>
  <c r="F714" i="3"/>
  <c r="F714" i="18"/>
  <c r="G714" s="1"/>
  <c r="F714" i="12"/>
  <c r="Q714" s="1"/>
  <c r="F714" i="17"/>
  <c r="F714" i="9"/>
  <c r="G714" s="1"/>
  <c r="K714" i="5"/>
  <c r="L714" s="1"/>
  <c r="F714"/>
  <c r="F714" i="10"/>
  <c r="F714" i="11"/>
  <c r="G714" s="1"/>
  <c r="F714" i="8"/>
  <c r="G714" s="1"/>
  <c r="F714" i="7"/>
  <c r="F714" i="4"/>
  <c r="I714"/>
  <c r="F714" i="22" s="1"/>
  <c r="F715" i="3"/>
  <c r="F715" i="18"/>
  <c r="G715" s="1"/>
  <c r="F715" i="12"/>
  <c r="Q715" s="1"/>
  <c r="F715" i="17"/>
  <c r="F715" i="9"/>
  <c r="G715" s="1"/>
  <c r="K715" i="5"/>
  <c r="L715" s="1"/>
  <c r="F715"/>
  <c r="F715" i="10"/>
  <c r="F715" i="11"/>
  <c r="G715" s="1"/>
  <c r="F715" i="8"/>
  <c r="G715" s="1"/>
  <c r="F715" i="7"/>
  <c r="F715" i="4"/>
  <c r="I715"/>
  <c r="F715" i="22" s="1"/>
  <c r="F716" i="3"/>
  <c r="F716" i="18"/>
  <c r="G716" s="1"/>
  <c r="F716" i="12"/>
  <c r="Q716" s="1"/>
  <c r="F716" i="17"/>
  <c r="F716" i="9"/>
  <c r="G716" s="1"/>
  <c r="K716" i="5"/>
  <c r="L716" s="1"/>
  <c r="F716"/>
  <c r="F716" i="10"/>
  <c r="F716" i="11"/>
  <c r="G716" s="1"/>
  <c r="F716" i="8"/>
  <c r="G716" s="1"/>
  <c r="F716" i="7"/>
  <c r="F716" i="4"/>
  <c r="I716"/>
  <c r="F716" i="22" s="1"/>
  <c r="F717" i="3"/>
  <c r="F717" i="12"/>
  <c r="Q717" s="1"/>
  <c r="F717" i="17"/>
  <c r="F717" i="9"/>
  <c r="G717" s="1"/>
  <c r="K717" i="5"/>
  <c r="L717" s="1"/>
  <c r="F717"/>
  <c r="F717" i="10"/>
  <c r="F717" i="11"/>
  <c r="G717" s="1"/>
  <c r="F717" i="8"/>
  <c r="G717" s="1"/>
  <c r="F717" i="7"/>
  <c r="F717" i="4"/>
  <c r="I717"/>
  <c r="F717" i="22" s="1"/>
  <c r="F718" i="3"/>
  <c r="F718" i="18"/>
  <c r="G718" s="1"/>
  <c r="F718" i="12"/>
  <c r="Q718" s="1"/>
  <c r="F718" i="17"/>
  <c r="F718" i="9"/>
  <c r="G718" s="1"/>
  <c r="K718" i="5"/>
  <c r="L718" s="1"/>
  <c r="F718"/>
  <c r="F718" i="10"/>
  <c r="F718" i="11"/>
  <c r="G718" s="1"/>
  <c r="F718" i="8"/>
  <c r="G718" s="1"/>
  <c r="F718" i="7"/>
  <c r="F718" i="4"/>
  <c r="I718"/>
  <c r="F718" i="22" s="1"/>
  <c r="F719" i="3"/>
  <c r="F719" i="12"/>
  <c r="Q719" s="1"/>
  <c r="F719" i="17"/>
  <c r="F719" i="9"/>
  <c r="G719" s="1"/>
  <c r="K719" i="5"/>
  <c r="L719" s="1"/>
  <c r="F719"/>
  <c r="F719" i="10"/>
  <c r="F719" i="11"/>
  <c r="G719" s="1"/>
  <c r="F719" i="8"/>
  <c r="G719" s="1"/>
  <c r="F719" i="7"/>
  <c r="F719" i="4"/>
  <c r="I719"/>
  <c r="F719" i="22" s="1"/>
  <c r="F720" i="3"/>
  <c r="F720" i="12"/>
  <c r="Q720" s="1"/>
  <c r="F720" i="17"/>
  <c r="F720" i="9"/>
  <c r="G720" s="1"/>
  <c r="K720" i="5"/>
  <c r="L720" s="1"/>
  <c r="F720"/>
  <c r="F720" i="10"/>
  <c r="F720" i="11"/>
  <c r="G720" s="1"/>
  <c r="F720" i="8"/>
  <c r="G720" s="1"/>
  <c r="F720" i="7"/>
  <c r="F720" i="4"/>
  <c r="I720"/>
  <c r="F720" i="22" s="1"/>
  <c r="F721" i="3"/>
  <c r="F721" i="12"/>
  <c r="Q721" s="1"/>
  <c r="F721" i="17"/>
  <c r="F721" i="9"/>
  <c r="G721" s="1"/>
  <c r="K721" i="5"/>
  <c r="L721" s="1"/>
  <c r="F721"/>
  <c r="F721" i="10"/>
  <c r="F721" i="11"/>
  <c r="G721" s="1"/>
  <c r="F721" i="8"/>
  <c r="G721" s="1"/>
  <c r="F721" i="7"/>
  <c r="F721" i="4"/>
  <c r="I721"/>
  <c r="F721" i="22" s="1"/>
  <c r="F722" i="3"/>
  <c r="F722" i="12"/>
  <c r="Q722" s="1"/>
  <c r="F722" i="17"/>
  <c r="F722" i="9"/>
  <c r="G722" s="1"/>
  <c r="K722" i="5"/>
  <c r="L722" s="1"/>
  <c r="F722"/>
  <c r="F722" i="10"/>
  <c r="F722" i="11"/>
  <c r="G722" s="1"/>
  <c r="F722" i="8"/>
  <c r="G722" s="1"/>
  <c r="F722" i="7"/>
  <c r="F722" i="4"/>
  <c r="I722"/>
  <c r="F722" i="22" s="1"/>
  <c r="F723" i="3"/>
  <c r="F723" i="12"/>
  <c r="Q723" s="1"/>
  <c r="F723" i="17"/>
  <c r="F723" i="9"/>
  <c r="G723" s="1"/>
  <c r="K723" i="5"/>
  <c r="L723" s="1"/>
  <c r="F723"/>
  <c r="F723" i="10"/>
  <c r="F723" i="11"/>
  <c r="G723" s="1"/>
  <c r="F723" i="8"/>
  <c r="G723" s="1"/>
  <c r="F723" i="7"/>
  <c r="F723" i="4"/>
  <c r="I723"/>
  <c r="F723" i="22" s="1"/>
  <c r="F724" i="3"/>
  <c r="F724" i="12"/>
  <c r="Q724" s="1"/>
  <c r="F724" i="17"/>
  <c r="F724" i="9"/>
  <c r="G724" s="1"/>
  <c r="K724" i="5"/>
  <c r="L724" s="1"/>
  <c r="F724"/>
  <c r="F724" i="10"/>
  <c r="F724" i="11"/>
  <c r="G724" s="1"/>
  <c r="F724" i="8"/>
  <c r="G724" s="1"/>
  <c r="F724" i="7"/>
  <c r="F724" i="4"/>
  <c r="I724"/>
  <c r="F724" i="22" s="1"/>
  <c r="F725" i="3"/>
  <c r="F725" i="12"/>
  <c r="Q725" s="1"/>
  <c r="F725" i="17"/>
  <c r="F725" i="9"/>
  <c r="G725" s="1"/>
  <c r="K725" i="5"/>
  <c r="L725" s="1"/>
  <c r="F725"/>
  <c r="F725" i="10"/>
  <c r="F725" i="11"/>
  <c r="G725" s="1"/>
  <c r="F725" i="8"/>
  <c r="G725" s="1"/>
  <c r="F725" i="7"/>
  <c r="F725" i="4"/>
  <c r="I725"/>
  <c r="F725" i="22" s="1"/>
  <c r="F726" i="3"/>
  <c r="F726" i="12"/>
  <c r="Q726" s="1"/>
  <c r="F726" i="17"/>
  <c r="F726" i="9"/>
  <c r="G726" s="1"/>
  <c r="K726" i="5"/>
  <c r="L726" s="1"/>
  <c r="F726"/>
  <c r="F726" i="10"/>
  <c r="F726" i="11"/>
  <c r="G726" s="1"/>
  <c r="F726" i="8"/>
  <c r="G726" s="1"/>
  <c r="F726" i="7"/>
  <c r="F726" i="4"/>
  <c r="I726"/>
  <c r="F726" i="22" s="1"/>
  <c r="F727" i="3"/>
  <c r="F727" i="12"/>
  <c r="Q727" s="1"/>
  <c r="F727" i="17"/>
  <c r="F727" i="9"/>
  <c r="G727" s="1"/>
  <c r="K727" i="5"/>
  <c r="L727" s="1"/>
  <c r="F727"/>
  <c r="F727" i="10"/>
  <c r="F727" i="11"/>
  <c r="G727" s="1"/>
  <c r="F727" i="8"/>
  <c r="G727" s="1"/>
  <c r="F727" i="7"/>
  <c r="F727" i="4"/>
  <c r="I727"/>
  <c r="F727" i="22" s="1"/>
  <c r="F728" i="3"/>
  <c r="F728" i="18"/>
  <c r="G728" s="1"/>
  <c r="F728" i="12"/>
  <c r="Q728" s="1"/>
  <c r="F728" i="17"/>
  <c r="F728" i="9"/>
  <c r="G728" s="1"/>
  <c r="K728" i="5"/>
  <c r="L728" s="1"/>
  <c r="F728"/>
  <c r="F728" i="10"/>
  <c r="F728" i="11"/>
  <c r="G728" s="1"/>
  <c r="F728" i="8"/>
  <c r="G728" s="1"/>
  <c r="F728" i="7"/>
  <c r="F728" i="4"/>
  <c r="I728"/>
  <c r="F728" i="22" s="1"/>
  <c r="F729" i="3"/>
  <c r="F729" i="12"/>
  <c r="Q729" s="1"/>
  <c r="F729" i="17"/>
  <c r="F729" i="9"/>
  <c r="G729" s="1"/>
  <c r="K729" i="5"/>
  <c r="L729" s="1"/>
  <c r="F729"/>
  <c r="F729" i="10"/>
  <c r="F729" i="11"/>
  <c r="G729" s="1"/>
  <c r="F729" i="8"/>
  <c r="G729" s="1"/>
  <c r="F729" i="7"/>
  <c r="F729" i="4"/>
  <c r="I729"/>
  <c r="F729" i="22" s="1"/>
  <c r="F730" i="3"/>
  <c r="F730" i="12"/>
  <c r="Q730" s="1"/>
  <c r="F730" i="17"/>
  <c r="F730" i="9"/>
  <c r="G730" s="1"/>
  <c r="K730" i="5"/>
  <c r="L730" s="1"/>
  <c r="F730"/>
  <c r="F730" i="10"/>
  <c r="F730" i="11"/>
  <c r="G730" s="1"/>
  <c r="F730" i="8"/>
  <c r="G730" s="1"/>
  <c r="F730" i="7"/>
  <c r="F730" i="4"/>
  <c r="I730"/>
  <c r="F730" i="22" s="1"/>
  <c r="F731" i="3"/>
  <c r="F731" i="12"/>
  <c r="Q731" s="1"/>
  <c r="F731" i="17"/>
  <c r="F731" i="9"/>
  <c r="G731" s="1"/>
  <c r="K731" i="5"/>
  <c r="L731" s="1"/>
  <c r="F731"/>
  <c r="F731" i="10"/>
  <c r="F731" i="11"/>
  <c r="G731" s="1"/>
  <c r="F731" i="8"/>
  <c r="G731" s="1"/>
  <c r="F731" i="7"/>
  <c r="F731" i="4"/>
  <c r="I731"/>
  <c r="F731" i="22" s="1"/>
  <c r="F732" i="3"/>
  <c r="F732" i="12"/>
  <c r="Q732" s="1"/>
  <c r="F732" i="17"/>
  <c r="F732" i="9"/>
  <c r="G732" s="1"/>
  <c r="K732" i="5"/>
  <c r="L732" s="1"/>
  <c r="F732"/>
  <c r="F732" i="10"/>
  <c r="F732" i="11"/>
  <c r="G732" s="1"/>
  <c r="F732" i="8"/>
  <c r="G732" s="1"/>
  <c r="F732" i="7"/>
  <c r="F732" i="4"/>
  <c r="I732"/>
  <c r="F732" i="22" s="1"/>
  <c r="F733" i="3"/>
  <c r="F733" i="12"/>
  <c r="Q733" s="1"/>
  <c r="F733" i="17"/>
  <c r="F733" i="9"/>
  <c r="G733" s="1"/>
  <c r="K733" i="5"/>
  <c r="L733" s="1"/>
  <c r="F733"/>
  <c r="F733" i="10"/>
  <c r="F733" i="11"/>
  <c r="G733" s="1"/>
  <c r="F733" i="8"/>
  <c r="G733" s="1"/>
  <c r="F733" i="7"/>
  <c r="F733" i="4"/>
  <c r="I733"/>
  <c r="F733" i="22" s="1"/>
  <c r="F734" i="3"/>
  <c r="F734" i="12"/>
  <c r="Q734" s="1"/>
  <c r="F734" i="17"/>
  <c r="F734" i="9"/>
  <c r="G734" s="1"/>
  <c r="K734" i="5"/>
  <c r="L734" s="1"/>
  <c r="F734"/>
  <c r="F734" i="10"/>
  <c r="F734" i="11"/>
  <c r="G734" s="1"/>
  <c r="F734" i="8"/>
  <c r="G734" s="1"/>
  <c r="F734" i="7"/>
  <c r="F734" i="4"/>
  <c r="I734"/>
  <c r="F734" i="22" s="1"/>
  <c r="F735" i="3"/>
  <c r="F735" i="12"/>
  <c r="Q735" s="1"/>
  <c r="F735" i="17"/>
  <c r="F735" i="9"/>
  <c r="G735" s="1"/>
  <c r="K735" i="5"/>
  <c r="L735" s="1"/>
  <c r="F735"/>
  <c r="F735" i="10"/>
  <c r="F735" i="11"/>
  <c r="G735" s="1"/>
  <c r="F735" i="8"/>
  <c r="G735" s="1"/>
  <c r="F735" i="7"/>
  <c r="F735" i="4"/>
  <c r="I735"/>
  <c r="F735" i="22" s="1"/>
  <c r="F736" i="3"/>
  <c r="F736" i="12"/>
  <c r="Q736" s="1"/>
  <c r="F736" i="17"/>
  <c r="F736" i="9"/>
  <c r="G736" s="1"/>
  <c r="K736" i="5"/>
  <c r="L736" s="1"/>
  <c r="F736"/>
  <c r="F736" i="10"/>
  <c r="F736" i="11"/>
  <c r="G736" s="1"/>
  <c r="F736" i="8"/>
  <c r="G736" s="1"/>
  <c r="F736" i="7"/>
  <c r="F736" i="4"/>
  <c r="I736"/>
  <c r="F736" i="22" s="1"/>
  <c r="F737" i="3"/>
  <c r="F737" i="12"/>
  <c r="Q737" s="1"/>
  <c r="F737" i="17"/>
  <c r="F737" i="9"/>
  <c r="G737" s="1"/>
  <c r="K737" i="5"/>
  <c r="L737" s="1"/>
  <c r="F737"/>
  <c r="F737" i="10"/>
  <c r="F737" i="11"/>
  <c r="G737" s="1"/>
  <c r="F737" i="8"/>
  <c r="G737" s="1"/>
  <c r="F737" i="7"/>
  <c r="F737" i="4"/>
  <c r="I737"/>
  <c r="F737" i="22" s="1"/>
  <c r="F738" i="3"/>
  <c r="F738" i="12"/>
  <c r="Q738" s="1"/>
  <c r="F738" i="17"/>
  <c r="F738" i="9"/>
  <c r="G738" s="1"/>
  <c r="K738" i="5"/>
  <c r="L738" s="1"/>
  <c r="F738"/>
  <c r="F738" i="10"/>
  <c r="F738" i="11"/>
  <c r="G738" s="1"/>
  <c r="F738" i="8"/>
  <c r="G738" s="1"/>
  <c r="F738" i="7"/>
  <c r="F738" i="4"/>
  <c r="I738"/>
  <c r="F738" i="22" s="1"/>
  <c r="F739" i="3"/>
  <c r="F739" i="12"/>
  <c r="Q739" s="1"/>
  <c r="F739" i="17"/>
  <c r="F739" i="9"/>
  <c r="G739" s="1"/>
  <c r="K739" i="5"/>
  <c r="L739" s="1"/>
  <c r="F739"/>
  <c r="F739" i="10"/>
  <c r="F739" i="11"/>
  <c r="G739" s="1"/>
  <c r="F739" i="8"/>
  <c r="G739" s="1"/>
  <c r="F739" i="7"/>
  <c r="F739" i="4"/>
  <c r="I739"/>
  <c r="F739" i="22" s="1"/>
  <c r="F740" i="3"/>
  <c r="F740" i="12"/>
  <c r="Q740" s="1"/>
  <c r="F740" i="17"/>
  <c r="F740" i="9"/>
  <c r="G740" s="1"/>
  <c r="K740" i="5"/>
  <c r="L740" s="1"/>
  <c r="F740"/>
  <c r="F740" i="10"/>
  <c r="F740" i="11"/>
  <c r="G740" s="1"/>
  <c r="F740" i="8"/>
  <c r="G740" s="1"/>
  <c r="F740" i="7"/>
  <c r="F740" i="4"/>
  <c r="I740"/>
  <c r="F740" i="22" s="1"/>
  <c r="F741" i="3"/>
  <c r="F741" i="12"/>
  <c r="Q741" s="1"/>
  <c r="F741" i="17"/>
  <c r="F741" i="9"/>
  <c r="G741" s="1"/>
  <c r="K741" i="5"/>
  <c r="L741" s="1"/>
  <c r="F741"/>
  <c r="F741" i="10"/>
  <c r="F741" i="11"/>
  <c r="G741" s="1"/>
  <c r="F741" i="8"/>
  <c r="G741" s="1"/>
  <c r="F741" i="7"/>
  <c r="F741" i="4"/>
  <c r="I741"/>
  <c r="F741" i="22" s="1"/>
  <c r="F742" i="3"/>
  <c r="F742" i="12"/>
  <c r="Q742" s="1"/>
  <c r="F742" i="17"/>
  <c r="F742" i="9"/>
  <c r="G742" s="1"/>
  <c r="K742" i="5"/>
  <c r="L742" s="1"/>
  <c r="F742"/>
  <c r="F742" i="10"/>
  <c r="F742" i="11"/>
  <c r="G742" s="1"/>
  <c r="F742" i="8"/>
  <c r="G742" s="1"/>
  <c r="F742" i="7"/>
  <c r="F742" i="4"/>
  <c r="I742"/>
  <c r="F742" i="22" s="1"/>
  <c r="F743" i="3"/>
  <c r="F743" i="12"/>
  <c r="Q743" s="1"/>
  <c r="F743" i="17"/>
  <c r="F743" i="9"/>
  <c r="G743" s="1"/>
  <c r="K743" i="5"/>
  <c r="L743" s="1"/>
  <c r="F743"/>
  <c r="F743" i="10"/>
  <c r="F743" i="11"/>
  <c r="G743" s="1"/>
  <c r="F743" i="8"/>
  <c r="G743" s="1"/>
  <c r="F743" i="7"/>
  <c r="F743" i="4"/>
  <c r="I743"/>
  <c r="F743" i="22" s="1"/>
  <c r="F744" i="3"/>
  <c r="F744" i="12"/>
  <c r="Q744" s="1"/>
  <c r="F744" i="17"/>
  <c r="F744" i="9"/>
  <c r="G744" s="1"/>
  <c r="K744" i="5"/>
  <c r="L744" s="1"/>
  <c r="F744"/>
  <c r="F744" i="10"/>
  <c r="F744" i="11"/>
  <c r="G744" s="1"/>
  <c r="F744" i="8"/>
  <c r="G744" s="1"/>
  <c r="F744" i="7"/>
  <c r="F744" i="4"/>
  <c r="I744"/>
  <c r="F744" i="22" s="1"/>
  <c r="F745" i="3"/>
  <c r="J745" i="12"/>
  <c r="K745" s="1"/>
  <c r="F745"/>
  <c r="F745" i="17"/>
  <c r="F745" i="9"/>
  <c r="G745" s="1"/>
  <c r="K745" i="5"/>
  <c r="L745" s="1"/>
  <c r="P745" s="1"/>
  <c r="Q745" s="1"/>
  <c r="F745"/>
  <c r="I745" i="6"/>
  <c r="F745" i="10"/>
  <c r="F745" i="11"/>
  <c r="G745" s="1"/>
  <c r="F745" i="8"/>
  <c r="G745" s="1"/>
  <c r="F745" i="7"/>
  <c r="F745" i="4"/>
  <c r="I745" s="1"/>
  <c r="F745" i="22" s="1"/>
  <c r="F386" i="14"/>
  <c r="F386" i="12"/>
  <c r="F386" i="17"/>
  <c r="F386" i="9"/>
  <c r="G386" s="1"/>
  <c r="K386" i="5"/>
  <c r="L386"/>
  <c r="P386" s="1"/>
  <c r="Q386" s="1"/>
  <c r="F386"/>
  <c r="F386" i="10"/>
  <c r="F386" i="11"/>
  <c r="G386" s="1"/>
  <c r="F387" i="8"/>
  <c r="G387" s="1"/>
  <c r="K386" i="7"/>
  <c r="L386"/>
  <c r="F386"/>
  <c r="F386" i="4"/>
  <c r="I386"/>
  <c r="F386" i="22" s="1"/>
  <c r="F387" i="14"/>
  <c r="G387" s="1"/>
  <c r="F387" i="12"/>
  <c r="F387" i="17"/>
  <c r="F387" i="9"/>
  <c r="G387" s="1"/>
  <c r="K387" i="5"/>
  <c r="L387"/>
  <c r="P387" s="1"/>
  <c r="Q387" s="1"/>
  <c r="F387"/>
  <c r="F387" i="10"/>
  <c r="F387" i="11"/>
  <c r="G387" s="1"/>
  <c r="F388" i="8"/>
  <c r="G388" s="1"/>
  <c r="K387" i="7"/>
  <c r="L387"/>
  <c r="F387"/>
  <c r="F387" i="4"/>
  <c r="I387"/>
  <c r="F387" i="22" s="1"/>
  <c r="F388" i="14"/>
  <c r="G388" s="1"/>
  <c r="F388" i="12"/>
  <c r="F388" i="17"/>
  <c r="F388" i="9"/>
  <c r="G388" s="1"/>
  <c r="K388" i="5"/>
  <c r="L388"/>
  <c r="P388" s="1"/>
  <c r="Q388" s="1"/>
  <c r="F388"/>
  <c r="F388" i="10"/>
  <c r="F388" i="11"/>
  <c r="G388" s="1"/>
  <c r="F389" i="8"/>
  <c r="G389" s="1"/>
  <c r="K388" i="7"/>
  <c r="L388"/>
  <c r="F388"/>
  <c r="F388" i="4"/>
  <c r="I388"/>
  <c r="F388" i="22" s="1"/>
  <c r="F389" i="14"/>
  <c r="G389" s="1"/>
  <c r="F389" i="12"/>
  <c r="F389" i="17"/>
  <c r="F389" i="9"/>
  <c r="G389" s="1"/>
  <c r="K389" i="5"/>
  <c r="L389"/>
  <c r="P389" s="1"/>
  <c r="Q389" s="1"/>
  <c r="F389"/>
  <c r="F389" i="10"/>
  <c r="F389" i="11"/>
  <c r="G389" s="1"/>
  <c r="F390" i="8"/>
  <c r="G390" s="1"/>
  <c r="K389" i="7"/>
  <c r="L389"/>
  <c r="F389"/>
  <c r="F389" i="4"/>
  <c r="I389"/>
  <c r="F389" i="22" s="1"/>
  <c r="F390" i="14"/>
  <c r="G390" s="1"/>
  <c r="F390" i="12"/>
  <c r="F390" i="17"/>
  <c r="F390" i="9"/>
  <c r="G390" s="1"/>
  <c r="K390" i="5"/>
  <c r="L390"/>
  <c r="P390" s="1"/>
  <c r="Q390" s="1"/>
  <c r="F390"/>
  <c r="F390" i="10"/>
  <c r="F390" i="11"/>
  <c r="G390" s="1"/>
  <c r="F391" i="8"/>
  <c r="G391" s="1"/>
  <c r="K390" i="7"/>
  <c r="L390"/>
  <c r="F390"/>
  <c r="F390" i="4"/>
  <c r="I390"/>
  <c r="F390" i="22" s="1"/>
  <c r="F391" i="14"/>
  <c r="G391" s="1"/>
  <c r="F391" i="12"/>
  <c r="F391" i="17"/>
  <c r="F391" i="9"/>
  <c r="G391" s="1"/>
  <c r="K391" i="5"/>
  <c r="L391"/>
  <c r="P391" s="1"/>
  <c r="Q391" s="1"/>
  <c r="F391"/>
  <c r="F391" i="10"/>
  <c r="F391" i="11"/>
  <c r="G391" s="1"/>
  <c r="F392" i="8"/>
  <c r="G392" s="1"/>
  <c r="K391" i="7"/>
  <c r="L391"/>
  <c r="F391"/>
  <c r="F391" i="4"/>
  <c r="I391"/>
  <c r="F391" i="22" s="1"/>
  <c r="F392" i="14"/>
  <c r="G392" s="1"/>
  <c r="F392" i="12"/>
  <c r="F392" i="17"/>
  <c r="F392" i="9"/>
  <c r="G392" s="1"/>
  <c r="K392" i="5"/>
  <c r="L392"/>
  <c r="P392" s="1"/>
  <c r="Q392" s="1"/>
  <c r="F392"/>
  <c r="F392" i="10"/>
  <c r="F392" i="11"/>
  <c r="G392" s="1"/>
  <c r="F393" i="8"/>
  <c r="G393" s="1"/>
  <c r="K392" i="7"/>
  <c r="L392"/>
  <c r="F392"/>
  <c r="F392" i="4"/>
  <c r="I392"/>
  <c r="F392" i="22" s="1"/>
  <c r="F393" i="14"/>
  <c r="G393" s="1"/>
  <c r="F393" i="12"/>
  <c r="F393" i="17"/>
  <c r="F393" i="9"/>
  <c r="G393" s="1"/>
  <c r="K393" i="5"/>
  <c r="L393"/>
  <c r="P393" s="1"/>
  <c r="Q393" s="1"/>
  <c r="F393"/>
  <c r="F393" i="10"/>
  <c r="F393" i="11"/>
  <c r="G393" s="1"/>
  <c r="F394" i="8"/>
  <c r="G394" s="1"/>
  <c r="K393" i="7"/>
  <c r="L393"/>
  <c r="F393"/>
  <c r="F393" i="4"/>
  <c r="I393"/>
  <c r="F393" i="22" s="1"/>
  <c r="F394" i="14"/>
  <c r="G394" s="1"/>
  <c r="F394" i="12"/>
  <c r="F394" i="17"/>
  <c r="F394" i="9"/>
  <c r="G394" s="1"/>
  <c r="K394" i="5"/>
  <c r="L394"/>
  <c r="P394" s="1"/>
  <c r="Q394" s="1"/>
  <c r="F394"/>
  <c r="F394" i="10"/>
  <c r="F394" i="11"/>
  <c r="G394" s="1"/>
  <c r="F395" i="8"/>
  <c r="G395" s="1"/>
  <c r="K394" i="7"/>
  <c r="L394"/>
  <c r="F394"/>
  <c r="F394" i="4"/>
  <c r="I394"/>
  <c r="F394" i="22" s="1"/>
  <c r="F395" i="14"/>
  <c r="G395" s="1"/>
  <c r="F395" i="12"/>
  <c r="F395" i="17"/>
  <c r="F395" i="9"/>
  <c r="G395" s="1"/>
  <c r="K395" i="5"/>
  <c r="L395"/>
  <c r="P395" s="1"/>
  <c r="Q395" s="1"/>
  <c r="F395"/>
  <c r="F395" i="10"/>
  <c r="F395" i="11"/>
  <c r="G395" s="1"/>
  <c r="F396" i="8"/>
  <c r="G396" s="1"/>
  <c r="K395" i="7"/>
  <c r="L395"/>
  <c r="F395"/>
  <c r="F395" i="4"/>
  <c r="I395"/>
  <c r="F395" i="22" s="1"/>
  <c r="F396" i="14"/>
  <c r="G396" s="1"/>
  <c r="F396" i="12"/>
  <c r="F396" i="17"/>
  <c r="F396" i="9"/>
  <c r="G396" s="1"/>
  <c r="K396" i="5"/>
  <c r="L396"/>
  <c r="P396" s="1"/>
  <c r="Q396" s="1"/>
  <c r="F396"/>
  <c r="F396" i="10"/>
  <c r="F396" i="11"/>
  <c r="G396" s="1"/>
  <c r="F397" i="8"/>
  <c r="G397" s="1"/>
  <c r="K396" i="7"/>
  <c r="L396"/>
  <c r="F396"/>
  <c r="F396" i="4"/>
  <c r="I396"/>
  <c r="F396" i="22" s="1"/>
  <c r="F397" i="14"/>
  <c r="G397" s="1"/>
  <c r="F397" i="12"/>
  <c r="F397" i="17"/>
  <c r="F397" i="9"/>
  <c r="G397" s="1"/>
  <c r="K397" i="5"/>
  <c r="L397"/>
  <c r="P397" s="1"/>
  <c r="Q397" s="1"/>
  <c r="F397"/>
  <c r="F397" i="10"/>
  <c r="F397" i="11"/>
  <c r="G397" s="1"/>
  <c r="F398" i="8"/>
  <c r="G398" s="1"/>
  <c r="K397" i="7"/>
  <c r="L397"/>
  <c r="F397"/>
  <c r="F397" i="4"/>
  <c r="I397"/>
  <c r="F397" i="22" s="1"/>
  <c r="F398" i="14"/>
  <c r="G398" s="1"/>
  <c r="F398" i="12"/>
  <c r="F398" i="17"/>
  <c r="F398" i="9"/>
  <c r="G398" s="1"/>
  <c r="K398" i="5"/>
  <c r="L398"/>
  <c r="P398" s="1"/>
  <c r="Q398" s="1"/>
  <c r="F398"/>
  <c r="F398" i="10"/>
  <c r="F398" i="11"/>
  <c r="G398" s="1"/>
  <c r="F399" i="8"/>
  <c r="G399" s="1"/>
  <c r="K398" i="7"/>
  <c r="L398"/>
  <c r="F398"/>
  <c r="F398" i="4"/>
  <c r="I398"/>
  <c r="F398" i="22" s="1"/>
  <c r="F399" i="14"/>
  <c r="G399" s="1"/>
  <c r="F399" i="12"/>
  <c r="F399" i="17"/>
  <c r="F399" i="9"/>
  <c r="G399" s="1"/>
  <c r="K399" i="5"/>
  <c r="L399"/>
  <c r="P399" s="1"/>
  <c r="Q399" s="1"/>
  <c r="F399"/>
  <c r="F399" i="10"/>
  <c r="F399" i="11"/>
  <c r="G399" s="1"/>
  <c r="F400" i="8"/>
  <c r="G400" s="1"/>
  <c r="K399" i="7"/>
  <c r="L399"/>
  <c r="F399"/>
  <c r="F399" i="4"/>
  <c r="I399"/>
  <c r="F399" i="22" s="1"/>
  <c r="F400" i="14"/>
  <c r="G400" s="1"/>
  <c r="F400" i="12"/>
  <c r="F400" i="17"/>
  <c r="F400" i="9"/>
  <c r="G400" s="1"/>
  <c r="K400" i="5"/>
  <c r="L400"/>
  <c r="P400" s="1"/>
  <c r="Q400" s="1"/>
  <c r="F400"/>
  <c r="F400" i="10"/>
  <c r="F400" i="11"/>
  <c r="G400" s="1"/>
  <c r="F401" i="8"/>
  <c r="G401" s="1"/>
  <c r="K400" i="7"/>
  <c r="L400"/>
  <c r="F400"/>
  <c r="F400" i="4"/>
  <c r="I400"/>
  <c r="F400" i="22" s="1"/>
  <c r="F401" i="14"/>
  <c r="G401" s="1"/>
  <c r="F401" i="12"/>
  <c r="F401" i="17"/>
  <c r="F401" i="9"/>
  <c r="G401" s="1"/>
  <c r="K401" i="5"/>
  <c r="L401"/>
  <c r="P401" s="1"/>
  <c r="Q401" s="1"/>
  <c r="F401"/>
  <c r="F401" i="10"/>
  <c r="F401" i="11"/>
  <c r="G401" s="1"/>
  <c r="F402" i="8"/>
  <c r="G402" s="1"/>
  <c r="K401" i="7"/>
  <c r="L401"/>
  <c r="F401"/>
  <c r="F401" i="4"/>
  <c r="I401"/>
  <c r="F401" i="22" s="1"/>
  <c r="F402" i="14"/>
  <c r="G402" s="1"/>
  <c r="F402" i="12"/>
  <c r="F402" i="17"/>
  <c r="F402" i="9"/>
  <c r="G402" s="1"/>
  <c r="K402" i="5"/>
  <c r="L402"/>
  <c r="P402" s="1"/>
  <c r="Q402" s="1"/>
  <c r="F402"/>
  <c r="F402" i="10"/>
  <c r="F402" i="11"/>
  <c r="G402" s="1"/>
  <c r="F403" i="8"/>
  <c r="G403" s="1"/>
  <c r="K402" i="7"/>
  <c r="L402"/>
  <c r="F402"/>
  <c r="F402" i="4"/>
  <c r="I402"/>
  <c r="F402" i="22" s="1"/>
  <c r="F403" i="14"/>
  <c r="G403" s="1"/>
  <c r="F403" i="12"/>
  <c r="F403" i="17"/>
  <c r="F403" i="9"/>
  <c r="G403" s="1"/>
  <c r="K403" i="5"/>
  <c r="L403"/>
  <c r="P403" s="1"/>
  <c r="Q403" s="1"/>
  <c r="F403"/>
  <c r="F403" i="10"/>
  <c r="F403" i="11"/>
  <c r="G403" s="1"/>
  <c r="F404" i="8"/>
  <c r="G404" s="1"/>
  <c r="K403" i="7"/>
  <c r="L403"/>
  <c r="F403"/>
  <c r="F403" i="4"/>
  <c r="I403"/>
  <c r="F403" i="22" s="1"/>
  <c r="F404" i="14"/>
  <c r="G404" s="1"/>
  <c r="F404" i="12"/>
  <c r="F404" i="17"/>
  <c r="F404" i="9"/>
  <c r="G404" s="1"/>
  <c r="K404" i="5"/>
  <c r="L404"/>
  <c r="P404" s="1"/>
  <c r="Q404" s="1"/>
  <c r="F404"/>
  <c r="F404" i="10"/>
  <c r="F404" i="11"/>
  <c r="G404" s="1"/>
  <c r="F405" i="8"/>
  <c r="G405" s="1"/>
  <c r="K404" i="7"/>
  <c r="L404"/>
  <c r="F404"/>
  <c r="F404" i="4"/>
  <c r="I404"/>
  <c r="F404" i="22" s="1"/>
  <c r="F405" i="14"/>
  <c r="G405" s="1"/>
  <c r="F405" i="12"/>
  <c r="F405" i="17"/>
  <c r="F405" i="9"/>
  <c r="G405" s="1"/>
  <c r="K405" i="5"/>
  <c r="L405"/>
  <c r="P405" s="1"/>
  <c r="Q405" s="1"/>
  <c r="F405"/>
  <c r="F405" i="10"/>
  <c r="F405" i="11"/>
  <c r="G405" s="1"/>
  <c r="F406" i="8"/>
  <c r="G406" s="1"/>
  <c r="K405" i="7"/>
  <c r="L405"/>
  <c r="F405"/>
  <c r="F405" i="4"/>
  <c r="I405"/>
  <c r="F405" i="22" s="1"/>
  <c r="F406" i="14"/>
  <c r="G406" s="1"/>
  <c r="F406" i="12"/>
  <c r="F406" i="17"/>
  <c r="F406" i="9"/>
  <c r="G406" s="1"/>
  <c r="K406" i="5"/>
  <c r="L406"/>
  <c r="P406" s="1"/>
  <c r="Q406" s="1"/>
  <c r="F406"/>
  <c r="F406" i="10"/>
  <c r="F406" i="11"/>
  <c r="G406" s="1"/>
  <c r="F407" i="8"/>
  <c r="G407" s="1"/>
  <c r="K406" i="7"/>
  <c r="L406"/>
  <c r="F406"/>
  <c r="F406" i="4"/>
  <c r="I406"/>
  <c r="F406" i="22" s="1"/>
  <c r="F407" i="14"/>
  <c r="G407" s="1"/>
  <c r="F407" i="12"/>
  <c r="F407" i="17"/>
  <c r="F407" i="9"/>
  <c r="G407" s="1"/>
  <c r="K407" i="5"/>
  <c r="L407"/>
  <c r="P407" s="1"/>
  <c r="Q407" s="1"/>
  <c r="F407"/>
  <c r="F407" i="10"/>
  <c r="F407" i="11"/>
  <c r="G407" s="1"/>
  <c r="F408" i="8"/>
  <c r="G408" s="1"/>
  <c r="K407" i="7"/>
  <c r="L407"/>
  <c r="F407"/>
  <c r="F407" i="4"/>
  <c r="I407"/>
  <c r="F407" i="22" s="1"/>
  <c r="F408" i="14"/>
  <c r="G408" s="1"/>
  <c r="F408" i="12"/>
  <c r="F408" i="17"/>
  <c r="F408" i="9"/>
  <c r="G408" s="1"/>
  <c r="K408" i="5"/>
  <c r="L408"/>
  <c r="P408" s="1"/>
  <c r="Q408" s="1"/>
  <c r="F408"/>
  <c r="F408" i="10"/>
  <c r="F408" i="11"/>
  <c r="G408" s="1"/>
  <c r="F409" i="8"/>
  <c r="G409" s="1"/>
  <c r="K408" i="7"/>
  <c r="L408"/>
  <c r="F408"/>
  <c r="F408" i="4"/>
  <c r="I408"/>
  <c r="F408" i="22" s="1"/>
  <c r="F409" i="14"/>
  <c r="G409" s="1"/>
  <c r="F409" i="12"/>
  <c r="F409" i="17"/>
  <c r="F409" i="9"/>
  <c r="G409" s="1"/>
  <c r="K409" i="5"/>
  <c r="L409"/>
  <c r="P409" s="1"/>
  <c r="Q409" s="1"/>
  <c r="F409"/>
  <c r="F409" i="10"/>
  <c r="F409" i="11"/>
  <c r="G409" s="1"/>
  <c r="F410" i="8"/>
  <c r="G410" s="1"/>
  <c r="K409" i="7"/>
  <c r="L409"/>
  <c r="F409"/>
  <c r="F409" i="4"/>
  <c r="I409"/>
  <c r="F409" i="22" s="1"/>
  <c r="F410" i="14"/>
  <c r="G410" s="1"/>
  <c r="F410" i="12"/>
  <c r="F410" i="17"/>
  <c r="F410" i="9"/>
  <c r="G410" s="1"/>
  <c r="K410" i="5"/>
  <c r="L410"/>
  <c r="P410" s="1"/>
  <c r="Q410" s="1"/>
  <c r="F410"/>
  <c r="F410" i="10"/>
  <c r="F410" i="11"/>
  <c r="G410" s="1"/>
  <c r="F411" i="8"/>
  <c r="G411" s="1"/>
  <c r="K410" i="7"/>
  <c r="L410"/>
  <c r="F410"/>
  <c r="F410" i="4"/>
  <c r="I410"/>
  <c r="F410" i="22" s="1"/>
  <c r="F411" i="14"/>
  <c r="G411" s="1"/>
  <c r="F411" i="12"/>
  <c r="F411" i="17"/>
  <c r="F411" i="9"/>
  <c r="G411" s="1"/>
  <c r="K411" i="5"/>
  <c r="L411"/>
  <c r="P411" s="1"/>
  <c r="Q411" s="1"/>
  <c r="F411"/>
  <c r="F411" i="10"/>
  <c r="F411" i="11"/>
  <c r="G411" s="1"/>
  <c r="F412" i="8"/>
  <c r="G412" s="1"/>
  <c r="K411" i="7"/>
  <c r="L411"/>
  <c r="F411"/>
  <c r="F411" i="4"/>
  <c r="I411"/>
  <c r="F411" i="22" s="1"/>
  <c r="F412" i="14"/>
  <c r="G412" s="1"/>
  <c r="F412" i="12"/>
  <c r="F412" i="17"/>
  <c r="F412" i="9"/>
  <c r="G412" s="1"/>
  <c r="K412" i="5"/>
  <c r="L412"/>
  <c r="P412" s="1"/>
  <c r="Q412" s="1"/>
  <c r="F412"/>
  <c r="F412" i="10"/>
  <c r="F412" i="11"/>
  <c r="G412" s="1"/>
  <c r="F413" i="8"/>
  <c r="G413" s="1"/>
  <c r="K412" i="7"/>
  <c r="L412"/>
  <c r="F412"/>
  <c r="F412" i="4"/>
  <c r="I412"/>
  <c r="F412" i="22" s="1"/>
  <c r="F413" i="14"/>
  <c r="G413" s="1"/>
  <c r="F413" i="12"/>
  <c r="F413" i="17"/>
  <c r="F413" i="9"/>
  <c r="G413" s="1"/>
  <c r="K413" i="5"/>
  <c r="L413"/>
  <c r="P413" s="1"/>
  <c r="Q413" s="1"/>
  <c r="F413"/>
  <c r="F413" i="10"/>
  <c r="F413" i="11"/>
  <c r="G413" s="1"/>
  <c r="F414" i="8"/>
  <c r="G414" s="1"/>
  <c r="K413" i="7"/>
  <c r="L413"/>
  <c r="F413"/>
  <c r="F413" i="4"/>
  <c r="I413"/>
  <c r="F413" i="22" s="1"/>
  <c r="F414" i="14"/>
  <c r="G414" s="1"/>
  <c r="F414" i="12"/>
  <c r="F414" i="17"/>
  <c r="F414" i="9"/>
  <c r="G414" s="1"/>
  <c r="K414" i="5"/>
  <c r="L414"/>
  <c r="P414" s="1"/>
  <c r="Q414" s="1"/>
  <c r="F414"/>
  <c r="F414" i="10"/>
  <c r="F414" i="11"/>
  <c r="G414" s="1"/>
  <c r="F415" i="8"/>
  <c r="G415" s="1"/>
  <c r="K414" i="7"/>
  <c r="L414"/>
  <c r="F414"/>
  <c r="F414" i="4"/>
  <c r="I414"/>
  <c r="F414" i="22" s="1"/>
  <c r="F415" i="14"/>
  <c r="G415" s="1"/>
  <c r="F415" i="12"/>
  <c r="F415" i="17"/>
  <c r="F415" i="9"/>
  <c r="G415" s="1"/>
  <c r="K415" i="5"/>
  <c r="L415"/>
  <c r="P415" s="1"/>
  <c r="Q415" s="1"/>
  <c r="F415"/>
  <c r="F415" i="10"/>
  <c r="F415" i="11"/>
  <c r="G415" s="1"/>
  <c r="F416" i="8"/>
  <c r="G416" s="1"/>
  <c r="K415" i="7"/>
  <c r="L415"/>
  <c r="F415"/>
  <c r="F415" i="4"/>
  <c r="I415"/>
  <c r="F415" i="22" s="1"/>
  <c r="F416" i="14"/>
  <c r="G416" s="1"/>
  <c r="F416" i="12"/>
  <c r="F416" i="17"/>
  <c r="F416" i="9"/>
  <c r="G416" s="1"/>
  <c r="K416" i="5"/>
  <c r="L416"/>
  <c r="P416" s="1"/>
  <c r="Q416" s="1"/>
  <c r="F416"/>
  <c r="F416" i="10"/>
  <c r="F416" i="11"/>
  <c r="G416" s="1"/>
  <c r="F417" i="8"/>
  <c r="G417" s="1"/>
  <c r="K416" i="7"/>
  <c r="L416"/>
  <c r="F416"/>
  <c r="F416" i="4"/>
  <c r="I416"/>
  <c r="F416" i="22" s="1"/>
  <c r="F417" i="14"/>
  <c r="G417" s="1"/>
  <c r="F417" i="12"/>
  <c r="F417" i="17"/>
  <c r="F417" i="9"/>
  <c r="G417" s="1"/>
  <c r="K417" i="5"/>
  <c r="L417"/>
  <c r="P417" s="1"/>
  <c r="Q417" s="1"/>
  <c r="F417"/>
  <c r="F417" i="10"/>
  <c r="F417" i="11"/>
  <c r="G417" s="1"/>
  <c r="F418" i="8"/>
  <c r="G418" s="1"/>
  <c r="K417" i="7"/>
  <c r="L417"/>
  <c r="F417"/>
  <c r="F417" i="4"/>
  <c r="I417"/>
  <c r="F417" i="22" s="1"/>
  <c r="F418" i="14"/>
  <c r="G418" s="1"/>
  <c r="F418" i="12"/>
  <c r="F418" i="17"/>
  <c r="F418" i="9"/>
  <c r="G418" s="1"/>
  <c r="K418" i="5"/>
  <c r="L418"/>
  <c r="P418" s="1"/>
  <c r="Q418" s="1"/>
  <c r="F418"/>
  <c r="F418" i="10"/>
  <c r="F418" i="11"/>
  <c r="G418" s="1"/>
  <c r="F419" i="8"/>
  <c r="G419" s="1"/>
  <c r="K418" i="7"/>
  <c r="L418"/>
  <c r="F418"/>
  <c r="F418" i="4"/>
  <c r="I418"/>
  <c r="F418" i="22" s="1"/>
  <c r="F419" i="12"/>
  <c r="F419" i="17"/>
  <c r="F419" i="9"/>
  <c r="G419" s="1"/>
  <c r="K419" i="5"/>
  <c r="L419"/>
  <c r="P419" s="1"/>
  <c r="Q419" s="1"/>
  <c r="F419"/>
  <c r="F419" i="10"/>
  <c r="F419" i="11"/>
  <c r="G419" s="1"/>
  <c r="F420" i="8"/>
  <c r="G420" s="1"/>
  <c r="K419" i="7"/>
  <c r="L419"/>
  <c r="F419"/>
  <c r="F419" i="4"/>
  <c r="I419"/>
  <c r="F419" i="22" s="1"/>
  <c r="F420" i="12"/>
  <c r="F420" i="17"/>
  <c r="F420" i="9"/>
  <c r="G420" s="1"/>
  <c r="K420" i="5"/>
  <c r="L420"/>
  <c r="P420" s="1"/>
  <c r="Q420" s="1"/>
  <c r="F420"/>
  <c r="F420" i="10"/>
  <c r="F420" i="11"/>
  <c r="G420" s="1"/>
  <c r="F421" i="8"/>
  <c r="G421" s="1"/>
  <c r="K420" i="7"/>
  <c r="L420"/>
  <c r="F420"/>
  <c r="F420" i="4"/>
  <c r="I420"/>
  <c r="F420" i="22" s="1"/>
  <c r="F421" i="12"/>
  <c r="F421" i="17"/>
  <c r="F421" i="9"/>
  <c r="G421" s="1"/>
  <c r="K421" i="5"/>
  <c r="L421"/>
  <c r="P421" s="1"/>
  <c r="Q421" s="1"/>
  <c r="F421"/>
  <c r="F421" i="10"/>
  <c r="F421" i="11"/>
  <c r="G421" s="1"/>
  <c r="F422" i="8"/>
  <c r="G422" s="1"/>
  <c r="K421" i="7"/>
  <c r="L421"/>
  <c r="F421"/>
  <c r="F421" i="4"/>
  <c r="I421"/>
  <c r="F421" i="22" s="1"/>
  <c r="F422" i="12"/>
  <c r="F422" i="17"/>
  <c r="F422" i="9"/>
  <c r="G422" s="1"/>
  <c r="K422" i="5"/>
  <c r="L422"/>
  <c r="P422" s="1"/>
  <c r="Q422" s="1"/>
  <c r="F422"/>
  <c r="F422" i="10"/>
  <c r="F422" i="11"/>
  <c r="G422" s="1"/>
  <c r="F423" i="8"/>
  <c r="G423" s="1"/>
  <c r="K422" i="7"/>
  <c r="L422"/>
  <c r="F422"/>
  <c r="F422" i="4"/>
  <c r="I422"/>
  <c r="F422" i="22" s="1"/>
  <c r="F423" i="12"/>
  <c r="F423" i="17"/>
  <c r="F423" i="9"/>
  <c r="G423" s="1"/>
  <c r="K423" i="5"/>
  <c r="L423"/>
  <c r="P423" s="1"/>
  <c r="Q423" s="1"/>
  <c r="F423"/>
  <c r="F423" i="10"/>
  <c r="F423" i="11"/>
  <c r="G423" s="1"/>
  <c r="F424" i="8"/>
  <c r="G424" s="1"/>
  <c r="K423" i="7"/>
  <c r="L423"/>
  <c r="F423"/>
  <c r="F423" i="4"/>
  <c r="I423"/>
  <c r="F423" i="22" s="1"/>
  <c r="F424" i="12"/>
  <c r="F424" i="17"/>
  <c r="F424" i="9"/>
  <c r="G424" s="1"/>
  <c r="K424" i="5"/>
  <c r="L424"/>
  <c r="P424" s="1"/>
  <c r="Q424" s="1"/>
  <c r="F424"/>
  <c r="F424" i="10"/>
  <c r="F424" i="11"/>
  <c r="G424" s="1"/>
  <c r="F425" i="8"/>
  <c r="G425" s="1"/>
  <c r="K424" i="7"/>
  <c r="L424"/>
  <c r="F424"/>
  <c r="F424" i="4"/>
  <c r="I424"/>
  <c r="F424" i="22" s="1"/>
  <c r="F425" i="12"/>
  <c r="F425" i="17"/>
  <c r="F425" i="9"/>
  <c r="G425" s="1"/>
  <c r="K425" i="5"/>
  <c r="L425"/>
  <c r="P425" s="1"/>
  <c r="Q425" s="1"/>
  <c r="F425"/>
  <c r="F425" i="10"/>
  <c r="F425" i="11"/>
  <c r="G425" s="1"/>
  <c r="F426" i="8"/>
  <c r="G426" s="1"/>
  <c r="K425" i="7"/>
  <c r="L425"/>
  <c r="F425"/>
  <c r="F425" i="4"/>
  <c r="I425"/>
  <c r="F425" i="22" s="1"/>
  <c r="F426" i="12"/>
  <c r="F426" i="17"/>
  <c r="F426" i="9"/>
  <c r="G426" s="1"/>
  <c r="K426" i="5"/>
  <c r="L426"/>
  <c r="P426" s="1"/>
  <c r="Q426" s="1"/>
  <c r="F426"/>
  <c r="F426" i="10"/>
  <c r="F426" i="11"/>
  <c r="G426" s="1"/>
  <c r="F427" i="8"/>
  <c r="G427" s="1"/>
  <c r="K426" i="7"/>
  <c r="L426"/>
  <c r="F426"/>
  <c r="F426" i="4"/>
  <c r="I426"/>
  <c r="F426" i="22" s="1"/>
  <c r="F427" i="12"/>
  <c r="F427" i="17"/>
  <c r="F427" i="9"/>
  <c r="G427" s="1"/>
  <c r="K427" i="5"/>
  <c r="L427"/>
  <c r="P427" s="1"/>
  <c r="Q427" s="1"/>
  <c r="F427"/>
  <c r="F427" i="10"/>
  <c r="F427" i="11"/>
  <c r="G427" s="1"/>
  <c r="F428" i="8"/>
  <c r="G428" s="1"/>
  <c r="K427" i="7"/>
  <c r="L427"/>
  <c r="F427"/>
  <c r="F427" i="4"/>
  <c r="I427"/>
  <c r="F427" i="22" s="1"/>
  <c r="F428" i="12"/>
  <c r="F428" i="17"/>
  <c r="F428" i="9"/>
  <c r="G428" s="1"/>
  <c r="K428" i="5"/>
  <c r="L428"/>
  <c r="P428" s="1"/>
  <c r="Q428" s="1"/>
  <c r="F428"/>
  <c r="F428" i="10"/>
  <c r="F428" i="11"/>
  <c r="G428" s="1"/>
  <c r="F429" i="8"/>
  <c r="G429" s="1"/>
  <c r="K428" i="7"/>
  <c r="L428"/>
  <c r="F428"/>
  <c r="F428" i="4"/>
  <c r="I428"/>
  <c r="F428" i="22" s="1"/>
  <c r="F429" i="12"/>
  <c r="F429" i="17"/>
  <c r="F429" i="9"/>
  <c r="G429" s="1"/>
  <c r="K429" i="5"/>
  <c r="L429"/>
  <c r="P429" s="1"/>
  <c r="Q429" s="1"/>
  <c r="F429"/>
  <c r="F429" i="10"/>
  <c r="F429" i="11"/>
  <c r="G429" s="1"/>
  <c r="F430" i="8"/>
  <c r="G430" s="1"/>
  <c r="K429" i="7"/>
  <c r="L429"/>
  <c r="F429"/>
  <c r="F429" i="4"/>
  <c r="I429"/>
  <c r="F429" i="22" s="1"/>
  <c r="F430" i="12"/>
  <c r="F430" i="17"/>
  <c r="F430" i="9"/>
  <c r="G430" s="1"/>
  <c r="K430" i="5"/>
  <c r="L430"/>
  <c r="P430" s="1"/>
  <c r="Q430" s="1"/>
  <c r="F430"/>
  <c r="F430" i="10"/>
  <c r="F430" i="11"/>
  <c r="G430" s="1"/>
  <c r="F431" i="8"/>
  <c r="G431" s="1"/>
  <c r="K430" i="7"/>
  <c r="L430"/>
  <c r="F430"/>
  <c r="F430" i="4"/>
  <c r="I430"/>
  <c r="F430" i="22" s="1"/>
  <c r="F431" i="12"/>
  <c r="F431" i="17"/>
  <c r="F431" i="9"/>
  <c r="G431" s="1"/>
  <c r="K431" i="5"/>
  <c r="L431"/>
  <c r="P431" s="1"/>
  <c r="Q431" s="1"/>
  <c r="F431"/>
  <c r="F431" i="10"/>
  <c r="F431" i="11"/>
  <c r="G431" s="1"/>
  <c r="F432" i="8"/>
  <c r="G432" s="1"/>
  <c r="K431" i="7"/>
  <c r="L431"/>
  <c r="F431"/>
  <c r="F431" i="4"/>
  <c r="I431"/>
  <c r="F431" i="22" s="1"/>
  <c r="F432" i="12"/>
  <c r="F432" i="17"/>
  <c r="F432" i="9"/>
  <c r="G432" s="1"/>
  <c r="K432" i="5"/>
  <c r="L432"/>
  <c r="P432" s="1"/>
  <c r="Q432" s="1"/>
  <c r="F432"/>
  <c r="F432" i="10"/>
  <c r="F432" i="11"/>
  <c r="G432" s="1"/>
  <c r="F433" i="8"/>
  <c r="G433" s="1"/>
  <c r="K432" i="7"/>
  <c r="L432"/>
  <c r="F432"/>
  <c r="F432" i="4"/>
  <c r="I432"/>
  <c r="F432" i="22" s="1"/>
  <c r="F433" i="12"/>
  <c r="F433" i="17"/>
  <c r="F433" i="9"/>
  <c r="G433" s="1"/>
  <c r="K433" i="5"/>
  <c r="L433"/>
  <c r="P433" s="1"/>
  <c r="Q433" s="1"/>
  <c r="F433"/>
  <c r="F433" i="10"/>
  <c r="F433" i="11"/>
  <c r="G433" s="1"/>
  <c r="F434" i="8"/>
  <c r="G434" s="1"/>
  <c r="K433" i="7"/>
  <c r="L433"/>
  <c r="F433"/>
  <c r="F433" i="4"/>
  <c r="I433"/>
  <c r="F433" i="22" s="1"/>
  <c r="F434" i="12"/>
  <c r="F434" i="17"/>
  <c r="F434" i="9"/>
  <c r="G434" s="1"/>
  <c r="K434" i="5"/>
  <c r="L434"/>
  <c r="P434" s="1"/>
  <c r="Q434" s="1"/>
  <c r="F434"/>
  <c r="F434" i="10"/>
  <c r="F434" i="11"/>
  <c r="G434" s="1"/>
  <c r="F435" i="8"/>
  <c r="G435" s="1"/>
  <c r="K434" i="7"/>
  <c r="L434"/>
  <c r="F434"/>
  <c r="F434" i="4"/>
  <c r="I434"/>
  <c r="F434" i="22" s="1"/>
  <c r="F435" i="12"/>
  <c r="F435" i="17"/>
  <c r="F435" i="9"/>
  <c r="G435" s="1"/>
  <c r="K435" i="5"/>
  <c r="L435"/>
  <c r="P435" s="1"/>
  <c r="Q435" s="1"/>
  <c r="F435"/>
  <c r="F435" i="10"/>
  <c r="F435" i="11"/>
  <c r="G435" s="1"/>
  <c r="F436" i="8"/>
  <c r="G436" s="1"/>
  <c r="K435" i="7"/>
  <c r="L435"/>
  <c r="F435"/>
  <c r="F435" i="4"/>
  <c r="I435"/>
  <c r="F435" i="22" s="1"/>
  <c r="F436" i="12"/>
  <c r="F436" i="17"/>
  <c r="F436" i="9"/>
  <c r="G436" s="1"/>
  <c r="K436" i="5"/>
  <c r="L436"/>
  <c r="P436" s="1"/>
  <c r="Q436" s="1"/>
  <c r="F436"/>
  <c r="F436" i="10"/>
  <c r="F436" i="11"/>
  <c r="G436" s="1"/>
  <c r="F437" i="8"/>
  <c r="G437" s="1"/>
  <c r="K436" i="7"/>
  <c r="L436"/>
  <c r="F436"/>
  <c r="F436" i="4"/>
  <c r="I436"/>
  <c r="F436" i="22" s="1"/>
  <c r="F437" i="12"/>
  <c r="F437" i="17"/>
  <c r="F437" i="9"/>
  <c r="G437" s="1"/>
  <c r="K437" i="5"/>
  <c r="L437"/>
  <c r="P437" s="1"/>
  <c r="Q437" s="1"/>
  <c r="F437"/>
  <c r="F437" i="10"/>
  <c r="F437" i="11"/>
  <c r="G437" s="1"/>
  <c r="F438" i="8"/>
  <c r="G438" s="1"/>
  <c r="K437" i="7"/>
  <c r="L437"/>
  <c r="F437"/>
  <c r="F437" i="4"/>
  <c r="I437"/>
  <c r="F437" i="22" s="1"/>
  <c r="F438" i="12"/>
  <c r="F438" i="17"/>
  <c r="F438" i="9"/>
  <c r="G438" s="1"/>
  <c r="K438" i="5"/>
  <c r="L438"/>
  <c r="P438" s="1"/>
  <c r="Q438" s="1"/>
  <c r="F438"/>
  <c r="F438" i="10"/>
  <c r="F438" i="11"/>
  <c r="G438" s="1"/>
  <c r="F439" i="8"/>
  <c r="G439" s="1"/>
  <c r="K438" i="7"/>
  <c r="L438"/>
  <c r="F438"/>
  <c r="F438" i="4"/>
  <c r="I438"/>
  <c r="F438" i="22" s="1"/>
  <c r="F439" i="12"/>
  <c r="F439" i="17"/>
  <c r="F439" i="9"/>
  <c r="G439" s="1"/>
  <c r="K439" i="5"/>
  <c r="L439"/>
  <c r="P439" s="1"/>
  <c r="Q439" s="1"/>
  <c r="F439"/>
  <c r="F439" i="10"/>
  <c r="F439" i="11"/>
  <c r="G439" s="1"/>
  <c r="F440" i="8"/>
  <c r="G440" s="1"/>
  <c r="K439" i="7"/>
  <c r="L439"/>
  <c r="F439"/>
  <c r="F439" i="4"/>
  <c r="I439"/>
  <c r="F439" i="22" s="1"/>
  <c r="F440" i="12"/>
  <c r="F440" i="17"/>
  <c r="F440" i="9"/>
  <c r="G440" s="1"/>
  <c r="K440" i="5"/>
  <c r="L440"/>
  <c r="P440" s="1"/>
  <c r="Q440" s="1"/>
  <c r="F440"/>
  <c r="F440" i="10"/>
  <c r="F440" i="11"/>
  <c r="G440" s="1"/>
  <c r="F441" i="8"/>
  <c r="G441" s="1"/>
  <c r="K440" i="7"/>
  <c r="L440"/>
  <c r="F440"/>
  <c r="F440" i="4"/>
  <c r="I440"/>
  <c r="F440" i="22" s="1"/>
  <c r="F441" i="12"/>
  <c r="F441" i="17"/>
  <c r="F441" i="9"/>
  <c r="G441" s="1"/>
  <c r="K441" i="5"/>
  <c r="L441"/>
  <c r="P441" s="1"/>
  <c r="Q441" s="1"/>
  <c r="F441"/>
  <c r="F441" i="10"/>
  <c r="F441" i="11"/>
  <c r="G441" s="1"/>
  <c r="F442" i="8"/>
  <c r="G442" s="1"/>
  <c r="K441" i="7"/>
  <c r="L441"/>
  <c r="F441"/>
  <c r="F441" i="4"/>
  <c r="I441"/>
  <c r="F441" i="22" s="1"/>
  <c r="F442" i="12"/>
  <c r="F442" i="17"/>
  <c r="F442" i="9"/>
  <c r="G442" s="1"/>
  <c r="K442" i="5"/>
  <c r="L442"/>
  <c r="P442" s="1"/>
  <c r="Q442" s="1"/>
  <c r="F442"/>
  <c r="F442" i="10"/>
  <c r="F442" i="11"/>
  <c r="G442" s="1"/>
  <c r="F443" i="8"/>
  <c r="G443" s="1"/>
  <c r="K442" i="7"/>
  <c r="L442"/>
  <c r="F442"/>
  <c r="F442" i="4"/>
  <c r="I442"/>
  <c r="F442" i="22" s="1"/>
  <c r="F443" i="12"/>
  <c r="F443" i="17"/>
  <c r="F443" i="9"/>
  <c r="G443" s="1"/>
  <c r="K443" i="5"/>
  <c r="L443"/>
  <c r="P443" s="1"/>
  <c r="Q443" s="1"/>
  <c r="F443"/>
  <c r="F443" i="10"/>
  <c r="F443" i="11"/>
  <c r="G443" s="1"/>
  <c r="F444" i="8"/>
  <c r="G444" s="1"/>
  <c r="K443" i="7"/>
  <c r="L443"/>
  <c r="F443"/>
  <c r="F443" i="4"/>
  <c r="I443"/>
  <c r="F443" i="22" s="1"/>
  <c r="F444" i="12"/>
  <c r="F444" i="17"/>
  <c r="F444" i="9"/>
  <c r="G444" s="1"/>
  <c r="K444" i="5"/>
  <c r="L444"/>
  <c r="P444" s="1"/>
  <c r="Q444" s="1"/>
  <c r="F444"/>
  <c r="F444" i="10"/>
  <c r="F444" i="11"/>
  <c r="G444" s="1"/>
  <c r="F445" i="8"/>
  <c r="G445" s="1"/>
  <c r="K444" i="7"/>
  <c r="L444"/>
  <c r="F444"/>
  <c r="F444" i="4"/>
  <c r="I444"/>
  <c r="F444" i="22" s="1"/>
  <c r="F445" i="12"/>
  <c r="F445" i="17"/>
  <c r="F445" i="9"/>
  <c r="G445" s="1"/>
  <c r="K445" i="5"/>
  <c r="L445"/>
  <c r="P445" s="1"/>
  <c r="Q445" s="1"/>
  <c r="F445"/>
  <c r="F445" i="10"/>
  <c r="F445" i="11"/>
  <c r="G445" s="1"/>
  <c r="F446" i="8"/>
  <c r="G446" s="1"/>
  <c r="K445" i="7"/>
  <c r="L445"/>
  <c r="F445"/>
  <c r="F445" i="4"/>
  <c r="I445"/>
  <c r="F445" i="22" s="1"/>
  <c r="F446" i="12"/>
  <c r="F446" i="17"/>
  <c r="F446" i="9"/>
  <c r="G446" s="1"/>
  <c r="K446" i="5"/>
  <c r="L446"/>
  <c r="P446" s="1"/>
  <c r="Q446" s="1"/>
  <c r="F446"/>
  <c r="F446" i="10"/>
  <c r="F446" i="11"/>
  <c r="G446" s="1"/>
  <c r="F447" i="8"/>
  <c r="G447" s="1"/>
  <c r="K446" i="7"/>
  <c r="L446"/>
  <c r="F446"/>
  <c r="F446" i="4"/>
  <c r="I446"/>
  <c r="F446" i="22" s="1"/>
  <c r="F447" i="12"/>
  <c r="F447" i="17"/>
  <c r="F447" i="9"/>
  <c r="G447" s="1"/>
  <c r="K447" i="5"/>
  <c r="L447"/>
  <c r="P447" s="1"/>
  <c r="Q447" s="1"/>
  <c r="F447"/>
  <c r="F447" i="10"/>
  <c r="F447" i="11"/>
  <c r="G447" s="1"/>
  <c r="F448" i="8"/>
  <c r="G448" s="1"/>
  <c r="K447" i="7"/>
  <c r="L447"/>
  <c r="F447"/>
  <c r="F447" i="4"/>
  <c r="I447"/>
  <c r="F447" i="22" s="1"/>
  <c r="F448" i="12"/>
  <c r="F448" i="17"/>
  <c r="F448" i="9"/>
  <c r="G448" s="1"/>
  <c r="K448" i="5"/>
  <c r="L448"/>
  <c r="P448" s="1"/>
  <c r="Q448" s="1"/>
  <c r="F448"/>
  <c r="F448" i="10"/>
  <c r="F448" i="11"/>
  <c r="G448" s="1"/>
  <c r="F449" i="8"/>
  <c r="G449" s="1"/>
  <c r="K448" i="7"/>
  <c r="L448"/>
  <c r="F448"/>
  <c r="F448" i="4"/>
  <c r="I448"/>
  <c r="F448" i="22" s="1"/>
  <c r="F449" i="12"/>
  <c r="F449" i="17"/>
  <c r="F449" i="9"/>
  <c r="G449" s="1"/>
  <c r="K449" i="5"/>
  <c r="L449"/>
  <c r="P449" s="1"/>
  <c r="Q449" s="1"/>
  <c r="F449"/>
  <c r="F449" i="10"/>
  <c r="F449" i="11"/>
  <c r="G449" s="1"/>
  <c r="F450" i="8"/>
  <c r="G450" s="1"/>
  <c r="K449" i="7"/>
  <c r="L449"/>
  <c r="F449"/>
  <c r="F449" i="4"/>
  <c r="I449"/>
  <c r="F449" i="22" s="1"/>
  <c r="F450" i="12"/>
  <c r="F450" i="17"/>
  <c r="F450" i="9"/>
  <c r="G450" s="1"/>
  <c r="K450" i="5"/>
  <c r="L450"/>
  <c r="P450" s="1"/>
  <c r="Q450" s="1"/>
  <c r="F450"/>
  <c r="F450" i="10"/>
  <c r="F450" i="11"/>
  <c r="G450" s="1"/>
  <c r="F451" i="8"/>
  <c r="G451" s="1"/>
  <c r="K450" i="7"/>
  <c r="L450"/>
  <c r="F450"/>
  <c r="F450" i="4"/>
  <c r="I450"/>
  <c r="F450" i="22" s="1"/>
  <c r="F451" i="12"/>
  <c r="F451" i="17"/>
  <c r="F451" i="9"/>
  <c r="G451" s="1"/>
  <c r="K451" i="5"/>
  <c r="L451"/>
  <c r="P451" s="1"/>
  <c r="Q451" s="1"/>
  <c r="F451"/>
  <c r="F451" i="10"/>
  <c r="F451" i="11"/>
  <c r="G451" s="1"/>
  <c r="F452" i="8"/>
  <c r="G452" s="1"/>
  <c r="K451" i="7"/>
  <c r="L451"/>
  <c r="F451"/>
  <c r="F451" i="4"/>
  <c r="I451"/>
  <c r="F451" i="22" s="1"/>
  <c r="F452" i="12"/>
  <c r="F452" i="17"/>
  <c r="F452" i="9"/>
  <c r="G452" s="1"/>
  <c r="K452" i="5"/>
  <c r="L452"/>
  <c r="P452" s="1"/>
  <c r="Q452" s="1"/>
  <c r="F452"/>
  <c r="F452" i="10"/>
  <c r="F452" i="11"/>
  <c r="G452" s="1"/>
  <c r="F453" i="8"/>
  <c r="G453" s="1"/>
  <c r="K452" i="7"/>
  <c r="L452"/>
  <c r="F452"/>
  <c r="F452" i="4"/>
  <c r="I452"/>
  <c r="F452" i="22" s="1"/>
  <c r="F453" i="12"/>
  <c r="F453" i="17"/>
  <c r="F453" i="9"/>
  <c r="G453" s="1"/>
  <c r="K453" i="5"/>
  <c r="L453"/>
  <c r="P453" s="1"/>
  <c r="Q453" s="1"/>
  <c r="F453"/>
  <c r="F453" i="10"/>
  <c r="F453" i="11"/>
  <c r="G453" s="1"/>
  <c r="F454" i="8"/>
  <c r="G454" s="1"/>
  <c r="K453" i="7"/>
  <c r="L453"/>
  <c r="F453"/>
  <c r="F453" i="4"/>
  <c r="I453"/>
  <c r="F453" i="22" s="1"/>
  <c r="F454" i="12"/>
  <c r="F454" i="17"/>
  <c r="F454" i="9"/>
  <c r="G454" s="1"/>
  <c r="K454" i="5"/>
  <c r="L454"/>
  <c r="P454" s="1"/>
  <c r="Q454" s="1"/>
  <c r="F454"/>
  <c r="F454" i="10"/>
  <c r="F454" i="11"/>
  <c r="G454" s="1"/>
  <c r="F455" i="8"/>
  <c r="G455" s="1"/>
  <c r="K454" i="7"/>
  <c r="L454"/>
  <c r="F454"/>
  <c r="F454" i="4"/>
  <c r="I454"/>
  <c r="F454" i="22" s="1"/>
  <c r="F455" i="12"/>
  <c r="F455" i="17"/>
  <c r="F455" i="9"/>
  <c r="G455" s="1"/>
  <c r="K455" i="5"/>
  <c r="L455"/>
  <c r="P455" s="1"/>
  <c r="Q455" s="1"/>
  <c r="F455"/>
  <c r="F455" i="10"/>
  <c r="F455" i="11"/>
  <c r="G455" s="1"/>
  <c r="F456" i="8"/>
  <c r="G456" s="1"/>
  <c r="K455" i="7"/>
  <c r="L455"/>
  <c r="F455"/>
  <c r="F455" i="4"/>
  <c r="I455"/>
  <c r="F455" i="22" s="1"/>
  <c r="F456" i="12"/>
  <c r="F456" i="17"/>
  <c r="F456" i="9"/>
  <c r="G456" s="1"/>
  <c r="K456" i="5"/>
  <c r="L456"/>
  <c r="P456" s="1"/>
  <c r="Q456" s="1"/>
  <c r="F456"/>
  <c r="F456" i="10"/>
  <c r="F456" i="11"/>
  <c r="G456" s="1"/>
  <c r="F457" i="8"/>
  <c r="G457" s="1"/>
  <c r="K456" i="7"/>
  <c r="L456"/>
  <c r="F456"/>
  <c r="F456" i="4"/>
  <c r="I456"/>
  <c r="F456" i="22" s="1"/>
  <c r="F457" i="12"/>
  <c r="F457" i="17"/>
  <c r="F457" i="9"/>
  <c r="G457" s="1"/>
  <c r="K457" i="5"/>
  <c r="L457"/>
  <c r="P457" s="1"/>
  <c r="Q457" s="1"/>
  <c r="F457"/>
  <c r="F457" i="10"/>
  <c r="F457" i="11"/>
  <c r="G457" s="1"/>
  <c r="F458" i="8"/>
  <c r="G458" s="1"/>
  <c r="K457" i="7"/>
  <c r="L457"/>
  <c r="F457"/>
  <c r="F457" i="4"/>
  <c r="I457"/>
  <c r="F457" i="22" s="1"/>
  <c r="F458" i="12"/>
  <c r="F458" i="17"/>
  <c r="F458" i="9"/>
  <c r="G458" s="1"/>
  <c r="K458" i="5"/>
  <c r="L458"/>
  <c r="P458" s="1"/>
  <c r="Q458" s="1"/>
  <c r="F458"/>
  <c r="F458" i="10"/>
  <c r="F458" i="11"/>
  <c r="G458" s="1"/>
  <c r="F459" i="8"/>
  <c r="G459" s="1"/>
  <c r="K458" i="7"/>
  <c r="L458"/>
  <c r="F458"/>
  <c r="F458" i="4"/>
  <c r="I458"/>
  <c r="F458" i="22" s="1"/>
  <c r="F459" i="12"/>
  <c r="F459" i="17"/>
  <c r="F459" i="9"/>
  <c r="G459" s="1"/>
  <c r="K459" i="5"/>
  <c r="L459"/>
  <c r="P459" s="1"/>
  <c r="Q459" s="1"/>
  <c r="F459"/>
  <c r="F459" i="10"/>
  <c r="F459" i="11"/>
  <c r="G459" s="1"/>
  <c r="F460" i="8"/>
  <c r="G460" s="1"/>
  <c r="K459" i="7"/>
  <c r="L459"/>
  <c r="F459"/>
  <c r="F459" i="4"/>
  <c r="I459"/>
  <c r="F459" i="22" s="1"/>
  <c r="F460" i="12"/>
  <c r="F460" i="17"/>
  <c r="F460" i="9"/>
  <c r="G460" s="1"/>
  <c r="K460" i="5"/>
  <c r="L460"/>
  <c r="P460" s="1"/>
  <c r="Q460" s="1"/>
  <c r="F460"/>
  <c r="F460" i="10"/>
  <c r="F460" i="11"/>
  <c r="G460" s="1"/>
  <c r="F461" i="8"/>
  <c r="G461" s="1"/>
  <c r="K460" i="7"/>
  <c r="L460"/>
  <c r="F460"/>
  <c r="F460" i="4"/>
  <c r="I460"/>
  <c r="F460" i="22" s="1"/>
  <c r="F461" i="12"/>
  <c r="F461" i="17"/>
  <c r="F461" i="9"/>
  <c r="G461" s="1"/>
  <c r="K461" i="5"/>
  <c r="L461"/>
  <c r="P461" s="1"/>
  <c r="Q461" s="1"/>
  <c r="F461"/>
  <c r="F461" i="10"/>
  <c r="F461" i="11"/>
  <c r="G461" s="1"/>
  <c r="F462" i="8"/>
  <c r="G462" s="1"/>
  <c r="K461" i="7"/>
  <c r="L461"/>
  <c r="F461"/>
  <c r="F461" i="4"/>
  <c r="I461"/>
  <c r="F461" i="22" s="1"/>
  <c r="F462" i="12"/>
  <c r="F462" i="17"/>
  <c r="F462" i="9"/>
  <c r="G462" s="1"/>
  <c r="K462" i="5"/>
  <c r="L462"/>
  <c r="P462" s="1"/>
  <c r="Q462" s="1"/>
  <c r="F462"/>
  <c r="F462" i="10"/>
  <c r="F462" i="11"/>
  <c r="G462" s="1"/>
  <c r="F463" i="8"/>
  <c r="G463" s="1"/>
  <c r="K462" i="7"/>
  <c r="L462"/>
  <c r="F462"/>
  <c r="F462" i="4"/>
  <c r="I462"/>
  <c r="F462" i="22" s="1"/>
  <c r="F463" i="12"/>
  <c r="F463" i="17"/>
  <c r="F463" i="9"/>
  <c r="G463" s="1"/>
  <c r="K463" i="5"/>
  <c r="L463"/>
  <c r="P463" s="1"/>
  <c r="Q463" s="1"/>
  <c r="F463"/>
  <c r="F463" i="10"/>
  <c r="F463" i="11"/>
  <c r="G463" s="1"/>
  <c r="F464" i="8"/>
  <c r="G464" s="1"/>
  <c r="K463" i="7"/>
  <c r="L463"/>
  <c r="F463"/>
  <c r="F463" i="4"/>
  <c r="I463"/>
  <c r="F463" i="22" s="1"/>
  <c r="F464" i="12"/>
  <c r="F464" i="17"/>
  <c r="F464" i="9"/>
  <c r="G464" s="1"/>
  <c r="K464" i="5"/>
  <c r="L464"/>
  <c r="P464" s="1"/>
  <c r="Q464" s="1"/>
  <c r="F464"/>
  <c r="F464" i="10"/>
  <c r="F464" i="11"/>
  <c r="G464" s="1"/>
  <c r="F465" i="8"/>
  <c r="G465" s="1"/>
  <c r="K464" i="7"/>
  <c r="L464"/>
  <c r="F464"/>
  <c r="F464" i="4"/>
  <c r="I464"/>
  <c r="F464" i="22" s="1"/>
  <c r="F465" i="12"/>
  <c r="F465" i="17"/>
  <c r="F465" i="9"/>
  <c r="G465" s="1"/>
  <c r="K465" i="5"/>
  <c r="L465"/>
  <c r="P465" s="1"/>
  <c r="Q465" s="1"/>
  <c r="F465"/>
  <c r="F465" i="10"/>
  <c r="F465" i="11"/>
  <c r="G465" s="1"/>
  <c r="F466" i="8"/>
  <c r="G466" s="1"/>
  <c r="K465" i="7"/>
  <c r="L465"/>
  <c r="F465"/>
  <c r="F465" i="4"/>
  <c r="I465"/>
  <c r="F465" i="22" s="1"/>
  <c r="F466" i="12"/>
  <c r="F466" i="17"/>
  <c r="F466" i="9"/>
  <c r="G466" s="1"/>
  <c r="K466" i="5"/>
  <c r="L466"/>
  <c r="P466" s="1"/>
  <c r="Q466" s="1"/>
  <c r="F466"/>
  <c r="F466" i="10"/>
  <c r="F466" i="11"/>
  <c r="G466" s="1"/>
  <c r="F467" i="8"/>
  <c r="G467" s="1"/>
  <c r="K466" i="7"/>
  <c r="L466"/>
  <c r="F466"/>
  <c r="F466" i="4"/>
  <c r="I466"/>
  <c r="F466" i="22" s="1"/>
  <c r="F467" i="12"/>
  <c r="F467" i="17"/>
  <c r="F467" i="9"/>
  <c r="G467" s="1"/>
  <c r="K467" i="5"/>
  <c r="L467"/>
  <c r="P467" s="1"/>
  <c r="Q467" s="1"/>
  <c r="F467"/>
  <c r="F467" i="10"/>
  <c r="F467" i="11"/>
  <c r="G467" s="1"/>
  <c r="F468" i="8"/>
  <c r="G468" s="1"/>
  <c r="K467" i="7"/>
  <c r="L467"/>
  <c r="F467"/>
  <c r="F467" i="4"/>
  <c r="I467"/>
  <c r="F467" i="22" s="1"/>
  <c r="F468" i="12"/>
  <c r="F468" i="17"/>
  <c r="F468" i="9"/>
  <c r="G468" s="1"/>
  <c r="K468" i="5"/>
  <c r="L468"/>
  <c r="P468" s="1"/>
  <c r="Q468" s="1"/>
  <c r="F468"/>
  <c r="F468" i="10"/>
  <c r="F468" i="11"/>
  <c r="G468" s="1"/>
  <c r="F469" i="8"/>
  <c r="G469" s="1"/>
  <c r="K468" i="7"/>
  <c r="L468"/>
  <c r="F468"/>
  <c r="F468" i="4"/>
  <c r="I468"/>
  <c r="F468" i="22" s="1"/>
  <c r="F469" i="12"/>
  <c r="F469" i="17"/>
  <c r="F469" i="9"/>
  <c r="G469" s="1"/>
  <c r="K469" i="5"/>
  <c r="L469"/>
  <c r="P469" s="1"/>
  <c r="Q469" s="1"/>
  <c r="F469"/>
  <c r="F469" i="10"/>
  <c r="F469" i="11"/>
  <c r="G469" s="1"/>
  <c r="F470" i="8"/>
  <c r="G470" s="1"/>
  <c r="K469" i="7"/>
  <c r="L469"/>
  <c r="F469"/>
  <c r="F469" i="4"/>
  <c r="I469"/>
  <c r="F469" i="22" s="1"/>
  <c r="F470" i="12"/>
  <c r="F470" i="17"/>
  <c r="F470" i="9"/>
  <c r="G470" s="1"/>
  <c r="K470" i="5"/>
  <c r="L470"/>
  <c r="P470" s="1"/>
  <c r="Q470" s="1"/>
  <c r="F470"/>
  <c r="F470" i="10"/>
  <c r="F470" i="11"/>
  <c r="G470" s="1"/>
  <c r="F471" i="8"/>
  <c r="G471" s="1"/>
  <c r="K470" i="7"/>
  <c r="L470"/>
  <c r="F470"/>
  <c r="F470" i="4"/>
  <c r="I470"/>
  <c r="F470" i="22" s="1"/>
  <c r="F471" i="12"/>
  <c r="F471" i="17"/>
  <c r="F471" i="9"/>
  <c r="G471" s="1"/>
  <c r="K471" i="5"/>
  <c r="L471"/>
  <c r="P471" s="1"/>
  <c r="Q471" s="1"/>
  <c r="F471"/>
  <c r="F471" i="10"/>
  <c r="F471" i="11"/>
  <c r="G471" s="1"/>
  <c r="F472" i="8"/>
  <c r="G472" s="1"/>
  <c r="K471" i="7"/>
  <c r="L471"/>
  <c r="F471"/>
  <c r="F471" i="4"/>
  <c r="I471"/>
  <c r="F471" i="22" s="1"/>
  <c r="F472" i="12"/>
  <c r="F472" i="17"/>
  <c r="F472" i="9"/>
  <c r="G472" s="1"/>
  <c r="K472" i="5"/>
  <c r="L472"/>
  <c r="P472" s="1"/>
  <c r="Q472" s="1"/>
  <c r="F472"/>
  <c r="F472" i="10"/>
  <c r="F472" i="11"/>
  <c r="G472" s="1"/>
  <c r="F473" i="8"/>
  <c r="G473" s="1"/>
  <c r="K472" i="7"/>
  <c r="L472"/>
  <c r="F472"/>
  <c r="F472" i="4"/>
  <c r="I472"/>
  <c r="F472" i="22" s="1"/>
  <c r="F473" i="12"/>
  <c r="F473" i="17"/>
  <c r="F473" i="9"/>
  <c r="G473" s="1"/>
  <c r="K473" i="5"/>
  <c r="L473"/>
  <c r="P473" s="1"/>
  <c r="Q473" s="1"/>
  <c r="F473"/>
  <c r="F473" i="10"/>
  <c r="F473" i="11"/>
  <c r="G473" s="1"/>
  <c r="F474" i="8"/>
  <c r="G474" s="1"/>
  <c r="K473" i="7"/>
  <c r="L473"/>
  <c r="F473"/>
  <c r="F473" i="4"/>
  <c r="I473"/>
  <c r="F473" i="22" s="1"/>
  <c r="F474" i="12"/>
  <c r="F474" i="17"/>
  <c r="F474" i="9"/>
  <c r="G474" s="1"/>
  <c r="K474" i="5"/>
  <c r="L474"/>
  <c r="P474" s="1"/>
  <c r="Q474" s="1"/>
  <c r="F474"/>
  <c r="F474" i="10"/>
  <c r="F474" i="11"/>
  <c r="G474" s="1"/>
  <c r="F475" i="8"/>
  <c r="G475" s="1"/>
  <c r="K474" i="7"/>
  <c r="L474"/>
  <c r="F474"/>
  <c r="F474" i="4"/>
  <c r="I474"/>
  <c r="F474" i="22" s="1"/>
  <c r="F475" i="12"/>
  <c r="F475" i="17"/>
  <c r="F475" i="9"/>
  <c r="G475" s="1"/>
  <c r="K475" i="5"/>
  <c r="L475"/>
  <c r="P475" s="1"/>
  <c r="Q475" s="1"/>
  <c r="F475"/>
  <c r="F475" i="10"/>
  <c r="F475" i="11"/>
  <c r="G475" s="1"/>
  <c r="F476" i="8"/>
  <c r="G476" s="1"/>
  <c r="K475" i="7"/>
  <c r="L475"/>
  <c r="F475"/>
  <c r="F475" i="4"/>
  <c r="I475"/>
  <c r="F475" i="22" s="1"/>
  <c r="F476" i="12"/>
  <c r="F476" i="17"/>
  <c r="F476" i="9"/>
  <c r="G476" s="1"/>
  <c r="K476" i="5"/>
  <c r="L476"/>
  <c r="P476" s="1"/>
  <c r="Q476" s="1"/>
  <c r="F476"/>
  <c r="F476" i="10"/>
  <c r="F476" i="11"/>
  <c r="G476" s="1"/>
  <c r="F477" i="8"/>
  <c r="G477" s="1"/>
  <c r="K476" i="7"/>
  <c r="L476"/>
  <c r="F476"/>
  <c r="F476" i="4"/>
  <c r="I476"/>
  <c r="F476" i="22" s="1"/>
  <c r="F477" i="12"/>
  <c r="F477" i="17"/>
  <c r="F477" i="9"/>
  <c r="G477" s="1"/>
  <c r="K477" i="5"/>
  <c r="L477"/>
  <c r="P477" s="1"/>
  <c r="Q477" s="1"/>
  <c r="F477"/>
  <c r="F477" i="10"/>
  <c r="F477" i="11"/>
  <c r="G477" s="1"/>
  <c r="F478" i="8"/>
  <c r="G478" s="1"/>
  <c r="K477" i="7"/>
  <c r="L477"/>
  <c r="F477"/>
  <c r="F477" i="4"/>
  <c r="I477"/>
  <c r="F477" i="22" s="1"/>
  <c r="F478" i="12"/>
  <c r="F478" i="17"/>
  <c r="F478" i="9"/>
  <c r="G478" s="1"/>
  <c r="K478" i="5"/>
  <c r="L478"/>
  <c r="P478" s="1"/>
  <c r="Q478" s="1"/>
  <c r="F478"/>
  <c r="F478" i="10"/>
  <c r="F478" i="11"/>
  <c r="G478" s="1"/>
  <c r="F479" i="8"/>
  <c r="G479" s="1"/>
  <c r="K478" i="7"/>
  <c r="L478"/>
  <c r="F478"/>
  <c r="F478" i="4"/>
  <c r="I478"/>
  <c r="F478" i="22" s="1"/>
  <c r="F479" i="12"/>
  <c r="F479" i="17"/>
  <c r="F479" i="9"/>
  <c r="G479" s="1"/>
  <c r="K479" i="5"/>
  <c r="L479"/>
  <c r="P479" s="1"/>
  <c r="Q479" s="1"/>
  <c r="F479"/>
  <c r="F479" i="10"/>
  <c r="F479" i="11"/>
  <c r="G479" s="1"/>
  <c r="F480" i="8"/>
  <c r="G480" s="1"/>
  <c r="K479" i="7"/>
  <c r="L479"/>
  <c r="F479"/>
  <c r="F479" i="4"/>
  <c r="I479"/>
  <c r="F479" i="22" s="1"/>
  <c r="F480" i="12"/>
  <c r="F480" i="17"/>
  <c r="F480" i="9"/>
  <c r="G480" s="1"/>
  <c r="K480" i="5"/>
  <c r="L480"/>
  <c r="P480" s="1"/>
  <c r="Q480" s="1"/>
  <c r="F480"/>
  <c r="F480" i="10"/>
  <c r="F480" i="11"/>
  <c r="G480" s="1"/>
  <c r="F481" i="8"/>
  <c r="G481" s="1"/>
  <c r="K480" i="7"/>
  <c r="L480"/>
  <c r="F480"/>
  <c r="F480" i="4"/>
  <c r="I480"/>
  <c r="F480" i="22" s="1"/>
  <c r="F481" i="12"/>
  <c r="F481" i="17"/>
  <c r="F481" i="9"/>
  <c r="G481" s="1"/>
  <c r="K481" i="5"/>
  <c r="L481"/>
  <c r="P481" s="1"/>
  <c r="Q481" s="1"/>
  <c r="F481"/>
  <c r="F481" i="10"/>
  <c r="F481" i="11"/>
  <c r="G481" s="1"/>
  <c r="F482" i="8"/>
  <c r="G482" s="1"/>
  <c r="K481" i="7"/>
  <c r="L481"/>
  <c r="F481"/>
  <c r="F481" i="4"/>
  <c r="I481"/>
  <c r="F481" i="22" s="1"/>
  <c r="F482" i="12"/>
  <c r="F482" i="17"/>
  <c r="F482" i="9"/>
  <c r="G482" s="1"/>
  <c r="K482" i="5"/>
  <c r="L482"/>
  <c r="P482" s="1"/>
  <c r="Q482" s="1"/>
  <c r="F482"/>
  <c r="F482" i="10"/>
  <c r="F482" i="11"/>
  <c r="G482" s="1"/>
  <c r="F483" i="8"/>
  <c r="G483" s="1"/>
  <c r="K482" i="7"/>
  <c r="L482"/>
  <c r="F482"/>
  <c r="F482" i="4"/>
  <c r="I482"/>
  <c r="F482" i="22" s="1"/>
  <c r="F483" i="12"/>
  <c r="F483" i="17"/>
  <c r="F483" i="9"/>
  <c r="G483" s="1"/>
  <c r="K483" i="5"/>
  <c r="L483"/>
  <c r="P483" s="1"/>
  <c r="Q483" s="1"/>
  <c r="F483"/>
  <c r="F483" i="10"/>
  <c r="F483" i="11"/>
  <c r="G483" s="1"/>
  <c r="F484" i="8"/>
  <c r="G484" s="1"/>
  <c r="K483" i="7"/>
  <c r="L483"/>
  <c r="F483"/>
  <c r="F483" i="4"/>
  <c r="I483"/>
  <c r="F483" i="22" s="1"/>
  <c r="F484" i="12"/>
  <c r="F484" i="17"/>
  <c r="F484" i="9"/>
  <c r="G484" s="1"/>
  <c r="K484" i="5"/>
  <c r="L484"/>
  <c r="P484" s="1"/>
  <c r="Q484" s="1"/>
  <c r="F484"/>
  <c r="F484" i="10"/>
  <c r="F484" i="11"/>
  <c r="G484" s="1"/>
  <c r="F485" i="8"/>
  <c r="G485" s="1"/>
  <c r="K484" i="7"/>
  <c r="L484"/>
  <c r="F484"/>
  <c r="F484" i="4"/>
  <c r="I484"/>
  <c r="F484" i="22" s="1"/>
  <c r="F485" i="12"/>
  <c r="F485" i="17"/>
  <c r="F485" i="9"/>
  <c r="G485" s="1"/>
  <c r="K485" i="5"/>
  <c r="L485"/>
  <c r="P485" s="1"/>
  <c r="Q485" s="1"/>
  <c r="F485"/>
  <c r="F485" i="10"/>
  <c r="F485" i="11"/>
  <c r="G485" s="1"/>
  <c r="F486" i="8"/>
  <c r="G486" s="1"/>
  <c r="K485" i="7"/>
  <c r="L485"/>
  <c r="F485"/>
  <c r="F485" i="4"/>
  <c r="I485"/>
  <c r="F485" i="22" s="1"/>
  <c r="F486" i="12"/>
  <c r="F486" i="17"/>
  <c r="F486" i="9"/>
  <c r="G486" s="1"/>
  <c r="K486" i="5"/>
  <c r="L486"/>
  <c r="P486" s="1"/>
  <c r="Q486" s="1"/>
  <c r="F486"/>
  <c r="F486" i="10"/>
  <c r="F486" i="11"/>
  <c r="G486" s="1"/>
  <c r="F487" i="8"/>
  <c r="G487" s="1"/>
  <c r="K486" i="7"/>
  <c r="L486"/>
  <c r="F486"/>
  <c r="F486" i="4"/>
  <c r="I486"/>
  <c r="F486" i="22" s="1"/>
  <c r="F487" i="12"/>
  <c r="F487" i="17"/>
  <c r="F487" i="9"/>
  <c r="G487" s="1"/>
  <c r="K487" i="5"/>
  <c r="L487"/>
  <c r="P487" s="1"/>
  <c r="Q487" s="1"/>
  <c r="F487"/>
  <c r="F487" i="10"/>
  <c r="F487" i="11"/>
  <c r="G487" s="1"/>
  <c r="F488" i="8"/>
  <c r="G488" s="1"/>
  <c r="K487" i="7"/>
  <c r="L487"/>
  <c r="F487"/>
  <c r="F487" i="4"/>
  <c r="I487"/>
  <c r="F487" i="22" s="1"/>
  <c r="F488" i="12"/>
  <c r="F488" i="17"/>
  <c r="F488" i="9"/>
  <c r="G488" s="1"/>
  <c r="K488" i="5"/>
  <c r="L488"/>
  <c r="P488" s="1"/>
  <c r="Q488" s="1"/>
  <c r="F488"/>
  <c r="F488" i="10"/>
  <c r="F488" i="11"/>
  <c r="G488" s="1"/>
  <c r="F489" i="8"/>
  <c r="G489" s="1"/>
  <c r="K488" i="7"/>
  <c r="L488"/>
  <c r="F488"/>
  <c r="F488" i="4"/>
  <c r="I488"/>
  <c r="F488" i="22" s="1"/>
  <c r="F489" i="12"/>
  <c r="F489" i="17"/>
  <c r="F489" i="9"/>
  <c r="G489" s="1"/>
  <c r="K489" i="5"/>
  <c r="L489"/>
  <c r="P489" s="1"/>
  <c r="Q489" s="1"/>
  <c r="F489"/>
  <c r="F489" i="10"/>
  <c r="F489" i="11"/>
  <c r="G489" s="1"/>
  <c r="F490" i="8"/>
  <c r="G490" s="1"/>
  <c r="K489" i="7"/>
  <c r="L489"/>
  <c r="F489"/>
  <c r="F489" i="4"/>
  <c r="I489"/>
  <c r="F489" i="22" s="1"/>
  <c r="F490" i="12"/>
  <c r="F490" i="17"/>
  <c r="F490" i="9"/>
  <c r="G490" s="1"/>
  <c r="K490" i="5"/>
  <c r="L490"/>
  <c r="P490" s="1"/>
  <c r="Q490" s="1"/>
  <c r="F490"/>
  <c r="F490" i="10"/>
  <c r="F490" i="11"/>
  <c r="G490" s="1"/>
  <c r="F491" i="8"/>
  <c r="G491" s="1"/>
  <c r="K490" i="7"/>
  <c r="L490"/>
  <c r="F490"/>
  <c r="F490" i="4"/>
  <c r="I490"/>
  <c r="F490" i="22" s="1"/>
  <c r="F491" i="12"/>
  <c r="F491" i="17"/>
  <c r="F491" i="9"/>
  <c r="G491" s="1"/>
  <c r="K491" i="5"/>
  <c r="L491"/>
  <c r="P491" s="1"/>
  <c r="Q491" s="1"/>
  <c r="F491"/>
  <c r="F491" i="10"/>
  <c r="F491" i="11"/>
  <c r="G491" s="1"/>
  <c r="F492" i="8"/>
  <c r="G492" s="1"/>
  <c r="K491" i="7"/>
  <c r="L491"/>
  <c r="F491"/>
  <c r="F491" i="4"/>
  <c r="I491"/>
  <c r="F491" i="22" s="1"/>
  <c r="F492" i="12"/>
  <c r="F492" i="17"/>
  <c r="F492" i="9"/>
  <c r="G492" s="1"/>
  <c r="K492" i="5"/>
  <c r="L492"/>
  <c r="P492" s="1"/>
  <c r="Q492" s="1"/>
  <c r="F492"/>
  <c r="F492" i="10"/>
  <c r="F492" i="11"/>
  <c r="G492" s="1"/>
  <c r="F493" i="8"/>
  <c r="G493" s="1"/>
  <c r="K492" i="7"/>
  <c r="L492"/>
  <c r="F492"/>
  <c r="F492" i="4"/>
  <c r="I492"/>
  <c r="F492" i="22" s="1"/>
  <c r="F493" i="12"/>
  <c r="F493" i="17"/>
  <c r="F493" i="9"/>
  <c r="G493" s="1"/>
  <c r="K493" i="5"/>
  <c r="L493"/>
  <c r="P493" s="1"/>
  <c r="Q493" s="1"/>
  <c r="F493"/>
  <c r="F493" i="10"/>
  <c r="F493" i="11"/>
  <c r="G493" s="1"/>
  <c r="F494" i="8"/>
  <c r="G494" s="1"/>
  <c r="K493" i="7"/>
  <c r="L493"/>
  <c r="F493"/>
  <c r="F493" i="4"/>
  <c r="I493"/>
  <c r="F493" i="22" s="1"/>
  <c r="F494" i="12"/>
  <c r="F494" i="17"/>
  <c r="F494" i="9"/>
  <c r="G494" s="1"/>
  <c r="K494" i="5"/>
  <c r="L494"/>
  <c r="P494" s="1"/>
  <c r="Q494" s="1"/>
  <c r="F494"/>
  <c r="F494" i="10"/>
  <c r="F494" i="11"/>
  <c r="G494" s="1"/>
  <c r="F495" i="8"/>
  <c r="G495" s="1"/>
  <c r="K494" i="7"/>
  <c r="L494"/>
  <c r="F494"/>
  <c r="F494" i="4"/>
  <c r="I494"/>
  <c r="F494" i="22" s="1"/>
  <c r="F495" i="12"/>
  <c r="F495" i="17"/>
  <c r="F495" i="9"/>
  <c r="G495" s="1"/>
  <c r="K495" i="5"/>
  <c r="L495"/>
  <c r="P495" s="1"/>
  <c r="Q495" s="1"/>
  <c r="F495"/>
  <c r="F495" i="10"/>
  <c r="F495" i="11"/>
  <c r="G495" s="1"/>
  <c r="F496" i="8"/>
  <c r="G496" s="1"/>
  <c r="K495" i="7"/>
  <c r="L495"/>
  <c r="F495"/>
  <c r="F495" i="4"/>
  <c r="I495"/>
  <c r="F495" i="22" s="1"/>
  <c r="F496" i="12"/>
  <c r="F496" i="17"/>
  <c r="F496" i="9"/>
  <c r="G496" s="1"/>
  <c r="K496" i="5"/>
  <c r="L496"/>
  <c r="P496" s="1"/>
  <c r="Q496" s="1"/>
  <c r="F496"/>
  <c r="F496" i="10"/>
  <c r="F496" i="11"/>
  <c r="G496" s="1"/>
  <c r="F497" i="8"/>
  <c r="G497" s="1"/>
  <c r="K496" i="7"/>
  <c r="L496"/>
  <c r="F496"/>
  <c r="F496" i="4"/>
  <c r="I496"/>
  <c r="F496" i="22" s="1"/>
  <c r="F497" i="12"/>
  <c r="F497" i="17"/>
  <c r="F497" i="9"/>
  <c r="G497" s="1"/>
  <c r="K497" i="5"/>
  <c r="L497"/>
  <c r="P497" s="1"/>
  <c r="Q497" s="1"/>
  <c r="F497"/>
  <c r="F497" i="10"/>
  <c r="F497" i="11"/>
  <c r="G497" s="1"/>
  <c r="F498" i="8"/>
  <c r="G498" s="1"/>
  <c r="K497" i="7"/>
  <c r="L497"/>
  <c r="F497"/>
  <c r="F497" i="4"/>
  <c r="I497"/>
  <c r="F497" i="22" s="1"/>
  <c r="F498" i="12"/>
  <c r="F498" i="17"/>
  <c r="F498" i="9"/>
  <c r="G498" s="1"/>
  <c r="K498" i="5"/>
  <c r="L498"/>
  <c r="P498" s="1"/>
  <c r="Q498" s="1"/>
  <c r="F498"/>
  <c r="F498" i="10"/>
  <c r="F498" i="11"/>
  <c r="G498" s="1"/>
  <c r="F499" i="8"/>
  <c r="G499" s="1"/>
  <c r="K498" i="7"/>
  <c r="L498"/>
  <c r="F498"/>
  <c r="F498" i="4"/>
  <c r="I498"/>
  <c r="F498" i="22" s="1"/>
  <c r="F499" i="12"/>
  <c r="F499" i="17"/>
  <c r="F499" i="9"/>
  <c r="G499" s="1"/>
  <c r="K499" i="5"/>
  <c r="L499"/>
  <c r="P499" s="1"/>
  <c r="Q499" s="1"/>
  <c r="F499"/>
  <c r="F499" i="10"/>
  <c r="F499" i="11"/>
  <c r="G499" s="1"/>
  <c r="F500" i="8"/>
  <c r="G500" s="1"/>
  <c r="K499" i="7"/>
  <c r="L499"/>
  <c r="F499"/>
  <c r="F499" i="4"/>
  <c r="I499"/>
  <c r="F499" i="22" s="1"/>
  <c r="F500" i="12"/>
  <c r="F500" i="17"/>
  <c r="F500" i="9"/>
  <c r="G500" s="1"/>
  <c r="K500" i="5"/>
  <c r="L500"/>
  <c r="P500" s="1"/>
  <c r="Q500" s="1"/>
  <c r="F500"/>
  <c r="F500" i="10"/>
  <c r="F500" i="11"/>
  <c r="G500" s="1"/>
  <c r="F501" i="8"/>
  <c r="G501" s="1"/>
  <c r="K500" i="7"/>
  <c r="L500"/>
  <c r="F500"/>
  <c r="F500" i="4"/>
  <c r="I500"/>
  <c r="F500" i="22" s="1"/>
  <c r="F501" i="12"/>
  <c r="F501" i="17"/>
  <c r="F501" i="9"/>
  <c r="G501" s="1"/>
  <c r="K501" i="5"/>
  <c r="L501"/>
  <c r="P501" s="1"/>
  <c r="Q501" s="1"/>
  <c r="F501"/>
  <c r="F501" i="10"/>
  <c r="F501" i="11"/>
  <c r="G501" s="1"/>
  <c r="F502" i="8"/>
  <c r="G502" s="1"/>
  <c r="K501" i="7"/>
  <c r="L501"/>
  <c r="F501"/>
  <c r="F501" i="4"/>
  <c r="I501"/>
  <c r="F501" i="22" s="1"/>
  <c r="F502" i="12"/>
  <c r="F502" i="17"/>
  <c r="F502" i="9"/>
  <c r="G502" s="1"/>
  <c r="K502" i="5"/>
  <c r="L502"/>
  <c r="P502" s="1"/>
  <c r="Q502" s="1"/>
  <c r="F502"/>
  <c r="F502" i="10"/>
  <c r="F502" i="11"/>
  <c r="G502" s="1"/>
  <c r="F503" i="8"/>
  <c r="G503" s="1"/>
  <c r="K502" i="7"/>
  <c r="L502"/>
  <c r="F502"/>
  <c r="F502" i="4"/>
  <c r="I502"/>
  <c r="F502" i="22" s="1"/>
  <c r="F503" i="12"/>
  <c r="F503" i="17"/>
  <c r="F503" i="9"/>
  <c r="G503" s="1"/>
  <c r="K503" i="5"/>
  <c r="L503"/>
  <c r="P503" s="1"/>
  <c r="Q503" s="1"/>
  <c r="F503"/>
  <c r="F503" i="10"/>
  <c r="F503" i="11"/>
  <c r="G503" s="1"/>
  <c r="F504" i="8"/>
  <c r="G504" s="1"/>
  <c r="K503" i="7"/>
  <c r="L503"/>
  <c r="F503"/>
  <c r="F503" i="4"/>
  <c r="I503"/>
  <c r="F503" i="22" s="1"/>
  <c r="F504" i="12"/>
  <c r="F504" i="17"/>
  <c r="F504" i="9"/>
  <c r="G504" s="1"/>
  <c r="K504" i="5"/>
  <c r="L504"/>
  <c r="P504" s="1"/>
  <c r="Q504" s="1"/>
  <c r="F504"/>
  <c r="F504" i="10"/>
  <c r="F504" i="11"/>
  <c r="G504" s="1"/>
  <c r="F505" i="8"/>
  <c r="G505" s="1"/>
  <c r="K504" i="7"/>
  <c r="L504"/>
  <c r="F504"/>
  <c r="F504" i="4"/>
  <c r="I504"/>
  <c r="F504" i="22" s="1"/>
  <c r="F505" i="12"/>
  <c r="F505" i="17"/>
  <c r="F505" i="9"/>
  <c r="G505" s="1"/>
  <c r="K505" i="5"/>
  <c r="L505"/>
  <c r="P505" s="1"/>
  <c r="Q505" s="1"/>
  <c r="F505"/>
  <c r="F505" i="10"/>
  <c r="F505" i="11"/>
  <c r="G505" s="1"/>
  <c r="F506" i="8"/>
  <c r="G506" s="1"/>
  <c r="K505" i="7"/>
  <c r="L505"/>
  <c r="F505"/>
  <c r="F505" i="4"/>
  <c r="I505"/>
  <c r="F505" i="22" s="1"/>
  <c r="F506" i="12"/>
  <c r="F506" i="17"/>
  <c r="F506" i="9"/>
  <c r="G506" s="1"/>
  <c r="K506" i="5"/>
  <c r="L506"/>
  <c r="P506" s="1"/>
  <c r="Q506" s="1"/>
  <c r="F506"/>
  <c r="F506" i="10"/>
  <c r="F506" i="11"/>
  <c r="G506" s="1"/>
  <c r="F507" i="8"/>
  <c r="G507" s="1"/>
  <c r="K506" i="7"/>
  <c r="L506"/>
  <c r="F506"/>
  <c r="F506" i="4"/>
  <c r="I506"/>
  <c r="F506" i="22" s="1"/>
  <c r="F507" i="12"/>
  <c r="F507" i="17"/>
  <c r="F507" i="9"/>
  <c r="G507" s="1"/>
  <c r="K507" i="5"/>
  <c r="L507"/>
  <c r="P507" s="1"/>
  <c r="Q507" s="1"/>
  <c r="F507"/>
  <c r="F507" i="10"/>
  <c r="F507" i="11"/>
  <c r="G507" s="1"/>
  <c r="F508" i="8"/>
  <c r="G508" s="1"/>
  <c r="K507" i="7"/>
  <c r="L507"/>
  <c r="F507"/>
  <c r="F507" i="4"/>
  <c r="I507"/>
  <c r="F507" i="22" s="1"/>
  <c r="F508" i="12"/>
  <c r="F508" i="17"/>
  <c r="F508" i="9"/>
  <c r="G508" s="1"/>
  <c r="K508" i="5"/>
  <c r="L508"/>
  <c r="P508" s="1"/>
  <c r="Q508" s="1"/>
  <c r="F508"/>
  <c r="F508" i="10"/>
  <c r="F508" i="11"/>
  <c r="G508" s="1"/>
  <c r="F509" i="8"/>
  <c r="G509" s="1"/>
  <c r="K508" i="7"/>
  <c r="L508"/>
  <c r="F508"/>
  <c r="F508" i="4"/>
  <c r="I508"/>
  <c r="F508" i="22" s="1"/>
  <c r="F509" i="12"/>
  <c r="F509" i="17"/>
  <c r="F509" i="9"/>
  <c r="G509" s="1"/>
  <c r="K509" i="5"/>
  <c r="L509"/>
  <c r="P509" s="1"/>
  <c r="Q509" s="1"/>
  <c r="F509"/>
  <c r="F509" i="10"/>
  <c r="F509" i="11"/>
  <c r="G509" s="1"/>
  <c r="F510" i="8"/>
  <c r="G510" s="1"/>
  <c r="K509" i="7"/>
  <c r="L509"/>
  <c r="F509"/>
  <c r="F509" i="4"/>
  <c r="I509"/>
  <c r="F509" i="22" s="1"/>
  <c r="F510" i="12"/>
  <c r="F510" i="17"/>
  <c r="F510" i="9"/>
  <c r="G510" s="1"/>
  <c r="K510" i="5"/>
  <c r="L510"/>
  <c r="P510" s="1"/>
  <c r="Q510" s="1"/>
  <c r="F510"/>
  <c r="F510" i="10"/>
  <c r="F510" i="11"/>
  <c r="G510" s="1"/>
  <c r="F511" i="8"/>
  <c r="G511" s="1"/>
  <c r="K510" i="7"/>
  <c r="L510"/>
  <c r="F510"/>
  <c r="F510" i="4"/>
  <c r="I510"/>
  <c r="F510" i="22" s="1"/>
  <c r="F511" i="12"/>
  <c r="F511" i="17"/>
  <c r="F511" i="9"/>
  <c r="G511" s="1"/>
  <c r="K511" i="5"/>
  <c r="L511"/>
  <c r="P511" s="1"/>
  <c r="Q511" s="1"/>
  <c r="F511"/>
  <c r="F511" i="10"/>
  <c r="F511" i="11"/>
  <c r="G511" s="1"/>
  <c r="F512" i="8"/>
  <c r="G512" s="1"/>
  <c r="K511" i="7"/>
  <c r="L511"/>
  <c r="F511"/>
  <c r="F511" i="4"/>
  <c r="I511"/>
  <c r="F511" i="22" s="1"/>
  <c r="F512" i="12"/>
  <c r="F512" i="17"/>
  <c r="F512" i="9"/>
  <c r="G512" s="1"/>
  <c r="K512" i="5"/>
  <c r="L512"/>
  <c r="P512" s="1"/>
  <c r="Q512" s="1"/>
  <c r="F512"/>
  <c r="F512" i="10"/>
  <c r="F512" i="11"/>
  <c r="G512" s="1"/>
  <c r="F513" i="8"/>
  <c r="G513" s="1"/>
  <c r="K512" i="7"/>
  <c r="L512"/>
  <c r="F512"/>
  <c r="F512" i="4"/>
  <c r="I512"/>
  <c r="F512" i="22" s="1"/>
  <c r="F513" i="12"/>
  <c r="F513" i="17"/>
  <c r="F513" i="9"/>
  <c r="G513" s="1"/>
  <c r="K513" i="5"/>
  <c r="L513"/>
  <c r="P513" s="1"/>
  <c r="Q513" s="1"/>
  <c r="F513"/>
  <c r="F513" i="10"/>
  <c r="F513" i="11"/>
  <c r="G513" s="1"/>
  <c r="F514" i="8"/>
  <c r="G514" s="1"/>
  <c r="K513" i="7"/>
  <c r="L513"/>
  <c r="F513"/>
  <c r="F513" i="4"/>
  <c r="I513"/>
  <c r="F513" i="22" s="1"/>
  <c r="F514" i="12"/>
  <c r="F514" i="17"/>
  <c r="F514" i="9"/>
  <c r="G514" s="1"/>
  <c r="K514" i="5"/>
  <c r="L514"/>
  <c r="P514" s="1"/>
  <c r="Q514" s="1"/>
  <c r="F514"/>
  <c r="F514" i="10"/>
  <c r="F514" i="11"/>
  <c r="G514" s="1"/>
  <c r="F515" i="8"/>
  <c r="G515" s="1"/>
  <c r="K514" i="7"/>
  <c r="L514"/>
  <c r="F514"/>
  <c r="F514" i="4"/>
  <c r="I514"/>
  <c r="F514" i="22" s="1"/>
  <c r="F515" i="12"/>
  <c r="F515" i="17"/>
  <c r="F515" i="9"/>
  <c r="G515" s="1"/>
  <c r="K515" i="5"/>
  <c r="L515"/>
  <c r="P515" s="1"/>
  <c r="Q515" s="1"/>
  <c r="F515"/>
  <c r="F515" i="10"/>
  <c r="F515" i="11"/>
  <c r="G515" s="1"/>
  <c r="F516" i="8"/>
  <c r="G516" s="1"/>
  <c r="K515" i="7"/>
  <c r="L515"/>
  <c r="F515"/>
  <c r="F515" i="4"/>
  <c r="I515"/>
  <c r="F515" i="22" s="1"/>
  <c r="F516" i="12"/>
  <c r="F516" i="17"/>
  <c r="F516" i="9"/>
  <c r="G516" s="1"/>
  <c r="K516" i="5"/>
  <c r="L516"/>
  <c r="P516" s="1"/>
  <c r="Q516" s="1"/>
  <c r="F516"/>
  <c r="F516" i="10"/>
  <c r="F516" i="11"/>
  <c r="G516" s="1"/>
  <c r="F517" i="8"/>
  <c r="G517" s="1"/>
  <c r="K516" i="7"/>
  <c r="L516"/>
  <c r="F516"/>
  <c r="F516" i="4"/>
  <c r="I516"/>
  <c r="F516" i="22" s="1"/>
  <c r="F517" i="12"/>
  <c r="F517" i="17"/>
  <c r="F517" i="9"/>
  <c r="G517" s="1"/>
  <c r="K517" i="5"/>
  <c r="L517"/>
  <c r="P517" s="1"/>
  <c r="Q517" s="1"/>
  <c r="F517"/>
  <c r="F517" i="10"/>
  <c r="F517" i="11"/>
  <c r="G517" s="1"/>
  <c r="F518" i="8"/>
  <c r="G518" s="1"/>
  <c r="K517" i="7"/>
  <c r="L517"/>
  <c r="F517"/>
  <c r="F517" i="4"/>
  <c r="I517"/>
  <c r="F517" i="22" s="1"/>
  <c r="F518" i="12"/>
  <c r="F518" i="17"/>
  <c r="F518" i="9"/>
  <c r="G518" s="1"/>
  <c r="K518" i="5"/>
  <c r="L518"/>
  <c r="P518" s="1"/>
  <c r="Q518" s="1"/>
  <c r="F518"/>
  <c r="F518" i="10"/>
  <c r="F518" i="11"/>
  <c r="G518" s="1"/>
  <c r="F519" i="8"/>
  <c r="G519" s="1"/>
  <c r="K518" i="7"/>
  <c r="L518"/>
  <c r="F518"/>
  <c r="F518" i="4"/>
  <c r="I518"/>
  <c r="F518" i="22" s="1"/>
  <c r="F519" i="12"/>
  <c r="F519" i="17"/>
  <c r="F519" i="9"/>
  <c r="G519" s="1"/>
  <c r="K519" i="5"/>
  <c r="L519"/>
  <c r="P519" s="1"/>
  <c r="Q519" s="1"/>
  <c r="F519"/>
  <c r="F519" i="10"/>
  <c r="F519" i="11"/>
  <c r="G519" s="1"/>
  <c r="F520" i="8"/>
  <c r="G520" s="1"/>
  <c r="K519" i="7"/>
  <c r="L519"/>
  <c r="F519"/>
  <c r="F519" i="4"/>
  <c r="I519"/>
  <c r="F519" i="22" s="1"/>
  <c r="F520" i="12"/>
  <c r="F520" i="17"/>
  <c r="F520" i="9"/>
  <c r="G520" s="1"/>
  <c r="K520" i="5"/>
  <c r="L520"/>
  <c r="P520" s="1"/>
  <c r="Q520" s="1"/>
  <c r="F520"/>
  <c r="F520" i="10"/>
  <c r="F520" i="11"/>
  <c r="G520" s="1"/>
  <c r="F521" i="8"/>
  <c r="G521" s="1"/>
  <c r="K520" i="7"/>
  <c r="L520"/>
  <c r="F520"/>
  <c r="F520" i="4"/>
  <c r="I520"/>
  <c r="F520" i="22" s="1"/>
  <c r="F521" i="12"/>
  <c r="F521" i="17"/>
  <c r="F521" i="9"/>
  <c r="G521" s="1"/>
  <c r="K521" i="5"/>
  <c r="L521"/>
  <c r="P521" s="1"/>
  <c r="Q521" s="1"/>
  <c r="F521"/>
  <c r="F521" i="10"/>
  <c r="F521" i="11"/>
  <c r="G521" s="1"/>
  <c r="F522" i="8"/>
  <c r="G522" s="1"/>
  <c r="K521" i="7"/>
  <c r="L521"/>
  <c r="F521"/>
  <c r="F521" i="4"/>
  <c r="I521"/>
  <c r="F521" i="22" s="1"/>
  <c r="F522" i="12"/>
  <c r="F522" i="17"/>
  <c r="F522" i="9"/>
  <c r="G522" s="1"/>
  <c r="K522" i="5"/>
  <c r="L522"/>
  <c r="P522" s="1"/>
  <c r="Q522" s="1"/>
  <c r="F522"/>
  <c r="F522" i="10"/>
  <c r="F522" i="11"/>
  <c r="G522" s="1"/>
  <c r="F523" i="8"/>
  <c r="G523" s="1"/>
  <c r="K522" i="7"/>
  <c r="L522"/>
  <c r="F522"/>
  <c r="F522" i="4"/>
  <c r="I522"/>
  <c r="F522" i="22" s="1"/>
  <c r="F523" i="12"/>
  <c r="F523" i="17"/>
  <c r="F523" i="9"/>
  <c r="G523" s="1"/>
  <c r="K523" i="5"/>
  <c r="L523"/>
  <c r="P523" s="1"/>
  <c r="Q523" s="1"/>
  <c r="F523"/>
  <c r="F523" i="10"/>
  <c r="F523" i="11"/>
  <c r="G523" s="1"/>
  <c r="F524" i="8"/>
  <c r="G524" s="1"/>
  <c r="K523" i="7"/>
  <c r="L523"/>
  <c r="F523"/>
  <c r="F523" i="4"/>
  <c r="I523"/>
  <c r="F523" i="22" s="1"/>
  <c r="F524" i="12"/>
  <c r="F524" i="17"/>
  <c r="F524" i="9"/>
  <c r="G524" s="1"/>
  <c r="K524" i="5"/>
  <c r="L524"/>
  <c r="P524" s="1"/>
  <c r="Q524" s="1"/>
  <c r="F524"/>
  <c r="F524" i="10"/>
  <c r="F524" i="11"/>
  <c r="G524" s="1"/>
  <c r="F525" i="8"/>
  <c r="G525" s="1"/>
  <c r="K524" i="7"/>
  <c r="L524"/>
  <c r="F524"/>
  <c r="F524" i="4"/>
  <c r="I524"/>
  <c r="F524" i="22" s="1"/>
  <c r="F525" i="12"/>
  <c r="F525" i="17"/>
  <c r="F525" i="9"/>
  <c r="G525" s="1"/>
  <c r="K525" i="5"/>
  <c r="L525"/>
  <c r="P525" s="1"/>
  <c r="Q525" s="1"/>
  <c r="F525"/>
  <c r="F525" i="10"/>
  <c r="F525" i="11"/>
  <c r="G525" s="1"/>
  <c r="F526" i="8"/>
  <c r="G526" s="1"/>
  <c r="K525" i="7"/>
  <c r="L525"/>
  <c r="F525"/>
  <c r="F525" i="4"/>
  <c r="I525"/>
  <c r="F525" i="22" s="1"/>
  <c r="F526" i="12"/>
  <c r="F526" i="17"/>
  <c r="F526" i="9"/>
  <c r="G526" s="1"/>
  <c r="K526" i="5"/>
  <c r="L526"/>
  <c r="P526" s="1"/>
  <c r="Q526" s="1"/>
  <c r="F526"/>
  <c r="F526" i="10"/>
  <c r="F526" i="11"/>
  <c r="G526" s="1"/>
  <c r="F527" i="8"/>
  <c r="G527" s="1"/>
  <c r="K526" i="7"/>
  <c r="L526"/>
  <c r="F526"/>
  <c r="F526" i="4"/>
  <c r="I526"/>
  <c r="F526" i="22" s="1"/>
  <c r="F527" i="12"/>
  <c r="F527" i="17"/>
  <c r="F527" i="9"/>
  <c r="G527" s="1"/>
  <c r="K527" i="5"/>
  <c r="L527"/>
  <c r="P527" s="1"/>
  <c r="Q527" s="1"/>
  <c r="F527"/>
  <c r="F527" i="10"/>
  <c r="F527" i="11"/>
  <c r="G527" s="1"/>
  <c r="F528" i="8"/>
  <c r="G528" s="1"/>
  <c r="K527" i="7"/>
  <c r="L527"/>
  <c r="F527"/>
  <c r="F527" i="4"/>
  <c r="I527"/>
  <c r="F527" i="22" s="1"/>
  <c r="F528" i="12"/>
  <c r="F528" i="17"/>
  <c r="F528" i="9"/>
  <c r="G528" s="1"/>
  <c r="K528" i="5"/>
  <c r="L528"/>
  <c r="P528" s="1"/>
  <c r="Q528" s="1"/>
  <c r="F528"/>
  <c r="F528" i="10"/>
  <c r="F528" i="11"/>
  <c r="G528" s="1"/>
  <c r="F529" i="8"/>
  <c r="G529" s="1"/>
  <c r="K528" i="7"/>
  <c r="L528"/>
  <c r="F528"/>
  <c r="F528" i="4"/>
  <c r="I528"/>
  <c r="F528" i="22" s="1"/>
  <c r="F529" i="12"/>
  <c r="F529" i="17"/>
  <c r="F529" i="9"/>
  <c r="G529" s="1"/>
  <c r="K529" i="5"/>
  <c r="L529"/>
  <c r="P529" s="1"/>
  <c r="Q529" s="1"/>
  <c r="F529"/>
  <c r="F529" i="10"/>
  <c r="F529" i="11"/>
  <c r="G529" s="1"/>
  <c r="F530" i="8"/>
  <c r="G530" s="1"/>
  <c r="K529" i="7"/>
  <c r="L529"/>
  <c r="F529"/>
  <c r="F529" i="4"/>
  <c r="I529"/>
  <c r="F529" i="22" s="1"/>
  <c r="F530" i="12"/>
  <c r="F530" i="17"/>
  <c r="F530" i="9"/>
  <c r="G530" s="1"/>
  <c r="K530" i="5"/>
  <c r="L530"/>
  <c r="P530" s="1"/>
  <c r="Q530" s="1"/>
  <c r="F530"/>
  <c r="F530" i="10"/>
  <c r="F530" i="11"/>
  <c r="G530" s="1"/>
  <c r="F531" i="8"/>
  <c r="G531" s="1"/>
  <c r="K530" i="7"/>
  <c r="L530"/>
  <c r="F530"/>
  <c r="F530" i="4"/>
  <c r="I530"/>
  <c r="F530" i="22" s="1"/>
  <c r="F531" i="12"/>
  <c r="F531" i="17"/>
  <c r="F531" i="9"/>
  <c r="G531" s="1"/>
  <c r="K531" i="5"/>
  <c r="L531"/>
  <c r="P531" s="1"/>
  <c r="Q531" s="1"/>
  <c r="F531"/>
  <c r="F531" i="10"/>
  <c r="F531" i="11"/>
  <c r="G531" s="1"/>
  <c r="F532" i="8"/>
  <c r="G532" s="1"/>
  <c r="K531" i="7"/>
  <c r="L531"/>
  <c r="F531"/>
  <c r="F531" i="4"/>
  <c r="I531"/>
  <c r="F531" i="22" s="1"/>
  <c r="F532" i="12"/>
  <c r="F532" i="17"/>
  <c r="F532" i="9"/>
  <c r="G532" s="1"/>
  <c r="K532" i="5"/>
  <c r="L532"/>
  <c r="P532" s="1"/>
  <c r="Q532" s="1"/>
  <c r="F532"/>
  <c r="F532" i="10"/>
  <c r="F532" i="11"/>
  <c r="G532" s="1"/>
  <c r="F533" i="8"/>
  <c r="G533" s="1"/>
  <c r="K532" i="7"/>
  <c r="L532"/>
  <c r="F532"/>
  <c r="F532" i="4"/>
  <c r="I532"/>
  <c r="F532" i="22" s="1"/>
  <c r="F533" i="12"/>
  <c r="F533" i="17"/>
  <c r="F533" i="9"/>
  <c r="G533" s="1"/>
  <c r="K533" i="5"/>
  <c r="L533"/>
  <c r="P533" s="1"/>
  <c r="Q533" s="1"/>
  <c r="F533"/>
  <c r="F533" i="10"/>
  <c r="F533" i="11"/>
  <c r="G533" s="1"/>
  <c r="F534" i="8"/>
  <c r="G534" s="1"/>
  <c r="K533" i="7"/>
  <c r="L533"/>
  <c r="F533"/>
  <c r="F533" i="4"/>
  <c r="I533"/>
  <c r="F533" i="22" s="1"/>
  <c r="J534" i="12"/>
  <c r="K534" s="1"/>
  <c r="F534"/>
  <c r="F534" i="17"/>
  <c r="F534" i="9"/>
  <c r="G534" s="1"/>
  <c r="K534" i="5"/>
  <c r="L534"/>
  <c r="P534" s="1"/>
  <c r="Q534" s="1"/>
  <c r="F534"/>
  <c r="K534" i="10"/>
  <c r="F534"/>
  <c r="F534" i="11"/>
  <c r="G534" s="1"/>
  <c r="F386" i="8"/>
  <c r="G386" s="1"/>
  <c r="J535"/>
  <c r="C535"/>
  <c r="D535"/>
  <c r="E535"/>
  <c r="F535"/>
  <c r="G535" s="1"/>
  <c r="K534" i="7"/>
  <c r="L534"/>
  <c r="F534"/>
  <c r="F534" i="4"/>
  <c r="I534"/>
  <c r="F534" i="22" s="1"/>
  <c r="F1204" i="14"/>
  <c r="F1204" i="18"/>
  <c r="F1204" i="12"/>
  <c r="F1204" i="17"/>
  <c r="F1204" i="9"/>
  <c r="G1204"/>
  <c r="K1204" s="1"/>
  <c r="K1204" i="5"/>
  <c r="L1204"/>
  <c r="P1204" s="1"/>
  <c r="F1204"/>
  <c r="F1204" i="10"/>
  <c r="F1204" i="11"/>
  <c r="G1204"/>
  <c r="H1204" s="1"/>
  <c r="K1204"/>
  <c r="I1204"/>
  <c r="F1204" i="8"/>
  <c r="G1204" s="1"/>
  <c r="K1204" i="7"/>
  <c r="L1204"/>
  <c r="F1204"/>
  <c r="F1204" i="4"/>
  <c r="I1204"/>
  <c r="F1204" i="22" s="1"/>
  <c r="F1205" i="14"/>
  <c r="G1205" s="1"/>
  <c r="F1205" i="18"/>
  <c r="G1205" s="1"/>
  <c r="F1205" i="12"/>
  <c r="F1205" i="17"/>
  <c r="F1205" i="9"/>
  <c r="G1205"/>
  <c r="K1205" s="1"/>
  <c r="K1205" i="5"/>
  <c r="L1205"/>
  <c r="P1205" s="1"/>
  <c r="F1205"/>
  <c r="F1205" i="10"/>
  <c r="F1205" i="11"/>
  <c r="G1205"/>
  <c r="H1205" s="1"/>
  <c r="K1205"/>
  <c r="I1205"/>
  <c r="F1205" i="8"/>
  <c r="G1205" s="1"/>
  <c r="K1205" i="7"/>
  <c r="L1205"/>
  <c r="F1205"/>
  <c r="F1205" i="4"/>
  <c r="I1205"/>
  <c r="F1205" i="22" s="1"/>
  <c r="F1206" i="14"/>
  <c r="G1206" s="1"/>
  <c r="F1206" i="18"/>
  <c r="G1206" s="1"/>
  <c r="F1206" i="12"/>
  <c r="F1206" i="17"/>
  <c r="F1206" i="9"/>
  <c r="G1206"/>
  <c r="K1206" s="1"/>
  <c r="K1206" i="5"/>
  <c r="L1206"/>
  <c r="P1206" s="1"/>
  <c r="F1206"/>
  <c r="F1206" i="10"/>
  <c r="F1206" i="11"/>
  <c r="G1206"/>
  <c r="H1206" s="1"/>
  <c r="K1206"/>
  <c r="I1206"/>
  <c r="F1206" i="8"/>
  <c r="G1206" s="1"/>
  <c r="K1206" i="7"/>
  <c r="L1206"/>
  <c r="F1206"/>
  <c r="F1206" i="4"/>
  <c r="I1206"/>
  <c r="F1206" i="22" s="1"/>
  <c r="F1207" i="14"/>
  <c r="G1207" s="1"/>
  <c r="F1207" i="18"/>
  <c r="G1207" s="1"/>
  <c r="F1207" i="12"/>
  <c r="F1207" i="17"/>
  <c r="F1207" i="9"/>
  <c r="G1207"/>
  <c r="K1207" s="1"/>
  <c r="K1207" i="5"/>
  <c r="L1207"/>
  <c r="P1207" s="1"/>
  <c r="F1207"/>
  <c r="F1207" i="10"/>
  <c r="F1207" i="11"/>
  <c r="G1207"/>
  <c r="H1207" s="1"/>
  <c r="K1207"/>
  <c r="I1207"/>
  <c r="F1207" i="8"/>
  <c r="G1207" s="1"/>
  <c r="K1207" i="7"/>
  <c r="L1207"/>
  <c r="F1207"/>
  <c r="F1207" i="4"/>
  <c r="I1207"/>
  <c r="F1207" i="22" s="1"/>
  <c r="F1208" i="14"/>
  <c r="G1208" s="1"/>
  <c r="F1208" i="18"/>
  <c r="G1208" s="1"/>
  <c r="F1208" i="12"/>
  <c r="F1208" i="17"/>
  <c r="F1208" i="9"/>
  <c r="G1208"/>
  <c r="K1208" s="1"/>
  <c r="K1208" i="5"/>
  <c r="L1208"/>
  <c r="P1208" s="1"/>
  <c r="F1208"/>
  <c r="F1208" i="10"/>
  <c r="F1208" i="11"/>
  <c r="G1208"/>
  <c r="H1208" s="1"/>
  <c r="K1208"/>
  <c r="I1208"/>
  <c r="F1208" i="8"/>
  <c r="G1208" s="1"/>
  <c r="K1208" i="7"/>
  <c r="L1208"/>
  <c r="F1208"/>
  <c r="F1208" i="4"/>
  <c r="I1208"/>
  <c r="F1208" i="22" s="1"/>
  <c r="F1209" i="14"/>
  <c r="G1209" s="1"/>
  <c r="F1209" i="18"/>
  <c r="G1209" s="1"/>
  <c r="F1209" i="12"/>
  <c r="F1209" i="17"/>
  <c r="F1209" i="9"/>
  <c r="G1209"/>
  <c r="K1209" s="1"/>
  <c r="K1209" i="5"/>
  <c r="L1209"/>
  <c r="P1209" s="1"/>
  <c r="F1209"/>
  <c r="F1209" i="10"/>
  <c r="F1209" i="11"/>
  <c r="G1209"/>
  <c r="H1209" s="1"/>
  <c r="K1209"/>
  <c r="I1209"/>
  <c r="F1209" i="8"/>
  <c r="G1209" s="1"/>
  <c r="K1209" i="7"/>
  <c r="L1209"/>
  <c r="F1209"/>
  <c r="F1209" i="4"/>
  <c r="I1209"/>
  <c r="F1209" i="22" s="1"/>
  <c r="F1210" i="14"/>
  <c r="G1210" s="1"/>
  <c r="F1210" i="18"/>
  <c r="G1210" s="1"/>
  <c r="F1210" i="12"/>
  <c r="F1210" i="17"/>
  <c r="F1210" i="9"/>
  <c r="G1210"/>
  <c r="K1210" s="1"/>
  <c r="K1210" i="5"/>
  <c r="L1210"/>
  <c r="P1210" s="1"/>
  <c r="F1210"/>
  <c r="F1210" i="10"/>
  <c r="F1210" i="11"/>
  <c r="G1210"/>
  <c r="H1210" s="1"/>
  <c r="K1210"/>
  <c r="I1210"/>
  <c r="F1210" i="8"/>
  <c r="G1210" s="1"/>
  <c r="K1210" i="7"/>
  <c r="L1210"/>
  <c r="F1210"/>
  <c r="F1210" i="4"/>
  <c r="I1210"/>
  <c r="F1210" i="22" s="1"/>
  <c r="F1211" i="14"/>
  <c r="G1211" s="1"/>
  <c r="F1211" i="18"/>
  <c r="G1211" s="1"/>
  <c r="F1211" i="12"/>
  <c r="F1211" i="17"/>
  <c r="F1211" i="9"/>
  <c r="G1211"/>
  <c r="K1211" s="1"/>
  <c r="K1211" i="5"/>
  <c r="L1211"/>
  <c r="P1211" s="1"/>
  <c r="F1211"/>
  <c r="F1211" i="10"/>
  <c r="F1211" i="11"/>
  <c r="G1211"/>
  <c r="H1211" s="1"/>
  <c r="K1211"/>
  <c r="I1211"/>
  <c r="F1211" i="8"/>
  <c r="G1211" s="1"/>
  <c r="K1211" i="7"/>
  <c r="L1211"/>
  <c r="F1211"/>
  <c r="F1211" i="4"/>
  <c r="I1211"/>
  <c r="F1211" i="22" s="1"/>
  <c r="F1212" i="14"/>
  <c r="G1212" s="1"/>
  <c r="F1212" i="18"/>
  <c r="G1212" s="1"/>
  <c r="F1212" i="12"/>
  <c r="F1212" i="17"/>
  <c r="F1212" i="9"/>
  <c r="G1212"/>
  <c r="K1212" s="1"/>
  <c r="K1212" i="5"/>
  <c r="L1212"/>
  <c r="P1212" s="1"/>
  <c r="F1212"/>
  <c r="F1212" i="10"/>
  <c r="F1212" i="11"/>
  <c r="G1212"/>
  <c r="H1212" s="1"/>
  <c r="K1212"/>
  <c r="I1212"/>
  <c r="F1212" i="8"/>
  <c r="G1212" s="1"/>
  <c r="K1212" i="7"/>
  <c r="L1212"/>
  <c r="F1212"/>
  <c r="F1212" i="4"/>
  <c r="I1212"/>
  <c r="F1212" i="22" s="1"/>
  <c r="F1213" i="14"/>
  <c r="G1213" s="1"/>
  <c r="F1213" i="18"/>
  <c r="G1213" s="1"/>
  <c r="F1213" i="12"/>
  <c r="F1213" i="17"/>
  <c r="F1213" i="9"/>
  <c r="G1213"/>
  <c r="K1213" s="1"/>
  <c r="K1213" i="5"/>
  <c r="L1213"/>
  <c r="P1213" s="1"/>
  <c r="F1213"/>
  <c r="F1213" i="10"/>
  <c r="F1213" i="11"/>
  <c r="G1213"/>
  <c r="H1213" s="1"/>
  <c r="K1213"/>
  <c r="I1213"/>
  <c r="F1213" i="8"/>
  <c r="G1213" s="1"/>
  <c r="K1213" i="7"/>
  <c r="L1213"/>
  <c r="F1213"/>
  <c r="F1213" i="4"/>
  <c r="I1213"/>
  <c r="F1213" i="22" s="1"/>
  <c r="F1214" i="14"/>
  <c r="G1214" s="1"/>
  <c r="F1214" i="18"/>
  <c r="G1214" s="1"/>
  <c r="F1214" i="12"/>
  <c r="F1214" i="17"/>
  <c r="F1214" i="9"/>
  <c r="G1214"/>
  <c r="K1214" s="1"/>
  <c r="K1214" i="5"/>
  <c r="L1214"/>
  <c r="P1214" s="1"/>
  <c r="F1214"/>
  <c r="F1214" i="10"/>
  <c r="F1214" i="11"/>
  <c r="G1214"/>
  <c r="H1214" s="1"/>
  <c r="K1214"/>
  <c r="I1214"/>
  <c r="F1214" i="8"/>
  <c r="G1214" s="1"/>
  <c r="K1214" i="7"/>
  <c r="L1214"/>
  <c r="F1214"/>
  <c r="F1214" i="4"/>
  <c r="I1214"/>
  <c r="F1214" i="22" s="1"/>
  <c r="F1215" i="14"/>
  <c r="G1215" s="1"/>
  <c r="F1215" i="18"/>
  <c r="G1215" s="1"/>
  <c r="F1215" i="12"/>
  <c r="F1215" i="17"/>
  <c r="F1215" i="9"/>
  <c r="G1215"/>
  <c r="K1215" s="1"/>
  <c r="K1215" i="5"/>
  <c r="L1215"/>
  <c r="P1215" s="1"/>
  <c r="F1215"/>
  <c r="F1215" i="10"/>
  <c r="F1215" i="11"/>
  <c r="G1215"/>
  <c r="H1215" s="1"/>
  <c r="K1215"/>
  <c r="I1215"/>
  <c r="F1215" i="8"/>
  <c r="G1215" s="1"/>
  <c r="K1215" i="7"/>
  <c r="L1215"/>
  <c r="F1215"/>
  <c r="F1215" i="4"/>
  <c r="I1215"/>
  <c r="F1215" i="22" s="1"/>
  <c r="F1216" i="14"/>
  <c r="G1216" s="1"/>
  <c r="F1216" i="18"/>
  <c r="G1216" s="1"/>
  <c r="F1216" i="12"/>
  <c r="F1216" i="17"/>
  <c r="F1216" i="9"/>
  <c r="G1216"/>
  <c r="K1216" s="1"/>
  <c r="K1216" i="5"/>
  <c r="L1216"/>
  <c r="P1216" s="1"/>
  <c r="F1216"/>
  <c r="F1216" i="10"/>
  <c r="F1216" i="11"/>
  <c r="G1216"/>
  <c r="H1216" s="1"/>
  <c r="K1216"/>
  <c r="I1216"/>
  <c r="F1216" i="8"/>
  <c r="G1216" s="1"/>
  <c r="K1216" i="7"/>
  <c r="L1216"/>
  <c r="F1216"/>
  <c r="F1216" i="4"/>
  <c r="I1216"/>
  <c r="F1216" i="22" s="1"/>
  <c r="F1217" i="14"/>
  <c r="G1217" s="1"/>
  <c r="F1217" i="18"/>
  <c r="G1217" s="1"/>
  <c r="F1217" i="12"/>
  <c r="F1217" i="17"/>
  <c r="F1217" i="9"/>
  <c r="G1217"/>
  <c r="K1217" s="1"/>
  <c r="K1217" i="5"/>
  <c r="L1217"/>
  <c r="P1217" s="1"/>
  <c r="F1217"/>
  <c r="F1217" i="10"/>
  <c r="F1217" i="11"/>
  <c r="G1217"/>
  <c r="H1217" s="1"/>
  <c r="K1217"/>
  <c r="I1217"/>
  <c r="F1217" i="8"/>
  <c r="G1217" s="1"/>
  <c r="K1217" i="7"/>
  <c r="L1217"/>
  <c r="F1217"/>
  <c r="F1217" i="4"/>
  <c r="I1217"/>
  <c r="F1217" i="22" s="1"/>
  <c r="F1218" i="14"/>
  <c r="G1218" s="1"/>
  <c r="F1218" i="18"/>
  <c r="G1218" s="1"/>
  <c r="F1218" i="12"/>
  <c r="F1218" i="17"/>
  <c r="F1218" i="9"/>
  <c r="G1218"/>
  <c r="K1218" s="1"/>
  <c r="K1218" i="5"/>
  <c r="L1218"/>
  <c r="P1218" s="1"/>
  <c r="F1218"/>
  <c r="F1218" i="10"/>
  <c r="F1218" i="11"/>
  <c r="G1218"/>
  <c r="H1218" s="1"/>
  <c r="K1218"/>
  <c r="I1218"/>
  <c r="F1218" i="8"/>
  <c r="G1218" s="1"/>
  <c r="K1218" i="7"/>
  <c r="L1218"/>
  <c r="F1218"/>
  <c r="F1218" i="4"/>
  <c r="I1218"/>
  <c r="F1218" i="22" s="1"/>
  <c r="F1219" i="14"/>
  <c r="G1219" s="1"/>
  <c r="F1219" i="18"/>
  <c r="G1219" s="1"/>
  <c r="F1219" i="12"/>
  <c r="F1219" i="17"/>
  <c r="F1219" i="9"/>
  <c r="G1219"/>
  <c r="K1219" s="1"/>
  <c r="K1219" i="5"/>
  <c r="L1219"/>
  <c r="P1219" s="1"/>
  <c r="F1219"/>
  <c r="F1219" i="10"/>
  <c r="F1219" i="11"/>
  <c r="G1219"/>
  <c r="H1219" s="1"/>
  <c r="K1219"/>
  <c r="I1219"/>
  <c r="F1219" i="8"/>
  <c r="G1219" s="1"/>
  <c r="K1219" i="7"/>
  <c r="L1219"/>
  <c r="F1219"/>
  <c r="F1219" i="4"/>
  <c r="I1219"/>
  <c r="F1219" i="22" s="1"/>
  <c r="F1220" i="14"/>
  <c r="G1220" s="1"/>
  <c r="F1220" i="18"/>
  <c r="G1220" s="1"/>
  <c r="F1220" i="12"/>
  <c r="F1220" i="17"/>
  <c r="F1220" i="9"/>
  <c r="G1220"/>
  <c r="K1220" s="1"/>
  <c r="K1220" i="5"/>
  <c r="L1220"/>
  <c r="P1220" s="1"/>
  <c r="F1220"/>
  <c r="F1220" i="10"/>
  <c r="F1220" i="11"/>
  <c r="G1220"/>
  <c r="H1220" s="1"/>
  <c r="K1220"/>
  <c r="I1220"/>
  <c r="F1220" i="8"/>
  <c r="G1220" s="1"/>
  <c r="K1220" i="7"/>
  <c r="L1220"/>
  <c r="F1220"/>
  <c r="F1220" i="4"/>
  <c r="I1220"/>
  <c r="F1220" i="22" s="1"/>
  <c r="F1221" i="14"/>
  <c r="G1221" s="1"/>
  <c r="F1221" i="18"/>
  <c r="G1221" s="1"/>
  <c r="F1221" i="12"/>
  <c r="F1221" i="17"/>
  <c r="F1221" i="9"/>
  <c r="G1221"/>
  <c r="K1221" s="1"/>
  <c r="K1221" i="5"/>
  <c r="L1221"/>
  <c r="P1221" s="1"/>
  <c r="F1221"/>
  <c r="F1221" i="10"/>
  <c r="F1221" i="11"/>
  <c r="G1221"/>
  <c r="H1221" s="1"/>
  <c r="K1221"/>
  <c r="I1221"/>
  <c r="F1221" i="8"/>
  <c r="G1221" s="1"/>
  <c r="K1221" i="7"/>
  <c r="L1221"/>
  <c r="F1221"/>
  <c r="F1221" i="4"/>
  <c r="I1221"/>
  <c r="F1221" i="22" s="1"/>
  <c r="F1222" i="9"/>
  <c r="G1222"/>
  <c r="K1222" s="1"/>
  <c r="K1222" i="5"/>
  <c r="L1222"/>
  <c r="P1222" s="1"/>
  <c r="F1222"/>
  <c r="F1222" i="10"/>
  <c r="F1222" i="11"/>
  <c r="G1222"/>
  <c r="H1222" s="1"/>
  <c r="K1222"/>
  <c r="I1222"/>
  <c r="F1222" i="8"/>
  <c r="G1222" s="1"/>
  <c r="K1222" i="7"/>
  <c r="L1222"/>
  <c r="F1222"/>
  <c r="F1222" i="4"/>
  <c r="I1222"/>
  <c r="F1222" i="22" s="1"/>
  <c r="F1223" i="12"/>
  <c r="F1223" i="17"/>
  <c r="F1223" i="9"/>
  <c r="G1223"/>
  <c r="K1223" s="1"/>
  <c r="K1223" i="5"/>
  <c r="L1223"/>
  <c r="P1223" s="1"/>
  <c r="F1223"/>
  <c r="F1223" i="10"/>
  <c r="F1223" i="11"/>
  <c r="G1223"/>
  <c r="H1223" s="1"/>
  <c r="K1223"/>
  <c r="I1223"/>
  <c r="F1223" i="8"/>
  <c r="G1223" s="1"/>
  <c r="K1223" i="7"/>
  <c r="L1223"/>
  <c r="F1223"/>
  <c r="F1223" i="4"/>
  <c r="I1223"/>
  <c r="F1223" i="22" s="1"/>
  <c r="F1224" i="12"/>
  <c r="F1224" i="17"/>
  <c r="F1224" i="9"/>
  <c r="G1224"/>
  <c r="K1224" s="1"/>
  <c r="K1224" i="5"/>
  <c r="L1224"/>
  <c r="P1224" s="1"/>
  <c r="F1224"/>
  <c r="F1224" i="10"/>
  <c r="F1224" i="11"/>
  <c r="G1224"/>
  <c r="H1224" s="1"/>
  <c r="K1224"/>
  <c r="I1224"/>
  <c r="F1224" i="8"/>
  <c r="G1224" s="1"/>
  <c r="L1224" i="7"/>
  <c r="F1224"/>
  <c r="F1224" i="4"/>
  <c r="I1224"/>
  <c r="F1224" i="22" s="1"/>
  <c r="F1225" i="12"/>
  <c r="F1225" i="17"/>
  <c r="F1225" i="9"/>
  <c r="G1225"/>
  <c r="K1225" s="1"/>
  <c r="K1225" i="5"/>
  <c r="L1225"/>
  <c r="P1225" s="1"/>
  <c r="F1225"/>
  <c r="F1225" i="10"/>
  <c r="F1225" i="11"/>
  <c r="G1225"/>
  <c r="H1225" s="1"/>
  <c r="K1225"/>
  <c r="I1225"/>
  <c r="F1225" i="8"/>
  <c r="G1225" s="1"/>
  <c r="K1225" i="7"/>
  <c r="L1225"/>
  <c r="F1225"/>
  <c r="F1225" i="4"/>
  <c r="I1225"/>
  <c r="F1225" i="22" s="1"/>
  <c r="F1226" i="12"/>
  <c r="F1226" i="17"/>
  <c r="F1226" i="9"/>
  <c r="G1226"/>
  <c r="K1226" s="1"/>
  <c r="K1226" i="5"/>
  <c r="L1226"/>
  <c r="P1226" s="1"/>
  <c r="F1226"/>
  <c r="F1226" i="10"/>
  <c r="F1226" i="11"/>
  <c r="G1226"/>
  <c r="H1226" s="1"/>
  <c r="K1226"/>
  <c r="I1226"/>
  <c r="F1226" i="8"/>
  <c r="G1226" s="1"/>
  <c r="K1226" i="7"/>
  <c r="L1226"/>
  <c r="F1226"/>
  <c r="F1226" i="4"/>
  <c r="I1226"/>
  <c r="F1226" i="22" s="1"/>
  <c r="F1227" i="14"/>
  <c r="G1227" s="1"/>
  <c r="F1227" i="18"/>
  <c r="G1227" s="1"/>
  <c r="F1227" i="12"/>
  <c r="F1227" i="17"/>
  <c r="F1227" i="9"/>
  <c r="G1227"/>
  <c r="K1227" s="1"/>
  <c r="K1227" i="5"/>
  <c r="L1227"/>
  <c r="P1227" s="1"/>
  <c r="F1227"/>
  <c r="F1227" i="10"/>
  <c r="F1227" i="11"/>
  <c r="G1227"/>
  <c r="H1227" s="1"/>
  <c r="K1227"/>
  <c r="I1227"/>
  <c r="F1227" i="8"/>
  <c r="G1227" s="1"/>
  <c r="K1227" i="7"/>
  <c r="L1227"/>
  <c r="F1227"/>
  <c r="F1227" i="4"/>
  <c r="I1227"/>
  <c r="F1227" i="22" s="1"/>
  <c r="F1228" i="14"/>
  <c r="G1228" s="1"/>
  <c r="F1228" i="18"/>
  <c r="G1228" s="1"/>
  <c r="F1228" i="12"/>
  <c r="F1228" i="17"/>
  <c r="F1228" i="9"/>
  <c r="G1228"/>
  <c r="K1228" s="1"/>
  <c r="K1228" i="5"/>
  <c r="L1228"/>
  <c r="P1228" s="1"/>
  <c r="F1228"/>
  <c r="F1228" i="10"/>
  <c r="F1228" i="11"/>
  <c r="G1228"/>
  <c r="H1228" s="1"/>
  <c r="K1228"/>
  <c r="I1228"/>
  <c r="F1228" i="8"/>
  <c r="G1228" s="1"/>
  <c r="K1228" i="7"/>
  <c r="L1228"/>
  <c r="F1228"/>
  <c r="F1228" i="4"/>
  <c r="I1228"/>
  <c r="F1228" i="22" s="1"/>
  <c r="F1229" i="12"/>
  <c r="F1229" i="17"/>
  <c r="F1229" i="9"/>
  <c r="G1229"/>
  <c r="K1229" s="1"/>
  <c r="K1229" i="5"/>
  <c r="L1229"/>
  <c r="P1229" s="1"/>
  <c r="F1229"/>
  <c r="F1229" i="10"/>
  <c r="F1229" i="11"/>
  <c r="G1229"/>
  <c r="H1229" s="1"/>
  <c r="K1229"/>
  <c r="I1229"/>
  <c r="F1229" i="8"/>
  <c r="G1229" s="1"/>
  <c r="K1229" i="7"/>
  <c r="L1229"/>
  <c r="F1229"/>
  <c r="F1229" i="4"/>
  <c r="I1229"/>
  <c r="F1229" i="22" s="1"/>
  <c r="J1230" i="12"/>
  <c r="K1230" s="1"/>
  <c r="F1230"/>
  <c r="F1230" i="17"/>
  <c r="F1230" i="9"/>
  <c r="G1230"/>
  <c r="K1230" s="1"/>
  <c r="K1230" i="5"/>
  <c r="L1230"/>
  <c r="P1230" s="1"/>
  <c r="F1230"/>
  <c r="F1230" i="10"/>
  <c r="F1230" i="11"/>
  <c r="G1230"/>
  <c r="H1230" s="1"/>
  <c r="K1230"/>
  <c r="I1230"/>
  <c r="F1230" i="8"/>
  <c r="G1230" s="1"/>
  <c r="K1230" i="7"/>
  <c r="L1230"/>
  <c r="F1230"/>
  <c r="F1230" i="4"/>
  <c r="I1230"/>
  <c r="F1230" i="22" s="1"/>
  <c r="J1231" i="12"/>
  <c r="K1231" s="1"/>
  <c r="F1231"/>
  <c r="F1231" i="17"/>
  <c r="F1231" i="9"/>
  <c r="G1231"/>
  <c r="K1231" s="1"/>
  <c r="K1231" i="5"/>
  <c r="L1231"/>
  <c r="P1231" s="1"/>
  <c r="F1231"/>
  <c r="F1231" i="10"/>
  <c r="F1231" i="11"/>
  <c r="G1231"/>
  <c r="H1231" s="1"/>
  <c r="K1231"/>
  <c r="I1231"/>
  <c r="F1231" i="8"/>
  <c r="G1231" s="1"/>
  <c r="K1231" i="7"/>
  <c r="L1231"/>
  <c r="F1231"/>
  <c r="F1231" i="4"/>
  <c r="I1231"/>
  <c r="F1231" i="22" s="1"/>
  <c r="F1148" i="12"/>
  <c r="F1148" i="17"/>
  <c r="F1148" i="9"/>
  <c r="G1148"/>
  <c r="K1148" s="1"/>
  <c r="K1148" i="5"/>
  <c r="L1148" s="1"/>
  <c r="F1148"/>
  <c r="F1148" i="10"/>
  <c r="F1148" i="11"/>
  <c r="G1148" s="1"/>
  <c r="F1148" i="8"/>
  <c r="G1148" s="1"/>
  <c r="F1148" i="7"/>
  <c r="I1148" i="4"/>
  <c r="F1148" i="22" s="1"/>
  <c r="F1149" i="12"/>
  <c r="F1149" i="17"/>
  <c r="F1149" i="9"/>
  <c r="G1149"/>
  <c r="K1149" s="1"/>
  <c r="K1149" i="5"/>
  <c r="L1149" s="1"/>
  <c r="F1149"/>
  <c r="F1149" i="10"/>
  <c r="F1149" i="11"/>
  <c r="G1149" s="1"/>
  <c r="F1149" i="8"/>
  <c r="G1149" s="1"/>
  <c r="F1149" i="7"/>
  <c r="I1149" i="4"/>
  <c r="F1149" i="22" s="1"/>
  <c r="F1150" i="12"/>
  <c r="F1150" i="17"/>
  <c r="F1150" i="9"/>
  <c r="G1150"/>
  <c r="K1150" s="1"/>
  <c r="K1150" i="5"/>
  <c r="L1150" s="1"/>
  <c r="F1150"/>
  <c r="F1150" i="10"/>
  <c r="F1150" i="11"/>
  <c r="G1150" s="1"/>
  <c r="F1150" i="8"/>
  <c r="G1150" s="1"/>
  <c r="F1150" i="7"/>
  <c r="I1150" i="4"/>
  <c r="F1150" i="22" s="1"/>
  <c r="F1151" i="12"/>
  <c r="F1151" i="17"/>
  <c r="F1151" i="9"/>
  <c r="G1151"/>
  <c r="K1151" s="1"/>
  <c r="K1151" i="5"/>
  <c r="L1151" s="1"/>
  <c r="F1151"/>
  <c r="F1151" i="10"/>
  <c r="F1151" i="11"/>
  <c r="G1151" s="1"/>
  <c r="F1151" i="8"/>
  <c r="G1151" s="1"/>
  <c r="F1151" i="7"/>
  <c r="I1151" i="4"/>
  <c r="F1151" i="22" s="1"/>
  <c r="F1152" i="12"/>
  <c r="F1152" i="17"/>
  <c r="F1152" i="9"/>
  <c r="G1152"/>
  <c r="K1152" s="1"/>
  <c r="K1152" i="5"/>
  <c r="L1152" s="1"/>
  <c r="F1152"/>
  <c r="F1152" i="10"/>
  <c r="F1152" i="11"/>
  <c r="G1152" s="1"/>
  <c r="F1152" i="8"/>
  <c r="G1152" s="1"/>
  <c r="F1152" i="7"/>
  <c r="I1152" i="4"/>
  <c r="F1152" i="22" s="1"/>
  <c r="F1153" i="12"/>
  <c r="F1153" i="17"/>
  <c r="F1153" i="9"/>
  <c r="G1153"/>
  <c r="K1153" s="1"/>
  <c r="K1153" i="5"/>
  <c r="L1153" s="1"/>
  <c r="F1153"/>
  <c r="F1153" i="10"/>
  <c r="F1153" i="11"/>
  <c r="G1153" s="1"/>
  <c r="F1153" i="8"/>
  <c r="G1153" s="1"/>
  <c r="F1153" i="7"/>
  <c r="I1153" i="4"/>
  <c r="F1153" i="22" s="1"/>
  <c r="F1154" i="12"/>
  <c r="F1154" i="17"/>
  <c r="F1154" i="9"/>
  <c r="G1154"/>
  <c r="K1154" s="1"/>
  <c r="K1154" i="5"/>
  <c r="L1154" s="1"/>
  <c r="F1154"/>
  <c r="F1154" i="10"/>
  <c r="F1154" i="8"/>
  <c r="G1154" s="1"/>
  <c r="F1154" i="7"/>
  <c r="I1154" i="4"/>
  <c r="F1154" i="22" s="1"/>
  <c r="F1155" i="12"/>
  <c r="F1155" i="17"/>
  <c r="F1155" i="9"/>
  <c r="G1155"/>
  <c r="K1155" s="1"/>
  <c r="K1155" i="5"/>
  <c r="L1155" s="1"/>
  <c r="F1155"/>
  <c r="F1155" i="10"/>
  <c r="F1155" i="11"/>
  <c r="G1155" s="1"/>
  <c r="F1155" i="8"/>
  <c r="G1155" s="1"/>
  <c r="F1155" i="7"/>
  <c r="I1155" i="4"/>
  <c r="F1155" i="22" s="1"/>
  <c r="F1156" i="12"/>
  <c r="F1156" i="17"/>
  <c r="F1156" i="9"/>
  <c r="G1156"/>
  <c r="K1156" s="1"/>
  <c r="K1156" i="5"/>
  <c r="L1156" s="1"/>
  <c r="F1156"/>
  <c r="F1156" i="10"/>
  <c r="F1156" i="11"/>
  <c r="G1156" s="1"/>
  <c r="F1156" i="8"/>
  <c r="G1156" s="1"/>
  <c r="F1156" i="7"/>
  <c r="I1156" i="4"/>
  <c r="F1156" i="22" s="1"/>
  <c r="F1157" i="12"/>
  <c r="F1157" i="17"/>
  <c r="F1157" i="9"/>
  <c r="G1157"/>
  <c r="K1157" s="1"/>
  <c r="K1157" i="5"/>
  <c r="L1157" s="1"/>
  <c r="F1157"/>
  <c r="F1157" i="10"/>
  <c r="F1157" i="11"/>
  <c r="G1157" s="1"/>
  <c r="F1157" i="8"/>
  <c r="G1157" s="1"/>
  <c r="F1157" i="7"/>
  <c r="I1157" i="4"/>
  <c r="F1157" i="22" s="1"/>
  <c r="F1158" i="12"/>
  <c r="F1158" i="17"/>
  <c r="F1158" i="9"/>
  <c r="G1158"/>
  <c r="K1158" s="1"/>
  <c r="K1158" i="5"/>
  <c r="L1158" s="1"/>
  <c r="F1158"/>
  <c r="F1158" i="10"/>
  <c r="F1158" i="11"/>
  <c r="G1158" s="1"/>
  <c r="F1158" i="8"/>
  <c r="G1158" s="1"/>
  <c r="F1158" i="7"/>
  <c r="I1158" i="4"/>
  <c r="F1158" i="22" s="1"/>
  <c r="F1159" i="12"/>
  <c r="F1159" i="17"/>
  <c r="F1159" i="9"/>
  <c r="G1159"/>
  <c r="K1159" s="1"/>
  <c r="K1159" i="5"/>
  <c r="L1159" s="1"/>
  <c r="F1159"/>
  <c r="F1159" i="10"/>
  <c r="F1159" i="11"/>
  <c r="G1159" s="1"/>
  <c r="F1159" i="8"/>
  <c r="G1159" s="1"/>
  <c r="F1159" i="7"/>
  <c r="I1159" i="4"/>
  <c r="F1159" i="22" s="1"/>
  <c r="F1160" i="12"/>
  <c r="F1160" i="17"/>
  <c r="K1160" i="5"/>
  <c r="L1160" s="1"/>
  <c r="F1160"/>
  <c r="F1160" i="7"/>
  <c r="I1160" i="4"/>
  <c r="F1160" i="22" s="1"/>
  <c r="F1161" i="12"/>
  <c r="F1161" i="17"/>
  <c r="F1161" i="9"/>
  <c r="G1161"/>
  <c r="K1161" s="1"/>
  <c r="K1161" i="5"/>
  <c r="L1161" s="1"/>
  <c r="F1161"/>
  <c r="F1161" i="10"/>
  <c r="F1161" i="11"/>
  <c r="G1161" s="1"/>
  <c r="F1161" i="8"/>
  <c r="G1161" s="1"/>
  <c r="F1161" i="7"/>
  <c r="I1161" i="4"/>
  <c r="F1161" i="22" s="1"/>
  <c r="F1162" i="14"/>
  <c r="F1162" i="12"/>
  <c r="F1162" i="17"/>
  <c r="F1162" i="9"/>
  <c r="G1162"/>
  <c r="K1162" s="1"/>
  <c r="K1162" i="5"/>
  <c r="L1162" s="1"/>
  <c r="F1162"/>
  <c r="F1162" i="10"/>
  <c r="F1162" i="11"/>
  <c r="G1162" s="1"/>
  <c r="F1162" i="8"/>
  <c r="G1162" s="1"/>
  <c r="F1162" i="7"/>
  <c r="I1162" i="4"/>
  <c r="F1162" i="22" s="1"/>
  <c r="F1163" i="14"/>
  <c r="G1163" s="1"/>
  <c r="F1163" i="12"/>
  <c r="F1163" i="17"/>
  <c r="F1163" i="9"/>
  <c r="G1163"/>
  <c r="K1163" s="1"/>
  <c r="K1163" i="5"/>
  <c r="L1163" s="1"/>
  <c r="F1163"/>
  <c r="F1163" i="10"/>
  <c r="F1163" i="11"/>
  <c r="G1163" s="1"/>
  <c r="F1163" i="8"/>
  <c r="G1163" s="1"/>
  <c r="F1163" i="7"/>
  <c r="I1163" i="4"/>
  <c r="F1163" i="22" s="1"/>
  <c r="F1164" i="14"/>
  <c r="G1164" s="1"/>
  <c r="F1164" i="12"/>
  <c r="F1164" i="17"/>
  <c r="F1164" i="9"/>
  <c r="G1164"/>
  <c r="K1164" s="1"/>
  <c r="K1164" i="5"/>
  <c r="L1164" s="1"/>
  <c r="F1164"/>
  <c r="F1164" i="10"/>
  <c r="F1164" i="11"/>
  <c r="G1164" s="1"/>
  <c r="F1164" i="8"/>
  <c r="G1164" s="1"/>
  <c r="F1164" i="7"/>
  <c r="I1164" i="4"/>
  <c r="F1164" i="22" s="1"/>
  <c r="F1165" i="12"/>
  <c r="F1165" i="17"/>
  <c r="F1165" i="9"/>
  <c r="G1165"/>
  <c r="K1165" s="1"/>
  <c r="K1165" i="5"/>
  <c r="L1165" s="1"/>
  <c r="F1165"/>
  <c r="F1165" i="10"/>
  <c r="F1165" i="11"/>
  <c r="G1165" s="1"/>
  <c r="F1165" i="8"/>
  <c r="G1165" s="1"/>
  <c r="F1165" i="7"/>
  <c r="I1165" i="4"/>
  <c r="F1165" i="22" s="1"/>
  <c r="F1166" i="12"/>
  <c r="F1166" i="17"/>
  <c r="F1166" i="9"/>
  <c r="G1166"/>
  <c r="K1166" s="1"/>
  <c r="K1166" i="5"/>
  <c r="L1166" s="1"/>
  <c r="F1166"/>
  <c r="F1166" i="10"/>
  <c r="F1166" i="11"/>
  <c r="G1166" s="1"/>
  <c r="F1166" i="8"/>
  <c r="G1166" s="1"/>
  <c r="F1166" i="7"/>
  <c r="I1166" i="4"/>
  <c r="F1166" i="22" s="1"/>
  <c r="F1167" i="12"/>
  <c r="F1167" i="17"/>
  <c r="F1167" i="9"/>
  <c r="G1167"/>
  <c r="K1167" s="1"/>
  <c r="K1167" i="5"/>
  <c r="L1167" s="1"/>
  <c r="F1167"/>
  <c r="F1167" i="10"/>
  <c r="F1167" i="11"/>
  <c r="G1167" s="1"/>
  <c r="F1167" i="8"/>
  <c r="G1167" s="1"/>
  <c r="F1167" i="7"/>
  <c r="I1167" i="4"/>
  <c r="F1167" i="22" s="1"/>
  <c r="F1168" i="12"/>
  <c r="F1168" i="17"/>
  <c r="F1168" i="9"/>
  <c r="G1168"/>
  <c r="K1168" s="1"/>
  <c r="K1168" i="5"/>
  <c r="L1168" s="1"/>
  <c r="F1168"/>
  <c r="F1168" i="10"/>
  <c r="F1168" i="11"/>
  <c r="G1168" s="1"/>
  <c r="F1168" i="8"/>
  <c r="G1168" s="1"/>
  <c r="F1168" i="7"/>
  <c r="I1168" i="4"/>
  <c r="F1168" i="22" s="1"/>
  <c r="F1169" i="12"/>
  <c r="F1169" i="17"/>
  <c r="F1169" i="9"/>
  <c r="G1169"/>
  <c r="K1169" s="1"/>
  <c r="K1169" i="5"/>
  <c r="L1169" s="1"/>
  <c r="F1169"/>
  <c r="F1169" i="10"/>
  <c r="F1169" i="11"/>
  <c r="G1169" s="1"/>
  <c r="F1169" i="8"/>
  <c r="G1169" s="1"/>
  <c r="F1169" i="7"/>
  <c r="I1169" i="4"/>
  <c r="F1169" i="22" s="1"/>
  <c r="F1170" i="12"/>
  <c r="F1170" i="17"/>
  <c r="F1170" i="9"/>
  <c r="G1170"/>
  <c r="K1170" s="1"/>
  <c r="K1170" i="5"/>
  <c r="L1170" s="1"/>
  <c r="F1170"/>
  <c r="F1170" i="10"/>
  <c r="F1170" i="11"/>
  <c r="G1170" s="1"/>
  <c r="F1170" i="8"/>
  <c r="G1170" s="1"/>
  <c r="F1170" i="7"/>
  <c r="I1170" i="4"/>
  <c r="F1170" i="22" s="1"/>
  <c r="F1171" i="12"/>
  <c r="F1171" i="17"/>
  <c r="F1171" i="9"/>
  <c r="G1171"/>
  <c r="K1171" s="1"/>
  <c r="K1171" i="5"/>
  <c r="L1171" s="1"/>
  <c r="F1171"/>
  <c r="F1171" i="10"/>
  <c r="F1171" i="11"/>
  <c r="G1171" s="1"/>
  <c r="F1171" i="8"/>
  <c r="G1171" s="1"/>
  <c r="F1171" i="7"/>
  <c r="I1171" i="4"/>
  <c r="F1171" i="22" s="1"/>
  <c r="F1172" i="12"/>
  <c r="F1172" i="17"/>
  <c r="F1172" i="9"/>
  <c r="G1172"/>
  <c r="K1172" s="1"/>
  <c r="K1172" i="5"/>
  <c r="L1172" s="1"/>
  <c r="F1172"/>
  <c r="F1172" i="10"/>
  <c r="F1172" i="11"/>
  <c r="G1172" s="1"/>
  <c r="F1172" i="8"/>
  <c r="G1172" s="1"/>
  <c r="F1172" i="7"/>
  <c r="I1172" i="4"/>
  <c r="F1172" i="22" s="1"/>
  <c r="F1173" i="12"/>
  <c r="F1173" i="17"/>
  <c r="F1173" i="9"/>
  <c r="G1173"/>
  <c r="K1173" s="1"/>
  <c r="K1173" i="5"/>
  <c r="L1173" s="1"/>
  <c r="F1173"/>
  <c r="F1173" i="10"/>
  <c r="F1173" i="11"/>
  <c r="G1173" s="1"/>
  <c r="F1173" i="8"/>
  <c r="G1173" s="1"/>
  <c r="F1173" i="7"/>
  <c r="I1173" i="4"/>
  <c r="F1173" i="22" s="1"/>
  <c r="F1174" i="12"/>
  <c r="F1174" i="17"/>
  <c r="F1174" i="9"/>
  <c r="G1174"/>
  <c r="K1174" s="1"/>
  <c r="K1174" i="5"/>
  <c r="L1174" s="1"/>
  <c r="F1174"/>
  <c r="F1174" i="10"/>
  <c r="F1174" i="11"/>
  <c r="G1174" s="1"/>
  <c r="F1174" i="8"/>
  <c r="G1174" s="1"/>
  <c r="F1174" i="7"/>
  <c r="I1174" i="4"/>
  <c r="F1174" i="22" s="1"/>
  <c r="F1175" i="12"/>
  <c r="F1175" i="17"/>
  <c r="F1175" i="9"/>
  <c r="G1175"/>
  <c r="K1175" s="1"/>
  <c r="K1175" i="5"/>
  <c r="L1175" s="1"/>
  <c r="F1175"/>
  <c r="F1175" i="10"/>
  <c r="F1175" i="11"/>
  <c r="G1175" s="1"/>
  <c r="F1175" i="8"/>
  <c r="G1175" s="1"/>
  <c r="F1175" i="7"/>
  <c r="I1175" i="4"/>
  <c r="F1175" i="22" s="1"/>
  <c r="F1176" i="12"/>
  <c r="F1176" i="17"/>
  <c r="F1176" i="9"/>
  <c r="G1176"/>
  <c r="K1176" s="1"/>
  <c r="K1176" i="5"/>
  <c r="L1176" s="1"/>
  <c r="F1176"/>
  <c r="F1176" i="10"/>
  <c r="F1176" i="11"/>
  <c r="G1176" s="1"/>
  <c r="F1176" i="8"/>
  <c r="G1176" s="1"/>
  <c r="F1176" i="7"/>
  <c r="I1176" i="4"/>
  <c r="F1176" i="22" s="1"/>
  <c r="F1177" i="12"/>
  <c r="F1177" i="17"/>
  <c r="F1177" i="9"/>
  <c r="G1177"/>
  <c r="K1177" s="1"/>
  <c r="K1177" i="5"/>
  <c r="L1177" s="1"/>
  <c r="F1177"/>
  <c r="F1177" i="10"/>
  <c r="F1177" i="11"/>
  <c r="G1177" s="1"/>
  <c r="F1177" i="8"/>
  <c r="G1177" s="1"/>
  <c r="F1177" i="7"/>
  <c r="I1177" i="4"/>
  <c r="F1177" i="22" s="1"/>
  <c r="F1178" i="12"/>
  <c r="F1178" i="17"/>
  <c r="F1178" i="9"/>
  <c r="G1178"/>
  <c r="K1178" s="1"/>
  <c r="K1178" i="5"/>
  <c r="L1178" s="1"/>
  <c r="F1178"/>
  <c r="F1178" i="10"/>
  <c r="F1178" i="11"/>
  <c r="G1178" s="1"/>
  <c r="F1178" i="8"/>
  <c r="G1178" s="1"/>
  <c r="F1178" i="7"/>
  <c r="I1178" i="4"/>
  <c r="F1178" i="22" s="1"/>
  <c r="F1179" i="12"/>
  <c r="F1179" i="17"/>
  <c r="K1179" i="5"/>
  <c r="L1179" s="1"/>
  <c r="F1179"/>
  <c r="F1179" i="10"/>
  <c r="F1179" i="7"/>
  <c r="I1179" i="4"/>
  <c r="F1179" i="22" s="1"/>
  <c r="F1180" i="14"/>
  <c r="G1180" s="1"/>
  <c r="F1180" i="12"/>
  <c r="F1180" i="17"/>
  <c r="F1180" i="9"/>
  <c r="G1180"/>
  <c r="K1180" s="1"/>
  <c r="K1180" i="5"/>
  <c r="L1180" s="1"/>
  <c r="F1180"/>
  <c r="F1180" i="10"/>
  <c r="F1180" i="11"/>
  <c r="G1180" s="1"/>
  <c r="F1180" i="8"/>
  <c r="G1180" s="1"/>
  <c r="F1180" i="7"/>
  <c r="I1180" i="4"/>
  <c r="F1180" i="22" s="1"/>
  <c r="F1181" i="14"/>
  <c r="G1181" s="1"/>
  <c r="F1181" i="12"/>
  <c r="F1181" i="17"/>
  <c r="F1181" i="9"/>
  <c r="G1181"/>
  <c r="K1181" s="1"/>
  <c r="K1181" i="5"/>
  <c r="L1181" s="1"/>
  <c r="F1181"/>
  <c r="F1181" i="10"/>
  <c r="F1181" i="11"/>
  <c r="G1181" s="1"/>
  <c r="F1181" i="8"/>
  <c r="G1181" s="1"/>
  <c r="F1181" i="7"/>
  <c r="I1181" i="4"/>
  <c r="F1181" i="22" s="1"/>
  <c r="F1182" i="14"/>
  <c r="G1182" s="1"/>
  <c r="F1182" i="12"/>
  <c r="F1182" i="17"/>
  <c r="F1182" i="9"/>
  <c r="G1182"/>
  <c r="K1182" s="1"/>
  <c r="K1182" i="5"/>
  <c r="L1182" s="1"/>
  <c r="F1182"/>
  <c r="F1182" i="10"/>
  <c r="F1182" i="11"/>
  <c r="G1182" s="1"/>
  <c r="F1182" i="8"/>
  <c r="G1182" s="1"/>
  <c r="F1182" i="7"/>
  <c r="I1182" i="4"/>
  <c r="F1182" i="22" s="1"/>
  <c r="F1183" i="14"/>
  <c r="G1183" s="1"/>
  <c r="F1183" i="12"/>
  <c r="F1183" i="17"/>
  <c r="F1183" i="9"/>
  <c r="G1183"/>
  <c r="K1183" s="1"/>
  <c r="K1183" i="5"/>
  <c r="L1183" s="1"/>
  <c r="F1183"/>
  <c r="F1183" i="10"/>
  <c r="F1183" i="11"/>
  <c r="G1183" s="1"/>
  <c r="F1183" i="8"/>
  <c r="G1183" s="1"/>
  <c r="F1183" i="7"/>
  <c r="I1183" i="4"/>
  <c r="F1183" i="22" s="1"/>
  <c r="F1184" i="14"/>
  <c r="G1184" s="1"/>
  <c r="F1184" i="12"/>
  <c r="F1184" i="17"/>
  <c r="F1184" i="9"/>
  <c r="G1184"/>
  <c r="K1184" s="1"/>
  <c r="K1184" i="5"/>
  <c r="L1184" s="1"/>
  <c r="F1184"/>
  <c r="F1184" i="10"/>
  <c r="F1184" i="11"/>
  <c r="G1184" s="1"/>
  <c r="F1184" i="8"/>
  <c r="G1184" s="1"/>
  <c r="F1184" i="7"/>
  <c r="I1184" i="4"/>
  <c r="F1184" i="22" s="1"/>
  <c r="F1185" i="14"/>
  <c r="G1185" s="1"/>
  <c r="F1185" i="12"/>
  <c r="F1185" i="17"/>
  <c r="F1185" i="9"/>
  <c r="G1185"/>
  <c r="K1185" s="1"/>
  <c r="K1185" i="5"/>
  <c r="L1185" s="1"/>
  <c r="F1185"/>
  <c r="F1185" i="10"/>
  <c r="F1185" i="11"/>
  <c r="G1185" s="1"/>
  <c r="F1185" i="8"/>
  <c r="G1185" s="1"/>
  <c r="F1185" i="7"/>
  <c r="I1185" i="4"/>
  <c r="F1185" i="22" s="1"/>
  <c r="F1186" i="14"/>
  <c r="G1186" s="1"/>
  <c r="F1186" i="12"/>
  <c r="F1186" i="17"/>
  <c r="F1186" i="9"/>
  <c r="G1186"/>
  <c r="K1186" s="1"/>
  <c r="K1186" i="5"/>
  <c r="L1186" s="1"/>
  <c r="F1186"/>
  <c r="F1186" i="10"/>
  <c r="F1186" i="11"/>
  <c r="G1186" s="1"/>
  <c r="F1186" i="8"/>
  <c r="G1186" s="1"/>
  <c r="F1186" i="7"/>
  <c r="I1186" i="4"/>
  <c r="F1186" i="22" s="1"/>
  <c r="F1187" i="14"/>
  <c r="G1187" s="1"/>
  <c r="F1187" i="12"/>
  <c r="F1187" i="17"/>
  <c r="F1187" i="9"/>
  <c r="G1187"/>
  <c r="K1187" s="1"/>
  <c r="K1187" i="5"/>
  <c r="L1187" s="1"/>
  <c r="F1187"/>
  <c r="F1187" i="10"/>
  <c r="F1187" i="11"/>
  <c r="G1187" s="1"/>
  <c r="F1187" i="8"/>
  <c r="G1187" s="1"/>
  <c r="F1187" i="7"/>
  <c r="I1187" i="4"/>
  <c r="F1187" i="22" s="1"/>
  <c r="F1188" i="14"/>
  <c r="G1188" s="1"/>
  <c r="F1188" i="12"/>
  <c r="F1188" i="17"/>
  <c r="F1188" i="9"/>
  <c r="G1188"/>
  <c r="K1188" s="1"/>
  <c r="K1188" i="5"/>
  <c r="L1188" s="1"/>
  <c r="F1188"/>
  <c r="F1188" i="10"/>
  <c r="F1188" i="11"/>
  <c r="G1188" s="1"/>
  <c r="F1188" i="8"/>
  <c r="G1188" s="1"/>
  <c r="F1188" i="7"/>
  <c r="I1188" i="4"/>
  <c r="F1188" i="22" s="1"/>
  <c r="F1189" i="14"/>
  <c r="G1189" s="1"/>
  <c r="F1189" i="12"/>
  <c r="F1189" i="17"/>
  <c r="F1189" i="9"/>
  <c r="G1189"/>
  <c r="K1189" s="1"/>
  <c r="K1189" i="5"/>
  <c r="L1189" s="1"/>
  <c r="F1189"/>
  <c r="F1189" i="10"/>
  <c r="F1189" i="11"/>
  <c r="G1189" s="1"/>
  <c r="F1189" i="8"/>
  <c r="G1189" s="1"/>
  <c r="F1189" i="7"/>
  <c r="I1189" i="4"/>
  <c r="F1189" i="22" s="1"/>
  <c r="F1190" i="14"/>
  <c r="G1190" s="1"/>
  <c r="F1190" i="12"/>
  <c r="F1190" i="17"/>
  <c r="F1190" i="9"/>
  <c r="G1190"/>
  <c r="K1190" s="1"/>
  <c r="K1190" i="5"/>
  <c r="L1190" s="1"/>
  <c r="F1190"/>
  <c r="F1190" i="10"/>
  <c r="F1190" i="11"/>
  <c r="G1190" s="1"/>
  <c r="F1190" i="8"/>
  <c r="G1190" s="1"/>
  <c r="F1190" i="7"/>
  <c r="I1190" i="4"/>
  <c r="F1190" i="22" s="1"/>
  <c r="F1191" i="14"/>
  <c r="G1191" s="1"/>
  <c r="F1191" i="12"/>
  <c r="F1191" i="17"/>
  <c r="F1191" i="9"/>
  <c r="G1191"/>
  <c r="K1191" s="1"/>
  <c r="K1191" i="5"/>
  <c r="L1191" s="1"/>
  <c r="F1191"/>
  <c r="F1191" i="10"/>
  <c r="F1191" i="11"/>
  <c r="G1191" s="1"/>
  <c r="F1191" i="8"/>
  <c r="G1191" s="1"/>
  <c r="F1191" i="7"/>
  <c r="I1191" i="4"/>
  <c r="F1191" i="22" s="1"/>
  <c r="F1192" i="14"/>
  <c r="G1192" s="1"/>
  <c r="F1192" i="12"/>
  <c r="F1192" i="17"/>
  <c r="F1192" i="9"/>
  <c r="G1192"/>
  <c r="K1192" s="1"/>
  <c r="K1192" i="5"/>
  <c r="L1192" s="1"/>
  <c r="F1192"/>
  <c r="F1192" i="10"/>
  <c r="F1192" i="11"/>
  <c r="G1192" s="1"/>
  <c r="F1192" i="8"/>
  <c r="G1192" s="1"/>
  <c r="F1192" i="7"/>
  <c r="I1192" i="4"/>
  <c r="F1192" i="22" s="1"/>
  <c r="F1193" i="14"/>
  <c r="G1193" s="1"/>
  <c r="F1193" i="12"/>
  <c r="F1193" i="17"/>
  <c r="F1193" i="9"/>
  <c r="G1193"/>
  <c r="K1193" s="1"/>
  <c r="K1193" i="5"/>
  <c r="L1193" s="1"/>
  <c r="F1193"/>
  <c r="F1193" i="10"/>
  <c r="F1193" i="11"/>
  <c r="G1193" s="1"/>
  <c r="F1193" i="8"/>
  <c r="G1193" s="1"/>
  <c r="F1193" i="7"/>
  <c r="I1193" i="4"/>
  <c r="F1193" i="22" s="1"/>
  <c r="F1194" i="14"/>
  <c r="G1194" s="1"/>
  <c r="F1194" i="12"/>
  <c r="F1194" i="17"/>
  <c r="F1194" i="9"/>
  <c r="G1194"/>
  <c r="K1194" s="1"/>
  <c r="K1194" i="5"/>
  <c r="L1194" s="1"/>
  <c r="F1194"/>
  <c r="F1194" i="10"/>
  <c r="F1194" i="11"/>
  <c r="G1194" s="1"/>
  <c r="F1194" i="8"/>
  <c r="G1194" s="1"/>
  <c r="F1194" i="7"/>
  <c r="I1194" i="4"/>
  <c r="F1194" i="22" s="1"/>
  <c r="F1195" i="14"/>
  <c r="G1195" s="1"/>
  <c r="F1195" i="12"/>
  <c r="F1195" i="17"/>
  <c r="F1195" i="9"/>
  <c r="G1195"/>
  <c r="K1195" s="1"/>
  <c r="K1195" i="5"/>
  <c r="L1195" s="1"/>
  <c r="F1195"/>
  <c r="F1195" i="10"/>
  <c r="F1195" i="11"/>
  <c r="G1195" s="1"/>
  <c r="F1195" i="8"/>
  <c r="G1195" s="1"/>
  <c r="F1195" i="7"/>
  <c r="I1195" i="4"/>
  <c r="F1195" i="22" s="1"/>
  <c r="F1196" i="14"/>
  <c r="G1196" s="1"/>
  <c r="F1196" i="12"/>
  <c r="F1196" i="17"/>
  <c r="F1196" i="9"/>
  <c r="G1196"/>
  <c r="K1196" s="1"/>
  <c r="K1196" i="5"/>
  <c r="L1196" s="1"/>
  <c r="F1196"/>
  <c r="F1196" i="10"/>
  <c r="F1196" i="11"/>
  <c r="G1196" s="1"/>
  <c r="F1196" i="8"/>
  <c r="G1196" s="1"/>
  <c r="F1196" i="7"/>
  <c r="I1196" i="4"/>
  <c r="F1196" i="22" s="1"/>
  <c r="F1197" i="14"/>
  <c r="G1197" s="1"/>
  <c r="F1197" i="12"/>
  <c r="F1197" i="17"/>
  <c r="F1197" i="9"/>
  <c r="G1197"/>
  <c r="K1197" s="1"/>
  <c r="K1197" i="5"/>
  <c r="L1197" s="1"/>
  <c r="F1197"/>
  <c r="F1197" i="10"/>
  <c r="F1197" i="11"/>
  <c r="G1197" s="1"/>
  <c r="F1197" i="8"/>
  <c r="G1197" s="1"/>
  <c r="F1197" i="7"/>
  <c r="I1197" i="4"/>
  <c r="F1197" i="22" s="1"/>
  <c r="F1198" i="14"/>
  <c r="G1198" s="1"/>
  <c r="F1198" i="12"/>
  <c r="F1198" i="17"/>
  <c r="F1198" i="9"/>
  <c r="G1198"/>
  <c r="K1198" s="1"/>
  <c r="K1198" i="5"/>
  <c r="L1198" s="1"/>
  <c r="F1198"/>
  <c r="F1198" i="10"/>
  <c r="F1198" i="11"/>
  <c r="G1198" s="1"/>
  <c r="F1198" i="8"/>
  <c r="G1198" s="1"/>
  <c r="F1198" i="7"/>
  <c r="I1198" i="4"/>
  <c r="F1198" i="22" s="1"/>
  <c r="F1199" i="14"/>
  <c r="G1199" s="1"/>
  <c r="F1199" i="12"/>
  <c r="F1199" i="17"/>
  <c r="F1199" i="9"/>
  <c r="G1199"/>
  <c r="K1199" s="1"/>
  <c r="K1199" i="5"/>
  <c r="L1199" s="1"/>
  <c r="F1199"/>
  <c r="F1199" i="10"/>
  <c r="F1199" i="11"/>
  <c r="G1199" s="1"/>
  <c r="F1199" i="8"/>
  <c r="G1199" s="1"/>
  <c r="F1199" i="7"/>
  <c r="I1199" i="4"/>
  <c r="F1199" i="22" s="1"/>
  <c r="F1200" i="12"/>
  <c r="F1200" i="17"/>
  <c r="F1200" i="9"/>
  <c r="G1200"/>
  <c r="K1200" s="1"/>
  <c r="K1200" i="5"/>
  <c r="L1200" s="1"/>
  <c r="F1200"/>
  <c r="F1200" i="10"/>
  <c r="F1200" i="11"/>
  <c r="G1200" s="1"/>
  <c r="F1200" i="8"/>
  <c r="G1200" s="1"/>
  <c r="F1200" i="7"/>
  <c r="I1200" i="4"/>
  <c r="F1200" i="22" s="1"/>
  <c r="F1201" i="12"/>
  <c r="F1201" i="17"/>
  <c r="F1201" i="9"/>
  <c r="G1201"/>
  <c r="K1201" s="1"/>
  <c r="N1201" i="5"/>
  <c r="F1201"/>
  <c r="F1201" i="10"/>
  <c r="F1201" i="11"/>
  <c r="G1201" s="1"/>
  <c r="F1201" i="8"/>
  <c r="G1201" s="1"/>
  <c r="F1201" i="7"/>
  <c r="I1201" i="4"/>
  <c r="F1201" i="22" s="1"/>
  <c r="F881" i="18"/>
  <c r="F881" i="12"/>
  <c r="F881" i="17"/>
  <c r="F881" i="9"/>
  <c r="G881"/>
  <c r="K881" s="1"/>
  <c r="K881" i="5"/>
  <c r="L881" s="1"/>
  <c r="F881"/>
  <c r="F881" i="10"/>
  <c r="F881" i="11"/>
  <c r="G881" s="1"/>
  <c r="F881" i="8"/>
  <c r="G881" s="1"/>
  <c r="K881" s="1"/>
  <c r="N881" i="7"/>
  <c r="F881"/>
  <c r="F881" i="4"/>
  <c r="I881"/>
  <c r="F881" i="22" s="1"/>
  <c r="F882" i="18"/>
  <c r="G882" s="1"/>
  <c r="F882" i="12"/>
  <c r="F882" i="17"/>
  <c r="F882" i="9"/>
  <c r="G882"/>
  <c r="K882" s="1"/>
  <c r="K882" i="5"/>
  <c r="L882" s="1"/>
  <c r="F882"/>
  <c r="F882" i="10"/>
  <c r="F882" i="11"/>
  <c r="G882" s="1"/>
  <c r="F882" i="8"/>
  <c r="G882" s="1"/>
  <c r="K882" s="1"/>
  <c r="N882" i="7"/>
  <c r="F882"/>
  <c r="F882" i="4"/>
  <c r="I882"/>
  <c r="F882" i="22" s="1"/>
  <c r="F883" i="18"/>
  <c r="G883" s="1"/>
  <c r="F883" i="12"/>
  <c r="F883" i="17"/>
  <c r="F883" i="9"/>
  <c r="G883"/>
  <c r="K883" s="1"/>
  <c r="K883" i="5"/>
  <c r="L883" s="1"/>
  <c r="F883"/>
  <c r="F883" i="10"/>
  <c r="F883" i="11"/>
  <c r="G883" s="1"/>
  <c r="F883" i="8"/>
  <c r="G883" s="1"/>
  <c r="K883" s="1"/>
  <c r="N883" i="7"/>
  <c r="F883"/>
  <c r="F883" i="4"/>
  <c r="I883"/>
  <c r="F883" i="22" s="1"/>
  <c r="F884" i="18"/>
  <c r="G884" s="1"/>
  <c r="F884" i="12"/>
  <c r="F884" i="17"/>
  <c r="F884" i="9"/>
  <c r="G884"/>
  <c r="K884" s="1"/>
  <c r="K884" i="5"/>
  <c r="L884" s="1"/>
  <c r="F884"/>
  <c r="F884" i="10"/>
  <c r="F884" i="11"/>
  <c r="G884" s="1"/>
  <c r="F884" i="8"/>
  <c r="G884" s="1"/>
  <c r="K884" s="1"/>
  <c r="N884" i="7"/>
  <c r="F884"/>
  <c r="F884" i="4"/>
  <c r="I884"/>
  <c r="F884" i="22" s="1"/>
  <c r="F885" i="18"/>
  <c r="G885" s="1"/>
  <c r="F885" i="12"/>
  <c r="F885" i="17"/>
  <c r="F885" i="9"/>
  <c r="G885"/>
  <c r="K885" s="1"/>
  <c r="K885" i="5"/>
  <c r="L885" s="1"/>
  <c r="F885"/>
  <c r="F885" i="10"/>
  <c r="F885" i="11"/>
  <c r="G885" s="1"/>
  <c r="F885" i="8"/>
  <c r="G885" s="1"/>
  <c r="K885" s="1"/>
  <c r="N885" i="7"/>
  <c r="F885"/>
  <c r="F885" i="4"/>
  <c r="I885"/>
  <c r="F885" i="22" s="1"/>
  <c r="F886" i="18"/>
  <c r="G886" s="1"/>
  <c r="F886" i="12"/>
  <c r="F886" i="17"/>
  <c r="F886" i="9"/>
  <c r="G886"/>
  <c r="K886" s="1"/>
  <c r="K886" i="5"/>
  <c r="L886" s="1"/>
  <c r="F886"/>
  <c r="F886" i="10"/>
  <c r="F886" i="11"/>
  <c r="G886" s="1"/>
  <c r="F886" i="8"/>
  <c r="G886" s="1"/>
  <c r="K886" s="1"/>
  <c r="N886" i="7"/>
  <c r="F886"/>
  <c r="F886" i="4"/>
  <c r="I886"/>
  <c r="F886" i="22" s="1"/>
  <c r="F887" i="18"/>
  <c r="G887" s="1"/>
  <c r="F887" i="12"/>
  <c r="F887" i="17"/>
  <c r="F887" i="9"/>
  <c r="G887"/>
  <c r="K887" s="1"/>
  <c r="K887" i="5"/>
  <c r="L887" s="1"/>
  <c r="F887"/>
  <c r="F887" i="10"/>
  <c r="F887" i="11"/>
  <c r="G887" s="1"/>
  <c r="F887" i="8"/>
  <c r="G887" s="1"/>
  <c r="K887" s="1"/>
  <c r="N887" i="7"/>
  <c r="F887"/>
  <c r="F887" i="4"/>
  <c r="I887"/>
  <c r="F887" i="22" s="1"/>
  <c r="F888" i="18"/>
  <c r="G888" s="1"/>
  <c r="F888" i="12"/>
  <c r="F888" i="17"/>
  <c r="F888" i="9"/>
  <c r="G888"/>
  <c r="K888" s="1"/>
  <c r="K888" i="5"/>
  <c r="L888" s="1"/>
  <c r="F888"/>
  <c r="F888" i="10"/>
  <c r="F888" i="11"/>
  <c r="G888" s="1"/>
  <c r="F888" i="8"/>
  <c r="G888" s="1"/>
  <c r="K888" s="1"/>
  <c r="N888" i="7"/>
  <c r="F888"/>
  <c r="F888" i="4"/>
  <c r="I888"/>
  <c r="F888" i="22" s="1"/>
  <c r="F889" i="18"/>
  <c r="G889" s="1"/>
  <c r="F889" i="12"/>
  <c r="F889" i="17"/>
  <c r="F889" i="9"/>
  <c r="G889"/>
  <c r="K889" s="1"/>
  <c r="K889" i="5"/>
  <c r="L889" s="1"/>
  <c r="F889"/>
  <c r="F889" i="10"/>
  <c r="F889" i="11"/>
  <c r="G889" s="1"/>
  <c r="F889" i="8"/>
  <c r="G889" s="1"/>
  <c r="K889" s="1"/>
  <c r="N889" i="7"/>
  <c r="F889"/>
  <c r="F889" i="4"/>
  <c r="I889"/>
  <c r="F889" i="22" s="1"/>
  <c r="F890" i="18"/>
  <c r="G890" s="1"/>
  <c r="F890" i="12"/>
  <c r="F890" i="17"/>
  <c r="F890" i="9"/>
  <c r="G890"/>
  <c r="K890" s="1"/>
  <c r="K890" i="5"/>
  <c r="L890" s="1"/>
  <c r="F890"/>
  <c r="F890" i="10"/>
  <c r="F890" i="11"/>
  <c r="G890" s="1"/>
  <c r="F890" i="8"/>
  <c r="G890" s="1"/>
  <c r="K890" s="1"/>
  <c r="N890" i="7"/>
  <c r="F890"/>
  <c r="F890" i="4"/>
  <c r="I890"/>
  <c r="F890" i="22" s="1"/>
  <c r="F891" i="18"/>
  <c r="G891" s="1"/>
  <c r="F891" i="12"/>
  <c r="F891" i="17"/>
  <c r="F891" i="9"/>
  <c r="G891"/>
  <c r="K891" s="1"/>
  <c r="K891" i="5"/>
  <c r="L891" s="1"/>
  <c r="F891"/>
  <c r="F891" i="10"/>
  <c r="F891" i="11"/>
  <c r="G891" s="1"/>
  <c r="F891" i="8"/>
  <c r="G891" s="1"/>
  <c r="K891" s="1"/>
  <c r="N891" i="7"/>
  <c r="F891"/>
  <c r="F891" i="4"/>
  <c r="I891"/>
  <c r="F891" i="22" s="1"/>
  <c r="F892" i="18"/>
  <c r="G892" s="1"/>
  <c r="F892" i="12"/>
  <c r="F892" i="17"/>
  <c r="F892" i="9"/>
  <c r="G892"/>
  <c r="K892" s="1"/>
  <c r="K892" i="5"/>
  <c r="L892" s="1"/>
  <c r="F892"/>
  <c r="F892" i="10"/>
  <c r="F892" i="11"/>
  <c r="G892" s="1"/>
  <c r="F892" i="8"/>
  <c r="G892" s="1"/>
  <c r="K892" s="1"/>
  <c r="N892" i="7"/>
  <c r="F892"/>
  <c r="F892" i="4"/>
  <c r="I892"/>
  <c r="F892" i="22" s="1"/>
  <c r="F893" i="18"/>
  <c r="G893" s="1"/>
  <c r="F893" i="12"/>
  <c r="F893" i="17"/>
  <c r="F893" i="9"/>
  <c r="G893"/>
  <c r="K893" s="1"/>
  <c r="K893" i="5"/>
  <c r="L893" s="1"/>
  <c r="F893"/>
  <c r="F893" i="10"/>
  <c r="F893" i="11"/>
  <c r="G893" s="1"/>
  <c r="F893" i="8"/>
  <c r="G893" s="1"/>
  <c r="K893" s="1"/>
  <c r="N893" i="7"/>
  <c r="F893"/>
  <c r="F893" i="4"/>
  <c r="I893"/>
  <c r="F893" i="22" s="1"/>
  <c r="F894" i="18"/>
  <c r="G894" s="1"/>
  <c r="F894" i="12"/>
  <c r="F894" i="17"/>
  <c r="F894" i="9"/>
  <c r="G894"/>
  <c r="K894" s="1"/>
  <c r="K894" i="5"/>
  <c r="L894" s="1"/>
  <c r="F894"/>
  <c r="F894" i="10"/>
  <c r="F894" i="11"/>
  <c r="G894" s="1"/>
  <c r="F894" i="8"/>
  <c r="G894" s="1"/>
  <c r="K894" s="1"/>
  <c r="N894" i="7"/>
  <c r="F894"/>
  <c r="F894" i="4"/>
  <c r="I894"/>
  <c r="F894" i="22" s="1"/>
  <c r="F895" i="18"/>
  <c r="G895" s="1"/>
  <c r="F895" i="12"/>
  <c r="F895" i="17"/>
  <c r="F895" i="9"/>
  <c r="G895"/>
  <c r="K895" s="1"/>
  <c r="K895" i="5"/>
  <c r="L895" s="1"/>
  <c r="F895"/>
  <c r="F895" i="10"/>
  <c r="F895" i="11"/>
  <c r="G895" s="1"/>
  <c r="F895" i="8"/>
  <c r="G895" s="1"/>
  <c r="K895" s="1"/>
  <c r="N895" i="7"/>
  <c r="F895"/>
  <c r="F895" i="4"/>
  <c r="I895"/>
  <c r="F895" i="22" s="1"/>
  <c r="F896" i="18"/>
  <c r="G896" s="1"/>
  <c r="F896" i="12"/>
  <c r="F896" i="17"/>
  <c r="F896" i="9"/>
  <c r="G896"/>
  <c r="K896" s="1"/>
  <c r="K896" i="5"/>
  <c r="L896" s="1"/>
  <c r="F896"/>
  <c r="F896" i="10"/>
  <c r="F896" i="11"/>
  <c r="G896" s="1"/>
  <c r="F896" i="8"/>
  <c r="G896" s="1"/>
  <c r="K896" s="1"/>
  <c r="N896" i="7"/>
  <c r="F896"/>
  <c r="F896" i="4"/>
  <c r="I896"/>
  <c r="F896" i="22" s="1"/>
  <c r="F897" i="12"/>
  <c r="F897" i="17"/>
  <c r="F897" i="9"/>
  <c r="G897"/>
  <c r="K897" s="1"/>
  <c r="K897" i="5"/>
  <c r="L897" s="1"/>
  <c r="F897"/>
  <c r="F897" i="10"/>
  <c r="F897" i="11"/>
  <c r="G897" s="1"/>
  <c r="F897" i="8"/>
  <c r="G897" s="1"/>
  <c r="N897" i="7"/>
  <c r="F897"/>
  <c r="F897" i="4"/>
  <c r="I897"/>
  <c r="F897" i="22" s="1"/>
  <c r="F898" i="18"/>
  <c r="G898" s="1"/>
  <c r="F898" i="12"/>
  <c r="F898" i="17"/>
  <c r="F898" i="9"/>
  <c r="G898"/>
  <c r="K898" s="1"/>
  <c r="K898" i="5"/>
  <c r="L898" s="1"/>
  <c r="F898"/>
  <c r="F898" i="10"/>
  <c r="F898" i="11"/>
  <c r="G898" s="1"/>
  <c r="F898" i="8"/>
  <c r="G898" s="1"/>
  <c r="K898" s="1"/>
  <c r="N898" i="7"/>
  <c r="F898"/>
  <c r="F898" i="4"/>
  <c r="I898"/>
  <c r="F898" i="22" s="1"/>
  <c r="F899" i="18"/>
  <c r="G899" s="1"/>
  <c r="F899" i="12"/>
  <c r="F899" i="17"/>
  <c r="F899" i="9"/>
  <c r="G899"/>
  <c r="K899" s="1"/>
  <c r="K899" i="5"/>
  <c r="L899" s="1"/>
  <c r="F899"/>
  <c r="F899" i="10"/>
  <c r="F899" i="11"/>
  <c r="G899" s="1"/>
  <c r="F899" i="8"/>
  <c r="G899" s="1"/>
  <c r="K899" s="1"/>
  <c r="N899" i="7"/>
  <c r="F899"/>
  <c r="F899" i="4"/>
  <c r="I899"/>
  <c r="F899" i="22" s="1"/>
  <c r="F900" i="18"/>
  <c r="G900" s="1"/>
  <c r="F900" i="12"/>
  <c r="F900" i="17"/>
  <c r="F900" i="9"/>
  <c r="G900"/>
  <c r="K900" s="1"/>
  <c r="K900" i="5"/>
  <c r="L900" s="1"/>
  <c r="F900"/>
  <c r="F900" i="10"/>
  <c r="F900" i="11"/>
  <c r="G900" s="1"/>
  <c r="F900" i="8"/>
  <c r="G900" s="1"/>
  <c r="K900" s="1"/>
  <c r="N900" i="7"/>
  <c r="F900"/>
  <c r="F900" i="4"/>
  <c r="I900"/>
  <c r="F900" i="22" s="1"/>
  <c r="F901" i="18"/>
  <c r="G901" s="1"/>
  <c r="F901" i="12"/>
  <c r="F901" i="17"/>
  <c r="F901" i="9"/>
  <c r="G901"/>
  <c r="K901" s="1"/>
  <c r="K901" i="5"/>
  <c r="L901" s="1"/>
  <c r="F901"/>
  <c r="F901" i="10"/>
  <c r="F901" i="11"/>
  <c r="G901" s="1"/>
  <c r="F901" i="8"/>
  <c r="G901" s="1"/>
  <c r="K901" s="1"/>
  <c r="N901" i="7"/>
  <c r="F901"/>
  <c r="F901" i="4"/>
  <c r="I901"/>
  <c r="F901" i="22" s="1"/>
  <c r="F902" i="18"/>
  <c r="G902" s="1"/>
  <c r="F902" i="12"/>
  <c r="F902" i="17"/>
  <c r="F902" i="9"/>
  <c r="G902"/>
  <c r="K902" s="1"/>
  <c r="K902" i="5"/>
  <c r="L902" s="1"/>
  <c r="F902"/>
  <c r="F902" i="10"/>
  <c r="F902" i="11"/>
  <c r="G902" s="1"/>
  <c r="F902" i="8"/>
  <c r="G902" s="1"/>
  <c r="K902" s="1"/>
  <c r="N902" i="7"/>
  <c r="F902"/>
  <c r="F902" i="4"/>
  <c r="I902"/>
  <c r="F902" i="22" s="1"/>
  <c r="F903" i="18"/>
  <c r="G903" s="1"/>
  <c r="F903" i="12"/>
  <c r="F903" i="17"/>
  <c r="F903" i="9"/>
  <c r="G903"/>
  <c r="K903" s="1"/>
  <c r="K903" i="5"/>
  <c r="L903" s="1"/>
  <c r="F903"/>
  <c r="F903" i="10"/>
  <c r="F903" i="11"/>
  <c r="G903" s="1"/>
  <c r="F903" i="8"/>
  <c r="G903" s="1"/>
  <c r="K903" s="1"/>
  <c r="N903" i="7"/>
  <c r="F903"/>
  <c r="F903" i="4"/>
  <c r="I903"/>
  <c r="F903" i="22" s="1"/>
  <c r="F904" i="18"/>
  <c r="G904" s="1"/>
  <c r="F904" i="12"/>
  <c r="F904" i="17"/>
  <c r="F904" i="9"/>
  <c r="G904"/>
  <c r="K904" s="1"/>
  <c r="K904" i="5"/>
  <c r="L904" s="1"/>
  <c r="F904"/>
  <c r="F904" i="10"/>
  <c r="F904" i="11"/>
  <c r="G904" s="1"/>
  <c r="F904" i="8"/>
  <c r="G904" s="1"/>
  <c r="K904" s="1"/>
  <c r="N904" i="7"/>
  <c r="F904"/>
  <c r="F904" i="4"/>
  <c r="I904"/>
  <c r="F904" i="22" s="1"/>
  <c r="F905" i="18"/>
  <c r="G905" s="1"/>
  <c r="F905" i="12"/>
  <c r="F905" i="17"/>
  <c r="F905" i="9"/>
  <c r="G905"/>
  <c r="K905" s="1"/>
  <c r="K905" i="5"/>
  <c r="L905" s="1"/>
  <c r="F905"/>
  <c r="F905" i="10"/>
  <c r="F905" i="11"/>
  <c r="G905" s="1"/>
  <c r="F905" i="8"/>
  <c r="G905" s="1"/>
  <c r="K905" s="1"/>
  <c r="N905" i="7"/>
  <c r="F905"/>
  <c r="F905" i="4"/>
  <c r="I905"/>
  <c r="F905" i="22" s="1"/>
  <c r="F906" i="18"/>
  <c r="G906" s="1"/>
  <c r="F906" i="12"/>
  <c r="F906" i="17"/>
  <c r="F906" i="9"/>
  <c r="G906"/>
  <c r="K906" s="1"/>
  <c r="K906" i="5"/>
  <c r="L906" s="1"/>
  <c r="F906"/>
  <c r="F906" i="10"/>
  <c r="F906" i="11"/>
  <c r="G906" s="1"/>
  <c r="F906" i="8"/>
  <c r="G906" s="1"/>
  <c r="K906" s="1"/>
  <c r="N906" i="7"/>
  <c r="F906"/>
  <c r="F906" i="4"/>
  <c r="I906"/>
  <c r="F906" i="22" s="1"/>
  <c r="F907" i="18"/>
  <c r="G907" s="1"/>
  <c r="F907" i="12"/>
  <c r="F907" i="17"/>
  <c r="F907" i="9"/>
  <c r="G907"/>
  <c r="K907" s="1"/>
  <c r="K907" i="5"/>
  <c r="L907" s="1"/>
  <c r="F907"/>
  <c r="F907" i="10"/>
  <c r="F907" i="11"/>
  <c r="G907" s="1"/>
  <c r="F907" i="8"/>
  <c r="G907" s="1"/>
  <c r="K907" s="1"/>
  <c r="N907" i="7"/>
  <c r="F907"/>
  <c r="F907" i="4"/>
  <c r="I907"/>
  <c r="F907" i="22" s="1"/>
  <c r="F908" i="18"/>
  <c r="G908" s="1"/>
  <c r="F908" i="12"/>
  <c r="F908" i="17"/>
  <c r="F908" i="9"/>
  <c r="G908"/>
  <c r="K908" s="1"/>
  <c r="K908" i="5"/>
  <c r="L908" s="1"/>
  <c r="F908"/>
  <c r="F908" i="10"/>
  <c r="F908" i="11"/>
  <c r="G908" s="1"/>
  <c r="F908" i="8"/>
  <c r="G908" s="1"/>
  <c r="K908" s="1"/>
  <c r="N908" i="7"/>
  <c r="F908"/>
  <c r="F908" i="4"/>
  <c r="I908"/>
  <c r="F908" i="22" s="1"/>
  <c r="F909" i="18"/>
  <c r="G909" s="1"/>
  <c r="F909" i="17"/>
  <c r="F909" i="9"/>
  <c r="G909"/>
  <c r="K909" s="1"/>
  <c r="K909" i="5"/>
  <c r="L909" s="1"/>
  <c r="F909"/>
  <c r="I909" i="11"/>
  <c r="N909" i="7"/>
  <c r="F909" i="4"/>
  <c r="I909"/>
  <c r="F909" i="22" s="1"/>
  <c r="F910" i="18"/>
  <c r="G910" s="1"/>
  <c r="F910" i="12"/>
  <c r="F910" i="17"/>
  <c r="F910" i="9"/>
  <c r="G910"/>
  <c r="K910" s="1"/>
  <c r="K910" i="5"/>
  <c r="L910" s="1"/>
  <c r="F910"/>
  <c r="F910" i="10"/>
  <c r="F910" i="11"/>
  <c r="G910" s="1"/>
  <c r="F910" i="8"/>
  <c r="G910" s="1"/>
  <c r="K910" s="1"/>
  <c r="N910" i="7"/>
  <c r="F910"/>
  <c r="F910" i="4"/>
  <c r="I910"/>
  <c r="F910" i="22" s="1"/>
  <c r="F911" i="12"/>
  <c r="F911" i="17"/>
  <c r="F911" i="9"/>
  <c r="G911"/>
  <c r="K911" s="1"/>
  <c r="K911" i="5"/>
  <c r="L911" s="1"/>
  <c r="F911"/>
  <c r="F911" i="10"/>
  <c r="F911" i="11"/>
  <c r="G911" s="1"/>
  <c r="F911" i="8"/>
  <c r="G911" s="1"/>
  <c r="K911" s="1"/>
  <c r="N911" i="7"/>
  <c r="F911"/>
  <c r="F911" i="4"/>
  <c r="I911"/>
  <c r="F911" i="22" s="1"/>
  <c r="F912" i="12"/>
  <c r="F912" i="17"/>
  <c r="F912" i="9"/>
  <c r="G912"/>
  <c r="K912" s="1"/>
  <c r="K912" i="5"/>
  <c r="L912" s="1"/>
  <c r="F912"/>
  <c r="F912" i="10"/>
  <c r="F912" i="11"/>
  <c r="G912" s="1"/>
  <c r="F912" i="8"/>
  <c r="G912" s="1"/>
  <c r="K912" s="1"/>
  <c r="N912" i="7"/>
  <c r="F912"/>
  <c r="F912" i="4"/>
  <c r="I912"/>
  <c r="F912" i="22" s="1"/>
  <c r="F913" i="18"/>
  <c r="G913" s="1"/>
  <c r="F913" i="12"/>
  <c r="F913" i="17"/>
  <c r="F913" i="9"/>
  <c r="G913"/>
  <c r="K913" s="1"/>
  <c r="K913" i="5"/>
  <c r="L913" s="1"/>
  <c r="F913"/>
  <c r="F913" i="10"/>
  <c r="F913" i="11"/>
  <c r="G913" s="1"/>
  <c r="F913" i="8"/>
  <c r="G913" s="1"/>
  <c r="K913" s="1"/>
  <c r="N913" i="7"/>
  <c r="F913"/>
  <c r="F913" i="4"/>
  <c r="I913"/>
  <c r="F913" i="22" s="1"/>
  <c r="F914" i="18"/>
  <c r="G914" s="1"/>
  <c r="F914" i="12"/>
  <c r="F914" i="17"/>
  <c r="F914" i="9"/>
  <c r="G914"/>
  <c r="K914" s="1"/>
  <c r="K914" i="5"/>
  <c r="L914" s="1"/>
  <c r="F914"/>
  <c r="F914" i="10"/>
  <c r="F914" i="11"/>
  <c r="G914" s="1"/>
  <c r="F914" i="8"/>
  <c r="G914" s="1"/>
  <c r="K914" s="1"/>
  <c r="N914" i="7"/>
  <c r="F914"/>
  <c r="F914" i="4"/>
  <c r="I914"/>
  <c r="F914" i="22" s="1"/>
  <c r="F915" i="18"/>
  <c r="G915" s="1"/>
  <c r="F915" i="12"/>
  <c r="F915" i="17"/>
  <c r="F915" i="9"/>
  <c r="G915"/>
  <c r="K915" s="1"/>
  <c r="K915" i="5"/>
  <c r="L915" s="1"/>
  <c r="F915"/>
  <c r="F915" i="10"/>
  <c r="F915" i="11"/>
  <c r="G915" s="1"/>
  <c r="F915" i="8"/>
  <c r="G915" s="1"/>
  <c r="K915" s="1"/>
  <c r="N915" i="7"/>
  <c r="F915"/>
  <c r="F915" i="4"/>
  <c r="I915"/>
  <c r="F915" i="22" s="1"/>
  <c r="F916" i="12"/>
  <c r="F916" i="17"/>
  <c r="F916" i="9"/>
  <c r="G916"/>
  <c r="K916" s="1"/>
  <c r="K916" i="5"/>
  <c r="L916" s="1"/>
  <c r="F916"/>
  <c r="F916" i="10"/>
  <c r="F916" i="11"/>
  <c r="G916" s="1"/>
  <c r="F916" i="8"/>
  <c r="G916" s="1"/>
  <c r="K916" s="1"/>
  <c r="N916" i="7"/>
  <c r="F916"/>
  <c r="F916" i="4"/>
  <c r="I916"/>
  <c r="F916" i="22" s="1"/>
  <c r="F917" i="18"/>
  <c r="G917" s="1"/>
  <c r="F917" i="12"/>
  <c r="F917" i="17"/>
  <c r="F917" i="9"/>
  <c r="G917"/>
  <c r="K917" s="1"/>
  <c r="K917" i="5"/>
  <c r="L917" s="1"/>
  <c r="F917"/>
  <c r="F917" i="10"/>
  <c r="F917" i="11"/>
  <c r="G917" s="1"/>
  <c r="F917" i="8"/>
  <c r="G917" s="1"/>
  <c r="K917" s="1"/>
  <c r="N917" i="7"/>
  <c r="F917"/>
  <c r="F917" i="4"/>
  <c r="I917"/>
  <c r="F917" i="22" s="1"/>
  <c r="F918" i="12"/>
  <c r="F918" i="17"/>
  <c r="F918" i="9"/>
  <c r="G918"/>
  <c r="K918" s="1"/>
  <c r="K918" i="5"/>
  <c r="L918" s="1"/>
  <c r="F918"/>
  <c r="F918" i="10"/>
  <c r="F918" i="11"/>
  <c r="G918" s="1"/>
  <c r="F918" i="8"/>
  <c r="G918" s="1"/>
  <c r="K918" s="1"/>
  <c r="N918" i="7"/>
  <c r="F918"/>
  <c r="F918" i="4"/>
  <c r="I918"/>
  <c r="F918" i="22" s="1"/>
  <c r="F919" i="12"/>
  <c r="F919" i="17"/>
  <c r="F919" i="9"/>
  <c r="G919"/>
  <c r="K919" s="1"/>
  <c r="K919" i="5"/>
  <c r="L919" s="1"/>
  <c r="F919"/>
  <c r="F919" i="10"/>
  <c r="F919" i="11"/>
  <c r="G919" s="1"/>
  <c r="F919" i="8"/>
  <c r="G919" s="1"/>
  <c r="K919" s="1"/>
  <c r="N919" i="7"/>
  <c r="F919"/>
  <c r="F919" i="4"/>
  <c r="I919"/>
  <c r="F919" i="22" s="1"/>
  <c r="F920" i="12"/>
  <c r="F920" i="17"/>
  <c r="F920" i="9"/>
  <c r="G920"/>
  <c r="K920" s="1"/>
  <c r="K920" i="5"/>
  <c r="L920" s="1"/>
  <c r="F920"/>
  <c r="F920" i="10"/>
  <c r="F920" i="11"/>
  <c r="G920" s="1"/>
  <c r="F920" i="8"/>
  <c r="G920" s="1"/>
  <c r="K920" s="1"/>
  <c r="N920" i="7"/>
  <c r="F920"/>
  <c r="F920" i="4"/>
  <c r="I920"/>
  <c r="F920" i="22" s="1"/>
  <c r="F921" i="12"/>
  <c r="F921" i="17"/>
  <c r="F921" i="9"/>
  <c r="G921"/>
  <c r="K921" s="1"/>
  <c r="K921" i="5"/>
  <c r="L921" s="1"/>
  <c r="F921"/>
  <c r="F921" i="10"/>
  <c r="F921" i="11"/>
  <c r="G921" s="1"/>
  <c r="F921" i="8"/>
  <c r="G921" s="1"/>
  <c r="K921" s="1"/>
  <c r="N921" i="7"/>
  <c r="F921"/>
  <c r="F921" i="4"/>
  <c r="I921"/>
  <c r="F921" i="22" s="1"/>
  <c r="F922" i="12"/>
  <c r="F922" i="17"/>
  <c r="F922" i="9"/>
  <c r="G922"/>
  <c r="K922" s="1"/>
  <c r="K922" i="5"/>
  <c r="L922" s="1"/>
  <c r="F922"/>
  <c r="F922" i="10"/>
  <c r="F922" i="11"/>
  <c r="G922" s="1"/>
  <c r="F922" i="8"/>
  <c r="G922" s="1"/>
  <c r="K922" s="1"/>
  <c r="N922" i="7"/>
  <c r="F922"/>
  <c r="F922" i="4"/>
  <c r="I922"/>
  <c r="F922" i="22" s="1"/>
  <c r="F923" i="12"/>
  <c r="F923" i="17"/>
  <c r="F923" i="9"/>
  <c r="G923"/>
  <c r="K923" s="1"/>
  <c r="K923" i="5"/>
  <c r="L923" s="1"/>
  <c r="F923"/>
  <c r="F923" i="10"/>
  <c r="F923" i="11"/>
  <c r="G923" s="1"/>
  <c r="F923" i="8"/>
  <c r="G923" s="1"/>
  <c r="K923" s="1"/>
  <c r="N923" i="7"/>
  <c r="F923"/>
  <c r="F923" i="4"/>
  <c r="I923"/>
  <c r="F923" i="22" s="1"/>
  <c r="F924" i="18"/>
  <c r="G924" s="1"/>
  <c r="F924" i="12"/>
  <c r="F924" i="17"/>
  <c r="F924" i="9"/>
  <c r="G924"/>
  <c r="K924" s="1"/>
  <c r="K924" i="5"/>
  <c r="L924" s="1"/>
  <c r="F924"/>
  <c r="F924" i="10"/>
  <c r="F924" i="11"/>
  <c r="G924" s="1"/>
  <c r="F924" i="8"/>
  <c r="G924" s="1"/>
  <c r="K924" s="1"/>
  <c r="N924" i="7"/>
  <c r="F924"/>
  <c r="F924" i="4"/>
  <c r="I924"/>
  <c r="F924" i="22" s="1"/>
  <c r="F925" i="12"/>
  <c r="F925" i="17"/>
  <c r="F925" i="9"/>
  <c r="G925"/>
  <c r="K925" s="1"/>
  <c r="K925" i="5"/>
  <c r="L925" s="1"/>
  <c r="F925"/>
  <c r="F925" i="10"/>
  <c r="F925" i="11"/>
  <c r="G925" s="1"/>
  <c r="F925" i="8"/>
  <c r="G925" s="1"/>
  <c r="K925" s="1"/>
  <c r="N925" i="7"/>
  <c r="F925"/>
  <c r="F925" i="4"/>
  <c r="I925"/>
  <c r="F925" i="22" s="1"/>
  <c r="F926" i="12"/>
  <c r="F926" i="17"/>
  <c r="F926" i="9"/>
  <c r="G926"/>
  <c r="K926" s="1"/>
  <c r="K926" i="5"/>
  <c r="L926" s="1"/>
  <c r="F926"/>
  <c r="F926" i="10"/>
  <c r="F926" i="11"/>
  <c r="G926" s="1"/>
  <c r="F926" i="8"/>
  <c r="G926" s="1"/>
  <c r="K926" s="1"/>
  <c r="N926" i="7"/>
  <c r="F926"/>
  <c r="F926" i="4"/>
  <c r="I926"/>
  <c r="F926" i="22" s="1"/>
  <c r="F927" i="12"/>
  <c r="F927" i="17"/>
  <c r="F927" i="9"/>
  <c r="G927"/>
  <c r="K927" s="1"/>
  <c r="K927" i="5"/>
  <c r="L927" s="1"/>
  <c r="F927"/>
  <c r="F927" i="10"/>
  <c r="F927" i="11"/>
  <c r="G927" s="1"/>
  <c r="F927" i="8"/>
  <c r="G927" s="1"/>
  <c r="K927" s="1"/>
  <c r="N927" i="7"/>
  <c r="F927"/>
  <c r="F927" i="4"/>
  <c r="I927"/>
  <c r="F927" i="22" s="1"/>
  <c r="F928" i="12"/>
  <c r="F928" i="17"/>
  <c r="F928" i="9"/>
  <c r="G928"/>
  <c r="K928" s="1"/>
  <c r="K928" i="5"/>
  <c r="L928" s="1"/>
  <c r="F928"/>
  <c r="F928" i="10"/>
  <c r="F928" i="11"/>
  <c r="G928" s="1"/>
  <c r="F928" i="8"/>
  <c r="G928" s="1"/>
  <c r="K928" s="1"/>
  <c r="N928" i="7"/>
  <c r="F928"/>
  <c r="F928" i="4"/>
  <c r="I928"/>
  <c r="F928" i="22" s="1"/>
  <c r="F929" i="12"/>
  <c r="F929" i="17"/>
  <c r="F929" i="9"/>
  <c r="G929"/>
  <c r="K929" s="1"/>
  <c r="K929" i="5"/>
  <c r="L929" s="1"/>
  <c r="F929"/>
  <c r="F929" i="10"/>
  <c r="F929" i="11"/>
  <c r="G929" s="1"/>
  <c r="F929" i="8"/>
  <c r="G929" s="1"/>
  <c r="K929" s="1"/>
  <c r="N929" i="7"/>
  <c r="F929"/>
  <c r="F929" i="4"/>
  <c r="I929"/>
  <c r="F929" i="22" s="1"/>
  <c r="F930" i="12"/>
  <c r="F930" i="17"/>
  <c r="F930" i="9"/>
  <c r="G930"/>
  <c r="K930" s="1"/>
  <c r="K930" i="5"/>
  <c r="L930" s="1"/>
  <c r="F930"/>
  <c r="F930" i="10"/>
  <c r="F930" i="11"/>
  <c r="G930" s="1"/>
  <c r="F930" i="8"/>
  <c r="G930" s="1"/>
  <c r="K930" s="1"/>
  <c r="N930" i="7"/>
  <c r="F930"/>
  <c r="F930" i="4"/>
  <c r="I930"/>
  <c r="F930" i="22" s="1"/>
  <c r="F931" i="12"/>
  <c r="F931" i="17"/>
  <c r="F931" i="9"/>
  <c r="G931"/>
  <c r="K931" s="1"/>
  <c r="K931" i="5"/>
  <c r="L931" s="1"/>
  <c r="F931"/>
  <c r="F931" i="10"/>
  <c r="F931" i="11"/>
  <c r="G931" s="1"/>
  <c r="F931" i="8"/>
  <c r="G931" s="1"/>
  <c r="K931" s="1"/>
  <c r="N931" i="7"/>
  <c r="F931"/>
  <c r="F931" i="4"/>
  <c r="I931"/>
  <c r="F931" i="22" s="1"/>
  <c r="F932" i="12"/>
  <c r="F932" i="17"/>
  <c r="F932" i="9"/>
  <c r="G932"/>
  <c r="K932" s="1"/>
  <c r="K932" i="5"/>
  <c r="L932" s="1"/>
  <c r="F932"/>
  <c r="F932" i="10"/>
  <c r="F932" i="11"/>
  <c r="G932" s="1"/>
  <c r="F932" i="8"/>
  <c r="G932" s="1"/>
  <c r="K932" s="1"/>
  <c r="N932" i="7"/>
  <c r="F932"/>
  <c r="F932" i="4"/>
  <c r="I932"/>
  <c r="F932" i="22" s="1"/>
  <c r="F933" i="12"/>
  <c r="F933" i="17"/>
  <c r="F933" i="9"/>
  <c r="G933"/>
  <c r="K933" s="1"/>
  <c r="K933" i="5"/>
  <c r="L933" s="1"/>
  <c r="F933"/>
  <c r="F933" i="10"/>
  <c r="F933" i="11"/>
  <c r="G933" s="1"/>
  <c r="F933" i="8"/>
  <c r="G933" s="1"/>
  <c r="K933" s="1"/>
  <c r="N933" i="7"/>
  <c r="F933"/>
  <c r="F933" i="4"/>
  <c r="I933"/>
  <c r="F933" i="22" s="1"/>
  <c r="F934" i="12"/>
  <c r="F934" i="17"/>
  <c r="F934" i="9"/>
  <c r="G934"/>
  <c r="K934" s="1"/>
  <c r="K934" i="5"/>
  <c r="L934" s="1"/>
  <c r="F934"/>
  <c r="F934" i="10"/>
  <c r="F934" i="11"/>
  <c r="G934" s="1"/>
  <c r="F934" i="8"/>
  <c r="G934" s="1"/>
  <c r="K934" s="1"/>
  <c r="N934" i="7"/>
  <c r="F934"/>
  <c r="F934" i="4"/>
  <c r="I934"/>
  <c r="F934" i="22" s="1"/>
  <c r="F935" i="12"/>
  <c r="F935" i="17"/>
  <c r="F935" i="9"/>
  <c r="G935"/>
  <c r="K935" s="1"/>
  <c r="K935" i="5"/>
  <c r="L935" s="1"/>
  <c r="F935"/>
  <c r="F935" i="10"/>
  <c r="F935" i="11"/>
  <c r="G935" s="1"/>
  <c r="F935" i="8"/>
  <c r="G935" s="1"/>
  <c r="K935" s="1"/>
  <c r="N935" i="7"/>
  <c r="F935"/>
  <c r="F935" i="4"/>
  <c r="I935"/>
  <c r="F935" i="22" s="1"/>
  <c r="F936" i="12"/>
  <c r="F936" i="17"/>
  <c r="F936" i="9"/>
  <c r="G936"/>
  <c r="K936" s="1"/>
  <c r="K936" i="5"/>
  <c r="L936" s="1"/>
  <c r="F936"/>
  <c r="F936" i="10"/>
  <c r="F936" i="11"/>
  <c r="G936" s="1"/>
  <c r="F936" i="8"/>
  <c r="G936" s="1"/>
  <c r="K936" s="1"/>
  <c r="N936" i="7"/>
  <c r="F936"/>
  <c r="F936" i="4"/>
  <c r="I936"/>
  <c r="F936" i="22" s="1"/>
  <c r="F937" i="12"/>
  <c r="F937" i="17"/>
  <c r="F937" i="9"/>
  <c r="G937"/>
  <c r="K937" s="1"/>
  <c r="K937" i="5"/>
  <c r="L937" s="1"/>
  <c r="F937"/>
  <c r="F937" i="10"/>
  <c r="F937" i="11"/>
  <c r="G937" s="1"/>
  <c r="F937" i="8"/>
  <c r="G937" s="1"/>
  <c r="K937" s="1"/>
  <c r="N937" i="7"/>
  <c r="F937"/>
  <c r="F937" i="4"/>
  <c r="I937"/>
  <c r="F937" i="22" s="1"/>
  <c r="F938" i="12"/>
  <c r="F938" i="17"/>
  <c r="F938" i="9"/>
  <c r="G938"/>
  <c r="K938" s="1"/>
  <c r="K938" i="5"/>
  <c r="L938" s="1"/>
  <c r="F938"/>
  <c r="F938" i="10"/>
  <c r="F938" i="11"/>
  <c r="G938" s="1"/>
  <c r="F938" i="8"/>
  <c r="G938" s="1"/>
  <c r="K938" s="1"/>
  <c r="N938" i="7"/>
  <c r="F938"/>
  <c r="F938" i="4"/>
  <c r="I938"/>
  <c r="F938" i="22" s="1"/>
  <c r="F939" i="12"/>
  <c r="F939" i="17"/>
  <c r="F939" i="9"/>
  <c r="G939"/>
  <c r="K939" s="1"/>
  <c r="K939" i="5"/>
  <c r="L939" s="1"/>
  <c r="F939"/>
  <c r="F939" i="10"/>
  <c r="F939" i="11"/>
  <c r="G939" s="1"/>
  <c r="F939" i="8"/>
  <c r="G939" s="1"/>
  <c r="K939" s="1"/>
  <c r="N939" i="7"/>
  <c r="F939"/>
  <c r="F939" i="4"/>
  <c r="I939"/>
  <c r="F939" i="22" s="1"/>
  <c r="F940" i="12"/>
  <c r="F940" i="17"/>
  <c r="F940" i="9"/>
  <c r="G940"/>
  <c r="K940" s="1"/>
  <c r="K940" i="5"/>
  <c r="L940" s="1"/>
  <c r="F940"/>
  <c r="F940" i="10"/>
  <c r="F940" i="11"/>
  <c r="G940" s="1"/>
  <c r="F940" i="8"/>
  <c r="G940" s="1"/>
  <c r="K940" s="1"/>
  <c r="N940" i="7"/>
  <c r="F940"/>
  <c r="F940" i="4"/>
  <c r="I940"/>
  <c r="F940" i="22" s="1"/>
  <c r="F941" i="12"/>
  <c r="F941" i="17"/>
  <c r="F941" i="9"/>
  <c r="G941"/>
  <c r="K941" s="1"/>
  <c r="K941" i="5"/>
  <c r="L941" s="1"/>
  <c r="F941"/>
  <c r="F941" i="10"/>
  <c r="F941" i="11"/>
  <c r="G941" s="1"/>
  <c r="F941" i="8"/>
  <c r="G941" s="1"/>
  <c r="K941" s="1"/>
  <c r="N941" i="7"/>
  <c r="F941"/>
  <c r="F941" i="4"/>
  <c r="I941"/>
  <c r="F941" i="22" s="1"/>
  <c r="F942" i="12"/>
  <c r="F942" i="17"/>
  <c r="F942" i="9"/>
  <c r="G942"/>
  <c r="K942" s="1"/>
  <c r="K942" i="5"/>
  <c r="L942" s="1"/>
  <c r="F942"/>
  <c r="F942" i="10"/>
  <c r="F942" i="11"/>
  <c r="G942" s="1"/>
  <c r="F942" i="8"/>
  <c r="G942" s="1"/>
  <c r="K942" s="1"/>
  <c r="N942" i="7"/>
  <c r="F942"/>
  <c r="F942" i="4"/>
  <c r="I942"/>
  <c r="F942" i="22" s="1"/>
  <c r="F943" i="12"/>
  <c r="F943" i="17"/>
  <c r="F943" i="9"/>
  <c r="G943"/>
  <c r="K943" s="1"/>
  <c r="K943" i="5"/>
  <c r="L943" s="1"/>
  <c r="F943"/>
  <c r="F943" i="10"/>
  <c r="F943" i="11"/>
  <c r="G943" s="1"/>
  <c r="F943" i="8"/>
  <c r="G943" s="1"/>
  <c r="K943" s="1"/>
  <c r="N943" i="7"/>
  <c r="F943"/>
  <c r="F943" i="4"/>
  <c r="I943"/>
  <c r="F943" i="22" s="1"/>
  <c r="F944" i="12"/>
  <c r="F944" i="17"/>
  <c r="F944" i="9"/>
  <c r="G944"/>
  <c r="K944" s="1"/>
  <c r="K944" i="5"/>
  <c r="L944" s="1"/>
  <c r="F944"/>
  <c r="F944" i="10"/>
  <c r="F944" i="11"/>
  <c r="G944" s="1"/>
  <c r="F944" i="8"/>
  <c r="G944" s="1"/>
  <c r="K944" s="1"/>
  <c r="N944" i="7"/>
  <c r="F944"/>
  <c r="F944" i="4"/>
  <c r="I944"/>
  <c r="F944" i="22" s="1"/>
  <c r="F945" i="12"/>
  <c r="F945" i="17"/>
  <c r="F945" i="9"/>
  <c r="G945"/>
  <c r="K945" s="1"/>
  <c r="K945" i="5"/>
  <c r="L945" s="1"/>
  <c r="F945"/>
  <c r="F945" i="10"/>
  <c r="F945" i="11"/>
  <c r="G945" s="1"/>
  <c r="F945" i="8"/>
  <c r="G945" s="1"/>
  <c r="K945" s="1"/>
  <c r="N945" i="7"/>
  <c r="F945"/>
  <c r="F945" i="4"/>
  <c r="I945"/>
  <c r="F945" i="22" s="1"/>
  <c r="F946" i="12"/>
  <c r="F946" i="17"/>
  <c r="F946" i="9"/>
  <c r="G946"/>
  <c r="K946" s="1"/>
  <c r="K946" i="5"/>
  <c r="L946" s="1"/>
  <c r="F946"/>
  <c r="F946" i="10"/>
  <c r="F946" i="11"/>
  <c r="G946" s="1"/>
  <c r="F946" i="8"/>
  <c r="G946" s="1"/>
  <c r="K946" s="1"/>
  <c r="N946" i="7"/>
  <c r="F946"/>
  <c r="F946" i="4"/>
  <c r="I946"/>
  <c r="F946" i="22" s="1"/>
  <c r="F947" i="12"/>
  <c r="F947" i="17"/>
  <c r="F947" i="9"/>
  <c r="G947"/>
  <c r="K947" s="1"/>
  <c r="K947" i="5"/>
  <c r="L947" s="1"/>
  <c r="F947"/>
  <c r="F947" i="10"/>
  <c r="F947" i="11"/>
  <c r="G947" s="1"/>
  <c r="F947" i="8"/>
  <c r="G947" s="1"/>
  <c r="K947" s="1"/>
  <c r="N947" i="7"/>
  <c r="F947"/>
  <c r="F947" i="4"/>
  <c r="I947"/>
  <c r="F947" i="22" s="1"/>
  <c r="F948" i="12"/>
  <c r="F948" i="17"/>
  <c r="F948" i="9"/>
  <c r="G948"/>
  <c r="K948" s="1"/>
  <c r="K948" i="5"/>
  <c r="L948" s="1"/>
  <c r="F948"/>
  <c r="F948" i="10"/>
  <c r="F948" i="11"/>
  <c r="G948" s="1"/>
  <c r="F948" i="8"/>
  <c r="G948" s="1"/>
  <c r="K948" s="1"/>
  <c r="N948" i="7"/>
  <c r="F948"/>
  <c r="F948" i="4"/>
  <c r="I948"/>
  <c r="F948" i="22" s="1"/>
  <c r="F949" i="12"/>
  <c r="F949" i="17"/>
  <c r="F949" i="9"/>
  <c r="G949"/>
  <c r="K949" s="1"/>
  <c r="K949" i="5"/>
  <c r="L949" s="1"/>
  <c r="F949"/>
  <c r="F949" i="10"/>
  <c r="F949" i="11"/>
  <c r="G949" s="1"/>
  <c r="F949" i="8"/>
  <c r="G949" s="1"/>
  <c r="K949" s="1"/>
  <c r="N949" i="7"/>
  <c r="F949"/>
  <c r="F949" i="4"/>
  <c r="I949"/>
  <c r="F949" i="22" s="1"/>
  <c r="F950" i="12"/>
  <c r="F950" i="17"/>
  <c r="F950" i="9"/>
  <c r="G950"/>
  <c r="K950" s="1"/>
  <c r="K950" i="5"/>
  <c r="L950" s="1"/>
  <c r="F950"/>
  <c r="F950" i="10"/>
  <c r="F950" i="11"/>
  <c r="G950" s="1"/>
  <c r="F950" i="8"/>
  <c r="G950" s="1"/>
  <c r="K950" s="1"/>
  <c r="N950" i="7"/>
  <c r="F950"/>
  <c r="F950" i="4"/>
  <c r="I950"/>
  <c r="F950" i="22" s="1"/>
  <c r="F951" i="12"/>
  <c r="F951" i="17"/>
  <c r="F951" i="9"/>
  <c r="G951"/>
  <c r="K951" s="1"/>
  <c r="K951" i="5"/>
  <c r="L951" s="1"/>
  <c r="F951"/>
  <c r="F951" i="10"/>
  <c r="F951" i="11"/>
  <c r="G951" s="1"/>
  <c r="F951" i="8"/>
  <c r="G951" s="1"/>
  <c r="K951" s="1"/>
  <c r="N951" i="7"/>
  <c r="F951"/>
  <c r="F951" i="4"/>
  <c r="I951"/>
  <c r="F951" i="22" s="1"/>
  <c r="F952" i="12"/>
  <c r="F952" i="17"/>
  <c r="F952" i="9"/>
  <c r="G952"/>
  <c r="K952" s="1"/>
  <c r="K952" i="5"/>
  <c r="L952" s="1"/>
  <c r="F952"/>
  <c r="F952" i="10"/>
  <c r="F952" i="11"/>
  <c r="G952" s="1"/>
  <c r="F952" i="8"/>
  <c r="G952" s="1"/>
  <c r="K952" s="1"/>
  <c r="N952" i="7"/>
  <c r="F952"/>
  <c r="F952" i="4"/>
  <c r="I952"/>
  <c r="F952" i="22" s="1"/>
  <c r="F953" i="12"/>
  <c r="F953" i="17"/>
  <c r="F953" i="9"/>
  <c r="G953"/>
  <c r="K953" s="1"/>
  <c r="K953" i="5"/>
  <c r="L953" s="1"/>
  <c r="F953"/>
  <c r="F953" i="10"/>
  <c r="F953" i="11"/>
  <c r="G953" s="1"/>
  <c r="F953" i="8"/>
  <c r="G953" s="1"/>
  <c r="K953" s="1"/>
  <c r="N953" i="7"/>
  <c r="F953"/>
  <c r="F953" i="4"/>
  <c r="I953"/>
  <c r="F953" i="22" s="1"/>
  <c r="F954" i="12"/>
  <c r="F954" i="17"/>
  <c r="F954" i="9"/>
  <c r="G954"/>
  <c r="K954" s="1"/>
  <c r="K954" i="5"/>
  <c r="L954" s="1"/>
  <c r="F954"/>
  <c r="F954" i="10"/>
  <c r="F954" i="11"/>
  <c r="G954" s="1"/>
  <c r="F954" i="8"/>
  <c r="G954" s="1"/>
  <c r="K954" s="1"/>
  <c r="N954" i="7"/>
  <c r="F954"/>
  <c r="F954" i="4"/>
  <c r="I954"/>
  <c r="F954" i="22" s="1"/>
  <c r="F955" i="12"/>
  <c r="F955" i="17"/>
  <c r="F955" i="9"/>
  <c r="G955"/>
  <c r="K955" s="1"/>
  <c r="K955" i="5"/>
  <c r="L955" s="1"/>
  <c r="F955"/>
  <c r="F955" i="10"/>
  <c r="F955" i="11"/>
  <c r="G955" s="1"/>
  <c r="F955" i="8"/>
  <c r="G955" s="1"/>
  <c r="K955" s="1"/>
  <c r="N955" i="7"/>
  <c r="F955"/>
  <c r="F955" i="4"/>
  <c r="I955"/>
  <c r="F955" i="22" s="1"/>
  <c r="F956" i="12"/>
  <c r="F956" i="17"/>
  <c r="F956" i="9"/>
  <c r="G956"/>
  <c r="K956" s="1"/>
  <c r="K956" i="5"/>
  <c r="L956" s="1"/>
  <c r="F956"/>
  <c r="F956" i="10"/>
  <c r="F956" i="11"/>
  <c r="G956" s="1"/>
  <c r="F956" i="8"/>
  <c r="G956" s="1"/>
  <c r="K956" s="1"/>
  <c r="N956" i="7"/>
  <c r="F956"/>
  <c r="F956" i="4"/>
  <c r="I956"/>
  <c r="F956" i="22" s="1"/>
  <c r="F957" i="12"/>
  <c r="F957" i="17"/>
  <c r="F957" i="9"/>
  <c r="G957"/>
  <c r="K957" s="1"/>
  <c r="K957" i="5"/>
  <c r="L957" s="1"/>
  <c r="F957"/>
  <c r="F957" i="10"/>
  <c r="F957" i="11"/>
  <c r="G957" s="1"/>
  <c r="F957" i="8"/>
  <c r="G957" s="1"/>
  <c r="K957" s="1"/>
  <c r="N957" i="7"/>
  <c r="F957"/>
  <c r="F957" i="4"/>
  <c r="I957"/>
  <c r="F957" i="22" s="1"/>
  <c r="F958" i="12"/>
  <c r="F958" i="17"/>
  <c r="F958" i="9"/>
  <c r="G958"/>
  <c r="K958" s="1"/>
  <c r="K958" i="5"/>
  <c r="L958" s="1"/>
  <c r="F958"/>
  <c r="F958" i="10"/>
  <c r="F958" i="11"/>
  <c r="G958" s="1"/>
  <c r="F958" i="8"/>
  <c r="G958" s="1"/>
  <c r="K958" s="1"/>
  <c r="N958" i="7"/>
  <c r="F958"/>
  <c r="F958" i="4"/>
  <c r="I958"/>
  <c r="F958" i="22" s="1"/>
  <c r="F959" i="14"/>
  <c r="G959" s="1"/>
  <c r="F959" i="18"/>
  <c r="G959" s="1"/>
  <c r="F959" i="12"/>
  <c r="F959" i="17"/>
  <c r="F959" i="9"/>
  <c r="G959"/>
  <c r="K959" s="1"/>
  <c r="K959" i="5"/>
  <c r="L959" s="1"/>
  <c r="F959"/>
  <c r="F959" i="10"/>
  <c r="F959" i="11"/>
  <c r="G959" s="1"/>
  <c r="F959" i="8"/>
  <c r="G959" s="1"/>
  <c r="K959" s="1"/>
  <c r="N959" i="7"/>
  <c r="F959"/>
  <c r="F959" i="4"/>
  <c r="I959"/>
  <c r="F959" i="22" s="1"/>
  <c r="F960" i="12"/>
  <c r="F960" i="17"/>
  <c r="F960" i="9"/>
  <c r="G960"/>
  <c r="K960" s="1"/>
  <c r="K960" i="5"/>
  <c r="L960" s="1"/>
  <c r="F960"/>
  <c r="F960" i="10"/>
  <c r="F960" i="11"/>
  <c r="G960" s="1"/>
  <c r="F960" i="8"/>
  <c r="G960" s="1"/>
  <c r="K960" s="1"/>
  <c r="N960" i="7"/>
  <c r="F960"/>
  <c r="F960" i="4"/>
  <c r="I960"/>
  <c r="F960" i="22" s="1"/>
  <c r="F961" i="12"/>
  <c r="F961" i="17"/>
  <c r="F961" i="9"/>
  <c r="G961"/>
  <c r="K961" s="1"/>
  <c r="K961" i="5"/>
  <c r="L961" s="1"/>
  <c r="F961"/>
  <c r="F961" i="10"/>
  <c r="F961" i="11"/>
  <c r="G961" s="1"/>
  <c r="F961" i="8"/>
  <c r="G961" s="1"/>
  <c r="K961" s="1"/>
  <c r="N961" i="7"/>
  <c r="F961"/>
  <c r="F961" i="4"/>
  <c r="I961"/>
  <c r="F961" i="22" s="1"/>
  <c r="F962" i="12"/>
  <c r="F962" i="17"/>
  <c r="F962" i="9"/>
  <c r="G962"/>
  <c r="K962" s="1"/>
  <c r="K962" i="5"/>
  <c r="L962" s="1"/>
  <c r="F962"/>
  <c r="F962" i="10"/>
  <c r="F962" i="11"/>
  <c r="G962" s="1"/>
  <c r="F962" i="8"/>
  <c r="G962" s="1"/>
  <c r="K962" s="1"/>
  <c r="N962" i="7"/>
  <c r="F962"/>
  <c r="F962" i="4"/>
  <c r="I962"/>
  <c r="F962" i="22" s="1"/>
  <c r="F963" i="12"/>
  <c r="F963" i="17"/>
  <c r="F963" i="9"/>
  <c r="G963"/>
  <c r="K963" s="1"/>
  <c r="K963" i="5"/>
  <c r="L963" s="1"/>
  <c r="F963"/>
  <c r="F963" i="10"/>
  <c r="F963" i="11"/>
  <c r="G963" s="1"/>
  <c r="F963" i="8"/>
  <c r="G963" s="1"/>
  <c r="K963" s="1"/>
  <c r="N963" i="7"/>
  <c r="F963"/>
  <c r="F963" i="4"/>
  <c r="I963"/>
  <c r="F963" i="22" s="1"/>
  <c r="F964" i="18"/>
  <c r="G964" s="1"/>
  <c r="F964" i="12"/>
  <c r="F964" i="17"/>
  <c r="F964" i="9"/>
  <c r="G964"/>
  <c r="K964" s="1"/>
  <c r="K964" i="5"/>
  <c r="L964" s="1"/>
  <c r="F964"/>
  <c r="F964" i="10"/>
  <c r="F964" i="11"/>
  <c r="G964" s="1"/>
  <c r="F964" i="8"/>
  <c r="G964" s="1"/>
  <c r="K964" s="1"/>
  <c r="N964" i="7"/>
  <c r="F964"/>
  <c r="F964" i="4"/>
  <c r="I964"/>
  <c r="F964" i="22" s="1"/>
  <c r="F965" i="12"/>
  <c r="F965" i="17"/>
  <c r="F965" i="9"/>
  <c r="G965"/>
  <c r="K965" s="1"/>
  <c r="K965" i="5"/>
  <c r="L965" s="1"/>
  <c r="F965"/>
  <c r="F965" i="10"/>
  <c r="F965" i="11"/>
  <c r="G965" s="1"/>
  <c r="F965" i="8"/>
  <c r="G965" s="1"/>
  <c r="K965" s="1"/>
  <c r="N965" i="7"/>
  <c r="F965"/>
  <c r="F965" i="4"/>
  <c r="I965"/>
  <c r="F965" i="22" s="1"/>
  <c r="F966" i="14"/>
  <c r="G966" s="1"/>
  <c r="F966" i="18"/>
  <c r="G966" s="1"/>
  <c r="F966" i="12"/>
  <c r="F966" i="17"/>
  <c r="F966" i="9"/>
  <c r="G966"/>
  <c r="K966" s="1"/>
  <c r="K966" i="5"/>
  <c r="L966" s="1"/>
  <c r="F966"/>
  <c r="F966" i="10"/>
  <c r="F966" i="11"/>
  <c r="G966" s="1"/>
  <c r="F966" i="8"/>
  <c r="G966" s="1"/>
  <c r="K966" s="1"/>
  <c r="N966" i="7"/>
  <c r="F966"/>
  <c r="F966" i="4"/>
  <c r="I966"/>
  <c r="F966" i="22" s="1"/>
  <c r="F967" i="14"/>
  <c r="G967" s="1"/>
  <c r="F967" i="18"/>
  <c r="G967" s="1"/>
  <c r="F967" i="12"/>
  <c r="F967" i="17"/>
  <c r="F967" i="9"/>
  <c r="G967"/>
  <c r="K967" s="1"/>
  <c r="K967" i="5"/>
  <c r="L967" s="1"/>
  <c r="F967"/>
  <c r="F967" i="10"/>
  <c r="F967" i="11"/>
  <c r="G967" s="1"/>
  <c r="F967" i="8"/>
  <c r="G967" s="1"/>
  <c r="K967" s="1"/>
  <c r="N967" i="7"/>
  <c r="F967"/>
  <c r="F967" i="4"/>
  <c r="I967"/>
  <c r="F967" i="22" s="1"/>
  <c r="F968" i="12"/>
  <c r="F968" i="17"/>
  <c r="F968" i="9"/>
  <c r="G968"/>
  <c r="K968" s="1"/>
  <c r="K968" i="5"/>
  <c r="L968" s="1"/>
  <c r="F968"/>
  <c r="F968" i="10"/>
  <c r="F968" i="11"/>
  <c r="G968" s="1"/>
  <c r="F968" i="8"/>
  <c r="G968" s="1"/>
  <c r="K968" s="1"/>
  <c r="N968" i="7"/>
  <c r="F968"/>
  <c r="F968" i="4"/>
  <c r="I968"/>
  <c r="F968" i="22" s="1"/>
  <c r="F969" i="18"/>
  <c r="G969" s="1"/>
  <c r="F969" i="12"/>
  <c r="F969" i="17"/>
  <c r="F969" i="9"/>
  <c r="G969"/>
  <c r="K969" s="1"/>
  <c r="K969" i="5"/>
  <c r="L969" s="1"/>
  <c r="F969"/>
  <c r="F969" i="10"/>
  <c r="F969" i="11"/>
  <c r="G969" s="1"/>
  <c r="F969" i="8"/>
  <c r="G969" s="1"/>
  <c r="K969" s="1"/>
  <c r="N969" i="7"/>
  <c r="F969"/>
  <c r="F969" i="4"/>
  <c r="I969"/>
  <c r="F969" i="22" s="1"/>
  <c r="F970" i="12"/>
  <c r="F970" i="17"/>
  <c r="F970" i="9"/>
  <c r="G970"/>
  <c r="K970" s="1"/>
  <c r="K970" i="5"/>
  <c r="L970" s="1"/>
  <c r="F970"/>
  <c r="F970" i="10"/>
  <c r="F970" i="11"/>
  <c r="G970" s="1"/>
  <c r="F970" i="8"/>
  <c r="G970" s="1"/>
  <c r="K970" s="1"/>
  <c r="N970" i="7"/>
  <c r="F970"/>
  <c r="F970" i="4"/>
  <c r="I970"/>
  <c r="F970" i="22" s="1"/>
  <c r="F971" i="12"/>
  <c r="F971" i="17"/>
  <c r="F971" i="9"/>
  <c r="G971"/>
  <c r="K971" s="1"/>
  <c r="K971" i="5"/>
  <c r="L971" s="1"/>
  <c r="F971"/>
  <c r="F971" i="10"/>
  <c r="F971" i="11"/>
  <c r="G971" s="1"/>
  <c r="F971" i="8"/>
  <c r="G971" s="1"/>
  <c r="K971" s="1"/>
  <c r="N971" i="7"/>
  <c r="F971"/>
  <c r="F971" i="4"/>
  <c r="I971"/>
  <c r="F971" i="22" s="1"/>
  <c r="F972" i="18"/>
  <c r="G972" s="1"/>
  <c r="F972" i="12"/>
  <c r="F972" i="17"/>
  <c r="F972" i="9"/>
  <c r="G972"/>
  <c r="K972" s="1"/>
  <c r="K972" i="5"/>
  <c r="L972" s="1"/>
  <c r="F972"/>
  <c r="F972" i="10"/>
  <c r="F972" i="11"/>
  <c r="G972" s="1"/>
  <c r="F972" i="8"/>
  <c r="G972" s="1"/>
  <c r="K972" s="1"/>
  <c r="N972" i="7"/>
  <c r="F972"/>
  <c r="F972" i="4"/>
  <c r="I972"/>
  <c r="F972" i="22" s="1"/>
  <c r="F973" i="12"/>
  <c r="F973" i="17"/>
  <c r="F973" i="9"/>
  <c r="G973"/>
  <c r="K973" s="1"/>
  <c r="K973" i="5"/>
  <c r="L973" s="1"/>
  <c r="F973"/>
  <c r="F973" i="10"/>
  <c r="F973" i="11"/>
  <c r="G973" s="1"/>
  <c r="F973" i="8"/>
  <c r="G973" s="1"/>
  <c r="K973" s="1"/>
  <c r="N973" i="7"/>
  <c r="F973"/>
  <c r="F973" i="4"/>
  <c r="I973"/>
  <c r="F973" i="22" s="1"/>
  <c r="F974" i="12"/>
  <c r="F974" i="17"/>
  <c r="F974" i="9"/>
  <c r="G974"/>
  <c r="K974" s="1"/>
  <c r="K974" i="5"/>
  <c r="L974" s="1"/>
  <c r="F974"/>
  <c r="F974" i="10"/>
  <c r="F974" i="11"/>
  <c r="G974" s="1"/>
  <c r="F974" i="8"/>
  <c r="G974" s="1"/>
  <c r="K974" s="1"/>
  <c r="N974" i="7"/>
  <c r="F974"/>
  <c r="F974" i="4"/>
  <c r="I974"/>
  <c r="F974" i="22" s="1"/>
  <c r="F975" i="12"/>
  <c r="F975" i="17"/>
  <c r="F975" i="9"/>
  <c r="G975"/>
  <c r="K975" s="1"/>
  <c r="K975" i="5"/>
  <c r="L975" s="1"/>
  <c r="F975"/>
  <c r="F975" i="10"/>
  <c r="F975" i="11"/>
  <c r="G975" s="1"/>
  <c r="F975" i="8"/>
  <c r="G975" s="1"/>
  <c r="K975" s="1"/>
  <c r="N975" i="7"/>
  <c r="F975"/>
  <c r="F975" i="4"/>
  <c r="I975"/>
  <c r="F975" i="22" s="1"/>
  <c r="F976" i="12"/>
  <c r="F976" i="17"/>
  <c r="F976" i="9"/>
  <c r="G976"/>
  <c r="K976" s="1"/>
  <c r="K976" i="5"/>
  <c r="L976" s="1"/>
  <c r="F976"/>
  <c r="F976" i="10"/>
  <c r="F976" i="11"/>
  <c r="G976" s="1"/>
  <c r="F976" i="8"/>
  <c r="G976" s="1"/>
  <c r="K976" s="1"/>
  <c r="N976" i="7"/>
  <c r="F976"/>
  <c r="F976" i="4"/>
  <c r="I976"/>
  <c r="F976" i="22" s="1"/>
  <c r="F977" i="12"/>
  <c r="F977" i="17"/>
  <c r="F977" i="9"/>
  <c r="G977"/>
  <c r="K977" s="1"/>
  <c r="K977" i="5"/>
  <c r="L977" s="1"/>
  <c r="F977"/>
  <c r="F977" i="10"/>
  <c r="F977" i="11"/>
  <c r="G977" s="1"/>
  <c r="F977" i="8"/>
  <c r="G977" s="1"/>
  <c r="K977" s="1"/>
  <c r="N977" i="7"/>
  <c r="F977"/>
  <c r="F977" i="4"/>
  <c r="I977"/>
  <c r="F977" i="22" s="1"/>
  <c r="F978" i="12"/>
  <c r="F978" i="17"/>
  <c r="F978" i="9"/>
  <c r="G978"/>
  <c r="K978" s="1"/>
  <c r="K978" i="5"/>
  <c r="L978" s="1"/>
  <c r="F978"/>
  <c r="F978" i="10"/>
  <c r="F978" i="11"/>
  <c r="G978" s="1"/>
  <c r="F978" i="8"/>
  <c r="G978" s="1"/>
  <c r="K978" s="1"/>
  <c r="N978" i="7"/>
  <c r="F978"/>
  <c r="F978" i="4"/>
  <c r="I978"/>
  <c r="F978" i="22" s="1"/>
  <c r="F979" i="12"/>
  <c r="F979" i="17"/>
  <c r="F979" i="9"/>
  <c r="G979"/>
  <c r="K979" s="1"/>
  <c r="K979" i="5"/>
  <c r="L979" s="1"/>
  <c r="F979"/>
  <c r="F979" i="10"/>
  <c r="F979" i="11"/>
  <c r="G979" s="1"/>
  <c r="F979" i="8"/>
  <c r="G979" s="1"/>
  <c r="K979" s="1"/>
  <c r="N979" i="7"/>
  <c r="F979"/>
  <c r="F979" i="4"/>
  <c r="I979"/>
  <c r="F979" i="22" s="1"/>
  <c r="F980" i="12"/>
  <c r="F980" i="17"/>
  <c r="F980" i="9"/>
  <c r="G980"/>
  <c r="K980" s="1"/>
  <c r="K980" i="5"/>
  <c r="L980" s="1"/>
  <c r="F980"/>
  <c r="F980" i="10"/>
  <c r="F980" i="11"/>
  <c r="G980" s="1"/>
  <c r="F980" i="8"/>
  <c r="G980" s="1"/>
  <c r="K980" s="1"/>
  <c r="N980" i="7"/>
  <c r="F980"/>
  <c r="F980" i="4"/>
  <c r="I980"/>
  <c r="F980" i="22" s="1"/>
  <c r="F981" i="12"/>
  <c r="F981" i="17"/>
  <c r="F981" i="9"/>
  <c r="G981"/>
  <c r="K981" s="1"/>
  <c r="K981" i="5"/>
  <c r="L981" s="1"/>
  <c r="F981"/>
  <c r="F981" i="10"/>
  <c r="F981" i="11"/>
  <c r="G981" s="1"/>
  <c r="F981" i="8"/>
  <c r="G981" s="1"/>
  <c r="K981" s="1"/>
  <c r="N981" i="7"/>
  <c r="F981"/>
  <c r="F981" i="4"/>
  <c r="I981"/>
  <c r="F981" i="22" s="1"/>
  <c r="F982" i="12"/>
  <c r="F982" i="17"/>
  <c r="F982" i="9"/>
  <c r="G982"/>
  <c r="K982" s="1"/>
  <c r="K982" i="5"/>
  <c r="L982" s="1"/>
  <c r="F982"/>
  <c r="F982" i="10"/>
  <c r="F982" i="11"/>
  <c r="G982" s="1"/>
  <c r="F982" i="8"/>
  <c r="G982" s="1"/>
  <c r="K982" s="1"/>
  <c r="N982" i="7"/>
  <c r="F982"/>
  <c r="F982" i="4"/>
  <c r="I982"/>
  <c r="F982" i="22" s="1"/>
  <c r="F983" i="12"/>
  <c r="F983" i="17"/>
  <c r="F983" i="9"/>
  <c r="G983"/>
  <c r="K983" s="1"/>
  <c r="K983" i="5"/>
  <c r="L983" s="1"/>
  <c r="F983"/>
  <c r="F983" i="10"/>
  <c r="F983" i="11"/>
  <c r="G983" s="1"/>
  <c r="F983" i="8"/>
  <c r="G983" s="1"/>
  <c r="K983" s="1"/>
  <c r="N983" i="7"/>
  <c r="F983"/>
  <c r="F983" i="4"/>
  <c r="I983"/>
  <c r="F983" i="22" s="1"/>
  <c r="F984" i="12"/>
  <c r="F984" i="17"/>
  <c r="F984" i="9"/>
  <c r="G984"/>
  <c r="K984" s="1"/>
  <c r="K984" i="5"/>
  <c r="L984" s="1"/>
  <c r="F984"/>
  <c r="F984" i="10"/>
  <c r="F984" i="11"/>
  <c r="G984" s="1"/>
  <c r="F984" i="8"/>
  <c r="G984" s="1"/>
  <c r="K984" s="1"/>
  <c r="N984" i="7"/>
  <c r="F984"/>
  <c r="F984" i="4"/>
  <c r="I984"/>
  <c r="F984" i="22" s="1"/>
  <c r="F985" i="12"/>
  <c r="F985" i="17"/>
  <c r="F985" i="9"/>
  <c r="G985"/>
  <c r="K985" s="1"/>
  <c r="K985" i="5"/>
  <c r="L985" s="1"/>
  <c r="F985"/>
  <c r="F985" i="10"/>
  <c r="F985" i="11"/>
  <c r="G985" s="1"/>
  <c r="F985" i="8"/>
  <c r="G985" s="1"/>
  <c r="K985" s="1"/>
  <c r="N985" i="7"/>
  <c r="F985"/>
  <c r="F985" i="4"/>
  <c r="I985"/>
  <c r="F985" i="22" s="1"/>
  <c r="F986" i="12"/>
  <c r="F986" i="17"/>
  <c r="F986" i="9"/>
  <c r="G986"/>
  <c r="K986" s="1"/>
  <c r="K986" i="5"/>
  <c r="L986" s="1"/>
  <c r="F986"/>
  <c r="F986" i="10"/>
  <c r="F986" i="11"/>
  <c r="G986" s="1"/>
  <c r="F986" i="8"/>
  <c r="G986" s="1"/>
  <c r="K986" s="1"/>
  <c r="N986" i="7"/>
  <c r="F986"/>
  <c r="F986" i="4"/>
  <c r="I986"/>
  <c r="F986" i="22" s="1"/>
  <c r="F987" i="12"/>
  <c r="F987" i="17"/>
  <c r="F987" i="9"/>
  <c r="G987"/>
  <c r="K987" s="1"/>
  <c r="K987" i="5"/>
  <c r="L987" s="1"/>
  <c r="F987"/>
  <c r="F987" i="10"/>
  <c r="F987" i="11"/>
  <c r="G987" s="1"/>
  <c r="F987" i="8"/>
  <c r="G987" s="1"/>
  <c r="K987" s="1"/>
  <c r="N987" i="7"/>
  <c r="F987"/>
  <c r="F987" i="4"/>
  <c r="I987"/>
  <c r="F987" i="22" s="1"/>
  <c r="F988" i="12"/>
  <c r="F988" i="17"/>
  <c r="F988" i="9"/>
  <c r="G988"/>
  <c r="K988" s="1"/>
  <c r="K988" i="5"/>
  <c r="L988" s="1"/>
  <c r="F988"/>
  <c r="F988" i="10"/>
  <c r="F988" i="11"/>
  <c r="G988" s="1"/>
  <c r="F988" i="8"/>
  <c r="G988" s="1"/>
  <c r="K988" s="1"/>
  <c r="N988" i="7"/>
  <c r="F988"/>
  <c r="F988" i="4"/>
  <c r="I988"/>
  <c r="F988" i="22" s="1"/>
  <c r="F989" i="12"/>
  <c r="F989" i="17"/>
  <c r="F989" i="9"/>
  <c r="G989"/>
  <c r="K989" s="1"/>
  <c r="K989" i="5"/>
  <c r="L989" s="1"/>
  <c r="F989"/>
  <c r="F989" i="10"/>
  <c r="F989" i="11"/>
  <c r="G989" s="1"/>
  <c r="F989" i="8"/>
  <c r="G989" s="1"/>
  <c r="K989" s="1"/>
  <c r="N989" i="7"/>
  <c r="F989"/>
  <c r="F989" i="4"/>
  <c r="I989"/>
  <c r="F989" i="22" s="1"/>
  <c r="F990" i="12"/>
  <c r="F990" i="17"/>
  <c r="F990" i="9"/>
  <c r="G990"/>
  <c r="K990" s="1"/>
  <c r="K990" i="5"/>
  <c r="L990" s="1"/>
  <c r="F990"/>
  <c r="F990" i="10"/>
  <c r="F990" i="11"/>
  <c r="G990" s="1"/>
  <c r="F990" i="8"/>
  <c r="G990" s="1"/>
  <c r="K990" s="1"/>
  <c r="N990" i="7"/>
  <c r="F990"/>
  <c r="F990" i="4"/>
  <c r="I990"/>
  <c r="F990" i="22" s="1"/>
  <c r="F991" i="12"/>
  <c r="F991" i="17"/>
  <c r="F991" i="9"/>
  <c r="G991"/>
  <c r="K991" s="1"/>
  <c r="K991" i="5"/>
  <c r="L991" s="1"/>
  <c r="F991"/>
  <c r="F991" i="10"/>
  <c r="F991" i="11"/>
  <c r="G991" s="1"/>
  <c r="F991" i="8"/>
  <c r="G991" s="1"/>
  <c r="K991" s="1"/>
  <c r="N991" i="7"/>
  <c r="F991"/>
  <c r="F991" i="4"/>
  <c r="I991"/>
  <c r="F991" i="22" s="1"/>
  <c r="F992" i="12"/>
  <c r="F992" i="17"/>
  <c r="F992" i="9"/>
  <c r="G992"/>
  <c r="K992" s="1"/>
  <c r="K992" i="5"/>
  <c r="L992" s="1"/>
  <c r="F992"/>
  <c r="F992" i="10"/>
  <c r="F992" i="11"/>
  <c r="G992" s="1"/>
  <c r="F992" i="8"/>
  <c r="G992" s="1"/>
  <c r="K992" s="1"/>
  <c r="N992" i="7"/>
  <c r="F992"/>
  <c r="F992" i="4"/>
  <c r="I992"/>
  <c r="F992" i="22" s="1"/>
  <c r="F993" i="12"/>
  <c r="F993" i="17"/>
  <c r="F993" i="9"/>
  <c r="G993"/>
  <c r="K993" s="1"/>
  <c r="K993" i="5"/>
  <c r="L993" s="1"/>
  <c r="F993"/>
  <c r="F993" i="10"/>
  <c r="F993" i="11"/>
  <c r="G993" s="1"/>
  <c r="F993" i="8"/>
  <c r="G993" s="1"/>
  <c r="K993" s="1"/>
  <c r="N993" i="7"/>
  <c r="F993"/>
  <c r="F993" i="4"/>
  <c r="I993"/>
  <c r="F993" i="22" s="1"/>
  <c r="F994" i="12"/>
  <c r="F994" i="17"/>
  <c r="F994" i="9"/>
  <c r="G994"/>
  <c r="K994" s="1"/>
  <c r="K994" i="5"/>
  <c r="L994" s="1"/>
  <c r="F994"/>
  <c r="F994" i="10"/>
  <c r="F994" i="11"/>
  <c r="G994" s="1"/>
  <c r="F994" i="8"/>
  <c r="G994" s="1"/>
  <c r="K994" s="1"/>
  <c r="N994" i="7"/>
  <c r="F994"/>
  <c r="F994" i="4"/>
  <c r="I994"/>
  <c r="F994" i="22" s="1"/>
  <c r="F995" i="12"/>
  <c r="F995" i="17"/>
  <c r="F995" i="9"/>
  <c r="G995"/>
  <c r="K995" s="1"/>
  <c r="K995" i="5"/>
  <c r="L995" s="1"/>
  <c r="F995"/>
  <c r="F995" i="10"/>
  <c r="F995" i="11"/>
  <c r="G995" s="1"/>
  <c r="F995" i="8"/>
  <c r="G995" s="1"/>
  <c r="K995" s="1"/>
  <c r="N995" i="7"/>
  <c r="F995"/>
  <c r="F995" i="4"/>
  <c r="I995"/>
  <c r="F995" i="22" s="1"/>
  <c r="F996" i="12"/>
  <c r="F996" i="17"/>
  <c r="F996" i="9"/>
  <c r="G996"/>
  <c r="K996" s="1"/>
  <c r="K996" i="5"/>
  <c r="L996" s="1"/>
  <c r="F996"/>
  <c r="F996" i="10"/>
  <c r="F996" i="11"/>
  <c r="G996" s="1"/>
  <c r="F996" i="8"/>
  <c r="G996" s="1"/>
  <c r="K996" s="1"/>
  <c r="N996" i="7"/>
  <c r="F996"/>
  <c r="F996" i="4"/>
  <c r="I996"/>
  <c r="F996" i="22" s="1"/>
  <c r="F997" i="12"/>
  <c r="F997" i="17"/>
  <c r="F997" i="9"/>
  <c r="G997"/>
  <c r="K997" s="1"/>
  <c r="K997" i="5"/>
  <c r="L997" s="1"/>
  <c r="F997"/>
  <c r="F997" i="10"/>
  <c r="F997" i="11"/>
  <c r="G997" s="1"/>
  <c r="F997" i="8"/>
  <c r="G997" s="1"/>
  <c r="K997" s="1"/>
  <c r="N997" i="7"/>
  <c r="F997"/>
  <c r="F997" i="4"/>
  <c r="I997"/>
  <c r="F997" i="22" s="1"/>
  <c r="F998" i="12"/>
  <c r="F998" i="17"/>
  <c r="F998" i="9"/>
  <c r="G998"/>
  <c r="K998" s="1"/>
  <c r="K998" i="5"/>
  <c r="L998" s="1"/>
  <c r="F998"/>
  <c r="F998" i="10"/>
  <c r="F998" i="11"/>
  <c r="G998" s="1"/>
  <c r="F998" i="8"/>
  <c r="G998" s="1"/>
  <c r="K998" s="1"/>
  <c r="N998" i="7"/>
  <c r="F998"/>
  <c r="F998" i="4"/>
  <c r="I998"/>
  <c r="F998" i="22" s="1"/>
  <c r="F999" i="12"/>
  <c r="F999" i="17"/>
  <c r="F999" i="9"/>
  <c r="G999"/>
  <c r="K999" s="1"/>
  <c r="K999" i="5"/>
  <c r="L999" s="1"/>
  <c r="F999"/>
  <c r="F999" i="10"/>
  <c r="F999" i="11"/>
  <c r="G999" s="1"/>
  <c r="F999" i="8"/>
  <c r="G999" s="1"/>
  <c r="K999" s="1"/>
  <c r="N999" i="7"/>
  <c r="F999"/>
  <c r="F999" i="4"/>
  <c r="I999"/>
  <c r="F999" i="22" s="1"/>
  <c r="F1000" i="12"/>
  <c r="F1000" i="17"/>
  <c r="F1000" i="9"/>
  <c r="G1000"/>
  <c r="K1000" s="1"/>
  <c r="K1000" i="5"/>
  <c r="L1000" s="1"/>
  <c r="F1000"/>
  <c r="F1000" i="10"/>
  <c r="F1000" i="11"/>
  <c r="G1000" s="1"/>
  <c r="F1000" i="8"/>
  <c r="G1000" s="1"/>
  <c r="K1000" s="1"/>
  <c r="N1000" i="7"/>
  <c r="F1000"/>
  <c r="F1000" i="4"/>
  <c r="I1000"/>
  <c r="F1000" i="22" s="1"/>
  <c r="F1001" i="12"/>
  <c r="F1001" i="17"/>
  <c r="F1001" i="9"/>
  <c r="G1001"/>
  <c r="K1001" s="1"/>
  <c r="K1001" i="5"/>
  <c r="L1001" s="1"/>
  <c r="F1001"/>
  <c r="F1001" i="10"/>
  <c r="F1001" i="11"/>
  <c r="G1001" s="1"/>
  <c r="F1001" i="8"/>
  <c r="G1001" s="1"/>
  <c r="K1001" s="1"/>
  <c r="N1001" i="7"/>
  <c r="F1001"/>
  <c r="F1001" i="4"/>
  <c r="I1001"/>
  <c r="F1001" i="22" s="1"/>
  <c r="F1002" i="12"/>
  <c r="F1002" i="17"/>
  <c r="F1002" i="9"/>
  <c r="G1002"/>
  <c r="K1002" s="1"/>
  <c r="K1002" i="5"/>
  <c r="L1002" s="1"/>
  <c r="F1002"/>
  <c r="F1002" i="10"/>
  <c r="F1002" i="11"/>
  <c r="G1002" s="1"/>
  <c r="F1002" i="8"/>
  <c r="G1002" s="1"/>
  <c r="K1002" s="1"/>
  <c r="N1002" i="7"/>
  <c r="F1002"/>
  <c r="F1002" i="4"/>
  <c r="I1002"/>
  <c r="F1002" i="22" s="1"/>
  <c r="F1003" i="12"/>
  <c r="F1003" i="17"/>
  <c r="F1003" i="9"/>
  <c r="G1003"/>
  <c r="K1003" s="1"/>
  <c r="K1003" i="5"/>
  <c r="L1003" s="1"/>
  <c r="F1003"/>
  <c r="F1003" i="10"/>
  <c r="F1003" i="11"/>
  <c r="G1003" s="1"/>
  <c r="F1003" i="8"/>
  <c r="G1003" s="1"/>
  <c r="K1003" s="1"/>
  <c r="N1003" i="7"/>
  <c r="F1003"/>
  <c r="F1003" i="4"/>
  <c r="I1003"/>
  <c r="F1003" i="22" s="1"/>
  <c r="F1004" i="18"/>
  <c r="G1004" s="1"/>
  <c r="F1004" i="12"/>
  <c r="F1004" i="17"/>
  <c r="F1004" i="9"/>
  <c r="G1004"/>
  <c r="K1004" s="1"/>
  <c r="K1004" i="5"/>
  <c r="L1004" s="1"/>
  <c r="F1004"/>
  <c r="F1004" i="10"/>
  <c r="F1004" i="11"/>
  <c r="G1004" s="1"/>
  <c r="F1004" i="8"/>
  <c r="G1004" s="1"/>
  <c r="K1004" s="1"/>
  <c r="N1004" i="7"/>
  <c r="F1004"/>
  <c r="F1004" i="4"/>
  <c r="I1004"/>
  <c r="F1004" i="22" s="1"/>
  <c r="F1005" i="12"/>
  <c r="F1005" i="17"/>
  <c r="F1005" i="9"/>
  <c r="G1005"/>
  <c r="K1005" s="1"/>
  <c r="K1005" i="5"/>
  <c r="L1005" s="1"/>
  <c r="F1005"/>
  <c r="F1005" i="10"/>
  <c r="F1005" i="11"/>
  <c r="G1005" s="1"/>
  <c r="F1005" i="8"/>
  <c r="G1005" s="1"/>
  <c r="K1005" s="1"/>
  <c r="N1005" i="7"/>
  <c r="F1005"/>
  <c r="F1005" i="4"/>
  <c r="I1005"/>
  <c r="F1005" i="22" s="1"/>
  <c r="F1006" i="12"/>
  <c r="F1006" i="17"/>
  <c r="F1006" i="9"/>
  <c r="G1006"/>
  <c r="K1006" s="1"/>
  <c r="K1006" i="5"/>
  <c r="L1006" s="1"/>
  <c r="F1006"/>
  <c r="F1006" i="10"/>
  <c r="F1006" i="11"/>
  <c r="G1006" s="1"/>
  <c r="F1006" i="8"/>
  <c r="G1006" s="1"/>
  <c r="K1006" s="1"/>
  <c r="N1006" i="7"/>
  <c r="F1006"/>
  <c r="F1006" i="4"/>
  <c r="I1006"/>
  <c r="F1006" i="22" s="1"/>
  <c r="F1007" i="12"/>
  <c r="F1007" i="17"/>
  <c r="F1007" i="9"/>
  <c r="G1007"/>
  <c r="K1007" s="1"/>
  <c r="K1007" i="5"/>
  <c r="L1007" s="1"/>
  <c r="F1007"/>
  <c r="F1007" i="10"/>
  <c r="F1007" i="11"/>
  <c r="G1007" s="1"/>
  <c r="F1007" i="8"/>
  <c r="G1007" s="1"/>
  <c r="K1007" s="1"/>
  <c r="N1007" i="7"/>
  <c r="F1007"/>
  <c r="F1007" i="4"/>
  <c r="I1007"/>
  <c r="F1007" i="22" s="1"/>
  <c r="F1008" i="12"/>
  <c r="F1008" i="17"/>
  <c r="F1008" i="9"/>
  <c r="G1008"/>
  <c r="K1008" s="1"/>
  <c r="K1008" i="5"/>
  <c r="L1008" s="1"/>
  <c r="F1008"/>
  <c r="F1008" i="10"/>
  <c r="F1008" i="11"/>
  <c r="G1008" s="1"/>
  <c r="F1008" i="8"/>
  <c r="G1008" s="1"/>
  <c r="K1008" s="1"/>
  <c r="N1008" i="7"/>
  <c r="F1008"/>
  <c r="F1008" i="4"/>
  <c r="I1008"/>
  <c r="F1008" i="22" s="1"/>
  <c r="F1009" i="12"/>
  <c r="F1009" i="17"/>
  <c r="F1009" i="9"/>
  <c r="G1009"/>
  <c r="K1009" s="1"/>
  <c r="K1009" i="5"/>
  <c r="L1009" s="1"/>
  <c r="F1009"/>
  <c r="F1009" i="10"/>
  <c r="F1009" i="11"/>
  <c r="G1009" s="1"/>
  <c r="F1009" i="8"/>
  <c r="G1009" s="1"/>
  <c r="K1009" s="1"/>
  <c r="N1009" i="7"/>
  <c r="F1009"/>
  <c r="F1009" i="4"/>
  <c r="I1009"/>
  <c r="F1009" i="22" s="1"/>
  <c r="F1010" i="12"/>
  <c r="F1010" i="17"/>
  <c r="F1010" i="9"/>
  <c r="G1010"/>
  <c r="K1010" s="1"/>
  <c r="K1010" i="5"/>
  <c r="L1010" s="1"/>
  <c r="F1010"/>
  <c r="F1010" i="10"/>
  <c r="F1010" i="11"/>
  <c r="G1010" s="1"/>
  <c r="F1010" i="8"/>
  <c r="G1010" s="1"/>
  <c r="K1010" s="1"/>
  <c r="N1010" i="7"/>
  <c r="F1010"/>
  <c r="F1010" i="4"/>
  <c r="I1010"/>
  <c r="F1010" i="22" s="1"/>
  <c r="F1011" i="12"/>
  <c r="F1011" i="17"/>
  <c r="F1011" i="9"/>
  <c r="G1011"/>
  <c r="K1011" s="1"/>
  <c r="K1011" i="5"/>
  <c r="L1011" s="1"/>
  <c r="F1011"/>
  <c r="F1011" i="10"/>
  <c r="F1011" i="11"/>
  <c r="G1011" s="1"/>
  <c r="F1011" i="8"/>
  <c r="G1011" s="1"/>
  <c r="K1011" s="1"/>
  <c r="N1011" i="7"/>
  <c r="F1011"/>
  <c r="F1011" i="4"/>
  <c r="I1011"/>
  <c r="F1011" i="22" s="1"/>
  <c r="F1012" i="12"/>
  <c r="F1012" i="17"/>
  <c r="F1012" i="9"/>
  <c r="G1012"/>
  <c r="K1012" s="1"/>
  <c r="K1012" i="5"/>
  <c r="L1012" s="1"/>
  <c r="F1012"/>
  <c r="F1012" i="10"/>
  <c r="F1012" i="11"/>
  <c r="G1012" s="1"/>
  <c r="F1012" i="8"/>
  <c r="G1012" s="1"/>
  <c r="K1012" s="1"/>
  <c r="N1012" i="7"/>
  <c r="F1012"/>
  <c r="F1012" i="4"/>
  <c r="I1012"/>
  <c r="F1012" i="22" s="1"/>
  <c r="F1013" i="12"/>
  <c r="F1013" i="17"/>
  <c r="F1013" i="9"/>
  <c r="G1013"/>
  <c r="K1013" s="1"/>
  <c r="K1013" i="5"/>
  <c r="L1013" s="1"/>
  <c r="F1013"/>
  <c r="F1013" i="10"/>
  <c r="F1013" i="11"/>
  <c r="G1013" s="1"/>
  <c r="F1013" i="8"/>
  <c r="G1013" s="1"/>
  <c r="K1013" s="1"/>
  <c r="N1013" i="7"/>
  <c r="F1013"/>
  <c r="F1013" i="4"/>
  <c r="I1013"/>
  <c r="F1013" i="22" s="1"/>
  <c r="F1014" i="12"/>
  <c r="F1014" i="17"/>
  <c r="F1014" i="9"/>
  <c r="G1014"/>
  <c r="K1014" s="1"/>
  <c r="K1014" i="5"/>
  <c r="L1014" s="1"/>
  <c r="F1014"/>
  <c r="F1014" i="10"/>
  <c r="F1014" i="11"/>
  <c r="G1014" s="1"/>
  <c r="F1014" i="8"/>
  <c r="G1014" s="1"/>
  <c r="K1014" s="1"/>
  <c r="N1014" i="7"/>
  <c r="F1014"/>
  <c r="F1014" i="4"/>
  <c r="I1014"/>
  <c r="F1014" i="22" s="1"/>
  <c r="F1015" i="18"/>
  <c r="G1015" s="1"/>
  <c r="F1015" i="12"/>
  <c r="F1015" i="17"/>
  <c r="F1015" i="9"/>
  <c r="G1015"/>
  <c r="K1015" s="1"/>
  <c r="K1015" i="5"/>
  <c r="L1015" s="1"/>
  <c r="F1015"/>
  <c r="F1015" i="10"/>
  <c r="F1015" i="11"/>
  <c r="G1015" s="1"/>
  <c r="F1015" i="8"/>
  <c r="G1015" s="1"/>
  <c r="K1015" s="1"/>
  <c r="N1015" i="7"/>
  <c r="F1015"/>
  <c r="F1015" i="4"/>
  <c r="I1015"/>
  <c r="F1015" i="22" s="1"/>
  <c r="F1016" i="12"/>
  <c r="F1016" i="17"/>
  <c r="F1016" i="9"/>
  <c r="G1016"/>
  <c r="K1016" s="1"/>
  <c r="K1016" i="5"/>
  <c r="L1016" s="1"/>
  <c r="F1016"/>
  <c r="F1016" i="10"/>
  <c r="F1016" i="11"/>
  <c r="G1016" s="1"/>
  <c r="F1016" i="8"/>
  <c r="G1016" s="1"/>
  <c r="K1016" s="1"/>
  <c r="N1016" i="7"/>
  <c r="F1016"/>
  <c r="F1016" i="4"/>
  <c r="I1016"/>
  <c r="F1016" i="22" s="1"/>
  <c r="F1017" i="12"/>
  <c r="F1017" i="17"/>
  <c r="F1017" i="9"/>
  <c r="G1017"/>
  <c r="K1017" s="1"/>
  <c r="K1017" i="5"/>
  <c r="L1017" s="1"/>
  <c r="F1017"/>
  <c r="F1017" i="10"/>
  <c r="F1017" i="11"/>
  <c r="G1017" s="1"/>
  <c r="F1017" i="8"/>
  <c r="G1017" s="1"/>
  <c r="K1017" s="1"/>
  <c r="N1017" i="7"/>
  <c r="F1017"/>
  <c r="F1017" i="4"/>
  <c r="I1017"/>
  <c r="F1017" i="22" s="1"/>
  <c r="F1018" i="12"/>
  <c r="F1018" i="17"/>
  <c r="F1018" i="9"/>
  <c r="G1018"/>
  <c r="K1018" s="1"/>
  <c r="K1018" i="5"/>
  <c r="L1018" s="1"/>
  <c r="F1018"/>
  <c r="F1018" i="10"/>
  <c r="F1018" i="11"/>
  <c r="G1018" s="1"/>
  <c r="F1018" i="8"/>
  <c r="G1018" s="1"/>
  <c r="K1018" s="1"/>
  <c r="N1018" i="7"/>
  <c r="F1018"/>
  <c r="F1018" i="4"/>
  <c r="I1018"/>
  <c r="F1018" i="22" s="1"/>
  <c r="F1019" i="18"/>
  <c r="G1019" s="1"/>
  <c r="F1019" i="12"/>
  <c r="F1019" i="17"/>
  <c r="F1019" i="9"/>
  <c r="G1019"/>
  <c r="K1019" s="1"/>
  <c r="K1019" i="5"/>
  <c r="L1019" s="1"/>
  <c r="F1019"/>
  <c r="F1019" i="10"/>
  <c r="F1019" i="11"/>
  <c r="G1019" s="1"/>
  <c r="F1019" i="8"/>
  <c r="G1019" s="1"/>
  <c r="K1019" s="1"/>
  <c r="N1019" i="7"/>
  <c r="F1019"/>
  <c r="F1019" i="4"/>
  <c r="I1019"/>
  <c r="F1019" i="22" s="1"/>
  <c r="F1020" i="12"/>
  <c r="F1020" i="17"/>
  <c r="F1020" i="9"/>
  <c r="G1020"/>
  <c r="K1020" s="1"/>
  <c r="K1020" i="5"/>
  <c r="L1020" s="1"/>
  <c r="F1020"/>
  <c r="F1020" i="10"/>
  <c r="F1020" i="11"/>
  <c r="G1020" s="1"/>
  <c r="F1020" i="8"/>
  <c r="G1020" s="1"/>
  <c r="K1020" s="1"/>
  <c r="N1020" i="7"/>
  <c r="F1020"/>
  <c r="F1020" i="4"/>
  <c r="I1020"/>
  <c r="F1020" i="22" s="1"/>
  <c r="F1021" i="12"/>
  <c r="F1021" i="17"/>
  <c r="F1021" i="9"/>
  <c r="G1021"/>
  <c r="K1021" s="1"/>
  <c r="K1021" i="5"/>
  <c r="L1021" s="1"/>
  <c r="F1021"/>
  <c r="F1021" i="10"/>
  <c r="F1021" i="11"/>
  <c r="G1021" s="1"/>
  <c r="F1021" i="8"/>
  <c r="G1021" s="1"/>
  <c r="K1021" s="1"/>
  <c r="N1021" i="7"/>
  <c r="F1021"/>
  <c r="F1021" i="4"/>
  <c r="I1021"/>
  <c r="F1021" i="22" s="1"/>
  <c r="F1022" i="12"/>
  <c r="F1022" i="17"/>
  <c r="F1022" i="9"/>
  <c r="G1022"/>
  <c r="K1022" s="1"/>
  <c r="K1022" i="5"/>
  <c r="L1022" s="1"/>
  <c r="F1022"/>
  <c r="F1022" i="10"/>
  <c r="F1022" i="11"/>
  <c r="G1022" s="1"/>
  <c r="F1022" i="8"/>
  <c r="G1022" s="1"/>
  <c r="K1022" s="1"/>
  <c r="N1022" i="7"/>
  <c r="F1022"/>
  <c r="F1022" i="4"/>
  <c r="I1022"/>
  <c r="F1022" i="22" s="1"/>
  <c r="F1023" i="12"/>
  <c r="F1023" i="17"/>
  <c r="F1023" i="9"/>
  <c r="G1023"/>
  <c r="K1023" s="1"/>
  <c r="K1023" i="5"/>
  <c r="L1023" s="1"/>
  <c r="F1023"/>
  <c r="F1023" i="10"/>
  <c r="F1023" i="11"/>
  <c r="G1023" s="1"/>
  <c r="F1023" i="8"/>
  <c r="G1023" s="1"/>
  <c r="K1023" s="1"/>
  <c r="N1023" i="7"/>
  <c r="F1023"/>
  <c r="F1023" i="4"/>
  <c r="I1023"/>
  <c r="F1023" i="22" s="1"/>
  <c r="F1024" i="12"/>
  <c r="F1024" i="17"/>
  <c r="F1024" i="9"/>
  <c r="G1024"/>
  <c r="K1024" s="1"/>
  <c r="K1024" i="5"/>
  <c r="L1024" s="1"/>
  <c r="F1024"/>
  <c r="F1024" i="10"/>
  <c r="F1024" i="11"/>
  <c r="G1024" s="1"/>
  <c r="F1024" i="8"/>
  <c r="G1024" s="1"/>
  <c r="K1024" s="1"/>
  <c r="N1024" i="7"/>
  <c r="F1024"/>
  <c r="F1024" i="4"/>
  <c r="I1024"/>
  <c r="F1024" i="22" s="1"/>
  <c r="F1025" i="12"/>
  <c r="F1025" i="17"/>
  <c r="F1025" i="9"/>
  <c r="G1025"/>
  <c r="K1025" s="1"/>
  <c r="K1025" i="5"/>
  <c r="L1025" s="1"/>
  <c r="F1025"/>
  <c r="F1025" i="10"/>
  <c r="F1025" i="11"/>
  <c r="G1025" s="1"/>
  <c r="F1025" i="8"/>
  <c r="G1025" s="1"/>
  <c r="K1025" s="1"/>
  <c r="N1025" i="7"/>
  <c r="F1025"/>
  <c r="F1025" i="4"/>
  <c r="I1025"/>
  <c r="F1025" i="22" s="1"/>
  <c r="F1026" i="12"/>
  <c r="F1026" i="17"/>
  <c r="F1026" i="9"/>
  <c r="G1026"/>
  <c r="K1026" s="1"/>
  <c r="K1026" i="5"/>
  <c r="L1026" s="1"/>
  <c r="F1026"/>
  <c r="F1026" i="10"/>
  <c r="F1026" i="11"/>
  <c r="G1026" s="1"/>
  <c r="F1026" i="8"/>
  <c r="G1026" s="1"/>
  <c r="K1026" s="1"/>
  <c r="N1026" i="7"/>
  <c r="F1026"/>
  <c r="F1026" i="4"/>
  <c r="I1026"/>
  <c r="F1026" i="22" s="1"/>
  <c r="F1027" i="12"/>
  <c r="F1027" i="17"/>
  <c r="F1027" i="9"/>
  <c r="G1027"/>
  <c r="K1027" s="1"/>
  <c r="K1027" i="5"/>
  <c r="L1027" s="1"/>
  <c r="F1027"/>
  <c r="F1027" i="10"/>
  <c r="F1027" i="11"/>
  <c r="G1027" s="1"/>
  <c r="F1027" i="8"/>
  <c r="G1027" s="1"/>
  <c r="K1027" s="1"/>
  <c r="N1027" i="7"/>
  <c r="F1027"/>
  <c r="F1027" i="4"/>
  <c r="I1027"/>
  <c r="F1027" i="22" s="1"/>
  <c r="F1028" i="12"/>
  <c r="F1028" i="17"/>
  <c r="F1028" i="9"/>
  <c r="G1028"/>
  <c r="K1028" s="1"/>
  <c r="K1028" i="5"/>
  <c r="L1028" s="1"/>
  <c r="F1028"/>
  <c r="F1028" i="10"/>
  <c r="F1028" i="11"/>
  <c r="G1028" s="1"/>
  <c r="F1028" i="8"/>
  <c r="G1028" s="1"/>
  <c r="K1028" s="1"/>
  <c r="N1028" i="7"/>
  <c r="F1028"/>
  <c r="F1028" i="4"/>
  <c r="I1028"/>
  <c r="F1028" i="22" s="1"/>
  <c r="F1029" i="12"/>
  <c r="F1029" i="17"/>
  <c r="F1029" i="9"/>
  <c r="G1029"/>
  <c r="K1029" s="1"/>
  <c r="K1029" i="5"/>
  <c r="L1029" s="1"/>
  <c r="F1029"/>
  <c r="F1029" i="10"/>
  <c r="F1029" i="11"/>
  <c r="G1029" s="1"/>
  <c r="F1029" i="8"/>
  <c r="G1029" s="1"/>
  <c r="K1029" s="1"/>
  <c r="N1029" i="7"/>
  <c r="F1029"/>
  <c r="F1029" i="4"/>
  <c r="I1029"/>
  <c r="F1029" i="22" s="1"/>
  <c r="F1030" i="12"/>
  <c r="F1030" i="17"/>
  <c r="F1030" i="9"/>
  <c r="G1030"/>
  <c r="K1030" s="1"/>
  <c r="K1030" i="5"/>
  <c r="L1030" s="1"/>
  <c r="F1030"/>
  <c r="F1030" i="10"/>
  <c r="F1030" i="11"/>
  <c r="G1030" s="1"/>
  <c r="F1030" i="8"/>
  <c r="G1030" s="1"/>
  <c r="K1030" s="1"/>
  <c r="N1030" i="7"/>
  <c r="F1030"/>
  <c r="F1030" i="4"/>
  <c r="I1030"/>
  <c r="F1030" i="22" s="1"/>
  <c r="F1031" i="12"/>
  <c r="F1031" i="17"/>
  <c r="F1031" i="9"/>
  <c r="G1031"/>
  <c r="K1031" s="1"/>
  <c r="K1031" i="5"/>
  <c r="L1031" s="1"/>
  <c r="F1031"/>
  <c r="F1031" i="10"/>
  <c r="F1031" i="11"/>
  <c r="G1031" s="1"/>
  <c r="F1031" i="8"/>
  <c r="G1031" s="1"/>
  <c r="K1031" s="1"/>
  <c r="N1031" i="7"/>
  <c r="F1031"/>
  <c r="F1031" i="4"/>
  <c r="I1031"/>
  <c r="F1031" i="22" s="1"/>
  <c r="F1032" i="12"/>
  <c r="F1032" i="17"/>
  <c r="F1032" i="9"/>
  <c r="G1032"/>
  <c r="K1032" s="1"/>
  <c r="K1032" i="5"/>
  <c r="L1032" s="1"/>
  <c r="F1032"/>
  <c r="F1032" i="10"/>
  <c r="F1032" i="11"/>
  <c r="G1032" s="1"/>
  <c r="F1032" i="8"/>
  <c r="G1032" s="1"/>
  <c r="K1032" s="1"/>
  <c r="N1032" i="7"/>
  <c r="F1032"/>
  <c r="F1032" i="4"/>
  <c r="I1032"/>
  <c r="F1032" i="22" s="1"/>
  <c r="F1033" i="12"/>
  <c r="F1033" i="17"/>
  <c r="F1033" i="9"/>
  <c r="G1033"/>
  <c r="K1033" s="1"/>
  <c r="K1033" i="5"/>
  <c r="L1033" s="1"/>
  <c r="F1033"/>
  <c r="F1033" i="10"/>
  <c r="F1033" i="11"/>
  <c r="G1033" s="1"/>
  <c r="F1033" i="8"/>
  <c r="G1033" s="1"/>
  <c r="K1033" s="1"/>
  <c r="N1033" i="7"/>
  <c r="F1033"/>
  <c r="F1033" i="4"/>
  <c r="I1033"/>
  <c r="F1033" i="22" s="1"/>
  <c r="F1034" i="12"/>
  <c r="F1034" i="17"/>
  <c r="F1034" i="9"/>
  <c r="G1034"/>
  <c r="K1034" s="1"/>
  <c r="K1034" i="5"/>
  <c r="L1034" s="1"/>
  <c r="F1034"/>
  <c r="F1034" i="10"/>
  <c r="F1034" i="11"/>
  <c r="G1034" s="1"/>
  <c r="F1034" i="8"/>
  <c r="G1034" s="1"/>
  <c r="K1034" s="1"/>
  <c r="N1034" i="7"/>
  <c r="F1034"/>
  <c r="F1034" i="4"/>
  <c r="I1034"/>
  <c r="F1034" i="22" s="1"/>
  <c r="F1035" i="12"/>
  <c r="F1035" i="17"/>
  <c r="F1035" i="9"/>
  <c r="G1035"/>
  <c r="K1035" s="1"/>
  <c r="K1035" i="5"/>
  <c r="L1035" s="1"/>
  <c r="F1035"/>
  <c r="F1035" i="10"/>
  <c r="F1035" i="11"/>
  <c r="G1035" s="1"/>
  <c r="F1035" i="8"/>
  <c r="G1035" s="1"/>
  <c r="K1035" s="1"/>
  <c r="N1035" i="7"/>
  <c r="F1035"/>
  <c r="F1035" i="4"/>
  <c r="I1035"/>
  <c r="F1035" i="22" s="1"/>
  <c r="F1036" i="12"/>
  <c r="F1036" i="17"/>
  <c r="F1036" i="9"/>
  <c r="G1036"/>
  <c r="K1036" s="1"/>
  <c r="K1036" i="5"/>
  <c r="L1036" s="1"/>
  <c r="F1036"/>
  <c r="F1036" i="10"/>
  <c r="F1036" i="11"/>
  <c r="G1036" s="1"/>
  <c r="F1036" i="8"/>
  <c r="G1036" s="1"/>
  <c r="K1036" s="1"/>
  <c r="N1036" i="7"/>
  <c r="F1036"/>
  <c r="F1036" i="4"/>
  <c r="I1036"/>
  <c r="F1036" i="22" s="1"/>
  <c r="F1037" i="12"/>
  <c r="F1037" i="17"/>
  <c r="F1037" i="9"/>
  <c r="G1037"/>
  <c r="K1037" s="1"/>
  <c r="K1037" i="5"/>
  <c r="L1037" s="1"/>
  <c r="F1037"/>
  <c r="F1037" i="10"/>
  <c r="F1037" i="11"/>
  <c r="G1037" s="1"/>
  <c r="F1037" i="8"/>
  <c r="G1037" s="1"/>
  <c r="K1037" s="1"/>
  <c r="N1037" i="7"/>
  <c r="F1037"/>
  <c r="F1037" i="4"/>
  <c r="I1037"/>
  <c r="F1037" i="22" s="1"/>
  <c r="F1038" i="12"/>
  <c r="F1038" i="17"/>
  <c r="F1038" i="9"/>
  <c r="G1038"/>
  <c r="K1038" s="1"/>
  <c r="K1038" i="5"/>
  <c r="L1038" s="1"/>
  <c r="F1038"/>
  <c r="F1038" i="10"/>
  <c r="F1038" i="11"/>
  <c r="G1038" s="1"/>
  <c r="F1038" i="8"/>
  <c r="G1038" s="1"/>
  <c r="K1038" s="1"/>
  <c r="N1038" i="7"/>
  <c r="F1038"/>
  <c r="F1038" i="4"/>
  <c r="I1038"/>
  <c r="F1038" i="22" s="1"/>
  <c r="F1039" i="12"/>
  <c r="F1039" i="17"/>
  <c r="F1039" i="9"/>
  <c r="G1039"/>
  <c r="K1039" s="1"/>
  <c r="K1039" i="5"/>
  <c r="L1039" s="1"/>
  <c r="F1039"/>
  <c r="F1039" i="10"/>
  <c r="F1039" i="11"/>
  <c r="G1039" s="1"/>
  <c r="F1039" i="8"/>
  <c r="G1039" s="1"/>
  <c r="K1039" s="1"/>
  <c r="N1039" i="7"/>
  <c r="F1039"/>
  <c r="F1039" i="4"/>
  <c r="I1039"/>
  <c r="F1039" i="22" s="1"/>
  <c r="F1040" i="12"/>
  <c r="F1040" i="17"/>
  <c r="F1040" i="9"/>
  <c r="G1040"/>
  <c r="K1040" s="1"/>
  <c r="K1040" i="5"/>
  <c r="L1040" s="1"/>
  <c r="F1040"/>
  <c r="F1040" i="10"/>
  <c r="F1040" i="11"/>
  <c r="G1040" s="1"/>
  <c r="F1040" i="8"/>
  <c r="G1040" s="1"/>
  <c r="K1040" s="1"/>
  <c r="N1040" i="7"/>
  <c r="F1040"/>
  <c r="F1040" i="4"/>
  <c r="I1040"/>
  <c r="F1040" i="22" s="1"/>
  <c r="F1041" i="12"/>
  <c r="F1041" i="17"/>
  <c r="F1041" i="9"/>
  <c r="G1041"/>
  <c r="K1041" s="1"/>
  <c r="K1041" i="5"/>
  <c r="L1041" s="1"/>
  <c r="F1041"/>
  <c r="F1041" i="10"/>
  <c r="F1041" i="11"/>
  <c r="G1041" s="1"/>
  <c r="F1041" i="8"/>
  <c r="G1041" s="1"/>
  <c r="K1041" s="1"/>
  <c r="N1041" i="7"/>
  <c r="F1041"/>
  <c r="F1041" i="4"/>
  <c r="I1041"/>
  <c r="F1041" i="22" s="1"/>
  <c r="F1042" i="12"/>
  <c r="F1042" i="17"/>
  <c r="F1042" i="9"/>
  <c r="G1042"/>
  <c r="K1042" s="1"/>
  <c r="K1042" i="5"/>
  <c r="L1042" s="1"/>
  <c r="F1042"/>
  <c r="F1042" i="10"/>
  <c r="F1042" i="11"/>
  <c r="G1042" s="1"/>
  <c r="F1042" i="8"/>
  <c r="G1042" s="1"/>
  <c r="K1042" s="1"/>
  <c r="N1042" i="7"/>
  <c r="F1042"/>
  <c r="F1042" i="4"/>
  <c r="I1042"/>
  <c r="F1042" i="22" s="1"/>
  <c r="F1043" i="12"/>
  <c r="F1043" i="17"/>
  <c r="F1043" i="9"/>
  <c r="G1043"/>
  <c r="K1043" s="1"/>
  <c r="K1043" i="5"/>
  <c r="L1043" s="1"/>
  <c r="F1043"/>
  <c r="F1043" i="10"/>
  <c r="F1043" i="11"/>
  <c r="G1043" s="1"/>
  <c r="F1043" i="8"/>
  <c r="G1043" s="1"/>
  <c r="K1043" s="1"/>
  <c r="N1043" i="7"/>
  <c r="F1043"/>
  <c r="F1043" i="4"/>
  <c r="I1043"/>
  <c r="F1043" i="22" s="1"/>
  <c r="F1044" i="12"/>
  <c r="F1044" i="17"/>
  <c r="F1044" i="9"/>
  <c r="G1044"/>
  <c r="K1044" s="1"/>
  <c r="K1044" i="5"/>
  <c r="L1044" s="1"/>
  <c r="F1044"/>
  <c r="F1044" i="10"/>
  <c r="F1044" i="11"/>
  <c r="G1044" s="1"/>
  <c r="F1044" i="8"/>
  <c r="G1044" s="1"/>
  <c r="K1044" s="1"/>
  <c r="N1044" i="7"/>
  <c r="F1044"/>
  <c r="F1044" i="4"/>
  <c r="I1044"/>
  <c r="F1044" i="22" s="1"/>
  <c r="F1045" i="12"/>
  <c r="F1045" i="17"/>
  <c r="F1045" i="9"/>
  <c r="G1045"/>
  <c r="K1045" s="1"/>
  <c r="K1045" i="5"/>
  <c r="L1045" s="1"/>
  <c r="F1045"/>
  <c r="F1045" i="10"/>
  <c r="F1045" i="11"/>
  <c r="G1045" s="1"/>
  <c r="F1045" i="8"/>
  <c r="G1045" s="1"/>
  <c r="K1045" s="1"/>
  <c r="N1045" i="7"/>
  <c r="F1045"/>
  <c r="F1045" i="4"/>
  <c r="I1045"/>
  <c r="F1045" i="22" s="1"/>
  <c r="F1046" i="12"/>
  <c r="F1046" i="17"/>
  <c r="F1046" i="9"/>
  <c r="G1046"/>
  <c r="K1046" s="1"/>
  <c r="K1046" i="5"/>
  <c r="L1046" s="1"/>
  <c r="F1046"/>
  <c r="F1046" i="10"/>
  <c r="F1046" i="11"/>
  <c r="G1046" s="1"/>
  <c r="F1046" i="8"/>
  <c r="G1046" s="1"/>
  <c r="K1046" s="1"/>
  <c r="N1046" i="7"/>
  <c r="F1046"/>
  <c r="F1046" i="4"/>
  <c r="I1046"/>
  <c r="F1046" i="22" s="1"/>
  <c r="F1047" i="12"/>
  <c r="F1047" i="17"/>
  <c r="F1047" i="9"/>
  <c r="G1047"/>
  <c r="K1047" s="1"/>
  <c r="K1047" i="5"/>
  <c r="L1047" s="1"/>
  <c r="F1047"/>
  <c r="F1047" i="10"/>
  <c r="F1047" i="11"/>
  <c r="G1047" s="1"/>
  <c r="F1047" i="8"/>
  <c r="G1047" s="1"/>
  <c r="K1047" s="1"/>
  <c r="N1047" i="7"/>
  <c r="F1047"/>
  <c r="F1047" i="4"/>
  <c r="I1047"/>
  <c r="F1047" i="22" s="1"/>
  <c r="F1048" i="12"/>
  <c r="F1048" i="17"/>
  <c r="F1048" i="9"/>
  <c r="G1048"/>
  <c r="K1048" s="1"/>
  <c r="K1048" i="5"/>
  <c r="L1048" s="1"/>
  <c r="F1048"/>
  <c r="F1048" i="10"/>
  <c r="F1048" i="11"/>
  <c r="G1048" s="1"/>
  <c r="F1048" i="8"/>
  <c r="G1048" s="1"/>
  <c r="K1048" s="1"/>
  <c r="N1048" i="7"/>
  <c r="F1048"/>
  <c r="F1048" i="4"/>
  <c r="I1048"/>
  <c r="F1048" i="22" s="1"/>
  <c r="F1049" i="12"/>
  <c r="F1049" i="17"/>
  <c r="F1049" i="9"/>
  <c r="G1049"/>
  <c r="K1049" s="1"/>
  <c r="K1049" i="5"/>
  <c r="L1049" s="1"/>
  <c r="F1049"/>
  <c r="F1049" i="10"/>
  <c r="F1049" i="11"/>
  <c r="G1049" s="1"/>
  <c r="F1049" i="8"/>
  <c r="G1049" s="1"/>
  <c r="K1049" s="1"/>
  <c r="N1049" i="7"/>
  <c r="F1049"/>
  <c r="F1049" i="4"/>
  <c r="I1049"/>
  <c r="F1049" i="22" s="1"/>
  <c r="F1050" i="12"/>
  <c r="F1050" i="17"/>
  <c r="F1050" i="9"/>
  <c r="G1050"/>
  <c r="K1050" s="1"/>
  <c r="K1050" i="5"/>
  <c r="L1050" s="1"/>
  <c r="F1050"/>
  <c r="F1050" i="10"/>
  <c r="F1050" i="11"/>
  <c r="G1050" s="1"/>
  <c r="F1050" i="8"/>
  <c r="G1050" s="1"/>
  <c r="K1050" s="1"/>
  <c r="N1050" i="7"/>
  <c r="F1050"/>
  <c r="F1050" i="4"/>
  <c r="I1050"/>
  <c r="F1050" i="22" s="1"/>
  <c r="F1051" i="18"/>
  <c r="G1051" s="1"/>
  <c r="F1051" i="12"/>
  <c r="F1051" i="17"/>
  <c r="F1051" i="9"/>
  <c r="G1051"/>
  <c r="K1051" s="1"/>
  <c r="K1051" i="5"/>
  <c r="L1051" s="1"/>
  <c r="F1051"/>
  <c r="F1051" i="10"/>
  <c r="F1051" i="11"/>
  <c r="G1051" s="1"/>
  <c r="F1051" i="8"/>
  <c r="G1051" s="1"/>
  <c r="K1051" s="1"/>
  <c r="N1051" i="7"/>
  <c r="F1051"/>
  <c r="F1051" i="4"/>
  <c r="I1051"/>
  <c r="F1051" i="22" s="1"/>
  <c r="F1052" i="12"/>
  <c r="F1052" i="17"/>
  <c r="F1052" i="9"/>
  <c r="G1052"/>
  <c r="K1052" s="1"/>
  <c r="K1052" i="5"/>
  <c r="L1052" s="1"/>
  <c r="F1052"/>
  <c r="F1052" i="10"/>
  <c r="F1052" i="11"/>
  <c r="G1052" s="1"/>
  <c r="F1052" i="8"/>
  <c r="G1052" s="1"/>
  <c r="K1052" s="1"/>
  <c r="N1052" i="7"/>
  <c r="F1052"/>
  <c r="F1052" i="4"/>
  <c r="I1052"/>
  <c r="F1052" i="22" s="1"/>
  <c r="F1053" i="18"/>
  <c r="G1053" s="1"/>
  <c r="F1053" i="12"/>
  <c r="F1053" i="17"/>
  <c r="F1053" i="9"/>
  <c r="G1053"/>
  <c r="K1053" s="1"/>
  <c r="K1053" i="5"/>
  <c r="L1053" s="1"/>
  <c r="F1053"/>
  <c r="F1053" i="10"/>
  <c r="F1053" i="11"/>
  <c r="G1053" s="1"/>
  <c r="F1053" i="8"/>
  <c r="G1053" s="1"/>
  <c r="K1053" s="1"/>
  <c r="N1053" i="7"/>
  <c r="F1053"/>
  <c r="F1053" i="4"/>
  <c r="I1053"/>
  <c r="F1053" i="22" s="1"/>
  <c r="F1054" i="12"/>
  <c r="F1054" i="17"/>
  <c r="F1054" i="9"/>
  <c r="G1054"/>
  <c r="K1054" s="1"/>
  <c r="K1054" i="5"/>
  <c r="L1054" s="1"/>
  <c r="F1054"/>
  <c r="F1054" i="10"/>
  <c r="F1054" i="11"/>
  <c r="G1054" s="1"/>
  <c r="F1054" i="8"/>
  <c r="G1054" s="1"/>
  <c r="K1054" s="1"/>
  <c r="N1054" i="7"/>
  <c r="F1054"/>
  <c r="F1054" i="4"/>
  <c r="I1054"/>
  <c r="F1054" i="22" s="1"/>
  <c r="F1055" i="12"/>
  <c r="F1055" i="17"/>
  <c r="F1055" i="9"/>
  <c r="G1055"/>
  <c r="K1055" s="1"/>
  <c r="K1055" i="5"/>
  <c r="L1055" s="1"/>
  <c r="F1055"/>
  <c r="F1055" i="10"/>
  <c r="F1055" i="11"/>
  <c r="G1055" s="1"/>
  <c r="F1055" i="8"/>
  <c r="G1055" s="1"/>
  <c r="K1055" s="1"/>
  <c r="N1055" i="7"/>
  <c r="F1055"/>
  <c r="F1055" i="4"/>
  <c r="I1055"/>
  <c r="F1055" i="22" s="1"/>
  <c r="F1056" i="12"/>
  <c r="F1056" i="17"/>
  <c r="F1056" i="9"/>
  <c r="G1056"/>
  <c r="K1056" s="1"/>
  <c r="K1056" i="5"/>
  <c r="L1056" s="1"/>
  <c r="F1056"/>
  <c r="F1056" i="10"/>
  <c r="F1056" i="11"/>
  <c r="G1056" s="1"/>
  <c r="F1056" i="8"/>
  <c r="G1056" s="1"/>
  <c r="K1056" s="1"/>
  <c r="N1056" i="7"/>
  <c r="F1056"/>
  <c r="F1056" i="4"/>
  <c r="I1056"/>
  <c r="F1056" i="22" s="1"/>
  <c r="F1057" i="18"/>
  <c r="G1057" s="1"/>
  <c r="F1057" i="12"/>
  <c r="F1057" i="17"/>
  <c r="F1057" i="9"/>
  <c r="G1057"/>
  <c r="K1057" s="1"/>
  <c r="K1057" i="5"/>
  <c r="L1057" s="1"/>
  <c r="F1057"/>
  <c r="F1057" i="10"/>
  <c r="F1057" i="11"/>
  <c r="G1057" s="1"/>
  <c r="F1057" i="8"/>
  <c r="G1057" s="1"/>
  <c r="K1057" s="1"/>
  <c r="N1057" i="7"/>
  <c r="F1057"/>
  <c r="F1057" i="4"/>
  <c r="I1057"/>
  <c r="F1057" i="22" s="1"/>
  <c r="F1058" i="18"/>
  <c r="G1058" s="1"/>
  <c r="F1058" i="12"/>
  <c r="F1058" i="17"/>
  <c r="F1058" i="9"/>
  <c r="G1058"/>
  <c r="K1058" s="1"/>
  <c r="K1058" i="5"/>
  <c r="L1058" s="1"/>
  <c r="F1058"/>
  <c r="F1058" i="10"/>
  <c r="F1058" i="11"/>
  <c r="G1058" s="1"/>
  <c r="F1058" i="8"/>
  <c r="G1058" s="1"/>
  <c r="K1058" s="1"/>
  <c r="N1058" i="7"/>
  <c r="F1058"/>
  <c r="F1058" i="4"/>
  <c r="I1058"/>
  <c r="F1058" i="22" s="1"/>
  <c r="F1059" i="18"/>
  <c r="G1059" s="1"/>
  <c r="F1059" i="12"/>
  <c r="F1059" i="17"/>
  <c r="F1059" i="9"/>
  <c r="G1059"/>
  <c r="K1059" s="1"/>
  <c r="K1059" i="5"/>
  <c r="L1059" s="1"/>
  <c r="F1059"/>
  <c r="F1059" i="10"/>
  <c r="F1059" i="11"/>
  <c r="G1059" s="1"/>
  <c r="F1059" i="8"/>
  <c r="G1059" s="1"/>
  <c r="K1059" s="1"/>
  <c r="N1059" i="7"/>
  <c r="F1059"/>
  <c r="F1059" i="4"/>
  <c r="I1059"/>
  <c r="F1059" i="22" s="1"/>
  <c r="F1060" i="12"/>
  <c r="F1060" i="17"/>
  <c r="F1060" i="9"/>
  <c r="G1060"/>
  <c r="K1060" s="1"/>
  <c r="K1060" i="5"/>
  <c r="L1060" s="1"/>
  <c r="F1060"/>
  <c r="F1060" i="10"/>
  <c r="F1060" i="11"/>
  <c r="G1060" s="1"/>
  <c r="F1060" i="8"/>
  <c r="G1060" s="1"/>
  <c r="K1060" s="1"/>
  <c r="N1060" i="7"/>
  <c r="F1060"/>
  <c r="F1060" i="4"/>
  <c r="I1060"/>
  <c r="F1060" i="22" s="1"/>
  <c r="F1061" i="12"/>
  <c r="F1061" i="17"/>
  <c r="F1061" i="9"/>
  <c r="G1061"/>
  <c r="K1061" s="1"/>
  <c r="K1061" i="5"/>
  <c r="L1061" s="1"/>
  <c r="F1061"/>
  <c r="F1061" i="10"/>
  <c r="F1061" i="11"/>
  <c r="G1061" s="1"/>
  <c r="F1061" i="8"/>
  <c r="G1061" s="1"/>
  <c r="K1061" s="1"/>
  <c r="N1061" i="7"/>
  <c r="F1061"/>
  <c r="F1061" i="4"/>
  <c r="I1061"/>
  <c r="F1061" i="22" s="1"/>
  <c r="F1062" i="12"/>
  <c r="F1062" i="17"/>
  <c r="F1062" i="9"/>
  <c r="G1062"/>
  <c r="K1062" s="1"/>
  <c r="K1062" i="5"/>
  <c r="L1062" s="1"/>
  <c r="F1062"/>
  <c r="F1062" i="10"/>
  <c r="F1062" i="11"/>
  <c r="G1062" s="1"/>
  <c r="F1062" i="8"/>
  <c r="G1062" s="1"/>
  <c r="K1062" s="1"/>
  <c r="N1062" i="7"/>
  <c r="F1062"/>
  <c r="F1062" i="4"/>
  <c r="I1062"/>
  <c r="F1062" i="22" s="1"/>
  <c r="F1063" i="12"/>
  <c r="F1063" i="17"/>
  <c r="F1063" i="9"/>
  <c r="G1063"/>
  <c r="K1063" s="1"/>
  <c r="K1063" i="5"/>
  <c r="L1063" s="1"/>
  <c r="F1063"/>
  <c r="F1063" i="10"/>
  <c r="F1063" i="11"/>
  <c r="G1063" s="1"/>
  <c r="F1063" i="8"/>
  <c r="G1063" s="1"/>
  <c r="K1063" s="1"/>
  <c r="N1063" i="7"/>
  <c r="F1063"/>
  <c r="F1063" i="4"/>
  <c r="I1063"/>
  <c r="F1063" i="22" s="1"/>
  <c r="F1064" i="12"/>
  <c r="F1064" i="17"/>
  <c r="F1064" i="9"/>
  <c r="G1064"/>
  <c r="K1064" s="1"/>
  <c r="K1064" i="5"/>
  <c r="L1064" s="1"/>
  <c r="F1064"/>
  <c r="F1064" i="10"/>
  <c r="F1064" i="11"/>
  <c r="G1064" s="1"/>
  <c r="F1064" i="8"/>
  <c r="G1064" s="1"/>
  <c r="K1064" s="1"/>
  <c r="N1064" i="7"/>
  <c r="F1064"/>
  <c r="F1064" i="4"/>
  <c r="I1064"/>
  <c r="F1064" i="22" s="1"/>
  <c r="F1065" i="12"/>
  <c r="F1065" i="17"/>
  <c r="F1065" i="9"/>
  <c r="G1065"/>
  <c r="K1065" s="1"/>
  <c r="K1065" i="5"/>
  <c r="L1065" s="1"/>
  <c r="F1065"/>
  <c r="F1065" i="10"/>
  <c r="F1065" i="11"/>
  <c r="G1065" s="1"/>
  <c r="F1065" i="8"/>
  <c r="G1065" s="1"/>
  <c r="K1065" s="1"/>
  <c r="N1065" i="7"/>
  <c r="F1065"/>
  <c r="F1065" i="4"/>
  <c r="I1065"/>
  <c r="F1065" i="22" s="1"/>
  <c r="F1066" i="12"/>
  <c r="F1066" i="17"/>
  <c r="F1066" i="9"/>
  <c r="G1066"/>
  <c r="K1066" s="1"/>
  <c r="K1066" i="5"/>
  <c r="L1066" s="1"/>
  <c r="F1066"/>
  <c r="F1066" i="10"/>
  <c r="F1066" i="11"/>
  <c r="G1066" s="1"/>
  <c r="F1066" i="8"/>
  <c r="G1066" s="1"/>
  <c r="K1066" s="1"/>
  <c r="N1066" i="7"/>
  <c r="F1066"/>
  <c r="F1066" i="4"/>
  <c r="I1066"/>
  <c r="F1066" i="22" s="1"/>
  <c r="F1067" i="12"/>
  <c r="F1067" i="17"/>
  <c r="F1067" i="9"/>
  <c r="G1067"/>
  <c r="K1067" s="1"/>
  <c r="K1067" i="5"/>
  <c r="L1067" s="1"/>
  <c r="F1067"/>
  <c r="F1067" i="10"/>
  <c r="F1067" i="11"/>
  <c r="G1067" s="1"/>
  <c r="F1067" i="8"/>
  <c r="G1067" s="1"/>
  <c r="K1067" s="1"/>
  <c r="N1067" i="7"/>
  <c r="F1067"/>
  <c r="F1067" i="4"/>
  <c r="I1067"/>
  <c r="F1067" i="22" s="1"/>
  <c r="F1068" i="12"/>
  <c r="F1068" i="17"/>
  <c r="F1068" i="9"/>
  <c r="G1068"/>
  <c r="K1068" s="1"/>
  <c r="K1068" i="5"/>
  <c r="L1068" s="1"/>
  <c r="F1068"/>
  <c r="F1068" i="10"/>
  <c r="F1068" i="11"/>
  <c r="G1068" s="1"/>
  <c r="F1068" i="8"/>
  <c r="G1068" s="1"/>
  <c r="K1068" s="1"/>
  <c r="N1068" i="7"/>
  <c r="F1068"/>
  <c r="F1068" i="4"/>
  <c r="I1068"/>
  <c r="F1068" i="22" s="1"/>
  <c r="F1069" i="12"/>
  <c r="F1069" i="17"/>
  <c r="F1069" i="9"/>
  <c r="G1069"/>
  <c r="K1069" s="1"/>
  <c r="K1069" i="5"/>
  <c r="L1069" s="1"/>
  <c r="F1069"/>
  <c r="F1069" i="10"/>
  <c r="F1069" i="11"/>
  <c r="G1069" s="1"/>
  <c r="F1069" i="8"/>
  <c r="G1069" s="1"/>
  <c r="K1069" s="1"/>
  <c r="N1069" i="7"/>
  <c r="F1069"/>
  <c r="F1069" i="4"/>
  <c r="I1069"/>
  <c r="F1069" i="22" s="1"/>
  <c r="F1070" i="12"/>
  <c r="F1070" i="17"/>
  <c r="F1070" i="9"/>
  <c r="G1070"/>
  <c r="K1070" s="1"/>
  <c r="K1070" i="5"/>
  <c r="L1070" s="1"/>
  <c r="F1070"/>
  <c r="F1070" i="10"/>
  <c r="F1070" i="11"/>
  <c r="G1070" s="1"/>
  <c r="F1070" i="8"/>
  <c r="G1070" s="1"/>
  <c r="K1070" s="1"/>
  <c r="N1070" i="7"/>
  <c r="F1070"/>
  <c r="F1070" i="4"/>
  <c r="I1070"/>
  <c r="F1070" i="22" s="1"/>
  <c r="F1071" i="12"/>
  <c r="F1071" i="17"/>
  <c r="F1071" i="9"/>
  <c r="G1071"/>
  <c r="K1071" s="1"/>
  <c r="K1071" i="5"/>
  <c r="L1071" s="1"/>
  <c r="F1071"/>
  <c r="F1071" i="10"/>
  <c r="F1071" i="11"/>
  <c r="G1071" s="1"/>
  <c r="F1071" i="8"/>
  <c r="G1071" s="1"/>
  <c r="K1071" s="1"/>
  <c r="N1071" i="7"/>
  <c r="F1071"/>
  <c r="F1071" i="4"/>
  <c r="I1071"/>
  <c r="F1071" i="22" s="1"/>
  <c r="F1072" i="12"/>
  <c r="F1072" i="17"/>
  <c r="F1072" i="9"/>
  <c r="G1072"/>
  <c r="K1072" s="1"/>
  <c r="K1072" i="5"/>
  <c r="L1072" s="1"/>
  <c r="F1072"/>
  <c r="F1072" i="10"/>
  <c r="F1072" i="11"/>
  <c r="G1072" s="1"/>
  <c r="F1072" i="8"/>
  <c r="G1072" s="1"/>
  <c r="K1072" s="1"/>
  <c r="N1072" i="7"/>
  <c r="F1072"/>
  <c r="F1072" i="4"/>
  <c r="I1072"/>
  <c r="F1072" i="22" s="1"/>
  <c r="F1073" i="12"/>
  <c r="F1073" i="17"/>
  <c r="F1073" i="9"/>
  <c r="G1073"/>
  <c r="K1073" s="1"/>
  <c r="K1073" i="5"/>
  <c r="L1073" s="1"/>
  <c r="F1073"/>
  <c r="F1073" i="10"/>
  <c r="F1073" i="11"/>
  <c r="G1073" s="1"/>
  <c r="F1073" i="8"/>
  <c r="G1073" s="1"/>
  <c r="K1073" s="1"/>
  <c r="N1073" i="7"/>
  <c r="F1073"/>
  <c r="F1073" i="4"/>
  <c r="I1073"/>
  <c r="F1073" i="22" s="1"/>
  <c r="F1074" i="12"/>
  <c r="F1074" i="17"/>
  <c r="F1074" i="9"/>
  <c r="G1074"/>
  <c r="K1074" s="1"/>
  <c r="K1074" i="5"/>
  <c r="L1074" s="1"/>
  <c r="F1074"/>
  <c r="F1074" i="10"/>
  <c r="F1074" i="11"/>
  <c r="G1074" s="1"/>
  <c r="F1074" i="8"/>
  <c r="G1074" s="1"/>
  <c r="K1074" s="1"/>
  <c r="N1074" i="7"/>
  <c r="F1074"/>
  <c r="F1074" i="4"/>
  <c r="I1074"/>
  <c r="F1074" i="22" s="1"/>
  <c r="F1075" i="12"/>
  <c r="F1075" i="17"/>
  <c r="F1075" i="9"/>
  <c r="G1075"/>
  <c r="K1075" s="1"/>
  <c r="K1075" i="5"/>
  <c r="L1075" s="1"/>
  <c r="F1075"/>
  <c r="F1075" i="10"/>
  <c r="F1075" i="11"/>
  <c r="G1075" s="1"/>
  <c r="F1075" i="8"/>
  <c r="G1075" s="1"/>
  <c r="K1075" s="1"/>
  <c r="N1075" i="7"/>
  <c r="F1075"/>
  <c r="F1075" i="4"/>
  <c r="I1075"/>
  <c r="F1075" i="22" s="1"/>
  <c r="F1076" i="12"/>
  <c r="F1076" i="17"/>
  <c r="F1076" i="9"/>
  <c r="G1076"/>
  <c r="K1076" s="1"/>
  <c r="K1076" i="5"/>
  <c r="L1076" s="1"/>
  <c r="F1076"/>
  <c r="F1076" i="10"/>
  <c r="F1076" i="11"/>
  <c r="G1076" s="1"/>
  <c r="F1076" i="8"/>
  <c r="G1076" s="1"/>
  <c r="K1076" s="1"/>
  <c r="N1076" i="7"/>
  <c r="F1076"/>
  <c r="F1076" i="4"/>
  <c r="I1076"/>
  <c r="F1076" i="22" s="1"/>
  <c r="F1077" i="12"/>
  <c r="F1077" i="17"/>
  <c r="F1077" i="9"/>
  <c r="G1077"/>
  <c r="K1077" s="1"/>
  <c r="K1077" i="5"/>
  <c r="L1077" s="1"/>
  <c r="F1077"/>
  <c r="F1077" i="10"/>
  <c r="F1077" i="11"/>
  <c r="G1077" s="1"/>
  <c r="F1077" i="8"/>
  <c r="G1077" s="1"/>
  <c r="K1077" s="1"/>
  <c r="N1077" i="7"/>
  <c r="F1077"/>
  <c r="F1077" i="4"/>
  <c r="I1077"/>
  <c r="F1077" i="22" s="1"/>
  <c r="F1078" i="12"/>
  <c r="F1078" i="17"/>
  <c r="F1078" i="9"/>
  <c r="G1078"/>
  <c r="K1078" s="1"/>
  <c r="K1078" i="5"/>
  <c r="L1078" s="1"/>
  <c r="F1078"/>
  <c r="F1078" i="10"/>
  <c r="F1078" i="11"/>
  <c r="G1078" s="1"/>
  <c r="F1078" i="8"/>
  <c r="G1078" s="1"/>
  <c r="K1078" s="1"/>
  <c r="N1078" i="7"/>
  <c r="F1078"/>
  <c r="F1078" i="4"/>
  <c r="I1078"/>
  <c r="F1078" i="22" s="1"/>
  <c r="F1079" i="12"/>
  <c r="F1079" i="17"/>
  <c r="F1079" i="9"/>
  <c r="G1079"/>
  <c r="K1079" s="1"/>
  <c r="K1079" i="5"/>
  <c r="L1079" s="1"/>
  <c r="F1079"/>
  <c r="F1079" i="10"/>
  <c r="F1079" i="11"/>
  <c r="G1079" s="1"/>
  <c r="F1079" i="8"/>
  <c r="G1079" s="1"/>
  <c r="K1079" s="1"/>
  <c r="N1079" i="7"/>
  <c r="F1079"/>
  <c r="F1079" i="4"/>
  <c r="I1079"/>
  <c r="F1079" i="22" s="1"/>
  <c r="F1080" i="12"/>
  <c r="F1080" i="17"/>
  <c r="F1080" i="9"/>
  <c r="G1080"/>
  <c r="K1080" s="1"/>
  <c r="K1080" i="5"/>
  <c r="L1080" s="1"/>
  <c r="F1080"/>
  <c r="F1080" i="10"/>
  <c r="F1080" i="11"/>
  <c r="G1080" s="1"/>
  <c r="F1080" i="8"/>
  <c r="G1080" s="1"/>
  <c r="K1080" s="1"/>
  <c r="N1080" i="7"/>
  <c r="F1080"/>
  <c r="F1080" i="4"/>
  <c r="I1080"/>
  <c r="F1080" i="22" s="1"/>
  <c r="F1081" i="12"/>
  <c r="F1081" i="17"/>
  <c r="F1081" i="9"/>
  <c r="G1081"/>
  <c r="K1081" s="1"/>
  <c r="K1081" i="5"/>
  <c r="L1081" s="1"/>
  <c r="F1081"/>
  <c r="F1081" i="10"/>
  <c r="F1081" i="11"/>
  <c r="G1081" s="1"/>
  <c r="F1081" i="8"/>
  <c r="G1081" s="1"/>
  <c r="K1081" s="1"/>
  <c r="N1081" i="7"/>
  <c r="F1081"/>
  <c r="F1081" i="4"/>
  <c r="I1081"/>
  <c r="F1081" i="22" s="1"/>
  <c r="F1082" i="12"/>
  <c r="F1082" i="17"/>
  <c r="F1082" i="9"/>
  <c r="G1082"/>
  <c r="K1082" s="1"/>
  <c r="K1082" i="5"/>
  <c r="L1082" s="1"/>
  <c r="F1082"/>
  <c r="F1082" i="10"/>
  <c r="F1082" i="11"/>
  <c r="G1082" s="1"/>
  <c r="F1082" i="8"/>
  <c r="G1082" s="1"/>
  <c r="K1082" s="1"/>
  <c r="N1082" i="7"/>
  <c r="F1082"/>
  <c r="F1082" i="4"/>
  <c r="I1082"/>
  <c r="F1082" i="22" s="1"/>
  <c r="F1083" i="12"/>
  <c r="F1083" i="17"/>
  <c r="F1083" i="9"/>
  <c r="G1083"/>
  <c r="K1083" s="1"/>
  <c r="K1083" i="5"/>
  <c r="L1083" s="1"/>
  <c r="F1083"/>
  <c r="F1083" i="10"/>
  <c r="F1083" i="11"/>
  <c r="G1083" s="1"/>
  <c r="F1083" i="8"/>
  <c r="G1083" s="1"/>
  <c r="K1083" s="1"/>
  <c r="N1083" i="7"/>
  <c r="F1083"/>
  <c r="F1083" i="4"/>
  <c r="I1083"/>
  <c r="F1083" i="22" s="1"/>
  <c r="F1084" i="12"/>
  <c r="F1084" i="17"/>
  <c r="F1084" i="9"/>
  <c r="G1084"/>
  <c r="K1084" s="1"/>
  <c r="K1084" i="5"/>
  <c r="L1084" s="1"/>
  <c r="F1084"/>
  <c r="F1084" i="10"/>
  <c r="F1084" i="11"/>
  <c r="G1084" s="1"/>
  <c r="F1084" i="8"/>
  <c r="G1084" s="1"/>
  <c r="K1084" s="1"/>
  <c r="N1084" i="7"/>
  <c r="F1084"/>
  <c r="F1084" i="4"/>
  <c r="I1084"/>
  <c r="F1084" i="22" s="1"/>
  <c r="F1085" i="12"/>
  <c r="F1085" i="17"/>
  <c r="F1085" i="9"/>
  <c r="G1085"/>
  <c r="K1085" s="1"/>
  <c r="K1085" i="5"/>
  <c r="L1085" s="1"/>
  <c r="F1085"/>
  <c r="F1085" i="10"/>
  <c r="F1085" i="11"/>
  <c r="G1085" s="1"/>
  <c r="F1085" i="8"/>
  <c r="G1085" s="1"/>
  <c r="K1085" s="1"/>
  <c r="N1085" i="7"/>
  <c r="F1085"/>
  <c r="F1085" i="4"/>
  <c r="I1085"/>
  <c r="F1085" i="22" s="1"/>
  <c r="F1086" i="12"/>
  <c r="F1086" i="17"/>
  <c r="F1086" i="9"/>
  <c r="G1086"/>
  <c r="K1086" s="1"/>
  <c r="K1086" i="5"/>
  <c r="L1086" s="1"/>
  <c r="F1086"/>
  <c r="F1086" i="10"/>
  <c r="F1086" i="11"/>
  <c r="G1086" s="1"/>
  <c r="F1086" i="8"/>
  <c r="G1086" s="1"/>
  <c r="K1086" s="1"/>
  <c r="N1086" i="7"/>
  <c r="F1086"/>
  <c r="F1086" i="4"/>
  <c r="I1086"/>
  <c r="F1086" i="22" s="1"/>
  <c r="F1087" i="12"/>
  <c r="F1087" i="17"/>
  <c r="F1087" i="9"/>
  <c r="G1087"/>
  <c r="K1087" s="1"/>
  <c r="K1087" i="5"/>
  <c r="L1087" s="1"/>
  <c r="F1087"/>
  <c r="F1087" i="10"/>
  <c r="F1087" i="11"/>
  <c r="G1087" s="1"/>
  <c r="F1087" i="8"/>
  <c r="G1087" s="1"/>
  <c r="K1087" s="1"/>
  <c r="N1087" i="7"/>
  <c r="F1087"/>
  <c r="F1087" i="4"/>
  <c r="I1087"/>
  <c r="F1087" i="22" s="1"/>
  <c r="F1088" i="12"/>
  <c r="F1088" i="17"/>
  <c r="F1088" i="9"/>
  <c r="G1088"/>
  <c r="K1088" s="1"/>
  <c r="K1088" i="5"/>
  <c r="L1088" s="1"/>
  <c r="F1088"/>
  <c r="F1088" i="10"/>
  <c r="F1088" i="11"/>
  <c r="G1088" s="1"/>
  <c r="F1088" i="8"/>
  <c r="G1088" s="1"/>
  <c r="K1088" s="1"/>
  <c r="N1088" i="7"/>
  <c r="F1088"/>
  <c r="F1088" i="4"/>
  <c r="I1088"/>
  <c r="F1088" i="22" s="1"/>
  <c r="F1089" i="12"/>
  <c r="F1089" i="17"/>
  <c r="F1089" i="9"/>
  <c r="G1089"/>
  <c r="K1089" s="1"/>
  <c r="K1089" i="5"/>
  <c r="L1089" s="1"/>
  <c r="F1089"/>
  <c r="F1089" i="10"/>
  <c r="F1089" i="11"/>
  <c r="G1089" s="1"/>
  <c r="F1089" i="8"/>
  <c r="G1089" s="1"/>
  <c r="K1089" s="1"/>
  <c r="N1089" i="7"/>
  <c r="F1089"/>
  <c r="F1089" i="4"/>
  <c r="I1089"/>
  <c r="F1089" i="22" s="1"/>
  <c r="F1090" i="12"/>
  <c r="F1090" i="17"/>
  <c r="F1090" i="9"/>
  <c r="G1090"/>
  <c r="K1090" s="1"/>
  <c r="K1090" i="5"/>
  <c r="L1090" s="1"/>
  <c r="F1090"/>
  <c r="F1090" i="10"/>
  <c r="F1090" i="11"/>
  <c r="G1090" s="1"/>
  <c r="F1090" i="8"/>
  <c r="G1090" s="1"/>
  <c r="K1090" s="1"/>
  <c r="N1090" i="7"/>
  <c r="F1090"/>
  <c r="F1090" i="4"/>
  <c r="I1090"/>
  <c r="F1090" i="22" s="1"/>
  <c r="F1091" i="12"/>
  <c r="F1091" i="17"/>
  <c r="F1091" i="9"/>
  <c r="G1091"/>
  <c r="K1091" s="1"/>
  <c r="K1091" i="5"/>
  <c r="L1091" s="1"/>
  <c r="F1091"/>
  <c r="F1091" i="10"/>
  <c r="F1091" i="11"/>
  <c r="G1091" s="1"/>
  <c r="F1091" i="8"/>
  <c r="G1091" s="1"/>
  <c r="K1091" s="1"/>
  <c r="N1091" i="7"/>
  <c r="F1091"/>
  <c r="F1091" i="4"/>
  <c r="I1091"/>
  <c r="F1091" i="22" s="1"/>
  <c r="F1092" i="12"/>
  <c r="F1092" i="17"/>
  <c r="F1092" i="9"/>
  <c r="G1092"/>
  <c r="K1092" s="1"/>
  <c r="K1092" i="5"/>
  <c r="L1092" s="1"/>
  <c r="F1092"/>
  <c r="F1092" i="10"/>
  <c r="F1092" i="11"/>
  <c r="G1092" s="1"/>
  <c r="F1092" i="8"/>
  <c r="G1092" s="1"/>
  <c r="K1092" s="1"/>
  <c r="N1092" i="7"/>
  <c r="F1092"/>
  <c r="F1092" i="4"/>
  <c r="I1092"/>
  <c r="F1092" i="22" s="1"/>
  <c r="F1093" i="12"/>
  <c r="F1093" i="17"/>
  <c r="F1093" i="9"/>
  <c r="G1093"/>
  <c r="K1093" s="1"/>
  <c r="K1093" i="5"/>
  <c r="L1093" s="1"/>
  <c r="F1093"/>
  <c r="F1093" i="10"/>
  <c r="F1093" i="11"/>
  <c r="G1093" s="1"/>
  <c r="F1093" i="8"/>
  <c r="G1093" s="1"/>
  <c r="K1093" s="1"/>
  <c r="N1093" i="7"/>
  <c r="F1093"/>
  <c r="F1093" i="4"/>
  <c r="I1093"/>
  <c r="F1093" i="22" s="1"/>
  <c r="F1094" i="12"/>
  <c r="F1094" i="17"/>
  <c r="F1094" i="9"/>
  <c r="G1094"/>
  <c r="K1094" s="1"/>
  <c r="K1094" i="5"/>
  <c r="L1094" s="1"/>
  <c r="F1094"/>
  <c r="F1094" i="10"/>
  <c r="F1094" i="11"/>
  <c r="G1094" s="1"/>
  <c r="F1094" i="8"/>
  <c r="G1094" s="1"/>
  <c r="K1094" s="1"/>
  <c r="N1094" i="7"/>
  <c r="F1094"/>
  <c r="F1094" i="4"/>
  <c r="I1094"/>
  <c r="F1094" i="22" s="1"/>
  <c r="F1095" i="12"/>
  <c r="F1095" i="17"/>
  <c r="F1095" i="9"/>
  <c r="G1095"/>
  <c r="K1095" s="1"/>
  <c r="K1095" i="5"/>
  <c r="L1095" s="1"/>
  <c r="F1095"/>
  <c r="F1095" i="10"/>
  <c r="F1095" i="11"/>
  <c r="G1095" s="1"/>
  <c r="F1095" i="8"/>
  <c r="G1095" s="1"/>
  <c r="K1095" s="1"/>
  <c r="N1095" i="7"/>
  <c r="F1095"/>
  <c r="F1095" i="4"/>
  <c r="I1095"/>
  <c r="F1095" i="22" s="1"/>
  <c r="F1096" i="12"/>
  <c r="F1096" i="17"/>
  <c r="F1096" i="9"/>
  <c r="G1096"/>
  <c r="K1096" s="1"/>
  <c r="K1096" i="5"/>
  <c r="L1096" s="1"/>
  <c r="F1096"/>
  <c r="F1096" i="10"/>
  <c r="F1096" i="11"/>
  <c r="G1096" s="1"/>
  <c r="F1096" i="8"/>
  <c r="G1096" s="1"/>
  <c r="K1096" s="1"/>
  <c r="N1096" i="7"/>
  <c r="F1096"/>
  <c r="F1096" i="4"/>
  <c r="I1096"/>
  <c r="F1096" i="22" s="1"/>
  <c r="F1097" i="12"/>
  <c r="F1097" i="17"/>
  <c r="F1097" i="9"/>
  <c r="G1097"/>
  <c r="K1097" s="1"/>
  <c r="K1097" i="5"/>
  <c r="L1097" s="1"/>
  <c r="F1097"/>
  <c r="F1097" i="10"/>
  <c r="F1097" i="11"/>
  <c r="G1097" s="1"/>
  <c r="F1097" i="8"/>
  <c r="G1097" s="1"/>
  <c r="K1097" s="1"/>
  <c r="N1097" i="7"/>
  <c r="F1097"/>
  <c r="F1097" i="4"/>
  <c r="I1097"/>
  <c r="F1097" i="22" s="1"/>
  <c r="F1098" i="12"/>
  <c r="F1098" i="17"/>
  <c r="F1098" i="9"/>
  <c r="G1098"/>
  <c r="K1098" s="1"/>
  <c r="K1098" i="5"/>
  <c r="L1098" s="1"/>
  <c r="F1098"/>
  <c r="F1098" i="10"/>
  <c r="F1098" i="11"/>
  <c r="G1098" s="1"/>
  <c r="F1098" i="8"/>
  <c r="G1098" s="1"/>
  <c r="K1098" s="1"/>
  <c r="N1098" i="7"/>
  <c r="F1098"/>
  <c r="F1098" i="4"/>
  <c r="I1098"/>
  <c r="F1098" i="22" s="1"/>
  <c r="F1099" i="12"/>
  <c r="F1099" i="17"/>
  <c r="F1099" i="9"/>
  <c r="G1099"/>
  <c r="K1099" s="1"/>
  <c r="K1099" i="5"/>
  <c r="L1099" s="1"/>
  <c r="F1099"/>
  <c r="F1099" i="10"/>
  <c r="F1099" i="11"/>
  <c r="G1099" s="1"/>
  <c r="F1099" i="8"/>
  <c r="G1099" s="1"/>
  <c r="K1099" s="1"/>
  <c r="N1099" i="7"/>
  <c r="F1099"/>
  <c r="F1099" i="4"/>
  <c r="I1099"/>
  <c r="F1099" i="22" s="1"/>
  <c r="F1100" i="12"/>
  <c r="F1100" i="17"/>
  <c r="F1100" i="9"/>
  <c r="G1100"/>
  <c r="K1100" s="1"/>
  <c r="K1100" i="5"/>
  <c r="L1100" s="1"/>
  <c r="F1100"/>
  <c r="F1100" i="10"/>
  <c r="F1100" i="11"/>
  <c r="G1100" s="1"/>
  <c r="F1100" i="8"/>
  <c r="G1100" s="1"/>
  <c r="K1100" s="1"/>
  <c r="N1100" i="7"/>
  <c r="F1100"/>
  <c r="F1100" i="4"/>
  <c r="I1100"/>
  <c r="F1100" i="22" s="1"/>
  <c r="F1101" i="12"/>
  <c r="F1101" i="17"/>
  <c r="F1101" i="9"/>
  <c r="G1101"/>
  <c r="K1101" s="1"/>
  <c r="K1101" i="5"/>
  <c r="L1101" s="1"/>
  <c r="F1101"/>
  <c r="F1101" i="10"/>
  <c r="F1101" i="11"/>
  <c r="G1101" s="1"/>
  <c r="F1101" i="8"/>
  <c r="G1101" s="1"/>
  <c r="K1101" s="1"/>
  <c r="N1101" i="7"/>
  <c r="F1101"/>
  <c r="F1101" i="4"/>
  <c r="I1101"/>
  <c r="F1101" i="22" s="1"/>
  <c r="F1102" i="12"/>
  <c r="F1102" i="17"/>
  <c r="F1102" i="9"/>
  <c r="G1102"/>
  <c r="K1102" s="1"/>
  <c r="K1102" i="5"/>
  <c r="L1102" s="1"/>
  <c r="F1102"/>
  <c r="F1102" i="10"/>
  <c r="F1102" i="11"/>
  <c r="G1102" s="1"/>
  <c r="F1102" i="8"/>
  <c r="G1102" s="1"/>
  <c r="K1102" s="1"/>
  <c r="N1102" i="7"/>
  <c r="F1102"/>
  <c r="F1102" i="4"/>
  <c r="I1102"/>
  <c r="F1102" i="22" s="1"/>
  <c r="F1103" i="12"/>
  <c r="F1103" i="17"/>
  <c r="F1103" i="9"/>
  <c r="G1103"/>
  <c r="K1103" s="1"/>
  <c r="K1103" i="5"/>
  <c r="L1103" s="1"/>
  <c r="F1103"/>
  <c r="F1103" i="10"/>
  <c r="F1103" i="11"/>
  <c r="G1103" s="1"/>
  <c r="F1103" i="8"/>
  <c r="G1103" s="1"/>
  <c r="K1103" s="1"/>
  <c r="N1103" i="7"/>
  <c r="F1103"/>
  <c r="F1103" i="4"/>
  <c r="I1103"/>
  <c r="F1103" i="22" s="1"/>
  <c r="F1104" i="12"/>
  <c r="F1104" i="17"/>
  <c r="F1104" i="9"/>
  <c r="G1104"/>
  <c r="K1104" s="1"/>
  <c r="K1104" i="5"/>
  <c r="L1104" s="1"/>
  <c r="F1104"/>
  <c r="F1104" i="10"/>
  <c r="F1104" i="11"/>
  <c r="G1104" s="1"/>
  <c r="F1104" i="8"/>
  <c r="G1104" s="1"/>
  <c r="K1104" s="1"/>
  <c r="N1104" i="7"/>
  <c r="F1104"/>
  <c r="F1104" i="4"/>
  <c r="I1104"/>
  <c r="F1104" i="22" s="1"/>
  <c r="F1105" i="12"/>
  <c r="F1105" i="17"/>
  <c r="F1105" i="9"/>
  <c r="G1105"/>
  <c r="K1105" s="1"/>
  <c r="K1105" i="5"/>
  <c r="L1105" s="1"/>
  <c r="F1105"/>
  <c r="F1105" i="10"/>
  <c r="F1105" i="11"/>
  <c r="G1105" s="1"/>
  <c r="F1105" i="8"/>
  <c r="G1105" s="1"/>
  <c r="K1105" s="1"/>
  <c r="N1105" i="7"/>
  <c r="F1105"/>
  <c r="F1105" i="4"/>
  <c r="I1105"/>
  <c r="F1105" i="22" s="1"/>
  <c r="F1106" i="12"/>
  <c r="F1106" i="17"/>
  <c r="F1106" i="9"/>
  <c r="G1106"/>
  <c r="K1106" s="1"/>
  <c r="K1106" i="5"/>
  <c r="L1106" s="1"/>
  <c r="F1106"/>
  <c r="F1106" i="10"/>
  <c r="F1106" i="11"/>
  <c r="G1106" s="1"/>
  <c r="F1106" i="8"/>
  <c r="G1106" s="1"/>
  <c r="K1106" s="1"/>
  <c r="N1106" i="7"/>
  <c r="F1106"/>
  <c r="F1106" i="4"/>
  <c r="I1106"/>
  <c r="F1106" i="22" s="1"/>
  <c r="F1107" i="12"/>
  <c r="F1107" i="17"/>
  <c r="F1107" i="9"/>
  <c r="G1107"/>
  <c r="K1107" s="1"/>
  <c r="K1107" i="5"/>
  <c r="L1107" s="1"/>
  <c r="F1107"/>
  <c r="F1107" i="10"/>
  <c r="F1107" i="11"/>
  <c r="G1107" s="1"/>
  <c r="F1107" i="8"/>
  <c r="G1107" s="1"/>
  <c r="K1107" s="1"/>
  <c r="N1107" i="7"/>
  <c r="F1107"/>
  <c r="F1107" i="4"/>
  <c r="I1107"/>
  <c r="F1107" i="22" s="1"/>
  <c r="F1108" i="12"/>
  <c r="F1108" i="17"/>
  <c r="F1108" i="9"/>
  <c r="G1108"/>
  <c r="K1108" s="1"/>
  <c r="K1108" i="5"/>
  <c r="L1108" s="1"/>
  <c r="F1108"/>
  <c r="F1108" i="10"/>
  <c r="F1108" i="11"/>
  <c r="G1108" s="1"/>
  <c r="F1108" i="8"/>
  <c r="G1108" s="1"/>
  <c r="K1108" s="1"/>
  <c r="N1108" i="7"/>
  <c r="F1108"/>
  <c r="F1108" i="4"/>
  <c r="I1108"/>
  <c r="F1108" i="22" s="1"/>
  <c r="F1109" i="12"/>
  <c r="F1109" i="17"/>
  <c r="F1109" i="9"/>
  <c r="G1109"/>
  <c r="K1109" s="1"/>
  <c r="K1109" i="5"/>
  <c r="L1109" s="1"/>
  <c r="F1109"/>
  <c r="F1109" i="10"/>
  <c r="F1109" i="11"/>
  <c r="G1109" s="1"/>
  <c r="F1109" i="8"/>
  <c r="G1109" s="1"/>
  <c r="K1109" s="1"/>
  <c r="N1109" i="7"/>
  <c r="F1109"/>
  <c r="F1109" i="4"/>
  <c r="I1109"/>
  <c r="F1109" i="22" s="1"/>
  <c r="F1110" i="12"/>
  <c r="F1110" i="17"/>
  <c r="F1110" i="9"/>
  <c r="G1110"/>
  <c r="K1110" s="1"/>
  <c r="K1110" i="5"/>
  <c r="L1110" s="1"/>
  <c r="F1110"/>
  <c r="F1110" i="10"/>
  <c r="F1110" i="11"/>
  <c r="G1110" s="1"/>
  <c r="F1110" i="8"/>
  <c r="G1110" s="1"/>
  <c r="K1110" s="1"/>
  <c r="N1110" i="7"/>
  <c r="F1110"/>
  <c r="F1110" i="4"/>
  <c r="I1110"/>
  <c r="F1110" i="22" s="1"/>
  <c r="F1111" i="12"/>
  <c r="F1111" i="17"/>
  <c r="F1111" i="9"/>
  <c r="G1111"/>
  <c r="K1111" s="1"/>
  <c r="K1111" i="5"/>
  <c r="L1111" s="1"/>
  <c r="F1111"/>
  <c r="F1111" i="10"/>
  <c r="F1111" i="11"/>
  <c r="G1111" s="1"/>
  <c r="F1111" i="8"/>
  <c r="G1111" s="1"/>
  <c r="K1111" s="1"/>
  <c r="N1111" i="7"/>
  <c r="F1111"/>
  <c r="F1111" i="4"/>
  <c r="I1111"/>
  <c r="F1111" i="22" s="1"/>
  <c r="F1112" i="12"/>
  <c r="F1112" i="17"/>
  <c r="F1112" i="9"/>
  <c r="G1112"/>
  <c r="K1112" s="1"/>
  <c r="K1112" i="5"/>
  <c r="L1112" s="1"/>
  <c r="F1112"/>
  <c r="F1112" i="10"/>
  <c r="F1112" i="11"/>
  <c r="G1112" s="1"/>
  <c r="F1112" i="8"/>
  <c r="G1112" s="1"/>
  <c r="K1112" s="1"/>
  <c r="N1112" i="7"/>
  <c r="F1112"/>
  <c r="F1112" i="4"/>
  <c r="I1112"/>
  <c r="F1112" i="22" s="1"/>
  <c r="F1113" i="12"/>
  <c r="F1113" i="17"/>
  <c r="F1113" i="9"/>
  <c r="G1113"/>
  <c r="K1113" s="1"/>
  <c r="K1113" i="5"/>
  <c r="L1113" s="1"/>
  <c r="F1113"/>
  <c r="F1113" i="10"/>
  <c r="F1113" i="11"/>
  <c r="G1113" s="1"/>
  <c r="F1113" i="8"/>
  <c r="G1113" s="1"/>
  <c r="K1113" s="1"/>
  <c r="N1113" i="7"/>
  <c r="F1113"/>
  <c r="F1113" i="4"/>
  <c r="I1113"/>
  <c r="F1113" i="22" s="1"/>
  <c r="F1114" i="12"/>
  <c r="F1114" i="17"/>
  <c r="F1114" i="9"/>
  <c r="G1114"/>
  <c r="K1114" s="1"/>
  <c r="K1114" i="5"/>
  <c r="L1114" s="1"/>
  <c r="F1114"/>
  <c r="F1114" i="10"/>
  <c r="F1114" i="11"/>
  <c r="G1114" s="1"/>
  <c r="F1114" i="8"/>
  <c r="G1114" s="1"/>
  <c r="K1114" s="1"/>
  <c r="N1114" i="7"/>
  <c r="F1114"/>
  <c r="F1114" i="4"/>
  <c r="I1114"/>
  <c r="F1114" i="22" s="1"/>
  <c r="F1115" i="12"/>
  <c r="F1115" i="17"/>
  <c r="F1115" i="9"/>
  <c r="G1115"/>
  <c r="K1115" s="1"/>
  <c r="K1115" i="5"/>
  <c r="L1115" s="1"/>
  <c r="F1115"/>
  <c r="F1115" i="10"/>
  <c r="F1115" i="11"/>
  <c r="G1115" s="1"/>
  <c r="F1115" i="8"/>
  <c r="G1115" s="1"/>
  <c r="K1115" s="1"/>
  <c r="N1115" i="7"/>
  <c r="F1115"/>
  <c r="F1115" i="4"/>
  <c r="I1115"/>
  <c r="F1115" i="22" s="1"/>
  <c r="F1116" i="12"/>
  <c r="F1116" i="17"/>
  <c r="F1116" i="9"/>
  <c r="G1116"/>
  <c r="K1116" s="1"/>
  <c r="K1116" i="5"/>
  <c r="L1116" s="1"/>
  <c r="F1116"/>
  <c r="F1116" i="10"/>
  <c r="F1116" i="11"/>
  <c r="G1116" s="1"/>
  <c r="F1116" i="8"/>
  <c r="G1116" s="1"/>
  <c r="K1116" s="1"/>
  <c r="N1116" i="7"/>
  <c r="F1116"/>
  <c r="F1116" i="4"/>
  <c r="I1116"/>
  <c r="F1116" i="22" s="1"/>
  <c r="F1117" i="12"/>
  <c r="F1117" i="17"/>
  <c r="F1117" i="9"/>
  <c r="G1117"/>
  <c r="K1117" s="1"/>
  <c r="K1117" i="5"/>
  <c r="L1117" s="1"/>
  <c r="F1117"/>
  <c r="F1117" i="10"/>
  <c r="F1117" i="11"/>
  <c r="G1117" s="1"/>
  <c r="F1117" i="8"/>
  <c r="G1117" s="1"/>
  <c r="K1117" s="1"/>
  <c r="N1117" i="7"/>
  <c r="F1117"/>
  <c r="F1117" i="4"/>
  <c r="I1117"/>
  <c r="F1117" i="22" s="1"/>
  <c r="F1118" i="12"/>
  <c r="F1118" i="17"/>
  <c r="F1118" i="9"/>
  <c r="G1118"/>
  <c r="K1118" s="1"/>
  <c r="K1118" i="5"/>
  <c r="L1118" s="1"/>
  <c r="F1118"/>
  <c r="F1118" i="10"/>
  <c r="F1118" i="11"/>
  <c r="G1118" s="1"/>
  <c r="F1118" i="8"/>
  <c r="G1118" s="1"/>
  <c r="K1118" s="1"/>
  <c r="N1118" i="7"/>
  <c r="F1118"/>
  <c r="F1118" i="4"/>
  <c r="I1118"/>
  <c r="F1118" i="22" s="1"/>
  <c r="F1119" i="12"/>
  <c r="F1119" i="17"/>
  <c r="F1119" i="9"/>
  <c r="G1119"/>
  <c r="K1119" s="1"/>
  <c r="K1119" i="5"/>
  <c r="L1119" s="1"/>
  <c r="F1119"/>
  <c r="F1119" i="10"/>
  <c r="F1119" i="11"/>
  <c r="G1119" s="1"/>
  <c r="F1119" i="8"/>
  <c r="G1119" s="1"/>
  <c r="K1119" s="1"/>
  <c r="N1119" i="7"/>
  <c r="F1119"/>
  <c r="F1119" i="4"/>
  <c r="I1119"/>
  <c r="F1119" i="22" s="1"/>
  <c r="F1120" i="12"/>
  <c r="F1120" i="17"/>
  <c r="F1120" i="9"/>
  <c r="G1120"/>
  <c r="K1120" s="1"/>
  <c r="K1120" i="5"/>
  <c r="L1120" s="1"/>
  <c r="F1120"/>
  <c r="F1120" i="10"/>
  <c r="F1120" i="11"/>
  <c r="G1120" s="1"/>
  <c r="F1120" i="8"/>
  <c r="G1120" s="1"/>
  <c r="K1120" s="1"/>
  <c r="N1120" i="7"/>
  <c r="F1120"/>
  <c r="F1120" i="4"/>
  <c r="I1120"/>
  <c r="F1120" i="22" s="1"/>
  <c r="F1121" i="12"/>
  <c r="F1121" i="17"/>
  <c r="F1121" i="9"/>
  <c r="G1121"/>
  <c r="K1121" s="1"/>
  <c r="K1121" i="5"/>
  <c r="L1121" s="1"/>
  <c r="F1121"/>
  <c r="F1121" i="10"/>
  <c r="F1121" i="11"/>
  <c r="G1121" s="1"/>
  <c r="F1121" i="8"/>
  <c r="G1121" s="1"/>
  <c r="K1121" s="1"/>
  <c r="N1121" i="7"/>
  <c r="F1121"/>
  <c r="F1121" i="4"/>
  <c r="I1121"/>
  <c r="F1121" i="22" s="1"/>
  <c r="F1122" i="12"/>
  <c r="F1122" i="17"/>
  <c r="F1122" i="9"/>
  <c r="G1122"/>
  <c r="K1122" s="1"/>
  <c r="K1122" i="5"/>
  <c r="L1122" s="1"/>
  <c r="F1122"/>
  <c r="F1122" i="10"/>
  <c r="F1122" i="11"/>
  <c r="G1122" s="1"/>
  <c r="F1122" i="8"/>
  <c r="G1122" s="1"/>
  <c r="K1122" s="1"/>
  <c r="N1122" i="7"/>
  <c r="F1122"/>
  <c r="F1122" i="4"/>
  <c r="I1122"/>
  <c r="F1122" i="22" s="1"/>
  <c r="F1123" i="12"/>
  <c r="F1123" i="17"/>
  <c r="F1123" i="9"/>
  <c r="G1123"/>
  <c r="K1123" s="1"/>
  <c r="K1123" i="5"/>
  <c r="L1123" s="1"/>
  <c r="F1123"/>
  <c r="F1123" i="10"/>
  <c r="F1123" i="11"/>
  <c r="G1123" s="1"/>
  <c r="F1123" i="8"/>
  <c r="G1123" s="1"/>
  <c r="K1123" s="1"/>
  <c r="N1123" i="7"/>
  <c r="F1123"/>
  <c r="F1123" i="4"/>
  <c r="I1123"/>
  <c r="F1123" i="22" s="1"/>
  <c r="F1124" i="12"/>
  <c r="F1124" i="17"/>
  <c r="F1124" i="9"/>
  <c r="G1124"/>
  <c r="K1124" s="1"/>
  <c r="K1124" i="5"/>
  <c r="L1124" s="1"/>
  <c r="F1124"/>
  <c r="F1124" i="10"/>
  <c r="F1124" i="11"/>
  <c r="G1124" s="1"/>
  <c r="F1124" i="8"/>
  <c r="G1124" s="1"/>
  <c r="K1124" s="1"/>
  <c r="N1124" i="7"/>
  <c r="F1124"/>
  <c r="F1124" i="4"/>
  <c r="I1124"/>
  <c r="F1124" i="22" s="1"/>
  <c r="F1125" i="12"/>
  <c r="F1125" i="17"/>
  <c r="F1125" i="9"/>
  <c r="G1125"/>
  <c r="K1125" s="1"/>
  <c r="K1125" i="5"/>
  <c r="L1125" s="1"/>
  <c r="F1125"/>
  <c r="F1125" i="10"/>
  <c r="F1125" i="11"/>
  <c r="G1125" s="1"/>
  <c r="F1125" i="8"/>
  <c r="G1125" s="1"/>
  <c r="K1125" s="1"/>
  <c r="N1125" i="7"/>
  <c r="F1125"/>
  <c r="F1125" i="4"/>
  <c r="I1125"/>
  <c r="F1125" i="22" s="1"/>
  <c r="F1126" i="12"/>
  <c r="F1126" i="17"/>
  <c r="F1126" i="9"/>
  <c r="G1126"/>
  <c r="K1126" s="1"/>
  <c r="K1126" i="5"/>
  <c r="L1126" s="1"/>
  <c r="F1126"/>
  <c r="F1126" i="10"/>
  <c r="F1126" i="11"/>
  <c r="G1126" s="1"/>
  <c r="F1126" i="8"/>
  <c r="G1126" s="1"/>
  <c r="K1126" s="1"/>
  <c r="N1126" i="7"/>
  <c r="F1126"/>
  <c r="F1126" i="4"/>
  <c r="I1126"/>
  <c r="F1126" i="22" s="1"/>
  <c r="F1127" i="12"/>
  <c r="F1127" i="17"/>
  <c r="F1127" i="9"/>
  <c r="G1127"/>
  <c r="K1127" s="1"/>
  <c r="K1127" i="5"/>
  <c r="L1127" s="1"/>
  <c r="F1127"/>
  <c r="F1127" i="10"/>
  <c r="F1127" i="11"/>
  <c r="G1127" s="1"/>
  <c r="F1127" i="8"/>
  <c r="G1127" s="1"/>
  <c r="K1127" s="1"/>
  <c r="N1127" i="7"/>
  <c r="F1127"/>
  <c r="F1127" i="4"/>
  <c r="I1127"/>
  <c r="F1127" i="22" s="1"/>
  <c r="F1128" i="12"/>
  <c r="F1128" i="17"/>
  <c r="F1128" i="9"/>
  <c r="G1128"/>
  <c r="K1128" s="1"/>
  <c r="K1128" i="5"/>
  <c r="L1128" s="1"/>
  <c r="F1128"/>
  <c r="F1128" i="10"/>
  <c r="F1128" i="11"/>
  <c r="G1128" s="1"/>
  <c r="F1128" i="8"/>
  <c r="G1128" s="1"/>
  <c r="K1128" s="1"/>
  <c r="N1128" i="7"/>
  <c r="F1128"/>
  <c r="F1128" i="4"/>
  <c r="I1128"/>
  <c r="F1128" i="22" s="1"/>
  <c r="F1129" i="12"/>
  <c r="F1129" i="17"/>
  <c r="F1129" i="9"/>
  <c r="G1129"/>
  <c r="K1129" s="1"/>
  <c r="K1129" i="5"/>
  <c r="L1129" s="1"/>
  <c r="F1129"/>
  <c r="F1129" i="10"/>
  <c r="F1129" i="11"/>
  <c r="G1129" s="1"/>
  <c r="F1129" i="8"/>
  <c r="G1129" s="1"/>
  <c r="K1129" s="1"/>
  <c r="N1129" i="7"/>
  <c r="F1129"/>
  <c r="F1129" i="4"/>
  <c r="I1129"/>
  <c r="F1129" i="22" s="1"/>
  <c r="F1130" i="12"/>
  <c r="F1130" i="17"/>
  <c r="F1130" i="9"/>
  <c r="G1130"/>
  <c r="K1130" s="1"/>
  <c r="K1130" i="5"/>
  <c r="L1130" s="1"/>
  <c r="F1130"/>
  <c r="F1130" i="10"/>
  <c r="F1130" i="11"/>
  <c r="G1130" s="1"/>
  <c r="F1130" i="8"/>
  <c r="G1130" s="1"/>
  <c r="K1130" s="1"/>
  <c r="N1130" i="7"/>
  <c r="F1130"/>
  <c r="F1130" i="4"/>
  <c r="I1130"/>
  <c r="F1130" i="22" s="1"/>
  <c r="F1131" i="12"/>
  <c r="F1131" i="17"/>
  <c r="F1131" i="9"/>
  <c r="G1131"/>
  <c r="K1131" s="1"/>
  <c r="K1131" i="5"/>
  <c r="L1131" s="1"/>
  <c r="F1131"/>
  <c r="F1131" i="10"/>
  <c r="F1131" i="11"/>
  <c r="G1131" s="1"/>
  <c r="F1131" i="8"/>
  <c r="G1131" s="1"/>
  <c r="K1131" s="1"/>
  <c r="N1131" i="7"/>
  <c r="F1131"/>
  <c r="F1131" i="4"/>
  <c r="I1131"/>
  <c r="F1131" i="22" s="1"/>
  <c r="F1132" i="12"/>
  <c r="F1132" i="17"/>
  <c r="F1132" i="9"/>
  <c r="G1132"/>
  <c r="K1132" s="1"/>
  <c r="K1132" i="5"/>
  <c r="L1132" s="1"/>
  <c r="F1132"/>
  <c r="F1132" i="10"/>
  <c r="F1132" i="11"/>
  <c r="G1132" s="1"/>
  <c r="F1132" i="8"/>
  <c r="G1132" s="1"/>
  <c r="K1132" s="1"/>
  <c r="N1132" i="7"/>
  <c r="F1132"/>
  <c r="F1132" i="4"/>
  <c r="I1132"/>
  <c r="F1132" i="22" s="1"/>
  <c r="F1133" i="12"/>
  <c r="F1133" i="17"/>
  <c r="F1133" i="9"/>
  <c r="G1133"/>
  <c r="K1133" s="1"/>
  <c r="K1133" i="5"/>
  <c r="L1133" s="1"/>
  <c r="F1133"/>
  <c r="F1133" i="10"/>
  <c r="F1133" i="11"/>
  <c r="G1133" s="1"/>
  <c r="F1133" i="8"/>
  <c r="G1133" s="1"/>
  <c r="K1133" s="1"/>
  <c r="N1133" i="7"/>
  <c r="F1133"/>
  <c r="F1133" i="4"/>
  <c r="I1133"/>
  <c r="F1133" i="22" s="1"/>
  <c r="F1134" i="12"/>
  <c r="F1134" i="17"/>
  <c r="F1134" i="9"/>
  <c r="G1134"/>
  <c r="K1134" s="1"/>
  <c r="K1134" i="5"/>
  <c r="L1134" s="1"/>
  <c r="F1134"/>
  <c r="F1134" i="10"/>
  <c r="F1134" i="11"/>
  <c r="G1134" s="1"/>
  <c r="F1134" i="8"/>
  <c r="G1134" s="1"/>
  <c r="K1134" s="1"/>
  <c r="N1134" i="7"/>
  <c r="F1134"/>
  <c r="F1134" i="4"/>
  <c r="I1134"/>
  <c r="F1134" i="22" s="1"/>
  <c r="F1135" i="12"/>
  <c r="F1135" i="17"/>
  <c r="F1135" i="9"/>
  <c r="G1135"/>
  <c r="K1135" s="1"/>
  <c r="K1135" i="5"/>
  <c r="L1135" s="1"/>
  <c r="F1135"/>
  <c r="F1135" i="10"/>
  <c r="F1135" i="11"/>
  <c r="G1135" s="1"/>
  <c r="F1135" i="8"/>
  <c r="G1135" s="1"/>
  <c r="K1135" s="1"/>
  <c r="N1135" i="7"/>
  <c r="F1135"/>
  <c r="F1135" i="4"/>
  <c r="I1135"/>
  <c r="F1135" i="22" s="1"/>
  <c r="F1136" i="12"/>
  <c r="F1136" i="17"/>
  <c r="F1136" i="9"/>
  <c r="G1136"/>
  <c r="K1136" s="1"/>
  <c r="K1136" i="5"/>
  <c r="L1136" s="1"/>
  <c r="F1136"/>
  <c r="F1136" i="10"/>
  <c r="F1136" i="11"/>
  <c r="G1136" s="1"/>
  <c r="F1136" i="8"/>
  <c r="G1136" s="1"/>
  <c r="K1136" s="1"/>
  <c r="N1136" i="7"/>
  <c r="F1136"/>
  <c r="F1136" i="4"/>
  <c r="I1136"/>
  <c r="F1136" i="22" s="1"/>
  <c r="F1137" i="12"/>
  <c r="F1137" i="17"/>
  <c r="F1137" i="9"/>
  <c r="G1137"/>
  <c r="K1137" s="1"/>
  <c r="K1137" i="5"/>
  <c r="L1137" s="1"/>
  <c r="F1137"/>
  <c r="F1137" i="10"/>
  <c r="F1137" i="11"/>
  <c r="G1137" s="1"/>
  <c r="F1137" i="8"/>
  <c r="G1137" s="1"/>
  <c r="K1137" s="1"/>
  <c r="N1137" i="7"/>
  <c r="F1137"/>
  <c r="F1137" i="4"/>
  <c r="I1137"/>
  <c r="F1137" i="22" s="1"/>
  <c r="F1138" i="12"/>
  <c r="F1138" i="17"/>
  <c r="F1138" i="9"/>
  <c r="G1138"/>
  <c r="K1138" s="1"/>
  <c r="K1138" i="5"/>
  <c r="L1138" s="1"/>
  <c r="F1138"/>
  <c r="F1138" i="10"/>
  <c r="F1138" i="11"/>
  <c r="G1138" s="1"/>
  <c r="F1138" i="8"/>
  <c r="G1138" s="1"/>
  <c r="K1138" s="1"/>
  <c r="N1138" i="7"/>
  <c r="F1138"/>
  <c r="F1138" i="4"/>
  <c r="I1138"/>
  <c r="F1138" i="22" s="1"/>
  <c r="F1139" i="12"/>
  <c r="F1139" i="17"/>
  <c r="F1139" i="9"/>
  <c r="G1139"/>
  <c r="K1139" s="1"/>
  <c r="K1139" i="5"/>
  <c r="L1139" s="1"/>
  <c r="F1139"/>
  <c r="F1139" i="10"/>
  <c r="F1139" i="11"/>
  <c r="G1139" s="1"/>
  <c r="F1139" i="8"/>
  <c r="G1139" s="1"/>
  <c r="K1139" s="1"/>
  <c r="N1139" i="7"/>
  <c r="F1139"/>
  <c r="F1139" i="4"/>
  <c r="I1139"/>
  <c r="F1139" i="22" s="1"/>
  <c r="F1140" i="12"/>
  <c r="F1140" i="17"/>
  <c r="F1140" i="9"/>
  <c r="G1140"/>
  <c r="K1140" s="1"/>
  <c r="K1140" i="5"/>
  <c r="L1140" s="1"/>
  <c r="F1140"/>
  <c r="F1140" i="10"/>
  <c r="F1140" i="11"/>
  <c r="G1140" s="1"/>
  <c r="F1140" i="8"/>
  <c r="G1140" s="1"/>
  <c r="K1140" s="1"/>
  <c r="N1140" i="7"/>
  <c r="F1140"/>
  <c r="F1140" i="4"/>
  <c r="I1140"/>
  <c r="F1140" i="22" s="1"/>
  <c r="F1141" i="12"/>
  <c r="F1141" i="17"/>
  <c r="F1141" i="9"/>
  <c r="G1141"/>
  <c r="K1141" s="1"/>
  <c r="K1141" i="5"/>
  <c r="L1141" s="1"/>
  <c r="F1141"/>
  <c r="F1141" i="10"/>
  <c r="F1141" i="11"/>
  <c r="G1141" s="1"/>
  <c r="F1141" i="8"/>
  <c r="G1141" s="1"/>
  <c r="K1141" s="1"/>
  <c r="N1141" i="7"/>
  <c r="F1141"/>
  <c r="F1141" i="4"/>
  <c r="I1141"/>
  <c r="F1141" i="22" s="1"/>
  <c r="F1142" i="12"/>
  <c r="F1142" i="17"/>
  <c r="F1142" i="9"/>
  <c r="G1142"/>
  <c r="K1142" s="1"/>
  <c r="K1142" i="5"/>
  <c r="L1142" s="1"/>
  <c r="F1142"/>
  <c r="F1142" i="10"/>
  <c r="F1142" i="11"/>
  <c r="G1142" s="1"/>
  <c r="F1142" i="8"/>
  <c r="G1142" s="1"/>
  <c r="K1142" s="1"/>
  <c r="N1142" i="7"/>
  <c r="F1142"/>
  <c r="F1142" i="4"/>
  <c r="I1142"/>
  <c r="F1142" i="22" s="1"/>
  <c r="F1143" i="12"/>
  <c r="F1143" i="17"/>
  <c r="F1143" i="9"/>
  <c r="G1143"/>
  <c r="K1143" s="1"/>
  <c r="K1143" i="5"/>
  <c r="L1143" s="1"/>
  <c r="F1143"/>
  <c r="F1143" i="10"/>
  <c r="I1143" i="11"/>
  <c r="F1143" i="8"/>
  <c r="G1143" s="1"/>
  <c r="K1143" s="1"/>
  <c r="N1143" i="7"/>
  <c r="F1143"/>
  <c r="F1143" i="4"/>
  <c r="I1143"/>
  <c r="F1143" i="22" s="1"/>
  <c r="F1144" i="12"/>
  <c r="F1144" i="17"/>
  <c r="F1144" i="9"/>
  <c r="G1144"/>
  <c r="K1144" s="1"/>
  <c r="N1144" i="5"/>
  <c r="F1144"/>
  <c r="F1144" i="10"/>
  <c r="F1144" i="11"/>
  <c r="G1144" s="1"/>
  <c r="F1144" i="8"/>
  <c r="G1144" s="1"/>
  <c r="K1144" s="1"/>
  <c r="N1144" i="7"/>
  <c r="F1144"/>
  <c r="F1144" i="4"/>
  <c r="I1144"/>
  <c r="F1144" i="22" s="1"/>
  <c r="F1145" i="12"/>
  <c r="F1145" i="17"/>
  <c r="F1145" i="9"/>
  <c r="G1145"/>
  <c r="K1145" s="1"/>
  <c r="K1145" i="5"/>
  <c r="L1145" s="1"/>
  <c r="F1145"/>
  <c r="F1145" i="10"/>
  <c r="F1145" i="11"/>
  <c r="G1145" s="1"/>
  <c r="F1145" i="8"/>
  <c r="G1145" s="1"/>
  <c r="K1145" s="1"/>
  <c r="N1145" i="7"/>
  <c r="F1145"/>
  <c r="F1145" i="4"/>
  <c r="I1145"/>
  <c r="F1145" i="22" s="1"/>
  <c r="F749" i="14"/>
  <c r="F749" i="18"/>
  <c r="F749" i="12"/>
  <c r="F749" i="17"/>
  <c r="F749" i="9"/>
  <c r="G749" s="1"/>
  <c r="K749" i="5"/>
  <c r="L749" s="1"/>
  <c r="F749"/>
  <c r="F749" i="10"/>
  <c r="F749" i="11"/>
  <c r="G749" s="1"/>
  <c r="F749" i="8"/>
  <c r="G749" s="1"/>
  <c r="N749" i="7"/>
  <c r="F749"/>
  <c r="F749" i="4"/>
  <c r="I749"/>
  <c r="F749" i="22" s="1"/>
  <c r="F750" i="14"/>
  <c r="G750" s="1"/>
  <c r="F750" i="18"/>
  <c r="G750" s="1"/>
  <c r="F750" i="12"/>
  <c r="F750" i="17"/>
  <c r="F750" i="9"/>
  <c r="G750" s="1"/>
  <c r="K750" i="5"/>
  <c r="L750" s="1"/>
  <c r="F750"/>
  <c r="F750" i="10"/>
  <c r="F750" i="11"/>
  <c r="G750" s="1"/>
  <c r="F750" i="8"/>
  <c r="G750" s="1"/>
  <c r="N750" i="7"/>
  <c r="F750"/>
  <c r="F750" i="4"/>
  <c r="I750"/>
  <c r="F750" i="22" s="1"/>
  <c r="F751" i="14"/>
  <c r="G751" s="1"/>
  <c r="F751" i="18"/>
  <c r="G751" s="1"/>
  <c r="F751" i="12"/>
  <c r="F751" i="17"/>
  <c r="F751" i="9"/>
  <c r="G751" s="1"/>
  <c r="K751" i="5"/>
  <c r="L751" s="1"/>
  <c r="F751"/>
  <c r="F751" i="10"/>
  <c r="F751" i="11"/>
  <c r="G751" s="1"/>
  <c r="F751" i="8"/>
  <c r="G751" s="1"/>
  <c r="N751" i="7"/>
  <c r="F751"/>
  <c r="F751" i="4"/>
  <c r="I751"/>
  <c r="F751" i="22" s="1"/>
  <c r="F752" i="14"/>
  <c r="G752" s="1"/>
  <c r="F752" i="18"/>
  <c r="G752" s="1"/>
  <c r="F752" i="12"/>
  <c r="F752" i="17"/>
  <c r="F752" i="9"/>
  <c r="G752" s="1"/>
  <c r="K752" i="5"/>
  <c r="L752" s="1"/>
  <c r="F752"/>
  <c r="F752" i="10"/>
  <c r="F752" i="11"/>
  <c r="G752" s="1"/>
  <c r="F752" i="8"/>
  <c r="G752" s="1"/>
  <c r="N752" i="7"/>
  <c r="F752"/>
  <c r="F752" i="4"/>
  <c r="I752"/>
  <c r="F752" i="22" s="1"/>
  <c r="F753" i="14"/>
  <c r="G753" s="1"/>
  <c r="F753" i="18"/>
  <c r="G753" s="1"/>
  <c r="F753" i="12"/>
  <c r="F753" i="17"/>
  <c r="F753" i="9"/>
  <c r="G753" s="1"/>
  <c r="K753" i="5"/>
  <c r="L753" s="1"/>
  <c r="F753"/>
  <c r="F753" i="10"/>
  <c r="F753" i="11"/>
  <c r="G753" s="1"/>
  <c r="F753" i="8"/>
  <c r="G753" s="1"/>
  <c r="N753" i="7"/>
  <c r="F753"/>
  <c r="F753" i="4"/>
  <c r="I753"/>
  <c r="F753" i="22" s="1"/>
  <c r="F754" i="14"/>
  <c r="G754" s="1"/>
  <c r="F754" i="18"/>
  <c r="G754" s="1"/>
  <c r="F754" i="12"/>
  <c r="F754" i="17"/>
  <c r="F754" i="9"/>
  <c r="G754" s="1"/>
  <c r="K754" i="5"/>
  <c r="L754" s="1"/>
  <c r="F754"/>
  <c r="F754" i="10"/>
  <c r="F754" i="11"/>
  <c r="G754" s="1"/>
  <c r="F754" i="8"/>
  <c r="G754" s="1"/>
  <c r="N754" i="7"/>
  <c r="F754"/>
  <c r="F754" i="4"/>
  <c r="I754"/>
  <c r="F754" i="22" s="1"/>
  <c r="F755" i="14"/>
  <c r="G755" s="1"/>
  <c r="F755" i="18"/>
  <c r="G755" s="1"/>
  <c r="F755" i="12"/>
  <c r="F755" i="17"/>
  <c r="F755" i="9"/>
  <c r="G755" s="1"/>
  <c r="K755" i="5"/>
  <c r="L755" s="1"/>
  <c r="F755"/>
  <c r="F755" i="10"/>
  <c r="F755" i="11"/>
  <c r="G755" s="1"/>
  <c r="F755" i="8"/>
  <c r="G755" s="1"/>
  <c r="N755" i="7"/>
  <c r="F755"/>
  <c r="F755" i="4"/>
  <c r="I755" s="1"/>
  <c r="F755" i="22" s="1"/>
  <c r="F756" i="14"/>
  <c r="G756" s="1"/>
  <c r="F756" i="18"/>
  <c r="G756" s="1"/>
  <c r="F756" i="12"/>
  <c r="F756" i="17"/>
  <c r="F756" i="9"/>
  <c r="G756" s="1"/>
  <c r="K756" i="5"/>
  <c r="L756" s="1"/>
  <c r="F756"/>
  <c r="F756" i="10"/>
  <c r="F756" i="11"/>
  <c r="G756" s="1"/>
  <c r="F756" i="8"/>
  <c r="G756" s="1"/>
  <c r="N756" i="7"/>
  <c r="F756"/>
  <c r="F756" i="4"/>
  <c r="I756"/>
  <c r="F756" i="22" s="1"/>
  <c r="F757" i="14"/>
  <c r="G757" s="1"/>
  <c r="F757" i="18"/>
  <c r="G757" s="1"/>
  <c r="F757" i="12"/>
  <c r="F757" i="17"/>
  <c r="F757" i="9"/>
  <c r="G757" s="1"/>
  <c r="K757" i="5"/>
  <c r="L757" s="1"/>
  <c r="F757"/>
  <c r="F757" i="10"/>
  <c r="F757" i="11"/>
  <c r="G757" s="1"/>
  <c r="F757" i="8"/>
  <c r="G757" s="1"/>
  <c r="N757" i="7"/>
  <c r="F757"/>
  <c r="F757" i="4"/>
  <c r="I757"/>
  <c r="F757" i="22" s="1"/>
  <c r="F758" i="14"/>
  <c r="G758" s="1"/>
  <c r="F758" i="18"/>
  <c r="G758" s="1"/>
  <c r="F758" i="12"/>
  <c r="F758" i="17"/>
  <c r="F758" i="9"/>
  <c r="G758" s="1"/>
  <c r="K758" i="5"/>
  <c r="L758" s="1"/>
  <c r="F758"/>
  <c r="F758" i="10"/>
  <c r="F758" i="11"/>
  <c r="G758" s="1"/>
  <c r="F758" i="8"/>
  <c r="G758" s="1"/>
  <c r="N758" i="7"/>
  <c r="F758"/>
  <c r="F758" i="4"/>
  <c r="I758"/>
  <c r="F758" i="22" s="1"/>
  <c r="F759" i="14"/>
  <c r="G759" s="1"/>
  <c r="F759" i="18"/>
  <c r="G759" s="1"/>
  <c r="F759" i="12"/>
  <c r="F759" i="17"/>
  <c r="F759" i="9"/>
  <c r="G759" s="1"/>
  <c r="K759" i="5"/>
  <c r="L759" s="1"/>
  <c r="F759"/>
  <c r="F759" i="10"/>
  <c r="F759" i="11"/>
  <c r="G759" s="1"/>
  <c r="F759" i="8"/>
  <c r="G759" s="1"/>
  <c r="N759" i="7"/>
  <c r="F759"/>
  <c r="F759" i="4"/>
  <c r="I759"/>
  <c r="F759" i="22" s="1"/>
  <c r="F760" i="14"/>
  <c r="G760" s="1"/>
  <c r="F760" i="18"/>
  <c r="G760" s="1"/>
  <c r="F760" i="12"/>
  <c r="F760" i="17"/>
  <c r="F760" i="9"/>
  <c r="G760" s="1"/>
  <c r="K760" i="5"/>
  <c r="L760" s="1"/>
  <c r="F760"/>
  <c r="F760" i="10"/>
  <c r="F760" i="11"/>
  <c r="G760" s="1"/>
  <c r="F760" i="8"/>
  <c r="G760" s="1"/>
  <c r="N760" i="7"/>
  <c r="F760"/>
  <c r="F760" i="4"/>
  <c r="I760"/>
  <c r="F760" i="22" s="1"/>
  <c r="F761" i="18"/>
  <c r="G761" s="1"/>
  <c r="F761" i="12"/>
  <c r="F761" i="17"/>
  <c r="F761" i="9"/>
  <c r="G761" s="1"/>
  <c r="K761" i="5"/>
  <c r="L761" s="1"/>
  <c r="F761"/>
  <c r="F761" i="10"/>
  <c r="F761" i="11"/>
  <c r="G761" s="1"/>
  <c r="F761" i="8"/>
  <c r="G761" s="1"/>
  <c r="N761" i="7"/>
  <c r="F761"/>
  <c r="F761" i="4"/>
  <c r="I761"/>
  <c r="F761" i="22" s="1"/>
  <c r="F762" i="18"/>
  <c r="G762" s="1"/>
  <c r="F762" i="12"/>
  <c r="F762" i="17"/>
  <c r="F762" i="9"/>
  <c r="G762" s="1"/>
  <c r="K762" i="5"/>
  <c r="L762" s="1"/>
  <c r="F762"/>
  <c r="F762" i="10"/>
  <c r="F762" i="11"/>
  <c r="G762" s="1"/>
  <c r="F762" i="8"/>
  <c r="G762" s="1"/>
  <c r="N762" i="7"/>
  <c r="F762"/>
  <c r="F762" i="4"/>
  <c r="I762"/>
  <c r="F762" i="22" s="1"/>
  <c r="F763" i="14"/>
  <c r="G763" s="1"/>
  <c r="F763" i="18"/>
  <c r="G763" s="1"/>
  <c r="F763" i="12"/>
  <c r="F763" i="17"/>
  <c r="F763" i="9"/>
  <c r="G763" s="1"/>
  <c r="K763" i="5"/>
  <c r="L763" s="1"/>
  <c r="F763"/>
  <c r="F763" i="10"/>
  <c r="F763" i="11"/>
  <c r="G763" s="1"/>
  <c r="F763" i="8"/>
  <c r="G763" s="1"/>
  <c r="N763" i="7"/>
  <c r="F763"/>
  <c r="F763" i="4"/>
  <c r="I763"/>
  <c r="F763" i="22" s="1"/>
  <c r="F764" i="18"/>
  <c r="G764" s="1"/>
  <c r="F764" i="12"/>
  <c r="F764" i="17"/>
  <c r="F764" i="9"/>
  <c r="G764" s="1"/>
  <c r="K764" i="5"/>
  <c r="L764" s="1"/>
  <c r="F764"/>
  <c r="F764" i="10"/>
  <c r="F764" i="11"/>
  <c r="G764" s="1"/>
  <c r="F764" i="8"/>
  <c r="G764" s="1"/>
  <c r="N764" i="7"/>
  <c r="F764"/>
  <c r="F764" i="4"/>
  <c r="I764"/>
  <c r="F764" i="22" s="1"/>
  <c r="F765" i="14"/>
  <c r="G765" s="1"/>
  <c r="F765" i="18"/>
  <c r="G765" s="1"/>
  <c r="F765" i="12"/>
  <c r="F765" i="17"/>
  <c r="F765" i="9"/>
  <c r="G765" s="1"/>
  <c r="K765" i="5"/>
  <c r="L765" s="1"/>
  <c r="F765"/>
  <c r="F765" i="10"/>
  <c r="F765" i="11"/>
  <c r="G765" s="1"/>
  <c r="F765" i="8"/>
  <c r="G765" s="1"/>
  <c r="N765" i="7"/>
  <c r="F765"/>
  <c r="F765" i="4"/>
  <c r="I765"/>
  <c r="F765" i="22" s="1"/>
  <c r="F766" i="14"/>
  <c r="G766" s="1"/>
  <c r="F766" i="18"/>
  <c r="G766" s="1"/>
  <c r="F766" i="12"/>
  <c r="F766" i="17"/>
  <c r="F766" i="9"/>
  <c r="G766" s="1"/>
  <c r="K766" i="5"/>
  <c r="L766" s="1"/>
  <c r="F766"/>
  <c r="F766" i="10"/>
  <c r="F766" i="11"/>
  <c r="G766" s="1"/>
  <c r="F766" i="8"/>
  <c r="G766" s="1"/>
  <c r="N766" i="7"/>
  <c r="F766"/>
  <c r="F766" i="4"/>
  <c r="I766"/>
  <c r="F766" i="22" s="1"/>
  <c r="F767" i="14"/>
  <c r="G767" s="1"/>
  <c r="F767" i="18"/>
  <c r="G767" s="1"/>
  <c r="F767" i="12"/>
  <c r="F767" i="17"/>
  <c r="F767" i="9"/>
  <c r="G767" s="1"/>
  <c r="K767" i="5"/>
  <c r="L767" s="1"/>
  <c r="F767"/>
  <c r="F767" i="10"/>
  <c r="F767" i="11"/>
  <c r="G767" s="1"/>
  <c r="F767" i="8"/>
  <c r="G767" s="1"/>
  <c r="N767" i="7"/>
  <c r="F767"/>
  <c r="F767" i="4"/>
  <c r="I767"/>
  <c r="F767" i="22" s="1"/>
  <c r="F768" i="14"/>
  <c r="G768" s="1"/>
  <c r="F768" i="18"/>
  <c r="G768" s="1"/>
  <c r="F768" i="12"/>
  <c r="F768" i="17"/>
  <c r="F768" i="9"/>
  <c r="G768" s="1"/>
  <c r="K768" i="5"/>
  <c r="L768" s="1"/>
  <c r="F768"/>
  <c r="F768" i="10"/>
  <c r="F768" i="11"/>
  <c r="G768" s="1"/>
  <c r="F768" i="8"/>
  <c r="G768" s="1"/>
  <c r="N768" i="7"/>
  <c r="F768"/>
  <c r="F768" i="4"/>
  <c r="I768"/>
  <c r="F768" i="22" s="1"/>
  <c r="F769" i="18"/>
  <c r="G769" s="1"/>
  <c r="F769" i="12"/>
  <c r="F769" i="17"/>
  <c r="F769" i="9"/>
  <c r="G769" s="1"/>
  <c r="K769" i="5"/>
  <c r="L769" s="1"/>
  <c r="F769"/>
  <c r="F769" i="10"/>
  <c r="F769" i="11"/>
  <c r="G769" s="1"/>
  <c r="F769" i="8"/>
  <c r="G769" s="1"/>
  <c r="N769" i="7"/>
  <c r="F769"/>
  <c r="F769" i="4"/>
  <c r="I769"/>
  <c r="F769" i="22" s="1"/>
  <c r="F770" i="18"/>
  <c r="G770" s="1"/>
  <c r="F770" i="12"/>
  <c r="F770" i="17"/>
  <c r="F770" i="9"/>
  <c r="G770" s="1"/>
  <c r="K770" i="5"/>
  <c r="L770" s="1"/>
  <c r="F770"/>
  <c r="F770" i="10"/>
  <c r="F770" i="11"/>
  <c r="G770" s="1"/>
  <c r="F770" i="8"/>
  <c r="G770" s="1"/>
  <c r="N770" i="7"/>
  <c r="F770"/>
  <c r="F770" i="4"/>
  <c r="I770"/>
  <c r="F770" i="22" s="1"/>
  <c r="F771" i="18"/>
  <c r="G771" s="1"/>
  <c r="F771" i="12"/>
  <c r="F771" i="17"/>
  <c r="F771" i="9"/>
  <c r="G771" s="1"/>
  <c r="K771" i="5"/>
  <c r="L771" s="1"/>
  <c r="F771"/>
  <c r="F771" i="10"/>
  <c r="F771" i="11"/>
  <c r="G771" s="1"/>
  <c r="F771" i="8"/>
  <c r="G771" s="1"/>
  <c r="N771" i="7"/>
  <c r="F771"/>
  <c r="F771" i="4"/>
  <c r="I771"/>
  <c r="F771" i="22" s="1"/>
  <c r="F772" i="18"/>
  <c r="G772" s="1"/>
  <c r="F772" i="12"/>
  <c r="F772" i="17"/>
  <c r="F772" i="9"/>
  <c r="G772" s="1"/>
  <c r="K772" i="5"/>
  <c r="L772" s="1"/>
  <c r="F772"/>
  <c r="F772" i="10"/>
  <c r="F772" i="11"/>
  <c r="G772" s="1"/>
  <c r="F772" i="8"/>
  <c r="G772" s="1"/>
  <c r="N772" i="7"/>
  <c r="F772"/>
  <c r="F772" i="4"/>
  <c r="I772"/>
  <c r="F772" i="22" s="1"/>
  <c r="F773" i="18"/>
  <c r="G773" s="1"/>
  <c r="F773" i="12"/>
  <c r="F773" i="17"/>
  <c r="F773" i="9"/>
  <c r="G773" s="1"/>
  <c r="K773" i="5"/>
  <c r="L773" s="1"/>
  <c r="F773"/>
  <c r="F773" i="10"/>
  <c r="F773" i="11"/>
  <c r="G773" s="1"/>
  <c r="F773" i="8"/>
  <c r="G773" s="1"/>
  <c r="N773" i="7"/>
  <c r="F773"/>
  <c r="F773" i="4"/>
  <c r="I773"/>
  <c r="F773" i="22" s="1"/>
  <c r="F774" i="18"/>
  <c r="G774" s="1"/>
  <c r="F774" i="12"/>
  <c r="F774" i="17"/>
  <c r="F774" i="9"/>
  <c r="G774" s="1"/>
  <c r="K774" i="5"/>
  <c r="L774" s="1"/>
  <c r="F774"/>
  <c r="F774" i="10"/>
  <c r="F774" i="11"/>
  <c r="G774" s="1"/>
  <c r="F774" i="8"/>
  <c r="G774" s="1"/>
  <c r="N774" i="7"/>
  <c r="F774"/>
  <c r="F774" i="4"/>
  <c r="I774"/>
  <c r="F774" i="22" s="1"/>
  <c r="F775" i="14"/>
  <c r="G775" s="1"/>
  <c r="F775" i="18"/>
  <c r="G775" s="1"/>
  <c r="F775" i="12"/>
  <c r="F775" i="17"/>
  <c r="F775" i="9"/>
  <c r="G775" s="1"/>
  <c r="K775" i="5"/>
  <c r="L775" s="1"/>
  <c r="F775"/>
  <c r="F775" i="10"/>
  <c r="F775" i="11"/>
  <c r="G775" s="1"/>
  <c r="F775" i="8"/>
  <c r="G775" s="1"/>
  <c r="N775" i="7"/>
  <c r="F775"/>
  <c r="F775" i="4"/>
  <c r="I775"/>
  <c r="F775" i="22" s="1"/>
  <c r="F776" i="14"/>
  <c r="G776" s="1"/>
  <c r="F776" i="18"/>
  <c r="G776" s="1"/>
  <c r="F776" i="12"/>
  <c r="F776" i="17"/>
  <c r="F776" i="9"/>
  <c r="G776" s="1"/>
  <c r="K776" i="5"/>
  <c r="L776" s="1"/>
  <c r="F776"/>
  <c r="F776" i="10"/>
  <c r="F776" i="11"/>
  <c r="G776" s="1"/>
  <c r="F776" i="8"/>
  <c r="G776" s="1"/>
  <c r="N776" i="7"/>
  <c r="F776"/>
  <c r="F776" i="4"/>
  <c r="I776"/>
  <c r="F776" i="22" s="1"/>
  <c r="F777" i="14"/>
  <c r="G777" s="1"/>
  <c r="F777" i="18"/>
  <c r="G777" s="1"/>
  <c r="F777" i="12"/>
  <c r="F777" i="17"/>
  <c r="F777" i="9"/>
  <c r="G777" s="1"/>
  <c r="K777" i="5"/>
  <c r="L777" s="1"/>
  <c r="F777"/>
  <c r="F777" i="10"/>
  <c r="F777" i="11"/>
  <c r="G777" s="1"/>
  <c r="F777" i="8"/>
  <c r="G777" s="1"/>
  <c r="N777" i="7"/>
  <c r="F777"/>
  <c r="F777" i="4"/>
  <c r="I777"/>
  <c r="F777" i="22" s="1"/>
  <c r="F778" i="14"/>
  <c r="G778" s="1"/>
  <c r="F778" i="18"/>
  <c r="G778" s="1"/>
  <c r="F778" i="12"/>
  <c r="F778" i="17"/>
  <c r="F778" i="9"/>
  <c r="G778" s="1"/>
  <c r="K778" i="5"/>
  <c r="L778" s="1"/>
  <c r="F778"/>
  <c r="F778" i="10"/>
  <c r="F778" i="11"/>
  <c r="G778" s="1"/>
  <c r="F778" i="8"/>
  <c r="G778" s="1"/>
  <c r="N778" i="7"/>
  <c r="F778"/>
  <c r="F778" i="4"/>
  <c r="I778"/>
  <c r="F778" i="22" s="1"/>
  <c r="F779" i="14"/>
  <c r="G779" s="1"/>
  <c r="F779" i="18"/>
  <c r="G779" s="1"/>
  <c r="F779" i="12"/>
  <c r="F779" i="17"/>
  <c r="F779" i="9"/>
  <c r="G779" s="1"/>
  <c r="K779" i="5"/>
  <c r="L779" s="1"/>
  <c r="F779"/>
  <c r="F779" i="10"/>
  <c r="F779" i="11"/>
  <c r="G779" s="1"/>
  <c r="F779" i="8"/>
  <c r="G779" s="1"/>
  <c r="N779" i="7"/>
  <c r="F779"/>
  <c r="F779" i="4"/>
  <c r="I779"/>
  <c r="F779" i="22" s="1"/>
  <c r="F780" i="14"/>
  <c r="G780" s="1"/>
  <c r="F780" i="18"/>
  <c r="G780" s="1"/>
  <c r="F780" i="12"/>
  <c r="F780" i="17"/>
  <c r="F780" i="9"/>
  <c r="G780" s="1"/>
  <c r="K780" i="5"/>
  <c r="L780" s="1"/>
  <c r="F780"/>
  <c r="F780" i="10"/>
  <c r="F780" i="11"/>
  <c r="G780" s="1"/>
  <c r="F780" i="8"/>
  <c r="G780" s="1"/>
  <c r="N780" i="7"/>
  <c r="F780"/>
  <c r="F780" i="4"/>
  <c r="I780"/>
  <c r="F780" i="22" s="1"/>
  <c r="F781" i="14"/>
  <c r="G781" s="1"/>
  <c r="F781" i="18"/>
  <c r="G781" s="1"/>
  <c r="F781" i="12"/>
  <c r="F781" i="17"/>
  <c r="F781" i="9"/>
  <c r="G781" s="1"/>
  <c r="K781" i="5"/>
  <c r="L781" s="1"/>
  <c r="F781"/>
  <c r="F781" i="10"/>
  <c r="F781" i="11"/>
  <c r="G781" s="1"/>
  <c r="F781" i="8"/>
  <c r="G781" s="1"/>
  <c r="N781" i="7"/>
  <c r="F781"/>
  <c r="F781" i="4"/>
  <c r="I781"/>
  <c r="F781" i="22" s="1"/>
  <c r="F782" i="14"/>
  <c r="G782" s="1"/>
  <c r="F782" i="18"/>
  <c r="G782" s="1"/>
  <c r="F782" i="12"/>
  <c r="F782" i="17"/>
  <c r="F782" i="9"/>
  <c r="G782" s="1"/>
  <c r="K782" i="5"/>
  <c r="L782" s="1"/>
  <c r="F782"/>
  <c r="F782" i="10"/>
  <c r="F782" i="11"/>
  <c r="G782" s="1"/>
  <c r="F782" i="8"/>
  <c r="G782" s="1"/>
  <c r="N782" i="7"/>
  <c r="F782"/>
  <c r="F782" i="4"/>
  <c r="I782"/>
  <c r="F782" i="22" s="1"/>
  <c r="F783" i="18"/>
  <c r="G783" s="1"/>
  <c r="F783" i="12"/>
  <c r="F783" i="17"/>
  <c r="F783" i="9"/>
  <c r="G783" s="1"/>
  <c r="K783" i="5"/>
  <c r="L783" s="1"/>
  <c r="F783"/>
  <c r="F783" i="10"/>
  <c r="F783" i="11"/>
  <c r="G783" s="1"/>
  <c r="F783" i="8"/>
  <c r="G783" s="1"/>
  <c r="N783" i="7"/>
  <c r="F783"/>
  <c r="F783" i="4"/>
  <c r="I783"/>
  <c r="F783" i="22" s="1"/>
  <c r="F784" i="14"/>
  <c r="G784" s="1"/>
  <c r="F784" i="18"/>
  <c r="G784" s="1"/>
  <c r="F784" i="12"/>
  <c r="F784" i="17"/>
  <c r="F784" i="9"/>
  <c r="G784" s="1"/>
  <c r="K784" i="5"/>
  <c r="L784" s="1"/>
  <c r="F784"/>
  <c r="F784" i="10"/>
  <c r="F784" i="11"/>
  <c r="G784" s="1"/>
  <c r="F784" i="8"/>
  <c r="G784" s="1"/>
  <c r="N784" i="7"/>
  <c r="F784"/>
  <c r="F784" i="4"/>
  <c r="I784"/>
  <c r="F784" i="22" s="1"/>
  <c r="F785" i="14"/>
  <c r="G785" s="1"/>
  <c r="F785" i="18"/>
  <c r="G785" s="1"/>
  <c r="F785" i="12"/>
  <c r="F785" i="17"/>
  <c r="F785" i="9"/>
  <c r="G785" s="1"/>
  <c r="K785" i="5"/>
  <c r="L785" s="1"/>
  <c r="F785"/>
  <c r="F785" i="10"/>
  <c r="F785" i="11"/>
  <c r="G785" s="1"/>
  <c r="F785" i="8"/>
  <c r="G785" s="1"/>
  <c r="N785" i="7"/>
  <c r="F785"/>
  <c r="F785" i="4"/>
  <c r="I785"/>
  <c r="F785" i="22" s="1"/>
  <c r="F786" i="14"/>
  <c r="G786" s="1"/>
  <c r="F786" i="18"/>
  <c r="G786" s="1"/>
  <c r="F786" i="12"/>
  <c r="F786" i="17"/>
  <c r="F786" i="9"/>
  <c r="G786" s="1"/>
  <c r="K786" i="5"/>
  <c r="L786" s="1"/>
  <c r="F786"/>
  <c r="F786" i="10"/>
  <c r="F786" i="11"/>
  <c r="G786" s="1"/>
  <c r="F786" i="8"/>
  <c r="G786" s="1"/>
  <c r="N786" i="7"/>
  <c r="F786"/>
  <c r="F786" i="4"/>
  <c r="I786"/>
  <c r="F786" i="22" s="1"/>
  <c r="F787" i="14"/>
  <c r="G787" s="1"/>
  <c r="F787" i="18"/>
  <c r="G787" s="1"/>
  <c r="F787" i="12"/>
  <c r="F787" i="17"/>
  <c r="F787" i="9"/>
  <c r="G787" s="1"/>
  <c r="K787" i="5"/>
  <c r="L787" s="1"/>
  <c r="F787"/>
  <c r="F787" i="10"/>
  <c r="F787" i="11"/>
  <c r="G787" s="1"/>
  <c r="F787" i="8"/>
  <c r="G787" s="1"/>
  <c r="N787" i="7"/>
  <c r="F787"/>
  <c r="F787" i="4"/>
  <c r="I787"/>
  <c r="F787" i="22" s="1"/>
  <c r="F788" i="14"/>
  <c r="G788" s="1"/>
  <c r="F788" i="18"/>
  <c r="G788" s="1"/>
  <c r="F788" i="12"/>
  <c r="F788" i="17"/>
  <c r="F788" i="9"/>
  <c r="G788" s="1"/>
  <c r="K788" i="5"/>
  <c r="L788" s="1"/>
  <c r="F788"/>
  <c r="F788" i="10"/>
  <c r="F788" i="11"/>
  <c r="G788" s="1"/>
  <c r="F788" i="8"/>
  <c r="G788" s="1"/>
  <c r="N788" i="7"/>
  <c r="F788"/>
  <c r="F788" i="4"/>
  <c r="I788"/>
  <c r="F788" i="22" s="1"/>
  <c r="F789" i="14"/>
  <c r="G789" s="1"/>
  <c r="F789" i="18"/>
  <c r="G789" s="1"/>
  <c r="F789" i="12"/>
  <c r="F789" i="17"/>
  <c r="F789" i="9"/>
  <c r="G789" s="1"/>
  <c r="K789" i="5"/>
  <c r="L789" s="1"/>
  <c r="F789"/>
  <c r="F789" i="10"/>
  <c r="F789" i="11"/>
  <c r="G789" s="1"/>
  <c r="F789" i="8"/>
  <c r="G789" s="1"/>
  <c r="N789" i="7"/>
  <c r="F789"/>
  <c r="F789" i="4"/>
  <c r="I789"/>
  <c r="F789" i="22" s="1"/>
  <c r="F790" i="14"/>
  <c r="G790" s="1"/>
  <c r="F790" i="18"/>
  <c r="G790" s="1"/>
  <c r="F790" i="12"/>
  <c r="F790" i="17"/>
  <c r="F790" i="9"/>
  <c r="G790" s="1"/>
  <c r="K790" i="5"/>
  <c r="L790" s="1"/>
  <c r="F790"/>
  <c r="F790" i="10"/>
  <c r="F790" i="11"/>
  <c r="G790" s="1"/>
  <c r="F790" i="8"/>
  <c r="G790" s="1"/>
  <c r="N790" i="7"/>
  <c r="F790"/>
  <c r="F790" i="4"/>
  <c r="I790"/>
  <c r="F790" i="22" s="1"/>
  <c r="F791" i="14"/>
  <c r="G791" s="1"/>
  <c r="F791" i="18"/>
  <c r="G791" s="1"/>
  <c r="F791" i="12"/>
  <c r="F791" i="17"/>
  <c r="F791" i="9"/>
  <c r="G791" s="1"/>
  <c r="K791" i="5"/>
  <c r="L791" s="1"/>
  <c r="F791"/>
  <c r="F791" i="10"/>
  <c r="F791" i="11"/>
  <c r="G791" s="1"/>
  <c r="F791" i="8"/>
  <c r="G791" s="1"/>
  <c r="N791" i="7"/>
  <c r="F791"/>
  <c r="F791" i="4"/>
  <c r="I791"/>
  <c r="F791" i="22" s="1"/>
  <c r="F792" i="9"/>
  <c r="G792" s="1"/>
  <c r="K792" i="5"/>
  <c r="L792" s="1"/>
  <c r="F792"/>
  <c r="F792" i="11"/>
  <c r="G792" s="1"/>
  <c r="F792" i="8"/>
  <c r="G792" s="1"/>
  <c r="N792" i="7"/>
  <c r="F792"/>
  <c r="F792" i="4"/>
  <c r="I792"/>
  <c r="F792" i="22" s="1"/>
  <c r="F793" i="9"/>
  <c r="G793" s="1"/>
  <c r="K793" i="5"/>
  <c r="L793" s="1"/>
  <c r="F793"/>
  <c r="F793" i="11"/>
  <c r="G793" s="1"/>
  <c r="F793" i="8"/>
  <c r="G793" s="1"/>
  <c r="N793" i="7"/>
  <c r="F793"/>
  <c r="F793" i="4"/>
  <c r="I793"/>
  <c r="F793" i="22" s="1"/>
  <c r="F794" i="12"/>
  <c r="F794" i="17"/>
  <c r="F794" i="9"/>
  <c r="G794" s="1"/>
  <c r="K794" i="5"/>
  <c r="L794" s="1"/>
  <c r="F794"/>
  <c r="F794" i="11"/>
  <c r="G794" s="1"/>
  <c r="F794" i="8"/>
  <c r="G794" s="1"/>
  <c r="N794" i="7"/>
  <c r="F794"/>
  <c r="F794" i="4"/>
  <c r="I794"/>
  <c r="F794" i="22" s="1"/>
  <c r="F795" i="12"/>
  <c r="F795" i="17"/>
  <c r="F795" i="9"/>
  <c r="G795" s="1"/>
  <c r="K795" i="5"/>
  <c r="L795" s="1"/>
  <c r="F795"/>
  <c r="F795" i="10"/>
  <c r="F795" i="11"/>
  <c r="G795" s="1"/>
  <c r="F795" i="8"/>
  <c r="G795" s="1"/>
  <c r="N795" i="7"/>
  <c r="F795"/>
  <c r="F795" i="4"/>
  <c r="I795"/>
  <c r="F795" i="22" s="1"/>
  <c r="F796" i="12"/>
  <c r="F796" i="17"/>
  <c r="F796" i="9"/>
  <c r="G796" s="1"/>
  <c r="K796" i="5"/>
  <c r="L796" s="1"/>
  <c r="F796"/>
  <c r="F796" i="10"/>
  <c r="F796" i="11"/>
  <c r="G796" s="1"/>
  <c r="F796" i="8"/>
  <c r="G796" s="1"/>
  <c r="N796" i="7"/>
  <c r="F796"/>
  <c r="F796" i="4"/>
  <c r="I796"/>
  <c r="F796" i="22" s="1"/>
  <c r="F797" i="12"/>
  <c r="F797" i="17"/>
  <c r="F797" i="9"/>
  <c r="G797" s="1"/>
  <c r="K797" i="5"/>
  <c r="L797" s="1"/>
  <c r="F797"/>
  <c r="F797" i="10"/>
  <c r="F797" i="11"/>
  <c r="G797" s="1"/>
  <c r="F797" i="8"/>
  <c r="G797" s="1"/>
  <c r="N797" i="7"/>
  <c r="F797"/>
  <c r="F797" i="4"/>
  <c r="I797"/>
  <c r="F797" i="22" s="1"/>
  <c r="F798" i="12"/>
  <c r="F798" i="17"/>
  <c r="F798" i="9"/>
  <c r="G798" s="1"/>
  <c r="K798" i="5"/>
  <c r="L798" s="1"/>
  <c r="F798"/>
  <c r="F798" i="10"/>
  <c r="F798" i="11"/>
  <c r="G798" s="1"/>
  <c r="F798" i="8"/>
  <c r="G798" s="1"/>
  <c r="N798" i="7"/>
  <c r="F798"/>
  <c r="F798" i="4"/>
  <c r="I798"/>
  <c r="F798" i="22" s="1"/>
  <c r="F799" i="12"/>
  <c r="F799" i="17"/>
  <c r="F799" i="9"/>
  <c r="G799" s="1"/>
  <c r="K799" i="5"/>
  <c r="L799" s="1"/>
  <c r="F799"/>
  <c r="F799" i="10"/>
  <c r="F799" i="11"/>
  <c r="G799" s="1"/>
  <c r="F799" i="8"/>
  <c r="G799" s="1"/>
  <c r="N799" i="7"/>
  <c r="F799"/>
  <c r="F799" i="4"/>
  <c r="I799"/>
  <c r="F799" i="22" s="1"/>
  <c r="F800" i="12"/>
  <c r="F800" i="17"/>
  <c r="F800" i="9"/>
  <c r="G800" s="1"/>
  <c r="K800" i="5"/>
  <c r="L800" s="1"/>
  <c r="F800"/>
  <c r="F800" i="10"/>
  <c r="F800" i="11"/>
  <c r="G800" s="1"/>
  <c r="F800" i="8"/>
  <c r="G800" s="1"/>
  <c r="N800" i="7"/>
  <c r="F800"/>
  <c r="F800" i="4"/>
  <c r="I800"/>
  <c r="F800" i="22" s="1"/>
  <c r="F801" i="12"/>
  <c r="F801" i="17"/>
  <c r="F801" i="9"/>
  <c r="G801" s="1"/>
  <c r="K801" i="5"/>
  <c r="L801" s="1"/>
  <c r="F801"/>
  <c r="F801" i="10"/>
  <c r="F801" i="11"/>
  <c r="G801" s="1"/>
  <c r="F801" i="8"/>
  <c r="G801" s="1"/>
  <c r="N801" i="7"/>
  <c r="F801"/>
  <c r="F801" i="4"/>
  <c r="I801"/>
  <c r="F801" i="22" s="1"/>
  <c r="F802" i="12"/>
  <c r="F802" i="17"/>
  <c r="F802" i="9"/>
  <c r="G802" s="1"/>
  <c r="K802" i="5"/>
  <c r="L802" s="1"/>
  <c r="F802"/>
  <c r="F802" i="10"/>
  <c r="F802" i="11"/>
  <c r="G802" s="1"/>
  <c r="F802" i="8"/>
  <c r="G802" s="1"/>
  <c r="N802" i="7"/>
  <c r="F802"/>
  <c r="F802" i="4"/>
  <c r="I802"/>
  <c r="F802" i="22" s="1"/>
  <c r="F803" i="12"/>
  <c r="F803" i="17"/>
  <c r="F803" i="9"/>
  <c r="G803" s="1"/>
  <c r="K803" i="5"/>
  <c r="L803" s="1"/>
  <c r="F803"/>
  <c r="F803" i="10"/>
  <c r="F803" i="11"/>
  <c r="G803" s="1"/>
  <c r="F803" i="8"/>
  <c r="G803" s="1"/>
  <c r="N803" i="7"/>
  <c r="F803"/>
  <c r="F803" i="4"/>
  <c r="I803"/>
  <c r="F803" i="22" s="1"/>
  <c r="F804" i="12"/>
  <c r="F804" i="17"/>
  <c r="F804" i="9"/>
  <c r="G804" s="1"/>
  <c r="K804" i="5"/>
  <c r="L804" s="1"/>
  <c r="F804"/>
  <c r="F804" i="10"/>
  <c r="F804" i="11"/>
  <c r="G804" s="1"/>
  <c r="F804" i="8"/>
  <c r="G804" s="1"/>
  <c r="N804" i="7"/>
  <c r="F804"/>
  <c r="F804" i="4"/>
  <c r="I804"/>
  <c r="F804" i="22" s="1"/>
  <c r="F805" i="12"/>
  <c r="F805" i="17"/>
  <c r="F805" i="9"/>
  <c r="G805" s="1"/>
  <c r="K805" i="5"/>
  <c r="L805" s="1"/>
  <c r="F805"/>
  <c r="F805" i="10"/>
  <c r="F805" i="11"/>
  <c r="G805" s="1"/>
  <c r="F805" i="8"/>
  <c r="G805" s="1"/>
  <c r="N805" i="7"/>
  <c r="F805"/>
  <c r="F805" i="4"/>
  <c r="I805"/>
  <c r="F805" i="22" s="1"/>
  <c r="F806" i="12"/>
  <c r="F806" i="17"/>
  <c r="F806" i="9"/>
  <c r="G806" s="1"/>
  <c r="K806" i="5"/>
  <c r="L806" s="1"/>
  <c r="F806"/>
  <c r="F806" i="10"/>
  <c r="F806" i="11"/>
  <c r="G806" s="1"/>
  <c r="F806" i="8"/>
  <c r="G806" s="1"/>
  <c r="N806" i="7"/>
  <c r="F806"/>
  <c r="F806" i="4"/>
  <c r="I806"/>
  <c r="F806" i="22" s="1"/>
  <c r="F807" i="12"/>
  <c r="F807" i="17"/>
  <c r="F807" i="9"/>
  <c r="G807" s="1"/>
  <c r="K807" i="5"/>
  <c r="L807" s="1"/>
  <c r="F807"/>
  <c r="F807" i="10"/>
  <c r="F807" i="11"/>
  <c r="G807" s="1"/>
  <c r="F807" i="8"/>
  <c r="G807" s="1"/>
  <c r="N807" i="7"/>
  <c r="F807"/>
  <c r="F807" i="4"/>
  <c r="I807"/>
  <c r="F807" i="22" s="1"/>
  <c r="F808" i="12"/>
  <c r="F808" i="17"/>
  <c r="F808" i="9"/>
  <c r="G808" s="1"/>
  <c r="K808" i="5"/>
  <c r="L808" s="1"/>
  <c r="F808"/>
  <c r="F808" i="10"/>
  <c r="F808" i="11"/>
  <c r="G808" s="1"/>
  <c r="F808" i="8"/>
  <c r="G808" s="1"/>
  <c r="N808" i="7"/>
  <c r="F808"/>
  <c r="F808" i="4"/>
  <c r="I808"/>
  <c r="F808" i="22" s="1"/>
  <c r="F809" i="12"/>
  <c r="F809" i="17"/>
  <c r="F809" i="9"/>
  <c r="G809" s="1"/>
  <c r="K809" i="5"/>
  <c r="L809" s="1"/>
  <c r="F809"/>
  <c r="F809" i="10"/>
  <c r="F809" i="11"/>
  <c r="G809" s="1"/>
  <c r="F809" i="8"/>
  <c r="G809" s="1"/>
  <c r="N809" i="7"/>
  <c r="F809"/>
  <c r="F809" i="4"/>
  <c r="I809"/>
  <c r="F809" i="22" s="1"/>
  <c r="F810" i="12"/>
  <c r="F810" i="17"/>
  <c r="F810" i="9"/>
  <c r="G810" s="1"/>
  <c r="K810" i="5"/>
  <c r="L810" s="1"/>
  <c r="F810"/>
  <c r="F810" i="10"/>
  <c r="F810" i="11"/>
  <c r="G810" s="1"/>
  <c r="F810" i="8"/>
  <c r="G810" s="1"/>
  <c r="N810" i="7"/>
  <c r="F810"/>
  <c r="F810" i="4"/>
  <c r="I810"/>
  <c r="F810" i="22" s="1"/>
  <c r="F811" i="12"/>
  <c r="F811" i="17"/>
  <c r="F811" i="9"/>
  <c r="G811" s="1"/>
  <c r="K811" i="5"/>
  <c r="L811" s="1"/>
  <c r="F811"/>
  <c r="F811" i="10"/>
  <c r="F811" i="11"/>
  <c r="G811" s="1"/>
  <c r="F811" i="8"/>
  <c r="G811" s="1"/>
  <c r="N811" i="7"/>
  <c r="F811"/>
  <c r="F811" i="4"/>
  <c r="I811"/>
  <c r="F811" i="22" s="1"/>
  <c r="F812" i="12"/>
  <c r="F812" i="17"/>
  <c r="F812" i="9"/>
  <c r="G812" s="1"/>
  <c r="K812" i="5"/>
  <c r="L812" s="1"/>
  <c r="F812"/>
  <c r="F812" i="10"/>
  <c r="F812" i="11"/>
  <c r="G812" s="1"/>
  <c r="F812" i="8"/>
  <c r="G812" s="1"/>
  <c r="N812" i="7"/>
  <c r="F812"/>
  <c r="F812" i="4"/>
  <c r="I812"/>
  <c r="F812" i="22" s="1"/>
  <c r="F813" i="12"/>
  <c r="F813" i="17"/>
  <c r="F813" i="9"/>
  <c r="G813" s="1"/>
  <c r="K813" i="5"/>
  <c r="L813" s="1"/>
  <c r="F813"/>
  <c r="F813" i="10"/>
  <c r="F813" i="11"/>
  <c r="G813" s="1"/>
  <c r="F813" i="8"/>
  <c r="G813" s="1"/>
  <c r="N813" i="7"/>
  <c r="F813"/>
  <c r="F813" i="4"/>
  <c r="I813"/>
  <c r="F813" i="22" s="1"/>
  <c r="F814" i="12"/>
  <c r="F814" i="17"/>
  <c r="F814" i="9"/>
  <c r="G814" s="1"/>
  <c r="K814" i="5"/>
  <c r="L814" s="1"/>
  <c r="F814"/>
  <c r="F814" i="10"/>
  <c r="F814" i="11"/>
  <c r="G814" s="1"/>
  <c r="F814" i="8"/>
  <c r="G814" s="1"/>
  <c r="N814" i="7"/>
  <c r="F814"/>
  <c r="F814" i="4"/>
  <c r="I814"/>
  <c r="F814" i="22" s="1"/>
  <c r="F815" i="12"/>
  <c r="F815" i="17"/>
  <c r="F815" i="9"/>
  <c r="G815" s="1"/>
  <c r="K815" i="5"/>
  <c r="L815" s="1"/>
  <c r="F815"/>
  <c r="F815" i="10"/>
  <c r="F815" i="11"/>
  <c r="G815" s="1"/>
  <c r="F815" i="8"/>
  <c r="G815" s="1"/>
  <c r="N815" i="7"/>
  <c r="F815"/>
  <c r="F815" i="4"/>
  <c r="I815"/>
  <c r="F815" i="22" s="1"/>
  <c r="F816" i="12"/>
  <c r="F816" i="17"/>
  <c r="F816" i="9"/>
  <c r="G816" s="1"/>
  <c r="K816" i="5"/>
  <c r="L816" s="1"/>
  <c r="F816"/>
  <c r="F816" i="10"/>
  <c r="F816" i="11"/>
  <c r="G816" s="1"/>
  <c r="F816" i="8"/>
  <c r="G816" s="1"/>
  <c r="N816" i="7"/>
  <c r="F816"/>
  <c r="F816" i="4"/>
  <c r="I816"/>
  <c r="F816" i="22" s="1"/>
  <c r="F817" i="12"/>
  <c r="F817" i="17"/>
  <c r="F817" i="9"/>
  <c r="G817" s="1"/>
  <c r="K817" i="5"/>
  <c r="L817" s="1"/>
  <c r="F817"/>
  <c r="F817" i="10"/>
  <c r="F817" i="11"/>
  <c r="G817" s="1"/>
  <c r="F817" i="8"/>
  <c r="G817" s="1"/>
  <c r="N817" i="7"/>
  <c r="F817"/>
  <c r="F817" i="4"/>
  <c r="I817"/>
  <c r="F817" i="22" s="1"/>
  <c r="F818" i="12"/>
  <c r="F818" i="17"/>
  <c r="F818" i="9"/>
  <c r="G818" s="1"/>
  <c r="K818" i="5"/>
  <c r="L818" s="1"/>
  <c r="F818"/>
  <c r="F818" i="10"/>
  <c r="F818" i="11"/>
  <c r="G818" s="1"/>
  <c r="F818" i="8"/>
  <c r="G818" s="1"/>
  <c r="N818" i="7"/>
  <c r="F818"/>
  <c r="F818" i="4"/>
  <c r="I818"/>
  <c r="F818" i="22" s="1"/>
  <c r="F819" i="12"/>
  <c r="F819" i="17"/>
  <c r="F819" i="9"/>
  <c r="G819" s="1"/>
  <c r="K819" i="5"/>
  <c r="L819" s="1"/>
  <c r="F819"/>
  <c r="F819" i="10"/>
  <c r="F819" i="11"/>
  <c r="G819" s="1"/>
  <c r="F819" i="8"/>
  <c r="G819" s="1"/>
  <c r="N819" i="7"/>
  <c r="F819"/>
  <c r="F819" i="4"/>
  <c r="I819"/>
  <c r="F819" i="22" s="1"/>
  <c r="F820" i="12"/>
  <c r="F820" i="17"/>
  <c r="F820" i="9"/>
  <c r="G820" s="1"/>
  <c r="K820" i="5"/>
  <c r="L820" s="1"/>
  <c r="F820"/>
  <c r="F820" i="10"/>
  <c r="F820" i="11"/>
  <c r="G820" s="1"/>
  <c r="F820" i="8"/>
  <c r="G820" s="1"/>
  <c r="N820" i="7"/>
  <c r="F820"/>
  <c r="F820" i="4"/>
  <c r="I820"/>
  <c r="F820" i="22" s="1"/>
  <c r="F821" i="12"/>
  <c r="F821" i="17"/>
  <c r="F821" i="9"/>
  <c r="G821" s="1"/>
  <c r="K821" i="5"/>
  <c r="L821" s="1"/>
  <c r="F821"/>
  <c r="F821" i="10"/>
  <c r="F821" i="11"/>
  <c r="G821" s="1"/>
  <c r="F821" i="8"/>
  <c r="G821" s="1"/>
  <c r="N821" i="7"/>
  <c r="F821"/>
  <c r="F821" i="4"/>
  <c r="I821"/>
  <c r="F821" i="22" s="1"/>
  <c r="F822" i="12"/>
  <c r="F822" i="17"/>
  <c r="F822" i="9"/>
  <c r="G822" s="1"/>
  <c r="K822" i="5"/>
  <c r="L822" s="1"/>
  <c r="F822"/>
  <c r="F822" i="10"/>
  <c r="F822" i="11"/>
  <c r="G822" s="1"/>
  <c r="F822" i="8"/>
  <c r="G822" s="1"/>
  <c r="N822" i="7"/>
  <c r="F822"/>
  <c r="F822" i="4"/>
  <c r="I822"/>
  <c r="F822" i="22" s="1"/>
  <c r="F823" i="12"/>
  <c r="F823" i="17"/>
  <c r="F823" i="9"/>
  <c r="G823" s="1"/>
  <c r="K823" i="5"/>
  <c r="L823" s="1"/>
  <c r="F823"/>
  <c r="F823" i="10"/>
  <c r="F823" i="11"/>
  <c r="G823" s="1"/>
  <c r="F823" i="8"/>
  <c r="G823" s="1"/>
  <c r="N823" i="7"/>
  <c r="F823"/>
  <c r="F823" i="4"/>
  <c r="I823"/>
  <c r="F823" i="22" s="1"/>
  <c r="F824" i="12"/>
  <c r="F824" i="17"/>
  <c r="F824" i="9"/>
  <c r="G824" s="1"/>
  <c r="K824" i="5"/>
  <c r="L824" s="1"/>
  <c r="F824"/>
  <c r="F824" i="10"/>
  <c r="F824" i="11"/>
  <c r="G824" s="1"/>
  <c r="F824" i="8"/>
  <c r="G824" s="1"/>
  <c r="N824" i="7"/>
  <c r="F824"/>
  <c r="F824" i="4"/>
  <c r="I824"/>
  <c r="F824" i="22" s="1"/>
  <c r="F825" i="12"/>
  <c r="F825" i="17"/>
  <c r="F825" i="9"/>
  <c r="G825" s="1"/>
  <c r="K825" i="5"/>
  <c r="L825" s="1"/>
  <c r="F825"/>
  <c r="F825" i="10"/>
  <c r="F825" i="11"/>
  <c r="G825" s="1"/>
  <c r="F825" i="8"/>
  <c r="G825" s="1"/>
  <c r="N825" i="7"/>
  <c r="F825"/>
  <c r="F825" i="4"/>
  <c r="I825"/>
  <c r="F825" i="22" s="1"/>
  <c r="F826" i="12"/>
  <c r="F826" i="17"/>
  <c r="F826" i="9"/>
  <c r="G826" s="1"/>
  <c r="K826" i="5"/>
  <c r="L826" s="1"/>
  <c r="F826"/>
  <c r="F826" i="10"/>
  <c r="F826" i="11"/>
  <c r="G826" s="1"/>
  <c r="F826" i="8"/>
  <c r="G826" s="1"/>
  <c r="N826" i="7"/>
  <c r="F826"/>
  <c r="F826" i="4"/>
  <c r="I826"/>
  <c r="F826" i="22" s="1"/>
  <c r="F827" i="12"/>
  <c r="F827" i="17"/>
  <c r="F827" i="9"/>
  <c r="G827" s="1"/>
  <c r="K827" i="5"/>
  <c r="L827" s="1"/>
  <c r="F827"/>
  <c r="F827" i="10"/>
  <c r="F827" i="11"/>
  <c r="G827" s="1"/>
  <c r="F827" i="8"/>
  <c r="G827" s="1"/>
  <c r="N827" i="7"/>
  <c r="F827"/>
  <c r="F827" i="4"/>
  <c r="I827"/>
  <c r="F827" i="22" s="1"/>
  <c r="F828" i="12"/>
  <c r="F828" i="17"/>
  <c r="F828" i="9"/>
  <c r="G828" s="1"/>
  <c r="K828" i="5"/>
  <c r="L828" s="1"/>
  <c r="F828"/>
  <c r="F828" i="10"/>
  <c r="F828" i="11"/>
  <c r="G828" s="1"/>
  <c r="F828" i="8"/>
  <c r="G828" s="1"/>
  <c r="N828" i="7"/>
  <c r="F828"/>
  <c r="F828" i="4"/>
  <c r="I828"/>
  <c r="F828" i="22" s="1"/>
  <c r="F829" i="12"/>
  <c r="F829" i="17"/>
  <c r="F829" i="9"/>
  <c r="G829" s="1"/>
  <c r="K829" i="5"/>
  <c r="L829" s="1"/>
  <c r="F829"/>
  <c r="F829" i="10"/>
  <c r="F829" i="11"/>
  <c r="G829" s="1"/>
  <c r="F829" i="8"/>
  <c r="G829" s="1"/>
  <c r="N829" i="7"/>
  <c r="F829"/>
  <c r="F829" i="4"/>
  <c r="I829"/>
  <c r="F829" i="22" s="1"/>
  <c r="F830" i="12"/>
  <c r="F830" i="17"/>
  <c r="F830" i="9"/>
  <c r="G830" s="1"/>
  <c r="K830" i="5"/>
  <c r="L830" s="1"/>
  <c r="F830"/>
  <c r="F830" i="10"/>
  <c r="F830" i="11"/>
  <c r="G830" s="1"/>
  <c r="F830" i="8"/>
  <c r="G830" s="1"/>
  <c r="N830" i="7"/>
  <c r="F830"/>
  <c r="F830" i="4"/>
  <c r="I830"/>
  <c r="F830" i="22" s="1"/>
  <c r="F831" i="12"/>
  <c r="F831" i="17"/>
  <c r="F831" i="9"/>
  <c r="G831" s="1"/>
  <c r="K831" i="5"/>
  <c r="L831" s="1"/>
  <c r="F831"/>
  <c r="F831" i="10"/>
  <c r="F831" i="11"/>
  <c r="G831" s="1"/>
  <c r="F831" i="8"/>
  <c r="G831" s="1"/>
  <c r="N831" i="7"/>
  <c r="F831"/>
  <c r="F831" i="4"/>
  <c r="I831"/>
  <c r="F831" i="22" s="1"/>
  <c r="F832" i="12"/>
  <c r="F832" i="17"/>
  <c r="F832" i="9"/>
  <c r="G832" s="1"/>
  <c r="K832" i="5"/>
  <c r="L832" s="1"/>
  <c r="F832"/>
  <c r="F832" i="10"/>
  <c r="F832" i="11"/>
  <c r="G832" s="1"/>
  <c r="F832" i="8"/>
  <c r="G832" s="1"/>
  <c r="N832" i="7"/>
  <c r="F832"/>
  <c r="F832" i="4"/>
  <c r="I832"/>
  <c r="F832" i="22" s="1"/>
  <c r="F833" i="12"/>
  <c r="F833" i="17"/>
  <c r="F833" i="9"/>
  <c r="G833" s="1"/>
  <c r="K833" i="5"/>
  <c r="L833" s="1"/>
  <c r="F833"/>
  <c r="F833" i="10"/>
  <c r="F833" i="11"/>
  <c r="G833" s="1"/>
  <c r="F833" i="8"/>
  <c r="G833" s="1"/>
  <c r="N833" i="7"/>
  <c r="F833"/>
  <c r="F833" i="4"/>
  <c r="I833"/>
  <c r="F833" i="22" s="1"/>
  <c r="F834" i="18"/>
  <c r="G834" s="1"/>
  <c r="F834" i="12"/>
  <c r="F834" i="17"/>
  <c r="F834" i="9"/>
  <c r="G834" s="1"/>
  <c r="K834" i="5"/>
  <c r="L834" s="1"/>
  <c r="F834"/>
  <c r="F834" i="10"/>
  <c r="F834" i="11"/>
  <c r="G834" s="1"/>
  <c r="F834" i="8"/>
  <c r="G834" s="1"/>
  <c r="N834" i="7"/>
  <c r="F834"/>
  <c r="F834" i="4"/>
  <c r="I834"/>
  <c r="F834" i="22" s="1"/>
  <c r="F835" i="12"/>
  <c r="F835" i="17"/>
  <c r="F835" i="9"/>
  <c r="G835" s="1"/>
  <c r="K835" i="5"/>
  <c r="L835" s="1"/>
  <c r="F835"/>
  <c r="F835" i="10"/>
  <c r="F835" i="11"/>
  <c r="G835" s="1"/>
  <c r="F835" i="8"/>
  <c r="G835" s="1"/>
  <c r="N835" i="7"/>
  <c r="F835"/>
  <c r="F835" i="4"/>
  <c r="I835"/>
  <c r="F835" i="22" s="1"/>
  <c r="F836" i="12"/>
  <c r="F836" i="17"/>
  <c r="F836" i="9"/>
  <c r="G836" s="1"/>
  <c r="K836" i="5"/>
  <c r="L836" s="1"/>
  <c r="F836"/>
  <c r="F836" i="10"/>
  <c r="F836" i="11"/>
  <c r="G836" s="1"/>
  <c r="F836" i="8"/>
  <c r="G836" s="1"/>
  <c r="N836" i="7"/>
  <c r="F836"/>
  <c r="F836" i="4"/>
  <c r="I836"/>
  <c r="F836" i="22" s="1"/>
  <c r="F837" i="12"/>
  <c r="F837" i="17"/>
  <c r="F837" i="9"/>
  <c r="G837" s="1"/>
  <c r="K837" i="5"/>
  <c r="L837" s="1"/>
  <c r="F837"/>
  <c r="F837" i="10"/>
  <c r="F837" i="11"/>
  <c r="G837" s="1"/>
  <c r="F837" i="8"/>
  <c r="G837" s="1"/>
  <c r="N837" i="7"/>
  <c r="F837"/>
  <c r="F837" i="4"/>
  <c r="I837"/>
  <c r="F837" i="22" s="1"/>
  <c r="F838" i="12"/>
  <c r="F838" i="17"/>
  <c r="F838" i="9"/>
  <c r="G838" s="1"/>
  <c r="K838" i="5"/>
  <c r="L838" s="1"/>
  <c r="F838"/>
  <c r="F838" i="10"/>
  <c r="F838" i="11"/>
  <c r="G838" s="1"/>
  <c r="F838" i="8"/>
  <c r="G838" s="1"/>
  <c r="N838" i="7"/>
  <c r="F838"/>
  <c r="F838" i="4"/>
  <c r="I838"/>
  <c r="F838" i="22" s="1"/>
  <c r="F839" i="12"/>
  <c r="F839" i="17"/>
  <c r="F839" i="9"/>
  <c r="G839" s="1"/>
  <c r="K839" i="5"/>
  <c r="L839" s="1"/>
  <c r="F839"/>
  <c r="F839" i="10"/>
  <c r="F839" i="11"/>
  <c r="G839" s="1"/>
  <c r="F839" i="8"/>
  <c r="G839" s="1"/>
  <c r="N839" i="7"/>
  <c r="F839"/>
  <c r="F839" i="4"/>
  <c r="I839"/>
  <c r="F839" i="22" s="1"/>
  <c r="F840" i="12"/>
  <c r="F840" i="17"/>
  <c r="F840" i="9"/>
  <c r="G840" s="1"/>
  <c r="K840" i="5"/>
  <c r="L840" s="1"/>
  <c r="F840"/>
  <c r="F840" i="10"/>
  <c r="F840" i="11"/>
  <c r="G840" s="1"/>
  <c r="F840" i="8"/>
  <c r="G840" s="1"/>
  <c r="N840" i="7"/>
  <c r="F840"/>
  <c r="F840" i="4"/>
  <c r="I840"/>
  <c r="F840" i="22" s="1"/>
  <c r="F841" i="12"/>
  <c r="F841" i="17"/>
  <c r="F841" i="9"/>
  <c r="G841" s="1"/>
  <c r="K841" i="5"/>
  <c r="L841" s="1"/>
  <c r="F841"/>
  <c r="F841" i="10"/>
  <c r="F841" i="11"/>
  <c r="G841" s="1"/>
  <c r="F841" i="8"/>
  <c r="G841" s="1"/>
  <c r="N841" i="7"/>
  <c r="F841"/>
  <c r="F841" i="4"/>
  <c r="I841"/>
  <c r="F841" i="22" s="1"/>
  <c r="F842" i="12"/>
  <c r="F842" i="17"/>
  <c r="F842" i="9"/>
  <c r="G842" s="1"/>
  <c r="K842" i="5"/>
  <c r="L842" s="1"/>
  <c r="F842"/>
  <c r="F842" i="10"/>
  <c r="F842" i="11"/>
  <c r="G842" s="1"/>
  <c r="F842" i="8"/>
  <c r="G842" s="1"/>
  <c r="N842" i="7"/>
  <c r="F842"/>
  <c r="F842" i="4"/>
  <c r="I842"/>
  <c r="F842" i="22" s="1"/>
  <c r="F843" i="12"/>
  <c r="F843" i="17"/>
  <c r="F843" i="9"/>
  <c r="G843" s="1"/>
  <c r="K843" i="5"/>
  <c r="L843" s="1"/>
  <c r="F843"/>
  <c r="F843" i="10"/>
  <c r="F843" i="11"/>
  <c r="G843" s="1"/>
  <c r="F843" i="8"/>
  <c r="G843" s="1"/>
  <c r="N843" i="7"/>
  <c r="F843"/>
  <c r="F843" i="4"/>
  <c r="I843"/>
  <c r="F843" i="22" s="1"/>
  <c r="F844" i="12"/>
  <c r="F844" i="17"/>
  <c r="F844" i="9"/>
  <c r="G844" s="1"/>
  <c r="K844" i="5"/>
  <c r="L844" s="1"/>
  <c r="F844"/>
  <c r="F844" i="10"/>
  <c r="F844" i="11"/>
  <c r="G844" s="1"/>
  <c r="F844" i="8"/>
  <c r="G844" s="1"/>
  <c r="N844" i="7"/>
  <c r="F844"/>
  <c r="F844" i="4"/>
  <c r="I844"/>
  <c r="F844" i="22" s="1"/>
  <c r="F845" i="12"/>
  <c r="F845" i="17"/>
  <c r="F845" i="9"/>
  <c r="G845" s="1"/>
  <c r="K845" i="5"/>
  <c r="L845" s="1"/>
  <c r="F845"/>
  <c r="F845" i="10"/>
  <c r="F845" i="11"/>
  <c r="G845" s="1"/>
  <c r="F845" i="8"/>
  <c r="G845" s="1"/>
  <c r="N845" i="7"/>
  <c r="F845"/>
  <c r="F845" i="4"/>
  <c r="I845"/>
  <c r="F845" i="22" s="1"/>
  <c r="F846" i="12"/>
  <c r="F846" i="17"/>
  <c r="F846" i="9"/>
  <c r="G846" s="1"/>
  <c r="K846" i="5"/>
  <c r="L846" s="1"/>
  <c r="F846"/>
  <c r="F846" i="10"/>
  <c r="F846" i="11"/>
  <c r="G846" s="1"/>
  <c r="F846" i="8"/>
  <c r="G846" s="1"/>
  <c r="N846" i="7"/>
  <c r="F846"/>
  <c r="F846" i="4"/>
  <c r="I846"/>
  <c r="F846" i="22" s="1"/>
  <c r="F847" i="12"/>
  <c r="F847" i="17"/>
  <c r="F847" i="9"/>
  <c r="G847" s="1"/>
  <c r="K847" i="5"/>
  <c r="L847" s="1"/>
  <c r="F847"/>
  <c r="F847" i="10"/>
  <c r="F847" i="11"/>
  <c r="G847" s="1"/>
  <c r="F847" i="8"/>
  <c r="G847" s="1"/>
  <c r="N847" i="7"/>
  <c r="F847"/>
  <c r="F847" i="4"/>
  <c r="I847"/>
  <c r="F847" i="22" s="1"/>
  <c r="F848" i="12"/>
  <c r="F848" i="17"/>
  <c r="F848" i="9"/>
  <c r="G848" s="1"/>
  <c r="K848" i="5"/>
  <c r="L848" s="1"/>
  <c r="F848"/>
  <c r="F848" i="10"/>
  <c r="F848" i="11"/>
  <c r="G848" s="1"/>
  <c r="F848" i="8"/>
  <c r="G848" s="1"/>
  <c r="N848" i="7"/>
  <c r="F848"/>
  <c r="F848" i="4"/>
  <c r="I848"/>
  <c r="F848" i="22" s="1"/>
  <c r="F849" i="12"/>
  <c r="F849" i="17"/>
  <c r="F849" i="9"/>
  <c r="G849" s="1"/>
  <c r="K849" i="5"/>
  <c r="L849" s="1"/>
  <c r="F849"/>
  <c r="F849" i="10"/>
  <c r="F849" i="11"/>
  <c r="G849" s="1"/>
  <c r="F849" i="8"/>
  <c r="G849" s="1"/>
  <c r="N849" i="7"/>
  <c r="F849"/>
  <c r="F849" i="4"/>
  <c r="I849"/>
  <c r="F849" i="22" s="1"/>
  <c r="F850" i="12"/>
  <c r="F850" i="17"/>
  <c r="F850" i="9"/>
  <c r="G850" s="1"/>
  <c r="K850" i="5"/>
  <c r="L850" s="1"/>
  <c r="F850"/>
  <c r="F850" i="10"/>
  <c r="F850" i="11"/>
  <c r="G850" s="1"/>
  <c r="F850" i="8"/>
  <c r="G850" s="1"/>
  <c r="N850" i="7"/>
  <c r="F850"/>
  <c r="F850" i="4"/>
  <c r="I850"/>
  <c r="F850" i="22" s="1"/>
  <c r="F851" i="12"/>
  <c r="F851" i="17"/>
  <c r="F851" i="9"/>
  <c r="G851" s="1"/>
  <c r="K851" i="5"/>
  <c r="L851" s="1"/>
  <c r="F851"/>
  <c r="F851" i="10"/>
  <c r="F851" i="11"/>
  <c r="G851" s="1"/>
  <c r="F851" i="8"/>
  <c r="G851" s="1"/>
  <c r="N851" i="7"/>
  <c r="F851"/>
  <c r="F851" i="4"/>
  <c r="I851"/>
  <c r="F851" i="22" s="1"/>
  <c r="F852" i="12"/>
  <c r="F852" i="17"/>
  <c r="F852" i="9"/>
  <c r="G852" s="1"/>
  <c r="K852" i="5"/>
  <c r="L852" s="1"/>
  <c r="F852"/>
  <c r="F852" i="10"/>
  <c r="F852" i="11"/>
  <c r="G852" s="1"/>
  <c r="F852" i="8"/>
  <c r="G852" s="1"/>
  <c r="N852" i="7"/>
  <c r="F852"/>
  <c r="F852" i="4"/>
  <c r="I852"/>
  <c r="F852" i="22" s="1"/>
  <c r="F853" i="12"/>
  <c r="F853" i="17"/>
  <c r="F853" i="9"/>
  <c r="G853" s="1"/>
  <c r="K853" i="5"/>
  <c r="L853" s="1"/>
  <c r="F853"/>
  <c r="F853" i="10"/>
  <c r="F853" i="11"/>
  <c r="G853" s="1"/>
  <c r="F853" i="8"/>
  <c r="G853" s="1"/>
  <c r="N853" i="7"/>
  <c r="F853"/>
  <c r="F853" i="4"/>
  <c r="I853"/>
  <c r="F853" i="22" s="1"/>
  <c r="F854" i="12"/>
  <c r="F854" i="17"/>
  <c r="F854" i="9"/>
  <c r="G854" s="1"/>
  <c r="K854" i="5"/>
  <c r="L854" s="1"/>
  <c r="F854"/>
  <c r="F854" i="10"/>
  <c r="F854" i="11"/>
  <c r="G854" s="1"/>
  <c r="F854" i="8"/>
  <c r="G854" s="1"/>
  <c r="N854" i="7"/>
  <c r="F854"/>
  <c r="F854" i="4"/>
  <c r="I854"/>
  <c r="F854" i="22" s="1"/>
  <c r="F855" i="12"/>
  <c r="F855" i="17"/>
  <c r="F855" i="9"/>
  <c r="G855" s="1"/>
  <c r="K855" i="5"/>
  <c r="L855" s="1"/>
  <c r="F855"/>
  <c r="F855" i="10"/>
  <c r="F855" i="11"/>
  <c r="G855" s="1"/>
  <c r="F855" i="8"/>
  <c r="G855" s="1"/>
  <c r="N855" i="7"/>
  <c r="F855"/>
  <c r="F855" i="4"/>
  <c r="I855"/>
  <c r="F855" i="22" s="1"/>
  <c r="F856" i="12"/>
  <c r="F856" i="17"/>
  <c r="F856" i="9"/>
  <c r="G856" s="1"/>
  <c r="K856" i="5"/>
  <c r="L856" s="1"/>
  <c r="F856"/>
  <c r="F856" i="10"/>
  <c r="F856" i="11"/>
  <c r="G856" s="1"/>
  <c r="F856" i="8"/>
  <c r="G856" s="1"/>
  <c r="N856" i="7"/>
  <c r="F856"/>
  <c r="F856" i="4"/>
  <c r="I856"/>
  <c r="F856" i="22" s="1"/>
  <c r="F857" i="12"/>
  <c r="F857" i="17"/>
  <c r="F857" i="9"/>
  <c r="G857" s="1"/>
  <c r="K857" i="5"/>
  <c r="L857" s="1"/>
  <c r="F857"/>
  <c r="F857" i="10"/>
  <c r="F857" i="11"/>
  <c r="G857" s="1"/>
  <c r="F857" i="8"/>
  <c r="G857" s="1"/>
  <c r="N857" i="7"/>
  <c r="F857"/>
  <c r="F857" i="4"/>
  <c r="I857"/>
  <c r="F857" i="22" s="1"/>
  <c r="F858" i="12"/>
  <c r="F858" i="17"/>
  <c r="F858" i="9"/>
  <c r="G858" s="1"/>
  <c r="K858" i="5"/>
  <c r="L858" s="1"/>
  <c r="F858"/>
  <c r="F858" i="10"/>
  <c r="F858" i="11"/>
  <c r="G858" s="1"/>
  <c r="F858" i="8"/>
  <c r="G858" s="1"/>
  <c r="N858" i="7"/>
  <c r="F858"/>
  <c r="F858" i="4"/>
  <c r="I858"/>
  <c r="F858" i="22" s="1"/>
  <c r="F859" i="12"/>
  <c r="F859" i="17"/>
  <c r="F859" i="9"/>
  <c r="G859" s="1"/>
  <c r="K859" i="5"/>
  <c r="L859" s="1"/>
  <c r="F859"/>
  <c r="F859" i="10"/>
  <c r="F859" i="11"/>
  <c r="G859" s="1"/>
  <c r="F859" i="8"/>
  <c r="G859" s="1"/>
  <c r="N859" i="7"/>
  <c r="F859"/>
  <c r="F859" i="4"/>
  <c r="I859"/>
  <c r="F859" i="22" s="1"/>
  <c r="F860" i="12"/>
  <c r="F860" i="17"/>
  <c r="F860" i="9"/>
  <c r="G860" s="1"/>
  <c r="K860" i="5"/>
  <c r="L860" s="1"/>
  <c r="F860"/>
  <c r="F860" i="10"/>
  <c r="F860" i="11"/>
  <c r="G860" s="1"/>
  <c r="F860" i="8"/>
  <c r="G860" s="1"/>
  <c r="N860" i="7"/>
  <c r="F860"/>
  <c r="F860" i="4"/>
  <c r="I860"/>
  <c r="F860" i="22" s="1"/>
  <c r="F861" i="12"/>
  <c r="F861" i="17"/>
  <c r="F861" i="9"/>
  <c r="G861" s="1"/>
  <c r="K861" i="5"/>
  <c r="L861" s="1"/>
  <c r="F861"/>
  <c r="F861" i="10"/>
  <c r="F861" i="11"/>
  <c r="G861" s="1"/>
  <c r="F861" i="8"/>
  <c r="G861" s="1"/>
  <c r="N861" i="7"/>
  <c r="F861"/>
  <c r="F861" i="4"/>
  <c r="I861"/>
  <c r="F861" i="22" s="1"/>
  <c r="F862" i="12"/>
  <c r="F862" i="17"/>
  <c r="F862" i="9"/>
  <c r="G862" s="1"/>
  <c r="K862" i="5"/>
  <c r="L862" s="1"/>
  <c r="F862"/>
  <c r="F862" i="10"/>
  <c r="F862" i="11"/>
  <c r="G862" s="1"/>
  <c r="F862" i="8"/>
  <c r="G862" s="1"/>
  <c r="N862" i="7"/>
  <c r="F862"/>
  <c r="F862" i="4"/>
  <c r="I862"/>
  <c r="F862" i="22" s="1"/>
  <c r="F863" i="12"/>
  <c r="F863" i="17"/>
  <c r="F863" i="9"/>
  <c r="G863" s="1"/>
  <c r="K863" i="5"/>
  <c r="L863" s="1"/>
  <c r="F863"/>
  <c r="F863" i="10"/>
  <c r="F863" i="11"/>
  <c r="G863" s="1"/>
  <c r="F863" i="8"/>
  <c r="G863" s="1"/>
  <c r="N863" i="7"/>
  <c r="F863"/>
  <c r="F863" i="4"/>
  <c r="I863"/>
  <c r="F863" i="22" s="1"/>
  <c r="F864" i="12"/>
  <c r="F864" i="17"/>
  <c r="F864" i="9"/>
  <c r="G864" s="1"/>
  <c r="K864" i="5"/>
  <c r="L864" s="1"/>
  <c r="F864"/>
  <c r="F864" i="10"/>
  <c r="F864" i="11"/>
  <c r="G864" s="1"/>
  <c r="F864" i="8"/>
  <c r="G864" s="1"/>
  <c r="N864" i="7"/>
  <c r="F864"/>
  <c r="F864" i="4"/>
  <c r="I864"/>
  <c r="F864" i="22" s="1"/>
  <c r="F865" i="12"/>
  <c r="F865" i="17"/>
  <c r="F865" i="9"/>
  <c r="G865" s="1"/>
  <c r="K865" i="5"/>
  <c r="L865" s="1"/>
  <c r="F865"/>
  <c r="F865" i="10"/>
  <c r="F865" i="11"/>
  <c r="G865" s="1"/>
  <c r="F865" i="8"/>
  <c r="G865" s="1"/>
  <c r="N865" i="7"/>
  <c r="F865"/>
  <c r="F865" i="4"/>
  <c r="I865"/>
  <c r="F865" i="22" s="1"/>
  <c r="F866" i="12"/>
  <c r="F866" i="17"/>
  <c r="F866" i="9"/>
  <c r="G866" s="1"/>
  <c r="K866" i="5"/>
  <c r="L866" s="1"/>
  <c r="F866"/>
  <c r="F866" i="10"/>
  <c r="F866" i="11"/>
  <c r="G866" s="1"/>
  <c r="F866" i="8"/>
  <c r="G866" s="1"/>
  <c r="N866" i="7"/>
  <c r="F866"/>
  <c r="F866" i="4"/>
  <c r="I866"/>
  <c r="F866" i="22" s="1"/>
  <c r="F867" i="12"/>
  <c r="F867" i="17"/>
  <c r="F867" i="9"/>
  <c r="G867" s="1"/>
  <c r="K867" i="5"/>
  <c r="L867" s="1"/>
  <c r="F867"/>
  <c r="F867" i="10"/>
  <c r="F867" i="11"/>
  <c r="G867" s="1"/>
  <c r="F867" i="8"/>
  <c r="G867" s="1"/>
  <c r="N867" i="7"/>
  <c r="F867"/>
  <c r="F867" i="4"/>
  <c r="I867"/>
  <c r="F867" i="22" s="1"/>
  <c r="F868" i="12"/>
  <c r="F868" i="17"/>
  <c r="F868" i="9"/>
  <c r="G868" s="1"/>
  <c r="K868" i="5"/>
  <c r="L868" s="1"/>
  <c r="F868"/>
  <c r="F868" i="10"/>
  <c r="F868" i="11"/>
  <c r="G868" s="1"/>
  <c r="F868" i="8"/>
  <c r="G868" s="1"/>
  <c r="N868" i="7"/>
  <c r="F868"/>
  <c r="F868" i="4"/>
  <c r="I868"/>
  <c r="F868" i="22" s="1"/>
  <c r="F869" i="12"/>
  <c r="F869" i="17"/>
  <c r="F869" i="9"/>
  <c r="G869" s="1"/>
  <c r="K869" i="5"/>
  <c r="L869" s="1"/>
  <c r="F869"/>
  <c r="F869" i="10"/>
  <c r="F869" i="11"/>
  <c r="G869" s="1"/>
  <c r="F869" i="8"/>
  <c r="G869" s="1"/>
  <c r="N869" i="7"/>
  <c r="F869"/>
  <c r="F869" i="4"/>
  <c r="I869"/>
  <c r="F869" i="22" s="1"/>
  <c r="F870" i="12"/>
  <c r="F870" i="17"/>
  <c r="F870" i="9"/>
  <c r="G870" s="1"/>
  <c r="K870" i="5"/>
  <c r="L870" s="1"/>
  <c r="F870"/>
  <c r="F870" i="10"/>
  <c r="F870" i="11"/>
  <c r="G870" s="1"/>
  <c r="F870" i="8"/>
  <c r="G870" s="1"/>
  <c r="N870" i="7"/>
  <c r="F870"/>
  <c r="F870" i="4"/>
  <c r="I870"/>
  <c r="F870" i="22" s="1"/>
  <c r="F871" i="12"/>
  <c r="F871" i="17"/>
  <c r="F871" i="9"/>
  <c r="G871" s="1"/>
  <c r="K871" i="5"/>
  <c r="L871" s="1"/>
  <c r="F871"/>
  <c r="F871" i="10"/>
  <c r="F871" i="11"/>
  <c r="G871" s="1"/>
  <c r="F871" i="8"/>
  <c r="G871" s="1"/>
  <c r="N871" i="7"/>
  <c r="F871"/>
  <c r="F871" i="4"/>
  <c r="I871"/>
  <c r="F871" i="22" s="1"/>
  <c r="F872" i="12"/>
  <c r="F872" i="17"/>
  <c r="F872" i="9"/>
  <c r="G872" s="1"/>
  <c r="K872" i="5"/>
  <c r="L872" s="1"/>
  <c r="F872"/>
  <c r="F872" i="10"/>
  <c r="F872" i="11"/>
  <c r="G872" s="1"/>
  <c r="F872" i="8"/>
  <c r="G872" s="1"/>
  <c r="N872" i="7"/>
  <c r="F872"/>
  <c r="F872" i="4"/>
  <c r="I872"/>
  <c r="F872" i="22" s="1"/>
  <c r="F873" i="14"/>
  <c r="G873" s="1"/>
  <c r="F873" i="18"/>
  <c r="G873" s="1"/>
  <c r="F873" i="12"/>
  <c r="F873" i="17"/>
  <c r="F873" i="9"/>
  <c r="G873" s="1"/>
  <c r="K873" i="5"/>
  <c r="L873" s="1"/>
  <c r="F873"/>
  <c r="F873" i="10"/>
  <c r="F873" i="11"/>
  <c r="G873" s="1"/>
  <c r="F873" i="8"/>
  <c r="G873" s="1"/>
  <c r="N873" i="7"/>
  <c r="F873"/>
  <c r="F873" i="4"/>
  <c r="I873"/>
  <c r="F873" i="22" s="1"/>
  <c r="F874" i="14"/>
  <c r="G874" s="1"/>
  <c r="F874" i="18"/>
  <c r="G874" s="1"/>
  <c r="F874" i="12"/>
  <c r="F874" i="17"/>
  <c r="F874" i="9"/>
  <c r="G874" s="1"/>
  <c r="K874" i="5"/>
  <c r="L874" s="1"/>
  <c r="F874"/>
  <c r="F874" i="10"/>
  <c r="F874" i="11"/>
  <c r="G874" s="1"/>
  <c r="F874" i="8"/>
  <c r="G874" s="1"/>
  <c r="N874" i="7"/>
  <c r="F874"/>
  <c r="F874" i="4"/>
  <c r="I874"/>
  <c r="F874" i="22" s="1"/>
  <c r="F875" i="12"/>
  <c r="F875" i="17"/>
  <c r="F875" i="9"/>
  <c r="G875" s="1"/>
  <c r="K875" i="5"/>
  <c r="L875" s="1"/>
  <c r="F875"/>
  <c r="F875" i="10"/>
  <c r="F875" i="11"/>
  <c r="G875" s="1"/>
  <c r="F875" i="8"/>
  <c r="G875" s="1"/>
  <c r="N875" i="7"/>
  <c r="F875"/>
  <c r="F875" i="4"/>
  <c r="I875"/>
  <c r="F875" i="22" s="1"/>
  <c r="F92" i="12"/>
  <c r="F92" i="17"/>
  <c r="F92" i="9"/>
  <c r="G92" s="1"/>
  <c r="K92" i="5"/>
  <c r="L92" s="1"/>
  <c r="F92"/>
  <c r="F92" i="10"/>
  <c r="F92" i="11"/>
  <c r="G92" s="1"/>
  <c r="F92" i="8"/>
  <c r="G92" s="1"/>
  <c r="F92" i="7"/>
  <c r="F92" i="4"/>
  <c r="I92" s="1"/>
  <c r="F92" i="22" s="1"/>
  <c r="F93" i="12"/>
  <c r="F93" i="17"/>
  <c r="F93" i="9"/>
  <c r="G93" s="1"/>
  <c r="K93" i="5"/>
  <c r="L93" s="1"/>
  <c r="F93"/>
  <c r="F93" i="10"/>
  <c r="O93" s="1"/>
  <c r="F93" i="11"/>
  <c r="G93" s="1"/>
  <c r="F93" i="8"/>
  <c r="G93" s="1"/>
  <c r="F93" i="7"/>
  <c r="F93" i="4"/>
  <c r="I93" s="1"/>
  <c r="F93" i="22" s="1"/>
  <c r="F94" i="12"/>
  <c r="F94" i="17"/>
  <c r="F94" i="9"/>
  <c r="G94" s="1"/>
  <c r="K94" i="5"/>
  <c r="L94" s="1"/>
  <c r="F94"/>
  <c r="F94" i="10"/>
  <c r="O94" s="1"/>
  <c r="F94" i="11"/>
  <c r="G94" s="1"/>
  <c r="F94" i="8"/>
  <c r="G94" s="1"/>
  <c r="F94" i="7"/>
  <c r="F94" i="4"/>
  <c r="I94" s="1"/>
  <c r="F94" i="22" s="1"/>
  <c r="F95" i="12"/>
  <c r="F95" i="17"/>
  <c r="F95" i="9"/>
  <c r="G95" s="1"/>
  <c r="K95" i="5"/>
  <c r="L95" s="1"/>
  <c r="F95"/>
  <c r="F95" i="10"/>
  <c r="O95" s="1"/>
  <c r="F95" i="11"/>
  <c r="G95" s="1"/>
  <c r="F95" i="8"/>
  <c r="G95" s="1"/>
  <c r="F95" i="7"/>
  <c r="F95" i="4"/>
  <c r="I95" s="1"/>
  <c r="F95" i="22" s="1"/>
  <c r="F96" i="12"/>
  <c r="F96" i="17"/>
  <c r="F96" i="9"/>
  <c r="G96" s="1"/>
  <c r="K96" i="5"/>
  <c r="L96" s="1"/>
  <c r="F96"/>
  <c r="F96" i="10"/>
  <c r="O96" s="1"/>
  <c r="F96" i="11"/>
  <c r="G96" s="1"/>
  <c r="F96" i="8"/>
  <c r="G96" s="1"/>
  <c r="F96" i="7"/>
  <c r="F96" i="4"/>
  <c r="I96" s="1"/>
  <c r="F96" i="22" s="1"/>
  <c r="F97" i="12"/>
  <c r="F97" i="17"/>
  <c r="F97" i="9"/>
  <c r="G97" s="1"/>
  <c r="K97" i="5"/>
  <c r="L97" s="1"/>
  <c r="F97"/>
  <c r="F97" i="10"/>
  <c r="O97" s="1"/>
  <c r="F97" i="11"/>
  <c r="G97" s="1"/>
  <c r="F97" i="8"/>
  <c r="G97" s="1"/>
  <c r="F97" i="7"/>
  <c r="F97" i="4"/>
  <c r="I97" s="1"/>
  <c r="F97" i="22" s="1"/>
  <c r="F98" i="12"/>
  <c r="F98" i="17"/>
  <c r="F98" i="9"/>
  <c r="G98" s="1"/>
  <c r="K98" i="5"/>
  <c r="L98" s="1"/>
  <c r="F98"/>
  <c r="F98" i="10"/>
  <c r="O98" s="1"/>
  <c r="F98" i="11"/>
  <c r="G98" s="1"/>
  <c r="F98" i="8"/>
  <c r="G98" s="1"/>
  <c r="F98" i="7"/>
  <c r="F98" i="4"/>
  <c r="I98" s="1"/>
  <c r="F98" i="22" s="1"/>
  <c r="F99" i="12"/>
  <c r="F99" i="17"/>
  <c r="F99" i="9"/>
  <c r="G99" s="1"/>
  <c r="K99" i="5"/>
  <c r="L99" s="1"/>
  <c r="F99"/>
  <c r="F99" i="10"/>
  <c r="O99" s="1"/>
  <c r="F99" i="11"/>
  <c r="G99" s="1"/>
  <c r="F99" i="8"/>
  <c r="G99" s="1"/>
  <c r="F99" i="7"/>
  <c r="F99" i="4"/>
  <c r="I99" s="1"/>
  <c r="F99" i="22" s="1"/>
  <c r="F100" i="12"/>
  <c r="F100" i="17"/>
  <c r="F100" i="9"/>
  <c r="G100" s="1"/>
  <c r="K100" i="5"/>
  <c r="L100" s="1"/>
  <c r="F100"/>
  <c r="F100" i="10"/>
  <c r="O100" s="1"/>
  <c r="F100" i="11"/>
  <c r="G100" s="1"/>
  <c r="F100" i="8"/>
  <c r="G100" s="1"/>
  <c r="F100" i="7"/>
  <c r="F100" i="4"/>
  <c r="I100" s="1"/>
  <c r="F100" i="22" s="1"/>
  <c r="F101" i="12"/>
  <c r="F101" i="17"/>
  <c r="F101" i="9"/>
  <c r="G101" s="1"/>
  <c r="K101" i="5"/>
  <c r="L101" s="1"/>
  <c r="F101"/>
  <c r="F101" i="10"/>
  <c r="O101" s="1"/>
  <c r="F101" i="11"/>
  <c r="G101" s="1"/>
  <c r="F101" i="8"/>
  <c r="G101" s="1"/>
  <c r="F101" i="7"/>
  <c r="F101" i="4"/>
  <c r="I101" s="1"/>
  <c r="F101" i="22" s="1"/>
  <c r="F102" i="12"/>
  <c r="F102" i="17"/>
  <c r="F102" i="9"/>
  <c r="G102" s="1"/>
  <c r="K102" i="5"/>
  <c r="L102" s="1"/>
  <c r="F102"/>
  <c r="F102" i="10"/>
  <c r="O102" s="1"/>
  <c r="F102" i="11"/>
  <c r="G102" s="1"/>
  <c r="F102" i="8"/>
  <c r="G102" s="1"/>
  <c r="F102" i="7"/>
  <c r="F102" i="4"/>
  <c r="I102" s="1"/>
  <c r="F102" i="22" s="1"/>
  <c r="F103" i="12"/>
  <c r="F103" i="17"/>
  <c r="F103" i="9"/>
  <c r="G103" s="1"/>
  <c r="K103" i="5"/>
  <c r="L103" s="1"/>
  <c r="F103"/>
  <c r="F103" i="10"/>
  <c r="O103" s="1"/>
  <c r="F103" i="11"/>
  <c r="G103" s="1"/>
  <c r="F103" i="8"/>
  <c r="G103" s="1"/>
  <c r="F103" i="7"/>
  <c r="F103" i="4"/>
  <c r="I103" s="1"/>
  <c r="F103" i="22" s="1"/>
  <c r="F104" i="12"/>
  <c r="F104" i="17"/>
  <c r="F104" i="9"/>
  <c r="G104" s="1"/>
  <c r="K104" i="5"/>
  <c r="L104" s="1"/>
  <c r="F104"/>
  <c r="F104" i="10"/>
  <c r="O104" s="1"/>
  <c r="F104" i="11"/>
  <c r="G104" s="1"/>
  <c r="F104" i="8"/>
  <c r="G104" s="1"/>
  <c r="F104" i="7"/>
  <c r="F104" i="4"/>
  <c r="I104" s="1"/>
  <c r="F104" i="22" s="1"/>
  <c r="F105" i="12"/>
  <c r="F105" i="17"/>
  <c r="F105" i="9"/>
  <c r="G105" s="1"/>
  <c r="K105" i="5"/>
  <c r="L105" s="1"/>
  <c r="F105"/>
  <c r="F105" i="10"/>
  <c r="O105" s="1"/>
  <c r="F105" i="11"/>
  <c r="G105" s="1"/>
  <c r="F105" i="8"/>
  <c r="G105" s="1"/>
  <c r="F105" i="7"/>
  <c r="F105" i="4"/>
  <c r="I105" s="1"/>
  <c r="F105" i="22" s="1"/>
  <c r="F106" i="12"/>
  <c r="F106" i="17"/>
  <c r="F106" i="9"/>
  <c r="G106" s="1"/>
  <c r="K106" i="5"/>
  <c r="L106" s="1"/>
  <c r="F106"/>
  <c r="F106" i="10"/>
  <c r="O106" s="1"/>
  <c r="F106" i="11"/>
  <c r="G106" s="1"/>
  <c r="F106" i="8"/>
  <c r="G106" s="1"/>
  <c r="F106" i="7"/>
  <c r="F106" i="4"/>
  <c r="I106" s="1"/>
  <c r="F106" i="22" s="1"/>
  <c r="F107" i="12"/>
  <c r="F107" i="17"/>
  <c r="F107" i="9"/>
  <c r="G107" s="1"/>
  <c r="K107" i="5"/>
  <c r="L107" s="1"/>
  <c r="F107"/>
  <c r="F107" i="10"/>
  <c r="O107" s="1"/>
  <c r="F107" i="11"/>
  <c r="G107" s="1"/>
  <c r="F107" i="8"/>
  <c r="G107" s="1"/>
  <c r="F107" i="7"/>
  <c r="F107" i="4"/>
  <c r="I107" s="1"/>
  <c r="F107" i="22" s="1"/>
  <c r="F108" i="12"/>
  <c r="F108" i="17"/>
  <c r="F108" i="9"/>
  <c r="G108" s="1"/>
  <c r="K108" i="5"/>
  <c r="L108" s="1"/>
  <c r="F108"/>
  <c r="F108" i="10"/>
  <c r="O108" s="1"/>
  <c r="F108" i="11"/>
  <c r="G108" s="1"/>
  <c r="F108" i="8"/>
  <c r="G108" s="1"/>
  <c r="F108" i="7"/>
  <c r="F108" i="4"/>
  <c r="I108" s="1"/>
  <c r="F108" i="22" s="1"/>
  <c r="F109" i="12"/>
  <c r="F109" i="17"/>
  <c r="F109" i="9"/>
  <c r="G109" s="1"/>
  <c r="K109" i="5"/>
  <c r="L109" s="1"/>
  <c r="F109"/>
  <c r="F109" i="10"/>
  <c r="O109" s="1"/>
  <c r="F109" i="11"/>
  <c r="G109" s="1"/>
  <c r="F109" i="8"/>
  <c r="G109" s="1"/>
  <c r="F109" i="7"/>
  <c r="F109" i="4"/>
  <c r="I109" s="1"/>
  <c r="F109" i="22" s="1"/>
  <c r="F110" i="12"/>
  <c r="F110" i="17"/>
  <c r="F110" i="9"/>
  <c r="G110" s="1"/>
  <c r="K110" i="5"/>
  <c r="L110" s="1"/>
  <c r="F110"/>
  <c r="F110" i="10"/>
  <c r="O110" s="1"/>
  <c r="F110" i="11"/>
  <c r="G110" s="1"/>
  <c r="F110" i="8"/>
  <c r="G110" s="1"/>
  <c r="F110" i="7"/>
  <c r="F110" i="4"/>
  <c r="I110" s="1"/>
  <c r="F110" i="22" s="1"/>
  <c r="F111" i="12"/>
  <c r="F111" i="17"/>
  <c r="F111" i="9"/>
  <c r="G111" s="1"/>
  <c r="K111" i="5"/>
  <c r="L111" s="1"/>
  <c r="F111"/>
  <c r="F111" i="10"/>
  <c r="O111" s="1"/>
  <c r="F111" i="11"/>
  <c r="G111" s="1"/>
  <c r="F111" i="8"/>
  <c r="G111" s="1"/>
  <c r="F111" i="7"/>
  <c r="F111" i="4"/>
  <c r="I111" s="1"/>
  <c r="F111" i="22" s="1"/>
  <c r="F112" i="12"/>
  <c r="F112" i="17"/>
  <c r="F112" i="9"/>
  <c r="G112" s="1"/>
  <c r="K112" i="5"/>
  <c r="L112" s="1"/>
  <c r="F112"/>
  <c r="F112" i="10"/>
  <c r="O112" s="1"/>
  <c r="F112" i="11"/>
  <c r="G112" s="1"/>
  <c r="F112" i="8"/>
  <c r="G112" s="1"/>
  <c r="F112" i="7"/>
  <c r="F112" i="4"/>
  <c r="I112" s="1"/>
  <c r="F112" i="22" s="1"/>
  <c r="F113" i="12"/>
  <c r="F113" i="17"/>
  <c r="F113" i="9"/>
  <c r="G113" s="1"/>
  <c r="K113" i="5"/>
  <c r="L113" s="1"/>
  <c r="F113"/>
  <c r="F113" i="10"/>
  <c r="O113" s="1"/>
  <c r="F113" i="11"/>
  <c r="G113" s="1"/>
  <c r="F113" i="8"/>
  <c r="G113" s="1"/>
  <c r="F113" i="7"/>
  <c r="F113" i="4"/>
  <c r="I113" s="1"/>
  <c r="F113" i="22" s="1"/>
  <c r="F114" i="12"/>
  <c r="F114" i="17"/>
  <c r="F114" i="9"/>
  <c r="G114" s="1"/>
  <c r="K114" i="5"/>
  <c r="L114" s="1"/>
  <c r="F114"/>
  <c r="F114" i="10"/>
  <c r="O114" s="1"/>
  <c r="F114" i="11"/>
  <c r="G114" s="1"/>
  <c r="F114" i="8"/>
  <c r="G114" s="1"/>
  <c r="F114" i="7"/>
  <c r="F114" i="4"/>
  <c r="I114" s="1"/>
  <c r="F114" i="22" s="1"/>
  <c r="F115" i="12"/>
  <c r="F115" i="17"/>
  <c r="F115" i="9"/>
  <c r="G115" s="1"/>
  <c r="K115" i="5"/>
  <c r="L115" s="1"/>
  <c r="F115"/>
  <c r="F115" i="10"/>
  <c r="O115" s="1"/>
  <c r="F115" i="11"/>
  <c r="G115" s="1"/>
  <c r="F115" i="8"/>
  <c r="G115" s="1"/>
  <c r="F115" i="7"/>
  <c r="F115" i="4"/>
  <c r="I115" s="1"/>
  <c r="F115" i="22" s="1"/>
  <c r="F116" i="12"/>
  <c r="F116" i="17"/>
  <c r="F116" i="9"/>
  <c r="G116" s="1"/>
  <c r="K116" i="5"/>
  <c r="L116" s="1"/>
  <c r="F116"/>
  <c r="F116" i="10"/>
  <c r="O116" s="1"/>
  <c r="F116" i="11"/>
  <c r="G116" s="1"/>
  <c r="F116" i="8"/>
  <c r="G116" s="1"/>
  <c r="F116" i="7"/>
  <c r="F116" i="4"/>
  <c r="I116" s="1"/>
  <c r="F116" i="22" s="1"/>
  <c r="F117" i="12"/>
  <c r="F117" i="17"/>
  <c r="F117" i="9"/>
  <c r="G117" s="1"/>
  <c r="K117" i="5"/>
  <c r="L117" s="1"/>
  <c r="F117"/>
  <c r="F117" i="10"/>
  <c r="O117" s="1"/>
  <c r="F117" i="11"/>
  <c r="G117" s="1"/>
  <c r="F117" i="8"/>
  <c r="G117" s="1"/>
  <c r="F117" i="7"/>
  <c r="F117" i="4"/>
  <c r="I117" s="1"/>
  <c r="F117" i="22" s="1"/>
  <c r="F118" i="12"/>
  <c r="F118" i="17"/>
  <c r="F118" i="9"/>
  <c r="G118" s="1"/>
  <c r="K118" i="5"/>
  <c r="L118" s="1"/>
  <c r="F118"/>
  <c r="F118" i="10"/>
  <c r="O118" s="1"/>
  <c r="F118" i="11"/>
  <c r="G118" s="1"/>
  <c r="F118" i="8"/>
  <c r="G118" s="1"/>
  <c r="F118" i="7"/>
  <c r="F118" i="4"/>
  <c r="I118" s="1"/>
  <c r="F118" i="22" s="1"/>
  <c r="F119" i="12"/>
  <c r="F119" i="17"/>
  <c r="F119" i="9"/>
  <c r="G119" s="1"/>
  <c r="K119" i="5"/>
  <c r="L119" s="1"/>
  <c r="F119"/>
  <c r="F119" i="10"/>
  <c r="O119" s="1"/>
  <c r="F119" i="11"/>
  <c r="G119" s="1"/>
  <c r="F119" i="8"/>
  <c r="G119" s="1"/>
  <c r="F119" i="7"/>
  <c r="F119" i="4"/>
  <c r="I119" s="1"/>
  <c r="F119" i="22" s="1"/>
  <c r="F120" i="12"/>
  <c r="F120" i="17"/>
  <c r="F120" i="9"/>
  <c r="G120" s="1"/>
  <c r="K120" i="5"/>
  <c r="L120" s="1"/>
  <c r="F120"/>
  <c r="F120" i="10"/>
  <c r="O120" s="1"/>
  <c r="F120" i="11"/>
  <c r="G120" s="1"/>
  <c r="F120" i="8"/>
  <c r="G120" s="1"/>
  <c r="F120" i="7"/>
  <c r="F120" i="4"/>
  <c r="I120" s="1"/>
  <c r="F120" i="22" s="1"/>
  <c r="F121" i="12"/>
  <c r="F121" i="17"/>
  <c r="F121" i="9"/>
  <c r="G121" s="1"/>
  <c r="K121" i="5"/>
  <c r="L121" s="1"/>
  <c r="F121"/>
  <c r="F121" i="10"/>
  <c r="O121" s="1"/>
  <c r="F121" i="11"/>
  <c r="G121" s="1"/>
  <c r="F121" i="8"/>
  <c r="G121" s="1"/>
  <c r="F121" i="7"/>
  <c r="F121" i="4"/>
  <c r="I121" s="1"/>
  <c r="F121" i="22" s="1"/>
  <c r="F122" i="12"/>
  <c r="F122" i="17"/>
  <c r="F122" i="9"/>
  <c r="G122" s="1"/>
  <c r="K122" i="5"/>
  <c r="L122" s="1"/>
  <c r="F122"/>
  <c r="F122" i="10"/>
  <c r="O122" s="1"/>
  <c r="F122" i="11"/>
  <c r="G122" s="1"/>
  <c r="F122" i="8"/>
  <c r="G122" s="1"/>
  <c r="F122" i="7"/>
  <c r="F122" i="4"/>
  <c r="I122" s="1"/>
  <c r="F122" i="22" s="1"/>
  <c r="F123" i="12"/>
  <c r="F123" i="17"/>
  <c r="F123" i="9"/>
  <c r="G123" s="1"/>
  <c r="K123" i="5"/>
  <c r="L123" s="1"/>
  <c r="F123"/>
  <c r="F123" i="10"/>
  <c r="O123" s="1"/>
  <c r="F123" i="11"/>
  <c r="G123" s="1"/>
  <c r="F123" i="8"/>
  <c r="G123" s="1"/>
  <c r="F123" i="7"/>
  <c r="F123" i="4"/>
  <c r="I123" s="1"/>
  <c r="F123" i="22" s="1"/>
  <c r="F124" i="12"/>
  <c r="F124" i="17"/>
  <c r="F124" i="9"/>
  <c r="G124" s="1"/>
  <c r="K124" i="5"/>
  <c r="L124" s="1"/>
  <c r="F124"/>
  <c r="F124" i="10"/>
  <c r="O124" s="1"/>
  <c r="F124" i="11"/>
  <c r="G124" s="1"/>
  <c r="F124" i="8"/>
  <c r="G124" s="1"/>
  <c r="F124" i="7"/>
  <c r="F124" i="4"/>
  <c r="I124" s="1"/>
  <c r="F124" i="22" s="1"/>
  <c r="F125" i="12"/>
  <c r="F125" i="17"/>
  <c r="F125" i="9"/>
  <c r="G125" s="1"/>
  <c r="K125" i="5"/>
  <c r="L125" s="1"/>
  <c r="F125"/>
  <c r="F125" i="10"/>
  <c r="O125" s="1"/>
  <c r="F125" i="11"/>
  <c r="G125" s="1"/>
  <c r="F125" i="8"/>
  <c r="G125" s="1"/>
  <c r="F125" i="7"/>
  <c r="F125" i="4"/>
  <c r="I125" s="1"/>
  <c r="F125" i="22" s="1"/>
  <c r="F126" i="12"/>
  <c r="F126" i="17"/>
  <c r="F126" i="9"/>
  <c r="G126" s="1"/>
  <c r="K126" i="5"/>
  <c r="L126" s="1"/>
  <c r="F126"/>
  <c r="F126" i="10"/>
  <c r="O126" s="1"/>
  <c r="F126" i="11"/>
  <c r="G126" s="1"/>
  <c r="F126" i="8"/>
  <c r="G126" s="1"/>
  <c r="F126" i="7"/>
  <c r="F126" i="4"/>
  <c r="I126" s="1"/>
  <c r="F126" i="22" s="1"/>
  <c r="F127" i="12"/>
  <c r="F127" i="17"/>
  <c r="F127" i="9"/>
  <c r="G127" s="1"/>
  <c r="K127" i="5"/>
  <c r="L127" s="1"/>
  <c r="F127"/>
  <c r="F127" i="10"/>
  <c r="O127" s="1"/>
  <c r="F127" i="11"/>
  <c r="G127" s="1"/>
  <c r="F127" i="8"/>
  <c r="G127" s="1"/>
  <c r="F127" i="7"/>
  <c r="F127" i="4"/>
  <c r="I127" s="1"/>
  <c r="F127" i="22" s="1"/>
  <c r="F128" i="12"/>
  <c r="F128" i="17"/>
  <c r="F128" i="9"/>
  <c r="G128" s="1"/>
  <c r="K128" i="5"/>
  <c r="L128" s="1"/>
  <c r="F128"/>
  <c r="F128" i="10"/>
  <c r="O128" s="1"/>
  <c r="F128" i="11"/>
  <c r="G128" s="1"/>
  <c r="F128" i="8"/>
  <c r="G128" s="1"/>
  <c r="F128" i="7"/>
  <c r="F128" i="4"/>
  <c r="I128" s="1"/>
  <c r="F128" i="22" s="1"/>
  <c r="F129" i="12"/>
  <c r="F129" i="17"/>
  <c r="F129" i="9"/>
  <c r="G129" s="1"/>
  <c r="K129" i="5"/>
  <c r="L129" s="1"/>
  <c r="F129"/>
  <c r="F129" i="10"/>
  <c r="O129" s="1"/>
  <c r="F129" i="11"/>
  <c r="G129" s="1"/>
  <c r="F129" i="8"/>
  <c r="G129" s="1"/>
  <c r="F129" i="7"/>
  <c r="F129" i="4"/>
  <c r="I129" s="1"/>
  <c r="F129" i="22" s="1"/>
  <c r="F130" i="12"/>
  <c r="F130" i="17"/>
  <c r="F130" i="9"/>
  <c r="G130" s="1"/>
  <c r="K130" i="5"/>
  <c r="L130" s="1"/>
  <c r="F130"/>
  <c r="F130" i="10"/>
  <c r="O130" s="1"/>
  <c r="F130" i="11"/>
  <c r="G130" s="1"/>
  <c r="F130" i="8"/>
  <c r="G130" s="1"/>
  <c r="F130" i="7"/>
  <c r="F130" i="4"/>
  <c r="I130" s="1"/>
  <c r="F130" i="22" s="1"/>
  <c r="F131" i="12"/>
  <c r="F131" i="17"/>
  <c r="F131" i="9"/>
  <c r="G131" s="1"/>
  <c r="K131" i="5"/>
  <c r="L131" s="1"/>
  <c r="F131"/>
  <c r="F131" i="10"/>
  <c r="O131" s="1"/>
  <c r="F131" i="11"/>
  <c r="G131" s="1"/>
  <c r="F131" i="8"/>
  <c r="G131" s="1"/>
  <c r="F131" i="7"/>
  <c r="F131" i="4"/>
  <c r="I131" s="1"/>
  <c r="F131" i="22" s="1"/>
  <c r="F132" i="12"/>
  <c r="F132" i="17"/>
  <c r="F132" i="9"/>
  <c r="G132" s="1"/>
  <c r="K132" i="5"/>
  <c r="L132" s="1"/>
  <c r="F132"/>
  <c r="F132" i="10"/>
  <c r="O132" s="1"/>
  <c r="F132" i="11"/>
  <c r="G132" s="1"/>
  <c r="F132" i="8"/>
  <c r="G132" s="1"/>
  <c r="F132" i="7"/>
  <c r="F132" i="4"/>
  <c r="I132" s="1"/>
  <c r="F132" i="22" s="1"/>
  <c r="F133" i="12"/>
  <c r="F133" i="17"/>
  <c r="F133" i="9"/>
  <c r="G133" s="1"/>
  <c r="K133" i="5"/>
  <c r="L133" s="1"/>
  <c r="F133"/>
  <c r="F133" i="10"/>
  <c r="O133" s="1"/>
  <c r="F133" i="11"/>
  <c r="G133" s="1"/>
  <c r="F133" i="8"/>
  <c r="G133" s="1"/>
  <c r="F133" i="7"/>
  <c r="F133" i="4"/>
  <c r="I133" s="1"/>
  <c r="F133" i="22" s="1"/>
  <c r="F134" i="12"/>
  <c r="F134" i="17"/>
  <c r="F134" i="9"/>
  <c r="G134" s="1"/>
  <c r="K134" i="5"/>
  <c r="L134" s="1"/>
  <c r="F134"/>
  <c r="F134" i="10"/>
  <c r="O134" s="1"/>
  <c r="F134" i="11"/>
  <c r="G134" s="1"/>
  <c r="F134" i="8"/>
  <c r="G134" s="1"/>
  <c r="F134" i="7"/>
  <c r="F134" i="4"/>
  <c r="I134" s="1"/>
  <c r="F134" i="22" s="1"/>
  <c r="F135" i="12"/>
  <c r="F135" i="17"/>
  <c r="F135" i="9"/>
  <c r="G135" s="1"/>
  <c r="K135" i="5"/>
  <c r="L135" s="1"/>
  <c r="F135"/>
  <c r="F135" i="10"/>
  <c r="O135" s="1"/>
  <c r="F135" i="11"/>
  <c r="G135" s="1"/>
  <c r="F135" i="8"/>
  <c r="G135" s="1"/>
  <c r="F135" i="7"/>
  <c r="F135" i="4"/>
  <c r="I135" s="1"/>
  <c r="F135" i="22" s="1"/>
  <c r="F136" i="12"/>
  <c r="F136" i="17"/>
  <c r="F136" i="9"/>
  <c r="G136" s="1"/>
  <c r="K136" i="5"/>
  <c r="L136" s="1"/>
  <c r="F136"/>
  <c r="F136" i="10"/>
  <c r="O136" s="1"/>
  <c r="F136" i="11"/>
  <c r="G136" s="1"/>
  <c r="F136" i="8"/>
  <c r="G136" s="1"/>
  <c r="F136" i="7"/>
  <c r="F136" i="4"/>
  <c r="I136" s="1"/>
  <c r="F136" i="22" s="1"/>
  <c r="F137" i="12"/>
  <c r="F137" i="17"/>
  <c r="F137" i="9"/>
  <c r="G137" s="1"/>
  <c r="K137" i="5"/>
  <c r="L137" s="1"/>
  <c r="F137"/>
  <c r="F137" i="10"/>
  <c r="O137" s="1"/>
  <c r="F137" i="11"/>
  <c r="G137" s="1"/>
  <c r="F137" i="8"/>
  <c r="G137" s="1"/>
  <c r="F137" i="7"/>
  <c r="F137" i="4"/>
  <c r="I137" s="1"/>
  <c r="F137" i="22" s="1"/>
  <c r="F138" i="12"/>
  <c r="F138" i="17"/>
  <c r="F138" i="9"/>
  <c r="G138" s="1"/>
  <c r="K138" i="5"/>
  <c r="L138" s="1"/>
  <c r="F138"/>
  <c r="F138" i="10"/>
  <c r="O138" s="1"/>
  <c r="F138" i="11"/>
  <c r="G138" s="1"/>
  <c r="F138" i="8"/>
  <c r="G138" s="1"/>
  <c r="F138" i="7"/>
  <c r="F138" i="4"/>
  <c r="I138" s="1"/>
  <c r="F138" i="22" s="1"/>
  <c r="F139" i="12"/>
  <c r="F139" i="17"/>
  <c r="F139" i="9"/>
  <c r="G139" s="1"/>
  <c r="K139" i="5"/>
  <c r="L139" s="1"/>
  <c r="F139"/>
  <c r="F139" i="10"/>
  <c r="O139" s="1"/>
  <c r="F139" i="11"/>
  <c r="G139" s="1"/>
  <c r="F139" i="8"/>
  <c r="G139" s="1"/>
  <c r="F139" i="7"/>
  <c r="F139" i="4"/>
  <c r="I139" s="1"/>
  <c r="F139" i="22" s="1"/>
  <c r="F140" i="12"/>
  <c r="F140" i="17"/>
  <c r="F140" i="9"/>
  <c r="G140" s="1"/>
  <c r="K140" i="5"/>
  <c r="L140" s="1"/>
  <c r="F140"/>
  <c r="F140" i="10"/>
  <c r="O140" s="1"/>
  <c r="F140" i="11"/>
  <c r="G140" s="1"/>
  <c r="F140" i="8"/>
  <c r="G140" s="1"/>
  <c r="F140" i="7"/>
  <c r="F140" i="4"/>
  <c r="I140" s="1"/>
  <c r="F140" i="22" s="1"/>
  <c r="F141" i="12"/>
  <c r="F141" i="17"/>
  <c r="F141" i="9"/>
  <c r="G141" s="1"/>
  <c r="K141" i="5"/>
  <c r="L141" s="1"/>
  <c r="F141"/>
  <c r="F141" i="10"/>
  <c r="O141" s="1"/>
  <c r="F141" i="11"/>
  <c r="G141" s="1"/>
  <c r="F141" i="8"/>
  <c r="G141" s="1"/>
  <c r="F141" i="7"/>
  <c r="F141" i="4"/>
  <c r="I141" s="1"/>
  <c r="F141" i="22" s="1"/>
  <c r="F142" i="12"/>
  <c r="F142" i="17"/>
  <c r="F142" i="9"/>
  <c r="G142" s="1"/>
  <c r="K142" i="5"/>
  <c r="L142" s="1"/>
  <c r="F142"/>
  <c r="F142" i="10"/>
  <c r="O142" s="1"/>
  <c r="F142" i="11"/>
  <c r="G142" s="1"/>
  <c r="F142" i="8"/>
  <c r="G142" s="1"/>
  <c r="F142" i="7"/>
  <c r="F142" i="4"/>
  <c r="I142" s="1"/>
  <c r="F142" i="22" s="1"/>
  <c r="F143" i="12"/>
  <c r="F143" i="17"/>
  <c r="F143" i="9"/>
  <c r="G143" s="1"/>
  <c r="K143" i="5"/>
  <c r="L143" s="1"/>
  <c r="F143"/>
  <c r="F143" i="10"/>
  <c r="O143" s="1"/>
  <c r="F143" i="11"/>
  <c r="G143" s="1"/>
  <c r="F143" i="8"/>
  <c r="G143" s="1"/>
  <c r="F143" i="7"/>
  <c r="F143" i="4"/>
  <c r="I143" s="1"/>
  <c r="F143" i="22" s="1"/>
  <c r="F144" i="12"/>
  <c r="F144" i="17"/>
  <c r="F144" i="9"/>
  <c r="G144" s="1"/>
  <c r="K144" i="5"/>
  <c r="L144" s="1"/>
  <c r="F144"/>
  <c r="F144" i="10"/>
  <c r="O144" s="1"/>
  <c r="F144" i="11"/>
  <c r="G144" s="1"/>
  <c r="F144" i="8"/>
  <c r="G144" s="1"/>
  <c r="F144" i="7"/>
  <c r="F144" i="4"/>
  <c r="I144" s="1"/>
  <c r="F144" i="22" s="1"/>
  <c r="F145" i="12"/>
  <c r="F145" i="17"/>
  <c r="F145" i="9"/>
  <c r="G145" s="1"/>
  <c r="K145" i="5"/>
  <c r="L145" s="1"/>
  <c r="F145"/>
  <c r="F145" i="10"/>
  <c r="O145" s="1"/>
  <c r="F145" i="11"/>
  <c r="G145" s="1"/>
  <c r="F145" i="8"/>
  <c r="G145" s="1"/>
  <c r="F145" i="7"/>
  <c r="F145" i="4"/>
  <c r="I145" s="1"/>
  <c r="F145" i="22" s="1"/>
  <c r="F146" i="12"/>
  <c r="F146" i="17"/>
  <c r="F146" i="9"/>
  <c r="G146" s="1"/>
  <c r="K146" i="5"/>
  <c r="L146" s="1"/>
  <c r="F146"/>
  <c r="F146" i="10"/>
  <c r="O146" s="1"/>
  <c r="F146" i="11"/>
  <c r="G146" s="1"/>
  <c r="F146" i="8"/>
  <c r="G146" s="1"/>
  <c r="F146" i="7"/>
  <c r="F146" i="4"/>
  <c r="I146" s="1"/>
  <c r="F146" i="22" s="1"/>
  <c r="F147" i="12"/>
  <c r="F147" i="17"/>
  <c r="F147" i="9"/>
  <c r="G147" s="1"/>
  <c r="K147" i="5"/>
  <c r="L147" s="1"/>
  <c r="F147"/>
  <c r="F147" i="10"/>
  <c r="O147" s="1"/>
  <c r="F147" i="11"/>
  <c r="G147" s="1"/>
  <c r="F147" i="8"/>
  <c r="G147" s="1"/>
  <c r="F147" i="7"/>
  <c r="F147" i="4"/>
  <c r="I147" s="1"/>
  <c r="F147" i="22" s="1"/>
  <c r="F148" i="12"/>
  <c r="F148" i="17"/>
  <c r="F148" i="9"/>
  <c r="G148" s="1"/>
  <c r="K148" i="5"/>
  <c r="L148" s="1"/>
  <c r="F148"/>
  <c r="F148" i="10"/>
  <c r="O148" s="1"/>
  <c r="F148" i="11"/>
  <c r="G148" s="1"/>
  <c r="F148" i="8"/>
  <c r="G148" s="1"/>
  <c r="F148" i="7"/>
  <c r="F148" i="4"/>
  <c r="I148" s="1"/>
  <c r="F148" i="22" s="1"/>
  <c r="F149" i="12"/>
  <c r="F149" i="17"/>
  <c r="F149" i="9"/>
  <c r="G149" s="1"/>
  <c r="K149" i="5"/>
  <c r="L149" s="1"/>
  <c r="F149"/>
  <c r="F149" i="10"/>
  <c r="O149" s="1"/>
  <c r="F149" i="11"/>
  <c r="G149" s="1"/>
  <c r="F149" i="8"/>
  <c r="G149" s="1"/>
  <c r="F149" i="7"/>
  <c r="F149" i="4"/>
  <c r="I149" s="1"/>
  <c r="F149" i="22" s="1"/>
  <c r="F150" i="12"/>
  <c r="F150" i="17"/>
  <c r="F150" i="9"/>
  <c r="G150" s="1"/>
  <c r="K150" i="5"/>
  <c r="L150" s="1"/>
  <c r="F150"/>
  <c r="F150" i="10"/>
  <c r="O150" s="1"/>
  <c r="F150" i="11"/>
  <c r="G150" s="1"/>
  <c r="F150" i="8"/>
  <c r="G150" s="1"/>
  <c r="F150" i="7"/>
  <c r="F150" i="4"/>
  <c r="I150" s="1"/>
  <c r="F150" i="22" s="1"/>
  <c r="F151" i="12"/>
  <c r="F151" i="17"/>
  <c r="F151" i="9"/>
  <c r="G151" s="1"/>
  <c r="K151" i="5"/>
  <c r="L151" s="1"/>
  <c r="F151"/>
  <c r="F151" i="10"/>
  <c r="O151" s="1"/>
  <c r="F151" i="11"/>
  <c r="G151" s="1"/>
  <c r="F151" i="8"/>
  <c r="G151" s="1"/>
  <c r="F151" i="7"/>
  <c r="F151" i="4"/>
  <c r="I151" s="1"/>
  <c r="F151" i="22" s="1"/>
  <c r="F152" i="12"/>
  <c r="F152" i="17"/>
  <c r="F152" i="9"/>
  <c r="G152" s="1"/>
  <c r="K152" i="5"/>
  <c r="L152" s="1"/>
  <c r="F152"/>
  <c r="F152" i="10"/>
  <c r="O152" s="1"/>
  <c r="F152" i="11"/>
  <c r="G152" s="1"/>
  <c r="F152" i="8"/>
  <c r="G152" s="1"/>
  <c r="F152" i="7"/>
  <c r="F152" i="4"/>
  <c r="I152" s="1"/>
  <c r="F152" i="22" s="1"/>
  <c r="F153" i="12"/>
  <c r="F153" i="17"/>
  <c r="F153" i="9"/>
  <c r="G153" s="1"/>
  <c r="K153" i="5"/>
  <c r="L153" s="1"/>
  <c r="F153"/>
  <c r="F153" i="10"/>
  <c r="O153" s="1"/>
  <c r="F153" i="11"/>
  <c r="G153" s="1"/>
  <c r="F153" i="8"/>
  <c r="G153" s="1"/>
  <c r="F153" i="7"/>
  <c r="F153" i="4"/>
  <c r="I153" s="1"/>
  <c r="F153" i="22" s="1"/>
  <c r="F154" i="12"/>
  <c r="F154" i="17"/>
  <c r="F154" i="9"/>
  <c r="G154" s="1"/>
  <c r="K154" i="5"/>
  <c r="L154" s="1"/>
  <c r="F154"/>
  <c r="F154" i="10"/>
  <c r="O154" s="1"/>
  <c r="F154" i="11"/>
  <c r="G154" s="1"/>
  <c r="F154" i="8"/>
  <c r="G154" s="1"/>
  <c r="F154" i="7"/>
  <c r="F154" i="4"/>
  <c r="I154" s="1"/>
  <c r="F154" i="22" s="1"/>
  <c r="F155" i="12"/>
  <c r="F155" i="17"/>
  <c r="F155" i="9"/>
  <c r="G155" s="1"/>
  <c r="K155" i="5"/>
  <c r="L155" s="1"/>
  <c r="F155"/>
  <c r="F155" i="10"/>
  <c r="O155" s="1"/>
  <c r="F155" i="11"/>
  <c r="G155" s="1"/>
  <c r="F155" i="8"/>
  <c r="G155" s="1"/>
  <c r="F155" i="7"/>
  <c r="F155" i="4"/>
  <c r="I155" s="1"/>
  <c r="F155" i="22" s="1"/>
  <c r="F156" i="12"/>
  <c r="F156" i="17"/>
  <c r="F156" i="9"/>
  <c r="G156" s="1"/>
  <c r="K156" i="5"/>
  <c r="L156" s="1"/>
  <c r="F156"/>
  <c r="F156" i="10"/>
  <c r="O156" s="1"/>
  <c r="F156" i="11"/>
  <c r="G156" s="1"/>
  <c r="F156" i="8"/>
  <c r="G156" s="1"/>
  <c r="F156" i="7"/>
  <c r="F156" i="4"/>
  <c r="I156" s="1"/>
  <c r="F156" i="22" s="1"/>
  <c r="F157" i="12"/>
  <c r="F157" i="17"/>
  <c r="F157" i="9"/>
  <c r="G157" s="1"/>
  <c r="K157" i="5"/>
  <c r="L157" s="1"/>
  <c r="F157"/>
  <c r="F157" i="10"/>
  <c r="O157" s="1"/>
  <c r="F157" i="11"/>
  <c r="G157" s="1"/>
  <c r="F157" i="8"/>
  <c r="G157" s="1"/>
  <c r="F157" i="7"/>
  <c r="F157" i="4"/>
  <c r="I157" s="1"/>
  <c r="F157" i="22" s="1"/>
  <c r="F158" i="12"/>
  <c r="F158" i="17"/>
  <c r="F158" i="9"/>
  <c r="G158" s="1"/>
  <c r="K158" i="5"/>
  <c r="L158" s="1"/>
  <c r="F158"/>
  <c r="F158" i="10"/>
  <c r="O158" s="1"/>
  <c r="F158" i="11"/>
  <c r="G158" s="1"/>
  <c r="F158" i="8"/>
  <c r="G158" s="1"/>
  <c r="F158" i="7"/>
  <c r="F158" i="4"/>
  <c r="I158" s="1"/>
  <c r="F158" i="22" s="1"/>
  <c r="F159" i="12"/>
  <c r="F159" i="17"/>
  <c r="F159" i="9"/>
  <c r="G159" s="1"/>
  <c r="K159" i="5"/>
  <c r="L159" s="1"/>
  <c r="F159"/>
  <c r="F159" i="10"/>
  <c r="O159" s="1"/>
  <c r="F159" i="11"/>
  <c r="G159" s="1"/>
  <c r="F159" i="8"/>
  <c r="G159" s="1"/>
  <c r="F159" i="7"/>
  <c r="F159" i="4"/>
  <c r="I159" s="1"/>
  <c r="F159" i="22" s="1"/>
  <c r="F160" i="12"/>
  <c r="F160" i="17"/>
  <c r="F160" i="9"/>
  <c r="G160" s="1"/>
  <c r="K160" i="5"/>
  <c r="L160" s="1"/>
  <c r="F160"/>
  <c r="F160" i="10"/>
  <c r="O160" s="1"/>
  <c r="F160" i="11"/>
  <c r="G160" s="1"/>
  <c r="F160" i="8"/>
  <c r="G160" s="1"/>
  <c r="F160" i="7"/>
  <c r="F160" i="4"/>
  <c r="I160" s="1"/>
  <c r="F160" i="22" s="1"/>
  <c r="F161" i="12"/>
  <c r="F161" i="17"/>
  <c r="F161" i="9"/>
  <c r="G161" s="1"/>
  <c r="K161" i="5"/>
  <c r="L161" s="1"/>
  <c r="F161"/>
  <c r="F161" i="10"/>
  <c r="O161" s="1"/>
  <c r="F161" i="11"/>
  <c r="G161" s="1"/>
  <c r="F161" i="8"/>
  <c r="G161" s="1"/>
  <c r="F161" i="7"/>
  <c r="F161" i="4"/>
  <c r="I161" s="1"/>
  <c r="F161" i="22" s="1"/>
  <c r="F162" i="12"/>
  <c r="F162" i="17"/>
  <c r="F162" i="9"/>
  <c r="G162" s="1"/>
  <c r="K162" i="5"/>
  <c r="L162" s="1"/>
  <c r="F162"/>
  <c r="F162" i="10"/>
  <c r="O162" s="1"/>
  <c r="F162" i="11"/>
  <c r="G162" s="1"/>
  <c r="F162" i="8"/>
  <c r="G162" s="1"/>
  <c r="F162" i="7"/>
  <c r="F162" i="4"/>
  <c r="I162" s="1"/>
  <c r="F162" i="22" s="1"/>
  <c r="F163" i="12"/>
  <c r="F163" i="17"/>
  <c r="F163" i="9"/>
  <c r="G163" s="1"/>
  <c r="K163" i="5"/>
  <c r="L163" s="1"/>
  <c r="F163"/>
  <c r="F163" i="10"/>
  <c r="O163" s="1"/>
  <c r="F163" i="11"/>
  <c r="G163" s="1"/>
  <c r="F163" i="8"/>
  <c r="G163" s="1"/>
  <c r="F163" i="7"/>
  <c r="F163" i="4"/>
  <c r="I163" s="1"/>
  <c r="F163" i="22" s="1"/>
  <c r="F164" i="12"/>
  <c r="F164" i="17"/>
  <c r="F164" i="9"/>
  <c r="G164" s="1"/>
  <c r="K164" i="5"/>
  <c r="L164" s="1"/>
  <c r="F164"/>
  <c r="F164" i="10"/>
  <c r="O164" s="1"/>
  <c r="F164" i="11"/>
  <c r="G164" s="1"/>
  <c r="F164" i="8"/>
  <c r="G164" s="1"/>
  <c r="F164" i="7"/>
  <c r="F164" i="4"/>
  <c r="I164" s="1"/>
  <c r="F164" i="22" s="1"/>
  <c r="F165" i="12"/>
  <c r="F165" i="17"/>
  <c r="F165" i="9"/>
  <c r="G165" s="1"/>
  <c r="K165" i="5"/>
  <c r="L165" s="1"/>
  <c r="F165"/>
  <c r="F165" i="10"/>
  <c r="O165" s="1"/>
  <c r="F165" i="11"/>
  <c r="G165" s="1"/>
  <c r="F165" i="8"/>
  <c r="G165" s="1"/>
  <c r="F165" i="7"/>
  <c r="F165" i="4"/>
  <c r="I165" s="1"/>
  <c r="F165" i="22" s="1"/>
  <c r="F166" i="12"/>
  <c r="F166" i="17"/>
  <c r="F166" i="9"/>
  <c r="G166" s="1"/>
  <c r="K166" i="5"/>
  <c r="L166" s="1"/>
  <c r="F166"/>
  <c r="F166" i="10"/>
  <c r="O166" s="1"/>
  <c r="F166" i="11"/>
  <c r="G166" s="1"/>
  <c r="F166" i="8"/>
  <c r="G166" s="1"/>
  <c r="F166" i="7"/>
  <c r="F166" i="4"/>
  <c r="I166" s="1"/>
  <c r="F166" i="22" s="1"/>
  <c r="F167" i="12"/>
  <c r="F167" i="17"/>
  <c r="F167" i="9"/>
  <c r="G167" s="1"/>
  <c r="K167" i="5"/>
  <c r="L167" s="1"/>
  <c r="F167"/>
  <c r="F167" i="10"/>
  <c r="O167" s="1"/>
  <c r="F167" i="11"/>
  <c r="G167" s="1"/>
  <c r="F167" i="8"/>
  <c r="G167" s="1"/>
  <c r="F167" i="7"/>
  <c r="F167" i="4"/>
  <c r="I167" s="1"/>
  <c r="F167" i="22" s="1"/>
  <c r="F168" i="12"/>
  <c r="F168" i="17"/>
  <c r="F168" i="9"/>
  <c r="G168" s="1"/>
  <c r="K168" i="5"/>
  <c r="L168" s="1"/>
  <c r="F168"/>
  <c r="F168" i="10"/>
  <c r="O168" s="1"/>
  <c r="F168" i="11"/>
  <c r="G168" s="1"/>
  <c r="F168" i="8"/>
  <c r="G168" s="1"/>
  <c r="F168" i="7"/>
  <c r="F168" i="4"/>
  <c r="I168" s="1"/>
  <c r="F168" i="22" s="1"/>
  <c r="F169" i="12"/>
  <c r="F169" i="17"/>
  <c r="F169" i="9"/>
  <c r="G169" s="1"/>
  <c r="K169" i="5"/>
  <c r="L169" s="1"/>
  <c r="F169"/>
  <c r="F169" i="10"/>
  <c r="O169" s="1"/>
  <c r="F169" i="11"/>
  <c r="G169" s="1"/>
  <c r="F169" i="8"/>
  <c r="G169" s="1"/>
  <c r="F169" i="7"/>
  <c r="F169" i="4"/>
  <c r="I169" s="1"/>
  <c r="F169" i="22" s="1"/>
  <c r="F170" i="12"/>
  <c r="F170" i="17"/>
  <c r="F170" i="9"/>
  <c r="G170" s="1"/>
  <c r="K170" i="5"/>
  <c r="L170" s="1"/>
  <c r="F170"/>
  <c r="F170" i="10"/>
  <c r="O170" s="1"/>
  <c r="F170" i="11"/>
  <c r="G170" s="1"/>
  <c r="F170" i="8"/>
  <c r="G170" s="1"/>
  <c r="F170" i="7"/>
  <c r="F170" i="4"/>
  <c r="I170" s="1"/>
  <c r="F170" i="22" s="1"/>
  <c r="F171" i="12"/>
  <c r="F171" i="17"/>
  <c r="F171" i="9"/>
  <c r="G171" s="1"/>
  <c r="K171" i="5"/>
  <c r="L171" s="1"/>
  <c r="F171"/>
  <c r="F171" i="10"/>
  <c r="O171" s="1"/>
  <c r="F171" i="11"/>
  <c r="G171" s="1"/>
  <c r="F171" i="8"/>
  <c r="G171" s="1"/>
  <c r="F171" i="7"/>
  <c r="F171" i="4"/>
  <c r="I171" s="1"/>
  <c r="F171" i="22" s="1"/>
  <c r="F172" i="12"/>
  <c r="F172" i="17"/>
  <c r="F172" i="9"/>
  <c r="G172" s="1"/>
  <c r="K172" i="5"/>
  <c r="L172" s="1"/>
  <c r="F172"/>
  <c r="F172" i="10"/>
  <c r="O172" s="1"/>
  <c r="F172" i="11"/>
  <c r="G172" s="1"/>
  <c r="F172" i="8"/>
  <c r="G172" s="1"/>
  <c r="F172" i="7"/>
  <c r="F172" i="4"/>
  <c r="I172" s="1"/>
  <c r="F172" i="22" s="1"/>
  <c r="F173" i="12"/>
  <c r="F173" i="17"/>
  <c r="F173" i="9"/>
  <c r="G173" s="1"/>
  <c r="K173" i="5"/>
  <c r="L173" s="1"/>
  <c r="F173"/>
  <c r="F173" i="10"/>
  <c r="O173" s="1"/>
  <c r="F173" i="11"/>
  <c r="G173" s="1"/>
  <c r="F173" i="8"/>
  <c r="G173" s="1"/>
  <c r="F173" i="7"/>
  <c r="F173" i="4"/>
  <c r="I173" s="1"/>
  <c r="F173" i="22" s="1"/>
  <c r="F174" i="12"/>
  <c r="F174" i="17"/>
  <c r="F174" i="9"/>
  <c r="G174" s="1"/>
  <c r="K174" i="5"/>
  <c r="L174" s="1"/>
  <c r="F174"/>
  <c r="F174" i="10"/>
  <c r="O174" s="1"/>
  <c r="F174" i="11"/>
  <c r="G174" s="1"/>
  <c r="F174" i="8"/>
  <c r="G174" s="1"/>
  <c r="F174" i="7"/>
  <c r="F174" i="4"/>
  <c r="I174" s="1"/>
  <c r="F174" i="22" s="1"/>
  <c r="F175" i="12"/>
  <c r="F175" i="17"/>
  <c r="F175" i="9"/>
  <c r="G175" s="1"/>
  <c r="K175" i="5"/>
  <c r="L175" s="1"/>
  <c r="F175"/>
  <c r="F175" i="10"/>
  <c r="O175" s="1"/>
  <c r="F175" i="11"/>
  <c r="G175" s="1"/>
  <c r="F175" i="8"/>
  <c r="G175" s="1"/>
  <c r="F175" i="7"/>
  <c r="F175" i="4"/>
  <c r="I175" s="1"/>
  <c r="F175" i="22" s="1"/>
  <c r="F176" i="12"/>
  <c r="F176" i="17"/>
  <c r="F176" i="9"/>
  <c r="G176" s="1"/>
  <c r="K176" i="5"/>
  <c r="L176" s="1"/>
  <c r="F176"/>
  <c r="F176" i="10"/>
  <c r="O176" s="1"/>
  <c r="F176" i="11"/>
  <c r="G176" s="1"/>
  <c r="F176" i="8"/>
  <c r="G176" s="1"/>
  <c r="F176" i="7"/>
  <c r="F176" i="4"/>
  <c r="I176" s="1"/>
  <c r="F176" i="22" s="1"/>
  <c r="F177" i="12"/>
  <c r="F177" i="17"/>
  <c r="F177" i="9"/>
  <c r="G177" s="1"/>
  <c r="K177" i="5"/>
  <c r="L177" s="1"/>
  <c r="F177"/>
  <c r="F177" i="10"/>
  <c r="O177" s="1"/>
  <c r="F177" i="11"/>
  <c r="G177" s="1"/>
  <c r="F177" i="8"/>
  <c r="G177" s="1"/>
  <c r="F177" i="7"/>
  <c r="F177" i="4"/>
  <c r="I177" s="1"/>
  <c r="F177" i="22" s="1"/>
  <c r="F178" i="12"/>
  <c r="F178" i="17"/>
  <c r="F178" i="9"/>
  <c r="G178" s="1"/>
  <c r="K178" i="5"/>
  <c r="L178" s="1"/>
  <c r="F178"/>
  <c r="F178" i="10"/>
  <c r="O178" s="1"/>
  <c r="F178" i="11"/>
  <c r="G178" s="1"/>
  <c r="F178" i="8"/>
  <c r="G178" s="1"/>
  <c r="F178" i="7"/>
  <c r="F178" i="4"/>
  <c r="I178" s="1"/>
  <c r="F178" i="22" s="1"/>
  <c r="F179" i="12"/>
  <c r="F179" i="17"/>
  <c r="F179" i="9"/>
  <c r="G179" s="1"/>
  <c r="K179" i="5"/>
  <c r="L179" s="1"/>
  <c r="F179"/>
  <c r="F179" i="10"/>
  <c r="O179" s="1"/>
  <c r="F179" i="11"/>
  <c r="G179" s="1"/>
  <c r="F179" i="8"/>
  <c r="G179" s="1"/>
  <c r="F179" i="7"/>
  <c r="F179" i="4"/>
  <c r="I179" s="1"/>
  <c r="F179" i="22" s="1"/>
  <c r="F180" i="12"/>
  <c r="F180" i="17"/>
  <c r="F180" i="9"/>
  <c r="G180" s="1"/>
  <c r="K180" i="5"/>
  <c r="L180" s="1"/>
  <c r="F180"/>
  <c r="F180" i="10"/>
  <c r="O180" s="1"/>
  <c r="F180" i="11"/>
  <c r="G180" s="1"/>
  <c r="F180" i="8"/>
  <c r="G180" s="1"/>
  <c r="F180" i="7"/>
  <c r="F180" i="4"/>
  <c r="I180" s="1"/>
  <c r="F180" i="22" s="1"/>
  <c r="F181" i="12"/>
  <c r="F181" i="17"/>
  <c r="F181" i="9"/>
  <c r="G181" s="1"/>
  <c r="K181" i="5"/>
  <c r="L181" s="1"/>
  <c r="F181"/>
  <c r="F181" i="10"/>
  <c r="O181" s="1"/>
  <c r="F181" i="11"/>
  <c r="G181" s="1"/>
  <c r="F181" i="8"/>
  <c r="G181" s="1"/>
  <c r="F181" i="7"/>
  <c r="F181" i="4"/>
  <c r="I181" s="1"/>
  <c r="F181" i="22" s="1"/>
  <c r="F182" i="12"/>
  <c r="F182" i="17"/>
  <c r="F182" i="9"/>
  <c r="G182" s="1"/>
  <c r="K182" i="5"/>
  <c r="L182" s="1"/>
  <c r="F182"/>
  <c r="F182" i="10"/>
  <c r="O182" s="1"/>
  <c r="F182" i="11"/>
  <c r="G182" s="1"/>
  <c r="F182" i="8"/>
  <c r="G182" s="1"/>
  <c r="F182" i="7"/>
  <c r="F182" i="4"/>
  <c r="I182" s="1"/>
  <c r="F182" i="22" s="1"/>
  <c r="F183" i="12"/>
  <c r="F183" i="17"/>
  <c r="F183" i="9"/>
  <c r="G183" s="1"/>
  <c r="K183" i="5"/>
  <c r="L183" s="1"/>
  <c r="F183"/>
  <c r="F183" i="10"/>
  <c r="O183" s="1"/>
  <c r="F183" i="11"/>
  <c r="G183" s="1"/>
  <c r="F183" i="8"/>
  <c r="G183" s="1"/>
  <c r="F183" i="7"/>
  <c r="F183" i="4"/>
  <c r="I183" s="1"/>
  <c r="F183" i="22" s="1"/>
  <c r="F184" i="12"/>
  <c r="F184" i="17"/>
  <c r="F184" i="9"/>
  <c r="G184" s="1"/>
  <c r="K184" i="5"/>
  <c r="L184" s="1"/>
  <c r="F184"/>
  <c r="F184" i="10"/>
  <c r="O184" s="1"/>
  <c r="F184" i="11"/>
  <c r="G184" s="1"/>
  <c r="F184" i="8"/>
  <c r="G184" s="1"/>
  <c r="F184" i="7"/>
  <c r="F184" i="4"/>
  <c r="I184" s="1"/>
  <c r="F184" i="22" s="1"/>
  <c r="F185" i="12"/>
  <c r="F185" i="17"/>
  <c r="F185" i="9"/>
  <c r="G185" s="1"/>
  <c r="K185" i="5"/>
  <c r="L185" s="1"/>
  <c r="F185"/>
  <c r="F185" i="10"/>
  <c r="O185" s="1"/>
  <c r="F185" i="11"/>
  <c r="G185" s="1"/>
  <c r="F185" i="8"/>
  <c r="G185" s="1"/>
  <c r="F185" i="7"/>
  <c r="F185" i="4"/>
  <c r="I185" s="1"/>
  <c r="F185" i="22" s="1"/>
  <c r="F186" i="12"/>
  <c r="F186" i="17"/>
  <c r="F186" i="9"/>
  <c r="G186" s="1"/>
  <c r="K186" i="5"/>
  <c r="L186" s="1"/>
  <c r="F186"/>
  <c r="F186" i="10"/>
  <c r="O186" s="1"/>
  <c r="F186" i="11"/>
  <c r="G186" s="1"/>
  <c r="F186" i="8"/>
  <c r="G186" s="1"/>
  <c r="F186" i="7"/>
  <c r="F186" i="4"/>
  <c r="I186" s="1"/>
  <c r="F186" i="22" s="1"/>
  <c r="F187" i="12"/>
  <c r="F187" i="17"/>
  <c r="F187" i="9"/>
  <c r="G187" s="1"/>
  <c r="K187" i="5"/>
  <c r="L187" s="1"/>
  <c r="F187"/>
  <c r="F187" i="10"/>
  <c r="O187" s="1"/>
  <c r="F187" i="11"/>
  <c r="G187" s="1"/>
  <c r="F187" i="8"/>
  <c r="G187" s="1"/>
  <c r="F187" i="7"/>
  <c r="F187" i="4"/>
  <c r="I187" s="1"/>
  <c r="F187" i="22" s="1"/>
  <c r="F188" i="12"/>
  <c r="F188" i="17"/>
  <c r="F188" i="9"/>
  <c r="G188" s="1"/>
  <c r="K188" i="5"/>
  <c r="L188" s="1"/>
  <c r="F188"/>
  <c r="F188" i="10"/>
  <c r="O188" s="1"/>
  <c r="F188" i="11"/>
  <c r="G188" s="1"/>
  <c r="F188" i="8"/>
  <c r="G188" s="1"/>
  <c r="F188" i="7"/>
  <c r="F188" i="4"/>
  <c r="I188" s="1"/>
  <c r="F188" i="22" s="1"/>
  <c r="F189" i="12"/>
  <c r="F189" i="17"/>
  <c r="F189" i="9"/>
  <c r="G189" s="1"/>
  <c r="K189" i="5"/>
  <c r="L189" s="1"/>
  <c r="F189"/>
  <c r="F189" i="10"/>
  <c r="O189" s="1"/>
  <c r="F189" i="11"/>
  <c r="G189" s="1"/>
  <c r="F189" i="8"/>
  <c r="G189" s="1"/>
  <c r="F189" i="7"/>
  <c r="F189" i="4"/>
  <c r="I189" s="1"/>
  <c r="F189" i="22" s="1"/>
  <c r="F190" i="12"/>
  <c r="F190" i="17"/>
  <c r="F190" i="9"/>
  <c r="G190" s="1"/>
  <c r="K190" i="5"/>
  <c r="L190" s="1"/>
  <c r="F190"/>
  <c r="F190" i="10"/>
  <c r="O190" s="1"/>
  <c r="F190" i="11"/>
  <c r="G190" s="1"/>
  <c r="F190" i="8"/>
  <c r="G190" s="1"/>
  <c r="F190" i="7"/>
  <c r="F190" i="4"/>
  <c r="I190" s="1"/>
  <c r="F190" i="22" s="1"/>
  <c r="F191" i="12"/>
  <c r="F191" i="17"/>
  <c r="F191" i="9"/>
  <c r="G191" s="1"/>
  <c r="K191" i="5"/>
  <c r="L191" s="1"/>
  <c r="F191"/>
  <c r="F191" i="10"/>
  <c r="O191" s="1"/>
  <c r="F191" i="11"/>
  <c r="G191" s="1"/>
  <c r="F191" i="8"/>
  <c r="G191" s="1"/>
  <c r="F191" i="7"/>
  <c r="F191" i="4"/>
  <c r="I191" s="1"/>
  <c r="F191" i="22" s="1"/>
  <c r="F192" i="12"/>
  <c r="F192" i="17"/>
  <c r="F192" i="9"/>
  <c r="G192" s="1"/>
  <c r="K192" i="5"/>
  <c r="L192" s="1"/>
  <c r="F192"/>
  <c r="F192" i="10"/>
  <c r="O192" s="1"/>
  <c r="F192" i="11"/>
  <c r="G192" s="1"/>
  <c r="F192" i="8"/>
  <c r="G192" s="1"/>
  <c r="F192" i="7"/>
  <c r="F192" i="4"/>
  <c r="I192" s="1"/>
  <c r="F192" i="22" s="1"/>
  <c r="F193" i="12"/>
  <c r="F193" i="17"/>
  <c r="F193" i="9"/>
  <c r="G193" s="1"/>
  <c r="K193" i="5"/>
  <c r="L193" s="1"/>
  <c r="F193"/>
  <c r="F193" i="10"/>
  <c r="O193" s="1"/>
  <c r="F193" i="11"/>
  <c r="G193" s="1"/>
  <c r="F193" i="8"/>
  <c r="G193" s="1"/>
  <c r="F193" i="7"/>
  <c r="F193" i="4"/>
  <c r="I193" s="1"/>
  <c r="F193" i="22" s="1"/>
  <c r="F194" i="12"/>
  <c r="F194" i="17"/>
  <c r="F194" i="9"/>
  <c r="G194" s="1"/>
  <c r="K194" i="5"/>
  <c r="L194" s="1"/>
  <c r="F194"/>
  <c r="F194" i="10"/>
  <c r="O194" s="1"/>
  <c r="F194" i="11"/>
  <c r="G194" s="1"/>
  <c r="F194" i="8"/>
  <c r="G194" s="1"/>
  <c r="F194" i="7"/>
  <c r="F194" i="4"/>
  <c r="I194" s="1"/>
  <c r="F194" i="22" s="1"/>
  <c r="F195" i="12"/>
  <c r="F195" i="17"/>
  <c r="F195" i="9"/>
  <c r="G195" s="1"/>
  <c r="K195" i="5"/>
  <c r="L195" s="1"/>
  <c r="F195"/>
  <c r="F195" i="10"/>
  <c r="O195" s="1"/>
  <c r="F195" i="11"/>
  <c r="G195" s="1"/>
  <c r="F195" i="8"/>
  <c r="G195" s="1"/>
  <c r="F195" i="7"/>
  <c r="F195" i="4"/>
  <c r="I195" s="1"/>
  <c r="F195" i="22" s="1"/>
  <c r="F196" i="12"/>
  <c r="F196" i="17"/>
  <c r="F196" i="9"/>
  <c r="G196" s="1"/>
  <c r="K196" i="5"/>
  <c r="L196" s="1"/>
  <c r="F196"/>
  <c r="F196" i="10"/>
  <c r="O196" s="1"/>
  <c r="F196" i="11"/>
  <c r="G196" s="1"/>
  <c r="F196" i="8"/>
  <c r="G196" s="1"/>
  <c r="F196" i="7"/>
  <c r="F196" i="4"/>
  <c r="I196" s="1"/>
  <c r="F196" i="22" s="1"/>
  <c r="F197" i="12"/>
  <c r="F197" i="17"/>
  <c r="F197" i="9"/>
  <c r="G197" s="1"/>
  <c r="K197" i="5"/>
  <c r="L197" s="1"/>
  <c r="F197"/>
  <c r="F197" i="10"/>
  <c r="O197" s="1"/>
  <c r="F197" i="11"/>
  <c r="G197" s="1"/>
  <c r="F197" i="8"/>
  <c r="G197" s="1"/>
  <c r="F197" i="7"/>
  <c r="F197" i="4"/>
  <c r="I197" s="1"/>
  <c r="F197" i="22" s="1"/>
  <c r="F198" i="12"/>
  <c r="F198" i="17"/>
  <c r="F198" i="9"/>
  <c r="G198" s="1"/>
  <c r="K198" i="5"/>
  <c r="L198" s="1"/>
  <c r="F198"/>
  <c r="F198" i="10"/>
  <c r="O198" s="1"/>
  <c r="F198" i="11"/>
  <c r="G198" s="1"/>
  <c r="F198" i="8"/>
  <c r="G198" s="1"/>
  <c r="F198" i="7"/>
  <c r="F198" i="4"/>
  <c r="I198" s="1"/>
  <c r="F198" i="22" s="1"/>
  <c r="F199" i="12"/>
  <c r="F199" i="17"/>
  <c r="F199" i="9"/>
  <c r="G199" s="1"/>
  <c r="K199" i="5"/>
  <c r="L199" s="1"/>
  <c r="F199"/>
  <c r="F199" i="10"/>
  <c r="O199" s="1"/>
  <c r="F199" i="11"/>
  <c r="G199" s="1"/>
  <c r="F199" i="8"/>
  <c r="G199" s="1"/>
  <c r="F199" i="7"/>
  <c r="F199" i="4"/>
  <c r="I199" s="1"/>
  <c r="F199" i="22" s="1"/>
  <c r="F200" i="12"/>
  <c r="F200" i="17"/>
  <c r="F200" i="9"/>
  <c r="G200" s="1"/>
  <c r="K200" i="5"/>
  <c r="L200" s="1"/>
  <c r="F200"/>
  <c r="F200" i="10"/>
  <c r="O200" s="1"/>
  <c r="F200" i="11"/>
  <c r="G200" s="1"/>
  <c r="F200" i="8"/>
  <c r="G200" s="1"/>
  <c r="F200" i="7"/>
  <c r="F200" i="4"/>
  <c r="I200" s="1"/>
  <c r="F200" i="22" s="1"/>
  <c r="F201" i="12"/>
  <c r="F201" i="17"/>
  <c r="F201" i="9"/>
  <c r="G201" s="1"/>
  <c r="K201" i="5"/>
  <c r="L201" s="1"/>
  <c r="F201"/>
  <c r="F201" i="10"/>
  <c r="O201" s="1"/>
  <c r="F201" i="11"/>
  <c r="G201" s="1"/>
  <c r="F201" i="8"/>
  <c r="G201" s="1"/>
  <c r="F201" i="7"/>
  <c r="F201" i="4"/>
  <c r="I201" s="1"/>
  <c r="F201" i="22" s="1"/>
  <c r="F202" i="12"/>
  <c r="F202" i="17"/>
  <c r="F202" i="9"/>
  <c r="G202" s="1"/>
  <c r="K202" i="5"/>
  <c r="L202" s="1"/>
  <c r="F202"/>
  <c r="F202" i="10"/>
  <c r="O202" s="1"/>
  <c r="F202" i="11"/>
  <c r="G202" s="1"/>
  <c r="F202" i="8"/>
  <c r="G202" s="1"/>
  <c r="F202" i="7"/>
  <c r="F202" i="4"/>
  <c r="I202" s="1"/>
  <c r="F202" i="22" s="1"/>
  <c r="F203" i="12"/>
  <c r="F203" i="17"/>
  <c r="F203" i="9"/>
  <c r="G203" s="1"/>
  <c r="K203" i="5"/>
  <c r="L203" s="1"/>
  <c r="F203"/>
  <c r="F203" i="10"/>
  <c r="O203" s="1"/>
  <c r="F203" i="11"/>
  <c r="G203" s="1"/>
  <c r="F203" i="8"/>
  <c r="G203" s="1"/>
  <c r="F203" i="7"/>
  <c r="F203" i="4"/>
  <c r="I203" s="1"/>
  <c r="F203" i="22" s="1"/>
  <c r="F204" i="12"/>
  <c r="F204" i="17"/>
  <c r="F204" i="9"/>
  <c r="G204" s="1"/>
  <c r="K204" i="5"/>
  <c r="L204" s="1"/>
  <c r="F204"/>
  <c r="F204" i="10"/>
  <c r="O204" s="1"/>
  <c r="F204" i="11"/>
  <c r="G204" s="1"/>
  <c r="F204" i="8"/>
  <c r="G204" s="1"/>
  <c r="F204" i="7"/>
  <c r="F204" i="4"/>
  <c r="I204" s="1"/>
  <c r="F204" i="22" s="1"/>
  <c r="F205" i="12"/>
  <c r="F205" i="17"/>
  <c r="F205" i="9"/>
  <c r="G205" s="1"/>
  <c r="K205" i="5"/>
  <c r="L205" s="1"/>
  <c r="F205"/>
  <c r="F205" i="10"/>
  <c r="O205" s="1"/>
  <c r="F205" i="11"/>
  <c r="G205" s="1"/>
  <c r="F205" i="8"/>
  <c r="G205" s="1"/>
  <c r="F205" i="7"/>
  <c r="F205" i="4"/>
  <c r="I205" s="1"/>
  <c r="F205" i="22" s="1"/>
  <c r="F206" i="12"/>
  <c r="F206" i="17"/>
  <c r="F206" i="9"/>
  <c r="G206" s="1"/>
  <c r="K206" i="5"/>
  <c r="L206" s="1"/>
  <c r="F206"/>
  <c r="F206" i="10"/>
  <c r="O206" s="1"/>
  <c r="F206" i="11"/>
  <c r="G206" s="1"/>
  <c r="F206" i="8"/>
  <c r="G206" s="1"/>
  <c r="F206" i="7"/>
  <c r="F206" i="4"/>
  <c r="I206" s="1"/>
  <c r="F206" i="22" s="1"/>
  <c r="F207" i="12"/>
  <c r="F207" i="17"/>
  <c r="F207" i="9"/>
  <c r="G207" s="1"/>
  <c r="K207" i="5"/>
  <c r="L207" s="1"/>
  <c r="F207"/>
  <c r="F207" i="10"/>
  <c r="O207" s="1"/>
  <c r="F207" i="11"/>
  <c r="G207" s="1"/>
  <c r="F207" i="8"/>
  <c r="G207" s="1"/>
  <c r="F207" i="7"/>
  <c r="F207" i="4"/>
  <c r="I207" s="1"/>
  <c r="F207" i="22" s="1"/>
  <c r="F208" i="12"/>
  <c r="F208" i="17"/>
  <c r="F208" i="9"/>
  <c r="G208" s="1"/>
  <c r="K208" i="5"/>
  <c r="L208" s="1"/>
  <c r="F208"/>
  <c r="F208" i="10"/>
  <c r="O208" s="1"/>
  <c r="F208" i="11"/>
  <c r="G208" s="1"/>
  <c r="F208" i="8"/>
  <c r="G208" s="1"/>
  <c r="F208" i="7"/>
  <c r="F208" i="4"/>
  <c r="I208" s="1"/>
  <c r="F208" i="22" s="1"/>
  <c r="F209" i="12"/>
  <c r="F209" i="17"/>
  <c r="F209" i="9"/>
  <c r="G209" s="1"/>
  <c r="K209" i="5"/>
  <c r="L209" s="1"/>
  <c r="F209"/>
  <c r="F209" i="10"/>
  <c r="O209" s="1"/>
  <c r="F209" i="11"/>
  <c r="G209" s="1"/>
  <c r="F209" i="8"/>
  <c r="G209" s="1"/>
  <c r="F209" i="7"/>
  <c r="F209" i="4"/>
  <c r="I209" s="1"/>
  <c r="F209" i="22" s="1"/>
  <c r="F210" i="12"/>
  <c r="F210" i="17"/>
  <c r="F210" i="9"/>
  <c r="G210" s="1"/>
  <c r="K210" i="5"/>
  <c r="L210" s="1"/>
  <c r="F210"/>
  <c r="F210" i="10"/>
  <c r="O210" s="1"/>
  <c r="F210" i="11"/>
  <c r="G210" s="1"/>
  <c r="F210" i="8"/>
  <c r="G210" s="1"/>
  <c r="F210" i="7"/>
  <c r="F210" i="4"/>
  <c r="I210" s="1"/>
  <c r="F210" i="22" s="1"/>
  <c r="F211" i="12"/>
  <c r="F211" i="17"/>
  <c r="F211" i="9"/>
  <c r="G211" s="1"/>
  <c r="K211" i="5"/>
  <c r="L211" s="1"/>
  <c r="F211"/>
  <c r="F211" i="10"/>
  <c r="O211" s="1"/>
  <c r="F211" i="11"/>
  <c r="G211" s="1"/>
  <c r="F211" i="8"/>
  <c r="G211" s="1"/>
  <c r="F211" i="7"/>
  <c r="F211" i="4"/>
  <c r="I211" s="1"/>
  <c r="F211" i="22" s="1"/>
  <c r="F212" i="12"/>
  <c r="F212" i="17"/>
  <c r="F212" i="9"/>
  <c r="G212" s="1"/>
  <c r="K212" i="5"/>
  <c r="L212" s="1"/>
  <c r="F212"/>
  <c r="F212" i="10"/>
  <c r="O212" s="1"/>
  <c r="F212" i="11"/>
  <c r="G212" s="1"/>
  <c r="F212" i="8"/>
  <c r="G212" s="1"/>
  <c r="F212" i="7"/>
  <c r="F212" i="4"/>
  <c r="I212" s="1"/>
  <c r="F212" i="22" s="1"/>
  <c r="F213" i="12"/>
  <c r="F213" i="17"/>
  <c r="F213" i="9"/>
  <c r="G213" s="1"/>
  <c r="K213" i="5"/>
  <c r="L213" s="1"/>
  <c r="F213"/>
  <c r="F213" i="10"/>
  <c r="O213" s="1"/>
  <c r="F213" i="11"/>
  <c r="G213" s="1"/>
  <c r="F213" i="8"/>
  <c r="G213" s="1"/>
  <c r="F213" i="7"/>
  <c r="F213" i="4"/>
  <c r="I213" s="1"/>
  <c r="F213" i="22" s="1"/>
  <c r="F214" i="12"/>
  <c r="F214" i="17"/>
  <c r="F214" i="9"/>
  <c r="G214" s="1"/>
  <c r="K214" i="5"/>
  <c r="L214" s="1"/>
  <c r="F214"/>
  <c r="F214" i="10"/>
  <c r="O214" s="1"/>
  <c r="F214" i="11"/>
  <c r="G214" s="1"/>
  <c r="F214" i="8"/>
  <c r="G214" s="1"/>
  <c r="F214" i="7"/>
  <c r="F214" i="4"/>
  <c r="I214" s="1"/>
  <c r="F214" i="22" s="1"/>
  <c r="F215" i="12"/>
  <c r="F215" i="17"/>
  <c r="F215" i="9"/>
  <c r="G215" s="1"/>
  <c r="K215" i="5"/>
  <c r="L215" s="1"/>
  <c r="F215"/>
  <c r="F215" i="10"/>
  <c r="O215" s="1"/>
  <c r="F215" i="11"/>
  <c r="G215" s="1"/>
  <c r="F215" i="8"/>
  <c r="G215" s="1"/>
  <c r="F215" i="7"/>
  <c r="F215" i="4"/>
  <c r="I215" s="1"/>
  <c r="F215" i="22" s="1"/>
  <c r="F216" i="12"/>
  <c r="F216" i="17"/>
  <c r="F216" i="9"/>
  <c r="G216" s="1"/>
  <c r="K216" i="5"/>
  <c r="L216" s="1"/>
  <c r="F216"/>
  <c r="F216" i="10"/>
  <c r="O216" s="1"/>
  <c r="F216" i="11"/>
  <c r="G216" s="1"/>
  <c r="F216" i="8"/>
  <c r="G216" s="1"/>
  <c r="F216" i="7"/>
  <c r="F216" i="4"/>
  <c r="I216" s="1"/>
  <c r="F216" i="22" s="1"/>
  <c r="F217" i="12"/>
  <c r="F217" i="17"/>
  <c r="F217" i="9"/>
  <c r="G217" s="1"/>
  <c r="K217" i="5"/>
  <c r="L217" s="1"/>
  <c r="F217"/>
  <c r="F217" i="10"/>
  <c r="O217" s="1"/>
  <c r="F217" i="11"/>
  <c r="G217" s="1"/>
  <c r="F217" i="8"/>
  <c r="G217" s="1"/>
  <c r="F217" i="7"/>
  <c r="F217" i="4"/>
  <c r="I217" s="1"/>
  <c r="F217" i="22" s="1"/>
  <c r="F218" i="12"/>
  <c r="F218" i="17"/>
  <c r="F218" i="9"/>
  <c r="G218" s="1"/>
  <c r="K218" i="5"/>
  <c r="L218" s="1"/>
  <c r="F218"/>
  <c r="F218" i="10"/>
  <c r="O218" s="1"/>
  <c r="F218" i="11"/>
  <c r="G218" s="1"/>
  <c r="F218" i="8"/>
  <c r="G218" s="1"/>
  <c r="F218" i="7"/>
  <c r="F218" i="4"/>
  <c r="I218" s="1"/>
  <c r="F218" i="22" s="1"/>
  <c r="F219" i="12"/>
  <c r="F219" i="17"/>
  <c r="F219" i="9"/>
  <c r="G219" s="1"/>
  <c r="K219" i="5"/>
  <c r="L219" s="1"/>
  <c r="F219"/>
  <c r="F219" i="10"/>
  <c r="O219" s="1"/>
  <c r="F219" i="11"/>
  <c r="G219" s="1"/>
  <c r="F219" i="8"/>
  <c r="G219" s="1"/>
  <c r="F219" i="7"/>
  <c r="F219" i="4"/>
  <c r="I219" s="1"/>
  <c r="F219" i="22" s="1"/>
  <c r="F220" i="12"/>
  <c r="F220" i="17"/>
  <c r="F220" i="9"/>
  <c r="G220" s="1"/>
  <c r="K220" i="5"/>
  <c r="L220" s="1"/>
  <c r="F220"/>
  <c r="F220" i="10"/>
  <c r="O220" s="1"/>
  <c r="F220" i="11"/>
  <c r="G220" s="1"/>
  <c r="F220" i="8"/>
  <c r="G220" s="1"/>
  <c r="F220" i="7"/>
  <c r="F220" i="4"/>
  <c r="I220" s="1"/>
  <c r="F220" i="22" s="1"/>
  <c r="F221" i="12"/>
  <c r="F221" i="17"/>
  <c r="F221" i="9"/>
  <c r="G221" s="1"/>
  <c r="K221" i="5"/>
  <c r="L221" s="1"/>
  <c r="F221"/>
  <c r="F221" i="10"/>
  <c r="O221" s="1"/>
  <c r="F221" i="11"/>
  <c r="G221" s="1"/>
  <c r="F221" i="8"/>
  <c r="G221" s="1"/>
  <c r="F221" i="7"/>
  <c r="F221" i="4"/>
  <c r="I221" s="1"/>
  <c r="F221" i="22" s="1"/>
  <c r="F222" i="12"/>
  <c r="F222" i="17"/>
  <c r="F222" i="9"/>
  <c r="G222" s="1"/>
  <c r="K222" i="5"/>
  <c r="L222" s="1"/>
  <c r="F222"/>
  <c r="F222" i="10"/>
  <c r="O222" s="1"/>
  <c r="F222" i="11"/>
  <c r="G222" s="1"/>
  <c r="F222" i="8"/>
  <c r="G222" s="1"/>
  <c r="F222" i="7"/>
  <c r="F222" i="4"/>
  <c r="I222" s="1"/>
  <c r="F222" i="22" s="1"/>
  <c r="F223" i="12"/>
  <c r="F223" i="17"/>
  <c r="F223" i="9"/>
  <c r="G223" s="1"/>
  <c r="K223" i="5"/>
  <c r="L223" s="1"/>
  <c r="F223"/>
  <c r="F223" i="11"/>
  <c r="G223" s="1"/>
  <c r="F223" i="8"/>
  <c r="G223" s="1"/>
  <c r="F223" i="7"/>
  <c r="F223" i="4"/>
  <c r="I223" s="1"/>
  <c r="F223" i="22" s="1"/>
  <c r="F224" i="12"/>
  <c r="F224" i="17"/>
  <c r="F224" i="9"/>
  <c r="G224" s="1"/>
  <c r="K224" i="5"/>
  <c r="L224" s="1"/>
  <c r="F224"/>
  <c r="F224" i="10"/>
  <c r="O224" s="1"/>
  <c r="F224" i="11"/>
  <c r="G224" s="1"/>
  <c r="F224" i="8"/>
  <c r="G224" s="1"/>
  <c r="F224" i="7"/>
  <c r="F224" i="4"/>
  <c r="I224" s="1"/>
  <c r="F224" i="22" s="1"/>
  <c r="F225" i="12"/>
  <c r="F225" i="17"/>
  <c r="F225" i="9"/>
  <c r="G225" s="1"/>
  <c r="K225" i="5"/>
  <c r="L225" s="1"/>
  <c r="F225"/>
  <c r="F225" i="10"/>
  <c r="O225" s="1"/>
  <c r="F225" i="11"/>
  <c r="G225" s="1"/>
  <c r="F225" i="8"/>
  <c r="G225" s="1"/>
  <c r="F225" i="7"/>
  <c r="F225" i="4"/>
  <c r="I225" s="1"/>
  <c r="F225" i="22" s="1"/>
  <c r="F226" i="12"/>
  <c r="F226" i="17"/>
  <c r="F226" i="9"/>
  <c r="G226" s="1"/>
  <c r="K226" i="5"/>
  <c r="L226" s="1"/>
  <c r="F226"/>
  <c r="F226" i="10"/>
  <c r="O226" s="1"/>
  <c r="F226" i="11"/>
  <c r="G226" s="1"/>
  <c r="F226" i="8"/>
  <c r="G226" s="1"/>
  <c r="F226" i="7"/>
  <c r="F226" i="4"/>
  <c r="I226" s="1"/>
  <c r="F226" i="22" s="1"/>
  <c r="F227" i="12"/>
  <c r="F227" i="17"/>
  <c r="F227" i="9"/>
  <c r="G227" s="1"/>
  <c r="K227" i="5"/>
  <c r="L227" s="1"/>
  <c r="F227"/>
  <c r="F227" i="10"/>
  <c r="O227" s="1"/>
  <c r="F227" i="11"/>
  <c r="G227" s="1"/>
  <c r="F227" i="8"/>
  <c r="G227" s="1"/>
  <c r="F227" i="7"/>
  <c r="F227" i="4"/>
  <c r="I227" s="1"/>
  <c r="F227" i="22" s="1"/>
  <c r="F228" i="12"/>
  <c r="F228" i="17"/>
  <c r="F228" i="9"/>
  <c r="G228" s="1"/>
  <c r="K228" i="5"/>
  <c r="L228" s="1"/>
  <c r="F228"/>
  <c r="F228" i="10"/>
  <c r="O228" s="1"/>
  <c r="F228" i="11"/>
  <c r="G228" s="1"/>
  <c r="F228" i="8"/>
  <c r="G228" s="1"/>
  <c r="F228" i="7"/>
  <c r="F228" i="4"/>
  <c r="I228" s="1"/>
  <c r="F228" i="22" s="1"/>
  <c r="F229" i="12"/>
  <c r="F229" i="17"/>
  <c r="F229" i="9"/>
  <c r="G229" s="1"/>
  <c r="K229" i="5"/>
  <c r="L229" s="1"/>
  <c r="F229"/>
  <c r="F229" i="10"/>
  <c r="O229" s="1"/>
  <c r="F229" i="11"/>
  <c r="G229" s="1"/>
  <c r="F229" i="8"/>
  <c r="G229" s="1"/>
  <c r="F229" i="7"/>
  <c r="F229" i="4"/>
  <c r="I229" s="1"/>
  <c r="F229" i="22" s="1"/>
  <c r="F230" i="12"/>
  <c r="F230" i="17"/>
  <c r="F230" i="9"/>
  <c r="G230" s="1"/>
  <c r="K230" i="5"/>
  <c r="L230" s="1"/>
  <c r="F230"/>
  <c r="F230" i="10"/>
  <c r="O230" s="1"/>
  <c r="F230" i="11"/>
  <c r="G230" s="1"/>
  <c r="F230" i="8"/>
  <c r="G230" s="1"/>
  <c r="F230" i="7"/>
  <c r="F230" i="4"/>
  <c r="I230" s="1"/>
  <c r="F230" i="22" s="1"/>
  <c r="F231" i="12"/>
  <c r="F231" i="17"/>
  <c r="F231" i="9"/>
  <c r="G231" s="1"/>
  <c r="K231" i="5"/>
  <c r="L231" s="1"/>
  <c r="F231"/>
  <c r="F231" i="10"/>
  <c r="O231" s="1"/>
  <c r="F231" i="11"/>
  <c r="G231" s="1"/>
  <c r="F231" i="8"/>
  <c r="G231" s="1"/>
  <c r="F231" i="7"/>
  <c r="F231" i="4"/>
  <c r="I231" s="1"/>
  <c r="F231" i="22" s="1"/>
  <c r="F232" i="12"/>
  <c r="F232" i="17"/>
  <c r="F232" i="9"/>
  <c r="G232" s="1"/>
  <c r="K232" i="5"/>
  <c r="L232" s="1"/>
  <c r="F232"/>
  <c r="F232" i="10"/>
  <c r="O232" s="1"/>
  <c r="F232" i="11"/>
  <c r="G232" s="1"/>
  <c r="F232" i="8"/>
  <c r="G232" s="1"/>
  <c r="F232" i="7"/>
  <c r="F232" i="4"/>
  <c r="I232" s="1"/>
  <c r="F232" i="22" s="1"/>
  <c r="F233" i="12"/>
  <c r="F233" i="17"/>
  <c r="F233" i="9"/>
  <c r="G233" s="1"/>
  <c r="K233" i="5"/>
  <c r="L233" s="1"/>
  <c r="F233"/>
  <c r="F233" i="10"/>
  <c r="O233" s="1"/>
  <c r="F233" i="11"/>
  <c r="G233" s="1"/>
  <c r="F233" i="8"/>
  <c r="G233" s="1"/>
  <c r="F233" i="7"/>
  <c r="F233" i="4"/>
  <c r="I233" s="1"/>
  <c r="F233" i="22" s="1"/>
  <c r="F234" i="12"/>
  <c r="F234" i="17"/>
  <c r="F234" i="9"/>
  <c r="G234" s="1"/>
  <c r="K234" i="5"/>
  <c r="L234" s="1"/>
  <c r="F234"/>
  <c r="F234" i="10"/>
  <c r="O234" s="1"/>
  <c r="F234" i="11"/>
  <c r="G234" s="1"/>
  <c r="F234" i="8"/>
  <c r="G234" s="1"/>
  <c r="F234" i="7"/>
  <c r="F234" i="4"/>
  <c r="I234" s="1"/>
  <c r="F234" i="22" s="1"/>
  <c r="F235" i="12"/>
  <c r="F235" i="17"/>
  <c r="F235" i="9"/>
  <c r="G235" s="1"/>
  <c r="K235" i="5"/>
  <c r="L235" s="1"/>
  <c r="F235"/>
  <c r="F235" i="10"/>
  <c r="O235" s="1"/>
  <c r="F235" i="11"/>
  <c r="G235" s="1"/>
  <c r="F235" i="8"/>
  <c r="G235" s="1"/>
  <c r="F235" i="7"/>
  <c r="F235" i="4"/>
  <c r="I235" s="1"/>
  <c r="F235" i="22" s="1"/>
  <c r="F236" i="12"/>
  <c r="F236" i="17"/>
  <c r="F236" i="9"/>
  <c r="G236" s="1"/>
  <c r="K236" i="5"/>
  <c r="L236" s="1"/>
  <c r="F236"/>
  <c r="F236" i="10"/>
  <c r="O236" s="1"/>
  <c r="F236" i="11"/>
  <c r="G236" s="1"/>
  <c r="F236" i="8"/>
  <c r="G236" s="1"/>
  <c r="F236" i="7"/>
  <c r="F236" i="4"/>
  <c r="I236" s="1"/>
  <c r="F236" i="22" s="1"/>
  <c r="F237" i="12"/>
  <c r="F237" i="17"/>
  <c r="F237" i="9"/>
  <c r="G237" s="1"/>
  <c r="K237" i="5"/>
  <c r="L237" s="1"/>
  <c r="F237"/>
  <c r="F237" i="10"/>
  <c r="O237" s="1"/>
  <c r="F237" i="11"/>
  <c r="G237" s="1"/>
  <c r="F237" i="8"/>
  <c r="G237" s="1"/>
  <c r="F237" i="7"/>
  <c r="F237" i="4"/>
  <c r="I237" s="1"/>
  <c r="F237" i="22" s="1"/>
  <c r="F238" i="12"/>
  <c r="F238" i="17"/>
  <c r="F238" i="9"/>
  <c r="G238" s="1"/>
  <c r="K238" i="5"/>
  <c r="L238" s="1"/>
  <c r="F238"/>
  <c r="F238" i="10"/>
  <c r="O238" s="1"/>
  <c r="F238" i="11"/>
  <c r="G238" s="1"/>
  <c r="F238" i="8"/>
  <c r="G238" s="1"/>
  <c r="F238" i="7"/>
  <c r="F238" i="4"/>
  <c r="I238" s="1"/>
  <c r="F238" i="22" s="1"/>
  <c r="F239" i="12"/>
  <c r="F239" i="17"/>
  <c r="F239" i="9"/>
  <c r="G239" s="1"/>
  <c r="K239" i="5"/>
  <c r="L239" s="1"/>
  <c r="F239"/>
  <c r="F239" i="10"/>
  <c r="O239" s="1"/>
  <c r="F239" i="11"/>
  <c r="G239" s="1"/>
  <c r="F239" i="8"/>
  <c r="G239" s="1"/>
  <c r="F239" i="7"/>
  <c r="F239" i="4"/>
  <c r="I239" s="1"/>
  <c r="F239" i="22" s="1"/>
  <c r="F240" i="12"/>
  <c r="F240" i="17"/>
  <c r="F240" i="9"/>
  <c r="G240" s="1"/>
  <c r="K240" i="5"/>
  <c r="L240" s="1"/>
  <c r="F240"/>
  <c r="F240" i="10"/>
  <c r="O240" s="1"/>
  <c r="F240" i="11"/>
  <c r="G240" s="1"/>
  <c r="F240" i="8"/>
  <c r="G240" s="1"/>
  <c r="F240" i="7"/>
  <c r="F240" i="4"/>
  <c r="I240" s="1"/>
  <c r="F240" i="22" s="1"/>
  <c r="F241" i="12"/>
  <c r="F241" i="17"/>
  <c r="F241" i="9"/>
  <c r="G241" s="1"/>
  <c r="K241" i="5"/>
  <c r="L241" s="1"/>
  <c r="F241"/>
  <c r="F241" i="10"/>
  <c r="O241" s="1"/>
  <c r="F241" i="11"/>
  <c r="G241" s="1"/>
  <c r="F241" i="8"/>
  <c r="G241" s="1"/>
  <c r="F241" i="7"/>
  <c r="F241" i="4"/>
  <c r="I241" s="1"/>
  <c r="F241" i="22" s="1"/>
  <c r="F242" i="12"/>
  <c r="F242" i="17"/>
  <c r="F242" i="9"/>
  <c r="G242" s="1"/>
  <c r="K242" i="5"/>
  <c r="L242" s="1"/>
  <c r="F242"/>
  <c r="F242" i="10"/>
  <c r="O242" s="1"/>
  <c r="F242" i="11"/>
  <c r="G242" s="1"/>
  <c r="F242" i="8"/>
  <c r="G242" s="1"/>
  <c r="F242" i="7"/>
  <c r="F242" i="4"/>
  <c r="I242" s="1"/>
  <c r="F242" i="22" s="1"/>
  <c r="F243" i="12"/>
  <c r="F243" i="17"/>
  <c r="F243" i="9"/>
  <c r="G243" s="1"/>
  <c r="K243" i="5"/>
  <c r="L243" s="1"/>
  <c r="F243"/>
  <c r="F243" i="10"/>
  <c r="O243" s="1"/>
  <c r="F243" i="11"/>
  <c r="G243" s="1"/>
  <c r="F243" i="8"/>
  <c r="G243" s="1"/>
  <c r="F243" i="7"/>
  <c r="F243" i="4"/>
  <c r="I243" s="1"/>
  <c r="F243" i="22" s="1"/>
  <c r="F244" i="12"/>
  <c r="F244" i="17"/>
  <c r="F244" i="9"/>
  <c r="G244" s="1"/>
  <c r="K244" i="5"/>
  <c r="L244" s="1"/>
  <c r="F244"/>
  <c r="F244" i="10"/>
  <c r="O244" s="1"/>
  <c r="F244" i="11"/>
  <c r="G244" s="1"/>
  <c r="F244" i="8"/>
  <c r="G244" s="1"/>
  <c r="F244" i="7"/>
  <c r="F244" i="4"/>
  <c r="I244" s="1"/>
  <c r="F244" i="22" s="1"/>
  <c r="F245" i="12"/>
  <c r="F245" i="17"/>
  <c r="F245" i="9"/>
  <c r="G245" s="1"/>
  <c r="K245" i="5"/>
  <c r="L245" s="1"/>
  <c r="F245"/>
  <c r="F245" i="10"/>
  <c r="O245" s="1"/>
  <c r="F245" i="11"/>
  <c r="G245" s="1"/>
  <c r="F245" i="8"/>
  <c r="G245" s="1"/>
  <c r="F245" i="7"/>
  <c r="F245" i="4"/>
  <c r="I245" s="1"/>
  <c r="F245" i="22" s="1"/>
  <c r="F246" i="12"/>
  <c r="F246" i="17"/>
  <c r="F246" i="9"/>
  <c r="G246" s="1"/>
  <c r="K246" i="5"/>
  <c r="L246" s="1"/>
  <c r="F246"/>
  <c r="F246" i="10"/>
  <c r="O246" s="1"/>
  <c r="F246" i="11"/>
  <c r="G246" s="1"/>
  <c r="F246" i="8"/>
  <c r="G246" s="1"/>
  <c r="F246" i="7"/>
  <c r="F246" i="4"/>
  <c r="I246" s="1"/>
  <c r="F246" i="22" s="1"/>
  <c r="F247" i="12"/>
  <c r="F247" i="17"/>
  <c r="F247" i="9"/>
  <c r="G247" s="1"/>
  <c r="K247" i="5"/>
  <c r="L247" s="1"/>
  <c r="F247"/>
  <c r="F247" i="10"/>
  <c r="O247" s="1"/>
  <c r="F247" i="11"/>
  <c r="G247" s="1"/>
  <c r="F247" i="8"/>
  <c r="G247" s="1"/>
  <c r="F247" i="7"/>
  <c r="F247" i="4"/>
  <c r="I247" s="1"/>
  <c r="F247" i="22" s="1"/>
  <c r="F248" i="12"/>
  <c r="F248" i="17"/>
  <c r="F248" i="9"/>
  <c r="G248" s="1"/>
  <c r="K248" i="5"/>
  <c r="L248" s="1"/>
  <c r="F248"/>
  <c r="F248" i="10"/>
  <c r="O248" s="1"/>
  <c r="F248" i="11"/>
  <c r="G248" s="1"/>
  <c r="F248" i="8"/>
  <c r="G248" s="1"/>
  <c r="F248" i="7"/>
  <c r="F248" i="4"/>
  <c r="I248" s="1"/>
  <c r="F248" i="22" s="1"/>
  <c r="F249" i="12"/>
  <c r="F249" i="17"/>
  <c r="F249" i="9"/>
  <c r="G249" s="1"/>
  <c r="K249" i="5"/>
  <c r="L249" s="1"/>
  <c r="F249"/>
  <c r="F249" i="10"/>
  <c r="O249" s="1"/>
  <c r="F249" i="11"/>
  <c r="G249" s="1"/>
  <c r="F249" i="8"/>
  <c r="G249" s="1"/>
  <c r="F249" i="7"/>
  <c r="F249" i="4"/>
  <c r="I249" s="1"/>
  <c r="F249" i="22" s="1"/>
  <c r="F250" i="12"/>
  <c r="F250" i="17"/>
  <c r="F250" i="9"/>
  <c r="G250" s="1"/>
  <c r="K250" i="5"/>
  <c r="L250" s="1"/>
  <c r="F250"/>
  <c r="F250" i="10"/>
  <c r="O250" s="1"/>
  <c r="F250" i="11"/>
  <c r="G250" s="1"/>
  <c r="F250" i="8"/>
  <c r="G250" s="1"/>
  <c r="F250" i="7"/>
  <c r="F250" i="4"/>
  <c r="I250" s="1"/>
  <c r="F250" i="22" s="1"/>
  <c r="F251" i="12"/>
  <c r="F251" i="17"/>
  <c r="F251" i="9"/>
  <c r="G251" s="1"/>
  <c r="K251" i="5"/>
  <c r="L251" s="1"/>
  <c r="F251"/>
  <c r="F251" i="10"/>
  <c r="O251" s="1"/>
  <c r="F251" i="11"/>
  <c r="G251" s="1"/>
  <c r="F251" i="8"/>
  <c r="G251" s="1"/>
  <c r="F251" i="7"/>
  <c r="F251" i="4"/>
  <c r="I251" s="1"/>
  <c r="F251" i="22" s="1"/>
  <c r="F252" i="12"/>
  <c r="F252" i="17"/>
  <c r="F252" i="9"/>
  <c r="G252" s="1"/>
  <c r="K252" i="5"/>
  <c r="L252" s="1"/>
  <c r="F252"/>
  <c r="F252" i="10"/>
  <c r="O252" s="1"/>
  <c r="F252" i="11"/>
  <c r="G252" s="1"/>
  <c r="F252" i="8"/>
  <c r="G252" s="1"/>
  <c r="F252" i="7"/>
  <c r="F252" i="4"/>
  <c r="I252" s="1"/>
  <c r="F252" i="22" s="1"/>
  <c r="F253" i="12"/>
  <c r="F253" i="17"/>
  <c r="F253" i="9"/>
  <c r="G253" s="1"/>
  <c r="K253" i="5"/>
  <c r="L253" s="1"/>
  <c r="F253"/>
  <c r="F253" i="10"/>
  <c r="O253" s="1"/>
  <c r="F253" i="11"/>
  <c r="G253" s="1"/>
  <c r="F253" i="8"/>
  <c r="G253" s="1"/>
  <c r="F253" i="7"/>
  <c r="F253" i="4"/>
  <c r="I253" s="1"/>
  <c r="F253" i="22" s="1"/>
  <c r="F254" i="12"/>
  <c r="F254" i="17"/>
  <c r="F254" i="9"/>
  <c r="G254" s="1"/>
  <c r="K254" i="5"/>
  <c r="L254" s="1"/>
  <c r="F254"/>
  <c r="F254" i="10"/>
  <c r="O254" s="1"/>
  <c r="F254" i="11"/>
  <c r="G254" s="1"/>
  <c r="F254" i="8"/>
  <c r="G254" s="1"/>
  <c r="F254" i="7"/>
  <c r="F254" i="4"/>
  <c r="I254" s="1"/>
  <c r="F254" i="22" s="1"/>
  <c r="F255" i="12"/>
  <c r="F255" i="17"/>
  <c r="F255" i="9"/>
  <c r="G255" s="1"/>
  <c r="K255" i="5"/>
  <c r="L255" s="1"/>
  <c r="F255"/>
  <c r="F255" i="10"/>
  <c r="O255" s="1"/>
  <c r="F255" i="11"/>
  <c r="G255" s="1"/>
  <c r="F255" i="8"/>
  <c r="G255" s="1"/>
  <c r="F255" i="7"/>
  <c r="F255" i="4"/>
  <c r="I255" s="1"/>
  <c r="F255" i="22" s="1"/>
  <c r="F256" i="12"/>
  <c r="F256" i="17"/>
  <c r="F256" i="9"/>
  <c r="G256" s="1"/>
  <c r="K256" i="5"/>
  <c r="L256" s="1"/>
  <c r="F256"/>
  <c r="F256" i="10"/>
  <c r="O256" s="1"/>
  <c r="F256" i="11"/>
  <c r="G256" s="1"/>
  <c r="F256" i="8"/>
  <c r="G256" s="1"/>
  <c r="F256" i="7"/>
  <c r="F256" i="4"/>
  <c r="I256" s="1"/>
  <c r="F256" i="22" s="1"/>
  <c r="F257" i="12"/>
  <c r="F257" i="17"/>
  <c r="F257" i="9"/>
  <c r="G257" s="1"/>
  <c r="K257" i="5"/>
  <c r="L257" s="1"/>
  <c r="F257"/>
  <c r="F257" i="10"/>
  <c r="O257" s="1"/>
  <c r="F257" i="11"/>
  <c r="G257" s="1"/>
  <c r="F257" i="8"/>
  <c r="G257" s="1"/>
  <c r="F257" i="7"/>
  <c r="F257" i="4"/>
  <c r="I257" s="1"/>
  <c r="F257" i="22" s="1"/>
  <c r="F258" i="12"/>
  <c r="F258" i="17"/>
  <c r="F258" i="9"/>
  <c r="G258" s="1"/>
  <c r="K258" i="5"/>
  <c r="L258" s="1"/>
  <c r="F258"/>
  <c r="F258" i="10"/>
  <c r="O258" s="1"/>
  <c r="F258" i="11"/>
  <c r="G258" s="1"/>
  <c r="F258" i="8"/>
  <c r="G258" s="1"/>
  <c r="F258" i="7"/>
  <c r="F258" i="4"/>
  <c r="I258" s="1"/>
  <c r="F258" i="22" s="1"/>
  <c r="F259" i="12"/>
  <c r="F259" i="17"/>
  <c r="F259" i="9"/>
  <c r="G259" s="1"/>
  <c r="K259" i="5"/>
  <c r="L259" s="1"/>
  <c r="F259"/>
  <c r="F259" i="10"/>
  <c r="O259" s="1"/>
  <c r="F259" i="11"/>
  <c r="G259" s="1"/>
  <c r="F259" i="8"/>
  <c r="G259" s="1"/>
  <c r="F259" i="7"/>
  <c r="F259" i="4"/>
  <c r="I259" s="1"/>
  <c r="F259" i="22" s="1"/>
  <c r="F260" i="12"/>
  <c r="F260" i="17"/>
  <c r="F260" i="9"/>
  <c r="G260" s="1"/>
  <c r="K260" i="5"/>
  <c r="L260" s="1"/>
  <c r="F260"/>
  <c r="F260" i="10"/>
  <c r="O260" s="1"/>
  <c r="F260" i="11"/>
  <c r="G260" s="1"/>
  <c r="F260" i="8"/>
  <c r="G260" s="1"/>
  <c r="F260" i="7"/>
  <c r="F260" i="4"/>
  <c r="I260" s="1"/>
  <c r="F260" i="22" s="1"/>
  <c r="F261" i="12"/>
  <c r="F261" i="17"/>
  <c r="F261" i="9"/>
  <c r="G261" s="1"/>
  <c r="K261" i="5"/>
  <c r="L261" s="1"/>
  <c r="F261"/>
  <c r="F261" i="10"/>
  <c r="O261" s="1"/>
  <c r="F261" i="11"/>
  <c r="G261" s="1"/>
  <c r="F261" i="8"/>
  <c r="G261" s="1"/>
  <c r="F261" i="7"/>
  <c r="F261" i="4"/>
  <c r="I261" s="1"/>
  <c r="F261" i="22" s="1"/>
  <c r="F262" i="12"/>
  <c r="F262" i="17"/>
  <c r="F262" i="9"/>
  <c r="G262" s="1"/>
  <c r="K262" i="5"/>
  <c r="L262" s="1"/>
  <c r="F262"/>
  <c r="F262" i="10"/>
  <c r="O262" s="1"/>
  <c r="F262" i="11"/>
  <c r="G262" s="1"/>
  <c r="F262" i="8"/>
  <c r="G262" s="1"/>
  <c r="F262" i="7"/>
  <c r="F262" i="4"/>
  <c r="I262" s="1"/>
  <c r="F262" i="22" s="1"/>
  <c r="F263" i="12"/>
  <c r="F263" i="17"/>
  <c r="F263" i="9"/>
  <c r="G263" s="1"/>
  <c r="K263" i="5"/>
  <c r="L263" s="1"/>
  <c r="F263"/>
  <c r="F263" i="10"/>
  <c r="O263" s="1"/>
  <c r="F263" i="11"/>
  <c r="G263" s="1"/>
  <c r="F263" i="8"/>
  <c r="G263" s="1"/>
  <c r="F263" i="7"/>
  <c r="F263" i="4"/>
  <c r="I263" s="1"/>
  <c r="F263" i="22" s="1"/>
  <c r="F264" i="12"/>
  <c r="F264" i="17"/>
  <c r="F264" i="9"/>
  <c r="G264" s="1"/>
  <c r="K264" i="5"/>
  <c r="L264" s="1"/>
  <c r="F264"/>
  <c r="F264" i="10"/>
  <c r="O264" s="1"/>
  <c r="F264" i="11"/>
  <c r="G264" s="1"/>
  <c r="F264" i="8"/>
  <c r="G264" s="1"/>
  <c r="F264" i="7"/>
  <c r="F264" i="4"/>
  <c r="I264" s="1"/>
  <c r="F264" i="22" s="1"/>
  <c r="F265" i="12"/>
  <c r="F265" i="17"/>
  <c r="F265" i="9"/>
  <c r="G265" s="1"/>
  <c r="K265" i="5"/>
  <c r="L265" s="1"/>
  <c r="F265"/>
  <c r="F265" i="10"/>
  <c r="O265" s="1"/>
  <c r="F265" i="11"/>
  <c r="G265" s="1"/>
  <c r="F265" i="8"/>
  <c r="G265" s="1"/>
  <c r="F265" i="7"/>
  <c r="F265" i="4"/>
  <c r="I265" s="1"/>
  <c r="F265" i="22" s="1"/>
  <c r="F266" i="12"/>
  <c r="F266" i="17"/>
  <c r="F266" i="9"/>
  <c r="G266" s="1"/>
  <c r="K266" i="5"/>
  <c r="L266" s="1"/>
  <c r="F266"/>
  <c r="F266" i="10"/>
  <c r="O266" s="1"/>
  <c r="F266" i="11"/>
  <c r="G266" s="1"/>
  <c r="F266" i="8"/>
  <c r="G266" s="1"/>
  <c r="F266" i="7"/>
  <c r="F266" i="4"/>
  <c r="I266" s="1"/>
  <c r="F266" i="22" s="1"/>
  <c r="F267" i="12"/>
  <c r="F267" i="17"/>
  <c r="F267" i="9"/>
  <c r="G267" s="1"/>
  <c r="K267" i="5"/>
  <c r="L267" s="1"/>
  <c r="F267"/>
  <c r="F267" i="10"/>
  <c r="O267" s="1"/>
  <c r="F267" i="11"/>
  <c r="G267" s="1"/>
  <c r="F267" i="8"/>
  <c r="G267" s="1"/>
  <c r="F267" i="7"/>
  <c r="F267" i="4"/>
  <c r="I267" s="1"/>
  <c r="F267" i="22" s="1"/>
  <c r="F268" i="12"/>
  <c r="F268" i="17"/>
  <c r="F268" i="9"/>
  <c r="G268" s="1"/>
  <c r="K268" i="5"/>
  <c r="L268" s="1"/>
  <c r="F268"/>
  <c r="F268" i="10"/>
  <c r="O268" s="1"/>
  <c r="F268" i="11"/>
  <c r="G268" s="1"/>
  <c r="F268" i="8"/>
  <c r="G268" s="1"/>
  <c r="F268" i="7"/>
  <c r="F268" i="4"/>
  <c r="I268" s="1"/>
  <c r="F268" i="22" s="1"/>
  <c r="F269" i="12"/>
  <c r="F269" i="17"/>
  <c r="F269" i="9"/>
  <c r="G269" s="1"/>
  <c r="K269" i="5"/>
  <c r="L269" s="1"/>
  <c r="F269"/>
  <c r="F269" i="10"/>
  <c r="O269" s="1"/>
  <c r="F269" i="11"/>
  <c r="G269" s="1"/>
  <c r="F269" i="8"/>
  <c r="G269" s="1"/>
  <c r="F269" i="7"/>
  <c r="F269" i="4"/>
  <c r="I269" s="1"/>
  <c r="F269" i="22" s="1"/>
  <c r="F270" i="12"/>
  <c r="F270" i="17"/>
  <c r="F270" i="9"/>
  <c r="G270" s="1"/>
  <c r="K270" i="5"/>
  <c r="L270" s="1"/>
  <c r="F270"/>
  <c r="F270" i="10"/>
  <c r="O270" s="1"/>
  <c r="F270" i="11"/>
  <c r="G270" s="1"/>
  <c r="F270" i="8"/>
  <c r="G270" s="1"/>
  <c r="F270" i="7"/>
  <c r="F270" i="4"/>
  <c r="I270" s="1"/>
  <c r="F270" i="22" s="1"/>
  <c r="F271" i="12"/>
  <c r="F271" i="17"/>
  <c r="F271" i="9"/>
  <c r="G271" s="1"/>
  <c r="K271" i="5"/>
  <c r="L271" s="1"/>
  <c r="F271"/>
  <c r="F271" i="10"/>
  <c r="O271" s="1"/>
  <c r="F271" i="11"/>
  <c r="G271" s="1"/>
  <c r="F271" i="8"/>
  <c r="G271" s="1"/>
  <c r="F271" i="7"/>
  <c r="F271" i="4"/>
  <c r="I271" s="1"/>
  <c r="F271" i="22" s="1"/>
  <c r="F272" i="12"/>
  <c r="F272" i="17"/>
  <c r="F272" i="9"/>
  <c r="G272" s="1"/>
  <c r="K272" i="5"/>
  <c r="L272" s="1"/>
  <c r="F272"/>
  <c r="F272" i="10"/>
  <c r="O272" s="1"/>
  <c r="F272" i="11"/>
  <c r="G272" s="1"/>
  <c r="F272" i="8"/>
  <c r="G272" s="1"/>
  <c r="F272" i="7"/>
  <c r="F272" i="4"/>
  <c r="I272" s="1"/>
  <c r="F272" i="22" s="1"/>
  <c r="F273" i="12"/>
  <c r="F273" i="17"/>
  <c r="F273" i="9"/>
  <c r="G273" s="1"/>
  <c r="K273" i="5"/>
  <c r="L273" s="1"/>
  <c r="F273"/>
  <c r="F273" i="10"/>
  <c r="O273" s="1"/>
  <c r="F273" i="11"/>
  <c r="G273" s="1"/>
  <c r="F273" i="8"/>
  <c r="G273" s="1"/>
  <c r="F273" i="7"/>
  <c r="F273" i="4"/>
  <c r="I273" s="1"/>
  <c r="F273" i="22" s="1"/>
  <c r="F274" i="12"/>
  <c r="F274" i="17"/>
  <c r="F274" i="9"/>
  <c r="G274" s="1"/>
  <c r="K274" i="5"/>
  <c r="L274" s="1"/>
  <c r="F274"/>
  <c r="F274" i="10"/>
  <c r="O274" s="1"/>
  <c r="F274" i="11"/>
  <c r="G274" s="1"/>
  <c r="F274" i="8"/>
  <c r="G274" s="1"/>
  <c r="F274" i="7"/>
  <c r="F274" i="4"/>
  <c r="I274" s="1"/>
  <c r="F274" i="22" s="1"/>
  <c r="F275" i="12"/>
  <c r="F275" i="17"/>
  <c r="F275" i="9"/>
  <c r="G275" s="1"/>
  <c r="K275" i="5"/>
  <c r="L275" s="1"/>
  <c r="F275"/>
  <c r="F275" i="10"/>
  <c r="O275" s="1"/>
  <c r="F275" i="11"/>
  <c r="G275" s="1"/>
  <c r="F275" i="8"/>
  <c r="G275" s="1"/>
  <c r="F275" i="7"/>
  <c r="F275" i="4"/>
  <c r="I275" s="1"/>
  <c r="F275" i="22" s="1"/>
  <c r="F276" i="12"/>
  <c r="F276" i="17"/>
  <c r="F276" i="9"/>
  <c r="G276" s="1"/>
  <c r="K276" i="5"/>
  <c r="L276" s="1"/>
  <c r="F276"/>
  <c r="F276" i="10"/>
  <c r="O276" s="1"/>
  <c r="F276" i="11"/>
  <c r="G276" s="1"/>
  <c r="F276" i="8"/>
  <c r="G276" s="1"/>
  <c r="F276" i="7"/>
  <c r="F276" i="4"/>
  <c r="I276" s="1"/>
  <c r="F276" i="22" s="1"/>
  <c r="F277" i="12"/>
  <c r="F277" i="17"/>
  <c r="F277" i="9"/>
  <c r="G277" s="1"/>
  <c r="K277" i="5"/>
  <c r="L277" s="1"/>
  <c r="F277"/>
  <c r="F277" i="10"/>
  <c r="O277" s="1"/>
  <c r="F277" i="11"/>
  <c r="G277" s="1"/>
  <c r="F277" i="8"/>
  <c r="G277" s="1"/>
  <c r="F277" i="7"/>
  <c r="F277" i="4"/>
  <c r="I277" s="1"/>
  <c r="F277" i="22" s="1"/>
  <c r="F278" i="12"/>
  <c r="F278" i="17"/>
  <c r="F278" i="9"/>
  <c r="G278" s="1"/>
  <c r="K278" i="5"/>
  <c r="L278" s="1"/>
  <c r="F278"/>
  <c r="F278" i="10"/>
  <c r="O278" s="1"/>
  <c r="F278" i="11"/>
  <c r="G278" s="1"/>
  <c r="F278" i="8"/>
  <c r="G278" s="1"/>
  <c r="F278" i="7"/>
  <c r="F278" i="4"/>
  <c r="I278" s="1"/>
  <c r="F278" i="22" s="1"/>
  <c r="F279" i="12"/>
  <c r="F279" i="17"/>
  <c r="F279" i="9"/>
  <c r="G279" s="1"/>
  <c r="K279" i="5"/>
  <c r="L279" s="1"/>
  <c r="F279"/>
  <c r="F279" i="10"/>
  <c r="O279" s="1"/>
  <c r="F279" i="11"/>
  <c r="G279" s="1"/>
  <c r="F279" i="8"/>
  <c r="G279" s="1"/>
  <c r="F279" i="7"/>
  <c r="F279" i="4"/>
  <c r="I279" s="1"/>
  <c r="F279" i="22" s="1"/>
  <c r="F280" i="12"/>
  <c r="F280" i="17"/>
  <c r="F280" i="9"/>
  <c r="G280" s="1"/>
  <c r="K280" i="5"/>
  <c r="L280" s="1"/>
  <c r="F280"/>
  <c r="F280" i="10"/>
  <c r="O280" s="1"/>
  <c r="F280" i="11"/>
  <c r="G280" s="1"/>
  <c r="F280" i="8"/>
  <c r="G280" s="1"/>
  <c r="F280" i="7"/>
  <c r="F280" i="4"/>
  <c r="I280" s="1"/>
  <c r="F280" i="22" s="1"/>
  <c r="F281" i="12"/>
  <c r="F281" i="17"/>
  <c r="F281" i="9"/>
  <c r="G281" s="1"/>
  <c r="K281" i="5"/>
  <c r="L281" s="1"/>
  <c r="F281"/>
  <c r="F281" i="10"/>
  <c r="O281" s="1"/>
  <c r="F281" i="11"/>
  <c r="G281" s="1"/>
  <c r="F281" i="8"/>
  <c r="G281" s="1"/>
  <c r="F281" i="7"/>
  <c r="F281" i="4"/>
  <c r="I281" s="1"/>
  <c r="F281" i="22" s="1"/>
  <c r="F282" i="12"/>
  <c r="F282" i="17"/>
  <c r="F282" i="9"/>
  <c r="G282" s="1"/>
  <c r="K282" i="5"/>
  <c r="L282" s="1"/>
  <c r="F282"/>
  <c r="F282" i="10"/>
  <c r="O282" s="1"/>
  <c r="F282" i="11"/>
  <c r="G282" s="1"/>
  <c r="F282" i="8"/>
  <c r="G282" s="1"/>
  <c r="F282" i="7"/>
  <c r="F282" i="4"/>
  <c r="I282" s="1"/>
  <c r="F282" i="22" s="1"/>
  <c r="F283" i="12"/>
  <c r="F283" i="17"/>
  <c r="F283" i="9"/>
  <c r="G283" s="1"/>
  <c r="K283" i="5"/>
  <c r="L283" s="1"/>
  <c r="F283"/>
  <c r="F283" i="10"/>
  <c r="O283" s="1"/>
  <c r="F283" i="11"/>
  <c r="G283" s="1"/>
  <c r="F283" i="8"/>
  <c r="G283" s="1"/>
  <c r="F283" i="7"/>
  <c r="F283" i="4"/>
  <c r="I283" s="1"/>
  <c r="F283" i="22" s="1"/>
  <c r="F284" i="12"/>
  <c r="F284" i="17"/>
  <c r="F284" i="9"/>
  <c r="G284" s="1"/>
  <c r="K284" i="5"/>
  <c r="L284" s="1"/>
  <c r="F284"/>
  <c r="F284" i="10"/>
  <c r="O284" s="1"/>
  <c r="F284" i="11"/>
  <c r="G284" s="1"/>
  <c r="F284" i="8"/>
  <c r="G284" s="1"/>
  <c r="F284" i="7"/>
  <c r="F284" i="4"/>
  <c r="I284" s="1"/>
  <c r="F284" i="22" s="1"/>
  <c r="F285" i="12"/>
  <c r="F285" i="17"/>
  <c r="F285" i="9"/>
  <c r="G285" s="1"/>
  <c r="K285" i="5"/>
  <c r="L285" s="1"/>
  <c r="F285"/>
  <c r="F285" i="10"/>
  <c r="O285" s="1"/>
  <c r="F285" i="11"/>
  <c r="G285" s="1"/>
  <c r="F285" i="8"/>
  <c r="G285" s="1"/>
  <c r="F285" i="7"/>
  <c r="F285" i="4"/>
  <c r="I285" s="1"/>
  <c r="F285" i="22" s="1"/>
  <c r="F286" i="12"/>
  <c r="F286" i="17"/>
  <c r="F286" i="9"/>
  <c r="G286" s="1"/>
  <c r="K286" i="5"/>
  <c r="L286" s="1"/>
  <c r="F286"/>
  <c r="F286" i="10"/>
  <c r="O286" s="1"/>
  <c r="F286" i="11"/>
  <c r="G286" s="1"/>
  <c r="F286" i="8"/>
  <c r="G286" s="1"/>
  <c r="F286" i="7"/>
  <c r="F286" i="4"/>
  <c r="I286" s="1"/>
  <c r="F286" i="22" s="1"/>
  <c r="F287" i="12"/>
  <c r="F287" i="17"/>
  <c r="F287" i="9"/>
  <c r="G287" s="1"/>
  <c r="K287" i="5"/>
  <c r="L287" s="1"/>
  <c r="F287"/>
  <c r="F287" i="10"/>
  <c r="O287" s="1"/>
  <c r="F287" i="11"/>
  <c r="G287" s="1"/>
  <c r="F287" i="8"/>
  <c r="G287" s="1"/>
  <c r="F287" i="7"/>
  <c r="F287" i="4"/>
  <c r="I287" s="1"/>
  <c r="F287" i="22" s="1"/>
  <c r="F288" i="12"/>
  <c r="F288" i="17"/>
  <c r="F288" i="9"/>
  <c r="G288" s="1"/>
  <c r="K288" i="5"/>
  <c r="L288" s="1"/>
  <c r="F288"/>
  <c r="F288" i="10"/>
  <c r="O288" s="1"/>
  <c r="F288" i="11"/>
  <c r="G288" s="1"/>
  <c r="F288" i="8"/>
  <c r="G288" s="1"/>
  <c r="F288" i="7"/>
  <c r="F288" i="4"/>
  <c r="I288" s="1"/>
  <c r="F288" i="22" s="1"/>
  <c r="F289" i="12"/>
  <c r="F289" i="17"/>
  <c r="F289" i="9"/>
  <c r="G289" s="1"/>
  <c r="K289" i="5"/>
  <c r="L289" s="1"/>
  <c r="F289"/>
  <c r="F289" i="10"/>
  <c r="O289" s="1"/>
  <c r="F289" i="11"/>
  <c r="G289" s="1"/>
  <c r="F289" i="8"/>
  <c r="G289" s="1"/>
  <c r="F289" i="7"/>
  <c r="F289" i="4"/>
  <c r="I289" s="1"/>
  <c r="F289" i="22" s="1"/>
  <c r="F290" i="12"/>
  <c r="F290" i="17"/>
  <c r="F290" i="9"/>
  <c r="G290" s="1"/>
  <c r="K290" i="5"/>
  <c r="L290" s="1"/>
  <c r="F290"/>
  <c r="F290" i="10"/>
  <c r="O290" s="1"/>
  <c r="F290" i="11"/>
  <c r="G290" s="1"/>
  <c r="F290" i="8"/>
  <c r="G290" s="1"/>
  <c r="F290" i="7"/>
  <c r="F290" i="4"/>
  <c r="I290" s="1"/>
  <c r="F290" i="22" s="1"/>
  <c r="F291" i="12"/>
  <c r="F291" i="17"/>
  <c r="F291" i="9"/>
  <c r="G291" s="1"/>
  <c r="K291" i="5"/>
  <c r="L291" s="1"/>
  <c r="F291"/>
  <c r="F291" i="10"/>
  <c r="O291" s="1"/>
  <c r="F291" i="11"/>
  <c r="G291" s="1"/>
  <c r="F291" i="8"/>
  <c r="G291" s="1"/>
  <c r="F291" i="7"/>
  <c r="F291" i="4"/>
  <c r="I291" s="1"/>
  <c r="F291" i="22" s="1"/>
  <c r="F292" i="12"/>
  <c r="F292" i="17"/>
  <c r="F292" i="9"/>
  <c r="G292" s="1"/>
  <c r="K292" i="5"/>
  <c r="L292" s="1"/>
  <c r="F292"/>
  <c r="F292" i="10"/>
  <c r="O292" s="1"/>
  <c r="F292" i="11"/>
  <c r="G292" s="1"/>
  <c r="F292" i="8"/>
  <c r="G292" s="1"/>
  <c r="F292" i="7"/>
  <c r="F292" i="4"/>
  <c r="I292" s="1"/>
  <c r="F292" i="22" s="1"/>
  <c r="F293" i="12"/>
  <c r="F293" i="17"/>
  <c r="F293" i="9"/>
  <c r="G293" s="1"/>
  <c r="K293" i="5"/>
  <c r="L293" s="1"/>
  <c r="F293"/>
  <c r="F293" i="10"/>
  <c r="O293" s="1"/>
  <c r="F293" i="11"/>
  <c r="G293" s="1"/>
  <c r="F293" i="8"/>
  <c r="G293" s="1"/>
  <c r="F293" i="7"/>
  <c r="F293" i="4"/>
  <c r="I293" s="1"/>
  <c r="F293" i="22" s="1"/>
  <c r="F294" i="12"/>
  <c r="F294" i="17"/>
  <c r="F294" i="9"/>
  <c r="G294" s="1"/>
  <c r="K294" i="5"/>
  <c r="L294" s="1"/>
  <c r="F294"/>
  <c r="F294" i="10"/>
  <c r="O294" s="1"/>
  <c r="F294" i="11"/>
  <c r="G294" s="1"/>
  <c r="F294" i="8"/>
  <c r="G294" s="1"/>
  <c r="F294" i="7"/>
  <c r="F294" i="4"/>
  <c r="I294" s="1"/>
  <c r="F294" i="22" s="1"/>
  <c r="F295" i="12"/>
  <c r="F295" i="17"/>
  <c r="F295" i="9"/>
  <c r="G295" s="1"/>
  <c r="K295" i="5"/>
  <c r="L295" s="1"/>
  <c r="F295"/>
  <c r="F295" i="10"/>
  <c r="O295" s="1"/>
  <c r="F295" i="11"/>
  <c r="G295" s="1"/>
  <c r="F295" i="8"/>
  <c r="G295" s="1"/>
  <c r="F295" i="7"/>
  <c r="F295" i="4"/>
  <c r="I295" s="1"/>
  <c r="F295" i="22" s="1"/>
  <c r="F296" i="12"/>
  <c r="F296" i="17"/>
  <c r="F296" i="9"/>
  <c r="G296" s="1"/>
  <c r="K296" i="5"/>
  <c r="L296" s="1"/>
  <c r="F296"/>
  <c r="F296" i="10"/>
  <c r="O296" s="1"/>
  <c r="F296" i="11"/>
  <c r="G296" s="1"/>
  <c r="F296" i="8"/>
  <c r="G296" s="1"/>
  <c r="F296" i="7"/>
  <c r="F296" i="4"/>
  <c r="I296" s="1"/>
  <c r="F296" i="22" s="1"/>
  <c r="F297" i="12"/>
  <c r="F297" i="17"/>
  <c r="F297" i="9"/>
  <c r="G297" s="1"/>
  <c r="K297" i="5"/>
  <c r="L297" s="1"/>
  <c r="F297"/>
  <c r="F297" i="10"/>
  <c r="O297" s="1"/>
  <c r="F297" i="11"/>
  <c r="G297" s="1"/>
  <c r="F297" i="8"/>
  <c r="G297" s="1"/>
  <c r="F297" i="7"/>
  <c r="F297" i="4"/>
  <c r="I297" s="1"/>
  <c r="F297" i="22" s="1"/>
  <c r="F298" i="12"/>
  <c r="F298" i="17"/>
  <c r="F298" i="9"/>
  <c r="G298" s="1"/>
  <c r="K298" i="5"/>
  <c r="L298" s="1"/>
  <c r="F298"/>
  <c r="F298" i="10"/>
  <c r="O298" s="1"/>
  <c r="F298" i="11"/>
  <c r="G298" s="1"/>
  <c r="F298" i="8"/>
  <c r="G298" s="1"/>
  <c r="F298" i="7"/>
  <c r="F298" i="4"/>
  <c r="I298" s="1"/>
  <c r="F298" i="22" s="1"/>
  <c r="F299" i="12"/>
  <c r="F299" i="17"/>
  <c r="F299" i="9"/>
  <c r="G299" s="1"/>
  <c r="K299" i="5"/>
  <c r="L299" s="1"/>
  <c r="F299"/>
  <c r="F299" i="10"/>
  <c r="O299" s="1"/>
  <c r="F299" i="11"/>
  <c r="G299" s="1"/>
  <c r="F299" i="8"/>
  <c r="G299" s="1"/>
  <c r="F299" i="7"/>
  <c r="F299" i="4"/>
  <c r="I299" s="1"/>
  <c r="F299" i="22" s="1"/>
  <c r="F300" i="12"/>
  <c r="F300" i="17"/>
  <c r="F300" i="9"/>
  <c r="G300" s="1"/>
  <c r="K300" i="5"/>
  <c r="L300" s="1"/>
  <c r="F300"/>
  <c r="F300" i="10"/>
  <c r="O300" s="1"/>
  <c r="F300" i="11"/>
  <c r="G300" s="1"/>
  <c r="F300" i="8"/>
  <c r="G300" s="1"/>
  <c r="F300" i="7"/>
  <c r="F300" i="4"/>
  <c r="I300" s="1"/>
  <c r="F300" i="22" s="1"/>
  <c r="F301" i="12"/>
  <c r="F301" i="17"/>
  <c r="F301" i="9"/>
  <c r="G301" s="1"/>
  <c r="K301" i="5"/>
  <c r="L301" s="1"/>
  <c r="F301"/>
  <c r="F301" i="10"/>
  <c r="O301" s="1"/>
  <c r="F301" i="11"/>
  <c r="G301" s="1"/>
  <c r="F301" i="8"/>
  <c r="G301" s="1"/>
  <c r="F301" i="7"/>
  <c r="F301" i="4"/>
  <c r="I301" s="1"/>
  <c r="F301" i="22" s="1"/>
  <c r="F302" i="12"/>
  <c r="F302" i="17"/>
  <c r="F302" i="9"/>
  <c r="G302" s="1"/>
  <c r="K302" i="5"/>
  <c r="L302" s="1"/>
  <c r="F302"/>
  <c r="F302" i="10"/>
  <c r="O302" s="1"/>
  <c r="F302" i="11"/>
  <c r="G302" s="1"/>
  <c r="F302" i="8"/>
  <c r="G302" s="1"/>
  <c r="F302" i="7"/>
  <c r="F302" i="4"/>
  <c r="I302" s="1"/>
  <c r="F302" i="22" s="1"/>
  <c r="F303" i="12"/>
  <c r="F303" i="17"/>
  <c r="F303" i="9"/>
  <c r="G303" s="1"/>
  <c r="K303" i="5"/>
  <c r="L303" s="1"/>
  <c r="F303"/>
  <c r="F303" i="10"/>
  <c r="O303" s="1"/>
  <c r="F303" i="11"/>
  <c r="G303" s="1"/>
  <c r="F303" i="8"/>
  <c r="G303" s="1"/>
  <c r="F303" i="7"/>
  <c r="F303" i="4"/>
  <c r="I303" s="1"/>
  <c r="F303" i="22" s="1"/>
  <c r="F304" i="12"/>
  <c r="F304" i="17"/>
  <c r="F304" i="9"/>
  <c r="G304" s="1"/>
  <c r="K304" i="5"/>
  <c r="L304" s="1"/>
  <c r="F304"/>
  <c r="F304" i="10"/>
  <c r="O304" s="1"/>
  <c r="F304" i="11"/>
  <c r="G304" s="1"/>
  <c r="F304" i="8"/>
  <c r="G304" s="1"/>
  <c r="F304" i="7"/>
  <c r="F304" i="4"/>
  <c r="I304" s="1"/>
  <c r="F304" i="22" s="1"/>
  <c r="F305" i="12"/>
  <c r="F305" i="17"/>
  <c r="F305" i="9"/>
  <c r="G305" s="1"/>
  <c r="K305" i="5"/>
  <c r="L305" s="1"/>
  <c r="F305"/>
  <c r="F305" i="10"/>
  <c r="O305" s="1"/>
  <c r="F305" i="11"/>
  <c r="G305" s="1"/>
  <c r="F305" i="8"/>
  <c r="G305" s="1"/>
  <c r="F305" i="7"/>
  <c r="F305" i="4"/>
  <c r="I305" s="1"/>
  <c r="F305" i="22" s="1"/>
  <c r="F306" i="12"/>
  <c r="F306" i="17"/>
  <c r="F306" i="9"/>
  <c r="G306" s="1"/>
  <c r="K306" i="5"/>
  <c r="L306" s="1"/>
  <c r="F306"/>
  <c r="F306" i="10"/>
  <c r="O306" s="1"/>
  <c r="F306" i="11"/>
  <c r="G306" s="1"/>
  <c r="F306" i="8"/>
  <c r="G306" s="1"/>
  <c r="F306" i="7"/>
  <c r="F306" i="4"/>
  <c r="I306" s="1"/>
  <c r="F306" i="22" s="1"/>
  <c r="F307" i="12"/>
  <c r="F307" i="17"/>
  <c r="F307" i="9"/>
  <c r="G307" s="1"/>
  <c r="K307" i="5"/>
  <c r="L307" s="1"/>
  <c r="F307"/>
  <c r="F307" i="10"/>
  <c r="O307" s="1"/>
  <c r="F307" i="11"/>
  <c r="G307" s="1"/>
  <c r="F307" i="8"/>
  <c r="G307" s="1"/>
  <c r="F307" i="7"/>
  <c r="F307" i="4"/>
  <c r="I307" s="1"/>
  <c r="F307" i="22" s="1"/>
  <c r="F308" i="12"/>
  <c r="F308" i="17"/>
  <c r="F308" i="9"/>
  <c r="G308" s="1"/>
  <c r="K308" i="5"/>
  <c r="L308" s="1"/>
  <c r="F308"/>
  <c r="F308" i="10"/>
  <c r="O308" s="1"/>
  <c r="F308" i="11"/>
  <c r="G308" s="1"/>
  <c r="F308" i="8"/>
  <c r="G308" s="1"/>
  <c r="F308" i="7"/>
  <c r="F308" i="4"/>
  <c r="I308" s="1"/>
  <c r="F308" i="22" s="1"/>
  <c r="F309" i="12"/>
  <c r="F309" i="17"/>
  <c r="F309" i="9"/>
  <c r="G309" s="1"/>
  <c r="K309" i="5"/>
  <c r="L309" s="1"/>
  <c r="F309"/>
  <c r="F309" i="10"/>
  <c r="O309" s="1"/>
  <c r="F309" i="11"/>
  <c r="G309" s="1"/>
  <c r="F309" i="8"/>
  <c r="G309" s="1"/>
  <c r="F309" i="7"/>
  <c r="F309" i="4"/>
  <c r="I309" s="1"/>
  <c r="F309" i="22" s="1"/>
  <c r="F310" i="12"/>
  <c r="F310" i="17"/>
  <c r="F310" i="9"/>
  <c r="G310" s="1"/>
  <c r="K310" i="5"/>
  <c r="L310" s="1"/>
  <c r="F310"/>
  <c r="F310" i="10"/>
  <c r="O310" s="1"/>
  <c r="F310" i="11"/>
  <c r="G310" s="1"/>
  <c r="F310" i="8"/>
  <c r="G310" s="1"/>
  <c r="F310" i="7"/>
  <c r="F310" i="4"/>
  <c r="I310" s="1"/>
  <c r="F310" i="22" s="1"/>
  <c r="F311" i="12"/>
  <c r="F311" i="17"/>
  <c r="F311" i="9"/>
  <c r="G311" s="1"/>
  <c r="K311" i="5"/>
  <c r="L311" s="1"/>
  <c r="F311"/>
  <c r="F311" i="10"/>
  <c r="O311" s="1"/>
  <c r="F311" i="11"/>
  <c r="G311" s="1"/>
  <c r="F311" i="8"/>
  <c r="G311" s="1"/>
  <c r="F311" i="7"/>
  <c r="F311" i="4"/>
  <c r="I311" s="1"/>
  <c r="F311" i="22" s="1"/>
  <c r="F312" i="12"/>
  <c r="F312" i="17"/>
  <c r="F312" i="9"/>
  <c r="G312" s="1"/>
  <c r="K312" i="5"/>
  <c r="L312" s="1"/>
  <c r="F312"/>
  <c r="F312" i="10"/>
  <c r="O312" s="1"/>
  <c r="F312" i="11"/>
  <c r="G312" s="1"/>
  <c r="F312" i="8"/>
  <c r="G312" s="1"/>
  <c r="F312" i="7"/>
  <c r="F312" i="4"/>
  <c r="I312" s="1"/>
  <c r="F312" i="22" s="1"/>
  <c r="F313" i="12"/>
  <c r="F313" i="17"/>
  <c r="F313" i="9"/>
  <c r="G313" s="1"/>
  <c r="K313" i="5"/>
  <c r="L313" s="1"/>
  <c r="F313"/>
  <c r="F313" i="10"/>
  <c r="O313" s="1"/>
  <c r="F313" i="11"/>
  <c r="G313" s="1"/>
  <c r="F313" i="8"/>
  <c r="G313" s="1"/>
  <c r="F313" i="7"/>
  <c r="F313" i="4"/>
  <c r="I313" s="1"/>
  <c r="F313" i="22" s="1"/>
  <c r="F314" i="12"/>
  <c r="F314" i="17"/>
  <c r="F314" i="9"/>
  <c r="G314" s="1"/>
  <c r="K314" i="5"/>
  <c r="L314" s="1"/>
  <c r="F314"/>
  <c r="F314" i="10"/>
  <c r="O314" s="1"/>
  <c r="F314" i="11"/>
  <c r="G314" s="1"/>
  <c r="F314" i="8"/>
  <c r="G314" s="1"/>
  <c r="F314" i="7"/>
  <c r="F314" i="4"/>
  <c r="I314" s="1"/>
  <c r="F314" i="22" s="1"/>
  <c r="F315" i="12"/>
  <c r="F315" i="17"/>
  <c r="F315" i="9"/>
  <c r="G315" s="1"/>
  <c r="K315" i="5"/>
  <c r="L315" s="1"/>
  <c r="F315"/>
  <c r="F315" i="10"/>
  <c r="O315" s="1"/>
  <c r="F315" i="11"/>
  <c r="G315" s="1"/>
  <c r="F315" i="8"/>
  <c r="G315" s="1"/>
  <c r="F315" i="7"/>
  <c r="F315" i="4"/>
  <c r="I315" s="1"/>
  <c r="F315" i="22" s="1"/>
  <c r="F316" i="12"/>
  <c r="F316" i="17"/>
  <c r="F316" i="9"/>
  <c r="G316" s="1"/>
  <c r="K316" i="5"/>
  <c r="L316" s="1"/>
  <c r="F316"/>
  <c r="F316" i="10"/>
  <c r="O316" s="1"/>
  <c r="F316" i="11"/>
  <c r="G316" s="1"/>
  <c r="F316" i="8"/>
  <c r="G316" s="1"/>
  <c r="F316" i="7"/>
  <c r="F316" i="4"/>
  <c r="I316" s="1"/>
  <c r="F316" i="22" s="1"/>
  <c r="F317" i="12"/>
  <c r="F317" i="17"/>
  <c r="F317" i="9"/>
  <c r="G317" s="1"/>
  <c r="K317" i="5"/>
  <c r="L317" s="1"/>
  <c r="F317"/>
  <c r="F317" i="10"/>
  <c r="O317" s="1"/>
  <c r="F317" i="11"/>
  <c r="G317" s="1"/>
  <c r="F317" i="8"/>
  <c r="G317" s="1"/>
  <c r="F317" i="7"/>
  <c r="F317" i="4"/>
  <c r="I317" s="1"/>
  <c r="F317" i="22" s="1"/>
  <c r="F318" i="12"/>
  <c r="F318" i="17"/>
  <c r="F318" i="9"/>
  <c r="G318" s="1"/>
  <c r="K318" i="5"/>
  <c r="L318" s="1"/>
  <c r="F318"/>
  <c r="F318" i="10"/>
  <c r="O318" s="1"/>
  <c r="F318" i="11"/>
  <c r="G318" s="1"/>
  <c r="F318" i="8"/>
  <c r="G318" s="1"/>
  <c r="F318" i="7"/>
  <c r="F318" i="4"/>
  <c r="I318" s="1"/>
  <c r="F318" i="22" s="1"/>
  <c r="F319" i="12"/>
  <c r="F319" i="17"/>
  <c r="F319" i="9"/>
  <c r="G319" s="1"/>
  <c r="K319" i="5"/>
  <c r="L319" s="1"/>
  <c r="F319"/>
  <c r="F319" i="10"/>
  <c r="O319" s="1"/>
  <c r="F319" i="11"/>
  <c r="G319" s="1"/>
  <c r="F319" i="8"/>
  <c r="G319" s="1"/>
  <c r="F319" i="7"/>
  <c r="F319" i="4"/>
  <c r="I319" s="1"/>
  <c r="F319" i="22" s="1"/>
  <c r="F320" i="12"/>
  <c r="F320" i="17"/>
  <c r="F320" i="9"/>
  <c r="G320" s="1"/>
  <c r="K320" i="5"/>
  <c r="L320" s="1"/>
  <c r="F320"/>
  <c r="F320" i="10"/>
  <c r="O320" s="1"/>
  <c r="F320" i="11"/>
  <c r="G320" s="1"/>
  <c r="F320" i="8"/>
  <c r="G320" s="1"/>
  <c r="F320" i="7"/>
  <c r="F320" i="4"/>
  <c r="I320" s="1"/>
  <c r="F320" i="22" s="1"/>
  <c r="F321" i="12"/>
  <c r="F321" i="17"/>
  <c r="F321" i="9"/>
  <c r="G321" s="1"/>
  <c r="K321" i="5"/>
  <c r="L321" s="1"/>
  <c r="F321"/>
  <c r="F321" i="10"/>
  <c r="O321" s="1"/>
  <c r="F321" i="11"/>
  <c r="G321" s="1"/>
  <c r="F321" i="8"/>
  <c r="G321" s="1"/>
  <c r="F321" i="7"/>
  <c r="F321" i="4"/>
  <c r="I321" s="1"/>
  <c r="F321" i="22" s="1"/>
  <c r="F322" i="12"/>
  <c r="F322" i="17"/>
  <c r="F322" i="9"/>
  <c r="G322" s="1"/>
  <c r="K322" i="5"/>
  <c r="L322" s="1"/>
  <c r="F322"/>
  <c r="F322" i="10"/>
  <c r="O322" s="1"/>
  <c r="F322" i="11"/>
  <c r="G322" s="1"/>
  <c r="F322" i="8"/>
  <c r="G322" s="1"/>
  <c r="F322" i="7"/>
  <c r="F322" i="4"/>
  <c r="I322" s="1"/>
  <c r="F322" i="22" s="1"/>
  <c r="F323" i="12"/>
  <c r="F323" i="17"/>
  <c r="F323" i="9"/>
  <c r="G323" s="1"/>
  <c r="K323" i="5"/>
  <c r="L323" s="1"/>
  <c r="F323"/>
  <c r="F323" i="10"/>
  <c r="O323" s="1"/>
  <c r="F323" i="11"/>
  <c r="G323" s="1"/>
  <c r="F323" i="8"/>
  <c r="G323" s="1"/>
  <c r="F323" i="7"/>
  <c r="F323" i="4"/>
  <c r="I323" s="1"/>
  <c r="F323" i="22" s="1"/>
  <c r="F324" i="12"/>
  <c r="F324" i="17"/>
  <c r="F324" i="9"/>
  <c r="G324" s="1"/>
  <c r="K324" i="5"/>
  <c r="L324" s="1"/>
  <c r="F324"/>
  <c r="F324" i="10"/>
  <c r="O324" s="1"/>
  <c r="F324" i="11"/>
  <c r="G324" s="1"/>
  <c r="F324" i="8"/>
  <c r="G324" s="1"/>
  <c r="F324" i="7"/>
  <c r="F324" i="4"/>
  <c r="I324" s="1"/>
  <c r="F324" i="22" s="1"/>
  <c r="F325" i="12"/>
  <c r="F325" i="17"/>
  <c r="F325" i="9"/>
  <c r="G325" s="1"/>
  <c r="K325" i="5"/>
  <c r="L325" s="1"/>
  <c r="F325"/>
  <c r="F325" i="10"/>
  <c r="O325" s="1"/>
  <c r="F325" i="11"/>
  <c r="G325" s="1"/>
  <c r="F325" i="8"/>
  <c r="G325" s="1"/>
  <c r="F325" i="7"/>
  <c r="F325" i="4"/>
  <c r="I325" s="1"/>
  <c r="F325" i="22" s="1"/>
  <c r="F326" i="12"/>
  <c r="F326" i="17"/>
  <c r="F326" i="9"/>
  <c r="G326" s="1"/>
  <c r="K326" i="5"/>
  <c r="L326" s="1"/>
  <c r="F326"/>
  <c r="F326" i="10"/>
  <c r="O326" s="1"/>
  <c r="F326" i="11"/>
  <c r="G326" s="1"/>
  <c r="F326" i="8"/>
  <c r="G326" s="1"/>
  <c r="F326" i="7"/>
  <c r="F326" i="4"/>
  <c r="I326" s="1"/>
  <c r="F326" i="22" s="1"/>
  <c r="F327" i="12"/>
  <c r="F327" i="17"/>
  <c r="F327" i="9"/>
  <c r="G327" s="1"/>
  <c r="K327" i="5"/>
  <c r="L327" s="1"/>
  <c r="F327"/>
  <c r="F327" i="10"/>
  <c r="O327" s="1"/>
  <c r="F327" i="11"/>
  <c r="G327" s="1"/>
  <c r="F327" i="8"/>
  <c r="G327" s="1"/>
  <c r="F327" i="7"/>
  <c r="F327" i="4"/>
  <c r="I327" s="1"/>
  <c r="F327" i="22" s="1"/>
  <c r="F328" i="12"/>
  <c r="F328" i="17"/>
  <c r="F328" i="9"/>
  <c r="G328" s="1"/>
  <c r="K328" i="5"/>
  <c r="L328" s="1"/>
  <c r="F328"/>
  <c r="F328" i="10"/>
  <c r="O328" s="1"/>
  <c r="F328" i="11"/>
  <c r="G328" s="1"/>
  <c r="F328" i="8"/>
  <c r="G328" s="1"/>
  <c r="F328" i="7"/>
  <c r="F328" i="4"/>
  <c r="I328" s="1"/>
  <c r="F328" i="22" s="1"/>
  <c r="F329" i="12"/>
  <c r="F329" i="17"/>
  <c r="F329" i="9"/>
  <c r="G329" s="1"/>
  <c r="K329" i="5"/>
  <c r="L329" s="1"/>
  <c r="F329"/>
  <c r="F329" i="10"/>
  <c r="O329" s="1"/>
  <c r="F329" i="11"/>
  <c r="G329" s="1"/>
  <c r="F329" i="8"/>
  <c r="G329" s="1"/>
  <c r="F329" i="7"/>
  <c r="F329" i="4"/>
  <c r="I329" s="1"/>
  <c r="F329" i="22" s="1"/>
  <c r="F330" i="12"/>
  <c r="F330" i="17"/>
  <c r="F330" i="9"/>
  <c r="G330" s="1"/>
  <c r="K330" i="5"/>
  <c r="L330" s="1"/>
  <c r="F330"/>
  <c r="F330" i="10"/>
  <c r="O330" s="1"/>
  <c r="F330" i="11"/>
  <c r="G330" s="1"/>
  <c r="F330" i="8"/>
  <c r="G330" s="1"/>
  <c r="F330" i="7"/>
  <c r="F330" i="4"/>
  <c r="I330" s="1"/>
  <c r="F330" i="22" s="1"/>
  <c r="F331" i="12"/>
  <c r="F331" i="17"/>
  <c r="F331" i="9"/>
  <c r="G331" s="1"/>
  <c r="K331" i="5"/>
  <c r="L331" s="1"/>
  <c r="F331"/>
  <c r="F331" i="10"/>
  <c r="O331" s="1"/>
  <c r="F331" i="11"/>
  <c r="G331" s="1"/>
  <c r="F331" i="8"/>
  <c r="G331" s="1"/>
  <c r="F331" i="7"/>
  <c r="F331" i="4"/>
  <c r="I331" s="1"/>
  <c r="F331" i="22" s="1"/>
  <c r="F332" i="12"/>
  <c r="F332" i="17"/>
  <c r="F332" i="9"/>
  <c r="G332" s="1"/>
  <c r="K332" i="5"/>
  <c r="L332" s="1"/>
  <c r="F332"/>
  <c r="F332" i="10"/>
  <c r="O332" s="1"/>
  <c r="F332" i="11"/>
  <c r="G332" s="1"/>
  <c r="F332" i="8"/>
  <c r="G332" s="1"/>
  <c r="F332" i="7"/>
  <c r="F332" i="4"/>
  <c r="I332" s="1"/>
  <c r="F332" i="22" s="1"/>
  <c r="F333" i="12"/>
  <c r="F333" i="17"/>
  <c r="F333" i="9"/>
  <c r="G333" s="1"/>
  <c r="K333" i="5"/>
  <c r="L333" s="1"/>
  <c r="F333"/>
  <c r="F333" i="10"/>
  <c r="O333" s="1"/>
  <c r="F333" i="11"/>
  <c r="G333" s="1"/>
  <c r="F333" i="8"/>
  <c r="G333" s="1"/>
  <c r="F333" i="7"/>
  <c r="F333" i="4"/>
  <c r="I333" s="1"/>
  <c r="F333" i="22" s="1"/>
  <c r="F334" i="12"/>
  <c r="F334" i="17"/>
  <c r="F334" i="9"/>
  <c r="G334" s="1"/>
  <c r="K334" i="5"/>
  <c r="L334" s="1"/>
  <c r="F334"/>
  <c r="F334" i="10"/>
  <c r="O334" s="1"/>
  <c r="F334" i="11"/>
  <c r="G334" s="1"/>
  <c r="F334" i="8"/>
  <c r="G334" s="1"/>
  <c r="F334" i="7"/>
  <c r="F334" i="4"/>
  <c r="I334" s="1"/>
  <c r="F334" i="22" s="1"/>
  <c r="F335" i="12"/>
  <c r="F335" i="17"/>
  <c r="F335" i="9"/>
  <c r="G335" s="1"/>
  <c r="K335" i="5"/>
  <c r="L335" s="1"/>
  <c r="F335"/>
  <c r="F335" i="10"/>
  <c r="O335" s="1"/>
  <c r="F335" i="11"/>
  <c r="G335" s="1"/>
  <c r="F335" i="8"/>
  <c r="G335" s="1"/>
  <c r="F335" i="7"/>
  <c r="F335" i="4"/>
  <c r="I335" s="1"/>
  <c r="F335" i="22" s="1"/>
  <c r="F336" i="12"/>
  <c r="F336" i="17"/>
  <c r="F336" i="9"/>
  <c r="G336" s="1"/>
  <c r="K336" i="5"/>
  <c r="L336" s="1"/>
  <c r="F336"/>
  <c r="F336" i="10"/>
  <c r="O336" s="1"/>
  <c r="F336" i="11"/>
  <c r="G336" s="1"/>
  <c r="F336" i="8"/>
  <c r="G336" s="1"/>
  <c r="F336" i="7"/>
  <c r="F336" i="4"/>
  <c r="I336" s="1"/>
  <c r="F336" i="22" s="1"/>
  <c r="F337" i="12"/>
  <c r="F337" i="17"/>
  <c r="F337" i="9"/>
  <c r="G337" s="1"/>
  <c r="K337" i="5"/>
  <c r="L337" s="1"/>
  <c r="F337"/>
  <c r="F337" i="10"/>
  <c r="O337" s="1"/>
  <c r="F337" i="11"/>
  <c r="G337" s="1"/>
  <c r="F337" i="8"/>
  <c r="G337" s="1"/>
  <c r="F337" i="7"/>
  <c r="F337" i="4"/>
  <c r="I337" s="1"/>
  <c r="F337" i="22" s="1"/>
  <c r="F338" i="12"/>
  <c r="F338" i="17"/>
  <c r="F338" i="9"/>
  <c r="G338" s="1"/>
  <c r="K338" i="5"/>
  <c r="L338" s="1"/>
  <c r="F338"/>
  <c r="F338" i="10"/>
  <c r="O338" s="1"/>
  <c r="F338" i="11"/>
  <c r="G338" s="1"/>
  <c r="F338" i="8"/>
  <c r="G338" s="1"/>
  <c r="F338" i="7"/>
  <c r="F338" i="4"/>
  <c r="I338" s="1"/>
  <c r="F338" i="22" s="1"/>
  <c r="F339" i="12"/>
  <c r="F339" i="17"/>
  <c r="F339" i="9"/>
  <c r="G339" s="1"/>
  <c r="K339" i="5"/>
  <c r="L339" s="1"/>
  <c r="F339"/>
  <c r="F339" i="10"/>
  <c r="O339" s="1"/>
  <c r="F339" i="11"/>
  <c r="G339" s="1"/>
  <c r="F339" i="8"/>
  <c r="G339" s="1"/>
  <c r="F339" i="7"/>
  <c r="F339" i="4"/>
  <c r="I339" s="1"/>
  <c r="F339" i="22" s="1"/>
  <c r="F340" i="12"/>
  <c r="F340" i="17"/>
  <c r="F340" i="9"/>
  <c r="G340" s="1"/>
  <c r="K340" i="5"/>
  <c r="L340" s="1"/>
  <c r="F340"/>
  <c r="F340" i="10"/>
  <c r="O340" s="1"/>
  <c r="F340" i="11"/>
  <c r="G340" s="1"/>
  <c r="F340" i="8"/>
  <c r="G340" s="1"/>
  <c r="F340" i="7"/>
  <c r="F340" i="4"/>
  <c r="I340" s="1"/>
  <c r="F340" i="22" s="1"/>
  <c r="F341" i="12"/>
  <c r="F341" i="17"/>
  <c r="F341" i="9"/>
  <c r="G341" s="1"/>
  <c r="K341" i="5"/>
  <c r="L341" s="1"/>
  <c r="F341"/>
  <c r="F341" i="10"/>
  <c r="O341" s="1"/>
  <c r="F341" i="11"/>
  <c r="G341" s="1"/>
  <c r="F341" i="8"/>
  <c r="G341" s="1"/>
  <c r="F341" i="7"/>
  <c r="F341" i="4"/>
  <c r="I341" s="1"/>
  <c r="F341" i="22" s="1"/>
  <c r="F342" i="12"/>
  <c r="F342" i="17"/>
  <c r="F342" i="9"/>
  <c r="G342" s="1"/>
  <c r="K342" i="5"/>
  <c r="L342" s="1"/>
  <c r="F342"/>
  <c r="F342" i="10"/>
  <c r="O342" s="1"/>
  <c r="F342" i="11"/>
  <c r="G342" s="1"/>
  <c r="F342" i="8"/>
  <c r="G342" s="1"/>
  <c r="F342" i="7"/>
  <c r="F342" i="4"/>
  <c r="I342" s="1"/>
  <c r="F342" i="22" s="1"/>
  <c r="F343" i="12"/>
  <c r="F343" i="17"/>
  <c r="F343" i="9"/>
  <c r="G343" s="1"/>
  <c r="K343" i="5"/>
  <c r="L343" s="1"/>
  <c r="F343"/>
  <c r="F343" i="10"/>
  <c r="O343" s="1"/>
  <c r="F343" i="11"/>
  <c r="G343" s="1"/>
  <c r="F343" i="8"/>
  <c r="G343" s="1"/>
  <c r="F343" i="7"/>
  <c r="F343" i="4"/>
  <c r="I343" s="1"/>
  <c r="F343" i="22" s="1"/>
  <c r="F344" i="12"/>
  <c r="F344" i="17"/>
  <c r="F344" i="9"/>
  <c r="G344" s="1"/>
  <c r="K344" i="5"/>
  <c r="L344" s="1"/>
  <c r="F344"/>
  <c r="F344" i="10"/>
  <c r="O344" s="1"/>
  <c r="F344" i="11"/>
  <c r="G344" s="1"/>
  <c r="F344" i="8"/>
  <c r="G344" s="1"/>
  <c r="F344" i="7"/>
  <c r="F344" i="4"/>
  <c r="I344" s="1"/>
  <c r="F344" i="22" s="1"/>
  <c r="F345" i="12"/>
  <c r="F345" i="17"/>
  <c r="F345" i="9"/>
  <c r="G345" s="1"/>
  <c r="K345" i="5"/>
  <c r="L345" s="1"/>
  <c r="F345"/>
  <c r="F345" i="10"/>
  <c r="O345" s="1"/>
  <c r="F345" i="11"/>
  <c r="G345" s="1"/>
  <c r="F345" i="8"/>
  <c r="G345" s="1"/>
  <c r="F345" i="7"/>
  <c r="F345" i="4"/>
  <c r="I345" s="1"/>
  <c r="F345" i="22" s="1"/>
  <c r="F346" i="12"/>
  <c r="F346" i="17"/>
  <c r="F346" i="9"/>
  <c r="G346" s="1"/>
  <c r="K346" i="5"/>
  <c r="L346" s="1"/>
  <c r="F346"/>
  <c r="F346" i="10"/>
  <c r="O346" s="1"/>
  <c r="F346" i="11"/>
  <c r="G346" s="1"/>
  <c r="F346" i="8"/>
  <c r="G346" s="1"/>
  <c r="F346" i="7"/>
  <c r="F346" i="4"/>
  <c r="I346" s="1"/>
  <c r="F346" i="22" s="1"/>
  <c r="F347" i="12"/>
  <c r="F347" i="17"/>
  <c r="F347" i="9"/>
  <c r="G347" s="1"/>
  <c r="K347" i="5"/>
  <c r="L347" s="1"/>
  <c r="F347"/>
  <c r="F347" i="10"/>
  <c r="O347" s="1"/>
  <c r="F347" i="11"/>
  <c r="G347" s="1"/>
  <c r="F347" i="8"/>
  <c r="G347" s="1"/>
  <c r="F347" i="7"/>
  <c r="F347" i="4"/>
  <c r="I347" s="1"/>
  <c r="F347" i="22" s="1"/>
  <c r="F348" i="12"/>
  <c r="F348" i="17"/>
  <c r="F348" i="9"/>
  <c r="G348" s="1"/>
  <c r="K348" i="5"/>
  <c r="L348" s="1"/>
  <c r="F348"/>
  <c r="F348" i="10"/>
  <c r="O348" s="1"/>
  <c r="F348" i="11"/>
  <c r="G348" s="1"/>
  <c r="F348" i="8"/>
  <c r="G348" s="1"/>
  <c r="F348" i="7"/>
  <c r="F348" i="4"/>
  <c r="I348" s="1"/>
  <c r="F348" i="22" s="1"/>
  <c r="F349" i="12"/>
  <c r="F349" i="17"/>
  <c r="F349" i="9"/>
  <c r="G349" s="1"/>
  <c r="K349" i="5"/>
  <c r="L349" s="1"/>
  <c r="F349"/>
  <c r="F349" i="10"/>
  <c r="O349" s="1"/>
  <c r="F349" i="11"/>
  <c r="G349" s="1"/>
  <c r="F349" i="8"/>
  <c r="G349" s="1"/>
  <c r="F349" i="7"/>
  <c r="F349" i="4"/>
  <c r="I349" s="1"/>
  <c r="F349" i="22" s="1"/>
  <c r="F350" i="12"/>
  <c r="F350" i="17"/>
  <c r="F350" i="9"/>
  <c r="G350" s="1"/>
  <c r="K350" i="5"/>
  <c r="L350" s="1"/>
  <c r="F350"/>
  <c r="F350" i="10"/>
  <c r="O350" s="1"/>
  <c r="F350" i="11"/>
  <c r="G350" s="1"/>
  <c r="F350" i="8"/>
  <c r="G350" s="1"/>
  <c r="F350" i="7"/>
  <c r="F350" i="4"/>
  <c r="I350" s="1"/>
  <c r="F350" i="22" s="1"/>
  <c r="F351" i="12"/>
  <c r="F351" i="17"/>
  <c r="F351" i="9"/>
  <c r="G351" s="1"/>
  <c r="K351" i="5"/>
  <c r="L351" s="1"/>
  <c r="F351"/>
  <c r="F351" i="10"/>
  <c r="O351" s="1"/>
  <c r="F351" i="11"/>
  <c r="G351" s="1"/>
  <c r="F351" i="8"/>
  <c r="G351" s="1"/>
  <c r="F351" i="7"/>
  <c r="F351" i="4"/>
  <c r="I351" s="1"/>
  <c r="F351" i="22" s="1"/>
  <c r="F352" i="12"/>
  <c r="F352" i="17"/>
  <c r="F352" i="9"/>
  <c r="G352" s="1"/>
  <c r="K352" i="5"/>
  <c r="L352" s="1"/>
  <c r="F352"/>
  <c r="F352" i="10"/>
  <c r="O352" s="1"/>
  <c r="F352" i="11"/>
  <c r="G352" s="1"/>
  <c r="F352" i="8"/>
  <c r="G352" s="1"/>
  <c r="F352" i="7"/>
  <c r="F352" i="4"/>
  <c r="I352" s="1"/>
  <c r="F352" i="22" s="1"/>
  <c r="F353" i="12"/>
  <c r="F353" i="17"/>
  <c r="F353" i="9"/>
  <c r="G353" s="1"/>
  <c r="K353" i="5"/>
  <c r="L353" s="1"/>
  <c r="F353"/>
  <c r="F353" i="10"/>
  <c r="O353" s="1"/>
  <c r="F353" i="11"/>
  <c r="G353" s="1"/>
  <c r="F353" i="8"/>
  <c r="G353" s="1"/>
  <c r="F353" i="7"/>
  <c r="F353" i="4"/>
  <c r="I353" s="1"/>
  <c r="F353" i="22" s="1"/>
  <c r="F354" i="12"/>
  <c r="F354" i="17"/>
  <c r="F354" i="9"/>
  <c r="G354" s="1"/>
  <c r="K354" i="5"/>
  <c r="L354" s="1"/>
  <c r="F354"/>
  <c r="F354" i="10"/>
  <c r="O354" s="1"/>
  <c r="F354" i="11"/>
  <c r="G354" s="1"/>
  <c r="F354" i="8"/>
  <c r="G354" s="1"/>
  <c r="F354" i="7"/>
  <c r="F354" i="4"/>
  <c r="I354" s="1"/>
  <c r="F354" i="22" s="1"/>
  <c r="F355" i="12"/>
  <c r="F355" i="17"/>
  <c r="F355" i="9"/>
  <c r="G355" s="1"/>
  <c r="K355" i="5"/>
  <c r="L355" s="1"/>
  <c r="F355"/>
  <c r="F355" i="10"/>
  <c r="O355" s="1"/>
  <c r="F355" i="11"/>
  <c r="G355" s="1"/>
  <c r="F355" i="8"/>
  <c r="G355" s="1"/>
  <c r="F355" i="7"/>
  <c r="F355" i="4"/>
  <c r="I355" s="1"/>
  <c r="F355" i="22" s="1"/>
  <c r="F356" i="12"/>
  <c r="F356" i="17"/>
  <c r="F356" i="9"/>
  <c r="G356" s="1"/>
  <c r="K356" i="5"/>
  <c r="L356" s="1"/>
  <c r="F356"/>
  <c r="F356" i="10"/>
  <c r="O356" s="1"/>
  <c r="F356" i="11"/>
  <c r="G356" s="1"/>
  <c r="F356" i="8"/>
  <c r="G356" s="1"/>
  <c r="F356" i="7"/>
  <c r="F356" i="4"/>
  <c r="I356" s="1"/>
  <c r="F356" i="22" s="1"/>
  <c r="F357" i="12"/>
  <c r="F357" i="17"/>
  <c r="F357" i="9"/>
  <c r="G357" s="1"/>
  <c r="K357" i="5"/>
  <c r="L357" s="1"/>
  <c r="F357"/>
  <c r="F357" i="10"/>
  <c r="O357" s="1"/>
  <c r="F357" i="11"/>
  <c r="G357" s="1"/>
  <c r="F357" i="8"/>
  <c r="G357" s="1"/>
  <c r="F357" i="7"/>
  <c r="F357" i="4"/>
  <c r="I357" s="1"/>
  <c r="F357" i="22" s="1"/>
  <c r="F358" i="12"/>
  <c r="F358" i="17"/>
  <c r="F358" i="9"/>
  <c r="G358" s="1"/>
  <c r="K358" i="5"/>
  <c r="L358" s="1"/>
  <c r="F358"/>
  <c r="F358" i="10"/>
  <c r="O358" s="1"/>
  <c r="F358" i="11"/>
  <c r="G358" s="1"/>
  <c r="F358" i="8"/>
  <c r="G358" s="1"/>
  <c r="F358" i="7"/>
  <c r="F358" i="4"/>
  <c r="I358" s="1"/>
  <c r="F358" i="22" s="1"/>
  <c r="F359" i="12"/>
  <c r="F359" i="17"/>
  <c r="F359" i="9"/>
  <c r="G359" s="1"/>
  <c r="K359" i="5"/>
  <c r="L359" s="1"/>
  <c r="F359"/>
  <c r="F359" i="10"/>
  <c r="O359" s="1"/>
  <c r="F359" i="11"/>
  <c r="G359" s="1"/>
  <c r="F359" i="8"/>
  <c r="G359" s="1"/>
  <c r="F359" i="7"/>
  <c r="F359" i="4"/>
  <c r="I359" s="1"/>
  <c r="F359" i="22" s="1"/>
  <c r="F360" i="12"/>
  <c r="F360" i="17"/>
  <c r="F360" i="9"/>
  <c r="G360" s="1"/>
  <c r="K360" i="5"/>
  <c r="L360" s="1"/>
  <c r="F360"/>
  <c r="F360" i="10"/>
  <c r="O360" s="1"/>
  <c r="F360" i="11"/>
  <c r="G360" s="1"/>
  <c r="F360" i="8"/>
  <c r="G360" s="1"/>
  <c r="F360" i="7"/>
  <c r="F360" i="4"/>
  <c r="I360" s="1"/>
  <c r="F360" i="22" s="1"/>
  <c r="F361" i="12"/>
  <c r="F361" i="17"/>
  <c r="F361" i="9"/>
  <c r="G361" s="1"/>
  <c r="K361" i="5"/>
  <c r="L361" s="1"/>
  <c r="F361"/>
  <c r="F361" i="10"/>
  <c r="O361" s="1"/>
  <c r="F361" i="11"/>
  <c r="G361" s="1"/>
  <c r="F361" i="8"/>
  <c r="G361" s="1"/>
  <c r="F361" i="7"/>
  <c r="F361" i="4"/>
  <c r="I361" s="1"/>
  <c r="F361" i="22" s="1"/>
  <c r="F362" i="12"/>
  <c r="F362" i="17"/>
  <c r="F362" i="9"/>
  <c r="G362" s="1"/>
  <c r="K362" i="5"/>
  <c r="L362" s="1"/>
  <c r="F362"/>
  <c r="F362" i="10"/>
  <c r="O362" s="1"/>
  <c r="F362" i="11"/>
  <c r="G362" s="1"/>
  <c r="F362" i="8"/>
  <c r="G362" s="1"/>
  <c r="F362" i="7"/>
  <c r="F362" i="4"/>
  <c r="I362" s="1"/>
  <c r="F362" i="22" s="1"/>
  <c r="F363" i="12"/>
  <c r="F363" i="17"/>
  <c r="F363" i="9"/>
  <c r="G363" s="1"/>
  <c r="K363" i="5"/>
  <c r="L363" s="1"/>
  <c r="F363"/>
  <c r="F363" i="10"/>
  <c r="O363" s="1"/>
  <c r="F363" i="11"/>
  <c r="G363" s="1"/>
  <c r="F363" i="8"/>
  <c r="G363" s="1"/>
  <c r="F363" i="7"/>
  <c r="F363" i="4"/>
  <c r="I363" s="1"/>
  <c r="F363" i="22" s="1"/>
  <c r="F364" i="12"/>
  <c r="F364" i="17"/>
  <c r="F364" i="9"/>
  <c r="G364" s="1"/>
  <c r="K364" i="5"/>
  <c r="L364" s="1"/>
  <c r="F364"/>
  <c r="F364" i="10"/>
  <c r="O364" s="1"/>
  <c r="F364" i="11"/>
  <c r="G364" s="1"/>
  <c r="F364" i="8"/>
  <c r="G364" s="1"/>
  <c r="F364" i="7"/>
  <c r="F364" i="4"/>
  <c r="I364" s="1"/>
  <c r="F364" i="22" s="1"/>
  <c r="F365" i="12"/>
  <c r="F365" i="17"/>
  <c r="F365" i="9"/>
  <c r="G365" s="1"/>
  <c r="K365" i="5"/>
  <c r="L365" s="1"/>
  <c r="F365"/>
  <c r="F365" i="10"/>
  <c r="O365" s="1"/>
  <c r="F365" i="11"/>
  <c r="G365" s="1"/>
  <c r="F365" i="8"/>
  <c r="G365" s="1"/>
  <c r="F365" i="7"/>
  <c r="F365" i="4"/>
  <c r="I365" s="1"/>
  <c r="F365" i="22" s="1"/>
  <c r="F366" i="12"/>
  <c r="F366" i="17"/>
  <c r="F366" i="9"/>
  <c r="G366" s="1"/>
  <c r="K366" i="5"/>
  <c r="L366" s="1"/>
  <c r="F366"/>
  <c r="F366" i="10"/>
  <c r="O366" s="1"/>
  <c r="F366" i="11"/>
  <c r="G366" s="1"/>
  <c r="F366" i="8"/>
  <c r="G366" s="1"/>
  <c r="F366" i="7"/>
  <c r="F366" i="4"/>
  <c r="I366" s="1"/>
  <c r="F366" i="22" s="1"/>
  <c r="F367" i="12"/>
  <c r="F367" i="17"/>
  <c r="F367" i="9"/>
  <c r="G367" s="1"/>
  <c r="K367" i="5"/>
  <c r="L367" s="1"/>
  <c r="F367"/>
  <c r="F367" i="10"/>
  <c r="O367" s="1"/>
  <c r="F367" i="11"/>
  <c r="G367" s="1"/>
  <c r="F367" i="8"/>
  <c r="G367" s="1"/>
  <c r="F367" i="7"/>
  <c r="F367" i="4"/>
  <c r="I367" s="1"/>
  <c r="F367" i="22" s="1"/>
  <c r="F368" i="12"/>
  <c r="F368" i="17"/>
  <c r="F368" i="9"/>
  <c r="G368" s="1"/>
  <c r="K368" i="5"/>
  <c r="L368" s="1"/>
  <c r="F368"/>
  <c r="F368" i="10"/>
  <c r="O368" s="1"/>
  <c r="F368" i="11"/>
  <c r="G368" s="1"/>
  <c r="F368" i="8"/>
  <c r="G368" s="1"/>
  <c r="F368" i="7"/>
  <c r="F368" i="4"/>
  <c r="I368" s="1"/>
  <c r="F368" i="22" s="1"/>
  <c r="F369" i="12"/>
  <c r="F369" i="17"/>
  <c r="F369" i="9"/>
  <c r="G369" s="1"/>
  <c r="K369" i="5"/>
  <c r="L369" s="1"/>
  <c r="F369"/>
  <c r="F369" i="10"/>
  <c r="O369" s="1"/>
  <c r="F369" i="11"/>
  <c r="G369" s="1"/>
  <c r="F369" i="8"/>
  <c r="G369" s="1"/>
  <c r="F369" i="7"/>
  <c r="F369" i="4"/>
  <c r="I369" s="1"/>
  <c r="F369" i="22" s="1"/>
  <c r="F370" i="12"/>
  <c r="F370" i="17"/>
  <c r="F370" i="9"/>
  <c r="G370" s="1"/>
  <c r="K370" i="5"/>
  <c r="L370" s="1"/>
  <c r="F370"/>
  <c r="F370" i="10"/>
  <c r="O370" s="1"/>
  <c r="F370" i="11"/>
  <c r="G370" s="1"/>
  <c r="F370" i="8"/>
  <c r="G370" s="1"/>
  <c r="F370" i="7"/>
  <c r="F370" i="4"/>
  <c r="I370" s="1"/>
  <c r="F370" i="22" s="1"/>
  <c r="F371" i="12"/>
  <c r="F371" i="17"/>
  <c r="F371" i="9"/>
  <c r="G371" s="1"/>
  <c r="K371" i="5"/>
  <c r="L371" s="1"/>
  <c r="F371"/>
  <c r="F371" i="10"/>
  <c r="O371" s="1"/>
  <c r="F371" i="11"/>
  <c r="G371" s="1"/>
  <c r="F371" i="8"/>
  <c r="G371" s="1"/>
  <c r="F371" i="7"/>
  <c r="F371" i="4"/>
  <c r="I371" s="1"/>
  <c r="F371" i="22" s="1"/>
  <c r="F372" i="12"/>
  <c r="F372" i="17"/>
  <c r="F372" i="9"/>
  <c r="G372" s="1"/>
  <c r="K372" i="5"/>
  <c r="L372" s="1"/>
  <c r="F372"/>
  <c r="F372" i="10"/>
  <c r="O372" s="1"/>
  <c r="F372" i="11"/>
  <c r="G372" s="1"/>
  <c r="F372" i="8"/>
  <c r="G372" s="1"/>
  <c r="F372" i="7"/>
  <c r="F372" i="4"/>
  <c r="I372" s="1"/>
  <c r="F372" i="22" s="1"/>
  <c r="F373" i="12"/>
  <c r="F373" i="17"/>
  <c r="F373" i="9"/>
  <c r="G373" s="1"/>
  <c r="K373" i="5"/>
  <c r="L373" s="1"/>
  <c r="F373"/>
  <c r="F373" i="10"/>
  <c r="O373" s="1"/>
  <c r="F373" i="11"/>
  <c r="G373" s="1"/>
  <c r="F373" i="8"/>
  <c r="G373" s="1"/>
  <c r="F373" i="7"/>
  <c r="F373" i="4"/>
  <c r="I373" s="1"/>
  <c r="F373" i="22" s="1"/>
  <c r="F374" i="12"/>
  <c r="F374" i="17"/>
  <c r="F374" i="9"/>
  <c r="G374" s="1"/>
  <c r="K374" i="5"/>
  <c r="L374" s="1"/>
  <c r="F374"/>
  <c r="F374" i="10"/>
  <c r="O374" s="1"/>
  <c r="F374" i="11"/>
  <c r="G374" s="1"/>
  <c r="F374" i="8"/>
  <c r="G374" s="1"/>
  <c r="F374" i="7"/>
  <c r="F374" i="4"/>
  <c r="I374" s="1"/>
  <c r="F374" i="22" s="1"/>
  <c r="F375" i="12"/>
  <c r="F375" i="17"/>
  <c r="F375" i="9"/>
  <c r="G375" s="1"/>
  <c r="K375" i="5"/>
  <c r="L375" s="1"/>
  <c r="F375"/>
  <c r="F375" i="10"/>
  <c r="O375" s="1"/>
  <c r="F375" i="11"/>
  <c r="G375" s="1"/>
  <c r="F375" i="8"/>
  <c r="G375" s="1"/>
  <c r="F375" i="7"/>
  <c r="F375" i="4"/>
  <c r="I375" s="1"/>
  <c r="F375" i="22" s="1"/>
  <c r="F376" i="12"/>
  <c r="F376" i="17"/>
  <c r="F376" i="9"/>
  <c r="G376" s="1"/>
  <c r="K376" i="5"/>
  <c r="L376" s="1"/>
  <c r="F376"/>
  <c r="F376" i="10"/>
  <c r="O376" s="1"/>
  <c r="F376" i="11"/>
  <c r="G376" s="1"/>
  <c r="F376" i="8"/>
  <c r="G376" s="1"/>
  <c r="F376" i="7"/>
  <c r="F376" i="4"/>
  <c r="I376" s="1"/>
  <c r="F376" i="22" s="1"/>
  <c r="F377" i="12"/>
  <c r="F377" i="17"/>
  <c r="F377" i="9"/>
  <c r="G377" s="1"/>
  <c r="K377" i="5"/>
  <c r="L377" s="1"/>
  <c r="F377"/>
  <c r="F377" i="10"/>
  <c r="O377" s="1"/>
  <c r="F377" i="11"/>
  <c r="G377" s="1"/>
  <c r="F377" i="8"/>
  <c r="G377" s="1"/>
  <c r="F377" i="7"/>
  <c r="F377" i="4"/>
  <c r="I377" s="1"/>
  <c r="F377" i="22" s="1"/>
  <c r="F378" i="12"/>
  <c r="F378" i="17"/>
  <c r="F378" i="9"/>
  <c r="G378" s="1"/>
  <c r="K378" i="5"/>
  <c r="L378" s="1"/>
  <c r="F378"/>
  <c r="F378" i="10"/>
  <c r="O378" s="1"/>
  <c r="F378" i="11"/>
  <c r="G378" s="1"/>
  <c r="F378" i="8"/>
  <c r="G378" s="1"/>
  <c r="F378" i="7"/>
  <c r="F378" i="4"/>
  <c r="I378" s="1"/>
  <c r="F378" i="22" s="1"/>
  <c r="F379" i="12"/>
  <c r="F379" i="17"/>
  <c r="F379" i="9"/>
  <c r="G379" s="1"/>
  <c r="K379" i="5"/>
  <c r="L379" s="1"/>
  <c r="F379"/>
  <c r="F379" i="10"/>
  <c r="O379" s="1"/>
  <c r="F379" i="11"/>
  <c r="G379" s="1"/>
  <c r="F379" i="8"/>
  <c r="G379" s="1"/>
  <c r="F379" i="7"/>
  <c r="F379" i="4"/>
  <c r="I379" s="1"/>
  <c r="F379" i="22" s="1"/>
  <c r="K69" i="5"/>
  <c r="L69" s="1"/>
  <c r="F69"/>
  <c r="K69" i="7"/>
  <c r="P69" s="1"/>
  <c r="K70" i="5"/>
  <c r="L70" s="1"/>
  <c r="F70"/>
  <c r="K70" i="7"/>
  <c r="P70" s="1"/>
  <c r="K71" i="5"/>
  <c r="L71" s="1"/>
  <c r="F71"/>
  <c r="K71" i="7"/>
  <c r="P71" s="1"/>
  <c r="K72" i="5"/>
  <c r="L72" s="1"/>
  <c r="F72"/>
  <c r="K72" i="7"/>
  <c r="P72" s="1"/>
  <c r="K73" i="5"/>
  <c r="L73" s="1"/>
  <c r="F73"/>
  <c r="K73" i="7"/>
  <c r="P73" s="1"/>
  <c r="K74" i="5"/>
  <c r="L74" s="1"/>
  <c r="F74"/>
  <c r="K74" i="7"/>
  <c r="P74" s="1"/>
  <c r="K75" i="5"/>
  <c r="L75" s="1"/>
  <c r="F75"/>
  <c r="K75" i="7"/>
  <c r="P75" s="1"/>
  <c r="K76" i="5"/>
  <c r="L76" s="1"/>
  <c r="F76"/>
  <c r="K76" i="7"/>
  <c r="P76" s="1"/>
  <c r="K77" i="5"/>
  <c r="L77" s="1"/>
  <c r="F77"/>
  <c r="K77" i="7"/>
  <c r="P77" s="1"/>
  <c r="K78" i="5"/>
  <c r="L78" s="1"/>
  <c r="F78"/>
  <c r="K78" i="7"/>
  <c r="P78" s="1"/>
  <c r="K79" i="5"/>
  <c r="L79" s="1"/>
  <c r="F79"/>
  <c r="K79" i="7"/>
  <c r="P79" s="1"/>
  <c r="K80" i="5"/>
  <c r="L80" s="1"/>
  <c r="F80"/>
  <c r="K80" i="7"/>
  <c r="P80" s="1"/>
  <c r="K81" i="5"/>
  <c r="L81" s="1"/>
  <c r="F81"/>
  <c r="K81" i="7"/>
  <c r="P81" s="1"/>
  <c r="K82" i="5"/>
  <c r="L82" s="1"/>
  <c r="F82"/>
  <c r="K82" i="7"/>
  <c r="P82" s="1"/>
  <c r="K83" i="5"/>
  <c r="L83" s="1"/>
  <c r="F83"/>
  <c r="K83" i="7"/>
  <c r="P83" s="1"/>
  <c r="K84" i="5"/>
  <c r="L84" s="1"/>
  <c r="F84"/>
  <c r="K84" i="7"/>
  <c r="P84" s="1"/>
  <c r="K85" i="5"/>
  <c r="L85" s="1"/>
  <c r="F85"/>
  <c r="K85" i="7"/>
  <c r="P85" s="1"/>
  <c r="K86" i="5"/>
  <c r="L86" s="1"/>
  <c r="F86"/>
  <c r="K86" i="7"/>
  <c r="P86" s="1"/>
  <c r="K87" i="5"/>
  <c r="L87" s="1"/>
  <c r="F87"/>
  <c r="K87" i="7"/>
  <c r="P87" s="1"/>
  <c r="F6" i="14"/>
  <c r="F6" i="18"/>
  <c r="F6" i="12"/>
  <c r="F6" i="17"/>
  <c r="F6" i="9"/>
  <c r="G6"/>
  <c r="K6" s="1"/>
  <c r="K6" i="5"/>
  <c r="L6"/>
  <c r="P6" s="1"/>
  <c r="F6"/>
  <c r="F6" i="10"/>
  <c r="O6" s="1"/>
  <c r="F6" i="11"/>
  <c r="G6"/>
  <c r="H6" s="1"/>
  <c r="I6" s="1"/>
  <c r="K6"/>
  <c r="F6" i="8"/>
  <c r="G6"/>
  <c r="K6" s="1"/>
  <c r="K6" i="7"/>
  <c r="L6"/>
  <c r="F6"/>
  <c r="F6" i="4"/>
  <c r="I6"/>
  <c r="F6" i="22" s="1"/>
  <c r="F7" i="14"/>
  <c r="G7" s="1"/>
  <c r="F7" i="12"/>
  <c r="F7" i="17"/>
  <c r="F7" i="9"/>
  <c r="G7"/>
  <c r="K7" s="1"/>
  <c r="K7" i="5"/>
  <c r="L7"/>
  <c r="P7" s="1"/>
  <c r="F7"/>
  <c r="F7" i="10"/>
  <c r="O7" s="1"/>
  <c r="F7" i="11"/>
  <c r="G7"/>
  <c r="H7" s="1"/>
  <c r="I7" s="1"/>
  <c r="K7"/>
  <c r="F7" i="8"/>
  <c r="G7"/>
  <c r="K7" s="1"/>
  <c r="K7" i="7"/>
  <c r="L7"/>
  <c r="F7"/>
  <c r="F7" i="4"/>
  <c r="I7"/>
  <c r="F7" i="22" s="1"/>
  <c r="F8" i="14"/>
  <c r="G8" s="1"/>
  <c r="F8" i="18"/>
  <c r="G8" s="1"/>
  <c r="F8" i="12"/>
  <c r="F8" i="17"/>
  <c r="F8" i="9"/>
  <c r="G8"/>
  <c r="K8" s="1"/>
  <c r="K8" i="5"/>
  <c r="L8"/>
  <c r="P8" s="1"/>
  <c r="F8"/>
  <c r="F8" i="10"/>
  <c r="O8" s="1"/>
  <c r="F8" i="11"/>
  <c r="G8"/>
  <c r="H8" s="1"/>
  <c r="I8" s="1"/>
  <c r="K8"/>
  <c r="F8" i="8"/>
  <c r="G8"/>
  <c r="K8" s="1"/>
  <c r="K8" i="7"/>
  <c r="L8"/>
  <c r="F8"/>
  <c r="F8" i="4"/>
  <c r="I8"/>
  <c r="F8" i="22" s="1"/>
  <c r="F9" i="14"/>
  <c r="G9" s="1"/>
  <c r="F9" i="18"/>
  <c r="G9" s="1"/>
  <c r="F9" i="12"/>
  <c r="F9" i="17"/>
  <c r="F9" i="9"/>
  <c r="G9"/>
  <c r="K9" s="1"/>
  <c r="K9" i="5"/>
  <c r="L9"/>
  <c r="P9" s="1"/>
  <c r="F9"/>
  <c r="F9" i="10"/>
  <c r="O9" s="1"/>
  <c r="F9" i="11"/>
  <c r="G9"/>
  <c r="H9" s="1"/>
  <c r="I9" s="1"/>
  <c r="K9"/>
  <c r="F9" i="8"/>
  <c r="G9"/>
  <c r="K9" s="1"/>
  <c r="K9" i="7"/>
  <c r="L9"/>
  <c r="F9"/>
  <c r="F9" i="4"/>
  <c r="I9"/>
  <c r="F9" i="22" s="1"/>
  <c r="F10" i="14"/>
  <c r="G10" s="1"/>
  <c r="F10" i="18"/>
  <c r="G10" s="1"/>
  <c r="F10" i="12"/>
  <c r="F10" i="17"/>
  <c r="F10" i="9"/>
  <c r="G10"/>
  <c r="K10" s="1"/>
  <c r="K10" i="5"/>
  <c r="L10"/>
  <c r="P10" s="1"/>
  <c r="F10"/>
  <c r="F10" i="10"/>
  <c r="O10" s="1"/>
  <c r="F10" i="11"/>
  <c r="G10"/>
  <c r="H10" s="1"/>
  <c r="I10" s="1"/>
  <c r="K10"/>
  <c r="F10" i="8"/>
  <c r="G10"/>
  <c r="K10" s="1"/>
  <c r="K10" i="7"/>
  <c r="L10"/>
  <c r="F10"/>
  <c r="F10" i="4"/>
  <c r="I10"/>
  <c r="F10" i="22" s="1"/>
  <c r="F11" i="14"/>
  <c r="G11" s="1"/>
  <c r="F11" i="18"/>
  <c r="G11" s="1"/>
  <c r="F11" i="12"/>
  <c r="F11" i="17"/>
  <c r="F11" i="9"/>
  <c r="G11"/>
  <c r="K11" s="1"/>
  <c r="K11" i="5"/>
  <c r="L11"/>
  <c r="P11" s="1"/>
  <c r="F11"/>
  <c r="F11" i="10"/>
  <c r="O11" s="1"/>
  <c r="F11" i="11"/>
  <c r="G11"/>
  <c r="H11" s="1"/>
  <c r="I11" s="1"/>
  <c r="K11"/>
  <c r="F11" i="8"/>
  <c r="G11"/>
  <c r="K11" s="1"/>
  <c r="K11" i="7"/>
  <c r="L11"/>
  <c r="F11"/>
  <c r="F11" i="4"/>
  <c r="I11"/>
  <c r="F11" i="22" s="1"/>
  <c r="F12" i="14"/>
  <c r="G12" s="1"/>
  <c r="F12" i="18"/>
  <c r="G12" s="1"/>
  <c r="F12" i="12"/>
  <c r="F12" i="17"/>
  <c r="F12" i="9"/>
  <c r="G12"/>
  <c r="K12" s="1"/>
  <c r="K12" i="5"/>
  <c r="L12"/>
  <c r="P12" s="1"/>
  <c r="F12"/>
  <c r="F12" i="10"/>
  <c r="O12" s="1"/>
  <c r="F12" i="11"/>
  <c r="G12"/>
  <c r="H12" s="1"/>
  <c r="I12" s="1"/>
  <c r="K12"/>
  <c r="F12" i="8"/>
  <c r="G12"/>
  <c r="K12" s="1"/>
  <c r="K12" i="7"/>
  <c r="L12"/>
  <c r="F12"/>
  <c r="F12" i="4"/>
  <c r="I12"/>
  <c r="F12" i="22" s="1"/>
  <c r="F13" i="14"/>
  <c r="G13" s="1"/>
  <c r="F13" i="18"/>
  <c r="G13" s="1"/>
  <c r="F13" i="12"/>
  <c r="F13" i="17"/>
  <c r="F13" i="9"/>
  <c r="G13"/>
  <c r="K13" s="1"/>
  <c r="K13" i="5"/>
  <c r="L13"/>
  <c r="P13" s="1"/>
  <c r="F13"/>
  <c r="F13" i="10"/>
  <c r="O13" s="1"/>
  <c r="F13" i="11"/>
  <c r="G13"/>
  <c r="H13" s="1"/>
  <c r="I13" s="1"/>
  <c r="K13"/>
  <c r="F13" i="8"/>
  <c r="G13"/>
  <c r="K13" s="1"/>
  <c r="K13" i="7"/>
  <c r="L13"/>
  <c r="F13"/>
  <c r="F13" i="4"/>
  <c r="I13"/>
  <c r="F13" i="22" s="1"/>
  <c r="F14" i="14"/>
  <c r="G14" s="1"/>
  <c r="F14" i="18"/>
  <c r="G14" s="1"/>
  <c r="F14" i="12"/>
  <c r="F14" i="17"/>
  <c r="F14" i="9"/>
  <c r="G14"/>
  <c r="K14" s="1"/>
  <c r="K14" i="5"/>
  <c r="L14"/>
  <c r="P14" s="1"/>
  <c r="F14"/>
  <c r="F14" i="10"/>
  <c r="O14" s="1"/>
  <c r="F14" i="11"/>
  <c r="G14"/>
  <c r="H14" s="1"/>
  <c r="I14" s="1"/>
  <c r="K14"/>
  <c r="F14" i="8"/>
  <c r="G14"/>
  <c r="K14" s="1"/>
  <c r="K14" i="7"/>
  <c r="L14"/>
  <c r="F14"/>
  <c r="F14" i="4"/>
  <c r="I14"/>
  <c r="F14" i="22" s="1"/>
  <c r="F15" i="14"/>
  <c r="G15" s="1"/>
  <c r="F15" i="18"/>
  <c r="G15" s="1"/>
  <c r="F15" i="12"/>
  <c r="F15" i="17"/>
  <c r="F15" i="9"/>
  <c r="G15"/>
  <c r="K15" s="1"/>
  <c r="K15" i="5"/>
  <c r="L15"/>
  <c r="P15" s="1"/>
  <c r="F15"/>
  <c r="F15" i="10"/>
  <c r="O15" s="1"/>
  <c r="F15" i="11"/>
  <c r="G15"/>
  <c r="H15" s="1"/>
  <c r="I15" s="1"/>
  <c r="K15"/>
  <c r="F15" i="8"/>
  <c r="G15"/>
  <c r="K15" s="1"/>
  <c r="K15" i="7"/>
  <c r="L15"/>
  <c r="F15"/>
  <c r="F15" i="4"/>
  <c r="I15"/>
  <c r="F15" i="22" s="1"/>
  <c r="F16" i="14"/>
  <c r="G16" s="1"/>
  <c r="F16" i="18"/>
  <c r="G16" s="1"/>
  <c r="F16" i="12"/>
  <c r="F16" i="17"/>
  <c r="F16" i="9"/>
  <c r="G16"/>
  <c r="K16" s="1"/>
  <c r="K16" i="5"/>
  <c r="L16"/>
  <c r="P16" s="1"/>
  <c r="F16"/>
  <c r="F16" i="10"/>
  <c r="O16" s="1"/>
  <c r="F16" i="11"/>
  <c r="G16"/>
  <c r="H16" s="1"/>
  <c r="I16" s="1"/>
  <c r="K16"/>
  <c r="F16" i="8"/>
  <c r="G16"/>
  <c r="K16" s="1"/>
  <c r="K16" i="7"/>
  <c r="L16"/>
  <c r="F16"/>
  <c r="F16" i="4"/>
  <c r="I16"/>
  <c r="F16" i="22" s="1"/>
  <c r="F17" i="14"/>
  <c r="G17" s="1"/>
  <c r="F17" i="18"/>
  <c r="G17" s="1"/>
  <c r="F17" i="12"/>
  <c r="F17" i="17"/>
  <c r="F17" i="9"/>
  <c r="G17"/>
  <c r="K17" s="1"/>
  <c r="K17" i="5"/>
  <c r="L17"/>
  <c r="P17" s="1"/>
  <c r="F17"/>
  <c r="F17" i="10"/>
  <c r="O17" s="1"/>
  <c r="F17" i="11"/>
  <c r="G17"/>
  <c r="H17" s="1"/>
  <c r="I17" s="1"/>
  <c r="K17"/>
  <c r="F17" i="8"/>
  <c r="G17"/>
  <c r="K17" s="1"/>
  <c r="K17" i="7"/>
  <c r="L17"/>
  <c r="F17"/>
  <c r="F17" i="4"/>
  <c r="I17"/>
  <c r="F17" i="22" s="1"/>
  <c r="F18" i="14"/>
  <c r="G18" s="1"/>
  <c r="F18" i="18"/>
  <c r="G18" s="1"/>
  <c r="F18" i="12"/>
  <c r="F18" i="17"/>
  <c r="F18" i="9"/>
  <c r="G18"/>
  <c r="K18" s="1"/>
  <c r="K18" i="5"/>
  <c r="L18"/>
  <c r="P18" s="1"/>
  <c r="F18"/>
  <c r="F18" i="10"/>
  <c r="O18" s="1"/>
  <c r="F18" i="11"/>
  <c r="G18"/>
  <c r="H18" s="1"/>
  <c r="I18" s="1"/>
  <c r="K18"/>
  <c r="F18" i="8"/>
  <c r="G18"/>
  <c r="K18" s="1"/>
  <c r="K18" i="7"/>
  <c r="L18"/>
  <c r="F18"/>
  <c r="F18" i="4"/>
  <c r="I18"/>
  <c r="F18" i="22" s="1"/>
  <c r="F19" i="14"/>
  <c r="G19" s="1"/>
  <c r="F19" i="18"/>
  <c r="G19" s="1"/>
  <c r="F19" i="12"/>
  <c r="F19" i="17"/>
  <c r="F19" i="9"/>
  <c r="G19"/>
  <c r="K19" s="1"/>
  <c r="K19" i="5"/>
  <c r="L19"/>
  <c r="P19" s="1"/>
  <c r="F19"/>
  <c r="F19" i="10"/>
  <c r="O19" s="1"/>
  <c r="F19" i="11"/>
  <c r="G19"/>
  <c r="H19" s="1"/>
  <c r="I19" s="1"/>
  <c r="K19"/>
  <c r="F19" i="8"/>
  <c r="G19"/>
  <c r="K19" s="1"/>
  <c r="K19" i="7"/>
  <c r="L19"/>
  <c r="F19"/>
  <c r="F19" i="4"/>
  <c r="I19"/>
  <c r="F19" i="22" s="1"/>
  <c r="F20" i="14"/>
  <c r="G20" s="1"/>
  <c r="F20" i="18"/>
  <c r="G20" s="1"/>
  <c r="F20" i="12"/>
  <c r="F20" i="17"/>
  <c r="F20" i="9"/>
  <c r="G20"/>
  <c r="K20" s="1"/>
  <c r="K20" i="5"/>
  <c r="L20"/>
  <c r="P20" s="1"/>
  <c r="F20"/>
  <c r="F20" i="10"/>
  <c r="O20" s="1"/>
  <c r="F20" i="11"/>
  <c r="G20"/>
  <c r="H20" s="1"/>
  <c r="I20" s="1"/>
  <c r="K20"/>
  <c r="F20" i="8"/>
  <c r="G20"/>
  <c r="K20" s="1"/>
  <c r="K20" i="7"/>
  <c r="L20"/>
  <c r="F20"/>
  <c r="F20" i="4"/>
  <c r="I20"/>
  <c r="F20" i="22" s="1"/>
  <c r="F21" i="14"/>
  <c r="G21" s="1"/>
  <c r="F21" i="18"/>
  <c r="G21" s="1"/>
  <c r="F21" i="12"/>
  <c r="F21" i="17"/>
  <c r="F21" i="9"/>
  <c r="G21"/>
  <c r="K21" s="1"/>
  <c r="K21" i="5"/>
  <c r="L21"/>
  <c r="P21" s="1"/>
  <c r="F21"/>
  <c r="F21" i="10"/>
  <c r="O21" s="1"/>
  <c r="F21" i="11"/>
  <c r="G21"/>
  <c r="H21" s="1"/>
  <c r="I21" s="1"/>
  <c r="K21"/>
  <c r="F21" i="8"/>
  <c r="G21"/>
  <c r="K21" s="1"/>
  <c r="K21" i="7"/>
  <c r="L21"/>
  <c r="F21"/>
  <c r="F21" i="4"/>
  <c r="I21"/>
  <c r="F21" i="22" s="1"/>
  <c r="F22" i="14"/>
  <c r="G22" s="1"/>
  <c r="F22" i="18"/>
  <c r="G22" s="1"/>
  <c r="F22" i="12"/>
  <c r="F22" i="17"/>
  <c r="F22" i="9"/>
  <c r="G22"/>
  <c r="K22" s="1"/>
  <c r="K22" i="5"/>
  <c r="L22"/>
  <c r="P22" s="1"/>
  <c r="F22"/>
  <c r="F22" i="10"/>
  <c r="O22" s="1"/>
  <c r="F22" i="11"/>
  <c r="G22"/>
  <c r="H22" s="1"/>
  <c r="I22" s="1"/>
  <c r="K22"/>
  <c r="F22" i="8"/>
  <c r="G22"/>
  <c r="K22" s="1"/>
  <c r="K22" i="7"/>
  <c r="L22"/>
  <c r="F22"/>
  <c r="F22" i="4"/>
  <c r="I22"/>
  <c r="F22" i="22" s="1"/>
  <c r="F23" i="14"/>
  <c r="G23" s="1"/>
  <c r="F23" i="18"/>
  <c r="G23" s="1"/>
  <c r="F23" i="12"/>
  <c r="F23" i="17"/>
  <c r="F23" i="9"/>
  <c r="G23"/>
  <c r="K23" s="1"/>
  <c r="K23" i="5"/>
  <c r="L23"/>
  <c r="P23" s="1"/>
  <c r="F23"/>
  <c r="F23" i="10"/>
  <c r="O23" s="1"/>
  <c r="F23" i="11"/>
  <c r="G23"/>
  <c r="H23" s="1"/>
  <c r="I23" s="1"/>
  <c r="K23"/>
  <c r="F23" i="8"/>
  <c r="G23"/>
  <c r="K23" s="1"/>
  <c r="K23" i="7"/>
  <c r="L23"/>
  <c r="F23"/>
  <c r="F23" i="4"/>
  <c r="I23"/>
  <c r="F23" i="22" s="1"/>
  <c r="F24" i="14"/>
  <c r="G24" s="1"/>
  <c r="F24" i="18"/>
  <c r="G24" s="1"/>
  <c r="F24" i="12"/>
  <c r="F24" i="17"/>
  <c r="F24" i="9"/>
  <c r="G24"/>
  <c r="K24" s="1"/>
  <c r="K24" i="5"/>
  <c r="L24"/>
  <c r="P24" s="1"/>
  <c r="F24"/>
  <c r="F24" i="10"/>
  <c r="O24" s="1"/>
  <c r="F24" i="11"/>
  <c r="G24"/>
  <c r="H24" s="1"/>
  <c r="I24" s="1"/>
  <c r="K24"/>
  <c r="F24" i="8"/>
  <c r="G24"/>
  <c r="K24" s="1"/>
  <c r="K24" i="7"/>
  <c r="L24"/>
  <c r="F24"/>
  <c r="F24" i="4"/>
  <c r="I24"/>
  <c r="F24" i="22" s="1"/>
  <c r="F25" i="14"/>
  <c r="G25" s="1"/>
  <c r="F25" i="18"/>
  <c r="G25" s="1"/>
  <c r="F25" i="12"/>
  <c r="F25" i="17"/>
  <c r="F25" i="9"/>
  <c r="G25"/>
  <c r="K25" s="1"/>
  <c r="K25" i="5"/>
  <c r="L25"/>
  <c r="P25" s="1"/>
  <c r="F25"/>
  <c r="F25" i="10"/>
  <c r="O25" s="1"/>
  <c r="F25" i="11"/>
  <c r="G25"/>
  <c r="H25" s="1"/>
  <c r="I25" s="1"/>
  <c r="K25"/>
  <c r="F25" i="8"/>
  <c r="G25"/>
  <c r="K25" s="1"/>
  <c r="K25" i="7"/>
  <c r="L25"/>
  <c r="F25"/>
  <c r="F25" i="4"/>
  <c r="I25"/>
  <c r="F25" i="22" s="1"/>
  <c r="F26" i="14"/>
  <c r="G26" s="1"/>
  <c r="F26" i="18"/>
  <c r="G26" s="1"/>
  <c r="F26" i="12"/>
  <c r="F26" i="17"/>
  <c r="F26" i="9"/>
  <c r="G26"/>
  <c r="K26" s="1"/>
  <c r="K26" i="5"/>
  <c r="L26"/>
  <c r="P26" s="1"/>
  <c r="F26"/>
  <c r="F26" i="10"/>
  <c r="O26" s="1"/>
  <c r="F26" i="11"/>
  <c r="G26"/>
  <c r="H26" s="1"/>
  <c r="I26" s="1"/>
  <c r="K26"/>
  <c r="F26" i="8"/>
  <c r="G26"/>
  <c r="K26" s="1"/>
  <c r="K26" i="7"/>
  <c r="L26"/>
  <c r="F26"/>
  <c r="F26" i="4"/>
  <c r="I26"/>
  <c r="F26" i="22" s="1"/>
  <c r="F27" i="14"/>
  <c r="G27" s="1"/>
  <c r="F27" i="18"/>
  <c r="G27" s="1"/>
  <c r="F27" i="12"/>
  <c r="F27" i="17"/>
  <c r="F27" i="9"/>
  <c r="G27"/>
  <c r="K27" s="1"/>
  <c r="K27" i="5"/>
  <c r="L27"/>
  <c r="P27" s="1"/>
  <c r="F27"/>
  <c r="F27" i="10"/>
  <c r="O27" s="1"/>
  <c r="F27" i="11"/>
  <c r="G27"/>
  <c r="H27" s="1"/>
  <c r="I27" s="1"/>
  <c r="K27"/>
  <c r="F27" i="8"/>
  <c r="G27"/>
  <c r="K27" s="1"/>
  <c r="K27" i="7"/>
  <c r="L27"/>
  <c r="F27"/>
  <c r="F27" i="4"/>
  <c r="I27"/>
  <c r="F27" i="22" s="1"/>
  <c r="F28" i="14"/>
  <c r="G28" s="1"/>
  <c r="F28" i="18"/>
  <c r="G28" s="1"/>
  <c r="F28" i="12"/>
  <c r="F28" i="17"/>
  <c r="F28" i="9"/>
  <c r="G28"/>
  <c r="K28" s="1"/>
  <c r="K28" i="5"/>
  <c r="L28"/>
  <c r="P28" s="1"/>
  <c r="F28"/>
  <c r="F28" i="10"/>
  <c r="O28" s="1"/>
  <c r="F28" i="11"/>
  <c r="G28"/>
  <c r="H28" s="1"/>
  <c r="I28" s="1"/>
  <c r="K28"/>
  <c r="F28" i="8"/>
  <c r="G28"/>
  <c r="K28" s="1"/>
  <c r="K28" i="7"/>
  <c r="L28"/>
  <c r="F28"/>
  <c r="F28" i="4"/>
  <c r="I28"/>
  <c r="F28" i="22" s="1"/>
  <c r="F29" i="14"/>
  <c r="G29" s="1"/>
  <c r="F29" i="18"/>
  <c r="G29" s="1"/>
  <c r="F29" i="12"/>
  <c r="F29" i="17"/>
  <c r="F29" i="9"/>
  <c r="G29"/>
  <c r="K29" s="1"/>
  <c r="K29" i="5"/>
  <c r="L29"/>
  <c r="P29" s="1"/>
  <c r="F29"/>
  <c r="F29" i="10"/>
  <c r="O29" s="1"/>
  <c r="F29" i="11"/>
  <c r="G29"/>
  <c r="H29" s="1"/>
  <c r="I29" s="1"/>
  <c r="K29"/>
  <c r="F29" i="8"/>
  <c r="G29"/>
  <c r="K29" s="1"/>
  <c r="K29" i="7"/>
  <c r="L29"/>
  <c r="F29"/>
  <c r="F29" i="4"/>
  <c r="I29"/>
  <c r="F29" i="22" s="1"/>
  <c r="F30" i="14"/>
  <c r="G30" s="1"/>
  <c r="F30" i="18"/>
  <c r="G30" s="1"/>
  <c r="F30" i="12"/>
  <c r="F30" i="17"/>
  <c r="F30" i="9"/>
  <c r="G30"/>
  <c r="K30" i="5"/>
  <c r="L30"/>
  <c r="F30"/>
  <c r="F30" i="10"/>
  <c r="O30" s="1"/>
  <c r="F30" i="11"/>
  <c r="G30"/>
  <c r="H30" s="1"/>
  <c r="K30"/>
  <c r="I30"/>
  <c r="F30" i="8"/>
  <c r="G30"/>
  <c r="K30" i="7"/>
  <c r="L30"/>
  <c r="F30"/>
  <c r="F30" i="4"/>
  <c r="I30"/>
  <c r="F30" i="22" s="1"/>
  <c r="F31" i="14"/>
  <c r="G31" s="1"/>
  <c r="F31" i="18"/>
  <c r="G31" s="1"/>
  <c r="F31" i="12"/>
  <c r="F31" i="17"/>
  <c r="F31" i="9"/>
  <c r="G31"/>
  <c r="K31" i="5"/>
  <c r="L31"/>
  <c r="F31"/>
  <c r="F31" i="10"/>
  <c r="O31" s="1"/>
  <c r="F31" i="11"/>
  <c r="G31"/>
  <c r="H31" s="1"/>
  <c r="K31"/>
  <c r="I31"/>
  <c r="F31" i="8"/>
  <c r="G31"/>
  <c r="K31" i="7"/>
  <c r="L31"/>
  <c r="F31"/>
  <c r="F31" i="4"/>
  <c r="I31"/>
  <c r="F31" i="22" s="1"/>
  <c r="F32" i="14"/>
  <c r="G32" s="1"/>
  <c r="F32" i="18"/>
  <c r="G32" s="1"/>
  <c r="F32" i="12"/>
  <c r="F32" i="17"/>
  <c r="F32" i="9"/>
  <c r="G32"/>
  <c r="K32" i="5"/>
  <c r="L32"/>
  <c r="F32"/>
  <c r="F32" i="10"/>
  <c r="O32" s="1"/>
  <c r="F32" i="11"/>
  <c r="G32"/>
  <c r="H32" s="1"/>
  <c r="K32"/>
  <c r="I32"/>
  <c r="F32" i="8"/>
  <c r="G32"/>
  <c r="K32" i="7"/>
  <c r="L32"/>
  <c r="F32"/>
  <c r="F32" i="4"/>
  <c r="I32"/>
  <c r="F32" i="22" s="1"/>
  <c r="F33" i="14"/>
  <c r="G33" s="1"/>
  <c r="F33" i="18"/>
  <c r="G33" s="1"/>
  <c r="F33" i="12"/>
  <c r="F33" i="17"/>
  <c r="F33" i="9"/>
  <c r="G33"/>
  <c r="K33" i="5"/>
  <c r="L33"/>
  <c r="F33"/>
  <c r="F33" i="10"/>
  <c r="O33" s="1"/>
  <c r="F33" i="11"/>
  <c r="G33"/>
  <c r="H33" s="1"/>
  <c r="K33"/>
  <c r="I33"/>
  <c r="F33" i="8"/>
  <c r="G33"/>
  <c r="K33" i="7"/>
  <c r="L33"/>
  <c r="F33"/>
  <c r="F33" i="4"/>
  <c r="I33"/>
  <c r="F33" i="22" s="1"/>
  <c r="F34" i="14"/>
  <c r="G34" s="1"/>
  <c r="F34" i="18"/>
  <c r="G34" s="1"/>
  <c r="F34" i="12"/>
  <c r="F34" i="17"/>
  <c r="F34" i="9"/>
  <c r="G34"/>
  <c r="K34" i="5"/>
  <c r="L34"/>
  <c r="F34"/>
  <c r="F34" i="10"/>
  <c r="O34" s="1"/>
  <c r="F34" i="11"/>
  <c r="G34"/>
  <c r="H34" s="1"/>
  <c r="K34"/>
  <c r="I34"/>
  <c r="F34" i="8"/>
  <c r="G34"/>
  <c r="K34" i="7"/>
  <c r="L34"/>
  <c r="F34"/>
  <c r="F34" i="4"/>
  <c r="I34"/>
  <c r="F34" i="22" s="1"/>
  <c r="F35" i="14"/>
  <c r="G35" s="1"/>
  <c r="F35" i="18"/>
  <c r="G35" s="1"/>
  <c r="F35" i="12"/>
  <c r="F35" i="17"/>
  <c r="F35" i="9"/>
  <c r="G35"/>
  <c r="K35" i="5"/>
  <c r="L35"/>
  <c r="F35"/>
  <c r="F35" i="10"/>
  <c r="O35" s="1"/>
  <c r="F35" i="11"/>
  <c r="G35"/>
  <c r="H35" s="1"/>
  <c r="K35"/>
  <c r="I35"/>
  <c r="F35" i="8"/>
  <c r="G35"/>
  <c r="K35" i="7"/>
  <c r="L35"/>
  <c r="F35"/>
  <c r="F35" i="4"/>
  <c r="I35"/>
  <c r="F35" i="22" s="1"/>
  <c r="F36" i="14"/>
  <c r="G36" s="1"/>
  <c r="F36" i="18"/>
  <c r="G36" s="1"/>
  <c r="F36" i="12"/>
  <c r="F36" i="17"/>
  <c r="F36" i="9"/>
  <c r="G36"/>
  <c r="K36" i="5"/>
  <c r="L36"/>
  <c r="F36"/>
  <c r="F36" i="10"/>
  <c r="O36" s="1"/>
  <c r="F36" i="11"/>
  <c r="G36"/>
  <c r="H36" s="1"/>
  <c r="K36"/>
  <c r="I36"/>
  <c r="F36" i="8"/>
  <c r="G36"/>
  <c r="K36" i="7"/>
  <c r="L36"/>
  <c r="F36"/>
  <c r="F36" i="4"/>
  <c r="I36"/>
  <c r="F36" i="22" s="1"/>
  <c r="F37" i="14"/>
  <c r="G37" s="1"/>
  <c r="F37" i="18"/>
  <c r="G37" s="1"/>
  <c r="F37" i="12"/>
  <c r="F37" i="17"/>
  <c r="F37" i="9"/>
  <c r="G37"/>
  <c r="K37" i="5"/>
  <c r="L37"/>
  <c r="F37"/>
  <c r="F37" i="10"/>
  <c r="O37" s="1"/>
  <c r="F37" i="11"/>
  <c r="G37"/>
  <c r="H37" s="1"/>
  <c r="K37"/>
  <c r="I37"/>
  <c r="F37" i="8"/>
  <c r="G37"/>
  <c r="K37" i="7"/>
  <c r="L37"/>
  <c r="F37"/>
  <c r="F37" i="4"/>
  <c r="I37"/>
  <c r="F37" i="22" s="1"/>
  <c r="F38" i="12"/>
  <c r="Q38" s="1"/>
  <c r="F38" i="17"/>
  <c r="F38" i="9"/>
  <c r="G38" s="1"/>
  <c r="K38" i="5"/>
  <c r="L38"/>
  <c r="F38"/>
  <c r="F38" i="10"/>
  <c r="O38" s="1"/>
  <c r="F38" i="11"/>
  <c r="G38"/>
  <c r="H38" s="1"/>
  <c r="K38"/>
  <c r="I38"/>
  <c r="F38" i="8"/>
  <c r="G38"/>
  <c r="K38" i="7"/>
  <c r="L38"/>
  <c r="F38"/>
  <c r="F38" i="4"/>
  <c r="I38"/>
  <c r="F38" i="22" s="1"/>
  <c r="F39" i="12"/>
  <c r="F39" i="17"/>
  <c r="F39" i="9"/>
  <c r="G39"/>
  <c r="K39" i="5"/>
  <c r="L39"/>
  <c r="F39"/>
  <c r="F39" i="10"/>
  <c r="O39" s="1"/>
  <c r="F39" i="11"/>
  <c r="G39"/>
  <c r="H39" s="1"/>
  <c r="K39"/>
  <c r="I39"/>
  <c r="F39" i="8"/>
  <c r="G39"/>
  <c r="F39" i="7"/>
  <c r="R39" s="1"/>
  <c r="G39" i="22" s="1"/>
  <c r="F39" i="4"/>
  <c r="I39"/>
  <c r="F39" i="22" s="1"/>
  <c r="F40" i="12"/>
  <c r="Q40" s="1"/>
  <c r="F40" i="17"/>
  <c r="F40" i="9"/>
  <c r="G40"/>
  <c r="K40" i="5"/>
  <c r="L40"/>
  <c r="F40"/>
  <c r="F40" i="10"/>
  <c r="O40" s="1"/>
  <c r="F40" i="11"/>
  <c r="G40" s="1"/>
  <c r="F40" i="8"/>
  <c r="G40"/>
  <c r="K40" i="7"/>
  <c r="L40"/>
  <c r="F40"/>
  <c r="F40" i="4"/>
  <c r="I40"/>
  <c r="F40" i="22" s="1"/>
  <c r="F41" i="14"/>
  <c r="G41" s="1"/>
  <c r="F41" i="18"/>
  <c r="G41" s="1"/>
  <c r="F41" i="12"/>
  <c r="F41" i="17"/>
  <c r="F41" i="9"/>
  <c r="G41"/>
  <c r="K41" i="5"/>
  <c r="L41"/>
  <c r="F41"/>
  <c r="F41" i="10"/>
  <c r="O41" s="1"/>
  <c r="F41" i="11"/>
  <c r="G41"/>
  <c r="H41" s="1"/>
  <c r="K41"/>
  <c r="I41"/>
  <c r="F41" i="8"/>
  <c r="G41"/>
  <c r="K41" i="7"/>
  <c r="L41"/>
  <c r="F41"/>
  <c r="F41" i="4"/>
  <c r="I41"/>
  <c r="F41" i="22" s="1"/>
  <c r="F42" i="14"/>
  <c r="G42" s="1"/>
  <c r="F42" i="18"/>
  <c r="G42" s="1"/>
  <c r="F42" i="12"/>
  <c r="F42" i="17"/>
  <c r="F42" i="9"/>
  <c r="G42"/>
  <c r="K42" i="5"/>
  <c r="L42"/>
  <c r="F42"/>
  <c r="F42" i="10"/>
  <c r="O42" s="1"/>
  <c r="F42" i="11"/>
  <c r="G42"/>
  <c r="H42" s="1"/>
  <c r="K42"/>
  <c r="I42"/>
  <c r="F42" i="8"/>
  <c r="G42"/>
  <c r="K42" i="7"/>
  <c r="L42"/>
  <c r="F42"/>
  <c r="F42" i="4"/>
  <c r="I42"/>
  <c r="F42" i="22" s="1"/>
  <c r="F43" i="14"/>
  <c r="G43" s="1"/>
  <c r="F43" i="18"/>
  <c r="G43" s="1"/>
  <c r="F43" i="12"/>
  <c r="F43" i="17"/>
  <c r="F43" i="9"/>
  <c r="G43"/>
  <c r="K43" i="5"/>
  <c r="L43"/>
  <c r="F43"/>
  <c r="F43" i="10"/>
  <c r="O43" s="1"/>
  <c r="F43" i="11"/>
  <c r="G43"/>
  <c r="H43" s="1"/>
  <c r="K43"/>
  <c r="I43"/>
  <c r="F43" i="8"/>
  <c r="G43"/>
  <c r="K43" i="7"/>
  <c r="L43"/>
  <c r="F43"/>
  <c r="F43" i="4"/>
  <c r="I43"/>
  <c r="F43" i="22" s="1"/>
  <c r="F44" i="14"/>
  <c r="G44" s="1"/>
  <c r="F44" i="18"/>
  <c r="G44" s="1"/>
  <c r="F44" i="12"/>
  <c r="F44" i="17"/>
  <c r="F44" i="9"/>
  <c r="G44"/>
  <c r="K44" i="5"/>
  <c r="L44"/>
  <c r="F44"/>
  <c r="F44" i="10"/>
  <c r="O44" s="1"/>
  <c r="F44" i="11"/>
  <c r="G44"/>
  <c r="H44" s="1"/>
  <c r="K44"/>
  <c r="I44"/>
  <c r="F44" i="8"/>
  <c r="G44"/>
  <c r="K44" i="7"/>
  <c r="L44"/>
  <c r="F44"/>
  <c r="F44" i="4"/>
  <c r="I44"/>
  <c r="F44" i="22" s="1"/>
  <c r="F45" i="14"/>
  <c r="G45" s="1"/>
  <c r="F45" i="18"/>
  <c r="G45" s="1"/>
  <c r="F45" i="12"/>
  <c r="F45" i="17"/>
  <c r="F45" i="9"/>
  <c r="G45"/>
  <c r="K45" i="5"/>
  <c r="L45"/>
  <c r="F45"/>
  <c r="F45" i="10"/>
  <c r="O45" s="1"/>
  <c r="F45" i="11"/>
  <c r="G45"/>
  <c r="H45" s="1"/>
  <c r="K45"/>
  <c r="I45"/>
  <c r="F45" i="8"/>
  <c r="G45"/>
  <c r="K45" i="7"/>
  <c r="L45"/>
  <c r="F45"/>
  <c r="F45" i="4"/>
  <c r="I45"/>
  <c r="F45" i="22" s="1"/>
  <c r="F46" i="14"/>
  <c r="G46" s="1"/>
  <c r="F46" i="18"/>
  <c r="G46" s="1"/>
  <c r="F46" i="12"/>
  <c r="F46" i="17"/>
  <c r="F46" i="9"/>
  <c r="G46"/>
  <c r="K46" i="5"/>
  <c r="L46"/>
  <c r="F46"/>
  <c r="F46" i="10"/>
  <c r="O46" s="1"/>
  <c r="F46" i="11"/>
  <c r="G46"/>
  <c r="H46" s="1"/>
  <c r="K46"/>
  <c r="I46"/>
  <c r="F46" i="8"/>
  <c r="G46"/>
  <c r="K46" i="7"/>
  <c r="L46"/>
  <c r="F46"/>
  <c r="F46" i="4"/>
  <c r="I46"/>
  <c r="F46" i="22" s="1"/>
  <c r="F47" i="12"/>
  <c r="F47" i="17"/>
  <c r="F47" i="9"/>
  <c r="G47"/>
  <c r="K47" i="5"/>
  <c r="L47"/>
  <c r="F47"/>
  <c r="F47" i="10"/>
  <c r="O47" s="1"/>
  <c r="F47" i="11"/>
  <c r="G47"/>
  <c r="H47" s="1"/>
  <c r="K47"/>
  <c r="I47"/>
  <c r="F47" i="8"/>
  <c r="G47"/>
  <c r="K47" i="7"/>
  <c r="L47"/>
  <c r="F47"/>
  <c r="F47" i="4"/>
  <c r="I47"/>
  <c r="F47" i="22" s="1"/>
  <c r="F48" i="14"/>
  <c r="G48" s="1"/>
  <c r="F48" i="18"/>
  <c r="G48" s="1"/>
  <c r="F48" i="12"/>
  <c r="F48" i="17"/>
  <c r="F48" i="9"/>
  <c r="G48"/>
  <c r="K48" i="5"/>
  <c r="L48"/>
  <c r="F48"/>
  <c r="F48" i="10"/>
  <c r="O48" s="1"/>
  <c r="F48" i="11"/>
  <c r="G48"/>
  <c r="H48" s="1"/>
  <c r="K48"/>
  <c r="I48"/>
  <c r="F48" i="8"/>
  <c r="G48"/>
  <c r="K48" i="7"/>
  <c r="L48"/>
  <c r="F48"/>
  <c r="F48" i="4"/>
  <c r="I48"/>
  <c r="F48" i="22" s="1"/>
  <c r="F49" i="12"/>
  <c r="F49" i="17"/>
  <c r="F49" i="9"/>
  <c r="G49"/>
  <c r="K49" i="5"/>
  <c r="L49"/>
  <c r="F49"/>
  <c r="F49" i="10"/>
  <c r="O49" s="1"/>
  <c r="F49" i="11"/>
  <c r="G49"/>
  <c r="H49" s="1"/>
  <c r="K49"/>
  <c r="I49"/>
  <c r="F49" i="8"/>
  <c r="G49"/>
  <c r="K49" i="7"/>
  <c r="L49"/>
  <c r="F49"/>
  <c r="F49" i="4"/>
  <c r="I49"/>
  <c r="F49" i="22" s="1"/>
  <c r="F50" i="12"/>
  <c r="F50" i="17"/>
  <c r="F50" i="9"/>
  <c r="G50"/>
  <c r="K50" i="5"/>
  <c r="L50"/>
  <c r="F50"/>
  <c r="F50" i="10"/>
  <c r="O50" s="1"/>
  <c r="F50" i="11"/>
  <c r="G50"/>
  <c r="H50" s="1"/>
  <c r="K50"/>
  <c r="I50"/>
  <c r="F50" i="8"/>
  <c r="G50"/>
  <c r="F50" i="7"/>
  <c r="R50" s="1"/>
  <c r="G50" i="22" s="1"/>
  <c r="F50" i="4"/>
  <c r="I50"/>
  <c r="F50" i="22" s="1"/>
  <c r="F51" i="12"/>
  <c r="F51" i="17"/>
  <c r="F51" i="9"/>
  <c r="G51"/>
  <c r="K51" i="5"/>
  <c r="L51"/>
  <c r="F51"/>
  <c r="F51" i="10"/>
  <c r="O51" s="1"/>
  <c r="F51" i="11"/>
  <c r="G51"/>
  <c r="H51" s="1"/>
  <c r="K51"/>
  <c r="I51"/>
  <c r="F51" i="8"/>
  <c r="G51"/>
  <c r="K51" i="7"/>
  <c r="L51"/>
  <c r="F51"/>
  <c r="F51" i="4"/>
  <c r="I51"/>
  <c r="F51" i="22" s="1"/>
  <c r="F52" i="12"/>
  <c r="F52" i="17"/>
  <c r="F52" i="9"/>
  <c r="G52"/>
  <c r="K52" i="5"/>
  <c r="L52"/>
  <c r="F52"/>
  <c r="F52" i="10"/>
  <c r="O52" s="1"/>
  <c r="F52" i="11"/>
  <c r="G52"/>
  <c r="H52" s="1"/>
  <c r="K52"/>
  <c r="I52"/>
  <c r="F52" i="8"/>
  <c r="G52"/>
  <c r="K52" i="7"/>
  <c r="L52"/>
  <c r="F52"/>
  <c r="F52" i="4"/>
  <c r="I52"/>
  <c r="F52" i="22" s="1"/>
  <c r="F53" i="14"/>
  <c r="G53" s="1"/>
  <c r="F53" i="18"/>
  <c r="G53" s="1"/>
  <c r="F53" i="12"/>
  <c r="F53" i="17"/>
  <c r="F53" i="9"/>
  <c r="G53"/>
  <c r="K53" i="5"/>
  <c r="L53"/>
  <c r="F53"/>
  <c r="F53" i="10"/>
  <c r="O53" s="1"/>
  <c r="F53" i="11"/>
  <c r="G53"/>
  <c r="H53" s="1"/>
  <c r="K53"/>
  <c r="I53"/>
  <c r="F53" i="8"/>
  <c r="G53"/>
  <c r="K53" i="7"/>
  <c r="L53"/>
  <c r="F53"/>
  <c r="F53" i="4"/>
  <c r="I53"/>
  <c r="F53" i="22" s="1"/>
  <c r="F54" i="14"/>
  <c r="G54" s="1"/>
  <c r="F54" i="18"/>
  <c r="G54" s="1"/>
  <c r="F54" i="12"/>
  <c r="F54" i="17"/>
  <c r="F54" i="9"/>
  <c r="G54"/>
  <c r="K54" i="5"/>
  <c r="L54"/>
  <c r="F54"/>
  <c r="F54" i="10"/>
  <c r="O54" s="1"/>
  <c r="F54" i="11"/>
  <c r="G54"/>
  <c r="H54" s="1"/>
  <c r="K54"/>
  <c r="I54"/>
  <c r="F54" i="8"/>
  <c r="G54"/>
  <c r="K54" i="7"/>
  <c r="L54"/>
  <c r="F54"/>
  <c r="F54" i="4"/>
  <c r="I54"/>
  <c r="F54" i="22" s="1"/>
  <c r="F55" i="14"/>
  <c r="G55" s="1"/>
  <c r="F55" i="18"/>
  <c r="G55" s="1"/>
  <c r="F55" i="12"/>
  <c r="F55" i="17"/>
  <c r="F55" i="9"/>
  <c r="G55"/>
  <c r="K55" i="5"/>
  <c r="L55"/>
  <c r="F55"/>
  <c r="F55" i="10"/>
  <c r="O55" s="1"/>
  <c r="F55" i="11"/>
  <c r="G55"/>
  <c r="H55" s="1"/>
  <c r="K55"/>
  <c r="I55"/>
  <c r="F55" i="8"/>
  <c r="G55"/>
  <c r="K55" i="7"/>
  <c r="L55"/>
  <c r="F55"/>
  <c r="F55" i="4"/>
  <c r="I55"/>
  <c r="F55" i="22" s="1"/>
  <c r="F56" i="14"/>
  <c r="G56" s="1"/>
  <c r="F56" i="18"/>
  <c r="G56" s="1"/>
  <c r="F56" i="12"/>
  <c r="F56" i="17"/>
  <c r="F56" i="9"/>
  <c r="G56"/>
  <c r="K56" i="5"/>
  <c r="L56"/>
  <c r="F56"/>
  <c r="F56" i="10"/>
  <c r="O56" s="1"/>
  <c r="F56" i="11"/>
  <c r="G56"/>
  <c r="H56" s="1"/>
  <c r="K56"/>
  <c r="I56"/>
  <c r="F56" i="8"/>
  <c r="G56"/>
  <c r="K56" i="7"/>
  <c r="L56"/>
  <c r="F56"/>
  <c r="F56" i="4"/>
  <c r="I56"/>
  <c r="F56" i="22" s="1"/>
  <c r="F57" i="14"/>
  <c r="G57" s="1"/>
  <c r="F57" i="18"/>
  <c r="G57" s="1"/>
  <c r="F57" i="12"/>
  <c r="F57" i="17"/>
  <c r="F57" i="9"/>
  <c r="G57"/>
  <c r="K57" i="5"/>
  <c r="L57"/>
  <c r="F57"/>
  <c r="F57" i="10"/>
  <c r="O57" s="1"/>
  <c r="F57" i="11"/>
  <c r="G57"/>
  <c r="H57" s="1"/>
  <c r="K57"/>
  <c r="I57"/>
  <c r="F57" i="8"/>
  <c r="G57"/>
  <c r="K57" i="7"/>
  <c r="L57"/>
  <c r="F57"/>
  <c r="F57" i="4"/>
  <c r="I57"/>
  <c r="F57" i="22" s="1"/>
  <c r="F58" i="14"/>
  <c r="G58" s="1"/>
  <c r="F58" i="18"/>
  <c r="G58" s="1"/>
  <c r="F58" i="12"/>
  <c r="F58" i="17"/>
  <c r="F58" i="9"/>
  <c r="G58"/>
  <c r="K58" i="5"/>
  <c r="L58"/>
  <c r="F58"/>
  <c r="F58" i="10"/>
  <c r="O58" s="1"/>
  <c r="F58" i="11"/>
  <c r="G58"/>
  <c r="H58" s="1"/>
  <c r="K58"/>
  <c r="I58"/>
  <c r="F58" i="8"/>
  <c r="G58"/>
  <c r="K58" i="7"/>
  <c r="L58"/>
  <c r="F58"/>
  <c r="F58" i="4"/>
  <c r="I58"/>
  <c r="F58" i="22" s="1"/>
  <c r="F59" i="18"/>
  <c r="G59" s="1"/>
  <c r="F59" i="12"/>
  <c r="F59" i="17"/>
  <c r="F59" i="9"/>
  <c r="G59"/>
  <c r="K59" i="5"/>
  <c r="L59"/>
  <c r="F59"/>
  <c r="F59" i="10"/>
  <c r="O59" s="1"/>
  <c r="F59" i="11"/>
  <c r="G59"/>
  <c r="H59" s="1"/>
  <c r="K59"/>
  <c r="I59"/>
  <c r="F59" i="8"/>
  <c r="G59"/>
  <c r="K59" i="7"/>
  <c r="L59"/>
  <c r="F59"/>
  <c r="F59" i="4"/>
  <c r="I59"/>
  <c r="F59" i="22" s="1"/>
  <c r="C380" i="14"/>
  <c r="F380" s="1"/>
  <c r="G380" s="1"/>
  <c r="C380" i="18"/>
  <c r="F380"/>
  <c r="G380" s="1"/>
  <c r="C380" i="12"/>
  <c r="F380"/>
  <c r="C380" i="17"/>
  <c r="F380"/>
  <c r="C380" i="9"/>
  <c r="F380"/>
  <c r="G380" s="1"/>
  <c r="H380" s="1"/>
  <c r="I380" s="1"/>
  <c r="K380"/>
  <c r="C380" i="5"/>
  <c r="F380"/>
  <c r="C380" i="10"/>
  <c r="F380"/>
  <c r="C380" i="11"/>
  <c r="F380"/>
  <c r="G380" s="1"/>
  <c r="C380" i="8"/>
  <c r="F380"/>
  <c r="G380" s="1"/>
  <c r="P380" i="7"/>
  <c r="N380"/>
  <c r="C380"/>
  <c r="F380"/>
  <c r="C380" i="4"/>
  <c r="F380"/>
  <c r="I380"/>
  <c r="F380" i="22" s="1"/>
  <c r="O381" i="12"/>
  <c r="M381"/>
  <c r="F381"/>
  <c r="F381" i="17"/>
  <c r="F381" i="9"/>
  <c r="G381" s="1"/>
  <c r="H381" s="1"/>
  <c r="I381" s="1"/>
  <c r="K381"/>
  <c r="F381" i="5"/>
  <c r="F381" i="10"/>
  <c r="O381" s="1"/>
  <c r="F381" i="11"/>
  <c r="G381" s="1"/>
  <c r="F381" i="8"/>
  <c r="G381" s="1"/>
  <c r="P381" i="7"/>
  <c r="F381"/>
  <c r="F381" i="4"/>
  <c r="I381"/>
  <c r="F381" i="22" s="1"/>
  <c r="O382" i="12"/>
  <c r="M382"/>
  <c r="F382"/>
  <c r="F382" i="17"/>
  <c r="F382" i="9"/>
  <c r="G382" s="1"/>
  <c r="H382" s="1"/>
  <c r="I382" s="1"/>
  <c r="K382"/>
  <c r="F382" i="5"/>
  <c r="F382" i="10"/>
  <c r="O382" s="1"/>
  <c r="F382" i="11"/>
  <c r="G382" s="1"/>
  <c r="F382" i="8"/>
  <c r="G382" s="1"/>
  <c r="P382" i="7"/>
  <c r="F382"/>
  <c r="F382" i="4"/>
  <c r="I382"/>
  <c r="F382" i="22" s="1"/>
  <c r="O383" i="12"/>
  <c r="M383"/>
  <c r="F383"/>
  <c r="F383" i="17"/>
  <c r="F383" i="9"/>
  <c r="G383" s="1"/>
  <c r="H383" s="1"/>
  <c r="K383"/>
  <c r="I383"/>
  <c r="F383" i="5"/>
  <c r="F383" i="10"/>
  <c r="O383" s="1"/>
  <c r="F383" i="11"/>
  <c r="G383" s="1"/>
  <c r="F383" i="8"/>
  <c r="G383" s="1"/>
  <c r="P383" i="7"/>
  <c r="F383"/>
  <c r="F383" i="4"/>
  <c r="I383"/>
  <c r="F383" i="22" s="1"/>
  <c r="G1148" i="2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201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537"/>
  <c r="G538"/>
  <c r="G539"/>
  <c r="G540"/>
  <c r="G541"/>
  <c r="G542"/>
  <c r="G543"/>
  <c r="G544"/>
  <c r="G545"/>
  <c r="G546"/>
  <c r="G547"/>
  <c r="G548"/>
  <c r="G549"/>
  <c r="G550"/>
  <c r="G551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N1234" i="22"/>
  <c r="O1234"/>
  <c r="J88" i="12"/>
  <c r="K88" s="1"/>
  <c r="K88" i="5"/>
  <c r="L88" s="1"/>
  <c r="F88"/>
  <c r="K88" i="7"/>
  <c r="M88" s="1"/>
  <c r="P88"/>
  <c r="N88"/>
  <c r="K90" i="3"/>
  <c r="M90"/>
  <c r="F90"/>
  <c r="J90" i="18"/>
  <c r="N90" i="12"/>
  <c r="J89"/>
  <c r="K89" s="1"/>
  <c r="L89" s="1"/>
  <c r="M89"/>
  <c r="Q89" s="1"/>
  <c r="F90"/>
  <c r="O90" i="17"/>
  <c r="N90"/>
  <c r="M90"/>
  <c r="F90"/>
  <c r="K90" i="9"/>
  <c r="J90"/>
  <c r="G90" i="4"/>
  <c r="F90"/>
  <c r="I90"/>
  <c r="H90" i="7"/>
  <c r="K90"/>
  <c r="J90"/>
  <c r="L90"/>
  <c r="P90"/>
  <c r="F90"/>
  <c r="M90" i="10"/>
  <c r="L90"/>
  <c r="K90"/>
  <c r="F90"/>
  <c r="K90" i="11"/>
  <c r="F90"/>
  <c r="G90"/>
  <c r="H90" s="1"/>
  <c r="I90"/>
  <c r="J90" i="8"/>
  <c r="H90" i="5"/>
  <c r="I90"/>
  <c r="J90"/>
  <c r="K90"/>
  <c r="L90"/>
  <c r="F89"/>
  <c r="F90"/>
  <c r="G90" i="17"/>
  <c r="L89" i="7"/>
  <c r="L89" i="5"/>
  <c r="G88" i="2"/>
  <c r="G89"/>
  <c r="G90"/>
  <c r="F89" i="13"/>
  <c r="C90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90"/>
  <c r="C90" i="17"/>
  <c r="C90" i="12"/>
  <c r="C90" i="18"/>
  <c r="C90" i="14"/>
  <c r="C90" i="11"/>
  <c r="C90" i="10"/>
  <c r="K89" i="7"/>
  <c r="M89" s="1"/>
  <c r="P89"/>
  <c r="N89"/>
  <c r="C90"/>
  <c r="C90" i="4"/>
  <c r="G67" i="3"/>
  <c r="G90"/>
  <c r="C67"/>
  <c r="C90"/>
  <c r="O90" i="2"/>
  <c r="H90"/>
  <c r="K89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90"/>
  <c r="N90"/>
  <c r="C90"/>
  <c r="P90"/>
  <c r="J1222" i="12"/>
  <c r="K1222" s="1"/>
  <c r="J60"/>
  <c r="K60" s="1"/>
  <c r="L60" s="1"/>
  <c r="J61"/>
  <c r="K61" s="1"/>
  <c r="L61" s="1"/>
  <c r="J62"/>
  <c r="K62" s="1"/>
  <c r="L62" s="1"/>
  <c r="J63"/>
  <c r="K63" s="1"/>
  <c r="L63" s="1"/>
  <c r="J64"/>
  <c r="K64" s="1"/>
  <c r="L64" s="1"/>
  <c r="J65"/>
  <c r="K65" s="1"/>
  <c r="L65" s="1"/>
  <c r="J66"/>
  <c r="K66" s="1"/>
  <c r="L66" s="1"/>
  <c r="C1232" i="8"/>
  <c r="D1232"/>
  <c r="E1232"/>
  <c r="F1232"/>
  <c r="G1232"/>
  <c r="H1232" s="1"/>
  <c r="J1232" i="7"/>
  <c r="L1232"/>
  <c r="H1232"/>
  <c r="K1232"/>
  <c r="M1232" s="1"/>
  <c r="F1232" i="9"/>
  <c r="G1232"/>
  <c r="H1232" s="1"/>
  <c r="H1232" i="5"/>
  <c r="I1232"/>
  <c r="J1232"/>
  <c r="K1232"/>
  <c r="L1232"/>
  <c r="M1232" s="1"/>
  <c r="C1202" i="12"/>
  <c r="D1202"/>
  <c r="E1202"/>
  <c r="F1202"/>
  <c r="F1147" i="14"/>
  <c r="G1147" s="1"/>
  <c r="H1147" s="1"/>
  <c r="F1200"/>
  <c r="G1200" s="1"/>
  <c r="F1201"/>
  <c r="G1201" s="1"/>
  <c r="F941"/>
  <c r="G941" s="1"/>
  <c r="F942"/>
  <c r="G942" s="1"/>
  <c r="F943"/>
  <c r="G943" s="1"/>
  <c r="F944"/>
  <c r="G944" s="1"/>
  <c r="F945"/>
  <c r="G945" s="1"/>
  <c r="F946"/>
  <c r="G946" s="1"/>
  <c r="F947"/>
  <c r="G947" s="1"/>
  <c r="F948"/>
  <c r="G948" s="1"/>
  <c r="F949"/>
  <c r="G949" s="1"/>
  <c r="F950"/>
  <c r="G950" s="1"/>
  <c r="F951"/>
  <c r="G951" s="1"/>
  <c r="F952"/>
  <c r="G952" s="1"/>
  <c r="F953"/>
  <c r="G953" s="1"/>
  <c r="F954"/>
  <c r="G954" s="1"/>
  <c r="F955"/>
  <c r="G955" s="1"/>
  <c r="F956"/>
  <c r="G956" s="1"/>
  <c r="F957"/>
  <c r="G957" s="1"/>
  <c r="F958"/>
  <c r="G958" s="1"/>
  <c r="F960"/>
  <c r="G960" s="1"/>
  <c r="F961"/>
  <c r="G961" s="1"/>
  <c r="F962"/>
  <c r="G962" s="1"/>
  <c r="F963"/>
  <c r="G963" s="1"/>
  <c r="F964"/>
  <c r="G964" s="1"/>
  <c r="F965"/>
  <c r="G965" s="1"/>
  <c r="F968"/>
  <c r="G968" s="1"/>
  <c r="F969"/>
  <c r="G969" s="1"/>
  <c r="F970"/>
  <c r="G970" s="1"/>
  <c r="F971"/>
  <c r="G971" s="1"/>
  <c r="F972"/>
  <c r="G972" s="1"/>
  <c r="F973"/>
  <c r="G973" s="1"/>
  <c r="F974"/>
  <c r="G974" s="1"/>
  <c r="F975"/>
  <c r="G975" s="1"/>
  <c r="F976"/>
  <c r="G976" s="1"/>
  <c r="F977"/>
  <c r="G977" s="1"/>
  <c r="F978"/>
  <c r="G978" s="1"/>
  <c r="F979"/>
  <c r="G979" s="1"/>
  <c r="F980"/>
  <c r="G980" s="1"/>
  <c r="F981"/>
  <c r="G981" s="1"/>
  <c r="F982"/>
  <c r="G982" s="1"/>
  <c r="F983"/>
  <c r="G983" s="1"/>
  <c r="F984"/>
  <c r="G984" s="1"/>
  <c r="F985"/>
  <c r="G985" s="1"/>
  <c r="F986"/>
  <c r="G986" s="1"/>
  <c r="F987"/>
  <c r="G987" s="1"/>
  <c r="F988"/>
  <c r="G988" s="1"/>
  <c r="F989"/>
  <c r="G989" s="1"/>
  <c r="F990"/>
  <c r="G990" s="1"/>
  <c r="F991"/>
  <c r="G991" s="1"/>
  <c r="F992"/>
  <c r="G992" s="1"/>
  <c r="F993"/>
  <c r="G993" s="1"/>
  <c r="F994"/>
  <c r="G994" s="1"/>
  <c r="F995"/>
  <c r="G995" s="1"/>
  <c r="F996"/>
  <c r="G996" s="1"/>
  <c r="F997"/>
  <c r="G997" s="1"/>
  <c r="F998"/>
  <c r="G998" s="1"/>
  <c r="F999"/>
  <c r="G999" s="1"/>
  <c r="F1000"/>
  <c r="G1000" s="1"/>
  <c r="F1001"/>
  <c r="G1001" s="1"/>
  <c r="F1002"/>
  <c r="G1002" s="1"/>
  <c r="F1003"/>
  <c r="G1003" s="1"/>
  <c r="F1004"/>
  <c r="G1004" s="1"/>
  <c r="F1005"/>
  <c r="G1005" s="1"/>
  <c r="F1006"/>
  <c r="G1006" s="1"/>
  <c r="F1007"/>
  <c r="G1007" s="1"/>
  <c r="F1008"/>
  <c r="G1008" s="1"/>
  <c r="F1009"/>
  <c r="G1009" s="1"/>
  <c r="F1010"/>
  <c r="G1010" s="1"/>
  <c r="F1011"/>
  <c r="G1011" s="1"/>
  <c r="F1012"/>
  <c r="G1012" s="1"/>
  <c r="F1013"/>
  <c r="G1013" s="1"/>
  <c r="F1014"/>
  <c r="G1014" s="1"/>
  <c r="F1015"/>
  <c r="G1015" s="1"/>
  <c r="F1016"/>
  <c r="G1016" s="1"/>
  <c r="F1017"/>
  <c r="G1017" s="1"/>
  <c r="F1018"/>
  <c r="G1018" s="1"/>
  <c r="F1019"/>
  <c r="G1019" s="1"/>
  <c r="F1020"/>
  <c r="G1020" s="1"/>
  <c r="F1021"/>
  <c r="G1021" s="1"/>
  <c r="F1022"/>
  <c r="G1022" s="1"/>
  <c r="F1023"/>
  <c r="G1023" s="1"/>
  <c r="F1024"/>
  <c r="G1024" s="1"/>
  <c r="F1025"/>
  <c r="G1025" s="1"/>
  <c r="F1026"/>
  <c r="G1026" s="1"/>
  <c r="F1027"/>
  <c r="G1027" s="1"/>
  <c r="F1028"/>
  <c r="G1028" s="1"/>
  <c r="F1029"/>
  <c r="G1029" s="1"/>
  <c r="F1030"/>
  <c r="G1030" s="1"/>
  <c r="F1031"/>
  <c r="G1031" s="1"/>
  <c r="F1032"/>
  <c r="G1032" s="1"/>
  <c r="F1033"/>
  <c r="G1033" s="1"/>
  <c r="F1034"/>
  <c r="G1034" s="1"/>
  <c r="F1035"/>
  <c r="G1035" s="1"/>
  <c r="F1036"/>
  <c r="G1036" s="1"/>
  <c r="F1037"/>
  <c r="G1037" s="1"/>
  <c r="F1038"/>
  <c r="G1038" s="1"/>
  <c r="F1039"/>
  <c r="G1039" s="1"/>
  <c r="F1040"/>
  <c r="G1040" s="1"/>
  <c r="F1041"/>
  <c r="G1041" s="1"/>
  <c r="F1042"/>
  <c r="G1042" s="1"/>
  <c r="F1043"/>
  <c r="G1043" s="1"/>
  <c r="F1044"/>
  <c r="G1044" s="1"/>
  <c r="F1045"/>
  <c r="G1045" s="1"/>
  <c r="F1046"/>
  <c r="G1046" s="1"/>
  <c r="F1047"/>
  <c r="G1047" s="1"/>
  <c r="F1048"/>
  <c r="G1048" s="1"/>
  <c r="F1049"/>
  <c r="G1049" s="1"/>
  <c r="F1050"/>
  <c r="G1050" s="1"/>
  <c r="F1051"/>
  <c r="G1051" s="1"/>
  <c r="F1052"/>
  <c r="G1052" s="1"/>
  <c r="F1053"/>
  <c r="G1053" s="1"/>
  <c r="F1054"/>
  <c r="G1054" s="1"/>
  <c r="F1055"/>
  <c r="G1055" s="1"/>
  <c r="F1056"/>
  <c r="G1056" s="1"/>
  <c r="F1057"/>
  <c r="G1057" s="1"/>
  <c r="F1058"/>
  <c r="G1058" s="1"/>
  <c r="F1059"/>
  <c r="G1059" s="1"/>
  <c r="F1060"/>
  <c r="G1060" s="1"/>
  <c r="F1061"/>
  <c r="G1061" s="1"/>
  <c r="F1062"/>
  <c r="G1062" s="1"/>
  <c r="F1063"/>
  <c r="G1063" s="1"/>
  <c r="F1064"/>
  <c r="G1064" s="1"/>
  <c r="F1065"/>
  <c r="G1065" s="1"/>
  <c r="F1066"/>
  <c r="G1066" s="1"/>
  <c r="F1067"/>
  <c r="G1067" s="1"/>
  <c r="F1068"/>
  <c r="G1068" s="1"/>
  <c r="F1069"/>
  <c r="G1069" s="1"/>
  <c r="F1070"/>
  <c r="G1070" s="1"/>
  <c r="F1071"/>
  <c r="G1071" s="1"/>
  <c r="F1072"/>
  <c r="G1072" s="1"/>
  <c r="F1073"/>
  <c r="G1073" s="1"/>
  <c r="F1074"/>
  <c r="G1074" s="1"/>
  <c r="F1075"/>
  <c r="G1075" s="1"/>
  <c r="F1076"/>
  <c r="G1076" s="1"/>
  <c r="F1077"/>
  <c r="G1077" s="1"/>
  <c r="F1078"/>
  <c r="G1078" s="1"/>
  <c r="F1079"/>
  <c r="G1079" s="1"/>
  <c r="F1080"/>
  <c r="G1080" s="1"/>
  <c r="F1081"/>
  <c r="G1081" s="1"/>
  <c r="F1082"/>
  <c r="G1082" s="1"/>
  <c r="F1083"/>
  <c r="G1083" s="1"/>
  <c r="F1084"/>
  <c r="G1084" s="1"/>
  <c r="F1085"/>
  <c r="G1085" s="1"/>
  <c r="F1086"/>
  <c r="G1086" s="1"/>
  <c r="F1087"/>
  <c r="G1087" s="1"/>
  <c r="F1088"/>
  <c r="G1088" s="1"/>
  <c r="F1089"/>
  <c r="G1089" s="1"/>
  <c r="F1090"/>
  <c r="G1090" s="1"/>
  <c r="F1091"/>
  <c r="G1091" s="1"/>
  <c r="F1092"/>
  <c r="G1092" s="1"/>
  <c r="F1093"/>
  <c r="G1093" s="1"/>
  <c r="F1094"/>
  <c r="G1094" s="1"/>
  <c r="F1095"/>
  <c r="G1095" s="1"/>
  <c r="F1096"/>
  <c r="G1096" s="1"/>
  <c r="F1097"/>
  <c r="G1097" s="1"/>
  <c r="F1098"/>
  <c r="G1098" s="1"/>
  <c r="F1099"/>
  <c r="G1099" s="1"/>
  <c r="F1100"/>
  <c r="G1100" s="1"/>
  <c r="F1101"/>
  <c r="G1101" s="1"/>
  <c r="F1102"/>
  <c r="G1102" s="1"/>
  <c r="F1103"/>
  <c r="G1103" s="1"/>
  <c r="F1104"/>
  <c r="G1104" s="1"/>
  <c r="F1105"/>
  <c r="G1105" s="1"/>
  <c r="F1106"/>
  <c r="G1106" s="1"/>
  <c r="F1107"/>
  <c r="G1107" s="1"/>
  <c r="F1108"/>
  <c r="G1108" s="1"/>
  <c r="F1109"/>
  <c r="G1109" s="1"/>
  <c r="F1110"/>
  <c r="G1110" s="1"/>
  <c r="F1111"/>
  <c r="G1111" s="1"/>
  <c r="F1112"/>
  <c r="G1112" s="1"/>
  <c r="F1113"/>
  <c r="G1113" s="1"/>
  <c r="F1114"/>
  <c r="G1114" s="1"/>
  <c r="F1115"/>
  <c r="G1115" s="1"/>
  <c r="F1116"/>
  <c r="G1116" s="1"/>
  <c r="F1117"/>
  <c r="G1117" s="1"/>
  <c r="F1118"/>
  <c r="G1118" s="1"/>
  <c r="F1119"/>
  <c r="G1119" s="1"/>
  <c r="F1120"/>
  <c r="G1120" s="1"/>
  <c r="F1121"/>
  <c r="G1121" s="1"/>
  <c r="F1122"/>
  <c r="G1122" s="1"/>
  <c r="F1123"/>
  <c r="G1123" s="1"/>
  <c r="F1124"/>
  <c r="G1124" s="1"/>
  <c r="F1125"/>
  <c r="G1125" s="1"/>
  <c r="F1126"/>
  <c r="G1126" s="1"/>
  <c r="F1127"/>
  <c r="G1127" s="1"/>
  <c r="F1128"/>
  <c r="G1128" s="1"/>
  <c r="F1129"/>
  <c r="G1129" s="1"/>
  <c r="F1130"/>
  <c r="G1130" s="1"/>
  <c r="F1131"/>
  <c r="G1131" s="1"/>
  <c r="F1132"/>
  <c r="G1132" s="1"/>
  <c r="F1133"/>
  <c r="G1133" s="1"/>
  <c r="F1134"/>
  <c r="G1134" s="1"/>
  <c r="F1135"/>
  <c r="G1135" s="1"/>
  <c r="F1136"/>
  <c r="G1136" s="1"/>
  <c r="F1137"/>
  <c r="G1137" s="1"/>
  <c r="F1138"/>
  <c r="G1138" s="1"/>
  <c r="F1139"/>
  <c r="G1139" s="1"/>
  <c r="F1140"/>
  <c r="G1140" s="1"/>
  <c r="F1141"/>
  <c r="G1141" s="1"/>
  <c r="F1142"/>
  <c r="G1142" s="1"/>
  <c r="F1143"/>
  <c r="G1143" s="1"/>
  <c r="F1144"/>
  <c r="G1144" s="1"/>
  <c r="F1145"/>
  <c r="G1145" s="1"/>
  <c r="E1202"/>
  <c r="F1160" i="8"/>
  <c r="G1160" s="1"/>
  <c r="F1179"/>
  <c r="G1179" s="1"/>
  <c r="C1202"/>
  <c r="D1202"/>
  <c r="E1202"/>
  <c r="F1202"/>
  <c r="G1202"/>
  <c r="H1202" s="1"/>
  <c r="C1146" i="11"/>
  <c r="D1146"/>
  <c r="J1202" i="7"/>
  <c r="L1202" s="1"/>
  <c r="F1160" i="9"/>
  <c r="G1160"/>
  <c r="F1179"/>
  <c r="G1179"/>
  <c r="F897" i="18"/>
  <c r="G897" s="1"/>
  <c r="F918"/>
  <c r="G918" s="1"/>
  <c r="C1146"/>
  <c r="D1146"/>
  <c r="E1146"/>
  <c r="C1146" i="8"/>
  <c r="D1146"/>
  <c r="E1146"/>
  <c r="F1146"/>
  <c r="G1146" s="1"/>
  <c r="J1146" i="7"/>
  <c r="L1146"/>
  <c r="H1146"/>
  <c r="K1146"/>
  <c r="F1146" i="9"/>
  <c r="G1146"/>
  <c r="C879" i="8"/>
  <c r="D879"/>
  <c r="E879"/>
  <c r="F879"/>
  <c r="G879" s="1"/>
  <c r="H879" s="1"/>
  <c r="C879" i="11"/>
  <c r="D879"/>
  <c r="E879"/>
  <c r="F879"/>
  <c r="G879" s="1"/>
  <c r="H879" s="1"/>
  <c r="J879" i="7"/>
  <c r="L879" s="1"/>
  <c r="C879" i="9"/>
  <c r="D879"/>
  <c r="E879"/>
  <c r="F879"/>
  <c r="G879" s="1"/>
  <c r="H879" s="1"/>
  <c r="K879" i="5"/>
  <c r="L879" s="1"/>
  <c r="M879" s="1"/>
  <c r="C747" i="18"/>
  <c r="D747"/>
  <c r="E747"/>
  <c r="C747" i="8"/>
  <c r="D747"/>
  <c r="E747"/>
  <c r="F747"/>
  <c r="G747" s="1"/>
  <c r="F556" i="9"/>
  <c r="G556" s="1"/>
  <c r="F564"/>
  <c r="G564" s="1"/>
  <c r="F565"/>
  <c r="G565" s="1"/>
  <c r="F567"/>
  <c r="G567" s="1"/>
  <c r="F568"/>
  <c r="G568" s="1"/>
  <c r="F569"/>
  <c r="G569" s="1"/>
  <c r="F570"/>
  <c r="G570" s="1"/>
  <c r="F571"/>
  <c r="G571" s="1"/>
  <c r="F572"/>
  <c r="G572" s="1"/>
  <c r="F581"/>
  <c r="G581" s="1"/>
  <c r="F584"/>
  <c r="G584" s="1"/>
  <c r="F586"/>
  <c r="G586" s="1"/>
  <c r="F591"/>
  <c r="G591" s="1"/>
  <c r="F689"/>
  <c r="G689" s="1"/>
  <c r="F704"/>
  <c r="G704" s="1"/>
  <c r="F705"/>
  <c r="G705" s="1"/>
  <c r="F747"/>
  <c r="G747" s="1"/>
  <c r="I747" i="5"/>
  <c r="J747"/>
  <c r="C384" i="8"/>
  <c r="D384"/>
  <c r="E384"/>
  <c r="F384"/>
  <c r="G384" s="1"/>
  <c r="H384" s="1"/>
  <c r="I384" s="1"/>
  <c r="C535" i="11"/>
  <c r="D535"/>
  <c r="E535"/>
  <c r="F535"/>
  <c r="G535" s="1"/>
  <c r="H384" i="7"/>
  <c r="K384" s="1"/>
  <c r="H535"/>
  <c r="K535" s="1"/>
  <c r="J384"/>
  <c r="J535"/>
  <c r="L535"/>
  <c r="C535" i="9"/>
  <c r="D535"/>
  <c r="E535"/>
  <c r="F535"/>
  <c r="G535" s="1"/>
  <c r="H535" i="5"/>
  <c r="I535"/>
  <c r="J535"/>
  <c r="K535"/>
  <c r="L535" s="1"/>
  <c r="C384" i="11"/>
  <c r="D384"/>
  <c r="E384"/>
  <c r="F384"/>
  <c r="G384"/>
  <c r="H384" s="1"/>
  <c r="L384" i="7"/>
  <c r="C384" i="9"/>
  <c r="D384"/>
  <c r="E384"/>
  <c r="F384"/>
  <c r="G384"/>
  <c r="H384" s="1"/>
  <c r="I384" i="5"/>
  <c r="J384"/>
  <c r="F60" i="14"/>
  <c r="G60" s="1"/>
  <c r="F61"/>
  <c r="G61" s="1"/>
  <c r="F62"/>
  <c r="G62" s="1"/>
  <c r="F63"/>
  <c r="G63" s="1"/>
  <c r="F64"/>
  <c r="G64" s="1"/>
  <c r="F65"/>
  <c r="G65" s="1"/>
  <c r="F66"/>
  <c r="G66" s="1"/>
  <c r="F38" i="18"/>
  <c r="G38" s="1"/>
  <c r="F39"/>
  <c r="G39" s="1"/>
  <c r="F40"/>
  <c r="G40" s="1"/>
  <c r="F47"/>
  <c r="G47" s="1"/>
  <c r="F49"/>
  <c r="G49" s="1"/>
  <c r="F50"/>
  <c r="G50" s="1"/>
  <c r="F51"/>
  <c r="G51" s="1"/>
  <c r="F52"/>
  <c r="G52" s="1"/>
  <c r="F60"/>
  <c r="G60" s="1"/>
  <c r="H60" s="1"/>
  <c r="I60" s="1"/>
  <c r="F61"/>
  <c r="G61" s="1"/>
  <c r="H61" s="1"/>
  <c r="I61" s="1"/>
  <c r="F62"/>
  <c r="G62" s="1"/>
  <c r="H62" s="1"/>
  <c r="I62" s="1"/>
  <c r="F63"/>
  <c r="G63" s="1"/>
  <c r="H63" s="1"/>
  <c r="I63" s="1"/>
  <c r="F64"/>
  <c r="G64" s="1"/>
  <c r="H64" s="1"/>
  <c r="I64" s="1"/>
  <c r="F65"/>
  <c r="G65" s="1"/>
  <c r="H65" s="1"/>
  <c r="I65" s="1"/>
  <c r="F66"/>
  <c r="G66" s="1"/>
  <c r="H66" s="1"/>
  <c r="I66" s="1"/>
  <c r="F60" i="8"/>
  <c r="G60"/>
  <c r="H60" s="1"/>
  <c r="F61"/>
  <c r="G61"/>
  <c r="H61" s="1"/>
  <c r="F62"/>
  <c r="G62"/>
  <c r="H62" s="1"/>
  <c r="F63"/>
  <c r="G63"/>
  <c r="H63" s="1"/>
  <c r="F64"/>
  <c r="G64"/>
  <c r="H64" s="1"/>
  <c r="F65"/>
  <c r="G65"/>
  <c r="H65" s="1"/>
  <c r="F66"/>
  <c r="G66"/>
  <c r="H66" s="1"/>
  <c r="F67"/>
  <c r="G67"/>
  <c r="H67" s="1"/>
  <c r="K61" i="7"/>
  <c r="L61"/>
  <c r="K62"/>
  <c r="L62"/>
  <c r="K63"/>
  <c r="L63"/>
  <c r="K64"/>
  <c r="L64"/>
  <c r="K65"/>
  <c r="L65"/>
  <c r="K66"/>
  <c r="L66"/>
  <c r="F60" i="9"/>
  <c r="G60"/>
  <c r="H60" s="1"/>
  <c r="F61"/>
  <c r="G61"/>
  <c r="H61" s="1"/>
  <c r="F62"/>
  <c r="G62"/>
  <c r="H62" s="1"/>
  <c r="F63"/>
  <c r="G63"/>
  <c r="H63" s="1"/>
  <c r="F64"/>
  <c r="G64"/>
  <c r="H64" s="1"/>
  <c r="F65"/>
  <c r="G65"/>
  <c r="H65" s="1"/>
  <c r="F66"/>
  <c r="G66"/>
  <c r="H66" s="1"/>
  <c r="K60" i="5"/>
  <c r="L60"/>
  <c r="K61"/>
  <c r="L61"/>
  <c r="K62"/>
  <c r="L62"/>
  <c r="K63"/>
  <c r="L63"/>
  <c r="K64"/>
  <c r="L64"/>
  <c r="K65"/>
  <c r="L65"/>
  <c r="K66"/>
  <c r="L66"/>
  <c r="K67"/>
  <c r="L67" s="1"/>
  <c r="J91" i="3"/>
  <c r="J385"/>
  <c r="J748"/>
  <c r="O748" s="1"/>
  <c r="J880"/>
  <c r="O880" s="1"/>
  <c r="J1147"/>
  <c r="O1147" s="1"/>
  <c r="M68" i="2"/>
  <c r="M91"/>
  <c r="L385"/>
  <c r="M385"/>
  <c r="L880"/>
  <c r="M880"/>
  <c r="M1147"/>
  <c r="M1203"/>
  <c r="N1232" i="17"/>
  <c r="N1202"/>
  <c r="N1146"/>
  <c r="N1232" i="12"/>
  <c r="N1202"/>
  <c r="L880"/>
  <c r="N880"/>
  <c r="N1146"/>
  <c r="J1202" i="18"/>
  <c r="J1146"/>
  <c r="J1232" i="14"/>
  <c r="J1202"/>
  <c r="J1146"/>
  <c r="J1232" i="8"/>
  <c r="J1202"/>
  <c r="J1146"/>
  <c r="J1202" i="11"/>
  <c r="J1146"/>
  <c r="L1232" i="10"/>
  <c r="L1202"/>
  <c r="L1146"/>
  <c r="O1232" i="7"/>
  <c r="O1202"/>
  <c r="O1146"/>
  <c r="J1232" i="9"/>
  <c r="J1202"/>
  <c r="J1146"/>
  <c r="O1232" i="5"/>
  <c r="O1202"/>
  <c r="O1146"/>
  <c r="Q1146" s="1"/>
  <c r="L1202" i="3"/>
  <c r="L1146"/>
  <c r="O1232" i="2"/>
  <c r="O1202"/>
  <c r="L748" i="12"/>
  <c r="N748"/>
  <c r="N879"/>
  <c r="N879" i="17"/>
  <c r="J879" i="18"/>
  <c r="J879" i="14"/>
  <c r="I879" i="8"/>
  <c r="J879"/>
  <c r="L879" i="10"/>
  <c r="O879" i="7"/>
  <c r="J879" i="9"/>
  <c r="O879" i="5"/>
  <c r="O879" i="2"/>
  <c r="J747" i="18"/>
  <c r="O747" i="7"/>
  <c r="N535" i="17"/>
  <c r="N535" i="12"/>
  <c r="J535" i="18"/>
  <c r="J535" i="14"/>
  <c r="L535" i="10"/>
  <c r="J535" i="11"/>
  <c r="O535" i="7"/>
  <c r="J535" i="9"/>
  <c r="L535" i="3"/>
  <c r="N384" i="17"/>
  <c r="L91" i="12"/>
  <c r="N91"/>
  <c r="N384"/>
  <c r="J384" i="8"/>
  <c r="L384" i="10"/>
  <c r="J384" i="11"/>
  <c r="O384" i="7"/>
  <c r="J384" i="9"/>
  <c r="O384" i="5"/>
  <c r="J67" i="18"/>
  <c r="J67" i="14"/>
  <c r="L67" i="10"/>
  <c r="J67" i="9"/>
  <c r="L68" i="12"/>
  <c r="L536" i="17"/>
  <c r="L748"/>
  <c r="Q748" s="1"/>
  <c r="L880"/>
  <c r="N68" i="12"/>
  <c r="Q68" s="1"/>
  <c r="H536" i="18"/>
  <c r="H748"/>
  <c r="H880"/>
  <c r="H1203"/>
  <c r="H68" i="14"/>
  <c r="H91"/>
  <c r="H385"/>
  <c r="H1203"/>
  <c r="H68" i="8"/>
  <c r="M68" s="1"/>
  <c r="H91"/>
  <c r="M91" s="1"/>
  <c r="H1203"/>
  <c r="F1160" i="11"/>
  <c r="G1160" s="1"/>
  <c r="F1179"/>
  <c r="G1179" s="1"/>
  <c r="C1202"/>
  <c r="D1202"/>
  <c r="H1203"/>
  <c r="C1232"/>
  <c r="D1232"/>
  <c r="E1232"/>
  <c r="F1232"/>
  <c r="G1232"/>
  <c r="H1232" s="1"/>
  <c r="C747"/>
  <c r="D747"/>
  <c r="E747"/>
  <c r="F747"/>
  <c r="G747" s="1"/>
  <c r="F60"/>
  <c r="G60"/>
  <c r="H60" s="1"/>
  <c r="F61"/>
  <c r="G61"/>
  <c r="H61" s="1"/>
  <c r="F62"/>
  <c r="G62"/>
  <c r="H62" s="1"/>
  <c r="F63"/>
  <c r="G63"/>
  <c r="H63" s="1"/>
  <c r="F64"/>
  <c r="G64"/>
  <c r="H64" s="1"/>
  <c r="F65"/>
  <c r="G65"/>
  <c r="H65" s="1"/>
  <c r="F66"/>
  <c r="G66"/>
  <c r="H66" s="1"/>
  <c r="F67"/>
  <c r="G67"/>
  <c r="H67" s="1"/>
  <c r="J91" i="10"/>
  <c r="J385"/>
  <c r="J748"/>
  <c r="O748" s="1"/>
  <c r="J880"/>
  <c r="J1147"/>
  <c r="J1203"/>
  <c r="M68" i="7"/>
  <c r="M91"/>
  <c r="M385"/>
  <c r="M748"/>
  <c r="M880"/>
  <c r="M1147"/>
  <c r="H1202"/>
  <c r="K1202"/>
  <c r="M1202" s="1"/>
  <c r="M1203"/>
  <c r="F67" i="9"/>
  <c r="G67"/>
  <c r="H67" s="1"/>
  <c r="H68"/>
  <c r="M68" s="1"/>
  <c r="H91"/>
  <c r="M91" s="1"/>
  <c r="H385"/>
  <c r="H536"/>
  <c r="M536" s="1"/>
  <c r="H748"/>
  <c r="M748" s="1"/>
  <c r="H880"/>
  <c r="M880" s="1"/>
  <c r="H1147"/>
  <c r="M1147" s="1"/>
  <c r="C1202"/>
  <c r="D1202"/>
  <c r="E1202"/>
  <c r="F1202"/>
  <c r="G1202"/>
  <c r="H1202" s="1"/>
  <c r="F60" i="5"/>
  <c r="F61"/>
  <c r="F62"/>
  <c r="F63"/>
  <c r="F64"/>
  <c r="F65"/>
  <c r="F66"/>
  <c r="F67"/>
  <c r="C384"/>
  <c r="D384"/>
  <c r="E384"/>
  <c r="F384"/>
  <c r="C535"/>
  <c r="D535"/>
  <c r="E535"/>
  <c r="F535"/>
  <c r="C747"/>
  <c r="D747"/>
  <c r="E747"/>
  <c r="F1146"/>
  <c r="C879"/>
  <c r="D879"/>
  <c r="E879"/>
  <c r="F879"/>
  <c r="C1202"/>
  <c r="D1202"/>
  <c r="E1202"/>
  <c r="F1202"/>
  <c r="N1232"/>
  <c r="P1232"/>
  <c r="C1232"/>
  <c r="D1232"/>
  <c r="E1232"/>
  <c r="F1232"/>
  <c r="M68"/>
  <c r="R68" s="1"/>
  <c r="M91"/>
  <c r="R91" s="1"/>
  <c r="M385"/>
  <c r="R385" s="1"/>
  <c r="M748"/>
  <c r="R748" s="1"/>
  <c r="M880"/>
  <c r="R880" s="1"/>
  <c r="M1147"/>
  <c r="R1147" s="1"/>
  <c r="M1203"/>
  <c r="H91" i="6"/>
  <c r="M91" s="1"/>
  <c r="H385"/>
  <c r="M385" s="1"/>
  <c r="H748"/>
  <c r="M748" s="1"/>
  <c r="H1147"/>
  <c r="M1147" s="1"/>
  <c r="H1203"/>
  <c r="G503" i="2"/>
  <c r="G504"/>
  <c r="G506"/>
  <c r="G508"/>
  <c r="G509"/>
  <c r="G510"/>
  <c r="G511"/>
  <c r="F384" i="22"/>
  <c r="F7" i="13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"/>
  <c r="E1202" i="18"/>
  <c r="D1202"/>
  <c r="C1202"/>
  <c r="C1232" i="3"/>
  <c r="H1146"/>
  <c r="C1202" i="14"/>
  <c r="C1232"/>
  <c r="I1202" i="8"/>
  <c r="C1232" i="7"/>
  <c r="C1202"/>
  <c r="C1232" i="2"/>
  <c r="C1202"/>
  <c r="C1232" i="9"/>
  <c r="O385" i="17"/>
  <c r="O536"/>
  <c r="O880"/>
  <c r="C67" i="13"/>
  <c r="D90"/>
  <c r="E90"/>
  <c r="D67" i="3"/>
  <c r="E67"/>
  <c r="D67" i="13"/>
  <c r="E67"/>
  <c r="H67"/>
  <c r="D90" i="17"/>
  <c r="E90"/>
  <c r="H90"/>
  <c r="I90"/>
  <c r="D67"/>
  <c r="E67"/>
  <c r="C67"/>
  <c r="C67" i="18"/>
  <c r="K748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9"/>
  <c r="K830"/>
  <c r="K831"/>
  <c r="K832"/>
  <c r="K833"/>
  <c r="K880"/>
  <c r="K1148"/>
  <c r="K1149"/>
  <c r="K1150"/>
  <c r="K1151"/>
  <c r="K1152"/>
  <c r="K1153"/>
  <c r="K1154"/>
  <c r="K1155"/>
  <c r="K1156"/>
  <c r="K1157"/>
  <c r="K1158"/>
  <c r="K1159"/>
  <c r="K1160"/>
  <c r="K1161"/>
  <c r="K1203"/>
  <c r="K1229"/>
  <c r="K1230"/>
  <c r="K1231"/>
  <c r="D67"/>
  <c r="E67"/>
  <c r="D90"/>
  <c r="E90"/>
  <c r="O91" i="12"/>
  <c r="O385"/>
  <c r="O748"/>
  <c r="O880"/>
  <c r="D67"/>
  <c r="E67"/>
  <c r="C67"/>
  <c r="D90"/>
  <c r="E90"/>
  <c r="C67" i="14"/>
  <c r="I1232" i="11"/>
  <c r="K1232"/>
  <c r="M1232" s="1"/>
  <c r="E1232" i="14"/>
  <c r="K38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1148"/>
  <c r="K1149"/>
  <c r="K1150"/>
  <c r="K1151"/>
  <c r="K1152"/>
  <c r="K1153"/>
  <c r="K1154"/>
  <c r="K1155"/>
  <c r="K1156"/>
  <c r="K1157"/>
  <c r="K1158"/>
  <c r="K1159"/>
  <c r="K1160"/>
  <c r="K1161"/>
  <c r="K1203"/>
  <c r="K1222"/>
  <c r="K1223"/>
  <c r="K1224"/>
  <c r="K1225"/>
  <c r="K1226"/>
  <c r="K1229"/>
  <c r="K1230"/>
  <c r="K1231"/>
  <c r="D90"/>
  <c r="E90"/>
  <c r="D67"/>
  <c r="E67"/>
  <c r="C67" i="8"/>
  <c r="K1203"/>
  <c r="D90"/>
  <c r="E90"/>
  <c r="D67"/>
  <c r="E67"/>
  <c r="D90" i="11"/>
  <c r="E90"/>
  <c r="K63"/>
  <c r="D67"/>
  <c r="E67"/>
  <c r="C67"/>
  <c r="D1232" i="10"/>
  <c r="D1202"/>
  <c r="E1232"/>
  <c r="E1202"/>
  <c r="C1232"/>
  <c r="F1232"/>
  <c r="C1202"/>
  <c r="F1202"/>
  <c r="D535"/>
  <c r="E535"/>
  <c r="K535"/>
  <c r="D90"/>
  <c r="E90"/>
  <c r="D67"/>
  <c r="E67"/>
  <c r="G67"/>
  <c r="C67"/>
  <c r="D1232" i="7"/>
  <c r="D1202"/>
  <c r="E1232"/>
  <c r="E1202"/>
  <c r="F1232"/>
  <c r="F1202"/>
  <c r="G1234"/>
  <c r="I1234"/>
  <c r="P68"/>
  <c r="R68" s="1"/>
  <c r="P91"/>
  <c r="R91" s="1"/>
  <c r="P385"/>
  <c r="P536"/>
  <c r="P748"/>
  <c r="R748" s="1"/>
  <c r="P880"/>
  <c r="R880" s="1"/>
  <c r="P1147"/>
  <c r="R1147" s="1"/>
  <c r="P1203"/>
  <c r="R1203" s="1"/>
  <c r="D90"/>
  <c r="E90"/>
  <c r="C67"/>
  <c r="D67"/>
  <c r="E67"/>
  <c r="E1232" i="9"/>
  <c r="I1232"/>
  <c r="I1202"/>
  <c r="K1232"/>
  <c r="M1232" s="1"/>
  <c r="K1202"/>
  <c r="M1202" s="1"/>
  <c r="D1232"/>
  <c r="D67"/>
  <c r="E67"/>
  <c r="C67"/>
  <c r="C1146" i="5"/>
  <c r="D90"/>
  <c r="E90"/>
  <c r="G90"/>
  <c r="I67"/>
  <c r="J67"/>
  <c r="G67"/>
  <c r="H67"/>
  <c r="D67"/>
  <c r="E67"/>
  <c r="C67"/>
  <c r="D1232" i="6"/>
  <c r="D1202"/>
  <c r="E1232"/>
  <c r="E1202"/>
  <c r="D67"/>
  <c r="E67"/>
  <c r="C1232" i="4"/>
  <c r="C1202"/>
  <c r="C67"/>
  <c r="D1232"/>
  <c r="D1202"/>
  <c r="E1232"/>
  <c r="E1202"/>
  <c r="F1232"/>
  <c r="H1234"/>
  <c r="D1232" i="2"/>
  <c r="D1202"/>
  <c r="E1232"/>
  <c r="E1202"/>
  <c r="E1146"/>
  <c r="G1232"/>
  <c r="G1202"/>
  <c r="G1143"/>
  <c r="G1144"/>
  <c r="J958"/>
  <c r="J959"/>
  <c r="J965"/>
  <c r="J969"/>
  <c r="J968"/>
  <c r="J966"/>
  <c r="J967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72"/>
  <c r="J971"/>
  <c r="J976"/>
  <c r="J977"/>
  <c r="J978"/>
  <c r="J979"/>
  <c r="J980"/>
  <c r="J981"/>
  <c r="J982"/>
  <c r="J983"/>
  <c r="J984"/>
  <c r="J1017"/>
  <c r="J1019"/>
  <c r="J1015"/>
  <c r="J1013"/>
  <c r="J1025"/>
  <c r="J1027"/>
  <c r="J1031"/>
  <c r="J1032"/>
  <c r="J1033"/>
  <c r="J1030"/>
  <c r="J1035"/>
  <c r="J1057"/>
  <c r="J1058"/>
  <c r="J1059"/>
  <c r="J1054"/>
  <c r="J1055"/>
  <c r="J1056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115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K958"/>
  <c r="K959"/>
  <c r="K965"/>
  <c r="K969"/>
  <c r="K968"/>
  <c r="K966"/>
  <c r="K967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72"/>
  <c r="K976"/>
  <c r="K977"/>
  <c r="K978"/>
  <c r="K979"/>
  <c r="K980"/>
  <c r="K981"/>
  <c r="K982"/>
  <c r="K983"/>
  <c r="K984"/>
  <c r="K1017"/>
  <c r="K1019"/>
  <c r="K1015"/>
  <c r="K1013"/>
  <c r="K1025"/>
  <c r="K1027"/>
  <c r="K1031"/>
  <c r="K1032"/>
  <c r="K1033"/>
  <c r="K1030"/>
  <c r="K1035"/>
  <c r="K1057"/>
  <c r="K1058"/>
  <c r="K1059"/>
  <c r="K1054"/>
  <c r="K1055"/>
  <c r="K1056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115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C879"/>
  <c r="P68"/>
  <c r="P91"/>
  <c r="P1147"/>
  <c r="P1203"/>
  <c r="D90" i="4"/>
  <c r="E90"/>
  <c r="D90" i="6"/>
  <c r="E90"/>
  <c r="D67" i="4"/>
  <c r="D90" i="2"/>
  <c r="E90"/>
  <c r="I90"/>
  <c r="E67"/>
  <c r="D67"/>
  <c r="K67"/>
  <c r="J67"/>
  <c r="I63" i="11"/>
  <c r="M1222" i="3"/>
  <c r="M1160"/>
  <c r="M1202"/>
  <c r="H1232" i="17"/>
  <c r="I1232"/>
  <c r="D1232" i="18"/>
  <c r="E1232"/>
  <c r="D1232" i="14"/>
  <c r="I1232" i="8"/>
  <c r="H1202" i="17"/>
  <c r="I1202"/>
  <c r="H1202" i="12"/>
  <c r="I1202"/>
  <c r="D1202" i="14"/>
  <c r="I1202" i="5"/>
  <c r="J1202"/>
  <c r="H1146" i="17"/>
  <c r="I1146"/>
  <c r="D1146" i="14"/>
  <c r="E1146"/>
  <c r="I1146" i="5"/>
  <c r="J1146"/>
  <c r="D1146" i="6"/>
  <c r="E1146"/>
  <c r="M879" i="3"/>
  <c r="H879" i="17"/>
  <c r="I879"/>
  <c r="H747"/>
  <c r="I747"/>
  <c r="D879" i="18"/>
  <c r="E879"/>
  <c r="H879" i="12"/>
  <c r="I879"/>
  <c r="D879" i="14"/>
  <c r="E879"/>
  <c r="I879" i="5"/>
  <c r="J879"/>
  <c r="E747" i="13"/>
  <c r="I747" i="12"/>
  <c r="H747"/>
  <c r="D747" i="3"/>
  <c r="D535" i="14"/>
  <c r="C535"/>
  <c r="P1203" i="5"/>
  <c r="K1203" i="6"/>
  <c r="M1203" s="1"/>
  <c r="G1202" i="3"/>
  <c r="K1203" i="11"/>
  <c r="G747" i="3"/>
  <c r="G384"/>
  <c r="H1146" i="5"/>
  <c r="G879" i="17"/>
  <c r="H879" i="5"/>
  <c r="E384" i="18"/>
  <c r="D384"/>
  <c r="C384"/>
  <c r="E384" i="14"/>
  <c r="D384"/>
  <c r="C384"/>
  <c r="E747" i="9"/>
  <c r="D747"/>
  <c r="C747"/>
  <c r="D1146" i="2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5"/>
  <c r="G1202" i="17"/>
  <c r="H1202" i="5"/>
  <c r="G1202" i="12"/>
  <c r="E1146" i="3"/>
  <c r="D1146"/>
  <c r="C1146"/>
  <c r="E1146" i="13"/>
  <c r="D1146"/>
  <c r="C1146"/>
  <c r="E1146" i="17"/>
  <c r="D1146"/>
  <c r="C1146"/>
  <c r="E1146" i="12"/>
  <c r="D1146"/>
  <c r="C1146"/>
  <c r="C1146" i="14"/>
  <c r="E1146" i="10"/>
  <c r="D1146"/>
  <c r="C1146"/>
  <c r="E1146" i="7"/>
  <c r="D1146"/>
  <c r="C1146"/>
  <c r="E1146" i="9"/>
  <c r="D1146"/>
  <c r="C1146"/>
  <c r="E1146" i="5"/>
  <c r="D1146"/>
  <c r="E1146" i="4"/>
  <c r="D1146"/>
  <c r="C1146"/>
  <c r="E1232" i="3"/>
  <c r="D1232"/>
  <c r="E1232" i="13"/>
  <c r="D1232"/>
  <c r="C1232"/>
  <c r="F1232"/>
  <c r="E1232" i="17"/>
  <c r="D1232"/>
  <c r="C1232"/>
  <c r="C1232" i="18"/>
  <c r="E1232" i="12"/>
  <c r="D1232"/>
  <c r="C1232"/>
  <c r="E1202" i="3"/>
  <c r="D1202"/>
  <c r="C1202"/>
  <c r="E1202" i="13"/>
  <c r="D1202"/>
  <c r="C1202"/>
  <c r="E1202" i="17"/>
  <c r="D1202"/>
  <c r="C1202"/>
  <c r="F1146" i="4"/>
  <c r="J1143" i="2"/>
  <c r="J1144"/>
  <c r="J1145"/>
  <c r="F1146"/>
  <c r="J881"/>
  <c r="K881"/>
  <c r="J882"/>
  <c r="K882"/>
  <c r="J883"/>
  <c r="K883"/>
  <c r="J884"/>
  <c r="K884"/>
  <c r="J885"/>
  <c r="K885"/>
  <c r="J886"/>
  <c r="K886"/>
  <c r="J887"/>
  <c r="K887"/>
  <c r="J888"/>
  <c r="K888"/>
  <c r="J889"/>
  <c r="K889"/>
  <c r="J890"/>
  <c r="K890"/>
  <c r="J891"/>
  <c r="K891"/>
  <c r="J892"/>
  <c r="K892"/>
  <c r="J893"/>
  <c r="K893"/>
  <c r="J917"/>
  <c r="K917"/>
  <c r="J918"/>
  <c r="K918"/>
  <c r="J919"/>
  <c r="K919"/>
  <c r="J920"/>
  <c r="K920"/>
  <c r="J921"/>
  <c r="K921"/>
  <c r="J922"/>
  <c r="K922"/>
  <c r="J923"/>
  <c r="K923"/>
  <c r="J924"/>
  <c r="K924"/>
  <c r="J925"/>
  <c r="K925"/>
  <c r="J926"/>
  <c r="K926"/>
  <c r="J927"/>
  <c r="K927"/>
  <c r="J928"/>
  <c r="K928"/>
  <c r="J929"/>
  <c r="K929"/>
  <c r="J930"/>
  <c r="K930"/>
  <c r="J931"/>
  <c r="K931"/>
  <c r="J932"/>
  <c r="K932"/>
  <c r="J933"/>
  <c r="K933"/>
  <c r="J934"/>
  <c r="K934"/>
  <c r="J935"/>
  <c r="K935"/>
  <c r="J936"/>
  <c r="K936"/>
  <c r="J937"/>
  <c r="K937"/>
  <c r="J938"/>
  <c r="K938"/>
  <c r="J939"/>
  <c r="K939"/>
  <c r="J940"/>
  <c r="K940"/>
  <c r="J941"/>
  <c r="K941"/>
  <c r="J942"/>
  <c r="K942"/>
  <c r="J943"/>
  <c r="K943"/>
  <c r="J944"/>
  <c r="K944"/>
  <c r="J945"/>
  <c r="K945"/>
  <c r="J946"/>
  <c r="K946"/>
  <c r="J947"/>
  <c r="K947"/>
  <c r="J948"/>
  <c r="K948"/>
  <c r="J949"/>
  <c r="K949"/>
  <c r="J950"/>
  <c r="K950"/>
  <c r="J951"/>
  <c r="K951"/>
  <c r="J952"/>
  <c r="K952"/>
  <c r="J953"/>
  <c r="K953"/>
  <c r="J954"/>
  <c r="K954"/>
  <c r="J955"/>
  <c r="K955"/>
  <c r="J956"/>
  <c r="K956"/>
  <c r="J957"/>
  <c r="K957"/>
  <c r="J960"/>
  <c r="K960"/>
  <c r="J961"/>
  <c r="K961"/>
  <c r="J962"/>
  <c r="K962"/>
  <c r="J963"/>
  <c r="K963"/>
  <c r="J964"/>
  <c r="K964"/>
  <c r="J970"/>
  <c r="K970"/>
  <c r="J973"/>
  <c r="K973"/>
  <c r="J974"/>
  <c r="K974"/>
  <c r="J975"/>
  <c r="K975"/>
  <c r="J985"/>
  <c r="K985"/>
  <c r="J986"/>
  <c r="K986"/>
  <c r="J987"/>
  <c r="K987"/>
  <c r="J988"/>
  <c r="K988"/>
  <c r="J989"/>
  <c r="K989"/>
  <c r="J990"/>
  <c r="K990"/>
  <c r="J991"/>
  <c r="K991"/>
  <c r="J992"/>
  <c r="K992"/>
  <c r="J993"/>
  <c r="K993"/>
  <c r="J994"/>
  <c r="K994"/>
  <c r="J995"/>
  <c r="K995"/>
  <c r="J996"/>
  <c r="K996"/>
  <c r="J997"/>
  <c r="K997"/>
  <c r="J998"/>
  <c r="K998"/>
  <c r="J999"/>
  <c r="K999"/>
  <c r="J1000"/>
  <c r="K1000"/>
  <c r="J1001"/>
  <c r="K1001"/>
  <c r="J1002"/>
  <c r="K1002"/>
  <c r="J1003"/>
  <c r="K1003"/>
  <c r="J1004"/>
  <c r="K1004"/>
  <c r="J1005"/>
  <c r="K1005"/>
  <c r="J1006"/>
  <c r="K1006"/>
  <c r="J1007"/>
  <c r="K1007"/>
  <c r="J1008"/>
  <c r="K1008"/>
  <c r="J1009"/>
  <c r="K1009"/>
  <c r="J1010"/>
  <c r="K1010"/>
  <c r="J1011"/>
  <c r="K1011"/>
  <c r="J1012"/>
  <c r="K1012"/>
  <c r="J1014"/>
  <c r="K1014"/>
  <c r="J1016"/>
  <c r="K1016"/>
  <c r="J1018"/>
  <c r="K1018"/>
  <c r="J1020"/>
  <c r="K1020"/>
  <c r="J1021"/>
  <c r="K1021"/>
  <c r="J1022"/>
  <c r="K1022"/>
  <c r="J1023"/>
  <c r="K1023"/>
  <c r="J1024"/>
  <c r="K1024"/>
  <c r="J1026"/>
  <c r="K1026"/>
  <c r="J1028"/>
  <c r="K1028"/>
  <c r="J1029"/>
  <c r="K1029"/>
  <c r="J1034"/>
  <c r="K1034"/>
  <c r="J1036"/>
  <c r="K1036"/>
  <c r="J1037"/>
  <c r="K1037"/>
  <c r="J1038"/>
  <c r="K1038"/>
  <c r="J1039"/>
  <c r="K1039"/>
  <c r="J1040"/>
  <c r="K1040"/>
  <c r="J1041"/>
  <c r="K1041"/>
  <c r="J1042"/>
  <c r="K1042"/>
  <c r="J1043"/>
  <c r="K1043"/>
  <c r="J1044"/>
  <c r="K1044"/>
  <c r="J1045"/>
  <c r="K1045"/>
  <c r="J1046"/>
  <c r="K1046"/>
  <c r="J1047"/>
  <c r="K1047"/>
  <c r="J1048"/>
  <c r="K1048"/>
  <c r="J1049"/>
  <c r="K1049"/>
  <c r="J1050"/>
  <c r="K1050"/>
  <c r="J1051"/>
  <c r="K1051"/>
  <c r="J1052"/>
  <c r="K1052"/>
  <c r="J1053"/>
  <c r="K1053"/>
  <c r="J1085"/>
  <c r="K1085"/>
  <c r="J1086"/>
  <c r="K1086"/>
  <c r="J1087"/>
  <c r="K1087"/>
  <c r="J1088"/>
  <c r="K1088"/>
  <c r="J1089"/>
  <c r="K1089"/>
  <c r="J1090"/>
  <c r="K1090"/>
  <c r="J1091"/>
  <c r="K1091"/>
  <c r="J1092"/>
  <c r="K1092"/>
  <c r="J1093"/>
  <c r="K1093"/>
  <c r="J1094"/>
  <c r="K1094"/>
  <c r="J1095"/>
  <c r="K1095"/>
  <c r="J1096"/>
  <c r="K1096"/>
  <c r="J1097"/>
  <c r="K1097"/>
  <c r="J1098"/>
  <c r="K1098"/>
  <c r="J1099"/>
  <c r="K1099"/>
  <c r="J1100"/>
  <c r="K1100"/>
  <c r="J1101"/>
  <c r="K1101"/>
  <c r="J1102"/>
  <c r="K1102"/>
  <c r="J1103"/>
  <c r="K1103"/>
  <c r="J1104"/>
  <c r="K1104"/>
  <c r="J1105"/>
  <c r="K1105"/>
  <c r="J1106"/>
  <c r="K1106"/>
  <c r="J1107"/>
  <c r="K1107"/>
  <c r="J1108"/>
  <c r="K1108"/>
  <c r="J1109"/>
  <c r="K1109"/>
  <c r="J1110"/>
  <c r="K1110"/>
  <c r="J1111"/>
  <c r="K1111"/>
  <c r="J1112"/>
  <c r="K1112"/>
  <c r="J1113"/>
  <c r="K1113"/>
  <c r="J1114"/>
  <c r="K1114"/>
  <c r="J1116"/>
  <c r="K1116"/>
  <c r="J1117"/>
  <c r="K1117"/>
  <c r="G1146" i="4"/>
  <c r="I1146"/>
  <c r="F1146" i="10"/>
  <c r="K1146"/>
  <c r="F1146" i="12"/>
  <c r="F1146" i="17"/>
  <c r="G1146"/>
  <c r="F1146" i="13"/>
  <c r="G1146"/>
  <c r="I1146"/>
  <c r="F1146" i="7"/>
  <c r="F1146" i="3"/>
  <c r="F1147" i="17"/>
  <c r="Q1147" s="1"/>
  <c r="J1148" i="12"/>
  <c r="C879" i="18"/>
  <c r="E879" i="12"/>
  <c r="D879"/>
  <c r="C879"/>
  <c r="E879" i="6"/>
  <c r="D879"/>
  <c r="C879" i="14"/>
  <c r="I879" i="11"/>
  <c r="C747" i="14"/>
  <c r="D747"/>
  <c r="E747"/>
  <c r="G747" i="5"/>
  <c r="D747" i="6"/>
  <c r="E747"/>
  <c r="E535" i="14"/>
  <c r="C535" i="13"/>
  <c r="D535"/>
  <c r="E535"/>
  <c r="F535"/>
  <c r="C535" i="17"/>
  <c r="D535"/>
  <c r="E535"/>
  <c r="F535"/>
  <c r="C535" i="12"/>
  <c r="D535"/>
  <c r="E535"/>
  <c r="F535"/>
  <c r="C535" i="10"/>
  <c r="F535"/>
  <c r="C535" i="7"/>
  <c r="D535"/>
  <c r="E535"/>
  <c r="F535"/>
  <c r="C535" i="4"/>
  <c r="D535"/>
  <c r="E535"/>
  <c r="F535"/>
  <c r="D535" i="2"/>
  <c r="E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C535" i="3"/>
  <c r="D535"/>
  <c r="E535"/>
  <c r="F535"/>
  <c r="G745" i="2"/>
  <c r="K745"/>
  <c r="J747"/>
  <c r="E747" i="3"/>
  <c r="F747"/>
  <c r="D747" i="13"/>
  <c r="C747"/>
  <c r="E747" i="17"/>
  <c r="D747"/>
  <c r="C747"/>
  <c r="E747" i="12"/>
  <c r="D747"/>
  <c r="C747"/>
  <c r="E747" i="10"/>
  <c r="D747"/>
  <c r="C747"/>
  <c r="E747" i="7"/>
  <c r="D747"/>
  <c r="C747"/>
  <c r="E747" i="4"/>
  <c r="D747"/>
  <c r="C747"/>
  <c r="D747" i="2"/>
  <c r="E747"/>
  <c r="F747"/>
  <c r="D384" i="12"/>
  <c r="E384"/>
  <c r="F60"/>
  <c r="F61"/>
  <c r="F62"/>
  <c r="F63"/>
  <c r="F64"/>
  <c r="F65"/>
  <c r="F66"/>
  <c r="F792"/>
  <c r="F793"/>
  <c r="F879"/>
  <c r="F1232"/>
  <c r="G384"/>
  <c r="G535"/>
  <c r="G879"/>
  <c r="H384"/>
  <c r="H535"/>
  <c r="I384"/>
  <c r="I535"/>
  <c r="C384"/>
  <c r="G1232" i="17"/>
  <c r="O1222"/>
  <c r="D384"/>
  <c r="D879"/>
  <c r="D1234"/>
  <c r="E384"/>
  <c r="E879"/>
  <c r="E1234"/>
  <c r="F1202"/>
  <c r="F747"/>
  <c r="F792"/>
  <c r="F793"/>
  <c r="F879"/>
  <c r="F1232"/>
  <c r="G1234"/>
  <c r="H1234"/>
  <c r="I1234"/>
  <c r="C384"/>
  <c r="C879"/>
  <c r="C1234"/>
  <c r="J1149" i="12"/>
  <c r="K1149" s="1"/>
  <c r="J1150"/>
  <c r="K1150" s="1"/>
  <c r="J1151"/>
  <c r="K1151" s="1"/>
  <c r="J1152"/>
  <c r="K1152" s="1"/>
  <c r="J1153"/>
  <c r="K1153" s="1"/>
  <c r="J1154"/>
  <c r="K1154" s="1"/>
  <c r="J1155"/>
  <c r="K1155" s="1"/>
  <c r="J1156"/>
  <c r="K1156" s="1"/>
  <c r="J1157"/>
  <c r="K1157" s="1"/>
  <c r="J1158"/>
  <c r="K1158" s="1"/>
  <c r="J1159"/>
  <c r="K1159" s="1"/>
  <c r="J1160"/>
  <c r="K1160" s="1"/>
  <c r="J1161"/>
  <c r="K1161" s="1"/>
  <c r="J1162"/>
  <c r="K1162" s="1"/>
  <c r="J1163"/>
  <c r="K1163" s="1"/>
  <c r="J1164"/>
  <c r="K1164" s="1"/>
  <c r="J1165"/>
  <c r="K1165" s="1"/>
  <c r="J1166"/>
  <c r="K1166" s="1"/>
  <c r="J1167"/>
  <c r="K1167" s="1"/>
  <c r="J1168"/>
  <c r="K1168" s="1"/>
  <c r="J1169"/>
  <c r="K1169" s="1"/>
  <c r="J1170"/>
  <c r="K1170" s="1"/>
  <c r="J1171"/>
  <c r="K1171" s="1"/>
  <c r="J1172"/>
  <c r="K1172" s="1"/>
  <c r="J1173"/>
  <c r="K1173" s="1"/>
  <c r="J1174"/>
  <c r="K1174" s="1"/>
  <c r="J1175"/>
  <c r="K1175" s="1"/>
  <c r="J1176"/>
  <c r="K1176" s="1"/>
  <c r="J1177"/>
  <c r="K1177" s="1"/>
  <c r="J1178"/>
  <c r="K1178" s="1"/>
  <c r="J1179"/>
  <c r="K1179" s="1"/>
  <c r="J1180"/>
  <c r="K1180" s="1"/>
  <c r="J1181"/>
  <c r="K1181" s="1"/>
  <c r="J1182"/>
  <c r="K1182" s="1"/>
  <c r="J1183"/>
  <c r="K1183" s="1"/>
  <c r="J1184"/>
  <c r="K1184" s="1"/>
  <c r="J1185"/>
  <c r="K1185" s="1"/>
  <c r="J1186"/>
  <c r="K1186" s="1"/>
  <c r="J1187"/>
  <c r="K1187" s="1"/>
  <c r="J1188"/>
  <c r="K1188" s="1"/>
  <c r="J1189"/>
  <c r="K1189" s="1"/>
  <c r="J1190"/>
  <c r="K1190" s="1"/>
  <c r="J1191"/>
  <c r="K1191" s="1"/>
  <c r="J1192"/>
  <c r="K1192" s="1"/>
  <c r="J1193"/>
  <c r="K1193" s="1"/>
  <c r="J1194"/>
  <c r="K1194" s="1"/>
  <c r="J1195"/>
  <c r="K1195" s="1"/>
  <c r="J1196"/>
  <c r="K1196" s="1"/>
  <c r="J1197"/>
  <c r="K1197" s="1"/>
  <c r="J1198"/>
  <c r="K1198" s="1"/>
  <c r="J1199"/>
  <c r="K1199" s="1"/>
  <c r="J1200"/>
  <c r="K1200" s="1"/>
  <c r="J1201"/>
  <c r="K1201" s="1"/>
  <c r="K60" i="18"/>
  <c r="M60" s="1"/>
  <c r="K61"/>
  <c r="M61" s="1"/>
  <c r="K62"/>
  <c r="M62" s="1"/>
  <c r="K63"/>
  <c r="M63" s="1"/>
  <c r="K64"/>
  <c r="M64" s="1"/>
  <c r="K65"/>
  <c r="M65" s="1"/>
  <c r="K66"/>
  <c r="M66" s="1"/>
  <c r="C1234"/>
  <c r="D1234"/>
  <c r="E1234"/>
  <c r="O60" i="12"/>
  <c r="O61"/>
  <c r="O62"/>
  <c r="O63"/>
  <c r="O64"/>
  <c r="O65"/>
  <c r="O66"/>
  <c r="F66" i="7"/>
  <c r="F66" i="4"/>
  <c r="I66"/>
  <c r="F66" i="22" s="1"/>
  <c r="F66" i="10"/>
  <c r="O66" s="1"/>
  <c r="F66" i="17"/>
  <c r="F65" i="10"/>
  <c r="O65" s="1"/>
  <c r="F65" i="7"/>
  <c r="F65" i="4"/>
  <c r="I65"/>
  <c r="F65" i="22" s="1"/>
  <c r="F65" i="17"/>
  <c r="J66" i="2"/>
  <c r="G66"/>
  <c r="F66"/>
  <c r="H1232" i="3"/>
  <c r="D90"/>
  <c r="D384"/>
  <c r="D879"/>
  <c r="D1234"/>
  <c r="E90"/>
  <c r="E384"/>
  <c r="E879"/>
  <c r="E1234"/>
  <c r="F1155"/>
  <c r="F1160"/>
  <c r="F1202"/>
  <c r="F704"/>
  <c r="C384"/>
  <c r="F384"/>
  <c r="F879"/>
  <c r="G535"/>
  <c r="G879"/>
  <c r="H1234"/>
  <c r="K384"/>
  <c r="K879"/>
  <c r="K1202"/>
  <c r="C879"/>
  <c r="C1234"/>
  <c r="D1234" i="13"/>
  <c r="E1234"/>
  <c r="F1202"/>
  <c r="G1202"/>
  <c r="G535"/>
  <c r="G1232"/>
  <c r="H1234"/>
  <c r="I1202"/>
  <c r="I535"/>
  <c r="I1232"/>
  <c r="M879" i="10"/>
  <c r="F747" i="4"/>
  <c r="C879"/>
  <c r="D879"/>
  <c r="E879"/>
  <c r="F879"/>
  <c r="C384"/>
  <c r="D384"/>
  <c r="E384"/>
  <c r="F384"/>
  <c r="I384" i="11"/>
  <c r="D384" i="10"/>
  <c r="D879"/>
  <c r="E384"/>
  <c r="E879"/>
  <c r="F63"/>
  <c r="O63" s="1"/>
  <c r="F60"/>
  <c r="O60" s="1"/>
  <c r="F61"/>
  <c r="O61" s="1"/>
  <c r="F62"/>
  <c r="O62" s="1"/>
  <c r="F64"/>
  <c r="O64" s="1"/>
  <c r="F747"/>
  <c r="C384"/>
  <c r="F384"/>
  <c r="C879"/>
  <c r="F879"/>
  <c r="G747"/>
  <c r="G1234"/>
  <c r="K879"/>
  <c r="K1202"/>
  <c r="D879" i="7"/>
  <c r="D384"/>
  <c r="E879"/>
  <c r="E384"/>
  <c r="F60"/>
  <c r="R60" s="1"/>
  <c r="G60" i="22" s="1"/>
  <c r="F61" i="7"/>
  <c r="F62"/>
  <c r="F63"/>
  <c r="F64"/>
  <c r="F747"/>
  <c r="C879"/>
  <c r="F879"/>
  <c r="C384"/>
  <c r="F384"/>
  <c r="I879" i="9"/>
  <c r="G1232" i="5"/>
  <c r="G1202"/>
  <c r="G1146"/>
  <c r="G879"/>
  <c r="G535"/>
  <c r="G384"/>
  <c r="G1232" i="4"/>
  <c r="G1202"/>
  <c r="G535"/>
  <c r="G384"/>
  <c r="I747"/>
  <c r="I879"/>
  <c r="I535"/>
  <c r="I384"/>
  <c r="D879" i="2"/>
  <c r="E879"/>
  <c r="F60"/>
  <c r="F61"/>
  <c r="F62"/>
  <c r="F63"/>
  <c r="F64"/>
  <c r="F65"/>
  <c r="F88"/>
  <c r="F90"/>
  <c r="F1202"/>
  <c r="F1232"/>
  <c r="F879"/>
  <c r="F380"/>
  <c r="F381"/>
  <c r="F384"/>
  <c r="G55"/>
  <c r="G56"/>
  <c r="G57"/>
  <c r="G58"/>
  <c r="G59"/>
  <c r="G60"/>
  <c r="G61"/>
  <c r="G62"/>
  <c r="G63"/>
  <c r="G64"/>
  <c r="G65"/>
  <c r="J60"/>
  <c r="J88"/>
  <c r="J90"/>
  <c r="J1232"/>
  <c r="J1202"/>
  <c r="J879"/>
  <c r="J535"/>
  <c r="J384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879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7"/>
  <c r="K386"/>
  <c r="K391"/>
  <c r="K396"/>
  <c r="K397"/>
  <c r="K398"/>
  <c r="K399"/>
  <c r="K400"/>
  <c r="K404"/>
  <c r="K405"/>
  <c r="K406"/>
  <c r="K408"/>
  <c r="K410"/>
  <c r="K411"/>
  <c r="K412"/>
  <c r="K413"/>
  <c r="K415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3"/>
  <c r="K535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S1234"/>
  <c r="P385"/>
  <c r="Q385" s="1"/>
  <c r="P880"/>
  <c r="F60" i="17"/>
  <c r="F61"/>
  <c r="F62"/>
  <c r="F63"/>
  <c r="F64"/>
  <c r="F60" i="4"/>
  <c r="I60"/>
  <c r="F60" i="22" s="1"/>
  <c r="F61" i="4"/>
  <c r="I61"/>
  <c r="F61" i="22" s="1"/>
  <c r="F62" i="4"/>
  <c r="I62"/>
  <c r="F62" i="22" s="1"/>
  <c r="F63" i="4"/>
  <c r="I63"/>
  <c r="F63" i="22" s="1"/>
  <c r="F64" i="4"/>
  <c r="I64"/>
  <c r="F64" i="22" s="1"/>
  <c r="G795" i="2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30"/>
  <c r="G831"/>
  <c r="G832"/>
  <c r="A7" i="14"/>
  <c r="A8"/>
  <c r="A10"/>
  <c r="A11"/>
  <c r="A14"/>
  <c r="A15"/>
  <c r="A18"/>
  <c r="A19"/>
  <c r="A6"/>
  <c r="G534" i="2"/>
  <c r="F385" i="11"/>
  <c r="M385" s="1"/>
  <c r="F385" i="9"/>
  <c r="H60" i="13"/>
  <c r="H61"/>
  <c r="H62"/>
  <c r="H63"/>
  <c r="H64"/>
  <c r="H65"/>
  <c r="H66"/>
  <c r="K6" i="2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5"/>
  <c r="K60"/>
  <c r="H1233" i="6"/>
  <c r="K1160" i="3"/>
  <c r="F1160" i="10"/>
  <c r="H6" i="13"/>
  <c r="K875" i="2"/>
  <c r="H7" i="13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K750" i="2"/>
  <c r="G91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9"/>
  <c r="G480"/>
  <c r="G481"/>
  <c r="G482"/>
  <c r="G483"/>
  <c r="G484"/>
  <c r="G485"/>
  <c r="G486"/>
  <c r="G487"/>
  <c r="G488"/>
  <c r="G489"/>
  <c r="G490"/>
  <c r="G491"/>
  <c r="G492"/>
  <c r="G493"/>
  <c r="G494"/>
  <c r="G496"/>
  <c r="G497"/>
  <c r="G498"/>
  <c r="G499"/>
  <c r="G500"/>
  <c r="G501"/>
  <c r="G502"/>
  <c r="G507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6"/>
  <c r="G829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J880" i="12"/>
  <c r="K873" i="2"/>
  <c r="K874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F748" i="5"/>
  <c r="F880"/>
  <c r="F1147"/>
  <c r="F1203"/>
  <c r="F748" i="6"/>
  <c r="F880"/>
  <c r="F1147"/>
  <c r="G869" i="2"/>
  <c r="G870"/>
  <c r="G871"/>
  <c r="G872"/>
  <c r="G873"/>
  <c r="G874"/>
  <c r="G875"/>
  <c r="G880"/>
  <c r="G1147"/>
  <c r="G1199"/>
  <c r="G1200"/>
  <c r="G1203"/>
  <c r="G420"/>
  <c r="G478"/>
  <c r="G495"/>
  <c r="G505"/>
  <c r="F91" i="4"/>
  <c r="F385"/>
  <c r="F536"/>
  <c r="F748"/>
  <c r="F880"/>
  <c r="F1147"/>
  <c r="F1203"/>
  <c r="K749" i="2"/>
  <c r="F794" i="10"/>
  <c r="F793"/>
  <c r="F792"/>
  <c r="F91" i="5"/>
  <c r="F385"/>
  <c r="F536"/>
  <c r="K1147"/>
  <c r="K1203"/>
  <c r="K91"/>
  <c r="K385"/>
  <c r="K748"/>
  <c r="K880"/>
  <c r="F91" i="6"/>
  <c r="F385"/>
  <c r="A1234" i="2"/>
  <c r="F556" i="12"/>
  <c r="F556" i="17"/>
  <c r="F556" i="13"/>
  <c r="G556"/>
  <c r="F564" i="12"/>
  <c r="F564" i="17"/>
  <c r="F564" i="13"/>
  <c r="G564"/>
  <c r="F565" i="12"/>
  <c r="F565" i="17"/>
  <c r="F565" i="13"/>
  <c r="G565"/>
  <c r="F567" i="12"/>
  <c r="Q567" s="1"/>
  <c r="F567" i="17"/>
  <c r="F567" i="13"/>
  <c r="G567"/>
  <c r="F568" i="12"/>
  <c r="F568" i="17"/>
  <c r="F568" i="13"/>
  <c r="G568"/>
  <c r="F569" i="12"/>
  <c r="Q569" s="1"/>
  <c r="F569" i="17"/>
  <c r="F569" i="13"/>
  <c r="G569"/>
  <c r="F570" i="12"/>
  <c r="Q570" s="1"/>
  <c r="F570" i="17"/>
  <c r="F570" i="13"/>
  <c r="G570"/>
  <c r="F571" i="12"/>
  <c r="Q571" s="1"/>
  <c r="F571" i="17"/>
  <c r="F571" i="13"/>
  <c r="G571"/>
  <c r="F572" i="12"/>
  <c r="Q572" s="1"/>
  <c r="F572" i="17"/>
  <c r="F572" i="13"/>
  <c r="G572"/>
  <c r="F581" i="12"/>
  <c r="Q581" s="1"/>
  <c r="F581" i="17"/>
  <c r="F581" i="13"/>
  <c r="G581"/>
  <c r="F584" i="12"/>
  <c r="Q584" s="1"/>
  <c r="F584" i="17"/>
  <c r="F584" i="13"/>
  <c r="G584"/>
  <c r="F586" i="12"/>
  <c r="Q586" s="1"/>
  <c r="F586" i="17"/>
  <c r="F586" i="13"/>
  <c r="G586"/>
  <c r="F591" i="12"/>
  <c r="Q591" s="1"/>
  <c r="F591" i="17"/>
  <c r="F591" i="13"/>
  <c r="G591"/>
  <c r="F385" i="12"/>
  <c r="F689"/>
  <c r="Q689" s="1"/>
  <c r="F689" i="17"/>
  <c r="F689" i="13"/>
  <c r="G689"/>
  <c r="F704" i="12"/>
  <c r="Q704" s="1"/>
  <c r="F704" i="17"/>
  <c r="F704" i="13"/>
  <c r="G704"/>
  <c r="F705" i="12"/>
  <c r="Q705" s="1"/>
  <c r="F705" i="17"/>
  <c r="F705" i="13"/>
  <c r="G705"/>
  <c r="I1239" i="7"/>
  <c r="J1239"/>
  <c r="M91" i="3"/>
  <c r="M385"/>
  <c r="N385" s="1"/>
  <c r="K880" i="11"/>
  <c r="M91" i="10"/>
  <c r="M880"/>
  <c r="M1146"/>
  <c r="J1233" i="9"/>
  <c r="K1233"/>
  <c r="F1231" i="13"/>
  <c r="G1231"/>
  <c r="F536" i="10"/>
  <c r="O536" s="1"/>
  <c r="Q231"/>
  <c r="Q228"/>
  <c r="Q218"/>
  <c r="Q216"/>
  <c r="Q208"/>
  <c r="Q203"/>
  <c r="Q202"/>
  <c r="Q200"/>
  <c r="Q195"/>
  <c r="Q194"/>
  <c r="Q134"/>
  <c r="Q133"/>
  <c r="F748" i="11"/>
  <c r="M748" s="1"/>
  <c r="H880"/>
  <c r="F1222" i="12"/>
  <c r="F1222" i="17"/>
  <c r="F1223" i="13"/>
  <c r="G1223"/>
  <c r="F1224"/>
  <c r="G1224"/>
  <c r="F1225"/>
  <c r="G1225"/>
  <c r="F1226"/>
  <c r="G1226"/>
  <c r="F1229"/>
  <c r="G1229"/>
  <c r="F1230"/>
  <c r="G1230"/>
  <c r="Q501" i="10"/>
  <c r="Q500"/>
  <c r="F91" i="17"/>
  <c r="Q91" s="1"/>
  <c r="K1147" i="14"/>
  <c r="F1203"/>
  <c r="F91" i="3"/>
  <c r="F385"/>
  <c r="F536"/>
  <c r="O536" s="1"/>
  <c r="F1203"/>
  <c r="O1203" s="1"/>
  <c r="F385" i="13"/>
  <c r="G385"/>
  <c r="F1147"/>
  <c r="G1147"/>
  <c r="F1203"/>
  <c r="G1203"/>
  <c r="F385" i="17"/>
  <c r="F536"/>
  <c r="F880"/>
  <c r="F1203"/>
  <c r="Q1203" s="1"/>
  <c r="J1203"/>
  <c r="F91" i="18"/>
  <c r="F880"/>
  <c r="I880"/>
  <c r="F91" i="12"/>
  <c r="J91"/>
  <c r="F536"/>
  <c r="Q536" s="1"/>
  <c r="F748"/>
  <c r="J748"/>
  <c r="F880"/>
  <c r="F1203"/>
  <c r="I1203" i="14"/>
  <c r="F385" i="8"/>
  <c r="F880" i="11"/>
  <c r="F1203"/>
  <c r="F91" i="10"/>
  <c r="F385"/>
  <c r="F880"/>
  <c r="F1147"/>
  <c r="F1203"/>
  <c r="G385" i="2"/>
  <c r="K1222" i="3"/>
  <c r="K1239" i="7"/>
  <c r="K1240"/>
  <c r="L1240"/>
  <c r="K384" i="2"/>
  <c r="F384" i="17"/>
  <c r="F384" i="12"/>
  <c r="M1202" i="10"/>
  <c r="O1202" s="1"/>
  <c r="K1160"/>
  <c r="P917"/>
  <c r="I419" i="14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N745" i="2"/>
  <c r="N1232" i="7"/>
  <c r="M1222" i="17"/>
  <c r="S882" i="1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M792" i="17"/>
  <c r="M793"/>
  <c r="M792" i="12"/>
  <c r="M793"/>
  <c r="K1232" i="10"/>
  <c r="K792"/>
  <c r="K793"/>
  <c r="K794"/>
  <c r="K1202" i="2"/>
  <c r="H1234"/>
  <c r="G67"/>
  <c r="G1234" i="4"/>
  <c r="I1232"/>
  <c r="F67" i="10"/>
  <c r="K384" i="9"/>
  <c r="I384"/>
  <c r="P64" i="7"/>
  <c r="P63"/>
  <c r="P62"/>
  <c r="P61"/>
  <c r="P1202"/>
  <c r="K1234"/>
  <c r="P1232"/>
  <c r="R1232" s="1"/>
  <c r="M1232" i="10"/>
  <c r="O1232" s="1"/>
  <c r="G90" i="13"/>
  <c r="G6"/>
  <c r="F67"/>
  <c r="G67"/>
  <c r="P65" i="7"/>
  <c r="P66"/>
  <c r="K66" i="9"/>
  <c r="K65"/>
  <c r="K64"/>
  <c r="K63"/>
  <c r="K62"/>
  <c r="K61"/>
  <c r="K60"/>
  <c r="K66" i="8"/>
  <c r="K65"/>
  <c r="K64"/>
  <c r="K63"/>
  <c r="K62"/>
  <c r="K61"/>
  <c r="K60"/>
  <c r="L1234" i="10"/>
  <c r="F1234" i="17"/>
  <c r="F67"/>
  <c r="I1234" i="2"/>
  <c r="F67"/>
  <c r="E1234"/>
  <c r="G879"/>
  <c r="G1234" i="5"/>
  <c r="F67" i="7"/>
  <c r="R67" s="1"/>
  <c r="P384"/>
  <c r="P879"/>
  <c r="L1234"/>
  <c r="J1234"/>
  <c r="H1234"/>
  <c r="I384" i="13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5"/>
  <c r="G66"/>
  <c r="I67" i="8"/>
  <c r="I67" i="11"/>
  <c r="K66"/>
  <c r="K65"/>
  <c r="K64"/>
  <c r="K62"/>
  <c r="K61"/>
  <c r="K60"/>
  <c r="N1145" i="18"/>
  <c r="N1144"/>
  <c r="N1143"/>
  <c r="N1142"/>
  <c r="N1141"/>
  <c r="N1140"/>
  <c r="N1139"/>
  <c r="N1138"/>
  <c r="N1137"/>
  <c r="N1136"/>
  <c r="N1135"/>
  <c r="N1134"/>
  <c r="N1133"/>
  <c r="N1132"/>
  <c r="N1131"/>
  <c r="N1130"/>
  <c r="N1129"/>
  <c r="N1128"/>
  <c r="N1127"/>
  <c r="N1126"/>
  <c r="N1125"/>
  <c r="N1124"/>
  <c r="N1123"/>
  <c r="N1122"/>
  <c r="N1121"/>
  <c r="N1120"/>
  <c r="N1119"/>
  <c r="N1117"/>
  <c r="N1116"/>
  <c r="N1115"/>
  <c r="N1114"/>
  <c r="N1113"/>
  <c r="N1112"/>
  <c r="N1111"/>
  <c r="N1110"/>
  <c r="N1109"/>
  <c r="N1108"/>
  <c r="N1107"/>
  <c r="N1106"/>
  <c r="N1105"/>
  <c r="N1104"/>
  <c r="N1103"/>
  <c r="N1102"/>
  <c r="N1101"/>
  <c r="N1100"/>
  <c r="N1099"/>
  <c r="N1098"/>
  <c r="N1097"/>
  <c r="N1096"/>
  <c r="N1095"/>
  <c r="N1094"/>
  <c r="N1093"/>
  <c r="N1092"/>
  <c r="N1091"/>
  <c r="N1090"/>
  <c r="N1089"/>
  <c r="N1088"/>
  <c r="N1087"/>
  <c r="N1086"/>
  <c r="N1085"/>
  <c r="N1084"/>
  <c r="N1083"/>
  <c r="N1082"/>
  <c r="N1081"/>
  <c r="N1080"/>
  <c r="N1079"/>
  <c r="N1078"/>
  <c r="N1077"/>
  <c r="N1076"/>
  <c r="N1075"/>
  <c r="N1074"/>
  <c r="N1073"/>
  <c r="N1072"/>
  <c r="N1071"/>
  <c r="N1070"/>
  <c r="N1069"/>
  <c r="N1068"/>
  <c r="N1067"/>
  <c r="N1066"/>
  <c r="N1065"/>
  <c r="N1064"/>
  <c r="N1063"/>
  <c r="N1062"/>
  <c r="N1061"/>
  <c r="N1060"/>
  <c r="N1056"/>
  <c r="N1055"/>
  <c r="N1054"/>
  <c r="N1052"/>
  <c r="N1050"/>
  <c r="N1049"/>
  <c r="N1048"/>
  <c r="N1047"/>
  <c r="N1046"/>
  <c r="N1045"/>
  <c r="N1044"/>
  <c r="N1043"/>
  <c r="N1042"/>
  <c r="N1041"/>
  <c r="N1040"/>
  <c r="N1039"/>
  <c r="N1038"/>
  <c r="N1037"/>
  <c r="N1036"/>
  <c r="N1035"/>
  <c r="N1034"/>
  <c r="N1033"/>
  <c r="N1032"/>
  <c r="N1031"/>
  <c r="N1030"/>
  <c r="N1029"/>
  <c r="N1028"/>
  <c r="N1027"/>
  <c r="N1026"/>
  <c r="N1025"/>
  <c r="N1024"/>
  <c r="N1023"/>
  <c r="N1022"/>
  <c r="N1021"/>
  <c r="N1020"/>
  <c r="N1018"/>
  <c r="N1017"/>
  <c r="N1016"/>
  <c r="N1014"/>
  <c r="N1013"/>
  <c r="N1012"/>
  <c r="N1011"/>
  <c r="N1010"/>
  <c r="N1009"/>
  <c r="N1008"/>
  <c r="N1007"/>
  <c r="N1006"/>
  <c r="N1005"/>
  <c r="N1003"/>
  <c r="N1002"/>
  <c r="N1001"/>
  <c r="N1000"/>
  <c r="N999"/>
  <c r="N998"/>
  <c r="N997"/>
  <c r="N996"/>
  <c r="N995"/>
  <c r="N994"/>
  <c r="N993"/>
  <c r="N992"/>
  <c r="N991"/>
  <c r="N990"/>
  <c r="N989"/>
  <c r="N988"/>
  <c r="N987"/>
  <c r="N986"/>
  <c r="N985"/>
  <c r="N984"/>
  <c r="N983"/>
  <c r="N982"/>
  <c r="N981"/>
  <c r="N980"/>
  <c r="N979"/>
  <c r="N978"/>
  <c r="N977"/>
  <c r="N976"/>
  <c r="N975"/>
  <c r="N974"/>
  <c r="N973"/>
  <c r="N971"/>
  <c r="N970"/>
  <c r="N968"/>
  <c r="N963"/>
  <c r="N962"/>
  <c r="N961"/>
  <c r="N960"/>
  <c r="N958"/>
  <c r="N957"/>
  <c r="N956"/>
  <c r="N955"/>
  <c r="N954"/>
  <c r="N953"/>
  <c r="N952"/>
  <c r="N951"/>
  <c r="N950"/>
  <c r="N949"/>
  <c r="N948"/>
  <c r="N947"/>
  <c r="N946"/>
  <c r="N945"/>
  <c r="N944"/>
  <c r="N943"/>
  <c r="N942"/>
  <c r="N941"/>
  <c r="N940"/>
  <c r="N939"/>
  <c r="N938"/>
  <c r="N937"/>
  <c r="N936"/>
  <c r="N935"/>
  <c r="N934"/>
  <c r="N933"/>
  <c r="N932"/>
  <c r="N931"/>
  <c r="N930"/>
  <c r="N929"/>
  <c r="N928"/>
  <c r="N927"/>
  <c r="N926"/>
  <c r="N925"/>
  <c r="N923"/>
  <c r="N922"/>
  <c r="N921"/>
  <c r="N920"/>
  <c r="N919"/>
  <c r="N916"/>
  <c r="N912"/>
  <c r="N911"/>
  <c r="F747" i="13"/>
  <c r="G747"/>
  <c r="I747"/>
  <c r="F747" i="12"/>
  <c r="F535" i="2"/>
  <c r="F1234"/>
  <c r="G535"/>
  <c r="G1234" i="9"/>
  <c r="F67" i="12"/>
  <c r="G747" i="2"/>
  <c r="C1234" i="5"/>
  <c r="F1234" i="7"/>
  <c r="F1234" i="10"/>
  <c r="K1146" i="2"/>
  <c r="K1234"/>
  <c r="J1146"/>
  <c r="J1234"/>
  <c r="F1234" i="9"/>
  <c r="F1234" i="13"/>
  <c r="C1234" i="4"/>
  <c r="D1234"/>
  <c r="E1234"/>
  <c r="C1234" i="6"/>
  <c r="D1234" i="5"/>
  <c r="E1234"/>
  <c r="C1234" i="9"/>
  <c r="D1234"/>
  <c r="E1234"/>
  <c r="C1234" i="7"/>
  <c r="D1234"/>
  <c r="E1234"/>
  <c r="C1234" i="10"/>
  <c r="D1234"/>
  <c r="E1234"/>
  <c r="C1234" i="11"/>
  <c r="D1234"/>
  <c r="E1234"/>
  <c r="H1234" i="5"/>
  <c r="G1146" i="2"/>
  <c r="G1234"/>
  <c r="D1234"/>
  <c r="E1234" i="6"/>
  <c r="D1234"/>
  <c r="J1234" i="5"/>
  <c r="I1234"/>
  <c r="G1234" i="8"/>
  <c r="F1234"/>
  <c r="E1234"/>
  <c r="D1234"/>
  <c r="C1234" i="2"/>
  <c r="C1234" i="8"/>
  <c r="F1202" i="4"/>
  <c r="I1202"/>
  <c r="M60" i="12"/>
  <c r="M61"/>
  <c r="M62"/>
  <c r="M63"/>
  <c r="M64"/>
  <c r="M65"/>
  <c r="M66"/>
  <c r="K67" i="9"/>
  <c r="I38" i="14"/>
  <c r="I39"/>
  <c r="I40"/>
  <c r="I47"/>
  <c r="I49"/>
  <c r="I50"/>
  <c r="I51"/>
  <c r="I52"/>
  <c r="I911" i="18"/>
  <c r="I912"/>
  <c r="I916"/>
  <c r="I919"/>
  <c r="I920"/>
  <c r="I921"/>
  <c r="I922"/>
  <c r="I923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60"/>
  <c r="I961"/>
  <c r="I962"/>
  <c r="I963"/>
  <c r="I968"/>
  <c r="I970"/>
  <c r="I971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5"/>
  <c r="I1006"/>
  <c r="I1007"/>
  <c r="I1008"/>
  <c r="I1009"/>
  <c r="I1010"/>
  <c r="I1011"/>
  <c r="I1012"/>
  <c r="I1013"/>
  <c r="I1014"/>
  <c r="I1016"/>
  <c r="I1017"/>
  <c r="I1018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2"/>
  <c r="I1054"/>
  <c r="I1055"/>
  <c r="I1056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S881" i="12"/>
  <c r="I60" i="11"/>
  <c r="I61"/>
  <c r="I62"/>
  <c r="I64"/>
  <c r="I65"/>
  <c r="I66"/>
  <c r="I1238" i="5"/>
  <c r="I60" i="8"/>
  <c r="I61"/>
  <c r="I62"/>
  <c r="I63"/>
  <c r="I64"/>
  <c r="I65"/>
  <c r="I66"/>
  <c r="I60" i="9"/>
  <c r="I61"/>
  <c r="I62"/>
  <c r="I63"/>
  <c r="I64"/>
  <c r="I65"/>
  <c r="I66"/>
  <c r="K1146" i="3"/>
  <c r="G1234" i="13"/>
  <c r="I1234"/>
  <c r="N1202" i="7"/>
  <c r="L1234" i="2"/>
  <c r="P1232"/>
  <c r="P1202"/>
  <c r="N1202"/>
  <c r="N1232"/>
  <c r="L1234" i="3"/>
  <c r="I67" i="9"/>
  <c r="N879" i="2"/>
  <c r="J1234" i="8"/>
  <c r="J1234" i="11"/>
  <c r="O1234" i="5"/>
  <c r="J1234" i="18"/>
  <c r="N1234" i="17"/>
  <c r="J1234" i="6"/>
  <c r="O1234" i="2"/>
  <c r="J1234" i="9"/>
  <c r="M383" i="7" l="1"/>
  <c r="N383" s="1"/>
  <c r="M382"/>
  <c r="N382" s="1"/>
  <c r="M381"/>
  <c r="N381" s="1"/>
  <c r="O21" i="3"/>
  <c r="O20"/>
  <c r="O19"/>
  <c r="O18"/>
  <c r="O17"/>
  <c r="O16"/>
  <c r="O15"/>
  <c r="O14"/>
  <c r="O13"/>
  <c r="O12"/>
  <c r="O11"/>
  <c r="O10"/>
  <c r="O9"/>
  <c r="O8"/>
  <c r="O7"/>
  <c r="Q89" i="17"/>
  <c r="Q87"/>
  <c r="Q87" i="12"/>
  <c r="Q86" i="17"/>
  <c r="Q86" i="12"/>
  <c r="Q85" i="17"/>
  <c r="Q85" i="12"/>
  <c r="Q84" i="17"/>
  <c r="Q84" i="12"/>
  <c r="Q83" i="17"/>
  <c r="Q83" i="12"/>
  <c r="Q82" i="17"/>
  <c r="Q82" i="12"/>
  <c r="Q81" i="17"/>
  <c r="Q81" i="12"/>
  <c r="Q80" i="17"/>
  <c r="Q80" i="12"/>
  <c r="Q79" i="17"/>
  <c r="Q79" i="12"/>
  <c r="Q78" i="17"/>
  <c r="Q78" i="12"/>
  <c r="Q77" i="17"/>
  <c r="Q77" i="12"/>
  <c r="Q76" i="17"/>
  <c r="Q76" i="12"/>
  <c r="Q75" i="17"/>
  <c r="Q75" i="12"/>
  <c r="Q74" i="17"/>
  <c r="Q74" i="12"/>
  <c r="Q73" i="17"/>
  <c r="Q73" i="12"/>
  <c r="Q72" i="17"/>
  <c r="Q72" i="12"/>
  <c r="Q71" i="17"/>
  <c r="Q71" i="12"/>
  <c r="Q70" i="17"/>
  <c r="Q70" i="12"/>
  <c r="Q69" i="17"/>
  <c r="Q69" i="12"/>
  <c r="O534" i="3"/>
  <c r="D534" i="22" s="1"/>
  <c r="M534" i="6"/>
  <c r="O533" i="3"/>
  <c r="O532"/>
  <c r="O531"/>
  <c r="O530"/>
  <c r="O529"/>
  <c r="O528"/>
  <c r="O527"/>
  <c r="O526"/>
  <c r="O525"/>
  <c r="O524"/>
  <c r="O523"/>
  <c r="O522"/>
  <c r="O521"/>
  <c r="O520"/>
  <c r="O519"/>
  <c r="O518"/>
  <c r="O517"/>
  <c r="O516"/>
  <c r="O515"/>
  <c r="O514"/>
  <c r="O513"/>
  <c r="O512"/>
  <c r="O511"/>
  <c r="O510"/>
  <c r="O509"/>
  <c r="O508"/>
  <c r="O507"/>
  <c r="O506"/>
  <c r="O505"/>
  <c r="O504"/>
  <c r="O503"/>
  <c r="O502"/>
  <c r="O501"/>
  <c r="O500"/>
  <c r="O499"/>
  <c r="O498"/>
  <c r="O497"/>
  <c r="O496"/>
  <c r="O495"/>
  <c r="O494"/>
  <c r="O493"/>
  <c r="O492"/>
  <c r="O491"/>
  <c r="O490"/>
  <c r="O489"/>
  <c r="O488"/>
  <c r="O487"/>
  <c r="O486"/>
  <c r="O485"/>
  <c r="O484"/>
  <c r="O483"/>
  <c r="O482"/>
  <c r="O481"/>
  <c r="O480"/>
  <c r="O479"/>
  <c r="O478"/>
  <c r="O477"/>
  <c r="O476"/>
  <c r="O475"/>
  <c r="O474"/>
  <c r="O473"/>
  <c r="O472"/>
  <c r="O471"/>
  <c r="O470"/>
  <c r="O469"/>
  <c r="O468"/>
  <c r="O467"/>
  <c r="O466"/>
  <c r="O465"/>
  <c r="O464"/>
  <c r="O463"/>
  <c r="O462"/>
  <c r="O461"/>
  <c r="O460"/>
  <c r="O459"/>
  <c r="O458"/>
  <c r="O457"/>
  <c r="O456"/>
  <c r="O455"/>
  <c r="O454"/>
  <c r="O453"/>
  <c r="O452"/>
  <c r="O451"/>
  <c r="O450"/>
  <c r="O449"/>
  <c r="O448"/>
  <c r="O447"/>
  <c r="O446"/>
  <c r="O445"/>
  <c r="O444"/>
  <c r="O443"/>
  <c r="O442"/>
  <c r="O441"/>
  <c r="O440"/>
  <c r="O439"/>
  <c r="O438"/>
  <c r="O437"/>
  <c r="O436"/>
  <c r="O435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O415"/>
  <c r="O414"/>
  <c r="O413"/>
  <c r="O412"/>
  <c r="O411"/>
  <c r="O410"/>
  <c r="O409"/>
  <c r="O408"/>
  <c r="O407"/>
  <c r="O406"/>
  <c r="O405"/>
  <c r="O404"/>
  <c r="O403"/>
  <c r="O402"/>
  <c r="O401"/>
  <c r="O400"/>
  <c r="O399"/>
  <c r="O398"/>
  <c r="O397"/>
  <c r="O396"/>
  <c r="O395"/>
  <c r="O394"/>
  <c r="O393"/>
  <c r="O392"/>
  <c r="O391"/>
  <c r="O390"/>
  <c r="O389"/>
  <c r="O388"/>
  <c r="O387"/>
  <c r="O386"/>
  <c r="M423" i="6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963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O802" i="3"/>
  <c r="M801" i="6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O382" i="3"/>
  <c r="D382" i="22" s="1"/>
  <c r="O381" i="3"/>
  <c r="D381" i="22" s="1"/>
  <c r="O380" i="3"/>
  <c r="D380" i="22" s="1"/>
  <c r="O379" i="3"/>
  <c r="O378"/>
  <c r="O377"/>
  <c r="O376"/>
  <c r="O375"/>
  <c r="O374"/>
  <c r="O373"/>
  <c r="O372"/>
  <c r="O371"/>
  <c r="O370"/>
  <c r="O369"/>
  <c r="O368"/>
  <c r="O367"/>
  <c r="O366"/>
  <c r="O365"/>
  <c r="O364"/>
  <c r="O363"/>
  <c r="O362"/>
  <c r="O361"/>
  <c r="O360"/>
  <c r="O359"/>
  <c r="O358"/>
  <c r="O357"/>
  <c r="O356"/>
  <c r="O355"/>
  <c r="O354"/>
  <c r="O353"/>
  <c r="O352"/>
  <c r="O351"/>
  <c r="O350"/>
  <c r="O349"/>
  <c r="O348"/>
  <c r="O347"/>
  <c r="O346"/>
  <c r="O345"/>
  <c r="O344"/>
  <c r="O343"/>
  <c r="O342"/>
  <c r="O341"/>
  <c r="O340"/>
  <c r="O339"/>
  <c r="O338"/>
  <c r="O337"/>
  <c r="O336"/>
  <c r="O335"/>
  <c r="O334"/>
  <c r="O333"/>
  <c r="O332"/>
  <c r="O331"/>
  <c r="O330"/>
  <c r="O329"/>
  <c r="O328"/>
  <c r="O327"/>
  <c r="O326"/>
  <c r="O325"/>
  <c r="O324"/>
  <c r="O323"/>
  <c r="O322"/>
  <c r="O321"/>
  <c r="O320"/>
  <c r="O319"/>
  <c r="O318"/>
  <c r="O317"/>
  <c r="O316"/>
  <c r="O315"/>
  <c r="O314"/>
  <c r="O313"/>
  <c r="O312"/>
  <c r="O311"/>
  <c r="O310"/>
  <c r="O309"/>
  <c r="O308"/>
  <c r="O307"/>
  <c r="O306"/>
  <c r="O305"/>
  <c r="O304"/>
  <c r="O303"/>
  <c r="O302"/>
  <c r="O301"/>
  <c r="O300"/>
  <c r="O299"/>
  <c r="O298"/>
  <c r="O297"/>
  <c r="O296"/>
  <c r="O295"/>
  <c r="O294"/>
  <c r="O293"/>
  <c r="O292"/>
  <c r="O291"/>
  <c r="O290"/>
  <c r="O289"/>
  <c r="O288"/>
  <c r="O287"/>
  <c r="O286"/>
  <c r="O285"/>
  <c r="O284"/>
  <c r="O283"/>
  <c r="O282"/>
  <c r="O281"/>
  <c r="O280"/>
  <c r="O279"/>
  <c r="O278"/>
  <c r="O277"/>
  <c r="O276"/>
  <c r="O275"/>
  <c r="O274"/>
  <c r="O273"/>
  <c r="O272"/>
  <c r="O271"/>
  <c r="O270"/>
  <c r="O269"/>
  <c r="O268"/>
  <c r="O267"/>
  <c r="O266"/>
  <c r="O265"/>
  <c r="O264"/>
  <c r="O263"/>
  <c r="O262"/>
  <c r="O261"/>
  <c r="O260"/>
  <c r="O259"/>
  <c r="O258"/>
  <c r="O257"/>
  <c r="O256"/>
  <c r="O255"/>
  <c r="O254"/>
  <c r="O253"/>
  <c r="O252"/>
  <c r="O251"/>
  <c r="O250"/>
  <c r="O249"/>
  <c r="O248"/>
  <c r="O247"/>
  <c r="O246"/>
  <c r="O245"/>
  <c r="O244"/>
  <c r="O243"/>
  <c r="O242"/>
  <c r="O241"/>
  <c r="O240"/>
  <c r="O239"/>
  <c r="O238"/>
  <c r="O237"/>
  <c r="O236"/>
  <c r="O235"/>
  <c r="O234"/>
  <c r="O233"/>
  <c r="O232"/>
  <c r="O231"/>
  <c r="O230"/>
  <c r="O229"/>
  <c r="O228"/>
  <c r="O227"/>
  <c r="O226"/>
  <c r="O225"/>
  <c r="O224"/>
  <c r="O223"/>
  <c r="O222"/>
  <c r="O221"/>
  <c r="O220"/>
  <c r="O219"/>
  <c r="O218"/>
  <c r="O217"/>
  <c r="O216"/>
  <c r="O215"/>
  <c r="O214"/>
  <c r="O213"/>
  <c r="O212"/>
  <c r="O211"/>
  <c r="O210"/>
  <c r="O209"/>
  <c r="O208"/>
  <c r="O207"/>
  <c r="O206"/>
  <c r="O205"/>
  <c r="O204"/>
  <c r="O203"/>
  <c r="O202"/>
  <c r="O20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383"/>
  <c r="D383" i="22" s="1"/>
  <c r="M89" i="6"/>
  <c r="O89" i="3"/>
  <c r="D89" i="22" s="1"/>
  <c r="O88" i="3"/>
  <c r="D88" i="22" s="1"/>
  <c r="O87" i="3"/>
  <c r="O86"/>
  <c r="O85"/>
  <c r="O84"/>
  <c r="O83"/>
  <c r="O82"/>
  <c r="O81"/>
  <c r="O80"/>
  <c r="O79"/>
  <c r="O78"/>
  <c r="O77"/>
  <c r="O76"/>
  <c r="O75"/>
  <c r="O74"/>
  <c r="O73"/>
  <c r="O72"/>
  <c r="O71"/>
  <c r="O70"/>
  <c r="M1231" i="6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R747" i="2"/>
  <c r="R535"/>
  <c r="R1146"/>
  <c r="R89"/>
  <c r="C89" i="22" s="1"/>
  <c r="R382" i="2"/>
  <c r="C382" i="22" s="1"/>
  <c r="R381" i="2"/>
  <c r="C381" i="22" s="1"/>
  <c r="R380" i="2"/>
  <c r="C380" i="22" s="1"/>
  <c r="R379" i="2"/>
  <c r="R378"/>
  <c r="R377"/>
  <c r="R376"/>
  <c r="R375"/>
  <c r="R374"/>
  <c r="R373"/>
  <c r="R372"/>
  <c r="R371"/>
  <c r="R370"/>
  <c r="R369"/>
  <c r="R368"/>
  <c r="R367"/>
  <c r="R366"/>
  <c r="R365"/>
  <c r="R364"/>
  <c r="R363"/>
  <c r="R362"/>
  <c r="R361"/>
  <c r="R360"/>
  <c r="R359"/>
  <c r="R358"/>
  <c r="R357"/>
  <c r="R356"/>
  <c r="R355"/>
  <c r="R354"/>
  <c r="R353"/>
  <c r="R352"/>
  <c r="R351"/>
  <c r="R350"/>
  <c r="R349"/>
  <c r="R348"/>
  <c r="R347"/>
  <c r="R346"/>
  <c r="R345"/>
  <c r="R344"/>
  <c r="R343"/>
  <c r="R342"/>
  <c r="R341"/>
  <c r="R340"/>
  <c r="R339"/>
  <c r="R338"/>
  <c r="R337"/>
  <c r="R336"/>
  <c r="R335"/>
  <c r="R334"/>
  <c r="R333"/>
  <c r="R332"/>
  <c r="R331"/>
  <c r="R330"/>
  <c r="R329"/>
  <c r="R328"/>
  <c r="R327"/>
  <c r="R326"/>
  <c r="R325"/>
  <c r="R324"/>
  <c r="R323"/>
  <c r="R322"/>
  <c r="R321"/>
  <c r="R320"/>
  <c r="R319"/>
  <c r="R318"/>
  <c r="R317"/>
  <c r="R316"/>
  <c r="R315"/>
  <c r="R314"/>
  <c r="R313"/>
  <c r="R312"/>
  <c r="R311"/>
  <c r="R310"/>
  <c r="R309"/>
  <c r="R308"/>
  <c r="R307"/>
  <c r="R306"/>
  <c r="R305"/>
  <c r="R304"/>
  <c r="R303"/>
  <c r="R302"/>
  <c r="R301"/>
  <c r="R300"/>
  <c r="R299"/>
  <c r="R298"/>
  <c r="R297"/>
  <c r="R296"/>
  <c r="R295"/>
  <c r="R294"/>
  <c r="R293"/>
  <c r="R292"/>
  <c r="R291"/>
  <c r="R290"/>
  <c r="R289"/>
  <c r="R288"/>
  <c r="R287"/>
  <c r="R286"/>
  <c r="R285"/>
  <c r="R284"/>
  <c r="R283"/>
  <c r="R282"/>
  <c r="R281"/>
  <c r="R280"/>
  <c r="R279"/>
  <c r="R278"/>
  <c r="R277"/>
  <c r="R276"/>
  <c r="R275"/>
  <c r="R274"/>
  <c r="R273"/>
  <c r="R272"/>
  <c r="R271"/>
  <c r="R270"/>
  <c r="R269"/>
  <c r="R268"/>
  <c r="R267"/>
  <c r="R266"/>
  <c r="R265"/>
  <c r="R264"/>
  <c r="R263"/>
  <c r="R262"/>
  <c r="R261"/>
  <c r="R260"/>
  <c r="R259"/>
  <c r="R258"/>
  <c r="R257"/>
  <c r="R256"/>
  <c r="R255"/>
  <c r="R254"/>
  <c r="R253"/>
  <c r="R252"/>
  <c r="R251"/>
  <c r="R250"/>
  <c r="R249"/>
  <c r="R248"/>
  <c r="R247"/>
  <c r="R246"/>
  <c r="R245"/>
  <c r="R244"/>
  <c r="R243"/>
  <c r="R242"/>
  <c r="R241"/>
  <c r="R240"/>
  <c r="R239"/>
  <c r="R238"/>
  <c r="R237"/>
  <c r="R236"/>
  <c r="R235"/>
  <c r="R234"/>
  <c r="R233"/>
  <c r="R232"/>
  <c r="R231"/>
  <c r="R230"/>
  <c r="R229"/>
  <c r="R228"/>
  <c r="R227"/>
  <c r="R226"/>
  <c r="R225"/>
  <c r="R224"/>
  <c r="R223"/>
  <c r="R222"/>
  <c r="R221"/>
  <c r="R220"/>
  <c r="R219"/>
  <c r="R218"/>
  <c r="R217"/>
  <c r="R216"/>
  <c r="R215"/>
  <c r="R214"/>
  <c r="R213"/>
  <c r="R212"/>
  <c r="R211"/>
  <c r="R210"/>
  <c r="R209"/>
  <c r="R208"/>
  <c r="R207"/>
  <c r="R206"/>
  <c r="R205"/>
  <c r="R204"/>
  <c r="R203"/>
  <c r="R202"/>
  <c r="R201"/>
  <c r="R200"/>
  <c r="R199"/>
  <c r="R198"/>
  <c r="R197"/>
  <c r="R196"/>
  <c r="R195"/>
  <c r="R194"/>
  <c r="R193"/>
  <c r="R192"/>
  <c r="R191"/>
  <c r="R190"/>
  <c r="R189"/>
  <c r="R188"/>
  <c r="R187"/>
  <c r="R186"/>
  <c r="R185"/>
  <c r="R184"/>
  <c r="R183"/>
  <c r="R182"/>
  <c r="R181"/>
  <c r="R180"/>
  <c r="R179"/>
  <c r="R178"/>
  <c r="R177"/>
  <c r="R176"/>
  <c r="R175"/>
  <c r="R174"/>
  <c r="R173"/>
  <c r="R172"/>
  <c r="R171"/>
  <c r="R170"/>
  <c r="R169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145"/>
  <c r="R144"/>
  <c r="R143"/>
  <c r="R142"/>
  <c r="R141"/>
  <c r="R140"/>
  <c r="R139"/>
  <c r="R138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744"/>
  <c r="R743"/>
  <c r="R742"/>
  <c r="R741"/>
  <c r="R740"/>
  <c r="R739"/>
  <c r="R738"/>
  <c r="R737"/>
  <c r="R736"/>
  <c r="R735"/>
  <c r="R734"/>
  <c r="R733"/>
  <c r="R732"/>
  <c r="R731"/>
  <c r="R730"/>
  <c r="R729"/>
  <c r="R728"/>
  <c r="R727"/>
  <c r="R726"/>
  <c r="R725"/>
  <c r="R724"/>
  <c r="R723"/>
  <c r="R722"/>
  <c r="R721"/>
  <c r="R720"/>
  <c r="R719"/>
  <c r="R718"/>
  <c r="R717"/>
  <c r="R716"/>
  <c r="R715"/>
  <c r="R714"/>
  <c r="R713"/>
  <c r="R712"/>
  <c r="R711"/>
  <c r="R710"/>
  <c r="R709"/>
  <c r="R708"/>
  <c r="R707"/>
  <c r="R706"/>
  <c r="R705"/>
  <c r="R704"/>
  <c r="R703"/>
  <c r="R702"/>
  <c r="R701"/>
  <c r="R700"/>
  <c r="R699"/>
  <c r="R698"/>
  <c r="R697"/>
  <c r="R696"/>
  <c r="R695"/>
  <c r="R694"/>
  <c r="R693"/>
  <c r="R692"/>
  <c r="R691"/>
  <c r="R690"/>
  <c r="R689"/>
  <c r="R688"/>
  <c r="R687"/>
  <c r="R686"/>
  <c r="R685"/>
  <c r="R684"/>
  <c r="R683"/>
  <c r="R682"/>
  <c r="R681"/>
  <c r="R680"/>
  <c r="R679"/>
  <c r="R678"/>
  <c r="R677"/>
  <c r="R676"/>
  <c r="R675"/>
  <c r="R674"/>
  <c r="R673"/>
  <c r="R672"/>
  <c r="R671"/>
  <c r="R670"/>
  <c r="R669"/>
  <c r="R668"/>
  <c r="R667"/>
  <c r="R666"/>
  <c r="R665"/>
  <c r="R664"/>
  <c r="R663"/>
  <c r="R662"/>
  <c r="R661"/>
  <c r="R660"/>
  <c r="R659"/>
  <c r="R658"/>
  <c r="R657"/>
  <c r="R656"/>
  <c r="R655"/>
  <c r="R654"/>
  <c r="R653"/>
  <c r="R652"/>
  <c r="R651"/>
  <c r="R650"/>
  <c r="R649"/>
  <c r="R648"/>
  <c r="R647"/>
  <c r="R646"/>
  <c r="R645"/>
  <c r="R644"/>
  <c r="R643"/>
  <c r="R642"/>
  <c r="R641"/>
  <c r="R640"/>
  <c r="R639"/>
  <c r="R638"/>
  <c r="R637"/>
  <c r="R636"/>
  <c r="R635"/>
  <c r="R634"/>
  <c r="R633"/>
  <c r="R632"/>
  <c r="R631"/>
  <c r="R630"/>
  <c r="R629"/>
  <c r="R628"/>
  <c r="R627"/>
  <c r="R626"/>
  <c r="R625"/>
  <c r="R624"/>
  <c r="R623"/>
  <c r="R622"/>
  <c r="R621"/>
  <c r="R620"/>
  <c r="R619"/>
  <c r="R618"/>
  <c r="R617"/>
  <c r="R616"/>
  <c r="R615"/>
  <c r="R614"/>
  <c r="R613"/>
  <c r="R612"/>
  <c r="R611"/>
  <c r="R610"/>
  <c r="R609"/>
  <c r="R608"/>
  <c r="R607"/>
  <c r="R606"/>
  <c r="R605"/>
  <c r="R604"/>
  <c r="R603"/>
  <c r="R602"/>
  <c r="R601"/>
  <c r="R600"/>
  <c r="R599"/>
  <c r="R598"/>
  <c r="R597"/>
  <c r="R596"/>
  <c r="R595"/>
  <c r="R594"/>
  <c r="R593"/>
  <c r="R592"/>
  <c r="R591"/>
  <c r="R590"/>
  <c r="R589"/>
  <c r="R588"/>
  <c r="R587"/>
  <c r="R586"/>
  <c r="R585"/>
  <c r="R584"/>
  <c r="R583"/>
  <c r="R582"/>
  <c r="R581"/>
  <c r="R580"/>
  <c r="R579"/>
  <c r="R578"/>
  <c r="R577"/>
  <c r="R576"/>
  <c r="R575"/>
  <c r="R574"/>
  <c r="R573"/>
  <c r="R572"/>
  <c r="R571"/>
  <c r="R570"/>
  <c r="R569"/>
  <c r="R568"/>
  <c r="R567"/>
  <c r="R566"/>
  <c r="R565"/>
  <c r="R564"/>
  <c r="R563"/>
  <c r="R562"/>
  <c r="R561"/>
  <c r="R560"/>
  <c r="R559"/>
  <c r="R558"/>
  <c r="R557"/>
  <c r="R556"/>
  <c r="R555"/>
  <c r="R554"/>
  <c r="R553"/>
  <c r="R552"/>
  <c r="R551"/>
  <c r="R550"/>
  <c r="R549"/>
  <c r="R548"/>
  <c r="R547"/>
  <c r="R546"/>
  <c r="R545"/>
  <c r="R544"/>
  <c r="R543"/>
  <c r="R542"/>
  <c r="R541"/>
  <c r="R540"/>
  <c r="R539"/>
  <c r="R538"/>
  <c r="R537"/>
  <c r="R746"/>
  <c r="C746" i="22" s="1"/>
  <c r="R877" i="2"/>
  <c r="C877" i="22" s="1"/>
  <c r="R876" i="2"/>
  <c r="C876" i="22" s="1"/>
  <c r="R875" i="2"/>
  <c r="R874"/>
  <c r="R873"/>
  <c r="R872"/>
  <c r="R871"/>
  <c r="R870"/>
  <c r="R869"/>
  <c r="R868"/>
  <c r="R867"/>
  <c r="R866"/>
  <c r="R865"/>
  <c r="R864"/>
  <c r="R863"/>
  <c r="R862"/>
  <c r="R861"/>
  <c r="R860"/>
  <c r="R859"/>
  <c r="R858"/>
  <c r="R857"/>
  <c r="R856"/>
  <c r="R855"/>
  <c r="R854"/>
  <c r="R853"/>
  <c r="R852"/>
  <c r="R851"/>
  <c r="R850"/>
  <c r="R849"/>
  <c r="R848"/>
  <c r="R847"/>
  <c r="R846"/>
  <c r="R845"/>
  <c r="R844"/>
  <c r="R843"/>
  <c r="R842"/>
  <c r="R841"/>
  <c r="R840"/>
  <c r="R839"/>
  <c r="R838"/>
  <c r="R837"/>
  <c r="R836"/>
  <c r="R835"/>
  <c r="R834"/>
  <c r="R833"/>
  <c r="R832"/>
  <c r="R831"/>
  <c r="R830"/>
  <c r="R829"/>
  <c r="R828"/>
  <c r="R827"/>
  <c r="R826"/>
  <c r="R825"/>
  <c r="R824"/>
  <c r="R823"/>
  <c r="R822"/>
  <c r="R821"/>
  <c r="R820"/>
  <c r="R819"/>
  <c r="R818"/>
  <c r="R817"/>
  <c r="R816"/>
  <c r="R815"/>
  <c r="R814"/>
  <c r="R813"/>
  <c r="R812"/>
  <c r="R811"/>
  <c r="R810"/>
  <c r="R809"/>
  <c r="R808"/>
  <c r="R807"/>
  <c r="R806"/>
  <c r="R805"/>
  <c r="R804"/>
  <c r="R803"/>
  <c r="R802"/>
  <c r="R801"/>
  <c r="R800"/>
  <c r="R799"/>
  <c r="R798"/>
  <c r="R797"/>
  <c r="R796"/>
  <c r="R795"/>
  <c r="R794"/>
  <c r="R793"/>
  <c r="R792"/>
  <c r="R791"/>
  <c r="R790"/>
  <c r="R789"/>
  <c r="R788"/>
  <c r="R787"/>
  <c r="R786"/>
  <c r="R785"/>
  <c r="R784"/>
  <c r="R783"/>
  <c r="R782"/>
  <c r="R781"/>
  <c r="R780"/>
  <c r="R779"/>
  <c r="R778"/>
  <c r="R777"/>
  <c r="R776"/>
  <c r="R775"/>
  <c r="R774"/>
  <c r="R773"/>
  <c r="R772"/>
  <c r="R771"/>
  <c r="R770"/>
  <c r="R769"/>
  <c r="R768"/>
  <c r="R767"/>
  <c r="R766"/>
  <c r="R765"/>
  <c r="R764"/>
  <c r="R763"/>
  <c r="R762"/>
  <c r="R761"/>
  <c r="R760"/>
  <c r="R759"/>
  <c r="R758"/>
  <c r="R757"/>
  <c r="R756"/>
  <c r="R755"/>
  <c r="R754"/>
  <c r="R753"/>
  <c r="R752"/>
  <c r="R751"/>
  <c r="R750"/>
  <c r="R749"/>
  <c r="R1145"/>
  <c r="C1145" i="22" s="1"/>
  <c r="R1144" i="2"/>
  <c r="C1144" i="22" s="1"/>
  <c r="R1143" i="2"/>
  <c r="C1143" i="22" s="1"/>
  <c r="R1142" i="2"/>
  <c r="R1141"/>
  <c r="R1140"/>
  <c r="R1139"/>
  <c r="R1138"/>
  <c r="R1137"/>
  <c r="R1136"/>
  <c r="R1135"/>
  <c r="R1134"/>
  <c r="R1133"/>
  <c r="R1132"/>
  <c r="R1131"/>
  <c r="R1130"/>
  <c r="R1129"/>
  <c r="R1128"/>
  <c r="R1127"/>
  <c r="R1126"/>
  <c r="R1125"/>
  <c r="R1124"/>
  <c r="R1123"/>
  <c r="R1122"/>
  <c r="R1121"/>
  <c r="R1120"/>
  <c r="R1119"/>
  <c r="R1118"/>
  <c r="R1117"/>
  <c r="R1116"/>
  <c r="R1115"/>
  <c r="R1114"/>
  <c r="R1113"/>
  <c r="R1112"/>
  <c r="R1111"/>
  <c r="R1110"/>
  <c r="R1109"/>
  <c r="R1108"/>
  <c r="R1107"/>
  <c r="R1106"/>
  <c r="R1105"/>
  <c r="R1104"/>
  <c r="R1103"/>
  <c r="R1102"/>
  <c r="R1101"/>
  <c r="R1100"/>
  <c r="R1099"/>
  <c r="R1098"/>
  <c r="R1097"/>
  <c r="R1096"/>
  <c r="R1095"/>
  <c r="R1094"/>
  <c r="R1093"/>
  <c r="R1092"/>
  <c r="R1091"/>
  <c r="R1090"/>
  <c r="R1089"/>
  <c r="R1088"/>
  <c r="R1087"/>
  <c r="R1086"/>
  <c r="R1085"/>
  <c r="R1084"/>
  <c r="R1083"/>
  <c r="R1082"/>
  <c r="R1081"/>
  <c r="R1080"/>
  <c r="R1079"/>
  <c r="R1078"/>
  <c r="R1077"/>
  <c r="R1076"/>
  <c r="R1075"/>
  <c r="R1074"/>
  <c r="R1073"/>
  <c r="R1072"/>
  <c r="R1071"/>
  <c r="R1070"/>
  <c r="R1069"/>
  <c r="R1068"/>
  <c r="R1067"/>
  <c r="R1066"/>
  <c r="R1065"/>
  <c r="R1064"/>
  <c r="R1063"/>
  <c r="R1062"/>
  <c r="R1061"/>
  <c r="R1060"/>
  <c r="R1059"/>
  <c r="R1058"/>
  <c r="R1057"/>
  <c r="R1056"/>
  <c r="R1055"/>
  <c r="R1054"/>
  <c r="R1053"/>
  <c r="R1052"/>
  <c r="R1051"/>
  <c r="R1050"/>
  <c r="R1049"/>
  <c r="R1048"/>
  <c r="R1047"/>
  <c r="R1046"/>
  <c r="R1045"/>
  <c r="R1044"/>
  <c r="R1043"/>
  <c r="R1042"/>
  <c r="R1041"/>
  <c r="R1040"/>
  <c r="R1039"/>
  <c r="R1038"/>
  <c r="R1037"/>
  <c r="R1036"/>
  <c r="R1035"/>
  <c r="R1034"/>
  <c r="R1033"/>
  <c r="R1032"/>
  <c r="R1031"/>
  <c r="R1030"/>
  <c r="R1029"/>
  <c r="R1028"/>
  <c r="R1027"/>
  <c r="R1026"/>
  <c r="R1025"/>
  <c r="R1024"/>
  <c r="R1023"/>
  <c r="R1022"/>
  <c r="R1021"/>
  <c r="R1020"/>
  <c r="R1019"/>
  <c r="R1018"/>
  <c r="R1017"/>
  <c r="R1016"/>
  <c r="R1015"/>
  <c r="R1014"/>
  <c r="R1013"/>
  <c r="R1012"/>
  <c r="R1011"/>
  <c r="R1010"/>
  <c r="R1009"/>
  <c r="R1008"/>
  <c r="R1007"/>
  <c r="R1006"/>
  <c r="R1005"/>
  <c r="R1004"/>
  <c r="R1003"/>
  <c r="R1002"/>
  <c r="R1001"/>
  <c r="R1000"/>
  <c r="R999"/>
  <c r="R998"/>
  <c r="R997"/>
  <c r="R996"/>
  <c r="R995"/>
  <c r="R994"/>
  <c r="R993"/>
  <c r="R992"/>
  <c r="R991"/>
  <c r="R990"/>
  <c r="R989"/>
  <c r="R988"/>
  <c r="R987"/>
  <c r="R986"/>
  <c r="R985"/>
  <c r="R984"/>
  <c r="R983"/>
  <c r="R982"/>
  <c r="R981"/>
  <c r="R980"/>
  <c r="R979"/>
  <c r="R978"/>
  <c r="R977"/>
  <c r="R976"/>
  <c r="R975"/>
  <c r="R974"/>
  <c r="R973"/>
  <c r="R972"/>
  <c r="R971"/>
  <c r="R970"/>
  <c r="R969"/>
  <c r="R968"/>
  <c r="R967"/>
  <c r="R966"/>
  <c r="R965"/>
  <c r="R964"/>
  <c r="R963"/>
  <c r="R962"/>
  <c r="R961"/>
  <c r="R960"/>
  <c r="R959"/>
  <c r="R958"/>
  <c r="R957"/>
  <c r="R956"/>
  <c r="R955"/>
  <c r="R954"/>
  <c r="R953"/>
  <c r="R952"/>
  <c r="R951"/>
  <c r="R950"/>
  <c r="R949"/>
  <c r="R948"/>
  <c r="R947"/>
  <c r="R946"/>
  <c r="R945"/>
  <c r="R944"/>
  <c r="R943"/>
  <c r="R942"/>
  <c r="R941"/>
  <c r="R940"/>
  <c r="R939"/>
  <c r="R938"/>
  <c r="R937"/>
  <c r="R936"/>
  <c r="R935"/>
  <c r="R934"/>
  <c r="R933"/>
  <c r="R932"/>
  <c r="R931"/>
  <c r="R930"/>
  <c r="R929"/>
  <c r="R928"/>
  <c r="R927"/>
  <c r="R926"/>
  <c r="R925"/>
  <c r="R924"/>
  <c r="R923"/>
  <c r="R922"/>
  <c r="R921"/>
  <c r="R920"/>
  <c r="R919"/>
  <c r="R918"/>
  <c r="R917"/>
  <c r="R916"/>
  <c r="R915"/>
  <c r="R914"/>
  <c r="R913"/>
  <c r="R912"/>
  <c r="R911"/>
  <c r="R910"/>
  <c r="R909"/>
  <c r="R908"/>
  <c r="R907"/>
  <c r="R906"/>
  <c r="R905"/>
  <c r="R904"/>
  <c r="R903"/>
  <c r="R902"/>
  <c r="R901"/>
  <c r="R900"/>
  <c r="R899"/>
  <c r="R898"/>
  <c r="R897"/>
  <c r="R896"/>
  <c r="R895"/>
  <c r="R894"/>
  <c r="R893"/>
  <c r="R892"/>
  <c r="R891"/>
  <c r="R890"/>
  <c r="R889"/>
  <c r="R888"/>
  <c r="R887"/>
  <c r="R886"/>
  <c r="R885"/>
  <c r="R884"/>
  <c r="R883"/>
  <c r="R882"/>
  <c r="R881"/>
  <c r="R1201"/>
  <c r="R1200"/>
  <c r="R1199"/>
  <c r="R1198"/>
  <c r="R1197"/>
  <c r="R1196"/>
  <c r="R1195"/>
  <c r="R1194"/>
  <c r="R1193"/>
  <c r="R1192"/>
  <c r="R1191"/>
  <c r="R1190"/>
  <c r="R1189"/>
  <c r="R1188"/>
  <c r="R1187"/>
  <c r="R1186"/>
  <c r="R1185"/>
  <c r="R1184"/>
  <c r="R1183"/>
  <c r="R1182"/>
  <c r="R1181"/>
  <c r="R1180"/>
  <c r="R1179"/>
  <c r="R1178"/>
  <c r="R1177"/>
  <c r="R1176"/>
  <c r="R1175"/>
  <c r="R1174"/>
  <c r="R1173"/>
  <c r="R1172"/>
  <c r="R1171"/>
  <c r="R1170"/>
  <c r="R1169"/>
  <c r="R1168"/>
  <c r="R1167"/>
  <c r="R1166"/>
  <c r="R1165"/>
  <c r="R1164"/>
  <c r="R1163"/>
  <c r="R1162"/>
  <c r="R1161"/>
  <c r="R1160"/>
  <c r="R1159"/>
  <c r="R1158"/>
  <c r="R1157"/>
  <c r="R1156"/>
  <c r="R1155"/>
  <c r="R1154"/>
  <c r="R1153"/>
  <c r="R1152"/>
  <c r="R1151"/>
  <c r="R1150"/>
  <c r="R1149"/>
  <c r="R1148"/>
  <c r="R1231"/>
  <c r="R1230"/>
  <c r="R1229"/>
  <c r="R1228"/>
  <c r="R1227"/>
  <c r="R1226"/>
  <c r="R1225"/>
  <c r="R1224"/>
  <c r="R1223"/>
  <c r="R1222"/>
  <c r="R66"/>
  <c r="C66" i="22" s="1"/>
  <c r="R65" i="2"/>
  <c r="C65" i="22" s="1"/>
  <c r="R64" i="2"/>
  <c r="C64" i="22" s="1"/>
  <c r="R63" i="2"/>
  <c r="C63" i="22" s="1"/>
  <c r="R62" i="2"/>
  <c r="C62" i="22" s="1"/>
  <c r="R61" i="2"/>
  <c r="C61" i="22" s="1"/>
  <c r="R59" i="2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88"/>
  <c r="C88" i="22" s="1"/>
  <c r="R87" i="2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534"/>
  <c r="C534" i="22" s="1"/>
  <c r="R533" i="2"/>
  <c r="R532"/>
  <c r="R531"/>
  <c r="R530"/>
  <c r="R529"/>
  <c r="R528"/>
  <c r="R527"/>
  <c r="R526"/>
  <c r="R525"/>
  <c r="R524"/>
  <c r="R523"/>
  <c r="R522"/>
  <c r="R521"/>
  <c r="R520"/>
  <c r="R519"/>
  <c r="R518"/>
  <c r="R517"/>
  <c r="R516"/>
  <c r="R515"/>
  <c r="R514"/>
  <c r="R513"/>
  <c r="R512"/>
  <c r="R511"/>
  <c r="R510"/>
  <c r="R509"/>
  <c r="R508"/>
  <c r="R507"/>
  <c r="R506"/>
  <c r="R505"/>
  <c r="R504"/>
  <c r="R503"/>
  <c r="R502"/>
  <c r="R501"/>
  <c r="R500"/>
  <c r="R499"/>
  <c r="R498"/>
  <c r="R497"/>
  <c r="R496"/>
  <c r="R495"/>
  <c r="R494"/>
  <c r="R493"/>
  <c r="R492"/>
  <c r="R491"/>
  <c r="R490"/>
  <c r="R489"/>
  <c r="R488"/>
  <c r="R487"/>
  <c r="R486"/>
  <c r="R485"/>
  <c r="R484"/>
  <c r="R483"/>
  <c r="R482"/>
  <c r="R481"/>
  <c r="R480"/>
  <c r="R479"/>
  <c r="R478"/>
  <c r="R477"/>
  <c r="R476"/>
  <c r="R475"/>
  <c r="R474"/>
  <c r="R473"/>
  <c r="R472"/>
  <c r="R471"/>
  <c r="R470"/>
  <c r="R469"/>
  <c r="R468"/>
  <c r="R467"/>
  <c r="R466"/>
  <c r="R465"/>
  <c r="R464"/>
  <c r="R463"/>
  <c r="R462"/>
  <c r="R461"/>
  <c r="R460"/>
  <c r="R459"/>
  <c r="R458"/>
  <c r="R457"/>
  <c r="R456"/>
  <c r="R455"/>
  <c r="R454"/>
  <c r="R453"/>
  <c r="R452"/>
  <c r="R451"/>
  <c r="R450"/>
  <c r="R449"/>
  <c r="R448"/>
  <c r="R447"/>
  <c r="R446"/>
  <c r="R445"/>
  <c r="R444"/>
  <c r="R443"/>
  <c r="R442"/>
  <c r="R441"/>
  <c r="R440"/>
  <c r="R439"/>
  <c r="R438"/>
  <c r="R437"/>
  <c r="R436"/>
  <c r="R435"/>
  <c r="R434"/>
  <c r="R433"/>
  <c r="R432"/>
  <c r="R431"/>
  <c r="R430"/>
  <c r="R429"/>
  <c r="R428"/>
  <c r="R427"/>
  <c r="R426"/>
  <c r="R425"/>
  <c r="R424"/>
  <c r="R423"/>
  <c r="R422"/>
  <c r="R421"/>
  <c r="R420"/>
  <c r="R419"/>
  <c r="R418"/>
  <c r="R417"/>
  <c r="R416"/>
  <c r="R415"/>
  <c r="R414"/>
  <c r="R413"/>
  <c r="R412"/>
  <c r="R411"/>
  <c r="R410"/>
  <c r="R409"/>
  <c r="R408"/>
  <c r="R407"/>
  <c r="R406"/>
  <c r="R405"/>
  <c r="R404"/>
  <c r="R403"/>
  <c r="R402"/>
  <c r="R401"/>
  <c r="R400"/>
  <c r="R399"/>
  <c r="R398"/>
  <c r="R397"/>
  <c r="R396"/>
  <c r="R395"/>
  <c r="R394"/>
  <c r="R393"/>
  <c r="R392"/>
  <c r="R391"/>
  <c r="R390"/>
  <c r="R389"/>
  <c r="R388"/>
  <c r="R387"/>
  <c r="R386"/>
  <c r="R6"/>
  <c r="R383"/>
  <c r="C383" i="22" s="1"/>
  <c r="F535"/>
  <c r="F90"/>
  <c r="Q384" i="7"/>
  <c r="M384" i="9"/>
  <c r="L384"/>
  <c r="O1146" i="10"/>
  <c r="N1146"/>
  <c r="O1201" i="12"/>
  <c r="L1201"/>
  <c r="M1201" s="1"/>
  <c r="O1200"/>
  <c r="L1200"/>
  <c r="M1200" s="1"/>
  <c r="O1199"/>
  <c r="L1199"/>
  <c r="M1199" s="1"/>
  <c r="O1198"/>
  <c r="L1198"/>
  <c r="M1198" s="1"/>
  <c r="O1197"/>
  <c r="L1197"/>
  <c r="M1197" s="1"/>
  <c r="O1196"/>
  <c r="L1196"/>
  <c r="M1196" s="1"/>
  <c r="O1195"/>
  <c r="L1195"/>
  <c r="M1195" s="1"/>
  <c r="O1194"/>
  <c r="L1194"/>
  <c r="M1194" s="1"/>
  <c r="O1193"/>
  <c r="L1193"/>
  <c r="M1193" s="1"/>
  <c r="O1192"/>
  <c r="L1192"/>
  <c r="M1192" s="1"/>
  <c r="O1191"/>
  <c r="L1191"/>
  <c r="M1191" s="1"/>
  <c r="O1190"/>
  <c r="L1190"/>
  <c r="M1190" s="1"/>
  <c r="O1189"/>
  <c r="L1189"/>
  <c r="M1189" s="1"/>
  <c r="O1188"/>
  <c r="L1188"/>
  <c r="M1188" s="1"/>
  <c r="O1187"/>
  <c r="L1187"/>
  <c r="M1187" s="1"/>
  <c r="O1186"/>
  <c r="L1186"/>
  <c r="M1186" s="1"/>
  <c r="O1185"/>
  <c r="L1185"/>
  <c r="M1185" s="1"/>
  <c r="O1184"/>
  <c r="L1184"/>
  <c r="M1184" s="1"/>
  <c r="O1183"/>
  <c r="L1183"/>
  <c r="M1183" s="1"/>
  <c r="O1182"/>
  <c r="L1182"/>
  <c r="M1182" s="1"/>
  <c r="O1181"/>
  <c r="L1181"/>
  <c r="M1181" s="1"/>
  <c r="O1180"/>
  <c r="L1180"/>
  <c r="M1180" s="1"/>
  <c r="O1179"/>
  <c r="L1179"/>
  <c r="M1179" s="1"/>
  <c r="O1178"/>
  <c r="L1178"/>
  <c r="M1178" s="1"/>
  <c r="O1177"/>
  <c r="L1177"/>
  <c r="M1177" s="1"/>
  <c r="O1176"/>
  <c r="L1176"/>
  <c r="M1176" s="1"/>
  <c r="O1175"/>
  <c r="L1175"/>
  <c r="M1175" s="1"/>
  <c r="O1174"/>
  <c r="L1174"/>
  <c r="M1174" s="1"/>
  <c r="O1173"/>
  <c r="L1173"/>
  <c r="M1173" s="1"/>
  <c r="O1172"/>
  <c r="L1172"/>
  <c r="M1172" s="1"/>
  <c r="O1171"/>
  <c r="L1171"/>
  <c r="M1171" s="1"/>
  <c r="O1170"/>
  <c r="L1170"/>
  <c r="M1170" s="1"/>
  <c r="O1169"/>
  <c r="L1169"/>
  <c r="M1169" s="1"/>
  <c r="O1168"/>
  <c r="L1168"/>
  <c r="M1168" s="1"/>
  <c r="O1167"/>
  <c r="L1167"/>
  <c r="M1167" s="1"/>
  <c r="O1166"/>
  <c r="L1166"/>
  <c r="M1166" s="1"/>
  <c r="O1165"/>
  <c r="L1165"/>
  <c r="M1165" s="1"/>
  <c r="O1164"/>
  <c r="L1164"/>
  <c r="M1164" s="1"/>
  <c r="O1163"/>
  <c r="L1163"/>
  <c r="M1163" s="1"/>
  <c r="O1162"/>
  <c r="L1162"/>
  <c r="M1162" s="1"/>
  <c r="O1161"/>
  <c r="L1161"/>
  <c r="M1161" s="1"/>
  <c r="O1160"/>
  <c r="L1160"/>
  <c r="M1160" s="1"/>
  <c r="O1159"/>
  <c r="L1159"/>
  <c r="M1159" s="1"/>
  <c r="O1158"/>
  <c r="L1158"/>
  <c r="M1158" s="1"/>
  <c r="O1157"/>
  <c r="L1157"/>
  <c r="M1157" s="1"/>
  <c r="O1156"/>
  <c r="L1156"/>
  <c r="M1156" s="1"/>
  <c r="O1155"/>
  <c r="L1155"/>
  <c r="M1155" s="1"/>
  <c r="O1154"/>
  <c r="L1154"/>
  <c r="M1154" s="1"/>
  <c r="O1153"/>
  <c r="L1153"/>
  <c r="M1153" s="1"/>
  <c r="O1152"/>
  <c r="L1152"/>
  <c r="M1152" s="1"/>
  <c r="O1151"/>
  <c r="L1151"/>
  <c r="M1151" s="1"/>
  <c r="O1150"/>
  <c r="L1150"/>
  <c r="M1150" s="1"/>
  <c r="O1149"/>
  <c r="L1149"/>
  <c r="M1149" s="1"/>
  <c r="K1148"/>
  <c r="J1202"/>
  <c r="K1202" s="1"/>
  <c r="R536" i="7"/>
  <c r="Q536"/>
  <c r="R385"/>
  <c r="Q385"/>
  <c r="M1203" i="8"/>
  <c r="Q385" i="12"/>
  <c r="P385"/>
  <c r="Q536" i="17"/>
  <c r="P536"/>
  <c r="K747" i="11"/>
  <c r="H747"/>
  <c r="I747" s="1"/>
  <c r="K1179"/>
  <c r="H1179"/>
  <c r="I1179" s="1"/>
  <c r="K1160"/>
  <c r="H1160"/>
  <c r="I1160" s="1"/>
  <c r="P67" i="5"/>
  <c r="M67"/>
  <c r="P66"/>
  <c r="M66"/>
  <c r="P65"/>
  <c r="M65"/>
  <c r="P64"/>
  <c r="M64"/>
  <c r="P63"/>
  <c r="M63"/>
  <c r="P62"/>
  <c r="M62"/>
  <c r="P61"/>
  <c r="M61"/>
  <c r="P60"/>
  <c r="M60"/>
  <c r="K52" i="18"/>
  <c r="H52"/>
  <c r="I52" s="1"/>
  <c r="K51"/>
  <c r="H51"/>
  <c r="I51" s="1"/>
  <c r="K50"/>
  <c r="H50"/>
  <c r="I50" s="1"/>
  <c r="K49"/>
  <c r="H49"/>
  <c r="I49" s="1"/>
  <c r="K47"/>
  <c r="H47"/>
  <c r="I47" s="1"/>
  <c r="K40"/>
  <c r="H40"/>
  <c r="I40" s="1"/>
  <c r="K39"/>
  <c r="H39"/>
  <c r="I39" s="1"/>
  <c r="K38"/>
  <c r="H38"/>
  <c r="I38" s="1"/>
  <c r="K66" i="14"/>
  <c r="H66"/>
  <c r="I66" s="1"/>
  <c r="K65"/>
  <c r="H65"/>
  <c r="I65" s="1"/>
  <c r="K64"/>
  <c r="H64"/>
  <c r="I64" s="1"/>
  <c r="K63"/>
  <c r="H63"/>
  <c r="I63" s="1"/>
  <c r="K62"/>
  <c r="H62"/>
  <c r="I62" s="1"/>
  <c r="K61"/>
  <c r="H61"/>
  <c r="I61" s="1"/>
  <c r="K60"/>
  <c r="H60"/>
  <c r="I60" s="1"/>
  <c r="P535" i="5"/>
  <c r="Q535" s="1"/>
  <c r="M535"/>
  <c r="K535" i="9"/>
  <c r="H535"/>
  <c r="I535" s="1"/>
  <c r="P535" i="7"/>
  <c r="M535"/>
  <c r="N535" s="1"/>
  <c r="K535" i="11"/>
  <c r="H535"/>
  <c r="I535" s="1"/>
  <c r="H747" i="9"/>
  <c r="I747" s="1"/>
  <c r="K747"/>
  <c r="K705"/>
  <c r="H705"/>
  <c r="I705" s="1"/>
  <c r="K704"/>
  <c r="H704"/>
  <c r="I704" s="1"/>
  <c r="K689"/>
  <c r="H689"/>
  <c r="I689" s="1"/>
  <c r="K591"/>
  <c r="H591"/>
  <c r="I591" s="1"/>
  <c r="K586"/>
  <c r="H586"/>
  <c r="I586" s="1"/>
  <c r="K584"/>
  <c r="H584"/>
  <c r="I584" s="1"/>
  <c r="K581"/>
  <c r="H581"/>
  <c r="I581" s="1"/>
  <c r="K572"/>
  <c r="H572"/>
  <c r="I572" s="1"/>
  <c r="K571"/>
  <c r="H571"/>
  <c r="I571" s="1"/>
  <c r="K570"/>
  <c r="H570"/>
  <c r="I570" s="1"/>
  <c r="K569"/>
  <c r="H569"/>
  <c r="I569" s="1"/>
  <c r="K568"/>
  <c r="L568" s="1"/>
  <c r="H568"/>
  <c r="I568" s="1"/>
  <c r="K567"/>
  <c r="H567"/>
  <c r="I567" s="1"/>
  <c r="K565"/>
  <c r="L565" s="1"/>
  <c r="H565"/>
  <c r="I565" s="1"/>
  <c r="K564"/>
  <c r="L564" s="1"/>
  <c r="H564"/>
  <c r="I564" s="1"/>
  <c r="K556"/>
  <c r="L556" s="1"/>
  <c r="H556"/>
  <c r="I556" s="1"/>
  <c r="K747" i="8"/>
  <c r="H747"/>
  <c r="I747" s="1"/>
  <c r="N879" i="5"/>
  <c r="K1146" i="9"/>
  <c r="H1146"/>
  <c r="P1146" i="7"/>
  <c r="M1146"/>
  <c r="K1146" i="8"/>
  <c r="H1146"/>
  <c r="K918" i="18"/>
  <c r="H918"/>
  <c r="I918" s="1"/>
  <c r="K897"/>
  <c r="H897"/>
  <c r="I897" s="1"/>
  <c r="K1179" i="9"/>
  <c r="H1179"/>
  <c r="I1179" s="1"/>
  <c r="K1160"/>
  <c r="H1160"/>
  <c r="I1160" s="1"/>
  <c r="K1179" i="8"/>
  <c r="H1179"/>
  <c r="I1179" s="1"/>
  <c r="K1160"/>
  <c r="H1160"/>
  <c r="I1160" s="1"/>
  <c r="K1145" i="14"/>
  <c r="L1145" s="1"/>
  <c r="H1145"/>
  <c r="K1144"/>
  <c r="L1144" s="1"/>
  <c r="H1144"/>
  <c r="K1143"/>
  <c r="L1143" s="1"/>
  <c r="H1143"/>
  <c r="K1142"/>
  <c r="L1142" s="1"/>
  <c r="H1142"/>
  <c r="K1141"/>
  <c r="L1141" s="1"/>
  <c r="H1141"/>
  <c r="K1140"/>
  <c r="L1140" s="1"/>
  <c r="H1140"/>
  <c r="K1139"/>
  <c r="L1139" s="1"/>
  <c r="H1139"/>
  <c r="K1138"/>
  <c r="L1138" s="1"/>
  <c r="H1138"/>
  <c r="K1137"/>
  <c r="L1137" s="1"/>
  <c r="H1137"/>
  <c r="K1136"/>
  <c r="L1136" s="1"/>
  <c r="H1136"/>
  <c r="K1135"/>
  <c r="L1135" s="1"/>
  <c r="H1135"/>
  <c r="K1134"/>
  <c r="L1134" s="1"/>
  <c r="H1134"/>
  <c r="K1133"/>
  <c r="L1133" s="1"/>
  <c r="H1133"/>
  <c r="K1132"/>
  <c r="L1132" s="1"/>
  <c r="H1132"/>
  <c r="K1131"/>
  <c r="L1131" s="1"/>
  <c r="H1131"/>
  <c r="K1130"/>
  <c r="L1130" s="1"/>
  <c r="H1130"/>
  <c r="K1129"/>
  <c r="L1129" s="1"/>
  <c r="H1129"/>
  <c r="K1128"/>
  <c r="L1128" s="1"/>
  <c r="H1128"/>
  <c r="K1127"/>
  <c r="L1127" s="1"/>
  <c r="H1127"/>
  <c r="K1126"/>
  <c r="L1126" s="1"/>
  <c r="H1126"/>
  <c r="K1125"/>
  <c r="L1125" s="1"/>
  <c r="H1125"/>
  <c r="K1124"/>
  <c r="L1124" s="1"/>
  <c r="H1124"/>
  <c r="K1123"/>
  <c r="L1123" s="1"/>
  <c r="H1123"/>
  <c r="K1122"/>
  <c r="L1122" s="1"/>
  <c r="H1122"/>
  <c r="K1121"/>
  <c r="L1121" s="1"/>
  <c r="H1121"/>
  <c r="K1120"/>
  <c r="L1120" s="1"/>
  <c r="H1120"/>
  <c r="K1119"/>
  <c r="L1119" s="1"/>
  <c r="H1119"/>
  <c r="K1118"/>
  <c r="L1118" s="1"/>
  <c r="H1118"/>
  <c r="K1117"/>
  <c r="L1117" s="1"/>
  <c r="H1117"/>
  <c r="K1116"/>
  <c r="L1116" s="1"/>
  <c r="H1116"/>
  <c r="K1115"/>
  <c r="L1115" s="1"/>
  <c r="H1115"/>
  <c r="K1114"/>
  <c r="L1114" s="1"/>
  <c r="H1114"/>
  <c r="K1113"/>
  <c r="L1113" s="1"/>
  <c r="H1113"/>
  <c r="K1112"/>
  <c r="L1112" s="1"/>
  <c r="H1112"/>
  <c r="K1111"/>
  <c r="L1111" s="1"/>
  <c r="H1111"/>
  <c r="K1110"/>
  <c r="L1110" s="1"/>
  <c r="H1110"/>
  <c r="K1109"/>
  <c r="L1109" s="1"/>
  <c r="H1109"/>
  <c r="K1108"/>
  <c r="L1108" s="1"/>
  <c r="H1108"/>
  <c r="K1107"/>
  <c r="L1107" s="1"/>
  <c r="H1107"/>
  <c r="K1106"/>
  <c r="L1106" s="1"/>
  <c r="H1106"/>
  <c r="K1105"/>
  <c r="L1105" s="1"/>
  <c r="H1105"/>
  <c r="K1104"/>
  <c r="L1104" s="1"/>
  <c r="H1104"/>
  <c r="K1103"/>
  <c r="L1103" s="1"/>
  <c r="H1103"/>
  <c r="K1102"/>
  <c r="L1102" s="1"/>
  <c r="H1102"/>
  <c r="K1101"/>
  <c r="L1101" s="1"/>
  <c r="H1101"/>
  <c r="K1100"/>
  <c r="L1100" s="1"/>
  <c r="H1100"/>
  <c r="K1099"/>
  <c r="L1099" s="1"/>
  <c r="H1099"/>
  <c r="K1098"/>
  <c r="L1098" s="1"/>
  <c r="H1098"/>
  <c r="K1097"/>
  <c r="L1097" s="1"/>
  <c r="H1097"/>
  <c r="K1096"/>
  <c r="L1096" s="1"/>
  <c r="H1096"/>
  <c r="K1095"/>
  <c r="L1095" s="1"/>
  <c r="H1095"/>
  <c r="K1094"/>
  <c r="L1094" s="1"/>
  <c r="H1094"/>
  <c r="K1093"/>
  <c r="L1093" s="1"/>
  <c r="H1093"/>
  <c r="K1092"/>
  <c r="L1092" s="1"/>
  <c r="H1092"/>
  <c r="K1091"/>
  <c r="L1091" s="1"/>
  <c r="H1091"/>
  <c r="K1090"/>
  <c r="L1090" s="1"/>
  <c r="H1090"/>
  <c r="K1089"/>
  <c r="L1089" s="1"/>
  <c r="H1089"/>
  <c r="K1088"/>
  <c r="L1088" s="1"/>
  <c r="H1088"/>
  <c r="K1087"/>
  <c r="L1087" s="1"/>
  <c r="H1087"/>
  <c r="K1086"/>
  <c r="L1086" s="1"/>
  <c r="H1086"/>
  <c r="K1085"/>
  <c r="L1085" s="1"/>
  <c r="H1085"/>
  <c r="K1084"/>
  <c r="L1084" s="1"/>
  <c r="H1084"/>
  <c r="K1083"/>
  <c r="L1083" s="1"/>
  <c r="H1083"/>
  <c r="K1082"/>
  <c r="L1082" s="1"/>
  <c r="H1082"/>
  <c r="K1081"/>
  <c r="L1081" s="1"/>
  <c r="H1081"/>
  <c r="K1080"/>
  <c r="L1080" s="1"/>
  <c r="H1080"/>
  <c r="K1079"/>
  <c r="L1079" s="1"/>
  <c r="H1079"/>
  <c r="K1078"/>
  <c r="L1078" s="1"/>
  <c r="H1078"/>
  <c r="K1077"/>
  <c r="L1077" s="1"/>
  <c r="H1077"/>
  <c r="K1076"/>
  <c r="L1076" s="1"/>
  <c r="H1076"/>
  <c r="K1075"/>
  <c r="L1075" s="1"/>
  <c r="H1075"/>
  <c r="K1074"/>
  <c r="L1074" s="1"/>
  <c r="H1074"/>
  <c r="K1073"/>
  <c r="L1073" s="1"/>
  <c r="H1073"/>
  <c r="K1072"/>
  <c r="L1072" s="1"/>
  <c r="H1072"/>
  <c r="K1071"/>
  <c r="L1071" s="1"/>
  <c r="H1071"/>
  <c r="K1070"/>
  <c r="L1070" s="1"/>
  <c r="H1070"/>
  <c r="K1069"/>
  <c r="L1069" s="1"/>
  <c r="H1069"/>
  <c r="K1068"/>
  <c r="L1068" s="1"/>
  <c r="H1068"/>
  <c r="K1067"/>
  <c r="L1067" s="1"/>
  <c r="H1067"/>
  <c r="K1066"/>
  <c r="L1066" s="1"/>
  <c r="H1066"/>
  <c r="K1065"/>
  <c r="L1065" s="1"/>
  <c r="H1065"/>
  <c r="K1064"/>
  <c r="L1064" s="1"/>
  <c r="H1064"/>
  <c r="K1063"/>
  <c r="L1063" s="1"/>
  <c r="H1063"/>
  <c r="K1062"/>
  <c r="L1062" s="1"/>
  <c r="H1062"/>
  <c r="K1061"/>
  <c r="L1061" s="1"/>
  <c r="H1061"/>
  <c r="K1060"/>
  <c r="L1060" s="1"/>
  <c r="H1060"/>
  <c r="K1059"/>
  <c r="L1059" s="1"/>
  <c r="H1059"/>
  <c r="K1058"/>
  <c r="L1058" s="1"/>
  <c r="H1058"/>
  <c r="K1057"/>
  <c r="L1057" s="1"/>
  <c r="H1057"/>
  <c r="K1056"/>
  <c r="L1056" s="1"/>
  <c r="H1056"/>
  <c r="K1055"/>
  <c r="L1055" s="1"/>
  <c r="H1055"/>
  <c r="K1054"/>
  <c r="L1054" s="1"/>
  <c r="H1054"/>
  <c r="K1053"/>
  <c r="L1053" s="1"/>
  <c r="H1053"/>
  <c r="K1052"/>
  <c r="L1052" s="1"/>
  <c r="H1052"/>
  <c r="K1051"/>
  <c r="L1051" s="1"/>
  <c r="H1051"/>
  <c r="K1050"/>
  <c r="L1050" s="1"/>
  <c r="H1050"/>
  <c r="K1049"/>
  <c r="L1049" s="1"/>
  <c r="H1049"/>
  <c r="K1048"/>
  <c r="L1048" s="1"/>
  <c r="H1048"/>
  <c r="K1047"/>
  <c r="L1047" s="1"/>
  <c r="H1047"/>
  <c r="K1046"/>
  <c r="L1046" s="1"/>
  <c r="H1046"/>
  <c r="K1045"/>
  <c r="L1045" s="1"/>
  <c r="H1045"/>
  <c r="K1044"/>
  <c r="L1044" s="1"/>
  <c r="H1044"/>
  <c r="K1043"/>
  <c r="L1043" s="1"/>
  <c r="H1043"/>
  <c r="K1042"/>
  <c r="L1042" s="1"/>
  <c r="H1042"/>
  <c r="K1041"/>
  <c r="L1041" s="1"/>
  <c r="H1041"/>
  <c r="K1040"/>
  <c r="L1040" s="1"/>
  <c r="H1040"/>
  <c r="K1039"/>
  <c r="L1039" s="1"/>
  <c r="H1039"/>
  <c r="K1038"/>
  <c r="L1038" s="1"/>
  <c r="H1038"/>
  <c r="K1037"/>
  <c r="L1037" s="1"/>
  <c r="H1037"/>
  <c r="K1036"/>
  <c r="L1036" s="1"/>
  <c r="H1036"/>
  <c r="K1035"/>
  <c r="L1035" s="1"/>
  <c r="H1035"/>
  <c r="K1034"/>
  <c r="L1034" s="1"/>
  <c r="H1034"/>
  <c r="K1033"/>
  <c r="L1033" s="1"/>
  <c r="H1033"/>
  <c r="K1032"/>
  <c r="L1032" s="1"/>
  <c r="H1032"/>
  <c r="K1031"/>
  <c r="L1031" s="1"/>
  <c r="H1031"/>
  <c r="K1030"/>
  <c r="L1030" s="1"/>
  <c r="H1030"/>
  <c r="K1029"/>
  <c r="L1029" s="1"/>
  <c r="H1029"/>
  <c r="K1028"/>
  <c r="L1028" s="1"/>
  <c r="H1028"/>
  <c r="K1027"/>
  <c r="L1027" s="1"/>
  <c r="H1027"/>
  <c r="K1026"/>
  <c r="L1026" s="1"/>
  <c r="H1026"/>
  <c r="K1025"/>
  <c r="L1025" s="1"/>
  <c r="H1025"/>
  <c r="K1024"/>
  <c r="L1024" s="1"/>
  <c r="H1024"/>
  <c r="K1023"/>
  <c r="L1023" s="1"/>
  <c r="H1023"/>
  <c r="K1022"/>
  <c r="L1022" s="1"/>
  <c r="H1022"/>
  <c r="K1021"/>
  <c r="L1021" s="1"/>
  <c r="H1021"/>
  <c r="K1020"/>
  <c r="L1020" s="1"/>
  <c r="H1020"/>
  <c r="K1019"/>
  <c r="L1019" s="1"/>
  <c r="H1019"/>
  <c r="K1018"/>
  <c r="L1018" s="1"/>
  <c r="H1018"/>
  <c r="K1017"/>
  <c r="L1017" s="1"/>
  <c r="H1017"/>
  <c r="K1016"/>
  <c r="L1016" s="1"/>
  <c r="H1016"/>
  <c r="K1015"/>
  <c r="L1015" s="1"/>
  <c r="H1015"/>
  <c r="K1014"/>
  <c r="L1014" s="1"/>
  <c r="H1014"/>
  <c r="K1013"/>
  <c r="L1013" s="1"/>
  <c r="H1013"/>
  <c r="K1012"/>
  <c r="L1012" s="1"/>
  <c r="H1012"/>
  <c r="K1011"/>
  <c r="L1011" s="1"/>
  <c r="H1011"/>
  <c r="K1010"/>
  <c r="L1010" s="1"/>
  <c r="H1010"/>
  <c r="K1009"/>
  <c r="L1009" s="1"/>
  <c r="H1009"/>
  <c r="K1008"/>
  <c r="L1008" s="1"/>
  <c r="H1008"/>
  <c r="K1007"/>
  <c r="L1007" s="1"/>
  <c r="H1007"/>
  <c r="K1006"/>
  <c r="L1006" s="1"/>
  <c r="H1006"/>
  <c r="K1005"/>
  <c r="L1005" s="1"/>
  <c r="H1005"/>
  <c r="K1004"/>
  <c r="L1004" s="1"/>
  <c r="H1004"/>
  <c r="K1003"/>
  <c r="L1003" s="1"/>
  <c r="H1003"/>
  <c r="K1002"/>
  <c r="L1002" s="1"/>
  <c r="H1002"/>
  <c r="K1001"/>
  <c r="L1001" s="1"/>
  <c r="H1001"/>
  <c r="K1000"/>
  <c r="L1000" s="1"/>
  <c r="H1000"/>
  <c r="K999"/>
  <c r="L999" s="1"/>
  <c r="H999"/>
  <c r="K998"/>
  <c r="L998" s="1"/>
  <c r="H998"/>
  <c r="K997"/>
  <c r="L997" s="1"/>
  <c r="H997"/>
  <c r="K996"/>
  <c r="L996" s="1"/>
  <c r="H996"/>
  <c r="K995"/>
  <c r="L995" s="1"/>
  <c r="H995"/>
  <c r="K994"/>
  <c r="L994" s="1"/>
  <c r="H994"/>
  <c r="K993"/>
  <c r="L993" s="1"/>
  <c r="H993"/>
  <c r="K992"/>
  <c r="L992" s="1"/>
  <c r="H992"/>
  <c r="K991"/>
  <c r="L991" s="1"/>
  <c r="H991"/>
  <c r="K990"/>
  <c r="L990" s="1"/>
  <c r="H990"/>
  <c r="K989"/>
  <c r="L989" s="1"/>
  <c r="H989"/>
  <c r="K988"/>
  <c r="L988" s="1"/>
  <c r="H988"/>
  <c r="K987"/>
  <c r="L987" s="1"/>
  <c r="H987"/>
  <c r="K986"/>
  <c r="L986" s="1"/>
  <c r="H986"/>
  <c r="K985"/>
  <c r="L985" s="1"/>
  <c r="H985"/>
  <c r="K984"/>
  <c r="L984" s="1"/>
  <c r="H984"/>
  <c r="K983"/>
  <c r="L983" s="1"/>
  <c r="H983"/>
  <c r="K982"/>
  <c r="L982" s="1"/>
  <c r="H982"/>
  <c r="K981"/>
  <c r="L981" s="1"/>
  <c r="H981"/>
  <c r="K980"/>
  <c r="L980" s="1"/>
  <c r="H980"/>
  <c r="K979"/>
  <c r="L979" s="1"/>
  <c r="H979"/>
  <c r="K978"/>
  <c r="L978" s="1"/>
  <c r="H978"/>
  <c r="K977"/>
  <c r="L977" s="1"/>
  <c r="H977"/>
  <c r="K976"/>
  <c r="L976" s="1"/>
  <c r="H976"/>
  <c r="K975"/>
  <c r="L975" s="1"/>
  <c r="H975"/>
  <c r="K974"/>
  <c r="L974" s="1"/>
  <c r="H974"/>
  <c r="K973"/>
  <c r="L973" s="1"/>
  <c r="H973"/>
  <c r="K972"/>
  <c r="L972" s="1"/>
  <c r="H972"/>
  <c r="K971"/>
  <c r="L971" s="1"/>
  <c r="H971"/>
  <c r="K970"/>
  <c r="L970" s="1"/>
  <c r="H970"/>
  <c r="K969"/>
  <c r="L969" s="1"/>
  <c r="H969"/>
  <c r="K968"/>
  <c r="L968" s="1"/>
  <c r="H968"/>
  <c r="K965"/>
  <c r="L965" s="1"/>
  <c r="H965"/>
  <c r="K964"/>
  <c r="L964" s="1"/>
  <c r="H964"/>
  <c r="K963"/>
  <c r="L963" s="1"/>
  <c r="H963"/>
  <c r="K962"/>
  <c r="L962" s="1"/>
  <c r="H962"/>
  <c r="K961"/>
  <c r="L961" s="1"/>
  <c r="H961"/>
  <c r="K960"/>
  <c r="L960" s="1"/>
  <c r="H960"/>
  <c r="K958"/>
  <c r="L958" s="1"/>
  <c r="H958"/>
  <c r="K957"/>
  <c r="L957" s="1"/>
  <c r="H957"/>
  <c r="K956"/>
  <c r="L956" s="1"/>
  <c r="H956"/>
  <c r="K955"/>
  <c r="L955" s="1"/>
  <c r="H955"/>
  <c r="K954"/>
  <c r="L954" s="1"/>
  <c r="H954"/>
  <c r="K953"/>
  <c r="L953" s="1"/>
  <c r="H953"/>
  <c r="K952"/>
  <c r="L952" s="1"/>
  <c r="H952"/>
  <c r="K951"/>
  <c r="L951" s="1"/>
  <c r="H951"/>
  <c r="K950"/>
  <c r="L950" s="1"/>
  <c r="H950"/>
  <c r="K949"/>
  <c r="L949" s="1"/>
  <c r="H949"/>
  <c r="K948"/>
  <c r="L948" s="1"/>
  <c r="H948"/>
  <c r="K947"/>
  <c r="L947" s="1"/>
  <c r="H947"/>
  <c r="K946"/>
  <c r="L946" s="1"/>
  <c r="H946"/>
  <c r="K945"/>
  <c r="L945" s="1"/>
  <c r="H945"/>
  <c r="K944"/>
  <c r="L944" s="1"/>
  <c r="H944"/>
  <c r="K943"/>
  <c r="L943" s="1"/>
  <c r="H943"/>
  <c r="K942"/>
  <c r="L942" s="1"/>
  <c r="H942"/>
  <c r="K941"/>
  <c r="L941" s="1"/>
  <c r="H941"/>
  <c r="K1201"/>
  <c r="H1201"/>
  <c r="I1201" s="1"/>
  <c r="K1200"/>
  <c r="H1200"/>
  <c r="I1200" s="1"/>
  <c r="O1222" i="12"/>
  <c r="L1222"/>
  <c r="M1222" s="1"/>
  <c r="P89" i="5"/>
  <c r="M89"/>
  <c r="P90"/>
  <c r="M90"/>
  <c r="P88"/>
  <c r="M88"/>
  <c r="L88" i="12"/>
  <c r="M88" s="1"/>
  <c r="M90" s="1"/>
  <c r="O88"/>
  <c r="R383" i="7"/>
  <c r="G383" i="22" s="1"/>
  <c r="Q383" i="7"/>
  <c r="H383" i="8"/>
  <c r="I383" s="1"/>
  <c r="K383"/>
  <c r="H383" i="11"/>
  <c r="I383" s="1"/>
  <c r="K383"/>
  <c r="M383" i="9"/>
  <c r="L383"/>
  <c r="Q383" i="12"/>
  <c r="P383"/>
  <c r="R382" i="7"/>
  <c r="G382" i="22" s="1"/>
  <c r="Q382" i="7"/>
  <c r="H382" i="8"/>
  <c r="I382" s="1"/>
  <c r="K382"/>
  <c r="H382" i="11"/>
  <c r="I382" s="1"/>
  <c r="K382"/>
  <c r="M382" i="9"/>
  <c r="L382"/>
  <c r="Q382" i="12"/>
  <c r="P382"/>
  <c r="R381" i="7"/>
  <c r="G381" i="22" s="1"/>
  <c r="Q381" i="7"/>
  <c r="H381" i="8"/>
  <c r="I381" s="1"/>
  <c r="K381"/>
  <c r="H381" i="11"/>
  <c r="I381" s="1"/>
  <c r="K381"/>
  <c r="M381" i="9"/>
  <c r="L381"/>
  <c r="Q381" i="12"/>
  <c r="P381"/>
  <c r="R380" i="7"/>
  <c r="G380" i="22" s="1"/>
  <c r="Q380" i="7"/>
  <c r="H380" i="8"/>
  <c r="I380" s="1"/>
  <c r="K380"/>
  <c r="H380" i="11"/>
  <c r="I380" s="1"/>
  <c r="K380"/>
  <c r="M380" i="9"/>
  <c r="L380"/>
  <c r="K380" i="18"/>
  <c r="H380"/>
  <c r="I380" s="1"/>
  <c r="K380" i="14"/>
  <c r="H380"/>
  <c r="I380" s="1"/>
  <c r="P59" i="7"/>
  <c r="M59"/>
  <c r="N59" s="1"/>
  <c r="K59" i="8"/>
  <c r="H59"/>
  <c r="I59" s="1"/>
  <c r="P59" i="5"/>
  <c r="M59"/>
  <c r="K59" i="9"/>
  <c r="H59"/>
  <c r="I59" s="1"/>
  <c r="K59" i="18"/>
  <c r="H59"/>
  <c r="I59" s="1"/>
  <c r="P58" i="7"/>
  <c r="M58"/>
  <c r="N58" s="1"/>
  <c r="K58" i="8"/>
  <c r="H58"/>
  <c r="I58" s="1"/>
  <c r="P58" i="5"/>
  <c r="M58"/>
  <c r="K58" i="9"/>
  <c r="H58"/>
  <c r="I58" s="1"/>
  <c r="K58" i="18"/>
  <c r="H58"/>
  <c r="I58" s="1"/>
  <c r="K58" i="14"/>
  <c r="H58"/>
  <c r="I58" s="1"/>
  <c r="P57" i="7"/>
  <c r="M57"/>
  <c r="N57" s="1"/>
  <c r="K57" i="8"/>
  <c r="H57"/>
  <c r="I57" s="1"/>
  <c r="P57" i="5"/>
  <c r="M57"/>
  <c r="K57" i="9"/>
  <c r="H57"/>
  <c r="I57" s="1"/>
  <c r="K57" i="18"/>
  <c r="H57"/>
  <c r="I57" s="1"/>
  <c r="K57" i="14"/>
  <c r="H57"/>
  <c r="I57" s="1"/>
  <c r="P56" i="7"/>
  <c r="M56"/>
  <c r="N56" s="1"/>
  <c r="K56" i="8"/>
  <c r="H56"/>
  <c r="I56" s="1"/>
  <c r="P56" i="5"/>
  <c r="M56"/>
  <c r="K56" i="9"/>
  <c r="H56"/>
  <c r="I56" s="1"/>
  <c r="K56" i="18"/>
  <c r="H56"/>
  <c r="I56" s="1"/>
  <c r="K56" i="14"/>
  <c r="H56"/>
  <c r="I56" s="1"/>
  <c r="P55" i="7"/>
  <c r="M55"/>
  <c r="N55" s="1"/>
  <c r="K55" i="8"/>
  <c r="H55"/>
  <c r="I55" s="1"/>
  <c r="P55" i="5"/>
  <c r="M55"/>
  <c r="K55" i="9"/>
  <c r="H55"/>
  <c r="I55" s="1"/>
  <c r="K55" i="18"/>
  <c r="H55"/>
  <c r="I55" s="1"/>
  <c r="K55" i="14"/>
  <c r="H55"/>
  <c r="I55" s="1"/>
  <c r="P54" i="7"/>
  <c r="M54"/>
  <c r="N54" s="1"/>
  <c r="K54" i="8"/>
  <c r="H54"/>
  <c r="I54" s="1"/>
  <c r="P54" i="5"/>
  <c r="M54"/>
  <c r="K54" i="9"/>
  <c r="H54"/>
  <c r="I54" s="1"/>
  <c r="K54" i="18"/>
  <c r="H54"/>
  <c r="I54" s="1"/>
  <c r="K54" i="14"/>
  <c r="H54"/>
  <c r="I54" s="1"/>
  <c r="P53" i="7"/>
  <c r="M53"/>
  <c r="N53" s="1"/>
  <c r="K53" i="8"/>
  <c r="H53"/>
  <c r="I53" s="1"/>
  <c r="P53" i="5"/>
  <c r="M53"/>
  <c r="K53" i="9"/>
  <c r="H53"/>
  <c r="I53" s="1"/>
  <c r="K53" i="18"/>
  <c r="H53"/>
  <c r="I53" s="1"/>
  <c r="K53" i="14"/>
  <c r="H53"/>
  <c r="I53" s="1"/>
  <c r="P52" i="7"/>
  <c r="M52"/>
  <c r="N52" s="1"/>
  <c r="K52" i="8"/>
  <c r="H52"/>
  <c r="I52" s="1"/>
  <c r="P52" i="5"/>
  <c r="M52"/>
  <c r="K52" i="9"/>
  <c r="H52"/>
  <c r="I52" s="1"/>
  <c r="P51" i="7"/>
  <c r="M51"/>
  <c r="N51" s="1"/>
  <c r="K51" i="8"/>
  <c r="H51"/>
  <c r="I51" s="1"/>
  <c r="P51" i="5"/>
  <c r="M51"/>
  <c r="K51" i="9"/>
  <c r="H51"/>
  <c r="I51" s="1"/>
  <c r="K50" i="8"/>
  <c r="H50"/>
  <c r="I50" s="1"/>
  <c r="P50" i="5"/>
  <c r="M50"/>
  <c r="K50" i="9"/>
  <c r="H50"/>
  <c r="I50" s="1"/>
  <c r="P49" i="7"/>
  <c r="M49"/>
  <c r="N49" s="1"/>
  <c r="K49" i="8"/>
  <c r="H49"/>
  <c r="I49" s="1"/>
  <c r="P49" i="5"/>
  <c r="M49"/>
  <c r="K49" i="9"/>
  <c r="H49"/>
  <c r="I49" s="1"/>
  <c r="P48" i="7"/>
  <c r="M48"/>
  <c r="N48" s="1"/>
  <c r="K48" i="8"/>
  <c r="H48"/>
  <c r="I48" s="1"/>
  <c r="P48" i="5"/>
  <c r="M48"/>
  <c r="K48" i="9"/>
  <c r="H48"/>
  <c r="I48" s="1"/>
  <c r="K48" i="18"/>
  <c r="H48"/>
  <c r="I48" s="1"/>
  <c r="K48" i="14"/>
  <c r="H48"/>
  <c r="I48" s="1"/>
  <c r="P47" i="7"/>
  <c r="M47"/>
  <c r="N47" s="1"/>
  <c r="K47" i="8"/>
  <c r="H47"/>
  <c r="I47" s="1"/>
  <c r="P47" i="5"/>
  <c r="M47"/>
  <c r="K47" i="9"/>
  <c r="H47"/>
  <c r="I47" s="1"/>
  <c r="P46" i="7"/>
  <c r="M46"/>
  <c r="N46" s="1"/>
  <c r="K46" i="8"/>
  <c r="H46"/>
  <c r="I46" s="1"/>
  <c r="P46" i="5"/>
  <c r="M46"/>
  <c r="K46" i="9"/>
  <c r="H46"/>
  <c r="I46" s="1"/>
  <c r="K46" i="18"/>
  <c r="H46"/>
  <c r="I46" s="1"/>
  <c r="K46" i="14"/>
  <c r="H46"/>
  <c r="I46" s="1"/>
  <c r="P45" i="7"/>
  <c r="M45"/>
  <c r="N45" s="1"/>
  <c r="K45" i="8"/>
  <c r="H45"/>
  <c r="I45" s="1"/>
  <c r="P45" i="5"/>
  <c r="M45"/>
  <c r="K45" i="9"/>
  <c r="H45"/>
  <c r="I45" s="1"/>
  <c r="K45" i="18"/>
  <c r="H45"/>
  <c r="I45" s="1"/>
  <c r="K45" i="14"/>
  <c r="H45"/>
  <c r="I45" s="1"/>
  <c r="P44" i="7"/>
  <c r="M44"/>
  <c r="N44" s="1"/>
  <c r="K44" i="8"/>
  <c r="H44"/>
  <c r="I44" s="1"/>
  <c r="P44" i="5"/>
  <c r="M44"/>
  <c r="K44" i="9"/>
  <c r="H44"/>
  <c r="I44" s="1"/>
  <c r="K44" i="18"/>
  <c r="H44"/>
  <c r="I44" s="1"/>
  <c r="K44" i="14"/>
  <c r="H44"/>
  <c r="I44" s="1"/>
  <c r="P43" i="7"/>
  <c r="M43"/>
  <c r="N43" s="1"/>
  <c r="K43" i="8"/>
  <c r="H43"/>
  <c r="I43" s="1"/>
  <c r="P43" i="5"/>
  <c r="M43"/>
  <c r="K43" i="9"/>
  <c r="H43"/>
  <c r="I43" s="1"/>
  <c r="K43" i="18"/>
  <c r="H43"/>
  <c r="I43" s="1"/>
  <c r="K43" i="14"/>
  <c r="H43"/>
  <c r="I43" s="1"/>
  <c r="P42" i="7"/>
  <c r="M42"/>
  <c r="N42" s="1"/>
  <c r="K42" i="8"/>
  <c r="H42"/>
  <c r="I42" s="1"/>
  <c r="P42" i="5"/>
  <c r="M42"/>
  <c r="K42" i="9"/>
  <c r="H42"/>
  <c r="I42" s="1"/>
  <c r="K42" i="18"/>
  <c r="H42"/>
  <c r="I42" s="1"/>
  <c r="K42" i="14"/>
  <c r="H42"/>
  <c r="I42" s="1"/>
  <c r="P41" i="7"/>
  <c r="M41"/>
  <c r="N41" s="1"/>
  <c r="K41" i="8"/>
  <c r="H41"/>
  <c r="I41" s="1"/>
  <c r="P41" i="5"/>
  <c r="M41"/>
  <c r="K41" i="9"/>
  <c r="H41"/>
  <c r="I41" s="1"/>
  <c r="K41" i="18"/>
  <c r="H41"/>
  <c r="I41" s="1"/>
  <c r="K41" i="14"/>
  <c r="H41"/>
  <c r="I41" s="1"/>
  <c r="P40" i="7"/>
  <c r="M40"/>
  <c r="N40" s="1"/>
  <c r="K40" i="8"/>
  <c r="H40"/>
  <c r="I40" s="1"/>
  <c r="K40" i="11"/>
  <c r="H40"/>
  <c r="I40" s="1"/>
  <c r="P40" i="5"/>
  <c r="M40"/>
  <c r="K40" i="9"/>
  <c r="H40"/>
  <c r="I40" s="1"/>
  <c r="K39" i="8"/>
  <c r="H39"/>
  <c r="I39" s="1"/>
  <c r="P39" i="5"/>
  <c r="M39"/>
  <c r="K39" i="9"/>
  <c r="H39"/>
  <c r="I39" s="1"/>
  <c r="P38" i="7"/>
  <c r="M38"/>
  <c r="N38" s="1"/>
  <c r="K38" i="8"/>
  <c r="H38"/>
  <c r="I38" s="1"/>
  <c r="P38" i="5"/>
  <c r="M38"/>
  <c r="K38" i="9"/>
  <c r="H38"/>
  <c r="I38" s="1"/>
  <c r="P37" i="7"/>
  <c r="M37"/>
  <c r="N37" s="1"/>
  <c r="K37" i="8"/>
  <c r="H37"/>
  <c r="I37" s="1"/>
  <c r="P37" i="5"/>
  <c r="M37"/>
  <c r="K37" i="9"/>
  <c r="H37"/>
  <c r="I37" s="1"/>
  <c r="K37" i="18"/>
  <c r="H37"/>
  <c r="I37" s="1"/>
  <c r="K37" i="14"/>
  <c r="H37"/>
  <c r="I37" s="1"/>
  <c r="P36" i="7"/>
  <c r="M36"/>
  <c r="N36" s="1"/>
  <c r="K36" i="8"/>
  <c r="H36"/>
  <c r="I36" s="1"/>
  <c r="P36" i="5"/>
  <c r="M36"/>
  <c r="K36" i="9"/>
  <c r="H36"/>
  <c r="I36" s="1"/>
  <c r="K36" i="18"/>
  <c r="H36"/>
  <c r="I36" s="1"/>
  <c r="K36" i="14"/>
  <c r="H36"/>
  <c r="I36" s="1"/>
  <c r="P35" i="7"/>
  <c r="M35"/>
  <c r="N35" s="1"/>
  <c r="K35" i="8"/>
  <c r="H35"/>
  <c r="I35" s="1"/>
  <c r="P35" i="5"/>
  <c r="M35"/>
  <c r="K35" i="9"/>
  <c r="H35"/>
  <c r="I35" s="1"/>
  <c r="K35" i="18"/>
  <c r="H35"/>
  <c r="I35" s="1"/>
  <c r="K35" i="14"/>
  <c r="H35"/>
  <c r="I35" s="1"/>
  <c r="P34" i="7"/>
  <c r="M34"/>
  <c r="N34" s="1"/>
  <c r="K34" i="8"/>
  <c r="H34"/>
  <c r="I34" s="1"/>
  <c r="P34" i="5"/>
  <c r="M34"/>
  <c r="K34" i="9"/>
  <c r="H34"/>
  <c r="I34" s="1"/>
  <c r="K34" i="18"/>
  <c r="H34"/>
  <c r="I34" s="1"/>
  <c r="K34" i="14"/>
  <c r="H34"/>
  <c r="I34" s="1"/>
  <c r="P33" i="7"/>
  <c r="M33"/>
  <c r="N33" s="1"/>
  <c r="K33" i="8"/>
  <c r="H33"/>
  <c r="I33" s="1"/>
  <c r="P33" i="5"/>
  <c r="M33"/>
  <c r="K33" i="9"/>
  <c r="H33"/>
  <c r="I33" s="1"/>
  <c r="K33" i="18"/>
  <c r="H33"/>
  <c r="I33" s="1"/>
  <c r="K33" i="14"/>
  <c r="H33"/>
  <c r="I33" s="1"/>
  <c r="P32" i="7"/>
  <c r="M32"/>
  <c r="N32" s="1"/>
  <c r="K32" i="8"/>
  <c r="H32"/>
  <c r="I32" s="1"/>
  <c r="P32" i="5"/>
  <c r="M32"/>
  <c r="K32" i="9"/>
  <c r="H32"/>
  <c r="I32" s="1"/>
  <c r="K32" i="18"/>
  <c r="H32"/>
  <c r="I32" s="1"/>
  <c r="K32" i="14"/>
  <c r="H32"/>
  <c r="I32" s="1"/>
  <c r="P31" i="7"/>
  <c r="M31"/>
  <c r="N31" s="1"/>
  <c r="K31" i="8"/>
  <c r="H31"/>
  <c r="I31" s="1"/>
  <c r="P31" i="5"/>
  <c r="M31"/>
  <c r="K31" i="9"/>
  <c r="H31"/>
  <c r="I31" s="1"/>
  <c r="K31" i="18"/>
  <c r="H31"/>
  <c r="I31" s="1"/>
  <c r="K31" i="14"/>
  <c r="H31"/>
  <c r="I31" s="1"/>
  <c r="P30" i="7"/>
  <c r="M30"/>
  <c r="N30" s="1"/>
  <c r="K30" i="8"/>
  <c r="H30"/>
  <c r="I30" s="1"/>
  <c r="P30" i="5"/>
  <c r="M30"/>
  <c r="K30" i="9"/>
  <c r="H30"/>
  <c r="I30" s="1"/>
  <c r="K30" i="18"/>
  <c r="H30"/>
  <c r="I30" s="1"/>
  <c r="K29"/>
  <c r="H29"/>
  <c r="I29" s="1"/>
  <c r="K28"/>
  <c r="H28"/>
  <c r="I28" s="1"/>
  <c r="K27"/>
  <c r="H27"/>
  <c r="I27" s="1"/>
  <c r="K26"/>
  <c r="H26"/>
  <c r="I26" s="1"/>
  <c r="K25"/>
  <c r="H25"/>
  <c r="I25" s="1"/>
  <c r="K24"/>
  <c r="H24"/>
  <c r="I24" s="1"/>
  <c r="K23"/>
  <c r="H23"/>
  <c r="I23" s="1"/>
  <c r="K22"/>
  <c r="H22"/>
  <c r="I22" s="1"/>
  <c r="K21"/>
  <c r="H21"/>
  <c r="I21" s="1"/>
  <c r="K20"/>
  <c r="H20"/>
  <c r="I20" s="1"/>
  <c r="K19"/>
  <c r="H19"/>
  <c r="I19" s="1"/>
  <c r="K18"/>
  <c r="H18"/>
  <c r="I18" s="1"/>
  <c r="K17"/>
  <c r="H17"/>
  <c r="I17" s="1"/>
  <c r="K16"/>
  <c r="H16"/>
  <c r="I16" s="1"/>
  <c r="K15"/>
  <c r="H15"/>
  <c r="I15" s="1"/>
  <c r="K14"/>
  <c r="H14"/>
  <c r="I14" s="1"/>
  <c r="K13"/>
  <c r="H13"/>
  <c r="I13" s="1"/>
  <c r="K12"/>
  <c r="H12"/>
  <c r="I12" s="1"/>
  <c r="K11"/>
  <c r="H11"/>
  <c r="I11" s="1"/>
  <c r="K10"/>
  <c r="H10"/>
  <c r="I10" s="1"/>
  <c r="K9"/>
  <c r="H9"/>
  <c r="I9" s="1"/>
  <c r="K8"/>
  <c r="H8"/>
  <c r="I8" s="1"/>
  <c r="P87" i="5"/>
  <c r="M87"/>
  <c r="P86"/>
  <c r="M86"/>
  <c r="P85"/>
  <c r="M85"/>
  <c r="P84"/>
  <c r="M84"/>
  <c r="P83"/>
  <c r="M83"/>
  <c r="P82"/>
  <c r="M82"/>
  <c r="P81"/>
  <c r="M81"/>
  <c r="P80"/>
  <c r="M80"/>
  <c r="P79"/>
  <c r="M79"/>
  <c r="P78"/>
  <c r="M78"/>
  <c r="P77"/>
  <c r="M77"/>
  <c r="P76"/>
  <c r="M76"/>
  <c r="P75"/>
  <c r="M75"/>
  <c r="P74"/>
  <c r="M74"/>
  <c r="P73"/>
  <c r="M73"/>
  <c r="P72"/>
  <c r="M72"/>
  <c r="P71"/>
  <c r="M71"/>
  <c r="P70"/>
  <c r="M70"/>
  <c r="P69"/>
  <c r="M69"/>
  <c r="K379" i="8"/>
  <c r="H379"/>
  <c r="I379" s="1"/>
  <c r="H379" i="11"/>
  <c r="I379" s="1"/>
  <c r="K379"/>
  <c r="P379" i="5"/>
  <c r="Q379" s="1"/>
  <c r="M379"/>
  <c r="K379" i="9"/>
  <c r="H379"/>
  <c r="I379" s="1"/>
  <c r="K378" i="8"/>
  <c r="H378"/>
  <c r="I378" s="1"/>
  <c r="H378" i="11"/>
  <c r="I378" s="1"/>
  <c r="K378"/>
  <c r="P378" i="5"/>
  <c r="Q378" s="1"/>
  <c r="M378"/>
  <c r="K378" i="9"/>
  <c r="H378"/>
  <c r="I378" s="1"/>
  <c r="K377" i="8"/>
  <c r="H377"/>
  <c r="I377" s="1"/>
  <c r="H377" i="11"/>
  <c r="I377" s="1"/>
  <c r="K377"/>
  <c r="P377" i="5"/>
  <c r="Q377" s="1"/>
  <c r="M377"/>
  <c r="K377" i="9"/>
  <c r="H377"/>
  <c r="I377" s="1"/>
  <c r="K376" i="8"/>
  <c r="H376"/>
  <c r="I376" s="1"/>
  <c r="H376" i="11"/>
  <c r="I376" s="1"/>
  <c r="K376"/>
  <c r="P376" i="5"/>
  <c r="Q376" s="1"/>
  <c r="M376"/>
  <c r="K376" i="9"/>
  <c r="H376"/>
  <c r="I376" s="1"/>
  <c r="K375" i="8"/>
  <c r="H375"/>
  <c r="I375" s="1"/>
  <c r="H375" i="11"/>
  <c r="I375" s="1"/>
  <c r="K375"/>
  <c r="P375" i="5"/>
  <c r="Q375" s="1"/>
  <c r="M375"/>
  <c r="K375" i="9"/>
  <c r="H375"/>
  <c r="I375" s="1"/>
  <c r="K374" i="8"/>
  <c r="H374"/>
  <c r="I374" s="1"/>
  <c r="H374" i="11"/>
  <c r="I374" s="1"/>
  <c r="K374"/>
  <c r="P374" i="5"/>
  <c r="Q374" s="1"/>
  <c r="M374"/>
  <c r="K374" i="9"/>
  <c r="H374"/>
  <c r="I374" s="1"/>
  <c r="K373" i="8"/>
  <c r="H373"/>
  <c r="I373" s="1"/>
  <c r="H373" i="11"/>
  <c r="I373" s="1"/>
  <c r="K373"/>
  <c r="P373" i="5"/>
  <c r="Q373" s="1"/>
  <c r="M373"/>
  <c r="K373" i="9"/>
  <c r="H373"/>
  <c r="I373" s="1"/>
  <c r="K372" i="8"/>
  <c r="H372"/>
  <c r="I372" s="1"/>
  <c r="H372" i="11"/>
  <c r="I372" s="1"/>
  <c r="K372"/>
  <c r="P372" i="5"/>
  <c r="Q372" s="1"/>
  <c r="M372"/>
  <c r="K372" i="9"/>
  <c r="H372"/>
  <c r="I372" s="1"/>
  <c r="K371" i="8"/>
  <c r="H371"/>
  <c r="I371" s="1"/>
  <c r="H371" i="11"/>
  <c r="I371" s="1"/>
  <c r="K371"/>
  <c r="P371" i="5"/>
  <c r="Q371" s="1"/>
  <c r="M371"/>
  <c r="K371" i="9"/>
  <c r="H371"/>
  <c r="I371" s="1"/>
  <c r="K370" i="8"/>
  <c r="H370"/>
  <c r="I370" s="1"/>
  <c r="H370" i="11"/>
  <c r="I370" s="1"/>
  <c r="K370"/>
  <c r="P370" i="5"/>
  <c r="Q370" s="1"/>
  <c r="M370"/>
  <c r="K370" i="9"/>
  <c r="H370"/>
  <c r="I370" s="1"/>
  <c r="K369" i="8"/>
  <c r="H369"/>
  <c r="I369" s="1"/>
  <c r="H369" i="11"/>
  <c r="I369" s="1"/>
  <c r="K369"/>
  <c r="P369" i="5"/>
  <c r="Q369" s="1"/>
  <c r="M369"/>
  <c r="K369" i="9"/>
  <c r="H369"/>
  <c r="I369" s="1"/>
  <c r="K368" i="8"/>
  <c r="H368"/>
  <c r="I368" s="1"/>
  <c r="H368" i="11"/>
  <c r="I368" s="1"/>
  <c r="K368"/>
  <c r="P368" i="5"/>
  <c r="Q368" s="1"/>
  <c r="M368"/>
  <c r="K368" i="9"/>
  <c r="H368"/>
  <c r="I368" s="1"/>
  <c r="H367" i="11"/>
  <c r="I367" s="1"/>
  <c r="K367"/>
  <c r="P367" i="5"/>
  <c r="Q367" s="1"/>
  <c r="M367"/>
  <c r="K367" i="9"/>
  <c r="H367"/>
  <c r="I367" s="1"/>
  <c r="K366" i="8"/>
  <c r="H366"/>
  <c r="I366" s="1"/>
  <c r="H366" i="11"/>
  <c r="I366" s="1"/>
  <c r="K366"/>
  <c r="P366" i="5"/>
  <c r="Q366" s="1"/>
  <c r="M366"/>
  <c r="K366" i="9"/>
  <c r="H366"/>
  <c r="I366" s="1"/>
  <c r="K365" i="8"/>
  <c r="H365"/>
  <c r="I365" s="1"/>
  <c r="H365" i="11"/>
  <c r="I365" s="1"/>
  <c r="K365"/>
  <c r="P365" i="5"/>
  <c r="Q365" s="1"/>
  <c r="M365"/>
  <c r="K365" i="9"/>
  <c r="H365"/>
  <c r="I365" s="1"/>
  <c r="K364" i="8"/>
  <c r="H364"/>
  <c r="I364" s="1"/>
  <c r="H364" i="11"/>
  <c r="I364" s="1"/>
  <c r="K364"/>
  <c r="P364" i="5"/>
  <c r="Q364" s="1"/>
  <c r="M364"/>
  <c r="K364" i="9"/>
  <c r="H364"/>
  <c r="I364" s="1"/>
  <c r="K363" i="8"/>
  <c r="H363"/>
  <c r="I363" s="1"/>
  <c r="H363" i="11"/>
  <c r="I363" s="1"/>
  <c r="K363"/>
  <c r="P363" i="5"/>
  <c r="Q363" s="1"/>
  <c r="M363"/>
  <c r="K363" i="9"/>
  <c r="H363"/>
  <c r="I363" s="1"/>
  <c r="K362" i="8"/>
  <c r="H362"/>
  <c r="I362" s="1"/>
  <c r="H362" i="11"/>
  <c r="I362" s="1"/>
  <c r="K362"/>
  <c r="P362" i="5"/>
  <c r="Q362" s="1"/>
  <c r="M362"/>
  <c r="K362" i="9"/>
  <c r="H362"/>
  <c r="I362" s="1"/>
  <c r="K361" i="8"/>
  <c r="H361"/>
  <c r="I361" s="1"/>
  <c r="H361" i="11"/>
  <c r="I361" s="1"/>
  <c r="K361"/>
  <c r="P361" i="5"/>
  <c r="Q361" s="1"/>
  <c r="M361"/>
  <c r="K361" i="9"/>
  <c r="H361"/>
  <c r="I361" s="1"/>
  <c r="K360" i="8"/>
  <c r="H360"/>
  <c r="I360" s="1"/>
  <c r="H360" i="11"/>
  <c r="I360" s="1"/>
  <c r="K360"/>
  <c r="P360" i="5"/>
  <c r="Q360" s="1"/>
  <c r="M360"/>
  <c r="K360" i="9"/>
  <c r="H360"/>
  <c r="I360" s="1"/>
  <c r="K359" i="8"/>
  <c r="H359"/>
  <c r="I359" s="1"/>
  <c r="H359" i="11"/>
  <c r="I359" s="1"/>
  <c r="K359"/>
  <c r="P359" i="5"/>
  <c r="Q359" s="1"/>
  <c r="M359"/>
  <c r="K359" i="9"/>
  <c r="H359"/>
  <c r="I359" s="1"/>
  <c r="K358" i="8"/>
  <c r="H358"/>
  <c r="I358" s="1"/>
  <c r="H358" i="11"/>
  <c r="I358" s="1"/>
  <c r="K358"/>
  <c r="P358" i="5"/>
  <c r="Q358" s="1"/>
  <c r="M358"/>
  <c r="K358" i="9"/>
  <c r="H358"/>
  <c r="I358" s="1"/>
  <c r="K357" i="8"/>
  <c r="H357"/>
  <c r="I357" s="1"/>
  <c r="H357" i="11"/>
  <c r="I357" s="1"/>
  <c r="K357"/>
  <c r="P357" i="5"/>
  <c r="Q357" s="1"/>
  <c r="M357"/>
  <c r="K357" i="9"/>
  <c r="H357"/>
  <c r="I357" s="1"/>
  <c r="K356" i="8"/>
  <c r="H356"/>
  <c r="I356" s="1"/>
  <c r="H356" i="11"/>
  <c r="I356" s="1"/>
  <c r="K356"/>
  <c r="P356" i="5"/>
  <c r="Q356" s="1"/>
  <c r="M356"/>
  <c r="K356" i="9"/>
  <c r="H356"/>
  <c r="I356" s="1"/>
  <c r="K355" i="8"/>
  <c r="H355"/>
  <c r="I355" s="1"/>
  <c r="H355" i="11"/>
  <c r="I355" s="1"/>
  <c r="K355"/>
  <c r="P355" i="5"/>
  <c r="Q355" s="1"/>
  <c r="M355"/>
  <c r="K355" i="9"/>
  <c r="H355"/>
  <c r="I355" s="1"/>
  <c r="K354" i="8"/>
  <c r="H354"/>
  <c r="I354" s="1"/>
  <c r="H354" i="11"/>
  <c r="I354" s="1"/>
  <c r="K354"/>
  <c r="P354" i="5"/>
  <c r="Q354" s="1"/>
  <c r="M354"/>
  <c r="K354" i="9"/>
  <c r="H354"/>
  <c r="I354" s="1"/>
  <c r="K353" i="8"/>
  <c r="H353"/>
  <c r="I353" s="1"/>
  <c r="H353" i="11"/>
  <c r="I353" s="1"/>
  <c r="K353"/>
  <c r="P353" i="5"/>
  <c r="Q353" s="1"/>
  <c r="M353"/>
  <c r="K353" i="9"/>
  <c r="H353"/>
  <c r="I353" s="1"/>
  <c r="K352" i="8"/>
  <c r="H352"/>
  <c r="I352" s="1"/>
  <c r="H352" i="11"/>
  <c r="I352" s="1"/>
  <c r="K352"/>
  <c r="P352" i="5"/>
  <c r="Q352" s="1"/>
  <c r="M352"/>
  <c r="K352" i="9"/>
  <c r="H352"/>
  <c r="I352" s="1"/>
  <c r="K351" i="8"/>
  <c r="H351"/>
  <c r="I351" s="1"/>
  <c r="H351" i="11"/>
  <c r="I351" s="1"/>
  <c r="K351"/>
  <c r="P351" i="5"/>
  <c r="Q351" s="1"/>
  <c r="M351"/>
  <c r="K351" i="9"/>
  <c r="H351"/>
  <c r="I351" s="1"/>
  <c r="K350" i="8"/>
  <c r="H350"/>
  <c r="I350" s="1"/>
  <c r="H350" i="11"/>
  <c r="I350" s="1"/>
  <c r="K350"/>
  <c r="P350" i="5"/>
  <c r="Q350" s="1"/>
  <c r="M350"/>
  <c r="K350" i="9"/>
  <c r="H350"/>
  <c r="I350" s="1"/>
  <c r="K349" i="8"/>
  <c r="H349"/>
  <c r="I349" s="1"/>
  <c r="H349" i="11"/>
  <c r="I349" s="1"/>
  <c r="K349"/>
  <c r="P349" i="5"/>
  <c r="Q349" s="1"/>
  <c r="M349"/>
  <c r="K349" i="9"/>
  <c r="H349"/>
  <c r="I349" s="1"/>
  <c r="K348" i="8"/>
  <c r="H348"/>
  <c r="I348" s="1"/>
  <c r="H348" i="11"/>
  <c r="I348" s="1"/>
  <c r="K348"/>
  <c r="P348" i="5"/>
  <c r="Q348" s="1"/>
  <c r="M348"/>
  <c r="K348" i="9"/>
  <c r="H348"/>
  <c r="I348" s="1"/>
  <c r="K347" i="8"/>
  <c r="H347"/>
  <c r="I347" s="1"/>
  <c r="H347" i="11"/>
  <c r="I347" s="1"/>
  <c r="K347"/>
  <c r="P347" i="5"/>
  <c r="Q347" s="1"/>
  <c r="M347"/>
  <c r="K347" i="9"/>
  <c r="H347"/>
  <c r="I347" s="1"/>
  <c r="K346" i="8"/>
  <c r="H346"/>
  <c r="I346" s="1"/>
  <c r="H346" i="11"/>
  <c r="I346" s="1"/>
  <c r="K346"/>
  <c r="P346" i="5"/>
  <c r="Q346" s="1"/>
  <c r="M346"/>
  <c r="K346" i="9"/>
  <c r="H346"/>
  <c r="I346" s="1"/>
  <c r="K345" i="8"/>
  <c r="H345"/>
  <c r="I345" s="1"/>
  <c r="H345" i="11"/>
  <c r="I345" s="1"/>
  <c r="K345"/>
  <c r="P345" i="5"/>
  <c r="Q345" s="1"/>
  <c r="M345"/>
  <c r="K345" i="9"/>
  <c r="H345"/>
  <c r="I345" s="1"/>
  <c r="K344" i="8"/>
  <c r="H344"/>
  <c r="I344" s="1"/>
  <c r="H344" i="11"/>
  <c r="I344" s="1"/>
  <c r="K344"/>
  <c r="P344" i="5"/>
  <c r="Q344" s="1"/>
  <c r="M344"/>
  <c r="K344" i="9"/>
  <c r="H344"/>
  <c r="I344" s="1"/>
  <c r="K343" i="8"/>
  <c r="H343"/>
  <c r="I343" s="1"/>
  <c r="H343" i="11"/>
  <c r="I343" s="1"/>
  <c r="K343"/>
  <c r="P343" i="5"/>
  <c r="Q343" s="1"/>
  <c r="M343"/>
  <c r="K343" i="9"/>
  <c r="H343"/>
  <c r="I343" s="1"/>
  <c r="K342" i="8"/>
  <c r="H342"/>
  <c r="I342" s="1"/>
  <c r="H342" i="11"/>
  <c r="I342" s="1"/>
  <c r="K342"/>
  <c r="P342" i="5"/>
  <c r="Q342" s="1"/>
  <c r="M342"/>
  <c r="K342" i="9"/>
  <c r="H342"/>
  <c r="I342" s="1"/>
  <c r="K341" i="8"/>
  <c r="H341"/>
  <c r="I341" s="1"/>
  <c r="H341" i="11"/>
  <c r="I341" s="1"/>
  <c r="K341"/>
  <c r="P341" i="5"/>
  <c r="Q341" s="1"/>
  <c r="M341"/>
  <c r="K341" i="9"/>
  <c r="H341"/>
  <c r="I341" s="1"/>
  <c r="K340" i="8"/>
  <c r="H340"/>
  <c r="I340" s="1"/>
  <c r="H340" i="11"/>
  <c r="I340" s="1"/>
  <c r="K340"/>
  <c r="P340" i="5"/>
  <c r="Q340" s="1"/>
  <c r="M340"/>
  <c r="K340" i="9"/>
  <c r="H340"/>
  <c r="I340" s="1"/>
  <c r="K339" i="8"/>
  <c r="H339"/>
  <c r="I339" s="1"/>
  <c r="H339" i="11"/>
  <c r="I339" s="1"/>
  <c r="K339"/>
  <c r="P339" i="5"/>
  <c r="Q339" s="1"/>
  <c r="M339"/>
  <c r="K339" i="9"/>
  <c r="H339"/>
  <c r="I339" s="1"/>
  <c r="K338" i="8"/>
  <c r="H338"/>
  <c r="I338" s="1"/>
  <c r="H338" i="11"/>
  <c r="I338" s="1"/>
  <c r="K338"/>
  <c r="P338" i="5"/>
  <c r="Q338" s="1"/>
  <c r="M338"/>
  <c r="K338" i="9"/>
  <c r="H338"/>
  <c r="I338" s="1"/>
  <c r="K337" i="8"/>
  <c r="H337"/>
  <c r="I337" s="1"/>
  <c r="H337" i="11"/>
  <c r="I337" s="1"/>
  <c r="K337"/>
  <c r="P337" i="5"/>
  <c r="Q337" s="1"/>
  <c r="M337"/>
  <c r="K337" i="9"/>
  <c r="H337"/>
  <c r="I337" s="1"/>
  <c r="K336" i="8"/>
  <c r="H336"/>
  <c r="I336" s="1"/>
  <c r="H336" i="11"/>
  <c r="I336" s="1"/>
  <c r="K336"/>
  <c r="P336" i="5"/>
  <c r="Q336" s="1"/>
  <c r="M336"/>
  <c r="K336" i="9"/>
  <c r="H336"/>
  <c r="I336" s="1"/>
  <c r="K335" i="8"/>
  <c r="H335"/>
  <c r="I335" s="1"/>
  <c r="H335" i="11"/>
  <c r="I335" s="1"/>
  <c r="K335"/>
  <c r="P335" i="5"/>
  <c r="Q335" s="1"/>
  <c r="M335"/>
  <c r="K335" i="9"/>
  <c r="H335"/>
  <c r="I335" s="1"/>
  <c r="K334" i="8"/>
  <c r="H334"/>
  <c r="I334" s="1"/>
  <c r="H334" i="11"/>
  <c r="I334" s="1"/>
  <c r="K334"/>
  <c r="P334" i="5"/>
  <c r="Q334" s="1"/>
  <c r="M334"/>
  <c r="K334" i="9"/>
  <c r="H334"/>
  <c r="I334" s="1"/>
  <c r="K333" i="8"/>
  <c r="H333"/>
  <c r="I333" s="1"/>
  <c r="H333" i="11"/>
  <c r="I333" s="1"/>
  <c r="K333"/>
  <c r="P333" i="5"/>
  <c r="Q333" s="1"/>
  <c r="M333"/>
  <c r="K333" i="9"/>
  <c r="H333"/>
  <c r="I333" s="1"/>
  <c r="K332" i="8"/>
  <c r="H332"/>
  <c r="I332" s="1"/>
  <c r="H332" i="11"/>
  <c r="I332" s="1"/>
  <c r="K332"/>
  <c r="P332" i="5"/>
  <c r="Q332" s="1"/>
  <c r="M332"/>
  <c r="K332" i="9"/>
  <c r="H332"/>
  <c r="I332" s="1"/>
  <c r="K331" i="8"/>
  <c r="H331"/>
  <c r="I331" s="1"/>
  <c r="H331" i="11"/>
  <c r="I331" s="1"/>
  <c r="K331"/>
  <c r="P331" i="5"/>
  <c r="Q331" s="1"/>
  <c r="M331"/>
  <c r="K331" i="9"/>
  <c r="H331"/>
  <c r="I331" s="1"/>
  <c r="K330" i="8"/>
  <c r="H330"/>
  <c r="I330" s="1"/>
  <c r="H330" i="11"/>
  <c r="I330" s="1"/>
  <c r="K330"/>
  <c r="P330" i="5"/>
  <c r="Q330" s="1"/>
  <c r="M330"/>
  <c r="K330" i="9"/>
  <c r="H330"/>
  <c r="I330" s="1"/>
  <c r="K329" i="8"/>
  <c r="H329"/>
  <c r="I329" s="1"/>
  <c r="H329" i="11"/>
  <c r="I329" s="1"/>
  <c r="K329"/>
  <c r="P329" i="5"/>
  <c r="Q329" s="1"/>
  <c r="M329"/>
  <c r="K329" i="9"/>
  <c r="H329"/>
  <c r="I329" s="1"/>
  <c r="K328" i="8"/>
  <c r="H328"/>
  <c r="I328" s="1"/>
  <c r="H328" i="11"/>
  <c r="I328" s="1"/>
  <c r="K328"/>
  <c r="P328" i="5"/>
  <c r="Q328" s="1"/>
  <c r="M328"/>
  <c r="K328" i="9"/>
  <c r="H328"/>
  <c r="I328" s="1"/>
  <c r="K327" i="8"/>
  <c r="H327"/>
  <c r="I327" s="1"/>
  <c r="H327" i="11"/>
  <c r="I327" s="1"/>
  <c r="K327"/>
  <c r="P327" i="5"/>
  <c r="Q327" s="1"/>
  <c r="M327"/>
  <c r="K327" i="9"/>
  <c r="H327"/>
  <c r="I327" s="1"/>
  <c r="K326" i="8"/>
  <c r="H326"/>
  <c r="I326" s="1"/>
  <c r="H326" i="11"/>
  <c r="I326" s="1"/>
  <c r="K326"/>
  <c r="P326" i="5"/>
  <c r="Q326" s="1"/>
  <c r="M326"/>
  <c r="K326" i="9"/>
  <c r="H326"/>
  <c r="I326" s="1"/>
  <c r="K325" i="8"/>
  <c r="H325"/>
  <c r="I325" s="1"/>
  <c r="H325" i="11"/>
  <c r="I325" s="1"/>
  <c r="K325"/>
  <c r="P325" i="5"/>
  <c r="Q325" s="1"/>
  <c r="M325"/>
  <c r="K325" i="9"/>
  <c r="H325"/>
  <c r="I325" s="1"/>
  <c r="K324" i="8"/>
  <c r="H324"/>
  <c r="I324" s="1"/>
  <c r="H324" i="11"/>
  <c r="I324" s="1"/>
  <c r="K324"/>
  <c r="P324" i="5"/>
  <c r="Q324" s="1"/>
  <c r="M324"/>
  <c r="K324" i="9"/>
  <c r="H324"/>
  <c r="I324" s="1"/>
  <c r="K323" i="8"/>
  <c r="H323"/>
  <c r="I323" s="1"/>
  <c r="H323" i="11"/>
  <c r="I323" s="1"/>
  <c r="K323"/>
  <c r="P323" i="5"/>
  <c r="Q323" s="1"/>
  <c r="M323"/>
  <c r="K323" i="9"/>
  <c r="H323"/>
  <c r="I323" s="1"/>
  <c r="K322" i="8"/>
  <c r="H322"/>
  <c r="I322" s="1"/>
  <c r="H322" i="11"/>
  <c r="I322" s="1"/>
  <c r="K322"/>
  <c r="P322" i="5"/>
  <c r="Q322" s="1"/>
  <c r="M322"/>
  <c r="K322" i="9"/>
  <c r="H322"/>
  <c r="I322" s="1"/>
  <c r="K321" i="8"/>
  <c r="H321"/>
  <c r="I321" s="1"/>
  <c r="H321" i="11"/>
  <c r="I321" s="1"/>
  <c r="K321"/>
  <c r="P321" i="5"/>
  <c r="Q321" s="1"/>
  <c r="M321"/>
  <c r="K321" i="9"/>
  <c r="H321"/>
  <c r="I321" s="1"/>
  <c r="K320" i="8"/>
  <c r="H320"/>
  <c r="I320" s="1"/>
  <c r="H320" i="11"/>
  <c r="I320" s="1"/>
  <c r="K320"/>
  <c r="P320" i="5"/>
  <c r="Q320" s="1"/>
  <c r="M320"/>
  <c r="K320" i="9"/>
  <c r="H320"/>
  <c r="I320" s="1"/>
  <c r="K319" i="8"/>
  <c r="H319"/>
  <c r="I319" s="1"/>
  <c r="H319" i="11"/>
  <c r="I319" s="1"/>
  <c r="K319"/>
  <c r="P319" i="5"/>
  <c r="Q319" s="1"/>
  <c r="M319"/>
  <c r="K319" i="9"/>
  <c r="H319"/>
  <c r="I319" s="1"/>
  <c r="K318" i="8"/>
  <c r="H318"/>
  <c r="I318" s="1"/>
  <c r="H318" i="11"/>
  <c r="I318" s="1"/>
  <c r="K318"/>
  <c r="P318" i="5"/>
  <c r="Q318" s="1"/>
  <c r="M318"/>
  <c r="K318" i="9"/>
  <c r="H318"/>
  <c r="I318" s="1"/>
  <c r="K317" i="8"/>
  <c r="H317"/>
  <c r="I317" s="1"/>
  <c r="H317" i="11"/>
  <c r="I317" s="1"/>
  <c r="K317"/>
  <c r="P317" i="5"/>
  <c r="Q317" s="1"/>
  <c r="M317"/>
  <c r="K317" i="9"/>
  <c r="H317"/>
  <c r="I317" s="1"/>
  <c r="K316" i="8"/>
  <c r="H316"/>
  <c r="I316" s="1"/>
  <c r="H316" i="11"/>
  <c r="I316" s="1"/>
  <c r="K316"/>
  <c r="P316" i="5"/>
  <c r="Q316" s="1"/>
  <c r="M316"/>
  <c r="K316" i="9"/>
  <c r="H316"/>
  <c r="I316" s="1"/>
  <c r="K315" i="8"/>
  <c r="H315"/>
  <c r="I315" s="1"/>
  <c r="H315" i="11"/>
  <c r="I315" s="1"/>
  <c r="K315"/>
  <c r="P315" i="5"/>
  <c r="Q315" s="1"/>
  <c r="M315"/>
  <c r="K315" i="9"/>
  <c r="H315"/>
  <c r="I315" s="1"/>
  <c r="K314" i="8"/>
  <c r="H314"/>
  <c r="I314" s="1"/>
  <c r="H314" i="11"/>
  <c r="I314" s="1"/>
  <c r="K314"/>
  <c r="P314" i="5"/>
  <c r="Q314" s="1"/>
  <c r="M314"/>
  <c r="K314" i="9"/>
  <c r="H314"/>
  <c r="I314" s="1"/>
  <c r="K313" i="8"/>
  <c r="H313"/>
  <c r="I313" s="1"/>
  <c r="H313" i="11"/>
  <c r="I313" s="1"/>
  <c r="K313"/>
  <c r="P313" i="5"/>
  <c r="Q313" s="1"/>
  <c r="M313"/>
  <c r="K313" i="9"/>
  <c r="H313"/>
  <c r="I313" s="1"/>
  <c r="K312" i="8"/>
  <c r="H312"/>
  <c r="I312" s="1"/>
  <c r="H312" i="11"/>
  <c r="I312" s="1"/>
  <c r="K312"/>
  <c r="P312" i="5"/>
  <c r="Q312" s="1"/>
  <c r="M312"/>
  <c r="K312" i="9"/>
  <c r="H312"/>
  <c r="I312" s="1"/>
  <c r="K311" i="8"/>
  <c r="H311"/>
  <c r="I311" s="1"/>
  <c r="H311" i="11"/>
  <c r="I311" s="1"/>
  <c r="K311"/>
  <c r="P311" i="5"/>
  <c r="Q311" s="1"/>
  <c r="M311"/>
  <c r="K311" i="9"/>
  <c r="H311"/>
  <c r="I311" s="1"/>
  <c r="K310" i="8"/>
  <c r="H310"/>
  <c r="I310" s="1"/>
  <c r="H310" i="11"/>
  <c r="I310" s="1"/>
  <c r="K310"/>
  <c r="P310" i="5"/>
  <c r="Q310" s="1"/>
  <c r="M310"/>
  <c r="K310" i="9"/>
  <c r="H310"/>
  <c r="I310" s="1"/>
  <c r="K309" i="8"/>
  <c r="H309"/>
  <c r="I309" s="1"/>
  <c r="H309" i="11"/>
  <c r="I309" s="1"/>
  <c r="K309"/>
  <c r="P309" i="5"/>
  <c r="Q309" s="1"/>
  <c r="M309"/>
  <c r="K309" i="9"/>
  <c r="H309"/>
  <c r="I309" s="1"/>
  <c r="K308" i="8"/>
  <c r="H308"/>
  <c r="I308" s="1"/>
  <c r="H308" i="11"/>
  <c r="I308" s="1"/>
  <c r="K308"/>
  <c r="P308" i="5"/>
  <c r="Q308" s="1"/>
  <c r="M308"/>
  <c r="K308" i="9"/>
  <c r="H308"/>
  <c r="I308" s="1"/>
  <c r="K307" i="8"/>
  <c r="H307"/>
  <c r="I307" s="1"/>
  <c r="H307" i="11"/>
  <c r="I307" s="1"/>
  <c r="K307"/>
  <c r="P307" i="5"/>
  <c r="Q307" s="1"/>
  <c r="M307"/>
  <c r="K307" i="9"/>
  <c r="H307"/>
  <c r="I307" s="1"/>
  <c r="K306" i="8"/>
  <c r="H306"/>
  <c r="I306" s="1"/>
  <c r="H306" i="11"/>
  <c r="I306" s="1"/>
  <c r="K306"/>
  <c r="P306" i="5"/>
  <c r="Q306" s="1"/>
  <c r="M306"/>
  <c r="K306" i="9"/>
  <c r="H306"/>
  <c r="I306" s="1"/>
  <c r="K305" i="8"/>
  <c r="H305"/>
  <c r="I305" s="1"/>
  <c r="H305" i="11"/>
  <c r="I305" s="1"/>
  <c r="K305"/>
  <c r="P305" i="5"/>
  <c r="Q305" s="1"/>
  <c r="M305"/>
  <c r="K305" i="9"/>
  <c r="H305"/>
  <c r="I305" s="1"/>
  <c r="K304" i="8"/>
  <c r="H304"/>
  <c r="I304" s="1"/>
  <c r="H304" i="11"/>
  <c r="I304" s="1"/>
  <c r="K304"/>
  <c r="P304" i="5"/>
  <c r="Q304" s="1"/>
  <c r="M304"/>
  <c r="K304" i="9"/>
  <c r="H304"/>
  <c r="I304" s="1"/>
  <c r="K303" i="8"/>
  <c r="H303"/>
  <c r="I303" s="1"/>
  <c r="H303" i="11"/>
  <c r="I303" s="1"/>
  <c r="K303"/>
  <c r="P303" i="5"/>
  <c r="Q303" s="1"/>
  <c r="M303"/>
  <c r="K303" i="9"/>
  <c r="H303"/>
  <c r="I303" s="1"/>
  <c r="K302" i="8"/>
  <c r="H302"/>
  <c r="I302" s="1"/>
  <c r="H302" i="11"/>
  <c r="I302" s="1"/>
  <c r="K302"/>
  <c r="P302" i="5"/>
  <c r="Q302" s="1"/>
  <c r="M302"/>
  <c r="K302" i="9"/>
  <c r="H302"/>
  <c r="I302" s="1"/>
  <c r="K301" i="8"/>
  <c r="H301"/>
  <c r="I301" s="1"/>
  <c r="H301" i="11"/>
  <c r="I301" s="1"/>
  <c r="K301"/>
  <c r="P301" i="5"/>
  <c r="Q301" s="1"/>
  <c r="M301"/>
  <c r="K301" i="9"/>
  <c r="H301"/>
  <c r="I301" s="1"/>
  <c r="K300" i="8"/>
  <c r="H300"/>
  <c r="I300" s="1"/>
  <c r="H300" i="11"/>
  <c r="I300" s="1"/>
  <c r="K300"/>
  <c r="P300" i="5"/>
  <c r="Q300" s="1"/>
  <c r="M300"/>
  <c r="K300" i="9"/>
  <c r="H300"/>
  <c r="I300" s="1"/>
  <c r="K299" i="8"/>
  <c r="H299"/>
  <c r="I299" s="1"/>
  <c r="H299" i="11"/>
  <c r="I299" s="1"/>
  <c r="K299"/>
  <c r="P299" i="5"/>
  <c r="Q299" s="1"/>
  <c r="M299"/>
  <c r="K299" i="9"/>
  <c r="H299"/>
  <c r="I299" s="1"/>
  <c r="K298" i="8"/>
  <c r="H298"/>
  <c r="I298" s="1"/>
  <c r="H298" i="11"/>
  <c r="I298" s="1"/>
  <c r="K298"/>
  <c r="P298" i="5"/>
  <c r="Q298" s="1"/>
  <c r="M298"/>
  <c r="K298" i="9"/>
  <c r="H298"/>
  <c r="I298" s="1"/>
  <c r="K297" i="8"/>
  <c r="H297"/>
  <c r="I297" s="1"/>
  <c r="H297" i="11"/>
  <c r="I297" s="1"/>
  <c r="K297"/>
  <c r="P297" i="5"/>
  <c r="Q297" s="1"/>
  <c r="M297"/>
  <c r="K297" i="9"/>
  <c r="H297"/>
  <c r="I297" s="1"/>
  <c r="K296" i="8"/>
  <c r="H296"/>
  <c r="I296" s="1"/>
  <c r="H296" i="11"/>
  <c r="I296" s="1"/>
  <c r="K296"/>
  <c r="P296" i="5"/>
  <c r="Q296" s="1"/>
  <c r="M296"/>
  <c r="K296" i="9"/>
  <c r="H296"/>
  <c r="I296" s="1"/>
  <c r="K295" i="8"/>
  <c r="H295"/>
  <c r="I295" s="1"/>
  <c r="H295" i="11"/>
  <c r="I295" s="1"/>
  <c r="K295"/>
  <c r="P295" i="5"/>
  <c r="Q295" s="1"/>
  <c r="M295"/>
  <c r="K295" i="9"/>
  <c r="H295"/>
  <c r="I295" s="1"/>
  <c r="K294" i="8"/>
  <c r="H294"/>
  <c r="I294" s="1"/>
  <c r="H294" i="11"/>
  <c r="I294" s="1"/>
  <c r="K294"/>
  <c r="P294" i="5"/>
  <c r="Q294" s="1"/>
  <c r="M294"/>
  <c r="K294" i="9"/>
  <c r="H294"/>
  <c r="I294" s="1"/>
  <c r="K293" i="8"/>
  <c r="H293"/>
  <c r="I293" s="1"/>
  <c r="H293" i="11"/>
  <c r="I293" s="1"/>
  <c r="K293"/>
  <c r="P293" i="5"/>
  <c r="Q293" s="1"/>
  <c r="M293"/>
  <c r="K293" i="9"/>
  <c r="H293"/>
  <c r="I293" s="1"/>
  <c r="K292" i="8"/>
  <c r="H292"/>
  <c r="I292" s="1"/>
  <c r="H292" i="11"/>
  <c r="I292" s="1"/>
  <c r="K292"/>
  <c r="P292" i="5"/>
  <c r="Q292" s="1"/>
  <c r="M292"/>
  <c r="K292" i="9"/>
  <c r="H292"/>
  <c r="I292" s="1"/>
  <c r="K291" i="8"/>
  <c r="H291"/>
  <c r="I291" s="1"/>
  <c r="H291" i="11"/>
  <c r="I291" s="1"/>
  <c r="K291"/>
  <c r="P291" i="5"/>
  <c r="Q291" s="1"/>
  <c r="M291"/>
  <c r="K291" i="9"/>
  <c r="H291"/>
  <c r="I291" s="1"/>
  <c r="K290" i="8"/>
  <c r="H290"/>
  <c r="I290" s="1"/>
  <c r="H290" i="11"/>
  <c r="I290" s="1"/>
  <c r="K290"/>
  <c r="P290" i="5"/>
  <c r="Q290" s="1"/>
  <c r="M290"/>
  <c r="K290" i="9"/>
  <c r="H290"/>
  <c r="I290" s="1"/>
  <c r="K289" i="8"/>
  <c r="H289"/>
  <c r="I289" s="1"/>
  <c r="H289" i="11"/>
  <c r="I289" s="1"/>
  <c r="K289"/>
  <c r="P289" i="5"/>
  <c r="Q289" s="1"/>
  <c r="M289"/>
  <c r="K289" i="9"/>
  <c r="H289"/>
  <c r="I289" s="1"/>
  <c r="K288" i="8"/>
  <c r="H288"/>
  <c r="I288" s="1"/>
  <c r="H288" i="11"/>
  <c r="I288" s="1"/>
  <c r="K288"/>
  <c r="P288" i="5"/>
  <c r="Q288" s="1"/>
  <c r="M288"/>
  <c r="K288" i="9"/>
  <c r="H288"/>
  <c r="I288" s="1"/>
  <c r="K287" i="8"/>
  <c r="H287"/>
  <c r="I287" s="1"/>
  <c r="H287" i="11"/>
  <c r="I287" s="1"/>
  <c r="K287"/>
  <c r="P287" i="5"/>
  <c r="Q287" s="1"/>
  <c r="M287"/>
  <c r="K287" i="9"/>
  <c r="H287"/>
  <c r="I287" s="1"/>
  <c r="K286" i="8"/>
  <c r="H286"/>
  <c r="I286" s="1"/>
  <c r="H286" i="11"/>
  <c r="I286" s="1"/>
  <c r="K286"/>
  <c r="P286" i="5"/>
  <c r="Q286" s="1"/>
  <c r="M286"/>
  <c r="K286" i="9"/>
  <c r="H286"/>
  <c r="I286" s="1"/>
  <c r="K285" i="8"/>
  <c r="H285"/>
  <c r="I285" s="1"/>
  <c r="H285" i="11"/>
  <c r="I285" s="1"/>
  <c r="K285"/>
  <c r="P285" i="5"/>
  <c r="Q285" s="1"/>
  <c r="M285"/>
  <c r="K285" i="9"/>
  <c r="H285"/>
  <c r="I285" s="1"/>
  <c r="K284" i="8"/>
  <c r="H284"/>
  <c r="I284" s="1"/>
  <c r="H284" i="11"/>
  <c r="I284" s="1"/>
  <c r="K284"/>
  <c r="P284" i="5"/>
  <c r="Q284" s="1"/>
  <c r="M284"/>
  <c r="K284" i="9"/>
  <c r="H284"/>
  <c r="I284" s="1"/>
  <c r="K283" i="8"/>
  <c r="H283"/>
  <c r="I283" s="1"/>
  <c r="H283" i="11"/>
  <c r="I283" s="1"/>
  <c r="K283"/>
  <c r="P283" i="5"/>
  <c r="Q283" s="1"/>
  <c r="M283"/>
  <c r="K283" i="9"/>
  <c r="H283"/>
  <c r="I283" s="1"/>
  <c r="K282" i="8"/>
  <c r="H282"/>
  <c r="I282" s="1"/>
  <c r="H282" i="11"/>
  <c r="I282" s="1"/>
  <c r="K282"/>
  <c r="P282" i="5"/>
  <c r="Q282" s="1"/>
  <c r="M282"/>
  <c r="K282" i="9"/>
  <c r="H282"/>
  <c r="I282" s="1"/>
  <c r="K281" i="8"/>
  <c r="H281"/>
  <c r="I281" s="1"/>
  <c r="H281" i="11"/>
  <c r="I281" s="1"/>
  <c r="K281"/>
  <c r="P281" i="5"/>
  <c r="Q281" s="1"/>
  <c r="M281"/>
  <c r="K281" i="9"/>
  <c r="H281"/>
  <c r="I281" s="1"/>
  <c r="K280" i="8"/>
  <c r="H280"/>
  <c r="I280" s="1"/>
  <c r="H280" i="11"/>
  <c r="I280" s="1"/>
  <c r="K280"/>
  <c r="P280" i="5"/>
  <c r="Q280" s="1"/>
  <c r="M280"/>
  <c r="K280" i="9"/>
  <c r="H280"/>
  <c r="I280" s="1"/>
  <c r="K279" i="8"/>
  <c r="H279"/>
  <c r="I279" s="1"/>
  <c r="H279" i="11"/>
  <c r="I279" s="1"/>
  <c r="K279"/>
  <c r="P279" i="5"/>
  <c r="Q279" s="1"/>
  <c r="M279"/>
  <c r="K279" i="9"/>
  <c r="H279"/>
  <c r="I279" s="1"/>
  <c r="K278" i="8"/>
  <c r="H278"/>
  <c r="I278" s="1"/>
  <c r="H278" i="11"/>
  <c r="I278" s="1"/>
  <c r="K278"/>
  <c r="P278" i="5"/>
  <c r="Q278" s="1"/>
  <c r="M278"/>
  <c r="K278" i="9"/>
  <c r="H278"/>
  <c r="I278" s="1"/>
  <c r="K277" i="8"/>
  <c r="H277"/>
  <c r="I277" s="1"/>
  <c r="H277" i="11"/>
  <c r="I277" s="1"/>
  <c r="K277"/>
  <c r="P277" i="5"/>
  <c r="Q277" s="1"/>
  <c r="M277"/>
  <c r="K277" i="9"/>
  <c r="H277"/>
  <c r="I277" s="1"/>
  <c r="K276" i="8"/>
  <c r="H276"/>
  <c r="I276" s="1"/>
  <c r="H276" i="11"/>
  <c r="I276" s="1"/>
  <c r="K276"/>
  <c r="P276" i="5"/>
  <c r="Q276" s="1"/>
  <c r="M276"/>
  <c r="K276" i="9"/>
  <c r="H276"/>
  <c r="I276" s="1"/>
  <c r="K275" i="8"/>
  <c r="H275"/>
  <c r="I275" s="1"/>
  <c r="H275" i="11"/>
  <c r="I275" s="1"/>
  <c r="K275"/>
  <c r="P275" i="5"/>
  <c r="Q275" s="1"/>
  <c r="M275"/>
  <c r="K275" i="9"/>
  <c r="H275"/>
  <c r="I275" s="1"/>
  <c r="K274" i="8"/>
  <c r="H274"/>
  <c r="I274" s="1"/>
  <c r="H274" i="11"/>
  <c r="I274" s="1"/>
  <c r="K274"/>
  <c r="P274" i="5"/>
  <c r="Q274" s="1"/>
  <c r="M274"/>
  <c r="K274" i="9"/>
  <c r="H274"/>
  <c r="I274" s="1"/>
  <c r="K273" i="8"/>
  <c r="H273"/>
  <c r="I273" s="1"/>
  <c r="H273" i="11"/>
  <c r="I273" s="1"/>
  <c r="K273"/>
  <c r="P273" i="5"/>
  <c r="Q273" s="1"/>
  <c r="M273"/>
  <c r="K273" i="9"/>
  <c r="H273"/>
  <c r="I273" s="1"/>
  <c r="K272" i="8"/>
  <c r="H272"/>
  <c r="I272" s="1"/>
  <c r="H272" i="11"/>
  <c r="I272" s="1"/>
  <c r="K272"/>
  <c r="P272" i="5"/>
  <c r="Q272" s="1"/>
  <c r="M272"/>
  <c r="K272" i="9"/>
  <c r="H272"/>
  <c r="I272" s="1"/>
  <c r="K271" i="8"/>
  <c r="H271"/>
  <c r="I271" s="1"/>
  <c r="H271" i="11"/>
  <c r="I271" s="1"/>
  <c r="K271"/>
  <c r="P271" i="5"/>
  <c r="Q271" s="1"/>
  <c r="M271"/>
  <c r="K271" i="9"/>
  <c r="H271"/>
  <c r="I271" s="1"/>
  <c r="K270" i="8"/>
  <c r="H270"/>
  <c r="I270" s="1"/>
  <c r="H270" i="11"/>
  <c r="I270" s="1"/>
  <c r="K270"/>
  <c r="P270" i="5"/>
  <c r="Q270" s="1"/>
  <c r="M270"/>
  <c r="K270" i="9"/>
  <c r="H270"/>
  <c r="I270" s="1"/>
  <c r="K269" i="8"/>
  <c r="H269"/>
  <c r="I269" s="1"/>
  <c r="H269" i="11"/>
  <c r="I269" s="1"/>
  <c r="K269"/>
  <c r="P269" i="5"/>
  <c r="Q269" s="1"/>
  <c r="M269"/>
  <c r="K269" i="9"/>
  <c r="H269"/>
  <c r="I269" s="1"/>
  <c r="K268" i="8"/>
  <c r="H268"/>
  <c r="I268" s="1"/>
  <c r="H268" i="11"/>
  <c r="I268" s="1"/>
  <c r="K268"/>
  <c r="P268" i="5"/>
  <c r="Q268" s="1"/>
  <c r="M268"/>
  <c r="K268" i="9"/>
  <c r="H268"/>
  <c r="I268" s="1"/>
  <c r="K267" i="8"/>
  <c r="H267"/>
  <c r="I267" s="1"/>
  <c r="H267" i="11"/>
  <c r="I267" s="1"/>
  <c r="K267"/>
  <c r="P267" i="5"/>
  <c r="Q267" s="1"/>
  <c r="M267"/>
  <c r="K267" i="9"/>
  <c r="H267"/>
  <c r="I267" s="1"/>
  <c r="K266" i="8"/>
  <c r="H266"/>
  <c r="I266" s="1"/>
  <c r="H266" i="11"/>
  <c r="I266" s="1"/>
  <c r="K266"/>
  <c r="P266" i="5"/>
  <c r="Q266" s="1"/>
  <c r="M266"/>
  <c r="K266" i="9"/>
  <c r="H266"/>
  <c r="I266" s="1"/>
  <c r="K265" i="8"/>
  <c r="H265"/>
  <c r="I265" s="1"/>
  <c r="H265" i="11"/>
  <c r="I265" s="1"/>
  <c r="K265"/>
  <c r="P265" i="5"/>
  <c r="Q265" s="1"/>
  <c r="M265"/>
  <c r="K265" i="9"/>
  <c r="H265"/>
  <c r="I265" s="1"/>
  <c r="K264" i="8"/>
  <c r="H264"/>
  <c r="I264" s="1"/>
  <c r="H264" i="11"/>
  <c r="I264" s="1"/>
  <c r="K264"/>
  <c r="P264" i="5"/>
  <c r="Q264" s="1"/>
  <c r="M264"/>
  <c r="K264" i="9"/>
  <c r="H264"/>
  <c r="I264" s="1"/>
  <c r="K263" i="8"/>
  <c r="H263"/>
  <c r="I263" s="1"/>
  <c r="H263" i="11"/>
  <c r="I263" s="1"/>
  <c r="K263"/>
  <c r="P263" i="5"/>
  <c r="Q263" s="1"/>
  <c r="M263"/>
  <c r="K263" i="9"/>
  <c r="H263"/>
  <c r="I263" s="1"/>
  <c r="K262" i="8"/>
  <c r="H262"/>
  <c r="I262" s="1"/>
  <c r="H262" i="11"/>
  <c r="I262" s="1"/>
  <c r="K262"/>
  <c r="P262" i="5"/>
  <c r="Q262" s="1"/>
  <c r="M262"/>
  <c r="K262" i="9"/>
  <c r="H262"/>
  <c r="I262" s="1"/>
  <c r="K261" i="8"/>
  <c r="H261"/>
  <c r="I261" s="1"/>
  <c r="H261" i="11"/>
  <c r="I261" s="1"/>
  <c r="K261"/>
  <c r="P261" i="5"/>
  <c r="Q261" s="1"/>
  <c r="M261"/>
  <c r="K261" i="9"/>
  <c r="H261"/>
  <c r="I261" s="1"/>
  <c r="P260" i="5"/>
  <c r="Q260" s="1"/>
  <c r="M260"/>
  <c r="K260" i="9"/>
  <c r="H260"/>
  <c r="I260" s="1"/>
  <c r="K259" i="8"/>
  <c r="H259"/>
  <c r="I259" s="1"/>
  <c r="H259" i="11"/>
  <c r="I259" s="1"/>
  <c r="K259"/>
  <c r="P259" i="5"/>
  <c r="Q259" s="1"/>
  <c r="M259"/>
  <c r="K259" i="9"/>
  <c r="H259"/>
  <c r="I259" s="1"/>
  <c r="K258" i="8"/>
  <c r="H258"/>
  <c r="I258" s="1"/>
  <c r="H258" i="11"/>
  <c r="I258" s="1"/>
  <c r="K258"/>
  <c r="P258" i="5"/>
  <c r="Q258" s="1"/>
  <c r="M258"/>
  <c r="K258" i="9"/>
  <c r="H258"/>
  <c r="I258" s="1"/>
  <c r="K257" i="8"/>
  <c r="H257"/>
  <c r="I257" s="1"/>
  <c r="H257" i="11"/>
  <c r="I257" s="1"/>
  <c r="K257"/>
  <c r="P257" i="5"/>
  <c r="Q257" s="1"/>
  <c r="M257"/>
  <c r="K257" i="9"/>
  <c r="H257"/>
  <c r="I257" s="1"/>
  <c r="K256" i="8"/>
  <c r="H256"/>
  <c r="I256" s="1"/>
  <c r="H256" i="11"/>
  <c r="I256" s="1"/>
  <c r="K256"/>
  <c r="P256" i="5"/>
  <c r="Q256" s="1"/>
  <c r="M256"/>
  <c r="K256" i="9"/>
  <c r="H256"/>
  <c r="I256" s="1"/>
  <c r="K255" i="8"/>
  <c r="H255"/>
  <c r="I255" s="1"/>
  <c r="H255" i="11"/>
  <c r="I255" s="1"/>
  <c r="K255"/>
  <c r="P255" i="5"/>
  <c r="Q255" s="1"/>
  <c r="M255"/>
  <c r="K255" i="9"/>
  <c r="H255"/>
  <c r="I255" s="1"/>
  <c r="K254" i="8"/>
  <c r="H254"/>
  <c r="I254" s="1"/>
  <c r="H254" i="11"/>
  <c r="I254" s="1"/>
  <c r="K254"/>
  <c r="P254" i="5"/>
  <c r="Q254" s="1"/>
  <c r="M254"/>
  <c r="K254" i="9"/>
  <c r="H254"/>
  <c r="I254" s="1"/>
  <c r="K253" i="8"/>
  <c r="H253"/>
  <c r="I253" s="1"/>
  <c r="H253" i="11"/>
  <c r="I253" s="1"/>
  <c r="K253"/>
  <c r="P253" i="5"/>
  <c r="Q253" s="1"/>
  <c r="M253"/>
  <c r="K253" i="9"/>
  <c r="H253"/>
  <c r="I253" s="1"/>
  <c r="K252" i="8"/>
  <c r="H252"/>
  <c r="I252" s="1"/>
  <c r="H252" i="11"/>
  <c r="I252" s="1"/>
  <c r="K252"/>
  <c r="P252" i="5"/>
  <c r="Q252" s="1"/>
  <c r="M252"/>
  <c r="K252" i="9"/>
  <c r="H252"/>
  <c r="I252" s="1"/>
  <c r="K251" i="8"/>
  <c r="H251"/>
  <c r="I251" s="1"/>
  <c r="H251" i="11"/>
  <c r="I251" s="1"/>
  <c r="K251"/>
  <c r="P251" i="5"/>
  <c r="Q251" s="1"/>
  <c r="M251"/>
  <c r="K251" i="9"/>
  <c r="H251"/>
  <c r="I251" s="1"/>
  <c r="K250" i="8"/>
  <c r="H250"/>
  <c r="I250" s="1"/>
  <c r="H250" i="11"/>
  <c r="I250" s="1"/>
  <c r="K250"/>
  <c r="P250" i="5"/>
  <c r="Q250" s="1"/>
  <c r="M250"/>
  <c r="K250" i="9"/>
  <c r="H250"/>
  <c r="I250" s="1"/>
  <c r="K249" i="8"/>
  <c r="H249"/>
  <c r="I249" s="1"/>
  <c r="H249" i="11"/>
  <c r="I249" s="1"/>
  <c r="K249"/>
  <c r="P249" i="5"/>
  <c r="Q249" s="1"/>
  <c r="M249"/>
  <c r="K249" i="9"/>
  <c r="H249"/>
  <c r="I249" s="1"/>
  <c r="K248" i="8"/>
  <c r="H248"/>
  <c r="I248" s="1"/>
  <c r="H248" i="11"/>
  <c r="I248" s="1"/>
  <c r="K248"/>
  <c r="P248" i="5"/>
  <c r="Q248" s="1"/>
  <c r="M248"/>
  <c r="K248" i="9"/>
  <c r="H248"/>
  <c r="I248" s="1"/>
  <c r="K247" i="8"/>
  <c r="H247"/>
  <c r="I247" s="1"/>
  <c r="H247" i="11"/>
  <c r="I247" s="1"/>
  <c r="K247"/>
  <c r="P247" i="5"/>
  <c r="Q247" s="1"/>
  <c r="M247"/>
  <c r="K247" i="9"/>
  <c r="H247"/>
  <c r="I247" s="1"/>
  <c r="K246" i="8"/>
  <c r="H246"/>
  <c r="I246" s="1"/>
  <c r="H246" i="11"/>
  <c r="I246" s="1"/>
  <c r="K246"/>
  <c r="P246" i="5"/>
  <c r="Q246" s="1"/>
  <c r="M246"/>
  <c r="K246" i="9"/>
  <c r="H246"/>
  <c r="I246" s="1"/>
  <c r="K245" i="8"/>
  <c r="H245"/>
  <c r="I245" s="1"/>
  <c r="H245" i="11"/>
  <c r="I245" s="1"/>
  <c r="K245"/>
  <c r="P245" i="5"/>
  <c r="Q245" s="1"/>
  <c r="M245"/>
  <c r="K245" i="9"/>
  <c r="H245"/>
  <c r="I245" s="1"/>
  <c r="K244" i="8"/>
  <c r="H244"/>
  <c r="I244" s="1"/>
  <c r="H244" i="11"/>
  <c r="I244" s="1"/>
  <c r="K244"/>
  <c r="P244" i="5"/>
  <c r="Q244" s="1"/>
  <c r="M244"/>
  <c r="K244" i="9"/>
  <c r="H244"/>
  <c r="I244" s="1"/>
  <c r="K243" i="8"/>
  <c r="H243"/>
  <c r="I243" s="1"/>
  <c r="H243" i="11"/>
  <c r="I243" s="1"/>
  <c r="K243"/>
  <c r="P243" i="5"/>
  <c r="Q243" s="1"/>
  <c r="M243"/>
  <c r="K243" i="9"/>
  <c r="H243"/>
  <c r="I243" s="1"/>
  <c r="K242" i="8"/>
  <c r="H242"/>
  <c r="I242" s="1"/>
  <c r="H242" i="11"/>
  <c r="I242" s="1"/>
  <c r="K242"/>
  <c r="P242" i="5"/>
  <c r="Q242" s="1"/>
  <c r="M242"/>
  <c r="K242" i="9"/>
  <c r="H242"/>
  <c r="I242" s="1"/>
  <c r="K241" i="8"/>
  <c r="H241"/>
  <c r="I241" s="1"/>
  <c r="H241" i="11"/>
  <c r="I241" s="1"/>
  <c r="K241"/>
  <c r="P241" i="5"/>
  <c r="Q241" s="1"/>
  <c r="M241"/>
  <c r="K241" i="9"/>
  <c r="H241"/>
  <c r="I241" s="1"/>
  <c r="K240" i="8"/>
  <c r="H240"/>
  <c r="I240" s="1"/>
  <c r="H240" i="11"/>
  <c r="I240" s="1"/>
  <c r="K240"/>
  <c r="P240" i="5"/>
  <c r="Q240" s="1"/>
  <c r="M240"/>
  <c r="K240" i="9"/>
  <c r="H240"/>
  <c r="I240" s="1"/>
  <c r="K239" i="8"/>
  <c r="H239"/>
  <c r="I239" s="1"/>
  <c r="H239" i="11"/>
  <c r="I239" s="1"/>
  <c r="K239"/>
  <c r="P239" i="5"/>
  <c r="Q239" s="1"/>
  <c r="M239"/>
  <c r="K239" i="9"/>
  <c r="H239"/>
  <c r="I239" s="1"/>
  <c r="K238" i="8"/>
  <c r="H238"/>
  <c r="I238" s="1"/>
  <c r="H238" i="11"/>
  <c r="I238" s="1"/>
  <c r="K238"/>
  <c r="P238" i="5"/>
  <c r="Q238" s="1"/>
  <c r="M238"/>
  <c r="K238" i="9"/>
  <c r="H238"/>
  <c r="I238" s="1"/>
  <c r="K237" i="8"/>
  <c r="H237"/>
  <c r="I237" s="1"/>
  <c r="H237" i="11"/>
  <c r="I237" s="1"/>
  <c r="K237"/>
  <c r="P237" i="5"/>
  <c r="Q237" s="1"/>
  <c r="M237"/>
  <c r="K237" i="9"/>
  <c r="H237"/>
  <c r="I237" s="1"/>
  <c r="K236" i="8"/>
  <c r="H236"/>
  <c r="I236" s="1"/>
  <c r="H236" i="11"/>
  <c r="I236" s="1"/>
  <c r="K236"/>
  <c r="P236" i="5"/>
  <c r="Q236" s="1"/>
  <c r="M236"/>
  <c r="K236" i="9"/>
  <c r="H236"/>
  <c r="I236" s="1"/>
  <c r="K235" i="8"/>
  <c r="H235"/>
  <c r="I235" s="1"/>
  <c r="H235" i="11"/>
  <c r="I235" s="1"/>
  <c r="K235"/>
  <c r="P235" i="5"/>
  <c r="Q235" s="1"/>
  <c r="M235"/>
  <c r="K235" i="9"/>
  <c r="H235"/>
  <c r="I235" s="1"/>
  <c r="K234" i="8"/>
  <c r="H234"/>
  <c r="I234" s="1"/>
  <c r="H234" i="11"/>
  <c r="I234" s="1"/>
  <c r="K234"/>
  <c r="P234" i="5"/>
  <c r="Q234" s="1"/>
  <c r="M234"/>
  <c r="K234" i="9"/>
  <c r="H234"/>
  <c r="I234" s="1"/>
  <c r="K233" i="8"/>
  <c r="H233"/>
  <c r="I233" s="1"/>
  <c r="H233" i="11"/>
  <c r="I233" s="1"/>
  <c r="K233"/>
  <c r="P233" i="5"/>
  <c r="Q233" s="1"/>
  <c r="M233"/>
  <c r="K233" i="9"/>
  <c r="H233"/>
  <c r="I233" s="1"/>
  <c r="K232" i="8"/>
  <c r="H232"/>
  <c r="I232" s="1"/>
  <c r="H232" i="11"/>
  <c r="I232" s="1"/>
  <c r="K232"/>
  <c r="P232" i="5"/>
  <c r="Q232" s="1"/>
  <c r="M232"/>
  <c r="K232" i="9"/>
  <c r="H232"/>
  <c r="I232" s="1"/>
  <c r="K231" i="8"/>
  <c r="H231"/>
  <c r="I231" s="1"/>
  <c r="H231" i="11"/>
  <c r="I231" s="1"/>
  <c r="K231"/>
  <c r="P231" i="5"/>
  <c r="Q231" s="1"/>
  <c r="M231"/>
  <c r="K231" i="9"/>
  <c r="H231"/>
  <c r="I231" s="1"/>
  <c r="K230" i="8"/>
  <c r="H230"/>
  <c r="I230" s="1"/>
  <c r="H230" i="11"/>
  <c r="I230" s="1"/>
  <c r="K230"/>
  <c r="P230" i="5"/>
  <c r="Q230" s="1"/>
  <c r="M230"/>
  <c r="K230" i="9"/>
  <c r="H230"/>
  <c r="I230" s="1"/>
  <c r="K229" i="8"/>
  <c r="H229"/>
  <c r="I229" s="1"/>
  <c r="H229" i="11"/>
  <c r="I229" s="1"/>
  <c r="K229"/>
  <c r="P229" i="5"/>
  <c r="Q229" s="1"/>
  <c r="M229"/>
  <c r="K229" i="9"/>
  <c r="H229"/>
  <c r="I229" s="1"/>
  <c r="K228" i="8"/>
  <c r="H228"/>
  <c r="I228" s="1"/>
  <c r="H228" i="11"/>
  <c r="I228" s="1"/>
  <c r="K228"/>
  <c r="P228" i="5"/>
  <c r="Q228" s="1"/>
  <c r="M228"/>
  <c r="K228" i="9"/>
  <c r="H228"/>
  <c r="I228" s="1"/>
  <c r="K227" i="8"/>
  <c r="H227"/>
  <c r="I227" s="1"/>
  <c r="H227" i="11"/>
  <c r="I227" s="1"/>
  <c r="K227"/>
  <c r="P227" i="5"/>
  <c r="Q227" s="1"/>
  <c r="M227"/>
  <c r="K227" i="9"/>
  <c r="H227"/>
  <c r="I227" s="1"/>
  <c r="K226" i="8"/>
  <c r="H226"/>
  <c r="I226" s="1"/>
  <c r="H226" i="11"/>
  <c r="I226" s="1"/>
  <c r="K226"/>
  <c r="P226" i="5"/>
  <c r="Q226" s="1"/>
  <c r="M226"/>
  <c r="K226" i="9"/>
  <c r="H226"/>
  <c r="I226" s="1"/>
  <c r="K225" i="8"/>
  <c r="H225"/>
  <c r="I225" s="1"/>
  <c r="H225" i="11"/>
  <c r="I225" s="1"/>
  <c r="K225"/>
  <c r="P225" i="5"/>
  <c r="Q225" s="1"/>
  <c r="M225"/>
  <c r="K225" i="9"/>
  <c r="H225"/>
  <c r="I225" s="1"/>
  <c r="K224" i="8"/>
  <c r="H224"/>
  <c r="I224" s="1"/>
  <c r="H224" i="11"/>
  <c r="I224" s="1"/>
  <c r="K224"/>
  <c r="P224" i="5"/>
  <c r="Q224" s="1"/>
  <c r="M224"/>
  <c r="K224" i="9"/>
  <c r="H224"/>
  <c r="I224" s="1"/>
  <c r="K223" i="8"/>
  <c r="H223"/>
  <c r="I223" s="1"/>
  <c r="H223" i="11"/>
  <c r="I223" s="1"/>
  <c r="K223"/>
  <c r="P223" i="5"/>
  <c r="Q223" s="1"/>
  <c r="M223"/>
  <c r="K223" i="9"/>
  <c r="H223"/>
  <c r="I223" s="1"/>
  <c r="K222" i="8"/>
  <c r="H222"/>
  <c r="I222" s="1"/>
  <c r="H222" i="11"/>
  <c r="I222" s="1"/>
  <c r="K222"/>
  <c r="P222" i="5"/>
  <c r="Q222" s="1"/>
  <c r="M222"/>
  <c r="K222" i="9"/>
  <c r="H222"/>
  <c r="I222" s="1"/>
  <c r="K221" i="8"/>
  <c r="H221"/>
  <c r="I221" s="1"/>
  <c r="H221" i="11"/>
  <c r="I221" s="1"/>
  <c r="K221"/>
  <c r="P221" i="5"/>
  <c r="Q221" s="1"/>
  <c r="M221"/>
  <c r="K221" i="9"/>
  <c r="H221"/>
  <c r="I221" s="1"/>
  <c r="K220" i="8"/>
  <c r="H220"/>
  <c r="I220" s="1"/>
  <c r="H220" i="11"/>
  <c r="I220" s="1"/>
  <c r="K220"/>
  <c r="P220" i="5"/>
  <c r="Q220" s="1"/>
  <c r="M220"/>
  <c r="K220" i="9"/>
  <c r="H220"/>
  <c r="I220" s="1"/>
  <c r="K219" i="8"/>
  <c r="H219"/>
  <c r="I219" s="1"/>
  <c r="H219" i="11"/>
  <c r="I219" s="1"/>
  <c r="K219"/>
  <c r="P219" i="5"/>
  <c r="Q219" s="1"/>
  <c r="M219"/>
  <c r="K219" i="9"/>
  <c r="H219"/>
  <c r="I219" s="1"/>
  <c r="K218" i="8"/>
  <c r="H218"/>
  <c r="I218" s="1"/>
  <c r="H218" i="11"/>
  <c r="I218" s="1"/>
  <c r="K218"/>
  <c r="P218" i="5"/>
  <c r="Q218" s="1"/>
  <c r="M218"/>
  <c r="K218" i="9"/>
  <c r="H218"/>
  <c r="I218" s="1"/>
  <c r="K217" i="8"/>
  <c r="H217"/>
  <c r="I217" s="1"/>
  <c r="H217" i="11"/>
  <c r="I217" s="1"/>
  <c r="K217"/>
  <c r="P217" i="5"/>
  <c r="Q217" s="1"/>
  <c r="M217"/>
  <c r="K217" i="9"/>
  <c r="H217"/>
  <c r="I217" s="1"/>
  <c r="K216" i="8"/>
  <c r="H216"/>
  <c r="I216" s="1"/>
  <c r="H216" i="11"/>
  <c r="I216" s="1"/>
  <c r="K216"/>
  <c r="P216" i="5"/>
  <c r="Q216" s="1"/>
  <c r="M216"/>
  <c r="K216" i="9"/>
  <c r="H216"/>
  <c r="I216" s="1"/>
  <c r="K215" i="8"/>
  <c r="H215"/>
  <c r="I215" s="1"/>
  <c r="H215" i="11"/>
  <c r="I215" s="1"/>
  <c r="K215"/>
  <c r="P215" i="5"/>
  <c r="Q215" s="1"/>
  <c r="M215"/>
  <c r="K215" i="9"/>
  <c r="H215"/>
  <c r="I215" s="1"/>
  <c r="K214" i="8"/>
  <c r="H214"/>
  <c r="I214" s="1"/>
  <c r="H214" i="11"/>
  <c r="I214" s="1"/>
  <c r="K214"/>
  <c r="P214" i="5"/>
  <c r="Q214" s="1"/>
  <c r="M214"/>
  <c r="K214" i="9"/>
  <c r="H214"/>
  <c r="I214" s="1"/>
  <c r="K213" i="8"/>
  <c r="H213"/>
  <c r="I213" s="1"/>
  <c r="H213" i="11"/>
  <c r="I213" s="1"/>
  <c r="K213"/>
  <c r="P213" i="5"/>
  <c r="Q213" s="1"/>
  <c r="M213"/>
  <c r="K213" i="9"/>
  <c r="H213"/>
  <c r="I213" s="1"/>
  <c r="K212" i="8"/>
  <c r="H212"/>
  <c r="I212" s="1"/>
  <c r="H212" i="11"/>
  <c r="I212" s="1"/>
  <c r="K212"/>
  <c r="P212" i="5"/>
  <c r="Q212" s="1"/>
  <c r="M212"/>
  <c r="K212" i="9"/>
  <c r="H212"/>
  <c r="I212" s="1"/>
  <c r="K211" i="8"/>
  <c r="H211"/>
  <c r="I211" s="1"/>
  <c r="H211" i="11"/>
  <c r="I211" s="1"/>
  <c r="K211"/>
  <c r="P211" i="5"/>
  <c r="Q211" s="1"/>
  <c r="M211"/>
  <c r="K211" i="9"/>
  <c r="H211"/>
  <c r="I211" s="1"/>
  <c r="K210" i="8"/>
  <c r="H210"/>
  <c r="I210" s="1"/>
  <c r="H210" i="11"/>
  <c r="I210" s="1"/>
  <c r="K210"/>
  <c r="P210" i="5"/>
  <c r="Q210" s="1"/>
  <c r="M210"/>
  <c r="K210" i="9"/>
  <c r="H210"/>
  <c r="I210" s="1"/>
  <c r="K209" i="8"/>
  <c r="H209"/>
  <c r="I209" s="1"/>
  <c r="H209" i="11"/>
  <c r="I209" s="1"/>
  <c r="K209"/>
  <c r="P209" i="5"/>
  <c r="Q209" s="1"/>
  <c r="M209"/>
  <c r="K209" i="9"/>
  <c r="H209"/>
  <c r="I209" s="1"/>
  <c r="K208" i="8"/>
  <c r="H208"/>
  <c r="I208" s="1"/>
  <c r="H208" i="11"/>
  <c r="I208" s="1"/>
  <c r="K208"/>
  <c r="P208" i="5"/>
  <c r="Q208" s="1"/>
  <c r="M208"/>
  <c r="K208" i="9"/>
  <c r="H208"/>
  <c r="I208" s="1"/>
  <c r="K207" i="8"/>
  <c r="H207"/>
  <c r="I207" s="1"/>
  <c r="H207" i="11"/>
  <c r="I207" s="1"/>
  <c r="K207"/>
  <c r="P207" i="5"/>
  <c r="Q207" s="1"/>
  <c r="M207"/>
  <c r="K207" i="9"/>
  <c r="H207"/>
  <c r="I207" s="1"/>
  <c r="K206" i="8"/>
  <c r="H206"/>
  <c r="I206" s="1"/>
  <c r="H206" i="11"/>
  <c r="I206" s="1"/>
  <c r="K206"/>
  <c r="P206" i="5"/>
  <c r="Q206" s="1"/>
  <c r="M206"/>
  <c r="K206" i="9"/>
  <c r="H206"/>
  <c r="I206" s="1"/>
  <c r="K205" i="8"/>
  <c r="H205"/>
  <c r="I205" s="1"/>
  <c r="H205" i="11"/>
  <c r="I205" s="1"/>
  <c r="K205"/>
  <c r="P205" i="5"/>
  <c r="Q205" s="1"/>
  <c r="M205"/>
  <c r="K205" i="9"/>
  <c r="H205"/>
  <c r="I205" s="1"/>
  <c r="K204" i="8"/>
  <c r="H204"/>
  <c r="I204" s="1"/>
  <c r="H204" i="11"/>
  <c r="I204" s="1"/>
  <c r="K204"/>
  <c r="P204" i="5"/>
  <c r="Q204" s="1"/>
  <c r="M204"/>
  <c r="K204" i="9"/>
  <c r="H204"/>
  <c r="I204" s="1"/>
  <c r="K203" i="8"/>
  <c r="H203"/>
  <c r="I203" s="1"/>
  <c r="H203" i="11"/>
  <c r="I203" s="1"/>
  <c r="K203"/>
  <c r="P203" i="5"/>
  <c r="Q203" s="1"/>
  <c r="M203"/>
  <c r="K203" i="9"/>
  <c r="H203"/>
  <c r="I203" s="1"/>
  <c r="K202" i="8"/>
  <c r="H202"/>
  <c r="I202" s="1"/>
  <c r="H202" i="11"/>
  <c r="I202" s="1"/>
  <c r="K202"/>
  <c r="P202" i="5"/>
  <c r="Q202" s="1"/>
  <c r="M202"/>
  <c r="K202" i="9"/>
  <c r="H202"/>
  <c r="I202" s="1"/>
  <c r="K201" i="8"/>
  <c r="H201"/>
  <c r="I201" s="1"/>
  <c r="H201" i="11"/>
  <c r="I201" s="1"/>
  <c r="K201"/>
  <c r="P201" i="5"/>
  <c r="Q201" s="1"/>
  <c r="M201"/>
  <c r="K201" i="9"/>
  <c r="H201"/>
  <c r="I201" s="1"/>
  <c r="K200" i="8"/>
  <c r="H200"/>
  <c r="I200" s="1"/>
  <c r="H200" i="11"/>
  <c r="I200" s="1"/>
  <c r="K200"/>
  <c r="P200" i="5"/>
  <c r="Q200" s="1"/>
  <c r="M200"/>
  <c r="K200" i="9"/>
  <c r="H200"/>
  <c r="I200" s="1"/>
  <c r="K199" i="8"/>
  <c r="H199"/>
  <c r="I199" s="1"/>
  <c r="H199" i="11"/>
  <c r="I199" s="1"/>
  <c r="K199"/>
  <c r="P199" i="5"/>
  <c r="Q199" s="1"/>
  <c r="M199"/>
  <c r="K199" i="9"/>
  <c r="H199"/>
  <c r="I199" s="1"/>
  <c r="K198" i="8"/>
  <c r="H198"/>
  <c r="I198" s="1"/>
  <c r="H198" i="11"/>
  <c r="I198" s="1"/>
  <c r="K198"/>
  <c r="P198" i="5"/>
  <c r="Q198" s="1"/>
  <c r="M198"/>
  <c r="K198" i="9"/>
  <c r="H198"/>
  <c r="I198" s="1"/>
  <c r="K197" i="8"/>
  <c r="H197"/>
  <c r="I197" s="1"/>
  <c r="H197" i="11"/>
  <c r="I197" s="1"/>
  <c r="K197"/>
  <c r="P197" i="5"/>
  <c r="Q197" s="1"/>
  <c r="M197"/>
  <c r="K197" i="9"/>
  <c r="H197"/>
  <c r="I197" s="1"/>
  <c r="K196" i="8"/>
  <c r="H196"/>
  <c r="I196" s="1"/>
  <c r="H196" i="11"/>
  <c r="I196" s="1"/>
  <c r="K196"/>
  <c r="P196" i="5"/>
  <c r="Q196" s="1"/>
  <c r="M196"/>
  <c r="K196" i="9"/>
  <c r="H196"/>
  <c r="I196" s="1"/>
  <c r="K195" i="8"/>
  <c r="H195"/>
  <c r="I195" s="1"/>
  <c r="H195" i="11"/>
  <c r="I195" s="1"/>
  <c r="K195"/>
  <c r="P195" i="5"/>
  <c r="Q195" s="1"/>
  <c r="M195"/>
  <c r="K195" i="9"/>
  <c r="H195"/>
  <c r="I195" s="1"/>
  <c r="K194" i="8"/>
  <c r="H194"/>
  <c r="I194" s="1"/>
  <c r="H194" i="11"/>
  <c r="I194" s="1"/>
  <c r="K194"/>
  <c r="P194" i="5"/>
  <c r="Q194" s="1"/>
  <c r="M194"/>
  <c r="K194" i="9"/>
  <c r="H194"/>
  <c r="I194" s="1"/>
  <c r="K193" i="8"/>
  <c r="H193"/>
  <c r="I193" s="1"/>
  <c r="H193" i="11"/>
  <c r="I193" s="1"/>
  <c r="K193"/>
  <c r="P193" i="5"/>
  <c r="Q193" s="1"/>
  <c r="M193"/>
  <c r="K193" i="9"/>
  <c r="H193"/>
  <c r="I193" s="1"/>
  <c r="K192" i="8"/>
  <c r="H192"/>
  <c r="I192" s="1"/>
  <c r="H192" i="11"/>
  <c r="I192" s="1"/>
  <c r="K192"/>
  <c r="P192" i="5"/>
  <c r="Q192" s="1"/>
  <c r="M192"/>
  <c r="K192" i="9"/>
  <c r="H192"/>
  <c r="I192" s="1"/>
  <c r="K191" i="8"/>
  <c r="H191"/>
  <c r="I191" s="1"/>
  <c r="H191" i="11"/>
  <c r="I191" s="1"/>
  <c r="K191"/>
  <c r="P191" i="5"/>
  <c r="Q191" s="1"/>
  <c r="M191"/>
  <c r="K191" i="9"/>
  <c r="H191"/>
  <c r="I191" s="1"/>
  <c r="K190" i="8"/>
  <c r="H190"/>
  <c r="I190" s="1"/>
  <c r="H190" i="11"/>
  <c r="I190" s="1"/>
  <c r="K190"/>
  <c r="P190" i="5"/>
  <c r="Q190" s="1"/>
  <c r="M190"/>
  <c r="K190" i="9"/>
  <c r="H190"/>
  <c r="I190" s="1"/>
  <c r="K189" i="8"/>
  <c r="H189"/>
  <c r="I189" s="1"/>
  <c r="H189" i="11"/>
  <c r="I189" s="1"/>
  <c r="K189"/>
  <c r="P189" i="5"/>
  <c r="Q189" s="1"/>
  <c r="M189"/>
  <c r="K189" i="9"/>
  <c r="H189"/>
  <c r="I189" s="1"/>
  <c r="K188" i="8"/>
  <c r="H188"/>
  <c r="I188" s="1"/>
  <c r="H188" i="11"/>
  <c r="I188" s="1"/>
  <c r="K188"/>
  <c r="P188" i="5"/>
  <c r="Q188" s="1"/>
  <c r="M188"/>
  <c r="K188" i="9"/>
  <c r="H188"/>
  <c r="I188" s="1"/>
  <c r="K187" i="8"/>
  <c r="H187"/>
  <c r="I187" s="1"/>
  <c r="H187" i="11"/>
  <c r="I187" s="1"/>
  <c r="K187"/>
  <c r="P187" i="5"/>
  <c r="Q187" s="1"/>
  <c r="M187"/>
  <c r="K187" i="9"/>
  <c r="H187"/>
  <c r="I187" s="1"/>
  <c r="K186" i="8"/>
  <c r="H186"/>
  <c r="I186" s="1"/>
  <c r="H186" i="11"/>
  <c r="I186" s="1"/>
  <c r="K186"/>
  <c r="P186" i="5"/>
  <c r="Q186" s="1"/>
  <c r="M186"/>
  <c r="K186" i="9"/>
  <c r="H186"/>
  <c r="I186" s="1"/>
  <c r="K185" i="8"/>
  <c r="H185"/>
  <c r="I185" s="1"/>
  <c r="H185" i="11"/>
  <c r="I185" s="1"/>
  <c r="K185"/>
  <c r="P185" i="5"/>
  <c r="Q185" s="1"/>
  <c r="M185"/>
  <c r="K185" i="9"/>
  <c r="H185"/>
  <c r="I185" s="1"/>
  <c r="K184" i="8"/>
  <c r="H184"/>
  <c r="I184" s="1"/>
  <c r="H184" i="11"/>
  <c r="I184" s="1"/>
  <c r="K184"/>
  <c r="P184" i="5"/>
  <c r="Q184" s="1"/>
  <c r="M184"/>
  <c r="K184" i="9"/>
  <c r="H184"/>
  <c r="I184" s="1"/>
  <c r="K183" i="8"/>
  <c r="H183"/>
  <c r="I183" s="1"/>
  <c r="H183" i="11"/>
  <c r="I183" s="1"/>
  <c r="K183"/>
  <c r="P183" i="5"/>
  <c r="Q183" s="1"/>
  <c r="M183"/>
  <c r="K183" i="9"/>
  <c r="H183"/>
  <c r="I183" s="1"/>
  <c r="K182" i="8"/>
  <c r="H182"/>
  <c r="I182" s="1"/>
  <c r="H182" i="11"/>
  <c r="I182" s="1"/>
  <c r="K182"/>
  <c r="P182" i="5"/>
  <c r="Q182" s="1"/>
  <c r="M182"/>
  <c r="K182" i="9"/>
  <c r="H182"/>
  <c r="I182" s="1"/>
  <c r="K181" i="8"/>
  <c r="H181"/>
  <c r="I181" s="1"/>
  <c r="H181" i="11"/>
  <c r="I181" s="1"/>
  <c r="K181"/>
  <c r="P181" i="5"/>
  <c r="Q181" s="1"/>
  <c r="M181"/>
  <c r="K181" i="9"/>
  <c r="H181"/>
  <c r="I181" s="1"/>
  <c r="K180" i="8"/>
  <c r="H180"/>
  <c r="I180" s="1"/>
  <c r="H180" i="11"/>
  <c r="I180" s="1"/>
  <c r="K180"/>
  <c r="P180" i="5"/>
  <c r="Q180" s="1"/>
  <c r="M180"/>
  <c r="K180" i="9"/>
  <c r="H180"/>
  <c r="I180" s="1"/>
  <c r="K179" i="8"/>
  <c r="H179"/>
  <c r="I179" s="1"/>
  <c r="H179" i="11"/>
  <c r="I179" s="1"/>
  <c r="K179"/>
  <c r="P179" i="5"/>
  <c r="Q179" s="1"/>
  <c r="M179"/>
  <c r="K179" i="9"/>
  <c r="H179"/>
  <c r="I179" s="1"/>
  <c r="K178" i="8"/>
  <c r="H178"/>
  <c r="I178" s="1"/>
  <c r="H178" i="11"/>
  <c r="I178" s="1"/>
  <c r="K178"/>
  <c r="P178" i="5"/>
  <c r="Q178" s="1"/>
  <c r="M178"/>
  <c r="K178" i="9"/>
  <c r="H178"/>
  <c r="I178" s="1"/>
  <c r="K177" i="8"/>
  <c r="H177"/>
  <c r="I177" s="1"/>
  <c r="H177" i="11"/>
  <c r="I177" s="1"/>
  <c r="K177"/>
  <c r="P177" i="5"/>
  <c r="Q177" s="1"/>
  <c r="M177"/>
  <c r="K177" i="9"/>
  <c r="H177"/>
  <c r="I177" s="1"/>
  <c r="K176" i="8"/>
  <c r="H176"/>
  <c r="I176" s="1"/>
  <c r="H176" i="11"/>
  <c r="I176" s="1"/>
  <c r="K176"/>
  <c r="P176" i="5"/>
  <c r="Q176" s="1"/>
  <c r="M176"/>
  <c r="K176" i="9"/>
  <c r="H176"/>
  <c r="I176" s="1"/>
  <c r="K175" i="8"/>
  <c r="H175"/>
  <c r="I175" s="1"/>
  <c r="H175" i="11"/>
  <c r="I175" s="1"/>
  <c r="K175"/>
  <c r="P175" i="5"/>
  <c r="Q175" s="1"/>
  <c r="M175"/>
  <c r="K175" i="9"/>
  <c r="H175"/>
  <c r="I175" s="1"/>
  <c r="K174" i="8"/>
  <c r="H174"/>
  <c r="I174" s="1"/>
  <c r="H174" i="11"/>
  <c r="I174" s="1"/>
  <c r="K174"/>
  <c r="P174" i="5"/>
  <c r="Q174" s="1"/>
  <c r="M174"/>
  <c r="K174" i="9"/>
  <c r="H174"/>
  <c r="I174" s="1"/>
  <c r="K173" i="8"/>
  <c r="H173"/>
  <c r="I173" s="1"/>
  <c r="H173" i="11"/>
  <c r="I173" s="1"/>
  <c r="K173"/>
  <c r="P173" i="5"/>
  <c r="Q173" s="1"/>
  <c r="M173"/>
  <c r="K173" i="9"/>
  <c r="H173"/>
  <c r="I173" s="1"/>
  <c r="K172" i="8"/>
  <c r="H172"/>
  <c r="I172" s="1"/>
  <c r="H172" i="11"/>
  <c r="I172" s="1"/>
  <c r="K172"/>
  <c r="P172" i="5"/>
  <c r="Q172" s="1"/>
  <c r="M172"/>
  <c r="K172" i="9"/>
  <c r="H172"/>
  <c r="I172" s="1"/>
  <c r="K171" i="8"/>
  <c r="H171"/>
  <c r="I171" s="1"/>
  <c r="H171" i="11"/>
  <c r="I171" s="1"/>
  <c r="K171"/>
  <c r="P171" i="5"/>
  <c r="Q171" s="1"/>
  <c r="M171"/>
  <c r="K171" i="9"/>
  <c r="H171"/>
  <c r="I171" s="1"/>
  <c r="K170" i="8"/>
  <c r="H170"/>
  <c r="I170" s="1"/>
  <c r="H170" i="11"/>
  <c r="I170" s="1"/>
  <c r="K170"/>
  <c r="P170" i="5"/>
  <c r="Q170" s="1"/>
  <c r="M170"/>
  <c r="K170" i="9"/>
  <c r="H170"/>
  <c r="I170" s="1"/>
  <c r="K169" i="8"/>
  <c r="H169"/>
  <c r="I169" s="1"/>
  <c r="H169" i="11"/>
  <c r="I169" s="1"/>
  <c r="K169"/>
  <c r="P169" i="5"/>
  <c r="Q169" s="1"/>
  <c r="M169"/>
  <c r="K169" i="9"/>
  <c r="H169"/>
  <c r="I169" s="1"/>
  <c r="K168" i="8"/>
  <c r="H168"/>
  <c r="I168" s="1"/>
  <c r="H168" i="11"/>
  <c r="I168" s="1"/>
  <c r="K168"/>
  <c r="P168" i="5"/>
  <c r="Q168" s="1"/>
  <c r="M168"/>
  <c r="K168" i="9"/>
  <c r="H168"/>
  <c r="I168" s="1"/>
  <c r="K167" i="8"/>
  <c r="H167"/>
  <c r="I167" s="1"/>
  <c r="H167" i="11"/>
  <c r="I167" s="1"/>
  <c r="K167"/>
  <c r="P167" i="5"/>
  <c r="Q167" s="1"/>
  <c r="M167"/>
  <c r="K167" i="9"/>
  <c r="H167"/>
  <c r="I167" s="1"/>
  <c r="K166" i="8"/>
  <c r="H166"/>
  <c r="I166" s="1"/>
  <c r="H166" i="11"/>
  <c r="I166" s="1"/>
  <c r="K166"/>
  <c r="P166" i="5"/>
  <c r="Q166" s="1"/>
  <c r="M166"/>
  <c r="K166" i="9"/>
  <c r="H166"/>
  <c r="I166" s="1"/>
  <c r="K165" i="8"/>
  <c r="H165"/>
  <c r="I165" s="1"/>
  <c r="H165" i="11"/>
  <c r="I165" s="1"/>
  <c r="K165"/>
  <c r="P165" i="5"/>
  <c r="Q165" s="1"/>
  <c r="M165"/>
  <c r="K165" i="9"/>
  <c r="H165"/>
  <c r="I165" s="1"/>
  <c r="K164" i="8"/>
  <c r="H164"/>
  <c r="I164" s="1"/>
  <c r="H164" i="11"/>
  <c r="I164" s="1"/>
  <c r="K164"/>
  <c r="P164" i="5"/>
  <c r="Q164" s="1"/>
  <c r="M164"/>
  <c r="K164" i="9"/>
  <c r="H164"/>
  <c r="I164" s="1"/>
  <c r="K163" i="8"/>
  <c r="H163"/>
  <c r="I163" s="1"/>
  <c r="H163" i="11"/>
  <c r="I163" s="1"/>
  <c r="K163"/>
  <c r="P163" i="5"/>
  <c r="Q163" s="1"/>
  <c r="M163"/>
  <c r="K163" i="9"/>
  <c r="H163"/>
  <c r="I163" s="1"/>
  <c r="K162" i="8"/>
  <c r="H162"/>
  <c r="I162" s="1"/>
  <c r="H162" i="11"/>
  <c r="I162" s="1"/>
  <c r="K162"/>
  <c r="P162" i="5"/>
  <c r="Q162" s="1"/>
  <c r="M162"/>
  <c r="K162" i="9"/>
  <c r="H162"/>
  <c r="I162" s="1"/>
  <c r="K161" i="8"/>
  <c r="H161"/>
  <c r="I161" s="1"/>
  <c r="H161" i="11"/>
  <c r="I161" s="1"/>
  <c r="K161"/>
  <c r="P161" i="5"/>
  <c r="Q161" s="1"/>
  <c r="M161"/>
  <c r="K161" i="9"/>
  <c r="H161"/>
  <c r="I161" s="1"/>
  <c r="K160" i="8"/>
  <c r="H160"/>
  <c r="I160" s="1"/>
  <c r="H160" i="11"/>
  <c r="I160" s="1"/>
  <c r="K160"/>
  <c r="P160" i="5"/>
  <c r="Q160" s="1"/>
  <c r="M160"/>
  <c r="K160" i="9"/>
  <c r="H160"/>
  <c r="I160" s="1"/>
  <c r="K159" i="8"/>
  <c r="H159"/>
  <c r="I159" s="1"/>
  <c r="H159" i="11"/>
  <c r="I159" s="1"/>
  <c r="K159"/>
  <c r="P159" i="5"/>
  <c r="Q159" s="1"/>
  <c r="M159"/>
  <c r="K159" i="9"/>
  <c r="H159"/>
  <c r="I159" s="1"/>
  <c r="K158" i="8"/>
  <c r="H158"/>
  <c r="I158" s="1"/>
  <c r="H158" i="11"/>
  <c r="I158" s="1"/>
  <c r="K158"/>
  <c r="P158" i="5"/>
  <c r="Q158" s="1"/>
  <c r="M158"/>
  <c r="K158" i="9"/>
  <c r="H158"/>
  <c r="I158" s="1"/>
  <c r="K157" i="8"/>
  <c r="H157"/>
  <c r="I157" s="1"/>
  <c r="H157" i="11"/>
  <c r="I157" s="1"/>
  <c r="K157"/>
  <c r="P157" i="5"/>
  <c r="Q157" s="1"/>
  <c r="M157"/>
  <c r="K157" i="9"/>
  <c r="H157"/>
  <c r="I157" s="1"/>
  <c r="K156" i="8"/>
  <c r="H156"/>
  <c r="I156" s="1"/>
  <c r="H156" i="11"/>
  <c r="I156" s="1"/>
  <c r="K156"/>
  <c r="P156" i="5"/>
  <c r="Q156" s="1"/>
  <c r="M156"/>
  <c r="K156" i="9"/>
  <c r="H156"/>
  <c r="I156" s="1"/>
  <c r="K155" i="8"/>
  <c r="H155"/>
  <c r="I155" s="1"/>
  <c r="H155" i="11"/>
  <c r="I155" s="1"/>
  <c r="K155"/>
  <c r="P155" i="5"/>
  <c r="Q155" s="1"/>
  <c r="M155"/>
  <c r="K155" i="9"/>
  <c r="H155"/>
  <c r="I155" s="1"/>
  <c r="K154" i="8"/>
  <c r="H154"/>
  <c r="I154" s="1"/>
  <c r="H154" i="11"/>
  <c r="I154" s="1"/>
  <c r="K154"/>
  <c r="P154" i="5"/>
  <c r="Q154" s="1"/>
  <c r="M154"/>
  <c r="K154" i="9"/>
  <c r="H154"/>
  <c r="I154" s="1"/>
  <c r="K153" i="8"/>
  <c r="H153"/>
  <c r="I153" s="1"/>
  <c r="H153" i="11"/>
  <c r="I153" s="1"/>
  <c r="K153"/>
  <c r="P153" i="5"/>
  <c r="Q153" s="1"/>
  <c r="M153"/>
  <c r="K153" i="9"/>
  <c r="H153"/>
  <c r="I153" s="1"/>
  <c r="K152" i="8"/>
  <c r="H152"/>
  <c r="I152" s="1"/>
  <c r="H152" i="11"/>
  <c r="I152" s="1"/>
  <c r="K152"/>
  <c r="P152" i="5"/>
  <c r="Q152" s="1"/>
  <c r="M152"/>
  <c r="K152" i="9"/>
  <c r="H152"/>
  <c r="I152" s="1"/>
  <c r="K151" i="8"/>
  <c r="H151"/>
  <c r="I151" s="1"/>
  <c r="H151" i="11"/>
  <c r="I151" s="1"/>
  <c r="K151"/>
  <c r="P151" i="5"/>
  <c r="Q151" s="1"/>
  <c r="M151"/>
  <c r="K151" i="9"/>
  <c r="H151"/>
  <c r="I151" s="1"/>
  <c r="K150" i="8"/>
  <c r="H150"/>
  <c r="I150" s="1"/>
  <c r="H150" i="11"/>
  <c r="I150" s="1"/>
  <c r="K150"/>
  <c r="P150" i="5"/>
  <c r="Q150" s="1"/>
  <c r="M150"/>
  <c r="K150" i="9"/>
  <c r="H150"/>
  <c r="I150" s="1"/>
  <c r="K149" i="8"/>
  <c r="H149"/>
  <c r="I149" s="1"/>
  <c r="H149" i="11"/>
  <c r="I149" s="1"/>
  <c r="K149"/>
  <c r="P149" i="5"/>
  <c r="Q149" s="1"/>
  <c r="M149"/>
  <c r="K149" i="9"/>
  <c r="H149"/>
  <c r="I149" s="1"/>
  <c r="K148" i="8"/>
  <c r="H148"/>
  <c r="I148" s="1"/>
  <c r="H148" i="11"/>
  <c r="I148" s="1"/>
  <c r="K148"/>
  <c r="P148" i="5"/>
  <c r="Q148" s="1"/>
  <c r="M148"/>
  <c r="K148" i="9"/>
  <c r="H148"/>
  <c r="I148" s="1"/>
  <c r="K147" i="8"/>
  <c r="H147"/>
  <c r="I147" s="1"/>
  <c r="H147" i="11"/>
  <c r="I147" s="1"/>
  <c r="K147"/>
  <c r="P147" i="5"/>
  <c r="Q147" s="1"/>
  <c r="M147"/>
  <c r="K147" i="9"/>
  <c r="H147"/>
  <c r="I147" s="1"/>
  <c r="K146" i="8"/>
  <c r="H146"/>
  <c r="I146" s="1"/>
  <c r="H146" i="11"/>
  <c r="I146" s="1"/>
  <c r="K146"/>
  <c r="P146" i="5"/>
  <c r="Q146" s="1"/>
  <c r="M146"/>
  <c r="K146" i="9"/>
  <c r="H146"/>
  <c r="I146" s="1"/>
  <c r="K145" i="8"/>
  <c r="H145"/>
  <c r="I145" s="1"/>
  <c r="H145" i="11"/>
  <c r="I145" s="1"/>
  <c r="K145"/>
  <c r="P145" i="5"/>
  <c r="Q145" s="1"/>
  <c r="M145"/>
  <c r="K145" i="9"/>
  <c r="H145"/>
  <c r="I145" s="1"/>
  <c r="K144" i="8"/>
  <c r="H144"/>
  <c r="I144" s="1"/>
  <c r="H144" i="11"/>
  <c r="I144" s="1"/>
  <c r="K144"/>
  <c r="P144" i="5"/>
  <c r="Q144" s="1"/>
  <c r="M144"/>
  <c r="K144" i="9"/>
  <c r="H144"/>
  <c r="I144" s="1"/>
  <c r="K143" i="8"/>
  <c r="H143"/>
  <c r="I143" s="1"/>
  <c r="H143" i="11"/>
  <c r="I143" s="1"/>
  <c r="K143"/>
  <c r="P143" i="5"/>
  <c r="Q143" s="1"/>
  <c r="M143"/>
  <c r="K143" i="9"/>
  <c r="H143"/>
  <c r="I143" s="1"/>
  <c r="K142" i="8"/>
  <c r="H142"/>
  <c r="I142" s="1"/>
  <c r="H142" i="11"/>
  <c r="I142" s="1"/>
  <c r="K142"/>
  <c r="P142" i="5"/>
  <c r="Q142" s="1"/>
  <c r="M142"/>
  <c r="K142" i="9"/>
  <c r="H142"/>
  <c r="I142" s="1"/>
  <c r="K141" i="8"/>
  <c r="H141"/>
  <c r="I141" s="1"/>
  <c r="H141" i="11"/>
  <c r="I141" s="1"/>
  <c r="K141"/>
  <c r="P141" i="5"/>
  <c r="Q141" s="1"/>
  <c r="M141"/>
  <c r="K141" i="9"/>
  <c r="H141"/>
  <c r="I141" s="1"/>
  <c r="K140" i="8"/>
  <c r="H140"/>
  <c r="I140" s="1"/>
  <c r="H140" i="11"/>
  <c r="I140" s="1"/>
  <c r="K140"/>
  <c r="P140" i="5"/>
  <c r="Q140" s="1"/>
  <c r="M140"/>
  <c r="K140" i="9"/>
  <c r="H140"/>
  <c r="I140" s="1"/>
  <c r="K139" i="8"/>
  <c r="H139"/>
  <c r="I139" s="1"/>
  <c r="H139" i="11"/>
  <c r="I139" s="1"/>
  <c r="K139"/>
  <c r="P139" i="5"/>
  <c r="Q139" s="1"/>
  <c r="M139"/>
  <c r="K139" i="9"/>
  <c r="H139"/>
  <c r="I139" s="1"/>
  <c r="K138" i="8"/>
  <c r="H138"/>
  <c r="I138" s="1"/>
  <c r="H138" i="11"/>
  <c r="I138" s="1"/>
  <c r="K138"/>
  <c r="P138" i="5"/>
  <c r="Q138" s="1"/>
  <c r="M138"/>
  <c r="K138" i="9"/>
  <c r="H138"/>
  <c r="I138" s="1"/>
  <c r="K137" i="8"/>
  <c r="H137"/>
  <c r="I137" s="1"/>
  <c r="H137" i="11"/>
  <c r="I137" s="1"/>
  <c r="K137"/>
  <c r="P137" i="5"/>
  <c r="Q137" s="1"/>
  <c r="M137"/>
  <c r="K137" i="9"/>
  <c r="H137"/>
  <c r="I137" s="1"/>
  <c r="K136" i="8"/>
  <c r="H136"/>
  <c r="I136" s="1"/>
  <c r="H136" i="11"/>
  <c r="I136" s="1"/>
  <c r="K136"/>
  <c r="P136" i="5"/>
  <c r="Q136" s="1"/>
  <c r="M136"/>
  <c r="K136" i="9"/>
  <c r="H136"/>
  <c r="I136" s="1"/>
  <c r="K135" i="8"/>
  <c r="H135"/>
  <c r="I135" s="1"/>
  <c r="H135" i="11"/>
  <c r="I135" s="1"/>
  <c r="K135"/>
  <c r="P135" i="5"/>
  <c r="Q135" s="1"/>
  <c r="M135"/>
  <c r="K135" i="9"/>
  <c r="H135"/>
  <c r="I135" s="1"/>
  <c r="K134" i="8"/>
  <c r="H134"/>
  <c r="I134" s="1"/>
  <c r="H134" i="11"/>
  <c r="I134" s="1"/>
  <c r="K134"/>
  <c r="P134" i="5"/>
  <c r="Q134" s="1"/>
  <c r="M134"/>
  <c r="K134" i="9"/>
  <c r="H134"/>
  <c r="I134" s="1"/>
  <c r="K133" i="8"/>
  <c r="H133"/>
  <c r="I133" s="1"/>
  <c r="H133" i="11"/>
  <c r="I133" s="1"/>
  <c r="K133"/>
  <c r="P133" i="5"/>
  <c r="Q133" s="1"/>
  <c r="M133"/>
  <c r="K133" i="9"/>
  <c r="H133"/>
  <c r="I133" s="1"/>
  <c r="K132" i="8"/>
  <c r="H132"/>
  <c r="I132" s="1"/>
  <c r="H132" i="11"/>
  <c r="I132" s="1"/>
  <c r="K132"/>
  <c r="P132" i="5"/>
  <c r="Q132" s="1"/>
  <c r="M132"/>
  <c r="K132" i="9"/>
  <c r="H132"/>
  <c r="I132" s="1"/>
  <c r="K131" i="8"/>
  <c r="H131"/>
  <c r="I131" s="1"/>
  <c r="H131" i="11"/>
  <c r="I131" s="1"/>
  <c r="K131"/>
  <c r="P131" i="5"/>
  <c r="Q131" s="1"/>
  <c r="M131"/>
  <c r="K131" i="9"/>
  <c r="H131"/>
  <c r="I131" s="1"/>
  <c r="K130" i="8"/>
  <c r="H130"/>
  <c r="I130" s="1"/>
  <c r="H130" i="11"/>
  <c r="I130" s="1"/>
  <c r="K130"/>
  <c r="P130" i="5"/>
  <c r="Q130" s="1"/>
  <c r="M130"/>
  <c r="K130" i="9"/>
  <c r="H130"/>
  <c r="I130" s="1"/>
  <c r="K129" i="8"/>
  <c r="H129"/>
  <c r="I129" s="1"/>
  <c r="H129" i="11"/>
  <c r="I129" s="1"/>
  <c r="K129"/>
  <c r="P129" i="5"/>
  <c r="Q129" s="1"/>
  <c r="M129"/>
  <c r="K129" i="9"/>
  <c r="H129"/>
  <c r="I129" s="1"/>
  <c r="K128" i="8"/>
  <c r="H128"/>
  <c r="I128" s="1"/>
  <c r="H128" i="11"/>
  <c r="I128" s="1"/>
  <c r="K128"/>
  <c r="P128" i="5"/>
  <c r="Q128" s="1"/>
  <c r="M128"/>
  <c r="K128" i="9"/>
  <c r="H128"/>
  <c r="I128" s="1"/>
  <c r="K127" i="8"/>
  <c r="H127"/>
  <c r="I127" s="1"/>
  <c r="H127" i="11"/>
  <c r="I127" s="1"/>
  <c r="K127"/>
  <c r="P127" i="5"/>
  <c r="Q127" s="1"/>
  <c r="M127"/>
  <c r="K127" i="9"/>
  <c r="H127"/>
  <c r="I127" s="1"/>
  <c r="K126" i="8"/>
  <c r="H126"/>
  <c r="I126" s="1"/>
  <c r="H126" i="11"/>
  <c r="I126" s="1"/>
  <c r="K126"/>
  <c r="P126" i="5"/>
  <c r="Q126" s="1"/>
  <c r="M126"/>
  <c r="K126" i="9"/>
  <c r="H126"/>
  <c r="I126" s="1"/>
  <c r="K125" i="8"/>
  <c r="H125"/>
  <c r="I125" s="1"/>
  <c r="H125" i="11"/>
  <c r="I125" s="1"/>
  <c r="K125"/>
  <c r="P125" i="5"/>
  <c r="Q125" s="1"/>
  <c r="M125"/>
  <c r="K125" i="9"/>
  <c r="H125"/>
  <c r="I125" s="1"/>
  <c r="K124" i="8"/>
  <c r="H124"/>
  <c r="I124" s="1"/>
  <c r="H124" i="11"/>
  <c r="I124" s="1"/>
  <c r="K124"/>
  <c r="P124" i="5"/>
  <c r="Q124" s="1"/>
  <c r="M124"/>
  <c r="K124" i="9"/>
  <c r="H124"/>
  <c r="I124" s="1"/>
  <c r="K123" i="8"/>
  <c r="H123"/>
  <c r="I123" s="1"/>
  <c r="H123" i="11"/>
  <c r="I123" s="1"/>
  <c r="K123"/>
  <c r="P123" i="5"/>
  <c r="Q123" s="1"/>
  <c r="M123"/>
  <c r="K123" i="9"/>
  <c r="H123"/>
  <c r="I123" s="1"/>
  <c r="K122" i="8"/>
  <c r="H122"/>
  <c r="I122" s="1"/>
  <c r="H122" i="11"/>
  <c r="I122" s="1"/>
  <c r="K122"/>
  <c r="P122" i="5"/>
  <c r="Q122" s="1"/>
  <c r="M122"/>
  <c r="K122" i="9"/>
  <c r="H122"/>
  <c r="I122" s="1"/>
  <c r="K121" i="8"/>
  <c r="H121"/>
  <c r="I121" s="1"/>
  <c r="H121" i="11"/>
  <c r="I121" s="1"/>
  <c r="K121"/>
  <c r="P121" i="5"/>
  <c r="Q121" s="1"/>
  <c r="M121"/>
  <c r="K121" i="9"/>
  <c r="H121"/>
  <c r="I121" s="1"/>
  <c r="K120" i="8"/>
  <c r="H120"/>
  <c r="I120" s="1"/>
  <c r="H120" i="11"/>
  <c r="I120" s="1"/>
  <c r="K120"/>
  <c r="P120" i="5"/>
  <c r="Q120" s="1"/>
  <c r="M120"/>
  <c r="K120" i="9"/>
  <c r="H120"/>
  <c r="I120" s="1"/>
  <c r="K119" i="8"/>
  <c r="H119"/>
  <c r="I119" s="1"/>
  <c r="H119" i="11"/>
  <c r="I119" s="1"/>
  <c r="K119"/>
  <c r="P119" i="5"/>
  <c r="Q119" s="1"/>
  <c r="M119"/>
  <c r="K119" i="9"/>
  <c r="H119"/>
  <c r="I119" s="1"/>
  <c r="K118" i="8"/>
  <c r="H118"/>
  <c r="I118" s="1"/>
  <c r="H118" i="11"/>
  <c r="I118" s="1"/>
  <c r="K118"/>
  <c r="P118" i="5"/>
  <c r="Q118" s="1"/>
  <c r="M118"/>
  <c r="K118" i="9"/>
  <c r="H118"/>
  <c r="I118" s="1"/>
  <c r="K117" i="8"/>
  <c r="H117"/>
  <c r="I117" s="1"/>
  <c r="H117" i="11"/>
  <c r="I117" s="1"/>
  <c r="K117"/>
  <c r="P117" i="5"/>
  <c r="Q117" s="1"/>
  <c r="M117"/>
  <c r="K117" i="9"/>
  <c r="H117"/>
  <c r="I117" s="1"/>
  <c r="K116" i="8"/>
  <c r="H116"/>
  <c r="I116" s="1"/>
  <c r="H116" i="11"/>
  <c r="I116" s="1"/>
  <c r="K116"/>
  <c r="P116" i="5"/>
  <c r="Q116" s="1"/>
  <c r="M116"/>
  <c r="K116" i="9"/>
  <c r="H116"/>
  <c r="I116" s="1"/>
  <c r="K115" i="8"/>
  <c r="H115"/>
  <c r="I115" s="1"/>
  <c r="H115" i="11"/>
  <c r="I115" s="1"/>
  <c r="K115"/>
  <c r="P115" i="5"/>
  <c r="Q115" s="1"/>
  <c r="M115"/>
  <c r="K115" i="9"/>
  <c r="H115"/>
  <c r="I115" s="1"/>
  <c r="K114" i="8"/>
  <c r="H114"/>
  <c r="I114" s="1"/>
  <c r="H114" i="11"/>
  <c r="I114" s="1"/>
  <c r="K114"/>
  <c r="P114" i="5"/>
  <c r="Q114" s="1"/>
  <c r="M114"/>
  <c r="K114" i="9"/>
  <c r="H114"/>
  <c r="I114" s="1"/>
  <c r="K113" i="8"/>
  <c r="H113"/>
  <c r="I113" s="1"/>
  <c r="H113" i="11"/>
  <c r="I113" s="1"/>
  <c r="K113"/>
  <c r="P113" i="5"/>
  <c r="Q113" s="1"/>
  <c r="M113"/>
  <c r="K113" i="9"/>
  <c r="H113"/>
  <c r="I113" s="1"/>
  <c r="K112" i="8"/>
  <c r="H112"/>
  <c r="I112" s="1"/>
  <c r="H112" i="11"/>
  <c r="I112" s="1"/>
  <c r="K112"/>
  <c r="P112" i="5"/>
  <c r="Q112" s="1"/>
  <c r="M112"/>
  <c r="K112" i="9"/>
  <c r="H112"/>
  <c r="I112" s="1"/>
  <c r="K111" i="8"/>
  <c r="H111"/>
  <c r="I111" s="1"/>
  <c r="H111" i="11"/>
  <c r="I111" s="1"/>
  <c r="K111"/>
  <c r="P111" i="5"/>
  <c r="Q111" s="1"/>
  <c r="M111"/>
  <c r="K111" i="9"/>
  <c r="H111"/>
  <c r="I111" s="1"/>
  <c r="K110" i="8"/>
  <c r="H110"/>
  <c r="I110" s="1"/>
  <c r="H110" i="11"/>
  <c r="I110" s="1"/>
  <c r="K110"/>
  <c r="P110" i="5"/>
  <c r="Q110" s="1"/>
  <c r="M110"/>
  <c r="K110" i="9"/>
  <c r="H110"/>
  <c r="I110" s="1"/>
  <c r="K109" i="8"/>
  <c r="H109"/>
  <c r="I109" s="1"/>
  <c r="H109" i="11"/>
  <c r="I109" s="1"/>
  <c r="K109"/>
  <c r="P109" i="5"/>
  <c r="Q109" s="1"/>
  <c r="M109"/>
  <c r="K109" i="9"/>
  <c r="H109"/>
  <c r="I109" s="1"/>
  <c r="K108" i="8"/>
  <c r="H108"/>
  <c r="I108" s="1"/>
  <c r="H108" i="11"/>
  <c r="I108" s="1"/>
  <c r="K108"/>
  <c r="P108" i="5"/>
  <c r="Q108" s="1"/>
  <c r="M108"/>
  <c r="K108" i="9"/>
  <c r="H108"/>
  <c r="I108" s="1"/>
  <c r="K107" i="8"/>
  <c r="H107"/>
  <c r="I107" s="1"/>
  <c r="H107" i="11"/>
  <c r="I107" s="1"/>
  <c r="K107"/>
  <c r="P107" i="5"/>
  <c r="Q107" s="1"/>
  <c r="M107"/>
  <c r="K107" i="9"/>
  <c r="H107"/>
  <c r="I107" s="1"/>
  <c r="K106" i="8"/>
  <c r="H106"/>
  <c r="I106" s="1"/>
  <c r="H106" i="11"/>
  <c r="I106" s="1"/>
  <c r="K106"/>
  <c r="P106" i="5"/>
  <c r="Q106" s="1"/>
  <c r="M106"/>
  <c r="K106" i="9"/>
  <c r="H106"/>
  <c r="I106" s="1"/>
  <c r="K105" i="8"/>
  <c r="H105"/>
  <c r="I105" s="1"/>
  <c r="H105" i="11"/>
  <c r="I105" s="1"/>
  <c r="K105"/>
  <c r="P105" i="5"/>
  <c r="Q105" s="1"/>
  <c r="M105"/>
  <c r="K105" i="9"/>
  <c r="H105"/>
  <c r="I105" s="1"/>
  <c r="K104" i="8"/>
  <c r="H104"/>
  <c r="I104" s="1"/>
  <c r="H104" i="11"/>
  <c r="I104" s="1"/>
  <c r="K104"/>
  <c r="P104" i="5"/>
  <c r="Q104" s="1"/>
  <c r="M104"/>
  <c r="K104" i="9"/>
  <c r="H104"/>
  <c r="I104" s="1"/>
  <c r="K103" i="8"/>
  <c r="H103"/>
  <c r="I103" s="1"/>
  <c r="H103" i="11"/>
  <c r="I103" s="1"/>
  <c r="K103"/>
  <c r="P103" i="5"/>
  <c r="Q103" s="1"/>
  <c r="M103"/>
  <c r="K103" i="9"/>
  <c r="H103"/>
  <c r="I103" s="1"/>
  <c r="K102" i="8"/>
  <c r="H102"/>
  <c r="I102" s="1"/>
  <c r="H102" i="11"/>
  <c r="I102" s="1"/>
  <c r="K102"/>
  <c r="P102" i="5"/>
  <c r="Q102" s="1"/>
  <c r="M102"/>
  <c r="K102" i="9"/>
  <c r="H102"/>
  <c r="I102" s="1"/>
  <c r="K101" i="8"/>
  <c r="H101"/>
  <c r="I101" s="1"/>
  <c r="H101" i="11"/>
  <c r="I101" s="1"/>
  <c r="K101"/>
  <c r="P101" i="5"/>
  <c r="Q101" s="1"/>
  <c r="M101"/>
  <c r="K101" i="9"/>
  <c r="H101"/>
  <c r="I101" s="1"/>
  <c r="K100" i="8"/>
  <c r="H100"/>
  <c r="I100" s="1"/>
  <c r="H100" i="11"/>
  <c r="I100" s="1"/>
  <c r="K100"/>
  <c r="P100" i="5"/>
  <c r="Q100" s="1"/>
  <c r="M100"/>
  <c r="K100" i="9"/>
  <c r="H100"/>
  <c r="I100" s="1"/>
  <c r="K99" i="8"/>
  <c r="H99"/>
  <c r="I99" s="1"/>
  <c r="H99" i="11"/>
  <c r="I99" s="1"/>
  <c r="K99"/>
  <c r="P99" i="5"/>
  <c r="Q99" s="1"/>
  <c r="M99"/>
  <c r="K99" i="9"/>
  <c r="H99"/>
  <c r="I99" s="1"/>
  <c r="K98" i="8"/>
  <c r="H98"/>
  <c r="I98" s="1"/>
  <c r="H98" i="11"/>
  <c r="I98" s="1"/>
  <c r="K98"/>
  <c r="P98" i="5"/>
  <c r="Q98" s="1"/>
  <c r="M98"/>
  <c r="K98" i="9"/>
  <c r="H98"/>
  <c r="I98" s="1"/>
  <c r="K97" i="8"/>
  <c r="H97"/>
  <c r="I97" s="1"/>
  <c r="H97" i="11"/>
  <c r="I97" s="1"/>
  <c r="K97"/>
  <c r="P97" i="5"/>
  <c r="Q97" s="1"/>
  <c r="M97"/>
  <c r="K97" i="9"/>
  <c r="H97"/>
  <c r="I97" s="1"/>
  <c r="K96" i="8"/>
  <c r="H96"/>
  <c r="I96" s="1"/>
  <c r="H96" i="11"/>
  <c r="I96" s="1"/>
  <c r="K96"/>
  <c r="P96" i="5"/>
  <c r="Q96" s="1"/>
  <c r="M96"/>
  <c r="K96" i="9"/>
  <c r="H96"/>
  <c r="I96" s="1"/>
  <c r="K95" i="8"/>
  <c r="H95"/>
  <c r="I95" s="1"/>
  <c r="H95" i="11"/>
  <c r="I95" s="1"/>
  <c r="K95"/>
  <c r="P95" i="5"/>
  <c r="Q95" s="1"/>
  <c r="M95"/>
  <c r="K95" i="9"/>
  <c r="H95"/>
  <c r="I95" s="1"/>
  <c r="K94" i="8"/>
  <c r="H94"/>
  <c r="I94" s="1"/>
  <c r="H94" i="11"/>
  <c r="I94" s="1"/>
  <c r="K94"/>
  <c r="P94" i="5"/>
  <c r="Q94" s="1"/>
  <c r="M94"/>
  <c r="K94" i="9"/>
  <c r="H94"/>
  <c r="I94" s="1"/>
  <c r="K93" i="8"/>
  <c r="H93"/>
  <c r="I93" s="1"/>
  <c r="H93" i="11"/>
  <c r="I93" s="1"/>
  <c r="K93"/>
  <c r="P93" i="5"/>
  <c r="Q93" s="1"/>
  <c r="M93"/>
  <c r="K93" i="9"/>
  <c r="H93"/>
  <c r="I93" s="1"/>
  <c r="K92" i="8"/>
  <c r="H92"/>
  <c r="I92" s="1"/>
  <c r="H92" i="11"/>
  <c r="I92" s="1"/>
  <c r="K92"/>
  <c r="P92" i="5"/>
  <c r="Q92" s="1"/>
  <c r="M92"/>
  <c r="K92" i="9"/>
  <c r="H92"/>
  <c r="I92" s="1"/>
  <c r="K875" i="8"/>
  <c r="H875"/>
  <c r="I875" s="1"/>
  <c r="H875" i="11"/>
  <c r="I875" s="1"/>
  <c r="K875"/>
  <c r="M875" s="1"/>
  <c r="P875" i="5"/>
  <c r="M875"/>
  <c r="K875" i="9"/>
  <c r="H875"/>
  <c r="I875" s="1"/>
  <c r="K874" i="8"/>
  <c r="H874"/>
  <c r="I874" s="1"/>
  <c r="H874" i="11"/>
  <c r="I874" s="1"/>
  <c r="K874"/>
  <c r="M874" s="1"/>
  <c r="P874" i="5"/>
  <c r="M874"/>
  <c r="K874" i="9"/>
  <c r="H874"/>
  <c r="I874" s="1"/>
  <c r="K873" i="8"/>
  <c r="H873"/>
  <c r="I873" s="1"/>
  <c r="H873" i="11"/>
  <c r="I873" s="1"/>
  <c r="K873"/>
  <c r="M873" s="1"/>
  <c r="P873" i="5"/>
  <c r="M873"/>
  <c r="K873" i="9"/>
  <c r="H873"/>
  <c r="I873" s="1"/>
  <c r="K872" i="8"/>
  <c r="H872"/>
  <c r="I872" s="1"/>
  <c r="H872" i="11"/>
  <c r="I872" s="1"/>
  <c r="K872"/>
  <c r="M872" s="1"/>
  <c r="P872" i="5"/>
  <c r="M872"/>
  <c r="K872" i="9"/>
  <c r="H872"/>
  <c r="I872" s="1"/>
  <c r="K871" i="8"/>
  <c r="H871"/>
  <c r="I871" s="1"/>
  <c r="H871" i="11"/>
  <c r="I871" s="1"/>
  <c r="K871"/>
  <c r="M871" s="1"/>
  <c r="P871" i="5"/>
  <c r="M871"/>
  <c r="K871" i="9"/>
  <c r="H871"/>
  <c r="I871" s="1"/>
  <c r="K870" i="8"/>
  <c r="H870"/>
  <c r="I870" s="1"/>
  <c r="H870" i="11"/>
  <c r="I870" s="1"/>
  <c r="K870"/>
  <c r="M870" s="1"/>
  <c r="P870" i="5"/>
  <c r="M870"/>
  <c r="K870" i="9"/>
  <c r="H870"/>
  <c r="I870" s="1"/>
  <c r="K869" i="8"/>
  <c r="H869"/>
  <c r="I869" s="1"/>
  <c r="H869" i="11"/>
  <c r="I869" s="1"/>
  <c r="K869"/>
  <c r="M869" s="1"/>
  <c r="P869" i="5"/>
  <c r="M869"/>
  <c r="K869" i="9"/>
  <c r="H869"/>
  <c r="I869" s="1"/>
  <c r="K868" i="8"/>
  <c r="H868"/>
  <c r="I868" s="1"/>
  <c r="H868" i="11"/>
  <c r="I868" s="1"/>
  <c r="K868"/>
  <c r="M868" s="1"/>
  <c r="P868" i="5"/>
  <c r="M868"/>
  <c r="K868" i="9"/>
  <c r="H868"/>
  <c r="I868" s="1"/>
  <c r="K867" i="8"/>
  <c r="H867"/>
  <c r="I867" s="1"/>
  <c r="H867" i="11"/>
  <c r="I867" s="1"/>
  <c r="K867"/>
  <c r="M867" s="1"/>
  <c r="P867" i="5"/>
  <c r="M867"/>
  <c r="K867" i="9"/>
  <c r="H867"/>
  <c r="I867" s="1"/>
  <c r="K866" i="8"/>
  <c r="H866"/>
  <c r="I866" s="1"/>
  <c r="H866" i="11"/>
  <c r="I866" s="1"/>
  <c r="K866"/>
  <c r="M866" s="1"/>
  <c r="P866" i="5"/>
  <c r="M866"/>
  <c r="K866" i="9"/>
  <c r="H866"/>
  <c r="I866" s="1"/>
  <c r="K865" i="8"/>
  <c r="H865"/>
  <c r="I865" s="1"/>
  <c r="H865" i="11"/>
  <c r="I865" s="1"/>
  <c r="K865"/>
  <c r="M865" s="1"/>
  <c r="P865" i="5"/>
  <c r="M865"/>
  <c r="K865" i="9"/>
  <c r="H865"/>
  <c r="I865" s="1"/>
  <c r="K864" i="8"/>
  <c r="H864"/>
  <c r="I864" s="1"/>
  <c r="H864" i="11"/>
  <c r="I864" s="1"/>
  <c r="K864"/>
  <c r="M864" s="1"/>
  <c r="P864" i="5"/>
  <c r="M864"/>
  <c r="K864" i="9"/>
  <c r="H864"/>
  <c r="I864" s="1"/>
  <c r="K863" i="8"/>
  <c r="H863"/>
  <c r="I863" s="1"/>
  <c r="H863" i="11"/>
  <c r="I863" s="1"/>
  <c r="K863"/>
  <c r="M863" s="1"/>
  <c r="P863" i="5"/>
  <c r="M863"/>
  <c r="K863" i="9"/>
  <c r="H863"/>
  <c r="I863" s="1"/>
  <c r="K862" i="8"/>
  <c r="H862"/>
  <c r="I862" s="1"/>
  <c r="H862" i="11"/>
  <c r="I862" s="1"/>
  <c r="K862"/>
  <c r="M862" s="1"/>
  <c r="P862" i="5"/>
  <c r="M862"/>
  <c r="K862" i="9"/>
  <c r="H862"/>
  <c r="I862" s="1"/>
  <c r="K861" i="8"/>
  <c r="H861"/>
  <c r="I861" s="1"/>
  <c r="H861" i="11"/>
  <c r="I861" s="1"/>
  <c r="K861"/>
  <c r="M861" s="1"/>
  <c r="P861" i="5"/>
  <c r="M861"/>
  <c r="K861" i="9"/>
  <c r="H861"/>
  <c r="I861" s="1"/>
  <c r="K860" i="8"/>
  <c r="H860"/>
  <c r="I860" s="1"/>
  <c r="H860" i="11"/>
  <c r="I860" s="1"/>
  <c r="K860"/>
  <c r="M860" s="1"/>
  <c r="P860" i="5"/>
  <c r="M860"/>
  <c r="K860" i="9"/>
  <c r="H860"/>
  <c r="I860" s="1"/>
  <c r="K859" i="8"/>
  <c r="H859"/>
  <c r="I859" s="1"/>
  <c r="H859" i="11"/>
  <c r="I859" s="1"/>
  <c r="K859"/>
  <c r="M859" s="1"/>
  <c r="P859" i="5"/>
  <c r="M859"/>
  <c r="K859" i="9"/>
  <c r="H859"/>
  <c r="I859" s="1"/>
  <c r="K858" i="8"/>
  <c r="H858"/>
  <c r="I858" s="1"/>
  <c r="H858" i="11"/>
  <c r="I858" s="1"/>
  <c r="K858"/>
  <c r="M858" s="1"/>
  <c r="P858" i="5"/>
  <c r="M858"/>
  <c r="K858" i="9"/>
  <c r="H858"/>
  <c r="I858" s="1"/>
  <c r="K857" i="8"/>
  <c r="H857"/>
  <c r="I857" s="1"/>
  <c r="H857" i="11"/>
  <c r="I857" s="1"/>
  <c r="K857"/>
  <c r="M857" s="1"/>
  <c r="P857" i="5"/>
  <c r="M857"/>
  <c r="K857" i="9"/>
  <c r="H857"/>
  <c r="I857" s="1"/>
  <c r="K856" i="8"/>
  <c r="H856"/>
  <c r="I856" s="1"/>
  <c r="H856" i="11"/>
  <c r="I856" s="1"/>
  <c r="K856"/>
  <c r="M856" s="1"/>
  <c r="P856" i="5"/>
  <c r="M856"/>
  <c r="K856" i="9"/>
  <c r="H856"/>
  <c r="I856" s="1"/>
  <c r="K855" i="8"/>
  <c r="H855"/>
  <c r="I855" s="1"/>
  <c r="H855" i="11"/>
  <c r="I855" s="1"/>
  <c r="K855"/>
  <c r="M855" s="1"/>
  <c r="P855" i="5"/>
  <c r="M855"/>
  <c r="K855" i="9"/>
  <c r="H855"/>
  <c r="I855" s="1"/>
  <c r="K854" i="8"/>
  <c r="H854"/>
  <c r="I854" s="1"/>
  <c r="H854" i="11"/>
  <c r="I854" s="1"/>
  <c r="K854"/>
  <c r="M854" s="1"/>
  <c r="P854" i="5"/>
  <c r="M854"/>
  <c r="K854" i="9"/>
  <c r="H854"/>
  <c r="I854" s="1"/>
  <c r="K853" i="8"/>
  <c r="H853"/>
  <c r="I853" s="1"/>
  <c r="H853" i="11"/>
  <c r="I853" s="1"/>
  <c r="K853"/>
  <c r="M853" s="1"/>
  <c r="P853" i="5"/>
  <c r="M853"/>
  <c r="K853" i="9"/>
  <c r="H853"/>
  <c r="I853" s="1"/>
  <c r="K852" i="8"/>
  <c r="H852"/>
  <c r="I852" s="1"/>
  <c r="H852" i="11"/>
  <c r="I852" s="1"/>
  <c r="K852"/>
  <c r="M852" s="1"/>
  <c r="P852" i="5"/>
  <c r="M852"/>
  <c r="K852" i="9"/>
  <c r="H852"/>
  <c r="I852" s="1"/>
  <c r="K851" i="8"/>
  <c r="H851"/>
  <c r="I851" s="1"/>
  <c r="H851" i="11"/>
  <c r="I851" s="1"/>
  <c r="K851"/>
  <c r="M851" s="1"/>
  <c r="P851" i="5"/>
  <c r="M851"/>
  <c r="K851" i="9"/>
  <c r="H851"/>
  <c r="I851" s="1"/>
  <c r="K850" i="8"/>
  <c r="H850"/>
  <c r="I850" s="1"/>
  <c r="H850" i="11"/>
  <c r="I850" s="1"/>
  <c r="K850"/>
  <c r="M850" s="1"/>
  <c r="P850" i="5"/>
  <c r="M850"/>
  <c r="K850" i="9"/>
  <c r="H850"/>
  <c r="I850" s="1"/>
  <c r="K849" i="8"/>
  <c r="H849"/>
  <c r="I849" s="1"/>
  <c r="H849" i="11"/>
  <c r="I849" s="1"/>
  <c r="K849"/>
  <c r="M849" s="1"/>
  <c r="P849" i="5"/>
  <c r="M849"/>
  <c r="K849" i="9"/>
  <c r="H849"/>
  <c r="I849" s="1"/>
  <c r="K848" i="8"/>
  <c r="H848"/>
  <c r="I848" s="1"/>
  <c r="H848" i="11"/>
  <c r="I848" s="1"/>
  <c r="K848"/>
  <c r="M848" s="1"/>
  <c r="P848" i="5"/>
  <c r="M848"/>
  <c r="K848" i="9"/>
  <c r="H848"/>
  <c r="I848" s="1"/>
  <c r="K847" i="8"/>
  <c r="H847"/>
  <c r="I847" s="1"/>
  <c r="H847" i="11"/>
  <c r="I847" s="1"/>
  <c r="K847"/>
  <c r="M847" s="1"/>
  <c r="P847" i="5"/>
  <c r="M847"/>
  <c r="K847" i="9"/>
  <c r="H847"/>
  <c r="I847" s="1"/>
  <c r="K846" i="8"/>
  <c r="H846"/>
  <c r="I846" s="1"/>
  <c r="H846" i="11"/>
  <c r="I846" s="1"/>
  <c r="K846"/>
  <c r="M846" s="1"/>
  <c r="P846" i="5"/>
  <c r="M846"/>
  <c r="K846" i="9"/>
  <c r="H846"/>
  <c r="I846" s="1"/>
  <c r="K845" i="8"/>
  <c r="H845"/>
  <c r="I845" s="1"/>
  <c r="H845" i="11"/>
  <c r="I845" s="1"/>
  <c r="K845"/>
  <c r="M845" s="1"/>
  <c r="P845" i="5"/>
  <c r="M845"/>
  <c r="K845" i="9"/>
  <c r="H845"/>
  <c r="I845" s="1"/>
  <c r="K844" i="8"/>
  <c r="H844"/>
  <c r="I844" s="1"/>
  <c r="H844" i="11"/>
  <c r="I844" s="1"/>
  <c r="K844"/>
  <c r="M844" s="1"/>
  <c r="P844" i="5"/>
  <c r="M844"/>
  <c r="K844" i="9"/>
  <c r="H844"/>
  <c r="I844" s="1"/>
  <c r="K843" i="8"/>
  <c r="H843"/>
  <c r="I843" s="1"/>
  <c r="H843" i="11"/>
  <c r="I843" s="1"/>
  <c r="K843"/>
  <c r="M843" s="1"/>
  <c r="P843" i="5"/>
  <c r="M843"/>
  <c r="K843" i="9"/>
  <c r="H843"/>
  <c r="I843" s="1"/>
  <c r="K842" i="8"/>
  <c r="H842"/>
  <c r="I842" s="1"/>
  <c r="H842" i="11"/>
  <c r="I842" s="1"/>
  <c r="K842"/>
  <c r="M842" s="1"/>
  <c r="P842" i="5"/>
  <c r="M842"/>
  <c r="K842" i="9"/>
  <c r="H842"/>
  <c r="I842" s="1"/>
  <c r="K841" i="8"/>
  <c r="H841"/>
  <c r="I841" s="1"/>
  <c r="H841" i="11"/>
  <c r="I841" s="1"/>
  <c r="K841"/>
  <c r="M841" s="1"/>
  <c r="P841" i="5"/>
  <c r="M841"/>
  <c r="K841" i="9"/>
  <c r="H841"/>
  <c r="I841" s="1"/>
  <c r="K840" i="8"/>
  <c r="H840"/>
  <c r="I840" s="1"/>
  <c r="H840" i="11"/>
  <c r="I840" s="1"/>
  <c r="K840"/>
  <c r="M840" s="1"/>
  <c r="P840" i="5"/>
  <c r="M840"/>
  <c r="K840" i="9"/>
  <c r="H840"/>
  <c r="I840" s="1"/>
  <c r="K839" i="8"/>
  <c r="H839"/>
  <c r="I839" s="1"/>
  <c r="H839" i="11"/>
  <c r="I839" s="1"/>
  <c r="K839"/>
  <c r="M839" s="1"/>
  <c r="P839" i="5"/>
  <c r="M839"/>
  <c r="K839" i="9"/>
  <c r="H839"/>
  <c r="I839" s="1"/>
  <c r="K838" i="8"/>
  <c r="H838"/>
  <c r="I838" s="1"/>
  <c r="H838" i="11"/>
  <c r="I838" s="1"/>
  <c r="K838"/>
  <c r="M838" s="1"/>
  <c r="P838" i="5"/>
  <c r="M838"/>
  <c r="K838" i="9"/>
  <c r="H838"/>
  <c r="I838" s="1"/>
  <c r="K837" i="8"/>
  <c r="H837"/>
  <c r="I837" s="1"/>
  <c r="H837" i="11"/>
  <c r="I837" s="1"/>
  <c r="K837"/>
  <c r="M837" s="1"/>
  <c r="P837" i="5"/>
  <c r="M837"/>
  <c r="K837" i="9"/>
  <c r="H837"/>
  <c r="I837" s="1"/>
  <c r="K836" i="8"/>
  <c r="H836"/>
  <c r="I836" s="1"/>
  <c r="H836" i="11"/>
  <c r="I836" s="1"/>
  <c r="K836"/>
  <c r="M836" s="1"/>
  <c r="P836" i="5"/>
  <c r="M836"/>
  <c r="K836" i="9"/>
  <c r="H836"/>
  <c r="I836" s="1"/>
  <c r="K835" i="8"/>
  <c r="H835"/>
  <c r="I835" s="1"/>
  <c r="H835" i="11"/>
  <c r="I835" s="1"/>
  <c r="K835"/>
  <c r="M835" s="1"/>
  <c r="P835" i="5"/>
  <c r="M835"/>
  <c r="K835" i="9"/>
  <c r="H835"/>
  <c r="I835" s="1"/>
  <c r="K834" i="8"/>
  <c r="H834"/>
  <c r="I834" s="1"/>
  <c r="H834" i="11"/>
  <c r="I834" s="1"/>
  <c r="K834"/>
  <c r="M834" s="1"/>
  <c r="P834" i="5"/>
  <c r="M834"/>
  <c r="K834" i="9"/>
  <c r="H834"/>
  <c r="I834" s="1"/>
  <c r="H833" i="8"/>
  <c r="I833" s="1"/>
  <c r="K833"/>
  <c r="M833" s="1"/>
  <c r="H833" i="11"/>
  <c r="I833" s="1"/>
  <c r="K833"/>
  <c r="M833" s="1"/>
  <c r="P833" i="5"/>
  <c r="M833"/>
  <c r="K833" i="9"/>
  <c r="H833"/>
  <c r="I833" s="1"/>
  <c r="K832" i="8"/>
  <c r="H832"/>
  <c r="I832" s="1"/>
  <c r="H832" i="11"/>
  <c r="I832" s="1"/>
  <c r="K832"/>
  <c r="M832" s="1"/>
  <c r="P832" i="5"/>
  <c r="M832"/>
  <c r="K832" i="9"/>
  <c r="H832"/>
  <c r="I832" s="1"/>
  <c r="K831" i="8"/>
  <c r="H831"/>
  <c r="I831" s="1"/>
  <c r="H831" i="11"/>
  <c r="I831" s="1"/>
  <c r="K831"/>
  <c r="M831" s="1"/>
  <c r="P831" i="5"/>
  <c r="M831"/>
  <c r="K831" i="9"/>
  <c r="H831"/>
  <c r="I831" s="1"/>
  <c r="K830" i="8"/>
  <c r="H830"/>
  <c r="I830" s="1"/>
  <c r="H830" i="11"/>
  <c r="I830" s="1"/>
  <c r="K830"/>
  <c r="M830" s="1"/>
  <c r="P830" i="5"/>
  <c r="M830"/>
  <c r="K830" i="9"/>
  <c r="H830"/>
  <c r="I830" s="1"/>
  <c r="K829" i="8"/>
  <c r="H829"/>
  <c r="I829" s="1"/>
  <c r="H829" i="11"/>
  <c r="I829" s="1"/>
  <c r="K829"/>
  <c r="M829" s="1"/>
  <c r="P829" i="5"/>
  <c r="M829"/>
  <c r="K829" i="9"/>
  <c r="H829"/>
  <c r="I829" s="1"/>
  <c r="K828" i="8"/>
  <c r="H828"/>
  <c r="I828" s="1"/>
  <c r="H828" i="11"/>
  <c r="I828" s="1"/>
  <c r="K828"/>
  <c r="M828" s="1"/>
  <c r="P828" i="5"/>
  <c r="M828"/>
  <c r="K828" i="9"/>
  <c r="H828"/>
  <c r="I828" s="1"/>
  <c r="K827" i="8"/>
  <c r="H827"/>
  <c r="I827" s="1"/>
  <c r="H827" i="11"/>
  <c r="I827" s="1"/>
  <c r="K827"/>
  <c r="M827" s="1"/>
  <c r="P827" i="5"/>
  <c r="M827"/>
  <c r="K827" i="9"/>
  <c r="H827"/>
  <c r="I827" s="1"/>
  <c r="K826" i="8"/>
  <c r="H826"/>
  <c r="I826" s="1"/>
  <c r="H826" i="11"/>
  <c r="I826" s="1"/>
  <c r="K826"/>
  <c r="M826" s="1"/>
  <c r="P826" i="5"/>
  <c r="M826"/>
  <c r="K826" i="9"/>
  <c r="H826"/>
  <c r="I826" s="1"/>
  <c r="K825" i="8"/>
  <c r="H825"/>
  <c r="I825" s="1"/>
  <c r="H825" i="11"/>
  <c r="I825" s="1"/>
  <c r="K825"/>
  <c r="M825" s="1"/>
  <c r="P825" i="5"/>
  <c r="M825"/>
  <c r="K825" i="9"/>
  <c r="H825"/>
  <c r="I825" s="1"/>
  <c r="K824" i="8"/>
  <c r="H824"/>
  <c r="I824" s="1"/>
  <c r="H824" i="11"/>
  <c r="I824" s="1"/>
  <c r="K824"/>
  <c r="M824" s="1"/>
  <c r="P824" i="5"/>
  <c r="M824"/>
  <c r="K824" i="9"/>
  <c r="H824"/>
  <c r="I824" s="1"/>
  <c r="K823" i="8"/>
  <c r="H823"/>
  <c r="I823" s="1"/>
  <c r="H823" i="11"/>
  <c r="I823" s="1"/>
  <c r="K823"/>
  <c r="M823" s="1"/>
  <c r="P823" i="5"/>
  <c r="M823"/>
  <c r="K823" i="9"/>
  <c r="H823"/>
  <c r="I823" s="1"/>
  <c r="K822" i="8"/>
  <c r="H822"/>
  <c r="I822" s="1"/>
  <c r="H822" i="11"/>
  <c r="I822" s="1"/>
  <c r="K822"/>
  <c r="M822" s="1"/>
  <c r="P822" i="5"/>
  <c r="M822"/>
  <c r="K822" i="9"/>
  <c r="H822"/>
  <c r="I822" s="1"/>
  <c r="K821" i="8"/>
  <c r="H821"/>
  <c r="I821" s="1"/>
  <c r="H821" i="11"/>
  <c r="I821" s="1"/>
  <c r="K821"/>
  <c r="M821" s="1"/>
  <c r="P821" i="5"/>
  <c r="M821"/>
  <c r="K821" i="9"/>
  <c r="H821"/>
  <c r="I821" s="1"/>
  <c r="K820" i="8"/>
  <c r="H820"/>
  <c r="I820" s="1"/>
  <c r="H820" i="11"/>
  <c r="I820" s="1"/>
  <c r="K820"/>
  <c r="M820" s="1"/>
  <c r="P820" i="5"/>
  <c r="M820"/>
  <c r="K820" i="9"/>
  <c r="H820"/>
  <c r="I820" s="1"/>
  <c r="K819" i="8"/>
  <c r="H819"/>
  <c r="I819" s="1"/>
  <c r="H819" i="11"/>
  <c r="I819" s="1"/>
  <c r="K819"/>
  <c r="M819" s="1"/>
  <c r="P819" i="5"/>
  <c r="M819"/>
  <c r="K819" i="9"/>
  <c r="H819"/>
  <c r="I819" s="1"/>
  <c r="K818" i="8"/>
  <c r="H818"/>
  <c r="I818" s="1"/>
  <c r="H818" i="11"/>
  <c r="I818" s="1"/>
  <c r="K818"/>
  <c r="M818" s="1"/>
  <c r="P818" i="5"/>
  <c r="M818"/>
  <c r="K818" i="9"/>
  <c r="H818"/>
  <c r="I818" s="1"/>
  <c r="K817" i="8"/>
  <c r="H817"/>
  <c r="I817" s="1"/>
  <c r="H817" i="11"/>
  <c r="I817" s="1"/>
  <c r="K817"/>
  <c r="M817" s="1"/>
  <c r="P817" i="5"/>
  <c r="M817"/>
  <c r="K817" i="9"/>
  <c r="H817"/>
  <c r="I817" s="1"/>
  <c r="K816" i="8"/>
  <c r="H816"/>
  <c r="I816" s="1"/>
  <c r="H816" i="11"/>
  <c r="I816" s="1"/>
  <c r="K816"/>
  <c r="M816" s="1"/>
  <c r="P816" i="5"/>
  <c r="M816"/>
  <c r="K816" i="9"/>
  <c r="H816"/>
  <c r="I816" s="1"/>
  <c r="K815" i="8"/>
  <c r="H815"/>
  <c r="I815" s="1"/>
  <c r="H815" i="11"/>
  <c r="I815" s="1"/>
  <c r="K815"/>
  <c r="M815" s="1"/>
  <c r="P815" i="5"/>
  <c r="M815"/>
  <c r="K815" i="9"/>
  <c r="H815"/>
  <c r="I815" s="1"/>
  <c r="K814" i="8"/>
  <c r="H814"/>
  <c r="I814" s="1"/>
  <c r="H814" i="11"/>
  <c r="I814" s="1"/>
  <c r="K814"/>
  <c r="M814" s="1"/>
  <c r="P814" i="5"/>
  <c r="M814"/>
  <c r="K814" i="9"/>
  <c r="H814"/>
  <c r="I814" s="1"/>
  <c r="K813" i="8"/>
  <c r="H813"/>
  <c r="I813" s="1"/>
  <c r="H813" i="11"/>
  <c r="I813" s="1"/>
  <c r="K813"/>
  <c r="M813" s="1"/>
  <c r="P813" i="5"/>
  <c r="M813"/>
  <c r="K813" i="9"/>
  <c r="H813"/>
  <c r="I813" s="1"/>
  <c r="K812" i="8"/>
  <c r="H812"/>
  <c r="I812" s="1"/>
  <c r="H812" i="11"/>
  <c r="I812" s="1"/>
  <c r="K812"/>
  <c r="M812" s="1"/>
  <c r="P812" i="5"/>
  <c r="M812"/>
  <c r="K812" i="9"/>
  <c r="H812"/>
  <c r="I812" s="1"/>
  <c r="K811" i="8"/>
  <c r="H811"/>
  <c r="I811" s="1"/>
  <c r="H811" i="11"/>
  <c r="I811" s="1"/>
  <c r="K811"/>
  <c r="M811" s="1"/>
  <c r="P811" i="5"/>
  <c r="M811"/>
  <c r="K811" i="9"/>
  <c r="H811"/>
  <c r="I811" s="1"/>
  <c r="K810" i="8"/>
  <c r="H810"/>
  <c r="I810" s="1"/>
  <c r="H810" i="11"/>
  <c r="I810" s="1"/>
  <c r="K810"/>
  <c r="M810" s="1"/>
  <c r="P810" i="5"/>
  <c r="M810"/>
  <c r="K810" i="9"/>
  <c r="H810"/>
  <c r="I810" s="1"/>
  <c r="K809" i="8"/>
  <c r="H809"/>
  <c r="I809" s="1"/>
  <c r="H809" i="11"/>
  <c r="I809" s="1"/>
  <c r="K809"/>
  <c r="M809" s="1"/>
  <c r="P809" i="5"/>
  <c r="M809"/>
  <c r="K809" i="9"/>
  <c r="H809"/>
  <c r="I809" s="1"/>
  <c r="K808" i="8"/>
  <c r="H808"/>
  <c r="I808" s="1"/>
  <c r="H808" i="11"/>
  <c r="I808" s="1"/>
  <c r="K808"/>
  <c r="M808" s="1"/>
  <c r="P808" i="5"/>
  <c r="M808"/>
  <c r="K808" i="9"/>
  <c r="H808"/>
  <c r="I808" s="1"/>
  <c r="K807" i="8"/>
  <c r="H807"/>
  <c r="I807" s="1"/>
  <c r="H807" i="11"/>
  <c r="I807" s="1"/>
  <c r="K807"/>
  <c r="M807" s="1"/>
  <c r="P807" i="5"/>
  <c r="M807"/>
  <c r="K807" i="9"/>
  <c r="H807"/>
  <c r="I807" s="1"/>
  <c r="K806" i="8"/>
  <c r="H806"/>
  <c r="I806" s="1"/>
  <c r="H806" i="11"/>
  <c r="I806" s="1"/>
  <c r="K806"/>
  <c r="M806" s="1"/>
  <c r="P806" i="5"/>
  <c r="M806"/>
  <c r="K806" i="9"/>
  <c r="H806"/>
  <c r="I806" s="1"/>
  <c r="K805" i="8"/>
  <c r="H805"/>
  <c r="I805" s="1"/>
  <c r="H805" i="11"/>
  <c r="I805" s="1"/>
  <c r="K805"/>
  <c r="M805" s="1"/>
  <c r="P805" i="5"/>
  <c r="M805"/>
  <c r="K805" i="9"/>
  <c r="H805"/>
  <c r="I805" s="1"/>
  <c r="K804" i="8"/>
  <c r="H804"/>
  <c r="I804" s="1"/>
  <c r="H804" i="11"/>
  <c r="I804" s="1"/>
  <c r="K804"/>
  <c r="M804" s="1"/>
  <c r="P804" i="5"/>
  <c r="M804"/>
  <c r="K804" i="9"/>
  <c r="H804"/>
  <c r="I804" s="1"/>
  <c r="K803" i="8"/>
  <c r="H803"/>
  <c r="I803" s="1"/>
  <c r="H803" i="11"/>
  <c r="I803" s="1"/>
  <c r="K803"/>
  <c r="M803" s="1"/>
  <c r="P803" i="5"/>
  <c r="M803"/>
  <c r="K803" i="9"/>
  <c r="H803"/>
  <c r="I803" s="1"/>
  <c r="K802" i="8"/>
  <c r="H802"/>
  <c r="I802" s="1"/>
  <c r="H802" i="11"/>
  <c r="I802" s="1"/>
  <c r="K802"/>
  <c r="M802" s="1"/>
  <c r="P802" i="5"/>
  <c r="M802"/>
  <c r="K802" i="9"/>
  <c r="H802"/>
  <c r="I802" s="1"/>
  <c r="K801" i="8"/>
  <c r="H801"/>
  <c r="I801" s="1"/>
  <c r="H801" i="11"/>
  <c r="I801" s="1"/>
  <c r="K801"/>
  <c r="M801" s="1"/>
  <c r="P801" i="5"/>
  <c r="M801"/>
  <c r="K801" i="9"/>
  <c r="H801"/>
  <c r="I801" s="1"/>
  <c r="K800" i="8"/>
  <c r="H800"/>
  <c r="I800" s="1"/>
  <c r="H800" i="11"/>
  <c r="I800" s="1"/>
  <c r="K800"/>
  <c r="M800" s="1"/>
  <c r="P800" i="5"/>
  <c r="M800"/>
  <c r="K800" i="9"/>
  <c r="H800"/>
  <c r="I800" s="1"/>
  <c r="K799" i="8"/>
  <c r="H799"/>
  <c r="I799" s="1"/>
  <c r="H799" i="11"/>
  <c r="I799" s="1"/>
  <c r="K799"/>
  <c r="M799" s="1"/>
  <c r="P799" i="5"/>
  <c r="M799"/>
  <c r="K799" i="9"/>
  <c r="H799"/>
  <c r="I799" s="1"/>
  <c r="K798" i="8"/>
  <c r="H798"/>
  <c r="I798" s="1"/>
  <c r="H798" i="11"/>
  <c r="I798" s="1"/>
  <c r="K798"/>
  <c r="M798" s="1"/>
  <c r="P798" i="5"/>
  <c r="M798"/>
  <c r="K798" i="9"/>
  <c r="H798"/>
  <c r="I798" s="1"/>
  <c r="K797" i="8"/>
  <c r="H797"/>
  <c r="I797" s="1"/>
  <c r="H797" i="11"/>
  <c r="I797" s="1"/>
  <c r="K797"/>
  <c r="M797" s="1"/>
  <c r="P797" i="5"/>
  <c r="M797"/>
  <c r="K797" i="9"/>
  <c r="H797"/>
  <c r="I797" s="1"/>
  <c r="K796" i="8"/>
  <c r="H796"/>
  <c r="I796" s="1"/>
  <c r="H796" i="11"/>
  <c r="I796" s="1"/>
  <c r="K796"/>
  <c r="M796" s="1"/>
  <c r="P796" i="5"/>
  <c r="M796"/>
  <c r="K796" i="9"/>
  <c r="H796"/>
  <c r="I796" s="1"/>
  <c r="K795" i="8"/>
  <c r="H795"/>
  <c r="I795" s="1"/>
  <c r="H795" i="11"/>
  <c r="I795" s="1"/>
  <c r="K795"/>
  <c r="M795" s="1"/>
  <c r="P795" i="5"/>
  <c r="M795"/>
  <c r="K795" i="9"/>
  <c r="H795"/>
  <c r="I795" s="1"/>
  <c r="K794" i="8"/>
  <c r="H794"/>
  <c r="I794" s="1"/>
  <c r="H794" i="11"/>
  <c r="I794" s="1"/>
  <c r="K794"/>
  <c r="M794" s="1"/>
  <c r="P794" i="5"/>
  <c r="M794"/>
  <c r="K794" i="9"/>
  <c r="H794"/>
  <c r="I794" s="1"/>
  <c r="K793" i="8"/>
  <c r="H793"/>
  <c r="I793" s="1"/>
  <c r="H793" i="11"/>
  <c r="I793" s="1"/>
  <c r="K793"/>
  <c r="M793" s="1"/>
  <c r="P793" i="5"/>
  <c r="M793"/>
  <c r="K793" i="9"/>
  <c r="H793"/>
  <c r="I793" s="1"/>
  <c r="K792" i="8"/>
  <c r="H792"/>
  <c r="I792" s="1"/>
  <c r="H792" i="11"/>
  <c r="I792" s="1"/>
  <c r="K792"/>
  <c r="M792" s="1"/>
  <c r="P792" i="5"/>
  <c r="M792"/>
  <c r="K792" i="9"/>
  <c r="H792"/>
  <c r="I792" s="1"/>
  <c r="K791" i="8"/>
  <c r="H791"/>
  <c r="I791" s="1"/>
  <c r="H791" i="11"/>
  <c r="I791" s="1"/>
  <c r="K791"/>
  <c r="M791" s="1"/>
  <c r="P791" i="5"/>
  <c r="M791"/>
  <c r="K791" i="9"/>
  <c r="H791"/>
  <c r="I791" s="1"/>
  <c r="K790" i="8"/>
  <c r="H790"/>
  <c r="I790" s="1"/>
  <c r="H790" i="11"/>
  <c r="I790" s="1"/>
  <c r="K790"/>
  <c r="M790" s="1"/>
  <c r="P790" i="5"/>
  <c r="M790"/>
  <c r="K790" i="9"/>
  <c r="H790"/>
  <c r="I790" s="1"/>
  <c r="K789" i="8"/>
  <c r="H789"/>
  <c r="I789" s="1"/>
  <c r="H789" i="11"/>
  <c r="I789" s="1"/>
  <c r="K789"/>
  <c r="M789" s="1"/>
  <c r="P789" i="5"/>
  <c r="M789"/>
  <c r="K789" i="9"/>
  <c r="H789"/>
  <c r="I789" s="1"/>
  <c r="K788" i="8"/>
  <c r="H788"/>
  <c r="I788" s="1"/>
  <c r="H788" i="11"/>
  <c r="I788" s="1"/>
  <c r="K788"/>
  <c r="M788" s="1"/>
  <c r="P788" i="5"/>
  <c r="M788"/>
  <c r="K788" i="9"/>
  <c r="H788"/>
  <c r="I788" s="1"/>
  <c r="K787" i="8"/>
  <c r="H787"/>
  <c r="I787" s="1"/>
  <c r="H787" i="11"/>
  <c r="I787" s="1"/>
  <c r="K787"/>
  <c r="M787" s="1"/>
  <c r="P787" i="5"/>
  <c r="M787"/>
  <c r="K787" i="9"/>
  <c r="H787"/>
  <c r="I787" s="1"/>
  <c r="K786" i="8"/>
  <c r="H786"/>
  <c r="I786" s="1"/>
  <c r="H786" i="11"/>
  <c r="I786" s="1"/>
  <c r="K786"/>
  <c r="M786" s="1"/>
  <c r="P786" i="5"/>
  <c r="M786"/>
  <c r="K786" i="9"/>
  <c r="H786"/>
  <c r="I786" s="1"/>
  <c r="K785" i="8"/>
  <c r="H785"/>
  <c r="I785" s="1"/>
  <c r="H785" i="11"/>
  <c r="I785" s="1"/>
  <c r="K785"/>
  <c r="M785" s="1"/>
  <c r="P785" i="5"/>
  <c r="M785"/>
  <c r="K785" i="9"/>
  <c r="H785"/>
  <c r="I785" s="1"/>
  <c r="K784" i="8"/>
  <c r="H784"/>
  <c r="I784" s="1"/>
  <c r="H784" i="11"/>
  <c r="I784" s="1"/>
  <c r="K784"/>
  <c r="M784" s="1"/>
  <c r="P784" i="5"/>
  <c r="M784"/>
  <c r="K784" i="9"/>
  <c r="H784"/>
  <c r="I784" s="1"/>
  <c r="K783" i="8"/>
  <c r="H783"/>
  <c r="I783" s="1"/>
  <c r="H783" i="11"/>
  <c r="I783" s="1"/>
  <c r="K783"/>
  <c r="M783" s="1"/>
  <c r="P783" i="5"/>
  <c r="M783"/>
  <c r="K783" i="9"/>
  <c r="H783"/>
  <c r="I783" s="1"/>
  <c r="K782" i="8"/>
  <c r="H782"/>
  <c r="I782" s="1"/>
  <c r="H782" i="11"/>
  <c r="I782" s="1"/>
  <c r="K782"/>
  <c r="M782" s="1"/>
  <c r="P782" i="5"/>
  <c r="M782"/>
  <c r="K782" i="9"/>
  <c r="H782"/>
  <c r="I782" s="1"/>
  <c r="K781" i="8"/>
  <c r="H781"/>
  <c r="I781" s="1"/>
  <c r="H781" i="11"/>
  <c r="I781" s="1"/>
  <c r="K781"/>
  <c r="M781" s="1"/>
  <c r="P781" i="5"/>
  <c r="M781"/>
  <c r="K781" i="9"/>
  <c r="H781"/>
  <c r="I781" s="1"/>
  <c r="K780" i="8"/>
  <c r="H780"/>
  <c r="I780" s="1"/>
  <c r="H780" i="11"/>
  <c r="I780" s="1"/>
  <c r="K780"/>
  <c r="M780" s="1"/>
  <c r="P780" i="5"/>
  <c r="M780"/>
  <c r="K780" i="9"/>
  <c r="H780"/>
  <c r="I780" s="1"/>
  <c r="K779" i="8"/>
  <c r="H779"/>
  <c r="I779" s="1"/>
  <c r="H779" i="11"/>
  <c r="I779" s="1"/>
  <c r="K779"/>
  <c r="M779" s="1"/>
  <c r="P779" i="5"/>
  <c r="M779"/>
  <c r="K779" i="9"/>
  <c r="H779"/>
  <c r="I779" s="1"/>
  <c r="K778" i="8"/>
  <c r="H778"/>
  <c r="I778" s="1"/>
  <c r="H778" i="11"/>
  <c r="I778" s="1"/>
  <c r="K778"/>
  <c r="M778" s="1"/>
  <c r="P778" i="5"/>
  <c r="M778"/>
  <c r="K778" i="9"/>
  <c r="H778"/>
  <c r="I778" s="1"/>
  <c r="K777" i="8"/>
  <c r="H777"/>
  <c r="I777" s="1"/>
  <c r="H777" i="11"/>
  <c r="I777" s="1"/>
  <c r="K777"/>
  <c r="M777" s="1"/>
  <c r="P777" i="5"/>
  <c r="M777"/>
  <c r="K777" i="9"/>
  <c r="H777"/>
  <c r="I777" s="1"/>
  <c r="K776" i="8"/>
  <c r="H776"/>
  <c r="I776" s="1"/>
  <c r="H776" i="11"/>
  <c r="I776" s="1"/>
  <c r="K776"/>
  <c r="M776" s="1"/>
  <c r="P776" i="5"/>
  <c r="M776"/>
  <c r="K776" i="9"/>
  <c r="H776"/>
  <c r="I776" s="1"/>
  <c r="K775" i="8"/>
  <c r="H775"/>
  <c r="I775" s="1"/>
  <c r="H775" i="11"/>
  <c r="I775" s="1"/>
  <c r="K775"/>
  <c r="M775" s="1"/>
  <c r="P775" i="5"/>
  <c r="M775"/>
  <c r="K775" i="9"/>
  <c r="H775"/>
  <c r="I775" s="1"/>
  <c r="K774" i="8"/>
  <c r="H774"/>
  <c r="I774" s="1"/>
  <c r="H774" i="11"/>
  <c r="I774" s="1"/>
  <c r="K774"/>
  <c r="M774" s="1"/>
  <c r="P774" i="5"/>
  <c r="M774"/>
  <c r="K774" i="9"/>
  <c r="H774"/>
  <c r="I774" s="1"/>
  <c r="K773" i="8"/>
  <c r="H773"/>
  <c r="I773" s="1"/>
  <c r="H773" i="11"/>
  <c r="I773" s="1"/>
  <c r="K773"/>
  <c r="M773" s="1"/>
  <c r="P773" i="5"/>
  <c r="M773"/>
  <c r="K773" i="9"/>
  <c r="H773"/>
  <c r="I773" s="1"/>
  <c r="K772" i="8"/>
  <c r="H772"/>
  <c r="I772" s="1"/>
  <c r="H772" i="11"/>
  <c r="I772" s="1"/>
  <c r="K772"/>
  <c r="M772" s="1"/>
  <c r="P772" i="5"/>
  <c r="M772"/>
  <c r="K772" i="9"/>
  <c r="H772"/>
  <c r="I772" s="1"/>
  <c r="K771" i="8"/>
  <c r="H771"/>
  <c r="I771" s="1"/>
  <c r="H771" i="11"/>
  <c r="I771" s="1"/>
  <c r="K771"/>
  <c r="M771" s="1"/>
  <c r="P771" i="5"/>
  <c r="M771"/>
  <c r="K771" i="9"/>
  <c r="H771"/>
  <c r="I771" s="1"/>
  <c r="K770" i="8"/>
  <c r="H770"/>
  <c r="I770" s="1"/>
  <c r="H770" i="11"/>
  <c r="I770" s="1"/>
  <c r="K770"/>
  <c r="M770" s="1"/>
  <c r="P770" i="5"/>
  <c r="M770"/>
  <c r="K770" i="9"/>
  <c r="H770"/>
  <c r="I770" s="1"/>
  <c r="K769" i="8"/>
  <c r="H769"/>
  <c r="I769" s="1"/>
  <c r="H769" i="11"/>
  <c r="I769" s="1"/>
  <c r="K769"/>
  <c r="M769" s="1"/>
  <c r="P769" i="5"/>
  <c r="M769"/>
  <c r="K769" i="9"/>
  <c r="H769"/>
  <c r="I769" s="1"/>
  <c r="K768" i="8"/>
  <c r="H768"/>
  <c r="I768" s="1"/>
  <c r="H768" i="11"/>
  <c r="I768" s="1"/>
  <c r="K768"/>
  <c r="M768" s="1"/>
  <c r="P768" i="5"/>
  <c r="M768"/>
  <c r="K768" i="9"/>
  <c r="H768"/>
  <c r="I768" s="1"/>
  <c r="K767" i="8"/>
  <c r="H767"/>
  <c r="I767" s="1"/>
  <c r="H767" i="11"/>
  <c r="I767" s="1"/>
  <c r="K767"/>
  <c r="M767" s="1"/>
  <c r="P767" i="5"/>
  <c r="M767"/>
  <c r="K767" i="9"/>
  <c r="H767"/>
  <c r="I767" s="1"/>
  <c r="K766" i="8"/>
  <c r="H766"/>
  <c r="I766" s="1"/>
  <c r="H766" i="11"/>
  <c r="I766" s="1"/>
  <c r="K766"/>
  <c r="M766" s="1"/>
  <c r="P766" i="5"/>
  <c r="M766"/>
  <c r="K766" i="9"/>
  <c r="H766"/>
  <c r="I766" s="1"/>
  <c r="K765" i="8"/>
  <c r="H765"/>
  <c r="I765" s="1"/>
  <c r="H765" i="11"/>
  <c r="I765" s="1"/>
  <c r="K765"/>
  <c r="M765" s="1"/>
  <c r="P765" i="5"/>
  <c r="M765"/>
  <c r="K765" i="9"/>
  <c r="H765"/>
  <c r="I765" s="1"/>
  <c r="K764" i="8"/>
  <c r="H764"/>
  <c r="I764" s="1"/>
  <c r="H764" i="11"/>
  <c r="I764" s="1"/>
  <c r="K764"/>
  <c r="M764" s="1"/>
  <c r="P764" i="5"/>
  <c r="M764"/>
  <c r="K764" i="9"/>
  <c r="H764"/>
  <c r="I764" s="1"/>
  <c r="K763" i="8"/>
  <c r="H763"/>
  <c r="I763" s="1"/>
  <c r="H763" i="11"/>
  <c r="I763" s="1"/>
  <c r="K763"/>
  <c r="M763" s="1"/>
  <c r="P763" i="5"/>
  <c r="M763"/>
  <c r="K763" i="9"/>
  <c r="H763"/>
  <c r="I763" s="1"/>
  <c r="K762" i="8"/>
  <c r="H762"/>
  <c r="I762" s="1"/>
  <c r="H762" i="11"/>
  <c r="I762" s="1"/>
  <c r="K762"/>
  <c r="M762" s="1"/>
  <c r="P762" i="5"/>
  <c r="M762"/>
  <c r="K762" i="9"/>
  <c r="H762"/>
  <c r="I762" s="1"/>
  <c r="K761" i="8"/>
  <c r="H761"/>
  <c r="I761" s="1"/>
  <c r="H761" i="11"/>
  <c r="I761" s="1"/>
  <c r="K761"/>
  <c r="M761" s="1"/>
  <c r="P761" i="5"/>
  <c r="M761"/>
  <c r="K761" i="9"/>
  <c r="H761"/>
  <c r="I761" s="1"/>
  <c r="K760" i="8"/>
  <c r="H760"/>
  <c r="I760" s="1"/>
  <c r="H760" i="11"/>
  <c r="I760" s="1"/>
  <c r="K760"/>
  <c r="M760" s="1"/>
  <c r="P760" i="5"/>
  <c r="M760"/>
  <c r="K760" i="9"/>
  <c r="H760"/>
  <c r="I760" s="1"/>
  <c r="K759" i="8"/>
  <c r="H759"/>
  <c r="I759" s="1"/>
  <c r="H759" i="11"/>
  <c r="I759" s="1"/>
  <c r="K759"/>
  <c r="M759" s="1"/>
  <c r="P759" i="5"/>
  <c r="M759"/>
  <c r="K759" i="9"/>
  <c r="H759"/>
  <c r="I759" s="1"/>
  <c r="K758" i="8"/>
  <c r="H758"/>
  <c r="I758" s="1"/>
  <c r="H758" i="11"/>
  <c r="I758" s="1"/>
  <c r="K758"/>
  <c r="M758" s="1"/>
  <c r="P758" i="5"/>
  <c r="M758"/>
  <c r="K758" i="9"/>
  <c r="H758"/>
  <c r="I758" s="1"/>
  <c r="K757" i="8"/>
  <c r="H757"/>
  <c r="I757" s="1"/>
  <c r="H757" i="11"/>
  <c r="I757" s="1"/>
  <c r="K757"/>
  <c r="M757" s="1"/>
  <c r="P757" i="5"/>
  <c r="M757"/>
  <c r="K757" i="9"/>
  <c r="H757"/>
  <c r="I757" s="1"/>
  <c r="K756" i="8"/>
  <c r="H756"/>
  <c r="I756" s="1"/>
  <c r="H756" i="11"/>
  <c r="I756" s="1"/>
  <c r="K756"/>
  <c r="M756" s="1"/>
  <c r="P756" i="5"/>
  <c r="M756"/>
  <c r="K756" i="9"/>
  <c r="H756"/>
  <c r="I756" s="1"/>
  <c r="K755" i="8"/>
  <c r="H755"/>
  <c r="I755" s="1"/>
  <c r="H755" i="11"/>
  <c r="I755" s="1"/>
  <c r="K755"/>
  <c r="M755" s="1"/>
  <c r="P755" i="5"/>
  <c r="M755"/>
  <c r="K755" i="9"/>
  <c r="H755"/>
  <c r="I755" s="1"/>
  <c r="K754" i="8"/>
  <c r="H754"/>
  <c r="I754" s="1"/>
  <c r="H754" i="11"/>
  <c r="I754" s="1"/>
  <c r="K754"/>
  <c r="M754" s="1"/>
  <c r="P754" i="5"/>
  <c r="M754"/>
  <c r="K754" i="9"/>
  <c r="H754"/>
  <c r="I754" s="1"/>
  <c r="K753" i="8"/>
  <c r="H753"/>
  <c r="I753" s="1"/>
  <c r="H753" i="11"/>
  <c r="I753" s="1"/>
  <c r="K753"/>
  <c r="M753" s="1"/>
  <c r="P753" i="5"/>
  <c r="M753"/>
  <c r="K753" i="9"/>
  <c r="H753"/>
  <c r="I753" s="1"/>
  <c r="K752" i="8"/>
  <c r="H752"/>
  <c r="I752" s="1"/>
  <c r="H752" i="11"/>
  <c r="I752" s="1"/>
  <c r="K752"/>
  <c r="M752" s="1"/>
  <c r="P752" i="5"/>
  <c r="M752"/>
  <c r="K752" i="9"/>
  <c r="H752"/>
  <c r="I752" s="1"/>
  <c r="K751" i="8"/>
  <c r="H751"/>
  <c r="I751" s="1"/>
  <c r="H751" i="11"/>
  <c r="I751" s="1"/>
  <c r="K751"/>
  <c r="M751" s="1"/>
  <c r="P751" i="5"/>
  <c r="M751"/>
  <c r="K751" i="9"/>
  <c r="H751"/>
  <c r="I751" s="1"/>
  <c r="K750" i="8"/>
  <c r="H750"/>
  <c r="I750" s="1"/>
  <c r="H750" i="11"/>
  <c r="I750" s="1"/>
  <c r="K750"/>
  <c r="M750" s="1"/>
  <c r="P750" i="5"/>
  <c r="M750"/>
  <c r="K750" i="9"/>
  <c r="H750"/>
  <c r="I750" s="1"/>
  <c r="K749" i="8"/>
  <c r="H749"/>
  <c r="I749" s="1"/>
  <c r="H749" i="11"/>
  <c r="I749" s="1"/>
  <c r="K749"/>
  <c r="P749" i="5"/>
  <c r="P879" s="1"/>
  <c r="M749"/>
  <c r="K749" i="9"/>
  <c r="H749"/>
  <c r="I749" s="1"/>
  <c r="K1145" i="11"/>
  <c r="H1145"/>
  <c r="I1145" s="1"/>
  <c r="P1145" i="5"/>
  <c r="M1145"/>
  <c r="K1144" i="11"/>
  <c r="H1144"/>
  <c r="I1144" s="1"/>
  <c r="P1143" i="5"/>
  <c r="M1143"/>
  <c r="K1142" i="11"/>
  <c r="H1142"/>
  <c r="I1142" s="1"/>
  <c r="P1142" i="5"/>
  <c r="M1142"/>
  <c r="K1141" i="11"/>
  <c r="H1141"/>
  <c r="I1141" s="1"/>
  <c r="P1141" i="5"/>
  <c r="M1141"/>
  <c r="K1140" i="11"/>
  <c r="H1140"/>
  <c r="I1140" s="1"/>
  <c r="P1140" i="5"/>
  <c r="M1140"/>
  <c r="K1139" i="11"/>
  <c r="H1139"/>
  <c r="I1139" s="1"/>
  <c r="P1139" i="5"/>
  <c r="M1139"/>
  <c r="K1138" i="11"/>
  <c r="H1138"/>
  <c r="I1138" s="1"/>
  <c r="P1138" i="5"/>
  <c r="M1138"/>
  <c r="K1137" i="11"/>
  <c r="H1137"/>
  <c r="I1137" s="1"/>
  <c r="P1137" i="5"/>
  <c r="M1137"/>
  <c r="K1136" i="11"/>
  <c r="H1136"/>
  <c r="I1136" s="1"/>
  <c r="P1136" i="5"/>
  <c r="M1136"/>
  <c r="K1135" i="11"/>
  <c r="H1135"/>
  <c r="I1135" s="1"/>
  <c r="P1135" i="5"/>
  <c r="M1135"/>
  <c r="K1134" i="11"/>
  <c r="H1134"/>
  <c r="I1134" s="1"/>
  <c r="P1134" i="5"/>
  <c r="M1134"/>
  <c r="K1133" i="11"/>
  <c r="H1133"/>
  <c r="I1133" s="1"/>
  <c r="P1133" i="5"/>
  <c r="M1133"/>
  <c r="K1132" i="11"/>
  <c r="H1132"/>
  <c r="I1132" s="1"/>
  <c r="P1132" i="5"/>
  <c r="M1132"/>
  <c r="K1131" i="11"/>
  <c r="H1131"/>
  <c r="I1131" s="1"/>
  <c r="P1131" i="5"/>
  <c r="M1131"/>
  <c r="K1130" i="11"/>
  <c r="H1130"/>
  <c r="I1130" s="1"/>
  <c r="P1130" i="5"/>
  <c r="M1130"/>
  <c r="K1129" i="11"/>
  <c r="H1129"/>
  <c r="I1129" s="1"/>
  <c r="P1129" i="5"/>
  <c r="M1129"/>
  <c r="K1128" i="11"/>
  <c r="H1128"/>
  <c r="I1128" s="1"/>
  <c r="P1128" i="5"/>
  <c r="M1128"/>
  <c r="K1127" i="11"/>
  <c r="H1127"/>
  <c r="I1127" s="1"/>
  <c r="P1127" i="5"/>
  <c r="M1127"/>
  <c r="K1126" i="11"/>
  <c r="H1126"/>
  <c r="I1126" s="1"/>
  <c r="P1126" i="5"/>
  <c r="M1126"/>
  <c r="K1125" i="11"/>
  <c r="H1125"/>
  <c r="I1125" s="1"/>
  <c r="P1125" i="5"/>
  <c r="M1125"/>
  <c r="K1124" i="11"/>
  <c r="H1124"/>
  <c r="I1124" s="1"/>
  <c r="P1124" i="5"/>
  <c r="M1124"/>
  <c r="K1123" i="11"/>
  <c r="H1123"/>
  <c r="I1123" s="1"/>
  <c r="P1123" i="5"/>
  <c r="M1123"/>
  <c r="K1122" i="11"/>
  <c r="H1122"/>
  <c r="I1122" s="1"/>
  <c r="P1122" i="5"/>
  <c r="M1122"/>
  <c r="K1121" i="11"/>
  <c r="H1121"/>
  <c r="I1121" s="1"/>
  <c r="P1121" i="5"/>
  <c r="M1121"/>
  <c r="K1120" i="11"/>
  <c r="H1120"/>
  <c r="I1120" s="1"/>
  <c r="P1120" i="5"/>
  <c r="M1120"/>
  <c r="K1119" i="11"/>
  <c r="H1119"/>
  <c r="I1119" s="1"/>
  <c r="P1119" i="5"/>
  <c r="M1119"/>
  <c r="K1118" i="11"/>
  <c r="H1118"/>
  <c r="I1118" s="1"/>
  <c r="P1118" i="5"/>
  <c r="M1118"/>
  <c r="K1117" i="11"/>
  <c r="H1117"/>
  <c r="I1117" s="1"/>
  <c r="P1117" i="5"/>
  <c r="M1117"/>
  <c r="K1116" i="11"/>
  <c r="H1116"/>
  <c r="I1116" s="1"/>
  <c r="P1116" i="5"/>
  <c r="M1116"/>
  <c r="K1115" i="11"/>
  <c r="H1115"/>
  <c r="I1115" s="1"/>
  <c r="P1115" i="5"/>
  <c r="M1115"/>
  <c r="K1114" i="11"/>
  <c r="H1114"/>
  <c r="I1114" s="1"/>
  <c r="P1114" i="5"/>
  <c r="M1114"/>
  <c r="K1113" i="11"/>
  <c r="H1113"/>
  <c r="I1113" s="1"/>
  <c r="P1113" i="5"/>
  <c r="M1113"/>
  <c r="K1112" i="11"/>
  <c r="H1112"/>
  <c r="I1112" s="1"/>
  <c r="P1112" i="5"/>
  <c r="M1112"/>
  <c r="K1111" i="11"/>
  <c r="H1111"/>
  <c r="I1111" s="1"/>
  <c r="P1111" i="5"/>
  <c r="M1111"/>
  <c r="K1110" i="11"/>
  <c r="H1110"/>
  <c r="I1110" s="1"/>
  <c r="P1110" i="5"/>
  <c r="M1110"/>
  <c r="K1109" i="11"/>
  <c r="H1109"/>
  <c r="I1109" s="1"/>
  <c r="P1109" i="5"/>
  <c r="M1109"/>
  <c r="K1108" i="11"/>
  <c r="H1108"/>
  <c r="I1108" s="1"/>
  <c r="P1108" i="5"/>
  <c r="M1108"/>
  <c r="K1107" i="11"/>
  <c r="H1107"/>
  <c r="I1107" s="1"/>
  <c r="P1107" i="5"/>
  <c r="M1107"/>
  <c r="K1106" i="11"/>
  <c r="H1106"/>
  <c r="I1106" s="1"/>
  <c r="P1106" i="5"/>
  <c r="M1106"/>
  <c r="K1105" i="11"/>
  <c r="H1105"/>
  <c r="I1105" s="1"/>
  <c r="P1105" i="5"/>
  <c r="M1105"/>
  <c r="K1104" i="11"/>
  <c r="H1104"/>
  <c r="I1104" s="1"/>
  <c r="P1104" i="5"/>
  <c r="M1104"/>
  <c r="K1103" i="11"/>
  <c r="H1103"/>
  <c r="I1103" s="1"/>
  <c r="P1103" i="5"/>
  <c r="M1103"/>
  <c r="K1102" i="11"/>
  <c r="H1102"/>
  <c r="I1102" s="1"/>
  <c r="P1102" i="5"/>
  <c r="M1102"/>
  <c r="K1101" i="11"/>
  <c r="H1101"/>
  <c r="I1101" s="1"/>
  <c r="P1101" i="5"/>
  <c r="M1101"/>
  <c r="K1100" i="11"/>
  <c r="H1100"/>
  <c r="I1100" s="1"/>
  <c r="P1100" i="5"/>
  <c r="M1100"/>
  <c r="K1099" i="11"/>
  <c r="H1099"/>
  <c r="I1099" s="1"/>
  <c r="P1099" i="5"/>
  <c r="M1099"/>
  <c r="K1098" i="11"/>
  <c r="H1098"/>
  <c r="I1098" s="1"/>
  <c r="P1098" i="5"/>
  <c r="M1098"/>
  <c r="K1097" i="11"/>
  <c r="H1097"/>
  <c r="I1097" s="1"/>
  <c r="P1097" i="5"/>
  <c r="M1097"/>
  <c r="K1096" i="11"/>
  <c r="H1096"/>
  <c r="I1096" s="1"/>
  <c r="P1096" i="5"/>
  <c r="M1096"/>
  <c r="K1095" i="11"/>
  <c r="H1095"/>
  <c r="I1095" s="1"/>
  <c r="P1095" i="5"/>
  <c r="M1095"/>
  <c r="K1094" i="11"/>
  <c r="H1094"/>
  <c r="I1094" s="1"/>
  <c r="P1094" i="5"/>
  <c r="M1094"/>
  <c r="K1093" i="11"/>
  <c r="H1093"/>
  <c r="I1093" s="1"/>
  <c r="P1093" i="5"/>
  <c r="M1093"/>
  <c r="K1092" i="11"/>
  <c r="H1092"/>
  <c r="I1092" s="1"/>
  <c r="P1092" i="5"/>
  <c r="M1092"/>
  <c r="K1091" i="11"/>
  <c r="H1091"/>
  <c r="I1091" s="1"/>
  <c r="P1091" i="5"/>
  <c r="M1091"/>
  <c r="K1090" i="11"/>
  <c r="H1090"/>
  <c r="I1090" s="1"/>
  <c r="P1090" i="5"/>
  <c r="M1090"/>
  <c r="K1089" i="11"/>
  <c r="H1089"/>
  <c r="I1089" s="1"/>
  <c r="P1089" i="5"/>
  <c r="M1089"/>
  <c r="K1088" i="11"/>
  <c r="H1088"/>
  <c r="I1088" s="1"/>
  <c r="P1088" i="5"/>
  <c r="M1088"/>
  <c r="K1087" i="11"/>
  <c r="H1087"/>
  <c r="I1087" s="1"/>
  <c r="P1087" i="5"/>
  <c r="M1087"/>
  <c r="K1086" i="11"/>
  <c r="H1086"/>
  <c r="I1086" s="1"/>
  <c r="P1086" i="5"/>
  <c r="M1086"/>
  <c r="K1085" i="11"/>
  <c r="H1085"/>
  <c r="I1085" s="1"/>
  <c r="P1085" i="5"/>
  <c r="M1085"/>
  <c r="K1084" i="11"/>
  <c r="H1084"/>
  <c r="I1084" s="1"/>
  <c r="P1084" i="5"/>
  <c r="M1084"/>
  <c r="K1083" i="11"/>
  <c r="H1083"/>
  <c r="I1083" s="1"/>
  <c r="P1083" i="5"/>
  <c r="M1083"/>
  <c r="K1082" i="11"/>
  <c r="H1082"/>
  <c r="I1082" s="1"/>
  <c r="P1082" i="5"/>
  <c r="M1082"/>
  <c r="K1081" i="11"/>
  <c r="H1081"/>
  <c r="I1081" s="1"/>
  <c r="P1081" i="5"/>
  <c r="M1081"/>
  <c r="K1080" i="11"/>
  <c r="H1080"/>
  <c r="I1080" s="1"/>
  <c r="P1080" i="5"/>
  <c r="M1080"/>
  <c r="K1079" i="11"/>
  <c r="H1079"/>
  <c r="I1079" s="1"/>
  <c r="P1079" i="5"/>
  <c r="M1079"/>
  <c r="K1078" i="11"/>
  <c r="H1078"/>
  <c r="I1078" s="1"/>
  <c r="P1078" i="5"/>
  <c r="M1078"/>
  <c r="K1077" i="11"/>
  <c r="H1077"/>
  <c r="I1077" s="1"/>
  <c r="P1077" i="5"/>
  <c r="M1077"/>
  <c r="K1076" i="11"/>
  <c r="H1076"/>
  <c r="I1076" s="1"/>
  <c r="P1076" i="5"/>
  <c r="M1076"/>
  <c r="K1075" i="11"/>
  <c r="H1075"/>
  <c r="I1075" s="1"/>
  <c r="P1075" i="5"/>
  <c r="M1075"/>
  <c r="K1074" i="11"/>
  <c r="H1074"/>
  <c r="I1074" s="1"/>
  <c r="P1074" i="5"/>
  <c r="M1074"/>
  <c r="K1073" i="11"/>
  <c r="H1073"/>
  <c r="I1073" s="1"/>
  <c r="P1073" i="5"/>
  <c r="M1073"/>
  <c r="K1072" i="11"/>
  <c r="H1072"/>
  <c r="I1072" s="1"/>
  <c r="P1072" i="5"/>
  <c r="M1072"/>
  <c r="K1071" i="11"/>
  <c r="H1071"/>
  <c r="I1071" s="1"/>
  <c r="P1071" i="5"/>
  <c r="M1071"/>
  <c r="K1070" i="11"/>
  <c r="H1070"/>
  <c r="I1070" s="1"/>
  <c r="P1070" i="5"/>
  <c r="M1070"/>
  <c r="K1069" i="11"/>
  <c r="H1069"/>
  <c r="I1069" s="1"/>
  <c r="P1069" i="5"/>
  <c r="M1069"/>
  <c r="K1068" i="11"/>
  <c r="H1068"/>
  <c r="I1068" s="1"/>
  <c r="P1068" i="5"/>
  <c r="M1068"/>
  <c r="K1067" i="11"/>
  <c r="H1067"/>
  <c r="I1067" s="1"/>
  <c r="P1067" i="5"/>
  <c r="M1067"/>
  <c r="K1066" i="11"/>
  <c r="H1066"/>
  <c r="I1066" s="1"/>
  <c r="P1066" i="5"/>
  <c r="M1066"/>
  <c r="K1065" i="11"/>
  <c r="H1065"/>
  <c r="I1065" s="1"/>
  <c r="P1065" i="5"/>
  <c r="M1065"/>
  <c r="K1064" i="11"/>
  <c r="H1064"/>
  <c r="I1064" s="1"/>
  <c r="P1064" i="5"/>
  <c r="M1064"/>
  <c r="K1063" i="11"/>
  <c r="H1063"/>
  <c r="I1063" s="1"/>
  <c r="P1063" i="5"/>
  <c r="M1063"/>
  <c r="K1062" i="11"/>
  <c r="H1062"/>
  <c r="I1062" s="1"/>
  <c r="P1062" i="5"/>
  <c r="M1062"/>
  <c r="K1061" i="11"/>
  <c r="H1061"/>
  <c r="I1061" s="1"/>
  <c r="P1061" i="5"/>
  <c r="M1061"/>
  <c r="K1060" i="11"/>
  <c r="H1060"/>
  <c r="I1060" s="1"/>
  <c r="P1060" i="5"/>
  <c r="M1060"/>
  <c r="K1059" i="11"/>
  <c r="H1059"/>
  <c r="I1059" s="1"/>
  <c r="P1059" i="5"/>
  <c r="M1059"/>
  <c r="K1058" i="11"/>
  <c r="H1058"/>
  <c r="I1058" s="1"/>
  <c r="P1058" i="5"/>
  <c r="M1058"/>
  <c r="K1057" i="11"/>
  <c r="H1057"/>
  <c r="I1057" s="1"/>
  <c r="P1057" i="5"/>
  <c r="M1057"/>
  <c r="K1056" i="11"/>
  <c r="H1056"/>
  <c r="I1056" s="1"/>
  <c r="P1056" i="5"/>
  <c r="M1056"/>
  <c r="K1055" i="11"/>
  <c r="H1055"/>
  <c r="I1055" s="1"/>
  <c r="P1055" i="5"/>
  <c r="M1055"/>
  <c r="K1054" i="11"/>
  <c r="H1054"/>
  <c r="I1054" s="1"/>
  <c r="P1054" i="5"/>
  <c r="M1054"/>
  <c r="K1053" i="11"/>
  <c r="H1053"/>
  <c r="I1053" s="1"/>
  <c r="P1053" i="5"/>
  <c r="M1053"/>
  <c r="K1052" i="11"/>
  <c r="H1052"/>
  <c r="I1052" s="1"/>
  <c r="P1052" i="5"/>
  <c r="M1052"/>
  <c r="K1051" i="11"/>
  <c r="H1051"/>
  <c r="I1051" s="1"/>
  <c r="P1051" i="5"/>
  <c r="M1051"/>
  <c r="K1050" i="11"/>
  <c r="H1050"/>
  <c r="I1050" s="1"/>
  <c r="P1050" i="5"/>
  <c r="M1050"/>
  <c r="K1049" i="11"/>
  <c r="H1049"/>
  <c r="I1049" s="1"/>
  <c r="P1049" i="5"/>
  <c r="M1049"/>
  <c r="K1048" i="11"/>
  <c r="H1048"/>
  <c r="I1048" s="1"/>
  <c r="P1048" i="5"/>
  <c r="M1048"/>
  <c r="K1047" i="11"/>
  <c r="H1047"/>
  <c r="I1047" s="1"/>
  <c r="P1047" i="5"/>
  <c r="M1047"/>
  <c r="K1046" i="11"/>
  <c r="H1046"/>
  <c r="I1046" s="1"/>
  <c r="P1046" i="5"/>
  <c r="M1046"/>
  <c r="K1045" i="11"/>
  <c r="H1045"/>
  <c r="I1045" s="1"/>
  <c r="P1045" i="5"/>
  <c r="M1045"/>
  <c r="K1044" i="11"/>
  <c r="H1044"/>
  <c r="I1044" s="1"/>
  <c r="P1044" i="5"/>
  <c r="M1044"/>
  <c r="K1043" i="11"/>
  <c r="H1043"/>
  <c r="I1043" s="1"/>
  <c r="P1043" i="5"/>
  <c r="M1043"/>
  <c r="K1042" i="11"/>
  <c r="H1042"/>
  <c r="I1042" s="1"/>
  <c r="P1042" i="5"/>
  <c r="M1042"/>
  <c r="K1041" i="11"/>
  <c r="H1041"/>
  <c r="I1041" s="1"/>
  <c r="P1041" i="5"/>
  <c r="M1041"/>
  <c r="K1040" i="11"/>
  <c r="H1040"/>
  <c r="I1040" s="1"/>
  <c r="P1040" i="5"/>
  <c r="M1040"/>
  <c r="K1039" i="11"/>
  <c r="H1039"/>
  <c r="I1039" s="1"/>
  <c r="P1039" i="5"/>
  <c r="M1039"/>
  <c r="K1038" i="11"/>
  <c r="H1038"/>
  <c r="I1038" s="1"/>
  <c r="P1038" i="5"/>
  <c r="M1038"/>
  <c r="K1037" i="11"/>
  <c r="H1037"/>
  <c r="I1037" s="1"/>
  <c r="P1037" i="5"/>
  <c r="M1037"/>
  <c r="K1036" i="11"/>
  <c r="H1036"/>
  <c r="I1036" s="1"/>
  <c r="P1036" i="5"/>
  <c r="M1036"/>
  <c r="K1035" i="11"/>
  <c r="H1035"/>
  <c r="I1035" s="1"/>
  <c r="P1035" i="5"/>
  <c r="M1035"/>
  <c r="K1034" i="11"/>
  <c r="H1034"/>
  <c r="I1034" s="1"/>
  <c r="P1034" i="5"/>
  <c r="M1034"/>
  <c r="K1033" i="11"/>
  <c r="H1033"/>
  <c r="I1033" s="1"/>
  <c r="P1033" i="5"/>
  <c r="M1033"/>
  <c r="K1032" i="11"/>
  <c r="H1032"/>
  <c r="I1032" s="1"/>
  <c r="P1032" i="5"/>
  <c r="M1032"/>
  <c r="K1031" i="11"/>
  <c r="H1031"/>
  <c r="I1031" s="1"/>
  <c r="P1031" i="5"/>
  <c r="M1031"/>
  <c r="K1030" i="11"/>
  <c r="H1030"/>
  <c r="I1030" s="1"/>
  <c r="P1030" i="5"/>
  <c r="M1030"/>
  <c r="K1029" i="11"/>
  <c r="H1029"/>
  <c r="I1029" s="1"/>
  <c r="P1029" i="5"/>
  <c r="M1029"/>
  <c r="K1028" i="11"/>
  <c r="H1028"/>
  <c r="I1028" s="1"/>
  <c r="P1028" i="5"/>
  <c r="M1028"/>
  <c r="K1027" i="11"/>
  <c r="H1027"/>
  <c r="I1027" s="1"/>
  <c r="P1027" i="5"/>
  <c r="M1027"/>
  <c r="K1026" i="11"/>
  <c r="H1026"/>
  <c r="I1026" s="1"/>
  <c r="P1026" i="5"/>
  <c r="M1026"/>
  <c r="K1025" i="11"/>
  <c r="H1025"/>
  <c r="I1025" s="1"/>
  <c r="P1025" i="5"/>
  <c r="M1025"/>
  <c r="K1024" i="11"/>
  <c r="H1024"/>
  <c r="I1024" s="1"/>
  <c r="P1024" i="5"/>
  <c r="M1024"/>
  <c r="K1023" i="11"/>
  <c r="H1023"/>
  <c r="I1023" s="1"/>
  <c r="P1023" i="5"/>
  <c r="M1023"/>
  <c r="K1022" i="11"/>
  <c r="H1022"/>
  <c r="I1022" s="1"/>
  <c r="P1022" i="5"/>
  <c r="M1022"/>
  <c r="K1021" i="11"/>
  <c r="H1021"/>
  <c r="I1021" s="1"/>
  <c r="P1021" i="5"/>
  <c r="M1021"/>
  <c r="K1020" i="11"/>
  <c r="H1020"/>
  <c r="I1020" s="1"/>
  <c r="P1020" i="5"/>
  <c r="M1020"/>
  <c r="K1019" i="11"/>
  <c r="H1019"/>
  <c r="I1019" s="1"/>
  <c r="P1019" i="5"/>
  <c r="M1019"/>
  <c r="K1018" i="11"/>
  <c r="H1018"/>
  <c r="I1018" s="1"/>
  <c r="P1018" i="5"/>
  <c r="M1018"/>
  <c r="K1017" i="11"/>
  <c r="H1017"/>
  <c r="I1017" s="1"/>
  <c r="P1017" i="5"/>
  <c r="M1017"/>
  <c r="K1016" i="11"/>
  <c r="H1016"/>
  <c r="I1016" s="1"/>
  <c r="P1016" i="5"/>
  <c r="M1016"/>
  <c r="K1015" i="11"/>
  <c r="H1015"/>
  <c r="I1015" s="1"/>
  <c r="P1015" i="5"/>
  <c r="M1015"/>
  <c r="K1014" i="11"/>
  <c r="H1014"/>
  <c r="I1014" s="1"/>
  <c r="P1014" i="5"/>
  <c r="M1014"/>
  <c r="K1013" i="11"/>
  <c r="H1013"/>
  <c r="I1013" s="1"/>
  <c r="P1013" i="5"/>
  <c r="M1013"/>
  <c r="K1012" i="11"/>
  <c r="H1012"/>
  <c r="I1012" s="1"/>
  <c r="P1012" i="5"/>
  <c r="M1012"/>
  <c r="K1011" i="11"/>
  <c r="H1011"/>
  <c r="I1011" s="1"/>
  <c r="P1011" i="5"/>
  <c r="M1011"/>
  <c r="K1010" i="11"/>
  <c r="H1010"/>
  <c r="I1010" s="1"/>
  <c r="P1010" i="5"/>
  <c r="M1010"/>
  <c r="K1009" i="11"/>
  <c r="H1009"/>
  <c r="I1009" s="1"/>
  <c r="P1009" i="5"/>
  <c r="M1009"/>
  <c r="K1008" i="11"/>
  <c r="H1008"/>
  <c r="I1008" s="1"/>
  <c r="P1008" i="5"/>
  <c r="M1008"/>
  <c r="K1007" i="11"/>
  <c r="H1007"/>
  <c r="I1007" s="1"/>
  <c r="P1007" i="5"/>
  <c r="M1007"/>
  <c r="K1006" i="11"/>
  <c r="H1006"/>
  <c r="I1006" s="1"/>
  <c r="P1006" i="5"/>
  <c r="M1006"/>
  <c r="K1005" i="11"/>
  <c r="H1005"/>
  <c r="I1005" s="1"/>
  <c r="P1005" i="5"/>
  <c r="M1005"/>
  <c r="K1004" i="11"/>
  <c r="H1004"/>
  <c r="I1004" s="1"/>
  <c r="P1004" i="5"/>
  <c r="M1004"/>
  <c r="K1003" i="11"/>
  <c r="H1003"/>
  <c r="I1003" s="1"/>
  <c r="P1003" i="5"/>
  <c r="M1003"/>
  <c r="K1002" i="11"/>
  <c r="H1002"/>
  <c r="I1002" s="1"/>
  <c r="P1002" i="5"/>
  <c r="M1002"/>
  <c r="K1001" i="11"/>
  <c r="H1001"/>
  <c r="I1001" s="1"/>
  <c r="P1001" i="5"/>
  <c r="M1001"/>
  <c r="K1000" i="11"/>
  <c r="H1000"/>
  <c r="I1000" s="1"/>
  <c r="P1000" i="5"/>
  <c r="M1000"/>
  <c r="K999" i="11"/>
  <c r="H999"/>
  <c r="I999" s="1"/>
  <c r="P999" i="5"/>
  <c r="M999"/>
  <c r="K998" i="11"/>
  <c r="H998"/>
  <c r="I998" s="1"/>
  <c r="P998" i="5"/>
  <c r="M998"/>
  <c r="K997" i="11"/>
  <c r="H997"/>
  <c r="I997" s="1"/>
  <c r="P997" i="5"/>
  <c r="M997"/>
  <c r="K996" i="11"/>
  <c r="H996"/>
  <c r="I996" s="1"/>
  <c r="P996" i="5"/>
  <c r="M996"/>
  <c r="K995" i="11"/>
  <c r="H995"/>
  <c r="I995" s="1"/>
  <c r="P995" i="5"/>
  <c r="M995"/>
  <c r="K994" i="11"/>
  <c r="H994"/>
  <c r="I994" s="1"/>
  <c r="P994" i="5"/>
  <c r="M994"/>
  <c r="K993" i="11"/>
  <c r="H993"/>
  <c r="I993" s="1"/>
  <c r="P993" i="5"/>
  <c r="M993"/>
  <c r="K992" i="11"/>
  <c r="H992"/>
  <c r="I992" s="1"/>
  <c r="P992" i="5"/>
  <c r="M992"/>
  <c r="K991" i="11"/>
  <c r="H991"/>
  <c r="I991" s="1"/>
  <c r="P991" i="5"/>
  <c r="M991"/>
  <c r="K990" i="11"/>
  <c r="H990"/>
  <c r="I990" s="1"/>
  <c r="P990" i="5"/>
  <c r="M990"/>
  <c r="K989" i="11"/>
  <c r="H989"/>
  <c r="I989" s="1"/>
  <c r="P989" i="5"/>
  <c r="M989"/>
  <c r="K988" i="11"/>
  <c r="H988"/>
  <c r="I988" s="1"/>
  <c r="P988" i="5"/>
  <c r="M988"/>
  <c r="K987" i="11"/>
  <c r="H987"/>
  <c r="I987" s="1"/>
  <c r="P987" i="5"/>
  <c r="M987"/>
  <c r="K986" i="11"/>
  <c r="H986"/>
  <c r="I986" s="1"/>
  <c r="P986" i="5"/>
  <c r="M986"/>
  <c r="K985" i="11"/>
  <c r="H985"/>
  <c r="I985" s="1"/>
  <c r="P985" i="5"/>
  <c r="M985"/>
  <c r="K984" i="11"/>
  <c r="H984"/>
  <c r="I984" s="1"/>
  <c r="P984" i="5"/>
  <c r="M984"/>
  <c r="K983" i="11"/>
  <c r="H983"/>
  <c r="I983" s="1"/>
  <c r="P983" i="5"/>
  <c r="M983"/>
  <c r="K982" i="11"/>
  <c r="H982"/>
  <c r="I982" s="1"/>
  <c r="P982" i="5"/>
  <c r="M982"/>
  <c r="K981" i="11"/>
  <c r="H981"/>
  <c r="I981" s="1"/>
  <c r="P981" i="5"/>
  <c r="M981"/>
  <c r="K980" i="11"/>
  <c r="H980"/>
  <c r="I980" s="1"/>
  <c r="P980" i="5"/>
  <c r="M980"/>
  <c r="K979" i="11"/>
  <c r="H979"/>
  <c r="I979" s="1"/>
  <c r="P979" i="5"/>
  <c r="M979"/>
  <c r="K978" i="11"/>
  <c r="H978"/>
  <c r="I978" s="1"/>
  <c r="P978" i="5"/>
  <c r="M978"/>
  <c r="K977" i="11"/>
  <c r="H977"/>
  <c r="I977" s="1"/>
  <c r="P977" i="5"/>
  <c r="M977"/>
  <c r="K976" i="11"/>
  <c r="H976"/>
  <c r="I976" s="1"/>
  <c r="P976" i="5"/>
  <c r="M976"/>
  <c r="K975" i="11"/>
  <c r="H975"/>
  <c r="I975" s="1"/>
  <c r="P975" i="5"/>
  <c r="M975"/>
  <c r="K974" i="11"/>
  <c r="H974"/>
  <c r="I974" s="1"/>
  <c r="P974" i="5"/>
  <c r="M974"/>
  <c r="K973" i="11"/>
  <c r="H973"/>
  <c r="I973" s="1"/>
  <c r="P973" i="5"/>
  <c r="M973"/>
  <c r="K972" i="11"/>
  <c r="H972"/>
  <c r="I972" s="1"/>
  <c r="P972" i="5"/>
  <c r="M972"/>
  <c r="K971" i="11"/>
  <c r="H971"/>
  <c r="I971" s="1"/>
  <c r="P971" i="5"/>
  <c r="M971"/>
  <c r="K970" i="11"/>
  <c r="H970"/>
  <c r="I970" s="1"/>
  <c r="P970" i="5"/>
  <c r="M970"/>
  <c r="K969" i="11"/>
  <c r="H969"/>
  <c r="I969" s="1"/>
  <c r="P969" i="5"/>
  <c r="M969"/>
  <c r="K968" i="11"/>
  <c r="H968"/>
  <c r="I968" s="1"/>
  <c r="P968" i="5"/>
  <c r="M968"/>
  <c r="K967" i="11"/>
  <c r="H967"/>
  <c r="I967" s="1"/>
  <c r="P967" i="5"/>
  <c r="M967"/>
  <c r="K966" i="11"/>
  <c r="H966"/>
  <c r="I966" s="1"/>
  <c r="P966" i="5"/>
  <c r="M966"/>
  <c r="K965" i="11"/>
  <c r="H965"/>
  <c r="I965" s="1"/>
  <c r="P965" i="5"/>
  <c r="M965"/>
  <c r="K964" i="11"/>
  <c r="H964"/>
  <c r="I964" s="1"/>
  <c r="P964" i="5"/>
  <c r="M964"/>
  <c r="K963" i="11"/>
  <c r="H963"/>
  <c r="I963" s="1"/>
  <c r="P963" i="5"/>
  <c r="M963"/>
  <c r="K962" i="11"/>
  <c r="H962"/>
  <c r="I962" s="1"/>
  <c r="P962" i="5"/>
  <c r="M962"/>
  <c r="K961" i="11"/>
  <c r="H961"/>
  <c r="I961" s="1"/>
  <c r="P961" i="5"/>
  <c r="M961"/>
  <c r="K960" i="11"/>
  <c r="H960"/>
  <c r="I960" s="1"/>
  <c r="P960" i="5"/>
  <c r="M960"/>
  <c r="K959" i="11"/>
  <c r="H959"/>
  <c r="I959" s="1"/>
  <c r="P959" i="5"/>
  <c r="M959"/>
  <c r="K958" i="11"/>
  <c r="H958"/>
  <c r="I958" s="1"/>
  <c r="P958" i="5"/>
  <c r="M958"/>
  <c r="K957" i="11"/>
  <c r="H957"/>
  <c r="I957" s="1"/>
  <c r="P957" i="5"/>
  <c r="M957"/>
  <c r="K956" i="11"/>
  <c r="H956"/>
  <c r="I956" s="1"/>
  <c r="P956" i="5"/>
  <c r="M956"/>
  <c r="K955" i="11"/>
  <c r="H955"/>
  <c r="I955" s="1"/>
  <c r="P955" i="5"/>
  <c r="M955"/>
  <c r="K954" i="11"/>
  <c r="H954"/>
  <c r="I954" s="1"/>
  <c r="P954" i="5"/>
  <c r="M954"/>
  <c r="K953" i="11"/>
  <c r="H953"/>
  <c r="I953" s="1"/>
  <c r="P953" i="5"/>
  <c r="M953"/>
  <c r="K952" i="11"/>
  <c r="H952"/>
  <c r="I952" s="1"/>
  <c r="P952" i="5"/>
  <c r="M952"/>
  <c r="K951" i="11"/>
  <c r="H951"/>
  <c r="I951" s="1"/>
  <c r="P951" i="5"/>
  <c r="M951"/>
  <c r="K950" i="11"/>
  <c r="H950"/>
  <c r="I950" s="1"/>
  <c r="P950" i="5"/>
  <c r="M950"/>
  <c r="K949" i="11"/>
  <c r="H949"/>
  <c r="I949" s="1"/>
  <c r="P949" i="5"/>
  <c r="M949"/>
  <c r="K948" i="11"/>
  <c r="H948"/>
  <c r="I948" s="1"/>
  <c r="P948" i="5"/>
  <c r="M948"/>
  <c r="K947" i="11"/>
  <c r="H947"/>
  <c r="I947" s="1"/>
  <c r="P947" i="5"/>
  <c r="M947"/>
  <c r="K946" i="11"/>
  <c r="H946"/>
  <c r="I946" s="1"/>
  <c r="P946" i="5"/>
  <c r="M946"/>
  <c r="K945" i="11"/>
  <c r="H945"/>
  <c r="I945" s="1"/>
  <c r="P945" i="5"/>
  <c r="M945"/>
  <c r="K944" i="11"/>
  <c r="H944"/>
  <c r="I944" s="1"/>
  <c r="P944" i="5"/>
  <c r="M944"/>
  <c r="K943" i="11"/>
  <c r="H943"/>
  <c r="I943" s="1"/>
  <c r="P943" i="5"/>
  <c r="M943"/>
  <c r="K942" i="11"/>
  <c r="H942"/>
  <c r="I942" s="1"/>
  <c r="P942" i="5"/>
  <c r="M942"/>
  <c r="K941" i="11"/>
  <c r="H941"/>
  <c r="I941" s="1"/>
  <c r="P941" i="5"/>
  <c r="M941"/>
  <c r="K940" i="11"/>
  <c r="H940"/>
  <c r="I940" s="1"/>
  <c r="P940" i="5"/>
  <c r="M940"/>
  <c r="K939" i="11"/>
  <c r="H939"/>
  <c r="I939" s="1"/>
  <c r="P939" i="5"/>
  <c r="M939"/>
  <c r="K938" i="11"/>
  <c r="H938"/>
  <c r="I938" s="1"/>
  <c r="P938" i="5"/>
  <c r="M938"/>
  <c r="K937" i="11"/>
  <c r="H937"/>
  <c r="I937" s="1"/>
  <c r="P937" i="5"/>
  <c r="M937"/>
  <c r="K936" i="11"/>
  <c r="H936"/>
  <c r="I936" s="1"/>
  <c r="P936" i="5"/>
  <c r="M936"/>
  <c r="K935" i="11"/>
  <c r="H935"/>
  <c r="I935" s="1"/>
  <c r="P935" i="5"/>
  <c r="M935"/>
  <c r="K934" i="11"/>
  <c r="H934"/>
  <c r="I934" s="1"/>
  <c r="P934" i="5"/>
  <c r="M934"/>
  <c r="K933" i="11"/>
  <c r="H933"/>
  <c r="I933" s="1"/>
  <c r="P933" i="5"/>
  <c r="M933"/>
  <c r="K932" i="11"/>
  <c r="H932"/>
  <c r="I932" s="1"/>
  <c r="P932" i="5"/>
  <c r="M932"/>
  <c r="K931" i="11"/>
  <c r="H931"/>
  <c r="I931" s="1"/>
  <c r="P931" i="5"/>
  <c r="M931"/>
  <c r="K930" i="11"/>
  <c r="H930"/>
  <c r="I930" s="1"/>
  <c r="P930" i="5"/>
  <c r="M930"/>
  <c r="K929" i="11"/>
  <c r="H929"/>
  <c r="I929" s="1"/>
  <c r="P929" i="5"/>
  <c r="M929"/>
  <c r="K928" i="11"/>
  <c r="H928"/>
  <c r="I928" s="1"/>
  <c r="P928" i="5"/>
  <c r="M928"/>
  <c r="K927" i="11"/>
  <c r="H927"/>
  <c r="I927" s="1"/>
  <c r="P927" i="5"/>
  <c r="M927"/>
  <c r="K926" i="11"/>
  <c r="H926"/>
  <c r="I926" s="1"/>
  <c r="P926" i="5"/>
  <c r="M926"/>
  <c r="K925" i="11"/>
  <c r="H925"/>
  <c r="I925" s="1"/>
  <c r="P925" i="5"/>
  <c r="M925"/>
  <c r="K924" i="11"/>
  <c r="H924"/>
  <c r="I924" s="1"/>
  <c r="P924" i="5"/>
  <c r="M924"/>
  <c r="K923" i="11"/>
  <c r="H923"/>
  <c r="I923" s="1"/>
  <c r="P923" i="5"/>
  <c r="M923"/>
  <c r="K922" i="11"/>
  <c r="H922"/>
  <c r="I922" s="1"/>
  <c r="P922" i="5"/>
  <c r="M922"/>
  <c r="K921" i="11"/>
  <c r="H921"/>
  <c r="I921" s="1"/>
  <c r="P921" i="5"/>
  <c r="M921"/>
  <c r="K920" i="11"/>
  <c r="H920"/>
  <c r="I920" s="1"/>
  <c r="P920" i="5"/>
  <c r="M920"/>
  <c r="K919" i="11"/>
  <c r="H919"/>
  <c r="I919" s="1"/>
  <c r="P919" i="5"/>
  <c r="M919"/>
  <c r="K918" i="11"/>
  <c r="H918"/>
  <c r="I918" s="1"/>
  <c r="P918" i="5"/>
  <c r="M918"/>
  <c r="K917" i="11"/>
  <c r="H917"/>
  <c r="I917" s="1"/>
  <c r="P917" i="5"/>
  <c r="M917"/>
  <c r="K916" i="11"/>
  <c r="H916"/>
  <c r="I916" s="1"/>
  <c r="P916" i="5"/>
  <c r="M916"/>
  <c r="K915" i="11"/>
  <c r="H915"/>
  <c r="I915" s="1"/>
  <c r="P915" i="5"/>
  <c r="M915"/>
  <c r="K914" i="11"/>
  <c r="H914"/>
  <c r="I914" s="1"/>
  <c r="P914" i="5"/>
  <c r="M914"/>
  <c r="K913" i="11"/>
  <c r="H913"/>
  <c r="I913" s="1"/>
  <c r="P913" i="5"/>
  <c r="M913"/>
  <c r="K912" i="11"/>
  <c r="H912"/>
  <c r="I912" s="1"/>
  <c r="P912" i="5"/>
  <c r="M912"/>
  <c r="K911" i="11"/>
  <c r="H911"/>
  <c r="I911" s="1"/>
  <c r="P911" i="5"/>
  <c r="M911"/>
  <c r="K910" i="11"/>
  <c r="H910"/>
  <c r="I910" s="1"/>
  <c r="P910" i="5"/>
  <c r="M910"/>
  <c r="P909"/>
  <c r="M909"/>
  <c r="K908" i="11"/>
  <c r="H908"/>
  <c r="I908" s="1"/>
  <c r="P908" i="5"/>
  <c r="M908"/>
  <c r="K907" i="11"/>
  <c r="H907"/>
  <c r="I907" s="1"/>
  <c r="P907" i="5"/>
  <c r="M907"/>
  <c r="K906" i="11"/>
  <c r="H906"/>
  <c r="I906" s="1"/>
  <c r="P906" i="5"/>
  <c r="M906"/>
  <c r="K905" i="11"/>
  <c r="H905"/>
  <c r="I905" s="1"/>
  <c r="P905" i="5"/>
  <c r="M905"/>
  <c r="K904" i="11"/>
  <c r="H904"/>
  <c r="I904" s="1"/>
  <c r="P904" i="5"/>
  <c r="M904"/>
  <c r="K903" i="11"/>
  <c r="H903"/>
  <c r="I903" s="1"/>
  <c r="P903" i="5"/>
  <c r="M903"/>
  <c r="K902" i="11"/>
  <c r="H902"/>
  <c r="I902" s="1"/>
  <c r="P902" i="5"/>
  <c r="M902"/>
  <c r="K901" i="11"/>
  <c r="H901"/>
  <c r="I901" s="1"/>
  <c r="P901" i="5"/>
  <c r="M901"/>
  <c r="K900" i="11"/>
  <c r="H900"/>
  <c r="I900" s="1"/>
  <c r="P900" i="5"/>
  <c r="M900"/>
  <c r="K899" i="11"/>
  <c r="H899"/>
  <c r="I899" s="1"/>
  <c r="P899" i="5"/>
  <c r="M899"/>
  <c r="K898" i="11"/>
  <c r="H898"/>
  <c r="I898" s="1"/>
  <c r="P898" i="5"/>
  <c r="M898"/>
  <c r="K897" i="11"/>
  <c r="H897"/>
  <c r="I897" s="1"/>
  <c r="P897" i="5"/>
  <c r="M897"/>
  <c r="K896" i="11"/>
  <c r="H896"/>
  <c r="I896" s="1"/>
  <c r="P896" i="5"/>
  <c r="M896"/>
  <c r="K895" i="11"/>
  <c r="H895"/>
  <c r="I895" s="1"/>
  <c r="P895" i="5"/>
  <c r="M895"/>
  <c r="K894" i="11"/>
  <c r="H894"/>
  <c r="I894" s="1"/>
  <c r="P894" i="5"/>
  <c r="M894"/>
  <c r="K893" i="11"/>
  <c r="H893"/>
  <c r="I893" s="1"/>
  <c r="P893" i="5"/>
  <c r="M893"/>
  <c r="K892" i="11"/>
  <c r="H892"/>
  <c r="I892" s="1"/>
  <c r="P892" i="5"/>
  <c r="M892"/>
  <c r="K891" i="11"/>
  <c r="H891"/>
  <c r="I891" s="1"/>
  <c r="P891" i="5"/>
  <c r="M891"/>
  <c r="K890" i="11"/>
  <c r="H890"/>
  <c r="I890" s="1"/>
  <c r="P890" i="5"/>
  <c r="M890"/>
  <c r="K889" i="11"/>
  <c r="H889"/>
  <c r="I889" s="1"/>
  <c r="P889" i="5"/>
  <c r="M889"/>
  <c r="K888" i="11"/>
  <c r="H888"/>
  <c r="I888" s="1"/>
  <c r="P888" i="5"/>
  <c r="M888"/>
  <c r="K887" i="11"/>
  <c r="H887"/>
  <c r="I887" s="1"/>
  <c r="P887" i="5"/>
  <c r="M887"/>
  <c r="K886" i="11"/>
  <c r="H886"/>
  <c r="I886" s="1"/>
  <c r="P886" i="5"/>
  <c r="M886"/>
  <c r="K885" i="11"/>
  <c r="H885"/>
  <c r="I885" s="1"/>
  <c r="P885" i="5"/>
  <c r="M885"/>
  <c r="K884" i="11"/>
  <c r="H884"/>
  <c r="I884" s="1"/>
  <c r="P884" i="5"/>
  <c r="M884"/>
  <c r="K883" i="11"/>
  <c r="H883"/>
  <c r="I883" s="1"/>
  <c r="P883" i="5"/>
  <c r="M883"/>
  <c r="K882" i="11"/>
  <c r="H882"/>
  <c r="I882" s="1"/>
  <c r="P882" i="5"/>
  <c r="M882"/>
  <c r="K881" i="11"/>
  <c r="H881"/>
  <c r="I881" s="1"/>
  <c r="P881" i="5"/>
  <c r="M881"/>
  <c r="K1201" i="8"/>
  <c r="H1201"/>
  <c r="I1201" s="1"/>
  <c r="K1201" i="11"/>
  <c r="H1201"/>
  <c r="I1201" s="1"/>
  <c r="K1200" i="8"/>
  <c r="H1200"/>
  <c r="I1200" s="1"/>
  <c r="K1200" i="11"/>
  <c r="H1200"/>
  <c r="I1200" s="1"/>
  <c r="P1200" i="5"/>
  <c r="M1200"/>
  <c r="K1199" i="8"/>
  <c r="H1199"/>
  <c r="I1199" s="1"/>
  <c r="K1199" i="11"/>
  <c r="H1199"/>
  <c r="I1199" s="1"/>
  <c r="P1199" i="5"/>
  <c r="M1199"/>
  <c r="K1198" i="8"/>
  <c r="H1198"/>
  <c r="I1198" s="1"/>
  <c r="K1198" i="11"/>
  <c r="H1198"/>
  <c r="I1198" s="1"/>
  <c r="P1198" i="5"/>
  <c r="M1198"/>
  <c r="K1197" i="8"/>
  <c r="H1197"/>
  <c r="I1197" s="1"/>
  <c r="K1197" i="11"/>
  <c r="H1197"/>
  <c r="I1197" s="1"/>
  <c r="P1197" i="5"/>
  <c r="M1197"/>
  <c r="K1196" i="8"/>
  <c r="H1196"/>
  <c r="I1196" s="1"/>
  <c r="K1196" i="11"/>
  <c r="H1196"/>
  <c r="I1196" s="1"/>
  <c r="P1196" i="5"/>
  <c r="M1196"/>
  <c r="K1195" i="8"/>
  <c r="H1195"/>
  <c r="I1195" s="1"/>
  <c r="K1195" i="11"/>
  <c r="H1195"/>
  <c r="I1195" s="1"/>
  <c r="P1195" i="5"/>
  <c r="M1195"/>
  <c r="K1194" i="8"/>
  <c r="H1194"/>
  <c r="I1194" s="1"/>
  <c r="K1194" i="11"/>
  <c r="H1194"/>
  <c r="I1194" s="1"/>
  <c r="P1194" i="5"/>
  <c r="M1194"/>
  <c r="K1193" i="8"/>
  <c r="H1193"/>
  <c r="I1193" s="1"/>
  <c r="K1193" i="11"/>
  <c r="H1193"/>
  <c r="I1193" s="1"/>
  <c r="P1193" i="5"/>
  <c r="M1193"/>
  <c r="K1192" i="8"/>
  <c r="H1192"/>
  <c r="I1192" s="1"/>
  <c r="K1192" i="11"/>
  <c r="H1192"/>
  <c r="I1192" s="1"/>
  <c r="P1192" i="5"/>
  <c r="M1192"/>
  <c r="K1191" i="8"/>
  <c r="H1191"/>
  <c r="I1191" s="1"/>
  <c r="K1191" i="11"/>
  <c r="H1191"/>
  <c r="I1191" s="1"/>
  <c r="P1191" i="5"/>
  <c r="M1191"/>
  <c r="K1190" i="8"/>
  <c r="H1190"/>
  <c r="I1190" s="1"/>
  <c r="K1190" i="11"/>
  <c r="H1190"/>
  <c r="I1190" s="1"/>
  <c r="P1190" i="5"/>
  <c r="M1190"/>
  <c r="K1189" i="8"/>
  <c r="H1189"/>
  <c r="I1189" s="1"/>
  <c r="K1189" i="11"/>
  <c r="H1189"/>
  <c r="I1189" s="1"/>
  <c r="P1189" i="5"/>
  <c r="M1189"/>
  <c r="K1188" i="8"/>
  <c r="H1188"/>
  <c r="I1188" s="1"/>
  <c r="K1188" i="11"/>
  <c r="H1188"/>
  <c r="I1188" s="1"/>
  <c r="P1188" i="5"/>
  <c r="M1188"/>
  <c r="K1187" i="8"/>
  <c r="H1187"/>
  <c r="I1187" s="1"/>
  <c r="K1187" i="11"/>
  <c r="H1187"/>
  <c r="I1187" s="1"/>
  <c r="P1187" i="5"/>
  <c r="M1187"/>
  <c r="K1186" i="8"/>
  <c r="H1186"/>
  <c r="I1186" s="1"/>
  <c r="K1186" i="11"/>
  <c r="H1186"/>
  <c r="I1186" s="1"/>
  <c r="P1186" i="5"/>
  <c r="M1186"/>
  <c r="K1185" i="8"/>
  <c r="H1185"/>
  <c r="I1185" s="1"/>
  <c r="K1185" i="11"/>
  <c r="H1185"/>
  <c r="I1185" s="1"/>
  <c r="P1185" i="5"/>
  <c r="M1185"/>
  <c r="K1184" i="8"/>
  <c r="H1184"/>
  <c r="I1184" s="1"/>
  <c r="K1184" i="11"/>
  <c r="H1184"/>
  <c r="I1184" s="1"/>
  <c r="P1184" i="5"/>
  <c r="M1184"/>
  <c r="K1183" i="8"/>
  <c r="H1183"/>
  <c r="I1183" s="1"/>
  <c r="K1183" i="11"/>
  <c r="H1183"/>
  <c r="I1183" s="1"/>
  <c r="P1183" i="5"/>
  <c r="M1183"/>
  <c r="K1182" i="8"/>
  <c r="H1182"/>
  <c r="I1182" s="1"/>
  <c r="K1182" i="11"/>
  <c r="H1182"/>
  <c r="I1182" s="1"/>
  <c r="P1182" i="5"/>
  <c r="M1182"/>
  <c r="K1181" i="8"/>
  <c r="H1181"/>
  <c r="I1181" s="1"/>
  <c r="K1181" i="11"/>
  <c r="H1181"/>
  <c r="I1181" s="1"/>
  <c r="P1181" i="5"/>
  <c r="M1181"/>
  <c r="K1180" i="8"/>
  <c r="H1180"/>
  <c r="I1180" s="1"/>
  <c r="K1180" i="11"/>
  <c r="H1180"/>
  <c r="I1180" s="1"/>
  <c r="P1180" i="5"/>
  <c r="M1180"/>
  <c r="P1179"/>
  <c r="M1179"/>
  <c r="K1178" i="8"/>
  <c r="H1178"/>
  <c r="I1178" s="1"/>
  <c r="K1178" i="11"/>
  <c r="H1178"/>
  <c r="I1178" s="1"/>
  <c r="P1178" i="5"/>
  <c r="M1178"/>
  <c r="K1177" i="8"/>
  <c r="H1177"/>
  <c r="I1177" s="1"/>
  <c r="K1177" i="11"/>
  <c r="H1177"/>
  <c r="I1177" s="1"/>
  <c r="P1177" i="5"/>
  <c r="M1177"/>
  <c r="K1176" i="8"/>
  <c r="H1176"/>
  <c r="I1176" s="1"/>
  <c r="K1176" i="11"/>
  <c r="H1176"/>
  <c r="I1176" s="1"/>
  <c r="P1176" i="5"/>
  <c r="M1176"/>
  <c r="K1175" i="8"/>
  <c r="H1175"/>
  <c r="I1175" s="1"/>
  <c r="K1175" i="11"/>
  <c r="H1175"/>
  <c r="I1175" s="1"/>
  <c r="P1175" i="5"/>
  <c r="M1175"/>
  <c r="K1174" i="8"/>
  <c r="H1174"/>
  <c r="I1174" s="1"/>
  <c r="K1174" i="11"/>
  <c r="H1174"/>
  <c r="I1174" s="1"/>
  <c r="P1174" i="5"/>
  <c r="M1174"/>
  <c r="K1173" i="8"/>
  <c r="H1173"/>
  <c r="I1173" s="1"/>
  <c r="K1173" i="11"/>
  <c r="H1173"/>
  <c r="I1173" s="1"/>
  <c r="P1173" i="5"/>
  <c r="M1173"/>
  <c r="K1172" i="8"/>
  <c r="H1172"/>
  <c r="I1172" s="1"/>
  <c r="K1172" i="11"/>
  <c r="H1172"/>
  <c r="I1172" s="1"/>
  <c r="P1172" i="5"/>
  <c r="M1172"/>
  <c r="K1171" i="8"/>
  <c r="H1171"/>
  <c r="I1171" s="1"/>
  <c r="K1171" i="11"/>
  <c r="H1171"/>
  <c r="I1171" s="1"/>
  <c r="P1171" i="5"/>
  <c r="M1171"/>
  <c r="K1170" i="8"/>
  <c r="H1170"/>
  <c r="I1170" s="1"/>
  <c r="K1170" i="11"/>
  <c r="H1170"/>
  <c r="I1170" s="1"/>
  <c r="P1170" i="5"/>
  <c r="M1170"/>
  <c r="K1169" i="8"/>
  <c r="H1169"/>
  <c r="I1169" s="1"/>
  <c r="K1169" i="11"/>
  <c r="H1169"/>
  <c r="I1169" s="1"/>
  <c r="P1169" i="5"/>
  <c r="M1169"/>
  <c r="K1168" i="8"/>
  <c r="H1168"/>
  <c r="I1168" s="1"/>
  <c r="K1168" i="11"/>
  <c r="H1168"/>
  <c r="I1168" s="1"/>
  <c r="P1168" i="5"/>
  <c r="M1168"/>
  <c r="K1167" i="8"/>
  <c r="H1167"/>
  <c r="I1167" s="1"/>
  <c r="K1167" i="11"/>
  <c r="H1167"/>
  <c r="I1167" s="1"/>
  <c r="P1167" i="5"/>
  <c r="M1167"/>
  <c r="K1166" i="8"/>
  <c r="H1166"/>
  <c r="I1166" s="1"/>
  <c r="K1166" i="11"/>
  <c r="H1166"/>
  <c r="I1166" s="1"/>
  <c r="P1166" i="5"/>
  <c r="M1166"/>
  <c r="K1165" i="8"/>
  <c r="H1165"/>
  <c r="I1165" s="1"/>
  <c r="K1165" i="11"/>
  <c r="H1165"/>
  <c r="I1165" s="1"/>
  <c r="P1165" i="5"/>
  <c r="M1165"/>
  <c r="K1164" i="8"/>
  <c r="H1164"/>
  <c r="I1164" s="1"/>
  <c r="K1164" i="11"/>
  <c r="H1164"/>
  <c r="I1164" s="1"/>
  <c r="P1164" i="5"/>
  <c r="M1164"/>
  <c r="K1163" i="8"/>
  <c r="H1163"/>
  <c r="I1163" s="1"/>
  <c r="K1163" i="11"/>
  <c r="H1163"/>
  <c r="I1163" s="1"/>
  <c r="P1163" i="5"/>
  <c r="M1163"/>
  <c r="K1162" i="8"/>
  <c r="H1162"/>
  <c r="I1162" s="1"/>
  <c r="K1162" i="11"/>
  <c r="H1162"/>
  <c r="I1162" s="1"/>
  <c r="P1162" i="5"/>
  <c r="M1162"/>
  <c r="K1161" i="8"/>
  <c r="H1161"/>
  <c r="I1161" s="1"/>
  <c r="K1161" i="11"/>
  <c r="H1161"/>
  <c r="I1161" s="1"/>
  <c r="P1161" i="5"/>
  <c r="M1161"/>
  <c r="P1160"/>
  <c r="M1160"/>
  <c r="N1160" s="1"/>
  <c r="K1159" i="8"/>
  <c r="H1159"/>
  <c r="I1159" s="1"/>
  <c r="K1159" i="11"/>
  <c r="H1159"/>
  <c r="I1159" s="1"/>
  <c r="P1159" i="5"/>
  <c r="M1159"/>
  <c r="K1158" i="8"/>
  <c r="H1158"/>
  <c r="I1158" s="1"/>
  <c r="K1158" i="11"/>
  <c r="H1158"/>
  <c r="I1158" s="1"/>
  <c r="P1158" i="5"/>
  <c r="M1158"/>
  <c r="K1157" i="8"/>
  <c r="H1157"/>
  <c r="I1157" s="1"/>
  <c r="K1157" i="11"/>
  <c r="H1157"/>
  <c r="I1157" s="1"/>
  <c r="P1157" i="5"/>
  <c r="M1157"/>
  <c r="K1156" i="8"/>
  <c r="H1156"/>
  <c r="I1156" s="1"/>
  <c r="K1156" i="11"/>
  <c r="H1156"/>
  <c r="I1156" s="1"/>
  <c r="P1156" i="5"/>
  <c r="M1156"/>
  <c r="K1155" i="8"/>
  <c r="H1155"/>
  <c r="I1155" s="1"/>
  <c r="K1155" i="11"/>
  <c r="H1155"/>
  <c r="I1155" s="1"/>
  <c r="P1155" i="5"/>
  <c r="M1155"/>
  <c r="K1154" i="8"/>
  <c r="H1154"/>
  <c r="I1154" s="1"/>
  <c r="P1154" i="5"/>
  <c r="M1154"/>
  <c r="K1153" i="8"/>
  <c r="H1153"/>
  <c r="I1153" s="1"/>
  <c r="K1153" i="11"/>
  <c r="H1153"/>
  <c r="I1153" s="1"/>
  <c r="P1153" i="5"/>
  <c r="M1153"/>
  <c r="K1152" i="8"/>
  <c r="H1152"/>
  <c r="I1152" s="1"/>
  <c r="K1152" i="11"/>
  <c r="H1152"/>
  <c r="I1152" s="1"/>
  <c r="P1152" i="5"/>
  <c r="M1152"/>
  <c r="K1151" i="8"/>
  <c r="H1151"/>
  <c r="I1151" s="1"/>
  <c r="K1151" i="11"/>
  <c r="H1151"/>
  <c r="I1151" s="1"/>
  <c r="P1151" i="5"/>
  <c r="M1151"/>
  <c r="K1150" i="8"/>
  <c r="H1150"/>
  <c r="I1150" s="1"/>
  <c r="K1150" i="11"/>
  <c r="H1150"/>
  <c r="I1150" s="1"/>
  <c r="P1150" i="5"/>
  <c r="M1150"/>
  <c r="K1149" i="8"/>
  <c r="H1149"/>
  <c r="I1149" s="1"/>
  <c r="K1149" i="11"/>
  <c r="H1149"/>
  <c r="I1149" s="1"/>
  <c r="P1149" i="5"/>
  <c r="M1149"/>
  <c r="K1148" i="8"/>
  <c r="H1148"/>
  <c r="I1148" s="1"/>
  <c r="K1148" i="11"/>
  <c r="H1148"/>
  <c r="I1148" s="1"/>
  <c r="P1148" i="5"/>
  <c r="M1148"/>
  <c r="H1231" i="8"/>
  <c r="I1231" s="1"/>
  <c r="K1231"/>
  <c r="M1231" s="1"/>
  <c r="H1230"/>
  <c r="I1230" s="1"/>
  <c r="K1230"/>
  <c r="M1230" s="1"/>
  <c r="K1229"/>
  <c r="H1229"/>
  <c r="I1229" s="1"/>
  <c r="K1228"/>
  <c r="H1228"/>
  <c r="I1228" s="1"/>
  <c r="K1228" i="14"/>
  <c r="H1228"/>
  <c r="I1228" s="1"/>
  <c r="K1227" i="8"/>
  <c r="H1227"/>
  <c r="I1227" s="1"/>
  <c r="K1227" i="14"/>
  <c r="H1227"/>
  <c r="I1227" s="1"/>
  <c r="K1226" i="8"/>
  <c r="H1226"/>
  <c r="I1226" s="1"/>
  <c r="K1225"/>
  <c r="H1225"/>
  <c r="I1225" s="1"/>
  <c r="K1224"/>
  <c r="H1224"/>
  <c r="I1224" s="1"/>
  <c r="K1223"/>
  <c r="H1223"/>
  <c r="I1223" s="1"/>
  <c r="K1222"/>
  <c r="H1222"/>
  <c r="I1222" s="1"/>
  <c r="K1221"/>
  <c r="H1221"/>
  <c r="I1221" s="1"/>
  <c r="K1221" i="14"/>
  <c r="H1221"/>
  <c r="I1221" s="1"/>
  <c r="K1220" i="8"/>
  <c r="H1220"/>
  <c r="I1220" s="1"/>
  <c r="K1220" i="14"/>
  <c r="H1220"/>
  <c r="I1220" s="1"/>
  <c r="K1219" i="8"/>
  <c r="H1219"/>
  <c r="I1219" s="1"/>
  <c r="K1219" i="14"/>
  <c r="H1219"/>
  <c r="I1219" s="1"/>
  <c r="K1218" i="8"/>
  <c r="H1218"/>
  <c r="I1218" s="1"/>
  <c r="K1218" i="14"/>
  <c r="H1218"/>
  <c r="I1218" s="1"/>
  <c r="K1217" i="8"/>
  <c r="H1217"/>
  <c r="I1217" s="1"/>
  <c r="K1217" i="14"/>
  <c r="H1217"/>
  <c r="I1217" s="1"/>
  <c r="K1216" i="8"/>
  <c r="H1216"/>
  <c r="I1216" s="1"/>
  <c r="K1216" i="14"/>
  <c r="H1216"/>
  <c r="I1216" s="1"/>
  <c r="K1215" i="8"/>
  <c r="H1215"/>
  <c r="I1215" s="1"/>
  <c r="K1215" i="14"/>
  <c r="H1215"/>
  <c r="I1215" s="1"/>
  <c r="K1214" i="8"/>
  <c r="H1214"/>
  <c r="I1214" s="1"/>
  <c r="K1214" i="14"/>
  <c r="H1214"/>
  <c r="I1214" s="1"/>
  <c r="K1213" i="8"/>
  <c r="H1213"/>
  <c r="I1213" s="1"/>
  <c r="K1213" i="14"/>
  <c r="H1213"/>
  <c r="I1213" s="1"/>
  <c r="K1212" i="8"/>
  <c r="H1212"/>
  <c r="I1212" s="1"/>
  <c r="K1212" i="14"/>
  <c r="H1212"/>
  <c r="I1212" s="1"/>
  <c r="K1211" i="8"/>
  <c r="H1211"/>
  <c r="I1211" s="1"/>
  <c r="K1211" i="14"/>
  <c r="H1211"/>
  <c r="I1211" s="1"/>
  <c r="K1210" i="8"/>
  <c r="H1210"/>
  <c r="I1210" s="1"/>
  <c r="K1210" i="14"/>
  <c r="H1210"/>
  <c r="I1210" s="1"/>
  <c r="K1209" i="8"/>
  <c r="H1209"/>
  <c r="I1209" s="1"/>
  <c r="K1209" i="14"/>
  <c r="H1209"/>
  <c r="I1209" s="1"/>
  <c r="K1208" i="8"/>
  <c r="H1208"/>
  <c r="I1208" s="1"/>
  <c r="K1208" i="14"/>
  <c r="H1208"/>
  <c r="I1208" s="1"/>
  <c r="K1207" i="8"/>
  <c r="H1207"/>
  <c r="I1207" s="1"/>
  <c r="K1207" i="14"/>
  <c r="H1207"/>
  <c r="I1207" s="1"/>
  <c r="K1206" i="8"/>
  <c r="H1206"/>
  <c r="I1206" s="1"/>
  <c r="K1206" i="14"/>
  <c r="H1206"/>
  <c r="I1206" s="1"/>
  <c r="K1205" i="8"/>
  <c r="H1205"/>
  <c r="I1205" s="1"/>
  <c r="K1205" i="14"/>
  <c r="H1205"/>
  <c r="I1205" s="1"/>
  <c r="K1204" i="8"/>
  <c r="H1204"/>
  <c r="I1204" s="1"/>
  <c r="K535"/>
  <c r="H535"/>
  <c r="I535" s="1"/>
  <c r="K386"/>
  <c r="H386"/>
  <c r="I386" s="1"/>
  <c r="K534" i="11"/>
  <c r="H534"/>
  <c r="I534" s="1"/>
  <c r="K534" i="9"/>
  <c r="H534"/>
  <c r="I534" s="1"/>
  <c r="K534" i="8"/>
  <c r="H534"/>
  <c r="I534" s="1"/>
  <c r="K533" i="11"/>
  <c r="H533"/>
  <c r="I533" s="1"/>
  <c r="K533" i="9"/>
  <c r="H533"/>
  <c r="I533" s="1"/>
  <c r="K533" i="8"/>
  <c r="H533"/>
  <c r="I533" s="1"/>
  <c r="K532" i="11"/>
  <c r="H532"/>
  <c r="I532" s="1"/>
  <c r="K532" i="9"/>
  <c r="H532"/>
  <c r="I532" s="1"/>
  <c r="K532" i="8"/>
  <c r="H532"/>
  <c r="I532" s="1"/>
  <c r="K531" i="11"/>
  <c r="H531"/>
  <c r="I531" s="1"/>
  <c r="K531" i="9"/>
  <c r="H531"/>
  <c r="I531" s="1"/>
  <c r="K531" i="8"/>
  <c r="H531"/>
  <c r="I531" s="1"/>
  <c r="K530" i="11"/>
  <c r="H530"/>
  <c r="I530" s="1"/>
  <c r="K530" i="9"/>
  <c r="H530"/>
  <c r="I530" s="1"/>
  <c r="K530" i="8"/>
  <c r="H530"/>
  <c r="I530" s="1"/>
  <c r="K529" i="11"/>
  <c r="H529"/>
  <c r="I529" s="1"/>
  <c r="K529" i="9"/>
  <c r="H529"/>
  <c r="I529" s="1"/>
  <c r="K529" i="8"/>
  <c r="H529"/>
  <c r="I529" s="1"/>
  <c r="K528" i="11"/>
  <c r="H528"/>
  <c r="I528" s="1"/>
  <c r="K528" i="9"/>
  <c r="H528"/>
  <c r="I528" s="1"/>
  <c r="K528" i="8"/>
  <c r="H528"/>
  <c r="I528" s="1"/>
  <c r="K527" i="11"/>
  <c r="H527"/>
  <c r="I527" s="1"/>
  <c r="K527" i="9"/>
  <c r="H527"/>
  <c r="I527" s="1"/>
  <c r="K527" i="8"/>
  <c r="H527"/>
  <c r="I527" s="1"/>
  <c r="K526" i="11"/>
  <c r="H526"/>
  <c r="I526" s="1"/>
  <c r="K526" i="9"/>
  <c r="H526"/>
  <c r="I526" s="1"/>
  <c r="K526" i="8"/>
  <c r="H526"/>
  <c r="I526" s="1"/>
  <c r="K525" i="11"/>
  <c r="H525"/>
  <c r="I525" s="1"/>
  <c r="K525" i="9"/>
  <c r="H525"/>
  <c r="I525" s="1"/>
  <c r="K525" i="8"/>
  <c r="H525"/>
  <c r="I525" s="1"/>
  <c r="K524" i="11"/>
  <c r="H524"/>
  <c r="I524" s="1"/>
  <c r="K524" i="9"/>
  <c r="H524"/>
  <c r="I524" s="1"/>
  <c r="K524" i="8"/>
  <c r="H524"/>
  <c r="I524" s="1"/>
  <c r="K523" i="11"/>
  <c r="H523"/>
  <c r="I523" s="1"/>
  <c r="K523" i="9"/>
  <c r="H523"/>
  <c r="I523" s="1"/>
  <c r="K523" i="8"/>
  <c r="H523"/>
  <c r="I523" s="1"/>
  <c r="K522" i="11"/>
  <c r="H522"/>
  <c r="I522" s="1"/>
  <c r="K522" i="9"/>
  <c r="H522"/>
  <c r="I522" s="1"/>
  <c r="K522" i="8"/>
  <c r="H522"/>
  <c r="I522" s="1"/>
  <c r="K521" i="11"/>
  <c r="H521"/>
  <c r="I521" s="1"/>
  <c r="K521" i="9"/>
  <c r="H521"/>
  <c r="I521" s="1"/>
  <c r="K521" i="8"/>
  <c r="H521"/>
  <c r="I521" s="1"/>
  <c r="K520" i="11"/>
  <c r="H520"/>
  <c r="I520" s="1"/>
  <c r="K520" i="9"/>
  <c r="H520"/>
  <c r="I520" s="1"/>
  <c r="K520" i="8"/>
  <c r="H520"/>
  <c r="I520" s="1"/>
  <c r="K519" i="11"/>
  <c r="H519"/>
  <c r="I519" s="1"/>
  <c r="K519" i="9"/>
  <c r="H519"/>
  <c r="I519" s="1"/>
  <c r="K519" i="8"/>
  <c r="H519"/>
  <c r="I519" s="1"/>
  <c r="K518" i="11"/>
  <c r="H518"/>
  <c r="I518" s="1"/>
  <c r="K518" i="9"/>
  <c r="H518"/>
  <c r="I518" s="1"/>
  <c r="K518" i="8"/>
  <c r="H518"/>
  <c r="I518" s="1"/>
  <c r="K517" i="11"/>
  <c r="H517"/>
  <c r="I517" s="1"/>
  <c r="K517" i="9"/>
  <c r="H517"/>
  <c r="I517" s="1"/>
  <c r="K517" i="8"/>
  <c r="H517"/>
  <c r="I517" s="1"/>
  <c r="K516" i="11"/>
  <c r="H516"/>
  <c r="I516" s="1"/>
  <c r="K516" i="9"/>
  <c r="H516"/>
  <c r="I516" s="1"/>
  <c r="K516" i="8"/>
  <c r="H516"/>
  <c r="I516" s="1"/>
  <c r="K515" i="11"/>
  <c r="H515"/>
  <c r="I515" s="1"/>
  <c r="K515" i="9"/>
  <c r="H515"/>
  <c r="I515" s="1"/>
  <c r="K515" i="8"/>
  <c r="H515"/>
  <c r="I515" s="1"/>
  <c r="K514" i="11"/>
  <c r="H514"/>
  <c r="I514" s="1"/>
  <c r="K514" i="9"/>
  <c r="H514"/>
  <c r="I514" s="1"/>
  <c r="K514" i="8"/>
  <c r="H514"/>
  <c r="I514" s="1"/>
  <c r="K513" i="11"/>
  <c r="H513"/>
  <c r="I513" s="1"/>
  <c r="K513" i="9"/>
  <c r="H513"/>
  <c r="I513" s="1"/>
  <c r="K513" i="8"/>
  <c r="H513"/>
  <c r="I513" s="1"/>
  <c r="K512" i="11"/>
  <c r="H512"/>
  <c r="I512" s="1"/>
  <c r="K512" i="9"/>
  <c r="H512"/>
  <c r="I512" s="1"/>
  <c r="K512" i="8"/>
  <c r="H512"/>
  <c r="I512" s="1"/>
  <c r="K511" i="11"/>
  <c r="H511"/>
  <c r="I511" s="1"/>
  <c r="K511" i="9"/>
  <c r="H511"/>
  <c r="I511" s="1"/>
  <c r="K511" i="8"/>
  <c r="H511"/>
  <c r="I511" s="1"/>
  <c r="K510" i="11"/>
  <c r="H510"/>
  <c r="I510" s="1"/>
  <c r="K510" i="9"/>
  <c r="H510"/>
  <c r="I510" s="1"/>
  <c r="K510" i="8"/>
  <c r="H510"/>
  <c r="I510" s="1"/>
  <c r="K509" i="11"/>
  <c r="H509"/>
  <c r="I509" s="1"/>
  <c r="K509" i="9"/>
  <c r="H509"/>
  <c r="I509" s="1"/>
  <c r="K509" i="8"/>
  <c r="H509"/>
  <c r="I509" s="1"/>
  <c r="K508" i="11"/>
  <c r="H508"/>
  <c r="I508" s="1"/>
  <c r="K508" i="9"/>
  <c r="H508"/>
  <c r="I508" s="1"/>
  <c r="K508" i="8"/>
  <c r="H508"/>
  <c r="I508" s="1"/>
  <c r="K507" i="11"/>
  <c r="H507"/>
  <c r="I507" s="1"/>
  <c r="K507" i="9"/>
  <c r="H507"/>
  <c r="I507" s="1"/>
  <c r="K507" i="8"/>
  <c r="H507"/>
  <c r="I507" s="1"/>
  <c r="K506" i="11"/>
  <c r="H506"/>
  <c r="I506" s="1"/>
  <c r="K506" i="9"/>
  <c r="H506"/>
  <c r="I506" s="1"/>
  <c r="K506" i="8"/>
  <c r="H506"/>
  <c r="I506" s="1"/>
  <c r="K505" i="11"/>
  <c r="H505"/>
  <c r="I505" s="1"/>
  <c r="K505" i="9"/>
  <c r="H505"/>
  <c r="I505" s="1"/>
  <c r="K505" i="8"/>
  <c r="H505"/>
  <c r="I505" s="1"/>
  <c r="K504" i="11"/>
  <c r="H504"/>
  <c r="I504" s="1"/>
  <c r="K504" i="9"/>
  <c r="H504"/>
  <c r="I504" s="1"/>
  <c r="K504" i="8"/>
  <c r="H504"/>
  <c r="I504" s="1"/>
  <c r="K503" i="11"/>
  <c r="H503"/>
  <c r="I503" s="1"/>
  <c r="K503" i="9"/>
  <c r="H503"/>
  <c r="I503" s="1"/>
  <c r="K503" i="8"/>
  <c r="H503"/>
  <c r="I503" s="1"/>
  <c r="K502" i="11"/>
  <c r="H502"/>
  <c r="I502" s="1"/>
  <c r="K502" i="9"/>
  <c r="H502"/>
  <c r="I502" s="1"/>
  <c r="K502" i="8"/>
  <c r="H502"/>
  <c r="I502" s="1"/>
  <c r="K501" i="11"/>
  <c r="H501"/>
  <c r="I501" s="1"/>
  <c r="K501" i="9"/>
  <c r="H501"/>
  <c r="I501" s="1"/>
  <c r="K501" i="8"/>
  <c r="H501"/>
  <c r="I501" s="1"/>
  <c r="K500" i="11"/>
  <c r="H500"/>
  <c r="I500" s="1"/>
  <c r="K500" i="9"/>
  <c r="H500"/>
  <c r="I500" s="1"/>
  <c r="K500" i="8"/>
  <c r="H500"/>
  <c r="I500" s="1"/>
  <c r="K499" i="11"/>
  <c r="H499"/>
  <c r="I499" s="1"/>
  <c r="K499" i="9"/>
  <c r="H499"/>
  <c r="I499" s="1"/>
  <c r="K499" i="8"/>
  <c r="H499"/>
  <c r="I499" s="1"/>
  <c r="K498" i="11"/>
  <c r="H498"/>
  <c r="I498" s="1"/>
  <c r="K498" i="9"/>
  <c r="H498"/>
  <c r="I498" s="1"/>
  <c r="K498" i="8"/>
  <c r="H498"/>
  <c r="I498" s="1"/>
  <c r="K497" i="11"/>
  <c r="H497"/>
  <c r="I497" s="1"/>
  <c r="K497" i="9"/>
  <c r="H497"/>
  <c r="I497" s="1"/>
  <c r="K497" i="8"/>
  <c r="H497"/>
  <c r="I497" s="1"/>
  <c r="K496" i="11"/>
  <c r="H496"/>
  <c r="I496" s="1"/>
  <c r="K496" i="9"/>
  <c r="H496"/>
  <c r="I496" s="1"/>
  <c r="K496" i="8"/>
  <c r="H496"/>
  <c r="I496" s="1"/>
  <c r="K495" i="11"/>
  <c r="H495"/>
  <c r="I495" s="1"/>
  <c r="K495" i="9"/>
  <c r="H495"/>
  <c r="I495" s="1"/>
  <c r="K495" i="8"/>
  <c r="H495"/>
  <c r="I495" s="1"/>
  <c r="K494" i="11"/>
  <c r="H494"/>
  <c r="I494" s="1"/>
  <c r="K494" i="9"/>
  <c r="H494"/>
  <c r="I494" s="1"/>
  <c r="K494" i="8"/>
  <c r="H494"/>
  <c r="I494" s="1"/>
  <c r="K493" i="11"/>
  <c r="H493"/>
  <c r="I493" s="1"/>
  <c r="K493" i="9"/>
  <c r="H493"/>
  <c r="I493" s="1"/>
  <c r="K493" i="8"/>
  <c r="H493"/>
  <c r="I493" s="1"/>
  <c r="K492" i="11"/>
  <c r="H492"/>
  <c r="I492" s="1"/>
  <c r="K492" i="9"/>
  <c r="H492"/>
  <c r="I492" s="1"/>
  <c r="K492" i="8"/>
  <c r="H492"/>
  <c r="I492" s="1"/>
  <c r="K491" i="11"/>
  <c r="H491"/>
  <c r="I491" s="1"/>
  <c r="K491" i="9"/>
  <c r="H491"/>
  <c r="I491" s="1"/>
  <c r="K491" i="8"/>
  <c r="H491"/>
  <c r="I491" s="1"/>
  <c r="K490" i="11"/>
  <c r="H490"/>
  <c r="I490" s="1"/>
  <c r="K490" i="9"/>
  <c r="H490"/>
  <c r="I490" s="1"/>
  <c r="K490" i="8"/>
  <c r="H490"/>
  <c r="I490" s="1"/>
  <c r="K489" i="11"/>
  <c r="H489"/>
  <c r="I489" s="1"/>
  <c r="K489" i="9"/>
  <c r="H489"/>
  <c r="I489" s="1"/>
  <c r="K489" i="8"/>
  <c r="H489"/>
  <c r="I489" s="1"/>
  <c r="K488" i="11"/>
  <c r="H488"/>
  <c r="I488" s="1"/>
  <c r="K488" i="9"/>
  <c r="H488"/>
  <c r="I488" s="1"/>
  <c r="K488" i="8"/>
  <c r="H488"/>
  <c r="I488" s="1"/>
  <c r="K487" i="11"/>
  <c r="H487"/>
  <c r="I487" s="1"/>
  <c r="K487" i="9"/>
  <c r="H487"/>
  <c r="I487" s="1"/>
  <c r="K487" i="8"/>
  <c r="H487"/>
  <c r="I487" s="1"/>
  <c r="K486" i="11"/>
  <c r="H486"/>
  <c r="I486" s="1"/>
  <c r="K486" i="9"/>
  <c r="H486"/>
  <c r="I486" s="1"/>
  <c r="K486" i="8"/>
  <c r="H486"/>
  <c r="I486" s="1"/>
  <c r="K485" i="11"/>
  <c r="H485"/>
  <c r="I485" s="1"/>
  <c r="K485" i="9"/>
  <c r="H485"/>
  <c r="I485" s="1"/>
  <c r="K485" i="8"/>
  <c r="H485"/>
  <c r="I485" s="1"/>
  <c r="K484" i="11"/>
  <c r="H484"/>
  <c r="I484" s="1"/>
  <c r="K484" i="9"/>
  <c r="H484"/>
  <c r="I484" s="1"/>
  <c r="K484" i="8"/>
  <c r="H484"/>
  <c r="I484" s="1"/>
  <c r="K483" i="11"/>
  <c r="H483"/>
  <c r="I483" s="1"/>
  <c r="K483" i="9"/>
  <c r="H483"/>
  <c r="I483" s="1"/>
  <c r="K483" i="8"/>
  <c r="H483"/>
  <c r="I483" s="1"/>
  <c r="K482" i="11"/>
  <c r="H482"/>
  <c r="I482" s="1"/>
  <c r="K482" i="9"/>
  <c r="H482"/>
  <c r="I482" s="1"/>
  <c r="K482" i="8"/>
  <c r="H482"/>
  <c r="I482" s="1"/>
  <c r="K481" i="11"/>
  <c r="H481"/>
  <c r="I481" s="1"/>
  <c r="K481" i="9"/>
  <c r="H481"/>
  <c r="I481" s="1"/>
  <c r="K481" i="8"/>
  <c r="H481"/>
  <c r="I481" s="1"/>
  <c r="K480" i="11"/>
  <c r="H480"/>
  <c r="I480" s="1"/>
  <c r="K480" i="9"/>
  <c r="H480"/>
  <c r="I480" s="1"/>
  <c r="K480" i="8"/>
  <c r="H480"/>
  <c r="I480" s="1"/>
  <c r="K479" i="11"/>
  <c r="H479"/>
  <c r="I479" s="1"/>
  <c r="K479" i="9"/>
  <c r="H479"/>
  <c r="I479" s="1"/>
  <c r="K479" i="8"/>
  <c r="H479"/>
  <c r="I479" s="1"/>
  <c r="K478" i="11"/>
  <c r="H478"/>
  <c r="I478" s="1"/>
  <c r="K478" i="9"/>
  <c r="H478"/>
  <c r="I478" s="1"/>
  <c r="K478" i="8"/>
  <c r="H478"/>
  <c r="I478" s="1"/>
  <c r="K477" i="11"/>
  <c r="H477"/>
  <c r="I477" s="1"/>
  <c r="K477" i="9"/>
  <c r="H477"/>
  <c r="I477" s="1"/>
  <c r="K477" i="8"/>
  <c r="H477"/>
  <c r="I477" s="1"/>
  <c r="K476" i="11"/>
  <c r="H476"/>
  <c r="I476" s="1"/>
  <c r="K476" i="9"/>
  <c r="H476"/>
  <c r="I476" s="1"/>
  <c r="K476" i="8"/>
  <c r="H476"/>
  <c r="I476" s="1"/>
  <c r="K475" i="11"/>
  <c r="H475"/>
  <c r="I475" s="1"/>
  <c r="K475" i="9"/>
  <c r="H475"/>
  <c r="I475" s="1"/>
  <c r="K475" i="8"/>
  <c r="H475"/>
  <c r="I475" s="1"/>
  <c r="K474" i="11"/>
  <c r="H474"/>
  <c r="I474" s="1"/>
  <c r="K474" i="9"/>
  <c r="H474"/>
  <c r="I474" s="1"/>
  <c r="K474" i="8"/>
  <c r="H474"/>
  <c r="I474" s="1"/>
  <c r="K473" i="11"/>
  <c r="H473"/>
  <c r="I473" s="1"/>
  <c r="K473" i="9"/>
  <c r="H473"/>
  <c r="I473" s="1"/>
  <c r="K473" i="8"/>
  <c r="H473"/>
  <c r="I473" s="1"/>
  <c r="K472" i="11"/>
  <c r="H472"/>
  <c r="I472" s="1"/>
  <c r="K472" i="9"/>
  <c r="H472"/>
  <c r="I472" s="1"/>
  <c r="K472" i="8"/>
  <c r="H472"/>
  <c r="I472" s="1"/>
  <c r="K471" i="11"/>
  <c r="H471"/>
  <c r="I471" s="1"/>
  <c r="K471" i="9"/>
  <c r="H471"/>
  <c r="I471" s="1"/>
  <c r="K471" i="8"/>
  <c r="H471"/>
  <c r="I471" s="1"/>
  <c r="K470" i="11"/>
  <c r="H470"/>
  <c r="I470" s="1"/>
  <c r="K470" i="9"/>
  <c r="H470"/>
  <c r="I470" s="1"/>
  <c r="K470" i="8"/>
  <c r="H470"/>
  <c r="I470" s="1"/>
  <c r="K469" i="11"/>
  <c r="H469"/>
  <c r="I469" s="1"/>
  <c r="K469" i="9"/>
  <c r="H469"/>
  <c r="I469" s="1"/>
  <c r="K469" i="8"/>
  <c r="H469"/>
  <c r="I469" s="1"/>
  <c r="K468" i="11"/>
  <c r="H468"/>
  <c r="I468" s="1"/>
  <c r="K468" i="9"/>
  <c r="H468"/>
  <c r="I468" s="1"/>
  <c r="K468" i="8"/>
  <c r="H468"/>
  <c r="I468" s="1"/>
  <c r="K467" i="11"/>
  <c r="H467"/>
  <c r="I467" s="1"/>
  <c r="K467" i="9"/>
  <c r="H467"/>
  <c r="I467" s="1"/>
  <c r="K467" i="8"/>
  <c r="H467"/>
  <c r="I467" s="1"/>
  <c r="K466" i="11"/>
  <c r="H466"/>
  <c r="I466" s="1"/>
  <c r="K466" i="9"/>
  <c r="H466"/>
  <c r="I466" s="1"/>
  <c r="K466" i="8"/>
  <c r="H466"/>
  <c r="I466" s="1"/>
  <c r="K465" i="11"/>
  <c r="H465"/>
  <c r="I465" s="1"/>
  <c r="K465" i="9"/>
  <c r="H465"/>
  <c r="I465" s="1"/>
  <c r="K465" i="8"/>
  <c r="H465"/>
  <c r="I465" s="1"/>
  <c r="K464" i="11"/>
  <c r="H464"/>
  <c r="I464" s="1"/>
  <c r="K464" i="9"/>
  <c r="H464"/>
  <c r="I464" s="1"/>
  <c r="K464" i="8"/>
  <c r="H464"/>
  <c r="I464" s="1"/>
  <c r="K463" i="11"/>
  <c r="H463"/>
  <c r="I463" s="1"/>
  <c r="K463" i="9"/>
  <c r="H463"/>
  <c r="I463" s="1"/>
  <c r="K463" i="8"/>
  <c r="H463"/>
  <c r="I463" s="1"/>
  <c r="K462" i="11"/>
  <c r="H462"/>
  <c r="I462" s="1"/>
  <c r="K462" i="9"/>
  <c r="H462"/>
  <c r="I462" s="1"/>
  <c r="K462" i="8"/>
  <c r="H462"/>
  <c r="I462" s="1"/>
  <c r="K461" i="11"/>
  <c r="H461"/>
  <c r="I461" s="1"/>
  <c r="K461" i="9"/>
  <c r="H461"/>
  <c r="I461" s="1"/>
  <c r="K461" i="8"/>
  <c r="H461"/>
  <c r="I461" s="1"/>
  <c r="K460" i="11"/>
  <c r="H460"/>
  <c r="I460" s="1"/>
  <c r="K460" i="9"/>
  <c r="H460"/>
  <c r="I460" s="1"/>
  <c r="K460" i="8"/>
  <c r="H460"/>
  <c r="I460" s="1"/>
  <c r="K459" i="11"/>
  <c r="H459"/>
  <c r="I459" s="1"/>
  <c r="K459" i="9"/>
  <c r="H459"/>
  <c r="I459" s="1"/>
  <c r="K459" i="8"/>
  <c r="H459"/>
  <c r="I459" s="1"/>
  <c r="K458" i="11"/>
  <c r="H458"/>
  <c r="I458" s="1"/>
  <c r="K458" i="9"/>
  <c r="H458"/>
  <c r="I458" s="1"/>
  <c r="K458" i="8"/>
  <c r="H458"/>
  <c r="I458" s="1"/>
  <c r="K457" i="11"/>
  <c r="H457"/>
  <c r="I457" s="1"/>
  <c r="K457" i="9"/>
  <c r="H457"/>
  <c r="I457" s="1"/>
  <c r="K457" i="8"/>
  <c r="H457"/>
  <c r="I457" s="1"/>
  <c r="K456" i="11"/>
  <c r="H456"/>
  <c r="I456" s="1"/>
  <c r="K456" i="9"/>
  <c r="H456"/>
  <c r="I456" s="1"/>
  <c r="K456" i="8"/>
  <c r="H456"/>
  <c r="I456" s="1"/>
  <c r="K455" i="11"/>
  <c r="H455"/>
  <c r="I455" s="1"/>
  <c r="K455" i="9"/>
  <c r="H455"/>
  <c r="I455" s="1"/>
  <c r="K455" i="8"/>
  <c r="H455"/>
  <c r="I455" s="1"/>
  <c r="K454" i="11"/>
  <c r="H454"/>
  <c r="I454" s="1"/>
  <c r="K454" i="9"/>
  <c r="H454"/>
  <c r="I454" s="1"/>
  <c r="K454" i="8"/>
  <c r="H454"/>
  <c r="I454" s="1"/>
  <c r="K453" i="11"/>
  <c r="H453"/>
  <c r="I453" s="1"/>
  <c r="K453" i="9"/>
  <c r="H453"/>
  <c r="I453" s="1"/>
  <c r="K453" i="8"/>
  <c r="H453"/>
  <c r="I453" s="1"/>
  <c r="K452" i="11"/>
  <c r="H452"/>
  <c r="I452" s="1"/>
  <c r="K452" i="9"/>
  <c r="H452"/>
  <c r="I452" s="1"/>
  <c r="K452" i="8"/>
  <c r="H452"/>
  <c r="I452" s="1"/>
  <c r="K451" i="11"/>
  <c r="H451"/>
  <c r="I451" s="1"/>
  <c r="K451" i="9"/>
  <c r="H451"/>
  <c r="I451" s="1"/>
  <c r="K451" i="8"/>
  <c r="H451"/>
  <c r="I451" s="1"/>
  <c r="K450" i="11"/>
  <c r="H450"/>
  <c r="I450" s="1"/>
  <c r="K450" i="9"/>
  <c r="H450"/>
  <c r="I450" s="1"/>
  <c r="K450" i="8"/>
  <c r="H450"/>
  <c r="I450" s="1"/>
  <c r="K449" i="11"/>
  <c r="H449"/>
  <c r="I449" s="1"/>
  <c r="K449" i="9"/>
  <c r="H449"/>
  <c r="I449" s="1"/>
  <c r="K449" i="8"/>
  <c r="H449"/>
  <c r="I449" s="1"/>
  <c r="K448" i="11"/>
  <c r="H448"/>
  <c r="I448" s="1"/>
  <c r="K448" i="9"/>
  <c r="H448"/>
  <c r="I448" s="1"/>
  <c r="K448" i="8"/>
  <c r="H448"/>
  <c r="I448" s="1"/>
  <c r="K447" i="11"/>
  <c r="H447"/>
  <c r="I447" s="1"/>
  <c r="K447" i="9"/>
  <c r="H447"/>
  <c r="I447" s="1"/>
  <c r="K447" i="8"/>
  <c r="H447"/>
  <c r="I447" s="1"/>
  <c r="K446" i="11"/>
  <c r="H446"/>
  <c r="I446" s="1"/>
  <c r="K446" i="9"/>
  <c r="H446"/>
  <c r="I446" s="1"/>
  <c r="K446" i="8"/>
  <c r="H446"/>
  <c r="I446" s="1"/>
  <c r="K445" i="11"/>
  <c r="H445"/>
  <c r="I445" s="1"/>
  <c r="K445" i="9"/>
  <c r="H445"/>
  <c r="I445" s="1"/>
  <c r="K445" i="8"/>
  <c r="H445"/>
  <c r="I445" s="1"/>
  <c r="K444" i="11"/>
  <c r="H444"/>
  <c r="I444" s="1"/>
  <c r="K444" i="9"/>
  <c r="H444"/>
  <c r="I444" s="1"/>
  <c r="K444" i="8"/>
  <c r="H444"/>
  <c r="I444" s="1"/>
  <c r="K443" i="11"/>
  <c r="H443"/>
  <c r="I443" s="1"/>
  <c r="K443" i="9"/>
  <c r="H443"/>
  <c r="I443" s="1"/>
  <c r="K443" i="8"/>
  <c r="H443"/>
  <c r="I443" s="1"/>
  <c r="K442" i="11"/>
  <c r="H442"/>
  <c r="I442" s="1"/>
  <c r="K442" i="9"/>
  <c r="H442"/>
  <c r="I442" s="1"/>
  <c r="K442" i="8"/>
  <c r="H442"/>
  <c r="I442" s="1"/>
  <c r="K441" i="11"/>
  <c r="H441"/>
  <c r="I441" s="1"/>
  <c r="K441" i="9"/>
  <c r="H441"/>
  <c r="I441" s="1"/>
  <c r="K441" i="8"/>
  <c r="H441"/>
  <c r="I441" s="1"/>
  <c r="K440" i="11"/>
  <c r="H440"/>
  <c r="I440" s="1"/>
  <c r="K440" i="9"/>
  <c r="H440"/>
  <c r="I440" s="1"/>
  <c r="K440" i="8"/>
  <c r="H440"/>
  <c r="I440" s="1"/>
  <c r="K439" i="11"/>
  <c r="H439"/>
  <c r="I439" s="1"/>
  <c r="K439" i="9"/>
  <c r="H439"/>
  <c r="I439" s="1"/>
  <c r="K439" i="8"/>
  <c r="H439"/>
  <c r="I439" s="1"/>
  <c r="K438" i="11"/>
  <c r="H438"/>
  <c r="I438" s="1"/>
  <c r="K438" i="9"/>
  <c r="H438"/>
  <c r="I438" s="1"/>
  <c r="K438" i="8"/>
  <c r="H438"/>
  <c r="I438" s="1"/>
  <c r="K437" i="11"/>
  <c r="H437"/>
  <c r="I437" s="1"/>
  <c r="K437" i="9"/>
  <c r="H437"/>
  <c r="I437" s="1"/>
  <c r="K437" i="8"/>
  <c r="H437"/>
  <c r="I437" s="1"/>
  <c r="K436" i="11"/>
  <c r="H436"/>
  <c r="I436" s="1"/>
  <c r="K436" i="9"/>
  <c r="H436"/>
  <c r="I436" s="1"/>
  <c r="K436" i="8"/>
  <c r="H436"/>
  <c r="I436" s="1"/>
  <c r="K435" i="11"/>
  <c r="H435"/>
  <c r="I435" s="1"/>
  <c r="K435" i="9"/>
  <c r="H435"/>
  <c r="I435" s="1"/>
  <c r="K435" i="8"/>
  <c r="H435"/>
  <c r="I435" s="1"/>
  <c r="K434" i="11"/>
  <c r="H434"/>
  <c r="I434" s="1"/>
  <c r="K434" i="9"/>
  <c r="H434"/>
  <c r="I434" s="1"/>
  <c r="K434" i="8"/>
  <c r="H434"/>
  <c r="I434" s="1"/>
  <c r="K433" i="11"/>
  <c r="H433"/>
  <c r="I433" s="1"/>
  <c r="K433" i="9"/>
  <c r="H433"/>
  <c r="I433" s="1"/>
  <c r="K433" i="8"/>
  <c r="H433"/>
  <c r="I433" s="1"/>
  <c r="K432" i="11"/>
  <c r="H432"/>
  <c r="I432" s="1"/>
  <c r="K432" i="9"/>
  <c r="H432"/>
  <c r="I432" s="1"/>
  <c r="K432" i="8"/>
  <c r="H432"/>
  <c r="I432" s="1"/>
  <c r="K431" i="11"/>
  <c r="H431"/>
  <c r="I431" s="1"/>
  <c r="K431" i="9"/>
  <c r="H431"/>
  <c r="I431" s="1"/>
  <c r="K431" i="8"/>
  <c r="H431"/>
  <c r="I431" s="1"/>
  <c r="K430" i="11"/>
  <c r="H430"/>
  <c r="I430" s="1"/>
  <c r="K430" i="9"/>
  <c r="H430"/>
  <c r="I430" s="1"/>
  <c r="K430" i="8"/>
  <c r="H430"/>
  <c r="I430" s="1"/>
  <c r="K429" i="11"/>
  <c r="H429"/>
  <c r="I429" s="1"/>
  <c r="K429" i="9"/>
  <c r="H429"/>
  <c r="I429" s="1"/>
  <c r="K429" i="8"/>
  <c r="H429"/>
  <c r="I429" s="1"/>
  <c r="K428" i="11"/>
  <c r="H428"/>
  <c r="I428" s="1"/>
  <c r="K428" i="9"/>
  <c r="H428"/>
  <c r="I428" s="1"/>
  <c r="K428" i="8"/>
  <c r="H428"/>
  <c r="I428" s="1"/>
  <c r="K427" i="11"/>
  <c r="H427"/>
  <c r="I427" s="1"/>
  <c r="K427" i="9"/>
  <c r="H427"/>
  <c r="I427" s="1"/>
  <c r="K427" i="8"/>
  <c r="H427"/>
  <c r="I427" s="1"/>
  <c r="K426" i="11"/>
  <c r="H426"/>
  <c r="I426" s="1"/>
  <c r="K426" i="9"/>
  <c r="H426"/>
  <c r="I426" s="1"/>
  <c r="K426" i="8"/>
  <c r="H426"/>
  <c r="I426" s="1"/>
  <c r="K425" i="11"/>
  <c r="H425"/>
  <c r="I425" s="1"/>
  <c r="K425" i="9"/>
  <c r="H425"/>
  <c r="I425" s="1"/>
  <c r="K425" i="8"/>
  <c r="H425"/>
  <c r="I425" s="1"/>
  <c r="K424" i="11"/>
  <c r="H424"/>
  <c r="I424" s="1"/>
  <c r="K424" i="9"/>
  <c r="H424"/>
  <c r="I424" s="1"/>
  <c r="K424" i="8"/>
  <c r="H424"/>
  <c r="I424" s="1"/>
  <c r="K423" i="11"/>
  <c r="H423"/>
  <c r="I423" s="1"/>
  <c r="K423" i="9"/>
  <c r="H423"/>
  <c r="I423" s="1"/>
  <c r="K423" i="8"/>
  <c r="H423"/>
  <c r="I423" s="1"/>
  <c r="K422" i="11"/>
  <c r="H422"/>
  <c r="I422" s="1"/>
  <c r="K422" i="9"/>
  <c r="H422"/>
  <c r="I422" s="1"/>
  <c r="K422" i="8"/>
  <c r="H422"/>
  <c r="I422" s="1"/>
  <c r="K421" i="11"/>
  <c r="H421"/>
  <c r="I421" s="1"/>
  <c r="K421" i="9"/>
  <c r="H421"/>
  <c r="I421" s="1"/>
  <c r="K421" i="8"/>
  <c r="H421"/>
  <c r="I421" s="1"/>
  <c r="K420" i="11"/>
  <c r="H420"/>
  <c r="I420" s="1"/>
  <c r="K420" i="9"/>
  <c r="H420"/>
  <c r="I420" s="1"/>
  <c r="K420" i="8"/>
  <c r="H420"/>
  <c r="I420" s="1"/>
  <c r="K419" i="11"/>
  <c r="H419"/>
  <c r="I419" s="1"/>
  <c r="K419" i="9"/>
  <c r="H419"/>
  <c r="I419" s="1"/>
  <c r="K419" i="8"/>
  <c r="H419"/>
  <c r="I419" s="1"/>
  <c r="K418" i="11"/>
  <c r="H418"/>
  <c r="I418" s="1"/>
  <c r="K418" i="9"/>
  <c r="H418"/>
  <c r="I418" s="1"/>
  <c r="K418" i="14"/>
  <c r="H418"/>
  <c r="I418" s="1"/>
  <c r="K418" i="8"/>
  <c r="H418"/>
  <c r="I418" s="1"/>
  <c r="K417" i="11"/>
  <c r="H417"/>
  <c r="I417" s="1"/>
  <c r="K417" i="9"/>
  <c r="H417"/>
  <c r="I417" s="1"/>
  <c r="K417" i="14"/>
  <c r="H417"/>
  <c r="I417" s="1"/>
  <c r="K417" i="8"/>
  <c r="H417"/>
  <c r="I417" s="1"/>
  <c r="K416" i="11"/>
  <c r="H416"/>
  <c r="I416" s="1"/>
  <c r="K416" i="9"/>
  <c r="H416"/>
  <c r="I416" s="1"/>
  <c r="K416" i="14"/>
  <c r="H416"/>
  <c r="I416" s="1"/>
  <c r="K416" i="8"/>
  <c r="H416"/>
  <c r="I416" s="1"/>
  <c r="K415" i="11"/>
  <c r="H415"/>
  <c r="I415" s="1"/>
  <c r="K415" i="9"/>
  <c r="H415"/>
  <c r="I415" s="1"/>
  <c r="K415" i="14"/>
  <c r="H415"/>
  <c r="I415" s="1"/>
  <c r="K415" i="8"/>
  <c r="H415"/>
  <c r="I415" s="1"/>
  <c r="K414" i="11"/>
  <c r="H414"/>
  <c r="I414" s="1"/>
  <c r="K414" i="9"/>
  <c r="H414"/>
  <c r="I414" s="1"/>
  <c r="K414" i="14"/>
  <c r="H414"/>
  <c r="I414" s="1"/>
  <c r="K414" i="8"/>
  <c r="H414"/>
  <c r="I414" s="1"/>
  <c r="K413" i="11"/>
  <c r="H413"/>
  <c r="I413" s="1"/>
  <c r="K413" i="9"/>
  <c r="H413"/>
  <c r="I413" s="1"/>
  <c r="K413" i="14"/>
  <c r="H413"/>
  <c r="I413" s="1"/>
  <c r="K413" i="8"/>
  <c r="H413"/>
  <c r="I413" s="1"/>
  <c r="K412" i="11"/>
  <c r="H412"/>
  <c r="I412" s="1"/>
  <c r="K412" i="9"/>
  <c r="H412"/>
  <c r="I412" s="1"/>
  <c r="K412" i="14"/>
  <c r="H412"/>
  <c r="I412" s="1"/>
  <c r="K412" i="8"/>
  <c r="H412"/>
  <c r="I412" s="1"/>
  <c r="K411" i="11"/>
  <c r="H411"/>
  <c r="I411" s="1"/>
  <c r="K411" i="9"/>
  <c r="H411"/>
  <c r="I411" s="1"/>
  <c r="K411" i="14"/>
  <c r="H411"/>
  <c r="I411" s="1"/>
  <c r="K411" i="8"/>
  <c r="H411"/>
  <c r="I411" s="1"/>
  <c r="K410" i="11"/>
  <c r="H410"/>
  <c r="I410" s="1"/>
  <c r="K410" i="9"/>
  <c r="H410"/>
  <c r="I410" s="1"/>
  <c r="K410" i="14"/>
  <c r="H410"/>
  <c r="I410" s="1"/>
  <c r="K410" i="8"/>
  <c r="H410"/>
  <c r="I410" s="1"/>
  <c r="K409" i="11"/>
  <c r="H409"/>
  <c r="I409" s="1"/>
  <c r="K409" i="9"/>
  <c r="H409"/>
  <c r="I409" s="1"/>
  <c r="K409" i="14"/>
  <c r="H409"/>
  <c r="I409" s="1"/>
  <c r="K409" i="8"/>
  <c r="H409"/>
  <c r="I409" s="1"/>
  <c r="K408" i="11"/>
  <c r="H408"/>
  <c r="I408" s="1"/>
  <c r="K408" i="9"/>
  <c r="H408"/>
  <c r="I408" s="1"/>
  <c r="K408" i="14"/>
  <c r="H408"/>
  <c r="I408" s="1"/>
  <c r="K408" i="8"/>
  <c r="H408"/>
  <c r="I408" s="1"/>
  <c r="K407" i="11"/>
  <c r="H407"/>
  <c r="I407" s="1"/>
  <c r="K407" i="9"/>
  <c r="H407"/>
  <c r="I407" s="1"/>
  <c r="K407" i="14"/>
  <c r="H407"/>
  <c r="I407" s="1"/>
  <c r="K407" i="8"/>
  <c r="H407"/>
  <c r="I407" s="1"/>
  <c r="K406" i="11"/>
  <c r="H406"/>
  <c r="I406" s="1"/>
  <c r="K406" i="9"/>
  <c r="H406"/>
  <c r="I406" s="1"/>
  <c r="K406" i="14"/>
  <c r="H406"/>
  <c r="I406" s="1"/>
  <c r="K406" i="8"/>
  <c r="H406"/>
  <c r="I406" s="1"/>
  <c r="K405" i="11"/>
  <c r="H405"/>
  <c r="I405" s="1"/>
  <c r="K405" i="9"/>
  <c r="H405"/>
  <c r="I405" s="1"/>
  <c r="K405" i="14"/>
  <c r="H405"/>
  <c r="I405" s="1"/>
  <c r="K405" i="8"/>
  <c r="H405"/>
  <c r="I405" s="1"/>
  <c r="K404" i="11"/>
  <c r="H404"/>
  <c r="I404" s="1"/>
  <c r="K404" i="9"/>
  <c r="H404"/>
  <c r="I404" s="1"/>
  <c r="K404" i="14"/>
  <c r="H404"/>
  <c r="I404" s="1"/>
  <c r="K404" i="8"/>
  <c r="H404"/>
  <c r="I404" s="1"/>
  <c r="K403" i="11"/>
  <c r="H403"/>
  <c r="I403" s="1"/>
  <c r="K403" i="9"/>
  <c r="H403"/>
  <c r="I403" s="1"/>
  <c r="K403" i="14"/>
  <c r="H403"/>
  <c r="I403" s="1"/>
  <c r="K403" i="8"/>
  <c r="H403"/>
  <c r="I403" s="1"/>
  <c r="K402" i="11"/>
  <c r="H402"/>
  <c r="I402" s="1"/>
  <c r="K402" i="9"/>
  <c r="H402"/>
  <c r="I402" s="1"/>
  <c r="K402" i="14"/>
  <c r="H402"/>
  <c r="I402" s="1"/>
  <c r="K402" i="8"/>
  <c r="H402"/>
  <c r="I402" s="1"/>
  <c r="K401" i="11"/>
  <c r="H401"/>
  <c r="I401" s="1"/>
  <c r="K401" i="9"/>
  <c r="H401"/>
  <c r="I401" s="1"/>
  <c r="K401" i="14"/>
  <c r="H401"/>
  <c r="I401" s="1"/>
  <c r="K401" i="8"/>
  <c r="H401"/>
  <c r="I401" s="1"/>
  <c r="K400" i="11"/>
  <c r="H400"/>
  <c r="I400" s="1"/>
  <c r="K400" i="9"/>
  <c r="H400"/>
  <c r="I400" s="1"/>
  <c r="K400" i="14"/>
  <c r="H400"/>
  <c r="I400" s="1"/>
  <c r="K400" i="8"/>
  <c r="H400"/>
  <c r="I400" s="1"/>
  <c r="K399" i="11"/>
  <c r="H399"/>
  <c r="I399" s="1"/>
  <c r="K399" i="9"/>
  <c r="H399"/>
  <c r="I399" s="1"/>
  <c r="K399" i="14"/>
  <c r="H399"/>
  <c r="I399" s="1"/>
  <c r="K399" i="8"/>
  <c r="H399"/>
  <c r="I399" s="1"/>
  <c r="K398" i="11"/>
  <c r="H398"/>
  <c r="I398" s="1"/>
  <c r="K398" i="9"/>
  <c r="H398"/>
  <c r="I398" s="1"/>
  <c r="K398" i="14"/>
  <c r="H398"/>
  <c r="I398" s="1"/>
  <c r="K398" i="8"/>
  <c r="H398"/>
  <c r="I398" s="1"/>
  <c r="K397" i="11"/>
  <c r="H397"/>
  <c r="I397" s="1"/>
  <c r="K397" i="9"/>
  <c r="H397"/>
  <c r="I397" s="1"/>
  <c r="K397" i="14"/>
  <c r="H397"/>
  <c r="I397" s="1"/>
  <c r="K397" i="8"/>
  <c r="H397"/>
  <c r="I397" s="1"/>
  <c r="K396" i="11"/>
  <c r="H396"/>
  <c r="I396" s="1"/>
  <c r="K396" i="9"/>
  <c r="H396"/>
  <c r="I396" s="1"/>
  <c r="K396" i="14"/>
  <c r="H396"/>
  <c r="I396" s="1"/>
  <c r="K396" i="8"/>
  <c r="H396"/>
  <c r="I396" s="1"/>
  <c r="K395" i="11"/>
  <c r="H395"/>
  <c r="I395" s="1"/>
  <c r="K395" i="9"/>
  <c r="H395"/>
  <c r="I395" s="1"/>
  <c r="K395" i="14"/>
  <c r="H395"/>
  <c r="I395" s="1"/>
  <c r="K395" i="8"/>
  <c r="H395"/>
  <c r="I395" s="1"/>
  <c r="K394" i="11"/>
  <c r="H394"/>
  <c r="I394" s="1"/>
  <c r="K394" i="9"/>
  <c r="H394"/>
  <c r="I394" s="1"/>
  <c r="K394" i="14"/>
  <c r="H394"/>
  <c r="I394" s="1"/>
  <c r="K394" i="8"/>
  <c r="H394"/>
  <c r="I394" s="1"/>
  <c r="K393" i="11"/>
  <c r="H393"/>
  <c r="I393" s="1"/>
  <c r="K393" i="9"/>
  <c r="H393"/>
  <c r="I393" s="1"/>
  <c r="K393" i="14"/>
  <c r="H393"/>
  <c r="I393" s="1"/>
  <c r="K393" i="8"/>
  <c r="H393"/>
  <c r="I393" s="1"/>
  <c r="K392" i="11"/>
  <c r="H392"/>
  <c r="I392" s="1"/>
  <c r="K392" i="9"/>
  <c r="H392"/>
  <c r="I392" s="1"/>
  <c r="K392" i="14"/>
  <c r="H392"/>
  <c r="I392" s="1"/>
  <c r="K392" i="8"/>
  <c r="H392"/>
  <c r="I392" s="1"/>
  <c r="K391" i="11"/>
  <c r="H391"/>
  <c r="I391" s="1"/>
  <c r="K391" i="9"/>
  <c r="H391"/>
  <c r="I391" s="1"/>
  <c r="K391" i="14"/>
  <c r="H391"/>
  <c r="I391" s="1"/>
  <c r="K391" i="8"/>
  <c r="H391"/>
  <c r="I391" s="1"/>
  <c r="K390" i="11"/>
  <c r="H390"/>
  <c r="I390" s="1"/>
  <c r="K390" i="9"/>
  <c r="H390"/>
  <c r="I390" s="1"/>
  <c r="K390" i="14"/>
  <c r="H390"/>
  <c r="I390" s="1"/>
  <c r="K390" i="8"/>
  <c r="H390"/>
  <c r="I390" s="1"/>
  <c r="K389" i="11"/>
  <c r="H389"/>
  <c r="I389" s="1"/>
  <c r="K389" i="9"/>
  <c r="H389"/>
  <c r="I389" s="1"/>
  <c r="K389" i="14"/>
  <c r="H389"/>
  <c r="I389" s="1"/>
  <c r="K389" i="8"/>
  <c r="H389"/>
  <c r="I389" s="1"/>
  <c r="K388" i="11"/>
  <c r="H388"/>
  <c r="I388" s="1"/>
  <c r="K388" i="9"/>
  <c r="H388"/>
  <c r="I388" s="1"/>
  <c r="K388" i="14"/>
  <c r="H388"/>
  <c r="I388" s="1"/>
  <c r="K388" i="8"/>
  <c r="H388"/>
  <c r="I388" s="1"/>
  <c r="K387" i="11"/>
  <c r="H387"/>
  <c r="I387" s="1"/>
  <c r="K387" i="9"/>
  <c r="H387"/>
  <c r="I387" s="1"/>
  <c r="K387" i="14"/>
  <c r="H387"/>
  <c r="I387" s="1"/>
  <c r="K387" i="8"/>
  <c r="H387"/>
  <c r="I387" s="1"/>
  <c r="K386" i="11"/>
  <c r="H386"/>
  <c r="I386" s="1"/>
  <c r="K386" i="9"/>
  <c r="H386"/>
  <c r="I386" s="1"/>
  <c r="K745" i="8"/>
  <c r="L745" s="1"/>
  <c r="H745"/>
  <c r="I745" s="1"/>
  <c r="K745" i="11"/>
  <c r="H745"/>
  <c r="I745" s="1"/>
  <c r="K745" i="9"/>
  <c r="H745"/>
  <c r="I745" s="1"/>
  <c r="K744" i="8"/>
  <c r="H744"/>
  <c r="I744" s="1"/>
  <c r="K744" i="11"/>
  <c r="H744"/>
  <c r="I744" s="1"/>
  <c r="K744" i="9"/>
  <c r="H744"/>
  <c r="I744" s="1"/>
  <c r="K743" i="8"/>
  <c r="H743"/>
  <c r="I743" s="1"/>
  <c r="K743" i="11"/>
  <c r="H743"/>
  <c r="I743" s="1"/>
  <c r="K743" i="9"/>
  <c r="H743"/>
  <c r="I743" s="1"/>
  <c r="K742" i="8"/>
  <c r="H742"/>
  <c r="I742" s="1"/>
  <c r="K742" i="11"/>
  <c r="H742"/>
  <c r="I742" s="1"/>
  <c r="K742" i="9"/>
  <c r="H742"/>
  <c r="I742" s="1"/>
  <c r="K741" i="8"/>
  <c r="H741"/>
  <c r="I741" s="1"/>
  <c r="K741" i="11"/>
  <c r="H741"/>
  <c r="I741" s="1"/>
  <c r="K741" i="9"/>
  <c r="H741"/>
  <c r="I741" s="1"/>
  <c r="K740" i="8"/>
  <c r="H740"/>
  <c r="I740" s="1"/>
  <c r="K740" i="11"/>
  <c r="H740"/>
  <c r="I740" s="1"/>
  <c r="K740" i="9"/>
  <c r="H740"/>
  <c r="I740" s="1"/>
  <c r="K739" i="8"/>
  <c r="H739"/>
  <c r="I739" s="1"/>
  <c r="K739" i="11"/>
  <c r="H739"/>
  <c r="I739" s="1"/>
  <c r="K739" i="9"/>
  <c r="H739"/>
  <c r="I739" s="1"/>
  <c r="K738" i="8"/>
  <c r="H738"/>
  <c r="I738" s="1"/>
  <c r="K738" i="11"/>
  <c r="H738"/>
  <c r="I738" s="1"/>
  <c r="K738" i="9"/>
  <c r="H738"/>
  <c r="I738" s="1"/>
  <c r="K737" i="8"/>
  <c r="H737"/>
  <c r="I737" s="1"/>
  <c r="K737" i="11"/>
  <c r="H737"/>
  <c r="I737" s="1"/>
  <c r="K737" i="9"/>
  <c r="H737"/>
  <c r="I737" s="1"/>
  <c r="K736" i="8"/>
  <c r="H736"/>
  <c r="I736" s="1"/>
  <c r="K736" i="11"/>
  <c r="H736"/>
  <c r="I736" s="1"/>
  <c r="K736" i="9"/>
  <c r="H736"/>
  <c r="I736" s="1"/>
  <c r="K735" i="8"/>
  <c r="H735"/>
  <c r="I735" s="1"/>
  <c r="K735" i="11"/>
  <c r="H735"/>
  <c r="I735" s="1"/>
  <c r="K735" i="9"/>
  <c r="H735"/>
  <c r="I735" s="1"/>
  <c r="K734" i="8"/>
  <c r="H734"/>
  <c r="I734" s="1"/>
  <c r="K734" i="11"/>
  <c r="H734"/>
  <c r="I734" s="1"/>
  <c r="K734" i="9"/>
  <c r="H734"/>
  <c r="I734" s="1"/>
  <c r="K733" i="8"/>
  <c r="H733"/>
  <c r="I733" s="1"/>
  <c r="K733" i="11"/>
  <c r="H733"/>
  <c r="I733" s="1"/>
  <c r="K733" i="9"/>
  <c r="H733"/>
  <c r="I733" s="1"/>
  <c r="K732" i="8"/>
  <c r="H732"/>
  <c r="I732" s="1"/>
  <c r="K732" i="11"/>
  <c r="H732"/>
  <c r="I732" s="1"/>
  <c r="K732" i="9"/>
  <c r="H732"/>
  <c r="I732" s="1"/>
  <c r="K731" i="8"/>
  <c r="H731"/>
  <c r="I731" s="1"/>
  <c r="K731" i="11"/>
  <c r="H731"/>
  <c r="I731" s="1"/>
  <c r="K731" i="9"/>
  <c r="H731"/>
  <c r="I731" s="1"/>
  <c r="K730" i="8"/>
  <c r="H730"/>
  <c r="I730" s="1"/>
  <c r="K730" i="11"/>
  <c r="H730"/>
  <c r="I730" s="1"/>
  <c r="K730" i="9"/>
  <c r="H730"/>
  <c r="I730" s="1"/>
  <c r="K729" i="8"/>
  <c r="H729"/>
  <c r="I729" s="1"/>
  <c r="K729" i="11"/>
  <c r="H729"/>
  <c r="I729" s="1"/>
  <c r="K729" i="9"/>
  <c r="H729"/>
  <c r="I729" s="1"/>
  <c r="K728" i="8"/>
  <c r="H728"/>
  <c r="I728" s="1"/>
  <c r="K728" i="11"/>
  <c r="H728"/>
  <c r="I728" s="1"/>
  <c r="K728" i="9"/>
  <c r="H728"/>
  <c r="I728" s="1"/>
  <c r="K727" i="8"/>
  <c r="H727"/>
  <c r="I727" s="1"/>
  <c r="K727" i="11"/>
  <c r="H727"/>
  <c r="I727" s="1"/>
  <c r="K727" i="9"/>
  <c r="H727"/>
  <c r="I727" s="1"/>
  <c r="K726" i="8"/>
  <c r="H726"/>
  <c r="I726" s="1"/>
  <c r="K726" i="11"/>
  <c r="H726"/>
  <c r="I726" s="1"/>
  <c r="K726" i="9"/>
  <c r="H726"/>
  <c r="I726" s="1"/>
  <c r="K725" i="8"/>
  <c r="H725"/>
  <c r="I725" s="1"/>
  <c r="K725" i="11"/>
  <c r="H725"/>
  <c r="I725" s="1"/>
  <c r="K725" i="9"/>
  <c r="H725"/>
  <c r="I725" s="1"/>
  <c r="K724" i="8"/>
  <c r="H724"/>
  <c r="I724" s="1"/>
  <c r="K724" i="11"/>
  <c r="H724"/>
  <c r="I724" s="1"/>
  <c r="K724" i="9"/>
  <c r="H724"/>
  <c r="I724" s="1"/>
  <c r="K723" i="8"/>
  <c r="H723"/>
  <c r="I723" s="1"/>
  <c r="K723" i="11"/>
  <c r="H723"/>
  <c r="I723" s="1"/>
  <c r="K723" i="9"/>
  <c r="H723"/>
  <c r="I723" s="1"/>
  <c r="K722" i="8"/>
  <c r="H722"/>
  <c r="I722" s="1"/>
  <c r="K722" i="11"/>
  <c r="H722"/>
  <c r="I722" s="1"/>
  <c r="K722" i="9"/>
  <c r="H722"/>
  <c r="I722" s="1"/>
  <c r="K721" i="8"/>
  <c r="H721"/>
  <c r="I721" s="1"/>
  <c r="K721" i="11"/>
  <c r="H721"/>
  <c r="I721" s="1"/>
  <c r="K721" i="9"/>
  <c r="H721"/>
  <c r="I721" s="1"/>
  <c r="K720" i="8"/>
  <c r="H720"/>
  <c r="I720" s="1"/>
  <c r="K720" i="11"/>
  <c r="H720"/>
  <c r="I720" s="1"/>
  <c r="K720" i="9"/>
  <c r="H720"/>
  <c r="I720" s="1"/>
  <c r="K719" i="8"/>
  <c r="H719"/>
  <c r="I719" s="1"/>
  <c r="K719" i="11"/>
  <c r="H719"/>
  <c r="I719" s="1"/>
  <c r="K719" i="9"/>
  <c r="H719"/>
  <c r="I719" s="1"/>
  <c r="K718" i="8"/>
  <c r="H718"/>
  <c r="I718" s="1"/>
  <c r="K718" i="11"/>
  <c r="H718"/>
  <c r="I718" s="1"/>
  <c r="K718" i="9"/>
  <c r="H718"/>
  <c r="I718" s="1"/>
  <c r="K717" i="8"/>
  <c r="H717"/>
  <c r="I717" s="1"/>
  <c r="K717" i="11"/>
  <c r="H717"/>
  <c r="I717" s="1"/>
  <c r="K717" i="9"/>
  <c r="H717"/>
  <c r="I717" s="1"/>
  <c r="K716" i="8"/>
  <c r="H716"/>
  <c r="I716" s="1"/>
  <c r="K716" i="11"/>
  <c r="H716"/>
  <c r="I716" s="1"/>
  <c r="K716" i="9"/>
  <c r="H716"/>
  <c r="I716" s="1"/>
  <c r="K715" i="8"/>
  <c r="H715"/>
  <c r="I715" s="1"/>
  <c r="K715" i="11"/>
  <c r="H715"/>
  <c r="I715" s="1"/>
  <c r="K715" i="9"/>
  <c r="H715"/>
  <c r="I715" s="1"/>
  <c r="K714" i="8"/>
  <c r="H714"/>
  <c r="I714" s="1"/>
  <c r="K714" i="11"/>
  <c r="H714"/>
  <c r="I714" s="1"/>
  <c r="K714" i="9"/>
  <c r="H714"/>
  <c r="I714" s="1"/>
  <c r="K713" i="8"/>
  <c r="H713"/>
  <c r="I713" s="1"/>
  <c r="K713" i="11"/>
  <c r="H713"/>
  <c r="I713" s="1"/>
  <c r="K713" i="9"/>
  <c r="H713"/>
  <c r="I713" s="1"/>
  <c r="K712" i="8"/>
  <c r="H712"/>
  <c r="I712" s="1"/>
  <c r="K712" i="11"/>
  <c r="H712"/>
  <c r="I712" s="1"/>
  <c r="K712" i="9"/>
  <c r="H712"/>
  <c r="I712" s="1"/>
  <c r="K711" i="8"/>
  <c r="H711"/>
  <c r="I711" s="1"/>
  <c r="K711" i="11"/>
  <c r="H711"/>
  <c r="I711" s="1"/>
  <c r="K711" i="9"/>
  <c r="H711"/>
  <c r="I711" s="1"/>
  <c r="K710" i="8"/>
  <c r="H710"/>
  <c r="I710" s="1"/>
  <c r="K710" i="11"/>
  <c r="H710"/>
  <c r="I710" s="1"/>
  <c r="K710" i="9"/>
  <c r="H710"/>
  <c r="I710" s="1"/>
  <c r="K709" i="8"/>
  <c r="H709"/>
  <c r="I709" s="1"/>
  <c r="K709" i="11"/>
  <c r="H709"/>
  <c r="I709" s="1"/>
  <c r="K709" i="9"/>
  <c r="H709"/>
  <c r="I709" s="1"/>
  <c r="K708" i="8"/>
  <c r="H708"/>
  <c r="I708" s="1"/>
  <c r="K708" i="11"/>
  <c r="H708"/>
  <c r="I708" s="1"/>
  <c r="K708" i="9"/>
  <c r="H708"/>
  <c r="I708" s="1"/>
  <c r="K707" i="8"/>
  <c r="H707"/>
  <c r="I707" s="1"/>
  <c r="K707" i="11"/>
  <c r="H707"/>
  <c r="I707" s="1"/>
  <c r="K707" i="9"/>
  <c r="H707"/>
  <c r="I707" s="1"/>
  <c r="K706" i="8"/>
  <c r="H706"/>
  <c r="I706" s="1"/>
  <c r="K706" i="11"/>
  <c r="H706"/>
  <c r="I706" s="1"/>
  <c r="K706" i="9"/>
  <c r="H706"/>
  <c r="I706" s="1"/>
  <c r="K705" i="8"/>
  <c r="H705"/>
  <c r="I705" s="1"/>
  <c r="K705" i="11"/>
  <c r="H705"/>
  <c r="I705" s="1"/>
  <c r="K704" i="8"/>
  <c r="H704"/>
  <c r="I704" s="1"/>
  <c r="K704" i="11"/>
  <c r="H704"/>
  <c r="I704" s="1"/>
  <c r="K703" i="8"/>
  <c r="H703"/>
  <c r="I703" s="1"/>
  <c r="K703" i="11"/>
  <c r="H703"/>
  <c r="I703" s="1"/>
  <c r="K703" i="9"/>
  <c r="H703"/>
  <c r="I703" s="1"/>
  <c r="K702" i="8"/>
  <c r="H702"/>
  <c r="I702" s="1"/>
  <c r="K702" i="11"/>
  <c r="H702"/>
  <c r="I702" s="1"/>
  <c r="K702" i="9"/>
  <c r="H702"/>
  <c r="I702" s="1"/>
  <c r="K701" i="8"/>
  <c r="H701"/>
  <c r="I701" s="1"/>
  <c r="K701" i="11"/>
  <c r="H701"/>
  <c r="I701" s="1"/>
  <c r="K701" i="9"/>
  <c r="H701"/>
  <c r="I701" s="1"/>
  <c r="K700" i="8"/>
  <c r="H700"/>
  <c r="I700" s="1"/>
  <c r="K700" i="11"/>
  <c r="H700"/>
  <c r="I700" s="1"/>
  <c r="K700" i="9"/>
  <c r="H700"/>
  <c r="I700" s="1"/>
  <c r="K699" i="8"/>
  <c r="H699"/>
  <c r="I699" s="1"/>
  <c r="K699" i="11"/>
  <c r="H699"/>
  <c r="I699" s="1"/>
  <c r="K699" i="9"/>
  <c r="H699"/>
  <c r="I699" s="1"/>
  <c r="K698" i="8"/>
  <c r="H698"/>
  <c r="I698" s="1"/>
  <c r="K698" i="11"/>
  <c r="H698"/>
  <c r="I698" s="1"/>
  <c r="K698" i="9"/>
  <c r="H698"/>
  <c r="I698" s="1"/>
  <c r="K697" i="8"/>
  <c r="H697"/>
  <c r="I697" s="1"/>
  <c r="K697" i="11"/>
  <c r="H697"/>
  <c r="I697" s="1"/>
  <c r="K697" i="9"/>
  <c r="H697"/>
  <c r="I697" s="1"/>
  <c r="K696" i="8"/>
  <c r="H696"/>
  <c r="I696" s="1"/>
  <c r="K696" i="11"/>
  <c r="H696"/>
  <c r="I696" s="1"/>
  <c r="K696" i="9"/>
  <c r="H696"/>
  <c r="I696" s="1"/>
  <c r="K695" i="8"/>
  <c r="H695"/>
  <c r="I695" s="1"/>
  <c r="K695" i="11"/>
  <c r="H695"/>
  <c r="I695" s="1"/>
  <c r="K695" i="9"/>
  <c r="H695"/>
  <c r="I695" s="1"/>
  <c r="K694" i="8"/>
  <c r="H694"/>
  <c r="I694" s="1"/>
  <c r="K694" i="11"/>
  <c r="H694"/>
  <c r="I694" s="1"/>
  <c r="K694" i="9"/>
  <c r="H694"/>
  <c r="I694" s="1"/>
  <c r="K693" i="8"/>
  <c r="H693"/>
  <c r="I693" s="1"/>
  <c r="K693" i="11"/>
  <c r="H693"/>
  <c r="I693" s="1"/>
  <c r="K693" i="9"/>
  <c r="H693"/>
  <c r="I693" s="1"/>
  <c r="K692" i="8"/>
  <c r="H692"/>
  <c r="I692" s="1"/>
  <c r="K692" i="11"/>
  <c r="H692"/>
  <c r="I692" s="1"/>
  <c r="K692" i="9"/>
  <c r="H692"/>
  <c r="I692" s="1"/>
  <c r="K691" i="8"/>
  <c r="H691"/>
  <c r="I691" s="1"/>
  <c r="K691" i="11"/>
  <c r="H691"/>
  <c r="I691" s="1"/>
  <c r="K691" i="9"/>
  <c r="H691"/>
  <c r="I691" s="1"/>
  <c r="K690" i="8"/>
  <c r="H690"/>
  <c r="I690" s="1"/>
  <c r="K690" i="11"/>
  <c r="H690"/>
  <c r="I690" s="1"/>
  <c r="K690" i="9"/>
  <c r="H690"/>
  <c r="I690" s="1"/>
  <c r="K689" i="8"/>
  <c r="H689"/>
  <c r="I689" s="1"/>
  <c r="K689" i="11"/>
  <c r="H689"/>
  <c r="I689" s="1"/>
  <c r="K688" i="8"/>
  <c r="H688"/>
  <c r="I688" s="1"/>
  <c r="K688" i="11"/>
  <c r="H688"/>
  <c r="I688" s="1"/>
  <c r="K688" i="9"/>
  <c r="H688"/>
  <c r="I688" s="1"/>
  <c r="K687" i="8"/>
  <c r="H687"/>
  <c r="I687" s="1"/>
  <c r="K687" i="11"/>
  <c r="H687"/>
  <c r="I687" s="1"/>
  <c r="K687" i="9"/>
  <c r="H687"/>
  <c r="I687" s="1"/>
  <c r="K686" i="8"/>
  <c r="H686"/>
  <c r="I686" s="1"/>
  <c r="K686" i="11"/>
  <c r="H686"/>
  <c r="I686" s="1"/>
  <c r="K686" i="9"/>
  <c r="H686"/>
  <c r="I686" s="1"/>
  <c r="K685" i="8"/>
  <c r="H685"/>
  <c r="I685" s="1"/>
  <c r="K685" i="11"/>
  <c r="H685"/>
  <c r="I685" s="1"/>
  <c r="K685" i="9"/>
  <c r="H685"/>
  <c r="I685" s="1"/>
  <c r="K684" i="8"/>
  <c r="H684"/>
  <c r="I684" s="1"/>
  <c r="K684" i="11"/>
  <c r="H684"/>
  <c r="I684" s="1"/>
  <c r="K684" i="9"/>
  <c r="H684"/>
  <c r="I684" s="1"/>
  <c r="K683" i="8"/>
  <c r="H683"/>
  <c r="I683" s="1"/>
  <c r="K683" i="11"/>
  <c r="H683"/>
  <c r="I683" s="1"/>
  <c r="K683" i="9"/>
  <c r="H683"/>
  <c r="I683" s="1"/>
  <c r="K682" i="8"/>
  <c r="H682"/>
  <c r="I682" s="1"/>
  <c r="K682" i="11"/>
  <c r="H682"/>
  <c r="I682" s="1"/>
  <c r="K682" i="9"/>
  <c r="H682"/>
  <c r="I682" s="1"/>
  <c r="K681" i="8"/>
  <c r="H681"/>
  <c r="I681" s="1"/>
  <c r="K681" i="11"/>
  <c r="H681"/>
  <c r="I681" s="1"/>
  <c r="K681" i="9"/>
  <c r="H681"/>
  <c r="I681" s="1"/>
  <c r="K680" i="8"/>
  <c r="H680"/>
  <c r="I680" s="1"/>
  <c r="K680" i="11"/>
  <c r="H680"/>
  <c r="I680" s="1"/>
  <c r="K680" i="9"/>
  <c r="H680"/>
  <c r="I680" s="1"/>
  <c r="K679" i="8"/>
  <c r="H679"/>
  <c r="I679" s="1"/>
  <c r="K679" i="11"/>
  <c r="H679"/>
  <c r="I679" s="1"/>
  <c r="K679" i="9"/>
  <c r="H679"/>
  <c r="I679" s="1"/>
  <c r="K678" i="8"/>
  <c r="H678"/>
  <c r="I678" s="1"/>
  <c r="K678" i="11"/>
  <c r="H678"/>
  <c r="I678" s="1"/>
  <c r="K678" i="9"/>
  <c r="H678"/>
  <c r="I678" s="1"/>
  <c r="K677" i="8"/>
  <c r="H677"/>
  <c r="I677" s="1"/>
  <c r="K677" i="11"/>
  <c r="H677"/>
  <c r="I677" s="1"/>
  <c r="K677" i="9"/>
  <c r="H677"/>
  <c r="I677" s="1"/>
  <c r="K676" i="8"/>
  <c r="H676"/>
  <c r="I676" s="1"/>
  <c r="K676" i="11"/>
  <c r="H676"/>
  <c r="I676" s="1"/>
  <c r="K676" i="9"/>
  <c r="H676"/>
  <c r="I676" s="1"/>
  <c r="K675" i="8"/>
  <c r="H675"/>
  <c r="I675" s="1"/>
  <c r="K675" i="11"/>
  <c r="H675"/>
  <c r="I675" s="1"/>
  <c r="K675" i="9"/>
  <c r="H675"/>
  <c r="I675" s="1"/>
  <c r="K674" i="8"/>
  <c r="H674"/>
  <c r="I674" s="1"/>
  <c r="K674" i="11"/>
  <c r="H674"/>
  <c r="I674" s="1"/>
  <c r="K674" i="9"/>
  <c r="H674"/>
  <c r="I674" s="1"/>
  <c r="K673" i="8"/>
  <c r="H673"/>
  <c r="I673" s="1"/>
  <c r="K673" i="11"/>
  <c r="H673"/>
  <c r="I673" s="1"/>
  <c r="K673" i="9"/>
  <c r="H673"/>
  <c r="I673" s="1"/>
  <c r="K672" i="8"/>
  <c r="H672"/>
  <c r="I672" s="1"/>
  <c r="K672" i="11"/>
  <c r="H672"/>
  <c r="I672" s="1"/>
  <c r="K672" i="9"/>
  <c r="H672"/>
  <c r="I672" s="1"/>
  <c r="K671" i="8"/>
  <c r="H671"/>
  <c r="I671" s="1"/>
  <c r="K671" i="11"/>
  <c r="H671"/>
  <c r="I671" s="1"/>
  <c r="K671" i="9"/>
  <c r="H671"/>
  <c r="I671" s="1"/>
  <c r="K670" i="8"/>
  <c r="H670"/>
  <c r="I670" s="1"/>
  <c r="K670" i="11"/>
  <c r="H670"/>
  <c r="I670" s="1"/>
  <c r="K670" i="9"/>
  <c r="H670"/>
  <c r="I670" s="1"/>
  <c r="K669" i="8"/>
  <c r="H669"/>
  <c r="I669" s="1"/>
  <c r="K669" i="11"/>
  <c r="H669"/>
  <c r="I669" s="1"/>
  <c r="K669" i="9"/>
  <c r="H669"/>
  <c r="I669" s="1"/>
  <c r="K668" i="8"/>
  <c r="H668"/>
  <c r="I668" s="1"/>
  <c r="K668" i="11"/>
  <c r="H668"/>
  <c r="I668" s="1"/>
  <c r="K668" i="9"/>
  <c r="H668"/>
  <c r="I668" s="1"/>
  <c r="K667" i="8"/>
  <c r="H667"/>
  <c r="I667" s="1"/>
  <c r="K667" i="11"/>
  <c r="H667"/>
  <c r="I667" s="1"/>
  <c r="K667" i="9"/>
  <c r="H667"/>
  <c r="I667" s="1"/>
  <c r="K666" i="8"/>
  <c r="H666"/>
  <c r="I666" s="1"/>
  <c r="K666" i="11"/>
  <c r="H666"/>
  <c r="I666" s="1"/>
  <c r="K666" i="9"/>
  <c r="H666"/>
  <c r="I666" s="1"/>
  <c r="K665" i="8"/>
  <c r="H665"/>
  <c r="I665" s="1"/>
  <c r="K665" i="11"/>
  <c r="H665"/>
  <c r="I665" s="1"/>
  <c r="K665" i="9"/>
  <c r="H665"/>
  <c r="I665" s="1"/>
  <c r="K664" i="8"/>
  <c r="H664"/>
  <c r="I664" s="1"/>
  <c r="K664" i="11"/>
  <c r="H664"/>
  <c r="I664" s="1"/>
  <c r="K664" i="9"/>
  <c r="H664"/>
  <c r="I664" s="1"/>
  <c r="K663" i="8"/>
  <c r="H663"/>
  <c r="I663" s="1"/>
  <c r="K663" i="11"/>
  <c r="H663"/>
  <c r="I663" s="1"/>
  <c r="K663" i="9"/>
  <c r="H663"/>
  <c r="I663" s="1"/>
  <c r="K662" i="8"/>
  <c r="H662"/>
  <c r="I662" s="1"/>
  <c r="K662" i="11"/>
  <c r="H662"/>
  <c r="I662" s="1"/>
  <c r="K662" i="9"/>
  <c r="H662"/>
  <c r="I662" s="1"/>
  <c r="K661" i="8"/>
  <c r="H661"/>
  <c r="I661" s="1"/>
  <c r="K661" i="11"/>
  <c r="H661"/>
  <c r="I661" s="1"/>
  <c r="K661" i="9"/>
  <c r="H661"/>
  <c r="I661" s="1"/>
  <c r="K660" i="8"/>
  <c r="H660"/>
  <c r="I660" s="1"/>
  <c r="K660" i="11"/>
  <c r="H660"/>
  <c r="I660" s="1"/>
  <c r="K660" i="9"/>
  <c r="H660"/>
  <c r="I660" s="1"/>
  <c r="K659" i="8"/>
  <c r="H659"/>
  <c r="I659" s="1"/>
  <c r="K659" i="11"/>
  <c r="H659"/>
  <c r="I659" s="1"/>
  <c r="K659" i="9"/>
  <c r="H659"/>
  <c r="I659" s="1"/>
  <c r="K658" i="8"/>
  <c r="H658"/>
  <c r="I658" s="1"/>
  <c r="K658" i="11"/>
  <c r="H658"/>
  <c r="I658" s="1"/>
  <c r="K658" i="9"/>
  <c r="H658"/>
  <c r="I658" s="1"/>
  <c r="K657" i="8"/>
  <c r="H657"/>
  <c r="I657" s="1"/>
  <c r="K657" i="11"/>
  <c r="H657"/>
  <c r="I657" s="1"/>
  <c r="K657" i="9"/>
  <c r="H657"/>
  <c r="I657" s="1"/>
  <c r="K656" i="8"/>
  <c r="H656"/>
  <c r="I656" s="1"/>
  <c r="K656" i="11"/>
  <c r="H656"/>
  <c r="I656" s="1"/>
  <c r="K656" i="9"/>
  <c r="H656"/>
  <c r="I656" s="1"/>
  <c r="K655" i="8"/>
  <c r="H655"/>
  <c r="I655" s="1"/>
  <c r="K655" i="11"/>
  <c r="H655"/>
  <c r="I655" s="1"/>
  <c r="K655" i="9"/>
  <c r="H655"/>
  <c r="I655" s="1"/>
  <c r="K654" i="8"/>
  <c r="H654"/>
  <c r="I654" s="1"/>
  <c r="K654" i="11"/>
  <c r="H654"/>
  <c r="I654" s="1"/>
  <c r="K654" i="9"/>
  <c r="H654"/>
  <c r="I654" s="1"/>
  <c r="K653" i="8"/>
  <c r="H653"/>
  <c r="I653" s="1"/>
  <c r="K653" i="11"/>
  <c r="H653"/>
  <c r="I653" s="1"/>
  <c r="K653" i="9"/>
  <c r="H653"/>
  <c r="I653" s="1"/>
  <c r="K652" i="8"/>
  <c r="H652"/>
  <c r="I652" s="1"/>
  <c r="K652" i="11"/>
  <c r="H652"/>
  <c r="I652" s="1"/>
  <c r="K652" i="9"/>
  <c r="H652"/>
  <c r="I652" s="1"/>
  <c r="K651" i="8"/>
  <c r="H651"/>
  <c r="I651" s="1"/>
  <c r="K651" i="11"/>
  <c r="H651"/>
  <c r="I651" s="1"/>
  <c r="K651" i="9"/>
  <c r="H651"/>
  <c r="I651" s="1"/>
  <c r="K650" i="8"/>
  <c r="H650"/>
  <c r="I650" s="1"/>
  <c r="K650" i="11"/>
  <c r="H650"/>
  <c r="I650" s="1"/>
  <c r="K650" i="9"/>
  <c r="H650"/>
  <c r="I650" s="1"/>
  <c r="K649" i="8"/>
  <c r="H649"/>
  <c r="I649" s="1"/>
  <c r="K649" i="11"/>
  <c r="H649"/>
  <c r="I649" s="1"/>
  <c r="K649" i="9"/>
  <c r="H649"/>
  <c r="I649" s="1"/>
  <c r="K648" i="8"/>
  <c r="H648"/>
  <c r="I648" s="1"/>
  <c r="K648" i="11"/>
  <c r="H648"/>
  <c r="I648" s="1"/>
  <c r="K648" i="9"/>
  <c r="H648"/>
  <c r="I648" s="1"/>
  <c r="K647" i="8"/>
  <c r="H647"/>
  <c r="I647" s="1"/>
  <c r="K647" i="11"/>
  <c r="H647"/>
  <c r="I647" s="1"/>
  <c r="K647" i="9"/>
  <c r="H647"/>
  <c r="I647" s="1"/>
  <c r="K646" i="8"/>
  <c r="H646"/>
  <c r="I646" s="1"/>
  <c r="K646" i="11"/>
  <c r="H646"/>
  <c r="I646" s="1"/>
  <c r="K646" i="9"/>
  <c r="H646"/>
  <c r="I646" s="1"/>
  <c r="K645" i="8"/>
  <c r="H645"/>
  <c r="I645" s="1"/>
  <c r="K645" i="11"/>
  <c r="H645"/>
  <c r="I645" s="1"/>
  <c r="K645" i="9"/>
  <c r="H645"/>
  <c r="I645" s="1"/>
  <c r="K644" i="8"/>
  <c r="H644"/>
  <c r="I644" s="1"/>
  <c r="K644" i="11"/>
  <c r="H644"/>
  <c r="I644" s="1"/>
  <c r="K644" i="9"/>
  <c r="H644"/>
  <c r="I644" s="1"/>
  <c r="K643" i="8"/>
  <c r="H643"/>
  <c r="I643" s="1"/>
  <c r="K643" i="11"/>
  <c r="H643"/>
  <c r="I643" s="1"/>
  <c r="K643" i="9"/>
  <c r="H643"/>
  <c r="I643" s="1"/>
  <c r="K642" i="8"/>
  <c r="H642"/>
  <c r="I642" s="1"/>
  <c r="K642" i="11"/>
  <c r="H642"/>
  <c r="I642" s="1"/>
  <c r="K642" i="9"/>
  <c r="H642"/>
  <c r="I642" s="1"/>
  <c r="K641" i="8"/>
  <c r="H641"/>
  <c r="I641" s="1"/>
  <c r="K641" i="11"/>
  <c r="H641"/>
  <c r="I641" s="1"/>
  <c r="K641" i="9"/>
  <c r="H641"/>
  <c r="I641" s="1"/>
  <c r="K640" i="8"/>
  <c r="H640"/>
  <c r="I640" s="1"/>
  <c r="K640" i="11"/>
  <c r="H640"/>
  <c r="I640" s="1"/>
  <c r="K640" i="9"/>
  <c r="H640"/>
  <c r="I640" s="1"/>
  <c r="K639" i="8"/>
  <c r="H639"/>
  <c r="I639" s="1"/>
  <c r="K639" i="11"/>
  <c r="H639"/>
  <c r="I639" s="1"/>
  <c r="K639" i="9"/>
  <c r="H639"/>
  <c r="I639" s="1"/>
  <c r="K638" i="8"/>
  <c r="H638"/>
  <c r="I638" s="1"/>
  <c r="K638" i="11"/>
  <c r="H638"/>
  <c r="I638" s="1"/>
  <c r="K638" i="9"/>
  <c r="H638"/>
  <c r="I638" s="1"/>
  <c r="K637" i="8"/>
  <c r="H637"/>
  <c r="I637" s="1"/>
  <c r="K637" i="11"/>
  <c r="H637"/>
  <c r="I637" s="1"/>
  <c r="K637" i="9"/>
  <c r="H637"/>
  <c r="I637" s="1"/>
  <c r="K636" i="8"/>
  <c r="H636"/>
  <c r="I636" s="1"/>
  <c r="K636" i="11"/>
  <c r="H636"/>
  <c r="I636" s="1"/>
  <c r="K636" i="9"/>
  <c r="H636"/>
  <c r="I636" s="1"/>
  <c r="K635" i="8"/>
  <c r="H635"/>
  <c r="I635" s="1"/>
  <c r="K635" i="11"/>
  <c r="H635"/>
  <c r="I635" s="1"/>
  <c r="K635" i="9"/>
  <c r="H635"/>
  <c r="I635" s="1"/>
  <c r="K634" i="8"/>
  <c r="H634"/>
  <c r="I634" s="1"/>
  <c r="K634" i="11"/>
  <c r="H634"/>
  <c r="I634" s="1"/>
  <c r="K634" i="9"/>
  <c r="H634"/>
  <c r="I634" s="1"/>
  <c r="K633" i="8"/>
  <c r="H633"/>
  <c r="I633" s="1"/>
  <c r="K633" i="11"/>
  <c r="H633"/>
  <c r="I633" s="1"/>
  <c r="K633" i="9"/>
  <c r="H633"/>
  <c r="I633" s="1"/>
  <c r="K632" i="8"/>
  <c r="H632"/>
  <c r="I632" s="1"/>
  <c r="K632" i="11"/>
  <c r="H632"/>
  <c r="I632" s="1"/>
  <c r="K632" i="9"/>
  <c r="H632"/>
  <c r="I632" s="1"/>
  <c r="K631" i="8"/>
  <c r="H631"/>
  <c r="I631" s="1"/>
  <c r="K631" i="11"/>
  <c r="H631"/>
  <c r="I631" s="1"/>
  <c r="K631" i="9"/>
  <c r="H631"/>
  <c r="I631" s="1"/>
  <c r="K630" i="8"/>
  <c r="H630"/>
  <c r="I630" s="1"/>
  <c r="K630" i="11"/>
  <c r="H630"/>
  <c r="I630" s="1"/>
  <c r="K630" i="9"/>
  <c r="H630"/>
  <c r="I630" s="1"/>
  <c r="K629" i="8"/>
  <c r="H629"/>
  <c r="I629" s="1"/>
  <c r="K629" i="11"/>
  <c r="H629"/>
  <c r="I629" s="1"/>
  <c r="K629" i="9"/>
  <c r="H629"/>
  <c r="I629" s="1"/>
  <c r="K628" i="8"/>
  <c r="H628"/>
  <c r="I628" s="1"/>
  <c r="K628" i="11"/>
  <c r="H628"/>
  <c r="I628" s="1"/>
  <c r="K628" i="9"/>
  <c r="H628"/>
  <c r="I628" s="1"/>
  <c r="K627" i="8"/>
  <c r="H627"/>
  <c r="I627" s="1"/>
  <c r="K627" i="11"/>
  <c r="H627"/>
  <c r="I627" s="1"/>
  <c r="K627" i="9"/>
  <c r="H627"/>
  <c r="I627" s="1"/>
  <c r="K626" i="8"/>
  <c r="H626"/>
  <c r="I626" s="1"/>
  <c r="K626" i="11"/>
  <c r="H626"/>
  <c r="I626" s="1"/>
  <c r="K626" i="9"/>
  <c r="H626"/>
  <c r="I626" s="1"/>
  <c r="K625" i="8"/>
  <c r="H625"/>
  <c r="I625" s="1"/>
  <c r="K625" i="11"/>
  <c r="H625"/>
  <c r="I625" s="1"/>
  <c r="K625" i="9"/>
  <c r="H625"/>
  <c r="I625" s="1"/>
  <c r="K624" i="8"/>
  <c r="H624"/>
  <c r="I624" s="1"/>
  <c r="K624" i="11"/>
  <c r="H624"/>
  <c r="I624" s="1"/>
  <c r="K624" i="9"/>
  <c r="H624"/>
  <c r="I624" s="1"/>
  <c r="K623" i="8"/>
  <c r="H623"/>
  <c r="I623" s="1"/>
  <c r="K623" i="11"/>
  <c r="H623"/>
  <c r="I623" s="1"/>
  <c r="K623" i="9"/>
  <c r="H623"/>
  <c r="I623" s="1"/>
  <c r="K622" i="8"/>
  <c r="H622"/>
  <c r="I622" s="1"/>
  <c r="K622" i="11"/>
  <c r="H622"/>
  <c r="I622" s="1"/>
  <c r="K622" i="9"/>
  <c r="H622"/>
  <c r="I622" s="1"/>
  <c r="K621" i="8"/>
  <c r="H621"/>
  <c r="I621" s="1"/>
  <c r="K621" i="11"/>
  <c r="H621"/>
  <c r="I621" s="1"/>
  <c r="K621" i="9"/>
  <c r="H621"/>
  <c r="I621" s="1"/>
  <c r="K620" i="8"/>
  <c r="H620"/>
  <c r="I620" s="1"/>
  <c r="K620" i="11"/>
  <c r="H620"/>
  <c r="I620" s="1"/>
  <c r="K620" i="9"/>
  <c r="H620"/>
  <c r="I620" s="1"/>
  <c r="K619" i="8"/>
  <c r="H619"/>
  <c r="I619" s="1"/>
  <c r="K619" i="11"/>
  <c r="H619"/>
  <c r="I619" s="1"/>
  <c r="K619" i="9"/>
  <c r="H619"/>
  <c r="I619" s="1"/>
  <c r="K618" i="8"/>
  <c r="H618"/>
  <c r="I618" s="1"/>
  <c r="K618" i="11"/>
  <c r="H618"/>
  <c r="I618" s="1"/>
  <c r="K618" i="9"/>
  <c r="H618"/>
  <c r="I618" s="1"/>
  <c r="K617" i="8"/>
  <c r="H617"/>
  <c r="I617" s="1"/>
  <c r="K617" i="11"/>
  <c r="H617"/>
  <c r="I617" s="1"/>
  <c r="K617" i="9"/>
  <c r="H617"/>
  <c r="I617" s="1"/>
  <c r="K616" i="8"/>
  <c r="H616"/>
  <c r="I616" s="1"/>
  <c r="K616" i="11"/>
  <c r="H616"/>
  <c r="I616" s="1"/>
  <c r="K616" i="9"/>
  <c r="H616"/>
  <c r="I616" s="1"/>
  <c r="K615" i="8"/>
  <c r="H615"/>
  <c r="I615" s="1"/>
  <c r="K615" i="11"/>
  <c r="H615"/>
  <c r="I615" s="1"/>
  <c r="K615" i="9"/>
  <c r="H615"/>
  <c r="I615" s="1"/>
  <c r="K614" i="8"/>
  <c r="H614"/>
  <c r="I614" s="1"/>
  <c r="K614" i="11"/>
  <c r="H614"/>
  <c r="I614" s="1"/>
  <c r="K614" i="9"/>
  <c r="H614"/>
  <c r="I614" s="1"/>
  <c r="K613" i="8"/>
  <c r="H613"/>
  <c r="I613" s="1"/>
  <c r="K613" i="11"/>
  <c r="H613"/>
  <c r="I613" s="1"/>
  <c r="K613" i="9"/>
  <c r="H613"/>
  <c r="I613" s="1"/>
  <c r="K612" i="8"/>
  <c r="H612"/>
  <c r="I612" s="1"/>
  <c r="K612" i="11"/>
  <c r="H612"/>
  <c r="I612" s="1"/>
  <c r="K612" i="9"/>
  <c r="H612"/>
  <c r="I612" s="1"/>
  <c r="K611" i="8"/>
  <c r="H611"/>
  <c r="I611" s="1"/>
  <c r="K611" i="11"/>
  <c r="H611"/>
  <c r="I611" s="1"/>
  <c r="K611" i="9"/>
  <c r="H611"/>
  <c r="I611" s="1"/>
  <c r="K610" i="8"/>
  <c r="H610"/>
  <c r="I610" s="1"/>
  <c r="K610" i="11"/>
  <c r="H610"/>
  <c r="I610" s="1"/>
  <c r="K610" i="9"/>
  <c r="H610"/>
  <c r="I610" s="1"/>
  <c r="K609" i="8"/>
  <c r="H609"/>
  <c r="I609" s="1"/>
  <c r="K609" i="11"/>
  <c r="H609"/>
  <c r="I609" s="1"/>
  <c r="K609" i="9"/>
  <c r="H609"/>
  <c r="I609" s="1"/>
  <c r="K608" i="8"/>
  <c r="H608"/>
  <c r="I608" s="1"/>
  <c r="K608" i="11"/>
  <c r="H608"/>
  <c r="I608" s="1"/>
  <c r="K608" i="9"/>
  <c r="H608"/>
  <c r="I608" s="1"/>
  <c r="K607" i="8"/>
  <c r="H607"/>
  <c r="I607" s="1"/>
  <c r="K607" i="11"/>
  <c r="H607"/>
  <c r="I607" s="1"/>
  <c r="K607" i="9"/>
  <c r="H607"/>
  <c r="I607" s="1"/>
  <c r="K606" i="8"/>
  <c r="H606"/>
  <c r="I606" s="1"/>
  <c r="K606" i="11"/>
  <c r="H606"/>
  <c r="I606" s="1"/>
  <c r="K606" i="9"/>
  <c r="H606"/>
  <c r="I606" s="1"/>
  <c r="K605" i="8"/>
  <c r="H605"/>
  <c r="I605" s="1"/>
  <c r="K605" i="11"/>
  <c r="H605"/>
  <c r="I605" s="1"/>
  <c r="K605" i="9"/>
  <c r="H605"/>
  <c r="I605" s="1"/>
  <c r="K604" i="8"/>
  <c r="H604"/>
  <c r="I604" s="1"/>
  <c r="K604" i="11"/>
  <c r="H604"/>
  <c r="I604" s="1"/>
  <c r="K604" i="9"/>
  <c r="H604"/>
  <c r="I604" s="1"/>
  <c r="K603" i="8"/>
  <c r="H603"/>
  <c r="I603" s="1"/>
  <c r="K603" i="11"/>
  <c r="H603"/>
  <c r="I603" s="1"/>
  <c r="K603" i="9"/>
  <c r="H603"/>
  <c r="I603" s="1"/>
  <c r="K602" i="8"/>
  <c r="H602"/>
  <c r="I602" s="1"/>
  <c r="K602" i="11"/>
  <c r="H602"/>
  <c r="I602" s="1"/>
  <c r="K602" i="9"/>
  <c r="H602"/>
  <c r="I602" s="1"/>
  <c r="K601" i="8"/>
  <c r="H601"/>
  <c r="I601" s="1"/>
  <c r="K601" i="11"/>
  <c r="H601"/>
  <c r="I601" s="1"/>
  <c r="K601" i="9"/>
  <c r="H601"/>
  <c r="I601" s="1"/>
  <c r="K600" i="8"/>
  <c r="H600"/>
  <c r="I600" s="1"/>
  <c r="K600" i="11"/>
  <c r="H600"/>
  <c r="I600" s="1"/>
  <c r="K600" i="9"/>
  <c r="H600"/>
  <c r="I600" s="1"/>
  <c r="K599" i="8"/>
  <c r="H599"/>
  <c r="I599" s="1"/>
  <c r="K599" i="11"/>
  <c r="H599"/>
  <c r="I599" s="1"/>
  <c r="K599" i="9"/>
  <c r="H599"/>
  <c r="I599" s="1"/>
  <c r="K598" i="8"/>
  <c r="H598"/>
  <c r="I598" s="1"/>
  <c r="K598" i="11"/>
  <c r="H598"/>
  <c r="I598" s="1"/>
  <c r="K598" i="9"/>
  <c r="H598"/>
  <c r="I598" s="1"/>
  <c r="K597" i="8"/>
  <c r="H597"/>
  <c r="I597" s="1"/>
  <c r="K597" i="11"/>
  <c r="H597"/>
  <c r="I597" s="1"/>
  <c r="K597" i="9"/>
  <c r="H597"/>
  <c r="I597" s="1"/>
  <c r="K596" i="8"/>
  <c r="H596"/>
  <c r="I596" s="1"/>
  <c r="K596" i="11"/>
  <c r="H596"/>
  <c r="I596" s="1"/>
  <c r="K596" i="9"/>
  <c r="H596"/>
  <c r="I596" s="1"/>
  <c r="K595" i="8"/>
  <c r="H595"/>
  <c r="I595" s="1"/>
  <c r="K595" i="11"/>
  <c r="H595"/>
  <c r="I595" s="1"/>
  <c r="K595" i="9"/>
  <c r="H595"/>
  <c r="I595" s="1"/>
  <c r="K594" i="8"/>
  <c r="H594"/>
  <c r="I594" s="1"/>
  <c r="K594" i="11"/>
  <c r="H594"/>
  <c r="I594" s="1"/>
  <c r="K594" i="9"/>
  <c r="H594"/>
  <c r="I594" s="1"/>
  <c r="K593" i="8"/>
  <c r="H593"/>
  <c r="I593" s="1"/>
  <c r="K593" i="11"/>
  <c r="H593"/>
  <c r="I593" s="1"/>
  <c r="K593" i="9"/>
  <c r="H593"/>
  <c r="I593" s="1"/>
  <c r="K592" i="8"/>
  <c r="H592"/>
  <c r="I592" s="1"/>
  <c r="K592" i="11"/>
  <c r="H592"/>
  <c r="I592" s="1"/>
  <c r="K592" i="9"/>
  <c r="H592"/>
  <c r="I592" s="1"/>
  <c r="K591" i="8"/>
  <c r="H591"/>
  <c r="I591" s="1"/>
  <c r="K591" i="11"/>
  <c r="H591"/>
  <c r="I591" s="1"/>
  <c r="K590" i="8"/>
  <c r="H590"/>
  <c r="I590" s="1"/>
  <c r="K590" i="11"/>
  <c r="H590"/>
  <c r="I590" s="1"/>
  <c r="K590" i="9"/>
  <c r="H590"/>
  <c r="I590" s="1"/>
  <c r="K589" i="8"/>
  <c r="H589"/>
  <c r="I589" s="1"/>
  <c r="K589" i="11"/>
  <c r="H589"/>
  <c r="I589" s="1"/>
  <c r="K589" i="9"/>
  <c r="H589"/>
  <c r="I589" s="1"/>
  <c r="K588" i="8"/>
  <c r="H588"/>
  <c r="I588" s="1"/>
  <c r="K588" i="11"/>
  <c r="H588"/>
  <c r="I588" s="1"/>
  <c r="K588" i="9"/>
  <c r="H588"/>
  <c r="I588" s="1"/>
  <c r="K587" i="8"/>
  <c r="H587"/>
  <c r="I587" s="1"/>
  <c r="K587" i="11"/>
  <c r="H587"/>
  <c r="I587" s="1"/>
  <c r="K587" i="9"/>
  <c r="H587"/>
  <c r="I587" s="1"/>
  <c r="K586" i="8"/>
  <c r="H586"/>
  <c r="I586" s="1"/>
  <c r="K586" i="11"/>
  <c r="H586"/>
  <c r="I586" s="1"/>
  <c r="K585" i="8"/>
  <c r="H585"/>
  <c r="I585" s="1"/>
  <c r="K585" i="11"/>
  <c r="H585"/>
  <c r="I585" s="1"/>
  <c r="K585" i="9"/>
  <c r="H585"/>
  <c r="I585" s="1"/>
  <c r="K584" i="8"/>
  <c r="H584"/>
  <c r="I584" s="1"/>
  <c r="K584" i="11"/>
  <c r="H584"/>
  <c r="I584" s="1"/>
  <c r="K583" i="8"/>
  <c r="H583"/>
  <c r="I583" s="1"/>
  <c r="K583" i="11"/>
  <c r="H583"/>
  <c r="I583" s="1"/>
  <c r="K583" i="9"/>
  <c r="H583"/>
  <c r="I583" s="1"/>
  <c r="K582" i="8"/>
  <c r="H582"/>
  <c r="I582" s="1"/>
  <c r="K582" i="11"/>
  <c r="H582"/>
  <c r="I582" s="1"/>
  <c r="K582" i="9"/>
  <c r="H582"/>
  <c r="I582" s="1"/>
  <c r="K581" i="8"/>
  <c r="H581"/>
  <c r="I581" s="1"/>
  <c r="K581" i="11"/>
  <c r="H581"/>
  <c r="I581" s="1"/>
  <c r="K580" i="8"/>
  <c r="H580"/>
  <c r="I580" s="1"/>
  <c r="K580" i="11"/>
  <c r="H580"/>
  <c r="I580" s="1"/>
  <c r="K580" i="9"/>
  <c r="H580"/>
  <c r="I580" s="1"/>
  <c r="K579" i="8"/>
  <c r="H579"/>
  <c r="I579" s="1"/>
  <c r="K579" i="11"/>
  <c r="H579"/>
  <c r="I579" s="1"/>
  <c r="K579" i="9"/>
  <c r="H579"/>
  <c r="I579" s="1"/>
  <c r="K578" i="8"/>
  <c r="H578"/>
  <c r="I578" s="1"/>
  <c r="K578" i="11"/>
  <c r="H578"/>
  <c r="I578" s="1"/>
  <c r="K578" i="9"/>
  <c r="H578"/>
  <c r="I578" s="1"/>
  <c r="K577" i="8"/>
  <c r="H577"/>
  <c r="I577" s="1"/>
  <c r="K577" i="11"/>
  <c r="H577"/>
  <c r="I577" s="1"/>
  <c r="K577" i="9"/>
  <c r="H577"/>
  <c r="I577" s="1"/>
  <c r="K576" i="8"/>
  <c r="H576"/>
  <c r="I576" s="1"/>
  <c r="K576" i="11"/>
  <c r="H576"/>
  <c r="I576" s="1"/>
  <c r="K576" i="9"/>
  <c r="H576"/>
  <c r="I576" s="1"/>
  <c r="K575" i="8"/>
  <c r="H575"/>
  <c r="I575" s="1"/>
  <c r="K575" i="11"/>
  <c r="H575"/>
  <c r="I575" s="1"/>
  <c r="K575" i="9"/>
  <c r="H575"/>
  <c r="I575" s="1"/>
  <c r="K574" i="8"/>
  <c r="H574"/>
  <c r="I574" s="1"/>
  <c r="K574" i="11"/>
  <c r="H574"/>
  <c r="I574" s="1"/>
  <c r="K574" i="9"/>
  <c r="H574"/>
  <c r="I574" s="1"/>
  <c r="K573" i="8"/>
  <c r="H573"/>
  <c r="I573" s="1"/>
  <c r="K573" i="11"/>
  <c r="H573"/>
  <c r="I573" s="1"/>
  <c r="K573" i="9"/>
  <c r="H573"/>
  <c r="I573" s="1"/>
  <c r="K572" i="8"/>
  <c r="H572"/>
  <c r="I572" s="1"/>
  <c r="K572" i="11"/>
  <c r="H572"/>
  <c r="I572" s="1"/>
  <c r="K571" i="8"/>
  <c r="H571"/>
  <c r="I571" s="1"/>
  <c r="K571" i="11"/>
  <c r="H571"/>
  <c r="I571" s="1"/>
  <c r="K570" i="8"/>
  <c r="H570"/>
  <c r="I570" s="1"/>
  <c r="K570" i="11"/>
  <c r="H570"/>
  <c r="I570" s="1"/>
  <c r="K569" i="8"/>
  <c r="H569"/>
  <c r="I569" s="1"/>
  <c r="K569" i="11"/>
  <c r="H569"/>
  <c r="I569" s="1"/>
  <c r="K568" i="8"/>
  <c r="H568"/>
  <c r="I568" s="1"/>
  <c r="K568" i="11"/>
  <c r="H568"/>
  <c r="I568" s="1"/>
  <c r="K567" i="8"/>
  <c r="H567"/>
  <c r="I567" s="1"/>
  <c r="K567" i="11"/>
  <c r="H567"/>
  <c r="I567" s="1"/>
  <c r="K566" i="8"/>
  <c r="H566"/>
  <c r="I566" s="1"/>
  <c r="K566" i="11"/>
  <c r="H566"/>
  <c r="I566" s="1"/>
  <c r="K566" i="9"/>
  <c r="H566"/>
  <c r="I566" s="1"/>
  <c r="K565" i="8"/>
  <c r="H565"/>
  <c r="I565" s="1"/>
  <c r="K565" i="11"/>
  <c r="H565"/>
  <c r="I565" s="1"/>
  <c r="K564" i="8"/>
  <c r="H564"/>
  <c r="I564" s="1"/>
  <c r="K564" i="11"/>
  <c r="H564"/>
  <c r="I564" s="1"/>
  <c r="K563" i="8"/>
  <c r="H563"/>
  <c r="I563" s="1"/>
  <c r="K563" i="11"/>
  <c r="H563"/>
  <c r="I563" s="1"/>
  <c r="K563" i="9"/>
  <c r="H563"/>
  <c r="I563" s="1"/>
  <c r="K562" i="8"/>
  <c r="H562"/>
  <c r="I562" s="1"/>
  <c r="K562" i="11"/>
  <c r="H562"/>
  <c r="I562" s="1"/>
  <c r="K562" i="9"/>
  <c r="H562"/>
  <c r="I562" s="1"/>
  <c r="K561" i="8"/>
  <c r="H561"/>
  <c r="I561" s="1"/>
  <c r="K561" i="11"/>
  <c r="H561"/>
  <c r="I561" s="1"/>
  <c r="K561" i="9"/>
  <c r="H561"/>
  <c r="I561" s="1"/>
  <c r="K560" i="8"/>
  <c r="H560"/>
  <c r="I560" s="1"/>
  <c r="K560" i="11"/>
  <c r="H560"/>
  <c r="I560" s="1"/>
  <c r="K560" i="9"/>
  <c r="H560"/>
  <c r="I560" s="1"/>
  <c r="K559" i="8"/>
  <c r="H559"/>
  <c r="I559" s="1"/>
  <c r="K559" i="11"/>
  <c r="H559"/>
  <c r="I559" s="1"/>
  <c r="K559" i="9"/>
  <c r="H559"/>
  <c r="I559" s="1"/>
  <c r="K558" i="8"/>
  <c r="H558"/>
  <c r="I558" s="1"/>
  <c r="K558" i="11"/>
  <c r="H558"/>
  <c r="I558" s="1"/>
  <c r="K558" i="9"/>
  <c r="H558"/>
  <c r="I558" s="1"/>
  <c r="K557" i="8"/>
  <c r="H557"/>
  <c r="I557" s="1"/>
  <c r="K557" i="11"/>
  <c r="H557"/>
  <c r="I557" s="1"/>
  <c r="K557" i="9"/>
  <c r="H557"/>
  <c r="I557" s="1"/>
  <c r="K556" i="8"/>
  <c r="H556"/>
  <c r="I556" s="1"/>
  <c r="K556" i="11"/>
  <c r="H556"/>
  <c r="I556" s="1"/>
  <c r="K555" i="8"/>
  <c r="H555"/>
  <c r="I555" s="1"/>
  <c r="K555" i="11"/>
  <c r="H555"/>
  <c r="I555" s="1"/>
  <c r="K555" i="9"/>
  <c r="H555"/>
  <c r="I555" s="1"/>
  <c r="K554" i="8"/>
  <c r="H554"/>
  <c r="I554" s="1"/>
  <c r="K554" i="11"/>
  <c r="H554"/>
  <c r="I554" s="1"/>
  <c r="K554" i="9"/>
  <c r="H554"/>
  <c r="I554" s="1"/>
  <c r="K553" i="8"/>
  <c r="H553"/>
  <c r="I553" s="1"/>
  <c r="K553" i="11"/>
  <c r="H553"/>
  <c r="I553" s="1"/>
  <c r="K553" i="9"/>
  <c r="H553"/>
  <c r="I553" s="1"/>
  <c r="K552" i="8"/>
  <c r="H552"/>
  <c r="I552" s="1"/>
  <c r="K552" i="11"/>
  <c r="H552"/>
  <c r="I552" s="1"/>
  <c r="K552" i="9"/>
  <c r="H552"/>
  <c r="I552" s="1"/>
  <c r="K551" i="8"/>
  <c r="H551"/>
  <c r="I551" s="1"/>
  <c r="K551" i="11"/>
  <c r="H551"/>
  <c r="I551" s="1"/>
  <c r="K551" i="9"/>
  <c r="H551"/>
  <c r="I551" s="1"/>
  <c r="K550" i="8"/>
  <c r="H550"/>
  <c r="I550" s="1"/>
  <c r="K550" i="11"/>
  <c r="H550"/>
  <c r="I550" s="1"/>
  <c r="K550" i="9"/>
  <c r="H550"/>
  <c r="I550" s="1"/>
  <c r="K549" i="8"/>
  <c r="H549"/>
  <c r="I549" s="1"/>
  <c r="K549" i="11"/>
  <c r="H549"/>
  <c r="I549" s="1"/>
  <c r="K549" i="9"/>
  <c r="H549"/>
  <c r="I549" s="1"/>
  <c r="K548" i="8"/>
  <c r="H548"/>
  <c r="I548" s="1"/>
  <c r="K548" i="11"/>
  <c r="H548"/>
  <c r="I548" s="1"/>
  <c r="K548" i="9"/>
  <c r="H548"/>
  <c r="I548" s="1"/>
  <c r="K547" i="8"/>
  <c r="H547"/>
  <c r="I547" s="1"/>
  <c r="K547" i="11"/>
  <c r="H547"/>
  <c r="I547" s="1"/>
  <c r="K547" i="9"/>
  <c r="H547"/>
  <c r="I547" s="1"/>
  <c r="K546" i="8"/>
  <c r="H546"/>
  <c r="I546" s="1"/>
  <c r="K546" i="11"/>
  <c r="H546"/>
  <c r="I546" s="1"/>
  <c r="K546" i="9"/>
  <c r="H546"/>
  <c r="I546" s="1"/>
  <c r="K545" i="8"/>
  <c r="H545"/>
  <c r="I545" s="1"/>
  <c r="K545" i="11"/>
  <c r="H545"/>
  <c r="I545" s="1"/>
  <c r="K545" i="9"/>
  <c r="H545"/>
  <c r="I545" s="1"/>
  <c r="K544" i="8"/>
  <c r="H544"/>
  <c r="I544" s="1"/>
  <c r="K544" i="11"/>
  <c r="H544"/>
  <c r="I544" s="1"/>
  <c r="K544" i="9"/>
  <c r="H544"/>
  <c r="I544" s="1"/>
  <c r="K543" i="8"/>
  <c r="H543"/>
  <c r="I543" s="1"/>
  <c r="K543" i="11"/>
  <c r="H543"/>
  <c r="I543" s="1"/>
  <c r="K543" i="9"/>
  <c r="H543"/>
  <c r="I543" s="1"/>
  <c r="K542" i="8"/>
  <c r="H542"/>
  <c r="I542" s="1"/>
  <c r="K542" i="11"/>
  <c r="H542"/>
  <c r="I542" s="1"/>
  <c r="K542" i="9"/>
  <c r="H542"/>
  <c r="I542" s="1"/>
  <c r="K541" i="8"/>
  <c r="H541"/>
  <c r="I541" s="1"/>
  <c r="K541" i="11"/>
  <c r="H541"/>
  <c r="I541" s="1"/>
  <c r="K541" i="9"/>
  <c r="H541"/>
  <c r="I541" s="1"/>
  <c r="K540" i="8"/>
  <c r="H540"/>
  <c r="I540" s="1"/>
  <c r="K540" i="11"/>
  <c r="H540"/>
  <c r="I540" s="1"/>
  <c r="K540" i="9"/>
  <c r="H540"/>
  <c r="I540" s="1"/>
  <c r="K539" i="8"/>
  <c r="H539"/>
  <c r="I539" s="1"/>
  <c r="K539" i="11"/>
  <c r="H539"/>
  <c r="I539" s="1"/>
  <c r="K539" i="9"/>
  <c r="H539"/>
  <c r="I539" s="1"/>
  <c r="K538" i="8"/>
  <c r="H538"/>
  <c r="I538" s="1"/>
  <c r="K538" i="11"/>
  <c r="H538"/>
  <c r="I538" s="1"/>
  <c r="K538" i="9"/>
  <c r="H538"/>
  <c r="I538" s="1"/>
  <c r="K537" i="8"/>
  <c r="H537"/>
  <c r="I537" s="1"/>
  <c r="K537" i="11"/>
  <c r="H537"/>
  <c r="I537" s="1"/>
  <c r="K537" i="9"/>
  <c r="H537"/>
  <c r="I537" s="1"/>
  <c r="P878" i="5"/>
  <c r="M878"/>
  <c r="P877"/>
  <c r="M877"/>
  <c r="P876"/>
  <c r="M876"/>
  <c r="H878" i="9"/>
  <c r="I878" s="1"/>
  <c r="K878"/>
  <c r="M878" s="1"/>
  <c r="H877"/>
  <c r="I877" s="1"/>
  <c r="K877"/>
  <c r="M877" s="1"/>
  <c r="H876"/>
  <c r="I876" s="1"/>
  <c r="K876"/>
  <c r="M876" s="1"/>
  <c r="H878" i="11"/>
  <c r="I878" s="1"/>
  <c r="K878"/>
  <c r="M878" s="1"/>
  <c r="H877"/>
  <c r="I877" s="1"/>
  <c r="K877"/>
  <c r="M877" s="1"/>
  <c r="H876"/>
  <c r="I876" s="1"/>
  <c r="K876"/>
  <c r="M876" s="1"/>
  <c r="H878" i="8"/>
  <c r="I878" s="1"/>
  <c r="K878"/>
  <c r="M878" s="1"/>
  <c r="H877"/>
  <c r="I877" s="1"/>
  <c r="K877"/>
  <c r="M877" s="1"/>
  <c r="H876"/>
  <c r="I876" s="1"/>
  <c r="K876"/>
  <c r="M876" s="1"/>
  <c r="L380" i="12"/>
  <c r="M380" s="1"/>
  <c r="O380"/>
  <c r="P383" i="5"/>
  <c r="Q383" s="1"/>
  <c r="M383"/>
  <c r="P382"/>
  <c r="Q382" s="1"/>
  <c r="M382"/>
  <c r="P381"/>
  <c r="Q381" s="1"/>
  <c r="M381"/>
  <c r="P380"/>
  <c r="Q380" s="1"/>
  <c r="M380"/>
  <c r="K1191" i="18"/>
  <c r="H1191"/>
  <c r="I1191" s="1"/>
  <c r="M67" i="9"/>
  <c r="M60" i="11"/>
  <c r="M61"/>
  <c r="M62"/>
  <c r="M64"/>
  <c r="M65"/>
  <c r="M66"/>
  <c r="M60" i="8"/>
  <c r="M61"/>
  <c r="M62"/>
  <c r="M63"/>
  <c r="M64"/>
  <c r="M65"/>
  <c r="M66"/>
  <c r="M60" i="9"/>
  <c r="M61"/>
  <c r="M62"/>
  <c r="M63"/>
  <c r="M64"/>
  <c r="M65"/>
  <c r="M66"/>
  <c r="R1202" i="7"/>
  <c r="O880" i="10"/>
  <c r="O91"/>
  <c r="M880" i="11"/>
  <c r="O879" i="10"/>
  <c r="Q66" i="12"/>
  <c r="Q65"/>
  <c r="Q64"/>
  <c r="Q63"/>
  <c r="Q62"/>
  <c r="Q61"/>
  <c r="Q60"/>
  <c r="Q1222" i="17"/>
  <c r="M1203" i="11"/>
  <c r="M63"/>
  <c r="E1234" i="14"/>
  <c r="D1234"/>
  <c r="E1234" i="12"/>
  <c r="D1234"/>
  <c r="Q91"/>
  <c r="Q880" i="17"/>
  <c r="Q385"/>
  <c r="R1203" i="5"/>
  <c r="F747"/>
  <c r="F1234" s="1"/>
  <c r="M385" i="9"/>
  <c r="O1203" i="10"/>
  <c r="O1147"/>
  <c r="O385"/>
  <c r="F1202" i="11"/>
  <c r="O67" i="10"/>
  <c r="R1147" i="2"/>
  <c r="R880"/>
  <c r="R385"/>
  <c r="R91"/>
  <c r="R68"/>
  <c r="O385" i="3"/>
  <c r="O91"/>
  <c r="M66" i="7"/>
  <c r="N66" s="1"/>
  <c r="R66" s="1"/>
  <c r="G66" i="22" s="1"/>
  <c r="M65" i="7"/>
  <c r="N65" s="1"/>
  <c r="R65" s="1"/>
  <c r="G65" i="22" s="1"/>
  <c r="M64" i="7"/>
  <c r="N64" s="1"/>
  <c r="R64" s="1"/>
  <c r="G64" i="22" s="1"/>
  <c r="M63" i="7"/>
  <c r="N63" s="1"/>
  <c r="R63" s="1"/>
  <c r="G63" i="22" s="1"/>
  <c r="M62" i="7"/>
  <c r="N62" s="1"/>
  <c r="R62" s="1"/>
  <c r="G62" i="22" s="1"/>
  <c r="M61" i="7"/>
  <c r="N61" s="1"/>
  <c r="R61" s="1"/>
  <c r="G61" i="22" s="1"/>
  <c r="K384" i="5"/>
  <c r="L384" s="1"/>
  <c r="M384" i="7"/>
  <c r="N384" s="1"/>
  <c r="R384" s="1"/>
  <c r="K747" i="5"/>
  <c r="L747" s="1"/>
  <c r="F1146" i="11"/>
  <c r="G1146" s="1"/>
  <c r="R1232" i="5"/>
  <c r="R89" i="7"/>
  <c r="G89" i="22" s="1"/>
  <c r="C1234" i="14"/>
  <c r="C1234" i="12"/>
  <c r="C1234" i="13"/>
  <c r="M90" i="11"/>
  <c r="O90" i="10"/>
  <c r="M90" i="7"/>
  <c r="N90" s="1"/>
  <c r="R90" s="1"/>
  <c r="F1234" i="12"/>
  <c r="R88" i="7"/>
  <c r="G88" i="22" s="1"/>
  <c r="M59" i="11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39"/>
  <c r="M38"/>
  <c r="M37"/>
  <c r="M36"/>
  <c r="M35"/>
  <c r="M34"/>
  <c r="M33"/>
  <c r="M32"/>
  <c r="M31"/>
  <c r="M30"/>
  <c r="F67" i="4"/>
  <c r="F1234" s="1"/>
  <c r="I67"/>
  <c r="I1234" s="1"/>
  <c r="M879" i="7"/>
  <c r="N879" s="1"/>
  <c r="R879" s="1"/>
  <c r="K30" i="14"/>
  <c r="H30"/>
  <c r="I30" s="1"/>
  <c r="K29"/>
  <c r="H29"/>
  <c r="I29" s="1"/>
  <c r="K28"/>
  <c r="H28"/>
  <c r="I28" s="1"/>
  <c r="K27"/>
  <c r="H27"/>
  <c r="I27" s="1"/>
  <c r="K26"/>
  <c r="H26"/>
  <c r="I26" s="1"/>
  <c r="K25"/>
  <c r="H25"/>
  <c r="I25" s="1"/>
  <c r="K24"/>
  <c r="H24"/>
  <c r="I24" s="1"/>
  <c r="K23"/>
  <c r="H23"/>
  <c r="I23" s="1"/>
  <c r="K22"/>
  <c r="H22"/>
  <c r="I22" s="1"/>
  <c r="K21"/>
  <c r="H21"/>
  <c r="I21" s="1"/>
  <c r="K20"/>
  <c r="H20"/>
  <c r="I20" s="1"/>
  <c r="K19"/>
  <c r="H19"/>
  <c r="I19" s="1"/>
  <c r="K18"/>
  <c r="H18"/>
  <c r="I18" s="1"/>
  <c r="K17"/>
  <c r="H17"/>
  <c r="I17" s="1"/>
  <c r="K16"/>
  <c r="H16"/>
  <c r="I16" s="1"/>
  <c r="K15"/>
  <c r="H15"/>
  <c r="I15" s="1"/>
  <c r="K14"/>
  <c r="H14"/>
  <c r="I14" s="1"/>
  <c r="K13"/>
  <c r="H13"/>
  <c r="I13" s="1"/>
  <c r="K12"/>
  <c r="H12"/>
  <c r="I12" s="1"/>
  <c r="K11"/>
  <c r="H11"/>
  <c r="I11" s="1"/>
  <c r="K10"/>
  <c r="H10"/>
  <c r="I10" s="1"/>
  <c r="K9"/>
  <c r="H9"/>
  <c r="I9" s="1"/>
  <c r="K8"/>
  <c r="H8"/>
  <c r="I8" s="1"/>
  <c r="K7"/>
  <c r="H7"/>
  <c r="I7" s="1"/>
  <c r="K67" i="11"/>
  <c r="M67" s="1"/>
  <c r="M6"/>
  <c r="F67" i="14"/>
  <c r="G67" s="1"/>
  <c r="H67" s="1"/>
  <c r="I67" s="1"/>
  <c r="G6"/>
  <c r="K367" i="8"/>
  <c r="H367"/>
  <c r="I367" s="1"/>
  <c r="K260"/>
  <c r="H260"/>
  <c r="I260" s="1"/>
  <c r="K260" i="11"/>
  <c r="H260"/>
  <c r="I260" s="1"/>
  <c r="K874" i="18"/>
  <c r="H874"/>
  <c r="I874" s="1"/>
  <c r="K874" i="14"/>
  <c r="H874"/>
  <c r="I874" s="1"/>
  <c r="K873" i="18"/>
  <c r="H873"/>
  <c r="I873" s="1"/>
  <c r="K873" i="14"/>
  <c r="H873"/>
  <c r="I873" s="1"/>
  <c r="K834" i="18"/>
  <c r="H834"/>
  <c r="I834" s="1"/>
  <c r="K791"/>
  <c r="H791"/>
  <c r="I791" s="1"/>
  <c r="K791" i="14"/>
  <c r="H791"/>
  <c r="I791" s="1"/>
  <c r="K790" i="18"/>
  <c r="H790"/>
  <c r="I790" s="1"/>
  <c r="K790" i="14"/>
  <c r="H790"/>
  <c r="I790" s="1"/>
  <c r="K789" i="18"/>
  <c r="H789"/>
  <c r="I789" s="1"/>
  <c r="K789" i="14"/>
  <c r="H789"/>
  <c r="I789" s="1"/>
  <c r="K788" i="18"/>
  <c r="H788"/>
  <c r="I788" s="1"/>
  <c r="K788" i="14"/>
  <c r="H788"/>
  <c r="I788" s="1"/>
  <c r="K787" i="18"/>
  <c r="H787"/>
  <c r="I787" s="1"/>
  <c r="K787" i="14"/>
  <c r="H787"/>
  <c r="I787" s="1"/>
  <c r="K786" i="18"/>
  <c r="H786"/>
  <c r="I786" s="1"/>
  <c r="K786" i="14"/>
  <c r="H786"/>
  <c r="I786" s="1"/>
  <c r="K785" i="18"/>
  <c r="H785"/>
  <c r="I785" s="1"/>
  <c r="K785" i="14"/>
  <c r="H785"/>
  <c r="I785" s="1"/>
  <c r="K784" i="18"/>
  <c r="H784"/>
  <c r="I784" s="1"/>
  <c r="K784" i="14"/>
  <c r="H784"/>
  <c r="I784" s="1"/>
  <c r="K783" i="18"/>
  <c r="H783"/>
  <c r="I783" s="1"/>
  <c r="K782"/>
  <c r="H782"/>
  <c r="I782" s="1"/>
  <c r="K782" i="14"/>
  <c r="H782"/>
  <c r="I782" s="1"/>
  <c r="K781" i="18"/>
  <c r="H781"/>
  <c r="I781" s="1"/>
  <c r="K781" i="14"/>
  <c r="H781"/>
  <c r="I781" s="1"/>
  <c r="K780" i="18"/>
  <c r="H780"/>
  <c r="I780" s="1"/>
  <c r="K780" i="14"/>
  <c r="H780"/>
  <c r="I780" s="1"/>
  <c r="K779" i="18"/>
  <c r="H779"/>
  <c r="I779" s="1"/>
  <c r="K779" i="14"/>
  <c r="H779"/>
  <c r="I779" s="1"/>
  <c r="K778" i="18"/>
  <c r="H778"/>
  <c r="I778" s="1"/>
  <c r="K778" i="14"/>
  <c r="H778"/>
  <c r="I778" s="1"/>
  <c r="K777" i="18"/>
  <c r="H777"/>
  <c r="I777" s="1"/>
  <c r="K777" i="14"/>
  <c r="H777"/>
  <c r="I777" s="1"/>
  <c r="K776" i="18"/>
  <c r="H776"/>
  <c r="I776" s="1"/>
  <c r="K776" i="14"/>
  <c r="H776"/>
  <c r="I776" s="1"/>
  <c r="K775" i="18"/>
  <c r="H775"/>
  <c r="I775" s="1"/>
  <c r="K775" i="14"/>
  <c r="H775"/>
  <c r="I775" s="1"/>
  <c r="K774" i="18"/>
  <c r="H774"/>
  <c r="I774" s="1"/>
  <c r="K773"/>
  <c r="H773"/>
  <c r="I773" s="1"/>
  <c r="K772"/>
  <c r="H772"/>
  <c r="I772" s="1"/>
  <c r="K771"/>
  <c r="H771"/>
  <c r="I771" s="1"/>
  <c r="K770"/>
  <c r="H770"/>
  <c r="I770" s="1"/>
  <c r="K769"/>
  <c r="H769"/>
  <c r="I769" s="1"/>
  <c r="K768"/>
  <c r="H768"/>
  <c r="I768" s="1"/>
  <c r="K768" i="14"/>
  <c r="H768"/>
  <c r="I768" s="1"/>
  <c r="K767" i="18"/>
  <c r="H767"/>
  <c r="I767" s="1"/>
  <c r="K767" i="14"/>
  <c r="H767"/>
  <c r="I767" s="1"/>
  <c r="K766" i="18"/>
  <c r="H766"/>
  <c r="I766" s="1"/>
  <c r="K766" i="14"/>
  <c r="H766"/>
  <c r="I766" s="1"/>
  <c r="K765" i="18"/>
  <c r="H765"/>
  <c r="I765" s="1"/>
  <c r="K765" i="14"/>
  <c r="H765"/>
  <c r="I765" s="1"/>
  <c r="K764" i="18"/>
  <c r="H764"/>
  <c r="I764" s="1"/>
  <c r="K763"/>
  <c r="H763"/>
  <c r="I763" s="1"/>
  <c r="K763" i="14"/>
  <c r="H763"/>
  <c r="I763" s="1"/>
  <c r="K762" i="18"/>
  <c r="H762"/>
  <c r="I762" s="1"/>
  <c r="K761"/>
  <c r="H761"/>
  <c r="I761" s="1"/>
  <c r="K760"/>
  <c r="H760"/>
  <c r="I760" s="1"/>
  <c r="K760" i="14"/>
  <c r="H760"/>
  <c r="I760" s="1"/>
  <c r="K759" i="18"/>
  <c r="H759"/>
  <c r="I759" s="1"/>
  <c r="K759" i="14"/>
  <c r="H759"/>
  <c r="I759" s="1"/>
  <c r="K758" i="18"/>
  <c r="H758"/>
  <c r="I758" s="1"/>
  <c r="K758" i="14"/>
  <c r="H758"/>
  <c r="I758" s="1"/>
  <c r="K757" i="18"/>
  <c r="H757"/>
  <c r="I757" s="1"/>
  <c r="K757" i="14"/>
  <c r="H757"/>
  <c r="I757" s="1"/>
  <c r="K756" i="18"/>
  <c r="H756"/>
  <c r="I756" s="1"/>
  <c r="K756" i="14"/>
  <c r="H756"/>
  <c r="I756" s="1"/>
  <c r="K755" i="18"/>
  <c r="H755"/>
  <c r="I755" s="1"/>
  <c r="K755" i="14"/>
  <c r="H755"/>
  <c r="I755" s="1"/>
  <c r="K754" i="18"/>
  <c r="H754"/>
  <c r="I754" s="1"/>
  <c r="K754" i="14"/>
  <c r="H754"/>
  <c r="I754" s="1"/>
  <c r="K753" i="18"/>
  <c r="H753"/>
  <c r="I753" s="1"/>
  <c r="K753" i="14"/>
  <c r="H753"/>
  <c r="I753" s="1"/>
  <c r="K752" i="18"/>
  <c r="H752"/>
  <c r="I752" s="1"/>
  <c r="K752" i="14"/>
  <c r="H752"/>
  <c r="I752" s="1"/>
  <c r="K751" i="18"/>
  <c r="H751"/>
  <c r="I751" s="1"/>
  <c r="K751" i="14"/>
  <c r="H751"/>
  <c r="I751" s="1"/>
  <c r="K750" i="18"/>
  <c r="H750"/>
  <c r="I750" s="1"/>
  <c r="K750" i="14"/>
  <c r="H750"/>
  <c r="I750" s="1"/>
  <c r="G749" i="18"/>
  <c r="F879"/>
  <c r="G879" s="1"/>
  <c r="G749" i="14"/>
  <c r="F879"/>
  <c r="G879" s="1"/>
  <c r="L1145" i="8"/>
  <c r="L1145" i="9"/>
  <c r="L1144" i="8"/>
  <c r="L1144" i="9"/>
  <c r="L1143" i="8"/>
  <c r="L1143" i="9"/>
  <c r="L1142" i="8"/>
  <c r="L1142" i="9"/>
  <c r="L1141" i="8"/>
  <c r="L1141" i="9"/>
  <c r="L1140" i="8"/>
  <c r="L1140" i="9"/>
  <c r="L1139" i="8"/>
  <c r="L1139" i="9"/>
  <c r="L1138" i="8"/>
  <c r="L1138" i="9"/>
  <c r="L1137" i="8"/>
  <c r="L1137" i="9"/>
  <c r="L1136" i="8"/>
  <c r="L1136" i="9"/>
  <c r="L1135" i="8"/>
  <c r="L1135" i="9"/>
  <c r="L1134" i="8"/>
  <c r="L1134" i="9"/>
  <c r="L1133" i="8"/>
  <c r="L1133" i="9"/>
  <c r="L1132" i="8"/>
  <c r="L1132" i="9"/>
  <c r="L1131" i="8"/>
  <c r="L1131" i="9"/>
  <c r="L1130" i="8"/>
  <c r="L1130" i="9"/>
  <c r="L1129" i="8"/>
  <c r="L1129" i="9"/>
  <c r="L1128" i="8"/>
  <c r="L1128" i="9"/>
  <c r="L1127" i="8"/>
  <c r="L1127" i="9"/>
  <c r="L1126" i="8"/>
  <c r="L1126" i="9"/>
  <c r="L1125" i="8"/>
  <c r="L1125" i="9"/>
  <c r="L1124" i="8"/>
  <c r="L1124" i="9"/>
  <c r="L1123" i="8"/>
  <c r="L1123" i="9"/>
  <c r="L1122" i="8"/>
  <c r="L1122" i="9"/>
  <c r="L1121" i="8"/>
  <c r="L1121" i="9"/>
  <c r="L1120" i="8"/>
  <c r="L1120" i="9"/>
  <c r="L1119" i="8"/>
  <c r="L1119" i="9"/>
  <c r="L1118" i="8"/>
  <c r="L1118" i="9"/>
  <c r="L1117" i="8"/>
  <c r="L1117" i="9"/>
  <c r="L1116" i="8"/>
  <c r="L1116" i="9"/>
  <c r="L1115" i="8"/>
  <c r="L1115" i="9"/>
  <c r="L1114" i="8"/>
  <c r="L1114" i="9"/>
  <c r="L1113" i="8"/>
  <c r="L1113" i="9"/>
  <c r="L1112" i="8"/>
  <c r="L1112" i="9"/>
  <c r="L1111" i="8"/>
  <c r="L1111" i="9"/>
  <c r="L1110" i="8"/>
  <c r="L1110" i="9"/>
  <c r="L1109" i="8"/>
  <c r="L1109" i="9"/>
  <c r="L1108" i="8"/>
  <c r="L1108" i="9"/>
  <c r="L1107" i="8"/>
  <c r="L1107" i="9"/>
  <c r="L1106" i="8"/>
  <c r="L1106" i="9"/>
  <c r="L1105" i="8"/>
  <c r="L1105" i="9"/>
  <c r="L1104" i="8"/>
  <c r="L1104" i="9"/>
  <c r="L1103" i="8"/>
  <c r="L1103" i="9"/>
  <c r="L1102" i="8"/>
  <c r="L1102" i="9"/>
  <c r="L1101" i="8"/>
  <c r="L1101" i="9"/>
  <c r="L1100" i="8"/>
  <c r="L1100" i="9"/>
  <c r="L1099" i="8"/>
  <c r="L1099" i="9"/>
  <c r="L1098" i="8"/>
  <c r="L1098" i="9"/>
  <c r="L1097" i="8"/>
  <c r="L1097" i="9"/>
  <c r="L1096" i="8"/>
  <c r="L1096" i="9"/>
  <c r="L1095" i="8"/>
  <c r="L1095" i="9"/>
  <c r="L1094" i="8"/>
  <c r="L1094" i="9"/>
  <c r="L1093" i="8"/>
  <c r="L1093" i="9"/>
  <c r="L1092" i="8"/>
  <c r="L1092" i="9"/>
  <c r="L1091" i="8"/>
  <c r="L1091" i="9"/>
  <c r="L1090" i="8"/>
  <c r="L1090" i="9"/>
  <c r="L1089" i="8"/>
  <c r="L1089" i="9"/>
  <c r="L1088" i="8"/>
  <c r="L1088" i="9"/>
  <c r="L1087" i="8"/>
  <c r="L1087" i="9"/>
  <c r="L1086" i="8"/>
  <c r="L1086" i="9"/>
  <c r="L1085" i="8"/>
  <c r="L1085" i="9"/>
  <c r="L1084" i="8"/>
  <c r="L1084" i="9"/>
  <c r="L1083" i="8"/>
  <c r="L1083" i="9"/>
  <c r="L1082" i="8"/>
  <c r="L1082" i="9"/>
  <c r="L1081" i="8"/>
  <c r="L1081" i="9"/>
  <c r="L1080" i="8"/>
  <c r="L1080" i="9"/>
  <c r="L1079" i="8"/>
  <c r="L1079" i="9"/>
  <c r="L1078" i="8"/>
  <c r="L1078" i="9"/>
  <c r="L1077" i="8"/>
  <c r="L1077" i="9"/>
  <c r="L1076" i="8"/>
  <c r="L1076" i="9"/>
  <c r="L1075" i="8"/>
  <c r="L1075" i="9"/>
  <c r="L1074" i="8"/>
  <c r="L1074" i="9"/>
  <c r="L1073" i="8"/>
  <c r="L1073" i="9"/>
  <c r="L1072" i="8"/>
  <c r="L1072" i="9"/>
  <c r="L1071" i="8"/>
  <c r="L1071" i="9"/>
  <c r="L1070" i="8"/>
  <c r="L1070" i="9"/>
  <c r="L1069" i="8"/>
  <c r="L1069" i="9"/>
  <c r="L1068" i="8"/>
  <c r="L1068" i="9"/>
  <c r="L1067" i="8"/>
  <c r="L1067" i="9"/>
  <c r="L1066" i="8"/>
  <c r="L1066" i="9"/>
  <c r="L1065" i="8"/>
  <c r="L1065" i="9"/>
  <c r="L1064" i="8"/>
  <c r="L1064" i="9"/>
  <c r="L1063" i="8"/>
  <c r="L1063" i="9"/>
  <c r="L1062" i="8"/>
  <c r="L1062" i="9"/>
  <c r="L1061" i="8"/>
  <c r="L1061" i="9"/>
  <c r="L1060" i="8"/>
  <c r="L1060" i="9"/>
  <c r="L1059" i="8"/>
  <c r="L1059" i="9"/>
  <c r="K1059" i="18"/>
  <c r="H1059"/>
  <c r="I1059" s="1"/>
  <c r="L1058" i="8"/>
  <c r="L1058" i="9"/>
  <c r="K1058" i="18"/>
  <c r="H1058"/>
  <c r="I1058" s="1"/>
  <c r="L1057" i="8"/>
  <c r="L1057" i="9"/>
  <c r="K1057" i="18"/>
  <c r="H1057"/>
  <c r="I1057" s="1"/>
  <c r="L1056" i="8"/>
  <c r="L1056" i="9"/>
  <c r="L1055" i="8"/>
  <c r="L1055" i="9"/>
  <c r="L1054" i="8"/>
  <c r="L1054" i="9"/>
  <c r="L1053" i="8"/>
  <c r="L1053" i="9"/>
  <c r="K1053" i="18"/>
  <c r="H1053"/>
  <c r="I1053" s="1"/>
  <c r="L1052" i="8"/>
  <c r="L1052" i="9"/>
  <c r="L1051" i="8"/>
  <c r="L1051" i="9"/>
  <c r="K1051" i="18"/>
  <c r="H1051"/>
  <c r="I1051" s="1"/>
  <c r="L1050" i="8"/>
  <c r="L1050" i="9"/>
  <c r="L1049" i="8"/>
  <c r="L1049" i="9"/>
  <c r="L1048" i="8"/>
  <c r="L1048" i="9"/>
  <c r="L1047" i="8"/>
  <c r="L1047" i="9"/>
  <c r="L1046" i="8"/>
  <c r="L1046" i="9"/>
  <c r="L1045" i="8"/>
  <c r="L1045" i="9"/>
  <c r="L1044" i="8"/>
  <c r="L1044" i="9"/>
  <c r="L1043" i="8"/>
  <c r="L1043" i="9"/>
  <c r="L1042" i="8"/>
  <c r="L1042" i="9"/>
  <c r="L1041" i="8"/>
  <c r="L1041" i="9"/>
  <c r="L1040" i="8"/>
  <c r="L1040" i="9"/>
  <c r="L1039" i="8"/>
  <c r="L1039" i="9"/>
  <c r="L1038" i="8"/>
  <c r="L1038" i="9"/>
  <c r="L1037" i="8"/>
  <c r="L1037" i="9"/>
  <c r="L1036" i="8"/>
  <c r="L1036" i="9"/>
  <c r="L1035" i="8"/>
  <c r="L1035" i="9"/>
  <c r="L1034" i="8"/>
  <c r="L1034" i="9"/>
  <c r="L1033" i="8"/>
  <c r="L1033" i="9"/>
  <c r="L1032" i="8"/>
  <c r="L1032" i="9"/>
  <c r="L1031" i="8"/>
  <c r="L1031" i="9"/>
  <c r="L1030" i="8"/>
  <c r="L1030" i="9"/>
  <c r="L1029" i="8"/>
  <c r="L1029" i="9"/>
  <c r="L1028" i="8"/>
  <c r="L1028" i="9"/>
  <c r="L1027" i="8"/>
  <c r="L1027" i="9"/>
  <c r="L1026" i="8"/>
  <c r="L1026" i="9"/>
  <c r="L1025" i="8"/>
  <c r="L1025" i="9"/>
  <c r="L1024" i="8"/>
  <c r="L1024" i="9"/>
  <c r="L1023" i="8"/>
  <c r="L1023" i="9"/>
  <c r="L1022" i="8"/>
  <c r="L1022" i="9"/>
  <c r="L1021" i="8"/>
  <c r="L1021" i="9"/>
  <c r="L1020" i="8"/>
  <c r="L1020" i="9"/>
  <c r="L1019" i="8"/>
  <c r="L1019" i="9"/>
  <c r="K1019" i="18"/>
  <c r="H1019"/>
  <c r="I1019" s="1"/>
  <c r="L1018" i="8"/>
  <c r="L1018" i="9"/>
  <c r="L1017" i="8"/>
  <c r="L1017" i="9"/>
  <c r="L1016" i="8"/>
  <c r="L1016" i="9"/>
  <c r="L1015" i="8"/>
  <c r="L1015" i="9"/>
  <c r="K1015" i="18"/>
  <c r="H1015"/>
  <c r="I1015" s="1"/>
  <c r="L1014" i="8"/>
  <c r="L1014" i="9"/>
  <c r="L1013" i="8"/>
  <c r="L1013" i="9"/>
  <c r="L1012" i="8"/>
  <c r="L1012" i="9"/>
  <c r="L1011" i="8"/>
  <c r="L1011" i="9"/>
  <c r="L1010" i="8"/>
  <c r="L1010" i="9"/>
  <c r="L1009" i="8"/>
  <c r="L1009" i="9"/>
  <c r="L1008" i="8"/>
  <c r="L1008" i="9"/>
  <c r="L1007" i="8"/>
  <c r="L1007" i="9"/>
  <c r="L1006" i="8"/>
  <c r="L1006" i="9"/>
  <c r="L1005" i="8"/>
  <c r="L1005" i="9"/>
  <c r="L1004" i="8"/>
  <c r="L1004" i="9"/>
  <c r="K1004" i="18"/>
  <c r="H1004"/>
  <c r="I1004" s="1"/>
  <c r="L1003" i="8"/>
  <c r="L1003" i="9"/>
  <c r="L1002" i="8"/>
  <c r="L1002" i="9"/>
  <c r="L1001" i="8"/>
  <c r="L1001" i="9"/>
  <c r="L1000" i="8"/>
  <c r="L1000" i="9"/>
  <c r="L999" i="8"/>
  <c r="L999" i="9"/>
  <c r="L998" i="8"/>
  <c r="L998" i="9"/>
  <c r="L997" i="8"/>
  <c r="L997" i="9"/>
  <c r="L996" i="8"/>
  <c r="L996" i="9"/>
  <c r="L995" i="8"/>
  <c r="L995" i="9"/>
  <c r="L994" i="8"/>
  <c r="L994" i="9"/>
  <c r="L993" i="8"/>
  <c r="L993" i="9"/>
  <c r="L992" i="8"/>
  <c r="L992" i="9"/>
  <c r="L991" i="8"/>
  <c r="L991" i="9"/>
  <c r="L990" i="8"/>
  <c r="L990" i="9"/>
  <c r="L989" i="8"/>
  <c r="L989" i="9"/>
  <c r="L988" i="8"/>
  <c r="L988" i="9"/>
  <c r="L987" i="8"/>
  <c r="L987" i="9"/>
  <c r="L986" i="8"/>
  <c r="L986" i="9"/>
  <c r="L985" i="8"/>
  <c r="L985" i="9"/>
  <c r="L984" i="8"/>
  <c r="L984" i="9"/>
  <c r="L983" i="8"/>
  <c r="L983" i="9"/>
  <c r="L982" i="8"/>
  <c r="L982" i="9"/>
  <c r="L981" i="8"/>
  <c r="L981" i="9"/>
  <c r="L980" i="8"/>
  <c r="L980" i="9"/>
  <c r="L979" i="8"/>
  <c r="L979" i="9"/>
  <c r="L978" i="8"/>
  <c r="L978" i="9"/>
  <c r="L977" i="8"/>
  <c r="L977" i="9"/>
  <c r="L976" i="8"/>
  <c r="L976" i="9"/>
  <c r="L975" i="8"/>
  <c r="L975" i="9"/>
  <c r="L974" i="8"/>
  <c r="L974" i="9"/>
  <c r="L973" i="8"/>
  <c r="L973" i="9"/>
  <c r="L972" i="8"/>
  <c r="L972" i="9"/>
  <c r="K972" i="18"/>
  <c r="H972"/>
  <c r="I972" s="1"/>
  <c r="L971" i="8"/>
  <c r="L971" i="9"/>
  <c r="L970" i="8"/>
  <c r="L970" i="9"/>
  <c r="L969" i="8"/>
  <c r="L969" i="9"/>
  <c r="K969" i="18"/>
  <c r="H969"/>
  <c r="I969" s="1"/>
  <c r="L968" i="8"/>
  <c r="L968" i="9"/>
  <c r="L967" i="8"/>
  <c r="L967" i="9"/>
  <c r="K967" i="18"/>
  <c r="H967"/>
  <c r="I967" s="1"/>
  <c r="H967" i="14"/>
  <c r="K967"/>
  <c r="L967" s="1"/>
  <c r="L966" i="8"/>
  <c r="L966" i="9"/>
  <c r="K966" i="18"/>
  <c r="H966"/>
  <c r="I966" s="1"/>
  <c r="H966" i="14"/>
  <c r="K966"/>
  <c r="L966" s="1"/>
  <c r="L965" i="8"/>
  <c r="L965" i="9"/>
  <c r="L964" i="8"/>
  <c r="L964" i="9"/>
  <c r="K964" i="18"/>
  <c r="H964"/>
  <c r="I964" s="1"/>
  <c r="L963" i="8"/>
  <c r="L963" i="9"/>
  <c r="L962" i="8"/>
  <c r="L962" i="9"/>
  <c r="L961" i="8"/>
  <c r="L961" i="9"/>
  <c r="L960" i="8"/>
  <c r="L960" i="9"/>
  <c r="L959" i="8"/>
  <c r="L959" i="9"/>
  <c r="K959" i="18"/>
  <c r="H959"/>
  <c r="I959" s="1"/>
  <c r="H959" i="14"/>
  <c r="K959"/>
  <c r="L959" s="1"/>
  <c r="L958" i="8"/>
  <c r="L958" i="9"/>
  <c r="L957" i="8"/>
  <c r="L957" i="9"/>
  <c r="L956" i="8"/>
  <c r="L956" i="9"/>
  <c r="L955" i="8"/>
  <c r="L955" i="9"/>
  <c r="L954" i="8"/>
  <c r="L954" i="9"/>
  <c r="L953" i="8"/>
  <c r="L953" i="9"/>
  <c r="L952" i="8"/>
  <c r="L952" i="9"/>
  <c r="L951" i="8"/>
  <c r="L951" i="9"/>
  <c r="L950" i="8"/>
  <c r="L950" i="9"/>
  <c r="L949" i="8"/>
  <c r="L949" i="9"/>
  <c r="L948" i="8"/>
  <c r="L948" i="9"/>
  <c r="L947" i="8"/>
  <c r="L947" i="9"/>
  <c r="L946" i="8"/>
  <c r="L946" i="9"/>
  <c r="L945" i="8"/>
  <c r="L945" i="9"/>
  <c r="L944" i="8"/>
  <c r="L944" i="9"/>
  <c r="L943" i="8"/>
  <c r="L943" i="9"/>
  <c r="L942" i="8"/>
  <c r="L942" i="9"/>
  <c r="L941" i="8"/>
  <c r="L941" i="9"/>
  <c r="L940" i="8"/>
  <c r="L940" i="9"/>
  <c r="L939" i="8"/>
  <c r="L939" i="9"/>
  <c r="L938" i="8"/>
  <c r="L938" i="9"/>
  <c r="L937" i="8"/>
  <c r="L937" i="9"/>
  <c r="L936" i="8"/>
  <c r="L936" i="9"/>
  <c r="L935" i="8"/>
  <c r="L935" i="9"/>
  <c r="L934" i="8"/>
  <c r="L934" i="9"/>
  <c r="L933" i="8"/>
  <c r="L933" i="9"/>
  <c r="L932" i="8"/>
  <c r="L932" i="9"/>
  <c r="L931" i="8"/>
  <c r="L931" i="9"/>
  <c r="L930" i="8"/>
  <c r="L930" i="9"/>
  <c r="L929" i="8"/>
  <c r="L929" i="9"/>
  <c r="L928" i="8"/>
  <c r="L928" i="9"/>
  <c r="L927" i="8"/>
  <c r="L927" i="9"/>
  <c r="L926" i="8"/>
  <c r="L926" i="9"/>
  <c r="L925" i="8"/>
  <c r="L925" i="9"/>
  <c r="L924" i="8"/>
  <c r="L924" i="9"/>
  <c r="K924" i="18"/>
  <c r="H924"/>
  <c r="I924" s="1"/>
  <c r="L923" i="8"/>
  <c r="L923" i="9"/>
  <c r="L922" i="8"/>
  <c r="L922" i="9"/>
  <c r="L921" i="8"/>
  <c r="L921" i="9"/>
  <c r="L920" i="8"/>
  <c r="L920" i="9"/>
  <c r="L919" i="8"/>
  <c r="L919" i="9"/>
  <c r="L918" i="8"/>
  <c r="L918" i="9"/>
  <c r="L917" i="8"/>
  <c r="L917" i="9"/>
  <c r="K917" i="18"/>
  <c r="H917"/>
  <c r="I917" s="1"/>
  <c r="L916" i="8"/>
  <c r="L916" i="9"/>
  <c r="L915" i="8"/>
  <c r="L915" i="9"/>
  <c r="K915" i="18"/>
  <c r="H915"/>
  <c r="I915" s="1"/>
  <c r="L914" i="8"/>
  <c r="L914" i="9"/>
  <c r="K914" i="18"/>
  <c r="H914"/>
  <c r="I914" s="1"/>
  <c r="L913" i="8"/>
  <c r="L913" i="9"/>
  <c r="K913" i="18"/>
  <c r="H913"/>
  <c r="I913" s="1"/>
  <c r="L912" i="8"/>
  <c r="L912" i="9"/>
  <c r="L911" i="8"/>
  <c r="L911" i="9"/>
  <c r="L910" i="8"/>
  <c r="L910" i="9"/>
  <c r="K910" i="18"/>
  <c r="H910"/>
  <c r="I910" s="1"/>
  <c r="L909" i="9"/>
  <c r="K909" i="18"/>
  <c r="H909"/>
  <c r="I909" s="1"/>
  <c r="L908" i="8"/>
  <c r="L908" i="9"/>
  <c r="K908" i="18"/>
  <c r="H908"/>
  <c r="I908" s="1"/>
  <c r="L907" i="8"/>
  <c r="L907" i="9"/>
  <c r="K907" i="18"/>
  <c r="H907"/>
  <c r="I907" s="1"/>
  <c r="L906" i="8"/>
  <c r="L906" i="9"/>
  <c r="K906" i="18"/>
  <c r="H906"/>
  <c r="I906" s="1"/>
  <c r="L905" i="8"/>
  <c r="L905" i="9"/>
  <c r="K905" i="18"/>
  <c r="H905"/>
  <c r="I905" s="1"/>
  <c r="L904" i="8"/>
  <c r="L904" i="9"/>
  <c r="K904" i="18"/>
  <c r="H904"/>
  <c r="I904" s="1"/>
  <c r="L903" i="8"/>
  <c r="L903" i="9"/>
  <c r="K903" i="18"/>
  <c r="H903"/>
  <c r="I903" s="1"/>
  <c r="L902" i="8"/>
  <c r="L902" i="9"/>
  <c r="K902" i="18"/>
  <c r="H902"/>
  <c r="I902" s="1"/>
  <c r="L901" i="8"/>
  <c r="L901" i="9"/>
  <c r="K901" i="18"/>
  <c r="H901"/>
  <c r="I901" s="1"/>
  <c r="L900" i="8"/>
  <c r="L900" i="9"/>
  <c r="K900" i="18"/>
  <c r="H900"/>
  <c r="I900" s="1"/>
  <c r="L899" i="8"/>
  <c r="L899" i="9"/>
  <c r="K899" i="18"/>
  <c r="H899"/>
  <c r="I899" s="1"/>
  <c r="L898" i="8"/>
  <c r="L898" i="9"/>
  <c r="K898" i="18"/>
  <c r="H898"/>
  <c r="I898" s="1"/>
  <c r="K897" i="8"/>
  <c r="H897"/>
  <c r="I897" s="1"/>
  <c r="L897" i="9"/>
  <c r="L896" i="8"/>
  <c r="L896" i="9"/>
  <c r="K896" i="18"/>
  <c r="H896"/>
  <c r="I896" s="1"/>
  <c r="L895" i="8"/>
  <c r="L895" i="9"/>
  <c r="K895" i="18"/>
  <c r="H895"/>
  <c r="I895" s="1"/>
  <c r="L894" i="8"/>
  <c r="L894" i="9"/>
  <c r="K894" i="18"/>
  <c r="H894"/>
  <c r="I894" s="1"/>
  <c r="L893" i="8"/>
  <c r="L893" i="9"/>
  <c r="K893" i="18"/>
  <c r="H893"/>
  <c r="I893" s="1"/>
  <c r="L892" i="8"/>
  <c r="L892" i="9"/>
  <c r="K892" i="18"/>
  <c r="H892"/>
  <c r="I892" s="1"/>
  <c r="L891" i="8"/>
  <c r="L891" i="9"/>
  <c r="K891" i="18"/>
  <c r="H891"/>
  <c r="I891" s="1"/>
  <c r="L890" i="8"/>
  <c r="L890" i="9"/>
  <c r="K890" i="18"/>
  <c r="H890"/>
  <c r="I890" s="1"/>
  <c r="L889" i="8"/>
  <c r="L889" i="9"/>
  <c r="K889" i="18"/>
  <c r="H889"/>
  <c r="I889" s="1"/>
  <c r="L888" i="8"/>
  <c r="L888" i="9"/>
  <c r="K888" i="18"/>
  <c r="H888"/>
  <c r="I888" s="1"/>
  <c r="L887" i="8"/>
  <c r="L887" i="9"/>
  <c r="K887" i="18"/>
  <c r="H887"/>
  <c r="I887" s="1"/>
  <c r="L886" i="8"/>
  <c r="L886" i="9"/>
  <c r="K886" i="18"/>
  <c r="H886"/>
  <c r="I886" s="1"/>
  <c r="L885" i="8"/>
  <c r="L885" i="9"/>
  <c r="K885" i="18"/>
  <c r="H885"/>
  <c r="I885" s="1"/>
  <c r="L884" i="8"/>
  <c r="L884" i="9"/>
  <c r="K884" i="18"/>
  <c r="H884"/>
  <c r="I884" s="1"/>
  <c r="L883" i="8"/>
  <c r="L883" i="9"/>
  <c r="K883" i="18"/>
  <c r="H883"/>
  <c r="I883" s="1"/>
  <c r="L882" i="8"/>
  <c r="L882" i="9"/>
  <c r="K882" i="18"/>
  <c r="H882"/>
  <c r="I882" s="1"/>
  <c r="L881" i="8"/>
  <c r="L881" i="9"/>
  <c r="F1146" i="18"/>
  <c r="G1146" s="1"/>
  <c r="G881"/>
  <c r="K1199" i="14"/>
  <c r="H1199"/>
  <c r="I1199" s="1"/>
  <c r="K1198"/>
  <c r="H1198"/>
  <c r="I1198" s="1"/>
  <c r="K1197"/>
  <c r="H1197"/>
  <c r="I1197" s="1"/>
  <c r="K1196"/>
  <c r="H1196"/>
  <c r="I1196" s="1"/>
  <c r="K1195"/>
  <c r="H1195"/>
  <c r="I1195" s="1"/>
  <c r="K1194"/>
  <c r="H1194"/>
  <c r="I1194" s="1"/>
  <c r="K1193"/>
  <c r="H1193"/>
  <c r="I1193" s="1"/>
  <c r="K1192"/>
  <c r="H1192"/>
  <c r="I1192" s="1"/>
  <c r="K1191"/>
  <c r="H1191"/>
  <c r="I1191" s="1"/>
  <c r="K1190"/>
  <c r="H1190"/>
  <c r="I1190" s="1"/>
  <c r="K1189"/>
  <c r="H1189"/>
  <c r="I1189" s="1"/>
  <c r="K1188"/>
  <c r="H1188"/>
  <c r="I1188" s="1"/>
  <c r="K1187"/>
  <c r="H1187"/>
  <c r="I1187" s="1"/>
  <c r="K1186"/>
  <c r="H1186"/>
  <c r="I1186" s="1"/>
  <c r="K1185"/>
  <c r="H1185"/>
  <c r="I1185" s="1"/>
  <c r="K1184"/>
  <c r="H1184"/>
  <c r="I1184" s="1"/>
  <c r="K1183"/>
  <c r="H1183"/>
  <c r="I1183" s="1"/>
  <c r="K1182"/>
  <c r="H1182"/>
  <c r="I1182" s="1"/>
  <c r="K1181"/>
  <c r="H1181"/>
  <c r="I1181" s="1"/>
  <c r="K1180"/>
  <c r="H1180"/>
  <c r="I1180" s="1"/>
  <c r="K1164"/>
  <c r="H1164"/>
  <c r="I1164" s="1"/>
  <c r="K1163"/>
  <c r="H1163"/>
  <c r="I1163" s="1"/>
  <c r="G1162"/>
  <c r="F1202"/>
  <c r="G1202" s="1"/>
  <c r="O1231" i="12"/>
  <c r="L1231"/>
  <c r="M1231" s="1"/>
  <c r="O1230"/>
  <c r="L1230"/>
  <c r="M1230" s="1"/>
  <c r="K1228" i="18"/>
  <c r="H1228"/>
  <c r="I1228" s="1"/>
  <c r="K1227"/>
  <c r="H1227"/>
  <c r="I1227" s="1"/>
  <c r="P1224" i="7"/>
  <c r="M1224"/>
  <c r="N1224" s="1"/>
  <c r="K1221" i="18"/>
  <c r="H1221"/>
  <c r="I1221" s="1"/>
  <c r="K1220"/>
  <c r="H1220"/>
  <c r="I1220" s="1"/>
  <c r="K1219"/>
  <c r="H1219"/>
  <c r="I1219" s="1"/>
  <c r="K1218"/>
  <c r="H1218"/>
  <c r="I1218" s="1"/>
  <c r="K1217"/>
  <c r="H1217"/>
  <c r="I1217" s="1"/>
  <c r="K1216"/>
  <c r="H1216"/>
  <c r="I1216" s="1"/>
  <c r="K1215"/>
  <c r="H1215"/>
  <c r="I1215" s="1"/>
  <c r="K1214"/>
  <c r="H1214"/>
  <c r="I1214" s="1"/>
  <c r="K1213"/>
  <c r="H1213"/>
  <c r="I1213" s="1"/>
  <c r="K1212"/>
  <c r="H1212"/>
  <c r="I1212" s="1"/>
  <c r="K1211"/>
  <c r="H1211"/>
  <c r="I1211" s="1"/>
  <c r="K1210"/>
  <c r="H1210"/>
  <c r="I1210" s="1"/>
  <c r="K1209"/>
  <c r="H1209"/>
  <c r="I1209" s="1"/>
  <c r="K1208"/>
  <c r="H1208"/>
  <c r="I1208" s="1"/>
  <c r="K1207"/>
  <c r="H1207"/>
  <c r="I1207" s="1"/>
  <c r="K1206"/>
  <c r="H1206"/>
  <c r="I1206" s="1"/>
  <c r="K1205"/>
  <c r="H1205"/>
  <c r="I1205" s="1"/>
  <c r="G1204"/>
  <c r="F1232"/>
  <c r="G1232" s="1"/>
  <c r="O534" i="12"/>
  <c r="L534"/>
  <c r="M534" s="1"/>
  <c r="O745"/>
  <c r="L745"/>
  <c r="M745" s="1"/>
  <c r="P744" i="5"/>
  <c r="Q744" s="1"/>
  <c r="M744"/>
  <c r="P743"/>
  <c r="Q743" s="1"/>
  <c r="M743"/>
  <c r="P742"/>
  <c r="Q742" s="1"/>
  <c r="M742"/>
  <c r="P741"/>
  <c r="Q741" s="1"/>
  <c r="M741"/>
  <c r="P740"/>
  <c r="Q740" s="1"/>
  <c r="M740"/>
  <c r="P739"/>
  <c r="Q739" s="1"/>
  <c r="M739"/>
  <c r="P738"/>
  <c r="Q738" s="1"/>
  <c r="M738"/>
  <c r="P737"/>
  <c r="Q737" s="1"/>
  <c r="M737"/>
  <c r="P736"/>
  <c r="Q736" s="1"/>
  <c r="M736"/>
  <c r="P735"/>
  <c r="Q735" s="1"/>
  <c r="M735"/>
  <c r="P734"/>
  <c r="Q734" s="1"/>
  <c r="M734"/>
  <c r="P733"/>
  <c r="Q733" s="1"/>
  <c r="M733"/>
  <c r="P732"/>
  <c r="Q732" s="1"/>
  <c r="M732"/>
  <c r="P731"/>
  <c r="Q731" s="1"/>
  <c r="M731"/>
  <c r="P730"/>
  <c r="Q730" s="1"/>
  <c r="M730"/>
  <c r="P729"/>
  <c r="Q729" s="1"/>
  <c r="M729"/>
  <c r="P728"/>
  <c r="Q728" s="1"/>
  <c r="M728"/>
  <c r="K728" i="18"/>
  <c r="H728"/>
  <c r="I728" s="1"/>
  <c r="P727" i="5"/>
  <c r="Q727" s="1"/>
  <c r="M727"/>
  <c r="P726"/>
  <c r="Q726" s="1"/>
  <c r="M726"/>
  <c r="P725"/>
  <c r="Q725" s="1"/>
  <c r="M725"/>
  <c r="P724"/>
  <c r="Q724" s="1"/>
  <c r="M724"/>
  <c r="P723"/>
  <c r="Q723" s="1"/>
  <c r="M723"/>
  <c r="P722"/>
  <c r="Q722" s="1"/>
  <c r="M722"/>
  <c r="P721"/>
  <c r="Q721" s="1"/>
  <c r="M721"/>
  <c r="P720"/>
  <c r="Q720" s="1"/>
  <c r="M720"/>
  <c r="P719"/>
  <c r="Q719" s="1"/>
  <c r="M719"/>
  <c r="P718"/>
  <c r="Q718" s="1"/>
  <c r="M718"/>
  <c r="K718" i="18"/>
  <c r="H718"/>
  <c r="I718" s="1"/>
  <c r="P717" i="5"/>
  <c r="Q717" s="1"/>
  <c r="M717"/>
  <c r="P716"/>
  <c r="Q716" s="1"/>
  <c r="M716"/>
  <c r="K716" i="18"/>
  <c r="H716"/>
  <c r="I716" s="1"/>
  <c r="P715" i="5"/>
  <c r="Q715" s="1"/>
  <c r="M715"/>
  <c r="K715" i="18"/>
  <c r="H715"/>
  <c r="I715" s="1"/>
  <c r="P714" i="5"/>
  <c r="Q714" s="1"/>
  <c r="M714"/>
  <c r="K714" i="18"/>
  <c r="H714"/>
  <c r="I714" s="1"/>
  <c r="P713" i="5"/>
  <c r="Q713" s="1"/>
  <c r="M713"/>
  <c r="K713" i="18"/>
  <c r="H713"/>
  <c r="I713" s="1"/>
  <c r="P712" i="5"/>
  <c r="Q712" s="1"/>
  <c r="M712"/>
  <c r="P711"/>
  <c r="Q711" s="1"/>
  <c r="M711"/>
  <c r="P710"/>
  <c r="Q710" s="1"/>
  <c r="M710"/>
  <c r="P709"/>
  <c r="Q709" s="1"/>
  <c r="M709"/>
  <c r="P708"/>
  <c r="Q708" s="1"/>
  <c r="M708"/>
  <c r="P707"/>
  <c r="Q707" s="1"/>
  <c r="M707"/>
  <c r="P706"/>
  <c r="Q706" s="1"/>
  <c r="M706"/>
  <c r="P705"/>
  <c r="Q705" s="1"/>
  <c r="M705"/>
  <c r="P704"/>
  <c r="Q704" s="1"/>
  <c r="M704"/>
  <c r="P703"/>
  <c r="Q703" s="1"/>
  <c r="M703"/>
  <c r="P702"/>
  <c r="Q702" s="1"/>
  <c r="M702"/>
  <c r="P701"/>
  <c r="Q701" s="1"/>
  <c r="M701"/>
  <c r="P700"/>
  <c r="Q700" s="1"/>
  <c r="M700"/>
  <c r="P699"/>
  <c r="Q699" s="1"/>
  <c r="M699"/>
  <c r="P698"/>
  <c r="Q698" s="1"/>
  <c r="M698"/>
  <c r="P697"/>
  <c r="Q697" s="1"/>
  <c r="M697"/>
  <c r="P696"/>
  <c r="Q696" s="1"/>
  <c r="M696"/>
  <c r="P695"/>
  <c r="Q695" s="1"/>
  <c r="M695"/>
  <c r="P694"/>
  <c r="Q694" s="1"/>
  <c r="M694"/>
  <c r="P693"/>
  <c r="Q693" s="1"/>
  <c r="M693"/>
  <c r="P692"/>
  <c r="Q692" s="1"/>
  <c r="M692"/>
  <c r="P691"/>
  <c r="Q691" s="1"/>
  <c r="M691"/>
  <c r="P690"/>
  <c r="Q690" s="1"/>
  <c r="M690"/>
  <c r="P689"/>
  <c r="Q689" s="1"/>
  <c r="M689"/>
  <c r="P688"/>
  <c r="Q688" s="1"/>
  <c r="M688"/>
  <c r="P687"/>
  <c r="Q687" s="1"/>
  <c r="M687"/>
  <c r="P686"/>
  <c r="Q686" s="1"/>
  <c r="M686"/>
  <c r="P685"/>
  <c r="Q685" s="1"/>
  <c r="M685"/>
  <c r="K685" i="18"/>
  <c r="H685"/>
  <c r="I685" s="1"/>
  <c r="K685" i="14"/>
  <c r="H685"/>
  <c r="I685" s="1"/>
  <c r="P684" i="5"/>
  <c r="Q684" s="1"/>
  <c r="M684"/>
  <c r="K684" i="18"/>
  <c r="H684"/>
  <c r="I684" s="1"/>
  <c r="P683" i="5"/>
  <c r="Q683" s="1"/>
  <c r="M683"/>
  <c r="K683" i="18"/>
  <c r="H683"/>
  <c r="I683" s="1"/>
  <c r="P682" i="5"/>
  <c r="Q682" s="1"/>
  <c r="M682"/>
  <c r="K682" i="18"/>
  <c r="H682"/>
  <c r="I682" s="1"/>
  <c r="P681" i="5"/>
  <c r="Q681" s="1"/>
  <c r="M681"/>
  <c r="P680"/>
  <c r="Q680" s="1"/>
  <c r="M680"/>
  <c r="P679"/>
  <c r="Q679" s="1"/>
  <c r="M679"/>
  <c r="P678"/>
  <c r="Q678" s="1"/>
  <c r="M678"/>
  <c r="P677"/>
  <c r="Q677" s="1"/>
  <c r="M677"/>
  <c r="P676"/>
  <c r="Q676" s="1"/>
  <c r="M676"/>
  <c r="P675"/>
  <c r="Q675" s="1"/>
  <c r="M675"/>
  <c r="P674"/>
  <c r="Q674" s="1"/>
  <c r="M674"/>
  <c r="P673"/>
  <c r="Q673" s="1"/>
  <c r="M673"/>
  <c r="P672"/>
  <c r="Q672" s="1"/>
  <c r="M672"/>
  <c r="P671"/>
  <c r="Q671" s="1"/>
  <c r="M671"/>
  <c r="P670"/>
  <c r="Q670" s="1"/>
  <c r="M670"/>
  <c r="P669"/>
  <c r="Q669" s="1"/>
  <c r="M669"/>
  <c r="P668"/>
  <c r="Q668" s="1"/>
  <c r="M668"/>
  <c r="P667"/>
  <c r="Q667" s="1"/>
  <c r="M667"/>
  <c r="P666"/>
  <c r="Q666" s="1"/>
  <c r="M666"/>
  <c r="P665"/>
  <c r="Q665" s="1"/>
  <c r="M665"/>
  <c r="P664"/>
  <c r="Q664" s="1"/>
  <c r="M664"/>
  <c r="P663"/>
  <c r="Q663" s="1"/>
  <c r="M663"/>
  <c r="P662"/>
  <c r="Q662" s="1"/>
  <c r="M662"/>
  <c r="P661"/>
  <c r="Q661" s="1"/>
  <c r="M661"/>
  <c r="K661" i="18"/>
  <c r="H661"/>
  <c r="I661" s="1"/>
  <c r="P660" i="5"/>
  <c r="Q660" s="1"/>
  <c r="M660"/>
  <c r="K660" i="18"/>
  <c r="H660"/>
  <c r="I660" s="1"/>
  <c r="K660" i="14"/>
  <c r="H660"/>
  <c r="I660" s="1"/>
  <c r="P659" i="5"/>
  <c r="Q659" s="1"/>
  <c r="M659"/>
  <c r="K659" i="18"/>
  <c r="H659"/>
  <c r="I659" s="1"/>
  <c r="K659" i="14"/>
  <c r="H659"/>
  <c r="I659" s="1"/>
  <c r="P658" i="5"/>
  <c r="Q658" s="1"/>
  <c r="M658"/>
  <c r="K658" i="18"/>
  <c r="H658"/>
  <c r="I658" s="1"/>
  <c r="K658" i="14"/>
  <c r="H658"/>
  <c r="I658" s="1"/>
  <c r="P657" i="5"/>
  <c r="Q657" s="1"/>
  <c r="M657"/>
  <c r="K657" i="18"/>
  <c r="H657"/>
  <c r="I657" s="1"/>
  <c r="K657" i="14"/>
  <c r="H657"/>
  <c r="I657" s="1"/>
  <c r="P656" i="5"/>
  <c r="Q656" s="1"/>
  <c r="M656"/>
  <c r="P655"/>
  <c r="Q655" s="1"/>
  <c r="M655"/>
  <c r="P654"/>
  <c r="Q654" s="1"/>
  <c r="M654"/>
  <c r="P653"/>
  <c r="Q653" s="1"/>
  <c r="M653"/>
  <c r="P652"/>
  <c r="Q652" s="1"/>
  <c r="M652"/>
  <c r="P651"/>
  <c r="Q651" s="1"/>
  <c r="M651"/>
  <c r="P650"/>
  <c r="Q650" s="1"/>
  <c r="M650"/>
  <c r="P649"/>
  <c r="Q649" s="1"/>
  <c r="M649"/>
  <c r="P648"/>
  <c r="Q648" s="1"/>
  <c r="M648"/>
  <c r="P647"/>
  <c r="Q647" s="1"/>
  <c r="M647"/>
  <c r="P646"/>
  <c r="Q646" s="1"/>
  <c r="M646"/>
  <c r="P645"/>
  <c r="Q645" s="1"/>
  <c r="M645"/>
  <c r="P644"/>
  <c r="Q644" s="1"/>
  <c r="M644"/>
  <c r="P643"/>
  <c r="Q643" s="1"/>
  <c r="M643"/>
  <c r="P642"/>
  <c r="Q642" s="1"/>
  <c r="M642"/>
  <c r="P641"/>
  <c r="Q641" s="1"/>
  <c r="M641"/>
  <c r="P640"/>
  <c r="Q640" s="1"/>
  <c r="M640"/>
  <c r="P639"/>
  <c r="Q639" s="1"/>
  <c r="M639"/>
  <c r="P638"/>
  <c r="Q638" s="1"/>
  <c r="M638"/>
  <c r="P637"/>
  <c r="Q637" s="1"/>
  <c r="M637"/>
  <c r="P636"/>
  <c r="Q636" s="1"/>
  <c r="M636"/>
  <c r="P635"/>
  <c r="Q635" s="1"/>
  <c r="M635"/>
  <c r="P634"/>
  <c r="Q634" s="1"/>
  <c r="M634"/>
  <c r="P633"/>
  <c r="Q633" s="1"/>
  <c r="M633"/>
  <c r="P632"/>
  <c r="Q632" s="1"/>
  <c r="M632"/>
  <c r="P631"/>
  <c r="Q631" s="1"/>
  <c r="M631"/>
  <c r="P630"/>
  <c r="Q630" s="1"/>
  <c r="M630"/>
  <c r="P629"/>
  <c r="Q629" s="1"/>
  <c r="M629"/>
  <c r="P628"/>
  <c r="Q628" s="1"/>
  <c r="M628"/>
  <c r="P627"/>
  <c r="Q627" s="1"/>
  <c r="M627"/>
  <c r="P626"/>
  <c r="Q626" s="1"/>
  <c r="M626"/>
  <c r="P625"/>
  <c r="Q625" s="1"/>
  <c r="M625"/>
  <c r="P624"/>
  <c r="Q624" s="1"/>
  <c r="M624"/>
  <c r="P623"/>
  <c r="Q623" s="1"/>
  <c r="M623"/>
  <c r="P622"/>
  <c r="Q622" s="1"/>
  <c r="M622"/>
  <c r="K622" i="18"/>
  <c r="H622"/>
  <c r="I622" s="1"/>
  <c r="K622" i="14"/>
  <c r="H622"/>
  <c r="I622" s="1"/>
  <c r="P621" i="5"/>
  <c r="Q621" s="1"/>
  <c r="M621"/>
  <c r="K621" i="18"/>
  <c r="H621"/>
  <c r="I621" s="1"/>
  <c r="K621" i="14"/>
  <c r="H621"/>
  <c r="I621" s="1"/>
  <c r="P620" i="5"/>
  <c r="Q620" s="1"/>
  <c r="M620"/>
  <c r="K620" i="18"/>
  <c r="H620"/>
  <c r="I620" s="1"/>
  <c r="K620" i="14"/>
  <c r="H620"/>
  <c r="I620" s="1"/>
  <c r="P619" i="5"/>
  <c r="Q619" s="1"/>
  <c r="M619"/>
  <c r="K619" i="18"/>
  <c r="H619"/>
  <c r="I619" s="1"/>
  <c r="K619" i="14"/>
  <c r="H619"/>
  <c r="I619" s="1"/>
  <c r="P618" i="5"/>
  <c r="Q618" s="1"/>
  <c r="M618"/>
  <c r="K618" i="18"/>
  <c r="H618"/>
  <c r="I618" s="1"/>
  <c r="K618" i="14"/>
  <c r="H618"/>
  <c r="I618" s="1"/>
  <c r="P617" i="5"/>
  <c r="Q617" s="1"/>
  <c r="M617"/>
  <c r="P616"/>
  <c r="Q616" s="1"/>
  <c r="M616"/>
  <c r="P615"/>
  <c r="Q615" s="1"/>
  <c r="M615"/>
  <c r="P614"/>
  <c r="Q614" s="1"/>
  <c r="M614"/>
  <c r="P613"/>
  <c r="Q613" s="1"/>
  <c r="M613"/>
  <c r="P612"/>
  <c r="Q612" s="1"/>
  <c r="M612"/>
  <c r="P611"/>
  <c r="Q611" s="1"/>
  <c r="M611"/>
  <c r="P610"/>
  <c r="Q610" s="1"/>
  <c r="M610"/>
  <c r="P609"/>
  <c r="Q609" s="1"/>
  <c r="M609"/>
  <c r="P608"/>
  <c r="Q608" s="1"/>
  <c r="M608"/>
  <c r="P607"/>
  <c r="Q607" s="1"/>
  <c r="M607"/>
  <c r="P606"/>
  <c r="Q606" s="1"/>
  <c r="M606"/>
  <c r="P605"/>
  <c r="Q605" s="1"/>
  <c r="M605"/>
  <c r="P604"/>
  <c r="Q604" s="1"/>
  <c r="M604"/>
  <c r="P603"/>
  <c r="Q603" s="1"/>
  <c r="M603"/>
  <c r="P602"/>
  <c r="Q602" s="1"/>
  <c r="M602"/>
  <c r="P601"/>
  <c r="Q601" s="1"/>
  <c r="M601"/>
  <c r="P600"/>
  <c r="Q600" s="1"/>
  <c r="M600"/>
  <c r="P599"/>
  <c r="Q599" s="1"/>
  <c r="M599"/>
  <c r="P598"/>
  <c r="Q598" s="1"/>
  <c r="M598"/>
  <c r="P597"/>
  <c r="Q597" s="1"/>
  <c r="M597"/>
  <c r="P596"/>
  <c r="Q596" s="1"/>
  <c r="M596"/>
  <c r="P595"/>
  <c r="Q595" s="1"/>
  <c r="M595"/>
  <c r="P594"/>
  <c r="Q594" s="1"/>
  <c r="M594"/>
  <c r="P593"/>
  <c r="Q593" s="1"/>
  <c r="M593"/>
  <c r="P592"/>
  <c r="Q592" s="1"/>
  <c r="M592"/>
  <c r="P591"/>
  <c r="Q591" s="1"/>
  <c r="M591"/>
  <c r="P590"/>
  <c r="Q590" s="1"/>
  <c r="M590"/>
  <c r="P589"/>
  <c r="Q589" s="1"/>
  <c r="M589"/>
  <c r="P588"/>
  <c r="Q588" s="1"/>
  <c r="M588"/>
  <c r="P587"/>
  <c r="Q587" s="1"/>
  <c r="M587"/>
  <c r="P586"/>
  <c r="Q586" s="1"/>
  <c r="M586"/>
  <c r="P585"/>
  <c r="Q585" s="1"/>
  <c r="M585"/>
  <c r="P584"/>
  <c r="Q584" s="1"/>
  <c r="M584"/>
  <c r="P583"/>
  <c r="Q583" s="1"/>
  <c r="M583"/>
  <c r="P582"/>
  <c r="Q582" s="1"/>
  <c r="M582"/>
  <c r="P581"/>
  <c r="Q581" s="1"/>
  <c r="M581"/>
  <c r="P580"/>
  <c r="Q580" s="1"/>
  <c r="M580"/>
  <c r="P579"/>
  <c r="Q579" s="1"/>
  <c r="M579"/>
  <c r="P578"/>
  <c r="Q578" s="1"/>
  <c r="M578"/>
  <c r="K578" i="18"/>
  <c r="H578"/>
  <c r="I578" s="1"/>
  <c r="K578" i="14"/>
  <c r="H578"/>
  <c r="I578" s="1"/>
  <c r="P577" i="5"/>
  <c r="Q577" s="1"/>
  <c r="M577"/>
  <c r="P576"/>
  <c r="Q576" s="1"/>
  <c r="M576"/>
  <c r="P575"/>
  <c r="Q575" s="1"/>
  <c r="M575"/>
  <c r="P574"/>
  <c r="Q574" s="1"/>
  <c r="M574"/>
  <c r="P573"/>
  <c r="Q573" s="1"/>
  <c r="M573"/>
  <c r="P572"/>
  <c r="Q572" s="1"/>
  <c r="M572"/>
  <c r="P571"/>
  <c r="Q571" s="1"/>
  <c r="M571"/>
  <c r="P570"/>
  <c r="Q570" s="1"/>
  <c r="M570"/>
  <c r="P569"/>
  <c r="Q569" s="1"/>
  <c r="M569"/>
  <c r="P568"/>
  <c r="Q568" s="1"/>
  <c r="M568"/>
  <c r="P567"/>
  <c r="Q567" s="1"/>
  <c r="M567"/>
  <c r="P566"/>
  <c r="Q566" s="1"/>
  <c r="M566"/>
  <c r="P565"/>
  <c r="Q565" s="1"/>
  <c r="M565"/>
  <c r="P564"/>
  <c r="Q564" s="1"/>
  <c r="M564"/>
  <c r="P563"/>
  <c r="Q563" s="1"/>
  <c r="M563"/>
  <c r="P562"/>
  <c r="Q562" s="1"/>
  <c r="M562"/>
  <c r="P561"/>
  <c r="Q561" s="1"/>
  <c r="M561"/>
  <c r="P560"/>
  <c r="Q560" s="1"/>
  <c r="M560"/>
  <c r="P559"/>
  <c r="Q559" s="1"/>
  <c r="M559"/>
  <c r="P558"/>
  <c r="Q558" s="1"/>
  <c r="M558"/>
  <c r="K558" i="18"/>
  <c r="H558"/>
  <c r="I558" s="1"/>
  <c r="K558" i="14"/>
  <c r="H558"/>
  <c r="I558" s="1"/>
  <c r="P557" i="5"/>
  <c r="Q557" s="1"/>
  <c r="M557"/>
  <c r="P556"/>
  <c r="Q556" s="1"/>
  <c r="M556"/>
  <c r="P555"/>
  <c r="Q555" s="1"/>
  <c r="M555"/>
  <c r="P554"/>
  <c r="Q554" s="1"/>
  <c r="M554"/>
  <c r="P553"/>
  <c r="Q553" s="1"/>
  <c r="M553"/>
  <c r="P552"/>
  <c r="Q552" s="1"/>
  <c r="M552"/>
  <c r="K552" i="18"/>
  <c r="H552"/>
  <c r="I552" s="1"/>
  <c r="K552" i="14"/>
  <c r="H552"/>
  <c r="I552" s="1"/>
  <c r="P551" i="5"/>
  <c r="Q551" s="1"/>
  <c r="M551"/>
  <c r="K551" i="18"/>
  <c r="H551"/>
  <c r="I551" s="1"/>
  <c r="K551" i="14"/>
  <c r="H551"/>
  <c r="I551" s="1"/>
  <c r="P550" i="5"/>
  <c r="Q550" s="1"/>
  <c r="M550"/>
  <c r="K550" i="18"/>
  <c r="H550"/>
  <c r="I550" s="1"/>
  <c r="K550" i="14"/>
  <c r="H550"/>
  <c r="I550" s="1"/>
  <c r="P549" i="5"/>
  <c r="Q549" s="1"/>
  <c r="M549"/>
  <c r="K549" i="18"/>
  <c r="H549"/>
  <c r="I549" s="1"/>
  <c r="K549" i="14"/>
  <c r="H549"/>
  <c r="I549" s="1"/>
  <c r="P548" i="5"/>
  <c r="Q548" s="1"/>
  <c r="M548"/>
  <c r="K548" i="18"/>
  <c r="H548"/>
  <c r="I548" s="1"/>
  <c r="K548" i="14"/>
  <c r="H548"/>
  <c r="I548" s="1"/>
  <c r="P547" i="5"/>
  <c r="Q547" s="1"/>
  <c r="M547"/>
  <c r="K547" i="18"/>
  <c r="H547"/>
  <c r="I547" s="1"/>
  <c r="K547" i="14"/>
  <c r="H547"/>
  <c r="I547" s="1"/>
  <c r="P546" i="5"/>
  <c r="Q546" s="1"/>
  <c r="M546"/>
  <c r="K546" i="18"/>
  <c r="H546"/>
  <c r="I546" s="1"/>
  <c r="K546" i="14"/>
  <c r="H546"/>
  <c r="I546" s="1"/>
  <c r="P545" i="5"/>
  <c r="Q545" s="1"/>
  <c r="M545"/>
  <c r="K545" i="18"/>
  <c r="H545"/>
  <c r="I545" s="1"/>
  <c r="K545" i="14"/>
  <c r="H545"/>
  <c r="I545" s="1"/>
  <c r="P544" i="5"/>
  <c r="Q544" s="1"/>
  <c r="M544"/>
  <c r="K544" i="18"/>
  <c r="H544"/>
  <c r="I544" s="1"/>
  <c r="K544" i="14"/>
  <c r="H544"/>
  <c r="I544" s="1"/>
  <c r="P543" i="5"/>
  <c r="Q543" s="1"/>
  <c r="M543"/>
  <c r="K543" i="18"/>
  <c r="H543"/>
  <c r="I543" s="1"/>
  <c r="K543" i="14"/>
  <c r="H543"/>
  <c r="I543" s="1"/>
  <c r="P542" i="5"/>
  <c r="Q542" s="1"/>
  <c r="M542"/>
  <c r="K542" i="18"/>
  <c r="H542"/>
  <c r="I542" s="1"/>
  <c r="K542" i="14"/>
  <c r="H542"/>
  <c r="I542" s="1"/>
  <c r="P541" i="5"/>
  <c r="Q541" s="1"/>
  <c r="M541"/>
  <c r="K541" i="18"/>
  <c r="H541"/>
  <c r="I541" s="1"/>
  <c r="P540" i="5"/>
  <c r="Q540" s="1"/>
  <c r="M540"/>
  <c r="K540" i="18"/>
  <c r="H540"/>
  <c r="I540" s="1"/>
  <c r="K540" i="14"/>
  <c r="H540"/>
  <c r="I540" s="1"/>
  <c r="P539" i="5"/>
  <c r="Q539" s="1"/>
  <c r="M539"/>
  <c r="K539" i="18"/>
  <c r="H539"/>
  <c r="I539" s="1"/>
  <c r="K539" i="14"/>
  <c r="H539"/>
  <c r="I539" s="1"/>
  <c r="P538" i="5"/>
  <c r="Q538" s="1"/>
  <c r="M538"/>
  <c r="K538" i="18"/>
  <c r="H538"/>
  <c r="I538" s="1"/>
  <c r="K538" i="14"/>
  <c r="H538"/>
  <c r="I538" s="1"/>
  <c r="P537" i="5"/>
  <c r="Q537" s="1"/>
  <c r="M537"/>
  <c r="F747" i="18"/>
  <c r="G747" s="1"/>
  <c r="G537"/>
  <c r="G537" i="14"/>
  <c r="F747"/>
  <c r="G747" s="1"/>
  <c r="K876"/>
  <c r="H876"/>
  <c r="I876" s="1"/>
  <c r="K878"/>
  <c r="H878"/>
  <c r="I878" s="1"/>
  <c r="K877"/>
  <c r="H877"/>
  <c r="I877" s="1"/>
  <c r="K876" i="18"/>
  <c r="H876"/>
  <c r="I876" s="1"/>
  <c r="K878"/>
  <c r="H878"/>
  <c r="I878" s="1"/>
  <c r="K877"/>
  <c r="H877"/>
  <c r="I877" s="1"/>
  <c r="O878" i="12"/>
  <c r="L878"/>
  <c r="M878" s="1"/>
  <c r="O877"/>
  <c r="L877"/>
  <c r="M877" s="1"/>
  <c r="O876"/>
  <c r="L876"/>
  <c r="M876" s="1"/>
  <c r="M380" i="10"/>
  <c r="J380"/>
  <c r="K380" s="1"/>
  <c r="K328" i="18"/>
  <c r="H328"/>
  <c r="I328" s="1"/>
  <c r="K327"/>
  <c r="H327"/>
  <c r="I327" s="1"/>
  <c r="K271"/>
  <c r="H271"/>
  <c r="I271" s="1"/>
  <c r="K268"/>
  <c r="H268"/>
  <c r="I268" s="1"/>
  <c r="K237"/>
  <c r="H237"/>
  <c r="I237" s="1"/>
  <c r="K233"/>
  <c r="H233"/>
  <c r="I233" s="1"/>
  <c r="K214"/>
  <c r="H214"/>
  <c r="I214" s="1"/>
  <c r="K212"/>
  <c r="H212"/>
  <c r="I212" s="1"/>
  <c r="K211"/>
  <c r="H211"/>
  <c r="I211" s="1"/>
  <c r="K210"/>
  <c r="H210"/>
  <c r="I210" s="1"/>
  <c r="K208"/>
  <c r="H208"/>
  <c r="I208" s="1"/>
  <c r="K200"/>
  <c r="H200"/>
  <c r="I200" s="1"/>
  <c r="K190"/>
  <c r="H190"/>
  <c r="I190" s="1"/>
  <c r="K189"/>
  <c r="H189"/>
  <c r="I189" s="1"/>
  <c r="K186"/>
  <c r="H186"/>
  <c r="I186" s="1"/>
  <c r="K168"/>
  <c r="H168"/>
  <c r="I168" s="1"/>
  <c r="K163"/>
  <c r="H163"/>
  <c r="I163" s="1"/>
  <c r="K159"/>
  <c r="H159"/>
  <c r="I159" s="1"/>
  <c r="K157"/>
  <c r="H157"/>
  <c r="I157" s="1"/>
  <c r="K156"/>
  <c r="H156"/>
  <c r="I156" s="1"/>
  <c r="K155"/>
  <c r="H155"/>
  <c r="I155" s="1"/>
  <c r="K154"/>
  <c r="H154"/>
  <c r="I154" s="1"/>
  <c r="K153"/>
  <c r="H153"/>
  <c r="I153" s="1"/>
  <c r="K152"/>
  <c r="H152"/>
  <c r="I152" s="1"/>
  <c r="K151"/>
  <c r="H151"/>
  <c r="I151" s="1"/>
  <c r="K150"/>
  <c r="H150"/>
  <c r="I150" s="1"/>
  <c r="K148"/>
  <c r="H148"/>
  <c r="I148" s="1"/>
  <c r="K147"/>
  <c r="H147"/>
  <c r="I147" s="1"/>
  <c r="K145"/>
  <c r="H145"/>
  <c r="I145" s="1"/>
  <c r="K142"/>
  <c r="H142"/>
  <c r="I142" s="1"/>
  <c r="K140"/>
  <c r="H140"/>
  <c r="I140" s="1"/>
  <c r="K139"/>
  <c r="H139"/>
  <c r="I139" s="1"/>
  <c r="K135"/>
  <c r="H135"/>
  <c r="I135" s="1"/>
  <c r="K131"/>
  <c r="H131"/>
  <c r="I131" s="1"/>
  <c r="K129"/>
  <c r="H129"/>
  <c r="I129" s="1"/>
  <c r="K128"/>
  <c r="H128"/>
  <c r="I128" s="1"/>
  <c r="K126"/>
  <c r="H126"/>
  <c r="I126" s="1"/>
  <c r="K125"/>
  <c r="H125"/>
  <c r="I125" s="1"/>
  <c r="K123"/>
  <c r="H123"/>
  <c r="I123" s="1"/>
  <c r="K118"/>
  <c r="H118"/>
  <c r="I118" s="1"/>
  <c r="F384"/>
  <c r="G384" s="1"/>
  <c r="G116"/>
  <c r="O534" i="10"/>
  <c r="N534"/>
  <c r="M1143" i="11"/>
  <c r="L1143"/>
  <c r="M909"/>
  <c r="L909"/>
  <c r="K1201" i="18"/>
  <c r="H1201"/>
  <c r="I1201" s="1"/>
  <c r="K1200"/>
  <c r="H1200"/>
  <c r="I1200" s="1"/>
  <c r="K1199"/>
  <c r="H1199"/>
  <c r="I1199" s="1"/>
  <c r="K1198"/>
  <c r="H1198"/>
  <c r="I1198" s="1"/>
  <c r="K1197"/>
  <c r="H1197"/>
  <c r="I1197" s="1"/>
  <c r="K1196"/>
  <c r="H1196"/>
  <c r="I1196" s="1"/>
  <c r="K1195"/>
  <c r="H1195"/>
  <c r="I1195" s="1"/>
  <c r="K1194"/>
  <c r="H1194"/>
  <c r="I1194" s="1"/>
  <c r="K1193"/>
  <c r="H1193"/>
  <c r="I1193" s="1"/>
  <c r="K1192"/>
  <c r="H1192"/>
  <c r="I1192" s="1"/>
  <c r="K1190"/>
  <c r="H1190"/>
  <c r="I1190" s="1"/>
  <c r="K1189"/>
  <c r="H1189"/>
  <c r="I1189" s="1"/>
  <c r="K1188"/>
  <c r="H1188"/>
  <c r="I1188" s="1"/>
  <c r="K1187"/>
  <c r="H1187"/>
  <c r="I1187" s="1"/>
  <c r="K1186"/>
  <c r="H1186"/>
  <c r="I1186" s="1"/>
  <c r="K1185"/>
  <c r="H1185"/>
  <c r="I1185" s="1"/>
  <c r="K1184"/>
  <c r="H1184"/>
  <c r="I1184" s="1"/>
  <c r="K1183"/>
  <c r="H1183"/>
  <c r="I1183" s="1"/>
  <c r="K1182"/>
  <c r="H1182"/>
  <c r="I1182" s="1"/>
  <c r="K1181"/>
  <c r="H1181"/>
  <c r="I1181" s="1"/>
  <c r="K1180"/>
  <c r="H1180"/>
  <c r="I1180" s="1"/>
  <c r="K1164"/>
  <c r="H1164"/>
  <c r="I1164" s="1"/>
  <c r="K1163"/>
  <c r="H1163"/>
  <c r="I1163" s="1"/>
  <c r="G1162"/>
  <c r="F1202"/>
  <c r="G1202" s="1"/>
  <c r="M384" i="6"/>
  <c r="L384"/>
  <c r="O533" i="10"/>
  <c r="N533"/>
  <c r="O532"/>
  <c r="N532"/>
  <c r="O531"/>
  <c r="N531"/>
  <c r="O530"/>
  <c r="N530"/>
  <c r="O529"/>
  <c r="N529"/>
  <c r="O528"/>
  <c r="N528"/>
  <c r="O527"/>
  <c r="N527"/>
  <c r="O526"/>
  <c r="N526"/>
  <c r="O525"/>
  <c r="N525"/>
  <c r="O524"/>
  <c r="N524"/>
  <c r="O523"/>
  <c r="N523"/>
  <c r="O522"/>
  <c r="N522"/>
  <c r="O521"/>
  <c r="N521"/>
  <c r="O520"/>
  <c r="N520"/>
  <c r="O519"/>
  <c r="N519"/>
  <c r="O518"/>
  <c r="N518"/>
  <c r="O517"/>
  <c r="N517"/>
  <c r="O516"/>
  <c r="N516"/>
  <c r="O515"/>
  <c r="N515"/>
  <c r="O514"/>
  <c r="N514"/>
  <c r="O513"/>
  <c r="N513"/>
  <c r="O512"/>
  <c r="N512"/>
  <c r="O511"/>
  <c r="N511"/>
  <c r="O510"/>
  <c r="N510"/>
  <c r="O509"/>
  <c r="N509"/>
  <c r="O508"/>
  <c r="N508"/>
  <c r="O507"/>
  <c r="N507"/>
  <c r="O506"/>
  <c r="N506"/>
  <c r="O505"/>
  <c r="N505"/>
  <c r="O504"/>
  <c r="N504"/>
  <c r="O503"/>
  <c r="N503"/>
  <c r="O502"/>
  <c r="N502"/>
  <c r="O501"/>
  <c r="N501"/>
  <c r="O500"/>
  <c r="N500"/>
  <c r="O499"/>
  <c r="N499"/>
  <c r="O498"/>
  <c r="N498"/>
  <c r="O497"/>
  <c r="N497"/>
  <c r="O496"/>
  <c r="N496"/>
  <c r="O495"/>
  <c r="N495"/>
  <c r="O494"/>
  <c r="N494"/>
  <c r="O493"/>
  <c r="N493"/>
  <c r="O492"/>
  <c r="N492"/>
  <c r="O491"/>
  <c r="N491"/>
  <c r="O490"/>
  <c r="N490"/>
  <c r="O489"/>
  <c r="N489"/>
  <c r="O488"/>
  <c r="N488"/>
  <c r="O487"/>
  <c r="N487"/>
  <c r="O486"/>
  <c r="N486"/>
  <c r="O485"/>
  <c r="N485"/>
  <c r="O484"/>
  <c r="N484"/>
  <c r="O483"/>
  <c r="N483"/>
  <c r="O482"/>
  <c r="N482"/>
  <c r="O481"/>
  <c r="N481"/>
  <c r="O480"/>
  <c r="N480"/>
  <c r="O479"/>
  <c r="N479"/>
  <c r="O478"/>
  <c r="N478"/>
  <c r="O477"/>
  <c r="N477"/>
  <c r="O476"/>
  <c r="N476"/>
  <c r="O475"/>
  <c r="N475"/>
  <c r="O474"/>
  <c r="N474"/>
  <c r="O473"/>
  <c r="N473"/>
  <c r="O472"/>
  <c r="N472"/>
  <c r="O471"/>
  <c r="N471"/>
  <c r="O470"/>
  <c r="N470"/>
  <c r="O469"/>
  <c r="N469"/>
  <c r="O468"/>
  <c r="N468"/>
  <c r="O467"/>
  <c r="N467"/>
  <c r="O466"/>
  <c r="N466"/>
  <c r="O465"/>
  <c r="N465"/>
  <c r="O464"/>
  <c r="N464"/>
  <c r="O463"/>
  <c r="N463"/>
  <c r="O462"/>
  <c r="N462"/>
  <c r="O461"/>
  <c r="N461"/>
  <c r="O460"/>
  <c r="N460"/>
  <c r="O459"/>
  <c r="N459"/>
  <c r="O458"/>
  <c r="N458"/>
  <c r="O457"/>
  <c r="N457"/>
  <c r="O456"/>
  <c r="N456"/>
  <c r="O455"/>
  <c r="N455"/>
  <c r="O454"/>
  <c r="N454"/>
  <c r="O453"/>
  <c r="N453"/>
  <c r="O452"/>
  <c r="N452"/>
  <c r="O451"/>
  <c r="N451"/>
  <c r="O450"/>
  <c r="N450"/>
  <c r="O449"/>
  <c r="N449"/>
  <c r="O448"/>
  <c r="N448"/>
  <c r="O447"/>
  <c r="N447"/>
  <c r="O446"/>
  <c r="N446"/>
  <c r="O445"/>
  <c r="N445"/>
  <c r="O444"/>
  <c r="N444"/>
  <c r="O443"/>
  <c r="N443"/>
  <c r="O442"/>
  <c r="N442"/>
  <c r="O441"/>
  <c r="N441"/>
  <c r="O440"/>
  <c r="N440"/>
  <c r="O439"/>
  <c r="N439"/>
  <c r="O438"/>
  <c r="N438"/>
  <c r="O437"/>
  <c r="N437"/>
  <c r="O436"/>
  <c r="N436"/>
  <c r="O435"/>
  <c r="N435"/>
  <c r="O434"/>
  <c r="N434"/>
  <c r="O433"/>
  <c r="N433"/>
  <c r="O432"/>
  <c r="N432"/>
  <c r="O431"/>
  <c r="N431"/>
  <c r="O430"/>
  <c r="N430"/>
  <c r="O429"/>
  <c r="N429"/>
  <c r="O428"/>
  <c r="N428"/>
  <c r="O427"/>
  <c r="N427"/>
  <c r="O426"/>
  <c r="N426"/>
  <c r="O425"/>
  <c r="N425"/>
  <c r="O424"/>
  <c r="N424"/>
  <c r="O423"/>
  <c r="N423"/>
  <c r="O422"/>
  <c r="N422"/>
  <c r="O421"/>
  <c r="N421"/>
  <c r="O420"/>
  <c r="N420"/>
  <c r="O419"/>
  <c r="N419"/>
  <c r="O418"/>
  <c r="N418"/>
  <c r="O417"/>
  <c r="N417"/>
  <c r="O416"/>
  <c r="N416"/>
  <c r="O415"/>
  <c r="N415"/>
  <c r="O414"/>
  <c r="N414"/>
  <c r="O413"/>
  <c r="N413"/>
  <c r="O412"/>
  <c r="N412"/>
  <c r="O411"/>
  <c r="N411"/>
  <c r="O410"/>
  <c r="N410"/>
  <c r="O409"/>
  <c r="N409"/>
  <c r="O408"/>
  <c r="N408"/>
  <c r="O407"/>
  <c r="N407"/>
  <c r="O406"/>
  <c r="N406"/>
  <c r="O405"/>
  <c r="N405"/>
  <c r="O404"/>
  <c r="N404"/>
  <c r="O403"/>
  <c r="N403"/>
  <c r="O402"/>
  <c r="N402"/>
  <c r="O401"/>
  <c r="N401"/>
  <c r="O400"/>
  <c r="N400"/>
  <c r="O399"/>
  <c r="N399"/>
  <c r="O398"/>
  <c r="N398"/>
  <c r="O397"/>
  <c r="N397"/>
  <c r="O396"/>
  <c r="N396"/>
  <c r="O395"/>
  <c r="N395"/>
  <c r="O394"/>
  <c r="N394"/>
  <c r="O393"/>
  <c r="N393"/>
  <c r="O392"/>
  <c r="N392"/>
  <c r="O391"/>
  <c r="N391"/>
  <c r="O390"/>
  <c r="N390"/>
  <c r="O389"/>
  <c r="N389"/>
  <c r="O388"/>
  <c r="N388"/>
  <c r="O387"/>
  <c r="N387"/>
  <c r="O386"/>
  <c r="N386"/>
  <c r="M535"/>
  <c r="O1145"/>
  <c r="N1145"/>
  <c r="O1144"/>
  <c r="N1144"/>
  <c r="O1143"/>
  <c r="N1143"/>
  <c r="O1142"/>
  <c r="N1142"/>
  <c r="O1141"/>
  <c r="N1141"/>
  <c r="O1140"/>
  <c r="N1140"/>
  <c r="O1139"/>
  <c r="N1139"/>
  <c r="O1138"/>
  <c r="N1138"/>
  <c r="O1137"/>
  <c r="N1137"/>
  <c r="O1136"/>
  <c r="N1136"/>
  <c r="O1135"/>
  <c r="N1135"/>
  <c r="O1134"/>
  <c r="N1134"/>
  <c r="O1133"/>
  <c r="N1133"/>
  <c r="O1132"/>
  <c r="N1132"/>
  <c r="O1131"/>
  <c r="N1131"/>
  <c r="O1130"/>
  <c r="N1130"/>
  <c r="O1129"/>
  <c r="N1129"/>
  <c r="O1128"/>
  <c r="N1128"/>
  <c r="O1127"/>
  <c r="N1127"/>
  <c r="O1126"/>
  <c r="N1126"/>
  <c r="O1125"/>
  <c r="N1125"/>
  <c r="O1124"/>
  <c r="N1124"/>
  <c r="O1123"/>
  <c r="N1123"/>
  <c r="O1122"/>
  <c r="N1122"/>
  <c r="O1121"/>
  <c r="N1121"/>
  <c r="O1120"/>
  <c r="N1120"/>
  <c r="O1119"/>
  <c r="N1119"/>
  <c r="O1118"/>
  <c r="N1118"/>
  <c r="O1117"/>
  <c r="N1117"/>
  <c r="O1116"/>
  <c r="N1116"/>
  <c r="O1115"/>
  <c r="N1115"/>
  <c r="O1114"/>
  <c r="N1114"/>
  <c r="O1113"/>
  <c r="N1113"/>
  <c r="O1112"/>
  <c r="N1112"/>
  <c r="O1111"/>
  <c r="N1111"/>
  <c r="O1110"/>
  <c r="N1110"/>
  <c r="O1109"/>
  <c r="N1109"/>
  <c r="O1108"/>
  <c r="N1108"/>
  <c r="O1107"/>
  <c r="N1107"/>
  <c r="O1106"/>
  <c r="N1106"/>
  <c r="O1105"/>
  <c r="N1105"/>
  <c r="O1104"/>
  <c r="N1104"/>
  <c r="O1103"/>
  <c r="N1103"/>
  <c r="O1102"/>
  <c r="N1102"/>
  <c r="O1101"/>
  <c r="N1101"/>
  <c r="O1100"/>
  <c r="N1100"/>
  <c r="O1099"/>
  <c r="N1099"/>
  <c r="O1098"/>
  <c r="N1098"/>
  <c r="O1097"/>
  <c r="N1097"/>
  <c r="O1096"/>
  <c r="N1096"/>
  <c r="O1095"/>
  <c r="N1095"/>
  <c r="O1094"/>
  <c r="N1094"/>
  <c r="O1093"/>
  <c r="N1093"/>
  <c r="O1092"/>
  <c r="N1092"/>
  <c r="O1091"/>
  <c r="N1091"/>
  <c r="O1090"/>
  <c r="N1090"/>
  <c r="O1089"/>
  <c r="N1089"/>
  <c r="O1088"/>
  <c r="N1088"/>
  <c r="O1087"/>
  <c r="N1087"/>
  <c r="O1086"/>
  <c r="N1086"/>
  <c r="O1085"/>
  <c r="N1085"/>
  <c r="O1084"/>
  <c r="N1084"/>
  <c r="O1083"/>
  <c r="N1083"/>
  <c r="O1082"/>
  <c r="N1082"/>
  <c r="O1081"/>
  <c r="N1081"/>
  <c r="O1080"/>
  <c r="N1080"/>
  <c r="O1079"/>
  <c r="N1079"/>
  <c r="O1078"/>
  <c r="N1078"/>
  <c r="O1077"/>
  <c r="N1077"/>
  <c r="O1076"/>
  <c r="N1076"/>
  <c r="O1075"/>
  <c r="N1075"/>
  <c r="O1074"/>
  <c r="N1074"/>
  <c r="O1073"/>
  <c r="N1073"/>
  <c r="O1072"/>
  <c r="N1072"/>
  <c r="O1071"/>
  <c r="N1071"/>
  <c r="O1070"/>
  <c r="N1070"/>
  <c r="O1069"/>
  <c r="N1069"/>
  <c r="O1068"/>
  <c r="N1068"/>
  <c r="O1067"/>
  <c r="N1067"/>
  <c r="O1066"/>
  <c r="N1066"/>
  <c r="O1065"/>
  <c r="N1065"/>
  <c r="O1064"/>
  <c r="N1064"/>
  <c r="O1063"/>
  <c r="N1063"/>
  <c r="O1062"/>
  <c r="N1062"/>
  <c r="O1061"/>
  <c r="N1061"/>
  <c r="O1060"/>
  <c r="N1060"/>
  <c r="O1059"/>
  <c r="N1059"/>
  <c r="O1058"/>
  <c r="N1058"/>
  <c r="O1057"/>
  <c r="N1057"/>
  <c r="O1056"/>
  <c r="N1056"/>
  <c r="O1055"/>
  <c r="N1055"/>
  <c r="O1054"/>
  <c r="N1054"/>
  <c r="O1053"/>
  <c r="N1053"/>
  <c r="O1052"/>
  <c r="N1052"/>
  <c r="O1051"/>
  <c r="N1051"/>
  <c r="O1050"/>
  <c r="N1050"/>
  <c r="O1049"/>
  <c r="N1049"/>
  <c r="O1048"/>
  <c r="N1048"/>
  <c r="O1047"/>
  <c r="N1047"/>
  <c r="O1046"/>
  <c r="N1046"/>
  <c r="O1045"/>
  <c r="N1045"/>
  <c r="O1044"/>
  <c r="N1044"/>
  <c r="O1043"/>
  <c r="N1043"/>
  <c r="O1042"/>
  <c r="N1042"/>
  <c r="O1041"/>
  <c r="N1041"/>
  <c r="O1040"/>
  <c r="N1040"/>
  <c r="O1039"/>
  <c r="N1039"/>
  <c r="O1038"/>
  <c r="N1038"/>
  <c r="O1037"/>
  <c r="N1037"/>
  <c r="O1036"/>
  <c r="N1036"/>
  <c r="O1035"/>
  <c r="N1035"/>
  <c r="O1034"/>
  <c r="N1034"/>
  <c r="O1033"/>
  <c r="N1033"/>
  <c r="O1032"/>
  <c r="N1032"/>
  <c r="O1031"/>
  <c r="N1031"/>
  <c r="O1030"/>
  <c r="N1030"/>
  <c r="O1029"/>
  <c r="N1029"/>
  <c r="O1028"/>
  <c r="N1028"/>
  <c r="O1027"/>
  <c r="N1027"/>
  <c r="O1026"/>
  <c r="N1026"/>
  <c r="O1025"/>
  <c r="N1025"/>
  <c r="O1024"/>
  <c r="N1024"/>
  <c r="O1023"/>
  <c r="N1023"/>
  <c r="O1022"/>
  <c r="N1022"/>
  <c r="O1021"/>
  <c r="N1021"/>
  <c r="O1020"/>
  <c r="N1020"/>
  <c r="O1019"/>
  <c r="N1019"/>
  <c r="O1018"/>
  <c r="N1018"/>
  <c r="O1017"/>
  <c r="N1017"/>
  <c r="O1016"/>
  <c r="N1016"/>
  <c r="O1015"/>
  <c r="N1015"/>
  <c r="O1014"/>
  <c r="N1014"/>
  <c r="O1013"/>
  <c r="N1013"/>
  <c r="O1012"/>
  <c r="N1012"/>
  <c r="O1011"/>
  <c r="N1011"/>
  <c r="O1010"/>
  <c r="N1010"/>
  <c r="O1009"/>
  <c r="N1009"/>
  <c r="O1008"/>
  <c r="N1008"/>
  <c r="O1007"/>
  <c r="N1007"/>
  <c r="O1006"/>
  <c r="N1006"/>
  <c r="O1005"/>
  <c r="N1005"/>
  <c r="O1004"/>
  <c r="N1004"/>
  <c r="O1003"/>
  <c r="N1003"/>
  <c r="O1002"/>
  <c r="N1002"/>
  <c r="O1001"/>
  <c r="N1001"/>
  <c r="O1000"/>
  <c r="N1000"/>
  <c r="O999"/>
  <c r="N999"/>
  <c r="O998"/>
  <c r="N998"/>
  <c r="O997"/>
  <c r="N997"/>
  <c r="O996"/>
  <c r="N996"/>
  <c r="O995"/>
  <c r="N995"/>
  <c r="O994"/>
  <c r="N994"/>
  <c r="O993"/>
  <c r="N993"/>
  <c r="O992"/>
  <c r="N992"/>
  <c r="O991"/>
  <c r="N991"/>
  <c r="O990"/>
  <c r="N990"/>
  <c r="O989"/>
  <c r="N989"/>
  <c r="O988"/>
  <c r="N988"/>
  <c r="O987"/>
  <c r="N987"/>
  <c r="O986"/>
  <c r="N986"/>
  <c r="O985"/>
  <c r="N985"/>
  <c r="O984"/>
  <c r="N984"/>
  <c r="O983"/>
  <c r="N983"/>
  <c r="O982"/>
  <c r="N982"/>
  <c r="O981"/>
  <c r="N981"/>
  <c r="O980"/>
  <c r="N980"/>
  <c r="O979"/>
  <c r="N979"/>
  <c r="O978"/>
  <c r="N978"/>
  <c r="O977"/>
  <c r="N977"/>
  <c r="O976"/>
  <c r="N976"/>
  <c r="O975"/>
  <c r="N975"/>
  <c r="O974"/>
  <c r="N974"/>
  <c r="O973"/>
  <c r="N973"/>
  <c r="O972"/>
  <c r="N972"/>
  <c r="O971"/>
  <c r="N971"/>
  <c r="O970"/>
  <c r="N970"/>
  <c r="O969"/>
  <c r="N969"/>
  <c r="O968"/>
  <c r="N968"/>
  <c r="O967"/>
  <c r="N967"/>
  <c r="O966"/>
  <c r="N966"/>
  <c r="O965"/>
  <c r="N965"/>
  <c r="O964"/>
  <c r="N964"/>
  <c r="O963"/>
  <c r="N963"/>
  <c r="O962"/>
  <c r="N962"/>
  <c r="O961"/>
  <c r="N961"/>
  <c r="O960"/>
  <c r="N960"/>
  <c r="O959"/>
  <c r="N959"/>
  <c r="O958"/>
  <c r="N958"/>
  <c r="O957"/>
  <c r="N957"/>
  <c r="O956"/>
  <c r="N956"/>
  <c r="O955"/>
  <c r="N955"/>
  <c r="O954"/>
  <c r="N954"/>
  <c r="O953"/>
  <c r="N953"/>
  <c r="O952"/>
  <c r="N952"/>
  <c r="O951"/>
  <c r="N951"/>
  <c r="O950"/>
  <c r="N950"/>
  <c r="O949"/>
  <c r="N949"/>
  <c r="O948"/>
  <c r="N948"/>
  <c r="O947"/>
  <c r="N947"/>
  <c r="O946"/>
  <c r="N946"/>
  <c r="O945"/>
  <c r="N945"/>
  <c r="O944"/>
  <c r="N944"/>
  <c r="O943"/>
  <c r="N943"/>
  <c r="O942"/>
  <c r="N942"/>
  <c r="O941"/>
  <c r="N941"/>
  <c r="O940"/>
  <c r="N940"/>
  <c r="O939"/>
  <c r="N939"/>
  <c r="O938"/>
  <c r="N938"/>
  <c r="O937"/>
  <c r="N937"/>
  <c r="O936"/>
  <c r="N936"/>
  <c r="O935"/>
  <c r="N935"/>
  <c r="O934"/>
  <c r="N934"/>
  <c r="O933"/>
  <c r="N933"/>
  <c r="O932"/>
  <c r="N932"/>
  <c r="O931"/>
  <c r="N931"/>
  <c r="O930"/>
  <c r="N930"/>
  <c r="O929"/>
  <c r="N929"/>
  <c r="O928"/>
  <c r="N928"/>
  <c r="O927"/>
  <c r="N927"/>
  <c r="O926"/>
  <c r="N926"/>
  <c r="O925"/>
  <c r="N925"/>
  <c r="O924"/>
  <c r="N924"/>
  <c r="O923"/>
  <c r="N923"/>
  <c r="O922"/>
  <c r="N922"/>
  <c r="O921"/>
  <c r="N921"/>
  <c r="O920"/>
  <c r="N920"/>
  <c r="O919"/>
  <c r="N919"/>
  <c r="O918"/>
  <c r="N918"/>
  <c r="O917"/>
  <c r="N917"/>
  <c r="O916"/>
  <c r="N916"/>
  <c r="O915"/>
  <c r="N915"/>
  <c r="O914"/>
  <c r="N914"/>
  <c r="O913"/>
  <c r="N913"/>
  <c r="O912"/>
  <c r="N912"/>
  <c r="O911"/>
  <c r="N911"/>
  <c r="O910"/>
  <c r="N910"/>
  <c r="O909"/>
  <c r="N909"/>
  <c r="O908"/>
  <c r="N908"/>
  <c r="O907"/>
  <c r="N907"/>
  <c r="O906"/>
  <c r="N906"/>
  <c r="O905"/>
  <c r="N905"/>
  <c r="O904"/>
  <c r="N904"/>
  <c r="O903"/>
  <c r="N903"/>
  <c r="O902"/>
  <c r="N902"/>
  <c r="O901"/>
  <c r="N901"/>
  <c r="O900"/>
  <c r="N900"/>
  <c r="O899"/>
  <c r="N899"/>
  <c r="O898"/>
  <c r="N898"/>
  <c r="O897"/>
  <c r="N897"/>
  <c r="O896"/>
  <c r="N896"/>
  <c r="O895"/>
  <c r="N895"/>
  <c r="O894"/>
  <c r="N894"/>
  <c r="O893"/>
  <c r="N893"/>
  <c r="O892"/>
  <c r="N892"/>
  <c r="O891"/>
  <c r="N891"/>
  <c r="O890"/>
  <c r="N890"/>
  <c r="O889"/>
  <c r="N889"/>
  <c r="O888"/>
  <c r="N888"/>
  <c r="O887"/>
  <c r="N887"/>
  <c r="O886"/>
  <c r="N886"/>
  <c r="O885"/>
  <c r="N885"/>
  <c r="O884"/>
  <c r="N884"/>
  <c r="O883"/>
  <c r="N883"/>
  <c r="O882"/>
  <c r="N882"/>
  <c r="O881"/>
  <c r="N881"/>
  <c r="O1229" i="12"/>
  <c r="L1229"/>
  <c r="M1229" s="1"/>
  <c r="O1228"/>
  <c r="L1228"/>
  <c r="M1228" s="1"/>
  <c r="O1227"/>
  <c r="L1227"/>
  <c r="M1227" s="1"/>
  <c r="O1226"/>
  <c r="L1226"/>
  <c r="M1226" s="1"/>
  <c r="O1225"/>
  <c r="L1225"/>
  <c r="M1225" s="1"/>
  <c r="O1224"/>
  <c r="L1224"/>
  <c r="M1224" s="1"/>
  <c r="O1223"/>
  <c r="L1223"/>
  <c r="M1223" s="1"/>
  <c r="O1221"/>
  <c r="L1221"/>
  <c r="M1221" s="1"/>
  <c r="O1220"/>
  <c r="L1220"/>
  <c r="M1220" s="1"/>
  <c r="O1219"/>
  <c r="L1219"/>
  <c r="M1219" s="1"/>
  <c r="O1218"/>
  <c r="L1218"/>
  <c r="M1218" s="1"/>
  <c r="O1217"/>
  <c r="L1217"/>
  <c r="M1217" s="1"/>
  <c r="O1216"/>
  <c r="L1216"/>
  <c r="M1216" s="1"/>
  <c r="O1215"/>
  <c r="L1215"/>
  <c r="M1215" s="1"/>
  <c r="O1214"/>
  <c r="L1214"/>
  <c r="M1214" s="1"/>
  <c r="O1213"/>
  <c r="L1213"/>
  <c r="M1213" s="1"/>
  <c r="O1212"/>
  <c r="L1212"/>
  <c r="M1212" s="1"/>
  <c r="O1211"/>
  <c r="L1211"/>
  <c r="M1211" s="1"/>
  <c r="O1210"/>
  <c r="L1210"/>
  <c r="M1210" s="1"/>
  <c r="O1209"/>
  <c r="L1209"/>
  <c r="M1209" s="1"/>
  <c r="O1208"/>
  <c r="L1208"/>
  <c r="M1208" s="1"/>
  <c r="O1207"/>
  <c r="L1207"/>
  <c r="M1207" s="1"/>
  <c r="O1206"/>
  <c r="L1206"/>
  <c r="M1206" s="1"/>
  <c r="O1205"/>
  <c r="L1205"/>
  <c r="M1205" s="1"/>
  <c r="K1204"/>
  <c r="J1232"/>
  <c r="K1232" s="1"/>
  <c r="O1201" i="17"/>
  <c r="L1201"/>
  <c r="M1201" s="1"/>
  <c r="O1200"/>
  <c r="L1200"/>
  <c r="M1200" s="1"/>
  <c r="O1199"/>
  <c r="L1199"/>
  <c r="M1199" s="1"/>
  <c r="O1198"/>
  <c r="L1198"/>
  <c r="M1198" s="1"/>
  <c r="O1197"/>
  <c r="L1197"/>
  <c r="M1197" s="1"/>
  <c r="O1196"/>
  <c r="L1196"/>
  <c r="M1196" s="1"/>
  <c r="O1195"/>
  <c r="L1195"/>
  <c r="M1195" s="1"/>
  <c r="O1194"/>
  <c r="L1194"/>
  <c r="M1194" s="1"/>
  <c r="O1193"/>
  <c r="L1193"/>
  <c r="M1193" s="1"/>
  <c r="O1192"/>
  <c r="L1192"/>
  <c r="M1192" s="1"/>
  <c r="O1191"/>
  <c r="L1191"/>
  <c r="M1191" s="1"/>
  <c r="O1190"/>
  <c r="L1190"/>
  <c r="M1190" s="1"/>
  <c r="O1189"/>
  <c r="L1189"/>
  <c r="M1189" s="1"/>
  <c r="O1188"/>
  <c r="L1188"/>
  <c r="M1188" s="1"/>
  <c r="O1187"/>
  <c r="L1187"/>
  <c r="M1187" s="1"/>
  <c r="O1186"/>
  <c r="L1186"/>
  <c r="M1186" s="1"/>
  <c r="O1185"/>
  <c r="L1185"/>
  <c r="M1185" s="1"/>
  <c r="O1184"/>
  <c r="L1184"/>
  <c r="M1184" s="1"/>
  <c r="O1183"/>
  <c r="L1183"/>
  <c r="M1183" s="1"/>
  <c r="O1182"/>
  <c r="L1182"/>
  <c r="M1182" s="1"/>
  <c r="O1181"/>
  <c r="L1181"/>
  <c r="M1181" s="1"/>
  <c r="O1180"/>
  <c r="L1180"/>
  <c r="M1180" s="1"/>
  <c r="O1179"/>
  <c r="L1179"/>
  <c r="M1179" s="1"/>
  <c r="O1178"/>
  <c r="L1178"/>
  <c r="M1178" s="1"/>
  <c r="O1177"/>
  <c r="L1177"/>
  <c r="M1177" s="1"/>
  <c r="O1176"/>
  <c r="L1176"/>
  <c r="M1176" s="1"/>
  <c r="O1175"/>
  <c r="L1175"/>
  <c r="M1175" s="1"/>
  <c r="O1174"/>
  <c r="L1174"/>
  <c r="M1174" s="1"/>
  <c r="O1173"/>
  <c r="L1173"/>
  <c r="M1173" s="1"/>
  <c r="O1172"/>
  <c r="L1172"/>
  <c r="M1172" s="1"/>
  <c r="O1171"/>
  <c r="L1171"/>
  <c r="M1171" s="1"/>
  <c r="O1170"/>
  <c r="L1170"/>
  <c r="M1170" s="1"/>
  <c r="O1169"/>
  <c r="L1169"/>
  <c r="M1169" s="1"/>
  <c r="O1168"/>
  <c r="L1168"/>
  <c r="M1168" s="1"/>
  <c r="O1167"/>
  <c r="L1167"/>
  <c r="M1167" s="1"/>
  <c r="O1166"/>
  <c r="L1166"/>
  <c r="M1166" s="1"/>
  <c r="O1165"/>
  <c r="L1165"/>
  <c r="M1165" s="1"/>
  <c r="O1164"/>
  <c r="L1164"/>
  <c r="M1164" s="1"/>
  <c r="O1163"/>
  <c r="L1163"/>
  <c r="M1163" s="1"/>
  <c r="O1162"/>
  <c r="L1162"/>
  <c r="M1162" s="1"/>
  <c r="O1161"/>
  <c r="L1161"/>
  <c r="M1161" s="1"/>
  <c r="O1160"/>
  <c r="L1160"/>
  <c r="M1160" s="1"/>
  <c r="O1159"/>
  <c r="L1159"/>
  <c r="M1159" s="1"/>
  <c r="O1158"/>
  <c r="L1158"/>
  <c r="M1158" s="1"/>
  <c r="O1157"/>
  <c r="L1157"/>
  <c r="M1157" s="1"/>
  <c r="O1156"/>
  <c r="L1156"/>
  <c r="M1156" s="1"/>
  <c r="O1155"/>
  <c r="L1155"/>
  <c r="M1155" s="1"/>
  <c r="O1154"/>
  <c r="L1154"/>
  <c r="M1154" s="1"/>
  <c r="O1153"/>
  <c r="L1153"/>
  <c r="M1153" s="1"/>
  <c r="O1152"/>
  <c r="L1152"/>
  <c r="M1152" s="1"/>
  <c r="O1151"/>
  <c r="L1151"/>
  <c r="M1151" s="1"/>
  <c r="O1150"/>
  <c r="L1150"/>
  <c r="M1150" s="1"/>
  <c r="O1149"/>
  <c r="L1149"/>
  <c r="M1149" s="1"/>
  <c r="K1148"/>
  <c r="J1202"/>
  <c r="K1202" s="1"/>
  <c r="O878"/>
  <c r="L878"/>
  <c r="M878" s="1"/>
  <c r="O877"/>
  <c r="L877"/>
  <c r="M877" s="1"/>
  <c r="O876"/>
  <c r="L876"/>
  <c r="M876" s="1"/>
  <c r="O875"/>
  <c r="L875"/>
  <c r="M875" s="1"/>
  <c r="O875" i="12"/>
  <c r="L875"/>
  <c r="M875" s="1"/>
  <c r="O874" i="17"/>
  <c r="L874"/>
  <c r="M874" s="1"/>
  <c r="O874" i="12"/>
  <c r="L874"/>
  <c r="M874" s="1"/>
  <c r="O873" i="17"/>
  <c r="L873"/>
  <c r="M873" s="1"/>
  <c r="O873" i="12"/>
  <c r="L873"/>
  <c r="M873" s="1"/>
  <c r="O872" i="17"/>
  <c r="L872"/>
  <c r="M872" s="1"/>
  <c r="O872" i="12"/>
  <c r="L872"/>
  <c r="M872" s="1"/>
  <c r="O871" i="17"/>
  <c r="L871"/>
  <c r="M871" s="1"/>
  <c r="O871" i="12"/>
  <c r="L871"/>
  <c r="M871" s="1"/>
  <c r="O870" i="17"/>
  <c r="L870"/>
  <c r="M870" s="1"/>
  <c r="O870" i="12"/>
  <c r="L870"/>
  <c r="M870" s="1"/>
  <c r="O869" i="17"/>
  <c r="L869"/>
  <c r="M869" s="1"/>
  <c r="O869" i="12"/>
  <c r="L869"/>
  <c r="M869" s="1"/>
  <c r="O868" i="17"/>
  <c r="L868"/>
  <c r="M868" s="1"/>
  <c r="O868" i="12"/>
  <c r="L868"/>
  <c r="M868" s="1"/>
  <c r="O867" i="17"/>
  <c r="L867"/>
  <c r="M867" s="1"/>
  <c r="O867" i="12"/>
  <c r="L867"/>
  <c r="M867" s="1"/>
  <c r="O866" i="17"/>
  <c r="L866"/>
  <c r="M866" s="1"/>
  <c r="O866" i="12"/>
  <c r="L866"/>
  <c r="M866" s="1"/>
  <c r="O865" i="17"/>
  <c r="L865"/>
  <c r="M865" s="1"/>
  <c r="O865" i="12"/>
  <c r="L865"/>
  <c r="M865" s="1"/>
  <c r="O864" i="17"/>
  <c r="L864"/>
  <c r="M864" s="1"/>
  <c r="O864" i="12"/>
  <c r="L864"/>
  <c r="M864" s="1"/>
  <c r="O863" i="17"/>
  <c r="L863"/>
  <c r="M863" s="1"/>
  <c r="O863" i="12"/>
  <c r="L863"/>
  <c r="M863" s="1"/>
  <c r="O862" i="17"/>
  <c r="L862"/>
  <c r="M862" s="1"/>
  <c r="O862" i="12"/>
  <c r="L862"/>
  <c r="M862" s="1"/>
  <c r="O861" i="17"/>
  <c r="L861"/>
  <c r="M861" s="1"/>
  <c r="O861" i="12"/>
  <c r="L861"/>
  <c r="M861" s="1"/>
  <c r="O860" i="17"/>
  <c r="L860"/>
  <c r="M860" s="1"/>
  <c r="O860" i="12"/>
  <c r="L860"/>
  <c r="M860" s="1"/>
  <c r="O859" i="17"/>
  <c r="L859"/>
  <c r="M859" s="1"/>
  <c r="O859" i="12"/>
  <c r="L859"/>
  <c r="M859" s="1"/>
  <c r="O858" i="17"/>
  <c r="L858"/>
  <c r="M858" s="1"/>
  <c r="O858" i="12"/>
  <c r="L858"/>
  <c r="M858" s="1"/>
  <c r="O857" i="17"/>
  <c r="L857"/>
  <c r="M857" s="1"/>
  <c r="O857" i="12"/>
  <c r="L857"/>
  <c r="M857" s="1"/>
  <c r="O856" i="17"/>
  <c r="L856"/>
  <c r="M856" s="1"/>
  <c r="O856" i="12"/>
  <c r="L856"/>
  <c r="M856" s="1"/>
  <c r="O855" i="17"/>
  <c r="L855"/>
  <c r="M855" s="1"/>
  <c r="O855" i="12"/>
  <c r="L855"/>
  <c r="M855" s="1"/>
  <c r="O854" i="17"/>
  <c r="L854"/>
  <c r="M854" s="1"/>
  <c r="O854" i="12"/>
  <c r="L854"/>
  <c r="M854" s="1"/>
  <c r="O853" i="17"/>
  <c r="L853"/>
  <c r="M853" s="1"/>
  <c r="O853" i="12"/>
  <c r="L853"/>
  <c r="M853" s="1"/>
  <c r="O852" i="17"/>
  <c r="L852"/>
  <c r="M852" s="1"/>
  <c r="O852" i="12"/>
  <c r="L852"/>
  <c r="M852" s="1"/>
  <c r="O851" i="17"/>
  <c r="L851"/>
  <c r="M851" s="1"/>
  <c r="O851" i="12"/>
  <c r="L851"/>
  <c r="M851" s="1"/>
  <c r="O850" i="17"/>
  <c r="L850"/>
  <c r="M850" s="1"/>
  <c r="O850" i="12"/>
  <c r="L850"/>
  <c r="M850" s="1"/>
  <c r="O849" i="17"/>
  <c r="L849"/>
  <c r="M849" s="1"/>
  <c r="O849" i="12"/>
  <c r="L849"/>
  <c r="M849" s="1"/>
  <c r="O848" i="17"/>
  <c r="L848"/>
  <c r="M848" s="1"/>
  <c r="O848" i="12"/>
  <c r="L848"/>
  <c r="M848" s="1"/>
  <c r="O847" i="17"/>
  <c r="L847"/>
  <c r="M847" s="1"/>
  <c r="O847" i="12"/>
  <c r="L847"/>
  <c r="M847" s="1"/>
  <c r="O846" i="17"/>
  <c r="L846"/>
  <c r="M846" s="1"/>
  <c r="O846" i="12"/>
  <c r="L846"/>
  <c r="M846" s="1"/>
  <c r="O845" i="17"/>
  <c r="L845"/>
  <c r="M845" s="1"/>
  <c r="O845" i="12"/>
  <c r="L845"/>
  <c r="M845" s="1"/>
  <c r="O844" i="17"/>
  <c r="L844"/>
  <c r="M844" s="1"/>
  <c r="O844" i="12"/>
  <c r="L844"/>
  <c r="M844" s="1"/>
  <c r="O843" i="17"/>
  <c r="L843"/>
  <c r="M843" s="1"/>
  <c r="O843" i="12"/>
  <c r="L843"/>
  <c r="M843" s="1"/>
  <c r="O842" i="17"/>
  <c r="L842"/>
  <c r="M842" s="1"/>
  <c r="O842" i="12"/>
  <c r="L842"/>
  <c r="M842" s="1"/>
  <c r="O841" i="17"/>
  <c r="L841"/>
  <c r="M841" s="1"/>
  <c r="O841" i="12"/>
  <c r="L841"/>
  <c r="M841" s="1"/>
  <c r="O840" i="17"/>
  <c r="L840"/>
  <c r="M840" s="1"/>
  <c r="O840" i="12"/>
  <c r="L840"/>
  <c r="M840" s="1"/>
  <c r="O839" i="17"/>
  <c r="L839"/>
  <c r="M839" s="1"/>
  <c r="O839" i="12"/>
  <c r="L839"/>
  <c r="M839" s="1"/>
  <c r="O838" i="17"/>
  <c r="L838"/>
  <c r="M838" s="1"/>
  <c r="O838" i="12"/>
  <c r="L838"/>
  <c r="M838" s="1"/>
  <c r="O837" i="17"/>
  <c r="L837"/>
  <c r="M837" s="1"/>
  <c r="O837" i="12"/>
  <c r="L837"/>
  <c r="M837" s="1"/>
  <c r="O836" i="17"/>
  <c r="L836"/>
  <c r="M836" s="1"/>
  <c r="O836" i="12"/>
  <c r="L836"/>
  <c r="M836" s="1"/>
  <c r="O835" i="17"/>
  <c r="L835"/>
  <c r="M835" s="1"/>
  <c r="O835" i="12"/>
  <c r="L835"/>
  <c r="M835" s="1"/>
  <c r="O834" i="17"/>
  <c r="L834"/>
  <c r="M834" s="1"/>
  <c r="O834" i="12"/>
  <c r="L834"/>
  <c r="M834" s="1"/>
  <c r="O833"/>
  <c r="L833"/>
  <c r="M833" s="1"/>
  <c r="O833" i="17"/>
  <c r="L833"/>
  <c r="M833" s="1"/>
  <c r="O832"/>
  <c r="L832"/>
  <c r="M832" s="1"/>
  <c r="O832" i="12"/>
  <c r="L832"/>
  <c r="M832" s="1"/>
  <c r="O831" i="17"/>
  <c r="L831"/>
  <c r="M831" s="1"/>
  <c r="O831" i="12"/>
  <c r="L831"/>
  <c r="M831" s="1"/>
  <c r="O830" i="17"/>
  <c r="L830"/>
  <c r="M830" s="1"/>
  <c r="O830" i="12"/>
  <c r="L830"/>
  <c r="M830" s="1"/>
  <c r="O829" i="17"/>
  <c r="L829"/>
  <c r="M829" s="1"/>
  <c r="O829" i="12"/>
  <c r="L829"/>
  <c r="M829" s="1"/>
  <c r="O828" i="17"/>
  <c r="L828"/>
  <c r="M828" s="1"/>
  <c r="O828" i="12"/>
  <c r="L828"/>
  <c r="M828" s="1"/>
  <c r="O827" i="17"/>
  <c r="L827"/>
  <c r="M827" s="1"/>
  <c r="O827" i="12"/>
  <c r="L827"/>
  <c r="M827" s="1"/>
  <c r="O826" i="17"/>
  <c r="L826"/>
  <c r="M826" s="1"/>
  <c r="O826" i="12"/>
  <c r="L826"/>
  <c r="M826" s="1"/>
  <c r="O825" i="17"/>
  <c r="L825"/>
  <c r="M825" s="1"/>
  <c r="O825" i="12"/>
  <c r="L825"/>
  <c r="M825" s="1"/>
  <c r="O824" i="17"/>
  <c r="L824"/>
  <c r="M824" s="1"/>
  <c r="O824" i="12"/>
  <c r="L824"/>
  <c r="M824" s="1"/>
  <c r="O823" i="17"/>
  <c r="L823"/>
  <c r="M823" s="1"/>
  <c r="O823" i="12"/>
  <c r="L823"/>
  <c r="M823" s="1"/>
  <c r="O822" i="17"/>
  <c r="L822"/>
  <c r="M822" s="1"/>
  <c r="O822" i="12"/>
  <c r="L822"/>
  <c r="M822" s="1"/>
  <c r="O821" i="17"/>
  <c r="L821"/>
  <c r="M821" s="1"/>
  <c r="O821" i="12"/>
  <c r="L821"/>
  <c r="M821" s="1"/>
  <c r="O820" i="17"/>
  <c r="L820"/>
  <c r="M820" s="1"/>
  <c r="O820" i="12"/>
  <c r="L820"/>
  <c r="M820" s="1"/>
  <c r="O819" i="17"/>
  <c r="L819"/>
  <c r="M819" s="1"/>
  <c r="O819" i="12"/>
  <c r="L819"/>
  <c r="M819" s="1"/>
  <c r="O818" i="17"/>
  <c r="L818"/>
  <c r="M818" s="1"/>
  <c r="O818" i="12"/>
  <c r="L818"/>
  <c r="M818" s="1"/>
  <c r="O817" i="17"/>
  <c r="L817"/>
  <c r="M817" s="1"/>
  <c r="O817" i="12"/>
  <c r="L817"/>
  <c r="M817" s="1"/>
  <c r="O816" i="17"/>
  <c r="L816"/>
  <c r="M816" s="1"/>
  <c r="O816" i="12"/>
  <c r="L816"/>
  <c r="M816" s="1"/>
  <c r="O815" i="17"/>
  <c r="L815"/>
  <c r="M815" s="1"/>
  <c r="O815" i="12"/>
  <c r="L815"/>
  <c r="M815" s="1"/>
  <c r="O814" i="17"/>
  <c r="L814"/>
  <c r="M814" s="1"/>
  <c r="O814" i="12"/>
  <c r="L814"/>
  <c r="M814" s="1"/>
  <c r="O813" i="17"/>
  <c r="L813"/>
  <c r="M813" s="1"/>
  <c r="O813" i="12"/>
  <c r="L813"/>
  <c r="M813" s="1"/>
  <c r="O812" i="17"/>
  <c r="L812"/>
  <c r="M812" s="1"/>
  <c r="O812" i="12"/>
  <c r="L812"/>
  <c r="M812" s="1"/>
  <c r="O811" i="17"/>
  <c r="L811"/>
  <c r="M811" s="1"/>
  <c r="O811" i="12"/>
  <c r="L811"/>
  <c r="M811" s="1"/>
  <c r="O810" i="17"/>
  <c r="L810"/>
  <c r="M810" s="1"/>
  <c r="O810" i="12"/>
  <c r="L810"/>
  <c r="M810" s="1"/>
  <c r="O809" i="17"/>
  <c r="L809"/>
  <c r="M809" s="1"/>
  <c r="O809" i="12"/>
  <c r="L809"/>
  <c r="M809" s="1"/>
  <c r="O808" i="17"/>
  <c r="L808"/>
  <c r="M808" s="1"/>
  <c r="O808" i="12"/>
  <c r="L808"/>
  <c r="M808" s="1"/>
  <c r="O807" i="17"/>
  <c r="L807"/>
  <c r="M807" s="1"/>
  <c r="O807" i="12"/>
  <c r="L807"/>
  <c r="M807" s="1"/>
  <c r="O806" i="17"/>
  <c r="L806"/>
  <c r="M806" s="1"/>
  <c r="O806" i="12"/>
  <c r="L806"/>
  <c r="M806" s="1"/>
  <c r="O805" i="17"/>
  <c r="L805"/>
  <c r="M805" s="1"/>
  <c r="O805" i="12"/>
  <c r="L805"/>
  <c r="M805" s="1"/>
  <c r="O804" i="17"/>
  <c r="L804"/>
  <c r="M804" s="1"/>
  <c r="O804" i="12"/>
  <c r="L804"/>
  <c r="M804" s="1"/>
  <c r="O803" i="17"/>
  <c r="L803"/>
  <c r="M803" s="1"/>
  <c r="O803" i="12"/>
  <c r="L803"/>
  <c r="M803" s="1"/>
  <c r="O802" i="17"/>
  <c r="L802"/>
  <c r="M802" s="1"/>
  <c r="O802" i="12"/>
  <c r="L802"/>
  <c r="M802" s="1"/>
  <c r="O801" i="17"/>
  <c r="L801"/>
  <c r="M801" s="1"/>
  <c r="O801" i="12"/>
  <c r="L801"/>
  <c r="M801" s="1"/>
  <c r="O800" i="17"/>
  <c r="L800"/>
  <c r="M800" s="1"/>
  <c r="O800" i="12"/>
  <c r="L800"/>
  <c r="M800" s="1"/>
  <c r="O799" i="17"/>
  <c r="L799"/>
  <c r="M799" s="1"/>
  <c r="O799" i="12"/>
  <c r="L799"/>
  <c r="M799" s="1"/>
  <c r="O798" i="17"/>
  <c r="L798"/>
  <c r="M798" s="1"/>
  <c r="O798" i="12"/>
  <c r="L798"/>
  <c r="M798" s="1"/>
  <c r="O797" i="17"/>
  <c r="L797"/>
  <c r="M797" s="1"/>
  <c r="O797" i="12"/>
  <c r="L797"/>
  <c r="M797" s="1"/>
  <c r="O796" i="17"/>
  <c r="L796"/>
  <c r="M796" s="1"/>
  <c r="O796" i="12"/>
  <c r="L796"/>
  <c r="M796" s="1"/>
  <c r="O795" i="17"/>
  <c r="L795"/>
  <c r="M795" s="1"/>
  <c r="O795" i="12"/>
  <c r="L795"/>
  <c r="M795" s="1"/>
  <c r="O794" i="17"/>
  <c r="L794"/>
  <c r="M794" s="1"/>
  <c r="O794" i="12"/>
  <c r="L794"/>
  <c r="M794" s="1"/>
  <c r="O791" i="17"/>
  <c r="L791"/>
  <c r="M791" s="1"/>
  <c r="O791" i="12"/>
  <c r="L791"/>
  <c r="M791" s="1"/>
  <c r="O790" i="17"/>
  <c r="L790"/>
  <c r="M790" s="1"/>
  <c r="O790" i="12"/>
  <c r="L790"/>
  <c r="M790" s="1"/>
  <c r="O789" i="17"/>
  <c r="L789"/>
  <c r="M789" s="1"/>
  <c r="O789" i="12"/>
  <c r="L789"/>
  <c r="M789" s="1"/>
  <c r="O788" i="17"/>
  <c r="L788"/>
  <c r="M788" s="1"/>
  <c r="O788" i="12"/>
  <c r="L788"/>
  <c r="M788" s="1"/>
  <c r="O787" i="17"/>
  <c r="L787"/>
  <c r="M787" s="1"/>
  <c r="O787" i="12"/>
  <c r="L787"/>
  <c r="M787" s="1"/>
  <c r="O786" i="17"/>
  <c r="L786"/>
  <c r="M786" s="1"/>
  <c r="O786" i="12"/>
  <c r="L786"/>
  <c r="M786" s="1"/>
  <c r="O785" i="17"/>
  <c r="L785"/>
  <c r="M785" s="1"/>
  <c r="O785" i="12"/>
  <c r="L785"/>
  <c r="M785" s="1"/>
  <c r="O784" i="17"/>
  <c r="L784"/>
  <c r="M784" s="1"/>
  <c r="O784" i="12"/>
  <c r="L784"/>
  <c r="M784" s="1"/>
  <c r="O783" i="17"/>
  <c r="L783"/>
  <c r="M783" s="1"/>
  <c r="O783" i="12"/>
  <c r="L783"/>
  <c r="M783" s="1"/>
  <c r="O782" i="17"/>
  <c r="L782"/>
  <c r="M782" s="1"/>
  <c r="O782" i="12"/>
  <c r="L782"/>
  <c r="M782" s="1"/>
  <c r="O781" i="17"/>
  <c r="L781"/>
  <c r="M781" s="1"/>
  <c r="O781" i="12"/>
  <c r="L781"/>
  <c r="M781" s="1"/>
  <c r="O780" i="17"/>
  <c r="L780"/>
  <c r="M780" s="1"/>
  <c r="O780" i="12"/>
  <c r="L780"/>
  <c r="M780" s="1"/>
  <c r="O779" i="17"/>
  <c r="L779"/>
  <c r="M779" s="1"/>
  <c r="O779" i="12"/>
  <c r="L779"/>
  <c r="M779" s="1"/>
  <c r="O778" i="17"/>
  <c r="L778"/>
  <c r="M778" s="1"/>
  <c r="O778" i="12"/>
  <c r="L778"/>
  <c r="M778" s="1"/>
  <c r="O777" i="17"/>
  <c r="L777"/>
  <c r="M777" s="1"/>
  <c r="O777" i="12"/>
  <c r="L777"/>
  <c r="M777" s="1"/>
  <c r="O776" i="17"/>
  <c r="L776"/>
  <c r="M776" s="1"/>
  <c r="O776" i="12"/>
  <c r="L776"/>
  <c r="M776" s="1"/>
  <c r="O775" i="17"/>
  <c r="L775"/>
  <c r="M775" s="1"/>
  <c r="O775" i="12"/>
  <c r="L775"/>
  <c r="M775" s="1"/>
  <c r="O774" i="17"/>
  <c r="L774"/>
  <c r="M774" s="1"/>
  <c r="O774" i="12"/>
  <c r="L774"/>
  <c r="M774" s="1"/>
  <c r="O773" i="17"/>
  <c r="L773"/>
  <c r="M773" s="1"/>
  <c r="O773" i="12"/>
  <c r="L773"/>
  <c r="M773" s="1"/>
  <c r="O772" i="17"/>
  <c r="L772"/>
  <c r="M772" s="1"/>
  <c r="O772" i="12"/>
  <c r="L772"/>
  <c r="M772" s="1"/>
  <c r="O771" i="17"/>
  <c r="L771"/>
  <c r="M771" s="1"/>
  <c r="O771" i="12"/>
  <c r="L771"/>
  <c r="M771" s="1"/>
  <c r="O770" i="17"/>
  <c r="L770"/>
  <c r="M770" s="1"/>
  <c r="O770" i="12"/>
  <c r="L770"/>
  <c r="M770" s="1"/>
  <c r="O769" i="17"/>
  <c r="L769"/>
  <c r="M769" s="1"/>
  <c r="O769" i="12"/>
  <c r="L769"/>
  <c r="M769" s="1"/>
  <c r="O768" i="17"/>
  <c r="L768"/>
  <c r="M768" s="1"/>
  <c r="O768" i="12"/>
  <c r="L768"/>
  <c r="M768" s="1"/>
  <c r="O767" i="17"/>
  <c r="L767"/>
  <c r="M767" s="1"/>
  <c r="O767" i="12"/>
  <c r="L767"/>
  <c r="M767" s="1"/>
  <c r="O766" i="17"/>
  <c r="L766"/>
  <c r="M766" s="1"/>
  <c r="O766" i="12"/>
  <c r="L766"/>
  <c r="M766" s="1"/>
  <c r="O765" i="17"/>
  <c r="L765"/>
  <c r="M765" s="1"/>
  <c r="O765" i="12"/>
  <c r="L765"/>
  <c r="M765" s="1"/>
  <c r="O764" i="17"/>
  <c r="L764"/>
  <c r="M764" s="1"/>
  <c r="O764" i="12"/>
  <c r="L764"/>
  <c r="M764" s="1"/>
  <c r="O763" i="17"/>
  <c r="L763"/>
  <c r="M763" s="1"/>
  <c r="O763" i="12"/>
  <c r="L763"/>
  <c r="M763" s="1"/>
  <c r="O762" i="17"/>
  <c r="L762"/>
  <c r="M762" s="1"/>
  <c r="O762" i="12"/>
  <c r="L762"/>
  <c r="M762" s="1"/>
  <c r="O761" i="17"/>
  <c r="L761"/>
  <c r="M761" s="1"/>
  <c r="O761" i="12"/>
  <c r="L761"/>
  <c r="M761" s="1"/>
  <c r="O760" i="17"/>
  <c r="L760"/>
  <c r="M760" s="1"/>
  <c r="O760" i="12"/>
  <c r="L760"/>
  <c r="M760" s="1"/>
  <c r="O759" i="17"/>
  <c r="L759"/>
  <c r="M759" s="1"/>
  <c r="O759" i="12"/>
  <c r="L759"/>
  <c r="M759" s="1"/>
  <c r="O758" i="17"/>
  <c r="L758"/>
  <c r="M758" s="1"/>
  <c r="O758" i="12"/>
  <c r="L758"/>
  <c r="M758" s="1"/>
  <c r="O757" i="17"/>
  <c r="L757"/>
  <c r="M757" s="1"/>
  <c r="O757" i="12"/>
  <c r="L757"/>
  <c r="M757" s="1"/>
  <c r="O756" i="17"/>
  <c r="L756"/>
  <c r="M756" s="1"/>
  <c r="O756" i="12"/>
  <c r="L756"/>
  <c r="M756" s="1"/>
  <c r="O755" i="17"/>
  <c r="L755"/>
  <c r="M755" s="1"/>
  <c r="O755" i="12"/>
  <c r="L755"/>
  <c r="M755" s="1"/>
  <c r="O754" i="17"/>
  <c r="L754"/>
  <c r="M754" s="1"/>
  <c r="O754" i="12"/>
  <c r="L754"/>
  <c r="M754" s="1"/>
  <c r="O753" i="17"/>
  <c r="L753"/>
  <c r="M753" s="1"/>
  <c r="O753" i="12"/>
  <c r="L753"/>
  <c r="M753" s="1"/>
  <c r="O752" i="17"/>
  <c r="L752"/>
  <c r="M752" s="1"/>
  <c r="O752" i="12"/>
  <c r="L752"/>
  <c r="M752" s="1"/>
  <c r="O751" i="17"/>
  <c r="L751"/>
  <c r="M751" s="1"/>
  <c r="O751" i="12"/>
  <c r="L751"/>
  <c r="M751" s="1"/>
  <c r="O750" i="17"/>
  <c r="L750"/>
  <c r="M750" s="1"/>
  <c r="O750" i="12"/>
  <c r="L750"/>
  <c r="M750" s="1"/>
  <c r="K749"/>
  <c r="J879"/>
  <c r="K879" s="1"/>
  <c r="Q383" i="17"/>
  <c r="P383"/>
  <c r="Q382"/>
  <c r="P382"/>
  <c r="Q381"/>
  <c r="P381"/>
  <c r="Q380"/>
  <c r="P380"/>
  <c r="Q379"/>
  <c r="P379"/>
  <c r="Q379" i="12"/>
  <c r="P379"/>
  <c r="Q378" i="17"/>
  <c r="P378"/>
  <c r="Q378" i="12"/>
  <c r="P378"/>
  <c r="Q377" i="17"/>
  <c r="P377"/>
  <c r="Q377" i="12"/>
  <c r="P377"/>
  <c r="Q376" i="17"/>
  <c r="P376"/>
  <c r="Q376" i="12"/>
  <c r="P376"/>
  <c r="Q375" i="17"/>
  <c r="P375"/>
  <c r="Q375" i="12"/>
  <c r="P375"/>
  <c r="Q374" i="17"/>
  <c r="P374"/>
  <c r="Q374" i="12"/>
  <c r="P374"/>
  <c r="Q373" i="17"/>
  <c r="P373"/>
  <c r="Q373" i="12"/>
  <c r="P373"/>
  <c r="Q372" i="17"/>
  <c r="P372"/>
  <c r="Q372" i="12"/>
  <c r="P372"/>
  <c r="Q371" i="17"/>
  <c r="P371"/>
  <c r="Q371" i="12"/>
  <c r="P371"/>
  <c r="Q370" i="17"/>
  <c r="P370"/>
  <c r="Q370" i="12"/>
  <c r="P370"/>
  <c r="Q369" i="17"/>
  <c r="P369"/>
  <c r="Q369" i="12"/>
  <c r="P369"/>
  <c r="Q368" i="17"/>
  <c r="P368"/>
  <c r="Q368" i="12"/>
  <c r="P368"/>
  <c r="Q367" i="17"/>
  <c r="P367"/>
  <c r="Q367" i="12"/>
  <c r="P367"/>
  <c r="Q366" i="17"/>
  <c r="P366"/>
  <c r="Q366" i="12"/>
  <c r="P366"/>
  <c r="Q365" i="17"/>
  <c r="P365"/>
  <c r="Q365" i="12"/>
  <c r="P365"/>
  <c r="Q364" i="17"/>
  <c r="P364"/>
  <c r="Q364" i="12"/>
  <c r="P364"/>
  <c r="Q363" i="17"/>
  <c r="P363"/>
  <c r="Q363" i="12"/>
  <c r="P363"/>
  <c r="Q362" i="17"/>
  <c r="P362"/>
  <c r="Q362" i="12"/>
  <c r="P362"/>
  <c r="Q361" i="17"/>
  <c r="P361"/>
  <c r="Q361" i="12"/>
  <c r="P361"/>
  <c r="Q360" i="17"/>
  <c r="P360"/>
  <c r="Q360" i="12"/>
  <c r="P360"/>
  <c r="Q359" i="17"/>
  <c r="P359"/>
  <c r="Q359" i="12"/>
  <c r="P359"/>
  <c r="Q358" i="17"/>
  <c r="P358"/>
  <c r="Q358" i="12"/>
  <c r="P358"/>
  <c r="Q357" i="17"/>
  <c r="P357"/>
  <c r="Q357" i="12"/>
  <c r="P357"/>
  <c r="Q356" i="17"/>
  <c r="P356"/>
  <c r="Q356" i="12"/>
  <c r="P356"/>
  <c r="Q355" i="17"/>
  <c r="P355"/>
  <c r="Q355" i="12"/>
  <c r="P355"/>
  <c r="Q354" i="17"/>
  <c r="P354"/>
  <c r="Q354" i="12"/>
  <c r="P354"/>
  <c r="Q353" i="17"/>
  <c r="P353"/>
  <c r="Q353" i="12"/>
  <c r="P353"/>
  <c r="Q352" i="17"/>
  <c r="P352"/>
  <c r="Q352" i="12"/>
  <c r="P352"/>
  <c r="Q351" i="17"/>
  <c r="P351"/>
  <c r="Q351" i="12"/>
  <c r="P351"/>
  <c r="Q350" i="17"/>
  <c r="P350"/>
  <c r="Q350" i="12"/>
  <c r="P350"/>
  <c r="Q349" i="17"/>
  <c r="P349"/>
  <c r="Q349" i="12"/>
  <c r="P349"/>
  <c r="Q348" i="17"/>
  <c r="P348"/>
  <c r="Q348" i="12"/>
  <c r="P348"/>
  <c r="Q347" i="17"/>
  <c r="P347"/>
  <c r="Q347" i="12"/>
  <c r="P347"/>
  <c r="Q346" i="17"/>
  <c r="P346"/>
  <c r="Q346" i="12"/>
  <c r="P346"/>
  <c r="Q345" i="17"/>
  <c r="P345"/>
  <c r="Q345" i="12"/>
  <c r="P345"/>
  <c r="Q344" i="17"/>
  <c r="P344"/>
  <c r="Q344" i="12"/>
  <c r="P344"/>
  <c r="Q343" i="17"/>
  <c r="P343"/>
  <c r="Q343" i="12"/>
  <c r="P343"/>
  <c r="Q342" i="17"/>
  <c r="P342"/>
  <c r="Q342" i="12"/>
  <c r="P342"/>
  <c r="Q341" i="17"/>
  <c r="P341"/>
  <c r="Q341" i="12"/>
  <c r="P341"/>
  <c r="Q340" i="17"/>
  <c r="P340"/>
  <c r="Q340" i="12"/>
  <c r="P340"/>
  <c r="Q339" i="17"/>
  <c r="P339"/>
  <c r="Q339" i="12"/>
  <c r="P339"/>
  <c r="Q338" i="17"/>
  <c r="P338"/>
  <c r="Q338" i="12"/>
  <c r="P338"/>
  <c r="Q337" i="17"/>
  <c r="P337"/>
  <c r="Q337" i="12"/>
  <c r="P337"/>
  <c r="Q336" i="17"/>
  <c r="P336"/>
  <c r="Q336" i="12"/>
  <c r="P336"/>
  <c r="Q335" i="17"/>
  <c r="P335"/>
  <c r="Q335" i="12"/>
  <c r="P335"/>
  <c r="Q334" i="17"/>
  <c r="P334"/>
  <c r="Q334" i="12"/>
  <c r="P334"/>
  <c r="Q333" i="17"/>
  <c r="P333"/>
  <c r="Q333" i="12"/>
  <c r="P333"/>
  <c r="Q332" i="17"/>
  <c r="P332"/>
  <c r="Q332" i="12"/>
  <c r="P332"/>
  <c r="Q331" i="17"/>
  <c r="P331"/>
  <c r="Q331" i="12"/>
  <c r="P331"/>
  <c r="Q330" i="17"/>
  <c r="P330"/>
  <c r="Q330" i="12"/>
  <c r="P330"/>
  <c r="Q329" i="17"/>
  <c r="P329"/>
  <c r="Q329" i="12"/>
  <c r="P329"/>
  <c r="Q328" i="17"/>
  <c r="P328"/>
  <c r="Q328" i="12"/>
  <c r="P328"/>
  <c r="Q327" i="17"/>
  <c r="P327"/>
  <c r="Q327" i="12"/>
  <c r="P327"/>
  <c r="Q326" i="17"/>
  <c r="P326"/>
  <c r="Q326" i="12"/>
  <c r="P326"/>
  <c r="Q325" i="17"/>
  <c r="P325"/>
  <c r="Q325" i="12"/>
  <c r="P325"/>
  <c r="Q324" i="17"/>
  <c r="P324"/>
  <c r="Q324" i="12"/>
  <c r="P324"/>
  <c r="Q323" i="17"/>
  <c r="P323"/>
  <c r="Q323" i="12"/>
  <c r="P323"/>
  <c r="Q322" i="17"/>
  <c r="P322"/>
  <c r="Q322" i="12"/>
  <c r="P322"/>
  <c r="Q321" i="17"/>
  <c r="P321"/>
  <c r="Q321" i="12"/>
  <c r="P321"/>
  <c r="Q320" i="17"/>
  <c r="P320"/>
  <c r="Q320" i="12"/>
  <c r="P320"/>
  <c r="Q319" i="17"/>
  <c r="P319"/>
  <c r="Q319" i="12"/>
  <c r="P319"/>
  <c r="Q318" i="17"/>
  <c r="P318"/>
  <c r="Q318" i="12"/>
  <c r="P318"/>
  <c r="Q317" i="17"/>
  <c r="P317"/>
  <c r="Q317" i="12"/>
  <c r="P317"/>
  <c r="Q316" i="17"/>
  <c r="P316"/>
  <c r="Q316" i="12"/>
  <c r="P316"/>
  <c r="Q315" i="17"/>
  <c r="P315"/>
  <c r="Q315" i="12"/>
  <c r="P315"/>
  <c r="Q314" i="17"/>
  <c r="P314"/>
  <c r="Q314" i="12"/>
  <c r="P314"/>
  <c r="Q313" i="17"/>
  <c r="P313"/>
  <c r="Q313" i="12"/>
  <c r="P313"/>
  <c r="Q312" i="17"/>
  <c r="P312"/>
  <c r="Q312" i="12"/>
  <c r="P312"/>
  <c r="Q311" i="17"/>
  <c r="P311"/>
  <c r="Q311" i="12"/>
  <c r="P311"/>
  <c r="Q310" i="17"/>
  <c r="P310"/>
  <c r="Q310" i="12"/>
  <c r="P310"/>
  <c r="Q309" i="17"/>
  <c r="P309"/>
  <c r="Q309" i="12"/>
  <c r="P309"/>
  <c r="Q308" i="17"/>
  <c r="P308"/>
  <c r="Q308" i="12"/>
  <c r="P308"/>
  <c r="Q307" i="17"/>
  <c r="P307"/>
  <c r="Q307" i="12"/>
  <c r="P307"/>
  <c r="Q306" i="17"/>
  <c r="P306"/>
  <c r="Q306" i="12"/>
  <c r="P306"/>
  <c r="Q305" i="17"/>
  <c r="P305"/>
  <c r="Q305" i="12"/>
  <c r="P305"/>
  <c r="Q304" i="17"/>
  <c r="P304"/>
  <c r="Q304" i="12"/>
  <c r="P304"/>
  <c r="Q303" i="17"/>
  <c r="P303"/>
  <c r="Q303" i="12"/>
  <c r="P303"/>
  <c r="Q302" i="17"/>
  <c r="P302"/>
  <c r="Q302" i="12"/>
  <c r="P302"/>
  <c r="Q301" i="17"/>
  <c r="P301"/>
  <c r="Q301" i="12"/>
  <c r="P301"/>
  <c r="Q300" i="17"/>
  <c r="P300"/>
  <c r="Q300" i="12"/>
  <c r="P300"/>
  <c r="Q299" i="17"/>
  <c r="P299"/>
  <c r="Q299" i="12"/>
  <c r="P299"/>
  <c r="Q298" i="17"/>
  <c r="P298"/>
  <c r="Q298" i="12"/>
  <c r="P298"/>
  <c r="Q297" i="17"/>
  <c r="P297"/>
  <c r="Q297" i="12"/>
  <c r="P297"/>
  <c r="Q296" i="17"/>
  <c r="P296"/>
  <c r="Q296" i="12"/>
  <c r="P296"/>
  <c r="Q295" i="17"/>
  <c r="P295"/>
  <c r="Q295" i="12"/>
  <c r="P295"/>
  <c r="Q294" i="17"/>
  <c r="P294"/>
  <c r="Q294" i="12"/>
  <c r="P294"/>
  <c r="Q293" i="17"/>
  <c r="P293"/>
  <c r="Q293" i="12"/>
  <c r="P293"/>
  <c r="Q292" i="17"/>
  <c r="P292"/>
  <c r="Q292" i="12"/>
  <c r="P292"/>
  <c r="Q291" i="17"/>
  <c r="P291"/>
  <c r="Q291" i="12"/>
  <c r="P291"/>
  <c r="Q290" i="17"/>
  <c r="P290"/>
  <c r="Q290" i="12"/>
  <c r="P290"/>
  <c r="Q289" i="17"/>
  <c r="P289"/>
  <c r="Q289" i="12"/>
  <c r="P289"/>
  <c r="Q288" i="17"/>
  <c r="P288"/>
  <c r="Q288" i="12"/>
  <c r="P288"/>
  <c r="Q287" i="17"/>
  <c r="P287"/>
  <c r="Q287" i="12"/>
  <c r="P287"/>
  <c r="Q286" i="17"/>
  <c r="P286"/>
  <c r="Q286" i="12"/>
  <c r="P286"/>
  <c r="Q285" i="17"/>
  <c r="P285"/>
  <c r="Q285" i="12"/>
  <c r="P285"/>
  <c r="Q284" i="17"/>
  <c r="P284"/>
  <c r="Q284" i="12"/>
  <c r="P284"/>
  <c r="Q283" i="17"/>
  <c r="P283"/>
  <c r="Q283" i="12"/>
  <c r="P283"/>
  <c r="Q282" i="17"/>
  <c r="P282"/>
  <c r="Q282" i="12"/>
  <c r="P282"/>
  <c r="Q281" i="17"/>
  <c r="P281"/>
  <c r="Q281" i="12"/>
  <c r="P281"/>
  <c r="Q280" i="17"/>
  <c r="P280"/>
  <c r="Q280" i="12"/>
  <c r="P280"/>
  <c r="Q279" i="17"/>
  <c r="P279"/>
  <c r="Q279" i="12"/>
  <c r="P279"/>
  <c r="Q278" i="17"/>
  <c r="P278"/>
  <c r="Q278" i="12"/>
  <c r="P278"/>
  <c r="Q277" i="17"/>
  <c r="P277"/>
  <c r="Q277" i="12"/>
  <c r="P277"/>
  <c r="Q276" i="17"/>
  <c r="P276"/>
  <c r="Q276" i="12"/>
  <c r="P276"/>
  <c r="Q275" i="17"/>
  <c r="P275"/>
  <c r="Q275" i="12"/>
  <c r="P275"/>
  <c r="P29" i="7"/>
  <c r="M29" i="11"/>
  <c r="P28" i="7"/>
  <c r="M28" i="11"/>
  <c r="P27" i="7"/>
  <c r="M27" i="11"/>
  <c r="P26" i="7"/>
  <c r="M26" i="11"/>
  <c r="P25" i="7"/>
  <c r="M25" i="11"/>
  <c r="P24" i="7"/>
  <c r="M24" i="11"/>
  <c r="P23" i="7"/>
  <c r="M23" i="11"/>
  <c r="P22" i="7"/>
  <c r="M22" i="11"/>
  <c r="P21" i="7"/>
  <c r="M21" i="11"/>
  <c r="P20" i="7"/>
  <c r="M20" i="11"/>
  <c r="P19" i="7"/>
  <c r="M19" i="11"/>
  <c r="P18" i="7"/>
  <c r="M18" i="11"/>
  <c r="P17" i="7"/>
  <c r="M17" i="11"/>
  <c r="P16" i="7"/>
  <c r="M16" i="11"/>
  <c r="P15" i="7"/>
  <c r="M15" i="11"/>
  <c r="P14" i="7"/>
  <c r="M14" i="11"/>
  <c r="P13" i="7"/>
  <c r="M13" i="11"/>
  <c r="P12" i="7"/>
  <c r="M12" i="11"/>
  <c r="P11" i="7"/>
  <c r="M11" i="11"/>
  <c r="P10" i="7"/>
  <c r="M10" i="11"/>
  <c r="P9" i="7"/>
  <c r="M9" i="11"/>
  <c r="P8" i="7"/>
  <c r="M8" i="11"/>
  <c r="P7" i="7"/>
  <c r="M7" i="11"/>
  <c r="F67" i="22"/>
  <c r="P6" i="7"/>
  <c r="F67" i="18"/>
  <c r="G67" s="1"/>
  <c r="F879" i="22"/>
  <c r="F1146"/>
  <c r="F1202"/>
  <c r="P1231" i="7"/>
  <c r="M1231" i="11"/>
  <c r="P1230" i="7"/>
  <c r="M1230" i="11"/>
  <c r="P1229" i="7"/>
  <c r="M1229" i="11"/>
  <c r="P1228" i="7"/>
  <c r="M1228" i="11"/>
  <c r="P1227" i="7"/>
  <c r="M1227" i="11"/>
  <c r="P1226" i="7"/>
  <c r="M1226" i="11"/>
  <c r="P1225" i="7"/>
  <c r="M1225" i="11"/>
  <c r="M1224"/>
  <c r="P1223" i="7"/>
  <c r="M1223" i="11"/>
  <c r="P1222" i="7"/>
  <c r="M1222" i="11"/>
  <c r="P1221" i="7"/>
  <c r="M1221" i="11"/>
  <c r="P1220" i="7"/>
  <c r="M1220" i="11"/>
  <c r="P1219" i="7"/>
  <c r="M1219" i="11"/>
  <c r="P1218" i="7"/>
  <c r="M1218" i="11"/>
  <c r="P1217" i="7"/>
  <c r="M1217" i="11"/>
  <c r="P1216" i="7"/>
  <c r="M1216" i="11"/>
  <c r="P1215" i="7"/>
  <c r="M1215" i="11"/>
  <c r="P1214" i="7"/>
  <c r="M1214" i="11"/>
  <c r="P1213" i="7"/>
  <c r="M1213" i="11"/>
  <c r="P1212" i="7"/>
  <c r="M1212" i="11"/>
  <c r="P1211" i="7"/>
  <c r="M1211" i="11"/>
  <c r="P1210" i="7"/>
  <c r="M1210" i="11"/>
  <c r="P1209" i="7"/>
  <c r="M1209" i="11"/>
  <c r="P1208" i="7"/>
  <c r="M1208" i="11"/>
  <c r="P1207" i="7"/>
  <c r="M1207" i="11"/>
  <c r="P1206" i="7"/>
  <c r="M1206" i="11"/>
  <c r="P1205" i="7"/>
  <c r="M1205" i="11"/>
  <c r="F1232" i="22"/>
  <c r="P1204" i="7"/>
  <c r="M1204" i="11"/>
  <c r="F1232" i="14"/>
  <c r="G1232" s="1"/>
  <c r="H1232" s="1"/>
  <c r="I1232" s="1"/>
  <c r="P534" i="7"/>
  <c r="P533"/>
  <c r="P532"/>
  <c r="P531"/>
  <c r="P530"/>
  <c r="P529"/>
  <c r="P528"/>
  <c r="P527"/>
  <c r="P526"/>
  <c r="P525"/>
  <c r="P524"/>
  <c r="P523"/>
  <c r="P522"/>
  <c r="P521"/>
  <c r="P520"/>
  <c r="P519"/>
  <c r="P518"/>
  <c r="P517"/>
  <c r="P516"/>
  <c r="P515"/>
  <c r="P514"/>
  <c r="P513"/>
  <c r="P512"/>
  <c r="P511"/>
  <c r="P510"/>
  <c r="P509"/>
  <c r="P508"/>
  <c r="P507"/>
  <c r="P506"/>
  <c r="P505"/>
  <c r="P504"/>
  <c r="P503"/>
  <c r="P502"/>
  <c r="P501"/>
  <c r="P500"/>
  <c r="P499"/>
  <c r="P498"/>
  <c r="P497"/>
  <c r="P496"/>
  <c r="P495"/>
  <c r="P494"/>
  <c r="P493"/>
  <c r="P492"/>
  <c r="P491"/>
  <c r="P490"/>
  <c r="P489"/>
  <c r="P488"/>
  <c r="P487"/>
  <c r="P486"/>
  <c r="P485"/>
  <c r="P484"/>
  <c r="P483"/>
  <c r="P482"/>
  <c r="P481"/>
  <c r="P480"/>
  <c r="P479"/>
  <c r="P478"/>
  <c r="P477"/>
  <c r="P476"/>
  <c r="P475"/>
  <c r="P474"/>
  <c r="P473"/>
  <c r="P472"/>
  <c r="P471"/>
  <c r="P470"/>
  <c r="P469"/>
  <c r="P468"/>
  <c r="P467"/>
  <c r="P466"/>
  <c r="P465"/>
  <c r="P464"/>
  <c r="P463"/>
  <c r="P462"/>
  <c r="P461"/>
  <c r="P460"/>
  <c r="P459"/>
  <c r="P458"/>
  <c r="P457"/>
  <c r="P456"/>
  <c r="P455"/>
  <c r="P454"/>
  <c r="P453"/>
  <c r="P452"/>
  <c r="P451"/>
  <c r="P450"/>
  <c r="P449"/>
  <c r="P448"/>
  <c r="P447"/>
  <c r="P446"/>
  <c r="P445"/>
  <c r="P444"/>
  <c r="P443"/>
  <c r="P442"/>
  <c r="P441"/>
  <c r="P440"/>
  <c r="P439"/>
  <c r="P438"/>
  <c r="P437"/>
  <c r="P436"/>
  <c r="P435"/>
  <c r="P434"/>
  <c r="P433"/>
  <c r="P432"/>
  <c r="P431"/>
  <c r="P430"/>
  <c r="P429"/>
  <c r="P428"/>
  <c r="P427"/>
  <c r="P426"/>
  <c r="P425"/>
  <c r="P424"/>
  <c r="P423"/>
  <c r="P422"/>
  <c r="P421"/>
  <c r="P420"/>
  <c r="P419"/>
  <c r="P418"/>
  <c r="P417"/>
  <c r="P416"/>
  <c r="P415"/>
  <c r="P414"/>
  <c r="P413"/>
  <c r="P412"/>
  <c r="P411"/>
  <c r="P410"/>
  <c r="P409"/>
  <c r="P408"/>
  <c r="P407"/>
  <c r="P406"/>
  <c r="P405"/>
  <c r="P404"/>
  <c r="P403"/>
  <c r="P402"/>
  <c r="P401"/>
  <c r="P400"/>
  <c r="P399"/>
  <c r="P398"/>
  <c r="P397"/>
  <c r="P396"/>
  <c r="P395"/>
  <c r="P394"/>
  <c r="P393"/>
  <c r="P392"/>
  <c r="P391"/>
  <c r="P390"/>
  <c r="P389"/>
  <c r="P388"/>
  <c r="P387"/>
  <c r="P386"/>
  <c r="F535" i="14"/>
  <c r="G535" s="1"/>
  <c r="F747" i="22"/>
  <c r="R878" i="7"/>
  <c r="G878" i="22" s="1"/>
  <c r="R877" i="7"/>
  <c r="G877" i="22" s="1"/>
  <c r="O877" i="10"/>
  <c r="R876" i="7"/>
  <c r="G876" i="22" s="1"/>
  <c r="O876" i="10"/>
  <c r="J1234" i="14"/>
  <c r="M29" i="5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H29" i="9"/>
  <c r="I29" s="1"/>
  <c r="M29" s="1"/>
  <c r="H28"/>
  <c r="I28" s="1"/>
  <c r="M28" s="1"/>
  <c r="H27"/>
  <c r="I27" s="1"/>
  <c r="M27" s="1"/>
  <c r="H26"/>
  <c r="I26" s="1"/>
  <c r="M26" s="1"/>
  <c r="H25"/>
  <c r="I25" s="1"/>
  <c r="M25" s="1"/>
  <c r="H24"/>
  <c r="I24" s="1"/>
  <c r="M24" s="1"/>
  <c r="H23"/>
  <c r="I23" s="1"/>
  <c r="M23" s="1"/>
  <c r="H22"/>
  <c r="I22" s="1"/>
  <c r="M22" s="1"/>
  <c r="H21"/>
  <c r="I21" s="1"/>
  <c r="M21" s="1"/>
  <c r="H20"/>
  <c r="I20" s="1"/>
  <c r="M20" s="1"/>
  <c r="H19"/>
  <c r="I19" s="1"/>
  <c r="M19" s="1"/>
  <c r="H18"/>
  <c r="I18" s="1"/>
  <c r="M18" s="1"/>
  <c r="H17"/>
  <c r="I17" s="1"/>
  <c r="M17" s="1"/>
  <c r="H16"/>
  <c r="I16" s="1"/>
  <c r="M16" s="1"/>
  <c r="H15"/>
  <c r="I15" s="1"/>
  <c r="M15" s="1"/>
  <c r="H14"/>
  <c r="I14" s="1"/>
  <c r="M14" s="1"/>
  <c r="H13"/>
  <c r="I13" s="1"/>
  <c r="M13" s="1"/>
  <c r="H12"/>
  <c r="I12" s="1"/>
  <c r="M12" s="1"/>
  <c r="H11"/>
  <c r="I11" s="1"/>
  <c r="M11" s="1"/>
  <c r="H10"/>
  <c r="I10" s="1"/>
  <c r="M10" s="1"/>
  <c r="H9"/>
  <c r="I9" s="1"/>
  <c r="M9" s="1"/>
  <c r="H8"/>
  <c r="I8" s="1"/>
  <c r="M8" s="1"/>
  <c r="H7"/>
  <c r="I7" s="1"/>
  <c r="M7" s="1"/>
  <c r="H6"/>
  <c r="I6" s="1"/>
  <c r="M6" s="1"/>
  <c r="M29" i="7"/>
  <c r="N29" s="1"/>
  <c r="M28"/>
  <c r="N28" s="1"/>
  <c r="M27"/>
  <c r="N27" s="1"/>
  <c r="M26"/>
  <c r="N26" s="1"/>
  <c r="M25"/>
  <c r="N25" s="1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M12"/>
  <c r="N12" s="1"/>
  <c r="M11"/>
  <c r="N11" s="1"/>
  <c r="M10"/>
  <c r="N10" s="1"/>
  <c r="M9"/>
  <c r="N9" s="1"/>
  <c r="M8"/>
  <c r="N8" s="1"/>
  <c r="M7"/>
  <c r="N7" s="1"/>
  <c r="M6"/>
  <c r="N6" s="1"/>
  <c r="H29" i="8"/>
  <c r="I29" s="1"/>
  <c r="M29" s="1"/>
  <c r="H28"/>
  <c r="I28" s="1"/>
  <c r="M28" s="1"/>
  <c r="H27"/>
  <c r="I27" s="1"/>
  <c r="M27" s="1"/>
  <c r="H26"/>
  <c r="I26" s="1"/>
  <c r="M26" s="1"/>
  <c r="H25"/>
  <c r="I25" s="1"/>
  <c r="M25" s="1"/>
  <c r="H24"/>
  <c r="I24" s="1"/>
  <c r="M24" s="1"/>
  <c r="H23"/>
  <c r="I23" s="1"/>
  <c r="M23" s="1"/>
  <c r="H22"/>
  <c r="I22" s="1"/>
  <c r="M22" s="1"/>
  <c r="H21"/>
  <c r="I21" s="1"/>
  <c r="M21" s="1"/>
  <c r="H20"/>
  <c r="I20" s="1"/>
  <c r="M20" s="1"/>
  <c r="H19"/>
  <c r="I19" s="1"/>
  <c r="M19" s="1"/>
  <c r="H18"/>
  <c r="I18" s="1"/>
  <c r="M18" s="1"/>
  <c r="H17"/>
  <c r="I17" s="1"/>
  <c r="M17" s="1"/>
  <c r="H16"/>
  <c r="I16" s="1"/>
  <c r="M16" s="1"/>
  <c r="H15"/>
  <c r="I15" s="1"/>
  <c r="M15" s="1"/>
  <c r="H14"/>
  <c r="I14" s="1"/>
  <c r="M14" s="1"/>
  <c r="H13"/>
  <c r="I13" s="1"/>
  <c r="M13" s="1"/>
  <c r="H12"/>
  <c r="I12" s="1"/>
  <c r="M12" s="1"/>
  <c r="H11"/>
  <c r="I11" s="1"/>
  <c r="M11" s="1"/>
  <c r="H10"/>
  <c r="I10" s="1"/>
  <c r="M10" s="1"/>
  <c r="H9"/>
  <c r="I9" s="1"/>
  <c r="M9" s="1"/>
  <c r="H8"/>
  <c r="I8" s="1"/>
  <c r="M8" s="1"/>
  <c r="H7"/>
  <c r="I7" s="1"/>
  <c r="M7" s="1"/>
  <c r="H6"/>
  <c r="I6" s="1"/>
  <c r="M6" s="1"/>
  <c r="G6" i="18"/>
  <c r="R67" i="2"/>
  <c r="O67" i="3"/>
  <c r="R90" i="2"/>
  <c r="O90" i="3"/>
  <c r="M87" i="7"/>
  <c r="N87" s="1"/>
  <c r="R87" s="1"/>
  <c r="M86"/>
  <c r="N86" s="1"/>
  <c r="R86" s="1"/>
  <c r="M85"/>
  <c r="N85" s="1"/>
  <c r="R85" s="1"/>
  <c r="M84"/>
  <c r="N84" s="1"/>
  <c r="R84" s="1"/>
  <c r="M83"/>
  <c r="N83" s="1"/>
  <c r="R83" s="1"/>
  <c r="M82"/>
  <c r="N82" s="1"/>
  <c r="R82" s="1"/>
  <c r="M81"/>
  <c r="N81" s="1"/>
  <c r="R81" s="1"/>
  <c r="M80"/>
  <c r="N80" s="1"/>
  <c r="R80" s="1"/>
  <c r="M79"/>
  <c r="N79" s="1"/>
  <c r="R79" s="1"/>
  <c r="M78"/>
  <c r="N78" s="1"/>
  <c r="R78" s="1"/>
  <c r="M77"/>
  <c r="N77" s="1"/>
  <c r="R77" s="1"/>
  <c r="M76"/>
  <c r="N76" s="1"/>
  <c r="R76" s="1"/>
  <c r="M75"/>
  <c r="N75" s="1"/>
  <c r="R75" s="1"/>
  <c r="M74"/>
  <c r="N74" s="1"/>
  <c r="R74" s="1"/>
  <c r="M73"/>
  <c r="N73" s="1"/>
  <c r="R73" s="1"/>
  <c r="M72"/>
  <c r="N72" s="1"/>
  <c r="R72" s="1"/>
  <c r="M71"/>
  <c r="N71" s="1"/>
  <c r="R71" s="1"/>
  <c r="M70"/>
  <c r="N70" s="1"/>
  <c r="R70" s="1"/>
  <c r="M69"/>
  <c r="N69" s="1"/>
  <c r="R69" s="1"/>
  <c r="H1234" i="12"/>
  <c r="G1234"/>
  <c r="I1234"/>
  <c r="P379" i="7"/>
  <c r="P378"/>
  <c r="P377"/>
  <c r="P376"/>
  <c r="P375"/>
  <c r="P374"/>
  <c r="P373"/>
  <c r="P372"/>
  <c r="P371"/>
  <c r="P370"/>
  <c r="P369"/>
  <c r="P368"/>
  <c r="P367"/>
  <c r="P366"/>
  <c r="P365"/>
  <c r="P364"/>
  <c r="P363"/>
  <c r="P362"/>
  <c r="P361"/>
  <c r="P360"/>
  <c r="P359"/>
  <c r="P358"/>
  <c r="P357"/>
  <c r="P356"/>
  <c r="P355"/>
  <c r="P354"/>
  <c r="P353"/>
  <c r="P352"/>
  <c r="P351"/>
  <c r="P350"/>
  <c r="P349"/>
  <c r="P348"/>
  <c r="P347"/>
  <c r="P346"/>
  <c r="P345"/>
  <c r="P344"/>
  <c r="P343"/>
  <c r="P342"/>
  <c r="P341"/>
  <c r="P340"/>
  <c r="P339"/>
  <c r="P338"/>
  <c r="P337"/>
  <c r="P336"/>
  <c r="P335"/>
  <c r="P334"/>
  <c r="P333"/>
  <c r="P332"/>
  <c r="P331"/>
  <c r="P330"/>
  <c r="P329"/>
  <c r="P328"/>
  <c r="P327"/>
  <c r="P326"/>
  <c r="P325"/>
  <c r="P324"/>
  <c r="P323"/>
  <c r="P322"/>
  <c r="P321"/>
  <c r="P320"/>
  <c r="P319"/>
  <c r="P318"/>
  <c r="P317"/>
  <c r="P316"/>
  <c r="P315"/>
  <c r="P314"/>
  <c r="P313"/>
  <c r="P312"/>
  <c r="P311"/>
  <c r="P310"/>
  <c r="P309"/>
  <c r="P308"/>
  <c r="P307"/>
  <c r="P306"/>
  <c r="P305"/>
  <c r="P304"/>
  <c r="P303"/>
  <c r="P302"/>
  <c r="P301"/>
  <c r="P300"/>
  <c r="P299"/>
  <c r="P298"/>
  <c r="P297"/>
  <c r="P296"/>
  <c r="P295"/>
  <c r="P294"/>
  <c r="P293"/>
  <c r="P292"/>
  <c r="P291"/>
  <c r="P290"/>
  <c r="P289"/>
  <c r="P288"/>
  <c r="P287"/>
  <c r="P286"/>
  <c r="P285"/>
  <c r="P284"/>
  <c r="P283"/>
  <c r="P282"/>
  <c r="P281"/>
  <c r="P280"/>
  <c r="P279"/>
  <c r="P278"/>
  <c r="P277"/>
  <c r="P276"/>
  <c r="P275"/>
  <c r="P274"/>
  <c r="P273"/>
  <c r="P272"/>
  <c r="P271"/>
  <c r="P270"/>
  <c r="P269"/>
  <c r="P268"/>
  <c r="P267"/>
  <c r="P266"/>
  <c r="P265"/>
  <c r="P264"/>
  <c r="P263"/>
  <c r="P262"/>
  <c r="P261"/>
  <c r="P260"/>
  <c r="P259"/>
  <c r="P258"/>
  <c r="P257"/>
  <c r="P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235"/>
  <c r="P234"/>
  <c r="P233"/>
  <c r="P232"/>
  <c r="P231"/>
  <c r="P230"/>
  <c r="P229"/>
  <c r="P228"/>
  <c r="P227"/>
  <c r="P226"/>
  <c r="P225"/>
  <c r="P224"/>
  <c r="P223"/>
  <c r="P222"/>
  <c r="P221"/>
  <c r="P220"/>
  <c r="P219"/>
  <c r="P218"/>
  <c r="P217"/>
  <c r="P216"/>
  <c r="P215"/>
  <c r="P214"/>
  <c r="P213"/>
  <c r="P212"/>
  <c r="P211"/>
  <c r="P210"/>
  <c r="P209"/>
  <c r="P208"/>
  <c r="P207"/>
  <c r="P206"/>
  <c r="P205"/>
  <c r="P204"/>
  <c r="P203"/>
  <c r="P202"/>
  <c r="P201"/>
  <c r="P200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M92"/>
  <c r="N92" s="1"/>
  <c r="M379"/>
  <c r="N379" s="1"/>
  <c r="M378"/>
  <c r="N378" s="1"/>
  <c r="M377"/>
  <c r="N377" s="1"/>
  <c r="M376"/>
  <c r="N376" s="1"/>
  <c r="M375"/>
  <c r="N375" s="1"/>
  <c r="M374"/>
  <c r="N374" s="1"/>
  <c r="M373"/>
  <c r="N373" s="1"/>
  <c r="M372"/>
  <c r="N372" s="1"/>
  <c r="M371"/>
  <c r="N371" s="1"/>
  <c r="M370"/>
  <c r="N370" s="1"/>
  <c r="M369"/>
  <c r="N369" s="1"/>
  <c r="M368"/>
  <c r="N368" s="1"/>
  <c r="M367"/>
  <c r="N367" s="1"/>
  <c r="M366"/>
  <c r="N366" s="1"/>
  <c r="M365"/>
  <c r="N365" s="1"/>
  <c r="M364"/>
  <c r="N364" s="1"/>
  <c r="M363"/>
  <c r="N363" s="1"/>
  <c r="M362"/>
  <c r="N362" s="1"/>
  <c r="M361"/>
  <c r="N361" s="1"/>
  <c r="M360"/>
  <c r="N360" s="1"/>
  <c r="M359"/>
  <c r="N359" s="1"/>
  <c r="M358"/>
  <c r="N358" s="1"/>
  <c r="M357"/>
  <c r="N357" s="1"/>
  <c r="M356"/>
  <c r="N356" s="1"/>
  <c r="M355"/>
  <c r="N355" s="1"/>
  <c r="M354"/>
  <c r="N354" s="1"/>
  <c r="M353"/>
  <c r="N353" s="1"/>
  <c r="M352"/>
  <c r="N352" s="1"/>
  <c r="M351"/>
  <c r="N351" s="1"/>
  <c r="M350"/>
  <c r="N350" s="1"/>
  <c r="M349"/>
  <c r="N349" s="1"/>
  <c r="M348"/>
  <c r="N348" s="1"/>
  <c r="M347"/>
  <c r="N347" s="1"/>
  <c r="M346"/>
  <c r="N346" s="1"/>
  <c r="M345"/>
  <c r="N345" s="1"/>
  <c r="M344"/>
  <c r="N344" s="1"/>
  <c r="M343"/>
  <c r="N343" s="1"/>
  <c r="M342"/>
  <c r="N342" s="1"/>
  <c r="M341"/>
  <c r="N341" s="1"/>
  <c r="M340"/>
  <c r="N340" s="1"/>
  <c r="M339"/>
  <c r="N339" s="1"/>
  <c r="M338"/>
  <c r="N338" s="1"/>
  <c r="M337"/>
  <c r="N337" s="1"/>
  <c r="M336"/>
  <c r="N336" s="1"/>
  <c r="M335"/>
  <c r="N335" s="1"/>
  <c r="M334"/>
  <c r="N334" s="1"/>
  <c r="M333"/>
  <c r="N333" s="1"/>
  <c r="M332"/>
  <c r="N332" s="1"/>
  <c r="M331"/>
  <c r="N331" s="1"/>
  <c r="M330"/>
  <c r="N330" s="1"/>
  <c r="M329"/>
  <c r="N329" s="1"/>
  <c r="M328"/>
  <c r="N328" s="1"/>
  <c r="M327"/>
  <c r="N327" s="1"/>
  <c r="M326"/>
  <c r="N326" s="1"/>
  <c r="M325"/>
  <c r="N325" s="1"/>
  <c r="M324"/>
  <c r="N324" s="1"/>
  <c r="M323"/>
  <c r="N323" s="1"/>
  <c r="M322"/>
  <c r="N322" s="1"/>
  <c r="M321"/>
  <c r="N321" s="1"/>
  <c r="M320"/>
  <c r="N320" s="1"/>
  <c r="M319"/>
  <c r="N319" s="1"/>
  <c r="M318"/>
  <c r="N318" s="1"/>
  <c r="M317"/>
  <c r="N317" s="1"/>
  <c r="M316"/>
  <c r="N316" s="1"/>
  <c r="M315"/>
  <c r="N315" s="1"/>
  <c r="M314"/>
  <c r="N314" s="1"/>
  <c r="M313"/>
  <c r="N313" s="1"/>
  <c r="M312"/>
  <c r="N312" s="1"/>
  <c r="M311"/>
  <c r="N311" s="1"/>
  <c r="M310"/>
  <c r="N310" s="1"/>
  <c r="M309"/>
  <c r="N309" s="1"/>
  <c r="M308"/>
  <c r="N308" s="1"/>
  <c r="M307"/>
  <c r="N307" s="1"/>
  <c r="M306"/>
  <c r="N306" s="1"/>
  <c r="M305"/>
  <c r="N305" s="1"/>
  <c r="M304"/>
  <c r="N304" s="1"/>
  <c r="M303"/>
  <c r="N303" s="1"/>
  <c r="M302"/>
  <c r="N302" s="1"/>
  <c r="M301"/>
  <c r="N301" s="1"/>
  <c r="M300"/>
  <c r="N300" s="1"/>
  <c r="M299"/>
  <c r="N299" s="1"/>
  <c r="M298"/>
  <c r="N298" s="1"/>
  <c r="M297"/>
  <c r="N297" s="1"/>
  <c r="M296"/>
  <c r="N296" s="1"/>
  <c r="M295"/>
  <c r="N295" s="1"/>
  <c r="M294"/>
  <c r="N294" s="1"/>
  <c r="M293"/>
  <c r="N293" s="1"/>
  <c r="M292"/>
  <c r="N292" s="1"/>
  <c r="M291"/>
  <c r="N291" s="1"/>
  <c r="M290"/>
  <c r="N290" s="1"/>
  <c r="M289"/>
  <c r="N289" s="1"/>
  <c r="M288"/>
  <c r="N288" s="1"/>
  <c r="M287"/>
  <c r="N287" s="1"/>
  <c r="M286"/>
  <c r="N286" s="1"/>
  <c r="M285"/>
  <c r="N285" s="1"/>
  <c r="M284"/>
  <c r="N284" s="1"/>
  <c r="M283"/>
  <c r="N283" s="1"/>
  <c r="M282"/>
  <c r="N282" s="1"/>
  <c r="M281"/>
  <c r="N281" s="1"/>
  <c r="M280"/>
  <c r="N280" s="1"/>
  <c r="M279"/>
  <c r="N279" s="1"/>
  <c r="M278"/>
  <c r="N278" s="1"/>
  <c r="M277"/>
  <c r="N277" s="1"/>
  <c r="M276"/>
  <c r="N276" s="1"/>
  <c r="M275"/>
  <c r="N275" s="1"/>
  <c r="M274"/>
  <c r="N274" s="1"/>
  <c r="M273"/>
  <c r="N273" s="1"/>
  <c r="M272"/>
  <c r="N272" s="1"/>
  <c r="M271"/>
  <c r="N271" s="1"/>
  <c r="M270"/>
  <c r="N270" s="1"/>
  <c r="M269"/>
  <c r="N269" s="1"/>
  <c r="M268"/>
  <c r="N268" s="1"/>
  <c r="M267"/>
  <c r="N267" s="1"/>
  <c r="M266"/>
  <c r="N266" s="1"/>
  <c r="M265"/>
  <c r="N265" s="1"/>
  <c r="M264"/>
  <c r="N264" s="1"/>
  <c r="M263"/>
  <c r="N263" s="1"/>
  <c r="M262"/>
  <c r="N262" s="1"/>
  <c r="M261"/>
  <c r="N261" s="1"/>
  <c r="M260"/>
  <c r="N260" s="1"/>
  <c r="M259"/>
  <c r="N259" s="1"/>
  <c r="M258"/>
  <c r="N258" s="1"/>
  <c r="M257"/>
  <c r="N257" s="1"/>
  <c r="M256"/>
  <c r="N256" s="1"/>
  <c r="M255"/>
  <c r="N255" s="1"/>
  <c r="M254"/>
  <c r="N254" s="1"/>
  <c r="M253"/>
  <c r="N253" s="1"/>
  <c r="M252"/>
  <c r="N252" s="1"/>
  <c r="M251"/>
  <c r="N251" s="1"/>
  <c r="M250"/>
  <c r="N250" s="1"/>
  <c r="M249"/>
  <c r="N249" s="1"/>
  <c r="M248"/>
  <c r="N248" s="1"/>
  <c r="M247"/>
  <c r="N247" s="1"/>
  <c r="M246"/>
  <c r="N246" s="1"/>
  <c r="M245"/>
  <c r="N245" s="1"/>
  <c r="M244"/>
  <c r="N244" s="1"/>
  <c r="M243"/>
  <c r="N243" s="1"/>
  <c r="M242"/>
  <c r="N242" s="1"/>
  <c r="M241"/>
  <c r="N241" s="1"/>
  <c r="M240"/>
  <c r="N240" s="1"/>
  <c r="M239"/>
  <c r="N239" s="1"/>
  <c r="M238"/>
  <c r="N238" s="1"/>
  <c r="M237"/>
  <c r="N237" s="1"/>
  <c r="M236"/>
  <c r="N236" s="1"/>
  <c r="M235"/>
  <c r="N235" s="1"/>
  <c r="M234"/>
  <c r="N234" s="1"/>
  <c r="M233"/>
  <c r="N233" s="1"/>
  <c r="M232"/>
  <c r="N232" s="1"/>
  <c r="M231"/>
  <c r="N231" s="1"/>
  <c r="M230"/>
  <c r="N230" s="1"/>
  <c r="M229"/>
  <c r="N229" s="1"/>
  <c r="M228"/>
  <c r="N228" s="1"/>
  <c r="M227"/>
  <c r="N227" s="1"/>
  <c r="M226"/>
  <c r="N226" s="1"/>
  <c r="M225"/>
  <c r="N225" s="1"/>
  <c r="M224"/>
  <c r="N224" s="1"/>
  <c r="M223"/>
  <c r="N223" s="1"/>
  <c r="M222"/>
  <c r="N222" s="1"/>
  <c r="M221"/>
  <c r="N221" s="1"/>
  <c r="M220"/>
  <c r="N220" s="1"/>
  <c r="M219"/>
  <c r="N219" s="1"/>
  <c r="M218"/>
  <c r="N218" s="1"/>
  <c r="M217"/>
  <c r="N217" s="1"/>
  <c r="M216"/>
  <c r="N216" s="1"/>
  <c r="M215"/>
  <c r="N215" s="1"/>
  <c r="M214"/>
  <c r="N214" s="1"/>
  <c r="M213"/>
  <c r="N213" s="1"/>
  <c r="M212"/>
  <c r="N212" s="1"/>
  <c r="M211"/>
  <c r="N211" s="1"/>
  <c r="M210"/>
  <c r="N210" s="1"/>
  <c r="M209"/>
  <c r="N209" s="1"/>
  <c r="M208"/>
  <c r="N208" s="1"/>
  <c r="M207"/>
  <c r="N207" s="1"/>
  <c r="M206"/>
  <c r="N206" s="1"/>
  <c r="M205"/>
  <c r="N205" s="1"/>
  <c r="M204"/>
  <c r="N204" s="1"/>
  <c r="M203"/>
  <c r="N203" s="1"/>
  <c r="M202"/>
  <c r="N202" s="1"/>
  <c r="M201"/>
  <c r="N201" s="1"/>
  <c r="M200"/>
  <c r="N200" s="1"/>
  <c r="M199"/>
  <c r="N199" s="1"/>
  <c r="M198"/>
  <c r="N198" s="1"/>
  <c r="M197"/>
  <c r="N197" s="1"/>
  <c r="M196"/>
  <c r="N196" s="1"/>
  <c r="M195"/>
  <c r="N195" s="1"/>
  <c r="M194"/>
  <c r="N194" s="1"/>
  <c r="M193"/>
  <c r="N193" s="1"/>
  <c r="M192"/>
  <c r="N192" s="1"/>
  <c r="M191"/>
  <c r="N191" s="1"/>
  <c r="M190"/>
  <c r="N190" s="1"/>
  <c r="M189"/>
  <c r="N189" s="1"/>
  <c r="M188"/>
  <c r="N188" s="1"/>
  <c r="M187"/>
  <c r="N187" s="1"/>
  <c r="M186"/>
  <c r="N186" s="1"/>
  <c r="M185"/>
  <c r="N185" s="1"/>
  <c r="M184"/>
  <c r="N184" s="1"/>
  <c r="M183"/>
  <c r="N183" s="1"/>
  <c r="M182"/>
  <c r="N182" s="1"/>
  <c r="M181"/>
  <c r="N181" s="1"/>
  <c r="M180"/>
  <c r="N180" s="1"/>
  <c r="M179"/>
  <c r="N179" s="1"/>
  <c r="M178"/>
  <c r="N178" s="1"/>
  <c r="M177"/>
  <c r="N177" s="1"/>
  <c r="M176"/>
  <c r="N176" s="1"/>
  <c r="M175"/>
  <c r="N175" s="1"/>
  <c r="M174"/>
  <c r="N174" s="1"/>
  <c r="M173"/>
  <c r="N173" s="1"/>
  <c r="M172"/>
  <c r="N172" s="1"/>
  <c r="M171"/>
  <c r="N171" s="1"/>
  <c r="M170"/>
  <c r="N170" s="1"/>
  <c r="M169"/>
  <c r="N169" s="1"/>
  <c r="M168"/>
  <c r="N168" s="1"/>
  <c r="M167"/>
  <c r="N167" s="1"/>
  <c r="M166"/>
  <c r="N166" s="1"/>
  <c r="M165"/>
  <c r="N165" s="1"/>
  <c r="M164"/>
  <c r="N164" s="1"/>
  <c r="M163"/>
  <c r="N163" s="1"/>
  <c r="M162"/>
  <c r="N162" s="1"/>
  <c r="M161"/>
  <c r="N161" s="1"/>
  <c r="M160"/>
  <c r="N160" s="1"/>
  <c r="M159"/>
  <c r="N159" s="1"/>
  <c r="M158"/>
  <c r="N158" s="1"/>
  <c r="M157"/>
  <c r="N157" s="1"/>
  <c r="M156"/>
  <c r="N156" s="1"/>
  <c r="M155"/>
  <c r="N155" s="1"/>
  <c r="M154"/>
  <c r="N154" s="1"/>
  <c r="M153"/>
  <c r="N153" s="1"/>
  <c r="M152"/>
  <c r="N152" s="1"/>
  <c r="M151"/>
  <c r="N151" s="1"/>
  <c r="M150"/>
  <c r="N150" s="1"/>
  <c r="M149"/>
  <c r="N149" s="1"/>
  <c r="M148"/>
  <c r="N148" s="1"/>
  <c r="M147"/>
  <c r="N147" s="1"/>
  <c r="M146"/>
  <c r="N146" s="1"/>
  <c r="M145"/>
  <c r="N145" s="1"/>
  <c r="M144"/>
  <c r="N144" s="1"/>
  <c r="M143"/>
  <c r="N143" s="1"/>
  <c r="M142"/>
  <c r="N142" s="1"/>
  <c r="M141"/>
  <c r="N141" s="1"/>
  <c r="M140"/>
  <c r="N140" s="1"/>
  <c r="M139"/>
  <c r="N139" s="1"/>
  <c r="M138"/>
  <c r="N138" s="1"/>
  <c r="M137"/>
  <c r="N137" s="1"/>
  <c r="M136"/>
  <c r="N136" s="1"/>
  <c r="M135"/>
  <c r="N135" s="1"/>
  <c r="M134"/>
  <c r="N134" s="1"/>
  <c r="M133"/>
  <c r="N133" s="1"/>
  <c r="M132"/>
  <c r="N132" s="1"/>
  <c r="M131"/>
  <c r="N131" s="1"/>
  <c r="M130"/>
  <c r="N130" s="1"/>
  <c r="M129"/>
  <c r="N129" s="1"/>
  <c r="M128"/>
  <c r="N128" s="1"/>
  <c r="M127"/>
  <c r="N127" s="1"/>
  <c r="M126"/>
  <c r="N126" s="1"/>
  <c r="M125"/>
  <c r="N125" s="1"/>
  <c r="M124"/>
  <c r="N124" s="1"/>
  <c r="M123"/>
  <c r="N123" s="1"/>
  <c r="M122"/>
  <c r="N122" s="1"/>
  <c r="M121"/>
  <c r="N121" s="1"/>
  <c r="M120"/>
  <c r="N120" s="1"/>
  <c r="M119"/>
  <c r="N119" s="1"/>
  <c r="M118"/>
  <c r="N118" s="1"/>
  <c r="M117"/>
  <c r="N117" s="1"/>
  <c r="M116"/>
  <c r="N116" s="1"/>
  <c r="M115"/>
  <c r="N115" s="1"/>
  <c r="M114"/>
  <c r="N114" s="1"/>
  <c r="M113"/>
  <c r="N113" s="1"/>
  <c r="M112"/>
  <c r="N112" s="1"/>
  <c r="M111"/>
  <c r="N111" s="1"/>
  <c r="M110"/>
  <c r="N110" s="1"/>
  <c r="M109"/>
  <c r="N109" s="1"/>
  <c r="M108"/>
  <c r="N108" s="1"/>
  <c r="M107"/>
  <c r="N107" s="1"/>
  <c r="M106"/>
  <c r="N106" s="1"/>
  <c r="M105"/>
  <c r="N105" s="1"/>
  <c r="M104"/>
  <c r="N104" s="1"/>
  <c r="M103"/>
  <c r="N103" s="1"/>
  <c r="M102"/>
  <c r="N102" s="1"/>
  <c r="M101"/>
  <c r="N101" s="1"/>
  <c r="M100"/>
  <c r="N100" s="1"/>
  <c r="M99"/>
  <c r="N99" s="1"/>
  <c r="M98"/>
  <c r="N98" s="1"/>
  <c r="M97"/>
  <c r="N97" s="1"/>
  <c r="M96"/>
  <c r="N96" s="1"/>
  <c r="M95"/>
  <c r="N95" s="1"/>
  <c r="M94"/>
  <c r="N94" s="1"/>
  <c r="M93"/>
  <c r="N93" s="1"/>
  <c r="H384" i="10"/>
  <c r="O535" i="3"/>
  <c r="M534" i="5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534" i="7"/>
  <c r="N534" s="1"/>
  <c r="M533"/>
  <c r="N533" s="1"/>
  <c r="M532"/>
  <c r="N532" s="1"/>
  <c r="M531"/>
  <c r="N531" s="1"/>
  <c r="M530"/>
  <c r="N530" s="1"/>
  <c r="M529"/>
  <c r="N529" s="1"/>
  <c r="M528"/>
  <c r="N528" s="1"/>
  <c r="M527"/>
  <c r="N527" s="1"/>
  <c r="M526"/>
  <c r="N526" s="1"/>
  <c r="M525"/>
  <c r="N525" s="1"/>
  <c r="M524"/>
  <c r="N524" s="1"/>
  <c r="M523"/>
  <c r="N523" s="1"/>
  <c r="M522"/>
  <c r="N522" s="1"/>
  <c r="M521"/>
  <c r="N521" s="1"/>
  <c r="M520"/>
  <c r="N520" s="1"/>
  <c r="M519"/>
  <c r="N519" s="1"/>
  <c r="M518"/>
  <c r="N518" s="1"/>
  <c r="M517"/>
  <c r="N517" s="1"/>
  <c r="M516"/>
  <c r="N516" s="1"/>
  <c r="M515"/>
  <c r="N515" s="1"/>
  <c r="M514"/>
  <c r="N514" s="1"/>
  <c r="M513"/>
  <c r="N513" s="1"/>
  <c r="M512"/>
  <c r="N512" s="1"/>
  <c r="M511"/>
  <c r="N511" s="1"/>
  <c r="M510"/>
  <c r="N510" s="1"/>
  <c r="M509"/>
  <c r="N509" s="1"/>
  <c r="M508"/>
  <c r="N508" s="1"/>
  <c r="M507"/>
  <c r="N507" s="1"/>
  <c r="M506"/>
  <c r="N506" s="1"/>
  <c r="M505"/>
  <c r="N505" s="1"/>
  <c r="M504"/>
  <c r="N504" s="1"/>
  <c r="M503"/>
  <c r="N503" s="1"/>
  <c r="M502"/>
  <c r="N502" s="1"/>
  <c r="M501"/>
  <c r="N501" s="1"/>
  <c r="M500"/>
  <c r="N500" s="1"/>
  <c r="M499"/>
  <c r="N499" s="1"/>
  <c r="M498"/>
  <c r="N498" s="1"/>
  <c r="M497"/>
  <c r="N497" s="1"/>
  <c r="M496"/>
  <c r="N496" s="1"/>
  <c r="M495"/>
  <c r="N495" s="1"/>
  <c r="M494"/>
  <c r="N494" s="1"/>
  <c r="M493"/>
  <c r="N493" s="1"/>
  <c r="M492"/>
  <c r="N492" s="1"/>
  <c r="M491"/>
  <c r="N491" s="1"/>
  <c r="M490"/>
  <c r="N490" s="1"/>
  <c r="M489"/>
  <c r="N489" s="1"/>
  <c r="M488"/>
  <c r="N488" s="1"/>
  <c r="M487"/>
  <c r="N487" s="1"/>
  <c r="M486"/>
  <c r="N486" s="1"/>
  <c r="M485"/>
  <c r="N485" s="1"/>
  <c r="M484"/>
  <c r="N484" s="1"/>
  <c r="M483"/>
  <c r="N483" s="1"/>
  <c r="M482"/>
  <c r="N482" s="1"/>
  <c r="M481"/>
  <c r="N481" s="1"/>
  <c r="M480"/>
  <c r="N480" s="1"/>
  <c r="M479"/>
  <c r="N479" s="1"/>
  <c r="M478"/>
  <c r="N478" s="1"/>
  <c r="M477"/>
  <c r="N477" s="1"/>
  <c r="M476"/>
  <c r="N476" s="1"/>
  <c r="M475"/>
  <c r="N475" s="1"/>
  <c r="M474"/>
  <c r="N474" s="1"/>
  <c r="M473"/>
  <c r="N473" s="1"/>
  <c r="M472"/>
  <c r="N472" s="1"/>
  <c r="M471"/>
  <c r="N471" s="1"/>
  <c r="M470"/>
  <c r="N470" s="1"/>
  <c r="M469"/>
  <c r="N469" s="1"/>
  <c r="M468"/>
  <c r="N468" s="1"/>
  <c r="M467"/>
  <c r="N467" s="1"/>
  <c r="M466"/>
  <c r="N466" s="1"/>
  <c r="M465"/>
  <c r="N465" s="1"/>
  <c r="M464"/>
  <c r="N464" s="1"/>
  <c r="M463"/>
  <c r="N463" s="1"/>
  <c r="M462"/>
  <c r="N462" s="1"/>
  <c r="M461"/>
  <c r="N461" s="1"/>
  <c r="M460"/>
  <c r="N460" s="1"/>
  <c r="M459"/>
  <c r="N459" s="1"/>
  <c r="M458"/>
  <c r="N458" s="1"/>
  <c r="M457"/>
  <c r="N457" s="1"/>
  <c r="M456"/>
  <c r="N456" s="1"/>
  <c r="M455"/>
  <c r="N455" s="1"/>
  <c r="M454"/>
  <c r="N454" s="1"/>
  <c r="M453"/>
  <c r="N453" s="1"/>
  <c r="M452"/>
  <c r="N452" s="1"/>
  <c r="M451"/>
  <c r="N451" s="1"/>
  <c r="M450"/>
  <c r="N450" s="1"/>
  <c r="M449"/>
  <c r="N449" s="1"/>
  <c r="M448"/>
  <c r="N448" s="1"/>
  <c r="M447"/>
  <c r="N447" s="1"/>
  <c r="M446"/>
  <c r="N446" s="1"/>
  <c r="M445"/>
  <c r="N445" s="1"/>
  <c r="M444"/>
  <c r="N444" s="1"/>
  <c r="M443"/>
  <c r="N443" s="1"/>
  <c r="M442"/>
  <c r="N442" s="1"/>
  <c r="M441"/>
  <c r="N441" s="1"/>
  <c r="M440"/>
  <c r="N440" s="1"/>
  <c r="M439"/>
  <c r="N439" s="1"/>
  <c r="M438"/>
  <c r="N438" s="1"/>
  <c r="M437"/>
  <c r="N437" s="1"/>
  <c r="M436"/>
  <c r="N436" s="1"/>
  <c r="M435"/>
  <c r="N435" s="1"/>
  <c r="M434"/>
  <c r="N434" s="1"/>
  <c r="M433"/>
  <c r="N433" s="1"/>
  <c r="M432"/>
  <c r="N432" s="1"/>
  <c r="M431"/>
  <c r="N431" s="1"/>
  <c r="M430"/>
  <c r="N430" s="1"/>
  <c r="M429"/>
  <c r="N429" s="1"/>
  <c r="M428"/>
  <c r="N428" s="1"/>
  <c r="M427"/>
  <c r="N427" s="1"/>
  <c r="M426"/>
  <c r="N426" s="1"/>
  <c r="M425"/>
  <c r="N425" s="1"/>
  <c r="M424"/>
  <c r="N424" s="1"/>
  <c r="M423"/>
  <c r="N423" s="1"/>
  <c r="M422"/>
  <c r="N422" s="1"/>
  <c r="M421"/>
  <c r="N421" s="1"/>
  <c r="M420"/>
  <c r="N420" s="1"/>
  <c r="M419"/>
  <c r="N419" s="1"/>
  <c r="M418"/>
  <c r="N418" s="1"/>
  <c r="M417"/>
  <c r="N417" s="1"/>
  <c r="M416"/>
  <c r="N416" s="1"/>
  <c r="M415"/>
  <c r="N415" s="1"/>
  <c r="M414"/>
  <c r="N414" s="1"/>
  <c r="M413"/>
  <c r="N413" s="1"/>
  <c r="M412"/>
  <c r="N412" s="1"/>
  <c r="M411"/>
  <c r="N411" s="1"/>
  <c r="M410"/>
  <c r="N410" s="1"/>
  <c r="M409"/>
  <c r="N409" s="1"/>
  <c r="M408"/>
  <c r="N408" s="1"/>
  <c r="M407"/>
  <c r="N407" s="1"/>
  <c r="M406"/>
  <c r="N406" s="1"/>
  <c r="M405"/>
  <c r="N405" s="1"/>
  <c r="M404"/>
  <c r="N404" s="1"/>
  <c r="M403"/>
  <c r="N403" s="1"/>
  <c r="M402"/>
  <c r="N402" s="1"/>
  <c r="M401"/>
  <c r="N401" s="1"/>
  <c r="M400"/>
  <c r="N400" s="1"/>
  <c r="M399"/>
  <c r="N399" s="1"/>
  <c r="M398"/>
  <c r="N398" s="1"/>
  <c r="M397"/>
  <c r="N397" s="1"/>
  <c r="M396"/>
  <c r="N396" s="1"/>
  <c r="M395"/>
  <c r="N395" s="1"/>
  <c r="M394"/>
  <c r="N394" s="1"/>
  <c r="M393"/>
  <c r="N393" s="1"/>
  <c r="M392"/>
  <c r="N392" s="1"/>
  <c r="M391"/>
  <c r="N391" s="1"/>
  <c r="M390"/>
  <c r="N390" s="1"/>
  <c r="M389"/>
  <c r="N389" s="1"/>
  <c r="M388"/>
  <c r="N388" s="1"/>
  <c r="M387"/>
  <c r="N387" s="1"/>
  <c r="M386"/>
  <c r="N386" s="1"/>
  <c r="G386" i="14"/>
  <c r="M745" i="5"/>
  <c r="N745" s="1"/>
  <c r="R879" i="2"/>
  <c r="O879" i="3"/>
  <c r="R875" i="7"/>
  <c r="R874"/>
  <c r="R873"/>
  <c r="R872"/>
  <c r="R871"/>
  <c r="R870"/>
  <c r="R869"/>
  <c r="R868"/>
  <c r="R867"/>
  <c r="R866"/>
  <c r="R865"/>
  <c r="R864"/>
  <c r="R863"/>
  <c r="R862"/>
  <c r="R861"/>
  <c r="R860"/>
  <c r="R859"/>
  <c r="R858"/>
  <c r="R857"/>
  <c r="R856"/>
  <c r="R855"/>
  <c r="R854"/>
  <c r="R853"/>
  <c r="R852"/>
  <c r="R851"/>
  <c r="R850"/>
  <c r="R849"/>
  <c r="R848"/>
  <c r="R847"/>
  <c r="R846"/>
  <c r="R845"/>
  <c r="R844"/>
  <c r="R843"/>
  <c r="R842"/>
  <c r="R841"/>
  <c r="R840"/>
  <c r="R839"/>
  <c r="R838"/>
  <c r="R837"/>
  <c r="R836"/>
  <c r="R835"/>
  <c r="R834"/>
  <c r="R833"/>
  <c r="R832"/>
  <c r="R831"/>
  <c r="R830"/>
  <c r="R829"/>
  <c r="R828"/>
  <c r="R827"/>
  <c r="R826"/>
  <c r="R825"/>
  <c r="R824"/>
  <c r="R823"/>
  <c r="R822"/>
  <c r="R821"/>
  <c r="R820"/>
  <c r="R819"/>
  <c r="R818"/>
  <c r="R817"/>
  <c r="R816"/>
  <c r="R815"/>
  <c r="R814"/>
  <c r="R813"/>
  <c r="R812"/>
  <c r="R811"/>
  <c r="R810"/>
  <c r="R809"/>
  <c r="R808"/>
  <c r="R807"/>
  <c r="R806"/>
  <c r="R805"/>
  <c r="R804"/>
  <c r="R803"/>
  <c r="R802"/>
  <c r="R801"/>
  <c r="R800"/>
  <c r="R799"/>
  <c r="R798"/>
  <c r="R797"/>
  <c r="R796"/>
  <c r="R795"/>
  <c r="R794"/>
  <c r="R793"/>
  <c r="R792"/>
  <c r="R791"/>
  <c r="R790"/>
  <c r="R789"/>
  <c r="R788"/>
  <c r="R787"/>
  <c r="R786"/>
  <c r="R785"/>
  <c r="R784"/>
  <c r="R783"/>
  <c r="R782"/>
  <c r="R781"/>
  <c r="R780"/>
  <c r="R779"/>
  <c r="R778"/>
  <c r="R777"/>
  <c r="R776"/>
  <c r="R775"/>
  <c r="R774"/>
  <c r="R773"/>
  <c r="R772"/>
  <c r="R771"/>
  <c r="R770"/>
  <c r="R769"/>
  <c r="R768"/>
  <c r="R767"/>
  <c r="R766"/>
  <c r="R765"/>
  <c r="R764"/>
  <c r="R763"/>
  <c r="R762"/>
  <c r="R761"/>
  <c r="R760"/>
  <c r="R759"/>
  <c r="R758"/>
  <c r="R757"/>
  <c r="R756"/>
  <c r="R755"/>
  <c r="R754"/>
  <c r="R753"/>
  <c r="R752"/>
  <c r="R751"/>
  <c r="R750"/>
  <c r="R749"/>
  <c r="O1146" i="3"/>
  <c r="K1146" i="5"/>
  <c r="L1146" s="1"/>
  <c r="R1144"/>
  <c r="H1145" i="9"/>
  <c r="I1145" s="1"/>
  <c r="M1145" s="1"/>
  <c r="H1144"/>
  <c r="I1144" s="1"/>
  <c r="M1144" s="1"/>
  <c r="H1143"/>
  <c r="I1143" s="1"/>
  <c r="M1143" s="1"/>
  <c r="H1142"/>
  <c r="I1142" s="1"/>
  <c r="M1142" s="1"/>
  <c r="H1141"/>
  <c r="I1141" s="1"/>
  <c r="M1141" s="1"/>
  <c r="H1140"/>
  <c r="I1140" s="1"/>
  <c r="M1140" s="1"/>
  <c r="H1139"/>
  <c r="I1139" s="1"/>
  <c r="M1139" s="1"/>
  <c r="H1138"/>
  <c r="I1138" s="1"/>
  <c r="M1138" s="1"/>
  <c r="H1137"/>
  <c r="I1137" s="1"/>
  <c r="M1137" s="1"/>
  <c r="H1136"/>
  <c r="I1136" s="1"/>
  <c r="M1136" s="1"/>
  <c r="H1135"/>
  <c r="I1135" s="1"/>
  <c r="M1135" s="1"/>
  <c r="H1134"/>
  <c r="I1134" s="1"/>
  <c r="M1134" s="1"/>
  <c r="H1133"/>
  <c r="I1133" s="1"/>
  <c r="M1133" s="1"/>
  <c r="H1132"/>
  <c r="I1132" s="1"/>
  <c r="M1132" s="1"/>
  <c r="H1131"/>
  <c r="I1131" s="1"/>
  <c r="M1131" s="1"/>
  <c r="H1130"/>
  <c r="I1130" s="1"/>
  <c r="M1130" s="1"/>
  <c r="H1129"/>
  <c r="I1129" s="1"/>
  <c r="M1129" s="1"/>
  <c r="H1128"/>
  <c r="I1128" s="1"/>
  <c r="M1128" s="1"/>
  <c r="H1127"/>
  <c r="I1127" s="1"/>
  <c r="M1127" s="1"/>
  <c r="H1126"/>
  <c r="I1126" s="1"/>
  <c r="M1126" s="1"/>
  <c r="H1125"/>
  <c r="I1125" s="1"/>
  <c r="M1125" s="1"/>
  <c r="H1124"/>
  <c r="I1124" s="1"/>
  <c r="M1124" s="1"/>
  <c r="H1123"/>
  <c r="I1123" s="1"/>
  <c r="M1123" s="1"/>
  <c r="H1122"/>
  <c r="I1122" s="1"/>
  <c r="M1122" s="1"/>
  <c r="H1121"/>
  <c r="I1121" s="1"/>
  <c r="M1121" s="1"/>
  <c r="H1120"/>
  <c r="I1120" s="1"/>
  <c r="M1120" s="1"/>
  <c r="H1119"/>
  <c r="I1119" s="1"/>
  <c r="M1119" s="1"/>
  <c r="H1118"/>
  <c r="I1118" s="1"/>
  <c r="M1118" s="1"/>
  <c r="H1117"/>
  <c r="I1117" s="1"/>
  <c r="M1117" s="1"/>
  <c r="H1116"/>
  <c r="I1116" s="1"/>
  <c r="M1116" s="1"/>
  <c r="H1115"/>
  <c r="I1115" s="1"/>
  <c r="M1115" s="1"/>
  <c r="H1114"/>
  <c r="I1114" s="1"/>
  <c r="M1114" s="1"/>
  <c r="H1113"/>
  <c r="I1113" s="1"/>
  <c r="M1113" s="1"/>
  <c r="H1112"/>
  <c r="I1112" s="1"/>
  <c r="M1112" s="1"/>
  <c r="H1111"/>
  <c r="I1111" s="1"/>
  <c r="M1111" s="1"/>
  <c r="H1110"/>
  <c r="I1110" s="1"/>
  <c r="M1110" s="1"/>
  <c r="H1109"/>
  <c r="I1109" s="1"/>
  <c r="M1109" s="1"/>
  <c r="H1108"/>
  <c r="I1108" s="1"/>
  <c r="M1108" s="1"/>
  <c r="H1107"/>
  <c r="I1107" s="1"/>
  <c r="M1107" s="1"/>
  <c r="H1106"/>
  <c r="I1106" s="1"/>
  <c r="M1106" s="1"/>
  <c r="H1105"/>
  <c r="I1105" s="1"/>
  <c r="M1105" s="1"/>
  <c r="H1104"/>
  <c r="I1104" s="1"/>
  <c r="M1104" s="1"/>
  <c r="H1103"/>
  <c r="I1103" s="1"/>
  <c r="M1103" s="1"/>
  <c r="H1102"/>
  <c r="I1102" s="1"/>
  <c r="M1102" s="1"/>
  <c r="H1101"/>
  <c r="I1101" s="1"/>
  <c r="M1101" s="1"/>
  <c r="H1100"/>
  <c r="I1100" s="1"/>
  <c r="M1100" s="1"/>
  <c r="H1099"/>
  <c r="I1099" s="1"/>
  <c r="M1099" s="1"/>
  <c r="H1098"/>
  <c r="I1098" s="1"/>
  <c r="M1098" s="1"/>
  <c r="H1097"/>
  <c r="I1097" s="1"/>
  <c r="M1097" s="1"/>
  <c r="H1096"/>
  <c r="I1096" s="1"/>
  <c r="M1096" s="1"/>
  <c r="H1095"/>
  <c r="I1095" s="1"/>
  <c r="M1095" s="1"/>
  <c r="H1094"/>
  <c r="I1094" s="1"/>
  <c r="M1094" s="1"/>
  <c r="H1093"/>
  <c r="I1093" s="1"/>
  <c r="M1093" s="1"/>
  <c r="H1092"/>
  <c r="I1092" s="1"/>
  <c r="M1092" s="1"/>
  <c r="H1091"/>
  <c r="I1091" s="1"/>
  <c r="M1091" s="1"/>
  <c r="H1090"/>
  <c r="I1090" s="1"/>
  <c r="M1090" s="1"/>
  <c r="H1089"/>
  <c r="I1089" s="1"/>
  <c r="M1089" s="1"/>
  <c r="H1088"/>
  <c r="I1088" s="1"/>
  <c r="M1088" s="1"/>
  <c r="H1087"/>
  <c r="I1087" s="1"/>
  <c r="M1087" s="1"/>
  <c r="H1086"/>
  <c r="I1086" s="1"/>
  <c r="M1086" s="1"/>
  <c r="H1085"/>
  <c r="I1085" s="1"/>
  <c r="M1085" s="1"/>
  <c r="H1084"/>
  <c r="I1084" s="1"/>
  <c r="M1084" s="1"/>
  <c r="H1083"/>
  <c r="I1083" s="1"/>
  <c r="M1083" s="1"/>
  <c r="H1082"/>
  <c r="I1082" s="1"/>
  <c r="M1082" s="1"/>
  <c r="H1081"/>
  <c r="I1081" s="1"/>
  <c r="M1081" s="1"/>
  <c r="H1080"/>
  <c r="I1080" s="1"/>
  <c r="M1080" s="1"/>
  <c r="H1079"/>
  <c r="I1079" s="1"/>
  <c r="M1079" s="1"/>
  <c r="H1078"/>
  <c r="I1078" s="1"/>
  <c r="M1078" s="1"/>
  <c r="H1077"/>
  <c r="I1077" s="1"/>
  <c r="M1077" s="1"/>
  <c r="H1076"/>
  <c r="I1076" s="1"/>
  <c r="M1076" s="1"/>
  <c r="H1075"/>
  <c r="I1075" s="1"/>
  <c r="M1075" s="1"/>
  <c r="H1074"/>
  <c r="I1074" s="1"/>
  <c r="M1074" s="1"/>
  <c r="H1073"/>
  <c r="I1073" s="1"/>
  <c r="M1073" s="1"/>
  <c r="H1072"/>
  <c r="I1072" s="1"/>
  <c r="M1072" s="1"/>
  <c r="H1071"/>
  <c r="I1071" s="1"/>
  <c r="M1071" s="1"/>
  <c r="H1070"/>
  <c r="I1070" s="1"/>
  <c r="M1070" s="1"/>
  <c r="H1069"/>
  <c r="I1069" s="1"/>
  <c r="M1069" s="1"/>
  <c r="H1068"/>
  <c r="I1068" s="1"/>
  <c r="M1068" s="1"/>
  <c r="H1067"/>
  <c r="I1067" s="1"/>
  <c r="M1067" s="1"/>
  <c r="H1066"/>
  <c r="I1066" s="1"/>
  <c r="M1066" s="1"/>
  <c r="H1065"/>
  <c r="I1065" s="1"/>
  <c r="M1065" s="1"/>
  <c r="H1064"/>
  <c r="I1064" s="1"/>
  <c r="M1064" s="1"/>
  <c r="H1063"/>
  <c r="I1063" s="1"/>
  <c r="M1063" s="1"/>
  <c r="H1062"/>
  <c r="I1062" s="1"/>
  <c r="M1062" s="1"/>
  <c r="H1061"/>
  <c r="I1061" s="1"/>
  <c r="M1061" s="1"/>
  <c r="H1060"/>
  <c r="I1060" s="1"/>
  <c r="M1060" s="1"/>
  <c r="H1059"/>
  <c r="I1059" s="1"/>
  <c r="M1059" s="1"/>
  <c r="H1058"/>
  <c r="I1058" s="1"/>
  <c r="M1058" s="1"/>
  <c r="H1057"/>
  <c r="I1057" s="1"/>
  <c r="M1057" s="1"/>
  <c r="H1056"/>
  <c r="I1056" s="1"/>
  <c r="M1056" s="1"/>
  <c r="H1055"/>
  <c r="I1055" s="1"/>
  <c r="M1055" s="1"/>
  <c r="H1054"/>
  <c r="I1054" s="1"/>
  <c r="M1054" s="1"/>
  <c r="H1053"/>
  <c r="I1053" s="1"/>
  <c r="M1053" s="1"/>
  <c r="H1052"/>
  <c r="I1052" s="1"/>
  <c r="M1052" s="1"/>
  <c r="H1051"/>
  <c r="I1051" s="1"/>
  <c r="M1051" s="1"/>
  <c r="H1050"/>
  <c r="I1050" s="1"/>
  <c r="M1050" s="1"/>
  <c r="H1049"/>
  <c r="I1049" s="1"/>
  <c r="M1049" s="1"/>
  <c r="H1048"/>
  <c r="I1048" s="1"/>
  <c r="M1048" s="1"/>
  <c r="H1047"/>
  <c r="I1047" s="1"/>
  <c r="M1047" s="1"/>
  <c r="H1046"/>
  <c r="I1046" s="1"/>
  <c r="M1046" s="1"/>
  <c r="H1045"/>
  <c r="I1045" s="1"/>
  <c r="M1045" s="1"/>
  <c r="H1044"/>
  <c r="I1044" s="1"/>
  <c r="M1044" s="1"/>
  <c r="H1043"/>
  <c r="I1043" s="1"/>
  <c r="M1043" s="1"/>
  <c r="H1042"/>
  <c r="I1042" s="1"/>
  <c r="M1042" s="1"/>
  <c r="H1041"/>
  <c r="I1041" s="1"/>
  <c r="M1041" s="1"/>
  <c r="H1040"/>
  <c r="I1040" s="1"/>
  <c r="M1040" s="1"/>
  <c r="H1039"/>
  <c r="I1039" s="1"/>
  <c r="M1039" s="1"/>
  <c r="H1038"/>
  <c r="I1038" s="1"/>
  <c r="M1038" s="1"/>
  <c r="H1037"/>
  <c r="I1037" s="1"/>
  <c r="M1037" s="1"/>
  <c r="H1036"/>
  <c r="I1036" s="1"/>
  <c r="M1036" s="1"/>
  <c r="H1035"/>
  <c r="I1035" s="1"/>
  <c r="M1035" s="1"/>
  <c r="H1034"/>
  <c r="I1034" s="1"/>
  <c r="M1034" s="1"/>
  <c r="H1033"/>
  <c r="I1033" s="1"/>
  <c r="M1033" s="1"/>
  <c r="H1032"/>
  <c r="I1032" s="1"/>
  <c r="M1032" s="1"/>
  <c r="H1031"/>
  <c r="I1031" s="1"/>
  <c r="M1031" s="1"/>
  <c r="H1030"/>
  <c r="I1030" s="1"/>
  <c r="M1030" s="1"/>
  <c r="H1029"/>
  <c r="I1029" s="1"/>
  <c r="M1029" s="1"/>
  <c r="H1028"/>
  <c r="I1028" s="1"/>
  <c r="M1028" s="1"/>
  <c r="H1027"/>
  <c r="I1027" s="1"/>
  <c r="M1027" s="1"/>
  <c r="H1026"/>
  <c r="I1026" s="1"/>
  <c r="M1026" s="1"/>
  <c r="H1025"/>
  <c r="I1025" s="1"/>
  <c r="M1025" s="1"/>
  <c r="H1024"/>
  <c r="I1024" s="1"/>
  <c r="M1024" s="1"/>
  <c r="H1023"/>
  <c r="I1023" s="1"/>
  <c r="M1023" s="1"/>
  <c r="H1022"/>
  <c r="I1022" s="1"/>
  <c r="M1022" s="1"/>
  <c r="H1021"/>
  <c r="I1021" s="1"/>
  <c r="M1021" s="1"/>
  <c r="H1020"/>
  <c r="I1020" s="1"/>
  <c r="M1020" s="1"/>
  <c r="H1019"/>
  <c r="I1019" s="1"/>
  <c r="M1019" s="1"/>
  <c r="H1018"/>
  <c r="I1018" s="1"/>
  <c r="M1018" s="1"/>
  <c r="H1017"/>
  <c r="I1017" s="1"/>
  <c r="M1017" s="1"/>
  <c r="H1016"/>
  <c r="I1016" s="1"/>
  <c r="M1016" s="1"/>
  <c r="H1015"/>
  <c r="I1015" s="1"/>
  <c r="M1015" s="1"/>
  <c r="H1014"/>
  <c r="I1014" s="1"/>
  <c r="M1014" s="1"/>
  <c r="H1013"/>
  <c r="I1013" s="1"/>
  <c r="M1013" s="1"/>
  <c r="H1012"/>
  <c r="I1012" s="1"/>
  <c r="M1012" s="1"/>
  <c r="H1011"/>
  <c r="I1011" s="1"/>
  <c r="M1011" s="1"/>
  <c r="H1010"/>
  <c r="I1010" s="1"/>
  <c r="M1010" s="1"/>
  <c r="H1009"/>
  <c r="I1009" s="1"/>
  <c r="M1009" s="1"/>
  <c r="H1008"/>
  <c r="I1008" s="1"/>
  <c r="M1008" s="1"/>
  <c r="H1007"/>
  <c r="I1007" s="1"/>
  <c r="M1007" s="1"/>
  <c r="H1006"/>
  <c r="I1006" s="1"/>
  <c r="M1006" s="1"/>
  <c r="H1005"/>
  <c r="I1005" s="1"/>
  <c r="M1005" s="1"/>
  <c r="H1004"/>
  <c r="I1004" s="1"/>
  <c r="M1004" s="1"/>
  <c r="H1003"/>
  <c r="I1003" s="1"/>
  <c r="M1003" s="1"/>
  <c r="H1002"/>
  <c r="I1002" s="1"/>
  <c r="M1002" s="1"/>
  <c r="H1001"/>
  <c r="I1001" s="1"/>
  <c r="M1001" s="1"/>
  <c r="H1000"/>
  <c r="I1000" s="1"/>
  <c r="M1000" s="1"/>
  <c r="H999"/>
  <c r="I999" s="1"/>
  <c r="M999" s="1"/>
  <c r="H998"/>
  <c r="I998" s="1"/>
  <c r="M998" s="1"/>
  <c r="H997"/>
  <c r="I997" s="1"/>
  <c r="M997" s="1"/>
  <c r="H996"/>
  <c r="I996" s="1"/>
  <c r="M996" s="1"/>
  <c r="H995"/>
  <c r="I995" s="1"/>
  <c r="M995" s="1"/>
  <c r="H994"/>
  <c r="I994" s="1"/>
  <c r="M994" s="1"/>
  <c r="H993"/>
  <c r="I993" s="1"/>
  <c r="M993" s="1"/>
  <c r="H992"/>
  <c r="I992" s="1"/>
  <c r="M992" s="1"/>
  <c r="H991"/>
  <c r="I991" s="1"/>
  <c r="M991" s="1"/>
  <c r="H990"/>
  <c r="I990" s="1"/>
  <c r="M990" s="1"/>
  <c r="H989"/>
  <c r="I989" s="1"/>
  <c r="M989" s="1"/>
  <c r="H988"/>
  <c r="I988" s="1"/>
  <c r="M988" s="1"/>
  <c r="H987"/>
  <c r="I987" s="1"/>
  <c r="M987" s="1"/>
  <c r="H986"/>
  <c r="I986" s="1"/>
  <c r="M986" s="1"/>
  <c r="H985"/>
  <c r="I985" s="1"/>
  <c r="M985" s="1"/>
  <c r="H984"/>
  <c r="I984" s="1"/>
  <c r="M984" s="1"/>
  <c r="H983"/>
  <c r="I983" s="1"/>
  <c r="M983" s="1"/>
  <c r="H982"/>
  <c r="I982" s="1"/>
  <c r="M982" s="1"/>
  <c r="H981"/>
  <c r="I981" s="1"/>
  <c r="M981" s="1"/>
  <c r="H980"/>
  <c r="I980" s="1"/>
  <c r="M980" s="1"/>
  <c r="H979"/>
  <c r="I979" s="1"/>
  <c r="M979" s="1"/>
  <c r="H978"/>
  <c r="I978" s="1"/>
  <c r="M978" s="1"/>
  <c r="H977"/>
  <c r="I977" s="1"/>
  <c r="M977" s="1"/>
  <c r="H976"/>
  <c r="I976" s="1"/>
  <c r="M976" s="1"/>
  <c r="H975"/>
  <c r="I975" s="1"/>
  <c r="M975" s="1"/>
  <c r="H974"/>
  <c r="I974" s="1"/>
  <c r="M974" s="1"/>
  <c r="H973"/>
  <c r="I973" s="1"/>
  <c r="M973" s="1"/>
  <c r="H972"/>
  <c r="I972" s="1"/>
  <c r="M972" s="1"/>
  <c r="H971"/>
  <c r="I971" s="1"/>
  <c r="M971" s="1"/>
  <c r="H970"/>
  <c r="I970" s="1"/>
  <c r="M970" s="1"/>
  <c r="H969"/>
  <c r="I969" s="1"/>
  <c r="M969" s="1"/>
  <c r="H968"/>
  <c r="I968" s="1"/>
  <c r="M968" s="1"/>
  <c r="H967"/>
  <c r="I967" s="1"/>
  <c r="M967" s="1"/>
  <c r="H966"/>
  <c r="I966" s="1"/>
  <c r="M966" s="1"/>
  <c r="H965"/>
  <c r="I965" s="1"/>
  <c r="M965" s="1"/>
  <c r="H964"/>
  <c r="I964" s="1"/>
  <c r="M964" s="1"/>
  <c r="H963"/>
  <c r="I963" s="1"/>
  <c r="M963" s="1"/>
  <c r="H962"/>
  <c r="I962" s="1"/>
  <c r="M962" s="1"/>
  <c r="H961"/>
  <c r="I961" s="1"/>
  <c r="M961" s="1"/>
  <c r="H960"/>
  <c r="I960" s="1"/>
  <c r="M960" s="1"/>
  <c r="H959"/>
  <c r="I959" s="1"/>
  <c r="M959" s="1"/>
  <c r="H958"/>
  <c r="I958" s="1"/>
  <c r="M958" s="1"/>
  <c r="H957"/>
  <c r="I957" s="1"/>
  <c r="M957" s="1"/>
  <c r="H956"/>
  <c r="I956" s="1"/>
  <c r="M956" s="1"/>
  <c r="H955"/>
  <c r="I955" s="1"/>
  <c r="M955" s="1"/>
  <c r="H954"/>
  <c r="I954" s="1"/>
  <c r="M954" s="1"/>
  <c r="H953"/>
  <c r="I953" s="1"/>
  <c r="M953" s="1"/>
  <c r="H952"/>
  <c r="I952" s="1"/>
  <c r="M952" s="1"/>
  <c r="H951"/>
  <c r="I951" s="1"/>
  <c r="M951" s="1"/>
  <c r="H950"/>
  <c r="I950" s="1"/>
  <c r="M950" s="1"/>
  <c r="H949"/>
  <c r="I949" s="1"/>
  <c r="M949" s="1"/>
  <c r="H948"/>
  <c r="I948" s="1"/>
  <c r="M948" s="1"/>
  <c r="H947"/>
  <c r="I947" s="1"/>
  <c r="M947" s="1"/>
  <c r="H946"/>
  <c r="I946" s="1"/>
  <c r="M946" s="1"/>
  <c r="H945"/>
  <c r="I945" s="1"/>
  <c r="M945" s="1"/>
  <c r="H944"/>
  <c r="I944" s="1"/>
  <c r="M944" s="1"/>
  <c r="H943"/>
  <c r="I943" s="1"/>
  <c r="M943" s="1"/>
  <c r="H942"/>
  <c r="I942" s="1"/>
  <c r="M942" s="1"/>
  <c r="H941"/>
  <c r="I941" s="1"/>
  <c r="M941" s="1"/>
  <c r="H940"/>
  <c r="I940" s="1"/>
  <c r="M940" s="1"/>
  <c r="H939"/>
  <c r="I939" s="1"/>
  <c r="M939" s="1"/>
  <c r="H938"/>
  <c r="I938" s="1"/>
  <c r="M938" s="1"/>
  <c r="H937"/>
  <c r="I937" s="1"/>
  <c r="M937" s="1"/>
  <c r="H936"/>
  <c r="I936" s="1"/>
  <c r="M936" s="1"/>
  <c r="H935"/>
  <c r="I935" s="1"/>
  <c r="M935" s="1"/>
  <c r="H934"/>
  <c r="I934" s="1"/>
  <c r="M934" s="1"/>
  <c r="H933"/>
  <c r="I933" s="1"/>
  <c r="M933" s="1"/>
  <c r="H932"/>
  <c r="I932" s="1"/>
  <c r="M932" s="1"/>
  <c r="H931"/>
  <c r="I931" s="1"/>
  <c r="M931" s="1"/>
  <c r="H930"/>
  <c r="I930" s="1"/>
  <c r="M930" s="1"/>
  <c r="H929"/>
  <c r="I929" s="1"/>
  <c r="M929" s="1"/>
  <c r="H928"/>
  <c r="I928" s="1"/>
  <c r="M928" s="1"/>
  <c r="H927"/>
  <c r="I927" s="1"/>
  <c r="M927" s="1"/>
  <c r="H926"/>
  <c r="I926" s="1"/>
  <c r="M926" s="1"/>
  <c r="H925"/>
  <c r="I925" s="1"/>
  <c r="M925" s="1"/>
  <c r="H924"/>
  <c r="I924" s="1"/>
  <c r="M924" s="1"/>
  <c r="H923"/>
  <c r="I923" s="1"/>
  <c r="M923" s="1"/>
  <c r="H922"/>
  <c r="I922" s="1"/>
  <c r="M922" s="1"/>
  <c r="H921"/>
  <c r="I921" s="1"/>
  <c r="M921" s="1"/>
  <c r="H920"/>
  <c r="I920" s="1"/>
  <c r="M920" s="1"/>
  <c r="H919"/>
  <c r="I919" s="1"/>
  <c r="M919" s="1"/>
  <c r="H918"/>
  <c r="I918" s="1"/>
  <c r="M918" s="1"/>
  <c r="H917"/>
  <c r="I917" s="1"/>
  <c r="M917" s="1"/>
  <c r="H916"/>
  <c r="I916" s="1"/>
  <c r="M916" s="1"/>
  <c r="H915"/>
  <c r="I915" s="1"/>
  <c r="M915" s="1"/>
  <c r="H914"/>
  <c r="I914" s="1"/>
  <c r="M914" s="1"/>
  <c r="H913"/>
  <c r="I913" s="1"/>
  <c r="M913" s="1"/>
  <c r="H912"/>
  <c r="I912" s="1"/>
  <c r="M912" s="1"/>
  <c r="H911"/>
  <c r="I911" s="1"/>
  <c r="M911" s="1"/>
  <c r="H910"/>
  <c r="I910" s="1"/>
  <c r="M910" s="1"/>
  <c r="H909"/>
  <c r="I909" s="1"/>
  <c r="M909" s="1"/>
  <c r="H908"/>
  <c r="I908" s="1"/>
  <c r="M908" s="1"/>
  <c r="H907"/>
  <c r="I907" s="1"/>
  <c r="M907" s="1"/>
  <c r="H906"/>
  <c r="I906" s="1"/>
  <c r="M906" s="1"/>
  <c r="H905"/>
  <c r="I905" s="1"/>
  <c r="M905" s="1"/>
  <c r="H904"/>
  <c r="I904" s="1"/>
  <c r="M904" s="1"/>
  <c r="H903"/>
  <c r="I903" s="1"/>
  <c r="M903" s="1"/>
  <c r="H902"/>
  <c r="I902" s="1"/>
  <c r="M902" s="1"/>
  <c r="H901"/>
  <c r="I901" s="1"/>
  <c r="M901" s="1"/>
  <c r="H900"/>
  <c r="I900" s="1"/>
  <c r="M900" s="1"/>
  <c r="H899"/>
  <c r="I899" s="1"/>
  <c r="M899" s="1"/>
  <c r="H898"/>
  <c r="I898" s="1"/>
  <c r="M898" s="1"/>
  <c r="H897"/>
  <c r="I897" s="1"/>
  <c r="M897" s="1"/>
  <c r="H896"/>
  <c r="I896" s="1"/>
  <c r="M896" s="1"/>
  <c r="H895"/>
  <c r="I895" s="1"/>
  <c r="M895" s="1"/>
  <c r="H894"/>
  <c r="I894" s="1"/>
  <c r="M894" s="1"/>
  <c r="H893"/>
  <c r="I893" s="1"/>
  <c r="M893" s="1"/>
  <c r="H892"/>
  <c r="I892" s="1"/>
  <c r="M892" s="1"/>
  <c r="H891"/>
  <c r="I891" s="1"/>
  <c r="M891" s="1"/>
  <c r="H890"/>
  <c r="I890" s="1"/>
  <c r="M890" s="1"/>
  <c r="H889"/>
  <c r="I889" s="1"/>
  <c r="M889" s="1"/>
  <c r="H888"/>
  <c r="I888" s="1"/>
  <c r="M888" s="1"/>
  <c r="H887"/>
  <c r="I887" s="1"/>
  <c r="M887" s="1"/>
  <c r="H886"/>
  <c r="I886" s="1"/>
  <c r="M886" s="1"/>
  <c r="H885"/>
  <c r="I885" s="1"/>
  <c r="M885" s="1"/>
  <c r="H884"/>
  <c r="I884" s="1"/>
  <c r="M884" s="1"/>
  <c r="H883"/>
  <c r="I883" s="1"/>
  <c r="M883" s="1"/>
  <c r="H882"/>
  <c r="I882" s="1"/>
  <c r="M882" s="1"/>
  <c r="H881"/>
  <c r="I881" s="1"/>
  <c r="M881" s="1"/>
  <c r="P1145" i="7"/>
  <c r="P1144"/>
  <c r="P1143"/>
  <c r="P1142"/>
  <c r="P1141"/>
  <c r="P1140"/>
  <c r="P1139"/>
  <c r="P1138"/>
  <c r="P1137"/>
  <c r="P1136"/>
  <c r="P1135"/>
  <c r="P1134"/>
  <c r="P1133"/>
  <c r="P1132"/>
  <c r="P1131"/>
  <c r="P1130"/>
  <c r="P1129"/>
  <c r="P1128"/>
  <c r="P1127"/>
  <c r="P1126"/>
  <c r="P1125"/>
  <c r="P1124"/>
  <c r="P1123"/>
  <c r="P1122"/>
  <c r="P1121"/>
  <c r="P1120"/>
  <c r="P1119"/>
  <c r="P1118"/>
  <c r="P1117"/>
  <c r="P1116"/>
  <c r="P1115"/>
  <c r="P1114"/>
  <c r="P1113"/>
  <c r="P1112"/>
  <c r="P1111"/>
  <c r="P1110"/>
  <c r="P1109"/>
  <c r="P1108"/>
  <c r="P1107"/>
  <c r="P1106"/>
  <c r="P1105"/>
  <c r="P1104"/>
  <c r="P1103"/>
  <c r="P1102"/>
  <c r="P1101"/>
  <c r="P1100"/>
  <c r="P1099"/>
  <c r="P1098"/>
  <c r="P1097"/>
  <c r="P1096"/>
  <c r="P1095"/>
  <c r="P1094"/>
  <c r="P1093"/>
  <c r="P1092"/>
  <c r="P1091"/>
  <c r="P1090"/>
  <c r="P1089"/>
  <c r="P1088"/>
  <c r="P1087"/>
  <c r="P1086"/>
  <c r="P1085"/>
  <c r="P1084"/>
  <c r="P1083"/>
  <c r="P1082"/>
  <c r="P1081"/>
  <c r="P1080"/>
  <c r="P1079"/>
  <c r="P1078"/>
  <c r="P1077"/>
  <c r="P1076"/>
  <c r="P1075"/>
  <c r="P1074"/>
  <c r="P1073"/>
  <c r="P1072"/>
  <c r="P1071"/>
  <c r="P1070"/>
  <c r="P1069"/>
  <c r="P1068"/>
  <c r="P1067"/>
  <c r="P1066"/>
  <c r="P1065"/>
  <c r="P1064"/>
  <c r="P1063"/>
  <c r="P1062"/>
  <c r="P1061"/>
  <c r="P1060"/>
  <c r="P1059"/>
  <c r="P1058"/>
  <c r="P1057"/>
  <c r="P1056"/>
  <c r="P1055"/>
  <c r="P1054"/>
  <c r="P1053"/>
  <c r="P1052"/>
  <c r="P1051"/>
  <c r="P1050"/>
  <c r="P1049"/>
  <c r="P1048"/>
  <c r="P1047"/>
  <c r="P1046"/>
  <c r="P1045"/>
  <c r="P1044"/>
  <c r="P1043"/>
  <c r="P1042"/>
  <c r="P1041"/>
  <c r="P1040"/>
  <c r="P1039"/>
  <c r="P1038"/>
  <c r="P1037"/>
  <c r="P1036"/>
  <c r="P1035"/>
  <c r="P1034"/>
  <c r="P1033"/>
  <c r="P1032"/>
  <c r="P1031"/>
  <c r="P1030"/>
  <c r="P1029"/>
  <c r="P1028"/>
  <c r="P1027"/>
  <c r="P1026"/>
  <c r="P1025"/>
  <c r="P1024"/>
  <c r="P1023"/>
  <c r="P1022"/>
  <c r="P1021"/>
  <c r="P1020"/>
  <c r="P1019"/>
  <c r="P1018"/>
  <c r="P1017"/>
  <c r="P1016"/>
  <c r="P1015"/>
  <c r="P1014"/>
  <c r="P1013"/>
  <c r="P1012"/>
  <c r="P1011"/>
  <c r="P1010"/>
  <c r="P1009"/>
  <c r="P1008"/>
  <c r="P1007"/>
  <c r="P1006"/>
  <c r="P1005"/>
  <c r="P1004"/>
  <c r="P1003"/>
  <c r="P1002"/>
  <c r="P1001"/>
  <c r="P1000"/>
  <c r="P999"/>
  <c r="P998"/>
  <c r="P997"/>
  <c r="P996"/>
  <c r="P995"/>
  <c r="P994"/>
  <c r="P993"/>
  <c r="P992"/>
  <c r="P991"/>
  <c r="P990"/>
  <c r="P989"/>
  <c r="P988"/>
  <c r="P987"/>
  <c r="P986"/>
  <c r="P985"/>
  <c r="P984"/>
  <c r="P983"/>
  <c r="P982"/>
  <c r="P981"/>
  <c r="P980"/>
  <c r="P979"/>
  <c r="P978"/>
  <c r="P977"/>
  <c r="P976"/>
  <c r="P975"/>
  <c r="P974"/>
  <c r="P973"/>
  <c r="P972"/>
  <c r="P971"/>
  <c r="P970"/>
  <c r="P969"/>
  <c r="P968"/>
  <c r="P967"/>
  <c r="P966"/>
  <c r="P965"/>
  <c r="P964"/>
  <c r="P963"/>
  <c r="P962"/>
  <c r="P961"/>
  <c r="P960"/>
  <c r="P959"/>
  <c r="P958"/>
  <c r="P957"/>
  <c r="P956"/>
  <c r="P955"/>
  <c r="P954"/>
  <c r="P953"/>
  <c r="P952"/>
  <c r="P951"/>
  <c r="P950"/>
  <c r="P949"/>
  <c r="P948"/>
  <c r="P947"/>
  <c r="P946"/>
  <c r="P945"/>
  <c r="P944"/>
  <c r="P943"/>
  <c r="P942"/>
  <c r="P941"/>
  <c r="P940"/>
  <c r="P939"/>
  <c r="P938"/>
  <c r="P937"/>
  <c r="P936"/>
  <c r="P935"/>
  <c r="P934"/>
  <c r="P933"/>
  <c r="P932"/>
  <c r="P931"/>
  <c r="P930"/>
  <c r="P929"/>
  <c r="P928"/>
  <c r="P927"/>
  <c r="P926"/>
  <c r="P925"/>
  <c r="P924"/>
  <c r="P923"/>
  <c r="P922"/>
  <c r="P921"/>
  <c r="P920"/>
  <c r="P919"/>
  <c r="P918"/>
  <c r="P917"/>
  <c r="P916"/>
  <c r="P915"/>
  <c r="P914"/>
  <c r="P913"/>
  <c r="P912"/>
  <c r="P911"/>
  <c r="P910"/>
  <c r="P909"/>
  <c r="P908"/>
  <c r="P907"/>
  <c r="P906"/>
  <c r="P905"/>
  <c r="P904"/>
  <c r="P903"/>
  <c r="P902"/>
  <c r="P901"/>
  <c r="P900"/>
  <c r="P899"/>
  <c r="P898"/>
  <c r="P897"/>
  <c r="P896"/>
  <c r="P895"/>
  <c r="P894"/>
  <c r="P893"/>
  <c r="P892"/>
  <c r="P891"/>
  <c r="P890"/>
  <c r="P889"/>
  <c r="P888"/>
  <c r="P887"/>
  <c r="P886"/>
  <c r="P885"/>
  <c r="P884"/>
  <c r="P883"/>
  <c r="P882"/>
  <c r="P881"/>
  <c r="R1202" i="2"/>
  <c r="O1202" i="3"/>
  <c r="O1160"/>
  <c r="K1202" i="5"/>
  <c r="R1201"/>
  <c r="H1201" i="9"/>
  <c r="I1201" s="1"/>
  <c r="M1201" s="1"/>
  <c r="H1200"/>
  <c r="I1200" s="1"/>
  <c r="M1200" s="1"/>
  <c r="H1199"/>
  <c r="I1199" s="1"/>
  <c r="M1199" s="1"/>
  <c r="H1198"/>
  <c r="I1198" s="1"/>
  <c r="M1198" s="1"/>
  <c r="H1197"/>
  <c r="I1197" s="1"/>
  <c r="M1197" s="1"/>
  <c r="H1196"/>
  <c r="I1196" s="1"/>
  <c r="M1196" s="1"/>
  <c r="H1195"/>
  <c r="I1195" s="1"/>
  <c r="M1195" s="1"/>
  <c r="H1194"/>
  <c r="I1194" s="1"/>
  <c r="M1194" s="1"/>
  <c r="H1193"/>
  <c r="I1193" s="1"/>
  <c r="M1193" s="1"/>
  <c r="H1192"/>
  <c r="I1192" s="1"/>
  <c r="M1192" s="1"/>
  <c r="H1191"/>
  <c r="I1191" s="1"/>
  <c r="M1191" s="1"/>
  <c r="H1190"/>
  <c r="I1190" s="1"/>
  <c r="M1190" s="1"/>
  <c r="H1189"/>
  <c r="I1189" s="1"/>
  <c r="M1189" s="1"/>
  <c r="H1188"/>
  <c r="I1188" s="1"/>
  <c r="M1188" s="1"/>
  <c r="H1187"/>
  <c r="I1187" s="1"/>
  <c r="M1187" s="1"/>
  <c r="H1186"/>
  <c r="I1186" s="1"/>
  <c r="M1186" s="1"/>
  <c r="H1185"/>
  <c r="I1185" s="1"/>
  <c r="M1185" s="1"/>
  <c r="H1184"/>
  <c r="I1184" s="1"/>
  <c r="M1184" s="1"/>
  <c r="H1183"/>
  <c r="I1183" s="1"/>
  <c r="M1183" s="1"/>
  <c r="H1182"/>
  <c r="I1182" s="1"/>
  <c r="M1182" s="1"/>
  <c r="H1181"/>
  <c r="I1181" s="1"/>
  <c r="M1181" s="1"/>
  <c r="H1180"/>
  <c r="I1180" s="1"/>
  <c r="M1180" s="1"/>
  <c r="H1178"/>
  <c r="I1178" s="1"/>
  <c r="M1178" s="1"/>
  <c r="H1177"/>
  <c r="I1177" s="1"/>
  <c r="M1177" s="1"/>
  <c r="H1176"/>
  <c r="I1176" s="1"/>
  <c r="M1176" s="1"/>
  <c r="H1175"/>
  <c r="I1175" s="1"/>
  <c r="M1175" s="1"/>
  <c r="H1174"/>
  <c r="I1174" s="1"/>
  <c r="M1174" s="1"/>
  <c r="H1173"/>
  <c r="I1173" s="1"/>
  <c r="M1173" s="1"/>
  <c r="H1172"/>
  <c r="I1172" s="1"/>
  <c r="M1172" s="1"/>
  <c r="H1171"/>
  <c r="I1171" s="1"/>
  <c r="M1171" s="1"/>
  <c r="H1170"/>
  <c r="I1170" s="1"/>
  <c r="M1170" s="1"/>
  <c r="H1169"/>
  <c r="I1169" s="1"/>
  <c r="M1169" s="1"/>
  <c r="H1168"/>
  <c r="I1168" s="1"/>
  <c r="M1168" s="1"/>
  <c r="H1167"/>
  <c r="I1167" s="1"/>
  <c r="M1167" s="1"/>
  <c r="H1166"/>
  <c r="I1166" s="1"/>
  <c r="M1166" s="1"/>
  <c r="H1165"/>
  <c r="I1165" s="1"/>
  <c r="M1165" s="1"/>
  <c r="H1164"/>
  <c r="I1164" s="1"/>
  <c r="M1164" s="1"/>
  <c r="H1163"/>
  <c r="I1163" s="1"/>
  <c r="M1163" s="1"/>
  <c r="H1162"/>
  <c r="I1162" s="1"/>
  <c r="M1162" s="1"/>
  <c r="H1161"/>
  <c r="I1161" s="1"/>
  <c r="M1161" s="1"/>
  <c r="H1159"/>
  <c r="I1159" s="1"/>
  <c r="M1159" s="1"/>
  <c r="H1158"/>
  <c r="I1158" s="1"/>
  <c r="M1158" s="1"/>
  <c r="H1157"/>
  <c r="I1157" s="1"/>
  <c r="M1157" s="1"/>
  <c r="H1156"/>
  <c r="I1156" s="1"/>
  <c r="M1156" s="1"/>
  <c r="H1155"/>
  <c r="I1155" s="1"/>
  <c r="M1155" s="1"/>
  <c r="H1154"/>
  <c r="I1154" s="1"/>
  <c r="M1154" s="1"/>
  <c r="H1153"/>
  <c r="I1153" s="1"/>
  <c r="M1153" s="1"/>
  <c r="H1152"/>
  <c r="I1152" s="1"/>
  <c r="M1152" s="1"/>
  <c r="H1151"/>
  <c r="I1151" s="1"/>
  <c r="M1151" s="1"/>
  <c r="H1150"/>
  <c r="I1150" s="1"/>
  <c r="M1150" s="1"/>
  <c r="H1149"/>
  <c r="I1149" s="1"/>
  <c r="M1149" s="1"/>
  <c r="H1148"/>
  <c r="I1148" s="1"/>
  <c r="M1148" s="1"/>
  <c r="P1201" i="7"/>
  <c r="P1200"/>
  <c r="P1199"/>
  <c r="P1198"/>
  <c r="P1197"/>
  <c r="P1196"/>
  <c r="P1195"/>
  <c r="P1194"/>
  <c r="P1193"/>
  <c r="P1192"/>
  <c r="P1191"/>
  <c r="P1190"/>
  <c r="P1189"/>
  <c r="P1188"/>
  <c r="P1187"/>
  <c r="P1186"/>
  <c r="P1185"/>
  <c r="P1184"/>
  <c r="P1183"/>
  <c r="P1182"/>
  <c r="P1181"/>
  <c r="P1180"/>
  <c r="P1179"/>
  <c r="P1178"/>
  <c r="P1177"/>
  <c r="P1176"/>
  <c r="P1175"/>
  <c r="P1174"/>
  <c r="P1173"/>
  <c r="P1172"/>
  <c r="P1171"/>
  <c r="P1170"/>
  <c r="P1169"/>
  <c r="P1168"/>
  <c r="P1167"/>
  <c r="P1166"/>
  <c r="P1165"/>
  <c r="P1164"/>
  <c r="P1163"/>
  <c r="P1162"/>
  <c r="P1161"/>
  <c r="P1160"/>
  <c r="P1159"/>
  <c r="P1158"/>
  <c r="P1157"/>
  <c r="P1156"/>
  <c r="P1155"/>
  <c r="P1154"/>
  <c r="P1153"/>
  <c r="P1152"/>
  <c r="P1151"/>
  <c r="P1150"/>
  <c r="P1149"/>
  <c r="P1148"/>
  <c r="M1148"/>
  <c r="N1148" s="1"/>
  <c r="M1201"/>
  <c r="N1201" s="1"/>
  <c r="M1200"/>
  <c r="N1200" s="1"/>
  <c r="M1199"/>
  <c r="N1199" s="1"/>
  <c r="M1198"/>
  <c r="N1198" s="1"/>
  <c r="M1197"/>
  <c r="N1197" s="1"/>
  <c r="M1196"/>
  <c r="N1196" s="1"/>
  <c r="M1195"/>
  <c r="N1195" s="1"/>
  <c r="M1194"/>
  <c r="N1194" s="1"/>
  <c r="M1193"/>
  <c r="N1193" s="1"/>
  <c r="M1192"/>
  <c r="N1192" s="1"/>
  <c r="M1191"/>
  <c r="N1191" s="1"/>
  <c r="M1190"/>
  <c r="N1190" s="1"/>
  <c r="M1189"/>
  <c r="N1189" s="1"/>
  <c r="M1188"/>
  <c r="N1188" s="1"/>
  <c r="M1187"/>
  <c r="N1187" s="1"/>
  <c r="M1186"/>
  <c r="N1186" s="1"/>
  <c r="M1185"/>
  <c r="N1185" s="1"/>
  <c r="M1184"/>
  <c r="N1184" s="1"/>
  <c r="M1183"/>
  <c r="N1183" s="1"/>
  <c r="M1182"/>
  <c r="N1182" s="1"/>
  <c r="M1181"/>
  <c r="N1181" s="1"/>
  <c r="M1180"/>
  <c r="N1180" s="1"/>
  <c r="M1179"/>
  <c r="N1179" s="1"/>
  <c r="M1178"/>
  <c r="N1178" s="1"/>
  <c r="M1177"/>
  <c r="N1177" s="1"/>
  <c r="M1176"/>
  <c r="N1176" s="1"/>
  <c r="M1175"/>
  <c r="N1175" s="1"/>
  <c r="M1174"/>
  <c r="N1174" s="1"/>
  <c r="M1173"/>
  <c r="N1173" s="1"/>
  <c r="M1172"/>
  <c r="N1172" s="1"/>
  <c r="M1171"/>
  <c r="N1171" s="1"/>
  <c r="M1170"/>
  <c r="N1170" s="1"/>
  <c r="M1169"/>
  <c r="N1169" s="1"/>
  <c r="M1168"/>
  <c r="N1168" s="1"/>
  <c r="M1167"/>
  <c r="N1167" s="1"/>
  <c r="M1166"/>
  <c r="N1166" s="1"/>
  <c r="M1165"/>
  <c r="N1165" s="1"/>
  <c r="M1164"/>
  <c r="N1164" s="1"/>
  <c r="M1163"/>
  <c r="N1163" s="1"/>
  <c r="M1162"/>
  <c r="N1162" s="1"/>
  <c r="M1161"/>
  <c r="N1161" s="1"/>
  <c r="M1160"/>
  <c r="N1160" s="1"/>
  <c r="M1159"/>
  <c r="N1159" s="1"/>
  <c r="M1158"/>
  <c r="N1158" s="1"/>
  <c r="M1157"/>
  <c r="N1157" s="1"/>
  <c r="M1156"/>
  <c r="N1156" s="1"/>
  <c r="M1155"/>
  <c r="N1155" s="1"/>
  <c r="M1154"/>
  <c r="N1154" s="1"/>
  <c r="M1153"/>
  <c r="N1153" s="1"/>
  <c r="M1152"/>
  <c r="N1152" s="1"/>
  <c r="M1151"/>
  <c r="N1151" s="1"/>
  <c r="M1150"/>
  <c r="N1150" s="1"/>
  <c r="M1149"/>
  <c r="N1149" s="1"/>
  <c r="R1232" i="2"/>
  <c r="G1232" i="3"/>
  <c r="O1222"/>
  <c r="M1231" i="5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H1231" i="9"/>
  <c r="I1231" s="1"/>
  <c r="M1231" s="1"/>
  <c r="H1230"/>
  <c r="I1230" s="1"/>
  <c r="M1230" s="1"/>
  <c r="H1229"/>
  <c r="I1229" s="1"/>
  <c r="M1229" s="1"/>
  <c r="H1228"/>
  <c r="I1228" s="1"/>
  <c r="M1228" s="1"/>
  <c r="H1227"/>
  <c r="I1227" s="1"/>
  <c r="M1227" s="1"/>
  <c r="H1226"/>
  <c r="I1226" s="1"/>
  <c r="M1226" s="1"/>
  <c r="H1225"/>
  <c r="I1225" s="1"/>
  <c r="M1225" s="1"/>
  <c r="H1224"/>
  <c r="I1224" s="1"/>
  <c r="M1224" s="1"/>
  <c r="H1223"/>
  <c r="I1223" s="1"/>
  <c r="M1223" s="1"/>
  <c r="H1222"/>
  <c r="I1222" s="1"/>
  <c r="M1222" s="1"/>
  <c r="H1221"/>
  <c r="I1221" s="1"/>
  <c r="M1221" s="1"/>
  <c r="H1220"/>
  <c r="I1220" s="1"/>
  <c r="M1220" s="1"/>
  <c r="H1219"/>
  <c r="I1219" s="1"/>
  <c r="M1219" s="1"/>
  <c r="H1218"/>
  <c r="I1218" s="1"/>
  <c r="M1218" s="1"/>
  <c r="H1217"/>
  <c r="I1217" s="1"/>
  <c r="M1217" s="1"/>
  <c r="H1216"/>
  <c r="I1216" s="1"/>
  <c r="M1216" s="1"/>
  <c r="H1215"/>
  <c r="I1215" s="1"/>
  <c r="M1215" s="1"/>
  <c r="H1214"/>
  <c r="I1214" s="1"/>
  <c r="M1214" s="1"/>
  <c r="H1213"/>
  <c r="I1213" s="1"/>
  <c r="M1213" s="1"/>
  <c r="H1212"/>
  <c r="I1212" s="1"/>
  <c r="M1212" s="1"/>
  <c r="H1211"/>
  <c r="I1211" s="1"/>
  <c r="M1211" s="1"/>
  <c r="H1210"/>
  <c r="I1210" s="1"/>
  <c r="M1210" s="1"/>
  <c r="H1209"/>
  <c r="I1209" s="1"/>
  <c r="M1209" s="1"/>
  <c r="H1208"/>
  <c r="I1208" s="1"/>
  <c r="M1208" s="1"/>
  <c r="H1207"/>
  <c r="I1207" s="1"/>
  <c r="M1207" s="1"/>
  <c r="H1206"/>
  <c r="I1206" s="1"/>
  <c r="M1206" s="1"/>
  <c r="H1205"/>
  <c r="I1205" s="1"/>
  <c r="M1205" s="1"/>
  <c r="H1204"/>
  <c r="I1204" s="1"/>
  <c r="M1204" s="1"/>
  <c r="M1231" i="7"/>
  <c r="N1231" s="1"/>
  <c r="M1230"/>
  <c r="N1230" s="1"/>
  <c r="M1229"/>
  <c r="N1229" s="1"/>
  <c r="M1228"/>
  <c r="N1228" s="1"/>
  <c r="M1227"/>
  <c r="N1227" s="1"/>
  <c r="M1226"/>
  <c r="N1226" s="1"/>
  <c r="M1225"/>
  <c r="N1225" s="1"/>
  <c r="M1223"/>
  <c r="N1223" s="1"/>
  <c r="M1222"/>
  <c r="N1222" s="1"/>
  <c r="M1221"/>
  <c r="N1221" s="1"/>
  <c r="M1220"/>
  <c r="N1220" s="1"/>
  <c r="M1219"/>
  <c r="N1219" s="1"/>
  <c r="M1218"/>
  <c r="N1218" s="1"/>
  <c r="M1217"/>
  <c r="N1217" s="1"/>
  <c r="M1216"/>
  <c r="N1216" s="1"/>
  <c r="M1215"/>
  <c r="N1215" s="1"/>
  <c r="M1214"/>
  <c r="N1214" s="1"/>
  <c r="M1213"/>
  <c r="N1213" s="1"/>
  <c r="M1212"/>
  <c r="N1212" s="1"/>
  <c r="M1211"/>
  <c r="N1211" s="1"/>
  <c r="M1210"/>
  <c r="N1210" s="1"/>
  <c r="M1209"/>
  <c r="N1209" s="1"/>
  <c r="M1208"/>
  <c r="N1208" s="1"/>
  <c r="M1207"/>
  <c r="N1207" s="1"/>
  <c r="M1206"/>
  <c r="N1206" s="1"/>
  <c r="M1205"/>
  <c r="N1205" s="1"/>
  <c r="M1204"/>
  <c r="N1204" s="1"/>
  <c r="G1204" i="14"/>
  <c r="K67" i="8"/>
  <c r="M67" s="1"/>
  <c r="M90"/>
  <c r="M67" i="6"/>
  <c r="M90"/>
  <c r="M879"/>
  <c r="M1202"/>
  <c r="M1232"/>
  <c r="M7" i="18"/>
  <c r="O875" i="10"/>
  <c r="O874"/>
  <c r="O873"/>
  <c r="O872"/>
  <c r="O871"/>
  <c r="O870"/>
  <c r="O869"/>
  <c r="O868"/>
  <c r="O867"/>
  <c r="O866"/>
  <c r="O865"/>
  <c r="O864"/>
  <c r="O863"/>
  <c r="O862"/>
  <c r="O861"/>
  <c r="O860"/>
  <c r="O859"/>
  <c r="O858"/>
  <c r="O857"/>
  <c r="O856"/>
  <c r="O855"/>
  <c r="O854"/>
  <c r="O853"/>
  <c r="O852"/>
  <c r="O851"/>
  <c r="O850"/>
  <c r="O849"/>
  <c r="O848"/>
  <c r="O847"/>
  <c r="O846"/>
  <c r="O845"/>
  <c r="O844"/>
  <c r="O843"/>
  <c r="O842"/>
  <c r="O841"/>
  <c r="O840"/>
  <c r="O839"/>
  <c r="O838"/>
  <c r="O837"/>
  <c r="O836"/>
  <c r="O835"/>
  <c r="O834"/>
  <c r="O833"/>
  <c r="O832"/>
  <c r="O831"/>
  <c r="O830"/>
  <c r="O829"/>
  <c r="O828"/>
  <c r="O827"/>
  <c r="O826"/>
  <c r="O825"/>
  <c r="O824"/>
  <c r="O823"/>
  <c r="O822"/>
  <c r="O821"/>
  <c r="O820"/>
  <c r="O819"/>
  <c r="O818"/>
  <c r="O817"/>
  <c r="O816"/>
  <c r="O815"/>
  <c r="O814"/>
  <c r="O813"/>
  <c r="O812"/>
  <c r="O811"/>
  <c r="O810"/>
  <c r="O809"/>
  <c r="O808"/>
  <c r="O807"/>
  <c r="O806"/>
  <c r="O805"/>
  <c r="O804"/>
  <c r="O803"/>
  <c r="O802"/>
  <c r="O801"/>
  <c r="O800"/>
  <c r="O799"/>
  <c r="O798"/>
  <c r="O797"/>
  <c r="O796"/>
  <c r="O795"/>
  <c r="O791"/>
  <c r="O790"/>
  <c r="O789"/>
  <c r="O788"/>
  <c r="O787"/>
  <c r="O786"/>
  <c r="O785"/>
  <c r="O784"/>
  <c r="O783"/>
  <c r="O782"/>
  <c r="O781"/>
  <c r="O780"/>
  <c r="O779"/>
  <c r="O778"/>
  <c r="O777"/>
  <c r="O776"/>
  <c r="O775"/>
  <c r="O774"/>
  <c r="O773"/>
  <c r="O772"/>
  <c r="O771"/>
  <c r="O770"/>
  <c r="O769"/>
  <c r="O768"/>
  <c r="O767"/>
  <c r="O766"/>
  <c r="O765"/>
  <c r="O764"/>
  <c r="O763"/>
  <c r="O762"/>
  <c r="O761"/>
  <c r="O760"/>
  <c r="O759"/>
  <c r="O758"/>
  <c r="O757"/>
  <c r="O756"/>
  <c r="O755"/>
  <c r="O754"/>
  <c r="O753"/>
  <c r="O752"/>
  <c r="O751"/>
  <c r="O750"/>
  <c r="O749"/>
  <c r="O1201"/>
  <c r="O1200"/>
  <c r="O1199"/>
  <c r="O1198"/>
  <c r="O1197"/>
  <c r="O1196"/>
  <c r="O1195"/>
  <c r="O1194"/>
  <c r="O1193"/>
  <c r="O1192"/>
  <c r="O1191"/>
  <c r="O1190"/>
  <c r="O1189"/>
  <c r="O1188"/>
  <c r="O1187"/>
  <c r="O1186"/>
  <c r="O1185"/>
  <c r="O1184"/>
  <c r="O1183"/>
  <c r="O1182"/>
  <c r="O1181"/>
  <c r="O1180"/>
  <c r="O1179"/>
  <c r="O1178"/>
  <c r="O1177"/>
  <c r="O1176"/>
  <c r="O1175"/>
  <c r="O1174"/>
  <c r="O1173"/>
  <c r="O1172"/>
  <c r="O1171"/>
  <c r="O1170"/>
  <c r="O1169"/>
  <c r="O1168"/>
  <c r="O1167"/>
  <c r="O1166"/>
  <c r="O1165"/>
  <c r="O1164"/>
  <c r="O1163"/>
  <c r="O1162"/>
  <c r="O1161"/>
  <c r="O1159"/>
  <c r="O1158"/>
  <c r="O1157"/>
  <c r="O1156"/>
  <c r="O1155"/>
  <c r="O1154"/>
  <c r="O1153"/>
  <c r="O1152"/>
  <c r="O1151"/>
  <c r="O1150"/>
  <c r="O1149"/>
  <c r="O1148"/>
  <c r="O1231"/>
  <c r="O1230"/>
  <c r="O1229"/>
  <c r="O1228"/>
  <c r="O1227"/>
  <c r="O1226"/>
  <c r="O1225"/>
  <c r="O1224"/>
  <c r="O1223"/>
  <c r="O1222"/>
  <c r="O1221"/>
  <c r="O1220"/>
  <c r="O1219"/>
  <c r="O1218"/>
  <c r="O1217"/>
  <c r="O1216"/>
  <c r="O1215"/>
  <c r="O1214"/>
  <c r="O1213"/>
  <c r="O1212"/>
  <c r="O1211"/>
  <c r="O1210"/>
  <c r="O1209"/>
  <c r="O1208"/>
  <c r="O1207"/>
  <c r="O1206"/>
  <c r="O1205"/>
  <c r="O1204"/>
  <c r="O1231" i="3"/>
  <c r="Q1231" i="17"/>
  <c r="O1230" i="3"/>
  <c r="Q1230" i="17"/>
  <c r="O1229" i="3"/>
  <c r="Q1229" i="17"/>
  <c r="Q1228"/>
  <c r="Q1227"/>
  <c r="Q1226"/>
  <c r="Q1225"/>
  <c r="Q1224"/>
  <c r="Q1223"/>
  <c r="O1221" i="3"/>
  <c r="Q1221" i="17"/>
  <c r="O1220" i="3"/>
  <c r="Q1220" i="17"/>
  <c r="O1219" i="3"/>
  <c r="Q1219" i="17"/>
  <c r="O1218" i="3"/>
  <c r="Q1218" i="17"/>
  <c r="O1217" i="3"/>
  <c r="Q1217" i="17"/>
  <c r="O1216" i="3"/>
  <c r="Q1216" i="17"/>
  <c r="O1215" i="3"/>
  <c r="Q1215" i="17"/>
  <c r="O1214" i="3"/>
  <c r="Q1214" i="17"/>
  <c r="O1213" i="3"/>
  <c r="Q1213" i="17"/>
  <c r="O1212" i="3"/>
  <c r="Q1212" i="17"/>
  <c r="O1211" i="3"/>
  <c r="Q1211" i="17"/>
  <c r="O1210" i="3"/>
  <c r="Q1210" i="17"/>
  <c r="O1209" i="3"/>
  <c r="Q1209" i="17"/>
  <c r="O1208" i="3"/>
  <c r="Q1208" i="17"/>
  <c r="O1207" i="3"/>
  <c r="Q1207" i="17"/>
  <c r="O1206" i="3"/>
  <c r="Q1206" i="17"/>
  <c r="O1205" i="3"/>
  <c r="Q1205" i="17"/>
  <c r="F1232" i="3"/>
  <c r="F1234" s="1"/>
  <c r="O1204"/>
  <c r="Q1204" i="17"/>
  <c r="J1232"/>
  <c r="K1232" s="1"/>
  <c r="O1201" i="3"/>
  <c r="O1200"/>
  <c r="O1199"/>
  <c r="O1198"/>
  <c r="O1197"/>
  <c r="O1196"/>
  <c r="O1195"/>
  <c r="O1194"/>
  <c r="O1193"/>
  <c r="O1192"/>
  <c r="O1191"/>
  <c r="O1190"/>
  <c r="O1189"/>
  <c r="O1188"/>
  <c r="O1187"/>
  <c r="O1186"/>
  <c r="O1185"/>
  <c r="O1184"/>
  <c r="O1183"/>
  <c r="O1182"/>
  <c r="O1181"/>
  <c r="O1180"/>
  <c r="O1179"/>
  <c r="O1178"/>
  <c r="O1177"/>
  <c r="O1176"/>
  <c r="O1175"/>
  <c r="O1174"/>
  <c r="O1173"/>
  <c r="O1172"/>
  <c r="O1171"/>
  <c r="O1170"/>
  <c r="O1169"/>
  <c r="O1168"/>
  <c r="O1167"/>
  <c r="O1166"/>
  <c r="O1165"/>
  <c r="O1164"/>
  <c r="O1163"/>
  <c r="O1162"/>
  <c r="O1161"/>
  <c r="O1159"/>
  <c r="O1158"/>
  <c r="O1157"/>
  <c r="O1156"/>
  <c r="O1155"/>
  <c r="O1154"/>
  <c r="M1154" i="11"/>
  <c r="O1153" i="3"/>
  <c r="O1152"/>
  <c r="O1151"/>
  <c r="O1150"/>
  <c r="O1149"/>
  <c r="O1148"/>
  <c r="O1145"/>
  <c r="H1145" i="8"/>
  <c r="I1145" s="1"/>
  <c r="M1145" s="1"/>
  <c r="O1144" i="3"/>
  <c r="H1144" i="8"/>
  <c r="I1144" s="1"/>
  <c r="M1144" s="1"/>
  <c r="O1143" i="3"/>
  <c r="H1143" i="8"/>
  <c r="I1143" s="1"/>
  <c r="M1143" s="1"/>
  <c r="O1142" i="3"/>
  <c r="H1142" i="8"/>
  <c r="I1142" s="1"/>
  <c r="M1142" s="1"/>
  <c r="O1141" i="3"/>
  <c r="H1141" i="8"/>
  <c r="I1141" s="1"/>
  <c r="M1141" s="1"/>
  <c r="O1140" i="3"/>
  <c r="H1140" i="8"/>
  <c r="I1140" s="1"/>
  <c r="M1140" s="1"/>
  <c r="O1139" i="3"/>
  <c r="H1139" i="8"/>
  <c r="I1139" s="1"/>
  <c r="M1139" s="1"/>
  <c r="O1138" i="3"/>
  <c r="H1138" i="8"/>
  <c r="I1138" s="1"/>
  <c r="M1138" s="1"/>
  <c r="O1137" i="3"/>
  <c r="H1137" i="8"/>
  <c r="I1137" s="1"/>
  <c r="M1137" s="1"/>
  <c r="O1136" i="3"/>
  <c r="H1136" i="8"/>
  <c r="I1136" s="1"/>
  <c r="M1136" s="1"/>
  <c r="O1135" i="3"/>
  <c r="H1135" i="8"/>
  <c r="I1135" s="1"/>
  <c r="M1135" s="1"/>
  <c r="O1134" i="3"/>
  <c r="H1134" i="8"/>
  <c r="I1134" s="1"/>
  <c r="M1134" s="1"/>
  <c r="O1133" i="3"/>
  <c r="H1133" i="8"/>
  <c r="I1133" s="1"/>
  <c r="M1133" s="1"/>
  <c r="O1132" i="3"/>
  <c r="H1132" i="8"/>
  <c r="I1132" s="1"/>
  <c r="M1132" s="1"/>
  <c r="O1131" i="3"/>
  <c r="H1131" i="8"/>
  <c r="I1131" s="1"/>
  <c r="M1131" s="1"/>
  <c r="O1130" i="3"/>
  <c r="H1130" i="8"/>
  <c r="I1130" s="1"/>
  <c r="M1130" s="1"/>
  <c r="O1129" i="3"/>
  <c r="H1129" i="8"/>
  <c r="I1129" s="1"/>
  <c r="M1129" s="1"/>
  <c r="O1128" i="3"/>
  <c r="H1128" i="8"/>
  <c r="I1128" s="1"/>
  <c r="M1128" s="1"/>
  <c r="O1127" i="3"/>
  <c r="H1127" i="8"/>
  <c r="I1127" s="1"/>
  <c r="M1127" s="1"/>
  <c r="O1126" i="3"/>
  <c r="H1126" i="8"/>
  <c r="I1126" s="1"/>
  <c r="M1126" s="1"/>
  <c r="O1125" i="3"/>
  <c r="H1125" i="8"/>
  <c r="I1125" s="1"/>
  <c r="M1125" s="1"/>
  <c r="O1124" i="3"/>
  <c r="H1124" i="8"/>
  <c r="I1124" s="1"/>
  <c r="M1124" s="1"/>
  <c r="O1123" i="3"/>
  <c r="H1123" i="8"/>
  <c r="I1123" s="1"/>
  <c r="M1123" s="1"/>
  <c r="O1122" i="3"/>
  <c r="H1122" i="8"/>
  <c r="I1122" s="1"/>
  <c r="M1122" s="1"/>
  <c r="O1121" i="3"/>
  <c r="H1121" i="8"/>
  <c r="I1121" s="1"/>
  <c r="M1121" s="1"/>
  <c r="O1120" i="3"/>
  <c r="H1120" i="8"/>
  <c r="I1120" s="1"/>
  <c r="M1120" s="1"/>
  <c r="O1119" i="3"/>
  <c r="H1119" i="8"/>
  <c r="I1119" s="1"/>
  <c r="M1119" s="1"/>
  <c r="O1118" i="3"/>
  <c r="H1118" i="8"/>
  <c r="I1118" s="1"/>
  <c r="M1118" s="1"/>
  <c r="O1117" i="3"/>
  <c r="H1117" i="8"/>
  <c r="I1117" s="1"/>
  <c r="M1117" s="1"/>
  <c r="O1116" i="3"/>
  <c r="H1116" i="8"/>
  <c r="I1116" s="1"/>
  <c r="M1116" s="1"/>
  <c r="O1115" i="3"/>
  <c r="H1115" i="8"/>
  <c r="I1115" s="1"/>
  <c r="M1115" s="1"/>
  <c r="O1114" i="3"/>
  <c r="H1114" i="8"/>
  <c r="I1114" s="1"/>
  <c r="M1114" s="1"/>
  <c r="O1113" i="3"/>
  <c r="H1113" i="8"/>
  <c r="I1113" s="1"/>
  <c r="M1113" s="1"/>
  <c r="O1112" i="3"/>
  <c r="H1112" i="8"/>
  <c r="I1112" s="1"/>
  <c r="M1112" s="1"/>
  <c r="O1111" i="3"/>
  <c r="H1111" i="8"/>
  <c r="I1111" s="1"/>
  <c r="M1111" s="1"/>
  <c r="O1110" i="3"/>
  <c r="H1110" i="8"/>
  <c r="I1110" s="1"/>
  <c r="M1110" s="1"/>
  <c r="O1109" i="3"/>
  <c r="H1109" i="8"/>
  <c r="I1109" s="1"/>
  <c r="M1109" s="1"/>
  <c r="O1108" i="3"/>
  <c r="H1108" i="8"/>
  <c r="I1108" s="1"/>
  <c r="M1108" s="1"/>
  <c r="O1107" i="3"/>
  <c r="H1107" i="8"/>
  <c r="I1107" s="1"/>
  <c r="M1107" s="1"/>
  <c r="O1106" i="3"/>
  <c r="H1106" i="8"/>
  <c r="I1106" s="1"/>
  <c r="M1106" s="1"/>
  <c r="O1105" i="3"/>
  <c r="H1105" i="8"/>
  <c r="I1105" s="1"/>
  <c r="M1105" s="1"/>
  <c r="O1104" i="3"/>
  <c r="H1104" i="8"/>
  <c r="I1104" s="1"/>
  <c r="M1104" s="1"/>
  <c r="O1103" i="3"/>
  <c r="H1103" i="8"/>
  <c r="I1103" s="1"/>
  <c r="M1103" s="1"/>
  <c r="O1102" i="3"/>
  <c r="H1102" i="8"/>
  <c r="I1102" s="1"/>
  <c r="M1102" s="1"/>
  <c r="O1101" i="3"/>
  <c r="H1101" i="8"/>
  <c r="I1101" s="1"/>
  <c r="M1101" s="1"/>
  <c r="O1100" i="3"/>
  <c r="H1100" i="8"/>
  <c r="I1100" s="1"/>
  <c r="M1100" s="1"/>
  <c r="O1099" i="3"/>
  <c r="H1099" i="8"/>
  <c r="I1099" s="1"/>
  <c r="M1099" s="1"/>
  <c r="O1098" i="3"/>
  <c r="H1098" i="8"/>
  <c r="I1098" s="1"/>
  <c r="M1098" s="1"/>
  <c r="O1097" i="3"/>
  <c r="H1097" i="8"/>
  <c r="I1097" s="1"/>
  <c r="M1097" s="1"/>
  <c r="O1096" i="3"/>
  <c r="H1096" i="8"/>
  <c r="I1096" s="1"/>
  <c r="M1096" s="1"/>
  <c r="O1095" i="3"/>
  <c r="H1095" i="8"/>
  <c r="I1095" s="1"/>
  <c r="M1095" s="1"/>
  <c r="O1094" i="3"/>
  <c r="H1094" i="8"/>
  <c r="I1094" s="1"/>
  <c r="M1094" s="1"/>
  <c r="O1093" i="3"/>
  <c r="H1093" i="8"/>
  <c r="I1093" s="1"/>
  <c r="M1093" s="1"/>
  <c r="O1092" i="3"/>
  <c r="H1092" i="8"/>
  <c r="I1092" s="1"/>
  <c r="M1092" s="1"/>
  <c r="O1091" i="3"/>
  <c r="H1091" i="8"/>
  <c r="I1091" s="1"/>
  <c r="M1091" s="1"/>
  <c r="O1090" i="3"/>
  <c r="H1090" i="8"/>
  <c r="I1090" s="1"/>
  <c r="M1090" s="1"/>
  <c r="O1089" i="3"/>
  <c r="H1089" i="8"/>
  <c r="I1089" s="1"/>
  <c r="M1089" s="1"/>
  <c r="O1088" i="3"/>
  <c r="H1088" i="8"/>
  <c r="I1088" s="1"/>
  <c r="M1088" s="1"/>
  <c r="O1087" i="3"/>
  <c r="H1087" i="8"/>
  <c r="I1087" s="1"/>
  <c r="M1087" s="1"/>
  <c r="O1086" i="3"/>
  <c r="H1086" i="8"/>
  <c r="I1086" s="1"/>
  <c r="M1086" s="1"/>
  <c r="O1085" i="3"/>
  <c r="H1085" i="8"/>
  <c r="I1085" s="1"/>
  <c r="M1085" s="1"/>
  <c r="O1084" i="3"/>
  <c r="H1084" i="8"/>
  <c r="I1084" s="1"/>
  <c r="M1084" s="1"/>
  <c r="O1083" i="3"/>
  <c r="H1083" i="8"/>
  <c r="I1083" s="1"/>
  <c r="M1083" s="1"/>
  <c r="O1082" i="3"/>
  <c r="H1082" i="8"/>
  <c r="I1082" s="1"/>
  <c r="M1082" s="1"/>
  <c r="O1081" i="3"/>
  <c r="H1081" i="8"/>
  <c r="I1081" s="1"/>
  <c r="M1081" s="1"/>
  <c r="O1080" i="3"/>
  <c r="H1080" i="8"/>
  <c r="I1080" s="1"/>
  <c r="M1080" s="1"/>
  <c r="O1079" i="3"/>
  <c r="H1079" i="8"/>
  <c r="I1079" s="1"/>
  <c r="M1079" s="1"/>
  <c r="O1078" i="3"/>
  <c r="H1078" i="8"/>
  <c r="I1078" s="1"/>
  <c r="M1078" s="1"/>
  <c r="O1077" i="3"/>
  <c r="H1077" i="8"/>
  <c r="I1077" s="1"/>
  <c r="M1077" s="1"/>
  <c r="O1076" i="3"/>
  <c r="H1076" i="8"/>
  <c r="I1076" s="1"/>
  <c r="M1076" s="1"/>
  <c r="O1075" i="3"/>
  <c r="H1075" i="8"/>
  <c r="I1075" s="1"/>
  <c r="M1075" s="1"/>
  <c r="O1074" i="3"/>
  <c r="H1074" i="8"/>
  <c r="I1074" s="1"/>
  <c r="M1074" s="1"/>
  <c r="O1073" i="3"/>
  <c r="H1073" i="8"/>
  <c r="I1073" s="1"/>
  <c r="M1073" s="1"/>
  <c r="O1072" i="3"/>
  <c r="H1072" i="8"/>
  <c r="I1072" s="1"/>
  <c r="M1072" s="1"/>
  <c r="O1071" i="3"/>
  <c r="H1071" i="8"/>
  <c r="I1071" s="1"/>
  <c r="M1071" s="1"/>
  <c r="O1070" i="3"/>
  <c r="H1070" i="8"/>
  <c r="I1070" s="1"/>
  <c r="M1070" s="1"/>
  <c r="O1069" i="3"/>
  <c r="H1069" i="8"/>
  <c r="I1069" s="1"/>
  <c r="M1069" s="1"/>
  <c r="O1068" i="3"/>
  <c r="H1068" i="8"/>
  <c r="I1068" s="1"/>
  <c r="M1068" s="1"/>
  <c r="O1067" i="3"/>
  <c r="H1067" i="8"/>
  <c r="I1067" s="1"/>
  <c r="M1067" s="1"/>
  <c r="O1066" i="3"/>
  <c r="H1066" i="8"/>
  <c r="I1066" s="1"/>
  <c r="M1066" s="1"/>
  <c r="O1065" i="3"/>
  <c r="H1065" i="8"/>
  <c r="I1065" s="1"/>
  <c r="M1065" s="1"/>
  <c r="O1064" i="3"/>
  <c r="H1064" i="8"/>
  <c r="I1064" s="1"/>
  <c r="M1064" s="1"/>
  <c r="O1063" i="3"/>
  <c r="H1063" i="8"/>
  <c r="I1063" s="1"/>
  <c r="M1063" s="1"/>
  <c r="O1062" i="3"/>
  <c r="H1062" i="8"/>
  <c r="I1062" s="1"/>
  <c r="M1062" s="1"/>
  <c r="O1061" i="3"/>
  <c r="H1061" i="8"/>
  <c r="I1061" s="1"/>
  <c r="M1061" s="1"/>
  <c r="O1060" i="3"/>
  <c r="H1060" i="8"/>
  <c r="I1060" s="1"/>
  <c r="M1060" s="1"/>
  <c r="O1059" i="3"/>
  <c r="H1059" i="8"/>
  <c r="I1059" s="1"/>
  <c r="M1059" s="1"/>
  <c r="O1058" i="3"/>
  <c r="H1058" i="8"/>
  <c r="I1058" s="1"/>
  <c r="M1058" s="1"/>
  <c r="O1057" i="3"/>
  <c r="H1057" i="8"/>
  <c r="I1057" s="1"/>
  <c r="M1057" s="1"/>
  <c r="O1056" i="3"/>
  <c r="H1056" i="8"/>
  <c r="I1056" s="1"/>
  <c r="M1056" s="1"/>
  <c r="O1055" i="3"/>
  <c r="H1055" i="8"/>
  <c r="I1055" s="1"/>
  <c r="M1055" s="1"/>
  <c r="O1054" i="3"/>
  <c r="H1054" i="8"/>
  <c r="I1054" s="1"/>
  <c r="M1054" s="1"/>
  <c r="O1053" i="3"/>
  <c r="H1053" i="8"/>
  <c r="I1053" s="1"/>
  <c r="M1053" s="1"/>
  <c r="O1052" i="3"/>
  <c r="H1052" i="8"/>
  <c r="I1052" s="1"/>
  <c r="M1052" s="1"/>
  <c r="O1051" i="3"/>
  <c r="H1051" i="8"/>
  <c r="I1051" s="1"/>
  <c r="M1051" s="1"/>
  <c r="O1050" i="3"/>
  <c r="H1050" i="8"/>
  <c r="I1050" s="1"/>
  <c r="M1050" s="1"/>
  <c r="O1049" i="3"/>
  <c r="H1049" i="8"/>
  <c r="I1049" s="1"/>
  <c r="M1049" s="1"/>
  <c r="O1048" i="3"/>
  <c r="H1048" i="8"/>
  <c r="I1048" s="1"/>
  <c r="M1048" s="1"/>
  <c r="O1047" i="3"/>
  <c r="H1047" i="8"/>
  <c r="I1047" s="1"/>
  <c r="M1047" s="1"/>
  <c r="O1046" i="3"/>
  <c r="H1046" i="8"/>
  <c r="I1046" s="1"/>
  <c r="M1046" s="1"/>
  <c r="O1045" i="3"/>
  <c r="H1045" i="8"/>
  <c r="I1045" s="1"/>
  <c r="M1045" s="1"/>
  <c r="O1044" i="3"/>
  <c r="H1044" i="8"/>
  <c r="I1044" s="1"/>
  <c r="M1044" s="1"/>
  <c r="O1043" i="3"/>
  <c r="H1043" i="8"/>
  <c r="I1043" s="1"/>
  <c r="M1043" s="1"/>
  <c r="O1042" i="3"/>
  <c r="H1042" i="8"/>
  <c r="I1042" s="1"/>
  <c r="M1042" s="1"/>
  <c r="O1041" i="3"/>
  <c r="H1041" i="8"/>
  <c r="I1041" s="1"/>
  <c r="M1041" s="1"/>
  <c r="O1040" i="3"/>
  <c r="H1040" i="8"/>
  <c r="I1040" s="1"/>
  <c r="M1040" s="1"/>
  <c r="O1039" i="3"/>
  <c r="H1039" i="8"/>
  <c r="I1039" s="1"/>
  <c r="M1039" s="1"/>
  <c r="O1038" i="3"/>
  <c r="H1038" i="8"/>
  <c r="I1038" s="1"/>
  <c r="M1038" s="1"/>
  <c r="O1037" i="3"/>
  <c r="H1037" i="8"/>
  <c r="I1037" s="1"/>
  <c r="M1037" s="1"/>
  <c r="O1036" i="3"/>
  <c r="H1036" i="8"/>
  <c r="I1036" s="1"/>
  <c r="M1036" s="1"/>
  <c r="O1035" i="3"/>
  <c r="H1035" i="8"/>
  <c r="I1035" s="1"/>
  <c r="M1035" s="1"/>
  <c r="O1034" i="3"/>
  <c r="H1034" i="8"/>
  <c r="I1034" s="1"/>
  <c r="M1034" s="1"/>
  <c r="O1033" i="3"/>
  <c r="H1033" i="8"/>
  <c r="I1033" s="1"/>
  <c r="M1033" s="1"/>
  <c r="O1032" i="3"/>
  <c r="H1032" i="8"/>
  <c r="I1032" s="1"/>
  <c r="M1032" s="1"/>
  <c r="O1031" i="3"/>
  <c r="H1031" i="8"/>
  <c r="I1031" s="1"/>
  <c r="M1031" s="1"/>
  <c r="O1030" i="3"/>
  <c r="H1030" i="8"/>
  <c r="I1030" s="1"/>
  <c r="M1030" s="1"/>
  <c r="O1029" i="3"/>
  <c r="H1029" i="8"/>
  <c r="I1029" s="1"/>
  <c r="M1029" s="1"/>
  <c r="O1028" i="3"/>
  <c r="H1028" i="8"/>
  <c r="I1028" s="1"/>
  <c r="M1028" s="1"/>
  <c r="O1027" i="3"/>
  <c r="H1027" i="8"/>
  <c r="I1027" s="1"/>
  <c r="M1027" s="1"/>
  <c r="O1026" i="3"/>
  <c r="H1026" i="8"/>
  <c r="I1026" s="1"/>
  <c r="M1026" s="1"/>
  <c r="O1025" i="3"/>
  <c r="H1025" i="8"/>
  <c r="I1025" s="1"/>
  <c r="M1025" s="1"/>
  <c r="O1024" i="3"/>
  <c r="H1024" i="8"/>
  <c r="I1024" s="1"/>
  <c r="M1024" s="1"/>
  <c r="O1023" i="3"/>
  <c r="H1023" i="8"/>
  <c r="I1023" s="1"/>
  <c r="M1023" s="1"/>
  <c r="O1022" i="3"/>
  <c r="H1022" i="8"/>
  <c r="I1022" s="1"/>
  <c r="M1022" s="1"/>
  <c r="O1021" i="3"/>
  <c r="H1021" i="8"/>
  <c r="I1021" s="1"/>
  <c r="M1021" s="1"/>
  <c r="O1020" i="3"/>
  <c r="H1020" i="8"/>
  <c r="I1020" s="1"/>
  <c r="M1020" s="1"/>
  <c r="O1019" i="3"/>
  <c r="H1019" i="8"/>
  <c r="I1019" s="1"/>
  <c r="M1019" s="1"/>
  <c r="O1018" i="3"/>
  <c r="H1018" i="8"/>
  <c r="I1018" s="1"/>
  <c r="M1018" s="1"/>
  <c r="O1017" i="3"/>
  <c r="H1017" i="8"/>
  <c r="I1017" s="1"/>
  <c r="M1017" s="1"/>
  <c r="O1016" i="3"/>
  <c r="H1016" i="8"/>
  <c r="I1016" s="1"/>
  <c r="M1016" s="1"/>
  <c r="O1015" i="3"/>
  <c r="H1015" i="8"/>
  <c r="I1015" s="1"/>
  <c r="M1015" s="1"/>
  <c r="O1014" i="3"/>
  <c r="H1014" i="8"/>
  <c r="I1014" s="1"/>
  <c r="M1014" s="1"/>
  <c r="O1013" i="3"/>
  <c r="H1013" i="8"/>
  <c r="I1013" s="1"/>
  <c r="M1013" s="1"/>
  <c r="O1012" i="3"/>
  <c r="H1012" i="8"/>
  <c r="I1012" s="1"/>
  <c r="M1012" s="1"/>
  <c r="O1011" i="3"/>
  <c r="H1011" i="8"/>
  <c r="I1011" s="1"/>
  <c r="M1011" s="1"/>
  <c r="O1010" i="3"/>
  <c r="H1010" i="8"/>
  <c r="I1010" s="1"/>
  <c r="M1010" s="1"/>
  <c r="O1009" i="3"/>
  <c r="H1009" i="8"/>
  <c r="I1009" s="1"/>
  <c r="M1009" s="1"/>
  <c r="O1008" i="3"/>
  <c r="H1008" i="8"/>
  <c r="I1008" s="1"/>
  <c r="M1008" s="1"/>
  <c r="O1007" i="3"/>
  <c r="H1007" i="8"/>
  <c r="I1007" s="1"/>
  <c r="M1007" s="1"/>
  <c r="O1006" i="3"/>
  <c r="H1006" i="8"/>
  <c r="I1006" s="1"/>
  <c r="M1006" s="1"/>
  <c r="O1005" i="3"/>
  <c r="H1005" i="8"/>
  <c r="I1005" s="1"/>
  <c r="M1005" s="1"/>
  <c r="O1004" i="3"/>
  <c r="H1004" i="8"/>
  <c r="I1004" s="1"/>
  <c r="M1004" s="1"/>
  <c r="O1003" i="3"/>
  <c r="H1003" i="8"/>
  <c r="I1003" s="1"/>
  <c r="M1003" s="1"/>
  <c r="O1002" i="3"/>
  <c r="H1002" i="8"/>
  <c r="I1002" s="1"/>
  <c r="M1002" s="1"/>
  <c r="O1001" i="3"/>
  <c r="H1001" i="8"/>
  <c r="I1001" s="1"/>
  <c r="M1001" s="1"/>
  <c r="O1000" i="3"/>
  <c r="H1000" i="8"/>
  <c r="I1000" s="1"/>
  <c r="M1000" s="1"/>
  <c r="O999" i="3"/>
  <c r="H999" i="8"/>
  <c r="I999" s="1"/>
  <c r="M999" s="1"/>
  <c r="O998" i="3"/>
  <c r="H998" i="8"/>
  <c r="I998" s="1"/>
  <c r="M998" s="1"/>
  <c r="O997" i="3"/>
  <c r="H997" i="8"/>
  <c r="I997" s="1"/>
  <c r="M997" s="1"/>
  <c r="O996" i="3"/>
  <c r="H996" i="8"/>
  <c r="I996" s="1"/>
  <c r="M996" s="1"/>
  <c r="O995" i="3"/>
  <c r="H995" i="8"/>
  <c r="I995" s="1"/>
  <c r="M995" s="1"/>
  <c r="O994" i="3"/>
  <c r="H994" i="8"/>
  <c r="I994" s="1"/>
  <c r="M994" s="1"/>
  <c r="O993" i="3"/>
  <c r="H993" i="8"/>
  <c r="I993" s="1"/>
  <c r="M993" s="1"/>
  <c r="O992" i="3"/>
  <c r="H992" i="8"/>
  <c r="I992" s="1"/>
  <c r="M992" s="1"/>
  <c r="O991" i="3"/>
  <c r="H991" i="8"/>
  <c r="I991" s="1"/>
  <c r="M991" s="1"/>
  <c r="O990" i="3"/>
  <c r="H990" i="8"/>
  <c r="I990" s="1"/>
  <c r="M990" s="1"/>
  <c r="O989" i="3"/>
  <c r="H989" i="8"/>
  <c r="I989" s="1"/>
  <c r="M989" s="1"/>
  <c r="O988" i="3"/>
  <c r="H988" i="8"/>
  <c r="I988" s="1"/>
  <c r="M988" s="1"/>
  <c r="O987" i="3"/>
  <c r="H987" i="8"/>
  <c r="I987" s="1"/>
  <c r="M987" s="1"/>
  <c r="O986" i="3"/>
  <c r="H986" i="8"/>
  <c r="I986" s="1"/>
  <c r="M986" s="1"/>
  <c r="O985" i="3"/>
  <c r="H985" i="8"/>
  <c r="I985" s="1"/>
  <c r="M985" s="1"/>
  <c r="O984" i="3"/>
  <c r="H984" i="8"/>
  <c r="I984" s="1"/>
  <c r="M984" s="1"/>
  <c r="O983" i="3"/>
  <c r="H983" i="8"/>
  <c r="I983" s="1"/>
  <c r="M983" s="1"/>
  <c r="O982" i="3"/>
  <c r="H982" i="8"/>
  <c r="I982" s="1"/>
  <c r="M982" s="1"/>
  <c r="O981" i="3"/>
  <c r="H981" i="8"/>
  <c r="I981" s="1"/>
  <c r="M981" s="1"/>
  <c r="O980" i="3"/>
  <c r="H980" i="8"/>
  <c r="I980" s="1"/>
  <c r="M980" s="1"/>
  <c r="O979" i="3"/>
  <c r="H979" i="8"/>
  <c r="I979" s="1"/>
  <c r="M979" s="1"/>
  <c r="O978" i="3"/>
  <c r="H978" i="8"/>
  <c r="I978" s="1"/>
  <c r="M978" s="1"/>
  <c r="O977" i="3"/>
  <c r="H977" i="8"/>
  <c r="I977" s="1"/>
  <c r="M977" s="1"/>
  <c r="O976" i="3"/>
  <c r="H976" i="8"/>
  <c r="I976" s="1"/>
  <c r="M976" s="1"/>
  <c r="O975" i="3"/>
  <c r="H975" i="8"/>
  <c r="I975" s="1"/>
  <c r="M975" s="1"/>
  <c r="O974" i="3"/>
  <c r="H974" i="8"/>
  <c r="I974" s="1"/>
  <c r="M974" s="1"/>
  <c r="O973" i="3"/>
  <c r="H973" i="8"/>
  <c r="I973" s="1"/>
  <c r="M973" s="1"/>
  <c r="O972" i="3"/>
  <c r="H972" i="8"/>
  <c r="I972" s="1"/>
  <c r="M972" s="1"/>
  <c r="O971" i="3"/>
  <c r="H971" i="8"/>
  <c r="I971" s="1"/>
  <c r="M971" s="1"/>
  <c r="O970" i="3"/>
  <c r="H970" i="8"/>
  <c r="I970" s="1"/>
  <c r="M970" s="1"/>
  <c r="O969" i="3"/>
  <c r="H969" i="8"/>
  <c r="I969" s="1"/>
  <c r="M969" s="1"/>
  <c r="O968" i="3"/>
  <c r="H968" i="8"/>
  <c r="I968" s="1"/>
  <c r="M968" s="1"/>
  <c r="O967" i="3"/>
  <c r="H967" i="8"/>
  <c r="I967" s="1"/>
  <c r="M967" s="1"/>
  <c r="O966" i="3"/>
  <c r="H966" i="8"/>
  <c r="I966" s="1"/>
  <c r="M966" s="1"/>
  <c r="O965" i="3"/>
  <c r="H965" i="8"/>
  <c r="I965" s="1"/>
  <c r="M965" s="1"/>
  <c r="O964" i="3"/>
  <c r="H964" i="8"/>
  <c r="I964" s="1"/>
  <c r="M964" s="1"/>
  <c r="O963" i="3"/>
  <c r="H963" i="8"/>
  <c r="I963" s="1"/>
  <c r="M963" s="1"/>
  <c r="O962" i="3"/>
  <c r="H962" i="8"/>
  <c r="I962" s="1"/>
  <c r="M962" s="1"/>
  <c r="O961" i="3"/>
  <c r="H961" i="8"/>
  <c r="I961" s="1"/>
  <c r="M961" s="1"/>
  <c r="O960" i="3"/>
  <c r="H960" i="8"/>
  <c r="I960" s="1"/>
  <c r="M960" s="1"/>
  <c r="O959" i="3"/>
  <c r="H959" i="8"/>
  <c r="I959" s="1"/>
  <c r="M959" s="1"/>
  <c r="O958" i="3"/>
  <c r="H958" i="8"/>
  <c r="I958" s="1"/>
  <c r="M958" s="1"/>
  <c r="O957" i="3"/>
  <c r="H957" i="8"/>
  <c r="I957" s="1"/>
  <c r="M957" s="1"/>
  <c r="O956" i="3"/>
  <c r="H956" i="8"/>
  <c r="I956" s="1"/>
  <c r="M956" s="1"/>
  <c r="O955" i="3"/>
  <c r="H955" i="8"/>
  <c r="I955" s="1"/>
  <c r="M955" s="1"/>
  <c r="O954" i="3"/>
  <c r="H954" i="8"/>
  <c r="I954" s="1"/>
  <c r="O953" i="3"/>
  <c r="H953" i="8"/>
  <c r="I953" s="1"/>
  <c r="M953" s="1"/>
  <c r="O952" i="3"/>
  <c r="H952" i="8"/>
  <c r="I952" s="1"/>
  <c r="M952" s="1"/>
  <c r="O951" i="3"/>
  <c r="H951" i="8"/>
  <c r="I951" s="1"/>
  <c r="M951" s="1"/>
  <c r="O950" i="3"/>
  <c r="H950" i="8"/>
  <c r="I950" s="1"/>
  <c r="M950" s="1"/>
  <c r="O949" i="3"/>
  <c r="H949" i="8"/>
  <c r="I949" s="1"/>
  <c r="M949" s="1"/>
  <c r="O948" i="3"/>
  <c r="H948" i="8"/>
  <c r="I948" s="1"/>
  <c r="M948" s="1"/>
  <c r="O947" i="3"/>
  <c r="H947" i="8"/>
  <c r="I947" s="1"/>
  <c r="M947" s="1"/>
  <c r="O946" i="3"/>
  <c r="H946" i="8"/>
  <c r="I946" s="1"/>
  <c r="M946" s="1"/>
  <c r="O945" i="3"/>
  <c r="H945" i="8"/>
  <c r="I945" s="1"/>
  <c r="M945" s="1"/>
  <c r="O944" i="3"/>
  <c r="H944" i="8"/>
  <c r="I944" s="1"/>
  <c r="M944" s="1"/>
  <c r="O943" i="3"/>
  <c r="H943" i="8"/>
  <c r="I943" s="1"/>
  <c r="M943" s="1"/>
  <c r="O942" i="3"/>
  <c r="H942" i="8"/>
  <c r="I942" s="1"/>
  <c r="M942" s="1"/>
  <c r="O941" i="3"/>
  <c r="H941" i="8"/>
  <c r="I941" s="1"/>
  <c r="M941" s="1"/>
  <c r="O940" i="3"/>
  <c r="H940" i="8"/>
  <c r="I940" s="1"/>
  <c r="M940" s="1"/>
  <c r="O939" i="3"/>
  <c r="H939" i="8"/>
  <c r="I939" s="1"/>
  <c r="M939" s="1"/>
  <c r="O938" i="3"/>
  <c r="H938" i="8"/>
  <c r="I938" s="1"/>
  <c r="M938" s="1"/>
  <c r="O937" i="3"/>
  <c r="H937" i="8"/>
  <c r="I937" s="1"/>
  <c r="M937" s="1"/>
  <c r="O936" i="3"/>
  <c r="H936" i="8"/>
  <c r="I936" s="1"/>
  <c r="M936" s="1"/>
  <c r="O935" i="3"/>
  <c r="H935" i="8"/>
  <c r="I935" s="1"/>
  <c r="M935" s="1"/>
  <c r="O934" i="3"/>
  <c r="H934" i="8"/>
  <c r="I934" s="1"/>
  <c r="M934" s="1"/>
  <c r="O933" i="3"/>
  <c r="H933" i="8"/>
  <c r="I933" s="1"/>
  <c r="M933" s="1"/>
  <c r="O932" i="3"/>
  <c r="H932" i="8"/>
  <c r="I932" s="1"/>
  <c r="M932" s="1"/>
  <c r="O931" i="3"/>
  <c r="H931" i="8"/>
  <c r="I931" s="1"/>
  <c r="M931" s="1"/>
  <c r="O930" i="3"/>
  <c r="H930" i="8"/>
  <c r="I930" s="1"/>
  <c r="M930" s="1"/>
  <c r="O929" i="3"/>
  <c r="H929" i="8"/>
  <c r="I929" s="1"/>
  <c r="M929" s="1"/>
  <c r="O928" i="3"/>
  <c r="H928" i="8"/>
  <c r="I928" s="1"/>
  <c r="M928" s="1"/>
  <c r="O927" i="3"/>
  <c r="H927" i="8"/>
  <c r="I927" s="1"/>
  <c r="M927" s="1"/>
  <c r="O926" i="3"/>
  <c r="H926" i="8"/>
  <c r="I926" s="1"/>
  <c r="M926" s="1"/>
  <c r="O925" i="3"/>
  <c r="H925" i="8"/>
  <c r="I925" s="1"/>
  <c r="M925" s="1"/>
  <c r="O924" i="3"/>
  <c r="H924" i="8"/>
  <c r="I924" s="1"/>
  <c r="M924" s="1"/>
  <c r="O923" i="3"/>
  <c r="H923" i="8"/>
  <c r="I923" s="1"/>
  <c r="M923" s="1"/>
  <c r="O922" i="3"/>
  <c r="H922" i="8"/>
  <c r="I922" s="1"/>
  <c r="M922" s="1"/>
  <c r="O921" i="3"/>
  <c r="H921" i="8"/>
  <c r="I921" s="1"/>
  <c r="M921" s="1"/>
  <c r="O920" i="3"/>
  <c r="H920" i="8"/>
  <c r="I920" s="1"/>
  <c r="M920" s="1"/>
  <c r="O919" i="3"/>
  <c r="H919" i="8"/>
  <c r="I919" s="1"/>
  <c r="M919" s="1"/>
  <c r="O918" i="3"/>
  <c r="H918" i="8"/>
  <c r="I918" s="1"/>
  <c r="M918" s="1"/>
  <c r="O917" i="3"/>
  <c r="H917" i="8"/>
  <c r="I917" s="1"/>
  <c r="M917" s="1"/>
  <c r="O916" i="3"/>
  <c r="H916" i="8"/>
  <c r="I916" s="1"/>
  <c r="M916" s="1"/>
  <c r="O915" i="3"/>
  <c r="H915" i="8"/>
  <c r="I915" s="1"/>
  <c r="M915" s="1"/>
  <c r="O914" i="3"/>
  <c r="H914" i="8"/>
  <c r="I914" s="1"/>
  <c r="M914" s="1"/>
  <c r="O913" i="3"/>
  <c r="H913" i="8"/>
  <c r="I913" s="1"/>
  <c r="M913" s="1"/>
  <c r="O912" i="3"/>
  <c r="H912" i="8"/>
  <c r="I912" s="1"/>
  <c r="M912" s="1"/>
  <c r="O911" i="3"/>
  <c r="H911" i="8"/>
  <c r="I911" s="1"/>
  <c r="M911" s="1"/>
  <c r="O910" i="3"/>
  <c r="H910" i="8"/>
  <c r="I910" s="1"/>
  <c r="M910" s="1"/>
  <c r="O909" i="3"/>
  <c r="O908"/>
  <c r="H908" i="8"/>
  <c r="I908" s="1"/>
  <c r="M908" s="1"/>
  <c r="O907" i="3"/>
  <c r="H907" i="8"/>
  <c r="I907" s="1"/>
  <c r="M907" s="1"/>
  <c r="O906" i="3"/>
  <c r="H906" i="8"/>
  <c r="I906" s="1"/>
  <c r="M906" s="1"/>
  <c r="O905" i="3"/>
  <c r="H905" i="8"/>
  <c r="I905" s="1"/>
  <c r="M905" s="1"/>
  <c r="O904" i="3"/>
  <c r="H904" i="8"/>
  <c r="I904" s="1"/>
  <c r="M904" s="1"/>
  <c r="O903" i="3"/>
  <c r="H903" i="8"/>
  <c r="I903" s="1"/>
  <c r="M903" s="1"/>
  <c r="O902" i="3"/>
  <c r="H902" i="8"/>
  <c r="I902" s="1"/>
  <c r="M902" s="1"/>
  <c r="O901" i="3"/>
  <c r="H901" i="8"/>
  <c r="I901" s="1"/>
  <c r="M901" s="1"/>
  <c r="O900" i="3"/>
  <c r="H900" i="8"/>
  <c r="I900" s="1"/>
  <c r="M900" s="1"/>
  <c r="O899" i="3"/>
  <c r="H899" i="8"/>
  <c r="I899" s="1"/>
  <c r="M899" s="1"/>
  <c r="O898" i="3"/>
  <c r="H898" i="8"/>
  <c r="I898" s="1"/>
  <c r="M898" s="1"/>
  <c r="O897" i="3"/>
  <c r="O896"/>
  <c r="H896" i="8"/>
  <c r="I896" s="1"/>
  <c r="M896" s="1"/>
  <c r="O895" i="3"/>
  <c r="H895" i="8"/>
  <c r="I895" s="1"/>
  <c r="M895" s="1"/>
  <c r="O894" i="3"/>
  <c r="H894" i="8"/>
  <c r="I894" s="1"/>
  <c r="M894" s="1"/>
  <c r="O893" i="3"/>
  <c r="H893" i="8"/>
  <c r="I893" s="1"/>
  <c r="M893" s="1"/>
  <c r="O892" i="3"/>
  <c r="H892" i="8"/>
  <c r="I892" s="1"/>
  <c r="M892" s="1"/>
  <c r="O891" i="3"/>
  <c r="H891" i="8"/>
  <c r="I891" s="1"/>
  <c r="M891" s="1"/>
  <c r="O890" i="3"/>
  <c r="H890" i="8"/>
  <c r="I890" s="1"/>
  <c r="M890" s="1"/>
  <c r="O889" i="3"/>
  <c r="H889" i="8"/>
  <c r="I889" s="1"/>
  <c r="M889" s="1"/>
  <c r="O888" i="3"/>
  <c r="H888" i="8"/>
  <c r="I888" s="1"/>
  <c r="M888" s="1"/>
  <c r="O887" i="3"/>
  <c r="H887" i="8"/>
  <c r="I887" s="1"/>
  <c r="M887" s="1"/>
  <c r="O886" i="3"/>
  <c r="H886" i="8"/>
  <c r="I886" s="1"/>
  <c r="M886" s="1"/>
  <c r="O885" i="3"/>
  <c r="H885" i="8"/>
  <c r="I885" s="1"/>
  <c r="M885" s="1"/>
  <c r="O884" i="3"/>
  <c r="H884" i="8"/>
  <c r="I884" s="1"/>
  <c r="M884" s="1"/>
  <c r="O883" i="3"/>
  <c r="H883" i="8"/>
  <c r="I883" s="1"/>
  <c r="M883" s="1"/>
  <c r="O882" i="3"/>
  <c r="H882" i="8"/>
  <c r="I882" s="1"/>
  <c r="M882" s="1"/>
  <c r="O881" i="3"/>
  <c r="H881" i="8"/>
  <c r="I881" s="1"/>
  <c r="M881" s="1"/>
  <c r="Q274" i="17"/>
  <c r="P274"/>
  <c r="Q274" i="12"/>
  <c r="P274"/>
  <c r="Q273" i="17"/>
  <c r="P273"/>
  <c r="Q273" i="12"/>
  <c r="P273"/>
  <c r="Q272" i="17"/>
  <c r="P272"/>
  <c r="Q272" i="12"/>
  <c r="P272"/>
  <c r="Q271" i="17"/>
  <c r="P271"/>
  <c r="Q271" i="12"/>
  <c r="P271"/>
  <c r="Q270" i="17"/>
  <c r="P270"/>
  <c r="Q270" i="12"/>
  <c r="P270"/>
  <c r="Q269" i="17"/>
  <c r="P269"/>
  <c r="Q269" i="12"/>
  <c r="P269"/>
  <c r="Q268" i="17"/>
  <c r="P268"/>
  <c r="Q268" i="12"/>
  <c r="P268"/>
  <c r="Q267" i="17"/>
  <c r="P267"/>
  <c r="Q267" i="12"/>
  <c r="P267"/>
  <c r="Q266" i="17"/>
  <c r="P266"/>
  <c r="Q266" i="12"/>
  <c r="P266"/>
  <c r="Q265" i="17"/>
  <c r="P265"/>
  <c r="Q265" i="12"/>
  <c r="P265"/>
  <c r="Q264" i="17"/>
  <c r="P264"/>
  <c r="Q264" i="12"/>
  <c r="P264"/>
  <c r="Q263" i="17"/>
  <c r="P263"/>
  <c r="Q263" i="12"/>
  <c r="P263"/>
  <c r="Q262" i="17"/>
  <c r="P262"/>
  <c r="Q262" i="12"/>
  <c r="P262"/>
  <c r="Q261" i="17"/>
  <c r="P261"/>
  <c r="Q261" i="12"/>
  <c r="P261"/>
  <c r="Q260" i="17"/>
  <c r="P260"/>
  <c r="Q260" i="12"/>
  <c r="P260"/>
  <c r="Q259" i="17"/>
  <c r="P259"/>
  <c r="Q259" i="12"/>
  <c r="P259"/>
  <c r="Q258" i="17"/>
  <c r="P258"/>
  <c r="Q258" i="12"/>
  <c r="P258"/>
  <c r="Q257" i="17"/>
  <c r="P257"/>
  <c r="Q257" i="12"/>
  <c r="P257"/>
  <c r="Q256" i="17"/>
  <c r="P256"/>
  <c r="Q256" i="12"/>
  <c r="P256"/>
  <c r="Q255" i="17"/>
  <c r="P255"/>
  <c r="Q255" i="12"/>
  <c r="P255"/>
  <c r="Q254" i="17"/>
  <c r="P254"/>
  <c r="Q254" i="12"/>
  <c r="P254"/>
  <c r="Q253" i="17"/>
  <c r="P253"/>
  <c r="Q253" i="12"/>
  <c r="P253"/>
  <c r="Q252" i="17"/>
  <c r="P252"/>
  <c r="Q252" i="12"/>
  <c r="P252"/>
  <c r="Q251" i="17"/>
  <c r="P251"/>
  <c r="Q251" i="12"/>
  <c r="P251"/>
  <c r="Q250" i="17"/>
  <c r="P250"/>
  <c r="Q250" i="12"/>
  <c r="P250"/>
  <c r="Q249" i="17"/>
  <c r="P249"/>
  <c r="Q249" i="12"/>
  <c r="P249"/>
  <c r="Q248" i="17"/>
  <c r="P248"/>
  <c r="Q248" i="12"/>
  <c r="P248"/>
  <c r="Q247" i="17"/>
  <c r="P247"/>
  <c r="Q247" i="12"/>
  <c r="P247"/>
  <c r="Q246" i="17"/>
  <c r="P246"/>
  <c r="Q246" i="12"/>
  <c r="P246"/>
  <c r="Q245" i="17"/>
  <c r="P245"/>
  <c r="Q245" i="12"/>
  <c r="P245"/>
  <c r="Q244" i="17"/>
  <c r="P244"/>
  <c r="Q244" i="12"/>
  <c r="P244"/>
  <c r="Q243" i="17"/>
  <c r="P243"/>
  <c r="Q243" i="12"/>
  <c r="P243"/>
  <c r="Q242" i="17"/>
  <c r="P242"/>
  <c r="Q242" i="12"/>
  <c r="P242"/>
  <c r="Q241" i="17"/>
  <c r="P241"/>
  <c r="Q241" i="12"/>
  <c r="P241"/>
  <c r="Q240" i="17"/>
  <c r="P240"/>
  <c r="Q240" i="12"/>
  <c r="P240"/>
  <c r="Q239" i="17"/>
  <c r="P239"/>
  <c r="Q239" i="12"/>
  <c r="P239"/>
  <c r="Q238" i="17"/>
  <c r="P238"/>
  <c r="Q238" i="12"/>
  <c r="P238"/>
  <c r="Q237" i="17"/>
  <c r="P237"/>
  <c r="Q237" i="12"/>
  <c r="P237"/>
  <c r="Q236" i="17"/>
  <c r="P236"/>
  <c r="Q236" i="12"/>
  <c r="P236"/>
  <c r="Q235" i="17"/>
  <c r="P235"/>
  <c r="Q235" i="12"/>
  <c r="P235"/>
  <c r="Q234" i="17"/>
  <c r="P234"/>
  <c r="Q234" i="12"/>
  <c r="P234"/>
  <c r="Q233" i="17"/>
  <c r="P233"/>
  <c r="Q233" i="12"/>
  <c r="P233"/>
  <c r="Q232" i="17"/>
  <c r="P232"/>
  <c r="Q232" i="12"/>
  <c r="P232"/>
  <c r="Q231" i="17"/>
  <c r="P231"/>
  <c r="Q231" i="12"/>
  <c r="P231"/>
  <c r="Q230" i="17"/>
  <c r="P230"/>
  <c r="Q230" i="12"/>
  <c r="P230"/>
  <c r="Q229" i="17"/>
  <c r="P229"/>
  <c r="Q229" i="12"/>
  <c r="P229"/>
  <c r="Q228" i="17"/>
  <c r="P228"/>
  <c r="Q228" i="12"/>
  <c r="P228"/>
  <c r="Q227" i="17"/>
  <c r="P227"/>
  <c r="Q227" i="12"/>
  <c r="P227"/>
  <c r="Q226" i="17"/>
  <c r="P226"/>
  <c r="Q226" i="12"/>
  <c r="P226"/>
  <c r="Q225" i="17"/>
  <c r="P225"/>
  <c r="Q225" i="12"/>
  <c r="P225"/>
  <c r="Q224" i="17"/>
  <c r="P224"/>
  <c r="Q224" i="12"/>
  <c r="P224"/>
  <c r="Q223" i="17"/>
  <c r="P223"/>
  <c r="Q223" i="12"/>
  <c r="P223"/>
  <c r="Q222" i="17"/>
  <c r="P222"/>
  <c r="Q222" i="12"/>
  <c r="P222"/>
  <c r="Q221" i="17"/>
  <c r="P221"/>
  <c r="Q221" i="12"/>
  <c r="P221"/>
  <c r="Q220" i="17"/>
  <c r="P220"/>
  <c r="Q220" i="12"/>
  <c r="P220"/>
  <c r="Q219" i="17"/>
  <c r="P219"/>
  <c r="Q219" i="12"/>
  <c r="P219"/>
  <c r="Q218" i="17"/>
  <c r="P218"/>
  <c r="Q218" i="12"/>
  <c r="P218"/>
  <c r="Q217" i="17"/>
  <c r="P217"/>
  <c r="Q217" i="12"/>
  <c r="P217"/>
  <c r="Q216" i="17"/>
  <c r="P216"/>
  <c r="Q216" i="12"/>
  <c r="P216"/>
  <c r="Q215" i="17"/>
  <c r="P215"/>
  <c r="Q215" i="12"/>
  <c r="P215"/>
  <c r="Q214" i="17"/>
  <c r="P214"/>
  <c r="Q214" i="12"/>
  <c r="P214"/>
  <c r="Q213" i="17"/>
  <c r="P213"/>
  <c r="Q213" i="12"/>
  <c r="P213"/>
  <c r="Q212" i="17"/>
  <c r="P212"/>
  <c r="Q212" i="12"/>
  <c r="P212"/>
  <c r="Q211" i="17"/>
  <c r="P211"/>
  <c r="Q211" i="12"/>
  <c r="P211"/>
  <c r="Q210" i="17"/>
  <c r="P210"/>
  <c r="Q210" i="12"/>
  <c r="P210"/>
  <c r="Q209" i="17"/>
  <c r="P209"/>
  <c r="Q209" i="12"/>
  <c r="P209"/>
  <c r="K208" i="14"/>
  <c r="H208"/>
  <c r="I208" s="1"/>
  <c r="Q208" i="17"/>
  <c r="P208"/>
  <c r="Q208" i="12"/>
  <c r="P208"/>
  <c r="Q207" i="17"/>
  <c r="P207"/>
  <c r="Q207" i="12"/>
  <c r="P207"/>
  <c r="Q206" i="17"/>
  <c r="P206"/>
  <c r="Q206" i="12"/>
  <c r="P206"/>
  <c r="Q205" i="17"/>
  <c r="P205"/>
  <c r="Q205" i="12"/>
  <c r="P205"/>
  <c r="Q204" i="17"/>
  <c r="P204"/>
  <c r="Q204" i="12"/>
  <c r="P204"/>
  <c r="Q203" i="17"/>
  <c r="P203"/>
  <c r="Q203" i="12"/>
  <c r="P203"/>
  <c r="Q202" i="17"/>
  <c r="P202"/>
  <c r="Q202" i="12"/>
  <c r="P202"/>
  <c r="Q201" i="17"/>
  <c r="P201"/>
  <c r="Q201" i="12"/>
  <c r="P201"/>
  <c r="Q200" i="17"/>
  <c r="P200"/>
  <c r="Q200" i="12"/>
  <c r="P200"/>
  <c r="Q199" i="17"/>
  <c r="P199"/>
  <c r="Q199" i="12"/>
  <c r="P199"/>
  <c r="Q198" i="17"/>
  <c r="P198"/>
  <c r="Q198" i="12"/>
  <c r="P198"/>
  <c r="Q197" i="17"/>
  <c r="P197"/>
  <c r="Q197" i="12"/>
  <c r="P197"/>
  <c r="Q196" i="17"/>
  <c r="P196"/>
  <c r="Q196" i="12"/>
  <c r="P196"/>
  <c r="Q195" i="17"/>
  <c r="P195"/>
  <c r="Q195" i="12"/>
  <c r="P195"/>
  <c r="Q194" i="17"/>
  <c r="P194"/>
  <c r="Q194" i="12"/>
  <c r="P194"/>
  <c r="Q193" i="17"/>
  <c r="P193"/>
  <c r="Q193" i="12"/>
  <c r="P193"/>
  <c r="Q192" i="17"/>
  <c r="P192"/>
  <c r="Q192" i="12"/>
  <c r="P192"/>
  <c r="Q191" i="17"/>
  <c r="P191"/>
  <c r="Q191" i="12"/>
  <c r="P191"/>
  <c r="Q190" i="17"/>
  <c r="P190"/>
  <c r="Q190" i="12"/>
  <c r="P190"/>
  <c r="K189" i="14"/>
  <c r="H189"/>
  <c r="I189" s="1"/>
  <c r="Q189" i="17"/>
  <c r="P189"/>
  <c r="Q189" i="12"/>
  <c r="P189"/>
  <c r="Q188" i="17"/>
  <c r="P188"/>
  <c r="Q188" i="12"/>
  <c r="P188"/>
  <c r="Q187" i="17"/>
  <c r="P187"/>
  <c r="Q187" i="12"/>
  <c r="P187"/>
  <c r="K186" i="14"/>
  <c r="H186"/>
  <c r="I186" s="1"/>
  <c r="Q186" i="17"/>
  <c r="P186"/>
  <c r="Q186" i="12"/>
  <c r="P186"/>
  <c r="Q185" i="17"/>
  <c r="P185"/>
  <c r="Q185" i="12"/>
  <c r="P185"/>
  <c r="Q184" i="17"/>
  <c r="P184"/>
  <c r="Q184" i="12"/>
  <c r="P184"/>
  <c r="Q183" i="17"/>
  <c r="P183"/>
  <c r="Q183" i="12"/>
  <c r="P183"/>
  <c r="Q182" i="17"/>
  <c r="P182"/>
  <c r="Q182" i="12"/>
  <c r="P182"/>
  <c r="Q181" i="17"/>
  <c r="P181"/>
  <c r="Q181" i="12"/>
  <c r="P181"/>
  <c r="Q180" i="17"/>
  <c r="P180"/>
  <c r="Q180" i="12"/>
  <c r="P180"/>
  <c r="Q179" i="17"/>
  <c r="P179"/>
  <c r="Q179" i="12"/>
  <c r="P179"/>
  <c r="Q178" i="17"/>
  <c r="P178"/>
  <c r="Q178" i="12"/>
  <c r="P178"/>
  <c r="Q177" i="17"/>
  <c r="P177"/>
  <c r="Q177" i="12"/>
  <c r="P177"/>
  <c r="Q176" i="17"/>
  <c r="P176"/>
  <c r="Q176" i="12"/>
  <c r="P176"/>
  <c r="Q175" i="17"/>
  <c r="P175"/>
  <c r="Q175" i="12"/>
  <c r="P175"/>
  <c r="Q174" i="17"/>
  <c r="P174"/>
  <c r="Q174" i="12"/>
  <c r="P174"/>
  <c r="Q173" i="17"/>
  <c r="P173"/>
  <c r="Q173" i="12"/>
  <c r="P173"/>
  <c r="Q172" i="17"/>
  <c r="P172"/>
  <c r="Q172" i="12"/>
  <c r="P172"/>
  <c r="Q171" i="17"/>
  <c r="P171"/>
  <c r="Q171" i="12"/>
  <c r="P171"/>
  <c r="Q170" i="17"/>
  <c r="P170"/>
  <c r="Q170" i="12"/>
  <c r="P170"/>
  <c r="Q169" i="17"/>
  <c r="P169"/>
  <c r="Q169" i="12"/>
  <c r="P169"/>
  <c r="Q168" i="17"/>
  <c r="P168"/>
  <c r="Q168" i="12"/>
  <c r="P168"/>
  <c r="Q167" i="17"/>
  <c r="P167"/>
  <c r="Q167" i="12"/>
  <c r="P167"/>
  <c r="Q166" i="17"/>
  <c r="P166"/>
  <c r="Q166" i="12"/>
  <c r="P166"/>
  <c r="Q165" i="17"/>
  <c r="P165"/>
  <c r="Q165" i="12"/>
  <c r="P165"/>
  <c r="Q164" i="17"/>
  <c r="P164"/>
  <c r="Q164" i="12"/>
  <c r="P164"/>
  <c r="Q163" i="17"/>
  <c r="P163"/>
  <c r="Q163" i="12"/>
  <c r="P163"/>
  <c r="Q162" i="17"/>
  <c r="P162"/>
  <c r="Q162" i="12"/>
  <c r="P162"/>
  <c r="Q161" i="17"/>
  <c r="P161"/>
  <c r="Q161" i="12"/>
  <c r="P161"/>
  <c r="Q160" i="17"/>
  <c r="P160"/>
  <c r="Q160" i="12"/>
  <c r="P160"/>
  <c r="Q159" i="17"/>
  <c r="P159"/>
  <c r="Q159" i="12"/>
  <c r="P159"/>
  <c r="Q158" i="17"/>
  <c r="P158"/>
  <c r="Q158" i="12"/>
  <c r="P158"/>
  <c r="Q157" i="17"/>
  <c r="P157"/>
  <c r="Q157" i="12"/>
  <c r="P157"/>
  <c r="Q156" i="17"/>
  <c r="P156"/>
  <c r="Q156" i="12"/>
  <c r="P156"/>
  <c r="Q155" i="17"/>
  <c r="P155"/>
  <c r="Q155" i="12"/>
  <c r="P155"/>
  <c r="Q154" i="17"/>
  <c r="P154"/>
  <c r="Q154" i="12"/>
  <c r="P154"/>
  <c r="Q153" i="17"/>
  <c r="P153"/>
  <c r="Q153" i="12"/>
  <c r="P153"/>
  <c r="Q152" i="17"/>
  <c r="P152"/>
  <c r="Q152" i="12"/>
  <c r="P152"/>
  <c r="Q151" i="17"/>
  <c r="P151"/>
  <c r="Q151" i="12"/>
  <c r="P151"/>
  <c r="Q150" i="17"/>
  <c r="P150"/>
  <c r="Q150" i="12"/>
  <c r="P150"/>
  <c r="Q149" i="17"/>
  <c r="P149"/>
  <c r="Q149" i="12"/>
  <c r="P149"/>
  <c r="Q148" i="17"/>
  <c r="P148"/>
  <c r="Q148" i="12"/>
  <c r="P148"/>
  <c r="Q147" i="17"/>
  <c r="P147"/>
  <c r="Q147" i="12"/>
  <c r="P147"/>
  <c r="Q146" i="17"/>
  <c r="P146"/>
  <c r="Q146" i="12"/>
  <c r="P146"/>
  <c r="Q145" i="17"/>
  <c r="P145"/>
  <c r="Q145" i="12"/>
  <c r="P145"/>
  <c r="Q144" i="17"/>
  <c r="P144"/>
  <c r="Q144" i="12"/>
  <c r="P144"/>
  <c r="Q143" i="17"/>
  <c r="P143"/>
  <c r="Q143" i="12"/>
  <c r="P143"/>
  <c r="Q142" i="17"/>
  <c r="P142"/>
  <c r="Q142" i="12"/>
  <c r="P142"/>
  <c r="Q141" i="17"/>
  <c r="P141"/>
  <c r="Q141" i="12"/>
  <c r="P141"/>
  <c r="Q140" i="17"/>
  <c r="P140"/>
  <c r="Q140" i="12"/>
  <c r="P140"/>
  <c r="Q139" i="17"/>
  <c r="P139"/>
  <c r="Q139" i="12"/>
  <c r="P139"/>
  <c r="Q138" i="17"/>
  <c r="P138"/>
  <c r="Q138" i="12"/>
  <c r="P138"/>
  <c r="Q137" i="17"/>
  <c r="P137"/>
  <c r="Q137" i="12"/>
  <c r="P137"/>
  <c r="Q136" i="17"/>
  <c r="P136"/>
  <c r="Q136" i="12"/>
  <c r="P136"/>
  <c r="Q135" i="17"/>
  <c r="P135"/>
  <c r="Q135" i="12"/>
  <c r="P135"/>
  <c r="Q134" i="17"/>
  <c r="P134"/>
  <c r="Q134" i="12"/>
  <c r="P134"/>
  <c r="Q133" i="17"/>
  <c r="P133"/>
  <c r="Q133" i="12"/>
  <c r="P133"/>
  <c r="Q132" i="17"/>
  <c r="P132"/>
  <c r="Q132" i="12"/>
  <c r="P132"/>
  <c r="Q131" i="17"/>
  <c r="P131"/>
  <c r="Q131" i="12"/>
  <c r="P131"/>
  <c r="Q130" i="17"/>
  <c r="P130"/>
  <c r="Q130" i="12"/>
  <c r="P130"/>
  <c r="Q129" i="17"/>
  <c r="P129"/>
  <c r="Q129" i="12"/>
  <c r="P129"/>
  <c r="Q128" i="17"/>
  <c r="P128"/>
  <c r="Q128" i="12"/>
  <c r="P128"/>
  <c r="Q127" i="17"/>
  <c r="P127"/>
  <c r="Q127" i="12"/>
  <c r="P127"/>
  <c r="Q126" i="17"/>
  <c r="P126"/>
  <c r="Q126" i="12"/>
  <c r="P126"/>
  <c r="Q125" i="17"/>
  <c r="P125"/>
  <c r="Q125" i="12"/>
  <c r="P125"/>
  <c r="Q124" i="17"/>
  <c r="P124"/>
  <c r="Q124" i="12"/>
  <c r="P124"/>
  <c r="Q123" i="17"/>
  <c r="P123"/>
  <c r="Q123" i="12"/>
  <c r="P123"/>
  <c r="Q122" i="17"/>
  <c r="P122"/>
  <c r="Q122" i="12"/>
  <c r="P122"/>
  <c r="Q121" i="17"/>
  <c r="P121"/>
  <c r="Q121" i="12"/>
  <c r="P121"/>
  <c r="Q120" i="17"/>
  <c r="P120"/>
  <c r="Q120" i="12"/>
  <c r="P120"/>
  <c r="Q119" i="17"/>
  <c r="P119"/>
  <c r="Q119" i="12"/>
  <c r="P119"/>
  <c r="Q118" i="17"/>
  <c r="P118"/>
  <c r="Q118" i="12"/>
  <c r="P118"/>
  <c r="Q117" i="17"/>
  <c r="P117"/>
  <c r="Q117" i="12"/>
  <c r="P117"/>
  <c r="Q116" i="17"/>
  <c r="P116"/>
  <c r="Q116" i="12"/>
  <c r="P116"/>
  <c r="Q115" i="17"/>
  <c r="P115"/>
  <c r="Q115" i="12"/>
  <c r="P115"/>
  <c r="Q114" i="17"/>
  <c r="P114"/>
  <c r="Q114" i="12"/>
  <c r="P114"/>
  <c r="Q113" i="17"/>
  <c r="P113"/>
  <c r="Q113" i="12"/>
  <c r="P113"/>
  <c r="Q112" i="17"/>
  <c r="P112"/>
  <c r="Q112" i="12"/>
  <c r="P112"/>
  <c r="Q111" i="17"/>
  <c r="P111"/>
  <c r="Q111" i="12"/>
  <c r="P111"/>
  <c r="Q110" i="17"/>
  <c r="P110"/>
  <c r="Q110" i="12"/>
  <c r="P110"/>
  <c r="Q109" i="17"/>
  <c r="P109"/>
  <c r="Q109" i="12"/>
  <c r="P109"/>
  <c r="Q108" i="17"/>
  <c r="P108"/>
  <c r="Q108" i="12"/>
  <c r="P108"/>
  <c r="Q107" i="17"/>
  <c r="P107"/>
  <c r="Q107" i="12"/>
  <c r="P107"/>
  <c r="Q106" i="17"/>
  <c r="P106"/>
  <c r="Q106" i="12"/>
  <c r="P106"/>
  <c r="Q105" i="17"/>
  <c r="P105"/>
  <c r="Q105" i="12"/>
  <c r="P105"/>
  <c r="Q104" i="17"/>
  <c r="P104"/>
  <c r="Q104" i="12"/>
  <c r="P104"/>
  <c r="Q103" i="17"/>
  <c r="P103"/>
  <c r="Q103" i="12"/>
  <c r="P103"/>
  <c r="Q102" i="17"/>
  <c r="P102"/>
  <c r="Q102" i="12"/>
  <c r="P102"/>
  <c r="Q101" i="17"/>
  <c r="P101"/>
  <c r="Q101" i="12"/>
  <c r="P101"/>
  <c r="Q100" i="17"/>
  <c r="P100"/>
  <c r="Q100" i="12"/>
  <c r="P100"/>
  <c r="Q99" i="17"/>
  <c r="P99"/>
  <c r="Q99" i="12"/>
  <c r="P99"/>
  <c r="Q98" i="17"/>
  <c r="P98"/>
  <c r="Q98" i="12"/>
  <c r="P98"/>
  <c r="Q97" i="17"/>
  <c r="P97"/>
  <c r="Q97" i="12"/>
  <c r="P97"/>
  <c r="Q96" i="17"/>
  <c r="P96"/>
  <c r="Q96" i="12"/>
  <c r="P96"/>
  <c r="Q95" i="17"/>
  <c r="P95"/>
  <c r="Q95" i="12"/>
  <c r="P95"/>
  <c r="Q94" i="17"/>
  <c r="P94"/>
  <c r="Q94" i="12"/>
  <c r="P94"/>
  <c r="Q93" i="17"/>
  <c r="P93"/>
  <c r="Q93" i="12"/>
  <c r="P93"/>
  <c r="Q92" i="17"/>
  <c r="P92"/>
  <c r="Q92" i="12"/>
  <c r="P92"/>
  <c r="K6" i="17"/>
  <c r="J67"/>
  <c r="K67" s="1"/>
  <c r="O66"/>
  <c r="L66"/>
  <c r="M66" s="1"/>
  <c r="O65"/>
  <c r="L65"/>
  <c r="M65" s="1"/>
  <c r="O64"/>
  <c r="L64"/>
  <c r="M64" s="1"/>
  <c r="O63"/>
  <c r="L63"/>
  <c r="M63" s="1"/>
  <c r="O62"/>
  <c r="L62"/>
  <c r="M62" s="1"/>
  <c r="O61"/>
  <c r="L61"/>
  <c r="M61" s="1"/>
  <c r="O60"/>
  <c r="L60"/>
  <c r="M60" s="1"/>
  <c r="O59"/>
  <c r="L59"/>
  <c r="M59" s="1"/>
  <c r="O58"/>
  <c r="L58"/>
  <c r="M58" s="1"/>
  <c r="O57"/>
  <c r="L57"/>
  <c r="M57" s="1"/>
  <c r="O56"/>
  <c r="L56"/>
  <c r="M56" s="1"/>
  <c r="O55"/>
  <c r="L55"/>
  <c r="M55" s="1"/>
  <c r="O54"/>
  <c r="L54"/>
  <c r="M54" s="1"/>
  <c r="O53"/>
  <c r="L53"/>
  <c r="M53" s="1"/>
  <c r="O52"/>
  <c r="L52"/>
  <c r="M52" s="1"/>
  <c r="O51"/>
  <c r="L51"/>
  <c r="M51" s="1"/>
  <c r="O50"/>
  <c r="L50"/>
  <c r="M50" s="1"/>
  <c r="O49"/>
  <c r="L49"/>
  <c r="M49" s="1"/>
  <c r="O48"/>
  <c r="L48"/>
  <c r="M48" s="1"/>
  <c r="O47"/>
  <c r="L47"/>
  <c r="M47" s="1"/>
  <c r="O46"/>
  <c r="L46"/>
  <c r="M46" s="1"/>
  <c r="O45"/>
  <c r="L45"/>
  <c r="M45" s="1"/>
  <c r="O44"/>
  <c r="L44"/>
  <c r="M44" s="1"/>
  <c r="O43"/>
  <c r="L43"/>
  <c r="M43" s="1"/>
  <c r="O42"/>
  <c r="L42"/>
  <c r="M42" s="1"/>
  <c r="O41"/>
  <c r="L41"/>
  <c r="M41" s="1"/>
  <c r="O40"/>
  <c r="L40"/>
  <c r="M40" s="1"/>
  <c r="O39"/>
  <c r="L39"/>
  <c r="M39" s="1"/>
  <c r="O38"/>
  <c r="L38"/>
  <c r="M38" s="1"/>
  <c r="O37"/>
  <c r="L37"/>
  <c r="M37" s="1"/>
  <c r="O36"/>
  <c r="L36"/>
  <c r="M36" s="1"/>
  <c r="O35"/>
  <c r="L35"/>
  <c r="M35" s="1"/>
  <c r="O34"/>
  <c r="L34"/>
  <c r="M34" s="1"/>
  <c r="O33"/>
  <c r="L33"/>
  <c r="M33" s="1"/>
  <c r="O32"/>
  <c r="L32"/>
  <c r="M32" s="1"/>
  <c r="O31"/>
  <c r="L31"/>
  <c r="M31" s="1"/>
  <c r="O30"/>
  <c r="L30"/>
  <c r="M30" s="1"/>
  <c r="O29"/>
  <c r="L29"/>
  <c r="M29" s="1"/>
  <c r="O28"/>
  <c r="L28"/>
  <c r="M28" s="1"/>
  <c r="O27"/>
  <c r="L27"/>
  <c r="M27" s="1"/>
  <c r="O26"/>
  <c r="L26"/>
  <c r="M26" s="1"/>
  <c r="O25"/>
  <c r="L25"/>
  <c r="M25" s="1"/>
  <c r="O24"/>
  <c r="L24"/>
  <c r="M24" s="1"/>
  <c r="O23"/>
  <c r="L23"/>
  <c r="M23" s="1"/>
  <c r="M745" i="6"/>
  <c r="L745"/>
  <c r="Q881" i="12"/>
  <c r="P881"/>
  <c r="Q1145"/>
  <c r="P1145"/>
  <c r="Q1144"/>
  <c r="P1144"/>
  <c r="Q1143"/>
  <c r="P1143"/>
  <c r="Q1142"/>
  <c r="P1142"/>
  <c r="Q1141"/>
  <c r="P1141"/>
  <c r="Q1140"/>
  <c r="P1140"/>
  <c r="Q1139"/>
  <c r="P1139"/>
  <c r="Q1138"/>
  <c r="P1138"/>
  <c r="Q1137"/>
  <c r="P1137"/>
  <c r="Q1136"/>
  <c r="P1136"/>
  <c r="Q1135"/>
  <c r="P1135"/>
  <c r="Q1134"/>
  <c r="P1134"/>
  <c r="Q1133"/>
  <c r="P1133"/>
  <c r="Q1132"/>
  <c r="P1132"/>
  <c r="Q1131"/>
  <c r="P1131"/>
  <c r="Q1130"/>
  <c r="P1130"/>
  <c r="Q1129"/>
  <c r="P1129"/>
  <c r="Q1128"/>
  <c r="P1128"/>
  <c r="Q1127"/>
  <c r="P1127"/>
  <c r="Q1126"/>
  <c r="P1126"/>
  <c r="Q1125"/>
  <c r="P1125"/>
  <c r="Q1124"/>
  <c r="P1124"/>
  <c r="Q1123"/>
  <c r="P1123"/>
  <c r="Q1122"/>
  <c r="P1122"/>
  <c r="Q1121"/>
  <c r="P1121"/>
  <c r="Q1120"/>
  <c r="P1120"/>
  <c r="Q1119"/>
  <c r="P1119"/>
  <c r="Q1118"/>
  <c r="P1118"/>
  <c r="Q1117"/>
  <c r="P1117"/>
  <c r="Q1116"/>
  <c r="P1116"/>
  <c r="Q1115"/>
  <c r="P1115"/>
  <c r="Q1114"/>
  <c r="P1114"/>
  <c r="Q1113"/>
  <c r="P1113"/>
  <c r="Q1112"/>
  <c r="P1112"/>
  <c r="Q1111"/>
  <c r="P1111"/>
  <c r="Q1110"/>
  <c r="P1110"/>
  <c r="Q1109"/>
  <c r="P1109"/>
  <c r="Q1108"/>
  <c r="P1108"/>
  <c r="Q1107"/>
  <c r="P1107"/>
  <c r="Q1106"/>
  <c r="P1106"/>
  <c r="Q1105"/>
  <c r="P1105"/>
  <c r="Q1104"/>
  <c r="P1104"/>
  <c r="Q1103"/>
  <c r="P1103"/>
  <c r="Q1102"/>
  <c r="P1102"/>
  <c r="Q1101"/>
  <c r="P1101"/>
  <c r="Q1100"/>
  <c r="P1100"/>
  <c r="Q1099"/>
  <c r="P1099"/>
  <c r="Q1098"/>
  <c r="P1098"/>
  <c r="Q1097"/>
  <c r="P1097"/>
  <c r="Q1096"/>
  <c r="P1096"/>
  <c r="Q1095"/>
  <c r="P1095"/>
  <c r="Q1094"/>
  <c r="P1094"/>
  <c r="Q1093"/>
  <c r="P1093"/>
  <c r="Q1092"/>
  <c r="P1092"/>
  <c r="Q1091"/>
  <c r="P1091"/>
  <c r="Q1090"/>
  <c r="P1090"/>
  <c r="Q1089"/>
  <c r="P1089"/>
  <c r="Q1088"/>
  <c r="P1088"/>
  <c r="Q1087"/>
  <c r="P1087"/>
  <c r="Q1086"/>
  <c r="P1086"/>
  <c r="Q1085"/>
  <c r="P1085"/>
  <c r="Q1084"/>
  <c r="P1084"/>
  <c r="Q1083"/>
  <c r="P1083"/>
  <c r="Q1082"/>
  <c r="P1082"/>
  <c r="Q1081"/>
  <c r="P1081"/>
  <c r="Q1080"/>
  <c r="P1080"/>
  <c r="Q1079"/>
  <c r="P1079"/>
  <c r="Q1078"/>
  <c r="P1078"/>
  <c r="Q1077"/>
  <c r="P1077"/>
  <c r="Q1076"/>
  <c r="P1076"/>
  <c r="Q1075"/>
  <c r="P1075"/>
  <c r="Q1074"/>
  <c r="P1074"/>
  <c r="Q1073"/>
  <c r="P1073"/>
  <c r="Q1072"/>
  <c r="P1072"/>
  <c r="Q1071"/>
  <c r="P1071"/>
  <c r="Q1070"/>
  <c r="P1070"/>
  <c r="Q1069"/>
  <c r="P1069"/>
  <c r="Q1068"/>
  <c r="P1068"/>
  <c r="Q1067"/>
  <c r="P1067"/>
  <c r="Q1066"/>
  <c r="P1066"/>
  <c r="Q1065"/>
  <c r="P1065"/>
  <c r="Q1064"/>
  <c r="P1064"/>
  <c r="Q1063"/>
  <c r="P1063"/>
  <c r="Q1062"/>
  <c r="P1062"/>
  <c r="Q1061"/>
  <c r="P1061"/>
  <c r="Q1060"/>
  <c r="P1060"/>
  <c r="Q1059"/>
  <c r="P1059"/>
  <c r="Q1058"/>
  <c r="P1058"/>
  <c r="Q1057"/>
  <c r="P1057"/>
  <c r="Q1056"/>
  <c r="P1056"/>
  <c r="Q1055"/>
  <c r="P1055"/>
  <c r="Q1054"/>
  <c r="P1054"/>
  <c r="Q1053"/>
  <c r="P1053"/>
  <c r="Q1052"/>
  <c r="P1052"/>
  <c r="Q1051"/>
  <c r="P1051"/>
  <c r="Q1050"/>
  <c r="P1050"/>
  <c r="Q1049"/>
  <c r="P1049"/>
  <c r="Q1048"/>
  <c r="P1048"/>
  <c r="Q1047"/>
  <c r="P1047"/>
  <c r="Q1046"/>
  <c r="P1046"/>
  <c r="Q1045"/>
  <c r="P1045"/>
  <c r="Q1044"/>
  <c r="P1044"/>
  <c r="Q1043"/>
  <c r="P1043"/>
  <c r="Q1042"/>
  <c r="P1042"/>
  <c r="Q1041"/>
  <c r="P1041"/>
  <c r="Q1040"/>
  <c r="P1040"/>
  <c r="Q1039"/>
  <c r="P1039"/>
  <c r="Q1038"/>
  <c r="P1038"/>
  <c r="Q1037"/>
  <c r="P1037"/>
  <c r="Q1036"/>
  <c r="P1036"/>
  <c r="Q1035"/>
  <c r="P1035"/>
  <c r="Q1034"/>
  <c r="P1034"/>
  <c r="Q1033"/>
  <c r="P1033"/>
  <c r="Q1032"/>
  <c r="P1032"/>
  <c r="Q1031"/>
  <c r="P1031"/>
  <c r="Q1030"/>
  <c r="P1030"/>
  <c r="Q1029"/>
  <c r="P1029"/>
  <c r="Q1028"/>
  <c r="P1028"/>
  <c r="Q1027"/>
  <c r="P1027"/>
  <c r="Q1026"/>
  <c r="P1026"/>
  <c r="Q1025"/>
  <c r="P1025"/>
  <c r="Q1024"/>
  <c r="P1024"/>
  <c r="Q1023"/>
  <c r="P1023"/>
  <c r="Q1022"/>
  <c r="P1022"/>
  <c r="Q1021"/>
  <c r="P1021"/>
  <c r="Q1020"/>
  <c r="P1020"/>
  <c r="Q1019"/>
  <c r="P1019"/>
  <c r="Q1018"/>
  <c r="P1018"/>
  <c r="Q1017"/>
  <c r="P1017"/>
  <c r="Q1016"/>
  <c r="P1016"/>
  <c r="Q1015"/>
  <c r="P1015"/>
  <c r="Q1014"/>
  <c r="P1014"/>
  <c r="Q1013"/>
  <c r="P1013"/>
  <c r="Q1012"/>
  <c r="P1012"/>
  <c r="Q1011"/>
  <c r="P1011"/>
  <c r="Q1010"/>
  <c r="P1010"/>
  <c r="Q1009"/>
  <c r="P1009"/>
  <c r="Q1008"/>
  <c r="P1008"/>
  <c r="Q1007"/>
  <c r="P1007"/>
  <c r="Q1006"/>
  <c r="P1006"/>
  <c r="Q1005"/>
  <c r="P1005"/>
  <c r="Q1004"/>
  <c r="P1004"/>
  <c r="Q1003"/>
  <c r="P1003"/>
  <c r="Q1002"/>
  <c r="P1002"/>
  <c r="Q1001"/>
  <c r="P1001"/>
  <c r="Q1000"/>
  <c r="P1000"/>
  <c r="Q999"/>
  <c r="P999"/>
  <c r="Q998"/>
  <c r="P998"/>
  <c r="Q997"/>
  <c r="P997"/>
  <c r="Q996"/>
  <c r="P996"/>
  <c r="Q995"/>
  <c r="P995"/>
  <c r="Q994"/>
  <c r="P994"/>
  <c r="Q993"/>
  <c r="P993"/>
  <c r="Q992"/>
  <c r="P992"/>
  <c r="Q991"/>
  <c r="P991"/>
  <c r="Q990"/>
  <c r="P990"/>
  <c r="Q989"/>
  <c r="P989"/>
  <c r="Q988"/>
  <c r="P988"/>
  <c r="Q987"/>
  <c r="P987"/>
  <c r="Q986"/>
  <c r="P986"/>
  <c r="Q985"/>
  <c r="P985"/>
  <c r="Q984"/>
  <c r="P984"/>
  <c r="Q983"/>
  <c r="P983"/>
  <c r="Q982"/>
  <c r="P982"/>
  <c r="Q981"/>
  <c r="P981"/>
  <c r="Q980"/>
  <c r="P980"/>
  <c r="Q979"/>
  <c r="P979"/>
  <c r="Q978"/>
  <c r="P978"/>
  <c r="Q977"/>
  <c r="P977"/>
  <c r="Q976"/>
  <c r="P976"/>
  <c r="Q975"/>
  <c r="P975"/>
  <c r="Q974"/>
  <c r="P974"/>
  <c r="Q973"/>
  <c r="P973"/>
  <c r="Q972"/>
  <c r="P972"/>
  <c r="Q971"/>
  <c r="P971"/>
  <c r="Q970"/>
  <c r="P970"/>
  <c r="Q969"/>
  <c r="P969"/>
  <c r="Q968"/>
  <c r="P968"/>
  <c r="Q967"/>
  <c r="P967"/>
  <c r="Q966"/>
  <c r="P966"/>
  <c r="Q965"/>
  <c r="P965"/>
  <c r="Q964"/>
  <c r="P964"/>
  <c r="Q963"/>
  <c r="P963"/>
  <c r="Q962"/>
  <c r="P962"/>
  <c r="Q961"/>
  <c r="P961"/>
  <c r="Q960"/>
  <c r="P960"/>
  <c r="Q959"/>
  <c r="P959"/>
  <c r="Q958"/>
  <c r="P958"/>
  <c r="Q957"/>
  <c r="P957"/>
  <c r="Q956"/>
  <c r="P956"/>
  <c r="Q955"/>
  <c r="P955"/>
  <c r="Q954"/>
  <c r="P954"/>
  <c r="Q953"/>
  <c r="P953"/>
  <c r="Q952"/>
  <c r="P952"/>
  <c r="Q951"/>
  <c r="P951"/>
  <c r="Q950"/>
  <c r="P950"/>
  <c r="Q949"/>
  <c r="P949"/>
  <c r="Q948"/>
  <c r="P948"/>
  <c r="Q947"/>
  <c r="P947"/>
  <c r="Q946"/>
  <c r="P946"/>
  <c r="Q945"/>
  <c r="P945"/>
  <c r="Q944"/>
  <c r="P944"/>
  <c r="Q943"/>
  <c r="P943"/>
  <c r="Q942"/>
  <c r="P942"/>
  <c r="Q941"/>
  <c r="P941"/>
  <c r="Q940"/>
  <c r="P940"/>
  <c r="Q939"/>
  <c r="P939"/>
  <c r="Q938"/>
  <c r="P938"/>
  <c r="Q937"/>
  <c r="P937"/>
  <c r="Q936"/>
  <c r="P936"/>
  <c r="Q935"/>
  <c r="P935"/>
  <c r="Q934"/>
  <c r="P934"/>
  <c r="Q933"/>
  <c r="P933"/>
  <c r="Q932"/>
  <c r="P932"/>
  <c r="Q931"/>
  <c r="P931"/>
  <c r="Q930"/>
  <c r="P930"/>
  <c r="Q929"/>
  <c r="P929"/>
  <c r="Q928"/>
  <c r="P928"/>
  <c r="Q927"/>
  <c r="P927"/>
  <c r="Q926"/>
  <c r="P926"/>
  <c r="Q925"/>
  <c r="P925"/>
  <c r="Q924"/>
  <c r="P924"/>
  <c r="Q923"/>
  <c r="P923"/>
  <c r="Q922"/>
  <c r="P922"/>
  <c r="Q921"/>
  <c r="P921"/>
  <c r="Q920"/>
  <c r="P920"/>
  <c r="Q919"/>
  <c r="P919"/>
  <c r="Q918"/>
  <c r="P918"/>
  <c r="Q917"/>
  <c r="P917"/>
  <c r="Q916"/>
  <c r="P916"/>
  <c r="Q915"/>
  <c r="P915"/>
  <c r="Q914"/>
  <c r="P914"/>
  <c r="Q913"/>
  <c r="P913"/>
  <c r="Q912"/>
  <c r="P912"/>
  <c r="Q911"/>
  <c r="P911"/>
  <c r="Q910"/>
  <c r="P910"/>
  <c r="Q909"/>
  <c r="P909"/>
  <c r="Q908"/>
  <c r="P908"/>
  <c r="Q907"/>
  <c r="P907"/>
  <c r="Q906"/>
  <c r="P906"/>
  <c r="Q905"/>
  <c r="P905"/>
  <c r="Q904"/>
  <c r="P904"/>
  <c r="Q903"/>
  <c r="P903"/>
  <c r="Q902"/>
  <c r="P902"/>
  <c r="Q901"/>
  <c r="P901"/>
  <c r="Q900"/>
  <c r="P900"/>
  <c r="Q899"/>
  <c r="P899"/>
  <c r="Q898"/>
  <c r="P898"/>
  <c r="Q897"/>
  <c r="P897"/>
  <c r="Q896"/>
  <c r="P896"/>
  <c r="Q895"/>
  <c r="P895"/>
  <c r="Q894"/>
  <c r="P894"/>
  <c r="Q893"/>
  <c r="P893"/>
  <c r="Q892"/>
  <c r="P892"/>
  <c r="Q891"/>
  <c r="P891"/>
  <c r="Q890"/>
  <c r="P890"/>
  <c r="Q889"/>
  <c r="P889"/>
  <c r="Q888"/>
  <c r="P888"/>
  <c r="Q887"/>
  <c r="P887"/>
  <c r="Q886"/>
  <c r="P886"/>
  <c r="Q885"/>
  <c r="P885"/>
  <c r="Q884"/>
  <c r="P884"/>
  <c r="Q883"/>
  <c r="P883"/>
  <c r="Q882"/>
  <c r="P882"/>
  <c r="O745" i="17"/>
  <c r="L745"/>
  <c r="M745" s="1"/>
  <c r="O744"/>
  <c r="L744"/>
  <c r="M744" s="1"/>
  <c r="O743"/>
  <c r="L743"/>
  <c r="M743" s="1"/>
  <c r="O742"/>
  <c r="L742"/>
  <c r="M742" s="1"/>
  <c r="O741"/>
  <c r="L741"/>
  <c r="M741" s="1"/>
  <c r="O740"/>
  <c r="L740"/>
  <c r="M740" s="1"/>
  <c r="O739"/>
  <c r="L739"/>
  <c r="M739" s="1"/>
  <c r="O738"/>
  <c r="L738"/>
  <c r="M738" s="1"/>
  <c r="O737"/>
  <c r="L737"/>
  <c r="M737" s="1"/>
  <c r="O736"/>
  <c r="L736"/>
  <c r="M736" s="1"/>
  <c r="O735"/>
  <c r="L735"/>
  <c r="M735" s="1"/>
  <c r="O734"/>
  <c r="L734"/>
  <c r="M734" s="1"/>
  <c r="O733"/>
  <c r="L733"/>
  <c r="M733" s="1"/>
  <c r="O732"/>
  <c r="L732"/>
  <c r="M732" s="1"/>
  <c r="O731"/>
  <c r="L731"/>
  <c r="M731" s="1"/>
  <c r="O730"/>
  <c r="L730"/>
  <c r="M730" s="1"/>
  <c r="O729"/>
  <c r="L729"/>
  <c r="M729" s="1"/>
  <c r="O728"/>
  <c r="L728"/>
  <c r="M728" s="1"/>
  <c r="O727"/>
  <c r="L727"/>
  <c r="M727" s="1"/>
  <c r="O726"/>
  <c r="L726"/>
  <c r="M726" s="1"/>
  <c r="O725"/>
  <c r="L725"/>
  <c r="M725" s="1"/>
  <c r="O724"/>
  <c r="L724"/>
  <c r="M724" s="1"/>
  <c r="O723"/>
  <c r="L723"/>
  <c r="M723" s="1"/>
  <c r="O722"/>
  <c r="L722"/>
  <c r="M722" s="1"/>
  <c r="O721"/>
  <c r="L721"/>
  <c r="M721" s="1"/>
  <c r="O720"/>
  <c r="L720"/>
  <c r="M720" s="1"/>
  <c r="O719"/>
  <c r="L719"/>
  <c r="M719" s="1"/>
  <c r="O718"/>
  <c r="L718"/>
  <c r="M718" s="1"/>
  <c r="O717"/>
  <c r="L717"/>
  <c r="M717" s="1"/>
  <c r="O716"/>
  <c r="L716"/>
  <c r="M716" s="1"/>
  <c r="O715"/>
  <c r="L715"/>
  <c r="M715" s="1"/>
  <c r="O714"/>
  <c r="L714"/>
  <c r="M714" s="1"/>
  <c r="O713"/>
  <c r="L713"/>
  <c r="M713" s="1"/>
  <c r="O712"/>
  <c r="L712"/>
  <c r="M712" s="1"/>
  <c r="O711"/>
  <c r="L711"/>
  <c r="M711" s="1"/>
  <c r="O710"/>
  <c r="L710"/>
  <c r="M710" s="1"/>
  <c r="O709"/>
  <c r="L709"/>
  <c r="M709" s="1"/>
  <c r="O708"/>
  <c r="L708"/>
  <c r="M708" s="1"/>
  <c r="O707"/>
  <c r="L707"/>
  <c r="M707" s="1"/>
  <c r="O706"/>
  <c r="L706"/>
  <c r="M706" s="1"/>
  <c r="O705"/>
  <c r="L705"/>
  <c r="M705" s="1"/>
  <c r="O704"/>
  <c r="L704"/>
  <c r="M704" s="1"/>
  <c r="O703"/>
  <c r="L703"/>
  <c r="M703" s="1"/>
  <c r="O702"/>
  <c r="L702"/>
  <c r="M702" s="1"/>
  <c r="O701"/>
  <c r="L701"/>
  <c r="M701" s="1"/>
  <c r="O700"/>
  <c r="L700"/>
  <c r="M700" s="1"/>
  <c r="O699"/>
  <c r="L699"/>
  <c r="M699" s="1"/>
  <c r="O698"/>
  <c r="L698"/>
  <c r="M698" s="1"/>
  <c r="O697"/>
  <c r="L697"/>
  <c r="M697" s="1"/>
  <c r="O696"/>
  <c r="L696"/>
  <c r="M696" s="1"/>
  <c r="O695"/>
  <c r="L695"/>
  <c r="M695" s="1"/>
  <c r="O694"/>
  <c r="L694"/>
  <c r="M694" s="1"/>
  <c r="O693"/>
  <c r="L693"/>
  <c r="M693" s="1"/>
  <c r="O692"/>
  <c r="L692"/>
  <c r="M692" s="1"/>
  <c r="O691"/>
  <c r="L691"/>
  <c r="M691" s="1"/>
  <c r="O690"/>
  <c r="L690"/>
  <c r="M690" s="1"/>
  <c r="O689"/>
  <c r="L689"/>
  <c r="M689" s="1"/>
  <c r="O688"/>
  <c r="L688"/>
  <c r="M688" s="1"/>
  <c r="O687"/>
  <c r="L687"/>
  <c r="M687" s="1"/>
  <c r="O686"/>
  <c r="L686"/>
  <c r="M686" s="1"/>
  <c r="O685"/>
  <c r="L685"/>
  <c r="M685" s="1"/>
  <c r="O684"/>
  <c r="L684"/>
  <c r="M684" s="1"/>
  <c r="O683"/>
  <c r="L683"/>
  <c r="M683" s="1"/>
  <c r="O682"/>
  <c r="L682"/>
  <c r="M682" s="1"/>
  <c r="O681"/>
  <c r="L681"/>
  <c r="M681" s="1"/>
  <c r="O680"/>
  <c r="L680"/>
  <c r="M680" s="1"/>
  <c r="O679"/>
  <c r="L679"/>
  <c r="M679" s="1"/>
  <c r="O678"/>
  <c r="L678"/>
  <c r="M678" s="1"/>
  <c r="O677"/>
  <c r="L677"/>
  <c r="M677" s="1"/>
  <c r="O676"/>
  <c r="L676"/>
  <c r="M676" s="1"/>
  <c r="O675"/>
  <c r="L675"/>
  <c r="M675" s="1"/>
  <c r="O674"/>
  <c r="L674"/>
  <c r="M674" s="1"/>
  <c r="O673"/>
  <c r="L673"/>
  <c r="M673" s="1"/>
  <c r="O672"/>
  <c r="L672"/>
  <c r="M672" s="1"/>
  <c r="O671"/>
  <c r="L671"/>
  <c r="M671" s="1"/>
  <c r="O670"/>
  <c r="L670"/>
  <c r="M670" s="1"/>
  <c r="O669"/>
  <c r="L669"/>
  <c r="M669" s="1"/>
  <c r="O668"/>
  <c r="L668"/>
  <c r="M668" s="1"/>
  <c r="O667"/>
  <c r="L667"/>
  <c r="M667" s="1"/>
  <c r="O666"/>
  <c r="L666"/>
  <c r="M666" s="1"/>
  <c r="O664"/>
  <c r="L664"/>
  <c r="M664" s="1"/>
  <c r="O663"/>
  <c r="L663"/>
  <c r="M663" s="1"/>
  <c r="O662"/>
  <c r="L662"/>
  <c r="M662" s="1"/>
  <c r="O661"/>
  <c r="L661"/>
  <c r="M661" s="1"/>
  <c r="O660"/>
  <c r="L660"/>
  <c r="M660" s="1"/>
  <c r="O659"/>
  <c r="L659"/>
  <c r="M659" s="1"/>
  <c r="O658"/>
  <c r="L658"/>
  <c r="M658" s="1"/>
  <c r="O657"/>
  <c r="L657"/>
  <c r="M657" s="1"/>
  <c r="O656"/>
  <c r="L656"/>
  <c r="M656" s="1"/>
  <c r="O655"/>
  <c r="L655"/>
  <c r="M655" s="1"/>
  <c r="O654"/>
  <c r="L654"/>
  <c r="M654" s="1"/>
  <c r="O653"/>
  <c r="L653"/>
  <c r="M653" s="1"/>
  <c r="O652"/>
  <c r="L652"/>
  <c r="M652" s="1"/>
  <c r="O651"/>
  <c r="L651"/>
  <c r="M651" s="1"/>
  <c r="O650"/>
  <c r="L650"/>
  <c r="M650" s="1"/>
  <c r="O649"/>
  <c r="L649"/>
  <c r="M649" s="1"/>
  <c r="O648"/>
  <c r="L648"/>
  <c r="M648" s="1"/>
  <c r="O647"/>
  <c r="L647"/>
  <c r="M647" s="1"/>
  <c r="O646"/>
  <c r="L646"/>
  <c r="M646" s="1"/>
  <c r="O645"/>
  <c r="L645"/>
  <c r="M645" s="1"/>
  <c r="O644"/>
  <c r="L644"/>
  <c r="M644" s="1"/>
  <c r="O643"/>
  <c r="L643"/>
  <c r="M643" s="1"/>
  <c r="O642"/>
  <c r="L642"/>
  <c r="M642" s="1"/>
  <c r="O641"/>
  <c r="L641"/>
  <c r="M641" s="1"/>
  <c r="O640"/>
  <c r="L640"/>
  <c r="M640" s="1"/>
  <c r="O639"/>
  <c r="L639"/>
  <c r="M639" s="1"/>
  <c r="O638"/>
  <c r="L638"/>
  <c r="M638" s="1"/>
  <c r="O637"/>
  <c r="L637"/>
  <c r="M637" s="1"/>
  <c r="O636"/>
  <c r="L636"/>
  <c r="M636" s="1"/>
  <c r="O635"/>
  <c r="L635"/>
  <c r="M635" s="1"/>
  <c r="O634"/>
  <c r="L634"/>
  <c r="M634" s="1"/>
  <c r="O633"/>
  <c r="L633"/>
  <c r="M633" s="1"/>
  <c r="O632"/>
  <c r="L632"/>
  <c r="M632" s="1"/>
  <c r="O631"/>
  <c r="L631"/>
  <c r="M631" s="1"/>
  <c r="O630"/>
  <c r="L630"/>
  <c r="M630" s="1"/>
  <c r="O629"/>
  <c r="L629"/>
  <c r="M629" s="1"/>
  <c r="O628"/>
  <c r="L628"/>
  <c r="M628" s="1"/>
  <c r="O627"/>
  <c r="L627"/>
  <c r="M627" s="1"/>
  <c r="O626"/>
  <c r="L626"/>
  <c r="M626" s="1"/>
  <c r="O625"/>
  <c r="L625"/>
  <c r="M625" s="1"/>
  <c r="O624"/>
  <c r="L624"/>
  <c r="M624" s="1"/>
  <c r="O623"/>
  <c r="L623"/>
  <c r="M623" s="1"/>
  <c r="O622"/>
  <c r="L622"/>
  <c r="M622" s="1"/>
  <c r="O621"/>
  <c r="L621"/>
  <c r="M621" s="1"/>
  <c r="O620"/>
  <c r="L620"/>
  <c r="M620" s="1"/>
  <c r="O619"/>
  <c r="L619"/>
  <c r="M619" s="1"/>
  <c r="O618"/>
  <c r="L618"/>
  <c r="M618" s="1"/>
  <c r="O617"/>
  <c r="L617"/>
  <c r="M617" s="1"/>
  <c r="O616"/>
  <c r="L616"/>
  <c r="M616" s="1"/>
  <c r="O615"/>
  <c r="L615"/>
  <c r="M615" s="1"/>
  <c r="O614"/>
  <c r="L614"/>
  <c r="M614" s="1"/>
  <c r="O613"/>
  <c r="L613"/>
  <c r="M613" s="1"/>
  <c r="O612"/>
  <c r="L612"/>
  <c r="M612" s="1"/>
  <c r="O611"/>
  <c r="L611"/>
  <c r="M611" s="1"/>
  <c r="O610"/>
  <c r="L610"/>
  <c r="M610" s="1"/>
  <c r="O609"/>
  <c r="L609"/>
  <c r="M609" s="1"/>
  <c r="O608"/>
  <c r="L608"/>
  <c r="M608" s="1"/>
  <c r="O607"/>
  <c r="L607"/>
  <c r="M607" s="1"/>
  <c r="O606"/>
  <c r="L606"/>
  <c r="M606" s="1"/>
  <c r="O605"/>
  <c r="L605"/>
  <c r="M605" s="1"/>
  <c r="O604"/>
  <c r="L604"/>
  <c r="M604" s="1"/>
  <c r="O603"/>
  <c r="L603"/>
  <c r="M603" s="1"/>
  <c r="O602"/>
  <c r="L602"/>
  <c r="M602" s="1"/>
  <c r="O601"/>
  <c r="L601"/>
  <c r="M601" s="1"/>
  <c r="O600"/>
  <c r="L600"/>
  <c r="M600" s="1"/>
  <c r="O599"/>
  <c r="L599"/>
  <c r="M599" s="1"/>
  <c r="O598"/>
  <c r="L598"/>
  <c r="M598" s="1"/>
  <c r="O597"/>
  <c r="L597"/>
  <c r="M597" s="1"/>
  <c r="O596"/>
  <c r="L596"/>
  <c r="M596" s="1"/>
  <c r="O595"/>
  <c r="L595"/>
  <c r="M595" s="1"/>
  <c r="O594"/>
  <c r="L594"/>
  <c r="M594" s="1"/>
  <c r="O593"/>
  <c r="L593"/>
  <c r="M593" s="1"/>
  <c r="O592"/>
  <c r="L592"/>
  <c r="M592" s="1"/>
  <c r="O591"/>
  <c r="L591"/>
  <c r="M591" s="1"/>
  <c r="O590"/>
  <c r="L590"/>
  <c r="M590" s="1"/>
  <c r="O589"/>
  <c r="L589"/>
  <c r="M589" s="1"/>
  <c r="O588"/>
  <c r="L588"/>
  <c r="M588" s="1"/>
  <c r="O587"/>
  <c r="L587"/>
  <c r="M587" s="1"/>
  <c r="O586"/>
  <c r="L586"/>
  <c r="M586" s="1"/>
  <c r="O585"/>
  <c r="L585"/>
  <c r="M585" s="1"/>
  <c r="O584"/>
  <c r="L584"/>
  <c r="M584" s="1"/>
  <c r="O583"/>
  <c r="L583"/>
  <c r="M583" s="1"/>
  <c r="O582"/>
  <c r="L582"/>
  <c r="M582" s="1"/>
  <c r="O581"/>
  <c r="L581"/>
  <c r="M581" s="1"/>
  <c r="O580"/>
  <c r="L580"/>
  <c r="M580" s="1"/>
  <c r="O579"/>
  <c r="L579"/>
  <c r="M579" s="1"/>
  <c r="O578"/>
  <c r="L578"/>
  <c r="M578" s="1"/>
  <c r="O577"/>
  <c r="L577"/>
  <c r="M577" s="1"/>
  <c r="O576"/>
  <c r="L576"/>
  <c r="M576" s="1"/>
  <c r="O575"/>
  <c r="L575"/>
  <c r="M575" s="1"/>
  <c r="O574"/>
  <c r="L574"/>
  <c r="M574" s="1"/>
  <c r="O573"/>
  <c r="L573"/>
  <c r="M573" s="1"/>
  <c r="O572"/>
  <c r="L572"/>
  <c r="M572" s="1"/>
  <c r="O571"/>
  <c r="L571"/>
  <c r="M571" s="1"/>
  <c r="O570"/>
  <c r="L570"/>
  <c r="M570" s="1"/>
  <c r="O569"/>
  <c r="L569"/>
  <c r="M569" s="1"/>
  <c r="O568"/>
  <c r="P568" s="1"/>
  <c r="L568"/>
  <c r="M568" s="1"/>
  <c r="O567"/>
  <c r="L567"/>
  <c r="M567" s="1"/>
  <c r="O566"/>
  <c r="L566"/>
  <c r="M566" s="1"/>
  <c r="O565"/>
  <c r="P565" s="1"/>
  <c r="L565"/>
  <c r="M565" s="1"/>
  <c r="O564"/>
  <c r="P564" s="1"/>
  <c r="L564"/>
  <c r="M564" s="1"/>
  <c r="O563"/>
  <c r="L563"/>
  <c r="M563" s="1"/>
  <c r="O562"/>
  <c r="L562"/>
  <c r="M562" s="1"/>
  <c r="O561"/>
  <c r="L561"/>
  <c r="M561" s="1"/>
  <c r="O560"/>
  <c r="L560"/>
  <c r="M560" s="1"/>
  <c r="O559"/>
  <c r="L559"/>
  <c r="M559" s="1"/>
  <c r="O558"/>
  <c r="L558"/>
  <c r="M558" s="1"/>
  <c r="O557"/>
  <c r="L557"/>
  <c r="M557" s="1"/>
  <c r="O556"/>
  <c r="P556" s="1"/>
  <c r="L556"/>
  <c r="M556" s="1"/>
  <c r="O555"/>
  <c r="L555"/>
  <c r="M555" s="1"/>
  <c r="O554"/>
  <c r="L554"/>
  <c r="M554" s="1"/>
  <c r="O553"/>
  <c r="L553"/>
  <c r="M553" s="1"/>
  <c r="O552"/>
  <c r="L552"/>
  <c r="M552" s="1"/>
  <c r="O551"/>
  <c r="L551"/>
  <c r="M551" s="1"/>
  <c r="O550"/>
  <c r="L550"/>
  <c r="M550" s="1"/>
  <c r="O549"/>
  <c r="L549"/>
  <c r="M549" s="1"/>
  <c r="O548"/>
  <c r="L548"/>
  <c r="M548" s="1"/>
  <c r="O547"/>
  <c r="L547"/>
  <c r="M547" s="1"/>
  <c r="O546"/>
  <c r="L546"/>
  <c r="M546" s="1"/>
  <c r="O545"/>
  <c r="L545"/>
  <c r="M545" s="1"/>
  <c r="O544"/>
  <c r="L544"/>
  <c r="M544" s="1"/>
  <c r="O543"/>
  <c r="L543"/>
  <c r="M543" s="1"/>
  <c r="O542"/>
  <c r="L542"/>
  <c r="M542" s="1"/>
  <c r="O541"/>
  <c r="L541"/>
  <c r="M541" s="1"/>
  <c r="O540"/>
  <c r="L540"/>
  <c r="M540" s="1"/>
  <c r="O539"/>
  <c r="L539"/>
  <c r="M539" s="1"/>
  <c r="O538"/>
  <c r="L538"/>
  <c r="M538" s="1"/>
  <c r="Q881"/>
  <c r="P881"/>
  <c r="Q1145"/>
  <c r="P1145"/>
  <c r="Q1144"/>
  <c r="P1144"/>
  <c r="Q1143"/>
  <c r="P1143"/>
  <c r="Q1142"/>
  <c r="P1142"/>
  <c r="Q1141"/>
  <c r="P1141"/>
  <c r="Q1140"/>
  <c r="P1140"/>
  <c r="Q1139"/>
  <c r="P1139"/>
  <c r="Q1138"/>
  <c r="P1138"/>
  <c r="Q1137"/>
  <c r="P1137"/>
  <c r="Q1136"/>
  <c r="P1136"/>
  <c r="Q1135"/>
  <c r="P1135"/>
  <c r="Q1134"/>
  <c r="P1134"/>
  <c r="Q1133"/>
  <c r="P1133"/>
  <c r="Q1132"/>
  <c r="P1132"/>
  <c r="Q1131"/>
  <c r="P1131"/>
  <c r="Q1130"/>
  <c r="P1130"/>
  <c r="Q1129"/>
  <c r="P1129"/>
  <c r="Q1128"/>
  <c r="P1128"/>
  <c r="Q1127"/>
  <c r="P1127"/>
  <c r="Q1126"/>
  <c r="P1126"/>
  <c r="Q1125"/>
  <c r="P1125"/>
  <c r="Q1124"/>
  <c r="P1124"/>
  <c r="Q1123"/>
  <c r="P1123"/>
  <c r="Q1122"/>
  <c r="P1122"/>
  <c r="Q1121"/>
  <c r="P1121"/>
  <c r="Q1120"/>
  <c r="P1120"/>
  <c r="Q1119"/>
  <c r="P1119"/>
  <c r="Q1118"/>
  <c r="P1118"/>
  <c r="Q1117"/>
  <c r="P1117"/>
  <c r="Q1116"/>
  <c r="P1116"/>
  <c r="Q1115"/>
  <c r="P1115"/>
  <c r="Q1114"/>
  <c r="P1114"/>
  <c r="Q1113"/>
  <c r="P1113"/>
  <c r="Q1112"/>
  <c r="P1112"/>
  <c r="Q1111"/>
  <c r="P1111"/>
  <c r="Q1110"/>
  <c r="P1110"/>
  <c r="Q1109"/>
  <c r="P1109"/>
  <c r="Q1108"/>
  <c r="P1108"/>
  <c r="Q1107"/>
  <c r="P1107"/>
  <c r="Q1106"/>
  <c r="P1106"/>
  <c r="Q1105"/>
  <c r="P1105"/>
  <c r="Q1104"/>
  <c r="P1104"/>
  <c r="Q1103"/>
  <c r="P1103"/>
  <c r="Q1102"/>
  <c r="P1102"/>
  <c r="Q1101"/>
  <c r="P1101"/>
  <c r="Q1100"/>
  <c r="P1100"/>
  <c r="Q1099"/>
  <c r="P1099"/>
  <c r="Q1098"/>
  <c r="P1098"/>
  <c r="Q1097"/>
  <c r="P1097"/>
  <c r="Q1096"/>
  <c r="P1096"/>
  <c r="Q1095"/>
  <c r="P1095"/>
  <c r="Q1094"/>
  <c r="P1094"/>
  <c r="Q1093"/>
  <c r="P1093"/>
  <c r="Q1092"/>
  <c r="P1092"/>
  <c r="Q1091"/>
  <c r="P1091"/>
  <c r="Q1090"/>
  <c r="P1090"/>
  <c r="Q1089"/>
  <c r="P1089"/>
  <c r="Q1088"/>
  <c r="P1088"/>
  <c r="Q1087"/>
  <c r="P1087"/>
  <c r="Q1086"/>
  <c r="P1086"/>
  <c r="Q1085"/>
  <c r="P1085"/>
  <c r="Q1084"/>
  <c r="P1084"/>
  <c r="Q1083"/>
  <c r="P1083"/>
  <c r="Q1082"/>
  <c r="P1082"/>
  <c r="Q1081"/>
  <c r="P1081"/>
  <c r="Q1080"/>
  <c r="P1080"/>
  <c r="Q1079"/>
  <c r="P1079"/>
  <c r="Q1078"/>
  <c r="P1078"/>
  <c r="Q1077"/>
  <c r="P1077"/>
  <c r="Q1076"/>
  <c r="P1076"/>
  <c r="Q1075"/>
  <c r="P1075"/>
  <c r="Q1074"/>
  <c r="P1074"/>
  <c r="Q1073"/>
  <c r="P1073"/>
  <c r="Q1072"/>
  <c r="P1072"/>
  <c r="Q1071"/>
  <c r="P1071"/>
  <c r="Q1070"/>
  <c r="P1070"/>
  <c r="Q1069"/>
  <c r="P1069"/>
  <c r="Q1068"/>
  <c r="P1068"/>
  <c r="Q1067"/>
  <c r="P1067"/>
  <c r="Q1066"/>
  <c r="P1066"/>
  <c r="Q1065"/>
  <c r="P1065"/>
  <c r="Q1064"/>
  <c r="P1064"/>
  <c r="Q1063"/>
  <c r="P1063"/>
  <c r="Q1062"/>
  <c r="P1062"/>
  <c r="Q1061"/>
  <c r="P1061"/>
  <c r="Q1060"/>
  <c r="P1060"/>
  <c r="Q1059"/>
  <c r="P1059"/>
  <c r="Q1058"/>
  <c r="P1058"/>
  <c r="Q1057"/>
  <c r="P1057"/>
  <c r="Q1056"/>
  <c r="P1056"/>
  <c r="Q1055"/>
  <c r="P1055"/>
  <c r="Q1054"/>
  <c r="P1054"/>
  <c r="Q1053"/>
  <c r="P1053"/>
  <c r="Q1052"/>
  <c r="P1052"/>
  <c r="Q1051"/>
  <c r="P1051"/>
  <c r="Q1050"/>
  <c r="P1050"/>
  <c r="Q1049"/>
  <c r="P1049"/>
  <c r="Q1048"/>
  <c r="P1048"/>
  <c r="Q1047"/>
  <c r="P1047"/>
  <c r="Q1046"/>
  <c r="P1046"/>
  <c r="Q1045"/>
  <c r="P1045"/>
  <c r="Q1044"/>
  <c r="P1044"/>
  <c r="Q1043"/>
  <c r="P1043"/>
  <c r="Q1042"/>
  <c r="P1042"/>
  <c r="Q1041"/>
  <c r="P1041"/>
  <c r="Q1040"/>
  <c r="P1040"/>
  <c r="Q1039"/>
  <c r="P1039"/>
  <c r="Q1038"/>
  <c r="P1038"/>
  <c r="Q1037"/>
  <c r="P1037"/>
  <c r="Q1036"/>
  <c r="P1036"/>
  <c r="Q1035"/>
  <c r="P1035"/>
  <c r="Q1034"/>
  <c r="P1034"/>
  <c r="Q1033"/>
  <c r="P1033"/>
  <c r="Q1032"/>
  <c r="P1032"/>
  <c r="Q1031"/>
  <c r="P1031"/>
  <c r="Q1030"/>
  <c r="P1030"/>
  <c r="Q1029"/>
  <c r="P1029"/>
  <c r="Q1028"/>
  <c r="P1028"/>
  <c r="Q1027"/>
  <c r="P1027"/>
  <c r="Q1026"/>
  <c r="P1026"/>
  <c r="Q1025"/>
  <c r="P1025"/>
  <c r="Q1024"/>
  <c r="P1024"/>
  <c r="Q1023"/>
  <c r="P1023"/>
  <c r="Q1022"/>
  <c r="P1022"/>
  <c r="Q1021"/>
  <c r="P1021"/>
  <c r="Q1020"/>
  <c r="P1020"/>
  <c r="Q1019"/>
  <c r="P1019"/>
  <c r="Q1018"/>
  <c r="P1018"/>
  <c r="Q1017"/>
  <c r="P1017"/>
  <c r="Q1016"/>
  <c r="P1016"/>
  <c r="Q1015"/>
  <c r="P1015"/>
  <c r="Q1014"/>
  <c r="P1014"/>
  <c r="Q1013"/>
  <c r="P1013"/>
  <c r="Q1012"/>
  <c r="P1012"/>
  <c r="Q1011"/>
  <c r="P1011"/>
  <c r="Q1010"/>
  <c r="P1010"/>
  <c r="J384"/>
  <c r="K384" s="1"/>
  <c r="J384" i="12"/>
  <c r="K384" s="1"/>
  <c r="M384" i="3"/>
  <c r="O6"/>
  <c r="Q6" i="12"/>
  <c r="J67"/>
  <c r="K67" s="1"/>
  <c r="O66" i="3"/>
  <c r="D66" i="22" s="1"/>
  <c r="M66" i="6"/>
  <c r="H66" i="22" s="1"/>
  <c r="O65" i="3"/>
  <c r="D65" i="22" s="1"/>
  <c r="M65" i="6"/>
  <c r="H65" i="22" s="1"/>
  <c r="O64" i="3"/>
  <c r="D64" i="22" s="1"/>
  <c r="M64" i="6"/>
  <c r="H64" i="22" s="1"/>
  <c r="O63" i="3"/>
  <c r="D63" i="22" s="1"/>
  <c r="M63" i="6"/>
  <c r="H63" i="22" s="1"/>
  <c r="O62" i="3"/>
  <c r="D62" i="22" s="1"/>
  <c r="M62" i="6"/>
  <c r="H62" i="22" s="1"/>
  <c r="O61" i="3"/>
  <c r="D61" i="22" s="1"/>
  <c r="M61" i="6"/>
  <c r="H61" i="22" s="1"/>
  <c r="M60" i="6"/>
  <c r="H60" i="22" s="1"/>
  <c r="O59" i="3"/>
  <c r="Q59" i="12"/>
  <c r="O58" i="3"/>
  <c r="Q58" i="12"/>
  <c r="O57" i="3"/>
  <c r="Q57" i="12"/>
  <c r="O56" i="3"/>
  <c r="Q56" i="12"/>
  <c r="O55" i="3"/>
  <c r="Q55" i="12"/>
  <c r="O54" i="3"/>
  <c r="Q54" i="12"/>
  <c r="O53" i="3"/>
  <c r="Q53" i="12"/>
  <c r="O52" i="3"/>
  <c r="Q52" i="12"/>
  <c r="O51" i="3"/>
  <c r="Q51" i="12"/>
  <c r="O50" i="3"/>
  <c r="Q50" i="12"/>
  <c r="O49" i="3"/>
  <c r="Q49" i="12"/>
  <c r="O48" i="3"/>
  <c r="Q48" i="12"/>
  <c r="O47" i="3"/>
  <c r="Q47" i="12"/>
  <c r="O46" i="3"/>
  <c r="Q46" i="12"/>
  <c r="O45" i="3"/>
  <c r="Q45" i="12"/>
  <c r="O44" i="3"/>
  <c r="Q44" i="12"/>
  <c r="O43" i="3"/>
  <c r="Q43" i="12"/>
  <c r="O42" i="3"/>
  <c r="Q42" i="12"/>
  <c r="O41" i="3"/>
  <c r="Q41" i="12"/>
  <c r="O40" i="3"/>
  <c r="O39"/>
  <c r="Q39" i="12"/>
  <c r="O38" i="3"/>
  <c r="O37"/>
  <c r="Q37" i="12"/>
  <c r="O36" i="3"/>
  <c r="Q36" i="12"/>
  <c r="O35" i="3"/>
  <c r="Q35" i="12"/>
  <c r="O34" i="3"/>
  <c r="Q34" i="12"/>
  <c r="O33" i="3"/>
  <c r="Q33" i="12"/>
  <c r="O32" i="3"/>
  <c r="Q32" i="12"/>
  <c r="O31" i="3"/>
  <c r="Q31" i="12"/>
  <c r="O30" i="3"/>
  <c r="Q30" i="12"/>
  <c r="O29" i="3"/>
  <c r="Q29" i="12"/>
  <c r="O28" i="3"/>
  <c r="Q28" i="12"/>
  <c r="O27" i="3"/>
  <c r="Q27" i="12"/>
  <c r="O26" i="3"/>
  <c r="Q26" i="12"/>
  <c r="O25" i="3"/>
  <c r="Q25" i="12"/>
  <c r="O24" i="3"/>
  <c r="Q24" i="12"/>
  <c r="O23" i="3"/>
  <c r="Q23" i="12"/>
  <c r="O22" i="3"/>
  <c r="Q22" i="12"/>
  <c r="Q21"/>
  <c r="Q20"/>
  <c r="Q19"/>
  <c r="Q18"/>
  <c r="Q17"/>
  <c r="Q16"/>
  <c r="Q15"/>
  <c r="Q14"/>
  <c r="Q13"/>
  <c r="Q12"/>
  <c r="Q11"/>
  <c r="Q10"/>
  <c r="Q9"/>
  <c r="Q8"/>
  <c r="Q7"/>
  <c r="M535" i="6"/>
  <c r="M1146"/>
  <c r="Q1009" i="17"/>
  <c r="P1009"/>
  <c r="Q1008"/>
  <c r="P1008"/>
  <c r="Q1007"/>
  <c r="P1007"/>
  <c r="Q1006"/>
  <c r="P1006"/>
  <c r="Q1005"/>
  <c r="P1005"/>
  <c r="Q1004"/>
  <c r="P1004"/>
  <c r="Q1003"/>
  <c r="P1003"/>
  <c r="Q1002"/>
  <c r="P1002"/>
  <c r="Q1001"/>
  <c r="P1001"/>
  <c r="Q1000"/>
  <c r="P1000"/>
  <c r="Q999"/>
  <c r="P999"/>
  <c r="Q998"/>
  <c r="P998"/>
  <c r="Q997"/>
  <c r="P997"/>
  <c r="Q996"/>
  <c r="P996"/>
  <c r="Q995"/>
  <c r="P995"/>
  <c r="Q994"/>
  <c r="P994"/>
  <c r="Q993"/>
  <c r="P993"/>
  <c r="Q992"/>
  <c r="P992"/>
  <c r="Q991"/>
  <c r="P991"/>
  <c r="Q990"/>
  <c r="P990"/>
  <c r="Q989"/>
  <c r="P989"/>
  <c r="Q988"/>
  <c r="P988"/>
  <c r="Q987"/>
  <c r="P987"/>
  <c r="Q986"/>
  <c r="P986"/>
  <c r="Q985"/>
  <c r="P985"/>
  <c r="Q984"/>
  <c r="P984"/>
  <c r="Q983"/>
  <c r="P983"/>
  <c r="Q982"/>
  <c r="P982"/>
  <c r="Q981"/>
  <c r="P981"/>
  <c r="Q980"/>
  <c r="P980"/>
  <c r="Q979"/>
  <c r="P979"/>
  <c r="Q978"/>
  <c r="P978"/>
  <c r="Q977"/>
  <c r="P977"/>
  <c r="Q976"/>
  <c r="P976"/>
  <c r="Q975"/>
  <c r="P975"/>
  <c r="Q974"/>
  <c r="P974"/>
  <c r="Q973"/>
  <c r="P973"/>
  <c r="Q972"/>
  <c r="P972"/>
  <c r="Q971"/>
  <c r="P971"/>
  <c r="Q970"/>
  <c r="P970"/>
  <c r="Q969"/>
  <c r="P969"/>
  <c r="Q968"/>
  <c r="P968"/>
  <c r="Q967"/>
  <c r="P967"/>
  <c r="Q966"/>
  <c r="P966"/>
  <c r="Q965"/>
  <c r="P965"/>
  <c r="Q964"/>
  <c r="P964"/>
  <c r="Q963"/>
  <c r="P963"/>
  <c r="Q962"/>
  <c r="P962"/>
  <c r="Q961"/>
  <c r="P961"/>
  <c r="Q960"/>
  <c r="P960"/>
  <c r="Q959"/>
  <c r="P959"/>
  <c r="Q958"/>
  <c r="P958"/>
  <c r="Q957"/>
  <c r="P957"/>
  <c r="Q956"/>
  <c r="P956"/>
  <c r="Q955"/>
  <c r="P955"/>
  <c r="Q954"/>
  <c r="P954"/>
  <c r="Q953"/>
  <c r="P953"/>
  <c r="Q952"/>
  <c r="P952"/>
  <c r="Q951"/>
  <c r="P951"/>
  <c r="Q950"/>
  <c r="P950"/>
  <c r="Q949"/>
  <c r="P949"/>
  <c r="Q948"/>
  <c r="P948"/>
  <c r="Q947"/>
  <c r="P947"/>
  <c r="Q946"/>
  <c r="P946"/>
  <c r="Q945"/>
  <c r="P945"/>
  <c r="Q944"/>
  <c r="P944"/>
  <c r="Q943"/>
  <c r="P943"/>
  <c r="Q942"/>
  <c r="P942"/>
  <c r="Q941"/>
  <c r="P941"/>
  <c r="Q940"/>
  <c r="P940"/>
  <c r="Q939"/>
  <c r="P939"/>
  <c r="Q938"/>
  <c r="P938"/>
  <c r="Q937"/>
  <c r="P937"/>
  <c r="Q936"/>
  <c r="P936"/>
  <c r="Q935"/>
  <c r="P935"/>
  <c r="Q934"/>
  <c r="P934"/>
  <c r="Q933"/>
  <c r="P933"/>
  <c r="Q932"/>
  <c r="P932"/>
  <c r="Q931"/>
  <c r="P931"/>
  <c r="Q930"/>
  <c r="P930"/>
  <c r="Q929"/>
  <c r="P929"/>
  <c r="Q928"/>
  <c r="P928"/>
  <c r="Q927"/>
  <c r="P927"/>
  <c r="Q926"/>
  <c r="P926"/>
  <c r="Q925"/>
  <c r="P925"/>
  <c r="Q924"/>
  <c r="P924"/>
  <c r="Q923"/>
  <c r="P923"/>
  <c r="Q922"/>
  <c r="P922"/>
  <c r="Q921"/>
  <c r="P921"/>
  <c r="Q920"/>
  <c r="P920"/>
  <c r="Q919"/>
  <c r="P919"/>
  <c r="Q918"/>
  <c r="P918"/>
  <c r="Q917"/>
  <c r="P917"/>
  <c r="Q916"/>
  <c r="P916"/>
  <c r="Q915"/>
  <c r="P915"/>
  <c r="Q914"/>
  <c r="P914"/>
  <c r="Q913"/>
  <c r="P913"/>
  <c r="Q912"/>
  <c r="P912"/>
  <c r="Q911"/>
  <c r="P911"/>
  <c r="Q910"/>
  <c r="P910"/>
  <c r="Q909"/>
  <c r="P909"/>
  <c r="Q908"/>
  <c r="P908"/>
  <c r="Q907"/>
  <c r="P907"/>
  <c r="Q906"/>
  <c r="P906"/>
  <c r="Q905"/>
  <c r="P905"/>
  <c r="Q904"/>
  <c r="P904"/>
  <c r="Q903"/>
  <c r="P903"/>
  <c r="Q902"/>
  <c r="P902"/>
  <c r="Q901"/>
  <c r="P901"/>
  <c r="Q900"/>
  <c r="P900"/>
  <c r="Q899"/>
  <c r="P899"/>
  <c r="Q898"/>
  <c r="P898"/>
  <c r="Q897"/>
  <c r="P897"/>
  <c r="Q896"/>
  <c r="P896"/>
  <c r="Q895"/>
  <c r="P895"/>
  <c r="Q894"/>
  <c r="P894"/>
  <c r="Q893"/>
  <c r="P893"/>
  <c r="Q892"/>
  <c r="P892"/>
  <c r="Q891"/>
  <c r="P891"/>
  <c r="Q890"/>
  <c r="P890"/>
  <c r="Q888"/>
  <c r="P888"/>
  <c r="Q887"/>
  <c r="P887"/>
  <c r="Q886"/>
  <c r="P886"/>
  <c r="Q885"/>
  <c r="P885"/>
  <c r="Q884"/>
  <c r="P884"/>
  <c r="Q883"/>
  <c r="P883"/>
  <c r="Q882"/>
  <c r="P882"/>
  <c r="Q533"/>
  <c r="P533"/>
  <c r="Q532"/>
  <c r="P532"/>
  <c r="Q531"/>
  <c r="P531"/>
  <c r="Q530"/>
  <c r="P530"/>
  <c r="Q529"/>
  <c r="P529"/>
  <c r="Q528"/>
  <c r="P528"/>
  <c r="Q527"/>
  <c r="P527"/>
  <c r="Q526"/>
  <c r="P526"/>
  <c r="Q525"/>
  <c r="P525"/>
  <c r="Q524"/>
  <c r="P524"/>
  <c r="Q523"/>
  <c r="P523"/>
  <c r="Q522"/>
  <c r="P522"/>
  <c r="Q521"/>
  <c r="P521"/>
  <c r="Q520"/>
  <c r="P520"/>
  <c r="Q519"/>
  <c r="P519"/>
  <c r="Q518"/>
  <c r="P518"/>
  <c r="Q517"/>
  <c r="P517"/>
  <c r="Q516"/>
  <c r="P516"/>
  <c r="Q515"/>
  <c r="P515"/>
  <c r="Q514"/>
  <c r="P514"/>
  <c r="Q513"/>
  <c r="P513"/>
  <c r="Q512"/>
  <c r="P512"/>
  <c r="Q511"/>
  <c r="P511"/>
  <c r="Q510"/>
  <c r="P510"/>
  <c r="Q509"/>
  <c r="P509"/>
  <c r="Q508"/>
  <c r="P508"/>
  <c r="Q507"/>
  <c r="P507"/>
  <c r="Q506"/>
  <c r="P506"/>
  <c r="Q505"/>
  <c r="P505"/>
  <c r="Q504"/>
  <c r="P504"/>
  <c r="Q503"/>
  <c r="P503"/>
  <c r="Q502"/>
  <c r="P502"/>
  <c r="Q501"/>
  <c r="P501"/>
  <c r="Q500"/>
  <c r="P500"/>
  <c r="Q499"/>
  <c r="P499"/>
  <c r="Q498"/>
  <c r="P498"/>
  <c r="Q497"/>
  <c r="P497"/>
  <c r="Q496"/>
  <c r="P496"/>
  <c r="Q495"/>
  <c r="P495"/>
  <c r="Q494"/>
  <c r="P494"/>
  <c r="Q493"/>
  <c r="P493"/>
  <c r="Q492"/>
  <c r="P492"/>
  <c r="Q491"/>
  <c r="P491"/>
  <c r="Q490"/>
  <c r="P490"/>
  <c r="Q489"/>
  <c r="P489"/>
  <c r="Q488"/>
  <c r="P488"/>
  <c r="Q487"/>
  <c r="P487"/>
  <c r="Q486"/>
  <c r="P486"/>
  <c r="Q485"/>
  <c r="P485"/>
  <c r="Q484"/>
  <c r="P484"/>
  <c r="Q483"/>
  <c r="P483"/>
  <c r="Q482"/>
  <c r="P482"/>
  <c r="Q481"/>
  <c r="P481"/>
  <c r="Q480"/>
  <c r="P480"/>
  <c r="Q479"/>
  <c r="P479"/>
  <c r="Q478"/>
  <c r="P478"/>
  <c r="Q477"/>
  <c r="P477"/>
  <c r="Q476"/>
  <c r="P476"/>
  <c r="Q475"/>
  <c r="P475"/>
  <c r="Q474"/>
  <c r="P474"/>
  <c r="Q473"/>
  <c r="P473"/>
  <c r="Q472"/>
  <c r="P472"/>
  <c r="Q471"/>
  <c r="P471"/>
  <c r="Q470"/>
  <c r="P470"/>
  <c r="Q469"/>
  <c r="P469"/>
  <c r="Q468"/>
  <c r="P468"/>
  <c r="Q467"/>
  <c r="P467"/>
  <c r="Q466"/>
  <c r="P466"/>
  <c r="Q465"/>
  <c r="P465"/>
  <c r="Q464"/>
  <c r="P464"/>
  <c r="Q463"/>
  <c r="P463"/>
  <c r="Q462"/>
  <c r="P462"/>
  <c r="Q461"/>
  <c r="P461"/>
  <c r="Q460"/>
  <c r="P460"/>
  <c r="Q459"/>
  <c r="P459"/>
  <c r="Q458"/>
  <c r="P458"/>
  <c r="Q457"/>
  <c r="P457"/>
  <c r="Q456"/>
  <c r="P456"/>
  <c r="Q455"/>
  <c r="P455"/>
  <c r="Q454"/>
  <c r="P454"/>
  <c r="Q453"/>
  <c r="P453"/>
  <c r="Q452"/>
  <c r="P452"/>
  <c r="Q451"/>
  <c r="P451"/>
  <c r="Q450"/>
  <c r="P450"/>
  <c r="Q449"/>
  <c r="P449"/>
  <c r="Q448"/>
  <c r="P448"/>
  <c r="Q447"/>
  <c r="P447"/>
  <c r="Q446"/>
  <c r="P446"/>
  <c r="Q445"/>
  <c r="P445"/>
  <c r="Q444"/>
  <c r="P444"/>
  <c r="Q443"/>
  <c r="P443"/>
  <c r="Q442"/>
  <c r="P442"/>
  <c r="Q441"/>
  <c r="P441"/>
  <c r="Q440"/>
  <c r="P440"/>
  <c r="Q439"/>
  <c r="P439"/>
  <c r="Q438"/>
  <c r="P438"/>
  <c r="Q437"/>
  <c r="P437"/>
  <c r="Q436"/>
  <c r="P436"/>
  <c r="Q435"/>
  <c r="P435"/>
  <c r="Q434"/>
  <c r="P434"/>
  <c r="Q433"/>
  <c r="P433"/>
  <c r="Q432"/>
  <c r="P432"/>
  <c r="Q431"/>
  <c r="P431"/>
  <c r="Q430"/>
  <c r="P430"/>
  <c r="Q429"/>
  <c r="P429"/>
  <c r="Q428"/>
  <c r="P428"/>
  <c r="Q427"/>
  <c r="P427"/>
  <c r="Q426"/>
  <c r="P426"/>
  <c r="Q425"/>
  <c r="P425"/>
  <c r="Q424"/>
  <c r="P424"/>
  <c r="Q423"/>
  <c r="P423"/>
  <c r="Q422"/>
  <c r="P422"/>
  <c r="Q421"/>
  <c r="P421"/>
  <c r="Q420"/>
  <c r="P420"/>
  <c r="Q419"/>
  <c r="P419"/>
  <c r="Q418"/>
  <c r="P418"/>
  <c r="Q417"/>
  <c r="P417"/>
  <c r="Q416"/>
  <c r="P416"/>
  <c r="Q415"/>
  <c r="P415"/>
  <c r="Q414"/>
  <c r="P414"/>
  <c r="Q413"/>
  <c r="P413"/>
  <c r="Q412"/>
  <c r="P412"/>
  <c r="Q411"/>
  <c r="P411"/>
  <c r="Q410"/>
  <c r="P410"/>
  <c r="Q409"/>
  <c r="P409"/>
  <c r="Q408"/>
  <c r="P408"/>
  <c r="Q407"/>
  <c r="P407"/>
  <c r="Q406"/>
  <c r="P406"/>
  <c r="Q405"/>
  <c r="P405"/>
  <c r="Q404"/>
  <c r="P404"/>
  <c r="Q403"/>
  <c r="P403"/>
  <c r="Q402"/>
  <c r="P402"/>
  <c r="Q401"/>
  <c r="P401"/>
  <c r="Q400"/>
  <c r="P400"/>
  <c r="Q399"/>
  <c r="P399"/>
  <c r="Q398"/>
  <c r="P398"/>
  <c r="Q397"/>
  <c r="P397"/>
  <c r="Q396"/>
  <c r="P396"/>
  <c r="Q395"/>
  <c r="P395"/>
  <c r="Q394"/>
  <c r="P394"/>
  <c r="Q393"/>
  <c r="P393"/>
  <c r="Q392"/>
  <c r="P392"/>
  <c r="Q391"/>
  <c r="P391"/>
  <c r="Q390"/>
  <c r="P390"/>
  <c r="Q389"/>
  <c r="P389"/>
  <c r="Q388"/>
  <c r="P388"/>
  <c r="Q387"/>
  <c r="P387"/>
  <c r="Q386"/>
  <c r="P386"/>
  <c r="O665"/>
  <c r="L665"/>
  <c r="M665" s="1"/>
  <c r="M909" i="8"/>
  <c r="L909"/>
  <c r="H537" i="6"/>
  <c r="I537" s="1"/>
  <c r="K537"/>
  <c r="K538"/>
  <c r="H538"/>
  <c r="I538" s="1"/>
  <c r="K539"/>
  <c r="H539"/>
  <c r="I539" s="1"/>
  <c r="K540"/>
  <c r="H540"/>
  <c r="I540" s="1"/>
  <c r="K541"/>
  <c r="H541"/>
  <c r="I541" s="1"/>
  <c r="K542"/>
  <c r="H542"/>
  <c r="I542" s="1"/>
  <c r="K543"/>
  <c r="H543"/>
  <c r="I543" s="1"/>
  <c r="K544"/>
  <c r="H544"/>
  <c r="I544" s="1"/>
  <c r="K545"/>
  <c r="H545"/>
  <c r="I545" s="1"/>
  <c r="K546"/>
  <c r="H546"/>
  <c r="I546" s="1"/>
  <c r="K547"/>
  <c r="H547"/>
  <c r="I547" s="1"/>
  <c r="K548"/>
  <c r="H548"/>
  <c r="I548" s="1"/>
  <c r="K549"/>
  <c r="H549"/>
  <c r="I549" s="1"/>
  <c r="K550"/>
  <c r="H550"/>
  <c r="I550" s="1"/>
  <c r="K551"/>
  <c r="H551"/>
  <c r="I551" s="1"/>
  <c r="K552"/>
  <c r="H552"/>
  <c r="I552" s="1"/>
  <c r="K553"/>
  <c r="H553"/>
  <c r="I553" s="1"/>
  <c r="K554"/>
  <c r="H554"/>
  <c r="I554" s="1"/>
  <c r="K555"/>
  <c r="H555"/>
  <c r="I555" s="1"/>
  <c r="K556"/>
  <c r="H556"/>
  <c r="I556" s="1"/>
  <c r="K557"/>
  <c r="H557"/>
  <c r="I557" s="1"/>
  <c r="K558"/>
  <c r="H558"/>
  <c r="I558" s="1"/>
  <c r="K559"/>
  <c r="H559"/>
  <c r="I559" s="1"/>
  <c r="K560"/>
  <c r="H560"/>
  <c r="I560" s="1"/>
  <c r="K561"/>
  <c r="H561"/>
  <c r="I561" s="1"/>
  <c r="K562"/>
  <c r="H562"/>
  <c r="I562" s="1"/>
  <c r="K563"/>
  <c r="H563"/>
  <c r="I563" s="1"/>
  <c r="K564"/>
  <c r="H564"/>
  <c r="I564" s="1"/>
  <c r="K565"/>
  <c r="H565"/>
  <c r="I565" s="1"/>
  <c r="K566"/>
  <c r="H566"/>
  <c r="I566" s="1"/>
  <c r="K567"/>
  <c r="H567"/>
  <c r="I567" s="1"/>
  <c r="K568"/>
  <c r="H568"/>
  <c r="I568" s="1"/>
  <c r="K569"/>
  <c r="H569"/>
  <c r="I569" s="1"/>
  <c r="K570"/>
  <c r="H570"/>
  <c r="I570" s="1"/>
  <c r="K571"/>
  <c r="H571"/>
  <c r="I571" s="1"/>
  <c r="K572"/>
  <c r="H572"/>
  <c r="I572" s="1"/>
  <c r="K573"/>
  <c r="H573"/>
  <c r="I573" s="1"/>
  <c r="K574"/>
  <c r="H574"/>
  <c r="I574" s="1"/>
  <c r="K575"/>
  <c r="H575"/>
  <c r="I575" s="1"/>
  <c r="K576"/>
  <c r="H576"/>
  <c r="I576" s="1"/>
  <c r="K577"/>
  <c r="H577"/>
  <c r="I577" s="1"/>
  <c r="K578"/>
  <c r="H578"/>
  <c r="I578" s="1"/>
  <c r="K579"/>
  <c r="H579"/>
  <c r="I579" s="1"/>
  <c r="K580"/>
  <c r="H580"/>
  <c r="I580" s="1"/>
  <c r="K581"/>
  <c r="H581"/>
  <c r="I581" s="1"/>
  <c r="K582"/>
  <c r="H582"/>
  <c r="I582" s="1"/>
  <c r="K583"/>
  <c r="H583"/>
  <c r="I583" s="1"/>
  <c r="K584"/>
  <c r="H584"/>
  <c r="I584" s="1"/>
  <c r="K585"/>
  <c r="H585"/>
  <c r="I585" s="1"/>
  <c r="K586"/>
  <c r="H586"/>
  <c r="I586" s="1"/>
  <c r="K587"/>
  <c r="H587"/>
  <c r="I587" s="1"/>
  <c r="K588"/>
  <c r="H588"/>
  <c r="I588" s="1"/>
  <c r="K589"/>
  <c r="H589"/>
  <c r="I589" s="1"/>
  <c r="K590"/>
  <c r="H590"/>
  <c r="I590" s="1"/>
  <c r="K591"/>
  <c r="H591"/>
  <c r="I591" s="1"/>
  <c r="K592"/>
  <c r="H592"/>
  <c r="I592" s="1"/>
  <c r="K593"/>
  <c r="H593"/>
  <c r="I593" s="1"/>
  <c r="K594"/>
  <c r="H594"/>
  <c r="I594" s="1"/>
  <c r="K595"/>
  <c r="H595"/>
  <c r="I595" s="1"/>
  <c r="K596"/>
  <c r="H596"/>
  <c r="I596" s="1"/>
  <c r="K597"/>
  <c r="H597"/>
  <c r="I597" s="1"/>
  <c r="K598"/>
  <c r="H598"/>
  <c r="I598" s="1"/>
  <c r="K599"/>
  <c r="H599"/>
  <c r="I599" s="1"/>
  <c r="K600"/>
  <c r="H600"/>
  <c r="I600" s="1"/>
  <c r="K601"/>
  <c r="H601"/>
  <c r="I601" s="1"/>
  <c r="K602"/>
  <c r="H602"/>
  <c r="I602" s="1"/>
  <c r="K603"/>
  <c r="H603"/>
  <c r="I603" s="1"/>
  <c r="K604"/>
  <c r="H604"/>
  <c r="I604" s="1"/>
  <c r="K605"/>
  <c r="H605"/>
  <c r="I605" s="1"/>
  <c r="K606"/>
  <c r="H606"/>
  <c r="I606" s="1"/>
  <c r="K607"/>
  <c r="H607"/>
  <c r="I607" s="1"/>
  <c r="K608"/>
  <c r="H608"/>
  <c r="I608" s="1"/>
  <c r="K609"/>
  <c r="H609"/>
  <c r="I609" s="1"/>
  <c r="K610"/>
  <c r="H610"/>
  <c r="I610" s="1"/>
  <c r="K611"/>
  <c r="H611"/>
  <c r="I611" s="1"/>
  <c r="K612"/>
  <c r="H612"/>
  <c r="I612" s="1"/>
  <c r="K613"/>
  <c r="H613"/>
  <c r="I613" s="1"/>
  <c r="K614"/>
  <c r="H614"/>
  <c r="I614" s="1"/>
  <c r="K615"/>
  <c r="H615"/>
  <c r="I615" s="1"/>
  <c r="K616"/>
  <c r="H616"/>
  <c r="I616" s="1"/>
  <c r="K617"/>
  <c r="H617"/>
  <c r="I617" s="1"/>
  <c r="K618"/>
  <c r="H618"/>
  <c r="I618" s="1"/>
  <c r="K619"/>
  <c r="H619"/>
  <c r="I619" s="1"/>
  <c r="K620"/>
  <c r="H620"/>
  <c r="I620" s="1"/>
  <c r="K621"/>
  <c r="H621"/>
  <c r="I621" s="1"/>
  <c r="K622"/>
  <c r="H622"/>
  <c r="I622" s="1"/>
  <c r="K623"/>
  <c r="H623"/>
  <c r="I623" s="1"/>
  <c r="K624"/>
  <c r="H624"/>
  <c r="I624" s="1"/>
  <c r="K625"/>
  <c r="H625"/>
  <c r="I625" s="1"/>
  <c r="K626"/>
  <c r="H626"/>
  <c r="I626" s="1"/>
  <c r="K627"/>
  <c r="H627"/>
  <c r="I627" s="1"/>
  <c r="K628"/>
  <c r="H628"/>
  <c r="I628" s="1"/>
  <c r="K629"/>
  <c r="H629"/>
  <c r="I629" s="1"/>
  <c r="K630"/>
  <c r="H630"/>
  <c r="I630" s="1"/>
  <c r="K631"/>
  <c r="H631"/>
  <c r="I631" s="1"/>
  <c r="K632"/>
  <c r="H632"/>
  <c r="I632" s="1"/>
  <c r="K633"/>
  <c r="H633"/>
  <c r="I633" s="1"/>
  <c r="K634"/>
  <c r="H634"/>
  <c r="I634" s="1"/>
  <c r="K635"/>
  <c r="H635"/>
  <c r="I635" s="1"/>
  <c r="K636"/>
  <c r="H636"/>
  <c r="I636" s="1"/>
  <c r="K637"/>
  <c r="H637"/>
  <c r="I637" s="1"/>
  <c r="K638"/>
  <c r="H638"/>
  <c r="I638" s="1"/>
  <c r="K639"/>
  <c r="H639"/>
  <c r="I639" s="1"/>
  <c r="K640"/>
  <c r="H640"/>
  <c r="I640" s="1"/>
  <c r="K641"/>
  <c r="H641"/>
  <c r="I641" s="1"/>
  <c r="K642"/>
  <c r="H642"/>
  <c r="I642" s="1"/>
  <c r="K643"/>
  <c r="H643"/>
  <c r="I643" s="1"/>
  <c r="K644"/>
  <c r="H644"/>
  <c r="I644" s="1"/>
  <c r="K645"/>
  <c r="H645"/>
  <c r="I645" s="1"/>
  <c r="K646"/>
  <c r="H646"/>
  <c r="I646" s="1"/>
  <c r="K647"/>
  <c r="H647"/>
  <c r="I647" s="1"/>
  <c r="K648"/>
  <c r="H648"/>
  <c r="I648" s="1"/>
  <c r="K649"/>
  <c r="H649"/>
  <c r="I649" s="1"/>
  <c r="K650"/>
  <c r="H650"/>
  <c r="I650" s="1"/>
  <c r="K651"/>
  <c r="H651"/>
  <c r="I651" s="1"/>
  <c r="K652"/>
  <c r="H652"/>
  <c r="I652" s="1"/>
  <c r="K653"/>
  <c r="H653"/>
  <c r="I653" s="1"/>
  <c r="K654"/>
  <c r="H654"/>
  <c r="I654" s="1"/>
  <c r="K655"/>
  <c r="H655"/>
  <c r="I655" s="1"/>
  <c r="K656"/>
  <c r="H656"/>
  <c r="I656" s="1"/>
  <c r="K657"/>
  <c r="H657"/>
  <c r="I657" s="1"/>
  <c r="K658"/>
  <c r="H658"/>
  <c r="I658" s="1"/>
  <c r="K659"/>
  <c r="H659"/>
  <c r="I659" s="1"/>
  <c r="K660"/>
  <c r="H660"/>
  <c r="I660" s="1"/>
  <c r="K661"/>
  <c r="H661"/>
  <c r="I661" s="1"/>
  <c r="K662"/>
  <c r="H662"/>
  <c r="I662" s="1"/>
  <c r="K663"/>
  <c r="H663"/>
  <c r="I663" s="1"/>
  <c r="K664"/>
  <c r="H664"/>
  <c r="I664" s="1"/>
  <c r="K665"/>
  <c r="H665"/>
  <c r="I665" s="1"/>
  <c r="K666"/>
  <c r="H666"/>
  <c r="I666" s="1"/>
  <c r="K667"/>
  <c r="H667"/>
  <c r="I667" s="1"/>
  <c r="K668"/>
  <c r="H668"/>
  <c r="I668" s="1"/>
  <c r="K669"/>
  <c r="H669"/>
  <c r="I669" s="1"/>
  <c r="K670"/>
  <c r="H670"/>
  <c r="I670" s="1"/>
  <c r="K671"/>
  <c r="H671"/>
  <c r="I671" s="1"/>
  <c r="K672"/>
  <c r="H672"/>
  <c r="I672" s="1"/>
  <c r="K673"/>
  <c r="H673"/>
  <c r="I673" s="1"/>
  <c r="K674"/>
  <c r="H674"/>
  <c r="I674" s="1"/>
  <c r="K675"/>
  <c r="H675"/>
  <c r="I675" s="1"/>
  <c r="K676"/>
  <c r="H676"/>
  <c r="I676" s="1"/>
  <c r="K677"/>
  <c r="H677"/>
  <c r="I677" s="1"/>
  <c r="K678"/>
  <c r="H678"/>
  <c r="I678" s="1"/>
  <c r="K679"/>
  <c r="H679"/>
  <c r="I679" s="1"/>
  <c r="K680"/>
  <c r="H680"/>
  <c r="I680" s="1"/>
  <c r="K681"/>
  <c r="H681"/>
  <c r="I681" s="1"/>
  <c r="K682"/>
  <c r="H682"/>
  <c r="I682" s="1"/>
  <c r="K683"/>
  <c r="H683"/>
  <c r="I683" s="1"/>
  <c r="K684"/>
  <c r="H684"/>
  <c r="I684" s="1"/>
  <c r="K685"/>
  <c r="H685"/>
  <c r="I685" s="1"/>
  <c r="K686"/>
  <c r="H686"/>
  <c r="I686" s="1"/>
  <c r="K687"/>
  <c r="H687"/>
  <c r="I687" s="1"/>
  <c r="K688"/>
  <c r="H688"/>
  <c r="I688" s="1"/>
  <c r="K689"/>
  <c r="H689"/>
  <c r="I689" s="1"/>
  <c r="K690"/>
  <c r="H690"/>
  <c r="I690" s="1"/>
  <c r="K691"/>
  <c r="H691"/>
  <c r="I691" s="1"/>
  <c r="K692"/>
  <c r="H692"/>
  <c r="I692" s="1"/>
  <c r="K693"/>
  <c r="H693"/>
  <c r="I693" s="1"/>
  <c r="K694"/>
  <c r="H694"/>
  <c r="I694" s="1"/>
  <c r="K695"/>
  <c r="H695"/>
  <c r="I695" s="1"/>
  <c r="K696"/>
  <c r="H696"/>
  <c r="I696" s="1"/>
  <c r="K697"/>
  <c r="H697"/>
  <c r="I697" s="1"/>
  <c r="K698"/>
  <c r="H698"/>
  <c r="I698" s="1"/>
  <c r="K699"/>
  <c r="H699"/>
  <c r="I699" s="1"/>
  <c r="K700"/>
  <c r="H700"/>
  <c r="I700" s="1"/>
  <c r="K701"/>
  <c r="H701"/>
  <c r="I701" s="1"/>
  <c r="K702"/>
  <c r="H702"/>
  <c r="I702" s="1"/>
  <c r="K703"/>
  <c r="H703"/>
  <c r="I703" s="1"/>
  <c r="K704"/>
  <c r="H704"/>
  <c r="I704" s="1"/>
  <c r="K705"/>
  <c r="H705"/>
  <c r="I705" s="1"/>
  <c r="K706"/>
  <c r="H706"/>
  <c r="I706" s="1"/>
  <c r="K707"/>
  <c r="H707"/>
  <c r="I707" s="1"/>
  <c r="K708"/>
  <c r="H708"/>
  <c r="I708" s="1"/>
  <c r="K709"/>
  <c r="H709"/>
  <c r="I709" s="1"/>
  <c r="K710"/>
  <c r="H710"/>
  <c r="I710" s="1"/>
  <c r="K711"/>
  <c r="H711"/>
  <c r="I711" s="1"/>
  <c r="K712"/>
  <c r="H712"/>
  <c r="I712" s="1"/>
  <c r="K713"/>
  <c r="H713"/>
  <c r="I713" s="1"/>
  <c r="K714"/>
  <c r="H714"/>
  <c r="I714" s="1"/>
  <c r="K715"/>
  <c r="H715"/>
  <c r="I715" s="1"/>
  <c r="K716"/>
  <c r="H716"/>
  <c r="I716" s="1"/>
  <c r="K717"/>
  <c r="H717"/>
  <c r="I717" s="1"/>
  <c r="K718"/>
  <c r="H718"/>
  <c r="I718" s="1"/>
  <c r="K719"/>
  <c r="H719"/>
  <c r="I719" s="1"/>
  <c r="K720"/>
  <c r="H720"/>
  <c r="I720" s="1"/>
  <c r="K721"/>
  <c r="H721"/>
  <c r="I721" s="1"/>
  <c r="K722"/>
  <c r="H722"/>
  <c r="I722" s="1"/>
  <c r="K723"/>
  <c r="H723"/>
  <c r="I723" s="1"/>
  <c r="K724"/>
  <c r="H724"/>
  <c r="I724" s="1"/>
  <c r="K725"/>
  <c r="H725"/>
  <c r="I725" s="1"/>
  <c r="K726"/>
  <c r="H726"/>
  <c r="I726" s="1"/>
  <c r="K727"/>
  <c r="H727"/>
  <c r="I727" s="1"/>
  <c r="K728"/>
  <c r="H728"/>
  <c r="I728" s="1"/>
  <c r="K729"/>
  <c r="H729"/>
  <c r="I729" s="1"/>
  <c r="K730"/>
  <c r="H730"/>
  <c r="I730" s="1"/>
  <c r="K731"/>
  <c r="H731"/>
  <c r="I731" s="1"/>
  <c r="K732"/>
  <c r="H732"/>
  <c r="I732" s="1"/>
  <c r="K733"/>
  <c r="H733"/>
  <c r="I733" s="1"/>
  <c r="K734"/>
  <c r="H734"/>
  <c r="I734" s="1"/>
  <c r="K735"/>
  <c r="H735"/>
  <c r="I735" s="1"/>
  <c r="K736"/>
  <c r="H736"/>
  <c r="I736" s="1"/>
  <c r="K737"/>
  <c r="H737"/>
  <c r="I737" s="1"/>
  <c r="K738"/>
  <c r="H738"/>
  <c r="I738" s="1"/>
  <c r="K739"/>
  <c r="H739"/>
  <c r="I739" s="1"/>
  <c r="K740"/>
  <c r="H740"/>
  <c r="I740" s="1"/>
  <c r="K741"/>
  <c r="H741"/>
  <c r="I741" s="1"/>
  <c r="K742"/>
  <c r="H742"/>
  <c r="I742" s="1"/>
  <c r="K743"/>
  <c r="H743"/>
  <c r="I743" s="1"/>
  <c r="K744"/>
  <c r="H744"/>
  <c r="I744" s="1"/>
  <c r="K89" i="9"/>
  <c r="H89"/>
  <c r="I89" s="1"/>
  <c r="K88"/>
  <c r="H88"/>
  <c r="I88" s="1"/>
  <c r="K87"/>
  <c r="H87"/>
  <c r="I87" s="1"/>
  <c r="K86"/>
  <c r="H86"/>
  <c r="I86" s="1"/>
  <c r="K85"/>
  <c r="H85"/>
  <c r="I85" s="1"/>
  <c r="K84"/>
  <c r="H84"/>
  <c r="I84" s="1"/>
  <c r="K83"/>
  <c r="H83"/>
  <c r="I83" s="1"/>
  <c r="K82"/>
  <c r="H82"/>
  <c r="I82" s="1"/>
  <c r="K81"/>
  <c r="H81"/>
  <c r="I81" s="1"/>
  <c r="K80"/>
  <c r="H80"/>
  <c r="I80" s="1"/>
  <c r="K79"/>
  <c r="H79"/>
  <c r="I79" s="1"/>
  <c r="K78"/>
  <c r="H78"/>
  <c r="I78" s="1"/>
  <c r="K77"/>
  <c r="H77"/>
  <c r="I77" s="1"/>
  <c r="K76"/>
  <c r="H76"/>
  <c r="I76" s="1"/>
  <c r="K75"/>
  <c r="H75"/>
  <c r="I75" s="1"/>
  <c r="K74"/>
  <c r="H74"/>
  <c r="I74" s="1"/>
  <c r="K73"/>
  <c r="H73"/>
  <c r="I73" s="1"/>
  <c r="K72"/>
  <c r="H72"/>
  <c r="I72" s="1"/>
  <c r="K71"/>
  <c r="H71"/>
  <c r="I71" s="1"/>
  <c r="K70"/>
  <c r="H70"/>
  <c r="I70"/>
  <c r="K69"/>
  <c r="H69"/>
  <c r="I69" s="1"/>
  <c r="I90" s="1"/>
  <c r="M90" s="1"/>
  <c r="K746" i="6"/>
  <c r="H746"/>
  <c r="I746" s="1"/>
  <c r="K746" i="9"/>
  <c r="H746"/>
  <c r="I746" s="1"/>
  <c r="P746" i="5"/>
  <c r="Q746" s="1"/>
  <c r="M746"/>
  <c r="P747" i="7"/>
  <c r="M747"/>
  <c r="N747" s="1"/>
  <c r="O746" i="17"/>
  <c r="L746"/>
  <c r="M746" s="1"/>
  <c r="P384" i="2"/>
  <c r="M384"/>
  <c r="M881" i="6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8"/>
  <c r="M1149"/>
  <c r="M1150"/>
  <c r="M1151"/>
  <c r="M1152"/>
  <c r="M1153"/>
  <c r="M1154"/>
  <c r="M1155"/>
  <c r="M1156"/>
  <c r="M1157"/>
  <c r="M1158"/>
  <c r="M1159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H878" i="22"/>
  <c r="H877"/>
  <c r="H876"/>
  <c r="H833"/>
  <c r="H1231"/>
  <c r="H1230"/>
  <c r="O22" i="17"/>
  <c r="L22"/>
  <c r="M22" s="1"/>
  <c r="O21"/>
  <c r="L21"/>
  <c r="M21" s="1"/>
  <c r="O20"/>
  <c r="L20"/>
  <c r="M20" s="1"/>
  <c r="O19"/>
  <c r="L19"/>
  <c r="M19" s="1"/>
  <c r="O18"/>
  <c r="L18"/>
  <c r="M18" s="1"/>
  <c r="O17"/>
  <c r="L17"/>
  <c r="M17" s="1"/>
  <c r="O16"/>
  <c r="L16"/>
  <c r="M16" s="1"/>
  <c r="O15"/>
  <c r="L15"/>
  <c r="M15" s="1"/>
  <c r="O14"/>
  <c r="L14"/>
  <c r="M14" s="1"/>
  <c r="O13"/>
  <c r="L13"/>
  <c r="M13" s="1"/>
  <c r="O12"/>
  <c r="L12"/>
  <c r="M12" s="1"/>
  <c r="O11"/>
  <c r="L11"/>
  <c r="M11" s="1"/>
  <c r="O10"/>
  <c r="L10"/>
  <c r="M10" s="1"/>
  <c r="O9"/>
  <c r="L9"/>
  <c r="M9" s="1"/>
  <c r="O8"/>
  <c r="L8"/>
  <c r="M8" s="1"/>
  <c r="O7"/>
  <c r="L7"/>
  <c r="M7" s="1"/>
  <c r="O573" i="12"/>
  <c r="L573"/>
  <c r="M573" s="1"/>
  <c r="O1146"/>
  <c r="L1146"/>
  <c r="M1146" s="1"/>
  <c r="O747" i="17"/>
  <c r="L747"/>
  <c r="M747" s="1"/>
  <c r="J879"/>
  <c r="K879" s="1"/>
  <c r="K749"/>
  <c r="O1146"/>
  <c r="L1146"/>
  <c r="M1146" s="1"/>
  <c r="O533" i="12"/>
  <c r="L533"/>
  <c r="M533" s="1"/>
  <c r="O532"/>
  <c r="L532"/>
  <c r="M532" s="1"/>
  <c r="O531"/>
  <c r="L531"/>
  <c r="M531" s="1"/>
  <c r="O530"/>
  <c r="L530"/>
  <c r="M530" s="1"/>
  <c r="O529"/>
  <c r="L529"/>
  <c r="M529" s="1"/>
  <c r="O528"/>
  <c r="L528"/>
  <c r="M528" s="1"/>
  <c r="O527"/>
  <c r="L527"/>
  <c r="M527" s="1"/>
  <c r="O526"/>
  <c r="L526"/>
  <c r="M526" s="1"/>
  <c r="O525"/>
  <c r="L525"/>
  <c r="M525" s="1"/>
  <c r="O524"/>
  <c r="L524"/>
  <c r="M524" s="1"/>
  <c r="O523"/>
  <c r="L523"/>
  <c r="M523" s="1"/>
  <c r="O522"/>
  <c r="L522"/>
  <c r="M522" s="1"/>
  <c r="O521"/>
  <c r="L521"/>
  <c r="M521" s="1"/>
  <c r="O520"/>
  <c r="L520"/>
  <c r="M520" s="1"/>
  <c r="O519"/>
  <c r="L519"/>
  <c r="M519" s="1"/>
  <c r="O518"/>
  <c r="L518"/>
  <c r="M518" s="1"/>
  <c r="O517"/>
  <c r="L517"/>
  <c r="M517" s="1"/>
  <c r="O516"/>
  <c r="L516"/>
  <c r="M516" s="1"/>
  <c r="O515"/>
  <c r="L515"/>
  <c r="M515" s="1"/>
  <c r="O514"/>
  <c r="L514"/>
  <c r="M514" s="1"/>
  <c r="O513"/>
  <c r="L513"/>
  <c r="M513" s="1"/>
  <c r="O512"/>
  <c r="L512"/>
  <c r="M512" s="1"/>
  <c r="O511"/>
  <c r="L511"/>
  <c r="M511" s="1"/>
  <c r="O510"/>
  <c r="L510"/>
  <c r="M510" s="1"/>
  <c r="O509"/>
  <c r="L509"/>
  <c r="M509" s="1"/>
  <c r="O508"/>
  <c r="L508"/>
  <c r="M508" s="1"/>
  <c r="O507"/>
  <c r="L507"/>
  <c r="M507" s="1"/>
  <c r="O506"/>
  <c r="L506"/>
  <c r="M506" s="1"/>
  <c r="O505"/>
  <c r="L505"/>
  <c r="M505" s="1"/>
  <c r="O504"/>
  <c r="L504"/>
  <c r="M504" s="1"/>
  <c r="O503"/>
  <c r="L503"/>
  <c r="M503" s="1"/>
  <c r="O502"/>
  <c r="L502"/>
  <c r="M502" s="1"/>
  <c r="O501"/>
  <c r="L501"/>
  <c r="M501" s="1"/>
  <c r="O500"/>
  <c r="L500"/>
  <c r="M500" s="1"/>
  <c r="O499"/>
  <c r="L499"/>
  <c r="M499" s="1"/>
  <c r="O498"/>
  <c r="L498"/>
  <c r="M498" s="1"/>
  <c r="O497"/>
  <c r="L497"/>
  <c r="M497" s="1"/>
  <c r="O496"/>
  <c r="L496"/>
  <c r="M496" s="1"/>
  <c r="O495"/>
  <c r="L495"/>
  <c r="M495" s="1"/>
  <c r="O494"/>
  <c r="L494"/>
  <c r="M494" s="1"/>
  <c r="O493"/>
  <c r="L493"/>
  <c r="M493" s="1"/>
  <c r="O492"/>
  <c r="L492"/>
  <c r="M492" s="1"/>
  <c r="O491"/>
  <c r="L491"/>
  <c r="M491" s="1"/>
  <c r="O490"/>
  <c r="L490"/>
  <c r="M490" s="1"/>
  <c r="O489"/>
  <c r="L489"/>
  <c r="M489" s="1"/>
  <c r="O488"/>
  <c r="L488"/>
  <c r="M488" s="1"/>
  <c r="O487"/>
  <c r="L487"/>
  <c r="M487" s="1"/>
  <c r="O486"/>
  <c r="L486"/>
  <c r="M486" s="1"/>
  <c r="O485"/>
  <c r="L485"/>
  <c r="M485" s="1"/>
  <c r="O484"/>
  <c r="L484"/>
  <c r="M484" s="1"/>
  <c r="O483"/>
  <c r="L483"/>
  <c r="M483" s="1"/>
  <c r="O482"/>
  <c r="L482"/>
  <c r="M482" s="1"/>
  <c r="O481"/>
  <c r="L481"/>
  <c r="M481" s="1"/>
  <c r="O480"/>
  <c r="L480"/>
  <c r="M480" s="1"/>
  <c r="O479"/>
  <c r="L479"/>
  <c r="M479" s="1"/>
  <c r="O478"/>
  <c r="L478"/>
  <c r="M478" s="1"/>
  <c r="O477"/>
  <c r="L477"/>
  <c r="M477" s="1"/>
  <c r="O476"/>
  <c r="L476"/>
  <c r="M476" s="1"/>
  <c r="O475"/>
  <c r="L475"/>
  <c r="M475" s="1"/>
  <c r="O474"/>
  <c r="L474"/>
  <c r="M474" s="1"/>
  <c r="O473"/>
  <c r="L473"/>
  <c r="M473" s="1"/>
  <c r="O472"/>
  <c r="L472"/>
  <c r="M472" s="1"/>
  <c r="O471"/>
  <c r="L471"/>
  <c r="M471" s="1"/>
  <c r="O470"/>
  <c r="L470"/>
  <c r="M470" s="1"/>
  <c r="O469"/>
  <c r="L469"/>
  <c r="M469" s="1"/>
  <c r="O468"/>
  <c r="L468"/>
  <c r="M468" s="1"/>
  <c r="O467"/>
  <c r="L467"/>
  <c r="M467" s="1"/>
  <c r="O466"/>
  <c r="L466"/>
  <c r="M466" s="1"/>
  <c r="O465"/>
  <c r="L465"/>
  <c r="M465" s="1"/>
  <c r="O464"/>
  <c r="L464"/>
  <c r="M464" s="1"/>
  <c r="O463"/>
  <c r="L463"/>
  <c r="M463" s="1"/>
  <c r="O462"/>
  <c r="L462"/>
  <c r="M462" s="1"/>
  <c r="O461"/>
  <c r="L461"/>
  <c r="M461" s="1"/>
  <c r="O460"/>
  <c r="L460"/>
  <c r="M460" s="1"/>
  <c r="O459"/>
  <c r="L459"/>
  <c r="M459" s="1"/>
  <c r="O458"/>
  <c r="L458"/>
  <c r="M458" s="1"/>
  <c r="O457"/>
  <c r="L457"/>
  <c r="M457" s="1"/>
  <c r="O456"/>
  <c r="L456"/>
  <c r="M456" s="1"/>
  <c r="O455"/>
  <c r="L455"/>
  <c r="M455" s="1"/>
  <c r="O454"/>
  <c r="L454"/>
  <c r="M454" s="1"/>
  <c r="O453"/>
  <c r="L453"/>
  <c r="M453" s="1"/>
  <c r="O452"/>
  <c r="L452"/>
  <c r="M452" s="1"/>
  <c r="O451"/>
  <c r="L451"/>
  <c r="M451" s="1"/>
  <c r="O450"/>
  <c r="L450"/>
  <c r="M450" s="1"/>
  <c r="O449"/>
  <c r="L449"/>
  <c r="M449" s="1"/>
  <c r="O448"/>
  <c r="L448"/>
  <c r="M448" s="1"/>
  <c r="O447"/>
  <c r="L447"/>
  <c r="M447" s="1"/>
  <c r="O446"/>
  <c r="L446"/>
  <c r="M446" s="1"/>
  <c r="O445"/>
  <c r="L445"/>
  <c r="M445" s="1"/>
  <c r="O444"/>
  <c r="L444"/>
  <c r="M444" s="1"/>
  <c r="O443"/>
  <c r="L443"/>
  <c r="M443" s="1"/>
  <c r="O442"/>
  <c r="L442"/>
  <c r="M442" s="1"/>
  <c r="O441"/>
  <c r="L441"/>
  <c r="M441" s="1"/>
  <c r="O440"/>
  <c r="L440"/>
  <c r="M440" s="1"/>
  <c r="O439"/>
  <c r="L439"/>
  <c r="M439" s="1"/>
  <c r="O438"/>
  <c r="L438"/>
  <c r="M438" s="1"/>
  <c r="O437"/>
  <c r="L437"/>
  <c r="M437" s="1"/>
  <c r="O436"/>
  <c r="L436"/>
  <c r="M436" s="1"/>
  <c r="O435"/>
  <c r="L435"/>
  <c r="M435" s="1"/>
  <c r="O434"/>
  <c r="L434"/>
  <c r="M434" s="1"/>
  <c r="O433"/>
  <c r="L433"/>
  <c r="M433" s="1"/>
  <c r="O432"/>
  <c r="L432"/>
  <c r="M432" s="1"/>
  <c r="O431"/>
  <c r="L431"/>
  <c r="M431" s="1"/>
  <c r="O430"/>
  <c r="L430"/>
  <c r="M430" s="1"/>
  <c r="O429"/>
  <c r="L429"/>
  <c r="M429" s="1"/>
  <c r="O428"/>
  <c r="L428"/>
  <c r="M428" s="1"/>
  <c r="O427"/>
  <c r="L427"/>
  <c r="M427" s="1"/>
  <c r="O426"/>
  <c r="L426"/>
  <c r="M426" s="1"/>
  <c r="O425"/>
  <c r="L425"/>
  <c r="M425" s="1"/>
  <c r="O424"/>
  <c r="L424"/>
  <c r="M424" s="1"/>
  <c r="O423"/>
  <c r="L423"/>
  <c r="M423" s="1"/>
  <c r="O422"/>
  <c r="L422"/>
  <c r="M422" s="1"/>
  <c r="O421"/>
  <c r="L421"/>
  <c r="M421" s="1"/>
  <c r="O420"/>
  <c r="L420"/>
  <c r="M420" s="1"/>
  <c r="O419"/>
  <c r="L419"/>
  <c r="M419" s="1"/>
  <c r="O418"/>
  <c r="L418"/>
  <c r="M418" s="1"/>
  <c r="O417"/>
  <c r="L417"/>
  <c r="M417" s="1"/>
  <c r="O416"/>
  <c r="L416"/>
  <c r="M416" s="1"/>
  <c r="O415"/>
  <c r="L415"/>
  <c r="M415" s="1"/>
  <c r="O414"/>
  <c r="L414"/>
  <c r="M414" s="1"/>
  <c r="O413"/>
  <c r="L413"/>
  <c r="M413" s="1"/>
  <c r="O412"/>
  <c r="L412"/>
  <c r="M412" s="1"/>
  <c r="O411"/>
  <c r="L411"/>
  <c r="M411" s="1"/>
  <c r="O410"/>
  <c r="L410"/>
  <c r="M410" s="1"/>
  <c r="O409"/>
  <c r="L409"/>
  <c r="M409" s="1"/>
  <c r="O408"/>
  <c r="L408"/>
  <c r="M408" s="1"/>
  <c r="O407"/>
  <c r="L407"/>
  <c r="M407" s="1"/>
  <c r="O406"/>
  <c r="L406"/>
  <c r="M406" s="1"/>
  <c r="O405"/>
  <c r="L405"/>
  <c r="M405" s="1"/>
  <c r="O404"/>
  <c r="L404"/>
  <c r="M404" s="1"/>
  <c r="O403"/>
  <c r="L403"/>
  <c r="M403" s="1"/>
  <c r="O402"/>
  <c r="L402"/>
  <c r="M402" s="1"/>
  <c r="O401"/>
  <c r="L401"/>
  <c r="M401" s="1"/>
  <c r="O400"/>
  <c r="L400"/>
  <c r="M400" s="1"/>
  <c r="O399"/>
  <c r="L399"/>
  <c r="M399" s="1"/>
  <c r="O398"/>
  <c r="L398"/>
  <c r="M398" s="1"/>
  <c r="O397"/>
  <c r="L397"/>
  <c r="M397" s="1"/>
  <c r="O396"/>
  <c r="L396"/>
  <c r="M396" s="1"/>
  <c r="O395"/>
  <c r="L395"/>
  <c r="M395" s="1"/>
  <c r="O394"/>
  <c r="L394"/>
  <c r="M394" s="1"/>
  <c r="O393"/>
  <c r="L393"/>
  <c r="M393" s="1"/>
  <c r="O392"/>
  <c r="L392"/>
  <c r="M392" s="1"/>
  <c r="O391"/>
  <c r="L391"/>
  <c r="M391" s="1"/>
  <c r="O390"/>
  <c r="L390"/>
  <c r="M390" s="1"/>
  <c r="O389"/>
  <c r="L389"/>
  <c r="M389" s="1"/>
  <c r="O388"/>
  <c r="L388"/>
  <c r="M388" s="1"/>
  <c r="O387"/>
  <c r="L387"/>
  <c r="M387" s="1"/>
  <c r="K386"/>
  <c r="J535"/>
  <c r="K535" s="1"/>
  <c r="K271" i="14"/>
  <c r="H271"/>
  <c r="I271" s="1"/>
  <c r="G92"/>
  <c r="F384"/>
  <c r="G384" s="1"/>
  <c r="K145"/>
  <c r="H145"/>
  <c r="I145" s="1"/>
  <c r="K146"/>
  <c r="H146"/>
  <c r="I146" s="1"/>
  <c r="K147"/>
  <c r="H147"/>
  <c r="I147" s="1"/>
  <c r="K168"/>
  <c r="H168"/>
  <c r="I168" s="1"/>
  <c r="K728"/>
  <c r="H728"/>
  <c r="K89" i="18"/>
  <c r="H89"/>
  <c r="I89" s="1"/>
  <c r="K89" i="14"/>
  <c r="H89"/>
  <c r="I89" s="1"/>
  <c r="K88" i="18"/>
  <c r="H88"/>
  <c r="I88" s="1"/>
  <c r="K88" i="14"/>
  <c r="H88"/>
  <c r="I88" s="1"/>
  <c r="K87" i="18"/>
  <c r="H87"/>
  <c r="I87" s="1"/>
  <c r="K87" i="14"/>
  <c r="H87"/>
  <c r="I87" s="1"/>
  <c r="K86" i="18"/>
  <c r="H86"/>
  <c r="I86" s="1"/>
  <c r="K86" i="14"/>
  <c r="H86"/>
  <c r="I86" s="1"/>
  <c r="K85" i="18"/>
  <c r="H85"/>
  <c r="I85" s="1"/>
  <c r="K85" i="14"/>
  <c r="H85"/>
  <c r="I85" s="1"/>
  <c r="K84" i="18"/>
  <c r="H84"/>
  <c r="I84" s="1"/>
  <c r="K84" i="14"/>
  <c r="H84"/>
  <c r="I84" s="1"/>
  <c r="K83" i="18"/>
  <c r="H83"/>
  <c r="I83" s="1"/>
  <c r="K83" i="14"/>
  <c r="H83"/>
  <c r="I83" s="1"/>
  <c r="K82" i="18"/>
  <c r="H82"/>
  <c r="I82" s="1"/>
  <c r="K82" i="14"/>
  <c r="H82"/>
  <c r="I82" s="1"/>
  <c r="K81" i="18"/>
  <c r="H81"/>
  <c r="I81" s="1"/>
  <c r="K81" i="14"/>
  <c r="H81"/>
  <c r="I81" s="1"/>
  <c r="K80" i="18"/>
  <c r="H80"/>
  <c r="I80" s="1"/>
  <c r="K80" i="14"/>
  <c r="H80"/>
  <c r="I80" s="1"/>
  <c r="K79" i="18"/>
  <c r="H79"/>
  <c r="I79" s="1"/>
  <c r="K79" i="14"/>
  <c r="H79"/>
  <c r="I79" s="1"/>
  <c r="K78" i="18"/>
  <c r="H78"/>
  <c r="I78" s="1"/>
  <c r="K78" i="14"/>
  <c r="H78"/>
  <c r="I78" s="1"/>
  <c r="K77" i="18"/>
  <c r="H77"/>
  <c r="I77" s="1"/>
  <c r="K77" i="14"/>
  <c r="H77"/>
  <c r="I77" s="1"/>
  <c r="K76" i="18"/>
  <c r="H76"/>
  <c r="I76" s="1"/>
  <c r="K76" i="14"/>
  <c r="H76"/>
  <c r="I76" s="1"/>
  <c r="K75" i="18"/>
  <c r="H75"/>
  <c r="I75" s="1"/>
  <c r="K75" i="14"/>
  <c r="H75"/>
  <c r="I75" s="1"/>
  <c r="K74" i="18"/>
  <c r="H74"/>
  <c r="I74" s="1"/>
  <c r="K74" i="14"/>
  <c r="H74"/>
  <c r="I74" s="1"/>
  <c r="K73" i="18"/>
  <c r="H73"/>
  <c r="I73" s="1"/>
  <c r="K73" i="14"/>
  <c r="H73"/>
  <c r="I73" s="1"/>
  <c r="K72" i="18"/>
  <c r="H72"/>
  <c r="I72" s="1"/>
  <c r="K72" i="14"/>
  <c r="H72"/>
  <c r="I72" s="1"/>
  <c r="K71" i="18"/>
  <c r="H71"/>
  <c r="I71" s="1"/>
  <c r="K71" i="14"/>
  <c r="H71"/>
  <c r="I71" s="1"/>
  <c r="K70" i="18"/>
  <c r="H70"/>
  <c r="I70"/>
  <c r="K70" i="14"/>
  <c r="H70"/>
  <c r="I70"/>
  <c r="G69" i="18"/>
  <c r="F90"/>
  <c r="G69" i="14"/>
  <c r="F90"/>
  <c r="K541"/>
  <c r="H541"/>
  <c r="I541" s="1"/>
  <c r="K965" i="18"/>
  <c r="H965"/>
  <c r="I965" s="1"/>
  <c r="K1118"/>
  <c r="H1118"/>
  <c r="I1118" s="1"/>
  <c r="F535"/>
  <c r="G535" s="1"/>
  <c r="G386"/>
  <c r="K387"/>
  <c r="H387"/>
  <c r="I387" s="1"/>
  <c r="K388"/>
  <c r="H388"/>
  <c r="I388" s="1"/>
  <c r="K389"/>
  <c r="H389"/>
  <c r="I389" s="1"/>
  <c r="K390"/>
  <c r="H390"/>
  <c r="I390" s="1"/>
  <c r="K391"/>
  <c r="H391"/>
  <c r="I391" s="1"/>
  <c r="K392"/>
  <c r="H392"/>
  <c r="I392" s="1"/>
  <c r="K393"/>
  <c r="H393"/>
  <c r="I393" s="1"/>
  <c r="K394"/>
  <c r="H394"/>
  <c r="I394" s="1"/>
  <c r="K395"/>
  <c r="H395"/>
  <c r="I395" s="1"/>
  <c r="K396"/>
  <c r="H396"/>
  <c r="I396" s="1"/>
  <c r="K397"/>
  <c r="H397"/>
  <c r="I397" s="1"/>
  <c r="K398"/>
  <c r="H398"/>
  <c r="I398" s="1"/>
  <c r="K399"/>
  <c r="H399"/>
  <c r="I399" s="1"/>
  <c r="K400"/>
  <c r="H400"/>
  <c r="I400" s="1"/>
  <c r="K401"/>
  <c r="H401"/>
  <c r="I401" s="1"/>
  <c r="K402"/>
  <c r="H402"/>
  <c r="I402" s="1"/>
  <c r="K403"/>
  <c r="H403"/>
  <c r="I403" s="1"/>
  <c r="K404"/>
  <c r="H404"/>
  <c r="I404" s="1"/>
  <c r="K405"/>
  <c r="H405"/>
  <c r="I405" s="1"/>
  <c r="K406"/>
  <c r="H406"/>
  <c r="I406" s="1"/>
  <c r="K407"/>
  <c r="H407"/>
  <c r="I407" s="1"/>
  <c r="K408"/>
  <c r="H408"/>
  <c r="I408" s="1"/>
  <c r="K409"/>
  <c r="H409"/>
  <c r="I409" s="1"/>
  <c r="K410"/>
  <c r="H410"/>
  <c r="I410" s="1"/>
  <c r="K411"/>
  <c r="H411"/>
  <c r="I411" s="1"/>
  <c r="K412"/>
  <c r="H412"/>
  <c r="I412" s="1"/>
  <c r="K413"/>
  <c r="H413"/>
  <c r="I413" s="1"/>
  <c r="K414"/>
  <c r="H414"/>
  <c r="I414" s="1"/>
  <c r="K415"/>
  <c r="H415"/>
  <c r="I415" s="1"/>
  <c r="K416"/>
  <c r="H416"/>
  <c r="I416" s="1"/>
  <c r="K417"/>
  <c r="H417"/>
  <c r="I417" s="1"/>
  <c r="K418"/>
  <c r="H418"/>
  <c r="I418" s="1"/>
  <c r="G746" i="14"/>
  <c r="M746"/>
  <c r="G746" i="18"/>
  <c r="M746"/>
  <c r="Q88" i="17"/>
  <c r="J90"/>
  <c r="J90" i="12"/>
  <c r="Q534" i="17"/>
  <c r="J535"/>
  <c r="K535" s="1"/>
  <c r="O537" i="3"/>
  <c r="O744"/>
  <c r="O743"/>
  <c r="O742"/>
  <c r="O741"/>
  <c r="O740"/>
  <c r="O739"/>
  <c r="O738"/>
  <c r="O737"/>
  <c r="O736"/>
  <c r="O735"/>
  <c r="O734"/>
  <c r="O733"/>
  <c r="O732"/>
  <c r="O731"/>
  <c r="O730"/>
  <c r="O729"/>
  <c r="O728"/>
  <c r="O727"/>
  <c r="O726"/>
  <c r="O725"/>
  <c r="O724"/>
  <c r="O723"/>
  <c r="O722"/>
  <c r="O721"/>
  <c r="O720"/>
  <c r="O719"/>
  <c r="O718"/>
  <c r="O717"/>
  <c r="O716"/>
  <c r="O715"/>
  <c r="O714"/>
  <c r="O713"/>
  <c r="O712"/>
  <c r="O711"/>
  <c r="O710"/>
  <c r="O709"/>
  <c r="O708"/>
  <c r="O707"/>
  <c r="O706"/>
  <c r="O705"/>
  <c r="O704"/>
  <c r="O703"/>
  <c r="O702"/>
  <c r="O701"/>
  <c r="O700"/>
  <c r="O699"/>
  <c r="O698"/>
  <c r="O697"/>
  <c r="O696"/>
  <c r="O695"/>
  <c r="O694"/>
  <c r="O693"/>
  <c r="O692"/>
  <c r="O691"/>
  <c r="O690"/>
  <c r="O689"/>
  <c r="O688"/>
  <c r="O687"/>
  <c r="O686"/>
  <c r="O685"/>
  <c r="O684"/>
  <c r="O683"/>
  <c r="O682"/>
  <c r="O681"/>
  <c r="O680"/>
  <c r="O679"/>
  <c r="O678"/>
  <c r="O677"/>
  <c r="O676"/>
  <c r="O675"/>
  <c r="O674"/>
  <c r="O673"/>
  <c r="O672"/>
  <c r="O671"/>
  <c r="O670"/>
  <c r="O669"/>
  <c r="O668"/>
  <c r="O667"/>
  <c r="O666"/>
  <c r="O665"/>
  <c r="O664"/>
  <c r="O663"/>
  <c r="O662"/>
  <c r="O661"/>
  <c r="O660"/>
  <c r="O659"/>
  <c r="O658"/>
  <c r="O657"/>
  <c r="O656"/>
  <c r="O655"/>
  <c r="O654"/>
  <c r="O653"/>
  <c r="O652"/>
  <c r="O651"/>
  <c r="O650"/>
  <c r="O649"/>
  <c r="O648"/>
  <c r="O647"/>
  <c r="O646"/>
  <c r="O645"/>
  <c r="O644"/>
  <c r="O643"/>
  <c r="O642"/>
  <c r="O641"/>
  <c r="O640"/>
  <c r="O639"/>
  <c r="O638"/>
  <c r="O637"/>
  <c r="O636"/>
  <c r="O635"/>
  <c r="O634"/>
  <c r="O633"/>
  <c r="O632"/>
  <c r="O631"/>
  <c r="O630"/>
  <c r="O629"/>
  <c r="O628"/>
  <c r="O627"/>
  <c r="O626"/>
  <c r="O625"/>
  <c r="O624"/>
  <c r="O623"/>
  <c r="O622"/>
  <c r="O621"/>
  <c r="O620"/>
  <c r="O619"/>
  <c r="O618"/>
  <c r="O617"/>
  <c r="O616"/>
  <c r="O615"/>
  <c r="O614"/>
  <c r="O613"/>
  <c r="O612"/>
  <c r="O611"/>
  <c r="O610"/>
  <c r="O609"/>
  <c r="O608"/>
  <c r="O607"/>
  <c r="O606"/>
  <c r="O605"/>
  <c r="O604"/>
  <c r="O603"/>
  <c r="O602"/>
  <c r="O601"/>
  <c r="O600"/>
  <c r="O599"/>
  <c r="O598"/>
  <c r="O597"/>
  <c r="O596"/>
  <c r="O595"/>
  <c r="O594"/>
  <c r="O593"/>
  <c r="O592"/>
  <c r="O591"/>
  <c r="O590"/>
  <c r="O589"/>
  <c r="O588"/>
  <c r="O587"/>
  <c r="O586"/>
  <c r="O585"/>
  <c r="O584"/>
  <c r="O583"/>
  <c r="O582"/>
  <c r="O581"/>
  <c r="O580"/>
  <c r="O579"/>
  <c r="O578"/>
  <c r="O577"/>
  <c r="O576"/>
  <c r="O575"/>
  <c r="O574"/>
  <c r="O573"/>
  <c r="O572"/>
  <c r="O571"/>
  <c r="O570"/>
  <c r="O569"/>
  <c r="O568"/>
  <c r="O567"/>
  <c r="O566"/>
  <c r="O565"/>
  <c r="O564"/>
  <c r="O563"/>
  <c r="O562"/>
  <c r="O561"/>
  <c r="O560"/>
  <c r="O559"/>
  <c r="O558"/>
  <c r="O557"/>
  <c r="O556"/>
  <c r="O555"/>
  <c r="O554"/>
  <c r="O553"/>
  <c r="O552"/>
  <c r="O551"/>
  <c r="O550"/>
  <c r="O549"/>
  <c r="O548"/>
  <c r="O547"/>
  <c r="O546"/>
  <c r="O545"/>
  <c r="O544"/>
  <c r="O543"/>
  <c r="O542"/>
  <c r="O541"/>
  <c r="O540"/>
  <c r="O539"/>
  <c r="O538"/>
  <c r="M6" i="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O877" i="3"/>
  <c r="D877" i="22" s="1"/>
  <c r="O876" i="3"/>
  <c r="D876" i="22" s="1"/>
  <c r="O875" i="3"/>
  <c r="O874"/>
  <c r="O873"/>
  <c r="O872"/>
  <c r="O871"/>
  <c r="O870"/>
  <c r="O869"/>
  <c r="O868"/>
  <c r="O867"/>
  <c r="O866"/>
  <c r="O865"/>
  <c r="O864"/>
  <c r="O863"/>
  <c r="O862"/>
  <c r="O861"/>
  <c r="O860"/>
  <c r="O859"/>
  <c r="O858"/>
  <c r="O857"/>
  <c r="O856"/>
  <c r="O855"/>
  <c r="O854"/>
  <c r="O853"/>
  <c r="O852"/>
  <c r="O851"/>
  <c r="O850"/>
  <c r="O849"/>
  <c r="O848"/>
  <c r="O847"/>
  <c r="O846"/>
  <c r="O845"/>
  <c r="O844"/>
  <c r="O843"/>
  <c r="O842"/>
  <c r="O841"/>
  <c r="O840"/>
  <c r="O839"/>
  <c r="O838"/>
  <c r="O837"/>
  <c r="O836"/>
  <c r="O835"/>
  <c r="O834"/>
  <c r="O833"/>
  <c r="O832"/>
  <c r="O831"/>
  <c r="O830"/>
  <c r="O829"/>
  <c r="O828"/>
  <c r="O827"/>
  <c r="O826"/>
  <c r="O825"/>
  <c r="O824"/>
  <c r="O823"/>
  <c r="O822"/>
  <c r="O820"/>
  <c r="O819"/>
  <c r="O818"/>
  <c r="O817"/>
  <c r="O816"/>
  <c r="O815"/>
  <c r="O814"/>
  <c r="O813"/>
  <c r="O812"/>
  <c r="O811"/>
  <c r="O810"/>
  <c r="O809"/>
  <c r="O808"/>
  <c r="O807"/>
  <c r="O806"/>
  <c r="O805"/>
  <c r="O804"/>
  <c r="O803"/>
  <c r="O801"/>
  <c r="O800"/>
  <c r="O799"/>
  <c r="O797"/>
  <c r="O796"/>
  <c r="O795"/>
  <c r="O794"/>
  <c r="O793"/>
  <c r="O792"/>
  <c r="O791"/>
  <c r="O790"/>
  <c r="O789"/>
  <c r="O788"/>
  <c r="O787"/>
  <c r="O786"/>
  <c r="O785"/>
  <c r="O784"/>
  <c r="O783"/>
  <c r="O782"/>
  <c r="O781"/>
  <c r="O780"/>
  <c r="O779"/>
  <c r="O778"/>
  <c r="O777"/>
  <c r="O776"/>
  <c r="O775"/>
  <c r="O774"/>
  <c r="O773"/>
  <c r="O772"/>
  <c r="O771"/>
  <c r="O770"/>
  <c r="O769"/>
  <c r="O768"/>
  <c r="O767"/>
  <c r="O766"/>
  <c r="O765"/>
  <c r="O764"/>
  <c r="O763"/>
  <c r="O762"/>
  <c r="O761"/>
  <c r="O760"/>
  <c r="O759"/>
  <c r="O758"/>
  <c r="O757"/>
  <c r="O756"/>
  <c r="O755"/>
  <c r="O754"/>
  <c r="O753"/>
  <c r="O752"/>
  <c r="O751"/>
  <c r="O750"/>
  <c r="O749"/>
  <c r="M382" i="6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383"/>
  <c r="M89" i="8"/>
  <c r="M89" i="11"/>
  <c r="M88" i="8"/>
  <c r="M88" i="11"/>
  <c r="M88" i="6"/>
  <c r="M87" i="8"/>
  <c r="M87" i="11"/>
  <c r="M87" i="6"/>
  <c r="M86" i="8"/>
  <c r="M86" i="11"/>
  <c r="M86" i="6"/>
  <c r="M85" i="8"/>
  <c r="M85" i="11"/>
  <c r="M85" i="6"/>
  <c r="M84" i="8"/>
  <c r="M84" i="11"/>
  <c r="M84" i="6"/>
  <c r="M83" i="8"/>
  <c r="M83" i="11"/>
  <c r="M83" i="6"/>
  <c r="M82" i="8"/>
  <c r="M82" i="11"/>
  <c r="M82" i="6"/>
  <c r="M81" i="8"/>
  <c r="M81" i="11"/>
  <c r="M81" i="6"/>
  <c r="M80" i="8"/>
  <c r="M80" i="11"/>
  <c r="M80" i="6"/>
  <c r="M79" i="8"/>
  <c r="M79" i="11"/>
  <c r="M79" i="6"/>
  <c r="M78" i="8"/>
  <c r="M78" i="11"/>
  <c r="M78" i="6"/>
  <c r="M77" i="8"/>
  <c r="M77" i="11"/>
  <c r="M77" i="6"/>
  <c r="M76" i="8"/>
  <c r="M76" i="11"/>
  <c r="M76" i="6"/>
  <c r="M75" i="8"/>
  <c r="M75" i="11"/>
  <c r="M75" i="6"/>
  <c r="M74" i="8"/>
  <c r="M74" i="11"/>
  <c r="M74" i="6"/>
  <c r="M73" i="8"/>
  <c r="M73" i="11"/>
  <c r="M73" i="6"/>
  <c r="M72" i="8"/>
  <c r="M72" i="11"/>
  <c r="M72" i="6"/>
  <c r="M71" i="8"/>
  <c r="M71" i="11"/>
  <c r="M71" i="6"/>
  <c r="M70" i="8"/>
  <c r="M70" i="11"/>
  <c r="M70" i="6"/>
  <c r="M69" i="8"/>
  <c r="M69" i="11"/>
  <c r="M69" i="6"/>
  <c r="O69" i="3"/>
  <c r="O747"/>
  <c r="R745" i="7"/>
  <c r="G745" i="22" s="1"/>
  <c r="R744" i="7"/>
  <c r="R743"/>
  <c r="R742"/>
  <c r="R741"/>
  <c r="R740"/>
  <c r="R739"/>
  <c r="R738"/>
  <c r="R737"/>
  <c r="R736"/>
  <c r="R735"/>
  <c r="R734"/>
  <c r="R733"/>
  <c r="R732"/>
  <c r="R731"/>
  <c r="R730"/>
  <c r="R729"/>
  <c r="R728"/>
  <c r="R727"/>
  <c r="R726"/>
  <c r="R725"/>
  <c r="R724"/>
  <c r="R723"/>
  <c r="R722"/>
  <c r="R721"/>
  <c r="R720"/>
  <c r="R719"/>
  <c r="R718"/>
  <c r="R717"/>
  <c r="R716"/>
  <c r="R715"/>
  <c r="R714"/>
  <c r="R713"/>
  <c r="R712"/>
  <c r="R711"/>
  <c r="R710"/>
  <c r="R709"/>
  <c r="R708"/>
  <c r="R707"/>
  <c r="R706"/>
  <c r="R705"/>
  <c r="R704"/>
  <c r="R703"/>
  <c r="R702"/>
  <c r="R701"/>
  <c r="R700"/>
  <c r="R699"/>
  <c r="R698"/>
  <c r="R697"/>
  <c r="R696"/>
  <c r="R695"/>
  <c r="R694"/>
  <c r="R693"/>
  <c r="R692"/>
  <c r="R691"/>
  <c r="R690"/>
  <c r="R689"/>
  <c r="R688"/>
  <c r="R687"/>
  <c r="R686"/>
  <c r="R685"/>
  <c r="R684"/>
  <c r="R683"/>
  <c r="R682"/>
  <c r="R681"/>
  <c r="R680"/>
  <c r="R679"/>
  <c r="R678"/>
  <c r="R677"/>
  <c r="R676"/>
  <c r="R675"/>
  <c r="R674"/>
  <c r="R673"/>
  <c r="R672"/>
  <c r="R671"/>
  <c r="R670"/>
  <c r="R669"/>
  <c r="R668"/>
  <c r="R667"/>
  <c r="R666"/>
  <c r="R665"/>
  <c r="R664"/>
  <c r="R663"/>
  <c r="R662"/>
  <c r="R661"/>
  <c r="R660"/>
  <c r="R659"/>
  <c r="R658"/>
  <c r="R657"/>
  <c r="R656"/>
  <c r="R655"/>
  <c r="R654"/>
  <c r="R653"/>
  <c r="R652"/>
  <c r="R651"/>
  <c r="R650"/>
  <c r="R649"/>
  <c r="R648"/>
  <c r="R647"/>
  <c r="R646"/>
  <c r="R645"/>
  <c r="R644"/>
  <c r="R643"/>
  <c r="R642"/>
  <c r="R641"/>
  <c r="R640"/>
  <c r="R639"/>
  <c r="R638"/>
  <c r="R637"/>
  <c r="R636"/>
  <c r="R635"/>
  <c r="R634"/>
  <c r="R633"/>
  <c r="R632"/>
  <c r="R631"/>
  <c r="R630"/>
  <c r="R629"/>
  <c r="R628"/>
  <c r="R627"/>
  <c r="R626"/>
  <c r="R625"/>
  <c r="R624"/>
  <c r="R623"/>
  <c r="R622"/>
  <c r="R621"/>
  <c r="R620"/>
  <c r="R619"/>
  <c r="R618"/>
  <c r="R617"/>
  <c r="R616"/>
  <c r="R615"/>
  <c r="R614"/>
  <c r="R613"/>
  <c r="R612"/>
  <c r="R611"/>
  <c r="R610"/>
  <c r="R609"/>
  <c r="R608"/>
  <c r="R607"/>
  <c r="R606"/>
  <c r="R605"/>
  <c r="R604"/>
  <c r="R603"/>
  <c r="R602"/>
  <c r="R601"/>
  <c r="R600"/>
  <c r="R599"/>
  <c r="R598"/>
  <c r="R597"/>
  <c r="R596"/>
  <c r="R595"/>
  <c r="R594"/>
  <c r="R593"/>
  <c r="R592"/>
  <c r="R591"/>
  <c r="R590"/>
  <c r="R589"/>
  <c r="R588"/>
  <c r="R587"/>
  <c r="R586"/>
  <c r="R585"/>
  <c r="R584"/>
  <c r="R583"/>
  <c r="R582"/>
  <c r="R581"/>
  <c r="R580"/>
  <c r="R579"/>
  <c r="R578"/>
  <c r="R577"/>
  <c r="R576"/>
  <c r="R575"/>
  <c r="R574"/>
  <c r="R573"/>
  <c r="R572"/>
  <c r="R571"/>
  <c r="R570"/>
  <c r="R569"/>
  <c r="R568"/>
  <c r="R567"/>
  <c r="R566"/>
  <c r="R565"/>
  <c r="R564"/>
  <c r="R563"/>
  <c r="R562"/>
  <c r="R561"/>
  <c r="R560"/>
  <c r="R559"/>
  <c r="R558"/>
  <c r="R557"/>
  <c r="R556"/>
  <c r="R555"/>
  <c r="R554"/>
  <c r="R553"/>
  <c r="R552"/>
  <c r="R551"/>
  <c r="R550"/>
  <c r="R549"/>
  <c r="R548"/>
  <c r="R547"/>
  <c r="R546"/>
  <c r="R545"/>
  <c r="R544"/>
  <c r="R543"/>
  <c r="R542"/>
  <c r="R541"/>
  <c r="R540"/>
  <c r="R539"/>
  <c r="R538"/>
  <c r="R537"/>
  <c r="Q889" i="17"/>
  <c r="O746" i="3"/>
  <c r="D746" i="22" s="1"/>
  <c r="F747" i="6"/>
  <c r="R746" i="7"/>
  <c r="G746" i="22" s="1"/>
  <c r="O747" i="10"/>
  <c r="O744"/>
  <c r="O743"/>
  <c r="O742"/>
  <c r="O741"/>
  <c r="O740"/>
  <c r="O739"/>
  <c r="O738"/>
  <c r="O737"/>
  <c r="O736"/>
  <c r="O735"/>
  <c r="O734"/>
  <c r="O733"/>
  <c r="O732"/>
  <c r="O731"/>
  <c r="O730"/>
  <c r="O729"/>
  <c r="O728"/>
  <c r="O727"/>
  <c r="O726"/>
  <c r="O725"/>
  <c r="O724"/>
  <c r="O723"/>
  <c r="O722"/>
  <c r="O721"/>
  <c r="O720"/>
  <c r="O719"/>
  <c r="O718"/>
  <c r="O717"/>
  <c r="O716"/>
  <c r="O715"/>
  <c r="O714"/>
  <c r="O713"/>
  <c r="O712"/>
  <c r="O711"/>
  <c r="O710"/>
  <c r="O709"/>
  <c r="O708"/>
  <c r="O707"/>
  <c r="O706"/>
  <c r="O705"/>
  <c r="O704"/>
  <c r="O703"/>
  <c r="O702"/>
  <c r="O701"/>
  <c r="O700"/>
  <c r="O699"/>
  <c r="O698"/>
  <c r="O697"/>
  <c r="O696"/>
  <c r="O695"/>
  <c r="O694"/>
  <c r="O693"/>
  <c r="O692"/>
  <c r="O691"/>
  <c r="O690"/>
  <c r="O689"/>
  <c r="O688"/>
  <c r="O687"/>
  <c r="O686"/>
  <c r="O685"/>
  <c r="O684"/>
  <c r="O683"/>
  <c r="O682"/>
  <c r="O681"/>
  <c r="O680"/>
  <c r="O679"/>
  <c r="O678"/>
  <c r="O677"/>
  <c r="O676"/>
  <c r="O675"/>
  <c r="O674"/>
  <c r="O673"/>
  <c r="O672"/>
  <c r="O671"/>
  <c r="O670"/>
  <c r="O669"/>
  <c r="O668"/>
  <c r="O667"/>
  <c r="O666"/>
  <c r="O665"/>
  <c r="O664"/>
  <c r="O663"/>
  <c r="O662"/>
  <c r="O661"/>
  <c r="O660"/>
  <c r="O659"/>
  <c r="O658"/>
  <c r="O657"/>
  <c r="O656"/>
  <c r="O655"/>
  <c r="O654"/>
  <c r="O653"/>
  <c r="O652"/>
  <c r="O651"/>
  <c r="O650"/>
  <c r="O649"/>
  <c r="O648"/>
  <c r="O647"/>
  <c r="O646"/>
  <c r="O645"/>
  <c r="O644"/>
  <c r="O643"/>
  <c r="O642"/>
  <c r="O641"/>
  <c r="O640"/>
  <c r="O639"/>
  <c r="O638"/>
  <c r="O637"/>
  <c r="O636"/>
  <c r="O635"/>
  <c r="O634"/>
  <c r="O633"/>
  <c r="O632"/>
  <c r="O631"/>
  <c r="O630"/>
  <c r="O629"/>
  <c r="O628"/>
  <c r="O627"/>
  <c r="O626"/>
  <c r="O625"/>
  <c r="O624"/>
  <c r="O623"/>
  <c r="O622"/>
  <c r="O621"/>
  <c r="O620"/>
  <c r="O619"/>
  <c r="O618"/>
  <c r="O617"/>
  <c r="O616"/>
  <c r="O615"/>
  <c r="O614"/>
  <c r="O613"/>
  <c r="O612"/>
  <c r="O611"/>
  <c r="O610"/>
  <c r="O609"/>
  <c r="O608"/>
  <c r="O607"/>
  <c r="O606"/>
  <c r="O605"/>
  <c r="O604"/>
  <c r="O603"/>
  <c r="O602"/>
  <c r="O601"/>
  <c r="O600"/>
  <c r="O599"/>
  <c r="O598"/>
  <c r="O597"/>
  <c r="O596"/>
  <c r="O595"/>
  <c r="O594"/>
  <c r="O593"/>
  <c r="O592"/>
  <c r="O591"/>
  <c r="O590"/>
  <c r="O589"/>
  <c r="O588"/>
  <c r="O587"/>
  <c r="O586"/>
  <c r="O585"/>
  <c r="O584"/>
  <c r="O583"/>
  <c r="O582"/>
  <c r="O581"/>
  <c r="O580"/>
  <c r="O579"/>
  <c r="O578"/>
  <c r="O577"/>
  <c r="O576"/>
  <c r="O575"/>
  <c r="O574"/>
  <c r="O573"/>
  <c r="O572"/>
  <c r="O571"/>
  <c r="O570"/>
  <c r="O569"/>
  <c r="O568"/>
  <c r="O567"/>
  <c r="O566"/>
  <c r="O565"/>
  <c r="O564"/>
  <c r="O563"/>
  <c r="O562"/>
  <c r="O561"/>
  <c r="O560"/>
  <c r="O559"/>
  <c r="O558"/>
  <c r="O557"/>
  <c r="O556"/>
  <c r="O555"/>
  <c r="O554"/>
  <c r="O553"/>
  <c r="O552"/>
  <c r="O551"/>
  <c r="O550"/>
  <c r="O549"/>
  <c r="O548"/>
  <c r="O547"/>
  <c r="O546"/>
  <c r="O545"/>
  <c r="O544"/>
  <c r="O543"/>
  <c r="O542"/>
  <c r="O541"/>
  <c r="O540"/>
  <c r="O539"/>
  <c r="O538"/>
  <c r="O537"/>
  <c r="O746"/>
  <c r="O745"/>
  <c r="G746" i="11"/>
  <c r="K537" i="17"/>
  <c r="R1221" i="2"/>
  <c r="R1220"/>
  <c r="R1219"/>
  <c r="R1218"/>
  <c r="R1217"/>
  <c r="R1216"/>
  <c r="R1215"/>
  <c r="R1214"/>
  <c r="R1213"/>
  <c r="R1212"/>
  <c r="R1211"/>
  <c r="R1210"/>
  <c r="R1209"/>
  <c r="R1208"/>
  <c r="R1207"/>
  <c r="R1206"/>
  <c r="R1205"/>
  <c r="R1204"/>
  <c r="O88" i="10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89"/>
  <c r="P534" i="17"/>
  <c r="P889"/>
  <c r="N747" i="10"/>
  <c r="N746"/>
  <c r="N745"/>
  <c r="N744"/>
  <c r="N743"/>
  <c r="N742"/>
  <c r="N741"/>
  <c r="N740"/>
  <c r="N739"/>
  <c r="N738"/>
  <c r="N737"/>
  <c r="N736"/>
  <c r="N735"/>
  <c r="N734"/>
  <c r="N733"/>
  <c r="N732"/>
  <c r="N731"/>
  <c r="N730"/>
  <c r="N729"/>
  <c r="N728"/>
  <c r="N727"/>
  <c r="N726"/>
  <c r="N725"/>
  <c r="N724"/>
  <c r="N723"/>
  <c r="N722"/>
  <c r="N721"/>
  <c r="N720"/>
  <c r="N719"/>
  <c r="N718"/>
  <c r="N717"/>
  <c r="N716"/>
  <c r="N715"/>
  <c r="N714"/>
  <c r="N713"/>
  <c r="N712"/>
  <c r="N711"/>
  <c r="N710"/>
  <c r="N709"/>
  <c r="N708"/>
  <c r="N707"/>
  <c r="N706"/>
  <c r="N705"/>
  <c r="N704"/>
  <c r="N703"/>
  <c r="N702"/>
  <c r="N701"/>
  <c r="N700"/>
  <c r="N699"/>
  <c r="N698"/>
  <c r="N697"/>
  <c r="N696"/>
  <c r="N695"/>
  <c r="N694"/>
  <c r="N693"/>
  <c r="N692"/>
  <c r="N691"/>
  <c r="N690"/>
  <c r="N689"/>
  <c r="N688"/>
  <c r="N687"/>
  <c r="N686"/>
  <c r="N685"/>
  <c r="N684"/>
  <c r="N683"/>
  <c r="N682"/>
  <c r="N681"/>
  <c r="N680"/>
  <c r="N679"/>
  <c r="N678"/>
  <c r="N677"/>
  <c r="N676"/>
  <c r="N675"/>
  <c r="N674"/>
  <c r="N673"/>
  <c r="N672"/>
  <c r="N671"/>
  <c r="N670"/>
  <c r="N669"/>
  <c r="N668"/>
  <c r="N667"/>
  <c r="N666"/>
  <c r="N665"/>
  <c r="N664"/>
  <c r="N663"/>
  <c r="N662"/>
  <c r="N661"/>
  <c r="N660"/>
  <c r="N659"/>
  <c r="N658"/>
  <c r="N657"/>
  <c r="N656"/>
  <c r="N655"/>
  <c r="N654"/>
  <c r="N653"/>
  <c r="N652"/>
  <c r="N651"/>
  <c r="N650"/>
  <c r="N649"/>
  <c r="N648"/>
  <c r="N647"/>
  <c r="N646"/>
  <c r="N645"/>
  <c r="N644"/>
  <c r="N643"/>
  <c r="N642"/>
  <c r="N641"/>
  <c r="N640"/>
  <c r="N639"/>
  <c r="N638"/>
  <c r="N637"/>
  <c r="N636"/>
  <c r="N635"/>
  <c r="N634"/>
  <c r="N633"/>
  <c r="N632"/>
  <c r="N631"/>
  <c r="N630"/>
  <c r="N629"/>
  <c r="N628"/>
  <c r="N627"/>
  <c r="N626"/>
  <c r="N625"/>
  <c r="N624"/>
  <c r="N623"/>
  <c r="N622"/>
  <c r="N621"/>
  <c r="N620"/>
  <c r="N619"/>
  <c r="N618"/>
  <c r="N617"/>
  <c r="N616"/>
  <c r="N615"/>
  <c r="N614"/>
  <c r="N613"/>
  <c r="N612"/>
  <c r="N611"/>
  <c r="N610"/>
  <c r="N609"/>
  <c r="N608"/>
  <c r="N607"/>
  <c r="N606"/>
  <c r="N605"/>
  <c r="N604"/>
  <c r="N603"/>
  <c r="N602"/>
  <c r="N601"/>
  <c r="N600"/>
  <c r="N599"/>
  <c r="N598"/>
  <c r="N597"/>
  <c r="N596"/>
  <c r="N595"/>
  <c r="N594"/>
  <c r="N593"/>
  <c r="N592"/>
  <c r="N591"/>
  <c r="N590"/>
  <c r="N589"/>
  <c r="N588"/>
  <c r="N587"/>
  <c r="N586"/>
  <c r="N585"/>
  <c r="N584"/>
  <c r="N583"/>
  <c r="N582"/>
  <c r="N581"/>
  <c r="N580"/>
  <c r="N579"/>
  <c r="N578"/>
  <c r="N577"/>
  <c r="N576"/>
  <c r="N575"/>
  <c r="N574"/>
  <c r="N573"/>
  <c r="N572"/>
  <c r="N571"/>
  <c r="N570"/>
  <c r="N569"/>
  <c r="N568"/>
  <c r="N567"/>
  <c r="N566"/>
  <c r="N565"/>
  <c r="N564"/>
  <c r="N563"/>
  <c r="N562"/>
  <c r="N561"/>
  <c r="N560"/>
  <c r="N559"/>
  <c r="N558"/>
  <c r="N557"/>
  <c r="N556"/>
  <c r="N555"/>
  <c r="N554"/>
  <c r="N553"/>
  <c r="N552"/>
  <c r="N551"/>
  <c r="N550"/>
  <c r="N549"/>
  <c r="N548"/>
  <c r="N547"/>
  <c r="N546"/>
  <c r="N545"/>
  <c r="N544"/>
  <c r="N543"/>
  <c r="N542"/>
  <c r="N541"/>
  <c r="N540"/>
  <c r="N539"/>
  <c r="N538"/>
  <c r="N537"/>
  <c r="Q746" i="7"/>
  <c r="Q745"/>
  <c r="Q744"/>
  <c r="Q743"/>
  <c r="Q742"/>
  <c r="Q741"/>
  <c r="Q740"/>
  <c r="Q739"/>
  <c r="Q738"/>
  <c r="Q737"/>
  <c r="Q736"/>
  <c r="Q735"/>
  <c r="Q734"/>
  <c r="Q733"/>
  <c r="Q732"/>
  <c r="Q731"/>
  <c r="Q730"/>
  <c r="Q729"/>
  <c r="Q728"/>
  <c r="Q727"/>
  <c r="Q726"/>
  <c r="Q725"/>
  <c r="Q724"/>
  <c r="Q723"/>
  <c r="Q722"/>
  <c r="Q721"/>
  <c r="Q720"/>
  <c r="Q719"/>
  <c r="Q718"/>
  <c r="Q717"/>
  <c r="Q716"/>
  <c r="Q715"/>
  <c r="Q714"/>
  <c r="Q713"/>
  <c r="Q712"/>
  <c r="Q711"/>
  <c r="Q710"/>
  <c r="Q709"/>
  <c r="Q708"/>
  <c r="Q707"/>
  <c r="Q706"/>
  <c r="Q705"/>
  <c r="Q704"/>
  <c r="Q703"/>
  <c r="Q702"/>
  <c r="Q701"/>
  <c r="Q700"/>
  <c r="Q699"/>
  <c r="Q698"/>
  <c r="Q697"/>
  <c r="Q696"/>
  <c r="Q695"/>
  <c r="Q694"/>
  <c r="Q693"/>
  <c r="Q692"/>
  <c r="Q691"/>
  <c r="Q690"/>
  <c r="Q689"/>
  <c r="Q688"/>
  <c r="Q687"/>
  <c r="Q686"/>
  <c r="Q685"/>
  <c r="Q684"/>
  <c r="Q683"/>
  <c r="Q682"/>
  <c r="Q681"/>
  <c r="Q680"/>
  <c r="Q679"/>
  <c r="Q678"/>
  <c r="Q677"/>
  <c r="Q676"/>
  <c r="Q675"/>
  <c r="Q674"/>
  <c r="Q673"/>
  <c r="Q672"/>
  <c r="Q671"/>
  <c r="Q670"/>
  <c r="Q669"/>
  <c r="Q668"/>
  <c r="Q667"/>
  <c r="Q666"/>
  <c r="Q665"/>
  <c r="Q664"/>
  <c r="Q663"/>
  <c r="Q662"/>
  <c r="Q661"/>
  <c r="Q660"/>
  <c r="Q659"/>
  <c r="Q658"/>
  <c r="Q657"/>
  <c r="Q656"/>
  <c r="Q655"/>
  <c r="Q654"/>
  <c r="Q653"/>
  <c r="Q652"/>
  <c r="Q651"/>
  <c r="Q650"/>
  <c r="Q649"/>
  <c r="Q648"/>
  <c r="Q647"/>
  <c r="Q646"/>
  <c r="Q645"/>
  <c r="Q644"/>
  <c r="Q643"/>
  <c r="Q642"/>
  <c r="Q641"/>
  <c r="Q640"/>
  <c r="Q639"/>
  <c r="Q638"/>
  <c r="Q637"/>
  <c r="Q636"/>
  <c r="Q635"/>
  <c r="Q634"/>
  <c r="Q633"/>
  <c r="Q632"/>
  <c r="Q631"/>
  <c r="Q630"/>
  <c r="Q629"/>
  <c r="Q628"/>
  <c r="Q627"/>
  <c r="Q626"/>
  <c r="Q625"/>
  <c r="Q624"/>
  <c r="Q623"/>
  <c r="Q622"/>
  <c r="Q621"/>
  <c r="Q620"/>
  <c r="Q619"/>
  <c r="Q618"/>
  <c r="Q617"/>
  <c r="Q616"/>
  <c r="Q615"/>
  <c r="Q614"/>
  <c r="Q613"/>
  <c r="Q612"/>
  <c r="Q611"/>
  <c r="Q610"/>
  <c r="Q609"/>
  <c r="Q608"/>
  <c r="Q607"/>
  <c r="Q606"/>
  <c r="Q605"/>
  <c r="Q604"/>
  <c r="Q603"/>
  <c r="Q602"/>
  <c r="Q601"/>
  <c r="Q600"/>
  <c r="Q599"/>
  <c r="Q598"/>
  <c r="Q597"/>
  <c r="Q596"/>
  <c r="Q595"/>
  <c r="Q594"/>
  <c r="Q593"/>
  <c r="Q592"/>
  <c r="Q591"/>
  <c r="Q590"/>
  <c r="Q589"/>
  <c r="Q588"/>
  <c r="Q587"/>
  <c r="Q586"/>
  <c r="Q585"/>
  <c r="Q584"/>
  <c r="Q583"/>
  <c r="Q582"/>
  <c r="Q581"/>
  <c r="Q580"/>
  <c r="Q579"/>
  <c r="Q578"/>
  <c r="Q577"/>
  <c r="Q576"/>
  <c r="Q575"/>
  <c r="Q574"/>
  <c r="Q573"/>
  <c r="Q572"/>
  <c r="Q571"/>
  <c r="Q570"/>
  <c r="Q569"/>
  <c r="Q568"/>
  <c r="Q567"/>
  <c r="Q566"/>
  <c r="Q565"/>
  <c r="Q564"/>
  <c r="Q563"/>
  <c r="Q562"/>
  <c r="Q561"/>
  <c r="Q560"/>
  <c r="Q559"/>
  <c r="Q558"/>
  <c r="Q557"/>
  <c r="Q556"/>
  <c r="Q555"/>
  <c r="Q554"/>
  <c r="Q553"/>
  <c r="Q552"/>
  <c r="Q551"/>
  <c r="Q550"/>
  <c r="Q549"/>
  <c r="Q548"/>
  <c r="Q547"/>
  <c r="Q546"/>
  <c r="Q545"/>
  <c r="Q544"/>
  <c r="Q543"/>
  <c r="Q542"/>
  <c r="Q541"/>
  <c r="Q540"/>
  <c r="Q539"/>
  <c r="Q538"/>
  <c r="Q537"/>
  <c r="L92" i="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881"/>
  <c r="L1146"/>
  <c r="L1145"/>
  <c r="L1144"/>
  <c r="L1143"/>
  <c r="L1142"/>
  <c r="L1141"/>
  <c r="L1140"/>
  <c r="L1139"/>
  <c r="L1138"/>
  <c r="L1137"/>
  <c r="L1136"/>
  <c r="L1135"/>
  <c r="L1134"/>
  <c r="L1133"/>
  <c r="L1132"/>
  <c r="L1131"/>
  <c r="L1130"/>
  <c r="L1129"/>
  <c r="L1128"/>
  <c r="L1127"/>
  <c r="L1126"/>
  <c r="L1125"/>
  <c r="L1124"/>
  <c r="L1123"/>
  <c r="L1122"/>
  <c r="L1121"/>
  <c r="L1120"/>
  <c r="L1119"/>
  <c r="L1118"/>
  <c r="L1117"/>
  <c r="L1116"/>
  <c r="L1115"/>
  <c r="L1114"/>
  <c r="L1113"/>
  <c r="L1112"/>
  <c r="L1111"/>
  <c r="L1110"/>
  <c r="L1109"/>
  <c r="L1108"/>
  <c r="L1107"/>
  <c r="L1106"/>
  <c r="L1105"/>
  <c r="L1104"/>
  <c r="L1103"/>
  <c r="L1102"/>
  <c r="L1101"/>
  <c r="L1100"/>
  <c r="L1099"/>
  <c r="L1098"/>
  <c r="L1097"/>
  <c r="L1096"/>
  <c r="L1095"/>
  <c r="L1094"/>
  <c r="L1093"/>
  <c r="L1092"/>
  <c r="L1091"/>
  <c r="L1090"/>
  <c r="L1089"/>
  <c r="L1088"/>
  <c r="L1087"/>
  <c r="L1086"/>
  <c r="L1085"/>
  <c r="L1084"/>
  <c r="L1083"/>
  <c r="L1082"/>
  <c r="L1081"/>
  <c r="L1080"/>
  <c r="L1079"/>
  <c r="L1078"/>
  <c r="L1077"/>
  <c r="L1076"/>
  <c r="L1075"/>
  <c r="L1074"/>
  <c r="L1073"/>
  <c r="L1072"/>
  <c r="L1071"/>
  <c r="L1070"/>
  <c r="L1069"/>
  <c r="L1068"/>
  <c r="L1067"/>
  <c r="L1066"/>
  <c r="L1065"/>
  <c r="L1064"/>
  <c r="L1063"/>
  <c r="L1062"/>
  <c r="L1061"/>
  <c r="L1060"/>
  <c r="L1059"/>
  <c r="L1058"/>
  <c r="L1057"/>
  <c r="L1056"/>
  <c r="L1055"/>
  <c r="L1054"/>
  <c r="L1053"/>
  <c r="L1052"/>
  <c r="L1051"/>
  <c r="L1050"/>
  <c r="L1049"/>
  <c r="L1048"/>
  <c r="L1047"/>
  <c r="L1046"/>
  <c r="L1045"/>
  <c r="L1044"/>
  <c r="L1043"/>
  <c r="L1042"/>
  <c r="L1041"/>
  <c r="L1040"/>
  <c r="L1039"/>
  <c r="L1038"/>
  <c r="L1037"/>
  <c r="L1036"/>
  <c r="L1035"/>
  <c r="L1034"/>
  <c r="L1033"/>
  <c r="L1032"/>
  <c r="L1031"/>
  <c r="L1030"/>
  <c r="L1029"/>
  <c r="L1028"/>
  <c r="L1027"/>
  <c r="L1026"/>
  <c r="L1025"/>
  <c r="L1024"/>
  <c r="L1023"/>
  <c r="L1022"/>
  <c r="L1021"/>
  <c r="L1020"/>
  <c r="L1019"/>
  <c r="L1018"/>
  <c r="L1017"/>
  <c r="L1016"/>
  <c r="L1015"/>
  <c r="L1014"/>
  <c r="L1013"/>
  <c r="L1012"/>
  <c r="L1011"/>
  <c r="L1010"/>
  <c r="L1009"/>
  <c r="L1008"/>
  <c r="L1007"/>
  <c r="L1006"/>
  <c r="L1005"/>
  <c r="L1004"/>
  <c r="L1003"/>
  <c r="L1002"/>
  <c r="L1001"/>
  <c r="L1000"/>
  <c r="L999"/>
  <c r="L998"/>
  <c r="L997"/>
  <c r="L996"/>
  <c r="L995"/>
  <c r="L994"/>
  <c r="L993"/>
  <c r="L992"/>
  <c r="L991"/>
  <c r="L990"/>
  <c r="L989"/>
  <c r="L988"/>
  <c r="L987"/>
  <c r="L986"/>
  <c r="L985"/>
  <c r="L984"/>
  <c r="L983"/>
  <c r="L982"/>
  <c r="L981"/>
  <c r="L980"/>
  <c r="L979"/>
  <c r="L978"/>
  <c r="L977"/>
  <c r="L976"/>
  <c r="L975"/>
  <c r="L974"/>
  <c r="L973"/>
  <c r="L972"/>
  <c r="L971"/>
  <c r="L970"/>
  <c r="L969"/>
  <c r="L968"/>
  <c r="L967"/>
  <c r="L966"/>
  <c r="L965"/>
  <c r="L964"/>
  <c r="L963"/>
  <c r="L962"/>
  <c r="L961"/>
  <c r="L960"/>
  <c r="L959"/>
  <c r="L958"/>
  <c r="L957"/>
  <c r="L956"/>
  <c r="L955"/>
  <c r="L954"/>
  <c r="L953"/>
  <c r="L952"/>
  <c r="L951"/>
  <c r="L950"/>
  <c r="L949"/>
  <c r="L948"/>
  <c r="L947"/>
  <c r="L946"/>
  <c r="L945"/>
  <c r="L944"/>
  <c r="L943"/>
  <c r="L942"/>
  <c r="L941"/>
  <c r="L940"/>
  <c r="L939"/>
  <c r="L938"/>
  <c r="L937"/>
  <c r="L936"/>
  <c r="L935"/>
  <c r="L934"/>
  <c r="L933"/>
  <c r="L932"/>
  <c r="L931"/>
  <c r="L930"/>
  <c r="L929"/>
  <c r="L928"/>
  <c r="L927"/>
  <c r="L926"/>
  <c r="L925"/>
  <c r="L924"/>
  <c r="L923"/>
  <c r="L922"/>
  <c r="L921"/>
  <c r="L920"/>
  <c r="L919"/>
  <c r="L918"/>
  <c r="L917"/>
  <c r="L916"/>
  <c r="L915"/>
  <c r="L914"/>
  <c r="L913"/>
  <c r="L912"/>
  <c r="L911"/>
  <c r="L910"/>
  <c r="L909"/>
  <c r="L908"/>
  <c r="L907"/>
  <c r="L906"/>
  <c r="L905"/>
  <c r="L904"/>
  <c r="L903"/>
  <c r="L902"/>
  <c r="L901"/>
  <c r="L900"/>
  <c r="L899"/>
  <c r="L898"/>
  <c r="L897"/>
  <c r="L896"/>
  <c r="L895"/>
  <c r="L894"/>
  <c r="L893"/>
  <c r="L892"/>
  <c r="L891"/>
  <c r="L890"/>
  <c r="L889"/>
  <c r="L888"/>
  <c r="L887"/>
  <c r="L886"/>
  <c r="L885"/>
  <c r="L884"/>
  <c r="L883"/>
  <c r="L882"/>
  <c r="K537" i="12"/>
  <c r="J747"/>
  <c r="K747" s="1"/>
  <c r="O60" i="3"/>
  <c r="D60" i="22" s="1"/>
  <c r="G881" i="14"/>
  <c r="F1146"/>
  <c r="G1146" s="1"/>
  <c r="O92" i="10"/>
  <c r="C6" i="22" l="1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1222"/>
  <c r="C1223"/>
  <c r="C1224"/>
  <c r="C1225"/>
  <c r="C1226"/>
  <c r="C1227"/>
  <c r="C1228"/>
  <c r="C1229"/>
  <c r="C1230"/>
  <c r="C1231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R879" i="5"/>
  <c r="C734" i="22"/>
  <c r="C735"/>
  <c r="C736"/>
  <c r="C737"/>
  <c r="C738"/>
  <c r="C739"/>
  <c r="C740"/>
  <c r="C741"/>
  <c r="C742"/>
  <c r="C743"/>
  <c r="C744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7"/>
  <c r="D8"/>
  <c r="D9"/>
  <c r="D10"/>
  <c r="D11"/>
  <c r="D12"/>
  <c r="D13"/>
  <c r="D14"/>
  <c r="D15"/>
  <c r="D16"/>
  <c r="D17"/>
  <c r="D18"/>
  <c r="D19"/>
  <c r="D20"/>
  <c r="D21"/>
  <c r="H89"/>
  <c r="H1146" i="14"/>
  <c r="K1146"/>
  <c r="L1146" s="1"/>
  <c r="H881"/>
  <c r="K881"/>
  <c r="L881" s="1"/>
  <c r="O747" i="12"/>
  <c r="L747"/>
  <c r="M747" s="1"/>
  <c r="O537"/>
  <c r="L537"/>
  <c r="M537" s="1"/>
  <c r="C1204" i="22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O537" i="17"/>
  <c r="L537"/>
  <c r="M537" s="1"/>
  <c r="G747" i="6"/>
  <c r="F1234"/>
  <c r="G537" i="22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D69"/>
  <c r="D90" s="1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9"/>
  <c r="D800"/>
  <c r="D801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537"/>
  <c r="D747" s="1"/>
  <c r="O535" i="17"/>
  <c r="L535"/>
  <c r="M535" s="1"/>
  <c r="J1234" i="12"/>
  <c r="K90"/>
  <c r="K90" i="17"/>
  <c r="L90" s="1"/>
  <c r="J1234"/>
  <c r="M418" i="18"/>
  <c r="L418"/>
  <c r="M417"/>
  <c r="L417"/>
  <c r="M416"/>
  <c r="L416"/>
  <c r="M415"/>
  <c r="L415"/>
  <c r="M414"/>
  <c r="L414"/>
  <c r="M413"/>
  <c r="L413"/>
  <c r="M412"/>
  <c r="L412"/>
  <c r="M411"/>
  <c r="L411"/>
  <c r="M410"/>
  <c r="L410"/>
  <c r="M409"/>
  <c r="L409"/>
  <c r="M408"/>
  <c r="L408"/>
  <c r="M407"/>
  <c r="L407"/>
  <c r="M406"/>
  <c r="L406"/>
  <c r="M405"/>
  <c r="L405"/>
  <c r="M404"/>
  <c r="L404"/>
  <c r="M403"/>
  <c r="L403"/>
  <c r="M402"/>
  <c r="L402"/>
  <c r="M401"/>
  <c r="L401"/>
  <c r="M400"/>
  <c r="L400"/>
  <c r="M399"/>
  <c r="L399"/>
  <c r="M398"/>
  <c r="L398"/>
  <c r="M397"/>
  <c r="L397"/>
  <c r="M396"/>
  <c r="L396"/>
  <c r="M395"/>
  <c r="L395"/>
  <c r="M394"/>
  <c r="L394"/>
  <c r="M393"/>
  <c r="L393"/>
  <c r="M392"/>
  <c r="L392"/>
  <c r="M391"/>
  <c r="L391"/>
  <c r="M390"/>
  <c r="L390"/>
  <c r="M389"/>
  <c r="L389"/>
  <c r="M388"/>
  <c r="L388"/>
  <c r="M387"/>
  <c r="L387"/>
  <c r="K386"/>
  <c r="H386"/>
  <c r="I386" s="1"/>
  <c r="K535"/>
  <c r="H535"/>
  <c r="I535" s="1"/>
  <c r="M1118"/>
  <c r="L1118"/>
  <c r="N1118"/>
  <c r="M965"/>
  <c r="L965"/>
  <c r="N965"/>
  <c r="M541" i="14"/>
  <c r="L541"/>
  <c r="F1234"/>
  <c r="G90"/>
  <c r="K69"/>
  <c r="H69"/>
  <c r="I69" s="1"/>
  <c r="G90" i="18"/>
  <c r="F1234"/>
  <c r="K69"/>
  <c r="H69"/>
  <c r="I69" s="1"/>
  <c r="I90" s="1"/>
  <c r="M728" i="14"/>
  <c r="L728"/>
  <c r="M168"/>
  <c r="L168"/>
  <c r="M147"/>
  <c r="L147"/>
  <c r="M146"/>
  <c r="L146"/>
  <c r="M145"/>
  <c r="L145"/>
  <c r="K384"/>
  <c r="H384"/>
  <c r="I384" s="1"/>
  <c r="K92"/>
  <c r="L92" s="1"/>
  <c r="H92"/>
  <c r="I92" s="1"/>
  <c r="M271"/>
  <c r="L271"/>
  <c r="O535" i="12"/>
  <c r="L535"/>
  <c r="M535" s="1"/>
  <c r="O386"/>
  <c r="L386"/>
  <c r="M386" s="1"/>
  <c r="Q387"/>
  <c r="P387"/>
  <c r="Q388"/>
  <c r="P388"/>
  <c r="Q389"/>
  <c r="P389"/>
  <c r="Q390"/>
  <c r="P390"/>
  <c r="Q391"/>
  <c r="P391"/>
  <c r="Q392"/>
  <c r="P392"/>
  <c r="Q393"/>
  <c r="P393"/>
  <c r="Q394"/>
  <c r="P394"/>
  <c r="Q395"/>
  <c r="P395"/>
  <c r="Q396"/>
  <c r="P396"/>
  <c r="Q397"/>
  <c r="P397"/>
  <c r="Q398"/>
  <c r="P398"/>
  <c r="Q399"/>
  <c r="P399"/>
  <c r="Q400"/>
  <c r="P400"/>
  <c r="Q401"/>
  <c r="P401"/>
  <c r="Q402"/>
  <c r="P402"/>
  <c r="Q403"/>
  <c r="P403"/>
  <c r="Q404"/>
  <c r="P404"/>
  <c r="Q405"/>
  <c r="P405"/>
  <c r="Q406"/>
  <c r="P406"/>
  <c r="Q407"/>
  <c r="P407"/>
  <c r="Q408"/>
  <c r="P408"/>
  <c r="Q409"/>
  <c r="P409"/>
  <c r="Q410"/>
  <c r="P410"/>
  <c r="Q411"/>
  <c r="P411"/>
  <c r="Q412"/>
  <c r="P412"/>
  <c r="Q413"/>
  <c r="P413"/>
  <c r="Q414"/>
  <c r="P414"/>
  <c r="Q415"/>
  <c r="P415"/>
  <c r="Q416"/>
  <c r="P416"/>
  <c r="Q417"/>
  <c r="P417"/>
  <c r="Q418"/>
  <c r="P418"/>
  <c r="Q419"/>
  <c r="P419"/>
  <c r="Q420"/>
  <c r="P420"/>
  <c r="Q421"/>
  <c r="P421"/>
  <c r="Q422"/>
  <c r="P422"/>
  <c r="Q423"/>
  <c r="P423"/>
  <c r="Q424"/>
  <c r="P424"/>
  <c r="Q425"/>
  <c r="P425"/>
  <c r="Q426"/>
  <c r="P426"/>
  <c r="Q427"/>
  <c r="P427"/>
  <c r="Q428"/>
  <c r="P428"/>
  <c r="Q429"/>
  <c r="P429"/>
  <c r="Q430"/>
  <c r="P430"/>
  <c r="Q431"/>
  <c r="P431"/>
  <c r="Q432"/>
  <c r="P432"/>
  <c r="Q433"/>
  <c r="P433"/>
  <c r="Q434"/>
  <c r="P434"/>
  <c r="Q435"/>
  <c r="P435"/>
  <c r="Q436"/>
  <c r="P436"/>
  <c r="Q437"/>
  <c r="P437"/>
  <c r="Q438"/>
  <c r="P438"/>
  <c r="Q439"/>
  <c r="P439"/>
  <c r="Q440"/>
  <c r="P440"/>
  <c r="Q441"/>
  <c r="P441"/>
  <c r="Q442"/>
  <c r="P442"/>
  <c r="Q443"/>
  <c r="P443"/>
  <c r="Q444"/>
  <c r="P444"/>
  <c r="Q445"/>
  <c r="P445"/>
  <c r="Q446"/>
  <c r="P446"/>
  <c r="Q447"/>
  <c r="P447"/>
  <c r="Q448"/>
  <c r="P448"/>
  <c r="Q449"/>
  <c r="P449"/>
  <c r="Q450"/>
  <c r="P450"/>
  <c r="Q451"/>
  <c r="P451"/>
  <c r="Q452"/>
  <c r="P452"/>
  <c r="Q453"/>
  <c r="P453"/>
  <c r="Q454"/>
  <c r="P454"/>
  <c r="Q455"/>
  <c r="P455"/>
  <c r="Q456"/>
  <c r="P456"/>
  <c r="Q457"/>
  <c r="P457"/>
  <c r="Q458"/>
  <c r="P458"/>
  <c r="Q459"/>
  <c r="P459"/>
  <c r="Q460"/>
  <c r="P460"/>
  <c r="Q461"/>
  <c r="P461"/>
  <c r="Q462"/>
  <c r="P462"/>
  <c r="Q463"/>
  <c r="P463"/>
  <c r="Q464"/>
  <c r="P464"/>
  <c r="Q465"/>
  <c r="P465"/>
  <c r="Q466"/>
  <c r="P466"/>
  <c r="Q467"/>
  <c r="P467"/>
  <c r="Q468"/>
  <c r="P468"/>
  <c r="Q469"/>
  <c r="P469"/>
  <c r="Q470"/>
  <c r="P470"/>
  <c r="Q471"/>
  <c r="P471"/>
  <c r="Q472"/>
  <c r="P472"/>
  <c r="Q473"/>
  <c r="P473"/>
  <c r="Q474"/>
  <c r="P474"/>
  <c r="Q475"/>
  <c r="P475"/>
  <c r="Q476"/>
  <c r="P476"/>
  <c r="Q477"/>
  <c r="P477"/>
  <c r="Q478"/>
  <c r="P478"/>
  <c r="Q479"/>
  <c r="P479"/>
  <c r="Q480"/>
  <c r="P480"/>
  <c r="Q481"/>
  <c r="P481"/>
  <c r="Q482"/>
  <c r="P482"/>
  <c r="Q483"/>
  <c r="P483"/>
  <c r="Q484"/>
  <c r="P484"/>
  <c r="Q485"/>
  <c r="P485"/>
  <c r="Q486"/>
  <c r="P486"/>
  <c r="Q487"/>
  <c r="P487"/>
  <c r="Q488"/>
  <c r="P488"/>
  <c r="Q489"/>
  <c r="P489"/>
  <c r="Q490"/>
  <c r="P490"/>
  <c r="Q491"/>
  <c r="P491"/>
  <c r="Q492"/>
  <c r="P492"/>
  <c r="Q493"/>
  <c r="P493"/>
  <c r="Q494"/>
  <c r="P494"/>
  <c r="Q495"/>
  <c r="P495"/>
  <c r="Q496"/>
  <c r="P496"/>
  <c r="Q497"/>
  <c r="P497"/>
  <c r="Q498"/>
  <c r="P498"/>
  <c r="Q499"/>
  <c r="P499"/>
  <c r="Q500"/>
  <c r="P500"/>
  <c r="Q501"/>
  <c r="P501"/>
  <c r="Q502"/>
  <c r="P502"/>
  <c r="Q503"/>
  <c r="P503"/>
  <c r="Q504"/>
  <c r="P504"/>
  <c r="Q505"/>
  <c r="P505"/>
  <c r="Q506"/>
  <c r="P506"/>
  <c r="Q507"/>
  <c r="P507"/>
  <c r="Q508"/>
  <c r="P508"/>
  <c r="Q509"/>
  <c r="P509"/>
  <c r="Q510"/>
  <c r="P510"/>
  <c r="Q511"/>
  <c r="P511"/>
  <c r="Q512"/>
  <c r="P512"/>
  <c r="Q513"/>
  <c r="P513"/>
  <c r="Q514"/>
  <c r="P514"/>
  <c r="Q515"/>
  <c r="P515"/>
  <c r="Q516"/>
  <c r="P516"/>
  <c r="Q517"/>
  <c r="P517"/>
  <c r="Q518"/>
  <c r="P518"/>
  <c r="Q519"/>
  <c r="P519"/>
  <c r="Q520"/>
  <c r="P520"/>
  <c r="Q521"/>
  <c r="P521"/>
  <c r="Q522"/>
  <c r="P522"/>
  <c r="Q523"/>
  <c r="P523"/>
  <c r="Q524"/>
  <c r="P524"/>
  <c r="Q525"/>
  <c r="P525"/>
  <c r="Q526"/>
  <c r="P526"/>
  <c r="Q527"/>
  <c r="P527"/>
  <c r="Q528"/>
  <c r="P528"/>
  <c r="Q529"/>
  <c r="P529"/>
  <c r="Q530"/>
  <c r="P530"/>
  <c r="Q531"/>
  <c r="P531"/>
  <c r="Q532"/>
  <c r="P532"/>
  <c r="Q533"/>
  <c r="P533"/>
  <c r="Q1146" i="17"/>
  <c r="P1146"/>
  <c r="O749"/>
  <c r="L749"/>
  <c r="M749" s="1"/>
  <c r="O879"/>
  <c r="L879"/>
  <c r="M879" s="1"/>
  <c r="Q747"/>
  <c r="P747"/>
  <c r="Q1146" i="12"/>
  <c r="P1146"/>
  <c r="Q573"/>
  <c r="P573"/>
  <c r="H1143" i="22"/>
  <c r="H909"/>
  <c r="N384" i="2"/>
  <c r="N1234" s="1"/>
  <c r="M1234"/>
  <c r="Q384"/>
  <c r="P1234"/>
  <c r="Q746" i="17"/>
  <c r="P746"/>
  <c r="R747" i="7"/>
  <c r="Q747"/>
  <c r="N746" i="5"/>
  <c r="R746" s="1"/>
  <c r="I746" i="22" s="1"/>
  <c r="M746" i="9"/>
  <c r="L746"/>
  <c r="M746" i="6"/>
  <c r="L746"/>
  <c r="M744"/>
  <c r="L744"/>
  <c r="M743"/>
  <c r="L743"/>
  <c r="M742"/>
  <c r="L742"/>
  <c r="M741"/>
  <c r="L741"/>
  <c r="M740"/>
  <c r="L740"/>
  <c r="M739"/>
  <c r="L739"/>
  <c r="M738"/>
  <c r="L738"/>
  <c r="M737"/>
  <c r="L737"/>
  <c r="M736"/>
  <c r="L736"/>
  <c r="M735"/>
  <c r="L735"/>
  <c r="M734"/>
  <c r="L734"/>
  <c r="M733"/>
  <c r="L733"/>
  <c r="M732"/>
  <c r="L732"/>
  <c r="M731"/>
  <c r="L731"/>
  <c r="M730"/>
  <c r="L730"/>
  <c r="M729"/>
  <c r="L729"/>
  <c r="M728"/>
  <c r="L728"/>
  <c r="M727"/>
  <c r="L727"/>
  <c r="M726"/>
  <c r="L726"/>
  <c r="M725"/>
  <c r="L725"/>
  <c r="M724"/>
  <c r="L724"/>
  <c r="M723"/>
  <c r="L723"/>
  <c r="M722"/>
  <c r="L722"/>
  <c r="M721"/>
  <c r="L721"/>
  <c r="M720"/>
  <c r="L720"/>
  <c r="M719"/>
  <c r="L719"/>
  <c r="M718"/>
  <c r="L718"/>
  <c r="M717"/>
  <c r="L717"/>
  <c r="M716"/>
  <c r="L716"/>
  <c r="M715"/>
  <c r="L715"/>
  <c r="M714"/>
  <c r="L714"/>
  <c r="M713"/>
  <c r="L713"/>
  <c r="M712"/>
  <c r="L712"/>
  <c r="M711"/>
  <c r="L711"/>
  <c r="M710"/>
  <c r="L710"/>
  <c r="M709"/>
  <c r="L709"/>
  <c r="M708"/>
  <c r="L708"/>
  <c r="M707"/>
  <c r="L707"/>
  <c r="M706"/>
  <c r="L706"/>
  <c r="M705"/>
  <c r="L705"/>
  <c r="M704"/>
  <c r="L704"/>
  <c r="M703"/>
  <c r="L703"/>
  <c r="M702"/>
  <c r="L702"/>
  <c r="M701"/>
  <c r="L701"/>
  <c r="M700"/>
  <c r="L700"/>
  <c r="M699"/>
  <c r="L699"/>
  <c r="M698"/>
  <c r="L698"/>
  <c r="M697"/>
  <c r="L697"/>
  <c r="M696"/>
  <c r="L696"/>
  <c r="M695"/>
  <c r="L695"/>
  <c r="M694"/>
  <c r="L694"/>
  <c r="M693"/>
  <c r="L693"/>
  <c r="M692"/>
  <c r="L692"/>
  <c r="M691"/>
  <c r="L691"/>
  <c r="M690"/>
  <c r="L690"/>
  <c r="M689"/>
  <c r="L689"/>
  <c r="M688"/>
  <c r="L688"/>
  <c r="M687"/>
  <c r="L687"/>
  <c r="M686"/>
  <c r="L686"/>
  <c r="M685"/>
  <c r="L685"/>
  <c r="M684"/>
  <c r="L684"/>
  <c r="M683"/>
  <c r="L683"/>
  <c r="M682"/>
  <c r="L682"/>
  <c r="M681"/>
  <c r="L681"/>
  <c r="M680"/>
  <c r="L680"/>
  <c r="M679"/>
  <c r="L679"/>
  <c r="M678"/>
  <c r="L678"/>
  <c r="M677"/>
  <c r="L677"/>
  <c r="M676"/>
  <c r="L676"/>
  <c r="M675"/>
  <c r="L675"/>
  <c r="M674"/>
  <c r="L674"/>
  <c r="M673"/>
  <c r="L673"/>
  <c r="M672"/>
  <c r="L672"/>
  <c r="M671"/>
  <c r="L671"/>
  <c r="M670"/>
  <c r="L670"/>
  <c r="M669"/>
  <c r="L669"/>
  <c r="M668"/>
  <c r="L668"/>
  <c r="M667"/>
  <c r="L667"/>
  <c r="M666"/>
  <c r="L666"/>
  <c r="M665"/>
  <c r="L665"/>
  <c r="M664"/>
  <c r="L664"/>
  <c r="M663"/>
  <c r="L663"/>
  <c r="M662"/>
  <c r="L662"/>
  <c r="M661"/>
  <c r="L661"/>
  <c r="M660"/>
  <c r="L660"/>
  <c r="M659"/>
  <c r="L659"/>
  <c r="M658"/>
  <c r="L658"/>
  <c r="M657"/>
  <c r="L657"/>
  <c r="M656"/>
  <c r="L656"/>
  <c r="M655"/>
  <c r="L655"/>
  <c r="M654"/>
  <c r="L654"/>
  <c r="M653"/>
  <c r="L653"/>
  <c r="M652"/>
  <c r="L652"/>
  <c r="M651"/>
  <c r="L651"/>
  <c r="M650"/>
  <c r="L650"/>
  <c r="M649"/>
  <c r="L649"/>
  <c r="M648"/>
  <c r="L648"/>
  <c r="M647"/>
  <c r="L647"/>
  <c r="M646"/>
  <c r="L646"/>
  <c r="M645"/>
  <c r="L645"/>
  <c r="M644"/>
  <c r="L644"/>
  <c r="M643"/>
  <c r="L643"/>
  <c r="M642"/>
  <c r="L642"/>
  <c r="M641"/>
  <c r="L641"/>
  <c r="M640"/>
  <c r="L640"/>
  <c r="M639"/>
  <c r="L639"/>
  <c r="M638"/>
  <c r="L638"/>
  <c r="M637"/>
  <c r="L637"/>
  <c r="M636"/>
  <c r="L636"/>
  <c r="M635"/>
  <c r="L635"/>
  <c r="M634"/>
  <c r="L634"/>
  <c r="M633"/>
  <c r="L633"/>
  <c r="M632"/>
  <c r="L632"/>
  <c r="M631"/>
  <c r="L631"/>
  <c r="M630"/>
  <c r="L630"/>
  <c r="M629"/>
  <c r="L629"/>
  <c r="M628"/>
  <c r="L628"/>
  <c r="M627"/>
  <c r="L627"/>
  <c r="M626"/>
  <c r="L626"/>
  <c r="M625"/>
  <c r="L625"/>
  <c r="M624"/>
  <c r="L624"/>
  <c r="M623"/>
  <c r="L623"/>
  <c r="M622"/>
  <c r="L622"/>
  <c r="M621"/>
  <c r="L621"/>
  <c r="M620"/>
  <c r="L620"/>
  <c r="M619"/>
  <c r="L619"/>
  <c r="M618"/>
  <c r="L618"/>
  <c r="M617"/>
  <c r="L617"/>
  <c r="M616"/>
  <c r="L616"/>
  <c r="M615"/>
  <c r="L615"/>
  <c r="M614"/>
  <c r="L614"/>
  <c r="M613"/>
  <c r="L613"/>
  <c r="M612"/>
  <c r="L612"/>
  <c r="M611"/>
  <c r="L611"/>
  <c r="M610"/>
  <c r="L610"/>
  <c r="M609"/>
  <c r="L609"/>
  <c r="M608"/>
  <c r="L608"/>
  <c r="M607"/>
  <c r="L607"/>
  <c r="M606"/>
  <c r="L606"/>
  <c r="M605"/>
  <c r="L605"/>
  <c r="M604"/>
  <c r="L604"/>
  <c r="M603"/>
  <c r="L603"/>
  <c r="M602"/>
  <c r="L602"/>
  <c r="M601"/>
  <c r="L601"/>
  <c r="M600"/>
  <c r="L600"/>
  <c r="M599"/>
  <c r="L599"/>
  <c r="M598"/>
  <c r="L598"/>
  <c r="M597"/>
  <c r="L597"/>
  <c r="M596"/>
  <c r="L596"/>
  <c r="M595"/>
  <c r="L595"/>
  <c r="M594"/>
  <c r="L594"/>
  <c r="M593"/>
  <c r="L593"/>
  <c r="M592"/>
  <c r="L592"/>
  <c r="M591"/>
  <c r="L591"/>
  <c r="M590"/>
  <c r="L590"/>
  <c r="M589"/>
  <c r="L589"/>
  <c r="M588"/>
  <c r="L588"/>
  <c r="M587"/>
  <c r="L587"/>
  <c r="M586"/>
  <c r="L586"/>
  <c r="M585"/>
  <c r="L585"/>
  <c r="M584"/>
  <c r="L584"/>
  <c r="M583"/>
  <c r="L583"/>
  <c r="M582"/>
  <c r="L582"/>
  <c r="M581"/>
  <c r="L581"/>
  <c r="M580"/>
  <c r="L580"/>
  <c r="M579"/>
  <c r="L579"/>
  <c r="M578"/>
  <c r="L578"/>
  <c r="M577"/>
  <c r="L577"/>
  <c r="M576"/>
  <c r="L576"/>
  <c r="M575"/>
  <c r="L575"/>
  <c r="M574"/>
  <c r="L574"/>
  <c r="M573"/>
  <c r="L573"/>
  <c r="M572"/>
  <c r="L572"/>
  <c r="M571"/>
  <c r="L571"/>
  <c r="M570"/>
  <c r="L570"/>
  <c r="M569"/>
  <c r="L569"/>
  <c r="M568"/>
  <c r="L568"/>
  <c r="M567"/>
  <c r="L567"/>
  <c r="M566"/>
  <c r="L566"/>
  <c r="M565"/>
  <c r="L565"/>
  <c r="M564"/>
  <c r="L564"/>
  <c r="M563"/>
  <c r="L563"/>
  <c r="M562"/>
  <c r="L562"/>
  <c r="M561"/>
  <c r="L561"/>
  <c r="M560"/>
  <c r="L560"/>
  <c r="M559"/>
  <c r="L559"/>
  <c r="M558"/>
  <c r="L558"/>
  <c r="M557"/>
  <c r="L557"/>
  <c r="M556"/>
  <c r="L556"/>
  <c r="M555"/>
  <c r="L555"/>
  <c r="M554"/>
  <c r="L554"/>
  <c r="M553"/>
  <c r="L553"/>
  <c r="M552"/>
  <c r="L552"/>
  <c r="M551"/>
  <c r="L551"/>
  <c r="M550"/>
  <c r="L550"/>
  <c r="M549"/>
  <c r="L549"/>
  <c r="M548"/>
  <c r="L548"/>
  <c r="M547"/>
  <c r="L547"/>
  <c r="M546"/>
  <c r="L546"/>
  <c r="M545"/>
  <c r="L545"/>
  <c r="M544"/>
  <c r="L544"/>
  <c r="M543"/>
  <c r="L543"/>
  <c r="M542"/>
  <c r="L542"/>
  <c r="M541"/>
  <c r="L541"/>
  <c r="M540"/>
  <c r="L540"/>
  <c r="M539"/>
  <c r="L539"/>
  <c r="M538"/>
  <c r="L538"/>
  <c r="M537"/>
  <c r="L537"/>
  <c r="Q665" i="17"/>
  <c r="P665"/>
  <c r="D22" i="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O67" i="12"/>
  <c r="L67"/>
  <c r="D6" i="22"/>
  <c r="D67" s="1"/>
  <c r="N384" i="3"/>
  <c r="O384"/>
  <c r="L384" i="12"/>
  <c r="M384" s="1"/>
  <c r="O384"/>
  <c r="O384" i="17"/>
  <c r="L384"/>
  <c r="M384" s="1"/>
  <c r="Q538"/>
  <c r="P538"/>
  <c r="Q539"/>
  <c r="P539"/>
  <c r="Q540"/>
  <c r="P540"/>
  <c r="Q541"/>
  <c r="P541"/>
  <c r="Q542"/>
  <c r="P542"/>
  <c r="Q543"/>
  <c r="P543"/>
  <c r="Q544"/>
  <c r="P544"/>
  <c r="Q545"/>
  <c r="P545"/>
  <c r="Q546"/>
  <c r="P546"/>
  <c r="Q547"/>
  <c r="P547"/>
  <c r="Q548"/>
  <c r="P548"/>
  <c r="Q549"/>
  <c r="P549"/>
  <c r="Q550"/>
  <c r="P550"/>
  <c r="Q551"/>
  <c r="P551"/>
  <c r="Q552"/>
  <c r="P552"/>
  <c r="Q553"/>
  <c r="P553"/>
  <c r="Q554"/>
  <c r="P554"/>
  <c r="Q555"/>
  <c r="P555"/>
  <c r="Q557"/>
  <c r="P557"/>
  <c r="Q558"/>
  <c r="P558"/>
  <c r="Q559"/>
  <c r="P559"/>
  <c r="Q560"/>
  <c r="P560"/>
  <c r="Q561"/>
  <c r="P561"/>
  <c r="Q562"/>
  <c r="P562"/>
  <c r="Q563"/>
  <c r="P563"/>
  <c r="Q566"/>
  <c r="P566"/>
  <c r="Q567"/>
  <c r="P567"/>
  <c r="Q569"/>
  <c r="P569"/>
  <c r="Q570"/>
  <c r="P570"/>
  <c r="Q571"/>
  <c r="P571"/>
  <c r="Q572"/>
  <c r="P572"/>
  <c r="Q573"/>
  <c r="P573"/>
  <c r="Q574"/>
  <c r="P574"/>
  <c r="Q575"/>
  <c r="P575"/>
  <c r="Q576"/>
  <c r="P576"/>
  <c r="Q577"/>
  <c r="P577"/>
  <c r="Q578"/>
  <c r="P578"/>
  <c r="Q579"/>
  <c r="P579"/>
  <c r="Q580"/>
  <c r="P580"/>
  <c r="Q581"/>
  <c r="P581"/>
  <c r="Q582"/>
  <c r="P582"/>
  <c r="Q583"/>
  <c r="P583"/>
  <c r="Q584"/>
  <c r="P584"/>
  <c r="Q585"/>
  <c r="P585"/>
  <c r="Q586"/>
  <c r="P586"/>
  <c r="Q587"/>
  <c r="P587"/>
  <c r="Q588"/>
  <c r="P588"/>
  <c r="Q589"/>
  <c r="P589"/>
  <c r="Q590"/>
  <c r="P590"/>
  <c r="Q591"/>
  <c r="P591"/>
  <c r="Q592"/>
  <c r="P592"/>
  <c r="Q593"/>
  <c r="P593"/>
  <c r="Q594"/>
  <c r="P594"/>
  <c r="Q595"/>
  <c r="P595"/>
  <c r="Q596"/>
  <c r="P596"/>
  <c r="Q597"/>
  <c r="P597"/>
  <c r="Q598"/>
  <c r="P598"/>
  <c r="Q599"/>
  <c r="P599"/>
  <c r="Q600"/>
  <c r="P600"/>
  <c r="Q601"/>
  <c r="P601"/>
  <c r="Q602"/>
  <c r="P602"/>
  <c r="Q603"/>
  <c r="P603"/>
  <c r="Q604"/>
  <c r="P604"/>
  <c r="Q605"/>
  <c r="P605"/>
  <c r="Q606"/>
  <c r="P606"/>
  <c r="Q607"/>
  <c r="P607"/>
  <c r="Q608"/>
  <c r="P608"/>
  <c r="Q609"/>
  <c r="P609"/>
  <c r="Q610"/>
  <c r="P610"/>
  <c r="Q611"/>
  <c r="P611"/>
  <c r="Q612"/>
  <c r="P612"/>
  <c r="Q613"/>
  <c r="P613"/>
  <c r="Q614"/>
  <c r="P614"/>
  <c r="Q615"/>
  <c r="P615"/>
  <c r="Q616"/>
  <c r="P616"/>
  <c r="Q617"/>
  <c r="P617"/>
  <c r="Q618"/>
  <c r="P618"/>
  <c r="Q619"/>
  <c r="P619"/>
  <c r="Q620"/>
  <c r="P620"/>
  <c r="Q621"/>
  <c r="P621"/>
  <c r="Q622"/>
  <c r="P622"/>
  <c r="Q623"/>
  <c r="P623"/>
  <c r="Q624"/>
  <c r="P624"/>
  <c r="Q625"/>
  <c r="P625"/>
  <c r="Q626"/>
  <c r="P626"/>
  <c r="Q627"/>
  <c r="P627"/>
  <c r="Q628"/>
  <c r="P628"/>
  <c r="Q629"/>
  <c r="P629"/>
  <c r="Q630"/>
  <c r="P630"/>
  <c r="Q631"/>
  <c r="P631"/>
  <c r="Q632"/>
  <c r="P632"/>
  <c r="Q633"/>
  <c r="P633"/>
  <c r="Q634"/>
  <c r="P634"/>
  <c r="Q635"/>
  <c r="P635"/>
  <c r="Q636"/>
  <c r="P636"/>
  <c r="Q637"/>
  <c r="P637"/>
  <c r="Q638"/>
  <c r="P638"/>
  <c r="Q639"/>
  <c r="P639"/>
  <c r="Q640"/>
  <c r="P640"/>
  <c r="Q641"/>
  <c r="P641"/>
  <c r="Q642"/>
  <c r="P642"/>
  <c r="Q643"/>
  <c r="P643"/>
  <c r="Q644"/>
  <c r="P644"/>
  <c r="Q645"/>
  <c r="P645"/>
  <c r="Q646"/>
  <c r="P646"/>
  <c r="Q647"/>
  <c r="P647"/>
  <c r="Q648"/>
  <c r="P648"/>
  <c r="Q649"/>
  <c r="P649"/>
  <c r="Q650"/>
  <c r="P650"/>
  <c r="Q651"/>
  <c r="P651"/>
  <c r="Q652"/>
  <c r="P652"/>
  <c r="Q653"/>
  <c r="P653"/>
  <c r="Q654"/>
  <c r="P654"/>
  <c r="Q655"/>
  <c r="P655"/>
  <c r="Q656"/>
  <c r="P656"/>
  <c r="Q657"/>
  <c r="P657"/>
  <c r="Q658"/>
  <c r="P658"/>
  <c r="Q659"/>
  <c r="P659"/>
  <c r="Q660"/>
  <c r="P660"/>
  <c r="Q661"/>
  <c r="P661"/>
  <c r="Q662"/>
  <c r="P662"/>
  <c r="Q663"/>
  <c r="P663"/>
  <c r="Q664"/>
  <c r="P664"/>
  <c r="Q666"/>
  <c r="P666"/>
  <c r="Q667"/>
  <c r="P667"/>
  <c r="Q668"/>
  <c r="P668"/>
  <c r="Q669"/>
  <c r="P669"/>
  <c r="Q670"/>
  <c r="P670"/>
  <c r="Q671"/>
  <c r="P671"/>
  <c r="Q672"/>
  <c r="P672"/>
  <c r="Q673"/>
  <c r="P673"/>
  <c r="Q674"/>
  <c r="P674"/>
  <c r="Q675"/>
  <c r="P675"/>
  <c r="Q676"/>
  <c r="P676"/>
  <c r="Q677"/>
  <c r="P677"/>
  <c r="Q678"/>
  <c r="P678"/>
  <c r="Q679"/>
  <c r="P679"/>
  <c r="Q680"/>
  <c r="P680"/>
  <c r="Q681"/>
  <c r="P681"/>
  <c r="Q682"/>
  <c r="P682"/>
  <c r="Q683"/>
  <c r="P683"/>
  <c r="Q684"/>
  <c r="P684"/>
  <c r="Q685"/>
  <c r="P685"/>
  <c r="Q686"/>
  <c r="P686"/>
  <c r="Q687"/>
  <c r="P687"/>
  <c r="Q688"/>
  <c r="P688"/>
  <c r="Q689"/>
  <c r="P689"/>
  <c r="Q690"/>
  <c r="P690"/>
  <c r="Q691"/>
  <c r="P691"/>
  <c r="Q692"/>
  <c r="P692"/>
  <c r="Q693"/>
  <c r="P693"/>
  <c r="Q694"/>
  <c r="P694"/>
  <c r="Q695"/>
  <c r="P695"/>
  <c r="Q696"/>
  <c r="P696"/>
  <c r="Q697"/>
  <c r="P697"/>
  <c r="Q698"/>
  <c r="P698"/>
  <c r="Q699"/>
  <c r="P699"/>
  <c r="Q700"/>
  <c r="P700"/>
  <c r="Q701"/>
  <c r="P701"/>
  <c r="Q702"/>
  <c r="P702"/>
  <c r="Q703"/>
  <c r="P703"/>
  <c r="Q704"/>
  <c r="P704"/>
  <c r="Q705"/>
  <c r="P705"/>
  <c r="Q706"/>
  <c r="P706"/>
  <c r="Q707"/>
  <c r="P707"/>
  <c r="Q708"/>
  <c r="P708"/>
  <c r="Q709"/>
  <c r="P709"/>
  <c r="Q710"/>
  <c r="P710"/>
  <c r="Q711"/>
  <c r="P711"/>
  <c r="Q712"/>
  <c r="P712"/>
  <c r="Q713"/>
  <c r="P713"/>
  <c r="Q714"/>
  <c r="P714"/>
  <c r="Q715"/>
  <c r="P715"/>
  <c r="Q716"/>
  <c r="P716"/>
  <c r="Q717"/>
  <c r="P717"/>
  <c r="Q718"/>
  <c r="P718"/>
  <c r="Q719"/>
  <c r="P719"/>
  <c r="Q720"/>
  <c r="P720"/>
  <c r="Q721"/>
  <c r="P721"/>
  <c r="Q722"/>
  <c r="P722"/>
  <c r="Q723"/>
  <c r="P723"/>
  <c r="Q724"/>
  <c r="P724"/>
  <c r="Q725"/>
  <c r="P725"/>
  <c r="Q726"/>
  <c r="P726"/>
  <c r="Q727"/>
  <c r="P727"/>
  <c r="Q728"/>
  <c r="P728"/>
  <c r="Q729"/>
  <c r="P729"/>
  <c r="Q730"/>
  <c r="P730"/>
  <c r="Q731"/>
  <c r="P731"/>
  <c r="Q732"/>
  <c r="P732"/>
  <c r="Q733"/>
  <c r="P733"/>
  <c r="Q734"/>
  <c r="P734"/>
  <c r="Q735"/>
  <c r="P735"/>
  <c r="Q736"/>
  <c r="P736"/>
  <c r="Q737"/>
  <c r="P737"/>
  <c r="Q738"/>
  <c r="P738"/>
  <c r="Q739"/>
  <c r="P739"/>
  <c r="Q740"/>
  <c r="P740"/>
  <c r="Q741"/>
  <c r="P741"/>
  <c r="Q742"/>
  <c r="P742"/>
  <c r="Q743"/>
  <c r="P743"/>
  <c r="Q744"/>
  <c r="P744"/>
  <c r="Q745"/>
  <c r="P745"/>
  <c r="E911" i="22"/>
  <c r="E912"/>
  <c r="E916"/>
  <c r="E919"/>
  <c r="E920"/>
  <c r="E921"/>
  <c r="E922"/>
  <c r="E923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60"/>
  <c r="E961"/>
  <c r="E962"/>
  <c r="E963"/>
  <c r="E965"/>
  <c r="E968"/>
  <c r="E970"/>
  <c r="E971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5"/>
  <c r="E1006"/>
  <c r="E1007"/>
  <c r="E1008"/>
  <c r="E1009"/>
  <c r="E1010"/>
  <c r="E1011"/>
  <c r="E1012"/>
  <c r="E1013"/>
  <c r="E1014"/>
  <c r="E1016"/>
  <c r="E1017"/>
  <c r="E1018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2"/>
  <c r="E1054"/>
  <c r="E1055"/>
  <c r="E1056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O67" i="17"/>
  <c r="L67"/>
  <c r="M67" s="1"/>
  <c r="O6"/>
  <c r="L6"/>
  <c r="M6" s="1"/>
  <c r="M186" i="14"/>
  <c r="L186"/>
  <c r="M189"/>
  <c r="L189"/>
  <c r="M208"/>
  <c r="L208"/>
  <c r="D881" i="22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N954" i="8"/>
  <c r="M954"/>
  <c r="D954" i="22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8"/>
  <c r="D1149"/>
  <c r="D1150"/>
  <c r="D1151"/>
  <c r="D1152"/>
  <c r="D1153"/>
  <c r="D1154"/>
  <c r="D1155"/>
  <c r="D1156"/>
  <c r="D1157"/>
  <c r="D1158"/>
  <c r="D1159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K1234" i="17"/>
  <c r="O1232"/>
  <c r="L1232"/>
  <c r="M1232" s="1"/>
  <c r="D1204" i="22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9"/>
  <c r="D1230"/>
  <c r="D1231"/>
  <c r="K1204" i="14"/>
  <c r="H1204"/>
  <c r="I1204" s="1"/>
  <c r="N1204" i="5"/>
  <c r="R1204" s="1"/>
  <c r="N1205"/>
  <c r="R1205" s="1"/>
  <c r="N1206"/>
  <c r="R1206" s="1"/>
  <c r="N1207"/>
  <c r="R1207" s="1"/>
  <c r="N1208"/>
  <c r="R1208" s="1"/>
  <c r="N1209"/>
  <c r="R1209" s="1"/>
  <c r="N1210"/>
  <c r="R1210" s="1"/>
  <c r="N1211"/>
  <c r="R1211" s="1"/>
  <c r="N1212"/>
  <c r="R1212" s="1"/>
  <c r="N1213"/>
  <c r="R1213" s="1"/>
  <c r="N1214"/>
  <c r="R1214" s="1"/>
  <c r="N1215"/>
  <c r="R1215" s="1"/>
  <c r="N1216"/>
  <c r="R1216" s="1"/>
  <c r="N1217"/>
  <c r="R1217" s="1"/>
  <c r="N1218"/>
  <c r="R1218" s="1"/>
  <c r="N1219"/>
  <c r="R1219" s="1"/>
  <c r="N1220"/>
  <c r="R1220" s="1"/>
  <c r="N1221"/>
  <c r="R1221" s="1"/>
  <c r="N1222"/>
  <c r="R1222" s="1"/>
  <c r="N1223"/>
  <c r="R1223" s="1"/>
  <c r="N1224"/>
  <c r="R1224" s="1"/>
  <c r="N1225"/>
  <c r="R1225" s="1"/>
  <c r="N1226"/>
  <c r="R1226" s="1"/>
  <c r="N1227"/>
  <c r="R1227" s="1"/>
  <c r="N1228"/>
  <c r="R1228" s="1"/>
  <c r="N1229"/>
  <c r="R1229" s="1"/>
  <c r="N1230"/>
  <c r="R1230" s="1"/>
  <c r="N1231"/>
  <c r="R1231" s="1"/>
  <c r="D1222" i="22"/>
  <c r="I1232" i="3"/>
  <c r="G1234"/>
  <c r="I1201" i="22"/>
  <c r="L1202" i="5"/>
  <c r="K1234"/>
  <c r="D1160" i="22"/>
  <c r="R881" i="7"/>
  <c r="Q881"/>
  <c r="R882"/>
  <c r="Q882"/>
  <c r="R883"/>
  <c r="Q883"/>
  <c r="R884"/>
  <c r="Q884"/>
  <c r="R885"/>
  <c r="Q885"/>
  <c r="R886"/>
  <c r="Q886"/>
  <c r="R887"/>
  <c r="Q887"/>
  <c r="R888"/>
  <c r="Q888"/>
  <c r="R889"/>
  <c r="Q889"/>
  <c r="R890"/>
  <c r="Q890"/>
  <c r="R891"/>
  <c r="Q891"/>
  <c r="R892"/>
  <c r="Q892"/>
  <c r="R893"/>
  <c r="Q893"/>
  <c r="R894"/>
  <c r="Q894"/>
  <c r="R895"/>
  <c r="Q895"/>
  <c r="R896"/>
  <c r="Q896"/>
  <c r="R897"/>
  <c r="Q897"/>
  <c r="R898"/>
  <c r="Q898"/>
  <c r="R899"/>
  <c r="Q899"/>
  <c r="R900"/>
  <c r="Q900"/>
  <c r="R901"/>
  <c r="Q901"/>
  <c r="R902"/>
  <c r="Q902"/>
  <c r="R903"/>
  <c r="Q903"/>
  <c r="R904"/>
  <c r="Q904"/>
  <c r="R905"/>
  <c r="Q905"/>
  <c r="R906"/>
  <c r="Q906"/>
  <c r="R907"/>
  <c r="Q907"/>
  <c r="R908"/>
  <c r="Q908"/>
  <c r="R909"/>
  <c r="Q909"/>
  <c r="R910"/>
  <c r="Q910"/>
  <c r="R911"/>
  <c r="Q911"/>
  <c r="R912"/>
  <c r="Q912"/>
  <c r="R913"/>
  <c r="Q913"/>
  <c r="R914"/>
  <c r="Q914"/>
  <c r="R915"/>
  <c r="Q915"/>
  <c r="R916"/>
  <c r="Q916"/>
  <c r="R917"/>
  <c r="Q917"/>
  <c r="R918"/>
  <c r="Q918"/>
  <c r="R919"/>
  <c r="Q919"/>
  <c r="R920"/>
  <c r="Q920"/>
  <c r="R921"/>
  <c r="Q921"/>
  <c r="R922"/>
  <c r="Q922"/>
  <c r="R923"/>
  <c r="Q923"/>
  <c r="R924"/>
  <c r="Q924"/>
  <c r="R925"/>
  <c r="Q925"/>
  <c r="R926"/>
  <c r="Q926"/>
  <c r="R927"/>
  <c r="Q927"/>
  <c r="R928"/>
  <c r="Q928"/>
  <c r="R929"/>
  <c r="Q929"/>
  <c r="R930"/>
  <c r="Q930"/>
  <c r="R931"/>
  <c r="Q931"/>
  <c r="R932"/>
  <c r="Q932"/>
  <c r="R933"/>
  <c r="Q933"/>
  <c r="R934"/>
  <c r="Q934"/>
  <c r="R935"/>
  <c r="Q935"/>
  <c r="R936"/>
  <c r="Q936"/>
  <c r="R937"/>
  <c r="Q937"/>
  <c r="R938"/>
  <c r="Q938"/>
  <c r="R939"/>
  <c r="Q939"/>
  <c r="R940"/>
  <c r="Q940"/>
  <c r="R941"/>
  <c r="Q941"/>
  <c r="R942"/>
  <c r="Q942"/>
  <c r="R943"/>
  <c r="Q943"/>
  <c r="R944"/>
  <c r="Q944"/>
  <c r="R945"/>
  <c r="Q945"/>
  <c r="R946"/>
  <c r="Q946"/>
  <c r="R947"/>
  <c r="Q947"/>
  <c r="R948"/>
  <c r="Q948"/>
  <c r="R949"/>
  <c r="Q949"/>
  <c r="R950"/>
  <c r="Q950"/>
  <c r="R951"/>
  <c r="Q951"/>
  <c r="R952"/>
  <c r="Q952"/>
  <c r="R953"/>
  <c r="Q953"/>
  <c r="R954"/>
  <c r="Q954"/>
  <c r="R955"/>
  <c r="Q955"/>
  <c r="R956"/>
  <c r="Q956"/>
  <c r="R957"/>
  <c r="Q957"/>
  <c r="R958"/>
  <c r="Q958"/>
  <c r="R959"/>
  <c r="Q959"/>
  <c r="R960"/>
  <c r="Q960"/>
  <c r="R961"/>
  <c r="Q961"/>
  <c r="R962"/>
  <c r="Q962"/>
  <c r="R963"/>
  <c r="Q963"/>
  <c r="R964"/>
  <c r="Q964"/>
  <c r="R965"/>
  <c r="Q965"/>
  <c r="R966"/>
  <c r="Q966"/>
  <c r="R967"/>
  <c r="Q967"/>
  <c r="R968"/>
  <c r="Q968"/>
  <c r="R969"/>
  <c r="Q969"/>
  <c r="R970"/>
  <c r="Q970"/>
  <c r="R971"/>
  <c r="Q971"/>
  <c r="R972"/>
  <c r="Q972"/>
  <c r="R973"/>
  <c r="Q973"/>
  <c r="R974"/>
  <c r="Q974"/>
  <c r="R975"/>
  <c r="Q975"/>
  <c r="R976"/>
  <c r="Q976"/>
  <c r="R977"/>
  <c r="Q977"/>
  <c r="R978"/>
  <c r="Q978"/>
  <c r="R979"/>
  <c r="Q979"/>
  <c r="R980"/>
  <c r="Q980"/>
  <c r="R981"/>
  <c r="Q981"/>
  <c r="R982"/>
  <c r="Q982"/>
  <c r="R983"/>
  <c r="Q983"/>
  <c r="R984"/>
  <c r="Q984"/>
  <c r="R985"/>
  <c r="Q985"/>
  <c r="R986"/>
  <c r="Q986"/>
  <c r="R987"/>
  <c r="Q987"/>
  <c r="R988"/>
  <c r="Q988"/>
  <c r="R989"/>
  <c r="Q989"/>
  <c r="R990"/>
  <c r="Q990"/>
  <c r="R991"/>
  <c r="Q991"/>
  <c r="R992"/>
  <c r="Q992"/>
  <c r="R993"/>
  <c r="Q993"/>
  <c r="R994"/>
  <c r="Q994"/>
  <c r="R995"/>
  <c r="Q995"/>
  <c r="R996"/>
  <c r="Q996"/>
  <c r="R997"/>
  <c r="Q997"/>
  <c r="R998"/>
  <c r="Q998"/>
  <c r="R999"/>
  <c r="Q999"/>
  <c r="R1000"/>
  <c r="Q1000"/>
  <c r="R1001"/>
  <c r="Q1001"/>
  <c r="R1002"/>
  <c r="Q1002"/>
  <c r="R1003"/>
  <c r="Q1003"/>
  <c r="R1004"/>
  <c r="Q1004"/>
  <c r="R1005"/>
  <c r="Q1005"/>
  <c r="R1006"/>
  <c r="Q1006"/>
  <c r="R1007"/>
  <c r="Q1007"/>
  <c r="R1008"/>
  <c r="Q1008"/>
  <c r="R1009"/>
  <c r="Q1009"/>
  <c r="R1010"/>
  <c r="Q1010"/>
  <c r="R1011"/>
  <c r="Q1011"/>
  <c r="R1012"/>
  <c r="Q1012"/>
  <c r="R1013"/>
  <c r="Q1013"/>
  <c r="R1014"/>
  <c r="Q1014"/>
  <c r="R1015"/>
  <c r="Q1015"/>
  <c r="R1016"/>
  <c r="Q1016"/>
  <c r="R1017"/>
  <c r="Q1017"/>
  <c r="R1018"/>
  <c r="Q1018"/>
  <c r="R1019"/>
  <c r="Q1019"/>
  <c r="R1020"/>
  <c r="Q1020"/>
  <c r="R1021"/>
  <c r="Q1021"/>
  <c r="R1022"/>
  <c r="Q1022"/>
  <c r="R1023"/>
  <c r="Q1023"/>
  <c r="R1024"/>
  <c r="Q1024"/>
  <c r="R1025"/>
  <c r="Q1025"/>
  <c r="R1026"/>
  <c r="Q1026"/>
  <c r="R1027"/>
  <c r="Q1027"/>
  <c r="R1028"/>
  <c r="Q1028"/>
  <c r="R1029"/>
  <c r="Q1029"/>
  <c r="R1030"/>
  <c r="Q1030"/>
  <c r="R1031"/>
  <c r="Q1031"/>
  <c r="R1032"/>
  <c r="Q1032"/>
  <c r="R1033"/>
  <c r="Q1033"/>
  <c r="R1034"/>
  <c r="Q1034"/>
  <c r="R1035"/>
  <c r="Q1035"/>
  <c r="R1036"/>
  <c r="Q1036"/>
  <c r="R1037"/>
  <c r="Q1037"/>
  <c r="R1038"/>
  <c r="Q1038"/>
  <c r="R1039"/>
  <c r="Q1039"/>
  <c r="R1040"/>
  <c r="Q1040"/>
  <c r="R1041"/>
  <c r="Q1041"/>
  <c r="R1042"/>
  <c r="Q1042"/>
  <c r="R1043"/>
  <c r="Q1043"/>
  <c r="R1044"/>
  <c r="Q1044"/>
  <c r="R1045"/>
  <c r="Q1045"/>
  <c r="R1046"/>
  <c r="Q1046"/>
  <c r="R1047"/>
  <c r="Q1047"/>
  <c r="R1048"/>
  <c r="Q1048"/>
  <c r="R1049"/>
  <c r="Q1049"/>
  <c r="R1050"/>
  <c r="Q1050"/>
  <c r="R1051"/>
  <c r="Q1051"/>
  <c r="R1052"/>
  <c r="Q1052"/>
  <c r="R1053"/>
  <c r="Q1053"/>
  <c r="R1054"/>
  <c r="Q1054"/>
  <c r="R1055"/>
  <c r="Q1055"/>
  <c r="R1056"/>
  <c r="Q1056"/>
  <c r="R1057"/>
  <c r="Q1057"/>
  <c r="R1058"/>
  <c r="Q1058"/>
  <c r="R1059"/>
  <c r="Q1059"/>
  <c r="R1060"/>
  <c r="Q1060"/>
  <c r="R1061"/>
  <c r="Q1061"/>
  <c r="R1062"/>
  <c r="Q1062"/>
  <c r="R1063"/>
  <c r="Q1063"/>
  <c r="R1064"/>
  <c r="Q1064"/>
  <c r="R1065"/>
  <c r="Q1065"/>
  <c r="R1066"/>
  <c r="Q1066"/>
  <c r="R1067"/>
  <c r="Q1067"/>
  <c r="R1068"/>
  <c r="Q1068"/>
  <c r="R1069"/>
  <c r="Q1069"/>
  <c r="R1070"/>
  <c r="Q1070"/>
  <c r="R1071"/>
  <c r="Q1071"/>
  <c r="R1072"/>
  <c r="Q1072"/>
  <c r="R1073"/>
  <c r="Q1073"/>
  <c r="R1074"/>
  <c r="Q1074"/>
  <c r="R1075"/>
  <c r="Q1075"/>
  <c r="R1076"/>
  <c r="Q1076"/>
  <c r="R1077"/>
  <c r="Q1077"/>
  <c r="R1078"/>
  <c r="Q1078"/>
  <c r="R1079"/>
  <c r="Q1079"/>
  <c r="R1080"/>
  <c r="Q1080"/>
  <c r="R1081"/>
  <c r="Q1081"/>
  <c r="R1082"/>
  <c r="Q1082"/>
  <c r="R1083"/>
  <c r="Q1083"/>
  <c r="R1084"/>
  <c r="Q1084"/>
  <c r="R1085"/>
  <c r="Q1085"/>
  <c r="R1086"/>
  <c r="Q1086"/>
  <c r="R1087"/>
  <c r="Q1087"/>
  <c r="R1088"/>
  <c r="Q1088"/>
  <c r="R1089"/>
  <c r="Q1089"/>
  <c r="R1090"/>
  <c r="Q1090"/>
  <c r="R1091"/>
  <c r="Q1091"/>
  <c r="R1092"/>
  <c r="Q1092"/>
  <c r="R1093"/>
  <c r="Q1093"/>
  <c r="R1094"/>
  <c r="Q1094"/>
  <c r="R1095"/>
  <c r="Q1095"/>
  <c r="R1096"/>
  <c r="Q1096"/>
  <c r="R1097"/>
  <c r="Q1097"/>
  <c r="R1098"/>
  <c r="Q1098"/>
  <c r="R1099"/>
  <c r="Q1099"/>
  <c r="R1100"/>
  <c r="Q1100"/>
  <c r="R1101"/>
  <c r="Q1101"/>
  <c r="R1102"/>
  <c r="Q1102"/>
  <c r="R1103"/>
  <c r="Q1103"/>
  <c r="R1104"/>
  <c r="Q1104"/>
  <c r="R1105"/>
  <c r="Q1105"/>
  <c r="R1106"/>
  <c r="Q1106"/>
  <c r="R1107"/>
  <c r="Q1107"/>
  <c r="R1108"/>
  <c r="Q1108"/>
  <c r="R1109"/>
  <c r="Q1109"/>
  <c r="R1110"/>
  <c r="Q1110"/>
  <c r="R1111"/>
  <c r="Q1111"/>
  <c r="R1112"/>
  <c r="Q1112"/>
  <c r="R1113"/>
  <c r="Q1113"/>
  <c r="R1114"/>
  <c r="Q1114"/>
  <c r="R1115"/>
  <c r="Q1115"/>
  <c r="R1116"/>
  <c r="Q1116"/>
  <c r="R1117"/>
  <c r="Q1117"/>
  <c r="R1118"/>
  <c r="Q1118"/>
  <c r="R1119"/>
  <c r="Q1119"/>
  <c r="R1120"/>
  <c r="Q1120"/>
  <c r="R1121"/>
  <c r="Q1121"/>
  <c r="R1122"/>
  <c r="Q1122"/>
  <c r="R1123"/>
  <c r="Q1123"/>
  <c r="R1124"/>
  <c r="Q1124"/>
  <c r="R1125"/>
  <c r="Q1125"/>
  <c r="R1126"/>
  <c r="Q1126"/>
  <c r="R1127"/>
  <c r="Q1127"/>
  <c r="R1128"/>
  <c r="Q1128"/>
  <c r="R1129"/>
  <c r="Q1129"/>
  <c r="R1130"/>
  <c r="Q1130"/>
  <c r="R1131"/>
  <c r="Q1131"/>
  <c r="R1132"/>
  <c r="Q1132"/>
  <c r="R1133"/>
  <c r="Q1133"/>
  <c r="R1134"/>
  <c r="Q1134"/>
  <c r="R1135"/>
  <c r="Q1135"/>
  <c r="R1136"/>
  <c r="Q1136"/>
  <c r="R1137"/>
  <c r="Q1137"/>
  <c r="R1138"/>
  <c r="Q1138"/>
  <c r="R1139"/>
  <c r="Q1139"/>
  <c r="R1140"/>
  <c r="Q1140"/>
  <c r="R1141"/>
  <c r="Q1141"/>
  <c r="R1142"/>
  <c r="Q1142"/>
  <c r="R1143"/>
  <c r="Q1143"/>
  <c r="R1144"/>
  <c r="Q1144"/>
  <c r="R1145"/>
  <c r="Q1145"/>
  <c r="I1144" i="22"/>
  <c r="P1146" i="5"/>
  <c r="M1146"/>
  <c r="G749" i="22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K386" i="14"/>
  <c r="H386"/>
  <c r="I386" s="1"/>
  <c r="N386" i="5"/>
  <c r="R386" s="1"/>
  <c r="N387"/>
  <c r="R387" s="1"/>
  <c r="N388"/>
  <c r="R388" s="1"/>
  <c r="N389"/>
  <c r="R389" s="1"/>
  <c r="N390"/>
  <c r="R390" s="1"/>
  <c r="N391"/>
  <c r="R391" s="1"/>
  <c r="N392"/>
  <c r="R392" s="1"/>
  <c r="N393"/>
  <c r="R393" s="1"/>
  <c r="N394"/>
  <c r="R394" s="1"/>
  <c r="N395"/>
  <c r="R395" s="1"/>
  <c r="N396"/>
  <c r="R396" s="1"/>
  <c r="N397"/>
  <c r="R397" s="1"/>
  <c r="N398"/>
  <c r="R398" s="1"/>
  <c r="N399"/>
  <c r="R399" s="1"/>
  <c r="N400"/>
  <c r="R400" s="1"/>
  <c r="N401"/>
  <c r="R401" s="1"/>
  <c r="N402"/>
  <c r="R402" s="1"/>
  <c r="N403"/>
  <c r="R403" s="1"/>
  <c r="N404"/>
  <c r="R404" s="1"/>
  <c r="N405"/>
  <c r="R405" s="1"/>
  <c r="N406"/>
  <c r="R406" s="1"/>
  <c r="N407"/>
  <c r="R407" s="1"/>
  <c r="N408"/>
  <c r="R408" s="1"/>
  <c r="N409"/>
  <c r="R409" s="1"/>
  <c r="N410"/>
  <c r="R410" s="1"/>
  <c r="N411"/>
  <c r="R411" s="1"/>
  <c r="N412"/>
  <c r="R412" s="1"/>
  <c r="N413"/>
  <c r="R413" s="1"/>
  <c r="N414"/>
  <c r="R414" s="1"/>
  <c r="N415"/>
  <c r="R415" s="1"/>
  <c r="N416"/>
  <c r="R416" s="1"/>
  <c r="N417"/>
  <c r="R417" s="1"/>
  <c r="N418"/>
  <c r="R418" s="1"/>
  <c r="N419"/>
  <c r="R419" s="1"/>
  <c r="N420"/>
  <c r="R420" s="1"/>
  <c r="N421"/>
  <c r="R421" s="1"/>
  <c r="N422"/>
  <c r="R422" s="1"/>
  <c r="N423"/>
  <c r="R423" s="1"/>
  <c r="N424"/>
  <c r="R424" s="1"/>
  <c r="N425"/>
  <c r="R425" s="1"/>
  <c r="N426"/>
  <c r="R426" s="1"/>
  <c r="N427"/>
  <c r="R427" s="1"/>
  <c r="N428"/>
  <c r="R428" s="1"/>
  <c r="N429"/>
  <c r="R429" s="1"/>
  <c r="N430"/>
  <c r="R430" s="1"/>
  <c r="N431"/>
  <c r="R431" s="1"/>
  <c r="N432"/>
  <c r="R432" s="1"/>
  <c r="N433"/>
  <c r="R433" s="1"/>
  <c r="N434"/>
  <c r="R434" s="1"/>
  <c r="N435"/>
  <c r="R435" s="1"/>
  <c r="N436"/>
  <c r="R436" s="1"/>
  <c r="N437"/>
  <c r="R437" s="1"/>
  <c r="N438"/>
  <c r="R438" s="1"/>
  <c r="N439"/>
  <c r="R439" s="1"/>
  <c r="N440"/>
  <c r="R440" s="1"/>
  <c r="N441"/>
  <c r="R441" s="1"/>
  <c r="N442"/>
  <c r="R442" s="1"/>
  <c r="N443"/>
  <c r="R443" s="1"/>
  <c r="N444"/>
  <c r="R444" s="1"/>
  <c r="N445"/>
  <c r="R445" s="1"/>
  <c r="N446"/>
  <c r="R446" s="1"/>
  <c r="N447"/>
  <c r="R447" s="1"/>
  <c r="N448"/>
  <c r="R448" s="1"/>
  <c r="N449"/>
  <c r="R449" s="1"/>
  <c r="N450"/>
  <c r="R450" s="1"/>
  <c r="N451"/>
  <c r="R451" s="1"/>
  <c r="N452"/>
  <c r="R452" s="1"/>
  <c r="N453"/>
  <c r="R453" s="1"/>
  <c r="N454"/>
  <c r="R454" s="1"/>
  <c r="N455"/>
  <c r="R455" s="1"/>
  <c r="N456"/>
  <c r="R456" s="1"/>
  <c r="N457"/>
  <c r="R457" s="1"/>
  <c r="N458"/>
  <c r="R458" s="1"/>
  <c r="N459"/>
  <c r="R459" s="1"/>
  <c r="N460"/>
  <c r="R460" s="1"/>
  <c r="N461"/>
  <c r="R461" s="1"/>
  <c r="N462"/>
  <c r="R462" s="1"/>
  <c r="N463"/>
  <c r="R463" s="1"/>
  <c r="N464"/>
  <c r="R464" s="1"/>
  <c r="N465"/>
  <c r="R465" s="1"/>
  <c r="N466"/>
  <c r="R466" s="1"/>
  <c r="G69" i="22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H88"/>
  <c r="E746"/>
  <c r="M70" i="14"/>
  <c r="M70" i="18"/>
  <c r="M71" i="14"/>
  <c r="M71" i="18"/>
  <c r="M72" i="14"/>
  <c r="M72" i="18"/>
  <c r="M73" i="14"/>
  <c r="M73" i="18"/>
  <c r="M74" i="14"/>
  <c r="M74" i="18"/>
  <c r="M75" i="14"/>
  <c r="M75" i="18"/>
  <c r="M76" i="14"/>
  <c r="M76" i="18"/>
  <c r="M77" i="14"/>
  <c r="M77" i="18"/>
  <c r="M78" i="14"/>
  <c r="M78" i="18"/>
  <c r="M79" i="14"/>
  <c r="M79" i="18"/>
  <c r="M80" i="14"/>
  <c r="M80" i="18"/>
  <c r="M81" i="14"/>
  <c r="M81" i="18"/>
  <c r="M82" i="14"/>
  <c r="M82" i="18"/>
  <c r="M83" i="14"/>
  <c r="M83" i="18"/>
  <c r="M84" i="14"/>
  <c r="M84" i="18"/>
  <c r="M85" i="14"/>
  <c r="M85" i="18"/>
  <c r="M86" i="14"/>
  <c r="M86" i="18"/>
  <c r="M87" i="14"/>
  <c r="M87" i="18"/>
  <c r="M88" i="14"/>
  <c r="M88" i="18"/>
  <c r="M89" i="14"/>
  <c r="M89" i="18"/>
  <c r="Q7" i="17"/>
  <c r="Q8"/>
  <c r="Q9"/>
  <c r="Q10"/>
  <c r="Q11"/>
  <c r="Q12"/>
  <c r="Q13"/>
  <c r="Q14"/>
  <c r="Q15"/>
  <c r="Q16"/>
  <c r="Q17"/>
  <c r="Q18"/>
  <c r="Q19"/>
  <c r="Q20"/>
  <c r="Q21"/>
  <c r="Q22"/>
  <c r="M69" i="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Q23" i="17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R1148" i="7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N467" i="5"/>
  <c r="R467" s="1"/>
  <c r="N468"/>
  <c r="R468" s="1"/>
  <c r="N469"/>
  <c r="R469" s="1"/>
  <c r="N470"/>
  <c r="R470" s="1"/>
  <c r="N471"/>
  <c r="R471" s="1"/>
  <c r="N472"/>
  <c r="R472" s="1"/>
  <c r="N473"/>
  <c r="R473" s="1"/>
  <c r="N474"/>
  <c r="R474" s="1"/>
  <c r="N475"/>
  <c r="R475" s="1"/>
  <c r="N476"/>
  <c r="R476" s="1"/>
  <c r="N477"/>
  <c r="R477" s="1"/>
  <c r="N478"/>
  <c r="R478" s="1"/>
  <c r="N479"/>
  <c r="R479" s="1"/>
  <c r="N480"/>
  <c r="R480" s="1"/>
  <c r="N481"/>
  <c r="R481" s="1"/>
  <c r="N482"/>
  <c r="R482" s="1"/>
  <c r="N483"/>
  <c r="R483" s="1"/>
  <c r="N484"/>
  <c r="R484" s="1"/>
  <c r="N485"/>
  <c r="R485" s="1"/>
  <c r="N486"/>
  <c r="R486" s="1"/>
  <c r="N487"/>
  <c r="R487" s="1"/>
  <c r="N488"/>
  <c r="R488" s="1"/>
  <c r="N489"/>
  <c r="R489" s="1"/>
  <c r="N490"/>
  <c r="R490" s="1"/>
  <c r="N491"/>
  <c r="R491" s="1"/>
  <c r="N492"/>
  <c r="R492" s="1"/>
  <c r="N493"/>
  <c r="R493" s="1"/>
  <c r="N494"/>
  <c r="R494" s="1"/>
  <c r="N495"/>
  <c r="R495" s="1"/>
  <c r="N496"/>
  <c r="R496" s="1"/>
  <c r="N497"/>
  <c r="R497" s="1"/>
  <c r="N498"/>
  <c r="R498" s="1"/>
  <c r="N499"/>
  <c r="R499" s="1"/>
  <c r="N500"/>
  <c r="R500" s="1"/>
  <c r="N501"/>
  <c r="R501" s="1"/>
  <c r="N502"/>
  <c r="R502" s="1"/>
  <c r="N503"/>
  <c r="R503" s="1"/>
  <c r="N504"/>
  <c r="R504" s="1"/>
  <c r="N505"/>
  <c r="R505" s="1"/>
  <c r="N506"/>
  <c r="R506" s="1"/>
  <c r="N507"/>
  <c r="R507" s="1"/>
  <c r="N508"/>
  <c r="R508" s="1"/>
  <c r="N509"/>
  <c r="R509" s="1"/>
  <c r="N510"/>
  <c r="R510" s="1"/>
  <c r="N511"/>
  <c r="R511" s="1"/>
  <c r="N512"/>
  <c r="R512" s="1"/>
  <c r="N513"/>
  <c r="R513" s="1"/>
  <c r="N514"/>
  <c r="R514" s="1"/>
  <c r="N515"/>
  <c r="R515" s="1"/>
  <c r="N516"/>
  <c r="R516" s="1"/>
  <c r="N517"/>
  <c r="R517" s="1"/>
  <c r="N518"/>
  <c r="R518" s="1"/>
  <c r="N519"/>
  <c r="R519" s="1"/>
  <c r="N520"/>
  <c r="R520" s="1"/>
  <c r="N521"/>
  <c r="R521" s="1"/>
  <c r="N522"/>
  <c r="R522" s="1"/>
  <c r="N523"/>
  <c r="R523" s="1"/>
  <c r="N524"/>
  <c r="R524" s="1"/>
  <c r="N525"/>
  <c r="R525" s="1"/>
  <c r="N526"/>
  <c r="R526" s="1"/>
  <c r="N527"/>
  <c r="R527" s="1"/>
  <c r="N528"/>
  <c r="R528" s="1"/>
  <c r="N529"/>
  <c r="R529" s="1"/>
  <c r="N530"/>
  <c r="R530" s="1"/>
  <c r="N531"/>
  <c r="R531" s="1"/>
  <c r="N532"/>
  <c r="R532" s="1"/>
  <c r="N533"/>
  <c r="R533" s="1"/>
  <c r="N534"/>
  <c r="R534" s="1"/>
  <c r="I534" i="22" s="1"/>
  <c r="I384" i="10"/>
  <c r="H1234"/>
  <c r="R92" i="7"/>
  <c r="Q92"/>
  <c r="R93"/>
  <c r="Q93"/>
  <c r="R94"/>
  <c r="Q94"/>
  <c r="R95"/>
  <c r="Q95"/>
  <c r="R96"/>
  <c r="Q96"/>
  <c r="R97"/>
  <c r="Q97"/>
  <c r="R98"/>
  <c r="Q98"/>
  <c r="R99"/>
  <c r="Q99"/>
  <c r="R100"/>
  <c r="Q100"/>
  <c r="R101"/>
  <c r="Q101"/>
  <c r="R102"/>
  <c r="Q102"/>
  <c r="R103"/>
  <c r="Q103"/>
  <c r="R104"/>
  <c r="Q104"/>
  <c r="R105"/>
  <c r="Q105"/>
  <c r="R106"/>
  <c r="Q106"/>
  <c r="R107"/>
  <c r="Q107"/>
  <c r="R108"/>
  <c r="Q108"/>
  <c r="R109"/>
  <c r="Q109"/>
  <c r="R110"/>
  <c r="Q110"/>
  <c r="R111"/>
  <c r="Q111"/>
  <c r="R112"/>
  <c r="Q112"/>
  <c r="R113"/>
  <c r="Q113"/>
  <c r="R114"/>
  <c r="Q114"/>
  <c r="R115"/>
  <c r="Q115"/>
  <c r="R116"/>
  <c r="Q116"/>
  <c r="R117"/>
  <c r="Q117"/>
  <c r="R118"/>
  <c r="Q118"/>
  <c r="R119"/>
  <c r="Q119"/>
  <c r="R120"/>
  <c r="Q120"/>
  <c r="R121"/>
  <c r="Q121"/>
  <c r="R122"/>
  <c r="Q122"/>
  <c r="R123"/>
  <c r="Q123"/>
  <c r="R124"/>
  <c r="Q124"/>
  <c r="R125"/>
  <c r="Q125"/>
  <c r="R126"/>
  <c r="Q126"/>
  <c r="R127"/>
  <c r="Q127"/>
  <c r="R128"/>
  <c r="Q128"/>
  <c r="R129"/>
  <c r="Q129"/>
  <c r="R130"/>
  <c r="Q130"/>
  <c r="R131"/>
  <c r="Q131"/>
  <c r="R132"/>
  <c r="Q132"/>
  <c r="R133"/>
  <c r="Q133"/>
  <c r="R134"/>
  <c r="Q134"/>
  <c r="R135"/>
  <c r="Q135"/>
  <c r="R136"/>
  <c r="Q136"/>
  <c r="R137"/>
  <c r="Q137"/>
  <c r="R138"/>
  <c r="Q138"/>
  <c r="R139"/>
  <c r="Q139"/>
  <c r="R140"/>
  <c r="Q140"/>
  <c r="R141"/>
  <c r="Q141"/>
  <c r="R142"/>
  <c r="Q142"/>
  <c r="R143"/>
  <c r="Q143"/>
  <c r="R144"/>
  <c r="Q144"/>
  <c r="R145"/>
  <c r="Q145"/>
  <c r="R146"/>
  <c r="Q146"/>
  <c r="R147"/>
  <c r="Q147"/>
  <c r="R148"/>
  <c r="Q148"/>
  <c r="R149"/>
  <c r="Q149"/>
  <c r="R150"/>
  <c r="Q150"/>
  <c r="R151"/>
  <c r="Q151"/>
  <c r="R152"/>
  <c r="Q152"/>
  <c r="R153"/>
  <c r="Q153"/>
  <c r="R154"/>
  <c r="Q154"/>
  <c r="R155"/>
  <c r="Q155"/>
  <c r="R156"/>
  <c r="Q156"/>
  <c r="R157"/>
  <c r="Q157"/>
  <c r="R158"/>
  <c r="Q158"/>
  <c r="R159"/>
  <c r="Q159"/>
  <c r="R160"/>
  <c r="Q160"/>
  <c r="R161"/>
  <c r="Q161"/>
  <c r="R162"/>
  <c r="Q162"/>
  <c r="R163"/>
  <c r="Q163"/>
  <c r="R164"/>
  <c r="Q164"/>
  <c r="R165"/>
  <c r="Q165"/>
  <c r="R166"/>
  <c r="Q166"/>
  <c r="R167"/>
  <c r="Q167"/>
  <c r="R168"/>
  <c r="Q168"/>
  <c r="R169"/>
  <c r="Q169"/>
  <c r="R170"/>
  <c r="Q170"/>
  <c r="R171"/>
  <c r="Q171"/>
  <c r="R172"/>
  <c r="Q172"/>
  <c r="R173"/>
  <c r="Q173"/>
  <c r="R174"/>
  <c r="Q174"/>
  <c r="R175"/>
  <c r="Q175"/>
  <c r="R176"/>
  <c r="Q176"/>
  <c r="R177"/>
  <c r="Q177"/>
  <c r="R178"/>
  <c r="Q178"/>
  <c r="R179"/>
  <c r="Q179"/>
  <c r="R180"/>
  <c r="Q180"/>
  <c r="R181"/>
  <c r="Q181"/>
  <c r="R182"/>
  <c r="Q182"/>
  <c r="R183"/>
  <c r="Q183"/>
  <c r="R184"/>
  <c r="Q184"/>
  <c r="R185"/>
  <c r="Q185"/>
  <c r="R186"/>
  <c r="Q186"/>
  <c r="R187"/>
  <c r="Q187"/>
  <c r="R188"/>
  <c r="Q188"/>
  <c r="R189"/>
  <c r="Q189"/>
  <c r="R190"/>
  <c r="Q190"/>
  <c r="R191"/>
  <c r="Q191"/>
  <c r="R192"/>
  <c r="Q192"/>
  <c r="R193"/>
  <c r="Q193"/>
  <c r="R194"/>
  <c r="Q194"/>
  <c r="R195"/>
  <c r="Q195"/>
  <c r="R196"/>
  <c r="Q196"/>
  <c r="R197"/>
  <c r="Q197"/>
  <c r="R198"/>
  <c r="Q198"/>
  <c r="R199"/>
  <c r="Q199"/>
  <c r="R200"/>
  <c r="Q200"/>
  <c r="R201"/>
  <c r="Q201"/>
  <c r="R202"/>
  <c r="Q202"/>
  <c r="R203"/>
  <c r="Q203"/>
  <c r="R204"/>
  <c r="Q204"/>
  <c r="R205"/>
  <c r="Q205"/>
  <c r="R206"/>
  <c r="Q206"/>
  <c r="R207"/>
  <c r="Q207"/>
  <c r="R208"/>
  <c r="Q208"/>
  <c r="R209"/>
  <c r="Q209"/>
  <c r="R210"/>
  <c r="Q210"/>
  <c r="R211"/>
  <c r="Q211"/>
  <c r="R212"/>
  <c r="Q212"/>
  <c r="R213"/>
  <c r="Q213"/>
  <c r="R214"/>
  <c r="Q214"/>
  <c r="R215"/>
  <c r="Q215"/>
  <c r="R216"/>
  <c r="Q216"/>
  <c r="R217"/>
  <c r="Q217"/>
  <c r="R218"/>
  <c r="Q218"/>
  <c r="R219"/>
  <c r="Q219"/>
  <c r="R220"/>
  <c r="Q220"/>
  <c r="R221"/>
  <c r="Q221"/>
  <c r="R222"/>
  <c r="Q222"/>
  <c r="R223"/>
  <c r="Q223"/>
  <c r="R224"/>
  <c r="Q224"/>
  <c r="R225"/>
  <c r="Q225"/>
  <c r="R226"/>
  <c r="Q226"/>
  <c r="R227"/>
  <c r="Q227"/>
  <c r="R228"/>
  <c r="Q228"/>
  <c r="R229"/>
  <c r="Q229"/>
  <c r="R230"/>
  <c r="Q230"/>
  <c r="R231"/>
  <c r="Q231"/>
  <c r="R232"/>
  <c r="Q232"/>
  <c r="R233"/>
  <c r="Q233"/>
  <c r="R234"/>
  <c r="Q234"/>
  <c r="R235"/>
  <c r="Q235"/>
  <c r="R236"/>
  <c r="Q236"/>
  <c r="R237"/>
  <c r="Q237"/>
  <c r="R238"/>
  <c r="Q238"/>
  <c r="R239"/>
  <c r="Q239"/>
  <c r="R240"/>
  <c r="Q240"/>
  <c r="R241"/>
  <c r="Q241"/>
  <c r="R242"/>
  <c r="Q242"/>
  <c r="R243"/>
  <c r="Q243"/>
  <c r="R244"/>
  <c r="Q244"/>
  <c r="R245"/>
  <c r="Q245"/>
  <c r="R246"/>
  <c r="Q246"/>
  <c r="R247"/>
  <c r="Q247"/>
  <c r="R248"/>
  <c r="Q248"/>
  <c r="R249"/>
  <c r="Q249"/>
  <c r="R250"/>
  <c r="Q250"/>
  <c r="R251"/>
  <c r="Q251"/>
  <c r="R252"/>
  <c r="Q252"/>
  <c r="R253"/>
  <c r="Q253"/>
  <c r="R254"/>
  <c r="Q254"/>
  <c r="R255"/>
  <c r="Q255"/>
  <c r="R256"/>
  <c r="Q256"/>
  <c r="R257"/>
  <c r="Q257"/>
  <c r="R258"/>
  <c r="Q258"/>
  <c r="R259"/>
  <c r="Q259"/>
  <c r="R260"/>
  <c r="Q260"/>
  <c r="R261"/>
  <c r="Q261"/>
  <c r="R262"/>
  <c r="Q262"/>
  <c r="R263"/>
  <c r="Q263"/>
  <c r="R264"/>
  <c r="Q264"/>
  <c r="R265"/>
  <c r="Q265"/>
  <c r="R266"/>
  <c r="Q266"/>
  <c r="R267"/>
  <c r="Q267"/>
  <c r="R268"/>
  <c r="Q268"/>
  <c r="R269"/>
  <c r="Q269"/>
  <c r="R270"/>
  <c r="Q270"/>
  <c r="R271"/>
  <c r="Q271"/>
  <c r="R272"/>
  <c r="Q272"/>
  <c r="R273"/>
  <c r="Q273"/>
  <c r="R274"/>
  <c r="Q274"/>
  <c r="R275"/>
  <c r="Q275"/>
  <c r="R276"/>
  <c r="Q276"/>
  <c r="R277"/>
  <c r="Q277"/>
  <c r="R278"/>
  <c r="Q278"/>
  <c r="R279"/>
  <c r="Q279"/>
  <c r="R280"/>
  <c r="Q280"/>
  <c r="R281"/>
  <c r="Q281"/>
  <c r="R282"/>
  <c r="Q282"/>
  <c r="R283"/>
  <c r="Q283"/>
  <c r="R284"/>
  <c r="Q284"/>
  <c r="R285"/>
  <c r="Q285"/>
  <c r="R286"/>
  <c r="Q286"/>
  <c r="R287"/>
  <c r="Q287"/>
  <c r="R288"/>
  <c r="Q288"/>
  <c r="R289"/>
  <c r="Q289"/>
  <c r="R290"/>
  <c r="Q290"/>
  <c r="R291"/>
  <c r="Q291"/>
  <c r="R292"/>
  <c r="Q292"/>
  <c r="R293"/>
  <c r="Q293"/>
  <c r="R294"/>
  <c r="Q294"/>
  <c r="R295"/>
  <c r="Q295"/>
  <c r="R296"/>
  <c r="Q296"/>
  <c r="R297"/>
  <c r="Q297"/>
  <c r="R298"/>
  <c r="Q298"/>
  <c r="R299"/>
  <c r="Q299"/>
  <c r="R300"/>
  <c r="Q300"/>
  <c r="R301"/>
  <c r="Q301"/>
  <c r="R302"/>
  <c r="Q302"/>
  <c r="R303"/>
  <c r="Q303"/>
  <c r="R304"/>
  <c r="Q304"/>
  <c r="R305"/>
  <c r="Q305"/>
  <c r="R306"/>
  <c r="Q306"/>
  <c r="R307"/>
  <c r="Q307"/>
  <c r="R308"/>
  <c r="Q308"/>
  <c r="R309"/>
  <c r="Q309"/>
  <c r="R310"/>
  <c r="Q310"/>
  <c r="R311"/>
  <c r="Q311"/>
  <c r="R312"/>
  <c r="Q312"/>
  <c r="R313"/>
  <c r="Q313"/>
  <c r="R314"/>
  <c r="Q314"/>
  <c r="R315"/>
  <c r="Q315"/>
  <c r="R316"/>
  <c r="Q316"/>
  <c r="R317"/>
  <c r="Q317"/>
  <c r="R318"/>
  <c r="Q318"/>
  <c r="R319"/>
  <c r="Q319"/>
  <c r="R320"/>
  <c r="Q320"/>
  <c r="R321"/>
  <c r="Q321"/>
  <c r="R322"/>
  <c r="Q322"/>
  <c r="R323"/>
  <c r="Q323"/>
  <c r="R324"/>
  <c r="Q324"/>
  <c r="R325"/>
  <c r="Q325"/>
  <c r="R326"/>
  <c r="Q326"/>
  <c r="R327"/>
  <c r="Q327"/>
  <c r="R328"/>
  <c r="Q328"/>
  <c r="R329"/>
  <c r="Q329"/>
  <c r="R330"/>
  <c r="Q330"/>
  <c r="R331"/>
  <c r="Q331"/>
  <c r="R332"/>
  <c r="Q332"/>
  <c r="R333"/>
  <c r="Q333"/>
  <c r="R334"/>
  <c r="Q334"/>
  <c r="R335"/>
  <c r="Q335"/>
  <c r="R336"/>
  <c r="Q336"/>
  <c r="R337"/>
  <c r="Q337"/>
  <c r="R338"/>
  <c r="Q338"/>
  <c r="R339"/>
  <c r="Q339"/>
  <c r="R340"/>
  <c r="Q340"/>
  <c r="R341"/>
  <c r="Q341"/>
  <c r="R342"/>
  <c r="Q342"/>
  <c r="R343"/>
  <c r="Q343"/>
  <c r="R344"/>
  <c r="Q344"/>
  <c r="R345"/>
  <c r="Q345"/>
  <c r="R346"/>
  <c r="Q346"/>
  <c r="R347"/>
  <c r="Q347"/>
  <c r="R348"/>
  <c r="Q348"/>
  <c r="R349"/>
  <c r="Q349"/>
  <c r="R350"/>
  <c r="Q350"/>
  <c r="R351"/>
  <c r="Q351"/>
  <c r="R352"/>
  <c r="Q352"/>
  <c r="R353"/>
  <c r="Q353"/>
  <c r="R354"/>
  <c r="Q354"/>
  <c r="R355"/>
  <c r="Q355"/>
  <c r="R356"/>
  <c r="Q356"/>
  <c r="R357"/>
  <c r="Q357"/>
  <c r="R358"/>
  <c r="Q358"/>
  <c r="R359"/>
  <c r="Q359"/>
  <c r="R360"/>
  <c r="Q360"/>
  <c r="R361"/>
  <c r="Q361"/>
  <c r="R362"/>
  <c r="Q362"/>
  <c r="R363"/>
  <c r="Q363"/>
  <c r="R364"/>
  <c r="Q364"/>
  <c r="R365"/>
  <c r="Q365"/>
  <c r="R366"/>
  <c r="Q366"/>
  <c r="R367"/>
  <c r="Q367"/>
  <c r="R368"/>
  <c r="Q368"/>
  <c r="R369"/>
  <c r="Q369"/>
  <c r="R370"/>
  <c r="Q370"/>
  <c r="R371"/>
  <c r="Q371"/>
  <c r="R372"/>
  <c r="Q372"/>
  <c r="R373"/>
  <c r="Q373"/>
  <c r="R374"/>
  <c r="Q374"/>
  <c r="R375"/>
  <c r="Q375"/>
  <c r="R376"/>
  <c r="Q376"/>
  <c r="R377"/>
  <c r="Q377"/>
  <c r="R378"/>
  <c r="Q378"/>
  <c r="R379"/>
  <c r="Q379"/>
  <c r="K6" i="18"/>
  <c r="H6"/>
  <c r="I6" s="1"/>
  <c r="N6" i="5"/>
  <c r="R6" s="1"/>
  <c r="N7"/>
  <c r="R7" s="1"/>
  <c r="N8"/>
  <c r="R8" s="1"/>
  <c r="N9"/>
  <c r="R9" s="1"/>
  <c r="N10"/>
  <c r="R10" s="1"/>
  <c r="N11"/>
  <c r="R11" s="1"/>
  <c r="N12"/>
  <c r="R12" s="1"/>
  <c r="N13"/>
  <c r="R13" s="1"/>
  <c r="N14"/>
  <c r="R14" s="1"/>
  <c r="N15"/>
  <c r="R15" s="1"/>
  <c r="N16"/>
  <c r="R16" s="1"/>
  <c r="N17"/>
  <c r="R17" s="1"/>
  <c r="N18"/>
  <c r="R18" s="1"/>
  <c r="N19"/>
  <c r="R19" s="1"/>
  <c r="N20"/>
  <c r="R20" s="1"/>
  <c r="N21"/>
  <c r="R21" s="1"/>
  <c r="N22"/>
  <c r="R22" s="1"/>
  <c r="N23"/>
  <c r="R23" s="1"/>
  <c r="N24"/>
  <c r="R24" s="1"/>
  <c r="N25"/>
  <c r="R25" s="1"/>
  <c r="N26"/>
  <c r="R26" s="1"/>
  <c r="N27"/>
  <c r="R27" s="1"/>
  <c r="N28"/>
  <c r="R28" s="1"/>
  <c r="N29"/>
  <c r="R29" s="1"/>
  <c r="K535" i="14"/>
  <c r="H535"/>
  <c r="I535" s="1"/>
  <c r="R386" i="7"/>
  <c r="Q386"/>
  <c r="R387"/>
  <c r="Q387"/>
  <c r="R388"/>
  <c r="Q388"/>
  <c r="R389"/>
  <c r="Q389"/>
  <c r="R390"/>
  <c r="Q390"/>
  <c r="R391"/>
  <c r="Q391"/>
  <c r="R392"/>
  <c r="Q392"/>
  <c r="R393"/>
  <c r="Q393"/>
  <c r="R394"/>
  <c r="Q394"/>
  <c r="R395"/>
  <c r="Q395"/>
  <c r="R396"/>
  <c r="Q396"/>
  <c r="R397"/>
  <c r="Q397"/>
  <c r="R398"/>
  <c r="Q398"/>
  <c r="R399"/>
  <c r="Q399"/>
  <c r="R400"/>
  <c r="Q400"/>
  <c r="R401"/>
  <c r="Q401"/>
  <c r="R402"/>
  <c r="Q402"/>
  <c r="R403"/>
  <c r="Q403"/>
  <c r="R404"/>
  <c r="Q404"/>
  <c r="R405"/>
  <c r="Q405"/>
  <c r="R406"/>
  <c r="Q406"/>
  <c r="R407"/>
  <c r="Q407"/>
  <c r="R408"/>
  <c r="Q408"/>
  <c r="R409"/>
  <c r="Q409"/>
  <c r="R410"/>
  <c r="Q410"/>
  <c r="R411"/>
  <c r="Q411"/>
  <c r="R412"/>
  <c r="Q412"/>
  <c r="R413"/>
  <c r="Q413"/>
  <c r="R414"/>
  <c r="Q414"/>
  <c r="R415"/>
  <c r="Q415"/>
  <c r="R416"/>
  <c r="Q416"/>
  <c r="R417"/>
  <c r="Q417"/>
  <c r="R418"/>
  <c r="Q418"/>
  <c r="R419"/>
  <c r="Q419"/>
  <c r="R420"/>
  <c r="Q420"/>
  <c r="R421"/>
  <c r="Q421"/>
  <c r="R422"/>
  <c r="Q422"/>
  <c r="R423"/>
  <c r="Q423"/>
  <c r="R424"/>
  <c r="Q424"/>
  <c r="R425"/>
  <c r="Q425"/>
  <c r="R426"/>
  <c r="Q426"/>
  <c r="R427"/>
  <c r="Q427"/>
  <c r="R428"/>
  <c r="Q428"/>
  <c r="R429"/>
  <c r="Q429"/>
  <c r="R430"/>
  <c r="Q430"/>
  <c r="R431"/>
  <c r="Q431"/>
  <c r="R432"/>
  <c r="Q432"/>
  <c r="R433"/>
  <c r="Q433"/>
  <c r="R434"/>
  <c r="Q434"/>
  <c r="R435"/>
  <c r="Q435"/>
  <c r="R436"/>
  <c r="Q436"/>
  <c r="R437"/>
  <c r="Q437"/>
  <c r="R438"/>
  <c r="Q438"/>
  <c r="R439"/>
  <c r="Q439"/>
  <c r="R440"/>
  <c r="Q440"/>
  <c r="R441"/>
  <c r="Q441"/>
  <c r="R442"/>
  <c r="Q442"/>
  <c r="R443"/>
  <c r="Q443"/>
  <c r="R444"/>
  <c r="Q444"/>
  <c r="R445"/>
  <c r="Q445"/>
  <c r="R446"/>
  <c r="Q446"/>
  <c r="R447"/>
  <c r="Q447"/>
  <c r="R448"/>
  <c r="Q448"/>
  <c r="R449"/>
  <c r="Q449"/>
  <c r="R450"/>
  <c r="Q450"/>
  <c r="R451"/>
  <c r="Q451"/>
  <c r="R452"/>
  <c r="Q452"/>
  <c r="R453"/>
  <c r="Q453"/>
  <c r="R454"/>
  <c r="Q454"/>
  <c r="R455"/>
  <c r="Q455"/>
  <c r="R456"/>
  <c r="Q456"/>
  <c r="R457"/>
  <c r="Q457"/>
  <c r="R458"/>
  <c r="Q458"/>
  <c r="R459"/>
  <c r="Q459"/>
  <c r="R460"/>
  <c r="Q460"/>
  <c r="R461"/>
  <c r="Q461"/>
  <c r="R462"/>
  <c r="Q462"/>
  <c r="R463"/>
  <c r="Q463"/>
  <c r="R464"/>
  <c r="Q464"/>
  <c r="R465"/>
  <c r="Q465"/>
  <c r="R466"/>
  <c r="Q466"/>
  <c r="R467"/>
  <c r="Q467"/>
  <c r="R468"/>
  <c r="Q468"/>
  <c r="R469"/>
  <c r="Q469"/>
  <c r="R470"/>
  <c r="Q470"/>
  <c r="R471"/>
  <c r="Q471"/>
  <c r="R472"/>
  <c r="Q472"/>
  <c r="R473"/>
  <c r="Q473"/>
  <c r="R474"/>
  <c r="Q474"/>
  <c r="R475"/>
  <c r="Q475"/>
  <c r="R476"/>
  <c r="Q476"/>
  <c r="R477"/>
  <c r="Q477"/>
  <c r="R478"/>
  <c r="Q478"/>
  <c r="R479"/>
  <c r="Q479"/>
  <c r="R480"/>
  <c r="Q480"/>
  <c r="R481"/>
  <c r="Q481"/>
  <c r="R482"/>
  <c r="Q482"/>
  <c r="R483"/>
  <c r="Q483"/>
  <c r="R484"/>
  <c r="Q484"/>
  <c r="R485"/>
  <c r="Q485"/>
  <c r="R486"/>
  <c r="Q486"/>
  <c r="R487"/>
  <c r="Q487"/>
  <c r="R488"/>
  <c r="Q488"/>
  <c r="R489"/>
  <c r="Q489"/>
  <c r="R490"/>
  <c r="Q490"/>
  <c r="R491"/>
  <c r="Q491"/>
  <c r="R492"/>
  <c r="Q492"/>
  <c r="R493"/>
  <c r="Q493"/>
  <c r="R494"/>
  <c r="Q494"/>
  <c r="R495"/>
  <c r="Q495"/>
  <c r="R496"/>
  <c r="Q496"/>
  <c r="R497"/>
  <c r="Q497"/>
  <c r="R498"/>
  <c r="Q498"/>
  <c r="R499"/>
  <c r="Q499"/>
  <c r="R500"/>
  <c r="Q500"/>
  <c r="R501"/>
  <c r="Q501"/>
  <c r="R502"/>
  <c r="Q502"/>
  <c r="R503"/>
  <c r="Q503"/>
  <c r="R504"/>
  <c r="Q504"/>
  <c r="R505"/>
  <c r="Q505"/>
  <c r="R506"/>
  <c r="Q506"/>
  <c r="R507"/>
  <c r="Q507"/>
  <c r="R508"/>
  <c r="Q508"/>
  <c r="R509"/>
  <c r="Q509"/>
  <c r="R510"/>
  <c r="Q510"/>
  <c r="R511"/>
  <c r="Q511"/>
  <c r="R512"/>
  <c r="Q512"/>
  <c r="R513"/>
  <c r="Q513"/>
  <c r="R514"/>
  <c r="Q514"/>
  <c r="R515"/>
  <c r="Q515"/>
  <c r="R516"/>
  <c r="Q516"/>
  <c r="R517"/>
  <c r="Q517"/>
  <c r="R518"/>
  <c r="Q518"/>
  <c r="R519"/>
  <c r="Q519"/>
  <c r="R520"/>
  <c r="Q520"/>
  <c r="R521"/>
  <c r="Q521"/>
  <c r="R522"/>
  <c r="Q522"/>
  <c r="R523"/>
  <c r="Q523"/>
  <c r="R524"/>
  <c r="Q524"/>
  <c r="R525"/>
  <c r="Q525"/>
  <c r="R526"/>
  <c r="Q526"/>
  <c r="R527"/>
  <c r="Q527"/>
  <c r="R528"/>
  <c r="Q528"/>
  <c r="R529"/>
  <c r="Q529"/>
  <c r="R530"/>
  <c r="Q530"/>
  <c r="R531"/>
  <c r="Q531"/>
  <c r="R532"/>
  <c r="Q532"/>
  <c r="R533"/>
  <c r="Q533"/>
  <c r="R534"/>
  <c r="G534" i="22" s="1"/>
  <c r="Q534" i="7"/>
  <c r="H67" i="18"/>
  <c r="I67" s="1"/>
  <c r="K67"/>
  <c r="M67" s="1"/>
  <c r="O879" i="12"/>
  <c r="L879"/>
  <c r="M879" s="1"/>
  <c r="O749"/>
  <c r="L749"/>
  <c r="M749" s="1"/>
  <c r="O1202" i="17"/>
  <c r="L1202"/>
  <c r="M1202" s="1"/>
  <c r="O1148"/>
  <c r="L1148"/>
  <c r="M1148" s="1"/>
  <c r="O1232" i="12"/>
  <c r="L1232"/>
  <c r="M1232" s="1"/>
  <c r="O1204"/>
  <c r="L1204"/>
  <c r="M1204" s="1"/>
  <c r="O535" i="10"/>
  <c r="N535"/>
  <c r="K1202" i="18"/>
  <c r="H1202"/>
  <c r="I1202" s="1"/>
  <c r="K1162"/>
  <c r="H1162"/>
  <c r="I1162" s="1"/>
  <c r="K116"/>
  <c r="H116"/>
  <c r="I116" s="1"/>
  <c r="K384"/>
  <c r="H384"/>
  <c r="I384" s="1"/>
  <c r="M118"/>
  <c r="L118"/>
  <c r="M123"/>
  <c r="L123"/>
  <c r="M125"/>
  <c r="L125"/>
  <c r="M126"/>
  <c r="L126"/>
  <c r="M128"/>
  <c r="L128"/>
  <c r="M129"/>
  <c r="L129"/>
  <c r="M131"/>
  <c r="L131"/>
  <c r="M135"/>
  <c r="L135"/>
  <c r="M139"/>
  <c r="L139"/>
  <c r="M140"/>
  <c r="L140"/>
  <c r="M142"/>
  <c r="L142"/>
  <c r="M145"/>
  <c r="L145"/>
  <c r="M147"/>
  <c r="L147"/>
  <c r="M148"/>
  <c r="L148"/>
  <c r="M150"/>
  <c r="L150"/>
  <c r="M151"/>
  <c r="L151"/>
  <c r="M152"/>
  <c r="L152"/>
  <c r="M153"/>
  <c r="L153"/>
  <c r="M154"/>
  <c r="L154"/>
  <c r="M155"/>
  <c r="L155"/>
  <c r="M156"/>
  <c r="L156"/>
  <c r="M157"/>
  <c r="L157"/>
  <c r="M159"/>
  <c r="L159"/>
  <c r="M163"/>
  <c r="L163"/>
  <c r="M168"/>
  <c r="L168"/>
  <c r="M186"/>
  <c r="L186"/>
  <c r="M189"/>
  <c r="L189"/>
  <c r="M190"/>
  <c r="L190"/>
  <c r="M200"/>
  <c r="L200"/>
  <c r="M208"/>
  <c r="L208"/>
  <c r="M210"/>
  <c r="L210"/>
  <c r="M211"/>
  <c r="L211"/>
  <c r="M212"/>
  <c r="L212"/>
  <c r="M214"/>
  <c r="L214"/>
  <c r="M233"/>
  <c r="L233"/>
  <c r="M237"/>
  <c r="L237"/>
  <c r="M268"/>
  <c r="L268"/>
  <c r="M271"/>
  <c r="L271"/>
  <c r="M327"/>
  <c r="L327"/>
  <c r="M328"/>
  <c r="L328"/>
  <c r="O380" i="10"/>
  <c r="M384"/>
  <c r="N380"/>
  <c r="K747" i="14"/>
  <c r="L747" s="1"/>
  <c r="H747"/>
  <c r="K537"/>
  <c r="H537"/>
  <c r="I537" s="1"/>
  <c r="K537" i="18"/>
  <c r="H537"/>
  <c r="I537" s="1"/>
  <c r="K747"/>
  <c r="H747"/>
  <c r="I747" s="1"/>
  <c r="N537" i="5"/>
  <c r="R537" s="1"/>
  <c r="M538" i="14"/>
  <c r="L538"/>
  <c r="M538" i="18"/>
  <c r="L538"/>
  <c r="N538" i="5"/>
  <c r="R538" s="1"/>
  <c r="M539" i="14"/>
  <c r="L539"/>
  <c r="M539" i="18"/>
  <c r="L539"/>
  <c r="N539" i="5"/>
  <c r="R539" s="1"/>
  <c r="M540" i="14"/>
  <c r="L540"/>
  <c r="M540" i="18"/>
  <c r="L540"/>
  <c r="N540" i="5"/>
  <c r="R540" s="1"/>
  <c r="M541" i="18"/>
  <c r="L541"/>
  <c r="N541" i="5"/>
  <c r="R541" s="1"/>
  <c r="M542" i="14"/>
  <c r="L542"/>
  <c r="M542" i="18"/>
  <c r="L542"/>
  <c r="N542" i="5"/>
  <c r="R542" s="1"/>
  <c r="M543" i="14"/>
  <c r="L543"/>
  <c r="M543" i="18"/>
  <c r="L543"/>
  <c r="N543" i="5"/>
  <c r="R543" s="1"/>
  <c r="M544" i="14"/>
  <c r="L544"/>
  <c r="M544" i="18"/>
  <c r="L544"/>
  <c r="N544" i="5"/>
  <c r="R544" s="1"/>
  <c r="M545" i="14"/>
  <c r="L545"/>
  <c r="M545" i="18"/>
  <c r="L545"/>
  <c r="N545" i="5"/>
  <c r="R545" s="1"/>
  <c r="M546" i="14"/>
  <c r="L546"/>
  <c r="M546" i="18"/>
  <c r="L546"/>
  <c r="N546" i="5"/>
  <c r="R546" s="1"/>
  <c r="M547" i="14"/>
  <c r="L547"/>
  <c r="M547" i="18"/>
  <c r="L547"/>
  <c r="N547" i="5"/>
  <c r="R547" s="1"/>
  <c r="M548" i="14"/>
  <c r="L548"/>
  <c r="M548" i="18"/>
  <c r="L548"/>
  <c r="N548" i="5"/>
  <c r="R548" s="1"/>
  <c r="M549" i="14"/>
  <c r="L549"/>
  <c r="M549" i="18"/>
  <c r="L549"/>
  <c r="N549" i="5"/>
  <c r="R549" s="1"/>
  <c r="M550" i="14"/>
  <c r="L550"/>
  <c r="M550" i="18"/>
  <c r="L550"/>
  <c r="N550" i="5"/>
  <c r="R550" s="1"/>
  <c r="M551" i="14"/>
  <c r="L551"/>
  <c r="M551" i="18"/>
  <c r="L551"/>
  <c r="N551" i="5"/>
  <c r="R551" s="1"/>
  <c r="M552" i="14"/>
  <c r="L552"/>
  <c r="M552" i="18"/>
  <c r="L552"/>
  <c r="N552" i="5"/>
  <c r="R552" s="1"/>
  <c r="N553"/>
  <c r="R553" s="1"/>
  <c r="N554"/>
  <c r="R554" s="1"/>
  <c r="N555"/>
  <c r="R555" s="1"/>
  <c r="N556"/>
  <c r="R556" s="1"/>
  <c r="N557"/>
  <c r="R557" s="1"/>
  <c r="M558" i="14"/>
  <c r="L558"/>
  <c r="M558" i="18"/>
  <c r="L558"/>
  <c r="N558" i="5"/>
  <c r="R558" s="1"/>
  <c r="N559"/>
  <c r="R559" s="1"/>
  <c r="N560"/>
  <c r="R560" s="1"/>
  <c r="N561"/>
  <c r="R561" s="1"/>
  <c r="N562"/>
  <c r="R562" s="1"/>
  <c r="N563"/>
  <c r="R563" s="1"/>
  <c r="N564"/>
  <c r="R564" s="1"/>
  <c r="N565"/>
  <c r="R565" s="1"/>
  <c r="N566"/>
  <c r="R566" s="1"/>
  <c r="N567"/>
  <c r="R567" s="1"/>
  <c r="N568"/>
  <c r="R568" s="1"/>
  <c r="N569"/>
  <c r="R569" s="1"/>
  <c r="N570"/>
  <c r="R570" s="1"/>
  <c r="N571"/>
  <c r="R571" s="1"/>
  <c r="N572"/>
  <c r="R572" s="1"/>
  <c r="N573"/>
  <c r="R573" s="1"/>
  <c r="N574"/>
  <c r="R574" s="1"/>
  <c r="N575"/>
  <c r="R575" s="1"/>
  <c r="N576"/>
  <c r="R576" s="1"/>
  <c r="N577"/>
  <c r="R577" s="1"/>
  <c r="M578" i="14"/>
  <c r="L578"/>
  <c r="M578" i="18"/>
  <c r="L578"/>
  <c r="N578" i="5"/>
  <c r="R578" s="1"/>
  <c r="N579"/>
  <c r="R579" s="1"/>
  <c r="N580"/>
  <c r="R580" s="1"/>
  <c r="N581"/>
  <c r="R581" s="1"/>
  <c r="N582"/>
  <c r="R582" s="1"/>
  <c r="N583"/>
  <c r="R583" s="1"/>
  <c r="N584"/>
  <c r="R584" s="1"/>
  <c r="N585"/>
  <c r="R585" s="1"/>
  <c r="N586"/>
  <c r="R586" s="1"/>
  <c r="N587"/>
  <c r="R587" s="1"/>
  <c r="N588"/>
  <c r="R588" s="1"/>
  <c r="N589"/>
  <c r="R589" s="1"/>
  <c r="N590"/>
  <c r="R590" s="1"/>
  <c r="N591"/>
  <c r="R591" s="1"/>
  <c r="N592"/>
  <c r="R592" s="1"/>
  <c r="N593"/>
  <c r="R593" s="1"/>
  <c r="N594"/>
  <c r="R594" s="1"/>
  <c r="N595"/>
  <c r="R595" s="1"/>
  <c r="N596"/>
  <c r="R596" s="1"/>
  <c r="N597"/>
  <c r="R597" s="1"/>
  <c r="N598"/>
  <c r="R598" s="1"/>
  <c r="N599"/>
  <c r="R599" s="1"/>
  <c r="N600"/>
  <c r="R600" s="1"/>
  <c r="N601"/>
  <c r="R601" s="1"/>
  <c r="N602"/>
  <c r="R602" s="1"/>
  <c r="N603"/>
  <c r="R603" s="1"/>
  <c r="N604"/>
  <c r="R604" s="1"/>
  <c r="N605"/>
  <c r="R605" s="1"/>
  <c r="N606"/>
  <c r="R606" s="1"/>
  <c r="N607"/>
  <c r="R607" s="1"/>
  <c r="N608"/>
  <c r="R608" s="1"/>
  <c r="N609"/>
  <c r="R609" s="1"/>
  <c r="N610"/>
  <c r="R610" s="1"/>
  <c r="N611"/>
  <c r="R611" s="1"/>
  <c r="N612"/>
  <c r="R612" s="1"/>
  <c r="N613"/>
  <c r="R613" s="1"/>
  <c r="N614"/>
  <c r="R614" s="1"/>
  <c r="N615"/>
  <c r="R615" s="1"/>
  <c r="N616"/>
  <c r="R616" s="1"/>
  <c r="N617"/>
  <c r="R617" s="1"/>
  <c r="M618" i="14"/>
  <c r="L618"/>
  <c r="M618" i="18"/>
  <c r="L618"/>
  <c r="N618" i="5"/>
  <c r="R618" s="1"/>
  <c r="M619" i="14"/>
  <c r="L619"/>
  <c r="M619" i="18"/>
  <c r="L619"/>
  <c r="N619" i="5"/>
  <c r="R619" s="1"/>
  <c r="M620" i="14"/>
  <c r="L620"/>
  <c r="M620" i="18"/>
  <c r="L620"/>
  <c r="N620" i="5"/>
  <c r="R620" s="1"/>
  <c r="M621" i="14"/>
  <c r="L621"/>
  <c r="M621" i="18"/>
  <c r="L621"/>
  <c r="N621" i="5"/>
  <c r="R621" s="1"/>
  <c r="M622" i="14"/>
  <c r="L622"/>
  <c r="M622" i="18"/>
  <c r="L622"/>
  <c r="N622" i="5"/>
  <c r="R622" s="1"/>
  <c r="N623"/>
  <c r="R623" s="1"/>
  <c r="N624"/>
  <c r="R624" s="1"/>
  <c r="N625"/>
  <c r="R625" s="1"/>
  <c r="N626"/>
  <c r="R626" s="1"/>
  <c r="N627"/>
  <c r="R627" s="1"/>
  <c r="N628"/>
  <c r="R628" s="1"/>
  <c r="N629"/>
  <c r="R629" s="1"/>
  <c r="N630"/>
  <c r="R630" s="1"/>
  <c r="N631"/>
  <c r="R631" s="1"/>
  <c r="N632"/>
  <c r="R632" s="1"/>
  <c r="N633"/>
  <c r="R633" s="1"/>
  <c r="N634"/>
  <c r="R634" s="1"/>
  <c r="N635"/>
  <c r="R635" s="1"/>
  <c r="N636"/>
  <c r="R636" s="1"/>
  <c r="N637"/>
  <c r="R637" s="1"/>
  <c r="N638"/>
  <c r="R638" s="1"/>
  <c r="N639"/>
  <c r="R639" s="1"/>
  <c r="N640"/>
  <c r="R640" s="1"/>
  <c r="N641"/>
  <c r="R641" s="1"/>
  <c r="N642"/>
  <c r="R642" s="1"/>
  <c r="N643"/>
  <c r="R643" s="1"/>
  <c r="N644"/>
  <c r="R644" s="1"/>
  <c r="N645"/>
  <c r="R645" s="1"/>
  <c r="N646"/>
  <c r="R646" s="1"/>
  <c r="N647"/>
  <c r="R647" s="1"/>
  <c r="N648"/>
  <c r="R648" s="1"/>
  <c r="N649"/>
  <c r="R649" s="1"/>
  <c r="N650"/>
  <c r="R650" s="1"/>
  <c r="N651"/>
  <c r="R651" s="1"/>
  <c r="N652"/>
  <c r="R652" s="1"/>
  <c r="N653"/>
  <c r="R653" s="1"/>
  <c r="N654"/>
  <c r="R654" s="1"/>
  <c r="N655"/>
  <c r="R655" s="1"/>
  <c r="N656"/>
  <c r="R656" s="1"/>
  <c r="M657" i="14"/>
  <c r="L657"/>
  <c r="M657" i="18"/>
  <c r="L657"/>
  <c r="N657" i="5"/>
  <c r="R657" s="1"/>
  <c r="M658" i="14"/>
  <c r="L658"/>
  <c r="M658" i="18"/>
  <c r="L658"/>
  <c r="N658" i="5"/>
  <c r="R658" s="1"/>
  <c r="M659" i="14"/>
  <c r="L659"/>
  <c r="M659" i="18"/>
  <c r="L659"/>
  <c r="N659" i="5"/>
  <c r="R659" s="1"/>
  <c r="M660" i="14"/>
  <c r="L660"/>
  <c r="M660" i="18"/>
  <c r="L660"/>
  <c r="N660" i="5"/>
  <c r="R660" s="1"/>
  <c r="M661" i="18"/>
  <c r="L661"/>
  <c r="N661" i="5"/>
  <c r="R661" s="1"/>
  <c r="N662"/>
  <c r="R662" s="1"/>
  <c r="N663"/>
  <c r="R663" s="1"/>
  <c r="N664"/>
  <c r="R664" s="1"/>
  <c r="N665"/>
  <c r="R665" s="1"/>
  <c r="N666"/>
  <c r="R666" s="1"/>
  <c r="N667"/>
  <c r="R667" s="1"/>
  <c r="N668"/>
  <c r="R668" s="1"/>
  <c r="N669"/>
  <c r="R669" s="1"/>
  <c r="N670"/>
  <c r="R670" s="1"/>
  <c r="N671"/>
  <c r="R671" s="1"/>
  <c r="N672"/>
  <c r="R672" s="1"/>
  <c r="N673"/>
  <c r="R673" s="1"/>
  <c r="N674"/>
  <c r="R674" s="1"/>
  <c r="N675"/>
  <c r="R675" s="1"/>
  <c r="N676"/>
  <c r="R676" s="1"/>
  <c r="N677"/>
  <c r="R677" s="1"/>
  <c r="N678"/>
  <c r="R678" s="1"/>
  <c r="N679"/>
  <c r="R679" s="1"/>
  <c r="N680"/>
  <c r="R680" s="1"/>
  <c r="N681"/>
  <c r="R681" s="1"/>
  <c r="M682" i="18"/>
  <c r="L682"/>
  <c r="N682" i="5"/>
  <c r="R682" s="1"/>
  <c r="M683" i="18"/>
  <c r="L683"/>
  <c r="N683" i="5"/>
  <c r="R683" s="1"/>
  <c r="M684" i="18"/>
  <c r="L684"/>
  <c r="N684" i="5"/>
  <c r="R684" s="1"/>
  <c r="M685" i="14"/>
  <c r="L685"/>
  <c r="M685" i="18"/>
  <c r="L685"/>
  <c r="N685" i="5"/>
  <c r="R685" s="1"/>
  <c r="N686"/>
  <c r="R686" s="1"/>
  <c r="N687"/>
  <c r="R687" s="1"/>
  <c r="N688"/>
  <c r="R688" s="1"/>
  <c r="N689"/>
  <c r="R689" s="1"/>
  <c r="N690"/>
  <c r="R690" s="1"/>
  <c r="N691"/>
  <c r="R691" s="1"/>
  <c r="N692"/>
  <c r="R692" s="1"/>
  <c r="N693"/>
  <c r="R693" s="1"/>
  <c r="N694"/>
  <c r="R694" s="1"/>
  <c r="N695"/>
  <c r="R695" s="1"/>
  <c r="N696"/>
  <c r="R696" s="1"/>
  <c r="N697"/>
  <c r="R697" s="1"/>
  <c r="N698"/>
  <c r="R698" s="1"/>
  <c r="N699"/>
  <c r="R699" s="1"/>
  <c r="N700"/>
  <c r="R700" s="1"/>
  <c r="N701"/>
  <c r="R701" s="1"/>
  <c r="N702"/>
  <c r="R702" s="1"/>
  <c r="N703"/>
  <c r="R703" s="1"/>
  <c r="N704"/>
  <c r="R704" s="1"/>
  <c r="N705"/>
  <c r="R705" s="1"/>
  <c r="N706"/>
  <c r="R706" s="1"/>
  <c r="N707"/>
  <c r="R707" s="1"/>
  <c r="N708"/>
  <c r="R708" s="1"/>
  <c r="N709"/>
  <c r="R709" s="1"/>
  <c r="N710"/>
  <c r="R710" s="1"/>
  <c r="N711"/>
  <c r="R711" s="1"/>
  <c r="N712"/>
  <c r="R712" s="1"/>
  <c r="M713" i="18"/>
  <c r="L713"/>
  <c r="N713" i="5"/>
  <c r="R713" s="1"/>
  <c r="M714" i="18"/>
  <c r="L714"/>
  <c r="N714" i="5"/>
  <c r="R714" s="1"/>
  <c r="M715" i="18"/>
  <c r="L715"/>
  <c r="N715" i="5"/>
  <c r="R715" s="1"/>
  <c r="M716" i="18"/>
  <c r="L716"/>
  <c r="N716" i="5"/>
  <c r="R716" s="1"/>
  <c r="N717"/>
  <c r="R717" s="1"/>
  <c r="M718" i="18"/>
  <c r="L718"/>
  <c r="N718" i="5"/>
  <c r="R718" s="1"/>
  <c r="N719"/>
  <c r="R719" s="1"/>
  <c r="N720"/>
  <c r="R720" s="1"/>
  <c r="N721"/>
  <c r="R721" s="1"/>
  <c r="N722"/>
  <c r="R722" s="1"/>
  <c r="N723"/>
  <c r="R723" s="1"/>
  <c r="N724"/>
  <c r="R724" s="1"/>
  <c r="N725"/>
  <c r="R725" s="1"/>
  <c r="N726"/>
  <c r="R726" s="1"/>
  <c r="N727"/>
  <c r="R727" s="1"/>
  <c r="M728" i="18"/>
  <c r="L728"/>
  <c r="N728" i="5"/>
  <c r="R728" s="1"/>
  <c r="N729"/>
  <c r="R729" s="1"/>
  <c r="N730"/>
  <c r="R730" s="1"/>
  <c r="N731"/>
  <c r="R731" s="1"/>
  <c r="N732"/>
  <c r="R732" s="1"/>
  <c r="N733"/>
  <c r="R733" s="1"/>
  <c r="N734"/>
  <c r="R734" s="1"/>
  <c r="N735"/>
  <c r="R735" s="1"/>
  <c r="N736"/>
  <c r="R736" s="1"/>
  <c r="N737"/>
  <c r="R737" s="1"/>
  <c r="N738"/>
  <c r="R738" s="1"/>
  <c r="N739"/>
  <c r="R739" s="1"/>
  <c r="N740"/>
  <c r="R740" s="1"/>
  <c r="N741"/>
  <c r="R741" s="1"/>
  <c r="N742"/>
  <c r="R742" s="1"/>
  <c r="N743"/>
  <c r="R743" s="1"/>
  <c r="N744"/>
  <c r="R744" s="1"/>
  <c r="Q745" i="12"/>
  <c r="P745"/>
  <c r="Q534"/>
  <c r="P534"/>
  <c r="K1232" i="18"/>
  <c r="H1232"/>
  <c r="I1232" s="1"/>
  <c r="K1204"/>
  <c r="H1204"/>
  <c r="I1204" s="1"/>
  <c r="H1202" i="14"/>
  <c r="I1202" s="1"/>
  <c r="K1202"/>
  <c r="M1202" s="1"/>
  <c r="K1162"/>
  <c r="H1162"/>
  <c r="I1162" s="1"/>
  <c r="K881" i="18"/>
  <c r="H881"/>
  <c r="I881" s="1"/>
  <c r="K1146"/>
  <c r="H1146"/>
  <c r="I1146" s="1"/>
  <c r="M882"/>
  <c r="E882" i="22" s="1"/>
  <c r="L882" i="18"/>
  <c r="N882"/>
  <c r="M883"/>
  <c r="E883" i="22" s="1"/>
  <c r="L883" i="18"/>
  <c r="N883"/>
  <c r="M884"/>
  <c r="E884" i="22" s="1"/>
  <c r="L884" i="18"/>
  <c r="N884"/>
  <c r="M885"/>
  <c r="E885" i="22" s="1"/>
  <c r="L885" i="18"/>
  <c r="N885"/>
  <c r="M886"/>
  <c r="E886" i="22" s="1"/>
  <c r="L886" i="18"/>
  <c r="N886"/>
  <c r="M887"/>
  <c r="E887" i="22" s="1"/>
  <c r="L887" i="18"/>
  <c r="N887"/>
  <c r="M888"/>
  <c r="E888" i="22" s="1"/>
  <c r="L888" i="18"/>
  <c r="N888"/>
  <c r="M889"/>
  <c r="E889" i="22" s="1"/>
  <c r="L889" i="18"/>
  <c r="N889"/>
  <c r="M890"/>
  <c r="E890" i="22" s="1"/>
  <c r="L890" i="18"/>
  <c r="N890"/>
  <c r="M891"/>
  <c r="E891" i="22" s="1"/>
  <c r="L891" i="18"/>
  <c r="N891"/>
  <c r="M892"/>
  <c r="E892" i="22" s="1"/>
  <c r="L892" i="18"/>
  <c r="N892"/>
  <c r="M893"/>
  <c r="E893" i="22" s="1"/>
  <c r="L893" i="18"/>
  <c r="N893"/>
  <c r="M894"/>
  <c r="E894" i="22" s="1"/>
  <c r="L894" i="18"/>
  <c r="N894"/>
  <c r="M895"/>
  <c r="E895" i="22" s="1"/>
  <c r="L895" i="18"/>
  <c r="N895"/>
  <c r="M896"/>
  <c r="E896" i="22" s="1"/>
  <c r="L896" i="18"/>
  <c r="N896"/>
  <c r="M897" i="8"/>
  <c r="L897"/>
  <c r="M898" i="18"/>
  <c r="E898" i="22" s="1"/>
  <c r="L898" i="18"/>
  <c r="N898"/>
  <c r="M899"/>
  <c r="E899" i="22" s="1"/>
  <c r="L899" i="18"/>
  <c r="N899"/>
  <c r="M900"/>
  <c r="E900" i="22" s="1"/>
  <c r="L900" i="18"/>
  <c r="N900"/>
  <c r="M901"/>
  <c r="E901" i="22" s="1"/>
  <c r="L901" i="18"/>
  <c r="N901"/>
  <c r="M902"/>
  <c r="E902" i="22" s="1"/>
  <c r="L902" i="18"/>
  <c r="N902"/>
  <c r="M903"/>
  <c r="E903" i="22" s="1"/>
  <c r="L903" i="18"/>
  <c r="N903"/>
  <c r="M904"/>
  <c r="E904" i="22" s="1"/>
  <c r="L904" i="18"/>
  <c r="N904"/>
  <c r="M905"/>
  <c r="E905" i="22" s="1"/>
  <c r="L905" i="18"/>
  <c r="N905"/>
  <c r="M906"/>
  <c r="E906" i="22" s="1"/>
  <c r="L906" i="18"/>
  <c r="N906"/>
  <c r="M907"/>
  <c r="E907" i="22" s="1"/>
  <c r="L907" i="18"/>
  <c r="N907"/>
  <c r="M908"/>
  <c r="E908" i="22" s="1"/>
  <c r="L908" i="18"/>
  <c r="N908"/>
  <c r="M909"/>
  <c r="E909" i="22" s="1"/>
  <c r="L909" i="18"/>
  <c r="N909"/>
  <c r="M910"/>
  <c r="E910" i="22" s="1"/>
  <c r="L910" i="18"/>
  <c r="N910"/>
  <c r="M913"/>
  <c r="E913" i="22" s="1"/>
  <c r="L913" i="18"/>
  <c r="N913"/>
  <c r="M914"/>
  <c r="E914" i="22" s="1"/>
  <c r="L914" i="18"/>
  <c r="N914"/>
  <c r="M915"/>
  <c r="E915" i="22" s="1"/>
  <c r="L915" i="18"/>
  <c r="N915"/>
  <c r="M917"/>
  <c r="E917" i="22" s="1"/>
  <c r="L917" i="18"/>
  <c r="N917"/>
  <c r="M924"/>
  <c r="E924" i="22" s="1"/>
  <c r="L924" i="18"/>
  <c r="N924"/>
  <c r="I959" i="14"/>
  <c r="M959"/>
  <c r="M959" i="18"/>
  <c r="L959"/>
  <c r="N959"/>
  <c r="M964"/>
  <c r="E964" i="22" s="1"/>
  <c r="L964" i="18"/>
  <c r="N964"/>
  <c r="I966" i="14"/>
  <c r="M966"/>
  <c r="M966" i="18"/>
  <c r="L966"/>
  <c r="N966"/>
  <c r="I967" i="14"/>
  <c r="M967"/>
  <c r="M967" i="18"/>
  <c r="L967"/>
  <c r="N967"/>
  <c r="M969"/>
  <c r="E969" i="22" s="1"/>
  <c r="L969" i="18"/>
  <c r="N969"/>
  <c r="M972"/>
  <c r="E972" i="22" s="1"/>
  <c r="L972" i="18"/>
  <c r="N972"/>
  <c r="M1004"/>
  <c r="E1004" i="22" s="1"/>
  <c r="L1004" i="18"/>
  <c r="N1004"/>
  <c r="M1015"/>
  <c r="E1015" i="22" s="1"/>
  <c r="L1015" i="18"/>
  <c r="N1015"/>
  <c r="M1019"/>
  <c r="E1019" i="22" s="1"/>
  <c r="L1019" i="18"/>
  <c r="N1019"/>
  <c r="M1051"/>
  <c r="E1051" i="22" s="1"/>
  <c r="L1051" i="18"/>
  <c r="N1051"/>
  <c r="M1053"/>
  <c r="E1053" i="22" s="1"/>
  <c r="L1053" i="18"/>
  <c r="N1053"/>
  <c r="M1057"/>
  <c r="E1057" i="22" s="1"/>
  <c r="L1057" i="18"/>
  <c r="N1057"/>
  <c r="M1058"/>
  <c r="E1058" i="22" s="1"/>
  <c r="L1058" i="18"/>
  <c r="N1058"/>
  <c r="M1059"/>
  <c r="E1059" i="22" s="1"/>
  <c r="L1059" i="18"/>
  <c r="N1059"/>
  <c r="H879" i="14"/>
  <c r="I879" s="1"/>
  <c r="K879"/>
  <c r="M879" s="1"/>
  <c r="K749"/>
  <c r="H749"/>
  <c r="I749" s="1"/>
  <c r="K879" i="18"/>
  <c r="H879"/>
  <c r="I879" s="1"/>
  <c r="K749"/>
  <c r="H749"/>
  <c r="I749" s="1"/>
  <c r="M260" i="11"/>
  <c r="L260"/>
  <c r="M260" i="8"/>
  <c r="L260"/>
  <c r="M367"/>
  <c r="L367"/>
  <c r="K6" i="14"/>
  <c r="H6"/>
  <c r="I6" s="1"/>
  <c r="K1146" i="11"/>
  <c r="H1146"/>
  <c r="I1146" s="1"/>
  <c r="M747" i="5"/>
  <c r="P747"/>
  <c r="Q747" s="1"/>
  <c r="P384"/>
  <c r="Q384" s="1"/>
  <c r="M384"/>
  <c r="G1202" i="11"/>
  <c r="F1234"/>
  <c r="N380" i="5"/>
  <c r="R380" s="1"/>
  <c r="I380" i="22" s="1"/>
  <c r="N381" i="5"/>
  <c r="R381" s="1"/>
  <c r="I381" i="22" s="1"/>
  <c r="N382" i="5"/>
  <c r="R382" s="1"/>
  <c r="I382" i="22" s="1"/>
  <c r="N383" i="5"/>
  <c r="R383" s="1"/>
  <c r="I383" i="22" s="1"/>
  <c r="Q380" i="12"/>
  <c r="P380"/>
  <c r="N876" i="5"/>
  <c r="R876" s="1"/>
  <c r="I876" i="22" s="1"/>
  <c r="N877" i="5"/>
  <c r="R877" s="1"/>
  <c r="I877" i="22" s="1"/>
  <c r="N878" i="5"/>
  <c r="R878" s="1"/>
  <c r="I878" i="22" s="1"/>
  <c r="M537" i="9"/>
  <c r="L537"/>
  <c r="M537" i="11"/>
  <c r="L537"/>
  <c r="M537" i="8"/>
  <c r="L537"/>
  <c r="M538" i="9"/>
  <c r="L538"/>
  <c r="M538" i="11"/>
  <c r="L538"/>
  <c r="M538" i="8"/>
  <c r="L538"/>
  <c r="M539" i="9"/>
  <c r="L539"/>
  <c r="M539" i="11"/>
  <c r="L539"/>
  <c r="M539" i="8"/>
  <c r="L539"/>
  <c r="M540" i="9"/>
  <c r="L540"/>
  <c r="M540" i="11"/>
  <c r="L540"/>
  <c r="M540" i="8"/>
  <c r="L540"/>
  <c r="M541" i="9"/>
  <c r="L541"/>
  <c r="M541" i="11"/>
  <c r="L541"/>
  <c r="M541" i="8"/>
  <c r="L541"/>
  <c r="M542" i="9"/>
  <c r="L542"/>
  <c r="M542" i="11"/>
  <c r="L542"/>
  <c r="M542" i="8"/>
  <c r="L542"/>
  <c r="M543" i="9"/>
  <c r="L543"/>
  <c r="M543" i="11"/>
  <c r="L543"/>
  <c r="M543" i="8"/>
  <c r="L543"/>
  <c r="M544" i="9"/>
  <c r="L544"/>
  <c r="M544" i="11"/>
  <c r="L544"/>
  <c r="M544" i="8"/>
  <c r="L544"/>
  <c r="M545" i="9"/>
  <c r="L545"/>
  <c r="M545" i="11"/>
  <c r="L545"/>
  <c r="M545" i="8"/>
  <c r="L545"/>
  <c r="M546" i="9"/>
  <c r="L546"/>
  <c r="M546" i="11"/>
  <c r="L546"/>
  <c r="M546" i="8"/>
  <c r="L546"/>
  <c r="M547" i="9"/>
  <c r="L547"/>
  <c r="M547" i="11"/>
  <c r="L547"/>
  <c r="M547" i="8"/>
  <c r="L547"/>
  <c r="M548" i="9"/>
  <c r="L548"/>
  <c r="M548" i="11"/>
  <c r="L548"/>
  <c r="M548" i="8"/>
  <c r="L548"/>
  <c r="M549" i="9"/>
  <c r="L549"/>
  <c r="M549" i="11"/>
  <c r="L549"/>
  <c r="M549" i="8"/>
  <c r="L549"/>
  <c r="M550" i="9"/>
  <c r="L550"/>
  <c r="M550" i="11"/>
  <c r="L550"/>
  <c r="M550" i="8"/>
  <c r="L550"/>
  <c r="M551" i="9"/>
  <c r="L551"/>
  <c r="M551" i="11"/>
  <c r="L551"/>
  <c r="M551" i="8"/>
  <c r="L551"/>
  <c r="M552" i="9"/>
  <c r="L552"/>
  <c r="M552" i="11"/>
  <c r="L552"/>
  <c r="M552" i="8"/>
  <c r="L552"/>
  <c r="M553" i="9"/>
  <c r="L553"/>
  <c r="M553" i="11"/>
  <c r="L553"/>
  <c r="M553" i="8"/>
  <c r="L553"/>
  <c r="M554" i="9"/>
  <c r="L554"/>
  <c r="M554" i="11"/>
  <c r="L554"/>
  <c r="M554" i="8"/>
  <c r="L554"/>
  <c r="M555" i="9"/>
  <c r="L555"/>
  <c r="M555" i="11"/>
  <c r="L555"/>
  <c r="M555" i="8"/>
  <c r="L555"/>
  <c r="M556" i="11"/>
  <c r="L556"/>
  <c r="M556" i="8"/>
  <c r="L556"/>
  <c r="M557" i="9"/>
  <c r="L557"/>
  <c r="M557" i="11"/>
  <c r="L557"/>
  <c r="M557" i="8"/>
  <c r="L557"/>
  <c r="M558" i="9"/>
  <c r="L558"/>
  <c r="M558" i="11"/>
  <c r="L558"/>
  <c r="M558" i="8"/>
  <c r="L558"/>
  <c r="M559" i="9"/>
  <c r="L559"/>
  <c r="M559" i="11"/>
  <c r="L559"/>
  <c r="M559" i="8"/>
  <c r="L559"/>
  <c r="M560" i="9"/>
  <c r="L560"/>
  <c r="M560" i="11"/>
  <c r="L560"/>
  <c r="M560" i="8"/>
  <c r="L560"/>
  <c r="M561" i="9"/>
  <c r="L561"/>
  <c r="M561" i="11"/>
  <c r="L561"/>
  <c r="M561" i="8"/>
  <c r="L561"/>
  <c r="M562" i="9"/>
  <c r="L562"/>
  <c r="M562" i="11"/>
  <c r="L562"/>
  <c r="M562" i="8"/>
  <c r="L562"/>
  <c r="M563" i="9"/>
  <c r="L563"/>
  <c r="M563" i="11"/>
  <c r="L563"/>
  <c r="M563" i="8"/>
  <c r="L563"/>
  <c r="M564" i="11"/>
  <c r="L564"/>
  <c r="M564" i="8"/>
  <c r="L564"/>
  <c r="M565" i="11"/>
  <c r="L565"/>
  <c r="M565" i="8"/>
  <c r="L565"/>
  <c r="M566" i="9"/>
  <c r="L566"/>
  <c r="M566" i="11"/>
  <c r="L566"/>
  <c r="M566" i="8"/>
  <c r="L566"/>
  <c r="M567" i="11"/>
  <c r="L567"/>
  <c r="M567" i="8"/>
  <c r="L567"/>
  <c r="M568" i="11"/>
  <c r="L568"/>
  <c r="M568" i="8"/>
  <c r="L568"/>
  <c r="M569" i="11"/>
  <c r="L569"/>
  <c r="M569" i="8"/>
  <c r="L569"/>
  <c r="M570" i="11"/>
  <c r="L570"/>
  <c r="M570" i="8"/>
  <c r="L570"/>
  <c r="M571" i="11"/>
  <c r="L571"/>
  <c r="M571" i="8"/>
  <c r="L571"/>
  <c r="M572" i="11"/>
  <c r="L572"/>
  <c r="M572" i="8"/>
  <c r="L572"/>
  <c r="M573" i="9"/>
  <c r="L573"/>
  <c r="M573" i="11"/>
  <c r="L573"/>
  <c r="M573" i="8"/>
  <c r="L573"/>
  <c r="M574" i="9"/>
  <c r="L574"/>
  <c r="M574" i="11"/>
  <c r="L574"/>
  <c r="M574" i="8"/>
  <c r="L574"/>
  <c r="M575" i="9"/>
  <c r="L575"/>
  <c r="M575" i="11"/>
  <c r="L575"/>
  <c r="M575" i="8"/>
  <c r="L575"/>
  <c r="M576" i="9"/>
  <c r="L576"/>
  <c r="M576" i="11"/>
  <c r="L576"/>
  <c r="M576" i="8"/>
  <c r="L576"/>
  <c r="M577" i="9"/>
  <c r="L577"/>
  <c r="M577" i="11"/>
  <c r="L577"/>
  <c r="M577" i="8"/>
  <c r="L577"/>
  <c r="M578" i="9"/>
  <c r="L578"/>
  <c r="M578" i="11"/>
  <c r="L578"/>
  <c r="M578" i="8"/>
  <c r="L578"/>
  <c r="M579" i="9"/>
  <c r="L579"/>
  <c r="M579" i="11"/>
  <c r="L579"/>
  <c r="M579" i="8"/>
  <c r="L579"/>
  <c r="M580" i="9"/>
  <c r="L580"/>
  <c r="M580" i="11"/>
  <c r="L580"/>
  <c r="M580" i="8"/>
  <c r="L580"/>
  <c r="M581" i="11"/>
  <c r="L581"/>
  <c r="M581" i="8"/>
  <c r="L581"/>
  <c r="M582" i="9"/>
  <c r="L582"/>
  <c r="M582" i="11"/>
  <c r="L582"/>
  <c r="M582" i="8"/>
  <c r="L582"/>
  <c r="M583" i="9"/>
  <c r="L583"/>
  <c r="M583" i="11"/>
  <c r="L583"/>
  <c r="M583" i="8"/>
  <c r="L583"/>
  <c r="M584" i="11"/>
  <c r="L584"/>
  <c r="M584" i="8"/>
  <c r="L584"/>
  <c r="M585" i="9"/>
  <c r="L585"/>
  <c r="M585" i="11"/>
  <c r="L585"/>
  <c r="M585" i="8"/>
  <c r="L585"/>
  <c r="M586" i="11"/>
  <c r="L586"/>
  <c r="M586" i="8"/>
  <c r="L586"/>
  <c r="M587" i="9"/>
  <c r="L587"/>
  <c r="M587" i="11"/>
  <c r="L587"/>
  <c r="M587" i="8"/>
  <c r="L587"/>
  <c r="M588" i="9"/>
  <c r="L588"/>
  <c r="M588" i="11"/>
  <c r="L588"/>
  <c r="M588" i="8"/>
  <c r="L588"/>
  <c r="M589" i="9"/>
  <c r="L589"/>
  <c r="M589" i="11"/>
  <c r="L589"/>
  <c r="M589" i="8"/>
  <c r="L589"/>
  <c r="M590" i="9"/>
  <c r="L590"/>
  <c r="M590" i="11"/>
  <c r="L590"/>
  <c r="M590" i="8"/>
  <c r="L590"/>
  <c r="M591" i="11"/>
  <c r="L591"/>
  <c r="M591" i="8"/>
  <c r="L591"/>
  <c r="M592" i="9"/>
  <c r="L592"/>
  <c r="M592" i="11"/>
  <c r="L592"/>
  <c r="M592" i="8"/>
  <c r="L592"/>
  <c r="M593" i="9"/>
  <c r="L593"/>
  <c r="M593" i="11"/>
  <c r="L593"/>
  <c r="M593" i="8"/>
  <c r="L593"/>
  <c r="M594" i="9"/>
  <c r="L594"/>
  <c r="M594" i="11"/>
  <c r="L594"/>
  <c r="M594" i="8"/>
  <c r="L594"/>
  <c r="M595" i="9"/>
  <c r="L595"/>
  <c r="M595" i="11"/>
  <c r="L595"/>
  <c r="M595" i="8"/>
  <c r="L595"/>
  <c r="M596" i="9"/>
  <c r="L596"/>
  <c r="M596" i="11"/>
  <c r="L596"/>
  <c r="M596" i="8"/>
  <c r="L596"/>
  <c r="M597" i="9"/>
  <c r="L597"/>
  <c r="M597" i="11"/>
  <c r="L597"/>
  <c r="M597" i="8"/>
  <c r="L597"/>
  <c r="M598" i="9"/>
  <c r="L598"/>
  <c r="M598" i="11"/>
  <c r="L598"/>
  <c r="M598" i="8"/>
  <c r="L598"/>
  <c r="M599" i="9"/>
  <c r="L599"/>
  <c r="M599" i="11"/>
  <c r="L599"/>
  <c r="M599" i="8"/>
  <c r="L599"/>
  <c r="M600" i="9"/>
  <c r="L600"/>
  <c r="M600" i="11"/>
  <c r="L600"/>
  <c r="M600" i="8"/>
  <c r="L600"/>
  <c r="M601" i="9"/>
  <c r="L601"/>
  <c r="M601" i="11"/>
  <c r="L601"/>
  <c r="M601" i="8"/>
  <c r="L601"/>
  <c r="M602" i="9"/>
  <c r="L602"/>
  <c r="M602" i="11"/>
  <c r="L602"/>
  <c r="M602" i="8"/>
  <c r="L602"/>
  <c r="M603" i="9"/>
  <c r="L603"/>
  <c r="M603" i="11"/>
  <c r="L603"/>
  <c r="M603" i="8"/>
  <c r="L603"/>
  <c r="M604" i="9"/>
  <c r="L604"/>
  <c r="M604" i="11"/>
  <c r="L604"/>
  <c r="M604" i="8"/>
  <c r="L604"/>
  <c r="M605" i="9"/>
  <c r="L605"/>
  <c r="M605" i="11"/>
  <c r="L605"/>
  <c r="M605" i="8"/>
  <c r="L605"/>
  <c r="M606" i="9"/>
  <c r="L606"/>
  <c r="M606" i="11"/>
  <c r="L606"/>
  <c r="M606" i="8"/>
  <c r="L606"/>
  <c r="M607" i="9"/>
  <c r="L607"/>
  <c r="M607" i="11"/>
  <c r="L607"/>
  <c r="M607" i="8"/>
  <c r="L607"/>
  <c r="M608" i="9"/>
  <c r="L608"/>
  <c r="M608" i="11"/>
  <c r="L608"/>
  <c r="M608" i="8"/>
  <c r="L608"/>
  <c r="M609" i="9"/>
  <c r="L609"/>
  <c r="M609" i="11"/>
  <c r="L609"/>
  <c r="M609" i="8"/>
  <c r="L609"/>
  <c r="M610" i="9"/>
  <c r="L610"/>
  <c r="M610" i="11"/>
  <c r="L610"/>
  <c r="M610" i="8"/>
  <c r="L610"/>
  <c r="M611" i="9"/>
  <c r="L611"/>
  <c r="M611" i="11"/>
  <c r="L611"/>
  <c r="M611" i="8"/>
  <c r="L611"/>
  <c r="M612" i="9"/>
  <c r="L612"/>
  <c r="M612" i="11"/>
  <c r="L612"/>
  <c r="M612" i="8"/>
  <c r="L612"/>
  <c r="M613" i="9"/>
  <c r="L613"/>
  <c r="M613" i="11"/>
  <c r="L613"/>
  <c r="M613" i="8"/>
  <c r="L613"/>
  <c r="M614" i="9"/>
  <c r="L614"/>
  <c r="M614" i="11"/>
  <c r="L614"/>
  <c r="M614" i="8"/>
  <c r="L614"/>
  <c r="M615" i="9"/>
  <c r="L615"/>
  <c r="M615" i="11"/>
  <c r="L615"/>
  <c r="M615" i="8"/>
  <c r="L615"/>
  <c r="M616" i="9"/>
  <c r="L616"/>
  <c r="M616" i="11"/>
  <c r="L616"/>
  <c r="M616" i="8"/>
  <c r="L616"/>
  <c r="M617" i="9"/>
  <c r="L617"/>
  <c r="M617" i="11"/>
  <c r="L617"/>
  <c r="M617" i="8"/>
  <c r="L617"/>
  <c r="M618" i="9"/>
  <c r="L618"/>
  <c r="M618" i="11"/>
  <c r="L618"/>
  <c r="M618" i="8"/>
  <c r="L618"/>
  <c r="M619" i="9"/>
  <c r="L619"/>
  <c r="M619" i="11"/>
  <c r="L619"/>
  <c r="M619" i="8"/>
  <c r="L619"/>
  <c r="M620" i="9"/>
  <c r="L620"/>
  <c r="M620" i="11"/>
  <c r="L620"/>
  <c r="M620" i="8"/>
  <c r="L620"/>
  <c r="M621" i="9"/>
  <c r="L621"/>
  <c r="M621" i="11"/>
  <c r="L621"/>
  <c r="M621" i="8"/>
  <c r="L621"/>
  <c r="M622" i="9"/>
  <c r="L622"/>
  <c r="M622" i="11"/>
  <c r="L622"/>
  <c r="M622" i="8"/>
  <c r="L622"/>
  <c r="M623" i="9"/>
  <c r="L623"/>
  <c r="M623" i="11"/>
  <c r="L623"/>
  <c r="M623" i="8"/>
  <c r="L623"/>
  <c r="M624" i="9"/>
  <c r="L624"/>
  <c r="M624" i="11"/>
  <c r="L624"/>
  <c r="M624" i="8"/>
  <c r="L624"/>
  <c r="M625" i="9"/>
  <c r="L625"/>
  <c r="M625" i="11"/>
  <c r="L625"/>
  <c r="M625" i="8"/>
  <c r="L625"/>
  <c r="M626" i="9"/>
  <c r="L626"/>
  <c r="M626" i="11"/>
  <c r="L626"/>
  <c r="M626" i="8"/>
  <c r="L626"/>
  <c r="M627" i="9"/>
  <c r="L627"/>
  <c r="M627" i="11"/>
  <c r="L627"/>
  <c r="M627" i="8"/>
  <c r="L627"/>
  <c r="M628" i="9"/>
  <c r="L628"/>
  <c r="M628" i="11"/>
  <c r="L628"/>
  <c r="M628" i="8"/>
  <c r="L628"/>
  <c r="M629" i="9"/>
  <c r="L629"/>
  <c r="M629" i="11"/>
  <c r="L629"/>
  <c r="M629" i="8"/>
  <c r="L629"/>
  <c r="M630" i="9"/>
  <c r="L630"/>
  <c r="M630" i="11"/>
  <c r="L630"/>
  <c r="M630" i="8"/>
  <c r="L630"/>
  <c r="M631" i="9"/>
  <c r="L631"/>
  <c r="M631" i="11"/>
  <c r="L631"/>
  <c r="M631" i="8"/>
  <c r="L631"/>
  <c r="M632" i="9"/>
  <c r="L632"/>
  <c r="M632" i="11"/>
  <c r="L632"/>
  <c r="M632" i="8"/>
  <c r="L632"/>
  <c r="M633" i="9"/>
  <c r="L633"/>
  <c r="M633" i="11"/>
  <c r="L633"/>
  <c r="M633" i="8"/>
  <c r="L633"/>
  <c r="M634" i="9"/>
  <c r="L634"/>
  <c r="M634" i="11"/>
  <c r="L634"/>
  <c r="M634" i="8"/>
  <c r="L634"/>
  <c r="M635" i="9"/>
  <c r="L635"/>
  <c r="M635" i="11"/>
  <c r="L635"/>
  <c r="M635" i="8"/>
  <c r="L635"/>
  <c r="M636" i="9"/>
  <c r="L636"/>
  <c r="M636" i="11"/>
  <c r="L636"/>
  <c r="M636" i="8"/>
  <c r="L636"/>
  <c r="M637" i="9"/>
  <c r="L637"/>
  <c r="M637" i="11"/>
  <c r="L637"/>
  <c r="M637" i="8"/>
  <c r="L637"/>
  <c r="M638" i="9"/>
  <c r="L638"/>
  <c r="M638" i="11"/>
  <c r="L638"/>
  <c r="M638" i="8"/>
  <c r="L638"/>
  <c r="M639" i="9"/>
  <c r="L639"/>
  <c r="M639" i="11"/>
  <c r="L639"/>
  <c r="M639" i="8"/>
  <c r="L639"/>
  <c r="M640" i="9"/>
  <c r="L640"/>
  <c r="M640" i="11"/>
  <c r="L640"/>
  <c r="M640" i="8"/>
  <c r="L640"/>
  <c r="M641" i="9"/>
  <c r="L641"/>
  <c r="M641" i="11"/>
  <c r="L641"/>
  <c r="M641" i="8"/>
  <c r="L641"/>
  <c r="M642" i="9"/>
  <c r="L642"/>
  <c r="M642" i="11"/>
  <c r="L642"/>
  <c r="M642" i="8"/>
  <c r="L642"/>
  <c r="M643" i="9"/>
  <c r="L643"/>
  <c r="M643" i="11"/>
  <c r="L643"/>
  <c r="M643" i="8"/>
  <c r="L643"/>
  <c r="M644" i="9"/>
  <c r="L644"/>
  <c r="M644" i="11"/>
  <c r="L644"/>
  <c r="M644" i="8"/>
  <c r="L644"/>
  <c r="M645" i="9"/>
  <c r="L645"/>
  <c r="M645" i="11"/>
  <c r="L645"/>
  <c r="M645" i="8"/>
  <c r="L645"/>
  <c r="M646" i="9"/>
  <c r="L646"/>
  <c r="M646" i="11"/>
  <c r="L646"/>
  <c r="M646" i="8"/>
  <c r="L646"/>
  <c r="M647" i="9"/>
  <c r="L647"/>
  <c r="M647" i="11"/>
  <c r="L647"/>
  <c r="M647" i="8"/>
  <c r="L647"/>
  <c r="M648" i="9"/>
  <c r="L648"/>
  <c r="M648" i="11"/>
  <c r="L648"/>
  <c r="M648" i="8"/>
  <c r="L648"/>
  <c r="M649" i="9"/>
  <c r="L649"/>
  <c r="M649" i="11"/>
  <c r="L649"/>
  <c r="M649" i="8"/>
  <c r="L649"/>
  <c r="M650" i="9"/>
  <c r="L650"/>
  <c r="M650" i="11"/>
  <c r="L650"/>
  <c r="M650" i="8"/>
  <c r="L650"/>
  <c r="M651" i="9"/>
  <c r="L651"/>
  <c r="M651" i="11"/>
  <c r="L651"/>
  <c r="M651" i="8"/>
  <c r="L651"/>
  <c r="M652" i="9"/>
  <c r="L652"/>
  <c r="M652" i="11"/>
  <c r="L652"/>
  <c r="M652" i="8"/>
  <c r="L652"/>
  <c r="M653" i="9"/>
  <c r="L653"/>
  <c r="M653" i="11"/>
  <c r="L653"/>
  <c r="M653" i="8"/>
  <c r="L653"/>
  <c r="M654" i="9"/>
  <c r="L654"/>
  <c r="M654" i="11"/>
  <c r="L654"/>
  <c r="M654" i="8"/>
  <c r="L654"/>
  <c r="M655" i="9"/>
  <c r="L655"/>
  <c r="M655" i="11"/>
  <c r="L655"/>
  <c r="M655" i="8"/>
  <c r="L655"/>
  <c r="M656" i="9"/>
  <c r="L656"/>
  <c r="M656" i="11"/>
  <c r="L656"/>
  <c r="M656" i="8"/>
  <c r="L656"/>
  <c r="M657" i="9"/>
  <c r="L657"/>
  <c r="M657" i="11"/>
  <c r="L657"/>
  <c r="M657" i="8"/>
  <c r="L657"/>
  <c r="M658" i="9"/>
  <c r="L658"/>
  <c r="M658" i="11"/>
  <c r="L658"/>
  <c r="M658" i="8"/>
  <c r="L658"/>
  <c r="M659" i="9"/>
  <c r="L659"/>
  <c r="M659" i="11"/>
  <c r="L659"/>
  <c r="M659" i="8"/>
  <c r="L659"/>
  <c r="M660" i="9"/>
  <c r="L660"/>
  <c r="M660" i="11"/>
  <c r="L660"/>
  <c r="M660" i="8"/>
  <c r="L660"/>
  <c r="M661" i="9"/>
  <c r="L661"/>
  <c r="M661" i="11"/>
  <c r="L661"/>
  <c r="M661" i="8"/>
  <c r="L661"/>
  <c r="M662" i="9"/>
  <c r="L662"/>
  <c r="M662" i="11"/>
  <c r="L662"/>
  <c r="M662" i="8"/>
  <c r="L662"/>
  <c r="M663" i="9"/>
  <c r="L663"/>
  <c r="M663" i="11"/>
  <c r="L663"/>
  <c r="M663" i="8"/>
  <c r="L663"/>
  <c r="M664" i="9"/>
  <c r="L664"/>
  <c r="M664" i="11"/>
  <c r="L664"/>
  <c r="M664" i="8"/>
  <c r="L664"/>
  <c r="M665" i="9"/>
  <c r="L665"/>
  <c r="M665" i="11"/>
  <c r="L665"/>
  <c r="M665" i="8"/>
  <c r="L665"/>
  <c r="M666" i="9"/>
  <c r="L666"/>
  <c r="M666" i="11"/>
  <c r="L666"/>
  <c r="M666" i="8"/>
  <c r="L666"/>
  <c r="M667" i="9"/>
  <c r="L667"/>
  <c r="M667" i="11"/>
  <c r="L667"/>
  <c r="M667" i="8"/>
  <c r="L667"/>
  <c r="M668" i="9"/>
  <c r="L668"/>
  <c r="M668" i="11"/>
  <c r="L668"/>
  <c r="M668" i="8"/>
  <c r="L668"/>
  <c r="M669" i="9"/>
  <c r="L669"/>
  <c r="M669" i="11"/>
  <c r="L669"/>
  <c r="M669" i="8"/>
  <c r="L669"/>
  <c r="M670" i="9"/>
  <c r="L670"/>
  <c r="M670" i="11"/>
  <c r="L670"/>
  <c r="M670" i="8"/>
  <c r="L670"/>
  <c r="M671" i="9"/>
  <c r="L671"/>
  <c r="M671" i="11"/>
  <c r="L671"/>
  <c r="M671" i="8"/>
  <c r="L671"/>
  <c r="M672" i="9"/>
  <c r="L672"/>
  <c r="M672" i="11"/>
  <c r="L672"/>
  <c r="M672" i="8"/>
  <c r="L672"/>
  <c r="M673" i="9"/>
  <c r="L673"/>
  <c r="M673" i="11"/>
  <c r="L673"/>
  <c r="M673" i="8"/>
  <c r="L673"/>
  <c r="M674" i="9"/>
  <c r="L674"/>
  <c r="M674" i="11"/>
  <c r="L674"/>
  <c r="M674" i="8"/>
  <c r="L674"/>
  <c r="M675" i="9"/>
  <c r="L675"/>
  <c r="M675" i="11"/>
  <c r="L675"/>
  <c r="M675" i="8"/>
  <c r="L675"/>
  <c r="M676" i="9"/>
  <c r="L676"/>
  <c r="M676" i="11"/>
  <c r="L676"/>
  <c r="M676" i="8"/>
  <c r="L676"/>
  <c r="M677" i="9"/>
  <c r="L677"/>
  <c r="M677" i="11"/>
  <c r="L677"/>
  <c r="M677" i="8"/>
  <c r="L677"/>
  <c r="M678" i="9"/>
  <c r="L678"/>
  <c r="M678" i="11"/>
  <c r="L678"/>
  <c r="M678" i="8"/>
  <c r="L678"/>
  <c r="M679" i="9"/>
  <c r="L679"/>
  <c r="M679" i="11"/>
  <c r="L679"/>
  <c r="M679" i="8"/>
  <c r="L679"/>
  <c r="M680" i="9"/>
  <c r="L680"/>
  <c r="M680" i="11"/>
  <c r="L680"/>
  <c r="M680" i="8"/>
  <c r="L680"/>
  <c r="M681" i="9"/>
  <c r="L681"/>
  <c r="M681" i="11"/>
  <c r="L681"/>
  <c r="M681" i="8"/>
  <c r="L681"/>
  <c r="M682" i="9"/>
  <c r="L682"/>
  <c r="M682" i="11"/>
  <c r="L682"/>
  <c r="M682" i="8"/>
  <c r="L682"/>
  <c r="M683" i="9"/>
  <c r="L683"/>
  <c r="M683" i="11"/>
  <c r="L683"/>
  <c r="M683" i="8"/>
  <c r="L683"/>
  <c r="M684" i="9"/>
  <c r="L684"/>
  <c r="M684" i="11"/>
  <c r="L684"/>
  <c r="M684" i="8"/>
  <c r="L684"/>
  <c r="M685" i="9"/>
  <c r="L685"/>
  <c r="M685" i="11"/>
  <c r="L685"/>
  <c r="M685" i="8"/>
  <c r="L685"/>
  <c r="M686" i="9"/>
  <c r="L686"/>
  <c r="M686" i="11"/>
  <c r="L686"/>
  <c r="M686" i="8"/>
  <c r="L686"/>
  <c r="M687" i="9"/>
  <c r="L687"/>
  <c r="M687" i="11"/>
  <c r="L687"/>
  <c r="M687" i="8"/>
  <c r="L687"/>
  <c r="M688" i="9"/>
  <c r="L688"/>
  <c r="M688" i="11"/>
  <c r="L688"/>
  <c r="M688" i="8"/>
  <c r="L688"/>
  <c r="M689" i="11"/>
  <c r="L689"/>
  <c r="M689" i="8"/>
  <c r="L689"/>
  <c r="M690" i="9"/>
  <c r="L690"/>
  <c r="M690" i="11"/>
  <c r="L690"/>
  <c r="M690" i="8"/>
  <c r="L690"/>
  <c r="M691" i="9"/>
  <c r="L691"/>
  <c r="M691" i="11"/>
  <c r="L691"/>
  <c r="M691" i="8"/>
  <c r="L691"/>
  <c r="M692" i="9"/>
  <c r="L692"/>
  <c r="M692" i="11"/>
  <c r="L692"/>
  <c r="M692" i="8"/>
  <c r="L692"/>
  <c r="M693" i="9"/>
  <c r="L693"/>
  <c r="M693" i="11"/>
  <c r="L693"/>
  <c r="M693" i="8"/>
  <c r="L693"/>
  <c r="M694" i="9"/>
  <c r="L694"/>
  <c r="M694" i="11"/>
  <c r="L694"/>
  <c r="M694" i="8"/>
  <c r="L694"/>
  <c r="M695" i="9"/>
  <c r="L695"/>
  <c r="M695" i="11"/>
  <c r="L695"/>
  <c r="M695" i="8"/>
  <c r="L695"/>
  <c r="M696" i="9"/>
  <c r="L696"/>
  <c r="M696" i="11"/>
  <c r="L696"/>
  <c r="M696" i="8"/>
  <c r="L696"/>
  <c r="M697" i="9"/>
  <c r="L697"/>
  <c r="M697" i="11"/>
  <c r="L697"/>
  <c r="M697" i="8"/>
  <c r="L697"/>
  <c r="M698" i="9"/>
  <c r="L698"/>
  <c r="M698" i="11"/>
  <c r="L698"/>
  <c r="M698" i="8"/>
  <c r="L698"/>
  <c r="M699" i="9"/>
  <c r="L699"/>
  <c r="M699" i="11"/>
  <c r="L699"/>
  <c r="M699" i="8"/>
  <c r="L699"/>
  <c r="M700" i="9"/>
  <c r="L700"/>
  <c r="M700" i="11"/>
  <c r="L700"/>
  <c r="M700" i="8"/>
  <c r="L700"/>
  <c r="M701" i="9"/>
  <c r="L701"/>
  <c r="M701" i="11"/>
  <c r="L701"/>
  <c r="M701" i="8"/>
  <c r="L701"/>
  <c r="M702" i="9"/>
  <c r="L702"/>
  <c r="M702" i="11"/>
  <c r="L702"/>
  <c r="M702" i="8"/>
  <c r="L702"/>
  <c r="M703" i="9"/>
  <c r="L703"/>
  <c r="M703" i="11"/>
  <c r="L703"/>
  <c r="M703" i="8"/>
  <c r="L703"/>
  <c r="M704" i="11"/>
  <c r="L704"/>
  <c r="M704" i="8"/>
  <c r="L704"/>
  <c r="M705" i="11"/>
  <c r="L705"/>
  <c r="M705" i="8"/>
  <c r="L705"/>
  <c r="M706" i="9"/>
  <c r="L706"/>
  <c r="M706" i="11"/>
  <c r="L706"/>
  <c r="M706" i="8"/>
  <c r="L706"/>
  <c r="M707" i="9"/>
  <c r="L707"/>
  <c r="M707" i="11"/>
  <c r="L707"/>
  <c r="M707" i="8"/>
  <c r="L707"/>
  <c r="M708" i="9"/>
  <c r="L708"/>
  <c r="M708" i="11"/>
  <c r="L708"/>
  <c r="M708" i="8"/>
  <c r="L708"/>
  <c r="M709" i="9"/>
  <c r="L709"/>
  <c r="M709" i="11"/>
  <c r="L709"/>
  <c r="M709" i="8"/>
  <c r="L709"/>
  <c r="M710" i="9"/>
  <c r="L710"/>
  <c r="M710" i="11"/>
  <c r="L710"/>
  <c r="M710" i="8"/>
  <c r="L710"/>
  <c r="M711" i="9"/>
  <c r="L711"/>
  <c r="M711" i="11"/>
  <c r="L711"/>
  <c r="M711" i="8"/>
  <c r="L711"/>
  <c r="M712" i="9"/>
  <c r="L712"/>
  <c r="M712" i="11"/>
  <c r="L712"/>
  <c r="M712" i="8"/>
  <c r="L712"/>
  <c r="M713" i="9"/>
  <c r="L713"/>
  <c r="M713" i="11"/>
  <c r="L713"/>
  <c r="M713" i="8"/>
  <c r="L713"/>
  <c r="M714" i="9"/>
  <c r="L714"/>
  <c r="M714" i="11"/>
  <c r="L714"/>
  <c r="M714" i="8"/>
  <c r="L714"/>
  <c r="M715" i="9"/>
  <c r="L715"/>
  <c r="M715" i="11"/>
  <c r="L715"/>
  <c r="M715" i="8"/>
  <c r="L715"/>
  <c r="M716" i="9"/>
  <c r="L716"/>
  <c r="M716" i="11"/>
  <c r="L716"/>
  <c r="M716" i="8"/>
  <c r="L716"/>
  <c r="M717" i="9"/>
  <c r="L717"/>
  <c r="M717" i="11"/>
  <c r="L717"/>
  <c r="M717" i="8"/>
  <c r="L717"/>
  <c r="M718" i="9"/>
  <c r="L718"/>
  <c r="M718" i="11"/>
  <c r="L718"/>
  <c r="M718" i="8"/>
  <c r="L718"/>
  <c r="M719" i="9"/>
  <c r="L719"/>
  <c r="M719" i="11"/>
  <c r="L719"/>
  <c r="M719" i="8"/>
  <c r="L719"/>
  <c r="M720" i="9"/>
  <c r="L720"/>
  <c r="M720" i="11"/>
  <c r="L720"/>
  <c r="M720" i="8"/>
  <c r="L720"/>
  <c r="M721" i="9"/>
  <c r="L721"/>
  <c r="M721" i="11"/>
  <c r="L721"/>
  <c r="M721" i="8"/>
  <c r="L721"/>
  <c r="M722" i="9"/>
  <c r="L722"/>
  <c r="M722" i="11"/>
  <c r="L722"/>
  <c r="M722" i="8"/>
  <c r="L722"/>
  <c r="M723" i="9"/>
  <c r="L723"/>
  <c r="M723" i="11"/>
  <c r="L723"/>
  <c r="M723" i="8"/>
  <c r="L723"/>
  <c r="M724" i="9"/>
  <c r="L724"/>
  <c r="M724" i="11"/>
  <c r="L724"/>
  <c r="M724" i="8"/>
  <c r="L724"/>
  <c r="M725" i="9"/>
  <c r="L725"/>
  <c r="M725" i="11"/>
  <c r="L725"/>
  <c r="M725" i="8"/>
  <c r="L725"/>
  <c r="M726" i="9"/>
  <c r="L726"/>
  <c r="M726" i="11"/>
  <c r="L726"/>
  <c r="M726" i="8"/>
  <c r="L726"/>
  <c r="M727" i="9"/>
  <c r="L727"/>
  <c r="M727" i="11"/>
  <c r="L727"/>
  <c r="M727" i="8"/>
  <c r="L727"/>
  <c r="M728" i="9"/>
  <c r="L728"/>
  <c r="M728" i="11"/>
  <c r="L728"/>
  <c r="M728" i="8"/>
  <c r="L728"/>
  <c r="M729" i="9"/>
  <c r="L729"/>
  <c r="M729" i="11"/>
  <c r="L729"/>
  <c r="M729" i="8"/>
  <c r="L729"/>
  <c r="M730" i="9"/>
  <c r="L730"/>
  <c r="M730" i="11"/>
  <c r="L730"/>
  <c r="M730" i="8"/>
  <c r="L730"/>
  <c r="M731" i="9"/>
  <c r="L731"/>
  <c r="M731" i="11"/>
  <c r="L731"/>
  <c r="M731" i="8"/>
  <c r="L731"/>
  <c r="M732" i="9"/>
  <c r="L732"/>
  <c r="M732" i="11"/>
  <c r="L732"/>
  <c r="M732" i="8"/>
  <c r="L732"/>
  <c r="M733" i="9"/>
  <c r="L733"/>
  <c r="M733" i="11"/>
  <c r="L733"/>
  <c r="M733" i="8"/>
  <c r="L733"/>
  <c r="M734" i="9"/>
  <c r="L734"/>
  <c r="M734" i="11"/>
  <c r="L734"/>
  <c r="M734" i="8"/>
  <c r="L734"/>
  <c r="M735" i="9"/>
  <c r="L735"/>
  <c r="M735" i="11"/>
  <c r="L735"/>
  <c r="M735" i="8"/>
  <c r="L735"/>
  <c r="M736" i="9"/>
  <c r="L736"/>
  <c r="M736" i="11"/>
  <c r="L736"/>
  <c r="M736" i="8"/>
  <c r="L736"/>
  <c r="M737" i="9"/>
  <c r="L737"/>
  <c r="M737" i="11"/>
  <c r="L737"/>
  <c r="M737" i="8"/>
  <c r="L737"/>
  <c r="M738" i="9"/>
  <c r="L738"/>
  <c r="M738" i="11"/>
  <c r="L738"/>
  <c r="M738" i="8"/>
  <c r="L738"/>
  <c r="M739" i="9"/>
  <c r="L739"/>
  <c r="M739" i="11"/>
  <c r="L739"/>
  <c r="M739" i="8"/>
  <c r="L739"/>
  <c r="M740" i="9"/>
  <c r="L740"/>
  <c r="M740" i="11"/>
  <c r="L740"/>
  <c r="M740" i="8"/>
  <c r="L740"/>
  <c r="M741" i="9"/>
  <c r="L741"/>
  <c r="M741" i="11"/>
  <c r="L741"/>
  <c r="M741" i="8"/>
  <c r="L741"/>
  <c r="M742" i="9"/>
  <c r="L742"/>
  <c r="M742" i="11"/>
  <c r="L742"/>
  <c r="M742" i="8"/>
  <c r="L742"/>
  <c r="M743" i="9"/>
  <c r="L743"/>
  <c r="M743" i="11"/>
  <c r="L743"/>
  <c r="M743" i="8"/>
  <c r="L743"/>
  <c r="M744" i="9"/>
  <c r="L744"/>
  <c r="M744" i="11"/>
  <c r="L744"/>
  <c r="M744" i="8"/>
  <c r="L744"/>
  <c r="M745" i="9"/>
  <c r="L745"/>
  <c r="M745" i="11"/>
  <c r="L745"/>
  <c r="M386" i="9"/>
  <c r="L386"/>
  <c r="M386" i="11"/>
  <c r="L386"/>
  <c r="M387" i="8"/>
  <c r="L387"/>
  <c r="M387" i="14"/>
  <c r="L387"/>
  <c r="M387" i="9"/>
  <c r="L387"/>
  <c r="M387" i="11"/>
  <c r="L387"/>
  <c r="M388" i="8"/>
  <c r="L388"/>
  <c r="M388" i="14"/>
  <c r="L388"/>
  <c r="M388" i="9"/>
  <c r="L388"/>
  <c r="M388" i="11"/>
  <c r="L388"/>
  <c r="M389" i="8"/>
  <c r="L389"/>
  <c r="M389" i="14"/>
  <c r="L389"/>
  <c r="M389" i="9"/>
  <c r="L389"/>
  <c r="M389" i="11"/>
  <c r="L389"/>
  <c r="M390" i="8"/>
  <c r="L390"/>
  <c r="M390" i="14"/>
  <c r="L390"/>
  <c r="M390" i="9"/>
  <c r="L390"/>
  <c r="M390" i="11"/>
  <c r="L390"/>
  <c r="M391" i="8"/>
  <c r="L391"/>
  <c r="M391" i="14"/>
  <c r="L391"/>
  <c r="M391" i="9"/>
  <c r="L391"/>
  <c r="M391" i="11"/>
  <c r="L391"/>
  <c r="M392" i="8"/>
  <c r="L392"/>
  <c r="M392" i="14"/>
  <c r="L392"/>
  <c r="M392" i="9"/>
  <c r="L392"/>
  <c r="M392" i="11"/>
  <c r="L392"/>
  <c r="M393" i="8"/>
  <c r="L393"/>
  <c r="M393" i="14"/>
  <c r="L393"/>
  <c r="M393" i="9"/>
  <c r="L393"/>
  <c r="M393" i="11"/>
  <c r="L393"/>
  <c r="M394" i="8"/>
  <c r="L394"/>
  <c r="M394" i="14"/>
  <c r="L394"/>
  <c r="M394" i="9"/>
  <c r="L394"/>
  <c r="M394" i="11"/>
  <c r="L394"/>
  <c r="M395" i="8"/>
  <c r="L395"/>
  <c r="M395" i="14"/>
  <c r="L395"/>
  <c r="M395" i="9"/>
  <c r="L395"/>
  <c r="M395" i="11"/>
  <c r="L395"/>
  <c r="M396" i="8"/>
  <c r="L396"/>
  <c r="M396" i="14"/>
  <c r="L396"/>
  <c r="M396" i="9"/>
  <c r="L396"/>
  <c r="M396" i="11"/>
  <c r="L396"/>
  <c r="M397" i="8"/>
  <c r="L397"/>
  <c r="M397" i="14"/>
  <c r="L397"/>
  <c r="M397" i="9"/>
  <c r="L397"/>
  <c r="M397" i="11"/>
  <c r="L397"/>
  <c r="M398" i="8"/>
  <c r="L398"/>
  <c r="M398" i="14"/>
  <c r="L398"/>
  <c r="M398" i="9"/>
  <c r="L398"/>
  <c r="M398" i="11"/>
  <c r="L398"/>
  <c r="M399" i="8"/>
  <c r="L399"/>
  <c r="M399" i="14"/>
  <c r="L399"/>
  <c r="M399" i="9"/>
  <c r="L399"/>
  <c r="M399" i="11"/>
  <c r="L399"/>
  <c r="M400" i="8"/>
  <c r="L400"/>
  <c r="M400" i="14"/>
  <c r="L400"/>
  <c r="M400" i="9"/>
  <c r="L400"/>
  <c r="M400" i="11"/>
  <c r="L400"/>
  <c r="M401" i="8"/>
  <c r="L401"/>
  <c r="M401" i="14"/>
  <c r="L401"/>
  <c r="M401" i="9"/>
  <c r="L401"/>
  <c r="M401" i="11"/>
  <c r="L401"/>
  <c r="M402" i="8"/>
  <c r="L402"/>
  <c r="M402" i="14"/>
  <c r="L402"/>
  <c r="M402" i="9"/>
  <c r="L402"/>
  <c r="M402" i="11"/>
  <c r="L402"/>
  <c r="M403" i="8"/>
  <c r="L403"/>
  <c r="M403" i="14"/>
  <c r="L403"/>
  <c r="M403" i="9"/>
  <c r="L403"/>
  <c r="M403" i="11"/>
  <c r="L403"/>
  <c r="M404" i="8"/>
  <c r="L404"/>
  <c r="M404" i="14"/>
  <c r="L404"/>
  <c r="M404" i="9"/>
  <c r="L404"/>
  <c r="M404" i="11"/>
  <c r="L404"/>
  <c r="M405" i="8"/>
  <c r="L405"/>
  <c r="M405" i="14"/>
  <c r="L405"/>
  <c r="M405" i="9"/>
  <c r="L405"/>
  <c r="M405" i="11"/>
  <c r="L405"/>
  <c r="M406" i="8"/>
  <c r="L406"/>
  <c r="M406" i="14"/>
  <c r="L406"/>
  <c r="M406" i="9"/>
  <c r="L406"/>
  <c r="M406" i="11"/>
  <c r="L406"/>
  <c r="M407" i="8"/>
  <c r="L407"/>
  <c r="M407" i="14"/>
  <c r="L407"/>
  <c r="M407" i="9"/>
  <c r="L407"/>
  <c r="M407" i="11"/>
  <c r="L407"/>
  <c r="M408" i="8"/>
  <c r="L408"/>
  <c r="M408" i="14"/>
  <c r="L408"/>
  <c r="M408" i="9"/>
  <c r="L408"/>
  <c r="M408" i="11"/>
  <c r="L408"/>
  <c r="M409" i="8"/>
  <c r="L409"/>
  <c r="M409" i="14"/>
  <c r="L409"/>
  <c r="M409" i="9"/>
  <c r="L409"/>
  <c r="M409" i="11"/>
  <c r="L409"/>
  <c r="M410" i="8"/>
  <c r="L410"/>
  <c r="M410" i="14"/>
  <c r="L410"/>
  <c r="M410" i="9"/>
  <c r="L410"/>
  <c r="M410" i="11"/>
  <c r="L410"/>
  <c r="M411" i="8"/>
  <c r="L411"/>
  <c r="M411" i="14"/>
  <c r="L411"/>
  <c r="M411" i="9"/>
  <c r="L411"/>
  <c r="M411" i="11"/>
  <c r="L411"/>
  <c r="M412" i="8"/>
  <c r="L412"/>
  <c r="M412" i="14"/>
  <c r="L412"/>
  <c r="M412" i="9"/>
  <c r="L412"/>
  <c r="M412" i="11"/>
  <c r="L412"/>
  <c r="M413" i="8"/>
  <c r="L413"/>
  <c r="M413" i="14"/>
  <c r="L413"/>
  <c r="M413" i="9"/>
  <c r="L413"/>
  <c r="M413" i="11"/>
  <c r="L413"/>
  <c r="M414" i="8"/>
  <c r="L414"/>
  <c r="M414" i="14"/>
  <c r="L414"/>
  <c r="M414" i="9"/>
  <c r="L414"/>
  <c r="M414" i="11"/>
  <c r="L414"/>
  <c r="M415" i="8"/>
  <c r="L415"/>
  <c r="M415" i="14"/>
  <c r="L415"/>
  <c r="M415" i="9"/>
  <c r="L415"/>
  <c r="M415" i="11"/>
  <c r="L415"/>
  <c r="M416" i="8"/>
  <c r="L416"/>
  <c r="M416" i="14"/>
  <c r="L416"/>
  <c r="M416" i="9"/>
  <c r="L416"/>
  <c r="M416" i="11"/>
  <c r="L416"/>
  <c r="M417" i="8"/>
  <c r="L417"/>
  <c r="M417" i="14"/>
  <c r="L417"/>
  <c r="M417" i="9"/>
  <c r="L417"/>
  <c r="M417" i="11"/>
  <c r="L417"/>
  <c r="M418" i="8"/>
  <c r="L418"/>
  <c r="M418" i="14"/>
  <c r="L418"/>
  <c r="M418" i="9"/>
  <c r="L418"/>
  <c r="M418" i="11"/>
  <c r="L418"/>
  <c r="M419" i="8"/>
  <c r="L419"/>
  <c r="M419" i="9"/>
  <c r="L419"/>
  <c r="M419" i="11"/>
  <c r="L419"/>
  <c r="M420" i="8"/>
  <c r="L420"/>
  <c r="M420" i="9"/>
  <c r="L420"/>
  <c r="M420" i="11"/>
  <c r="L420"/>
  <c r="M421" i="8"/>
  <c r="L421"/>
  <c r="M421" i="9"/>
  <c r="L421"/>
  <c r="M421" i="11"/>
  <c r="L421"/>
  <c r="M422" i="8"/>
  <c r="L422"/>
  <c r="M422" i="9"/>
  <c r="L422"/>
  <c r="M422" i="11"/>
  <c r="L422"/>
  <c r="M423" i="8"/>
  <c r="L423"/>
  <c r="M423" i="9"/>
  <c r="L423"/>
  <c r="M423" i="11"/>
  <c r="L423"/>
  <c r="M424" i="8"/>
  <c r="L424"/>
  <c r="M424" i="9"/>
  <c r="L424"/>
  <c r="M424" i="11"/>
  <c r="L424"/>
  <c r="M425" i="8"/>
  <c r="L425"/>
  <c r="M425" i="9"/>
  <c r="L425"/>
  <c r="M425" i="11"/>
  <c r="L425"/>
  <c r="M426" i="8"/>
  <c r="L426"/>
  <c r="M426" i="9"/>
  <c r="L426"/>
  <c r="M426" i="11"/>
  <c r="L426"/>
  <c r="M427" i="8"/>
  <c r="L427"/>
  <c r="M427" i="9"/>
  <c r="L427"/>
  <c r="M427" i="11"/>
  <c r="L427"/>
  <c r="M428" i="8"/>
  <c r="L428"/>
  <c r="M428" i="9"/>
  <c r="L428"/>
  <c r="M428" i="11"/>
  <c r="L428"/>
  <c r="M429" i="8"/>
  <c r="L429"/>
  <c r="M429" i="9"/>
  <c r="L429"/>
  <c r="M429" i="11"/>
  <c r="L429"/>
  <c r="M430" i="8"/>
  <c r="L430"/>
  <c r="M430" i="9"/>
  <c r="L430"/>
  <c r="M430" i="11"/>
  <c r="L430"/>
  <c r="M431" i="8"/>
  <c r="L431"/>
  <c r="M431" i="9"/>
  <c r="L431"/>
  <c r="M431" i="11"/>
  <c r="L431"/>
  <c r="M432" i="8"/>
  <c r="L432"/>
  <c r="M432" i="9"/>
  <c r="L432"/>
  <c r="M432" i="11"/>
  <c r="L432"/>
  <c r="M433" i="8"/>
  <c r="L433"/>
  <c r="M433" i="9"/>
  <c r="L433"/>
  <c r="M433" i="11"/>
  <c r="L433"/>
  <c r="M434" i="8"/>
  <c r="L434"/>
  <c r="M434" i="9"/>
  <c r="L434"/>
  <c r="M434" i="11"/>
  <c r="L434"/>
  <c r="M435" i="8"/>
  <c r="L435"/>
  <c r="M435" i="9"/>
  <c r="L435"/>
  <c r="M435" i="11"/>
  <c r="L435"/>
  <c r="M436" i="8"/>
  <c r="L436"/>
  <c r="M436" i="9"/>
  <c r="L436"/>
  <c r="M436" i="11"/>
  <c r="L436"/>
  <c r="M437" i="8"/>
  <c r="L437"/>
  <c r="M437" i="9"/>
  <c r="L437"/>
  <c r="M437" i="11"/>
  <c r="L437"/>
  <c r="M438" i="8"/>
  <c r="L438"/>
  <c r="M438" i="9"/>
  <c r="L438"/>
  <c r="M438" i="11"/>
  <c r="L438"/>
  <c r="M439" i="8"/>
  <c r="L439"/>
  <c r="M439" i="9"/>
  <c r="L439"/>
  <c r="M439" i="11"/>
  <c r="L439"/>
  <c r="M440" i="8"/>
  <c r="L440"/>
  <c r="M440" i="9"/>
  <c r="L440"/>
  <c r="M440" i="11"/>
  <c r="L440"/>
  <c r="M441" i="8"/>
  <c r="L441"/>
  <c r="M441" i="9"/>
  <c r="L441"/>
  <c r="M441" i="11"/>
  <c r="L441"/>
  <c r="M442" i="8"/>
  <c r="L442"/>
  <c r="M442" i="9"/>
  <c r="L442"/>
  <c r="M442" i="11"/>
  <c r="L442"/>
  <c r="M443" i="8"/>
  <c r="L443"/>
  <c r="M443" i="9"/>
  <c r="L443"/>
  <c r="M443" i="11"/>
  <c r="L443"/>
  <c r="M444" i="8"/>
  <c r="L444"/>
  <c r="M444" i="9"/>
  <c r="L444"/>
  <c r="M444" i="11"/>
  <c r="L444"/>
  <c r="M445" i="8"/>
  <c r="L445"/>
  <c r="M445" i="9"/>
  <c r="L445"/>
  <c r="M445" i="11"/>
  <c r="L445"/>
  <c r="M446" i="8"/>
  <c r="L446"/>
  <c r="M446" i="9"/>
  <c r="L446"/>
  <c r="M446" i="11"/>
  <c r="L446"/>
  <c r="M447" i="8"/>
  <c r="L447"/>
  <c r="M447" i="9"/>
  <c r="L447"/>
  <c r="M447" i="11"/>
  <c r="L447"/>
  <c r="M448" i="8"/>
  <c r="L448"/>
  <c r="M448" i="9"/>
  <c r="L448"/>
  <c r="M448" i="11"/>
  <c r="L448"/>
  <c r="M449" i="8"/>
  <c r="L449"/>
  <c r="M449" i="9"/>
  <c r="L449"/>
  <c r="M449" i="11"/>
  <c r="L449"/>
  <c r="M450" i="8"/>
  <c r="L450"/>
  <c r="M450" i="9"/>
  <c r="L450"/>
  <c r="M450" i="11"/>
  <c r="L450"/>
  <c r="M451" i="8"/>
  <c r="L451"/>
  <c r="M451" i="9"/>
  <c r="L451"/>
  <c r="M451" i="11"/>
  <c r="L451"/>
  <c r="M452" i="8"/>
  <c r="L452"/>
  <c r="M452" i="9"/>
  <c r="L452"/>
  <c r="M452" i="11"/>
  <c r="L452"/>
  <c r="M453" i="8"/>
  <c r="L453"/>
  <c r="M453" i="9"/>
  <c r="L453"/>
  <c r="M453" i="11"/>
  <c r="L453"/>
  <c r="M454" i="8"/>
  <c r="L454"/>
  <c r="M454" i="9"/>
  <c r="L454"/>
  <c r="M454" i="11"/>
  <c r="L454"/>
  <c r="M455" i="8"/>
  <c r="L455"/>
  <c r="M455" i="9"/>
  <c r="L455"/>
  <c r="M455" i="11"/>
  <c r="L455"/>
  <c r="M456" i="8"/>
  <c r="L456"/>
  <c r="M456" i="9"/>
  <c r="L456"/>
  <c r="M456" i="11"/>
  <c r="L456"/>
  <c r="M457" i="8"/>
  <c r="L457"/>
  <c r="M457" i="9"/>
  <c r="L457"/>
  <c r="M457" i="11"/>
  <c r="L457"/>
  <c r="M458" i="8"/>
  <c r="L458"/>
  <c r="M458" i="9"/>
  <c r="L458"/>
  <c r="M458" i="11"/>
  <c r="L458"/>
  <c r="M459" i="8"/>
  <c r="L459"/>
  <c r="M459" i="9"/>
  <c r="L459"/>
  <c r="M459" i="11"/>
  <c r="L459"/>
  <c r="M460" i="8"/>
  <c r="L460"/>
  <c r="M460" i="9"/>
  <c r="L460"/>
  <c r="M460" i="11"/>
  <c r="L460"/>
  <c r="M461" i="8"/>
  <c r="L461"/>
  <c r="M461" i="9"/>
  <c r="L461"/>
  <c r="M461" i="11"/>
  <c r="L461"/>
  <c r="M462" i="8"/>
  <c r="L462"/>
  <c r="M462" i="9"/>
  <c r="L462"/>
  <c r="M462" i="11"/>
  <c r="L462"/>
  <c r="M463" i="8"/>
  <c r="L463"/>
  <c r="M463" i="9"/>
  <c r="L463"/>
  <c r="M463" i="11"/>
  <c r="L463"/>
  <c r="M464" i="8"/>
  <c r="L464"/>
  <c r="M464" i="9"/>
  <c r="L464"/>
  <c r="M464" i="11"/>
  <c r="L464"/>
  <c r="M465" i="8"/>
  <c r="L465"/>
  <c r="M465" i="9"/>
  <c r="L465"/>
  <c r="M465" i="11"/>
  <c r="L465"/>
  <c r="M466" i="8"/>
  <c r="L466"/>
  <c r="M466" i="9"/>
  <c r="L466"/>
  <c r="M466" i="11"/>
  <c r="L466"/>
  <c r="M467" i="8"/>
  <c r="L467"/>
  <c r="M467" i="9"/>
  <c r="L467"/>
  <c r="M467" i="11"/>
  <c r="L467"/>
  <c r="M468" i="8"/>
  <c r="L468"/>
  <c r="M468" i="9"/>
  <c r="L468"/>
  <c r="M468" i="11"/>
  <c r="L468"/>
  <c r="M469" i="8"/>
  <c r="L469"/>
  <c r="M469" i="9"/>
  <c r="L469"/>
  <c r="M469" i="11"/>
  <c r="L469"/>
  <c r="M470" i="8"/>
  <c r="L470"/>
  <c r="M470" i="9"/>
  <c r="L470"/>
  <c r="M470" i="11"/>
  <c r="L470"/>
  <c r="M471" i="8"/>
  <c r="L471"/>
  <c r="M471" i="9"/>
  <c r="L471"/>
  <c r="M471" i="11"/>
  <c r="L471"/>
  <c r="M472" i="8"/>
  <c r="L472"/>
  <c r="M472" i="9"/>
  <c r="L472"/>
  <c r="M472" i="11"/>
  <c r="L472"/>
  <c r="M473" i="8"/>
  <c r="L473"/>
  <c r="M473" i="9"/>
  <c r="L473"/>
  <c r="M473" i="11"/>
  <c r="L473"/>
  <c r="M474" i="8"/>
  <c r="L474"/>
  <c r="M474" i="9"/>
  <c r="L474"/>
  <c r="M474" i="11"/>
  <c r="L474"/>
  <c r="M475" i="8"/>
  <c r="L475"/>
  <c r="M475" i="9"/>
  <c r="L475"/>
  <c r="M475" i="11"/>
  <c r="L475"/>
  <c r="M476" i="8"/>
  <c r="L476"/>
  <c r="M476" i="9"/>
  <c r="L476"/>
  <c r="M476" i="11"/>
  <c r="L476"/>
  <c r="M477" i="8"/>
  <c r="L477"/>
  <c r="M477" i="9"/>
  <c r="L477"/>
  <c r="M477" i="11"/>
  <c r="L477"/>
  <c r="M478" i="8"/>
  <c r="L478"/>
  <c r="M478" i="9"/>
  <c r="L478"/>
  <c r="M478" i="11"/>
  <c r="L478"/>
  <c r="M479" i="8"/>
  <c r="L479"/>
  <c r="M479" i="9"/>
  <c r="L479"/>
  <c r="M479" i="11"/>
  <c r="L479"/>
  <c r="M480" i="8"/>
  <c r="L480"/>
  <c r="M480" i="9"/>
  <c r="L480"/>
  <c r="M480" i="11"/>
  <c r="L480"/>
  <c r="M481" i="8"/>
  <c r="L481"/>
  <c r="M481" i="9"/>
  <c r="L481"/>
  <c r="M481" i="11"/>
  <c r="L481"/>
  <c r="M482" i="8"/>
  <c r="L482"/>
  <c r="M482" i="9"/>
  <c r="L482"/>
  <c r="M482" i="11"/>
  <c r="L482"/>
  <c r="M483" i="8"/>
  <c r="L483"/>
  <c r="M483" i="9"/>
  <c r="L483"/>
  <c r="M483" i="11"/>
  <c r="L483"/>
  <c r="M484" i="8"/>
  <c r="L484"/>
  <c r="M484" i="9"/>
  <c r="L484"/>
  <c r="M484" i="11"/>
  <c r="L484"/>
  <c r="M485" i="8"/>
  <c r="L485"/>
  <c r="M485" i="9"/>
  <c r="L485"/>
  <c r="M485" i="11"/>
  <c r="L485"/>
  <c r="M486" i="8"/>
  <c r="L486"/>
  <c r="M486" i="9"/>
  <c r="L486"/>
  <c r="M486" i="11"/>
  <c r="L486"/>
  <c r="M487" i="8"/>
  <c r="L487"/>
  <c r="M487" i="9"/>
  <c r="L487"/>
  <c r="M487" i="11"/>
  <c r="L487"/>
  <c r="M488" i="8"/>
  <c r="L488"/>
  <c r="M488" i="9"/>
  <c r="L488"/>
  <c r="M488" i="11"/>
  <c r="L488"/>
  <c r="M489" i="8"/>
  <c r="L489"/>
  <c r="M489" i="9"/>
  <c r="L489"/>
  <c r="M489" i="11"/>
  <c r="L489"/>
  <c r="M490" i="8"/>
  <c r="L490"/>
  <c r="M490" i="9"/>
  <c r="L490"/>
  <c r="M490" i="11"/>
  <c r="L490"/>
  <c r="M491" i="8"/>
  <c r="L491"/>
  <c r="M491" i="9"/>
  <c r="L491"/>
  <c r="M491" i="11"/>
  <c r="L491"/>
  <c r="M492" i="8"/>
  <c r="L492"/>
  <c r="M492" i="9"/>
  <c r="L492"/>
  <c r="M492" i="11"/>
  <c r="L492"/>
  <c r="M493" i="8"/>
  <c r="L493"/>
  <c r="M493" i="9"/>
  <c r="L493"/>
  <c r="M493" i="11"/>
  <c r="L493"/>
  <c r="M494" i="8"/>
  <c r="L494"/>
  <c r="M494" i="9"/>
  <c r="L494"/>
  <c r="M494" i="11"/>
  <c r="L494"/>
  <c r="M495" i="8"/>
  <c r="L495"/>
  <c r="M495" i="9"/>
  <c r="L495"/>
  <c r="M495" i="11"/>
  <c r="L495"/>
  <c r="M496" i="8"/>
  <c r="L496"/>
  <c r="M496" i="9"/>
  <c r="L496"/>
  <c r="M496" i="11"/>
  <c r="L496"/>
  <c r="M497" i="8"/>
  <c r="L497"/>
  <c r="M497" i="9"/>
  <c r="L497"/>
  <c r="M497" i="11"/>
  <c r="L497"/>
  <c r="M498" i="8"/>
  <c r="L498"/>
  <c r="M498" i="9"/>
  <c r="L498"/>
  <c r="M498" i="11"/>
  <c r="L498"/>
  <c r="M499" i="8"/>
  <c r="L499"/>
  <c r="M499" i="9"/>
  <c r="L499"/>
  <c r="M499" i="11"/>
  <c r="L499"/>
  <c r="M500" i="8"/>
  <c r="L500"/>
  <c r="M500" i="9"/>
  <c r="L500"/>
  <c r="M500" i="11"/>
  <c r="L500"/>
  <c r="M501" i="8"/>
  <c r="L501"/>
  <c r="M501" i="9"/>
  <c r="L501"/>
  <c r="M501" i="11"/>
  <c r="L501"/>
  <c r="M502" i="8"/>
  <c r="L502"/>
  <c r="M502" i="9"/>
  <c r="L502"/>
  <c r="M502" i="11"/>
  <c r="L502"/>
  <c r="M503" i="8"/>
  <c r="L503"/>
  <c r="M503" i="9"/>
  <c r="L503"/>
  <c r="M503" i="11"/>
  <c r="L503"/>
  <c r="M504" i="8"/>
  <c r="L504"/>
  <c r="M504" i="9"/>
  <c r="L504"/>
  <c r="M504" i="11"/>
  <c r="L504"/>
  <c r="M505" i="8"/>
  <c r="L505"/>
  <c r="M505" i="9"/>
  <c r="L505"/>
  <c r="M505" i="11"/>
  <c r="L505"/>
  <c r="M506" i="8"/>
  <c r="L506"/>
  <c r="M506" i="9"/>
  <c r="L506"/>
  <c r="M506" i="11"/>
  <c r="L506"/>
  <c r="M507" i="8"/>
  <c r="L507"/>
  <c r="M507" i="9"/>
  <c r="L507"/>
  <c r="M507" i="11"/>
  <c r="L507"/>
  <c r="M508" i="8"/>
  <c r="L508"/>
  <c r="M508" i="9"/>
  <c r="L508"/>
  <c r="M508" i="11"/>
  <c r="L508"/>
  <c r="M509" i="8"/>
  <c r="L509"/>
  <c r="M509" i="9"/>
  <c r="L509"/>
  <c r="M509" i="11"/>
  <c r="L509"/>
  <c r="M510" i="8"/>
  <c r="L510"/>
  <c r="M510" i="9"/>
  <c r="L510"/>
  <c r="M510" i="11"/>
  <c r="L510"/>
  <c r="M511" i="8"/>
  <c r="L511"/>
  <c r="M511" i="9"/>
  <c r="L511"/>
  <c r="M511" i="11"/>
  <c r="L511"/>
  <c r="M512" i="8"/>
  <c r="L512"/>
  <c r="M512" i="9"/>
  <c r="L512"/>
  <c r="M512" i="11"/>
  <c r="L512"/>
  <c r="M513" i="8"/>
  <c r="L513"/>
  <c r="M513" i="9"/>
  <c r="L513"/>
  <c r="M513" i="11"/>
  <c r="L513"/>
  <c r="M514" i="8"/>
  <c r="L514"/>
  <c r="M514" i="9"/>
  <c r="L514"/>
  <c r="M514" i="11"/>
  <c r="L514"/>
  <c r="M515" i="8"/>
  <c r="L515"/>
  <c r="M515" i="9"/>
  <c r="L515"/>
  <c r="M515" i="11"/>
  <c r="L515"/>
  <c r="M516" i="8"/>
  <c r="L516"/>
  <c r="M516" i="9"/>
  <c r="L516"/>
  <c r="M516" i="11"/>
  <c r="L516"/>
  <c r="M517" i="8"/>
  <c r="L517"/>
  <c r="M517" i="9"/>
  <c r="L517"/>
  <c r="M517" i="11"/>
  <c r="L517"/>
  <c r="M518" i="8"/>
  <c r="L518"/>
  <c r="M518" i="9"/>
  <c r="L518"/>
  <c r="M518" i="11"/>
  <c r="L518"/>
  <c r="M519" i="8"/>
  <c r="L519"/>
  <c r="M519" i="9"/>
  <c r="L519"/>
  <c r="M519" i="11"/>
  <c r="L519"/>
  <c r="M520" i="8"/>
  <c r="L520"/>
  <c r="M520" i="9"/>
  <c r="L520"/>
  <c r="M520" i="11"/>
  <c r="L520"/>
  <c r="M521" i="8"/>
  <c r="L521"/>
  <c r="M521" i="9"/>
  <c r="L521"/>
  <c r="M521" i="11"/>
  <c r="L521"/>
  <c r="M522" i="8"/>
  <c r="L522"/>
  <c r="M522" i="9"/>
  <c r="L522"/>
  <c r="M522" i="11"/>
  <c r="L522"/>
  <c r="M523" i="8"/>
  <c r="L523"/>
  <c r="M523" i="9"/>
  <c r="L523"/>
  <c r="M523" i="11"/>
  <c r="L523"/>
  <c r="M524" i="8"/>
  <c r="L524"/>
  <c r="M524" i="9"/>
  <c r="L524"/>
  <c r="M524" i="11"/>
  <c r="L524"/>
  <c r="M525" i="8"/>
  <c r="L525"/>
  <c r="M525" i="9"/>
  <c r="L525"/>
  <c r="M525" i="11"/>
  <c r="L525"/>
  <c r="M526" i="8"/>
  <c r="L526"/>
  <c r="M526" i="9"/>
  <c r="L526"/>
  <c r="M526" i="11"/>
  <c r="L526"/>
  <c r="M527" i="8"/>
  <c r="L527"/>
  <c r="M527" i="9"/>
  <c r="L527"/>
  <c r="M527" i="11"/>
  <c r="L527"/>
  <c r="M528" i="8"/>
  <c r="L528"/>
  <c r="M528" i="9"/>
  <c r="L528"/>
  <c r="M528" i="11"/>
  <c r="L528"/>
  <c r="M529" i="8"/>
  <c r="L529"/>
  <c r="M529" i="9"/>
  <c r="L529"/>
  <c r="M529" i="11"/>
  <c r="L529"/>
  <c r="M530" i="8"/>
  <c r="L530"/>
  <c r="M530" i="9"/>
  <c r="L530"/>
  <c r="M530" i="11"/>
  <c r="L530"/>
  <c r="M531" i="8"/>
  <c r="L531"/>
  <c r="M531" i="9"/>
  <c r="L531"/>
  <c r="M531" i="11"/>
  <c r="L531"/>
  <c r="M532" i="8"/>
  <c r="L532"/>
  <c r="M532" i="9"/>
  <c r="L532"/>
  <c r="M532" i="11"/>
  <c r="L532"/>
  <c r="M533" i="8"/>
  <c r="L533"/>
  <c r="M533" i="9"/>
  <c r="L533"/>
  <c r="M533" i="11"/>
  <c r="L533"/>
  <c r="M534" i="8"/>
  <c r="L534"/>
  <c r="M534" i="9"/>
  <c r="L534"/>
  <c r="M534" i="11"/>
  <c r="L534"/>
  <c r="M386" i="8"/>
  <c r="L386"/>
  <c r="M535"/>
  <c r="L535"/>
  <c r="N1148" i="5"/>
  <c r="R1148" s="1"/>
  <c r="M1148" i="11"/>
  <c r="K1202"/>
  <c r="M1148" i="8"/>
  <c r="K1202"/>
  <c r="M1202" s="1"/>
  <c r="N1149" i="5"/>
  <c r="R1149" s="1"/>
  <c r="N1150"/>
  <c r="R1150" s="1"/>
  <c r="N1151"/>
  <c r="R1151" s="1"/>
  <c r="N1152"/>
  <c r="R1152" s="1"/>
  <c r="N1153"/>
  <c r="R1153" s="1"/>
  <c r="N1154"/>
  <c r="R1154" s="1"/>
  <c r="N1155"/>
  <c r="R1155" s="1"/>
  <c r="N1156"/>
  <c r="R1156" s="1"/>
  <c r="N1157"/>
  <c r="R1157" s="1"/>
  <c r="N1158"/>
  <c r="R1158" s="1"/>
  <c r="N1159"/>
  <c r="R1159" s="1"/>
  <c r="N1161"/>
  <c r="R1161" s="1"/>
  <c r="N1162"/>
  <c r="R1162" s="1"/>
  <c r="N1163"/>
  <c r="R1163" s="1"/>
  <c r="N1164"/>
  <c r="R1164" s="1"/>
  <c r="N1165"/>
  <c r="R1165" s="1"/>
  <c r="N1166"/>
  <c r="R1166" s="1"/>
  <c r="N1167"/>
  <c r="R1167" s="1"/>
  <c r="N1168"/>
  <c r="R1168" s="1"/>
  <c r="N1169"/>
  <c r="R1169" s="1"/>
  <c r="N1170"/>
  <c r="R1170" s="1"/>
  <c r="N1171"/>
  <c r="R1171" s="1"/>
  <c r="N1172"/>
  <c r="R1172" s="1"/>
  <c r="N1173"/>
  <c r="R1173" s="1"/>
  <c r="N1174"/>
  <c r="R1174" s="1"/>
  <c r="N1175"/>
  <c r="R1175" s="1"/>
  <c r="N1176"/>
  <c r="R1176" s="1"/>
  <c r="N1177"/>
  <c r="R1177" s="1"/>
  <c r="N1178"/>
  <c r="R1178" s="1"/>
  <c r="N1179"/>
  <c r="R1179" s="1"/>
  <c r="N1180"/>
  <c r="R1180" s="1"/>
  <c r="N1181"/>
  <c r="R1181" s="1"/>
  <c r="N1182"/>
  <c r="R1182" s="1"/>
  <c r="N1183"/>
  <c r="R1183" s="1"/>
  <c r="N1184"/>
  <c r="R1184" s="1"/>
  <c r="N1185"/>
  <c r="R1185" s="1"/>
  <c r="N1186"/>
  <c r="R1186" s="1"/>
  <c r="N1187"/>
  <c r="R1187" s="1"/>
  <c r="N1188"/>
  <c r="R1188" s="1"/>
  <c r="N1189"/>
  <c r="R1189" s="1"/>
  <c r="N1190"/>
  <c r="R1190" s="1"/>
  <c r="N1191"/>
  <c r="R1191" s="1"/>
  <c r="N1192"/>
  <c r="R1192" s="1"/>
  <c r="N1193"/>
  <c r="R1193" s="1"/>
  <c r="N1194"/>
  <c r="R1194" s="1"/>
  <c r="N1195"/>
  <c r="R1195" s="1"/>
  <c r="N1196"/>
  <c r="R1196" s="1"/>
  <c r="N1197"/>
  <c r="R1197" s="1"/>
  <c r="N1198"/>
  <c r="R1198" s="1"/>
  <c r="N1199"/>
  <c r="R1199" s="1"/>
  <c r="N1200"/>
  <c r="R1200" s="1"/>
  <c r="N881"/>
  <c r="R881" s="1"/>
  <c r="M881" i="11"/>
  <c r="H881" i="22" s="1"/>
  <c r="L881" i="11"/>
  <c r="N882" i="5"/>
  <c r="R882" s="1"/>
  <c r="M882" i="11"/>
  <c r="H882" i="22" s="1"/>
  <c r="L882" i="11"/>
  <c r="N883" i="5"/>
  <c r="R883" s="1"/>
  <c r="M883" i="11"/>
  <c r="H883" i="22" s="1"/>
  <c r="L883" i="11"/>
  <c r="N884" i="5"/>
  <c r="R884" s="1"/>
  <c r="M884" i="11"/>
  <c r="H884" i="22" s="1"/>
  <c r="L884" i="11"/>
  <c r="N885" i="5"/>
  <c r="R885" s="1"/>
  <c r="M885" i="11"/>
  <c r="H885" i="22" s="1"/>
  <c r="L885" i="11"/>
  <c r="N886" i="5"/>
  <c r="R886" s="1"/>
  <c r="M886" i="11"/>
  <c r="H886" i="22" s="1"/>
  <c r="L886" i="11"/>
  <c r="N887" i="5"/>
  <c r="R887" s="1"/>
  <c r="M887" i="11"/>
  <c r="H887" i="22" s="1"/>
  <c r="L887" i="11"/>
  <c r="N888" i="5"/>
  <c r="R888" s="1"/>
  <c r="M888" i="11"/>
  <c r="H888" i="22" s="1"/>
  <c r="L888" i="11"/>
  <c r="N889" i="5"/>
  <c r="R889" s="1"/>
  <c r="M889" i="11"/>
  <c r="H889" i="22" s="1"/>
  <c r="L889" i="11"/>
  <c r="N890" i="5"/>
  <c r="R890" s="1"/>
  <c r="M890" i="11"/>
  <c r="H890" i="22" s="1"/>
  <c r="L890" i="11"/>
  <c r="N891" i="5"/>
  <c r="R891" s="1"/>
  <c r="M891" i="11"/>
  <c r="H891" i="22" s="1"/>
  <c r="L891" i="11"/>
  <c r="N892" i="5"/>
  <c r="R892" s="1"/>
  <c r="M892" i="11"/>
  <c r="H892" i="22" s="1"/>
  <c r="L892" i="11"/>
  <c r="N893" i="5"/>
  <c r="R893" s="1"/>
  <c r="M893" i="11"/>
  <c r="H893" i="22" s="1"/>
  <c r="L893" i="11"/>
  <c r="N894" i="5"/>
  <c r="R894" s="1"/>
  <c r="M894" i="11"/>
  <c r="H894" i="22" s="1"/>
  <c r="L894" i="11"/>
  <c r="N895" i="5"/>
  <c r="R895" s="1"/>
  <c r="M895" i="11"/>
  <c r="H895" i="22" s="1"/>
  <c r="L895" i="11"/>
  <c r="N896" i="5"/>
  <c r="R896" s="1"/>
  <c r="M896" i="11"/>
  <c r="H896" i="22" s="1"/>
  <c r="L896" i="11"/>
  <c r="N897" i="5"/>
  <c r="R897" s="1"/>
  <c r="M897" i="11"/>
  <c r="H897" i="22" s="1"/>
  <c r="L897" i="11"/>
  <c r="N898" i="5"/>
  <c r="R898" s="1"/>
  <c r="M898" i="11"/>
  <c r="H898" i="22" s="1"/>
  <c r="L898" i="11"/>
  <c r="N899" i="5"/>
  <c r="R899" s="1"/>
  <c r="M899" i="11"/>
  <c r="H899" i="22" s="1"/>
  <c r="L899" i="11"/>
  <c r="N900" i="5"/>
  <c r="R900" s="1"/>
  <c r="M900" i="11"/>
  <c r="H900" i="22" s="1"/>
  <c r="L900" i="11"/>
  <c r="N901" i="5"/>
  <c r="R901" s="1"/>
  <c r="M901" i="11"/>
  <c r="H901" i="22" s="1"/>
  <c r="L901" i="11"/>
  <c r="N902" i="5"/>
  <c r="R902" s="1"/>
  <c r="M902" i="11"/>
  <c r="H902" i="22" s="1"/>
  <c r="L902" i="11"/>
  <c r="N903" i="5"/>
  <c r="R903" s="1"/>
  <c r="M903" i="11"/>
  <c r="H903" i="22" s="1"/>
  <c r="L903" i="11"/>
  <c r="N904" i="5"/>
  <c r="R904" s="1"/>
  <c r="M904" i="11"/>
  <c r="H904" i="22" s="1"/>
  <c r="L904" i="11"/>
  <c r="N905" i="5"/>
  <c r="R905" s="1"/>
  <c r="M905" i="11"/>
  <c r="H905" i="22" s="1"/>
  <c r="L905" i="11"/>
  <c r="N906" i="5"/>
  <c r="R906" s="1"/>
  <c r="M906" i="11"/>
  <c r="H906" i="22" s="1"/>
  <c r="L906" i="11"/>
  <c r="N907" i="5"/>
  <c r="R907" s="1"/>
  <c r="M907" i="11"/>
  <c r="H907" i="22" s="1"/>
  <c r="L907" i="11"/>
  <c r="N908" i="5"/>
  <c r="R908" s="1"/>
  <c r="M908" i="11"/>
  <c r="H908" i="22" s="1"/>
  <c r="L908" i="11"/>
  <c r="N909" i="5"/>
  <c r="R909" s="1"/>
  <c r="N910"/>
  <c r="R910" s="1"/>
  <c r="M910" i="11"/>
  <c r="H910" i="22" s="1"/>
  <c r="L910" i="11"/>
  <c r="N911" i="5"/>
  <c r="R911" s="1"/>
  <c r="M911" i="11"/>
  <c r="H911" i="22" s="1"/>
  <c r="L911" i="11"/>
  <c r="N912" i="5"/>
  <c r="R912" s="1"/>
  <c r="M912" i="11"/>
  <c r="H912" i="22" s="1"/>
  <c r="L912" i="11"/>
  <c r="N913" i="5"/>
  <c r="R913" s="1"/>
  <c r="M913" i="11"/>
  <c r="H913" i="22" s="1"/>
  <c r="L913" i="11"/>
  <c r="N914" i="5"/>
  <c r="R914" s="1"/>
  <c r="M914" i="11"/>
  <c r="H914" i="22" s="1"/>
  <c r="L914" i="11"/>
  <c r="N915" i="5"/>
  <c r="R915" s="1"/>
  <c r="M915" i="11"/>
  <c r="H915" i="22" s="1"/>
  <c r="L915" i="11"/>
  <c r="N916" i="5"/>
  <c r="R916" s="1"/>
  <c r="M916" i="11"/>
  <c r="H916" i="22" s="1"/>
  <c r="L916" i="11"/>
  <c r="N917" i="5"/>
  <c r="R917" s="1"/>
  <c r="M917" i="11"/>
  <c r="H917" i="22" s="1"/>
  <c r="L917" i="11"/>
  <c r="N918" i="5"/>
  <c r="R918" s="1"/>
  <c r="M918" i="11"/>
  <c r="H918" i="22" s="1"/>
  <c r="L918" i="11"/>
  <c r="N919" i="5"/>
  <c r="R919" s="1"/>
  <c r="M919" i="11"/>
  <c r="H919" i="22" s="1"/>
  <c r="L919" i="11"/>
  <c r="N920" i="5"/>
  <c r="R920" s="1"/>
  <c r="M920" i="11"/>
  <c r="H920" i="22" s="1"/>
  <c r="L920" i="11"/>
  <c r="N921" i="5"/>
  <c r="R921" s="1"/>
  <c r="M921" i="11"/>
  <c r="H921" i="22" s="1"/>
  <c r="L921" i="11"/>
  <c r="N922" i="5"/>
  <c r="R922" s="1"/>
  <c r="M922" i="11"/>
  <c r="H922" i="22" s="1"/>
  <c r="L922" i="11"/>
  <c r="N923" i="5"/>
  <c r="R923" s="1"/>
  <c r="M923" i="11"/>
  <c r="H923" i="22" s="1"/>
  <c r="L923" i="11"/>
  <c r="N924" i="5"/>
  <c r="R924" s="1"/>
  <c r="M924" i="11"/>
  <c r="H924" i="22" s="1"/>
  <c r="L924" i="11"/>
  <c r="N925" i="5"/>
  <c r="R925" s="1"/>
  <c r="M925" i="11"/>
  <c r="H925" i="22" s="1"/>
  <c r="L925" i="11"/>
  <c r="N926" i="5"/>
  <c r="R926" s="1"/>
  <c r="M926" i="11"/>
  <c r="H926" i="22" s="1"/>
  <c r="L926" i="11"/>
  <c r="N927" i="5"/>
  <c r="R927" s="1"/>
  <c r="M927" i="11"/>
  <c r="H927" i="22" s="1"/>
  <c r="L927" i="11"/>
  <c r="N928" i="5"/>
  <c r="R928" s="1"/>
  <c r="M928" i="11"/>
  <c r="H928" i="22" s="1"/>
  <c r="L928" i="11"/>
  <c r="N929" i="5"/>
  <c r="R929" s="1"/>
  <c r="M929" i="11"/>
  <c r="H929" i="22" s="1"/>
  <c r="L929" i="11"/>
  <c r="N930" i="5"/>
  <c r="R930" s="1"/>
  <c r="M930" i="11"/>
  <c r="H930" i="22" s="1"/>
  <c r="L930" i="11"/>
  <c r="N931" i="5"/>
  <c r="R931" s="1"/>
  <c r="M931" i="11"/>
  <c r="H931" i="22" s="1"/>
  <c r="L931" i="11"/>
  <c r="N932" i="5"/>
  <c r="R932" s="1"/>
  <c r="M932" i="11"/>
  <c r="H932" i="22" s="1"/>
  <c r="L932" i="11"/>
  <c r="N933" i="5"/>
  <c r="R933" s="1"/>
  <c r="M933" i="11"/>
  <c r="H933" i="22" s="1"/>
  <c r="L933" i="11"/>
  <c r="N934" i="5"/>
  <c r="R934" s="1"/>
  <c r="M934" i="11"/>
  <c r="H934" i="22" s="1"/>
  <c r="L934" i="11"/>
  <c r="N935" i="5"/>
  <c r="R935" s="1"/>
  <c r="M935" i="11"/>
  <c r="H935" i="22" s="1"/>
  <c r="L935" i="11"/>
  <c r="N936" i="5"/>
  <c r="R936" s="1"/>
  <c r="M936" i="11"/>
  <c r="H936" i="22" s="1"/>
  <c r="L936" i="11"/>
  <c r="N937" i="5"/>
  <c r="R937" s="1"/>
  <c r="M937" i="11"/>
  <c r="H937" i="22" s="1"/>
  <c r="L937" i="11"/>
  <c r="N938" i="5"/>
  <c r="R938" s="1"/>
  <c r="M938" i="11"/>
  <c r="H938" i="22" s="1"/>
  <c r="L938" i="11"/>
  <c r="N939" i="5"/>
  <c r="R939" s="1"/>
  <c r="M939" i="11"/>
  <c r="H939" i="22" s="1"/>
  <c r="L939" i="11"/>
  <c r="N940" i="5"/>
  <c r="R940" s="1"/>
  <c r="M940" i="11"/>
  <c r="H940" i="22" s="1"/>
  <c r="L940" i="11"/>
  <c r="N941" i="5"/>
  <c r="R941" s="1"/>
  <c r="M941" i="11"/>
  <c r="H941" i="22" s="1"/>
  <c r="L941" i="11"/>
  <c r="N942" i="5"/>
  <c r="R942" s="1"/>
  <c r="M942" i="11"/>
  <c r="H942" i="22" s="1"/>
  <c r="L942" i="11"/>
  <c r="N943" i="5"/>
  <c r="R943" s="1"/>
  <c r="M943" i="11"/>
  <c r="H943" i="22" s="1"/>
  <c r="L943" i="11"/>
  <c r="N944" i="5"/>
  <c r="R944" s="1"/>
  <c r="M944" i="11"/>
  <c r="H944" i="22" s="1"/>
  <c r="L944" i="11"/>
  <c r="N945" i="5"/>
  <c r="R945" s="1"/>
  <c r="M945" i="11"/>
  <c r="H945" i="22" s="1"/>
  <c r="L945" i="11"/>
  <c r="N946" i="5"/>
  <c r="R946" s="1"/>
  <c r="M946" i="11"/>
  <c r="H946" i="22" s="1"/>
  <c r="L946" i="11"/>
  <c r="N947" i="5"/>
  <c r="R947" s="1"/>
  <c r="M947" i="11"/>
  <c r="H947" i="22" s="1"/>
  <c r="L947" i="11"/>
  <c r="N948" i="5"/>
  <c r="R948" s="1"/>
  <c r="M948" i="11"/>
  <c r="H948" i="22" s="1"/>
  <c r="L948" i="11"/>
  <c r="N949" i="5"/>
  <c r="R949" s="1"/>
  <c r="M949" i="11"/>
  <c r="H949" i="22" s="1"/>
  <c r="L949" i="11"/>
  <c r="N950" i="5"/>
  <c r="R950" s="1"/>
  <c r="M950" i="11"/>
  <c r="H950" i="22" s="1"/>
  <c r="L950" i="11"/>
  <c r="N951" i="5"/>
  <c r="R951" s="1"/>
  <c r="M951" i="11"/>
  <c r="H951" i="22" s="1"/>
  <c r="L951" i="11"/>
  <c r="N952" i="5"/>
  <c r="R952" s="1"/>
  <c r="M952" i="11"/>
  <c r="H952" i="22" s="1"/>
  <c r="L952" i="11"/>
  <c r="N953" i="5"/>
  <c r="R953" s="1"/>
  <c r="M953" i="11"/>
  <c r="H953" i="22" s="1"/>
  <c r="L953" i="11"/>
  <c r="N954" i="5"/>
  <c r="R954" s="1"/>
  <c r="M954" i="11"/>
  <c r="H954" i="22" s="1"/>
  <c r="L954" i="11"/>
  <c r="N955" i="5"/>
  <c r="R955" s="1"/>
  <c r="M955" i="11"/>
  <c r="H955" i="22" s="1"/>
  <c r="L955" i="11"/>
  <c r="N956" i="5"/>
  <c r="R956" s="1"/>
  <c r="M956" i="11"/>
  <c r="H956" i="22" s="1"/>
  <c r="L956" i="11"/>
  <c r="N957" i="5"/>
  <c r="R957" s="1"/>
  <c r="M957" i="11"/>
  <c r="H957" i="22" s="1"/>
  <c r="L957" i="11"/>
  <c r="N958" i="5"/>
  <c r="R958" s="1"/>
  <c r="M958" i="11"/>
  <c r="H958" i="22" s="1"/>
  <c r="L958" i="11"/>
  <c r="N959" i="5"/>
  <c r="R959" s="1"/>
  <c r="M959" i="11"/>
  <c r="H959" i="22" s="1"/>
  <c r="L959" i="11"/>
  <c r="N960" i="5"/>
  <c r="R960" s="1"/>
  <c r="M960" i="11"/>
  <c r="H960" i="22" s="1"/>
  <c r="L960" i="11"/>
  <c r="N961" i="5"/>
  <c r="R961" s="1"/>
  <c r="M961" i="11"/>
  <c r="H961" i="22" s="1"/>
  <c r="L961" i="11"/>
  <c r="N962" i="5"/>
  <c r="R962" s="1"/>
  <c r="M962" i="11"/>
  <c r="H962" i="22" s="1"/>
  <c r="L962" i="11"/>
  <c r="N963" i="5"/>
  <c r="R963" s="1"/>
  <c r="M963" i="11"/>
  <c r="L963"/>
  <c r="N964" i="5"/>
  <c r="R964" s="1"/>
  <c r="M964" i="11"/>
  <c r="H964" i="22" s="1"/>
  <c r="L964" i="11"/>
  <c r="N965" i="5"/>
  <c r="R965" s="1"/>
  <c r="M965" i="11"/>
  <c r="H965" i="22" s="1"/>
  <c r="L965" i="11"/>
  <c r="N966" i="5"/>
  <c r="R966" s="1"/>
  <c r="M966" i="11"/>
  <c r="H966" i="22" s="1"/>
  <c r="L966" i="11"/>
  <c r="N967" i="5"/>
  <c r="R967" s="1"/>
  <c r="M967" i="11"/>
  <c r="H967" i="22" s="1"/>
  <c r="L967" i="11"/>
  <c r="N968" i="5"/>
  <c r="R968" s="1"/>
  <c r="M968" i="11"/>
  <c r="H968" i="22" s="1"/>
  <c r="L968" i="11"/>
  <c r="N969" i="5"/>
  <c r="R969" s="1"/>
  <c r="M969" i="11"/>
  <c r="H969" i="22" s="1"/>
  <c r="L969" i="11"/>
  <c r="N970" i="5"/>
  <c r="R970" s="1"/>
  <c r="M970" i="11"/>
  <c r="H970" i="22" s="1"/>
  <c r="L970" i="11"/>
  <c r="N971" i="5"/>
  <c r="R971" s="1"/>
  <c r="M971" i="11"/>
  <c r="H971" i="22" s="1"/>
  <c r="L971" i="11"/>
  <c r="N972" i="5"/>
  <c r="R972" s="1"/>
  <c r="M972" i="11"/>
  <c r="H972" i="22" s="1"/>
  <c r="L972" i="11"/>
  <c r="N973" i="5"/>
  <c r="R973" s="1"/>
  <c r="M973" i="11"/>
  <c r="H973" i="22" s="1"/>
  <c r="L973" i="11"/>
  <c r="N974" i="5"/>
  <c r="R974" s="1"/>
  <c r="M974" i="11"/>
  <c r="H974" i="22" s="1"/>
  <c r="L974" i="11"/>
  <c r="N975" i="5"/>
  <c r="R975" s="1"/>
  <c r="M975" i="11"/>
  <c r="H975" i="22" s="1"/>
  <c r="L975" i="11"/>
  <c r="N976" i="5"/>
  <c r="R976" s="1"/>
  <c r="M976" i="11"/>
  <c r="H976" i="22" s="1"/>
  <c r="L976" i="11"/>
  <c r="N977" i="5"/>
  <c r="R977" s="1"/>
  <c r="M977" i="11"/>
  <c r="H977" i="22" s="1"/>
  <c r="L977" i="11"/>
  <c r="N978" i="5"/>
  <c r="R978" s="1"/>
  <c r="M978" i="11"/>
  <c r="H978" i="22" s="1"/>
  <c r="L978" i="11"/>
  <c r="N979" i="5"/>
  <c r="R979" s="1"/>
  <c r="M979" i="11"/>
  <c r="H979" i="22" s="1"/>
  <c r="L979" i="11"/>
  <c r="N980" i="5"/>
  <c r="R980" s="1"/>
  <c r="M980" i="11"/>
  <c r="H980" i="22" s="1"/>
  <c r="L980" i="11"/>
  <c r="N981" i="5"/>
  <c r="R981" s="1"/>
  <c r="M981" i="11"/>
  <c r="H981" i="22" s="1"/>
  <c r="L981" i="11"/>
  <c r="N982" i="5"/>
  <c r="R982" s="1"/>
  <c r="M982" i="11"/>
  <c r="H982" i="22" s="1"/>
  <c r="L982" i="11"/>
  <c r="N983" i="5"/>
  <c r="R983" s="1"/>
  <c r="M983" i="11"/>
  <c r="H983" i="22" s="1"/>
  <c r="L983" i="11"/>
  <c r="N984" i="5"/>
  <c r="R984" s="1"/>
  <c r="M984" i="11"/>
  <c r="H984" i="22" s="1"/>
  <c r="L984" i="11"/>
  <c r="N985" i="5"/>
  <c r="R985" s="1"/>
  <c r="M985" i="11"/>
  <c r="H985" i="22" s="1"/>
  <c r="L985" i="11"/>
  <c r="N986" i="5"/>
  <c r="R986" s="1"/>
  <c r="M986" i="11"/>
  <c r="H986" i="22" s="1"/>
  <c r="L986" i="11"/>
  <c r="N987" i="5"/>
  <c r="R987" s="1"/>
  <c r="M987" i="11"/>
  <c r="H987" i="22" s="1"/>
  <c r="L987" i="11"/>
  <c r="N988" i="5"/>
  <c r="R988" s="1"/>
  <c r="M988" i="11"/>
  <c r="H988" i="22" s="1"/>
  <c r="L988" i="11"/>
  <c r="N989" i="5"/>
  <c r="R989" s="1"/>
  <c r="M989" i="11"/>
  <c r="H989" i="22" s="1"/>
  <c r="L989" i="11"/>
  <c r="N990" i="5"/>
  <c r="R990" s="1"/>
  <c r="M990" i="11"/>
  <c r="H990" i="22" s="1"/>
  <c r="L990" i="11"/>
  <c r="N991" i="5"/>
  <c r="R991" s="1"/>
  <c r="M991" i="11"/>
  <c r="H991" i="22" s="1"/>
  <c r="L991" i="11"/>
  <c r="N992" i="5"/>
  <c r="R992" s="1"/>
  <c r="M992" i="11"/>
  <c r="H992" i="22" s="1"/>
  <c r="L992" i="11"/>
  <c r="N993" i="5"/>
  <c r="R993" s="1"/>
  <c r="M993" i="11"/>
  <c r="H993" i="22" s="1"/>
  <c r="L993" i="11"/>
  <c r="N994" i="5"/>
  <c r="R994" s="1"/>
  <c r="M994" i="11"/>
  <c r="H994" i="22" s="1"/>
  <c r="L994" i="11"/>
  <c r="N995" i="5"/>
  <c r="R995" s="1"/>
  <c r="M995" i="11"/>
  <c r="H995" i="22" s="1"/>
  <c r="L995" i="11"/>
  <c r="N996" i="5"/>
  <c r="R996" s="1"/>
  <c r="M996" i="11"/>
  <c r="H996" i="22" s="1"/>
  <c r="L996" i="11"/>
  <c r="N997" i="5"/>
  <c r="R997" s="1"/>
  <c r="M997" i="11"/>
  <c r="H997" i="22" s="1"/>
  <c r="L997" i="11"/>
  <c r="N998" i="5"/>
  <c r="R998" s="1"/>
  <c r="M998" i="11"/>
  <c r="H998" i="22" s="1"/>
  <c r="L998" i="11"/>
  <c r="N999" i="5"/>
  <c r="R999" s="1"/>
  <c r="M999" i="11"/>
  <c r="H999" i="22" s="1"/>
  <c r="L999" i="11"/>
  <c r="N1000" i="5"/>
  <c r="R1000" s="1"/>
  <c r="M1000" i="11"/>
  <c r="H1000" i="22" s="1"/>
  <c r="L1000" i="11"/>
  <c r="N1001" i="5"/>
  <c r="R1001" s="1"/>
  <c r="M1001" i="11"/>
  <c r="H1001" i="22" s="1"/>
  <c r="L1001" i="11"/>
  <c r="N1002" i="5"/>
  <c r="R1002" s="1"/>
  <c r="M1002" i="11"/>
  <c r="H1002" i="22" s="1"/>
  <c r="L1002" i="11"/>
  <c r="N1003" i="5"/>
  <c r="R1003" s="1"/>
  <c r="M1003" i="11"/>
  <c r="H1003" i="22" s="1"/>
  <c r="L1003" i="11"/>
  <c r="N1004" i="5"/>
  <c r="R1004" s="1"/>
  <c r="M1004" i="11"/>
  <c r="H1004" i="22" s="1"/>
  <c r="L1004" i="11"/>
  <c r="N1005" i="5"/>
  <c r="R1005" s="1"/>
  <c r="M1005" i="11"/>
  <c r="H1005" i="22" s="1"/>
  <c r="L1005" i="11"/>
  <c r="N1006" i="5"/>
  <c r="R1006" s="1"/>
  <c r="M1006" i="11"/>
  <c r="H1006" i="22" s="1"/>
  <c r="L1006" i="11"/>
  <c r="N1007" i="5"/>
  <c r="R1007" s="1"/>
  <c r="M1007" i="11"/>
  <c r="H1007" i="22" s="1"/>
  <c r="L1007" i="11"/>
  <c r="N1008" i="5"/>
  <c r="R1008" s="1"/>
  <c r="M1008" i="11"/>
  <c r="H1008" i="22" s="1"/>
  <c r="L1008" i="11"/>
  <c r="N1009" i="5"/>
  <c r="R1009" s="1"/>
  <c r="M1009" i="11"/>
  <c r="H1009" i="22" s="1"/>
  <c r="L1009" i="11"/>
  <c r="N1010" i="5"/>
  <c r="R1010" s="1"/>
  <c r="M1010" i="11"/>
  <c r="H1010" i="22" s="1"/>
  <c r="L1010" i="11"/>
  <c r="N1011" i="5"/>
  <c r="R1011" s="1"/>
  <c r="M1011" i="11"/>
  <c r="H1011" i="22" s="1"/>
  <c r="L1011" i="11"/>
  <c r="N1012" i="5"/>
  <c r="R1012" s="1"/>
  <c r="M1012" i="11"/>
  <c r="H1012" i="22" s="1"/>
  <c r="L1012" i="11"/>
  <c r="N1013" i="5"/>
  <c r="R1013" s="1"/>
  <c r="M1013" i="11"/>
  <c r="H1013" i="22" s="1"/>
  <c r="L1013" i="11"/>
  <c r="N1014" i="5"/>
  <c r="R1014" s="1"/>
  <c r="M1014" i="11"/>
  <c r="H1014" i="22" s="1"/>
  <c r="L1014" i="11"/>
  <c r="N1015" i="5"/>
  <c r="R1015" s="1"/>
  <c r="M1015" i="11"/>
  <c r="H1015" i="22" s="1"/>
  <c r="L1015" i="11"/>
  <c r="N1016" i="5"/>
  <c r="R1016" s="1"/>
  <c r="M1016" i="11"/>
  <c r="H1016" i="22" s="1"/>
  <c r="L1016" i="11"/>
  <c r="N1017" i="5"/>
  <c r="R1017" s="1"/>
  <c r="M1017" i="11"/>
  <c r="H1017" i="22" s="1"/>
  <c r="L1017" i="11"/>
  <c r="N1018" i="5"/>
  <c r="R1018" s="1"/>
  <c r="M1018" i="11"/>
  <c r="H1018" i="22" s="1"/>
  <c r="L1018" i="11"/>
  <c r="N1019" i="5"/>
  <c r="R1019" s="1"/>
  <c r="M1019" i="11"/>
  <c r="H1019" i="22" s="1"/>
  <c r="L1019" i="11"/>
  <c r="N1020" i="5"/>
  <c r="R1020" s="1"/>
  <c r="M1020" i="11"/>
  <c r="H1020" i="22" s="1"/>
  <c r="L1020" i="11"/>
  <c r="N1021" i="5"/>
  <c r="R1021" s="1"/>
  <c r="M1021" i="11"/>
  <c r="H1021" i="22" s="1"/>
  <c r="L1021" i="11"/>
  <c r="N1022" i="5"/>
  <c r="R1022" s="1"/>
  <c r="M1022" i="11"/>
  <c r="H1022" i="22" s="1"/>
  <c r="L1022" i="11"/>
  <c r="N1023" i="5"/>
  <c r="R1023" s="1"/>
  <c r="M1023" i="11"/>
  <c r="H1023" i="22" s="1"/>
  <c r="L1023" i="11"/>
  <c r="N1024" i="5"/>
  <c r="R1024" s="1"/>
  <c r="M1024" i="11"/>
  <c r="H1024" i="22" s="1"/>
  <c r="L1024" i="11"/>
  <c r="N1025" i="5"/>
  <c r="R1025" s="1"/>
  <c r="M1025" i="11"/>
  <c r="H1025" i="22" s="1"/>
  <c r="L1025" i="11"/>
  <c r="N1026" i="5"/>
  <c r="R1026" s="1"/>
  <c r="M1026" i="11"/>
  <c r="H1026" i="22" s="1"/>
  <c r="L1026" i="11"/>
  <c r="N1027" i="5"/>
  <c r="R1027" s="1"/>
  <c r="M1027" i="11"/>
  <c r="H1027" i="22" s="1"/>
  <c r="L1027" i="11"/>
  <c r="N1028" i="5"/>
  <c r="R1028" s="1"/>
  <c r="M1028" i="11"/>
  <c r="H1028" i="22" s="1"/>
  <c r="L1028" i="11"/>
  <c r="N1029" i="5"/>
  <c r="R1029" s="1"/>
  <c r="M1029" i="11"/>
  <c r="H1029" i="22" s="1"/>
  <c r="L1029" i="11"/>
  <c r="N1030" i="5"/>
  <c r="R1030" s="1"/>
  <c r="M1030" i="11"/>
  <c r="H1030" i="22" s="1"/>
  <c r="L1030" i="11"/>
  <c r="N1031" i="5"/>
  <c r="R1031" s="1"/>
  <c r="M1031" i="11"/>
  <c r="H1031" i="22" s="1"/>
  <c r="L1031" i="11"/>
  <c r="N1032" i="5"/>
  <c r="R1032" s="1"/>
  <c r="M1032" i="11"/>
  <c r="H1032" i="22" s="1"/>
  <c r="L1032" i="11"/>
  <c r="N1033" i="5"/>
  <c r="R1033" s="1"/>
  <c r="M1033" i="11"/>
  <c r="H1033" i="22" s="1"/>
  <c r="L1033" i="11"/>
  <c r="N1034" i="5"/>
  <c r="R1034" s="1"/>
  <c r="M1034" i="11"/>
  <c r="H1034" i="22" s="1"/>
  <c r="L1034" i="11"/>
  <c r="N1035" i="5"/>
  <c r="R1035" s="1"/>
  <c r="M1035" i="11"/>
  <c r="H1035" i="22" s="1"/>
  <c r="L1035" i="11"/>
  <c r="N1036" i="5"/>
  <c r="R1036" s="1"/>
  <c r="M1036" i="11"/>
  <c r="H1036" i="22" s="1"/>
  <c r="L1036" i="11"/>
  <c r="N1037" i="5"/>
  <c r="R1037" s="1"/>
  <c r="M1037" i="11"/>
  <c r="H1037" i="22" s="1"/>
  <c r="L1037" i="11"/>
  <c r="N1038" i="5"/>
  <c r="R1038" s="1"/>
  <c r="M1038" i="11"/>
  <c r="H1038" i="22" s="1"/>
  <c r="L1038" i="11"/>
  <c r="N1039" i="5"/>
  <c r="R1039" s="1"/>
  <c r="M1039" i="11"/>
  <c r="H1039" i="22" s="1"/>
  <c r="L1039" i="11"/>
  <c r="N1040" i="5"/>
  <c r="R1040" s="1"/>
  <c r="M1040" i="11"/>
  <c r="H1040" i="22" s="1"/>
  <c r="L1040" i="11"/>
  <c r="N1041" i="5"/>
  <c r="R1041" s="1"/>
  <c r="M1041" i="11"/>
  <c r="H1041" i="22" s="1"/>
  <c r="L1041" i="11"/>
  <c r="N1042" i="5"/>
  <c r="R1042" s="1"/>
  <c r="M1042" i="11"/>
  <c r="H1042" i="22" s="1"/>
  <c r="L1042" i="11"/>
  <c r="N1043" i="5"/>
  <c r="R1043" s="1"/>
  <c r="M1043" i="11"/>
  <c r="H1043" i="22" s="1"/>
  <c r="L1043" i="11"/>
  <c r="N1044" i="5"/>
  <c r="R1044" s="1"/>
  <c r="M1044" i="11"/>
  <c r="H1044" i="22" s="1"/>
  <c r="L1044" i="11"/>
  <c r="N1045" i="5"/>
  <c r="R1045" s="1"/>
  <c r="M1045" i="11"/>
  <c r="H1045" i="22" s="1"/>
  <c r="L1045" i="11"/>
  <c r="N1046" i="5"/>
  <c r="R1046" s="1"/>
  <c r="M1046" i="11"/>
  <c r="H1046" i="22" s="1"/>
  <c r="L1046" i="11"/>
  <c r="N1047" i="5"/>
  <c r="R1047" s="1"/>
  <c r="M1047" i="11"/>
  <c r="H1047" i="22" s="1"/>
  <c r="L1047" i="11"/>
  <c r="N1048" i="5"/>
  <c r="R1048" s="1"/>
  <c r="M1048" i="11"/>
  <c r="H1048" i="22" s="1"/>
  <c r="L1048" i="11"/>
  <c r="N1049" i="5"/>
  <c r="R1049" s="1"/>
  <c r="M1049" i="11"/>
  <c r="H1049" i="22" s="1"/>
  <c r="L1049" i="11"/>
  <c r="N1050" i="5"/>
  <c r="R1050" s="1"/>
  <c r="M1050" i="11"/>
  <c r="H1050" i="22" s="1"/>
  <c r="L1050" i="11"/>
  <c r="N1051" i="5"/>
  <c r="R1051" s="1"/>
  <c r="M1051" i="11"/>
  <c r="H1051" i="22" s="1"/>
  <c r="L1051" i="11"/>
  <c r="N1052" i="5"/>
  <c r="R1052" s="1"/>
  <c r="M1052" i="11"/>
  <c r="H1052" i="22" s="1"/>
  <c r="L1052" i="11"/>
  <c r="N1053" i="5"/>
  <c r="R1053" s="1"/>
  <c r="M1053" i="11"/>
  <c r="H1053" i="22" s="1"/>
  <c r="L1053" i="11"/>
  <c r="N1054" i="5"/>
  <c r="R1054" s="1"/>
  <c r="M1054" i="11"/>
  <c r="H1054" i="22" s="1"/>
  <c r="L1054" i="11"/>
  <c r="N1055" i="5"/>
  <c r="R1055" s="1"/>
  <c r="M1055" i="11"/>
  <c r="H1055" i="22" s="1"/>
  <c r="L1055" i="11"/>
  <c r="N1056" i="5"/>
  <c r="R1056" s="1"/>
  <c r="M1056" i="11"/>
  <c r="H1056" i="22" s="1"/>
  <c r="L1056" i="11"/>
  <c r="N1057" i="5"/>
  <c r="R1057" s="1"/>
  <c r="M1057" i="11"/>
  <c r="H1057" i="22" s="1"/>
  <c r="L1057" i="11"/>
  <c r="N1058" i="5"/>
  <c r="R1058" s="1"/>
  <c r="M1058" i="11"/>
  <c r="H1058" i="22" s="1"/>
  <c r="L1058" i="11"/>
  <c r="N1059" i="5"/>
  <c r="R1059" s="1"/>
  <c r="M1059" i="11"/>
  <c r="H1059" i="22" s="1"/>
  <c r="L1059" i="11"/>
  <c r="N1060" i="5"/>
  <c r="R1060" s="1"/>
  <c r="M1060" i="11"/>
  <c r="H1060" i="22" s="1"/>
  <c r="L1060" i="11"/>
  <c r="N1061" i="5"/>
  <c r="R1061" s="1"/>
  <c r="M1061" i="11"/>
  <c r="H1061" i="22" s="1"/>
  <c r="L1061" i="11"/>
  <c r="N1062" i="5"/>
  <c r="R1062" s="1"/>
  <c r="M1062" i="11"/>
  <c r="H1062" i="22" s="1"/>
  <c r="L1062" i="11"/>
  <c r="N1063" i="5"/>
  <c r="R1063" s="1"/>
  <c r="M1063" i="11"/>
  <c r="H1063" i="22" s="1"/>
  <c r="L1063" i="11"/>
  <c r="N1064" i="5"/>
  <c r="R1064" s="1"/>
  <c r="M1064" i="11"/>
  <c r="H1064" i="22" s="1"/>
  <c r="L1064" i="11"/>
  <c r="N1065" i="5"/>
  <c r="R1065" s="1"/>
  <c r="M1065" i="11"/>
  <c r="H1065" i="22" s="1"/>
  <c r="L1065" i="11"/>
  <c r="N1066" i="5"/>
  <c r="R1066" s="1"/>
  <c r="M1066" i="11"/>
  <c r="H1066" i="22" s="1"/>
  <c r="L1066" i="11"/>
  <c r="N1067" i="5"/>
  <c r="R1067" s="1"/>
  <c r="M1067" i="11"/>
  <c r="H1067" i="22" s="1"/>
  <c r="L1067" i="11"/>
  <c r="N1068" i="5"/>
  <c r="R1068" s="1"/>
  <c r="M1068" i="11"/>
  <c r="H1068" i="22" s="1"/>
  <c r="L1068" i="11"/>
  <c r="N1069" i="5"/>
  <c r="R1069" s="1"/>
  <c r="M1069" i="11"/>
  <c r="H1069" i="22" s="1"/>
  <c r="L1069" i="11"/>
  <c r="N1070" i="5"/>
  <c r="R1070" s="1"/>
  <c r="M1070" i="11"/>
  <c r="H1070" i="22" s="1"/>
  <c r="L1070" i="11"/>
  <c r="N1071" i="5"/>
  <c r="R1071" s="1"/>
  <c r="M1071" i="11"/>
  <c r="H1071" i="22" s="1"/>
  <c r="L1071" i="11"/>
  <c r="N1072" i="5"/>
  <c r="R1072" s="1"/>
  <c r="M1072" i="11"/>
  <c r="H1072" i="22" s="1"/>
  <c r="L1072" i="11"/>
  <c r="N1073" i="5"/>
  <c r="R1073" s="1"/>
  <c r="M1073" i="11"/>
  <c r="H1073" i="22" s="1"/>
  <c r="L1073" i="11"/>
  <c r="N1074" i="5"/>
  <c r="R1074" s="1"/>
  <c r="M1074" i="11"/>
  <c r="H1074" i="22" s="1"/>
  <c r="L1074" i="11"/>
  <c r="N1075" i="5"/>
  <c r="R1075" s="1"/>
  <c r="M1075" i="11"/>
  <c r="H1075" i="22" s="1"/>
  <c r="L1075" i="11"/>
  <c r="N1076" i="5"/>
  <c r="R1076" s="1"/>
  <c r="M1076" i="11"/>
  <c r="H1076" i="22" s="1"/>
  <c r="L1076" i="11"/>
  <c r="N1077" i="5"/>
  <c r="R1077" s="1"/>
  <c r="M1077" i="11"/>
  <c r="H1077" i="22" s="1"/>
  <c r="L1077" i="11"/>
  <c r="N1078" i="5"/>
  <c r="R1078" s="1"/>
  <c r="M1078" i="11"/>
  <c r="H1078" i="22" s="1"/>
  <c r="L1078" i="11"/>
  <c r="N1079" i="5"/>
  <c r="R1079" s="1"/>
  <c r="M1079" i="11"/>
  <c r="H1079" i="22" s="1"/>
  <c r="L1079" i="11"/>
  <c r="N1080" i="5"/>
  <c r="R1080" s="1"/>
  <c r="M1080" i="11"/>
  <c r="H1080" i="22" s="1"/>
  <c r="L1080" i="11"/>
  <c r="N1081" i="5"/>
  <c r="R1081" s="1"/>
  <c r="M1081" i="11"/>
  <c r="H1081" i="22" s="1"/>
  <c r="L1081" i="11"/>
  <c r="N1082" i="5"/>
  <c r="R1082" s="1"/>
  <c r="M1082" i="11"/>
  <c r="H1082" i="22" s="1"/>
  <c r="L1082" i="11"/>
  <c r="N1083" i="5"/>
  <c r="R1083" s="1"/>
  <c r="M1083" i="11"/>
  <c r="H1083" i="22" s="1"/>
  <c r="L1083" i="11"/>
  <c r="N1084" i="5"/>
  <c r="R1084" s="1"/>
  <c r="M1084" i="11"/>
  <c r="H1084" i="22" s="1"/>
  <c r="L1084" i="11"/>
  <c r="N1085" i="5"/>
  <c r="R1085" s="1"/>
  <c r="M1085" i="11"/>
  <c r="H1085" i="22" s="1"/>
  <c r="L1085" i="11"/>
  <c r="N1086" i="5"/>
  <c r="R1086" s="1"/>
  <c r="M1086" i="11"/>
  <c r="H1086" i="22" s="1"/>
  <c r="L1086" i="11"/>
  <c r="N1087" i="5"/>
  <c r="R1087" s="1"/>
  <c r="M1087" i="11"/>
  <c r="H1087" i="22" s="1"/>
  <c r="L1087" i="11"/>
  <c r="N1088" i="5"/>
  <c r="R1088" s="1"/>
  <c r="M1088" i="11"/>
  <c r="H1088" i="22" s="1"/>
  <c r="L1088" i="11"/>
  <c r="N1089" i="5"/>
  <c r="R1089" s="1"/>
  <c r="M1089" i="11"/>
  <c r="H1089" i="22" s="1"/>
  <c r="L1089" i="11"/>
  <c r="N1090" i="5"/>
  <c r="R1090" s="1"/>
  <c r="M1090" i="11"/>
  <c r="H1090" i="22" s="1"/>
  <c r="L1090" i="11"/>
  <c r="N1091" i="5"/>
  <c r="R1091" s="1"/>
  <c r="M1091" i="11"/>
  <c r="H1091" i="22" s="1"/>
  <c r="L1091" i="11"/>
  <c r="N1092" i="5"/>
  <c r="R1092" s="1"/>
  <c r="M1092" i="11"/>
  <c r="H1092" i="22" s="1"/>
  <c r="L1092" i="11"/>
  <c r="N1093" i="5"/>
  <c r="R1093" s="1"/>
  <c r="M1093" i="11"/>
  <c r="H1093" i="22" s="1"/>
  <c r="L1093" i="11"/>
  <c r="N1094" i="5"/>
  <c r="R1094" s="1"/>
  <c r="M1094" i="11"/>
  <c r="H1094" i="22" s="1"/>
  <c r="L1094" i="11"/>
  <c r="N1095" i="5"/>
  <c r="R1095" s="1"/>
  <c r="M1095" i="11"/>
  <c r="H1095" i="22" s="1"/>
  <c r="L1095" i="11"/>
  <c r="N1096" i="5"/>
  <c r="R1096" s="1"/>
  <c r="M1096" i="11"/>
  <c r="H1096" i="22" s="1"/>
  <c r="L1096" i="11"/>
  <c r="N1097" i="5"/>
  <c r="R1097" s="1"/>
  <c r="M1097" i="11"/>
  <c r="H1097" i="22" s="1"/>
  <c r="L1097" i="11"/>
  <c r="N1098" i="5"/>
  <c r="R1098" s="1"/>
  <c r="M1098" i="11"/>
  <c r="H1098" i="22" s="1"/>
  <c r="L1098" i="11"/>
  <c r="N1099" i="5"/>
  <c r="R1099" s="1"/>
  <c r="M1099" i="11"/>
  <c r="H1099" i="22" s="1"/>
  <c r="L1099" i="11"/>
  <c r="N1100" i="5"/>
  <c r="R1100" s="1"/>
  <c r="M1100" i="11"/>
  <c r="H1100" i="22" s="1"/>
  <c r="L1100" i="11"/>
  <c r="N1101" i="5"/>
  <c r="R1101" s="1"/>
  <c r="M1101" i="11"/>
  <c r="H1101" i="22" s="1"/>
  <c r="L1101" i="11"/>
  <c r="N1102" i="5"/>
  <c r="R1102" s="1"/>
  <c r="M1102" i="11"/>
  <c r="H1102" i="22" s="1"/>
  <c r="L1102" i="11"/>
  <c r="N1103" i="5"/>
  <c r="R1103" s="1"/>
  <c r="M1103" i="11"/>
  <c r="H1103" i="22" s="1"/>
  <c r="L1103" i="11"/>
  <c r="N1104" i="5"/>
  <c r="R1104" s="1"/>
  <c r="M1104" i="11"/>
  <c r="H1104" i="22" s="1"/>
  <c r="L1104" i="11"/>
  <c r="N1105" i="5"/>
  <c r="R1105" s="1"/>
  <c r="M1105" i="11"/>
  <c r="H1105" i="22" s="1"/>
  <c r="L1105" i="11"/>
  <c r="N1106" i="5"/>
  <c r="R1106" s="1"/>
  <c r="M1106" i="11"/>
  <c r="H1106" i="22" s="1"/>
  <c r="L1106" i="11"/>
  <c r="N1107" i="5"/>
  <c r="R1107" s="1"/>
  <c r="M1107" i="11"/>
  <c r="H1107" i="22" s="1"/>
  <c r="L1107" i="11"/>
  <c r="N1108" i="5"/>
  <c r="R1108" s="1"/>
  <c r="M1108" i="11"/>
  <c r="H1108" i="22" s="1"/>
  <c r="L1108" i="11"/>
  <c r="N1109" i="5"/>
  <c r="R1109" s="1"/>
  <c r="M1109" i="11"/>
  <c r="H1109" i="22" s="1"/>
  <c r="L1109" i="11"/>
  <c r="N1110" i="5"/>
  <c r="R1110" s="1"/>
  <c r="M1110" i="11"/>
  <c r="H1110" i="22" s="1"/>
  <c r="L1110" i="11"/>
  <c r="N1111" i="5"/>
  <c r="R1111" s="1"/>
  <c r="M1111" i="11"/>
  <c r="H1111" i="22" s="1"/>
  <c r="L1111" i="11"/>
  <c r="N1112" i="5"/>
  <c r="R1112" s="1"/>
  <c r="M1112" i="11"/>
  <c r="H1112" i="22" s="1"/>
  <c r="L1112" i="11"/>
  <c r="N1113" i="5"/>
  <c r="R1113" s="1"/>
  <c r="M1113" i="11"/>
  <c r="H1113" i="22" s="1"/>
  <c r="L1113" i="11"/>
  <c r="N1114" i="5"/>
  <c r="R1114" s="1"/>
  <c r="M1114" i="11"/>
  <c r="H1114" i="22" s="1"/>
  <c r="L1114" i="11"/>
  <c r="N1115" i="5"/>
  <c r="R1115" s="1"/>
  <c r="M1115" i="11"/>
  <c r="H1115" i="22" s="1"/>
  <c r="L1115" i="11"/>
  <c r="N1116" i="5"/>
  <c r="R1116" s="1"/>
  <c r="M1116" i="11"/>
  <c r="H1116" i="22" s="1"/>
  <c r="L1116" i="11"/>
  <c r="N1117" i="5"/>
  <c r="R1117" s="1"/>
  <c r="M1117" i="11"/>
  <c r="H1117" i="22" s="1"/>
  <c r="L1117" i="11"/>
  <c r="N1118" i="5"/>
  <c r="R1118" s="1"/>
  <c r="M1118" i="11"/>
  <c r="H1118" i="22" s="1"/>
  <c r="L1118" i="11"/>
  <c r="N1119" i="5"/>
  <c r="R1119" s="1"/>
  <c r="M1119" i="11"/>
  <c r="H1119" i="22" s="1"/>
  <c r="L1119" i="11"/>
  <c r="N1120" i="5"/>
  <c r="R1120" s="1"/>
  <c r="M1120" i="11"/>
  <c r="H1120" i="22" s="1"/>
  <c r="L1120" i="11"/>
  <c r="N1121" i="5"/>
  <c r="R1121" s="1"/>
  <c r="M1121" i="11"/>
  <c r="H1121" i="22" s="1"/>
  <c r="L1121" i="11"/>
  <c r="N1122" i="5"/>
  <c r="R1122" s="1"/>
  <c r="M1122" i="11"/>
  <c r="H1122" i="22" s="1"/>
  <c r="L1122" i="11"/>
  <c r="N1123" i="5"/>
  <c r="R1123" s="1"/>
  <c r="M1123" i="11"/>
  <c r="H1123" i="22" s="1"/>
  <c r="L1123" i="11"/>
  <c r="N1124" i="5"/>
  <c r="R1124" s="1"/>
  <c r="M1124" i="11"/>
  <c r="H1124" i="22" s="1"/>
  <c r="L1124" i="11"/>
  <c r="N1125" i="5"/>
  <c r="R1125" s="1"/>
  <c r="M1125" i="11"/>
  <c r="H1125" i="22" s="1"/>
  <c r="L1125" i="11"/>
  <c r="N1126" i="5"/>
  <c r="R1126" s="1"/>
  <c r="M1126" i="11"/>
  <c r="H1126" i="22" s="1"/>
  <c r="L1126" i="11"/>
  <c r="N1127" i="5"/>
  <c r="R1127" s="1"/>
  <c r="M1127" i="11"/>
  <c r="H1127" i="22" s="1"/>
  <c r="L1127" i="11"/>
  <c r="N1128" i="5"/>
  <c r="R1128" s="1"/>
  <c r="M1128" i="11"/>
  <c r="H1128" i="22" s="1"/>
  <c r="L1128" i="11"/>
  <c r="N1129" i="5"/>
  <c r="R1129" s="1"/>
  <c r="M1129" i="11"/>
  <c r="H1129" i="22" s="1"/>
  <c r="L1129" i="11"/>
  <c r="N1130" i="5"/>
  <c r="R1130" s="1"/>
  <c r="M1130" i="11"/>
  <c r="H1130" i="22" s="1"/>
  <c r="L1130" i="11"/>
  <c r="N1131" i="5"/>
  <c r="R1131" s="1"/>
  <c r="M1131" i="11"/>
  <c r="H1131" i="22" s="1"/>
  <c r="L1131" i="11"/>
  <c r="N1132" i="5"/>
  <c r="R1132" s="1"/>
  <c r="M1132" i="11"/>
  <c r="H1132" i="22" s="1"/>
  <c r="L1132" i="11"/>
  <c r="N1133" i="5"/>
  <c r="R1133" s="1"/>
  <c r="M1133" i="11"/>
  <c r="H1133" i="22" s="1"/>
  <c r="L1133" i="11"/>
  <c r="N1134" i="5"/>
  <c r="R1134" s="1"/>
  <c r="M1134" i="11"/>
  <c r="H1134" i="22" s="1"/>
  <c r="L1134" i="11"/>
  <c r="N1135" i="5"/>
  <c r="R1135" s="1"/>
  <c r="M1135" i="11"/>
  <c r="H1135" i="22" s="1"/>
  <c r="L1135" i="11"/>
  <c r="N1136" i="5"/>
  <c r="R1136" s="1"/>
  <c r="M1136" i="11"/>
  <c r="H1136" i="22" s="1"/>
  <c r="L1136" i="11"/>
  <c r="N1137" i="5"/>
  <c r="R1137" s="1"/>
  <c r="M1137" i="11"/>
  <c r="H1137" i="22" s="1"/>
  <c r="L1137" i="11"/>
  <c r="N1138" i="5"/>
  <c r="R1138" s="1"/>
  <c r="M1138" i="11"/>
  <c r="H1138" i="22" s="1"/>
  <c r="L1138" i="11"/>
  <c r="N1139" i="5"/>
  <c r="R1139" s="1"/>
  <c r="M1139" i="11"/>
  <c r="H1139" i="22" s="1"/>
  <c r="L1139" i="11"/>
  <c r="N1140" i="5"/>
  <c r="R1140" s="1"/>
  <c r="M1140" i="11"/>
  <c r="H1140" i="22" s="1"/>
  <c r="L1140" i="11"/>
  <c r="N1141" i="5"/>
  <c r="R1141" s="1"/>
  <c r="M1141" i="11"/>
  <c r="H1141" i="22" s="1"/>
  <c r="L1141" i="11"/>
  <c r="N1142" i="5"/>
  <c r="R1142" s="1"/>
  <c r="M1142" i="11"/>
  <c r="H1142" i="22" s="1"/>
  <c r="L1142" i="11"/>
  <c r="N1143" i="5"/>
  <c r="R1143" s="1"/>
  <c r="M1144" i="11"/>
  <c r="H1144" i="22" s="1"/>
  <c r="L1144" i="11"/>
  <c r="N1145" i="5"/>
  <c r="R1145" s="1"/>
  <c r="M1145" i="11"/>
  <c r="H1145" i="22" s="1"/>
  <c r="L1145" i="11"/>
  <c r="M749" i="9"/>
  <c r="K879"/>
  <c r="M879" s="1"/>
  <c r="N749" i="5"/>
  <c r="R749" s="1"/>
  <c r="M749" i="11"/>
  <c r="K879"/>
  <c r="M879" s="1"/>
  <c r="M749" i="8"/>
  <c r="K879"/>
  <c r="M879" s="1"/>
  <c r="N750" i="5"/>
  <c r="R750" s="1"/>
  <c r="N751"/>
  <c r="R751" s="1"/>
  <c r="N752"/>
  <c r="R752" s="1"/>
  <c r="N753"/>
  <c r="R753" s="1"/>
  <c r="N754"/>
  <c r="R754" s="1"/>
  <c r="N755"/>
  <c r="R755" s="1"/>
  <c r="N756"/>
  <c r="R756" s="1"/>
  <c r="N757"/>
  <c r="R757" s="1"/>
  <c r="N758"/>
  <c r="R758" s="1"/>
  <c r="N759"/>
  <c r="R759" s="1"/>
  <c r="N760"/>
  <c r="R760" s="1"/>
  <c r="N761"/>
  <c r="R761" s="1"/>
  <c r="N762"/>
  <c r="R762" s="1"/>
  <c r="N763"/>
  <c r="R763" s="1"/>
  <c r="N764"/>
  <c r="R764" s="1"/>
  <c r="N765"/>
  <c r="R765" s="1"/>
  <c r="N766"/>
  <c r="R766" s="1"/>
  <c r="N767"/>
  <c r="R767" s="1"/>
  <c r="N768"/>
  <c r="R768" s="1"/>
  <c r="N769"/>
  <c r="R769" s="1"/>
  <c r="N770"/>
  <c r="R770" s="1"/>
  <c r="N771"/>
  <c r="R771" s="1"/>
  <c r="N772"/>
  <c r="R772" s="1"/>
  <c r="N773"/>
  <c r="R773" s="1"/>
  <c r="N774"/>
  <c r="R774" s="1"/>
  <c r="N775"/>
  <c r="R775" s="1"/>
  <c r="N776"/>
  <c r="R776" s="1"/>
  <c r="N777"/>
  <c r="R777" s="1"/>
  <c r="N778"/>
  <c r="R778" s="1"/>
  <c r="N779"/>
  <c r="R779" s="1"/>
  <c r="N780"/>
  <c r="R780" s="1"/>
  <c r="N781"/>
  <c r="R781" s="1"/>
  <c r="N782"/>
  <c r="R782" s="1"/>
  <c r="N783"/>
  <c r="R783" s="1"/>
  <c r="N784"/>
  <c r="R784" s="1"/>
  <c r="N785"/>
  <c r="R785" s="1"/>
  <c r="N786"/>
  <c r="R786" s="1"/>
  <c r="N787"/>
  <c r="R787" s="1"/>
  <c r="N788"/>
  <c r="R788" s="1"/>
  <c r="N789"/>
  <c r="R789" s="1"/>
  <c r="N790"/>
  <c r="R790" s="1"/>
  <c r="N791"/>
  <c r="R791" s="1"/>
  <c r="N792"/>
  <c r="R792" s="1"/>
  <c r="N793"/>
  <c r="R793" s="1"/>
  <c r="N794"/>
  <c r="R794" s="1"/>
  <c r="N795"/>
  <c r="R795" s="1"/>
  <c r="N796"/>
  <c r="R796" s="1"/>
  <c r="N797"/>
  <c r="R797" s="1"/>
  <c r="N798"/>
  <c r="R798" s="1"/>
  <c r="N799"/>
  <c r="R799" s="1"/>
  <c r="N800"/>
  <c r="R800" s="1"/>
  <c r="N801"/>
  <c r="R801" s="1"/>
  <c r="N802"/>
  <c r="R802" s="1"/>
  <c r="N803"/>
  <c r="R803" s="1"/>
  <c r="N804"/>
  <c r="R804" s="1"/>
  <c r="N805"/>
  <c r="R805" s="1"/>
  <c r="N806"/>
  <c r="R806" s="1"/>
  <c r="N807"/>
  <c r="R807" s="1"/>
  <c r="N808"/>
  <c r="R808" s="1"/>
  <c r="N809"/>
  <c r="R809" s="1"/>
  <c r="N810"/>
  <c r="R810" s="1"/>
  <c r="N811"/>
  <c r="R811" s="1"/>
  <c r="N812"/>
  <c r="R812" s="1"/>
  <c r="N813"/>
  <c r="R813" s="1"/>
  <c r="N814"/>
  <c r="R814" s="1"/>
  <c r="N815"/>
  <c r="R815" s="1"/>
  <c r="N816"/>
  <c r="R816" s="1"/>
  <c r="N817"/>
  <c r="R817" s="1"/>
  <c r="N818"/>
  <c r="R818" s="1"/>
  <c r="N819"/>
  <c r="R819" s="1"/>
  <c r="N820"/>
  <c r="R820" s="1"/>
  <c r="N821"/>
  <c r="R821" s="1"/>
  <c r="N822"/>
  <c r="R822" s="1"/>
  <c r="N823"/>
  <c r="R823" s="1"/>
  <c r="N824"/>
  <c r="R824" s="1"/>
  <c r="N825"/>
  <c r="R825" s="1"/>
  <c r="N826"/>
  <c r="R826" s="1"/>
  <c r="N827"/>
  <c r="R827" s="1"/>
  <c r="N828"/>
  <c r="R828" s="1"/>
  <c r="N829"/>
  <c r="R829" s="1"/>
  <c r="N830"/>
  <c r="R830" s="1"/>
  <c r="N831"/>
  <c r="R831" s="1"/>
  <c r="N832"/>
  <c r="R832" s="1"/>
  <c r="N833"/>
  <c r="R833" s="1"/>
  <c r="N834"/>
  <c r="R834" s="1"/>
  <c r="N835"/>
  <c r="R835" s="1"/>
  <c r="N836"/>
  <c r="R836" s="1"/>
  <c r="N837"/>
  <c r="R837" s="1"/>
  <c r="N838"/>
  <c r="R838" s="1"/>
  <c r="N839"/>
  <c r="R839" s="1"/>
  <c r="N840"/>
  <c r="R840" s="1"/>
  <c r="N841"/>
  <c r="R841" s="1"/>
  <c r="N842"/>
  <c r="R842" s="1"/>
  <c r="N843"/>
  <c r="R843" s="1"/>
  <c r="N844"/>
  <c r="R844" s="1"/>
  <c r="N845"/>
  <c r="R845" s="1"/>
  <c r="N846"/>
  <c r="R846" s="1"/>
  <c r="N847"/>
  <c r="R847" s="1"/>
  <c r="N848"/>
  <c r="R848" s="1"/>
  <c r="N849"/>
  <c r="R849" s="1"/>
  <c r="N850"/>
  <c r="R850" s="1"/>
  <c r="N851"/>
  <c r="R851" s="1"/>
  <c r="N852"/>
  <c r="R852" s="1"/>
  <c r="N853"/>
  <c r="R853" s="1"/>
  <c r="N854"/>
  <c r="R854" s="1"/>
  <c r="N855"/>
  <c r="R855" s="1"/>
  <c r="N856"/>
  <c r="R856" s="1"/>
  <c r="N857"/>
  <c r="R857" s="1"/>
  <c r="N858"/>
  <c r="R858" s="1"/>
  <c r="N859"/>
  <c r="R859" s="1"/>
  <c r="N860"/>
  <c r="R860" s="1"/>
  <c r="N861"/>
  <c r="R861" s="1"/>
  <c r="N862"/>
  <c r="R862" s="1"/>
  <c r="N863"/>
  <c r="R863" s="1"/>
  <c r="N864"/>
  <c r="R864" s="1"/>
  <c r="N865"/>
  <c r="R865" s="1"/>
  <c r="N866"/>
  <c r="R866" s="1"/>
  <c r="N867"/>
  <c r="R867" s="1"/>
  <c r="N868"/>
  <c r="R868" s="1"/>
  <c r="N869"/>
  <c r="R869" s="1"/>
  <c r="N870"/>
  <c r="R870" s="1"/>
  <c r="N871"/>
  <c r="R871" s="1"/>
  <c r="N872"/>
  <c r="R872" s="1"/>
  <c r="N873"/>
  <c r="R873" s="1"/>
  <c r="N874"/>
  <c r="R874" s="1"/>
  <c r="N875"/>
  <c r="R875" s="1"/>
  <c r="M92" i="9"/>
  <c r="E92" i="22" s="1"/>
  <c r="L92" i="9"/>
  <c r="N92" i="5"/>
  <c r="R92" s="1"/>
  <c r="M92" i="11"/>
  <c r="L92"/>
  <c r="K384"/>
  <c r="M92" i="8"/>
  <c r="L92"/>
  <c r="K384"/>
  <c r="M93" i="9"/>
  <c r="E93" i="22" s="1"/>
  <c r="L93" i="9"/>
  <c r="N93" i="5"/>
  <c r="R93" s="1"/>
  <c r="M93" i="11"/>
  <c r="L93"/>
  <c r="M93" i="8"/>
  <c r="L93"/>
  <c r="M94" i="9"/>
  <c r="E94" i="22" s="1"/>
  <c r="L94" i="9"/>
  <c r="N94" i="5"/>
  <c r="R94" s="1"/>
  <c r="M94" i="11"/>
  <c r="L94"/>
  <c r="M94" i="8"/>
  <c r="L94"/>
  <c r="M95" i="9"/>
  <c r="E95" i="22" s="1"/>
  <c r="L95" i="9"/>
  <c r="N95" i="5"/>
  <c r="R95" s="1"/>
  <c r="M95" i="11"/>
  <c r="L95"/>
  <c r="M95" i="8"/>
  <c r="L95"/>
  <c r="M96" i="9"/>
  <c r="E96" i="22" s="1"/>
  <c r="L96" i="9"/>
  <c r="N96" i="5"/>
  <c r="R96" s="1"/>
  <c r="M96" i="11"/>
  <c r="L96"/>
  <c r="M96" i="8"/>
  <c r="L96"/>
  <c r="M97" i="9"/>
  <c r="E97" i="22" s="1"/>
  <c r="L97" i="9"/>
  <c r="N97" i="5"/>
  <c r="R97" s="1"/>
  <c r="M97" i="11"/>
  <c r="L97"/>
  <c r="M97" i="8"/>
  <c r="L97"/>
  <c r="M98" i="9"/>
  <c r="E98" i="22" s="1"/>
  <c r="L98" i="9"/>
  <c r="N98" i="5"/>
  <c r="R98" s="1"/>
  <c r="M98" i="11"/>
  <c r="L98"/>
  <c r="M98" i="8"/>
  <c r="L98"/>
  <c r="M99" i="9"/>
  <c r="E99" i="22" s="1"/>
  <c r="L99" i="9"/>
  <c r="N99" i="5"/>
  <c r="R99" s="1"/>
  <c r="M99" i="11"/>
  <c r="L99"/>
  <c r="M99" i="8"/>
  <c r="L99"/>
  <c r="M100" i="9"/>
  <c r="E100" i="22" s="1"/>
  <c r="L100" i="9"/>
  <c r="N100" i="5"/>
  <c r="R100" s="1"/>
  <c r="M100" i="11"/>
  <c r="L100"/>
  <c r="M100" i="8"/>
  <c r="L100"/>
  <c r="M101" i="9"/>
  <c r="E101" i="22" s="1"/>
  <c r="L101" i="9"/>
  <c r="N101" i="5"/>
  <c r="R101" s="1"/>
  <c r="M101" i="11"/>
  <c r="L101"/>
  <c r="M101" i="8"/>
  <c r="L101"/>
  <c r="M102" i="9"/>
  <c r="E102" i="22" s="1"/>
  <c r="L102" i="9"/>
  <c r="N102" i="5"/>
  <c r="R102" s="1"/>
  <c r="M102" i="11"/>
  <c r="L102"/>
  <c r="M102" i="8"/>
  <c r="L102"/>
  <c r="M103" i="9"/>
  <c r="E103" i="22" s="1"/>
  <c r="L103" i="9"/>
  <c r="N103" i="5"/>
  <c r="R103" s="1"/>
  <c r="M103" i="11"/>
  <c r="L103"/>
  <c r="M103" i="8"/>
  <c r="L103"/>
  <c r="M104" i="9"/>
  <c r="E104" i="22" s="1"/>
  <c r="L104" i="9"/>
  <c r="N104" i="5"/>
  <c r="R104" s="1"/>
  <c r="M104" i="11"/>
  <c r="L104"/>
  <c r="M104" i="8"/>
  <c r="L104"/>
  <c r="M105" i="9"/>
  <c r="E105" i="22" s="1"/>
  <c r="L105" i="9"/>
  <c r="N105" i="5"/>
  <c r="R105" s="1"/>
  <c r="M105" i="11"/>
  <c r="L105"/>
  <c r="M105" i="8"/>
  <c r="L105"/>
  <c r="M106" i="9"/>
  <c r="E106" i="22" s="1"/>
  <c r="L106" i="9"/>
  <c r="N106" i="5"/>
  <c r="R106" s="1"/>
  <c r="M106" i="11"/>
  <c r="L106"/>
  <c r="M106" i="8"/>
  <c r="L106"/>
  <c r="M107" i="9"/>
  <c r="E107" i="22" s="1"/>
  <c r="L107" i="9"/>
  <c r="N107" i="5"/>
  <c r="R107" s="1"/>
  <c r="M107" i="11"/>
  <c r="L107"/>
  <c r="M107" i="8"/>
  <c r="L107"/>
  <c r="M108" i="9"/>
  <c r="E108" i="22" s="1"/>
  <c r="L108" i="9"/>
  <c r="N108" i="5"/>
  <c r="R108" s="1"/>
  <c r="M108" i="11"/>
  <c r="L108"/>
  <c r="M108" i="8"/>
  <c r="L108"/>
  <c r="M109" i="9"/>
  <c r="E109" i="22" s="1"/>
  <c r="L109" i="9"/>
  <c r="N109" i="5"/>
  <c r="R109" s="1"/>
  <c r="M109" i="11"/>
  <c r="L109"/>
  <c r="M109" i="8"/>
  <c r="L109"/>
  <c r="M110" i="9"/>
  <c r="E110" i="22" s="1"/>
  <c r="L110" i="9"/>
  <c r="N110" i="5"/>
  <c r="R110" s="1"/>
  <c r="M110" i="11"/>
  <c r="L110"/>
  <c r="M110" i="8"/>
  <c r="L110"/>
  <c r="M111" i="9"/>
  <c r="E111" i="22" s="1"/>
  <c r="L111" i="9"/>
  <c r="N111" i="5"/>
  <c r="R111" s="1"/>
  <c r="M111" i="11"/>
  <c r="L111"/>
  <c r="M111" i="8"/>
  <c r="L111"/>
  <c r="M112" i="9"/>
  <c r="E112" i="22" s="1"/>
  <c r="L112" i="9"/>
  <c r="N112" i="5"/>
  <c r="R112" s="1"/>
  <c r="M112" i="11"/>
  <c r="L112"/>
  <c r="M112" i="8"/>
  <c r="L112"/>
  <c r="M113" i="9"/>
  <c r="E113" i="22" s="1"/>
  <c r="L113" i="9"/>
  <c r="N113" i="5"/>
  <c r="R113" s="1"/>
  <c r="M113" i="11"/>
  <c r="L113"/>
  <c r="M113" i="8"/>
  <c r="L113"/>
  <c r="M114" i="9"/>
  <c r="E114" i="22" s="1"/>
  <c r="L114" i="9"/>
  <c r="N114" i="5"/>
  <c r="R114" s="1"/>
  <c r="M114" i="11"/>
  <c r="L114"/>
  <c r="M114" i="8"/>
  <c r="L114"/>
  <c r="M115" i="9"/>
  <c r="E115" i="22" s="1"/>
  <c r="L115" i="9"/>
  <c r="N115" i="5"/>
  <c r="R115" s="1"/>
  <c r="M115" i="11"/>
  <c r="L115"/>
  <c r="M115" i="8"/>
  <c r="L115"/>
  <c r="M116" i="9"/>
  <c r="L116"/>
  <c r="N116" i="5"/>
  <c r="R116" s="1"/>
  <c r="M116" i="11"/>
  <c r="L116"/>
  <c r="M116" i="8"/>
  <c r="L116"/>
  <c r="M117" i="9"/>
  <c r="E117" i="22" s="1"/>
  <c r="L117" i="9"/>
  <c r="N117" i="5"/>
  <c r="R117" s="1"/>
  <c r="M117" i="11"/>
  <c r="L117"/>
  <c r="M117" i="8"/>
  <c r="L117"/>
  <c r="M118" i="9"/>
  <c r="L118"/>
  <c r="N118" i="5"/>
  <c r="R118" s="1"/>
  <c r="M118" i="11"/>
  <c r="L118"/>
  <c r="M118" i="8"/>
  <c r="L118"/>
  <c r="M119" i="9"/>
  <c r="E119" i="22" s="1"/>
  <c r="L119" i="9"/>
  <c r="N119" i="5"/>
  <c r="R119" s="1"/>
  <c r="M119" i="11"/>
  <c r="L119"/>
  <c r="M119" i="8"/>
  <c r="L119"/>
  <c r="M120" i="9"/>
  <c r="E120" i="22" s="1"/>
  <c r="L120" i="9"/>
  <c r="N120" i="5"/>
  <c r="R120" s="1"/>
  <c r="M120" i="11"/>
  <c r="L120"/>
  <c r="M120" i="8"/>
  <c r="L120"/>
  <c r="M121" i="9"/>
  <c r="E121" i="22" s="1"/>
  <c r="L121" i="9"/>
  <c r="N121" i="5"/>
  <c r="R121" s="1"/>
  <c r="M121" i="11"/>
  <c r="L121"/>
  <c r="M121" i="8"/>
  <c r="L121"/>
  <c r="M122" i="9"/>
  <c r="E122" i="22" s="1"/>
  <c r="L122" i="9"/>
  <c r="N122" i="5"/>
  <c r="R122" s="1"/>
  <c r="M122" i="11"/>
  <c r="L122"/>
  <c r="M122" i="8"/>
  <c r="L122"/>
  <c r="M123" i="9"/>
  <c r="L123"/>
  <c r="N123" i="5"/>
  <c r="R123" s="1"/>
  <c r="M123" i="11"/>
  <c r="L123"/>
  <c r="M123" i="8"/>
  <c r="L123"/>
  <c r="M124" i="9"/>
  <c r="E124" i="22" s="1"/>
  <c r="L124" i="9"/>
  <c r="N124" i="5"/>
  <c r="R124" s="1"/>
  <c r="M124" i="11"/>
  <c r="L124"/>
  <c r="M124" i="8"/>
  <c r="L124"/>
  <c r="M125" i="9"/>
  <c r="L125"/>
  <c r="N125" i="5"/>
  <c r="R125" s="1"/>
  <c r="M125" i="11"/>
  <c r="L125"/>
  <c r="M125" i="8"/>
  <c r="L125"/>
  <c r="M126" i="9"/>
  <c r="L126"/>
  <c r="N126" i="5"/>
  <c r="R126" s="1"/>
  <c r="M126" i="11"/>
  <c r="L126"/>
  <c r="M126" i="8"/>
  <c r="L126"/>
  <c r="M127" i="9"/>
  <c r="E127" i="22" s="1"/>
  <c r="L127" i="9"/>
  <c r="N127" i="5"/>
  <c r="R127" s="1"/>
  <c r="M127" i="11"/>
  <c r="L127"/>
  <c r="M127" i="8"/>
  <c r="L127"/>
  <c r="M128" i="9"/>
  <c r="L128"/>
  <c r="N128" i="5"/>
  <c r="R128" s="1"/>
  <c r="M128" i="11"/>
  <c r="L128"/>
  <c r="M128" i="8"/>
  <c r="L128"/>
  <c r="M129" i="9"/>
  <c r="L129"/>
  <c r="N129" i="5"/>
  <c r="R129" s="1"/>
  <c r="M129" i="11"/>
  <c r="L129"/>
  <c r="M129" i="8"/>
  <c r="L129"/>
  <c r="M130" i="9"/>
  <c r="E130" i="22" s="1"/>
  <c r="L130" i="9"/>
  <c r="N130" i="5"/>
  <c r="R130" s="1"/>
  <c r="M130" i="11"/>
  <c r="L130"/>
  <c r="M130" i="8"/>
  <c r="L130"/>
  <c r="M131" i="9"/>
  <c r="L131"/>
  <c r="N131" i="5"/>
  <c r="R131" s="1"/>
  <c r="M131" i="11"/>
  <c r="L131"/>
  <c r="M131" i="8"/>
  <c r="L131"/>
  <c r="M132" i="9"/>
  <c r="E132" i="22" s="1"/>
  <c r="L132" i="9"/>
  <c r="N132" i="5"/>
  <c r="R132" s="1"/>
  <c r="M132" i="11"/>
  <c r="L132"/>
  <c r="M132" i="8"/>
  <c r="L132"/>
  <c r="M133" i="9"/>
  <c r="E133" i="22" s="1"/>
  <c r="L133" i="9"/>
  <c r="N133" i="5"/>
  <c r="R133" s="1"/>
  <c r="M133" i="11"/>
  <c r="L133"/>
  <c r="M133" i="8"/>
  <c r="L133"/>
  <c r="M134" i="9"/>
  <c r="E134" i="22" s="1"/>
  <c r="L134" i="9"/>
  <c r="N134" i="5"/>
  <c r="R134" s="1"/>
  <c r="M134" i="11"/>
  <c r="L134"/>
  <c r="M134" i="8"/>
  <c r="L134"/>
  <c r="M135" i="9"/>
  <c r="L135"/>
  <c r="N135" i="5"/>
  <c r="R135" s="1"/>
  <c r="M135" i="11"/>
  <c r="L135"/>
  <c r="M135" i="8"/>
  <c r="L135"/>
  <c r="M136" i="9"/>
  <c r="E136" i="22" s="1"/>
  <c r="L136" i="9"/>
  <c r="N136" i="5"/>
  <c r="R136" s="1"/>
  <c r="M136" i="11"/>
  <c r="L136"/>
  <c r="M136" i="8"/>
  <c r="L136"/>
  <c r="M137" i="9"/>
  <c r="E137" i="22" s="1"/>
  <c r="L137" i="9"/>
  <c r="N137" i="5"/>
  <c r="R137" s="1"/>
  <c r="M137" i="11"/>
  <c r="L137"/>
  <c r="M137" i="8"/>
  <c r="L137"/>
  <c r="M138" i="9"/>
  <c r="E138" i="22" s="1"/>
  <c r="L138" i="9"/>
  <c r="N138" i="5"/>
  <c r="R138" s="1"/>
  <c r="M138" i="11"/>
  <c r="L138"/>
  <c r="M138" i="8"/>
  <c r="L138"/>
  <c r="M139" i="9"/>
  <c r="L139"/>
  <c r="N139" i="5"/>
  <c r="R139" s="1"/>
  <c r="M139" i="11"/>
  <c r="L139"/>
  <c r="M139" i="8"/>
  <c r="L139"/>
  <c r="M140" i="9"/>
  <c r="L140"/>
  <c r="N140" i="5"/>
  <c r="R140" s="1"/>
  <c r="M140" i="11"/>
  <c r="L140"/>
  <c r="M140" i="8"/>
  <c r="L140"/>
  <c r="M141" i="9"/>
  <c r="E141" i="22" s="1"/>
  <c r="L141" i="9"/>
  <c r="N141" i="5"/>
  <c r="R141" s="1"/>
  <c r="M141" i="11"/>
  <c r="L141"/>
  <c r="M141" i="8"/>
  <c r="L141"/>
  <c r="M142" i="9"/>
  <c r="L142"/>
  <c r="N142" i="5"/>
  <c r="R142" s="1"/>
  <c r="M142" i="11"/>
  <c r="L142"/>
  <c r="M142" i="8"/>
  <c r="L142"/>
  <c r="M143" i="9"/>
  <c r="E143" i="22" s="1"/>
  <c r="L143" i="9"/>
  <c r="N143" i="5"/>
  <c r="R143" s="1"/>
  <c r="M143" i="11"/>
  <c r="L143"/>
  <c r="M143" i="8"/>
  <c r="L143"/>
  <c r="M144" i="9"/>
  <c r="E144" i="22" s="1"/>
  <c r="L144" i="9"/>
  <c r="N144" i="5"/>
  <c r="R144" s="1"/>
  <c r="M144" i="11"/>
  <c r="L144"/>
  <c r="M144" i="8"/>
  <c r="L144"/>
  <c r="M145" i="9"/>
  <c r="L145"/>
  <c r="N145" i="5"/>
  <c r="R145" s="1"/>
  <c r="M145" i="11"/>
  <c r="L145"/>
  <c r="M145" i="8"/>
  <c r="L145"/>
  <c r="M146" i="9"/>
  <c r="L146"/>
  <c r="N146" i="5"/>
  <c r="R146" s="1"/>
  <c r="M146" i="11"/>
  <c r="L146"/>
  <c r="M146" i="8"/>
  <c r="L146"/>
  <c r="M147" i="9"/>
  <c r="L147"/>
  <c r="N147" i="5"/>
  <c r="R147" s="1"/>
  <c r="M147" i="11"/>
  <c r="L147"/>
  <c r="M147" i="8"/>
  <c r="L147"/>
  <c r="M148" i="9"/>
  <c r="L148"/>
  <c r="N148" i="5"/>
  <c r="R148" s="1"/>
  <c r="M148" i="11"/>
  <c r="L148"/>
  <c r="M148" i="8"/>
  <c r="L148"/>
  <c r="M149" i="9"/>
  <c r="E149" i="22" s="1"/>
  <c r="L149" i="9"/>
  <c r="N149" i="5"/>
  <c r="R149" s="1"/>
  <c r="M149" i="11"/>
  <c r="L149"/>
  <c r="M149" i="8"/>
  <c r="L149"/>
  <c r="M150" i="9"/>
  <c r="L150"/>
  <c r="N150" i="5"/>
  <c r="R150" s="1"/>
  <c r="M150" i="11"/>
  <c r="L150"/>
  <c r="M150" i="8"/>
  <c r="L150"/>
  <c r="M151" i="9"/>
  <c r="L151"/>
  <c r="N151" i="5"/>
  <c r="R151" s="1"/>
  <c r="M151" i="11"/>
  <c r="L151"/>
  <c r="M151" i="8"/>
  <c r="L151"/>
  <c r="M152" i="9"/>
  <c r="L152"/>
  <c r="N152" i="5"/>
  <c r="R152" s="1"/>
  <c r="M152" i="11"/>
  <c r="L152"/>
  <c r="M152" i="8"/>
  <c r="L152"/>
  <c r="M153" i="9"/>
  <c r="L153"/>
  <c r="N153" i="5"/>
  <c r="R153" s="1"/>
  <c r="M153" i="11"/>
  <c r="L153"/>
  <c r="M153" i="8"/>
  <c r="L153"/>
  <c r="M154" i="9"/>
  <c r="L154"/>
  <c r="N154" i="5"/>
  <c r="R154" s="1"/>
  <c r="M154" i="11"/>
  <c r="L154"/>
  <c r="M154" i="8"/>
  <c r="L154"/>
  <c r="M155" i="9"/>
  <c r="L155"/>
  <c r="N155" i="5"/>
  <c r="R155" s="1"/>
  <c r="M155" i="11"/>
  <c r="L155"/>
  <c r="M155" i="8"/>
  <c r="L155"/>
  <c r="M156" i="9"/>
  <c r="L156"/>
  <c r="N156" i="5"/>
  <c r="R156" s="1"/>
  <c r="M156" i="11"/>
  <c r="L156"/>
  <c r="M156" i="8"/>
  <c r="L156"/>
  <c r="M157" i="9"/>
  <c r="L157"/>
  <c r="N157" i="5"/>
  <c r="R157" s="1"/>
  <c r="M157" i="11"/>
  <c r="L157"/>
  <c r="M157" i="8"/>
  <c r="L157"/>
  <c r="M158" i="9"/>
  <c r="E158" i="22" s="1"/>
  <c r="L158" i="9"/>
  <c r="N158" i="5"/>
  <c r="R158" s="1"/>
  <c r="M158" i="11"/>
  <c r="L158"/>
  <c r="M158" i="8"/>
  <c r="L158"/>
  <c r="M159" i="9"/>
  <c r="L159"/>
  <c r="N159" i="5"/>
  <c r="R159" s="1"/>
  <c r="M159" i="11"/>
  <c r="L159"/>
  <c r="M159" i="8"/>
  <c r="L159"/>
  <c r="M160" i="9"/>
  <c r="E160" i="22" s="1"/>
  <c r="L160" i="9"/>
  <c r="N160" i="5"/>
  <c r="R160" s="1"/>
  <c r="M160" i="11"/>
  <c r="L160"/>
  <c r="M160" i="8"/>
  <c r="L160"/>
  <c r="M161" i="9"/>
  <c r="E161" i="22" s="1"/>
  <c r="L161" i="9"/>
  <c r="N161" i="5"/>
  <c r="R161" s="1"/>
  <c r="M161" i="11"/>
  <c r="L161"/>
  <c r="M161" i="8"/>
  <c r="L161"/>
  <c r="M162" i="9"/>
  <c r="E162" i="22" s="1"/>
  <c r="L162" i="9"/>
  <c r="N162" i="5"/>
  <c r="R162" s="1"/>
  <c r="M162" i="11"/>
  <c r="L162"/>
  <c r="M162" i="8"/>
  <c r="L162"/>
  <c r="M163" i="9"/>
  <c r="L163"/>
  <c r="N163" i="5"/>
  <c r="R163" s="1"/>
  <c r="M163" i="11"/>
  <c r="L163"/>
  <c r="M163" i="8"/>
  <c r="L163"/>
  <c r="M164" i="9"/>
  <c r="E164" i="22" s="1"/>
  <c r="L164" i="9"/>
  <c r="N164" i="5"/>
  <c r="R164" s="1"/>
  <c r="M164" i="11"/>
  <c r="L164"/>
  <c r="M164" i="8"/>
  <c r="L164"/>
  <c r="M165" i="9"/>
  <c r="E165" i="22" s="1"/>
  <c r="L165" i="9"/>
  <c r="N165" i="5"/>
  <c r="R165" s="1"/>
  <c r="M165" i="11"/>
  <c r="L165"/>
  <c r="M165" i="8"/>
  <c r="L165"/>
  <c r="M166" i="9"/>
  <c r="E166" i="22" s="1"/>
  <c r="L166" i="9"/>
  <c r="N166" i="5"/>
  <c r="R166" s="1"/>
  <c r="M166" i="11"/>
  <c r="L166"/>
  <c r="M166" i="8"/>
  <c r="L166"/>
  <c r="M167" i="9"/>
  <c r="E167" i="22" s="1"/>
  <c r="L167" i="9"/>
  <c r="N167" i="5"/>
  <c r="R167" s="1"/>
  <c r="M167" i="11"/>
  <c r="L167"/>
  <c r="M167" i="8"/>
  <c r="L167"/>
  <c r="M168" i="9"/>
  <c r="L168"/>
  <c r="N168" i="5"/>
  <c r="R168" s="1"/>
  <c r="M168" i="11"/>
  <c r="L168"/>
  <c r="M168" i="8"/>
  <c r="L168"/>
  <c r="M169" i="9"/>
  <c r="E169" i="22" s="1"/>
  <c r="L169" i="9"/>
  <c r="N169" i="5"/>
  <c r="R169" s="1"/>
  <c r="M169" i="11"/>
  <c r="L169"/>
  <c r="M169" i="8"/>
  <c r="L169"/>
  <c r="M170" i="9"/>
  <c r="E170" i="22" s="1"/>
  <c r="L170" i="9"/>
  <c r="N170" i="5"/>
  <c r="R170" s="1"/>
  <c r="M170" i="11"/>
  <c r="L170"/>
  <c r="M170" i="8"/>
  <c r="L170"/>
  <c r="M171" i="9"/>
  <c r="E171" i="22" s="1"/>
  <c r="L171" i="9"/>
  <c r="N171" i="5"/>
  <c r="R171" s="1"/>
  <c r="M171" i="11"/>
  <c r="L171"/>
  <c r="M171" i="8"/>
  <c r="L171"/>
  <c r="M172" i="9"/>
  <c r="E172" i="22" s="1"/>
  <c r="L172" i="9"/>
  <c r="N172" i="5"/>
  <c r="R172" s="1"/>
  <c r="M172" i="11"/>
  <c r="L172"/>
  <c r="M172" i="8"/>
  <c r="L172"/>
  <c r="M173" i="9"/>
  <c r="E173" i="22" s="1"/>
  <c r="L173" i="9"/>
  <c r="N173" i="5"/>
  <c r="R173" s="1"/>
  <c r="M173" i="11"/>
  <c r="L173"/>
  <c r="M173" i="8"/>
  <c r="L173"/>
  <c r="M174" i="9"/>
  <c r="E174" i="22" s="1"/>
  <c r="L174" i="9"/>
  <c r="N174" i="5"/>
  <c r="R174" s="1"/>
  <c r="M174" i="11"/>
  <c r="L174"/>
  <c r="M174" i="8"/>
  <c r="L174"/>
  <c r="M175" i="9"/>
  <c r="E175" i="22" s="1"/>
  <c r="L175" i="9"/>
  <c r="N175" i="5"/>
  <c r="R175" s="1"/>
  <c r="M175" i="11"/>
  <c r="L175"/>
  <c r="M175" i="8"/>
  <c r="L175"/>
  <c r="M176" i="9"/>
  <c r="E176" i="22" s="1"/>
  <c r="L176" i="9"/>
  <c r="N176" i="5"/>
  <c r="R176" s="1"/>
  <c r="M176" i="11"/>
  <c r="L176"/>
  <c r="M176" i="8"/>
  <c r="L176"/>
  <c r="M177" i="9"/>
  <c r="E177" i="22" s="1"/>
  <c r="L177" i="9"/>
  <c r="N177" i="5"/>
  <c r="R177" s="1"/>
  <c r="M177" i="11"/>
  <c r="L177"/>
  <c r="M177" i="8"/>
  <c r="L177"/>
  <c r="M178" i="9"/>
  <c r="E178" i="22" s="1"/>
  <c r="L178" i="9"/>
  <c r="N178" i="5"/>
  <c r="R178" s="1"/>
  <c r="M178" i="11"/>
  <c r="L178"/>
  <c r="M178" i="8"/>
  <c r="L178"/>
  <c r="M179" i="9"/>
  <c r="E179" i="22" s="1"/>
  <c r="L179" i="9"/>
  <c r="N179" i="5"/>
  <c r="R179" s="1"/>
  <c r="M179" i="11"/>
  <c r="L179"/>
  <c r="M179" i="8"/>
  <c r="L179"/>
  <c r="M180" i="9"/>
  <c r="E180" i="22" s="1"/>
  <c r="L180" i="9"/>
  <c r="N180" i="5"/>
  <c r="R180" s="1"/>
  <c r="M180" i="11"/>
  <c r="L180"/>
  <c r="M180" i="8"/>
  <c r="L180"/>
  <c r="M181" i="9"/>
  <c r="E181" i="22" s="1"/>
  <c r="L181" i="9"/>
  <c r="N181" i="5"/>
  <c r="R181" s="1"/>
  <c r="M181" i="11"/>
  <c r="L181"/>
  <c r="M181" i="8"/>
  <c r="L181"/>
  <c r="M182" i="9"/>
  <c r="E182" i="22" s="1"/>
  <c r="L182" i="9"/>
  <c r="N182" i="5"/>
  <c r="R182" s="1"/>
  <c r="M182" i="11"/>
  <c r="L182"/>
  <c r="M182" i="8"/>
  <c r="L182"/>
  <c r="M183" i="9"/>
  <c r="E183" i="22" s="1"/>
  <c r="L183" i="9"/>
  <c r="N183" i="5"/>
  <c r="R183" s="1"/>
  <c r="M183" i="11"/>
  <c r="L183"/>
  <c r="M183" i="8"/>
  <c r="L183"/>
  <c r="M184" i="9"/>
  <c r="E184" i="22" s="1"/>
  <c r="L184" i="9"/>
  <c r="N184" i="5"/>
  <c r="R184" s="1"/>
  <c r="M184" i="11"/>
  <c r="L184"/>
  <c r="M184" i="8"/>
  <c r="L184"/>
  <c r="M185" i="9"/>
  <c r="E185" i="22" s="1"/>
  <c r="L185" i="9"/>
  <c r="N185" i="5"/>
  <c r="R185" s="1"/>
  <c r="M185" i="11"/>
  <c r="L185"/>
  <c r="M185" i="8"/>
  <c r="L185"/>
  <c r="M186" i="9"/>
  <c r="L186"/>
  <c r="N186" i="5"/>
  <c r="R186" s="1"/>
  <c r="M186" i="11"/>
  <c r="L186"/>
  <c r="M186" i="8"/>
  <c r="L186"/>
  <c r="M187" i="9"/>
  <c r="E187" i="22" s="1"/>
  <c r="L187" i="9"/>
  <c r="N187" i="5"/>
  <c r="R187" s="1"/>
  <c r="M187" i="11"/>
  <c r="L187"/>
  <c r="M187" i="8"/>
  <c r="L187"/>
  <c r="M188" i="9"/>
  <c r="E188" i="22" s="1"/>
  <c r="L188" i="9"/>
  <c r="N188" i="5"/>
  <c r="R188" s="1"/>
  <c r="M188" i="11"/>
  <c r="L188"/>
  <c r="M188" i="8"/>
  <c r="L188"/>
  <c r="M189" i="9"/>
  <c r="L189"/>
  <c r="N189" i="5"/>
  <c r="R189" s="1"/>
  <c r="M189" i="11"/>
  <c r="L189"/>
  <c r="M189" i="8"/>
  <c r="L189"/>
  <c r="M190" i="9"/>
  <c r="L190"/>
  <c r="N190" i="5"/>
  <c r="R190" s="1"/>
  <c r="M190" i="11"/>
  <c r="L190"/>
  <c r="M190" i="8"/>
  <c r="L190"/>
  <c r="M191" i="9"/>
  <c r="E191" i="22" s="1"/>
  <c r="L191" i="9"/>
  <c r="N191" i="5"/>
  <c r="R191" s="1"/>
  <c r="M191" i="11"/>
  <c r="L191"/>
  <c r="M191" i="8"/>
  <c r="L191"/>
  <c r="M192" i="9"/>
  <c r="E192" i="22" s="1"/>
  <c r="L192" i="9"/>
  <c r="N192" i="5"/>
  <c r="R192" s="1"/>
  <c r="M192" i="11"/>
  <c r="L192"/>
  <c r="M192" i="8"/>
  <c r="L192"/>
  <c r="M193" i="9"/>
  <c r="E193" i="22" s="1"/>
  <c r="L193" i="9"/>
  <c r="N193" i="5"/>
  <c r="R193" s="1"/>
  <c r="M193" i="11"/>
  <c r="L193"/>
  <c r="M193" i="8"/>
  <c r="L193"/>
  <c r="M194" i="9"/>
  <c r="E194" i="22" s="1"/>
  <c r="L194" i="9"/>
  <c r="N194" i="5"/>
  <c r="R194" s="1"/>
  <c r="M194" i="11"/>
  <c r="L194"/>
  <c r="M194" i="8"/>
  <c r="L194"/>
  <c r="M195" i="9"/>
  <c r="E195" i="22" s="1"/>
  <c r="L195" i="9"/>
  <c r="N195" i="5"/>
  <c r="R195" s="1"/>
  <c r="M195" i="11"/>
  <c r="L195"/>
  <c r="M195" i="8"/>
  <c r="L195"/>
  <c r="M196" i="9"/>
  <c r="E196" i="22" s="1"/>
  <c r="L196" i="9"/>
  <c r="N196" i="5"/>
  <c r="R196" s="1"/>
  <c r="M196" i="11"/>
  <c r="L196"/>
  <c r="M196" i="8"/>
  <c r="L196"/>
  <c r="M197" i="9"/>
  <c r="E197" i="22" s="1"/>
  <c r="L197" i="9"/>
  <c r="N197" i="5"/>
  <c r="R197" s="1"/>
  <c r="M197" i="11"/>
  <c r="L197"/>
  <c r="M197" i="8"/>
  <c r="L197"/>
  <c r="M198" i="9"/>
  <c r="E198" i="22" s="1"/>
  <c r="L198" i="9"/>
  <c r="N198" i="5"/>
  <c r="R198" s="1"/>
  <c r="M198" i="11"/>
  <c r="L198"/>
  <c r="M198" i="8"/>
  <c r="L198"/>
  <c r="M199" i="9"/>
  <c r="E199" i="22" s="1"/>
  <c r="L199" i="9"/>
  <c r="N199" i="5"/>
  <c r="R199" s="1"/>
  <c r="M199" i="11"/>
  <c r="L199"/>
  <c r="M199" i="8"/>
  <c r="L199"/>
  <c r="M200" i="9"/>
  <c r="L200"/>
  <c r="N200" i="5"/>
  <c r="R200" s="1"/>
  <c r="M200" i="11"/>
  <c r="L200"/>
  <c r="M200" i="8"/>
  <c r="L200"/>
  <c r="M201" i="9"/>
  <c r="E201" i="22" s="1"/>
  <c r="L201" i="9"/>
  <c r="N201" i="5"/>
  <c r="R201" s="1"/>
  <c r="M201" i="11"/>
  <c r="L201"/>
  <c r="M201" i="8"/>
  <c r="L201"/>
  <c r="M202" i="9"/>
  <c r="E202" i="22" s="1"/>
  <c r="L202" i="9"/>
  <c r="N202" i="5"/>
  <c r="R202" s="1"/>
  <c r="M202" i="11"/>
  <c r="L202"/>
  <c r="M202" i="8"/>
  <c r="L202"/>
  <c r="M203" i="9"/>
  <c r="E203" i="22" s="1"/>
  <c r="L203" i="9"/>
  <c r="N203" i="5"/>
  <c r="R203" s="1"/>
  <c r="M203" i="11"/>
  <c r="L203"/>
  <c r="M203" i="8"/>
  <c r="L203"/>
  <c r="M204" i="9"/>
  <c r="E204" i="22" s="1"/>
  <c r="L204" i="9"/>
  <c r="N204" i="5"/>
  <c r="R204" s="1"/>
  <c r="M204" i="11"/>
  <c r="L204"/>
  <c r="M204" i="8"/>
  <c r="L204"/>
  <c r="M205" i="9"/>
  <c r="E205" i="22" s="1"/>
  <c r="L205" i="9"/>
  <c r="N205" i="5"/>
  <c r="R205" s="1"/>
  <c r="M205" i="11"/>
  <c r="L205"/>
  <c r="M205" i="8"/>
  <c r="L205"/>
  <c r="M206" i="9"/>
  <c r="E206" i="22" s="1"/>
  <c r="L206" i="9"/>
  <c r="N206" i="5"/>
  <c r="R206" s="1"/>
  <c r="M206" i="11"/>
  <c r="L206"/>
  <c r="M206" i="8"/>
  <c r="L206"/>
  <c r="M207" i="9"/>
  <c r="E207" i="22" s="1"/>
  <c r="L207" i="9"/>
  <c r="N207" i="5"/>
  <c r="R207" s="1"/>
  <c r="M207" i="11"/>
  <c r="L207"/>
  <c r="M207" i="8"/>
  <c r="L207"/>
  <c r="M208" i="9"/>
  <c r="L208"/>
  <c r="N208" i="5"/>
  <c r="R208" s="1"/>
  <c r="M208" i="11"/>
  <c r="L208"/>
  <c r="M208" i="8"/>
  <c r="L208"/>
  <c r="M209" i="9"/>
  <c r="E209" i="22" s="1"/>
  <c r="L209" i="9"/>
  <c r="N209" i="5"/>
  <c r="R209" s="1"/>
  <c r="M209" i="11"/>
  <c r="L209"/>
  <c r="M209" i="8"/>
  <c r="L209"/>
  <c r="M210" i="9"/>
  <c r="L210"/>
  <c r="N210" i="5"/>
  <c r="R210" s="1"/>
  <c r="M210" i="11"/>
  <c r="L210"/>
  <c r="M210" i="8"/>
  <c r="L210"/>
  <c r="M211" i="9"/>
  <c r="L211"/>
  <c r="N211" i="5"/>
  <c r="R211" s="1"/>
  <c r="M211" i="11"/>
  <c r="L211"/>
  <c r="M211" i="8"/>
  <c r="L211"/>
  <c r="M212" i="9"/>
  <c r="L212"/>
  <c r="N212" i="5"/>
  <c r="R212" s="1"/>
  <c r="M212" i="11"/>
  <c r="L212"/>
  <c r="M212" i="8"/>
  <c r="L212"/>
  <c r="M213" i="9"/>
  <c r="E213" i="22" s="1"/>
  <c r="L213" i="9"/>
  <c r="N213" i="5"/>
  <c r="R213" s="1"/>
  <c r="M213" i="11"/>
  <c r="L213"/>
  <c r="M213" i="8"/>
  <c r="L213"/>
  <c r="M214" i="9"/>
  <c r="L214"/>
  <c r="N214" i="5"/>
  <c r="R214" s="1"/>
  <c r="M214" i="11"/>
  <c r="L214"/>
  <c r="M214" i="8"/>
  <c r="L214"/>
  <c r="M215" i="9"/>
  <c r="E215" i="22" s="1"/>
  <c r="L215" i="9"/>
  <c r="N215" i="5"/>
  <c r="R215" s="1"/>
  <c r="M215" i="11"/>
  <c r="L215"/>
  <c r="M215" i="8"/>
  <c r="L215"/>
  <c r="M216" i="9"/>
  <c r="E216" i="22" s="1"/>
  <c r="L216" i="9"/>
  <c r="N216" i="5"/>
  <c r="R216" s="1"/>
  <c r="M216" i="11"/>
  <c r="L216"/>
  <c r="M216" i="8"/>
  <c r="L216"/>
  <c r="M217" i="9"/>
  <c r="E217" i="22" s="1"/>
  <c r="L217" i="9"/>
  <c r="N217" i="5"/>
  <c r="R217" s="1"/>
  <c r="M217" i="11"/>
  <c r="L217"/>
  <c r="M217" i="8"/>
  <c r="L217"/>
  <c r="M218" i="9"/>
  <c r="E218" i="22" s="1"/>
  <c r="L218" i="9"/>
  <c r="N218" i="5"/>
  <c r="R218" s="1"/>
  <c r="M218" i="11"/>
  <c r="L218"/>
  <c r="M218" i="8"/>
  <c r="L218"/>
  <c r="M219" i="9"/>
  <c r="E219" i="22" s="1"/>
  <c r="L219" i="9"/>
  <c r="N219" i="5"/>
  <c r="R219" s="1"/>
  <c r="M219" i="11"/>
  <c r="L219"/>
  <c r="M219" i="8"/>
  <c r="L219"/>
  <c r="M220" i="9"/>
  <c r="E220" i="22" s="1"/>
  <c r="L220" i="9"/>
  <c r="N220" i="5"/>
  <c r="R220" s="1"/>
  <c r="M220" i="11"/>
  <c r="L220"/>
  <c r="M220" i="8"/>
  <c r="L220"/>
  <c r="M221" i="9"/>
  <c r="E221" i="22" s="1"/>
  <c r="L221" i="9"/>
  <c r="N221" i="5"/>
  <c r="R221" s="1"/>
  <c r="M221" i="11"/>
  <c r="L221"/>
  <c r="M221" i="8"/>
  <c r="L221"/>
  <c r="M222" i="9"/>
  <c r="E222" i="22" s="1"/>
  <c r="L222" i="9"/>
  <c r="N222" i="5"/>
  <c r="R222" s="1"/>
  <c r="M222" i="11"/>
  <c r="L222"/>
  <c r="M222" i="8"/>
  <c r="L222"/>
  <c r="M223" i="9"/>
  <c r="E223" i="22" s="1"/>
  <c r="L223" i="9"/>
  <c r="N223" i="5"/>
  <c r="R223" s="1"/>
  <c r="M223" i="11"/>
  <c r="L223"/>
  <c r="M223" i="8"/>
  <c r="L223"/>
  <c r="M224" i="9"/>
  <c r="E224" i="22" s="1"/>
  <c r="L224" i="9"/>
  <c r="N224" i="5"/>
  <c r="R224" s="1"/>
  <c r="M224" i="11"/>
  <c r="L224"/>
  <c r="M224" i="8"/>
  <c r="L224"/>
  <c r="M225" i="9"/>
  <c r="E225" i="22" s="1"/>
  <c r="L225" i="9"/>
  <c r="N225" i="5"/>
  <c r="R225" s="1"/>
  <c r="M225" i="11"/>
  <c r="L225"/>
  <c r="M225" i="8"/>
  <c r="L225"/>
  <c r="M226" i="9"/>
  <c r="E226" i="22" s="1"/>
  <c r="L226" i="9"/>
  <c r="N226" i="5"/>
  <c r="R226" s="1"/>
  <c r="M226" i="11"/>
  <c r="L226"/>
  <c r="M226" i="8"/>
  <c r="L226"/>
  <c r="M227" i="9"/>
  <c r="E227" i="22" s="1"/>
  <c r="L227" i="9"/>
  <c r="N227" i="5"/>
  <c r="R227" s="1"/>
  <c r="M227" i="11"/>
  <c r="L227"/>
  <c r="M227" i="8"/>
  <c r="L227"/>
  <c r="M228" i="9"/>
  <c r="E228" i="22" s="1"/>
  <c r="L228" i="9"/>
  <c r="N228" i="5"/>
  <c r="R228" s="1"/>
  <c r="M228" i="11"/>
  <c r="L228"/>
  <c r="M228" i="8"/>
  <c r="L228"/>
  <c r="M229" i="9"/>
  <c r="E229" i="22" s="1"/>
  <c r="L229" i="9"/>
  <c r="N229" i="5"/>
  <c r="R229" s="1"/>
  <c r="M229" i="11"/>
  <c r="L229"/>
  <c r="M229" i="8"/>
  <c r="L229"/>
  <c r="M230" i="9"/>
  <c r="E230" i="22" s="1"/>
  <c r="L230" i="9"/>
  <c r="N230" i="5"/>
  <c r="R230" s="1"/>
  <c r="M230" i="11"/>
  <c r="L230"/>
  <c r="M230" i="8"/>
  <c r="L230"/>
  <c r="M231" i="9"/>
  <c r="E231" i="22" s="1"/>
  <c r="L231" i="9"/>
  <c r="N231" i="5"/>
  <c r="R231" s="1"/>
  <c r="M231" i="11"/>
  <c r="L231"/>
  <c r="M231" i="8"/>
  <c r="L231"/>
  <c r="M232" i="9"/>
  <c r="E232" i="22" s="1"/>
  <c r="L232" i="9"/>
  <c r="N232" i="5"/>
  <c r="R232" s="1"/>
  <c r="M232" i="11"/>
  <c r="L232"/>
  <c r="M232" i="8"/>
  <c r="L232"/>
  <c r="M233" i="9"/>
  <c r="L233"/>
  <c r="N233" i="5"/>
  <c r="R233" s="1"/>
  <c r="M233" i="11"/>
  <c r="L233"/>
  <c r="M233" i="8"/>
  <c r="L233"/>
  <c r="M234" i="9"/>
  <c r="E234" i="22" s="1"/>
  <c r="L234" i="9"/>
  <c r="N234" i="5"/>
  <c r="R234" s="1"/>
  <c r="M234" i="11"/>
  <c r="L234"/>
  <c r="M234" i="8"/>
  <c r="L234"/>
  <c r="M235" i="9"/>
  <c r="E235" i="22" s="1"/>
  <c r="L235" i="9"/>
  <c r="N235" i="5"/>
  <c r="R235" s="1"/>
  <c r="M235" i="11"/>
  <c r="L235"/>
  <c r="M235" i="8"/>
  <c r="L235"/>
  <c r="M236" i="9"/>
  <c r="E236" i="22" s="1"/>
  <c r="L236" i="9"/>
  <c r="N236" i="5"/>
  <c r="R236" s="1"/>
  <c r="M236" i="11"/>
  <c r="L236"/>
  <c r="M236" i="8"/>
  <c r="L236"/>
  <c r="M237" i="9"/>
  <c r="L237"/>
  <c r="N237" i="5"/>
  <c r="R237" s="1"/>
  <c r="M237" i="11"/>
  <c r="L237"/>
  <c r="M237" i="8"/>
  <c r="L237"/>
  <c r="M238" i="9"/>
  <c r="E238" i="22" s="1"/>
  <c r="L238" i="9"/>
  <c r="N238" i="5"/>
  <c r="R238" s="1"/>
  <c r="M238" i="11"/>
  <c r="L238"/>
  <c r="M238" i="8"/>
  <c r="L238"/>
  <c r="M239" i="9"/>
  <c r="E239" i="22" s="1"/>
  <c r="L239" i="9"/>
  <c r="N239" i="5"/>
  <c r="R239" s="1"/>
  <c r="M239" i="11"/>
  <c r="L239"/>
  <c r="M239" i="8"/>
  <c r="L239"/>
  <c r="M240" i="9"/>
  <c r="E240" i="22" s="1"/>
  <c r="L240" i="9"/>
  <c r="N240" i="5"/>
  <c r="R240" s="1"/>
  <c r="M240" i="11"/>
  <c r="L240"/>
  <c r="M240" i="8"/>
  <c r="L240"/>
  <c r="M241" i="9"/>
  <c r="E241" i="22" s="1"/>
  <c r="L241" i="9"/>
  <c r="N241" i="5"/>
  <c r="R241" s="1"/>
  <c r="M241" i="11"/>
  <c r="L241"/>
  <c r="M241" i="8"/>
  <c r="L241"/>
  <c r="M242" i="9"/>
  <c r="E242" i="22" s="1"/>
  <c r="L242" i="9"/>
  <c r="N242" i="5"/>
  <c r="R242" s="1"/>
  <c r="M242" i="11"/>
  <c r="L242"/>
  <c r="M242" i="8"/>
  <c r="L242"/>
  <c r="M243" i="9"/>
  <c r="E243" i="22" s="1"/>
  <c r="L243" i="9"/>
  <c r="N243" i="5"/>
  <c r="R243" s="1"/>
  <c r="M243" i="11"/>
  <c r="L243"/>
  <c r="M243" i="8"/>
  <c r="L243"/>
  <c r="M244" i="9"/>
  <c r="E244" i="22" s="1"/>
  <c r="L244" i="9"/>
  <c r="N244" i="5"/>
  <c r="R244" s="1"/>
  <c r="M244" i="11"/>
  <c r="L244"/>
  <c r="M244" i="8"/>
  <c r="L244"/>
  <c r="M245" i="9"/>
  <c r="E245" i="22" s="1"/>
  <c r="L245" i="9"/>
  <c r="N245" i="5"/>
  <c r="R245" s="1"/>
  <c r="M245" i="11"/>
  <c r="L245"/>
  <c r="M245" i="8"/>
  <c r="L245"/>
  <c r="M246" i="9"/>
  <c r="E246" i="22" s="1"/>
  <c r="L246" i="9"/>
  <c r="N246" i="5"/>
  <c r="R246" s="1"/>
  <c r="M246" i="11"/>
  <c r="L246"/>
  <c r="M246" i="8"/>
  <c r="L246"/>
  <c r="M247" i="9"/>
  <c r="E247" i="22" s="1"/>
  <c r="L247" i="9"/>
  <c r="N247" i="5"/>
  <c r="R247" s="1"/>
  <c r="M247" i="11"/>
  <c r="L247"/>
  <c r="M247" i="8"/>
  <c r="L247"/>
  <c r="M248" i="9"/>
  <c r="E248" i="22" s="1"/>
  <c r="L248" i="9"/>
  <c r="N248" i="5"/>
  <c r="R248" s="1"/>
  <c r="M248" i="11"/>
  <c r="L248"/>
  <c r="M248" i="8"/>
  <c r="L248"/>
  <c r="M249" i="9"/>
  <c r="E249" i="22" s="1"/>
  <c r="L249" i="9"/>
  <c r="N249" i="5"/>
  <c r="R249" s="1"/>
  <c r="M249" i="11"/>
  <c r="L249"/>
  <c r="M249" i="8"/>
  <c r="L249"/>
  <c r="M250" i="9"/>
  <c r="E250" i="22" s="1"/>
  <c r="L250" i="9"/>
  <c r="N250" i="5"/>
  <c r="R250" s="1"/>
  <c r="M250" i="11"/>
  <c r="L250"/>
  <c r="M250" i="8"/>
  <c r="L250"/>
  <c r="M251" i="9"/>
  <c r="E251" i="22" s="1"/>
  <c r="L251" i="9"/>
  <c r="N251" i="5"/>
  <c r="R251" s="1"/>
  <c r="M251" i="11"/>
  <c r="L251"/>
  <c r="M251" i="8"/>
  <c r="L251"/>
  <c r="M252" i="9"/>
  <c r="E252" i="22" s="1"/>
  <c r="L252" i="9"/>
  <c r="N252" i="5"/>
  <c r="R252" s="1"/>
  <c r="M252" i="11"/>
  <c r="L252"/>
  <c r="M252" i="8"/>
  <c r="L252"/>
  <c r="M253" i="9"/>
  <c r="E253" i="22" s="1"/>
  <c r="L253" i="9"/>
  <c r="N253" i="5"/>
  <c r="R253" s="1"/>
  <c r="M253" i="11"/>
  <c r="L253"/>
  <c r="M253" i="8"/>
  <c r="L253"/>
  <c r="M254" i="9"/>
  <c r="E254" i="22" s="1"/>
  <c r="L254" i="9"/>
  <c r="N254" i="5"/>
  <c r="R254" s="1"/>
  <c r="M254" i="11"/>
  <c r="L254"/>
  <c r="M254" i="8"/>
  <c r="L254"/>
  <c r="M255" i="9"/>
  <c r="E255" i="22" s="1"/>
  <c r="L255" i="9"/>
  <c r="N255" i="5"/>
  <c r="R255" s="1"/>
  <c r="M255" i="11"/>
  <c r="L255"/>
  <c r="M255" i="8"/>
  <c r="L255"/>
  <c r="M256" i="9"/>
  <c r="E256" i="22" s="1"/>
  <c r="L256" i="9"/>
  <c r="N256" i="5"/>
  <c r="R256" s="1"/>
  <c r="M256" i="11"/>
  <c r="L256"/>
  <c r="M256" i="8"/>
  <c r="L256"/>
  <c r="M257" i="9"/>
  <c r="E257" i="22" s="1"/>
  <c r="L257" i="9"/>
  <c r="N257" i="5"/>
  <c r="R257" s="1"/>
  <c r="M257" i="11"/>
  <c r="L257"/>
  <c r="M257" i="8"/>
  <c r="L257"/>
  <c r="M258" i="9"/>
  <c r="E258" i="22" s="1"/>
  <c r="L258" i="9"/>
  <c r="N258" i="5"/>
  <c r="R258" s="1"/>
  <c r="M258" i="11"/>
  <c r="L258"/>
  <c r="M258" i="8"/>
  <c r="L258"/>
  <c r="M259" i="9"/>
  <c r="E259" i="22" s="1"/>
  <c r="L259" i="9"/>
  <c r="N259" i="5"/>
  <c r="R259" s="1"/>
  <c r="M259" i="11"/>
  <c r="L259"/>
  <c r="M259" i="8"/>
  <c r="L259"/>
  <c r="M260" i="9"/>
  <c r="E260" i="22" s="1"/>
  <c r="L260" i="9"/>
  <c r="N260" i="5"/>
  <c r="R260" s="1"/>
  <c r="M261" i="9"/>
  <c r="E261" i="22" s="1"/>
  <c r="L261" i="9"/>
  <c r="N261" i="5"/>
  <c r="R261" s="1"/>
  <c r="M261" i="11"/>
  <c r="L261"/>
  <c r="M261" i="8"/>
  <c r="L261"/>
  <c r="M262" i="9"/>
  <c r="E262" i="22" s="1"/>
  <c r="L262" i="9"/>
  <c r="N262" i="5"/>
  <c r="R262" s="1"/>
  <c r="M262" i="11"/>
  <c r="L262"/>
  <c r="M262" i="8"/>
  <c r="L262"/>
  <c r="M263" i="9"/>
  <c r="E263" i="22" s="1"/>
  <c r="L263" i="9"/>
  <c r="N263" i="5"/>
  <c r="R263" s="1"/>
  <c r="M263" i="11"/>
  <c r="L263"/>
  <c r="M263" i="8"/>
  <c r="L263"/>
  <c r="M264" i="9"/>
  <c r="E264" i="22" s="1"/>
  <c r="L264" i="9"/>
  <c r="N264" i="5"/>
  <c r="R264" s="1"/>
  <c r="M264" i="11"/>
  <c r="L264"/>
  <c r="M264" i="8"/>
  <c r="L264"/>
  <c r="M265" i="9"/>
  <c r="E265" i="22" s="1"/>
  <c r="L265" i="9"/>
  <c r="N265" i="5"/>
  <c r="R265" s="1"/>
  <c r="M265" i="11"/>
  <c r="L265"/>
  <c r="M265" i="8"/>
  <c r="L265"/>
  <c r="M266" i="9"/>
  <c r="E266" i="22" s="1"/>
  <c r="L266" i="9"/>
  <c r="N266" i="5"/>
  <c r="R266" s="1"/>
  <c r="M266" i="11"/>
  <c r="L266"/>
  <c r="M266" i="8"/>
  <c r="L266"/>
  <c r="M267" i="9"/>
  <c r="E267" i="22" s="1"/>
  <c r="L267" i="9"/>
  <c r="N267" i="5"/>
  <c r="R267" s="1"/>
  <c r="M267" i="11"/>
  <c r="L267"/>
  <c r="M267" i="8"/>
  <c r="L267"/>
  <c r="M268" i="9"/>
  <c r="L268"/>
  <c r="N268" i="5"/>
  <c r="R268" s="1"/>
  <c r="M268" i="11"/>
  <c r="L268"/>
  <c r="M268" i="8"/>
  <c r="L268"/>
  <c r="M269" i="9"/>
  <c r="E269" i="22" s="1"/>
  <c r="L269" i="9"/>
  <c r="N269" i="5"/>
  <c r="R269" s="1"/>
  <c r="M269" i="11"/>
  <c r="L269"/>
  <c r="M269" i="8"/>
  <c r="L269"/>
  <c r="M270" i="9"/>
  <c r="E270" i="22" s="1"/>
  <c r="L270" i="9"/>
  <c r="N270" i="5"/>
  <c r="R270" s="1"/>
  <c r="M270" i="11"/>
  <c r="L270"/>
  <c r="M270" i="8"/>
  <c r="L270"/>
  <c r="M271" i="9"/>
  <c r="L271"/>
  <c r="N271" i="5"/>
  <c r="R271" s="1"/>
  <c r="M271" i="11"/>
  <c r="L271"/>
  <c r="M271" i="8"/>
  <c r="L271"/>
  <c r="M272" i="9"/>
  <c r="E272" i="22" s="1"/>
  <c r="L272" i="9"/>
  <c r="N272" i="5"/>
  <c r="R272" s="1"/>
  <c r="M272" i="11"/>
  <c r="L272"/>
  <c r="M272" i="8"/>
  <c r="L272"/>
  <c r="M273" i="9"/>
  <c r="E273" i="22" s="1"/>
  <c r="L273" i="9"/>
  <c r="N273" i="5"/>
  <c r="R273" s="1"/>
  <c r="M273" i="11"/>
  <c r="L273"/>
  <c r="M273" i="8"/>
  <c r="L273"/>
  <c r="M274" i="9"/>
  <c r="E274" i="22" s="1"/>
  <c r="L274" i="9"/>
  <c r="N274" i="5"/>
  <c r="R274" s="1"/>
  <c r="M274" i="11"/>
  <c r="L274"/>
  <c r="M274" i="8"/>
  <c r="L274"/>
  <c r="M275" i="9"/>
  <c r="E275" i="22" s="1"/>
  <c r="L275" i="9"/>
  <c r="N275" i="5"/>
  <c r="R275" s="1"/>
  <c r="M275" i="11"/>
  <c r="L275"/>
  <c r="M275" i="8"/>
  <c r="L275"/>
  <c r="M276" i="9"/>
  <c r="E276" i="22" s="1"/>
  <c r="L276" i="9"/>
  <c r="N276" i="5"/>
  <c r="R276" s="1"/>
  <c r="M276" i="11"/>
  <c r="L276"/>
  <c r="M276" i="8"/>
  <c r="L276"/>
  <c r="M277" i="9"/>
  <c r="E277" i="22" s="1"/>
  <c r="L277" i="9"/>
  <c r="N277" i="5"/>
  <c r="R277" s="1"/>
  <c r="M277" i="11"/>
  <c r="L277"/>
  <c r="M277" i="8"/>
  <c r="L277"/>
  <c r="M278" i="9"/>
  <c r="E278" i="22" s="1"/>
  <c r="L278" i="9"/>
  <c r="N278" i="5"/>
  <c r="R278" s="1"/>
  <c r="M278" i="11"/>
  <c r="L278"/>
  <c r="M278" i="8"/>
  <c r="L278"/>
  <c r="M279" i="9"/>
  <c r="E279" i="22" s="1"/>
  <c r="L279" i="9"/>
  <c r="N279" i="5"/>
  <c r="R279" s="1"/>
  <c r="M279" i="11"/>
  <c r="L279"/>
  <c r="M279" i="8"/>
  <c r="L279"/>
  <c r="M280" i="9"/>
  <c r="E280" i="22" s="1"/>
  <c r="L280" i="9"/>
  <c r="N280" i="5"/>
  <c r="R280" s="1"/>
  <c r="M280" i="11"/>
  <c r="L280"/>
  <c r="M280" i="8"/>
  <c r="L280"/>
  <c r="M281" i="9"/>
  <c r="E281" i="22" s="1"/>
  <c r="L281" i="9"/>
  <c r="N281" i="5"/>
  <c r="R281" s="1"/>
  <c r="M281" i="11"/>
  <c r="L281"/>
  <c r="M281" i="8"/>
  <c r="L281"/>
  <c r="M282" i="9"/>
  <c r="E282" i="22" s="1"/>
  <c r="L282" i="9"/>
  <c r="N282" i="5"/>
  <c r="R282" s="1"/>
  <c r="M282" i="11"/>
  <c r="L282"/>
  <c r="M282" i="8"/>
  <c r="L282"/>
  <c r="M283" i="9"/>
  <c r="E283" i="22" s="1"/>
  <c r="L283" i="9"/>
  <c r="N283" i="5"/>
  <c r="R283" s="1"/>
  <c r="M283" i="11"/>
  <c r="L283"/>
  <c r="M283" i="8"/>
  <c r="L283"/>
  <c r="M284" i="9"/>
  <c r="E284" i="22" s="1"/>
  <c r="L284" i="9"/>
  <c r="N284" i="5"/>
  <c r="R284" s="1"/>
  <c r="M284" i="11"/>
  <c r="L284"/>
  <c r="M284" i="8"/>
  <c r="L284"/>
  <c r="M285" i="9"/>
  <c r="E285" i="22" s="1"/>
  <c r="L285" i="9"/>
  <c r="N285" i="5"/>
  <c r="R285" s="1"/>
  <c r="M285" i="11"/>
  <c r="L285"/>
  <c r="M285" i="8"/>
  <c r="L285"/>
  <c r="M286" i="9"/>
  <c r="E286" i="22" s="1"/>
  <c r="L286" i="9"/>
  <c r="N286" i="5"/>
  <c r="R286" s="1"/>
  <c r="M286" i="11"/>
  <c r="L286"/>
  <c r="M286" i="8"/>
  <c r="L286"/>
  <c r="M287" i="9"/>
  <c r="E287" i="22" s="1"/>
  <c r="L287" i="9"/>
  <c r="N287" i="5"/>
  <c r="R287" s="1"/>
  <c r="M287" i="11"/>
  <c r="L287"/>
  <c r="M287" i="8"/>
  <c r="L287"/>
  <c r="M288" i="9"/>
  <c r="E288" i="22" s="1"/>
  <c r="L288" i="9"/>
  <c r="N288" i="5"/>
  <c r="R288" s="1"/>
  <c r="M288" i="11"/>
  <c r="L288"/>
  <c r="M288" i="8"/>
  <c r="L288"/>
  <c r="M289" i="9"/>
  <c r="E289" i="22" s="1"/>
  <c r="L289" i="9"/>
  <c r="N289" i="5"/>
  <c r="R289" s="1"/>
  <c r="M289" i="11"/>
  <c r="L289"/>
  <c r="M289" i="8"/>
  <c r="L289"/>
  <c r="M290" i="9"/>
  <c r="E290" i="22" s="1"/>
  <c r="L290" i="9"/>
  <c r="N290" i="5"/>
  <c r="R290" s="1"/>
  <c r="M290" i="11"/>
  <c r="L290"/>
  <c r="M290" i="8"/>
  <c r="L290"/>
  <c r="M291" i="9"/>
  <c r="E291" i="22" s="1"/>
  <c r="L291" i="9"/>
  <c r="N291" i="5"/>
  <c r="R291" s="1"/>
  <c r="M291" i="11"/>
  <c r="L291"/>
  <c r="M291" i="8"/>
  <c r="L291"/>
  <c r="M292" i="9"/>
  <c r="E292" i="22" s="1"/>
  <c r="L292" i="9"/>
  <c r="N292" i="5"/>
  <c r="R292" s="1"/>
  <c r="M292" i="11"/>
  <c r="L292"/>
  <c r="M292" i="8"/>
  <c r="L292"/>
  <c r="M293" i="9"/>
  <c r="E293" i="22" s="1"/>
  <c r="L293" i="9"/>
  <c r="N293" i="5"/>
  <c r="R293" s="1"/>
  <c r="M293" i="11"/>
  <c r="L293"/>
  <c r="M293" i="8"/>
  <c r="L293"/>
  <c r="M294" i="9"/>
  <c r="E294" i="22" s="1"/>
  <c r="L294" i="9"/>
  <c r="N294" i="5"/>
  <c r="R294" s="1"/>
  <c r="M294" i="11"/>
  <c r="L294"/>
  <c r="M294" i="8"/>
  <c r="L294"/>
  <c r="M295" i="9"/>
  <c r="E295" i="22" s="1"/>
  <c r="L295" i="9"/>
  <c r="N295" i="5"/>
  <c r="R295" s="1"/>
  <c r="M295" i="11"/>
  <c r="L295"/>
  <c r="M295" i="8"/>
  <c r="L295"/>
  <c r="M296" i="9"/>
  <c r="E296" i="22" s="1"/>
  <c r="L296" i="9"/>
  <c r="N296" i="5"/>
  <c r="R296" s="1"/>
  <c r="M296" i="11"/>
  <c r="L296"/>
  <c r="M296" i="8"/>
  <c r="L296"/>
  <c r="M297" i="9"/>
  <c r="E297" i="22" s="1"/>
  <c r="L297" i="9"/>
  <c r="N297" i="5"/>
  <c r="R297" s="1"/>
  <c r="M297" i="11"/>
  <c r="L297"/>
  <c r="M297" i="8"/>
  <c r="L297"/>
  <c r="M298" i="9"/>
  <c r="E298" i="22" s="1"/>
  <c r="L298" i="9"/>
  <c r="N298" i="5"/>
  <c r="R298" s="1"/>
  <c r="M298" i="11"/>
  <c r="L298"/>
  <c r="M298" i="8"/>
  <c r="L298"/>
  <c r="M299" i="9"/>
  <c r="E299" i="22" s="1"/>
  <c r="L299" i="9"/>
  <c r="N299" i="5"/>
  <c r="R299" s="1"/>
  <c r="M299" i="11"/>
  <c r="L299"/>
  <c r="M299" i="8"/>
  <c r="L299"/>
  <c r="M300" i="9"/>
  <c r="E300" i="22" s="1"/>
  <c r="L300" i="9"/>
  <c r="N300" i="5"/>
  <c r="R300" s="1"/>
  <c r="M300" i="11"/>
  <c r="L300"/>
  <c r="M300" i="8"/>
  <c r="L300"/>
  <c r="M301" i="9"/>
  <c r="E301" i="22" s="1"/>
  <c r="L301" i="9"/>
  <c r="N301" i="5"/>
  <c r="R301" s="1"/>
  <c r="M301" i="11"/>
  <c r="L301"/>
  <c r="M301" i="8"/>
  <c r="L301"/>
  <c r="M302" i="9"/>
  <c r="E302" i="22" s="1"/>
  <c r="L302" i="9"/>
  <c r="N302" i="5"/>
  <c r="R302" s="1"/>
  <c r="M302" i="11"/>
  <c r="L302"/>
  <c r="M302" i="8"/>
  <c r="L302"/>
  <c r="M303" i="9"/>
  <c r="E303" i="22" s="1"/>
  <c r="L303" i="9"/>
  <c r="N303" i="5"/>
  <c r="R303" s="1"/>
  <c r="M303" i="11"/>
  <c r="L303"/>
  <c r="M303" i="8"/>
  <c r="L303"/>
  <c r="M304" i="9"/>
  <c r="E304" i="22" s="1"/>
  <c r="L304" i="9"/>
  <c r="N304" i="5"/>
  <c r="R304" s="1"/>
  <c r="M304" i="11"/>
  <c r="L304"/>
  <c r="M304" i="8"/>
  <c r="L304"/>
  <c r="M305" i="9"/>
  <c r="E305" i="22" s="1"/>
  <c r="L305" i="9"/>
  <c r="N305" i="5"/>
  <c r="R305" s="1"/>
  <c r="M305" i="11"/>
  <c r="L305"/>
  <c r="M305" i="8"/>
  <c r="L305"/>
  <c r="M306" i="9"/>
  <c r="E306" i="22" s="1"/>
  <c r="L306" i="9"/>
  <c r="N306" i="5"/>
  <c r="R306" s="1"/>
  <c r="M306" i="11"/>
  <c r="L306"/>
  <c r="M306" i="8"/>
  <c r="L306"/>
  <c r="M307" i="9"/>
  <c r="E307" i="22" s="1"/>
  <c r="L307" i="9"/>
  <c r="N307" i="5"/>
  <c r="R307" s="1"/>
  <c r="M307" i="11"/>
  <c r="L307"/>
  <c r="M307" i="8"/>
  <c r="L307"/>
  <c r="M308" i="9"/>
  <c r="E308" i="22" s="1"/>
  <c r="L308" i="9"/>
  <c r="N308" i="5"/>
  <c r="R308" s="1"/>
  <c r="M308" i="11"/>
  <c r="L308"/>
  <c r="M308" i="8"/>
  <c r="L308"/>
  <c r="M309" i="9"/>
  <c r="E309" i="22" s="1"/>
  <c r="L309" i="9"/>
  <c r="N309" i="5"/>
  <c r="R309" s="1"/>
  <c r="M309" i="11"/>
  <c r="L309"/>
  <c r="M309" i="8"/>
  <c r="L309"/>
  <c r="M310" i="9"/>
  <c r="E310" i="22" s="1"/>
  <c r="L310" i="9"/>
  <c r="N310" i="5"/>
  <c r="R310" s="1"/>
  <c r="M310" i="11"/>
  <c r="L310"/>
  <c r="M310" i="8"/>
  <c r="L310"/>
  <c r="M311" i="9"/>
  <c r="E311" i="22" s="1"/>
  <c r="L311" i="9"/>
  <c r="N311" i="5"/>
  <c r="R311" s="1"/>
  <c r="M311" i="11"/>
  <c r="L311"/>
  <c r="M311" i="8"/>
  <c r="L311"/>
  <c r="M312" i="9"/>
  <c r="E312" i="22" s="1"/>
  <c r="L312" i="9"/>
  <c r="N312" i="5"/>
  <c r="R312" s="1"/>
  <c r="M312" i="11"/>
  <c r="L312"/>
  <c r="M312" i="8"/>
  <c r="L312"/>
  <c r="M313" i="9"/>
  <c r="E313" i="22" s="1"/>
  <c r="L313" i="9"/>
  <c r="N313" i="5"/>
  <c r="R313" s="1"/>
  <c r="M313" i="11"/>
  <c r="L313"/>
  <c r="M313" i="8"/>
  <c r="L313"/>
  <c r="M314" i="9"/>
  <c r="E314" i="22" s="1"/>
  <c r="L314" i="9"/>
  <c r="N314" i="5"/>
  <c r="R314" s="1"/>
  <c r="M314" i="11"/>
  <c r="L314"/>
  <c r="M314" i="8"/>
  <c r="L314"/>
  <c r="M315" i="9"/>
  <c r="E315" i="22" s="1"/>
  <c r="L315" i="9"/>
  <c r="N315" i="5"/>
  <c r="R315" s="1"/>
  <c r="M315" i="11"/>
  <c r="L315"/>
  <c r="M315" i="8"/>
  <c r="L315"/>
  <c r="M316" i="9"/>
  <c r="E316" i="22" s="1"/>
  <c r="L316" i="9"/>
  <c r="N316" i="5"/>
  <c r="R316" s="1"/>
  <c r="M316" i="11"/>
  <c r="L316"/>
  <c r="M316" i="8"/>
  <c r="L316"/>
  <c r="M317" i="9"/>
  <c r="E317" i="22" s="1"/>
  <c r="L317" i="9"/>
  <c r="N317" i="5"/>
  <c r="R317" s="1"/>
  <c r="M317" i="11"/>
  <c r="L317"/>
  <c r="M317" i="8"/>
  <c r="L317"/>
  <c r="M318" i="9"/>
  <c r="E318" i="22" s="1"/>
  <c r="L318" i="9"/>
  <c r="N318" i="5"/>
  <c r="R318" s="1"/>
  <c r="M318" i="11"/>
  <c r="L318"/>
  <c r="M318" i="8"/>
  <c r="L318"/>
  <c r="M319" i="9"/>
  <c r="E319" i="22" s="1"/>
  <c r="L319" i="9"/>
  <c r="N319" i="5"/>
  <c r="R319" s="1"/>
  <c r="M319" i="11"/>
  <c r="L319"/>
  <c r="M319" i="8"/>
  <c r="L319"/>
  <c r="M320" i="9"/>
  <c r="E320" i="22" s="1"/>
  <c r="L320" i="9"/>
  <c r="N320" i="5"/>
  <c r="R320" s="1"/>
  <c r="M320" i="11"/>
  <c r="L320"/>
  <c r="M320" i="8"/>
  <c r="L320"/>
  <c r="M321" i="9"/>
  <c r="E321" i="22" s="1"/>
  <c r="L321" i="9"/>
  <c r="N321" i="5"/>
  <c r="R321" s="1"/>
  <c r="M321" i="11"/>
  <c r="L321"/>
  <c r="M321" i="8"/>
  <c r="L321"/>
  <c r="M322" i="9"/>
  <c r="E322" i="22" s="1"/>
  <c r="L322" i="9"/>
  <c r="N322" i="5"/>
  <c r="R322" s="1"/>
  <c r="M322" i="11"/>
  <c r="L322"/>
  <c r="M322" i="8"/>
  <c r="L322"/>
  <c r="M323" i="9"/>
  <c r="E323" i="22" s="1"/>
  <c r="L323" i="9"/>
  <c r="N323" i="5"/>
  <c r="R323" s="1"/>
  <c r="M323" i="11"/>
  <c r="L323"/>
  <c r="M323" i="8"/>
  <c r="L323"/>
  <c r="M324" i="9"/>
  <c r="E324" i="22" s="1"/>
  <c r="L324" i="9"/>
  <c r="N324" i="5"/>
  <c r="R324" s="1"/>
  <c r="M324" i="11"/>
  <c r="L324"/>
  <c r="M324" i="8"/>
  <c r="L324"/>
  <c r="M325" i="9"/>
  <c r="E325" i="22" s="1"/>
  <c r="L325" i="9"/>
  <c r="N325" i="5"/>
  <c r="R325" s="1"/>
  <c r="M325" i="11"/>
  <c r="L325"/>
  <c r="M325" i="8"/>
  <c r="L325"/>
  <c r="M326" i="9"/>
  <c r="E326" i="22" s="1"/>
  <c r="L326" i="9"/>
  <c r="N326" i="5"/>
  <c r="R326" s="1"/>
  <c r="M326" i="11"/>
  <c r="L326"/>
  <c r="M326" i="8"/>
  <c r="L326"/>
  <c r="M327" i="9"/>
  <c r="L327"/>
  <c r="N327" i="5"/>
  <c r="R327" s="1"/>
  <c r="M327" i="11"/>
  <c r="L327"/>
  <c r="M327" i="8"/>
  <c r="L327"/>
  <c r="M328" i="9"/>
  <c r="L328"/>
  <c r="N328" i="5"/>
  <c r="R328" s="1"/>
  <c r="M328" i="11"/>
  <c r="L328"/>
  <c r="M328" i="8"/>
  <c r="L328"/>
  <c r="M329" i="9"/>
  <c r="E329" i="22" s="1"/>
  <c r="L329" i="9"/>
  <c r="N329" i="5"/>
  <c r="R329" s="1"/>
  <c r="M329" i="11"/>
  <c r="L329"/>
  <c r="M329" i="8"/>
  <c r="L329"/>
  <c r="M330" i="9"/>
  <c r="E330" i="22" s="1"/>
  <c r="L330" i="9"/>
  <c r="N330" i="5"/>
  <c r="R330" s="1"/>
  <c r="M330" i="11"/>
  <c r="L330"/>
  <c r="M330" i="8"/>
  <c r="L330"/>
  <c r="M331" i="9"/>
  <c r="E331" i="22" s="1"/>
  <c r="L331" i="9"/>
  <c r="N331" i="5"/>
  <c r="R331" s="1"/>
  <c r="M331" i="11"/>
  <c r="L331"/>
  <c r="M331" i="8"/>
  <c r="L331"/>
  <c r="M332" i="9"/>
  <c r="E332" i="22" s="1"/>
  <c r="L332" i="9"/>
  <c r="N332" i="5"/>
  <c r="R332" s="1"/>
  <c r="M332" i="11"/>
  <c r="L332"/>
  <c r="M332" i="8"/>
  <c r="L332"/>
  <c r="M333" i="9"/>
  <c r="E333" i="22" s="1"/>
  <c r="L333" i="9"/>
  <c r="N333" i="5"/>
  <c r="R333" s="1"/>
  <c r="M333" i="11"/>
  <c r="L333"/>
  <c r="M333" i="8"/>
  <c r="L333"/>
  <c r="M334" i="9"/>
  <c r="E334" i="22" s="1"/>
  <c r="L334" i="9"/>
  <c r="N334" i="5"/>
  <c r="R334" s="1"/>
  <c r="M334" i="11"/>
  <c r="L334"/>
  <c r="M334" i="8"/>
  <c r="L334"/>
  <c r="M335" i="9"/>
  <c r="E335" i="22" s="1"/>
  <c r="L335" i="9"/>
  <c r="N335" i="5"/>
  <c r="R335" s="1"/>
  <c r="M335" i="11"/>
  <c r="L335"/>
  <c r="M335" i="8"/>
  <c r="L335"/>
  <c r="M336" i="9"/>
  <c r="E336" i="22" s="1"/>
  <c r="L336" i="9"/>
  <c r="N336" i="5"/>
  <c r="R336" s="1"/>
  <c r="M336" i="11"/>
  <c r="L336"/>
  <c r="M336" i="8"/>
  <c r="L336"/>
  <c r="M337" i="9"/>
  <c r="E337" i="22" s="1"/>
  <c r="L337" i="9"/>
  <c r="N337" i="5"/>
  <c r="R337" s="1"/>
  <c r="M337" i="11"/>
  <c r="L337"/>
  <c r="M337" i="8"/>
  <c r="L337"/>
  <c r="M338" i="9"/>
  <c r="E338" i="22" s="1"/>
  <c r="L338" i="9"/>
  <c r="N338" i="5"/>
  <c r="R338" s="1"/>
  <c r="M338" i="11"/>
  <c r="L338"/>
  <c r="M338" i="8"/>
  <c r="L338"/>
  <c r="M339" i="9"/>
  <c r="E339" i="22" s="1"/>
  <c r="L339" i="9"/>
  <c r="N339" i="5"/>
  <c r="R339" s="1"/>
  <c r="M339" i="11"/>
  <c r="L339"/>
  <c r="M339" i="8"/>
  <c r="L339"/>
  <c r="M340" i="9"/>
  <c r="E340" i="22" s="1"/>
  <c r="L340" i="9"/>
  <c r="N340" i="5"/>
  <c r="R340" s="1"/>
  <c r="M340" i="11"/>
  <c r="L340"/>
  <c r="M340" i="8"/>
  <c r="L340"/>
  <c r="M341" i="9"/>
  <c r="E341" i="22" s="1"/>
  <c r="L341" i="9"/>
  <c r="N341" i="5"/>
  <c r="R341" s="1"/>
  <c r="M341" i="11"/>
  <c r="L341"/>
  <c r="M341" i="8"/>
  <c r="L341"/>
  <c r="M342" i="9"/>
  <c r="E342" i="22" s="1"/>
  <c r="L342" i="9"/>
  <c r="N342" i="5"/>
  <c r="R342" s="1"/>
  <c r="M342" i="11"/>
  <c r="L342"/>
  <c r="M342" i="8"/>
  <c r="L342"/>
  <c r="M343" i="9"/>
  <c r="E343" i="22" s="1"/>
  <c r="L343" i="9"/>
  <c r="N343" i="5"/>
  <c r="R343" s="1"/>
  <c r="M343" i="11"/>
  <c r="L343"/>
  <c r="M343" i="8"/>
  <c r="L343"/>
  <c r="M344" i="9"/>
  <c r="E344" i="22" s="1"/>
  <c r="L344" i="9"/>
  <c r="N344" i="5"/>
  <c r="R344" s="1"/>
  <c r="M344" i="11"/>
  <c r="L344"/>
  <c r="M344" i="8"/>
  <c r="L344"/>
  <c r="M345" i="9"/>
  <c r="E345" i="22" s="1"/>
  <c r="L345" i="9"/>
  <c r="N345" i="5"/>
  <c r="R345" s="1"/>
  <c r="M345" i="11"/>
  <c r="L345"/>
  <c r="M345" i="8"/>
  <c r="L345"/>
  <c r="M346" i="9"/>
  <c r="E346" i="22" s="1"/>
  <c r="L346" i="9"/>
  <c r="N346" i="5"/>
  <c r="R346" s="1"/>
  <c r="M346" i="11"/>
  <c r="L346"/>
  <c r="M346" i="8"/>
  <c r="L346"/>
  <c r="M347" i="9"/>
  <c r="E347" i="22" s="1"/>
  <c r="L347" i="9"/>
  <c r="N347" i="5"/>
  <c r="R347" s="1"/>
  <c r="M347" i="11"/>
  <c r="L347"/>
  <c r="M347" i="8"/>
  <c r="L347"/>
  <c r="M348" i="9"/>
  <c r="E348" i="22" s="1"/>
  <c r="L348" i="9"/>
  <c r="N348" i="5"/>
  <c r="R348" s="1"/>
  <c r="M348" i="11"/>
  <c r="L348"/>
  <c r="M348" i="8"/>
  <c r="L348"/>
  <c r="M349" i="9"/>
  <c r="E349" i="22" s="1"/>
  <c r="L349" i="9"/>
  <c r="N349" i="5"/>
  <c r="R349" s="1"/>
  <c r="M349" i="11"/>
  <c r="L349"/>
  <c r="M349" i="8"/>
  <c r="L349"/>
  <c r="M350" i="9"/>
  <c r="E350" i="22" s="1"/>
  <c r="L350" i="9"/>
  <c r="N350" i="5"/>
  <c r="R350" s="1"/>
  <c r="M350" i="11"/>
  <c r="L350"/>
  <c r="M350" i="8"/>
  <c r="L350"/>
  <c r="M351" i="9"/>
  <c r="E351" i="22" s="1"/>
  <c r="L351" i="9"/>
  <c r="N351" i="5"/>
  <c r="R351" s="1"/>
  <c r="M351" i="11"/>
  <c r="L351"/>
  <c r="M351" i="8"/>
  <c r="L351"/>
  <c r="M352" i="9"/>
  <c r="E352" i="22" s="1"/>
  <c r="L352" i="9"/>
  <c r="N352" i="5"/>
  <c r="R352" s="1"/>
  <c r="M352" i="11"/>
  <c r="L352"/>
  <c r="M352" i="8"/>
  <c r="L352"/>
  <c r="M353" i="9"/>
  <c r="E353" i="22" s="1"/>
  <c r="L353" i="9"/>
  <c r="N353" i="5"/>
  <c r="R353" s="1"/>
  <c r="M353" i="11"/>
  <c r="L353"/>
  <c r="M353" i="8"/>
  <c r="L353"/>
  <c r="M354" i="9"/>
  <c r="E354" i="22" s="1"/>
  <c r="L354" i="9"/>
  <c r="N354" i="5"/>
  <c r="R354" s="1"/>
  <c r="M354" i="11"/>
  <c r="L354"/>
  <c r="M354" i="8"/>
  <c r="L354"/>
  <c r="M355" i="9"/>
  <c r="E355" i="22" s="1"/>
  <c r="L355" i="9"/>
  <c r="N355" i="5"/>
  <c r="R355" s="1"/>
  <c r="M355" i="11"/>
  <c r="L355"/>
  <c r="M355" i="8"/>
  <c r="L355"/>
  <c r="M356" i="9"/>
  <c r="E356" i="22" s="1"/>
  <c r="L356" i="9"/>
  <c r="N356" i="5"/>
  <c r="R356" s="1"/>
  <c r="M356" i="11"/>
  <c r="L356"/>
  <c r="M356" i="8"/>
  <c r="L356"/>
  <c r="M357" i="9"/>
  <c r="E357" i="22" s="1"/>
  <c r="L357" i="9"/>
  <c r="N357" i="5"/>
  <c r="R357" s="1"/>
  <c r="M357" i="11"/>
  <c r="L357"/>
  <c r="M357" i="8"/>
  <c r="L357"/>
  <c r="M358" i="9"/>
  <c r="E358" i="22" s="1"/>
  <c r="L358" i="9"/>
  <c r="N358" i="5"/>
  <c r="R358" s="1"/>
  <c r="M358" i="11"/>
  <c r="L358"/>
  <c r="M358" i="8"/>
  <c r="L358"/>
  <c r="M359" i="9"/>
  <c r="E359" i="22" s="1"/>
  <c r="L359" i="9"/>
  <c r="N359" i="5"/>
  <c r="R359" s="1"/>
  <c r="M359" i="11"/>
  <c r="L359"/>
  <c r="M359" i="8"/>
  <c r="L359"/>
  <c r="M360" i="9"/>
  <c r="E360" i="22" s="1"/>
  <c r="L360" i="9"/>
  <c r="N360" i="5"/>
  <c r="R360" s="1"/>
  <c r="M360" i="11"/>
  <c r="L360"/>
  <c r="M360" i="8"/>
  <c r="L360"/>
  <c r="M361" i="9"/>
  <c r="E361" i="22" s="1"/>
  <c r="L361" i="9"/>
  <c r="N361" i="5"/>
  <c r="R361" s="1"/>
  <c r="M361" i="11"/>
  <c r="L361"/>
  <c r="M361" i="8"/>
  <c r="L361"/>
  <c r="M362" i="9"/>
  <c r="E362" i="22" s="1"/>
  <c r="L362" i="9"/>
  <c r="N362" i="5"/>
  <c r="R362" s="1"/>
  <c r="M362" i="11"/>
  <c r="L362"/>
  <c r="M362" i="8"/>
  <c r="L362"/>
  <c r="M363" i="9"/>
  <c r="E363" i="22" s="1"/>
  <c r="L363" i="9"/>
  <c r="N363" i="5"/>
  <c r="R363" s="1"/>
  <c r="M363" i="11"/>
  <c r="L363"/>
  <c r="M363" i="8"/>
  <c r="L363"/>
  <c r="M364" i="9"/>
  <c r="E364" i="22" s="1"/>
  <c r="L364" i="9"/>
  <c r="N364" i="5"/>
  <c r="R364" s="1"/>
  <c r="M364" i="11"/>
  <c r="L364"/>
  <c r="M364" i="8"/>
  <c r="L364"/>
  <c r="M365" i="9"/>
  <c r="E365" i="22" s="1"/>
  <c r="L365" i="9"/>
  <c r="N365" i="5"/>
  <c r="R365" s="1"/>
  <c r="M365" i="11"/>
  <c r="L365"/>
  <c r="M365" i="8"/>
  <c r="L365"/>
  <c r="M366" i="9"/>
  <c r="E366" i="22" s="1"/>
  <c r="L366" i="9"/>
  <c r="N366" i="5"/>
  <c r="R366" s="1"/>
  <c r="M366" i="11"/>
  <c r="L366"/>
  <c r="M366" i="8"/>
  <c r="L366"/>
  <c r="M367" i="9"/>
  <c r="E367" i="22" s="1"/>
  <c r="L367" i="9"/>
  <c r="N367" i="5"/>
  <c r="R367" s="1"/>
  <c r="M367" i="11"/>
  <c r="H367" i="22" s="1"/>
  <c r="L367" i="11"/>
  <c r="M368" i="9"/>
  <c r="E368" i="22" s="1"/>
  <c r="L368" i="9"/>
  <c r="N368" i="5"/>
  <c r="R368" s="1"/>
  <c r="M368" i="11"/>
  <c r="L368"/>
  <c r="M368" i="8"/>
  <c r="L368"/>
  <c r="M369" i="9"/>
  <c r="E369" i="22" s="1"/>
  <c r="L369" i="9"/>
  <c r="N369" i="5"/>
  <c r="R369" s="1"/>
  <c r="M369" i="11"/>
  <c r="L369"/>
  <c r="M369" i="8"/>
  <c r="L369"/>
  <c r="M370" i="9"/>
  <c r="E370" i="22" s="1"/>
  <c r="L370" i="9"/>
  <c r="N370" i="5"/>
  <c r="R370" s="1"/>
  <c r="M370" i="11"/>
  <c r="L370"/>
  <c r="M370" i="8"/>
  <c r="L370"/>
  <c r="M371" i="9"/>
  <c r="E371" i="22" s="1"/>
  <c r="L371" i="9"/>
  <c r="N371" i="5"/>
  <c r="R371" s="1"/>
  <c r="M371" i="11"/>
  <c r="L371"/>
  <c r="M371" i="8"/>
  <c r="L371"/>
  <c r="M372" i="9"/>
  <c r="E372" i="22" s="1"/>
  <c r="L372" i="9"/>
  <c r="N372" i="5"/>
  <c r="R372" s="1"/>
  <c r="M372" i="11"/>
  <c r="L372"/>
  <c r="M372" i="8"/>
  <c r="L372"/>
  <c r="M373" i="9"/>
  <c r="E373" i="22" s="1"/>
  <c r="L373" i="9"/>
  <c r="N373" i="5"/>
  <c r="R373" s="1"/>
  <c r="M373" i="11"/>
  <c r="L373"/>
  <c r="M373" i="8"/>
  <c r="L373"/>
  <c r="M374" i="9"/>
  <c r="E374" i="22" s="1"/>
  <c r="L374" i="9"/>
  <c r="N374" i="5"/>
  <c r="R374" s="1"/>
  <c r="M374" i="11"/>
  <c r="L374"/>
  <c r="M374" i="8"/>
  <c r="L374"/>
  <c r="M375" i="9"/>
  <c r="E375" i="22" s="1"/>
  <c r="L375" i="9"/>
  <c r="N375" i="5"/>
  <c r="R375" s="1"/>
  <c r="M375" i="11"/>
  <c r="L375"/>
  <c r="M375" i="8"/>
  <c r="L375"/>
  <c r="M376" i="9"/>
  <c r="E376" i="22" s="1"/>
  <c r="L376" i="9"/>
  <c r="N376" i="5"/>
  <c r="R376" s="1"/>
  <c r="M376" i="11"/>
  <c r="L376"/>
  <c r="M376" i="8"/>
  <c r="L376"/>
  <c r="M377" i="9"/>
  <c r="E377" i="22" s="1"/>
  <c r="L377" i="9"/>
  <c r="N377" i="5"/>
  <c r="R377" s="1"/>
  <c r="M377" i="11"/>
  <c r="L377"/>
  <c r="M377" i="8"/>
  <c r="L377"/>
  <c r="M378" i="9"/>
  <c r="E378" i="22" s="1"/>
  <c r="L378" i="9"/>
  <c r="N378" i="5"/>
  <c r="R378" s="1"/>
  <c r="M378" i="11"/>
  <c r="L378"/>
  <c r="M378" i="8"/>
  <c r="L378"/>
  <c r="M379" i="9"/>
  <c r="E379" i="22" s="1"/>
  <c r="L379" i="9"/>
  <c r="N379" i="5"/>
  <c r="R379" s="1"/>
  <c r="M379" i="11"/>
  <c r="L379"/>
  <c r="M379" i="8"/>
  <c r="L379"/>
  <c r="N69" i="5"/>
  <c r="N70"/>
  <c r="R70" s="1"/>
  <c r="N71"/>
  <c r="R71" s="1"/>
  <c r="N72"/>
  <c r="R72" s="1"/>
  <c r="N73"/>
  <c r="R73" s="1"/>
  <c r="N74"/>
  <c r="R74" s="1"/>
  <c r="N75"/>
  <c r="R75" s="1"/>
  <c r="N76"/>
  <c r="R76" s="1"/>
  <c r="N77"/>
  <c r="R77" s="1"/>
  <c r="N78"/>
  <c r="R78" s="1"/>
  <c r="N79"/>
  <c r="R79" s="1"/>
  <c r="N80"/>
  <c r="R80" s="1"/>
  <c r="N81"/>
  <c r="R81" s="1"/>
  <c r="N82"/>
  <c r="R82" s="1"/>
  <c r="N83"/>
  <c r="R83" s="1"/>
  <c r="N84"/>
  <c r="R84" s="1"/>
  <c r="N85"/>
  <c r="R85" s="1"/>
  <c r="N86"/>
  <c r="R86" s="1"/>
  <c r="N87"/>
  <c r="R87" s="1"/>
  <c r="N30"/>
  <c r="R30" s="1"/>
  <c r="N31"/>
  <c r="R31" s="1"/>
  <c r="N32"/>
  <c r="R32" s="1"/>
  <c r="N33"/>
  <c r="R33" s="1"/>
  <c r="N34"/>
  <c r="R34" s="1"/>
  <c r="N35"/>
  <c r="R35" s="1"/>
  <c r="N36"/>
  <c r="R36" s="1"/>
  <c r="N37"/>
  <c r="R37" s="1"/>
  <c r="N38"/>
  <c r="R38" s="1"/>
  <c r="N39"/>
  <c r="R39" s="1"/>
  <c r="N40"/>
  <c r="R40" s="1"/>
  <c r="N41"/>
  <c r="R41" s="1"/>
  <c r="N42"/>
  <c r="R42" s="1"/>
  <c r="N43"/>
  <c r="R43" s="1"/>
  <c r="N44"/>
  <c r="R44" s="1"/>
  <c r="N45"/>
  <c r="R45" s="1"/>
  <c r="N46"/>
  <c r="R46" s="1"/>
  <c r="N47"/>
  <c r="R47" s="1"/>
  <c r="N48"/>
  <c r="R48" s="1"/>
  <c r="N49"/>
  <c r="R49" s="1"/>
  <c r="N50"/>
  <c r="R50" s="1"/>
  <c r="N51"/>
  <c r="R51" s="1"/>
  <c r="N52"/>
  <c r="R52" s="1"/>
  <c r="N53"/>
  <c r="R53" s="1"/>
  <c r="N54"/>
  <c r="R54" s="1"/>
  <c r="N55"/>
  <c r="R55" s="1"/>
  <c r="N56"/>
  <c r="R56" s="1"/>
  <c r="N57"/>
  <c r="R57" s="1"/>
  <c r="N58"/>
  <c r="R58" s="1"/>
  <c r="N59"/>
  <c r="R59" s="1"/>
  <c r="M380" i="14"/>
  <c r="L380"/>
  <c r="M380" i="18"/>
  <c r="L380"/>
  <c r="M380" i="11"/>
  <c r="L380"/>
  <c r="M380" i="8"/>
  <c r="L380"/>
  <c r="M381" i="11"/>
  <c r="L381"/>
  <c r="M381" i="8"/>
  <c r="L381"/>
  <c r="M382" i="11"/>
  <c r="L382"/>
  <c r="M382" i="8"/>
  <c r="L382"/>
  <c r="M383" i="11"/>
  <c r="L383"/>
  <c r="M383" i="8"/>
  <c r="L383"/>
  <c r="Q88" i="12"/>
  <c r="O90"/>
  <c r="N88" i="5"/>
  <c r="R88" s="1"/>
  <c r="I88" i="22" s="1"/>
  <c r="N89" i="5"/>
  <c r="R89" s="1"/>
  <c r="I89" i="22" s="1"/>
  <c r="M897" i="18"/>
  <c r="E897" i="22" s="1"/>
  <c r="L897" i="18"/>
  <c r="N897"/>
  <c r="M918"/>
  <c r="E918" i="22" s="1"/>
  <c r="L918" i="18"/>
  <c r="N918"/>
  <c r="I1146" i="8"/>
  <c r="I1234" s="1"/>
  <c r="H1234"/>
  <c r="M1146"/>
  <c r="L1146"/>
  <c r="N1146" i="7"/>
  <c r="N1234" s="1"/>
  <c r="M1234"/>
  <c r="R1146"/>
  <c r="Q1146"/>
  <c r="P1234"/>
  <c r="I1146" i="9"/>
  <c r="I1234" s="1"/>
  <c r="H1234"/>
  <c r="M1146"/>
  <c r="L1146"/>
  <c r="K1234"/>
  <c r="M747" i="8"/>
  <c r="L747"/>
  <c r="M567" i="9"/>
  <c r="L567"/>
  <c r="M569"/>
  <c r="L569"/>
  <c r="M570"/>
  <c r="L570"/>
  <c r="M571"/>
  <c r="L571"/>
  <c r="M572"/>
  <c r="L572"/>
  <c r="M581"/>
  <c r="L581"/>
  <c r="M584"/>
  <c r="L584"/>
  <c r="M586"/>
  <c r="L586"/>
  <c r="M591"/>
  <c r="L591"/>
  <c r="M689"/>
  <c r="L689"/>
  <c r="M704"/>
  <c r="L704"/>
  <c r="M705"/>
  <c r="L705"/>
  <c r="M747"/>
  <c r="L747"/>
  <c r="M535" i="11"/>
  <c r="L535"/>
  <c r="R535" i="7"/>
  <c r="Q535"/>
  <c r="M535" i="9"/>
  <c r="L535"/>
  <c r="N535" i="5"/>
  <c r="R535" s="1"/>
  <c r="N60"/>
  <c r="R60" s="1"/>
  <c r="I60" i="22" s="1"/>
  <c r="N61" i="5"/>
  <c r="R61" s="1"/>
  <c r="I61" i="22" s="1"/>
  <c r="N62" i="5"/>
  <c r="R62" s="1"/>
  <c r="I62" i="22" s="1"/>
  <c r="N63" i="5"/>
  <c r="R63" s="1"/>
  <c r="I63" i="22" s="1"/>
  <c r="N64" i="5"/>
  <c r="R64" s="1"/>
  <c r="I64" i="22" s="1"/>
  <c r="N65" i="5"/>
  <c r="R65" s="1"/>
  <c r="I65" i="22" s="1"/>
  <c r="N66" i="5"/>
  <c r="R66" s="1"/>
  <c r="I66" i="22" s="1"/>
  <c r="N67" i="5"/>
  <c r="R67" s="1"/>
  <c r="M747" i="11"/>
  <c r="L747"/>
  <c r="O1202" i="12"/>
  <c r="L1202"/>
  <c r="M1202" s="1"/>
  <c r="O1148"/>
  <c r="L1148"/>
  <c r="M1148" s="1"/>
  <c r="R1204" i="7"/>
  <c r="F1234" i="22"/>
  <c r="R1205" i="7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5"/>
  <c r="R1226"/>
  <c r="R1227"/>
  <c r="R1228"/>
  <c r="R1229"/>
  <c r="R1230"/>
  <c r="R1231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Q750" i="12"/>
  <c r="Q750" i="17"/>
  <c r="Q751" i="12"/>
  <c r="Q751" i="17"/>
  <c r="Q752" i="12"/>
  <c r="Q752" i="17"/>
  <c r="Q753" i="12"/>
  <c r="Q753" i="17"/>
  <c r="Q754" i="12"/>
  <c r="Q754" i="17"/>
  <c r="Q755" i="12"/>
  <c r="Q755" i="17"/>
  <c r="Q756" i="12"/>
  <c r="Q756" i="17"/>
  <c r="Q757" i="12"/>
  <c r="Q757" i="17"/>
  <c r="Q758" i="12"/>
  <c r="Q758" i="17"/>
  <c r="Q759" i="12"/>
  <c r="Q759" i="17"/>
  <c r="Q760" i="12"/>
  <c r="Q760" i="17"/>
  <c r="Q761" i="12"/>
  <c r="Q761" i="17"/>
  <c r="Q762" i="12"/>
  <c r="Q762" i="17"/>
  <c r="Q763" i="12"/>
  <c r="Q763" i="17"/>
  <c r="Q764" i="12"/>
  <c r="Q764" i="17"/>
  <c r="Q765" i="12"/>
  <c r="Q765" i="17"/>
  <c r="Q766" i="12"/>
  <c r="Q766" i="17"/>
  <c r="Q767" i="12"/>
  <c r="Q767" i="17"/>
  <c r="Q768" i="12"/>
  <c r="Q768" i="17"/>
  <c r="Q769" i="12"/>
  <c r="Q769" i="17"/>
  <c r="Q770" i="12"/>
  <c r="Q770" i="17"/>
  <c r="Q771" i="12"/>
  <c r="Q771" i="17"/>
  <c r="Q772" i="12"/>
  <c r="Q772" i="17"/>
  <c r="Q773" i="12"/>
  <c r="Q773" i="17"/>
  <c r="Q774" i="12"/>
  <c r="Q774" i="17"/>
  <c r="Q775" i="12"/>
  <c r="Q775" i="17"/>
  <c r="Q776" i="12"/>
  <c r="Q776" i="17"/>
  <c r="Q777" i="12"/>
  <c r="Q777" i="17"/>
  <c r="Q778" i="12"/>
  <c r="Q778" i="17"/>
  <c r="Q779" i="12"/>
  <c r="Q779" i="17"/>
  <c r="Q780" i="12"/>
  <c r="Q780" i="17"/>
  <c r="Q781" i="12"/>
  <c r="Q781" i="17"/>
  <c r="Q782" i="12"/>
  <c r="Q782" i="17"/>
  <c r="Q783" i="12"/>
  <c r="Q783" i="17"/>
  <c r="Q784" i="12"/>
  <c r="Q784" i="17"/>
  <c r="Q785" i="12"/>
  <c r="Q785" i="17"/>
  <c r="Q786" i="12"/>
  <c r="Q786" i="17"/>
  <c r="Q787" i="12"/>
  <c r="Q787" i="17"/>
  <c r="Q788" i="12"/>
  <c r="Q788" i="17"/>
  <c r="Q789" i="12"/>
  <c r="Q789" i="17"/>
  <c r="Q790" i="12"/>
  <c r="Q790" i="17"/>
  <c r="Q791" i="12"/>
  <c r="Q791" i="17"/>
  <c r="Q794" i="12"/>
  <c r="Q794" i="17"/>
  <c r="Q795" i="12"/>
  <c r="Q795" i="17"/>
  <c r="Q796" i="12"/>
  <c r="Q796" i="17"/>
  <c r="Q797" i="12"/>
  <c r="Q797" i="17"/>
  <c r="Q798" i="12"/>
  <c r="Q798" i="17"/>
  <c r="Q799" i="12"/>
  <c r="Q799" i="17"/>
  <c r="Q800" i="12"/>
  <c r="Q800" i="17"/>
  <c r="Q801" i="12"/>
  <c r="Q801" i="17"/>
  <c r="Q802" i="12"/>
  <c r="Q802" i="17"/>
  <c r="Q803" i="12"/>
  <c r="Q803" i="17"/>
  <c r="Q804" i="12"/>
  <c r="Q804" i="17"/>
  <c r="Q805" i="12"/>
  <c r="Q805" i="17"/>
  <c r="Q806" i="12"/>
  <c r="Q806" i="17"/>
  <c r="Q807" i="12"/>
  <c r="Q807" i="17"/>
  <c r="Q808" i="12"/>
  <c r="Q808" i="17"/>
  <c r="Q809" i="12"/>
  <c r="Q809" i="17"/>
  <c r="Q810" i="12"/>
  <c r="Q810" i="17"/>
  <c r="Q811" i="12"/>
  <c r="Q811" i="17"/>
  <c r="Q812" i="12"/>
  <c r="Q812" i="17"/>
  <c r="Q813" i="12"/>
  <c r="Q813" i="17"/>
  <c r="Q814" i="12"/>
  <c r="Q814" i="17"/>
  <c r="Q815" i="12"/>
  <c r="Q815" i="17"/>
  <c r="Q816" i="12"/>
  <c r="Q816" i="17"/>
  <c r="Q817" i="12"/>
  <c r="Q817" i="17"/>
  <c r="Q818" i="12"/>
  <c r="Q818" i="17"/>
  <c r="Q819" i="12"/>
  <c r="Q819" i="17"/>
  <c r="Q820" i="12"/>
  <c r="Q820" i="17"/>
  <c r="Q821" i="12"/>
  <c r="Q821" i="17"/>
  <c r="Q822" i="12"/>
  <c r="Q822" i="17"/>
  <c r="Q823" i="12"/>
  <c r="Q823" i="17"/>
  <c r="Q824" i="12"/>
  <c r="Q824" i="17"/>
  <c r="Q825" i="12"/>
  <c r="Q825" i="17"/>
  <c r="Q826" i="12"/>
  <c r="Q826" i="17"/>
  <c r="Q827" i="12"/>
  <c r="Q827" i="17"/>
  <c r="Q828" i="12"/>
  <c r="Q828" i="17"/>
  <c r="Q829" i="12"/>
  <c r="Q829" i="17"/>
  <c r="Q830" i="12"/>
  <c r="Q830" i="17"/>
  <c r="Q831" i="12"/>
  <c r="Q831" i="17"/>
  <c r="Q832" i="12"/>
  <c r="Q832" i="17"/>
  <c r="Q833"/>
  <c r="Q833" i="12"/>
  <c r="Q834"/>
  <c r="Q834" i="17"/>
  <c r="Q835" i="12"/>
  <c r="Q835" i="17"/>
  <c r="Q836" i="12"/>
  <c r="Q836" i="17"/>
  <c r="Q837" i="12"/>
  <c r="Q837" i="17"/>
  <c r="Q838" i="12"/>
  <c r="Q838" i="17"/>
  <c r="Q839" i="12"/>
  <c r="Q839" i="17"/>
  <c r="Q840" i="12"/>
  <c r="Q840" i="17"/>
  <c r="Q841" i="12"/>
  <c r="Q841" i="17"/>
  <c r="Q842" i="12"/>
  <c r="Q842" i="17"/>
  <c r="Q843" i="12"/>
  <c r="Q843" i="17"/>
  <c r="Q844" i="12"/>
  <c r="Q844" i="17"/>
  <c r="Q845" i="12"/>
  <c r="Q845" i="17"/>
  <c r="Q846" i="12"/>
  <c r="Q846" i="17"/>
  <c r="Q847" i="12"/>
  <c r="Q847" i="17"/>
  <c r="Q848" i="12"/>
  <c r="Q848" i="17"/>
  <c r="Q849" i="12"/>
  <c r="Q849" i="17"/>
  <c r="Q850" i="12"/>
  <c r="Q850" i="17"/>
  <c r="Q851" i="12"/>
  <c r="Q851" i="17"/>
  <c r="Q852" i="12"/>
  <c r="Q852" i="17"/>
  <c r="Q853" i="12"/>
  <c r="Q853" i="17"/>
  <c r="Q854" i="12"/>
  <c r="Q854" i="17"/>
  <c r="Q855" i="12"/>
  <c r="Q855" i="17"/>
  <c r="Q856" i="12"/>
  <c r="Q856" i="17"/>
  <c r="Q857" i="12"/>
  <c r="Q857" i="17"/>
  <c r="Q858" i="12"/>
  <c r="Q858" i="17"/>
  <c r="Q859" i="12"/>
  <c r="Q859" i="17"/>
  <c r="Q860" i="12"/>
  <c r="Q860" i="17"/>
  <c r="Q861" i="12"/>
  <c r="Q861" i="17"/>
  <c r="Q862" i="12"/>
  <c r="Q862" i="17"/>
  <c r="Q863" i="12"/>
  <c r="Q863" i="17"/>
  <c r="Q864" i="12"/>
  <c r="Q864" i="17"/>
  <c r="Q865" i="12"/>
  <c r="Q865" i="17"/>
  <c r="Q866" i="12"/>
  <c r="Q866" i="17"/>
  <c r="Q867" i="12"/>
  <c r="Q867" i="17"/>
  <c r="Q868" i="12"/>
  <c r="Q868" i="17"/>
  <c r="Q869" i="12"/>
  <c r="Q869" i="17"/>
  <c r="Q870" i="12"/>
  <c r="Q870" i="17"/>
  <c r="Q871" i="12"/>
  <c r="Q871" i="17"/>
  <c r="Q872" i="12"/>
  <c r="Q872" i="17"/>
  <c r="Q873" i="12"/>
  <c r="Q873" i="17"/>
  <c r="Q874" i="12"/>
  <c r="Q874" i="17"/>
  <c r="Q875" i="12"/>
  <c r="Q875" i="17"/>
  <c r="Q876"/>
  <c r="Q877"/>
  <c r="Q87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5" i="12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3"/>
  <c r="Q1224"/>
  <c r="Q1225"/>
  <c r="Q1226"/>
  <c r="Q1227"/>
  <c r="Q1228"/>
  <c r="Q1229"/>
  <c r="M1163" i="18"/>
  <c r="M1164"/>
  <c r="M1180"/>
  <c r="M1181"/>
  <c r="M1182"/>
  <c r="M1183"/>
  <c r="M1184"/>
  <c r="M1185"/>
  <c r="M1186"/>
  <c r="M1187"/>
  <c r="M1188"/>
  <c r="M1189"/>
  <c r="M1190"/>
  <c r="M1192"/>
  <c r="M1193"/>
  <c r="M1194"/>
  <c r="M1195"/>
  <c r="M1196"/>
  <c r="M1197"/>
  <c r="M1198"/>
  <c r="M1199"/>
  <c r="M1200"/>
  <c r="M1201"/>
  <c r="Q876" i="12"/>
  <c r="Q877"/>
  <c r="Q878"/>
  <c r="M877" i="18"/>
  <c r="M878"/>
  <c r="M876"/>
  <c r="M877" i="14"/>
  <c r="E877" i="22" s="1"/>
  <c r="M878" i="14"/>
  <c r="E878" i="22" s="1"/>
  <c r="M876" i="14"/>
  <c r="E876" i="22" s="1"/>
  <c r="M1205" i="18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R1224" i="7"/>
  <c r="M1227" i="18"/>
  <c r="M1228"/>
  <c r="Q1230" i="12"/>
  <c r="Q1231"/>
  <c r="M1163" i="14"/>
  <c r="M1164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750"/>
  <c r="M750" i="18"/>
  <c r="M751" i="14"/>
  <c r="M751" i="18"/>
  <c r="M752" i="14"/>
  <c r="M752" i="18"/>
  <c r="M753" i="14"/>
  <c r="M753" i="18"/>
  <c r="M754" i="14"/>
  <c r="M754" i="18"/>
  <c r="M755" i="14"/>
  <c r="M755" i="18"/>
  <c r="M756" i="14"/>
  <c r="M756" i="18"/>
  <c r="M757" i="14"/>
  <c r="M757" i="18"/>
  <c r="M758" i="14"/>
  <c r="M758" i="18"/>
  <c r="M759" i="14"/>
  <c r="M759" i="18"/>
  <c r="M760" i="14"/>
  <c r="M760" i="18"/>
  <c r="M761"/>
  <c r="M762"/>
  <c r="M763" i="14"/>
  <c r="M763" i="18"/>
  <c r="M764"/>
  <c r="M765" i="14"/>
  <c r="M765" i="18"/>
  <c r="M766" i="14"/>
  <c r="M766" i="18"/>
  <c r="M767" i="14"/>
  <c r="M767" i="18"/>
  <c r="M768" i="14"/>
  <c r="M768" i="18"/>
  <c r="M769"/>
  <c r="M770"/>
  <c r="M771"/>
  <c r="M772"/>
  <c r="M773"/>
  <c r="M774"/>
  <c r="M775" i="14"/>
  <c r="M775" i="18"/>
  <c r="M776" i="14"/>
  <c r="M776" i="18"/>
  <c r="M777" i="14"/>
  <c r="M777" i="18"/>
  <c r="M778" i="14"/>
  <c r="M778" i="18"/>
  <c r="M779" i="14"/>
  <c r="M779" i="18"/>
  <c r="M780" i="14"/>
  <c r="M780" i="18"/>
  <c r="M781" i="14"/>
  <c r="M781" i="18"/>
  <c r="M782" i="14"/>
  <c r="M782" i="18"/>
  <c r="M783"/>
  <c r="M784" i="14"/>
  <c r="M784" i="18"/>
  <c r="M785" i="14"/>
  <c r="M785" i="18"/>
  <c r="M786" i="14"/>
  <c r="M786" i="18"/>
  <c r="M787" i="14"/>
  <c r="M787" i="18"/>
  <c r="M788" i="14"/>
  <c r="M788" i="18"/>
  <c r="M789" i="14"/>
  <c r="M789" i="18"/>
  <c r="M790" i="14"/>
  <c r="M790" i="18"/>
  <c r="M791" i="14"/>
  <c r="M791" i="18"/>
  <c r="M834"/>
  <c r="M873" i="14"/>
  <c r="M873" i="18"/>
  <c r="M874" i="14"/>
  <c r="M874" i="18"/>
  <c r="M7" i="14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1191" i="18"/>
  <c r="M1204" i="8"/>
  <c r="H1204" i="22" s="1"/>
  <c r="M1205" i="14"/>
  <c r="M1205" i="8"/>
  <c r="H1205" i="22" s="1"/>
  <c r="M1206" i="14"/>
  <c r="M1206" i="8"/>
  <c r="H1206" i="22" s="1"/>
  <c r="M1207" i="14"/>
  <c r="M1207" i="8"/>
  <c r="H1207" i="22" s="1"/>
  <c r="M1208" i="14"/>
  <c r="M1208" i="8"/>
  <c r="H1208" i="22" s="1"/>
  <c r="M1209" i="14"/>
  <c r="M1209" i="8"/>
  <c r="H1209" i="22" s="1"/>
  <c r="M1210" i="14"/>
  <c r="M1210" i="8"/>
  <c r="H1210" i="22" s="1"/>
  <c r="M1211" i="14"/>
  <c r="M1211" i="8"/>
  <c r="H1211" i="22" s="1"/>
  <c r="M1212" i="14"/>
  <c r="M1212" i="8"/>
  <c r="H1212" i="22" s="1"/>
  <c r="M1213" i="14"/>
  <c r="M1213" i="8"/>
  <c r="H1213" i="22" s="1"/>
  <c r="M1214" i="14"/>
  <c r="M1214" i="8"/>
  <c r="H1214" i="22" s="1"/>
  <c r="M1215" i="14"/>
  <c r="M1215" i="8"/>
  <c r="H1215" i="22" s="1"/>
  <c r="M1216" i="14"/>
  <c r="M1216" i="8"/>
  <c r="H1216" i="22" s="1"/>
  <c r="M1217" i="14"/>
  <c r="M1217" i="8"/>
  <c r="H1217" i="22" s="1"/>
  <c r="M1218" i="14"/>
  <c r="M1218" i="8"/>
  <c r="H1218" i="22" s="1"/>
  <c r="M1219" i="14"/>
  <c r="M1219" i="8"/>
  <c r="H1219" i="22" s="1"/>
  <c r="M1220" i="14"/>
  <c r="M1220" i="8"/>
  <c r="H1220" i="22" s="1"/>
  <c r="M1221" i="14"/>
  <c r="M1221" i="8"/>
  <c r="H1221" i="22" s="1"/>
  <c r="M1222" i="8"/>
  <c r="H1222" i="22" s="1"/>
  <c r="M1223" i="8"/>
  <c r="H1223" i="22" s="1"/>
  <c r="M1224" i="8"/>
  <c r="H1224" i="22" s="1"/>
  <c r="M1225" i="8"/>
  <c r="H1225" i="22" s="1"/>
  <c r="M1226" i="8"/>
  <c r="H1226" i="22" s="1"/>
  <c r="M1227" i="14"/>
  <c r="M1227" i="8"/>
  <c r="H1227" i="22" s="1"/>
  <c r="M1228" i="14"/>
  <c r="M1228" i="8"/>
  <c r="H1228" i="22" s="1"/>
  <c r="M1229" i="8"/>
  <c r="H1229" i="22" s="1"/>
  <c r="M1149" i="11"/>
  <c r="M1149" i="8"/>
  <c r="M1150" i="11"/>
  <c r="M1150" i="8"/>
  <c r="M1151" i="11"/>
  <c r="M1151" i="8"/>
  <c r="M1152" i="11"/>
  <c r="M1152" i="8"/>
  <c r="M1153" i="11"/>
  <c r="M1153" i="8"/>
  <c r="M1154"/>
  <c r="H1154" i="22" s="1"/>
  <c r="M1155" i="11"/>
  <c r="M1155" i="8"/>
  <c r="M1156" i="11"/>
  <c r="M1156" i="8"/>
  <c r="M1157" i="11"/>
  <c r="M1157" i="8"/>
  <c r="M1158" i="11"/>
  <c r="M1158" i="8"/>
  <c r="M1159" i="11"/>
  <c r="M1159" i="8"/>
  <c r="M1161" i="11"/>
  <c r="M1161" i="8"/>
  <c r="M1162" i="11"/>
  <c r="M1162" i="8"/>
  <c r="M1163" i="11"/>
  <c r="M1163" i="8"/>
  <c r="M1164" i="11"/>
  <c r="M1164" i="8"/>
  <c r="M1165" i="11"/>
  <c r="M1165" i="8"/>
  <c r="M1166" i="11"/>
  <c r="M1166" i="8"/>
  <c r="M1167" i="11"/>
  <c r="M1167" i="8"/>
  <c r="M1168" i="11"/>
  <c r="M1168" i="8"/>
  <c r="M1169" i="11"/>
  <c r="M1169" i="8"/>
  <c r="M1170" i="11"/>
  <c r="M1170" i="8"/>
  <c r="M1171" i="11"/>
  <c r="M1171" i="8"/>
  <c r="M1172" i="11"/>
  <c r="M1172" i="8"/>
  <c r="M1173" i="11"/>
  <c r="M1173" i="8"/>
  <c r="M1174" i="11"/>
  <c r="M1174" i="8"/>
  <c r="M1175" i="11"/>
  <c r="M1175" i="8"/>
  <c r="M1176" i="11"/>
  <c r="M1176" i="8"/>
  <c r="M1177" i="11"/>
  <c r="M1177" i="8"/>
  <c r="M1178" i="11"/>
  <c r="M1178" i="8"/>
  <c r="M1180" i="11"/>
  <c r="M1180" i="8"/>
  <c r="M1181" i="11"/>
  <c r="M1181" i="8"/>
  <c r="M1182" i="11"/>
  <c r="M1182" i="8"/>
  <c r="M1183" i="11"/>
  <c r="M1183" i="8"/>
  <c r="M1184" i="11"/>
  <c r="M1184" i="8"/>
  <c r="M1185" i="11"/>
  <c r="M1185" i="8"/>
  <c r="M1186" i="11"/>
  <c r="M1186" i="8"/>
  <c r="M1187" i="11"/>
  <c r="M1187" i="8"/>
  <c r="M1188" i="11"/>
  <c r="M1188" i="8"/>
  <c r="M1189" i="11"/>
  <c r="M1189" i="8"/>
  <c r="M1190" i="11"/>
  <c r="M1190" i="8"/>
  <c r="M1191" i="11"/>
  <c r="M1191" i="8"/>
  <c r="M1192" i="11"/>
  <c r="M1192" i="8"/>
  <c r="M1193" i="11"/>
  <c r="M1193" i="8"/>
  <c r="M1194" i="11"/>
  <c r="M1194" i="8"/>
  <c r="M1195" i="11"/>
  <c r="M1195" i="8"/>
  <c r="M1196" i="11"/>
  <c r="M1196" i="8"/>
  <c r="M1197" i="11"/>
  <c r="M1197" i="8"/>
  <c r="M1198" i="11"/>
  <c r="M1198" i="8"/>
  <c r="M1199" i="11"/>
  <c r="M1199" i="8"/>
  <c r="M1200" i="11"/>
  <c r="M1200" i="8"/>
  <c r="M1201" i="11"/>
  <c r="M1201" i="8"/>
  <c r="M750" i="9"/>
  <c r="M750" i="8"/>
  <c r="H750" i="22" s="1"/>
  <c r="M751" i="9"/>
  <c r="M751" i="8"/>
  <c r="H751" i="22" s="1"/>
  <c r="M752" i="9"/>
  <c r="M752" i="8"/>
  <c r="H752" i="22" s="1"/>
  <c r="M753" i="9"/>
  <c r="M753" i="8"/>
  <c r="H753" i="22" s="1"/>
  <c r="M754" i="9"/>
  <c r="M754" i="8"/>
  <c r="H754" i="22" s="1"/>
  <c r="M755" i="9"/>
  <c r="M755" i="8"/>
  <c r="H755" i="22" s="1"/>
  <c r="M756" i="9"/>
  <c r="M756" i="8"/>
  <c r="H756" i="22" s="1"/>
  <c r="M757" i="9"/>
  <c r="M757" i="8"/>
  <c r="H757" i="22" s="1"/>
  <c r="M758" i="9"/>
  <c r="M758" i="8"/>
  <c r="H758" i="22" s="1"/>
  <c r="M759" i="9"/>
  <c r="M759" i="8"/>
  <c r="H759" i="22" s="1"/>
  <c r="M760" i="9"/>
  <c r="M760" i="8"/>
  <c r="H760" i="22" s="1"/>
  <c r="M761" i="9"/>
  <c r="M761" i="8"/>
  <c r="H761" i="22" s="1"/>
  <c r="M762" i="9"/>
  <c r="M762" i="8"/>
  <c r="H762" i="22" s="1"/>
  <c r="M763" i="9"/>
  <c r="M763" i="8"/>
  <c r="H763" i="22" s="1"/>
  <c r="M764" i="9"/>
  <c r="M764" i="8"/>
  <c r="H764" i="22" s="1"/>
  <c r="M765" i="9"/>
  <c r="M765" i="8"/>
  <c r="H765" i="22" s="1"/>
  <c r="M766" i="9"/>
  <c r="M766" i="8"/>
  <c r="H766" i="22" s="1"/>
  <c r="M767" i="9"/>
  <c r="M767" i="8"/>
  <c r="H767" i="22" s="1"/>
  <c r="M768" i="9"/>
  <c r="M768" i="8"/>
  <c r="H768" i="22" s="1"/>
  <c r="M769" i="9"/>
  <c r="M769" i="8"/>
  <c r="H769" i="22" s="1"/>
  <c r="M770" i="9"/>
  <c r="M770" i="8"/>
  <c r="H770" i="22" s="1"/>
  <c r="M771" i="9"/>
  <c r="M771" i="8"/>
  <c r="H771" i="22" s="1"/>
  <c r="M772" i="9"/>
  <c r="M772" i="8"/>
  <c r="H772" i="22" s="1"/>
  <c r="M773" i="9"/>
  <c r="M773" i="8"/>
  <c r="H773" i="22" s="1"/>
  <c r="M774" i="9"/>
  <c r="M774" i="8"/>
  <c r="H774" i="22" s="1"/>
  <c r="M775" i="9"/>
  <c r="M775" i="8"/>
  <c r="H775" i="22" s="1"/>
  <c r="M776" i="9"/>
  <c r="M776" i="8"/>
  <c r="H776" i="22" s="1"/>
  <c r="M777" i="9"/>
  <c r="M777" i="8"/>
  <c r="H777" i="22" s="1"/>
  <c r="M778" i="9"/>
  <c r="M778" i="8"/>
  <c r="H778" i="22" s="1"/>
  <c r="M779" i="9"/>
  <c r="M779" i="8"/>
  <c r="H779" i="22" s="1"/>
  <c r="M780" i="9"/>
  <c r="M780" i="8"/>
  <c r="H780" i="22" s="1"/>
  <c r="M781" i="9"/>
  <c r="M781" i="8"/>
  <c r="H781" i="22" s="1"/>
  <c r="M782" i="9"/>
  <c r="M782" i="8"/>
  <c r="H782" i="22" s="1"/>
  <c r="M783" i="9"/>
  <c r="M783" i="8"/>
  <c r="H783" i="22" s="1"/>
  <c r="M784" i="9"/>
  <c r="M784" i="8"/>
  <c r="H784" i="22" s="1"/>
  <c r="M785" i="9"/>
  <c r="M785" i="8"/>
  <c r="H785" i="22" s="1"/>
  <c r="M786" i="9"/>
  <c r="M786" i="8"/>
  <c r="H786" i="22" s="1"/>
  <c r="M787" i="9"/>
  <c r="M787" i="8"/>
  <c r="H787" i="22" s="1"/>
  <c r="M788" i="9"/>
  <c r="M788" i="8"/>
  <c r="H788" i="22" s="1"/>
  <c r="M789" i="9"/>
  <c r="M789" i="8"/>
  <c r="H789" i="22" s="1"/>
  <c r="M790" i="9"/>
  <c r="M790" i="8"/>
  <c r="H790" i="22" s="1"/>
  <c r="M791" i="9"/>
  <c r="M791" i="8"/>
  <c r="H791" i="22" s="1"/>
  <c r="M792" i="9"/>
  <c r="M792" i="8"/>
  <c r="H792" i="22" s="1"/>
  <c r="M793" i="9"/>
  <c r="M793" i="8"/>
  <c r="H793" i="22" s="1"/>
  <c r="M794" i="9"/>
  <c r="M794" i="8"/>
  <c r="H794" i="22" s="1"/>
  <c r="M795" i="9"/>
  <c r="M795" i="8"/>
  <c r="H795" i="22" s="1"/>
  <c r="M796" i="9"/>
  <c r="M796" i="8"/>
  <c r="H796" i="22" s="1"/>
  <c r="M797" i="9"/>
  <c r="M797" i="8"/>
  <c r="H797" i="22" s="1"/>
  <c r="M798" i="9"/>
  <c r="M798" i="8"/>
  <c r="H798" i="22" s="1"/>
  <c r="M799" i="9"/>
  <c r="M799" i="8"/>
  <c r="H799" i="22" s="1"/>
  <c r="M800" i="9"/>
  <c r="M800" i="8"/>
  <c r="H800" i="22" s="1"/>
  <c r="M801" i="9"/>
  <c r="M801" i="8"/>
  <c r="H801" i="22" s="1"/>
  <c r="M802" i="9"/>
  <c r="M802" i="8"/>
  <c r="H802" i="22" s="1"/>
  <c r="M803" i="9"/>
  <c r="M803" i="8"/>
  <c r="H803" i="22" s="1"/>
  <c r="M804" i="9"/>
  <c r="M804" i="8"/>
  <c r="H804" i="22" s="1"/>
  <c r="M805" i="9"/>
  <c r="M805" i="8"/>
  <c r="H805" i="22" s="1"/>
  <c r="M806" i="9"/>
  <c r="M806" i="8"/>
  <c r="H806" i="22" s="1"/>
  <c r="M807" i="9"/>
  <c r="M807" i="8"/>
  <c r="H807" i="22" s="1"/>
  <c r="M808" i="9"/>
  <c r="M808" i="8"/>
  <c r="H808" i="22" s="1"/>
  <c r="M809" i="9"/>
  <c r="M809" i="8"/>
  <c r="H809" i="22" s="1"/>
  <c r="M810" i="9"/>
  <c r="M810" i="8"/>
  <c r="H810" i="22" s="1"/>
  <c r="M811" i="9"/>
  <c r="M811" i="8"/>
  <c r="H811" i="22" s="1"/>
  <c r="M812" i="9"/>
  <c r="M812" i="8"/>
  <c r="H812" i="22" s="1"/>
  <c r="M813" i="9"/>
  <c r="M813" i="8"/>
  <c r="H813" i="22" s="1"/>
  <c r="M814" i="9"/>
  <c r="M814" i="8"/>
  <c r="H814" i="22" s="1"/>
  <c r="M815" i="9"/>
  <c r="M815" i="8"/>
  <c r="H815" i="22" s="1"/>
  <c r="M816" i="9"/>
  <c r="M816" i="8"/>
  <c r="H816" i="22" s="1"/>
  <c r="M817" i="9"/>
  <c r="M817" i="8"/>
  <c r="H817" i="22" s="1"/>
  <c r="M818" i="9"/>
  <c r="M818" i="8"/>
  <c r="H818" i="22" s="1"/>
  <c r="M819" i="9"/>
  <c r="M819" i="8"/>
  <c r="H819" i="22" s="1"/>
  <c r="M820" i="9"/>
  <c r="M820" i="8"/>
  <c r="H820" i="22" s="1"/>
  <c r="M821" i="9"/>
  <c r="M821" i="8"/>
  <c r="H821" i="22" s="1"/>
  <c r="M822" i="9"/>
  <c r="M822" i="8"/>
  <c r="H822" i="22" s="1"/>
  <c r="M823" i="9"/>
  <c r="M823" i="8"/>
  <c r="H823" i="22" s="1"/>
  <c r="M824" i="9"/>
  <c r="M824" i="8"/>
  <c r="H824" i="22" s="1"/>
  <c r="M825" i="9"/>
  <c r="M825" i="8"/>
  <c r="H825" i="22" s="1"/>
  <c r="M826" i="9"/>
  <c r="M826" i="8"/>
  <c r="H826" i="22" s="1"/>
  <c r="M827" i="9"/>
  <c r="M827" i="8"/>
  <c r="H827" i="22" s="1"/>
  <c r="M828" i="9"/>
  <c r="M828" i="8"/>
  <c r="H828" i="22" s="1"/>
  <c r="M829" i="9"/>
  <c r="M829" i="8"/>
  <c r="H829" i="22" s="1"/>
  <c r="M830" i="9"/>
  <c r="M830" i="8"/>
  <c r="H830" i="22" s="1"/>
  <c r="M831" i="9"/>
  <c r="M831" i="8"/>
  <c r="H831" i="22" s="1"/>
  <c r="M832" i="9"/>
  <c r="M832" i="8"/>
  <c r="H832" i="22" s="1"/>
  <c r="M833" i="9"/>
  <c r="M834"/>
  <c r="M834" i="8"/>
  <c r="H834" i="22" s="1"/>
  <c r="M835" i="9"/>
  <c r="M835" i="8"/>
  <c r="H835" i="22" s="1"/>
  <c r="M836" i="9"/>
  <c r="M836" i="8"/>
  <c r="H836" i="22" s="1"/>
  <c r="M837" i="9"/>
  <c r="M837" i="8"/>
  <c r="H837" i="22" s="1"/>
  <c r="M838" i="9"/>
  <c r="M838" i="8"/>
  <c r="H838" i="22" s="1"/>
  <c r="M839" i="9"/>
  <c r="M839" i="8"/>
  <c r="H839" i="22" s="1"/>
  <c r="M840" i="9"/>
  <c r="M840" i="8"/>
  <c r="H840" i="22" s="1"/>
  <c r="M841" i="9"/>
  <c r="M841" i="8"/>
  <c r="H841" i="22" s="1"/>
  <c r="M842" i="9"/>
  <c r="M842" i="8"/>
  <c r="H842" i="22" s="1"/>
  <c r="M843" i="9"/>
  <c r="M843" i="8"/>
  <c r="H843" i="22" s="1"/>
  <c r="M844" i="9"/>
  <c r="M844" i="8"/>
  <c r="H844" i="22" s="1"/>
  <c r="M845" i="9"/>
  <c r="M845" i="8"/>
  <c r="H845" i="22" s="1"/>
  <c r="M846" i="9"/>
  <c r="M846" i="8"/>
  <c r="H846" i="22" s="1"/>
  <c r="M847" i="9"/>
  <c r="M847" i="8"/>
  <c r="H847" i="22" s="1"/>
  <c r="M848" i="9"/>
  <c r="M848" i="8"/>
  <c r="H848" i="22" s="1"/>
  <c r="M849" i="9"/>
  <c r="M849" i="8"/>
  <c r="H849" i="22" s="1"/>
  <c r="M850" i="9"/>
  <c r="M850" i="8"/>
  <c r="H850" i="22" s="1"/>
  <c r="M851" i="9"/>
  <c r="M851" i="8"/>
  <c r="H851" i="22" s="1"/>
  <c r="M852" i="9"/>
  <c r="M852" i="8"/>
  <c r="H852" i="22" s="1"/>
  <c r="M853" i="9"/>
  <c r="M853" i="8"/>
  <c r="H853" i="22" s="1"/>
  <c r="M854" i="9"/>
  <c r="M854" i="8"/>
  <c r="H854" i="22" s="1"/>
  <c r="M855" i="9"/>
  <c r="M855" i="8"/>
  <c r="H855" i="22" s="1"/>
  <c r="M856" i="9"/>
  <c r="M856" i="8"/>
  <c r="H856" i="22" s="1"/>
  <c r="M857" i="9"/>
  <c r="M857" i="8"/>
  <c r="H857" i="22" s="1"/>
  <c r="M858" i="9"/>
  <c r="M858" i="8"/>
  <c r="H858" i="22" s="1"/>
  <c r="M859" i="9"/>
  <c r="M859" i="8"/>
  <c r="H859" i="22" s="1"/>
  <c r="M860" i="9"/>
  <c r="M860" i="8"/>
  <c r="H860" i="22" s="1"/>
  <c r="M861" i="9"/>
  <c r="M861" i="8"/>
  <c r="H861" i="22" s="1"/>
  <c r="M862" i="9"/>
  <c r="M862" i="8"/>
  <c r="H862" i="22" s="1"/>
  <c r="M863" i="9"/>
  <c r="M863" i="8"/>
  <c r="H863" i="22" s="1"/>
  <c r="M864" i="9"/>
  <c r="M864" i="8"/>
  <c r="H864" i="22" s="1"/>
  <c r="M865" i="9"/>
  <c r="M865" i="8"/>
  <c r="H865" i="22" s="1"/>
  <c r="M866" i="9"/>
  <c r="M866" i="8"/>
  <c r="H866" i="22" s="1"/>
  <c r="M867" i="9"/>
  <c r="M867" i="8"/>
  <c r="H867" i="22" s="1"/>
  <c r="M868" i="9"/>
  <c r="M868" i="8"/>
  <c r="H868" i="22" s="1"/>
  <c r="M869" i="9"/>
  <c r="M869" i="8"/>
  <c r="H869" i="22" s="1"/>
  <c r="M870" i="9"/>
  <c r="M870" i="8"/>
  <c r="H870" i="22" s="1"/>
  <c r="M871" i="9"/>
  <c r="M871" i="8"/>
  <c r="H871" i="22" s="1"/>
  <c r="M872" i="9"/>
  <c r="M872" i="8"/>
  <c r="H872" i="22" s="1"/>
  <c r="M873" i="9"/>
  <c r="M873" i="8"/>
  <c r="H873" i="22" s="1"/>
  <c r="M874" i="9"/>
  <c r="M874" i="8"/>
  <c r="H874" i="22" s="1"/>
  <c r="M875" i="9"/>
  <c r="M875" i="8"/>
  <c r="H875" i="22" s="1"/>
  <c r="M8" i="1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0" i="9"/>
  <c r="M30" i="8"/>
  <c r="H30" i="22" s="1"/>
  <c r="R30" i="7"/>
  <c r="M31" i="14"/>
  <c r="M31" i="18"/>
  <c r="M31" i="9"/>
  <c r="M31" i="8"/>
  <c r="H31" i="22" s="1"/>
  <c r="R31" i="7"/>
  <c r="M32" i="14"/>
  <c r="M32" i="18"/>
  <c r="M32" i="9"/>
  <c r="M32" i="8"/>
  <c r="H32" i="22" s="1"/>
  <c r="R32" i="7"/>
  <c r="M33" i="14"/>
  <c r="M33" i="18"/>
  <c r="M33" i="9"/>
  <c r="M33" i="8"/>
  <c r="H33" i="22" s="1"/>
  <c r="R33" i="7"/>
  <c r="M34" i="14"/>
  <c r="M34" i="18"/>
  <c r="M34" i="9"/>
  <c r="M34" i="8"/>
  <c r="H34" i="22" s="1"/>
  <c r="R34" i="7"/>
  <c r="M35" i="14"/>
  <c r="M35" i="18"/>
  <c r="M35" i="9"/>
  <c r="M35" i="8"/>
  <c r="H35" i="22" s="1"/>
  <c r="R35" i="7"/>
  <c r="M36" i="14"/>
  <c r="M36" i="18"/>
  <c r="M36" i="9"/>
  <c r="M36" i="8"/>
  <c r="H36" i="22" s="1"/>
  <c r="R36" i="7"/>
  <c r="M37" i="14"/>
  <c r="M37" i="18"/>
  <c r="M37" i="9"/>
  <c r="M37" i="8"/>
  <c r="H37" i="22" s="1"/>
  <c r="R37" i="7"/>
  <c r="M38" i="9"/>
  <c r="M38" i="8"/>
  <c r="H38" i="22" s="1"/>
  <c r="R38" i="7"/>
  <c r="M39" i="9"/>
  <c r="M39" i="8"/>
  <c r="H39" i="22" s="1"/>
  <c r="M40" i="9"/>
  <c r="M40" i="11"/>
  <c r="M40" i="8"/>
  <c r="R40" i="7"/>
  <c r="M41" i="14"/>
  <c r="M41" i="18"/>
  <c r="M41" i="9"/>
  <c r="M41" i="8"/>
  <c r="H41" i="22" s="1"/>
  <c r="R41" i="7"/>
  <c r="M42" i="14"/>
  <c r="M42" i="18"/>
  <c r="M42" i="9"/>
  <c r="M42" i="8"/>
  <c r="H42" i="22" s="1"/>
  <c r="R42" i="7"/>
  <c r="M43" i="14"/>
  <c r="M43" i="18"/>
  <c r="M43" i="9"/>
  <c r="M43" i="8"/>
  <c r="H43" i="22" s="1"/>
  <c r="R43" i="7"/>
  <c r="M44" i="14"/>
  <c r="M44" i="18"/>
  <c r="M44" i="9"/>
  <c r="M44" i="8"/>
  <c r="H44" i="22" s="1"/>
  <c r="R44" i="7"/>
  <c r="M45" i="14"/>
  <c r="M45" i="18"/>
  <c r="M45" i="9"/>
  <c r="M45" i="8"/>
  <c r="H45" i="22" s="1"/>
  <c r="R45" i="7"/>
  <c r="M46" i="14"/>
  <c r="M46" i="18"/>
  <c r="M46" i="9"/>
  <c r="M46" i="8"/>
  <c r="H46" i="22" s="1"/>
  <c r="R46" i="7"/>
  <c r="M47" i="9"/>
  <c r="M47" i="8"/>
  <c r="H47" i="22" s="1"/>
  <c r="R47" i="7"/>
  <c r="M48" i="14"/>
  <c r="M48" i="18"/>
  <c r="M48" i="9"/>
  <c r="M48" i="8"/>
  <c r="H48" i="22" s="1"/>
  <c r="R48" i="7"/>
  <c r="M49" i="9"/>
  <c r="M49" i="8"/>
  <c r="H49" i="22" s="1"/>
  <c r="R49" i="7"/>
  <c r="M50" i="9"/>
  <c r="M50" i="8"/>
  <c r="H50" i="22" s="1"/>
  <c r="M51" i="9"/>
  <c r="M51" i="8"/>
  <c r="H51" i="22" s="1"/>
  <c r="R51" i="7"/>
  <c r="M52" i="9"/>
  <c r="M52" i="8"/>
  <c r="H52" i="22" s="1"/>
  <c r="R52" i="7"/>
  <c r="M53" i="14"/>
  <c r="M53" i="18"/>
  <c r="M53" i="9"/>
  <c r="M53" i="8"/>
  <c r="H53" i="22" s="1"/>
  <c r="R53" i="7"/>
  <c r="M54" i="14"/>
  <c r="M54" i="18"/>
  <c r="M54" i="9"/>
  <c r="M54" i="8"/>
  <c r="H54" i="22" s="1"/>
  <c r="R54" i="7"/>
  <c r="M55" i="14"/>
  <c r="M55" i="18"/>
  <c r="M55" i="9"/>
  <c r="M55" i="8"/>
  <c r="H55" i="22" s="1"/>
  <c r="R55" i="7"/>
  <c r="M56" i="14"/>
  <c r="M56" i="18"/>
  <c r="M56" i="9"/>
  <c r="M56" i="8"/>
  <c r="H56" i="22" s="1"/>
  <c r="R56" i="7"/>
  <c r="M57" i="14"/>
  <c r="M57" i="18"/>
  <c r="M57" i="9"/>
  <c r="M57" i="8"/>
  <c r="H57" i="22" s="1"/>
  <c r="R57" i="7"/>
  <c r="M58" i="14"/>
  <c r="M58" i="18"/>
  <c r="M58" i="9"/>
  <c r="M58" i="8"/>
  <c r="H58" i="22" s="1"/>
  <c r="R58" i="7"/>
  <c r="M59" i="18"/>
  <c r="M59" i="9"/>
  <c r="M59" i="8"/>
  <c r="H59" i="22" s="1"/>
  <c r="R59" i="7"/>
  <c r="E381" i="22"/>
  <c r="E382"/>
  <c r="E383"/>
  <c r="Q1222" i="12"/>
  <c r="M1179" i="8"/>
  <c r="M1179" i="9"/>
  <c r="M60" i="14"/>
  <c r="E60" i="22" s="1"/>
  <c r="M61" i="14"/>
  <c r="E61" i="22" s="1"/>
  <c r="M62" i="14"/>
  <c r="E62" i="22" s="1"/>
  <c r="M63" i="14"/>
  <c r="E63" i="22" s="1"/>
  <c r="M64" i="14"/>
  <c r="E64" i="22" s="1"/>
  <c r="M65" i="14"/>
  <c r="E65" i="22" s="1"/>
  <c r="M66" i="14"/>
  <c r="E66" i="22" s="1"/>
  <c r="M1179" i="11"/>
  <c r="K1232" i="8"/>
  <c r="Q1149" i="12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E59" i="22" l="1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59"/>
  <c r="H1158"/>
  <c r="H1157"/>
  <c r="H1156"/>
  <c r="H1155"/>
  <c r="H1153"/>
  <c r="H1152"/>
  <c r="H1151"/>
  <c r="H1150"/>
  <c r="H1149"/>
  <c r="H383"/>
  <c r="H382"/>
  <c r="H381"/>
  <c r="H380"/>
  <c r="H379"/>
  <c r="H378"/>
  <c r="H377"/>
  <c r="H376"/>
  <c r="H375"/>
  <c r="H374"/>
  <c r="H373"/>
  <c r="H372"/>
  <c r="H371"/>
  <c r="H370"/>
  <c r="H369"/>
  <c r="H368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1148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E328"/>
  <c r="E327"/>
  <c r="E268"/>
  <c r="E237"/>
  <c r="E233"/>
  <c r="E214"/>
  <c r="E212"/>
  <c r="E211"/>
  <c r="E210"/>
  <c r="E200"/>
  <c r="E190"/>
  <c r="E163"/>
  <c r="E159"/>
  <c r="E157"/>
  <c r="E156"/>
  <c r="E155"/>
  <c r="E154"/>
  <c r="E153"/>
  <c r="E152"/>
  <c r="E151"/>
  <c r="E150"/>
  <c r="E148"/>
  <c r="E142"/>
  <c r="E140"/>
  <c r="E139"/>
  <c r="E135"/>
  <c r="E131"/>
  <c r="E129"/>
  <c r="E128"/>
  <c r="E126"/>
  <c r="E125"/>
  <c r="E123"/>
  <c r="E118"/>
  <c r="E52"/>
  <c r="E51"/>
  <c r="E50"/>
  <c r="E49"/>
  <c r="E47"/>
  <c r="E39"/>
  <c r="D535"/>
  <c r="D384"/>
  <c r="C384"/>
  <c r="C747"/>
  <c r="C879"/>
  <c r="C1146"/>
  <c r="C1202"/>
  <c r="C90"/>
  <c r="C535"/>
  <c r="C67"/>
  <c r="J66"/>
  <c r="L66" s="1"/>
  <c r="M66" s="1"/>
  <c r="J65"/>
  <c r="L65" s="1"/>
  <c r="M65" s="1"/>
  <c r="J64"/>
  <c r="L64" s="1"/>
  <c r="M64" s="1"/>
  <c r="J63"/>
  <c r="L63" s="1"/>
  <c r="M63" s="1"/>
  <c r="J62"/>
  <c r="L62" s="1"/>
  <c r="M62" s="1"/>
  <c r="J61"/>
  <c r="L61" s="1"/>
  <c r="M61" s="1"/>
  <c r="J60"/>
  <c r="L60" s="1"/>
  <c r="M60" s="1"/>
  <c r="J878"/>
  <c r="L878" s="1"/>
  <c r="M878" s="1"/>
  <c r="J877"/>
  <c r="L877" s="1"/>
  <c r="M877" s="1"/>
  <c r="J876"/>
  <c r="L876" s="1"/>
  <c r="M876" s="1"/>
  <c r="J746"/>
  <c r="Q66"/>
  <c r="P66"/>
  <c r="Q65"/>
  <c r="P65"/>
  <c r="Q64"/>
  <c r="P64"/>
  <c r="Q63"/>
  <c r="P63"/>
  <c r="Q62"/>
  <c r="P62"/>
  <c r="Q61"/>
  <c r="P61"/>
  <c r="Q60"/>
  <c r="P60"/>
  <c r="I59"/>
  <c r="I58"/>
  <c r="I57"/>
  <c r="I56"/>
  <c r="I55"/>
  <c r="I54"/>
  <c r="I53"/>
  <c r="I52"/>
  <c r="I51"/>
  <c r="I50"/>
  <c r="J50" s="1"/>
  <c r="I49"/>
  <c r="I48"/>
  <c r="I47"/>
  <c r="I46"/>
  <c r="I45"/>
  <c r="I44"/>
  <c r="I43"/>
  <c r="I42"/>
  <c r="I41"/>
  <c r="I40"/>
  <c r="I39"/>
  <c r="J39" s="1"/>
  <c r="I38"/>
  <c r="I37"/>
  <c r="I36"/>
  <c r="I35"/>
  <c r="I34"/>
  <c r="I33"/>
  <c r="I32"/>
  <c r="I31"/>
  <c r="I30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1145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59"/>
  <c r="I1158"/>
  <c r="I1157"/>
  <c r="I1156"/>
  <c r="I1154"/>
  <c r="I1153"/>
  <c r="I1152"/>
  <c r="I1151"/>
  <c r="I1150"/>
  <c r="I1149"/>
  <c r="I1148"/>
  <c r="Q878"/>
  <c r="P878"/>
  <c r="Q877"/>
  <c r="P877"/>
  <c r="Q876"/>
  <c r="P876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L746"/>
  <c r="M746" s="1"/>
  <c r="H384"/>
  <c r="H1202"/>
  <c r="J383"/>
  <c r="L383" s="1"/>
  <c r="M383" s="1"/>
  <c r="J382"/>
  <c r="L382" s="1"/>
  <c r="M382" s="1"/>
  <c r="J381"/>
  <c r="L381" s="1"/>
  <c r="M381" s="1"/>
  <c r="E1201"/>
  <c r="E1200"/>
  <c r="E1179"/>
  <c r="E1178"/>
  <c r="E1177"/>
  <c r="E1176"/>
  <c r="E1175"/>
  <c r="E1174"/>
  <c r="E1173"/>
  <c r="E1172"/>
  <c r="E1171"/>
  <c r="E1170"/>
  <c r="E1169"/>
  <c r="E1168"/>
  <c r="E1167"/>
  <c r="E1166"/>
  <c r="E1165"/>
  <c r="E1161"/>
  <c r="E1160"/>
  <c r="E1159"/>
  <c r="E1158"/>
  <c r="E1157"/>
  <c r="E1156"/>
  <c r="E1155"/>
  <c r="E1154"/>
  <c r="E1153"/>
  <c r="E1152"/>
  <c r="E1151"/>
  <c r="E1150"/>
  <c r="E1149"/>
  <c r="M1232" i="8"/>
  <c r="K1234"/>
  <c r="E1222" i="22"/>
  <c r="G59"/>
  <c r="G58"/>
  <c r="E58"/>
  <c r="G57"/>
  <c r="E57"/>
  <c r="G56"/>
  <c r="E56"/>
  <c r="G55"/>
  <c r="E55"/>
  <c r="G54"/>
  <c r="E54"/>
  <c r="G53"/>
  <c r="E53"/>
  <c r="G52"/>
  <c r="G51"/>
  <c r="G49"/>
  <c r="G48"/>
  <c r="E48"/>
  <c r="G47"/>
  <c r="G46"/>
  <c r="E46"/>
  <c r="G45"/>
  <c r="E45"/>
  <c r="G44"/>
  <c r="E44"/>
  <c r="G43"/>
  <c r="E43"/>
  <c r="G42"/>
  <c r="E42"/>
  <c r="G41"/>
  <c r="E41"/>
  <c r="G40"/>
  <c r="H40"/>
  <c r="G38"/>
  <c r="G37"/>
  <c r="E37"/>
  <c r="G36"/>
  <c r="E36"/>
  <c r="G35"/>
  <c r="E35"/>
  <c r="G34"/>
  <c r="E34"/>
  <c r="G33"/>
  <c r="E33"/>
  <c r="G32"/>
  <c r="E32"/>
  <c r="G31"/>
  <c r="E31"/>
  <c r="G30"/>
  <c r="E793"/>
  <c r="E792"/>
  <c r="E1228"/>
  <c r="E1227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874"/>
  <c r="E873"/>
  <c r="E791"/>
  <c r="E790"/>
  <c r="E789"/>
  <c r="E788"/>
  <c r="E787"/>
  <c r="E786"/>
  <c r="E785"/>
  <c r="E784"/>
  <c r="E782"/>
  <c r="E781"/>
  <c r="E780"/>
  <c r="E779"/>
  <c r="E778"/>
  <c r="E777"/>
  <c r="E776"/>
  <c r="E775"/>
  <c r="E768"/>
  <c r="E767"/>
  <c r="E766"/>
  <c r="E765"/>
  <c r="E763"/>
  <c r="E760"/>
  <c r="E759"/>
  <c r="E758"/>
  <c r="E757"/>
  <c r="E756"/>
  <c r="E755"/>
  <c r="E754"/>
  <c r="E753"/>
  <c r="E752"/>
  <c r="E751"/>
  <c r="E75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64"/>
  <c r="E1163"/>
  <c r="E1231"/>
  <c r="E1230"/>
  <c r="G1224"/>
  <c r="E1229"/>
  <c r="E1226"/>
  <c r="E1225"/>
  <c r="E1224"/>
  <c r="E1223"/>
  <c r="E875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83"/>
  <c r="E774"/>
  <c r="E773"/>
  <c r="E772"/>
  <c r="E771"/>
  <c r="E770"/>
  <c r="E769"/>
  <c r="E764"/>
  <c r="E762"/>
  <c r="E761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67" s="1"/>
  <c r="G1231"/>
  <c r="G1230"/>
  <c r="G1229"/>
  <c r="G1228"/>
  <c r="G1227"/>
  <c r="G1226"/>
  <c r="G1225"/>
  <c r="G1223"/>
  <c r="G1222"/>
  <c r="G1221"/>
  <c r="G1220"/>
  <c r="G1219"/>
  <c r="G1218"/>
  <c r="G1217"/>
  <c r="G1216"/>
  <c r="G1215"/>
  <c r="G1214"/>
  <c r="G1213"/>
  <c r="G1212"/>
  <c r="G1211"/>
  <c r="G1210"/>
  <c r="G1209"/>
  <c r="G1208"/>
  <c r="G1207"/>
  <c r="G1206"/>
  <c r="G1205"/>
  <c r="G1204"/>
  <c r="G1232" s="1"/>
  <c r="O1234" i="12"/>
  <c r="M384" i="8"/>
  <c r="L384"/>
  <c r="M384" i="11"/>
  <c r="L384"/>
  <c r="H749" i="22"/>
  <c r="H879" s="1"/>
  <c r="H963"/>
  <c r="H1146" s="1"/>
  <c r="K1234" i="11"/>
  <c r="H533" i="22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H1202" i="11"/>
  <c r="G1234"/>
  <c r="N384" i="5"/>
  <c r="R384" s="1"/>
  <c r="N747"/>
  <c r="R747" s="1"/>
  <c r="M1146" i="11"/>
  <c r="L1146"/>
  <c r="M6" i="14"/>
  <c r="K67"/>
  <c r="M67" s="1"/>
  <c r="E967" i="22"/>
  <c r="E966"/>
  <c r="E959"/>
  <c r="M1146" i="18"/>
  <c r="L1146"/>
  <c r="M881"/>
  <c r="L881"/>
  <c r="N881"/>
  <c r="E718" i="22"/>
  <c r="E716"/>
  <c r="E715"/>
  <c r="E714"/>
  <c r="E713"/>
  <c r="E685"/>
  <c r="E684"/>
  <c r="E683"/>
  <c r="E682"/>
  <c r="E661"/>
  <c r="E660"/>
  <c r="E659"/>
  <c r="E658"/>
  <c r="E657"/>
  <c r="E622"/>
  <c r="E621"/>
  <c r="E620"/>
  <c r="E619"/>
  <c r="E618"/>
  <c r="E578"/>
  <c r="E558"/>
  <c r="E552"/>
  <c r="E551"/>
  <c r="E550"/>
  <c r="E549"/>
  <c r="E548"/>
  <c r="E547"/>
  <c r="E546"/>
  <c r="E545"/>
  <c r="E544"/>
  <c r="E543"/>
  <c r="E542"/>
  <c r="E540"/>
  <c r="E539"/>
  <c r="E538"/>
  <c r="M747" i="18"/>
  <c r="L747"/>
  <c r="M537"/>
  <c r="L537"/>
  <c r="M537" i="14"/>
  <c r="L537"/>
  <c r="I747"/>
  <c r="M747"/>
  <c r="N384" i="10"/>
  <c r="M384" i="18"/>
  <c r="L384"/>
  <c r="M116"/>
  <c r="L116"/>
  <c r="G533" i="22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535" s="1"/>
  <c r="M535" i="14"/>
  <c r="L535"/>
  <c r="G379" i="22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384" s="1"/>
  <c r="J384" i="10"/>
  <c r="I1234"/>
  <c r="G1201" i="22"/>
  <c r="G1200"/>
  <c r="G1199"/>
  <c r="G1198"/>
  <c r="G1197"/>
  <c r="G1196"/>
  <c r="G1195"/>
  <c r="G1194"/>
  <c r="G1193"/>
  <c r="G1192"/>
  <c r="G1191"/>
  <c r="G1190"/>
  <c r="G1189"/>
  <c r="G1188"/>
  <c r="G1187"/>
  <c r="G1186"/>
  <c r="G1185"/>
  <c r="G1184"/>
  <c r="G1183"/>
  <c r="G1182"/>
  <c r="G1181"/>
  <c r="G1180"/>
  <c r="G1179"/>
  <c r="J1179" s="1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J1160" s="1"/>
  <c r="G1159"/>
  <c r="G1158"/>
  <c r="G1157"/>
  <c r="G1156"/>
  <c r="G1155"/>
  <c r="J1155" s="1"/>
  <c r="G1154"/>
  <c r="G1153"/>
  <c r="G1152"/>
  <c r="G1151"/>
  <c r="G1150"/>
  <c r="G1149"/>
  <c r="G1148"/>
  <c r="G1202" s="1"/>
  <c r="E40"/>
  <c r="E3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M386" i="14"/>
  <c r="L386"/>
  <c r="N1146" i="5"/>
  <c r="R1146" s="1"/>
  <c r="G1145" i="22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1146" s="1"/>
  <c r="P1202" i="5"/>
  <c r="P1234" s="1"/>
  <c r="M1202"/>
  <c r="L1234"/>
  <c r="J1232" i="3"/>
  <c r="M1232"/>
  <c r="M1234" s="1"/>
  <c r="I1234"/>
  <c r="M1204" i="14"/>
  <c r="K1232"/>
  <c r="M1232" s="1"/>
  <c r="E208" i="22"/>
  <c r="E189"/>
  <c r="E186"/>
  <c r="E744"/>
  <c r="E743"/>
  <c r="E742"/>
  <c r="E741"/>
  <c r="E740"/>
  <c r="E739"/>
  <c r="E738"/>
  <c r="E737"/>
  <c r="E736"/>
  <c r="E735"/>
  <c r="E734"/>
  <c r="E733"/>
  <c r="E732"/>
  <c r="E731"/>
  <c r="E730"/>
  <c r="E729"/>
  <c r="E727"/>
  <c r="E726"/>
  <c r="E725"/>
  <c r="E724"/>
  <c r="E723"/>
  <c r="E722"/>
  <c r="E721"/>
  <c r="E720"/>
  <c r="E719"/>
  <c r="E717"/>
  <c r="E712"/>
  <c r="E711"/>
  <c r="E710"/>
  <c r="E709"/>
  <c r="E708"/>
  <c r="E707"/>
  <c r="E706"/>
  <c r="E703"/>
  <c r="E702"/>
  <c r="E701"/>
  <c r="E700"/>
  <c r="E699"/>
  <c r="E698"/>
  <c r="E697"/>
  <c r="E696"/>
  <c r="E695"/>
  <c r="E694"/>
  <c r="E693"/>
  <c r="E692"/>
  <c r="E691"/>
  <c r="E690"/>
  <c r="E688"/>
  <c r="E687"/>
  <c r="E686"/>
  <c r="E681"/>
  <c r="E680"/>
  <c r="E679"/>
  <c r="E678"/>
  <c r="E677"/>
  <c r="E676"/>
  <c r="E675"/>
  <c r="E674"/>
  <c r="E673"/>
  <c r="E672"/>
  <c r="E671"/>
  <c r="E670"/>
  <c r="E669"/>
  <c r="E668"/>
  <c r="E667"/>
  <c r="E666"/>
  <c r="E664"/>
  <c r="E663"/>
  <c r="E662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0"/>
  <c r="E589"/>
  <c r="E588"/>
  <c r="E587"/>
  <c r="E585"/>
  <c r="E583"/>
  <c r="E582"/>
  <c r="E580"/>
  <c r="E579"/>
  <c r="E577"/>
  <c r="E576"/>
  <c r="E575"/>
  <c r="E574"/>
  <c r="E566"/>
  <c r="E563"/>
  <c r="E562"/>
  <c r="E561"/>
  <c r="E560"/>
  <c r="E559"/>
  <c r="E557"/>
  <c r="E555"/>
  <c r="E554"/>
  <c r="E553"/>
  <c r="Q384" i="17"/>
  <c r="P384"/>
  <c r="O1234"/>
  <c r="Q384" i="12"/>
  <c r="P384"/>
  <c r="N67"/>
  <c r="N1234" s="1"/>
  <c r="M67"/>
  <c r="M1234" s="1"/>
  <c r="E665" i="22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E573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Q386" i="12"/>
  <c r="P386"/>
  <c r="Q535"/>
  <c r="P535"/>
  <c r="E271" i="22"/>
  <c r="M384" i="14"/>
  <c r="L384"/>
  <c r="L1234" s="1"/>
  <c r="E145" i="22"/>
  <c r="E146"/>
  <c r="E147"/>
  <c r="E168"/>
  <c r="E728"/>
  <c r="M69" i="18"/>
  <c r="K90"/>
  <c r="G1234"/>
  <c r="H90"/>
  <c r="H1234" s="1"/>
  <c r="M69" i="14"/>
  <c r="K90"/>
  <c r="G1234"/>
  <c r="H90"/>
  <c r="E541" i="22"/>
  <c r="M535" i="18"/>
  <c r="L535"/>
  <c r="M386"/>
  <c r="L386"/>
  <c r="L1234" i="17"/>
  <c r="Q90"/>
  <c r="K1234" i="12"/>
  <c r="L90"/>
  <c r="L1234" s="1"/>
  <c r="Q535" i="17"/>
  <c r="P535"/>
  <c r="K747" i="6"/>
  <c r="H747"/>
  <c r="G1234"/>
  <c r="Q537" i="17"/>
  <c r="P537"/>
  <c r="Q537" i="12"/>
  <c r="P537"/>
  <c r="Q747"/>
  <c r="P747"/>
  <c r="I881" i="14"/>
  <c r="M881"/>
  <c r="I1146"/>
  <c r="M1146"/>
  <c r="H1232" i="22"/>
  <c r="Q1148" i="12"/>
  <c r="Q1202"/>
  <c r="M1234" i="9"/>
  <c r="E380" i="22"/>
  <c r="J380" s="1"/>
  <c r="L380" s="1"/>
  <c r="M380" s="1"/>
  <c r="N90" i="5"/>
  <c r="R90" s="1"/>
  <c r="R69"/>
  <c r="H534" i="22"/>
  <c r="R1234" i="7"/>
  <c r="M749" i="18"/>
  <c r="M879"/>
  <c r="M749" i="14"/>
  <c r="M1162"/>
  <c r="M1204" i="18"/>
  <c r="M1232"/>
  <c r="E534" i="22"/>
  <c r="E745"/>
  <c r="J745" s="1"/>
  <c r="M1162" i="18"/>
  <c r="M1202"/>
  <c r="M1234" i="10"/>
  <c r="Q1204" i="12"/>
  <c r="Q1232"/>
  <c r="Q1148" i="17"/>
  <c r="Q1202"/>
  <c r="Q749" i="12"/>
  <c r="Q879"/>
  <c r="M6" i="18"/>
  <c r="E89" i="22"/>
  <c r="J89" s="1"/>
  <c r="L89" s="1"/>
  <c r="M89" s="1"/>
  <c r="E88"/>
  <c r="J88" s="1"/>
  <c r="L88" s="1"/>
  <c r="M88" s="1"/>
  <c r="G90"/>
  <c r="G879"/>
  <c r="J1144"/>
  <c r="J1201"/>
  <c r="D1232"/>
  <c r="Q1232" i="17"/>
  <c r="D1202" i="22"/>
  <c r="D1146"/>
  <c r="Q6" i="17"/>
  <c r="Q67"/>
  <c r="M1234"/>
  <c r="Q67" i="12"/>
  <c r="R384" i="2"/>
  <c r="Q879" i="17"/>
  <c r="Q749"/>
  <c r="I1234" i="18"/>
  <c r="H67" i="22"/>
  <c r="D879"/>
  <c r="H90"/>
  <c r="G747"/>
  <c r="C1232"/>
  <c r="C1234" s="1"/>
  <c r="J534" l="1"/>
  <c r="L534" s="1"/>
  <c r="M534" s="1"/>
  <c r="H535"/>
  <c r="Q88"/>
  <c r="P88"/>
  <c r="Q534"/>
  <c r="P534"/>
  <c r="Q380"/>
  <c r="P380"/>
  <c r="L1155"/>
  <c r="M1155" s="1"/>
  <c r="R1234" i="2"/>
  <c r="L1201" i="22"/>
  <c r="M1201" s="1"/>
  <c r="L1144"/>
  <c r="M1144" s="1"/>
  <c r="L745"/>
  <c r="M745" s="1"/>
  <c r="E1162"/>
  <c r="E749"/>
  <c r="E879" s="1"/>
  <c r="I69"/>
  <c r="E1148"/>
  <c r="E1202" s="1"/>
  <c r="E881"/>
  <c r="E1146" s="1"/>
  <c r="I747" i="6"/>
  <c r="I1234" s="1"/>
  <c r="H1234"/>
  <c r="M747"/>
  <c r="L747"/>
  <c r="K1234"/>
  <c r="H1234" i="14"/>
  <c r="I90"/>
  <c r="I1234" s="1"/>
  <c r="K1234"/>
  <c r="M90"/>
  <c r="E69" i="22"/>
  <c r="E90" s="1"/>
  <c r="M90" i="18"/>
  <c r="M1234" s="1"/>
  <c r="K1234"/>
  <c r="E1204" i="22"/>
  <c r="E1232" s="1"/>
  <c r="K1232" i="3"/>
  <c r="K1234" s="1"/>
  <c r="O1232"/>
  <c r="J1234"/>
  <c r="N1202" i="5"/>
  <c r="N1234" s="1"/>
  <c r="M1234"/>
  <c r="E386" i="22"/>
  <c r="E535" s="1"/>
  <c r="L1160"/>
  <c r="M1160" s="1"/>
  <c r="L1179"/>
  <c r="M1179" s="1"/>
  <c r="K384" i="10"/>
  <c r="J1234"/>
  <c r="E116" i="22"/>
  <c r="E384" s="1"/>
  <c r="E537"/>
  <c r="E747" s="1"/>
  <c r="E6"/>
  <c r="E67" s="1"/>
  <c r="I1202" i="11"/>
  <c r="H1234"/>
  <c r="M1234" i="8"/>
  <c r="Q381" i="22"/>
  <c r="P381"/>
  <c r="Q382"/>
  <c r="P382"/>
  <c r="Q383"/>
  <c r="P383"/>
  <c r="Q746"/>
  <c r="P746"/>
  <c r="J1204"/>
  <c r="I1232"/>
  <c r="J386"/>
  <c r="I535"/>
  <c r="J6"/>
  <c r="I67"/>
  <c r="J537"/>
  <c r="I747"/>
  <c r="J1148"/>
  <c r="I1202"/>
  <c r="J881"/>
  <c r="I1146"/>
  <c r="J749"/>
  <c r="I879"/>
  <c r="J92"/>
  <c r="I384"/>
  <c r="L39"/>
  <c r="M39" s="1"/>
  <c r="L50"/>
  <c r="M50" s="1"/>
  <c r="D1234"/>
  <c r="H747"/>
  <c r="H1234" s="1"/>
  <c r="P1234" i="12"/>
  <c r="Q1234" i="17"/>
  <c r="Q90" i="12"/>
  <c r="Q1234" s="1"/>
  <c r="G1234" i="22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L499" s="1"/>
  <c r="M499" s="1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1149"/>
  <c r="J1150"/>
  <c r="J1151"/>
  <c r="J1152"/>
  <c r="J1153"/>
  <c r="J1154"/>
  <c r="J1156"/>
  <c r="J1157"/>
  <c r="J1158"/>
  <c r="J1159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5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30"/>
  <c r="J31"/>
  <c r="J32"/>
  <c r="J33"/>
  <c r="J34"/>
  <c r="J35"/>
  <c r="J36"/>
  <c r="J37"/>
  <c r="J38"/>
  <c r="J40"/>
  <c r="J41"/>
  <c r="J42"/>
  <c r="J43"/>
  <c r="J44"/>
  <c r="J45"/>
  <c r="J46"/>
  <c r="J47"/>
  <c r="J48"/>
  <c r="J49"/>
  <c r="J51"/>
  <c r="J52"/>
  <c r="J53"/>
  <c r="J54"/>
  <c r="J55"/>
  <c r="J56"/>
  <c r="J57"/>
  <c r="J58"/>
  <c r="J59"/>
  <c r="L59" l="1"/>
  <c r="M59" s="1"/>
  <c r="L58"/>
  <c r="M58" s="1"/>
  <c r="L57"/>
  <c r="M57" s="1"/>
  <c r="L56"/>
  <c r="M56" s="1"/>
  <c r="L55"/>
  <c r="M55" s="1"/>
  <c r="L54"/>
  <c r="M54" s="1"/>
  <c r="L53"/>
  <c r="M53" s="1"/>
  <c r="L52"/>
  <c r="M52" s="1"/>
  <c r="L51"/>
  <c r="M51" s="1"/>
  <c r="L49"/>
  <c r="M49" s="1"/>
  <c r="L48"/>
  <c r="M48" s="1"/>
  <c r="L47"/>
  <c r="M47" s="1"/>
  <c r="L46"/>
  <c r="M46" s="1"/>
  <c r="L45"/>
  <c r="M45" s="1"/>
  <c r="L44"/>
  <c r="M44" s="1"/>
  <c r="L43"/>
  <c r="M43" s="1"/>
  <c r="L42"/>
  <c r="M42" s="1"/>
  <c r="L41"/>
  <c r="M41" s="1"/>
  <c r="L40"/>
  <c r="M40" s="1"/>
  <c r="L38"/>
  <c r="M38" s="1"/>
  <c r="L37"/>
  <c r="M37" s="1"/>
  <c r="L36"/>
  <c r="M36" s="1"/>
  <c r="L35"/>
  <c r="M35" s="1"/>
  <c r="L34"/>
  <c r="M34" s="1"/>
  <c r="L33"/>
  <c r="M33" s="1"/>
  <c r="L32"/>
  <c r="M32" s="1"/>
  <c r="L31"/>
  <c r="M31" s="1"/>
  <c r="L30"/>
  <c r="M30" s="1"/>
  <c r="L87"/>
  <c r="M87" s="1"/>
  <c r="L86"/>
  <c r="M86" s="1"/>
  <c r="L85"/>
  <c r="M85" s="1"/>
  <c r="L84"/>
  <c r="M84" s="1"/>
  <c r="L83"/>
  <c r="M83" s="1"/>
  <c r="L82"/>
  <c r="M82" s="1"/>
  <c r="L81"/>
  <c r="M81" s="1"/>
  <c r="L80"/>
  <c r="M80" s="1"/>
  <c r="L79"/>
  <c r="M79" s="1"/>
  <c r="L78"/>
  <c r="M78" s="1"/>
  <c r="L77"/>
  <c r="M77" s="1"/>
  <c r="L76"/>
  <c r="M76" s="1"/>
  <c r="L75"/>
  <c r="M75" s="1"/>
  <c r="L74"/>
  <c r="M74" s="1"/>
  <c r="L73"/>
  <c r="M73" s="1"/>
  <c r="L72"/>
  <c r="M72" s="1"/>
  <c r="L71"/>
  <c r="M71" s="1"/>
  <c r="L70"/>
  <c r="M70" s="1"/>
  <c r="L379"/>
  <c r="M379" s="1"/>
  <c r="L378"/>
  <c r="M378" s="1"/>
  <c r="L377"/>
  <c r="M377" s="1"/>
  <c r="L376"/>
  <c r="M376" s="1"/>
  <c r="L375"/>
  <c r="M375" s="1"/>
  <c r="L374"/>
  <c r="M374" s="1"/>
  <c r="L373"/>
  <c r="M373" s="1"/>
  <c r="L372"/>
  <c r="M372" s="1"/>
  <c r="L371"/>
  <c r="M371" s="1"/>
  <c r="L370"/>
  <c r="M370" s="1"/>
  <c r="L369"/>
  <c r="M369" s="1"/>
  <c r="L368"/>
  <c r="M368" s="1"/>
  <c r="L367"/>
  <c r="M367" s="1"/>
  <c r="L366"/>
  <c r="M366" s="1"/>
  <c r="L365"/>
  <c r="M365" s="1"/>
  <c r="L364"/>
  <c r="M364" s="1"/>
  <c r="L363"/>
  <c r="M363" s="1"/>
  <c r="L362"/>
  <c r="M362" s="1"/>
  <c r="L361"/>
  <c r="M361" s="1"/>
  <c r="L360"/>
  <c r="M360" s="1"/>
  <c r="L359"/>
  <c r="M359" s="1"/>
  <c r="L358"/>
  <c r="M358" s="1"/>
  <c r="L357"/>
  <c r="M357" s="1"/>
  <c r="L356"/>
  <c r="M356" s="1"/>
  <c r="L355"/>
  <c r="M355" s="1"/>
  <c r="L354"/>
  <c r="M354" s="1"/>
  <c r="L353"/>
  <c r="M353" s="1"/>
  <c r="L352"/>
  <c r="M352" s="1"/>
  <c r="L351"/>
  <c r="M351" s="1"/>
  <c r="L350"/>
  <c r="M350" s="1"/>
  <c r="L349"/>
  <c r="M349" s="1"/>
  <c r="L348"/>
  <c r="M348" s="1"/>
  <c r="L347"/>
  <c r="M347" s="1"/>
  <c r="L346"/>
  <c r="M346" s="1"/>
  <c r="L345"/>
  <c r="M345" s="1"/>
  <c r="L344"/>
  <c r="M344" s="1"/>
  <c r="L343"/>
  <c r="M343" s="1"/>
  <c r="L342"/>
  <c r="M342" s="1"/>
  <c r="L341"/>
  <c r="M341" s="1"/>
  <c r="L340"/>
  <c r="M340" s="1"/>
  <c r="L339"/>
  <c r="M339" s="1"/>
  <c r="L338"/>
  <c r="M338" s="1"/>
  <c r="L337"/>
  <c r="M337" s="1"/>
  <c r="L336"/>
  <c r="M336" s="1"/>
  <c r="L335"/>
  <c r="M335" s="1"/>
  <c r="L334"/>
  <c r="M334" s="1"/>
  <c r="L333"/>
  <c r="M333" s="1"/>
  <c r="L332"/>
  <c r="M332" s="1"/>
  <c r="L331"/>
  <c r="M331" s="1"/>
  <c r="L330"/>
  <c r="M330" s="1"/>
  <c r="L329"/>
  <c r="M329" s="1"/>
  <c r="L328"/>
  <c r="M328" s="1"/>
  <c r="L327"/>
  <c r="M327" s="1"/>
  <c r="L326"/>
  <c r="M326" s="1"/>
  <c r="L325"/>
  <c r="M325" s="1"/>
  <c r="L324"/>
  <c r="M324" s="1"/>
  <c r="L323"/>
  <c r="M323" s="1"/>
  <c r="L322"/>
  <c r="M322" s="1"/>
  <c r="L321"/>
  <c r="M321" s="1"/>
  <c r="L320"/>
  <c r="M320" s="1"/>
  <c r="L319"/>
  <c r="M319" s="1"/>
  <c r="L318"/>
  <c r="M318" s="1"/>
  <c r="L317"/>
  <c r="M317" s="1"/>
  <c r="L316"/>
  <c r="M316" s="1"/>
  <c r="L315"/>
  <c r="M315" s="1"/>
  <c r="L314"/>
  <c r="M314" s="1"/>
  <c r="L313"/>
  <c r="M313" s="1"/>
  <c r="L312"/>
  <c r="M312" s="1"/>
  <c r="L311"/>
  <c r="M311" s="1"/>
  <c r="L310"/>
  <c r="M310" s="1"/>
  <c r="L309"/>
  <c r="M309" s="1"/>
  <c r="L308"/>
  <c r="M308" s="1"/>
  <c r="L307"/>
  <c r="M307" s="1"/>
  <c r="L306"/>
  <c r="M306" s="1"/>
  <c r="L305"/>
  <c r="M305" s="1"/>
  <c r="L304"/>
  <c r="M304" s="1"/>
  <c r="L303"/>
  <c r="M303" s="1"/>
  <c r="L302"/>
  <c r="M302" s="1"/>
  <c r="L301"/>
  <c r="M301" s="1"/>
  <c r="L300"/>
  <c r="M300" s="1"/>
  <c r="L299"/>
  <c r="M299" s="1"/>
  <c r="L298"/>
  <c r="M298" s="1"/>
  <c r="L297"/>
  <c r="M297" s="1"/>
  <c r="L296"/>
  <c r="M296" s="1"/>
  <c r="L295"/>
  <c r="M295" s="1"/>
  <c r="L294"/>
  <c r="M294" s="1"/>
  <c r="L293"/>
  <c r="M293" s="1"/>
  <c r="L292"/>
  <c r="M292" s="1"/>
  <c r="L291"/>
  <c r="M291" s="1"/>
  <c r="L290"/>
  <c r="M290" s="1"/>
  <c r="L289"/>
  <c r="M289" s="1"/>
  <c r="L288"/>
  <c r="M288" s="1"/>
  <c r="L287"/>
  <c r="M287" s="1"/>
  <c r="L286"/>
  <c r="M286" s="1"/>
  <c r="L285"/>
  <c r="M285" s="1"/>
  <c r="L284"/>
  <c r="M284" s="1"/>
  <c r="L283"/>
  <c r="M283" s="1"/>
  <c r="L282"/>
  <c r="M282" s="1"/>
  <c r="L281"/>
  <c r="M281" s="1"/>
  <c r="L280"/>
  <c r="M280" s="1"/>
  <c r="L279"/>
  <c r="M279" s="1"/>
  <c r="L278"/>
  <c r="M278" s="1"/>
  <c r="L277"/>
  <c r="M277" s="1"/>
  <c r="L276"/>
  <c r="M276" s="1"/>
  <c r="L275"/>
  <c r="M275" s="1"/>
  <c r="L274"/>
  <c r="M274" s="1"/>
  <c r="L273"/>
  <c r="M273" s="1"/>
  <c r="L272"/>
  <c r="M272" s="1"/>
  <c r="L271"/>
  <c r="M271" s="1"/>
  <c r="L270"/>
  <c r="M270" s="1"/>
  <c r="L269"/>
  <c r="M269" s="1"/>
  <c r="L268"/>
  <c r="M268" s="1"/>
  <c r="L267"/>
  <c r="M267" s="1"/>
  <c r="L266"/>
  <c r="M266" s="1"/>
  <c r="L265"/>
  <c r="M265" s="1"/>
  <c r="L264"/>
  <c r="M264" s="1"/>
  <c r="L263"/>
  <c r="M263" s="1"/>
  <c r="L262"/>
  <c r="M262" s="1"/>
  <c r="L261"/>
  <c r="M261" s="1"/>
  <c r="L260"/>
  <c r="M260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52"/>
  <c r="M252" s="1"/>
  <c r="L251"/>
  <c r="M251" s="1"/>
  <c r="L250"/>
  <c r="M250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42"/>
  <c r="M242" s="1"/>
  <c r="L241"/>
  <c r="M241" s="1"/>
  <c r="L240"/>
  <c r="M240" s="1"/>
  <c r="L239"/>
  <c r="M239" s="1"/>
  <c r="L238"/>
  <c r="M238" s="1"/>
  <c r="L237"/>
  <c r="M237" s="1"/>
  <c r="L236"/>
  <c r="M236" s="1"/>
  <c r="L235"/>
  <c r="M235" s="1"/>
  <c r="L234"/>
  <c r="M234" s="1"/>
  <c r="L233"/>
  <c r="M233" s="1"/>
  <c r="L232"/>
  <c r="M232" s="1"/>
  <c r="L231"/>
  <c r="M231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3"/>
  <c r="M223" s="1"/>
  <c r="L222"/>
  <c r="M222" s="1"/>
  <c r="L221"/>
  <c r="M221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875"/>
  <c r="M875" s="1"/>
  <c r="L874"/>
  <c r="M874" s="1"/>
  <c r="L873"/>
  <c r="M873" s="1"/>
  <c r="L872"/>
  <c r="M872" s="1"/>
  <c r="L871"/>
  <c r="M871" s="1"/>
  <c r="L870"/>
  <c r="M870" s="1"/>
  <c r="L869"/>
  <c r="M869" s="1"/>
  <c r="L868"/>
  <c r="M868" s="1"/>
  <c r="L867"/>
  <c r="M867" s="1"/>
  <c r="L866"/>
  <c r="M866" s="1"/>
  <c r="L865"/>
  <c r="M865" s="1"/>
  <c r="L864"/>
  <c r="M864" s="1"/>
  <c r="L863"/>
  <c r="M863" s="1"/>
  <c r="L862"/>
  <c r="M862" s="1"/>
  <c r="L861"/>
  <c r="M861" s="1"/>
  <c r="L860"/>
  <c r="M860" s="1"/>
  <c r="L859"/>
  <c r="M859" s="1"/>
  <c r="L858"/>
  <c r="M858" s="1"/>
  <c r="L857"/>
  <c r="M857" s="1"/>
  <c r="L856"/>
  <c r="M856" s="1"/>
  <c r="L855"/>
  <c r="M855" s="1"/>
  <c r="L854"/>
  <c r="M854" s="1"/>
  <c r="L853"/>
  <c r="M853" s="1"/>
  <c r="L852"/>
  <c r="M852" s="1"/>
  <c r="L851"/>
  <c r="M851" s="1"/>
  <c r="L850"/>
  <c r="M850" s="1"/>
  <c r="L849"/>
  <c r="M849" s="1"/>
  <c r="L848"/>
  <c r="M848" s="1"/>
  <c r="L847"/>
  <c r="M847" s="1"/>
  <c r="L846"/>
  <c r="M846" s="1"/>
  <c r="L845"/>
  <c r="M845" s="1"/>
  <c r="L844"/>
  <c r="M844" s="1"/>
  <c r="L843"/>
  <c r="M843" s="1"/>
  <c r="L842"/>
  <c r="M842" s="1"/>
  <c r="L841"/>
  <c r="M841" s="1"/>
  <c r="L840"/>
  <c r="M840" s="1"/>
  <c r="L839"/>
  <c r="M839" s="1"/>
  <c r="L838"/>
  <c r="M838" s="1"/>
  <c r="L837"/>
  <c r="M837" s="1"/>
  <c r="L836"/>
  <c r="M836" s="1"/>
  <c r="L835"/>
  <c r="M835" s="1"/>
  <c r="L834"/>
  <c r="M834" s="1"/>
  <c r="L833"/>
  <c r="M833" s="1"/>
  <c r="L832"/>
  <c r="M832" s="1"/>
  <c r="L831"/>
  <c r="M831" s="1"/>
  <c r="L830"/>
  <c r="M830" s="1"/>
  <c r="L829"/>
  <c r="M829" s="1"/>
  <c r="L828"/>
  <c r="M828" s="1"/>
  <c r="L827"/>
  <c r="M827" s="1"/>
  <c r="L826"/>
  <c r="M826" s="1"/>
  <c r="L825"/>
  <c r="M825" s="1"/>
  <c r="L824"/>
  <c r="M824" s="1"/>
  <c r="L823"/>
  <c r="M823" s="1"/>
  <c r="L822"/>
  <c r="M822" s="1"/>
  <c r="L821"/>
  <c r="M821" s="1"/>
  <c r="L820"/>
  <c r="M820" s="1"/>
  <c r="L819"/>
  <c r="M819" s="1"/>
  <c r="L818"/>
  <c r="M818" s="1"/>
  <c r="L817"/>
  <c r="M817" s="1"/>
  <c r="L816"/>
  <c r="M816" s="1"/>
  <c r="L815"/>
  <c r="M815" s="1"/>
  <c r="L814"/>
  <c r="M814" s="1"/>
  <c r="L813"/>
  <c r="M813" s="1"/>
  <c r="L812"/>
  <c r="M812" s="1"/>
  <c r="L811"/>
  <c r="M811" s="1"/>
  <c r="L810"/>
  <c r="M810" s="1"/>
  <c r="L809"/>
  <c r="M809" s="1"/>
  <c r="L808"/>
  <c r="M808" s="1"/>
  <c r="L807"/>
  <c r="M807" s="1"/>
  <c r="L806"/>
  <c r="M806" s="1"/>
  <c r="L805"/>
  <c r="M805" s="1"/>
  <c r="L804"/>
  <c r="M804" s="1"/>
  <c r="L803"/>
  <c r="M803" s="1"/>
  <c r="L802"/>
  <c r="M802" s="1"/>
  <c r="L801"/>
  <c r="M801" s="1"/>
  <c r="L800"/>
  <c r="M800" s="1"/>
  <c r="L799"/>
  <c r="M799" s="1"/>
  <c r="L798"/>
  <c r="M798" s="1"/>
  <c r="L797"/>
  <c r="M797" s="1"/>
  <c r="L796"/>
  <c r="M796" s="1"/>
  <c r="L795"/>
  <c r="M795" s="1"/>
  <c r="L794"/>
  <c r="M794" s="1"/>
  <c r="L793"/>
  <c r="M793" s="1"/>
  <c r="L792"/>
  <c r="M792" s="1"/>
  <c r="L791"/>
  <c r="M791" s="1"/>
  <c r="L790"/>
  <c r="M790" s="1"/>
  <c r="L789"/>
  <c r="M789" s="1"/>
  <c r="L788"/>
  <c r="M788" s="1"/>
  <c r="L787"/>
  <c r="M787" s="1"/>
  <c r="L786"/>
  <c r="M786" s="1"/>
  <c r="L785"/>
  <c r="M785" s="1"/>
  <c r="L784"/>
  <c r="M784" s="1"/>
  <c r="L783"/>
  <c r="M783" s="1"/>
  <c r="L782"/>
  <c r="M782" s="1"/>
  <c r="L781"/>
  <c r="M781" s="1"/>
  <c r="L780"/>
  <c r="M780" s="1"/>
  <c r="L779"/>
  <c r="M779" s="1"/>
  <c r="L778"/>
  <c r="M778" s="1"/>
  <c r="L777"/>
  <c r="M777" s="1"/>
  <c r="L776"/>
  <c r="M776" s="1"/>
  <c r="L775"/>
  <c r="M775" s="1"/>
  <c r="L774"/>
  <c r="M774" s="1"/>
  <c r="L773"/>
  <c r="M773" s="1"/>
  <c r="L772"/>
  <c r="M772" s="1"/>
  <c r="L771"/>
  <c r="M771" s="1"/>
  <c r="L770"/>
  <c r="M770" s="1"/>
  <c r="L769"/>
  <c r="M769" s="1"/>
  <c r="L768"/>
  <c r="M768" s="1"/>
  <c r="L767"/>
  <c r="M767" s="1"/>
  <c r="L766"/>
  <c r="M766" s="1"/>
  <c r="L765"/>
  <c r="M765" s="1"/>
  <c r="L764"/>
  <c r="M764" s="1"/>
  <c r="L763"/>
  <c r="M763" s="1"/>
  <c r="L762"/>
  <c r="M762" s="1"/>
  <c r="L761"/>
  <c r="M761" s="1"/>
  <c r="L760"/>
  <c r="M760" s="1"/>
  <c r="L759"/>
  <c r="M759" s="1"/>
  <c r="L758"/>
  <c r="M758" s="1"/>
  <c r="L757"/>
  <c r="M757" s="1"/>
  <c r="L756"/>
  <c r="M756" s="1"/>
  <c r="L755"/>
  <c r="M755" s="1"/>
  <c r="L754"/>
  <c r="M754" s="1"/>
  <c r="L753"/>
  <c r="M753" s="1"/>
  <c r="L752"/>
  <c r="M752" s="1"/>
  <c r="L751"/>
  <c r="M751" s="1"/>
  <c r="L750"/>
  <c r="M750" s="1"/>
  <c r="L1145"/>
  <c r="M1145" s="1"/>
  <c r="L1143"/>
  <c r="M1143" s="1"/>
  <c r="L1142"/>
  <c r="M1142" s="1"/>
  <c r="L1141"/>
  <c r="M1141" s="1"/>
  <c r="L1140"/>
  <c r="M1140" s="1"/>
  <c r="L1139"/>
  <c r="M1139" s="1"/>
  <c r="L1138"/>
  <c r="M1138" s="1"/>
  <c r="L1137"/>
  <c r="M1137" s="1"/>
  <c r="L1136"/>
  <c r="M1136" s="1"/>
  <c r="L1135"/>
  <c r="M1135" s="1"/>
  <c r="L1134"/>
  <c r="M1134" s="1"/>
  <c r="L1133"/>
  <c r="M1133" s="1"/>
  <c r="L1132"/>
  <c r="M1132" s="1"/>
  <c r="L1131"/>
  <c r="M1131" s="1"/>
  <c r="L1130"/>
  <c r="M1130" s="1"/>
  <c r="L1129"/>
  <c r="M1129" s="1"/>
  <c r="L1128"/>
  <c r="M1128" s="1"/>
  <c r="L1127"/>
  <c r="M1127" s="1"/>
  <c r="L1126"/>
  <c r="M1126" s="1"/>
  <c r="L1125"/>
  <c r="M1125" s="1"/>
  <c r="L1124"/>
  <c r="M1124" s="1"/>
  <c r="L1123"/>
  <c r="M1123" s="1"/>
  <c r="L1122"/>
  <c r="M1122" s="1"/>
  <c r="L1121"/>
  <c r="M1121" s="1"/>
  <c r="L1120"/>
  <c r="M1120" s="1"/>
  <c r="L1119"/>
  <c r="M1119" s="1"/>
  <c r="L1118"/>
  <c r="M1118" s="1"/>
  <c r="L1117"/>
  <c r="M1117" s="1"/>
  <c r="L1116"/>
  <c r="M1116" s="1"/>
  <c r="L1115"/>
  <c r="M1115" s="1"/>
  <c r="L1114"/>
  <c r="M1114" s="1"/>
  <c r="L1113"/>
  <c r="M1113" s="1"/>
  <c r="L1112"/>
  <c r="M1112" s="1"/>
  <c r="L1111"/>
  <c r="M1111" s="1"/>
  <c r="L1110"/>
  <c r="M1110" s="1"/>
  <c r="L1109"/>
  <c r="M1109" s="1"/>
  <c r="L1108"/>
  <c r="M1108" s="1"/>
  <c r="L1107"/>
  <c r="M1107" s="1"/>
  <c r="L1106"/>
  <c r="M1106" s="1"/>
  <c r="L1105"/>
  <c r="M1105" s="1"/>
  <c r="L1104"/>
  <c r="M1104" s="1"/>
  <c r="L1103"/>
  <c r="M1103" s="1"/>
  <c r="L1102"/>
  <c r="M1102" s="1"/>
  <c r="L1101"/>
  <c r="M1101" s="1"/>
  <c r="L1100"/>
  <c r="M1100" s="1"/>
  <c r="L1099"/>
  <c r="M1099" s="1"/>
  <c r="L1098"/>
  <c r="M1098" s="1"/>
  <c r="L1097"/>
  <c r="M1097" s="1"/>
  <c r="L1096"/>
  <c r="M1096" s="1"/>
  <c r="L1095"/>
  <c r="M1095" s="1"/>
  <c r="L1094"/>
  <c r="M1094" s="1"/>
  <c r="L1093"/>
  <c r="M1093" s="1"/>
  <c r="L1092"/>
  <c r="M1092" s="1"/>
  <c r="L1091"/>
  <c r="M1091" s="1"/>
  <c r="L1090"/>
  <c r="M1090" s="1"/>
  <c r="L1089"/>
  <c r="M1089" s="1"/>
  <c r="L1088"/>
  <c r="M1088" s="1"/>
  <c r="L1087"/>
  <c r="M1087" s="1"/>
  <c r="L1086"/>
  <c r="M1086" s="1"/>
  <c r="L1085"/>
  <c r="M1085" s="1"/>
  <c r="L1084"/>
  <c r="M1084" s="1"/>
  <c r="L1083"/>
  <c r="M1083" s="1"/>
  <c r="L1082"/>
  <c r="M1082" s="1"/>
  <c r="L1081"/>
  <c r="M1081" s="1"/>
  <c r="L1080"/>
  <c r="M1080" s="1"/>
  <c r="L1079"/>
  <c r="M1079" s="1"/>
  <c r="L1078"/>
  <c r="M1078" s="1"/>
  <c r="L1077"/>
  <c r="M1077" s="1"/>
  <c r="L1076"/>
  <c r="M1076" s="1"/>
  <c r="L1075"/>
  <c r="M1075" s="1"/>
  <c r="L1074"/>
  <c r="M1074" s="1"/>
  <c r="L1073"/>
  <c r="M1073" s="1"/>
  <c r="L1072"/>
  <c r="M1072" s="1"/>
  <c r="L1071"/>
  <c r="M1071" s="1"/>
  <c r="L1070"/>
  <c r="M1070" s="1"/>
  <c r="L1069"/>
  <c r="M1069" s="1"/>
  <c r="L1068"/>
  <c r="M1068" s="1"/>
  <c r="L1067"/>
  <c r="M1067" s="1"/>
  <c r="L1066"/>
  <c r="M1066" s="1"/>
  <c r="L1065"/>
  <c r="M1065" s="1"/>
  <c r="L1064"/>
  <c r="M1064" s="1"/>
  <c r="L1063"/>
  <c r="M1063" s="1"/>
  <c r="L1062"/>
  <c r="M1062" s="1"/>
  <c r="L1061"/>
  <c r="M1061" s="1"/>
  <c r="L1060"/>
  <c r="M1060" s="1"/>
  <c r="L1059"/>
  <c r="M1059" s="1"/>
  <c r="L1058"/>
  <c r="M1058" s="1"/>
  <c r="L1057"/>
  <c r="M1057" s="1"/>
  <c r="L1056"/>
  <c r="M1056" s="1"/>
  <c r="L1055"/>
  <c r="M1055" s="1"/>
  <c r="L1054"/>
  <c r="M1054" s="1"/>
  <c r="L1053"/>
  <c r="M1053" s="1"/>
  <c r="L1052"/>
  <c r="M1052" s="1"/>
  <c r="L1051"/>
  <c r="M1051" s="1"/>
  <c r="L1050"/>
  <c r="M1050" s="1"/>
  <c r="L1049"/>
  <c r="M1049" s="1"/>
  <c r="L1048"/>
  <c r="M1048" s="1"/>
  <c r="L1047"/>
  <c r="M1047" s="1"/>
  <c r="L1046"/>
  <c r="M1046" s="1"/>
  <c r="L1045"/>
  <c r="M1045" s="1"/>
  <c r="L1044"/>
  <c r="M1044" s="1"/>
  <c r="L1043"/>
  <c r="M1043" s="1"/>
  <c r="L1042"/>
  <c r="M1042" s="1"/>
  <c r="L1041"/>
  <c r="M1041" s="1"/>
  <c r="L1040"/>
  <c r="M1040" s="1"/>
  <c r="L1039"/>
  <c r="M1039" s="1"/>
  <c r="L1038"/>
  <c r="M1038" s="1"/>
  <c r="L1037"/>
  <c r="M1037" s="1"/>
  <c r="L1036"/>
  <c r="M1036" s="1"/>
  <c r="L1035"/>
  <c r="M1035" s="1"/>
  <c r="L1034"/>
  <c r="M1034" s="1"/>
  <c r="L1033"/>
  <c r="M1033" s="1"/>
  <c r="L1032"/>
  <c r="M1032" s="1"/>
  <c r="L1031"/>
  <c r="M1031" s="1"/>
  <c r="L1030"/>
  <c r="M1030" s="1"/>
  <c r="L1029"/>
  <c r="M1029" s="1"/>
  <c r="L1028"/>
  <c r="M1028" s="1"/>
  <c r="L1027"/>
  <c r="M1027" s="1"/>
  <c r="L1026"/>
  <c r="M1026" s="1"/>
  <c r="L1025"/>
  <c r="M1025" s="1"/>
  <c r="L1024"/>
  <c r="M1024" s="1"/>
  <c r="L1023"/>
  <c r="M1023" s="1"/>
  <c r="L1022"/>
  <c r="M1022" s="1"/>
  <c r="L1021"/>
  <c r="M1021" s="1"/>
  <c r="L1020"/>
  <c r="M1020" s="1"/>
  <c r="L1019"/>
  <c r="M1019" s="1"/>
  <c r="L1018"/>
  <c r="M1018" s="1"/>
  <c r="L1017"/>
  <c r="M1017" s="1"/>
  <c r="L1016"/>
  <c r="M1016" s="1"/>
  <c r="L1015"/>
  <c r="M1015" s="1"/>
  <c r="L1014"/>
  <c r="M1014" s="1"/>
  <c r="L1013"/>
  <c r="M1013" s="1"/>
  <c r="L1012"/>
  <c r="M1012" s="1"/>
  <c r="L1011"/>
  <c r="M1011" s="1"/>
  <c r="L1010"/>
  <c r="M1010" s="1"/>
  <c r="L1009"/>
  <c r="M1009" s="1"/>
  <c r="L1008"/>
  <c r="M1008" s="1"/>
  <c r="L1007"/>
  <c r="M1007" s="1"/>
  <c r="L1006"/>
  <c r="M1006" s="1"/>
  <c r="L1005"/>
  <c r="M1005" s="1"/>
  <c r="L1004"/>
  <c r="M1004" s="1"/>
  <c r="L1003"/>
  <c r="M1003" s="1"/>
  <c r="L1002"/>
  <c r="M1002" s="1"/>
  <c r="L1001"/>
  <c r="M1001" s="1"/>
  <c r="L1000"/>
  <c r="M1000" s="1"/>
  <c r="L999"/>
  <c r="M999" s="1"/>
  <c r="L998"/>
  <c r="M998" s="1"/>
  <c r="L997"/>
  <c r="M997" s="1"/>
  <c r="L996"/>
  <c r="M996" s="1"/>
  <c r="L995"/>
  <c r="M995" s="1"/>
  <c r="L994"/>
  <c r="M994" s="1"/>
  <c r="L993"/>
  <c r="M993" s="1"/>
  <c r="L992"/>
  <c r="M992" s="1"/>
  <c r="L991"/>
  <c r="M991" s="1"/>
  <c r="L990"/>
  <c r="M990" s="1"/>
  <c r="L989"/>
  <c r="M989" s="1"/>
  <c r="L988"/>
  <c r="M988" s="1"/>
  <c r="L987"/>
  <c r="M987" s="1"/>
  <c r="L986"/>
  <c r="M986" s="1"/>
  <c r="L985"/>
  <c r="M985" s="1"/>
  <c r="L984"/>
  <c r="M984" s="1"/>
  <c r="L983"/>
  <c r="M983" s="1"/>
  <c r="L982"/>
  <c r="M982" s="1"/>
  <c r="L981"/>
  <c r="M981" s="1"/>
  <c r="L980"/>
  <c r="M980" s="1"/>
  <c r="L979"/>
  <c r="M979" s="1"/>
  <c r="L978"/>
  <c r="M978" s="1"/>
  <c r="L977"/>
  <c r="M977" s="1"/>
  <c r="L976"/>
  <c r="M976" s="1"/>
  <c r="L975"/>
  <c r="M975" s="1"/>
  <c r="L974"/>
  <c r="M974" s="1"/>
  <c r="L973"/>
  <c r="M973" s="1"/>
  <c r="L972"/>
  <c r="M972" s="1"/>
  <c r="L971"/>
  <c r="M971" s="1"/>
  <c r="L970"/>
  <c r="M970" s="1"/>
  <c r="L969"/>
  <c r="M969" s="1"/>
  <c r="L968"/>
  <c r="M968" s="1"/>
  <c r="L967"/>
  <c r="M967" s="1"/>
  <c r="L966"/>
  <c r="M966" s="1"/>
  <c r="L965"/>
  <c r="M965" s="1"/>
  <c r="L964"/>
  <c r="M964" s="1"/>
  <c r="L963"/>
  <c r="M963" s="1"/>
  <c r="L962"/>
  <c r="M962" s="1"/>
  <c r="L961"/>
  <c r="M961" s="1"/>
  <c r="L960"/>
  <c r="M960" s="1"/>
  <c r="L959"/>
  <c r="M959" s="1"/>
  <c r="L958"/>
  <c r="M958" s="1"/>
  <c r="L957"/>
  <c r="M957" s="1"/>
  <c r="L956"/>
  <c r="M956" s="1"/>
  <c r="L955"/>
  <c r="M955" s="1"/>
  <c r="L954"/>
  <c r="M954" s="1"/>
  <c r="L953"/>
  <c r="M953" s="1"/>
  <c r="L952"/>
  <c r="M952" s="1"/>
  <c r="L951"/>
  <c r="M951" s="1"/>
  <c r="L950"/>
  <c r="M950" s="1"/>
  <c r="L949"/>
  <c r="M949" s="1"/>
  <c r="L948"/>
  <c r="M948" s="1"/>
  <c r="L947"/>
  <c r="M947" s="1"/>
  <c r="L946"/>
  <c r="M946" s="1"/>
  <c r="L945"/>
  <c r="M945" s="1"/>
  <c r="L944"/>
  <c r="M944" s="1"/>
  <c r="L943"/>
  <c r="M943" s="1"/>
  <c r="L942"/>
  <c r="M942" s="1"/>
  <c r="L941"/>
  <c r="M941" s="1"/>
  <c r="L940"/>
  <c r="M940" s="1"/>
  <c r="L939"/>
  <c r="M939" s="1"/>
  <c r="L938"/>
  <c r="M938" s="1"/>
  <c r="L937"/>
  <c r="M937" s="1"/>
  <c r="L936"/>
  <c r="M936" s="1"/>
  <c r="L935"/>
  <c r="M935" s="1"/>
  <c r="L934"/>
  <c r="M934" s="1"/>
  <c r="L933"/>
  <c r="M933" s="1"/>
  <c r="L932"/>
  <c r="M932" s="1"/>
  <c r="L931"/>
  <c r="M931" s="1"/>
  <c r="L930"/>
  <c r="M930" s="1"/>
  <c r="L929"/>
  <c r="M929" s="1"/>
  <c r="L928"/>
  <c r="M928" s="1"/>
  <c r="L927"/>
  <c r="M927" s="1"/>
  <c r="L926"/>
  <c r="M926" s="1"/>
  <c r="L925"/>
  <c r="M925" s="1"/>
  <c r="L924"/>
  <c r="M924" s="1"/>
  <c r="L923"/>
  <c r="M923" s="1"/>
  <c r="L922"/>
  <c r="M922" s="1"/>
  <c r="L921"/>
  <c r="M921" s="1"/>
  <c r="L920"/>
  <c r="M920" s="1"/>
  <c r="L919"/>
  <c r="M919" s="1"/>
  <c r="L918"/>
  <c r="M918" s="1"/>
  <c r="L917"/>
  <c r="M917" s="1"/>
  <c r="L916"/>
  <c r="M916" s="1"/>
  <c r="L915"/>
  <c r="M915" s="1"/>
  <c r="L914"/>
  <c r="M914" s="1"/>
  <c r="L913"/>
  <c r="M913" s="1"/>
  <c r="L912"/>
  <c r="M912" s="1"/>
  <c r="L911"/>
  <c r="M911" s="1"/>
  <c r="L910"/>
  <c r="M910" s="1"/>
  <c r="L909"/>
  <c r="M909" s="1"/>
  <c r="L908"/>
  <c r="M908" s="1"/>
  <c r="L907"/>
  <c r="M907" s="1"/>
  <c r="L906"/>
  <c r="M906" s="1"/>
  <c r="L905"/>
  <c r="M905" s="1"/>
  <c r="L904"/>
  <c r="M904" s="1"/>
  <c r="L903"/>
  <c r="M903" s="1"/>
  <c r="L902"/>
  <c r="M902" s="1"/>
  <c r="L901"/>
  <c r="M901" s="1"/>
  <c r="L900"/>
  <c r="M900" s="1"/>
  <c r="L899"/>
  <c r="M899" s="1"/>
  <c r="L898"/>
  <c r="M898" s="1"/>
  <c r="L897"/>
  <c r="M897" s="1"/>
  <c r="L896"/>
  <c r="M896" s="1"/>
  <c r="L895"/>
  <c r="M895" s="1"/>
  <c r="L894"/>
  <c r="M894" s="1"/>
  <c r="L893"/>
  <c r="M893" s="1"/>
  <c r="L892"/>
  <c r="M892" s="1"/>
  <c r="L891"/>
  <c r="M891" s="1"/>
  <c r="L890"/>
  <c r="M890" s="1"/>
  <c r="L889"/>
  <c r="M889" s="1"/>
  <c r="L888"/>
  <c r="M888" s="1"/>
  <c r="L887"/>
  <c r="M887" s="1"/>
  <c r="L886"/>
  <c r="M886" s="1"/>
  <c r="L885"/>
  <c r="M885" s="1"/>
  <c r="L884"/>
  <c r="M884" s="1"/>
  <c r="L883"/>
  <c r="M883" s="1"/>
  <c r="L882"/>
  <c r="M882" s="1"/>
  <c r="L1200"/>
  <c r="M1200" s="1"/>
  <c r="L1199"/>
  <c r="M1199" s="1"/>
  <c r="L1198"/>
  <c r="M1198" s="1"/>
  <c r="L1197"/>
  <c r="M1197" s="1"/>
  <c r="L1196"/>
  <c r="M1196" s="1"/>
  <c r="L1195"/>
  <c r="M1195" s="1"/>
  <c r="L1194"/>
  <c r="M1194" s="1"/>
  <c r="L1193"/>
  <c r="M1193" s="1"/>
  <c r="L1192"/>
  <c r="M1192" s="1"/>
  <c r="L1191"/>
  <c r="M1191" s="1"/>
  <c r="L1190"/>
  <c r="M1190" s="1"/>
  <c r="L1189"/>
  <c r="M1189" s="1"/>
  <c r="L1188"/>
  <c r="M1188" s="1"/>
  <c r="L1187"/>
  <c r="M1187" s="1"/>
  <c r="L1186"/>
  <c r="M1186" s="1"/>
  <c r="L1185"/>
  <c r="M1185" s="1"/>
  <c r="L1184"/>
  <c r="M1184" s="1"/>
  <c r="L1183"/>
  <c r="M1183" s="1"/>
  <c r="L1182"/>
  <c r="M1182" s="1"/>
  <c r="L1181"/>
  <c r="M1181" s="1"/>
  <c r="L1180"/>
  <c r="M1180" s="1"/>
  <c r="L1178"/>
  <c r="M1178" s="1"/>
  <c r="L1177"/>
  <c r="M1177" s="1"/>
  <c r="L1176"/>
  <c r="M1176" s="1"/>
  <c r="L1175"/>
  <c r="M1175" s="1"/>
  <c r="L1174"/>
  <c r="M1174" s="1"/>
  <c r="L1173"/>
  <c r="M1173" s="1"/>
  <c r="L1172"/>
  <c r="M1172" s="1"/>
  <c r="L1171"/>
  <c r="M1171" s="1"/>
  <c r="L1170"/>
  <c r="M1170" s="1"/>
  <c r="L1169"/>
  <c r="M1169" s="1"/>
  <c r="L1168"/>
  <c r="M1168" s="1"/>
  <c r="L1167"/>
  <c r="M1167" s="1"/>
  <c r="L1166"/>
  <c r="M1166" s="1"/>
  <c r="L1165"/>
  <c r="M1165" s="1"/>
  <c r="L1164"/>
  <c r="M1164" s="1"/>
  <c r="L1163"/>
  <c r="M1163" s="1"/>
  <c r="L1162"/>
  <c r="M1162" s="1"/>
  <c r="L1161"/>
  <c r="M1161" s="1"/>
  <c r="L1159"/>
  <c r="M1159" s="1"/>
  <c r="L1158"/>
  <c r="M1158" s="1"/>
  <c r="L1157"/>
  <c r="M1157" s="1"/>
  <c r="L1156"/>
  <c r="M1156" s="1"/>
  <c r="L1154"/>
  <c r="M1154" s="1"/>
  <c r="L1153"/>
  <c r="M1153" s="1"/>
  <c r="L1152"/>
  <c r="M1152" s="1"/>
  <c r="L1151"/>
  <c r="M1151" s="1"/>
  <c r="L1150"/>
  <c r="M1150" s="1"/>
  <c r="L1149"/>
  <c r="M1149" s="1"/>
  <c r="L744"/>
  <c r="M744" s="1"/>
  <c r="L743"/>
  <c r="M743" s="1"/>
  <c r="L742"/>
  <c r="M742" s="1"/>
  <c r="L741"/>
  <c r="M741" s="1"/>
  <c r="L740"/>
  <c r="M740" s="1"/>
  <c r="L739"/>
  <c r="M739" s="1"/>
  <c r="L738"/>
  <c r="M738" s="1"/>
  <c r="L737"/>
  <c r="M737" s="1"/>
  <c r="L736"/>
  <c r="M736" s="1"/>
  <c r="L735"/>
  <c r="M735" s="1"/>
  <c r="L734"/>
  <c r="M734" s="1"/>
  <c r="L733"/>
  <c r="M733" s="1"/>
  <c r="L732"/>
  <c r="M732" s="1"/>
  <c r="L731"/>
  <c r="M731" s="1"/>
  <c r="L730"/>
  <c r="M730" s="1"/>
  <c r="L729"/>
  <c r="M729" s="1"/>
  <c r="L728"/>
  <c r="M728" s="1"/>
  <c r="L727"/>
  <c r="M727" s="1"/>
  <c r="L726"/>
  <c r="M726" s="1"/>
  <c r="L725"/>
  <c r="M725" s="1"/>
  <c r="L724"/>
  <c r="M724" s="1"/>
  <c r="L723"/>
  <c r="M723" s="1"/>
  <c r="L722"/>
  <c r="M722" s="1"/>
  <c r="L721"/>
  <c r="M721" s="1"/>
  <c r="L720"/>
  <c r="M720" s="1"/>
  <c r="L719"/>
  <c r="M719" s="1"/>
  <c r="L718"/>
  <c r="M718" s="1"/>
  <c r="L717"/>
  <c r="M717" s="1"/>
  <c r="L716"/>
  <c r="M716" s="1"/>
  <c r="L715"/>
  <c r="M715" s="1"/>
  <c r="L714"/>
  <c r="M714" s="1"/>
  <c r="L713"/>
  <c r="M713" s="1"/>
  <c r="L712"/>
  <c r="M712" s="1"/>
  <c r="L711"/>
  <c r="M711" s="1"/>
  <c r="L710"/>
  <c r="M710" s="1"/>
  <c r="L709"/>
  <c r="M709" s="1"/>
  <c r="L708"/>
  <c r="M708" s="1"/>
  <c r="L707"/>
  <c r="M707" s="1"/>
  <c r="L706"/>
  <c r="M706" s="1"/>
  <c r="L705"/>
  <c r="M705" s="1"/>
  <c r="L704"/>
  <c r="M704" s="1"/>
  <c r="L703"/>
  <c r="M703" s="1"/>
  <c r="L702"/>
  <c r="M702" s="1"/>
  <c r="L701"/>
  <c r="M701" s="1"/>
  <c r="L700"/>
  <c r="M700" s="1"/>
  <c r="L699"/>
  <c r="M699" s="1"/>
  <c r="L698"/>
  <c r="M698" s="1"/>
  <c r="L697"/>
  <c r="M697" s="1"/>
  <c r="L696"/>
  <c r="M696" s="1"/>
  <c r="L695"/>
  <c r="M695" s="1"/>
  <c r="L694"/>
  <c r="M694" s="1"/>
  <c r="L693"/>
  <c r="M693" s="1"/>
  <c r="L692"/>
  <c r="M692" s="1"/>
  <c r="L691"/>
  <c r="M691" s="1"/>
  <c r="L690"/>
  <c r="M690" s="1"/>
  <c r="L689"/>
  <c r="M689" s="1"/>
  <c r="L688"/>
  <c r="M688" s="1"/>
  <c r="L687"/>
  <c r="M687" s="1"/>
  <c r="L686"/>
  <c r="M686" s="1"/>
  <c r="L685"/>
  <c r="M685" s="1"/>
  <c r="L684"/>
  <c r="M684" s="1"/>
  <c r="L683"/>
  <c r="M683" s="1"/>
  <c r="L682"/>
  <c r="M682" s="1"/>
  <c r="L681"/>
  <c r="M681" s="1"/>
  <c r="L680"/>
  <c r="M680" s="1"/>
  <c r="L679"/>
  <c r="M679" s="1"/>
  <c r="L678"/>
  <c r="M678" s="1"/>
  <c r="L677"/>
  <c r="M677" s="1"/>
  <c r="L676"/>
  <c r="M676" s="1"/>
  <c r="L675"/>
  <c r="M675" s="1"/>
  <c r="L674"/>
  <c r="M674" s="1"/>
  <c r="L673"/>
  <c r="M673" s="1"/>
  <c r="L672"/>
  <c r="M672" s="1"/>
  <c r="L671"/>
  <c r="M671" s="1"/>
  <c r="L670"/>
  <c r="M670" s="1"/>
  <c r="L669"/>
  <c r="M669" s="1"/>
  <c r="L668"/>
  <c r="M668" s="1"/>
  <c r="L667"/>
  <c r="M667" s="1"/>
  <c r="L666"/>
  <c r="M666" s="1"/>
  <c r="L665"/>
  <c r="M665" s="1"/>
  <c r="L664"/>
  <c r="M664" s="1"/>
  <c r="L663"/>
  <c r="M663" s="1"/>
  <c r="L662"/>
  <c r="M662" s="1"/>
  <c r="L661"/>
  <c r="M661" s="1"/>
  <c r="L660"/>
  <c r="M660" s="1"/>
  <c r="L659"/>
  <c r="M659" s="1"/>
  <c r="L658"/>
  <c r="M658" s="1"/>
  <c r="L657"/>
  <c r="M657" s="1"/>
  <c r="L656"/>
  <c r="M656" s="1"/>
  <c r="L655"/>
  <c r="M655" s="1"/>
  <c r="L654"/>
  <c r="M654" s="1"/>
  <c r="L653"/>
  <c r="M653" s="1"/>
  <c r="L652"/>
  <c r="M652" s="1"/>
  <c r="L651"/>
  <c r="M651" s="1"/>
  <c r="L650"/>
  <c r="M650" s="1"/>
  <c r="L649"/>
  <c r="M649" s="1"/>
  <c r="L648"/>
  <c r="M648" s="1"/>
  <c r="L647"/>
  <c r="M647" s="1"/>
  <c r="L646"/>
  <c r="M646" s="1"/>
  <c r="L645"/>
  <c r="M645" s="1"/>
  <c r="L644"/>
  <c r="M644" s="1"/>
  <c r="L643"/>
  <c r="M643" s="1"/>
  <c r="L642"/>
  <c r="M642" s="1"/>
  <c r="L641"/>
  <c r="M641" s="1"/>
  <c r="L640"/>
  <c r="M640" s="1"/>
  <c r="L639"/>
  <c r="M639" s="1"/>
  <c r="L638"/>
  <c r="M638" s="1"/>
  <c r="L637"/>
  <c r="M637" s="1"/>
  <c r="L636"/>
  <c r="M636" s="1"/>
  <c r="L635"/>
  <c r="M635" s="1"/>
  <c r="L634"/>
  <c r="M634" s="1"/>
  <c r="L633"/>
  <c r="M633" s="1"/>
  <c r="L632"/>
  <c r="M632" s="1"/>
  <c r="L631"/>
  <c r="M631" s="1"/>
  <c r="L630"/>
  <c r="M630" s="1"/>
  <c r="L629"/>
  <c r="M629" s="1"/>
  <c r="L628"/>
  <c r="M628" s="1"/>
  <c r="L627"/>
  <c r="M627" s="1"/>
  <c r="L626"/>
  <c r="M626" s="1"/>
  <c r="L625"/>
  <c r="M625" s="1"/>
  <c r="L624"/>
  <c r="M624" s="1"/>
  <c r="L623"/>
  <c r="M623" s="1"/>
  <c r="L622"/>
  <c r="M622" s="1"/>
  <c r="L621"/>
  <c r="M621" s="1"/>
  <c r="L620"/>
  <c r="M620" s="1"/>
  <c r="L619"/>
  <c r="M619" s="1"/>
  <c r="L618"/>
  <c r="M618" s="1"/>
  <c r="L617"/>
  <c r="M617" s="1"/>
  <c r="L616"/>
  <c r="M616" s="1"/>
  <c r="L615"/>
  <c r="M615" s="1"/>
  <c r="L614"/>
  <c r="M614" s="1"/>
  <c r="L613"/>
  <c r="M613" s="1"/>
  <c r="L612"/>
  <c r="M612" s="1"/>
  <c r="L611"/>
  <c r="M611" s="1"/>
  <c r="L610"/>
  <c r="M610" s="1"/>
  <c r="L609"/>
  <c r="M609" s="1"/>
  <c r="L608"/>
  <c r="M608" s="1"/>
  <c r="L607"/>
  <c r="M607" s="1"/>
  <c r="L606"/>
  <c r="M606" s="1"/>
  <c r="L605"/>
  <c r="M605" s="1"/>
  <c r="L604"/>
  <c r="M604" s="1"/>
  <c r="L603"/>
  <c r="M603" s="1"/>
  <c r="L602"/>
  <c r="M602" s="1"/>
  <c r="L601"/>
  <c r="M601" s="1"/>
  <c r="L600"/>
  <c r="M600" s="1"/>
  <c r="L599"/>
  <c r="M599" s="1"/>
  <c r="L598"/>
  <c r="M598" s="1"/>
  <c r="L597"/>
  <c r="M597" s="1"/>
  <c r="L596"/>
  <c r="M596" s="1"/>
  <c r="L595"/>
  <c r="M595" s="1"/>
  <c r="L594"/>
  <c r="M594" s="1"/>
  <c r="L593"/>
  <c r="M593" s="1"/>
  <c r="L592"/>
  <c r="M592" s="1"/>
  <c r="L591"/>
  <c r="M591" s="1"/>
  <c r="L590"/>
  <c r="M590" s="1"/>
  <c r="L589"/>
  <c r="M589" s="1"/>
  <c r="L588"/>
  <c r="M588" s="1"/>
  <c r="L587"/>
  <c r="M587" s="1"/>
  <c r="L586"/>
  <c r="M586" s="1"/>
  <c r="L585"/>
  <c r="M585" s="1"/>
  <c r="L584"/>
  <c r="M584" s="1"/>
  <c r="L583"/>
  <c r="M583" s="1"/>
  <c r="L582"/>
  <c r="M582" s="1"/>
  <c r="L581"/>
  <c r="M581" s="1"/>
  <c r="L580"/>
  <c r="M580" s="1"/>
  <c r="L579"/>
  <c r="M579" s="1"/>
  <c r="L578"/>
  <c r="M578" s="1"/>
  <c r="L577"/>
  <c r="M577" s="1"/>
  <c r="L576"/>
  <c r="M576" s="1"/>
  <c r="L575"/>
  <c r="M575" s="1"/>
  <c r="L574"/>
  <c r="M574" s="1"/>
  <c r="L573"/>
  <c r="M573" s="1"/>
  <c r="L572"/>
  <c r="M572" s="1"/>
  <c r="L571"/>
  <c r="M571" s="1"/>
  <c r="L570"/>
  <c r="M570" s="1"/>
  <c r="L569"/>
  <c r="M569" s="1"/>
  <c r="L568"/>
  <c r="M568" s="1"/>
  <c r="L567"/>
  <c r="M567" s="1"/>
  <c r="L566"/>
  <c r="M566" s="1"/>
  <c r="L565"/>
  <c r="M565" s="1"/>
  <c r="L564"/>
  <c r="M564" s="1"/>
  <c r="L563"/>
  <c r="M563" s="1"/>
  <c r="L562"/>
  <c r="M562" s="1"/>
  <c r="L561"/>
  <c r="M561" s="1"/>
  <c r="L560"/>
  <c r="M560" s="1"/>
  <c r="L559"/>
  <c r="M559" s="1"/>
  <c r="L558"/>
  <c r="M558" s="1"/>
  <c r="L557"/>
  <c r="M557" s="1"/>
  <c r="L556"/>
  <c r="M556" s="1"/>
  <c r="L555"/>
  <c r="M555" s="1"/>
  <c r="L554"/>
  <c r="M554" s="1"/>
  <c r="L553"/>
  <c r="M553" s="1"/>
  <c r="L552"/>
  <c r="M552" s="1"/>
  <c r="L551"/>
  <c r="M551" s="1"/>
  <c r="L550"/>
  <c r="M550" s="1"/>
  <c r="L549"/>
  <c r="M549" s="1"/>
  <c r="L548"/>
  <c r="M548" s="1"/>
  <c r="L547"/>
  <c r="M547" s="1"/>
  <c r="L546"/>
  <c r="M546" s="1"/>
  <c r="L545"/>
  <c r="M545" s="1"/>
  <c r="L544"/>
  <c r="M544" s="1"/>
  <c r="L543"/>
  <c r="M543" s="1"/>
  <c r="L542"/>
  <c r="M542" s="1"/>
  <c r="L541"/>
  <c r="M541" s="1"/>
  <c r="L540"/>
  <c r="M540" s="1"/>
  <c r="L539"/>
  <c r="M539" s="1"/>
  <c r="L538"/>
  <c r="M538" s="1"/>
  <c r="L29"/>
  <c r="M29" s="1"/>
  <c r="L28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533"/>
  <c r="M533" s="1"/>
  <c r="L532"/>
  <c r="M532" s="1"/>
  <c r="L531"/>
  <c r="M531" s="1"/>
  <c r="L530"/>
  <c r="M530" s="1"/>
  <c r="L529"/>
  <c r="M529" s="1"/>
  <c r="L528"/>
  <c r="M528" s="1"/>
  <c r="L527"/>
  <c r="M527" s="1"/>
  <c r="L526"/>
  <c r="M526" s="1"/>
  <c r="L525"/>
  <c r="M525" s="1"/>
  <c r="L524"/>
  <c r="M524" s="1"/>
  <c r="L523"/>
  <c r="M523" s="1"/>
  <c r="L522"/>
  <c r="M522" s="1"/>
  <c r="L521"/>
  <c r="M521" s="1"/>
  <c r="L520"/>
  <c r="M520" s="1"/>
  <c r="L519"/>
  <c r="M519" s="1"/>
  <c r="L518"/>
  <c r="M518" s="1"/>
  <c r="L517"/>
  <c r="M517" s="1"/>
  <c r="L516"/>
  <c r="M516" s="1"/>
  <c r="L515"/>
  <c r="M515" s="1"/>
  <c r="L514"/>
  <c r="M514" s="1"/>
  <c r="L513"/>
  <c r="M513" s="1"/>
  <c r="L512"/>
  <c r="M512" s="1"/>
  <c r="L511"/>
  <c r="M511" s="1"/>
  <c r="L510"/>
  <c r="M510" s="1"/>
  <c r="L509"/>
  <c r="M509" s="1"/>
  <c r="L508"/>
  <c r="M508" s="1"/>
  <c r="L507"/>
  <c r="M507" s="1"/>
  <c r="L506"/>
  <c r="M506" s="1"/>
  <c r="L505"/>
  <c r="M505" s="1"/>
  <c r="L504"/>
  <c r="M504" s="1"/>
  <c r="L503"/>
  <c r="M503" s="1"/>
  <c r="L502"/>
  <c r="M502" s="1"/>
  <c r="L501"/>
  <c r="M501" s="1"/>
  <c r="L500"/>
  <c r="M500" s="1"/>
  <c r="Q499"/>
  <c r="P499"/>
  <c r="L498"/>
  <c r="M498" s="1"/>
  <c r="L497"/>
  <c r="M497" s="1"/>
  <c r="L496"/>
  <c r="M496" s="1"/>
  <c r="L495"/>
  <c r="M495" s="1"/>
  <c r="L494"/>
  <c r="M494" s="1"/>
  <c r="L493"/>
  <c r="M493" s="1"/>
  <c r="L492"/>
  <c r="M492" s="1"/>
  <c r="L491"/>
  <c r="M491" s="1"/>
  <c r="L490"/>
  <c r="M490" s="1"/>
  <c r="L489"/>
  <c r="M489" s="1"/>
  <c r="L488"/>
  <c r="M488" s="1"/>
  <c r="L487"/>
  <c r="M487" s="1"/>
  <c r="L486"/>
  <c r="M486" s="1"/>
  <c r="L485"/>
  <c r="M485" s="1"/>
  <c r="L484"/>
  <c r="M484" s="1"/>
  <c r="L483"/>
  <c r="M483" s="1"/>
  <c r="L482"/>
  <c r="M482" s="1"/>
  <c r="L481"/>
  <c r="M481" s="1"/>
  <c r="L480"/>
  <c r="M480" s="1"/>
  <c r="L479"/>
  <c r="M479" s="1"/>
  <c r="L478"/>
  <c r="M478" s="1"/>
  <c r="L477"/>
  <c r="M477" s="1"/>
  <c r="L476"/>
  <c r="M476" s="1"/>
  <c r="L475"/>
  <c r="M475" s="1"/>
  <c r="L474"/>
  <c r="M474" s="1"/>
  <c r="L473"/>
  <c r="M473" s="1"/>
  <c r="L472"/>
  <c r="M472" s="1"/>
  <c r="L471"/>
  <c r="M471" s="1"/>
  <c r="L470"/>
  <c r="M470" s="1"/>
  <c r="L469"/>
  <c r="M469" s="1"/>
  <c r="L468"/>
  <c r="M468" s="1"/>
  <c r="L467"/>
  <c r="M467" s="1"/>
  <c r="L466"/>
  <c r="M466" s="1"/>
  <c r="L465"/>
  <c r="M465" s="1"/>
  <c r="L464"/>
  <c r="M464" s="1"/>
  <c r="L463"/>
  <c r="M463" s="1"/>
  <c r="L462"/>
  <c r="M462" s="1"/>
  <c r="L461"/>
  <c r="M461" s="1"/>
  <c r="L460"/>
  <c r="M460" s="1"/>
  <c r="L459"/>
  <c r="M459" s="1"/>
  <c r="L458"/>
  <c r="M458" s="1"/>
  <c r="L457"/>
  <c r="M457" s="1"/>
  <c r="L456"/>
  <c r="M456" s="1"/>
  <c r="L455"/>
  <c r="M455" s="1"/>
  <c r="L454"/>
  <c r="M454" s="1"/>
  <c r="L453"/>
  <c r="M453" s="1"/>
  <c r="L452"/>
  <c r="M452" s="1"/>
  <c r="L451"/>
  <c r="M451" s="1"/>
  <c r="L450"/>
  <c r="M450" s="1"/>
  <c r="L449"/>
  <c r="M449" s="1"/>
  <c r="L448"/>
  <c r="M448" s="1"/>
  <c r="L447"/>
  <c r="M447" s="1"/>
  <c r="L446"/>
  <c r="M446" s="1"/>
  <c r="L445"/>
  <c r="M445" s="1"/>
  <c r="L444"/>
  <c r="M444" s="1"/>
  <c r="L443"/>
  <c r="M443" s="1"/>
  <c r="L442"/>
  <c r="M442" s="1"/>
  <c r="L441"/>
  <c r="M441" s="1"/>
  <c r="L440"/>
  <c r="M440" s="1"/>
  <c r="L439"/>
  <c r="M439" s="1"/>
  <c r="L438"/>
  <c r="M438" s="1"/>
  <c r="L437"/>
  <c r="M437" s="1"/>
  <c r="L436"/>
  <c r="M436" s="1"/>
  <c r="L435"/>
  <c r="M435" s="1"/>
  <c r="L434"/>
  <c r="M434" s="1"/>
  <c r="L433"/>
  <c r="M433" s="1"/>
  <c r="L432"/>
  <c r="M432" s="1"/>
  <c r="L431"/>
  <c r="M431" s="1"/>
  <c r="L430"/>
  <c r="M430" s="1"/>
  <c r="L429"/>
  <c r="M429" s="1"/>
  <c r="L428"/>
  <c r="M428" s="1"/>
  <c r="L427"/>
  <c r="M427" s="1"/>
  <c r="L426"/>
  <c r="M426" s="1"/>
  <c r="L425"/>
  <c r="M425" s="1"/>
  <c r="L424"/>
  <c r="M424" s="1"/>
  <c r="L423"/>
  <c r="M423" s="1"/>
  <c r="L422"/>
  <c r="M422" s="1"/>
  <c r="L421"/>
  <c r="M421" s="1"/>
  <c r="L420"/>
  <c r="M420" s="1"/>
  <c r="L419"/>
  <c r="M419" s="1"/>
  <c r="L418"/>
  <c r="M418" s="1"/>
  <c r="L417"/>
  <c r="M417" s="1"/>
  <c r="L416"/>
  <c r="M416" s="1"/>
  <c r="L415"/>
  <c r="M415" s="1"/>
  <c r="L414"/>
  <c r="M414" s="1"/>
  <c r="L413"/>
  <c r="M413" s="1"/>
  <c r="L412"/>
  <c r="M412" s="1"/>
  <c r="L411"/>
  <c r="M411" s="1"/>
  <c r="L410"/>
  <c r="M410" s="1"/>
  <c r="L409"/>
  <c r="M409" s="1"/>
  <c r="L408"/>
  <c r="M408" s="1"/>
  <c r="L407"/>
  <c r="M407" s="1"/>
  <c r="L406"/>
  <c r="M406" s="1"/>
  <c r="L405"/>
  <c r="M405" s="1"/>
  <c r="L404"/>
  <c r="M404" s="1"/>
  <c r="L403"/>
  <c r="M403" s="1"/>
  <c r="L402"/>
  <c r="M402" s="1"/>
  <c r="L401"/>
  <c r="M401" s="1"/>
  <c r="L400"/>
  <c r="M400" s="1"/>
  <c r="L399"/>
  <c r="M399" s="1"/>
  <c r="L398"/>
  <c r="M398" s="1"/>
  <c r="L397"/>
  <c r="M397" s="1"/>
  <c r="L396"/>
  <c r="M396" s="1"/>
  <c r="L395"/>
  <c r="M395" s="1"/>
  <c r="L394"/>
  <c r="M394" s="1"/>
  <c r="L393"/>
  <c r="M393" s="1"/>
  <c r="L392"/>
  <c r="M392" s="1"/>
  <c r="L391"/>
  <c r="M391" s="1"/>
  <c r="L390"/>
  <c r="M390" s="1"/>
  <c r="L389"/>
  <c r="M389" s="1"/>
  <c r="L388"/>
  <c r="M388" s="1"/>
  <c r="L387"/>
  <c r="M387" s="1"/>
  <c r="L1231"/>
  <c r="M1231" s="1"/>
  <c r="L1230"/>
  <c r="M1230" s="1"/>
  <c r="L1229"/>
  <c r="M1229" s="1"/>
  <c r="L1228"/>
  <c r="M1228" s="1"/>
  <c r="L1227"/>
  <c r="M1227" s="1"/>
  <c r="L1226"/>
  <c r="M1226" s="1"/>
  <c r="L1225"/>
  <c r="M1225" s="1"/>
  <c r="L1224"/>
  <c r="M1224" s="1"/>
  <c r="L1223"/>
  <c r="M1223" s="1"/>
  <c r="L1222"/>
  <c r="M1222" s="1"/>
  <c r="L1221"/>
  <c r="M1221" s="1"/>
  <c r="L1220"/>
  <c r="M1220" s="1"/>
  <c r="L1219"/>
  <c r="M1219" s="1"/>
  <c r="L1218"/>
  <c r="M1218" s="1"/>
  <c r="L1217"/>
  <c r="M1217" s="1"/>
  <c r="L1216"/>
  <c r="M1216" s="1"/>
  <c r="L1215"/>
  <c r="M1215" s="1"/>
  <c r="L1214"/>
  <c r="M1214" s="1"/>
  <c r="L1213"/>
  <c r="M1213" s="1"/>
  <c r="L1212"/>
  <c r="M1212" s="1"/>
  <c r="L1211"/>
  <c r="M1211" s="1"/>
  <c r="L1210"/>
  <c r="M1210" s="1"/>
  <c r="L1209"/>
  <c r="M1209" s="1"/>
  <c r="L1208"/>
  <c r="M1208" s="1"/>
  <c r="L1207"/>
  <c r="M1207" s="1"/>
  <c r="L1206"/>
  <c r="M1206" s="1"/>
  <c r="L1205"/>
  <c r="M1205" s="1"/>
  <c r="Q50"/>
  <c r="P50"/>
  <c r="Q39"/>
  <c r="P39"/>
  <c r="L92"/>
  <c r="J384"/>
  <c r="L749"/>
  <c r="J879"/>
  <c r="L881"/>
  <c r="J1146"/>
  <c r="L1148"/>
  <c r="J1202"/>
  <c r="L537"/>
  <c r="J747"/>
  <c r="L6"/>
  <c r="J67"/>
  <c r="L386"/>
  <c r="J535"/>
  <c r="L1204"/>
  <c r="J1232"/>
  <c r="I1234" i="11"/>
  <c r="M1202"/>
  <c r="K1234" i="10"/>
  <c r="O384"/>
  <c r="Q1179" i="22"/>
  <c r="P1179"/>
  <c r="Q1160"/>
  <c r="P1160"/>
  <c r="O1234" i="3"/>
  <c r="M1234" i="14"/>
  <c r="M1234" i="6"/>
  <c r="J69" i="22"/>
  <c r="I90"/>
  <c r="Q745"/>
  <c r="P745"/>
  <c r="Q1144"/>
  <c r="P1144"/>
  <c r="Q1201"/>
  <c r="P1201"/>
  <c r="Q1155"/>
  <c r="P1155"/>
  <c r="I1234"/>
  <c r="R1202" i="5"/>
  <c r="E1234" i="22"/>
  <c r="R1234" i="5" l="1"/>
  <c r="L69" i="22"/>
  <c r="J90"/>
  <c r="O1234" i="10"/>
  <c r="M1234" i="11"/>
  <c r="M1204" i="22"/>
  <c r="L1232"/>
  <c r="M386"/>
  <c r="L535"/>
  <c r="M6"/>
  <c r="L67"/>
  <c r="M537"/>
  <c r="L747"/>
  <c r="M1148"/>
  <c r="L1202"/>
  <c r="M881"/>
  <c r="L1146"/>
  <c r="M749"/>
  <c r="L879"/>
  <c r="M92"/>
  <c r="L384"/>
  <c r="Q1205"/>
  <c r="P1205"/>
  <c r="Q1206"/>
  <c r="P1206"/>
  <c r="Q1207"/>
  <c r="P1207"/>
  <c r="Q1208"/>
  <c r="P1208"/>
  <c r="Q1209"/>
  <c r="P1209"/>
  <c r="Q1210"/>
  <c r="P1210"/>
  <c r="Q1211"/>
  <c r="P1211"/>
  <c r="Q1212"/>
  <c r="P1212"/>
  <c r="Q1213"/>
  <c r="P1213"/>
  <c r="Q1214"/>
  <c r="P1214"/>
  <c r="Q1215"/>
  <c r="P1215"/>
  <c r="Q1216"/>
  <c r="P1216"/>
  <c r="Q1217"/>
  <c r="P1217"/>
  <c r="Q1218"/>
  <c r="P1218"/>
  <c r="Q1219"/>
  <c r="P1219"/>
  <c r="Q1220"/>
  <c r="P1220"/>
  <c r="Q1221"/>
  <c r="P1221"/>
  <c r="Q1222"/>
  <c r="P1222"/>
  <c r="Q1223"/>
  <c r="P1223"/>
  <c r="Q1224"/>
  <c r="P1224"/>
  <c r="Q1225"/>
  <c r="P1225"/>
  <c r="Q1226"/>
  <c r="P1226"/>
  <c r="Q1227"/>
  <c r="P1227"/>
  <c r="Q1228"/>
  <c r="P1228"/>
  <c r="Q1229"/>
  <c r="P1229"/>
  <c r="Q1230"/>
  <c r="P1230"/>
  <c r="Q1231"/>
  <c r="P1231"/>
  <c r="Q387"/>
  <c r="P387"/>
  <c r="Q388"/>
  <c r="P388"/>
  <c r="Q389"/>
  <c r="P389"/>
  <c r="Q390"/>
  <c r="P390"/>
  <c r="Q391"/>
  <c r="P391"/>
  <c r="Q392"/>
  <c r="P392"/>
  <c r="Q393"/>
  <c r="P393"/>
  <c r="Q394"/>
  <c r="P394"/>
  <c r="Q395"/>
  <c r="P395"/>
  <c r="Q396"/>
  <c r="P396"/>
  <c r="Q397"/>
  <c r="P397"/>
  <c r="Q398"/>
  <c r="P398"/>
  <c r="Q399"/>
  <c r="P399"/>
  <c r="Q400"/>
  <c r="P400"/>
  <c r="Q401"/>
  <c r="P401"/>
  <c r="Q402"/>
  <c r="P402"/>
  <c r="Q403"/>
  <c r="P403"/>
  <c r="Q404"/>
  <c r="P404"/>
  <c r="Q405"/>
  <c r="P405"/>
  <c r="Q406"/>
  <c r="P406"/>
  <c r="Q407"/>
  <c r="P407"/>
  <c r="Q408"/>
  <c r="P408"/>
  <c r="Q409"/>
  <c r="P409"/>
  <c r="Q410"/>
  <c r="P410"/>
  <c r="Q411"/>
  <c r="P411"/>
  <c r="Q412"/>
  <c r="P412"/>
  <c r="Q413"/>
  <c r="P413"/>
  <c r="Q414"/>
  <c r="P414"/>
  <c r="Q415"/>
  <c r="P415"/>
  <c r="Q416"/>
  <c r="P416"/>
  <c r="Q417"/>
  <c r="P417"/>
  <c r="Q418"/>
  <c r="P418"/>
  <c r="Q419"/>
  <c r="P419"/>
  <c r="Q420"/>
  <c r="P420"/>
  <c r="Q421"/>
  <c r="P421"/>
  <c r="Q422"/>
  <c r="P422"/>
  <c r="Q423"/>
  <c r="P423"/>
  <c r="Q424"/>
  <c r="P424"/>
  <c r="Q425"/>
  <c r="P425"/>
  <c r="Q426"/>
  <c r="P426"/>
  <c r="Q427"/>
  <c r="P427"/>
  <c r="Q428"/>
  <c r="P428"/>
  <c r="Q429"/>
  <c r="P429"/>
  <c r="Q430"/>
  <c r="P430"/>
  <c r="Q431"/>
  <c r="P431"/>
  <c r="Q432"/>
  <c r="P432"/>
  <c r="Q433"/>
  <c r="P433"/>
  <c r="Q434"/>
  <c r="P434"/>
  <c r="Q435"/>
  <c r="P435"/>
  <c r="Q436"/>
  <c r="P436"/>
  <c r="Q437"/>
  <c r="P437"/>
  <c r="Q438"/>
  <c r="P438"/>
  <c r="Q439"/>
  <c r="P439"/>
  <c r="Q440"/>
  <c r="P440"/>
  <c r="Q441"/>
  <c r="P441"/>
  <c r="Q442"/>
  <c r="P442"/>
  <c r="Q443"/>
  <c r="P443"/>
  <c r="Q444"/>
  <c r="P444"/>
  <c r="Q445"/>
  <c r="P445"/>
  <c r="Q446"/>
  <c r="P446"/>
  <c r="Q447"/>
  <c r="P447"/>
  <c r="Q448"/>
  <c r="P448"/>
  <c r="Q449"/>
  <c r="P449"/>
  <c r="Q450"/>
  <c r="P450"/>
  <c r="Q451"/>
  <c r="P451"/>
  <c r="Q452"/>
  <c r="P452"/>
  <c r="Q453"/>
  <c r="P453"/>
  <c r="Q454"/>
  <c r="P454"/>
  <c r="Q455"/>
  <c r="P455"/>
  <c r="Q456"/>
  <c r="P456"/>
  <c r="Q457"/>
  <c r="P457"/>
  <c r="Q458"/>
  <c r="P458"/>
  <c r="Q459"/>
  <c r="P459"/>
  <c r="Q460"/>
  <c r="P460"/>
  <c r="Q461"/>
  <c r="P461"/>
  <c r="Q462"/>
  <c r="P462"/>
  <c r="Q463"/>
  <c r="P463"/>
  <c r="Q464"/>
  <c r="P464"/>
  <c r="Q465"/>
  <c r="P465"/>
  <c r="Q466"/>
  <c r="P466"/>
  <c r="Q467"/>
  <c r="P467"/>
  <c r="Q468"/>
  <c r="P468"/>
  <c r="Q469"/>
  <c r="P469"/>
  <c r="Q470"/>
  <c r="P470"/>
  <c r="Q471"/>
  <c r="P471"/>
  <c r="Q472"/>
  <c r="P472"/>
  <c r="Q473"/>
  <c r="P473"/>
  <c r="Q474"/>
  <c r="P474"/>
  <c r="Q475"/>
  <c r="P475"/>
  <c r="Q476"/>
  <c r="P476"/>
  <c r="Q477"/>
  <c r="P477"/>
  <c r="Q478"/>
  <c r="P478"/>
  <c r="Q479"/>
  <c r="P479"/>
  <c r="Q480"/>
  <c r="P480"/>
  <c r="Q481"/>
  <c r="P481"/>
  <c r="Q482"/>
  <c r="P482"/>
  <c r="Q483"/>
  <c r="P483"/>
  <c r="Q484"/>
  <c r="P484"/>
  <c r="Q485"/>
  <c r="P485"/>
  <c r="Q486"/>
  <c r="P486"/>
  <c r="Q487"/>
  <c r="P487"/>
  <c r="Q488"/>
  <c r="P488"/>
  <c r="Q489"/>
  <c r="P489"/>
  <c r="Q490"/>
  <c r="P490"/>
  <c r="Q491"/>
  <c r="P491"/>
  <c r="Q492"/>
  <c r="P492"/>
  <c r="Q493"/>
  <c r="P493"/>
  <c r="Q494"/>
  <c r="P494"/>
  <c r="Q495"/>
  <c r="P495"/>
  <c r="Q496"/>
  <c r="P496"/>
  <c r="Q497"/>
  <c r="P497"/>
  <c r="Q498"/>
  <c r="P498"/>
  <c r="Q500"/>
  <c r="P500"/>
  <c r="Q501"/>
  <c r="P501"/>
  <c r="Q502"/>
  <c r="P502"/>
  <c r="Q503"/>
  <c r="P503"/>
  <c r="Q504"/>
  <c r="P504"/>
  <c r="Q505"/>
  <c r="P505"/>
  <c r="Q506"/>
  <c r="P506"/>
  <c r="Q507"/>
  <c r="P507"/>
  <c r="Q508"/>
  <c r="P508"/>
  <c r="Q509"/>
  <c r="P509"/>
  <c r="Q510"/>
  <c r="P510"/>
  <c r="Q511"/>
  <c r="P511"/>
  <c r="Q512"/>
  <c r="P512"/>
  <c r="Q513"/>
  <c r="P513"/>
  <c r="Q514"/>
  <c r="P514"/>
  <c r="Q515"/>
  <c r="P515"/>
  <c r="Q516"/>
  <c r="P516"/>
  <c r="Q517"/>
  <c r="P517"/>
  <c r="Q518"/>
  <c r="P518"/>
  <c r="Q519"/>
  <c r="P519"/>
  <c r="Q520"/>
  <c r="P520"/>
  <c r="Q521"/>
  <c r="P521"/>
  <c r="Q522"/>
  <c r="P522"/>
  <c r="Q523"/>
  <c r="P523"/>
  <c r="Q524"/>
  <c r="P524"/>
  <c r="Q525"/>
  <c r="P525"/>
  <c r="Q526"/>
  <c r="P526"/>
  <c r="Q527"/>
  <c r="P527"/>
  <c r="Q528"/>
  <c r="P528"/>
  <c r="Q529"/>
  <c r="P529"/>
  <c r="Q530"/>
  <c r="P530"/>
  <c r="Q531"/>
  <c r="P531"/>
  <c r="Q532"/>
  <c r="P532"/>
  <c r="Q533"/>
  <c r="P533"/>
  <c r="Q7"/>
  <c r="P7"/>
  <c r="Q8"/>
  <c r="P8"/>
  <c r="Q9"/>
  <c r="P9"/>
  <c r="Q10"/>
  <c r="P10"/>
  <c r="Q11"/>
  <c r="P11"/>
  <c r="Q12"/>
  <c r="P12"/>
  <c r="Q13"/>
  <c r="P13"/>
  <c r="Q14"/>
  <c r="P14"/>
  <c r="Q15"/>
  <c r="P15"/>
  <c r="Q16"/>
  <c r="P16"/>
  <c r="Q17"/>
  <c r="P17"/>
  <c r="Q18"/>
  <c r="P18"/>
  <c r="Q19"/>
  <c r="P19"/>
  <c r="Q20"/>
  <c r="P20"/>
  <c r="Q21"/>
  <c r="P21"/>
  <c r="Q22"/>
  <c r="P22"/>
  <c r="Q23"/>
  <c r="P23"/>
  <c r="Q24"/>
  <c r="P24"/>
  <c r="Q25"/>
  <c r="P25"/>
  <c r="Q26"/>
  <c r="P26"/>
  <c r="Q27"/>
  <c r="P27"/>
  <c r="Q28"/>
  <c r="P28"/>
  <c r="Q29"/>
  <c r="P29"/>
  <c r="Q538"/>
  <c r="P538"/>
  <c r="Q539"/>
  <c r="P539"/>
  <c r="Q540"/>
  <c r="P540"/>
  <c r="Q541"/>
  <c r="P541"/>
  <c r="Q542"/>
  <c r="P542"/>
  <c r="Q543"/>
  <c r="P543"/>
  <c r="Q544"/>
  <c r="P544"/>
  <c r="Q545"/>
  <c r="P545"/>
  <c r="Q546"/>
  <c r="P546"/>
  <c r="Q547"/>
  <c r="P547"/>
  <c r="Q548"/>
  <c r="P548"/>
  <c r="Q549"/>
  <c r="P549"/>
  <c r="Q550"/>
  <c r="P550"/>
  <c r="Q551"/>
  <c r="P551"/>
  <c r="Q552"/>
  <c r="P552"/>
  <c r="Q553"/>
  <c r="P553"/>
  <c r="Q554"/>
  <c r="P554"/>
  <c r="Q555"/>
  <c r="P555"/>
  <c r="Q556"/>
  <c r="P556"/>
  <c r="Q557"/>
  <c r="P557"/>
  <c r="Q558"/>
  <c r="P558"/>
  <c r="Q559"/>
  <c r="P559"/>
  <c r="Q560"/>
  <c r="P560"/>
  <c r="Q561"/>
  <c r="P561"/>
  <c r="Q562"/>
  <c r="P562"/>
  <c r="Q563"/>
  <c r="P563"/>
  <c r="Q564"/>
  <c r="P564"/>
  <c r="Q565"/>
  <c r="P565"/>
  <c r="Q566"/>
  <c r="P566"/>
  <c r="Q567"/>
  <c r="P567"/>
  <c r="Q568"/>
  <c r="P568"/>
  <c r="Q569"/>
  <c r="P569"/>
  <c r="Q570"/>
  <c r="P570"/>
  <c r="Q571"/>
  <c r="P571"/>
  <c r="Q572"/>
  <c r="P572"/>
  <c r="Q573"/>
  <c r="P573"/>
  <c r="Q574"/>
  <c r="P574"/>
  <c r="Q575"/>
  <c r="P575"/>
  <c r="Q576"/>
  <c r="P576"/>
  <c r="Q577"/>
  <c r="P577"/>
  <c r="Q578"/>
  <c r="P578"/>
  <c r="Q579"/>
  <c r="P579"/>
  <c r="Q580"/>
  <c r="P580"/>
  <c r="Q581"/>
  <c r="P581"/>
  <c r="Q582"/>
  <c r="P582"/>
  <c r="Q583"/>
  <c r="P583"/>
  <c r="Q584"/>
  <c r="P584"/>
  <c r="Q585"/>
  <c r="P585"/>
  <c r="Q586"/>
  <c r="P586"/>
  <c r="Q587"/>
  <c r="P587"/>
  <c r="Q588"/>
  <c r="P588"/>
  <c r="Q589"/>
  <c r="P589"/>
  <c r="Q590"/>
  <c r="P590"/>
  <c r="Q591"/>
  <c r="P591"/>
  <c r="Q592"/>
  <c r="P592"/>
  <c r="Q593"/>
  <c r="P593"/>
  <c r="Q594"/>
  <c r="P594"/>
  <c r="Q595"/>
  <c r="P595"/>
  <c r="Q596"/>
  <c r="P596"/>
  <c r="Q597"/>
  <c r="P597"/>
  <c r="Q598"/>
  <c r="P598"/>
  <c r="Q599"/>
  <c r="P599"/>
  <c r="Q600"/>
  <c r="P600"/>
  <c r="Q601"/>
  <c r="P601"/>
  <c r="Q602"/>
  <c r="P602"/>
  <c r="Q603"/>
  <c r="P603"/>
  <c r="Q604"/>
  <c r="P604"/>
  <c r="Q605"/>
  <c r="P605"/>
  <c r="Q606"/>
  <c r="P606"/>
  <c r="Q607"/>
  <c r="P607"/>
  <c r="Q608"/>
  <c r="P608"/>
  <c r="Q609"/>
  <c r="P609"/>
  <c r="Q610"/>
  <c r="P610"/>
  <c r="Q611"/>
  <c r="P611"/>
  <c r="Q612"/>
  <c r="P612"/>
  <c r="Q613"/>
  <c r="P613"/>
  <c r="Q614"/>
  <c r="P614"/>
  <c r="Q615"/>
  <c r="P615"/>
  <c r="Q616"/>
  <c r="P616"/>
  <c r="Q617"/>
  <c r="P617"/>
  <c r="Q618"/>
  <c r="P618"/>
  <c r="Q619"/>
  <c r="P619"/>
  <c r="Q620"/>
  <c r="P620"/>
  <c r="Q621"/>
  <c r="P621"/>
  <c r="Q622"/>
  <c r="P622"/>
  <c r="Q623"/>
  <c r="P623"/>
  <c r="Q624"/>
  <c r="P624"/>
  <c r="Q625"/>
  <c r="P625"/>
  <c r="Q626"/>
  <c r="P626"/>
  <c r="Q627"/>
  <c r="P627"/>
  <c r="Q628"/>
  <c r="P628"/>
  <c r="Q629"/>
  <c r="P629"/>
  <c r="Q630"/>
  <c r="P630"/>
  <c r="Q631"/>
  <c r="P631"/>
  <c r="Q632"/>
  <c r="P632"/>
  <c r="Q633"/>
  <c r="P633"/>
  <c r="Q634"/>
  <c r="P634"/>
  <c r="Q635"/>
  <c r="P635"/>
  <c r="Q636"/>
  <c r="P636"/>
  <c r="Q637"/>
  <c r="P637"/>
  <c r="Q638"/>
  <c r="P638"/>
  <c r="Q639"/>
  <c r="P639"/>
  <c r="Q640"/>
  <c r="P640"/>
  <c r="Q641"/>
  <c r="P641"/>
  <c r="Q642"/>
  <c r="P642"/>
  <c r="Q643"/>
  <c r="P643"/>
  <c r="Q644"/>
  <c r="P644"/>
  <c r="Q645"/>
  <c r="P645"/>
  <c r="Q646"/>
  <c r="P646"/>
  <c r="Q647"/>
  <c r="P647"/>
  <c r="Q648"/>
  <c r="P648"/>
  <c r="Q649"/>
  <c r="P649"/>
  <c r="Q650"/>
  <c r="P650"/>
  <c r="Q651"/>
  <c r="P651"/>
  <c r="Q652"/>
  <c r="P652"/>
  <c r="Q653"/>
  <c r="P653"/>
  <c r="Q654"/>
  <c r="P654"/>
  <c r="Q655"/>
  <c r="P655"/>
  <c r="Q656"/>
  <c r="P656"/>
  <c r="Q657"/>
  <c r="P657"/>
  <c r="Q658"/>
  <c r="P658"/>
  <c r="Q659"/>
  <c r="P659"/>
  <c r="Q660"/>
  <c r="P660"/>
  <c r="Q661"/>
  <c r="P661"/>
  <c r="Q662"/>
  <c r="P662"/>
  <c r="Q663"/>
  <c r="P663"/>
  <c r="Q664"/>
  <c r="P664"/>
  <c r="Q665"/>
  <c r="P665"/>
  <c r="Q666"/>
  <c r="P666"/>
  <c r="Q667"/>
  <c r="P667"/>
  <c r="Q668"/>
  <c r="P668"/>
  <c r="Q669"/>
  <c r="P669"/>
  <c r="Q670"/>
  <c r="P670"/>
  <c r="Q671"/>
  <c r="P671"/>
  <c r="Q672"/>
  <c r="P672"/>
  <c r="Q673"/>
  <c r="P673"/>
  <c r="Q674"/>
  <c r="P674"/>
  <c r="Q675"/>
  <c r="P675"/>
  <c r="Q676"/>
  <c r="P676"/>
  <c r="Q677"/>
  <c r="P677"/>
  <c r="Q678"/>
  <c r="P678"/>
  <c r="Q679"/>
  <c r="P679"/>
  <c r="Q680"/>
  <c r="P680"/>
  <c r="Q681"/>
  <c r="P681"/>
  <c r="Q682"/>
  <c r="P682"/>
  <c r="Q683"/>
  <c r="P683"/>
  <c r="Q684"/>
  <c r="P684"/>
  <c r="Q685"/>
  <c r="P685"/>
  <c r="Q686"/>
  <c r="P686"/>
  <c r="Q687"/>
  <c r="P687"/>
  <c r="Q688"/>
  <c r="P688"/>
  <c r="Q689"/>
  <c r="P689"/>
  <c r="Q690"/>
  <c r="P690"/>
  <c r="Q691"/>
  <c r="P691"/>
  <c r="Q692"/>
  <c r="P692"/>
  <c r="Q693"/>
  <c r="P693"/>
  <c r="Q694"/>
  <c r="P694"/>
  <c r="Q695"/>
  <c r="P695"/>
  <c r="Q696"/>
  <c r="P696"/>
  <c r="Q697"/>
  <c r="P697"/>
  <c r="Q698"/>
  <c r="P698"/>
  <c r="Q699"/>
  <c r="P699"/>
  <c r="Q700"/>
  <c r="P700"/>
  <c r="Q701"/>
  <c r="P701"/>
  <c r="Q702"/>
  <c r="P702"/>
  <c r="Q703"/>
  <c r="P703"/>
  <c r="Q704"/>
  <c r="P704"/>
  <c r="Q705"/>
  <c r="P705"/>
  <c r="Q706"/>
  <c r="P706"/>
  <c r="Q707"/>
  <c r="P707"/>
  <c r="Q708"/>
  <c r="P708"/>
  <c r="Q709"/>
  <c r="P709"/>
  <c r="Q710"/>
  <c r="P710"/>
  <c r="Q711"/>
  <c r="P711"/>
  <c r="Q712"/>
  <c r="P712"/>
  <c r="Q713"/>
  <c r="P713"/>
  <c r="Q714"/>
  <c r="P714"/>
  <c r="Q715"/>
  <c r="P715"/>
  <c r="Q716"/>
  <c r="P716"/>
  <c r="Q717"/>
  <c r="P717"/>
  <c r="Q718"/>
  <c r="P718"/>
  <c r="Q719"/>
  <c r="P719"/>
  <c r="Q720"/>
  <c r="P720"/>
  <c r="Q721"/>
  <c r="P721"/>
  <c r="Q722"/>
  <c r="P722"/>
  <c r="Q723"/>
  <c r="P723"/>
  <c r="Q724"/>
  <c r="P724"/>
  <c r="Q725"/>
  <c r="P725"/>
  <c r="Q726"/>
  <c r="P726"/>
  <c r="Q727"/>
  <c r="P727"/>
  <c r="Q728"/>
  <c r="P728"/>
  <c r="Q729"/>
  <c r="P729"/>
  <c r="Q730"/>
  <c r="P730"/>
  <c r="Q731"/>
  <c r="P731"/>
  <c r="Q732"/>
  <c r="P732"/>
  <c r="Q733"/>
  <c r="P733"/>
  <c r="Q734"/>
  <c r="P734"/>
  <c r="Q735"/>
  <c r="P735"/>
  <c r="Q736"/>
  <c r="P736"/>
  <c r="Q737"/>
  <c r="P737"/>
  <c r="Q738"/>
  <c r="P738"/>
  <c r="Q739"/>
  <c r="P739"/>
  <c r="Q740"/>
  <c r="P740"/>
  <c r="Q741"/>
  <c r="P741"/>
  <c r="Q742"/>
  <c r="P742"/>
  <c r="Q743"/>
  <c r="P743"/>
  <c r="Q744"/>
  <c r="P744"/>
  <c r="Q1149"/>
  <c r="P1149"/>
  <c r="Q1150"/>
  <c r="P1150"/>
  <c r="Q1151"/>
  <c r="P1151"/>
  <c r="Q1152"/>
  <c r="P1152"/>
  <c r="Q1153"/>
  <c r="P1153"/>
  <c r="Q1154"/>
  <c r="P1154"/>
  <c r="Q1156"/>
  <c r="P1156"/>
  <c r="Q1157"/>
  <c r="P1157"/>
  <c r="Q1158"/>
  <c r="P1158"/>
  <c r="Q1159"/>
  <c r="P1159"/>
  <c r="Q1161"/>
  <c r="P1161"/>
  <c r="Q1162"/>
  <c r="P1162"/>
  <c r="Q1163"/>
  <c r="P1163"/>
  <c r="Q1164"/>
  <c r="P1164"/>
  <c r="Q1165"/>
  <c r="P1165"/>
  <c r="Q1166"/>
  <c r="P1166"/>
  <c r="Q1167"/>
  <c r="P1167"/>
  <c r="Q1168"/>
  <c r="P1168"/>
  <c r="Q1169"/>
  <c r="P1169"/>
  <c r="Q1170"/>
  <c r="P1170"/>
  <c r="Q1171"/>
  <c r="P1171"/>
  <c r="Q1172"/>
  <c r="P1172"/>
  <c r="Q1173"/>
  <c r="P1173"/>
  <c r="Q1174"/>
  <c r="P1174"/>
  <c r="Q1175"/>
  <c r="P1175"/>
  <c r="Q1176"/>
  <c r="P1176"/>
  <c r="Q1177"/>
  <c r="P1177"/>
  <c r="Q1178"/>
  <c r="P1178"/>
  <c r="Q1180"/>
  <c r="P1180"/>
  <c r="Q1181"/>
  <c r="P1181"/>
  <c r="Q1182"/>
  <c r="P1182"/>
  <c r="Q1183"/>
  <c r="P1183"/>
  <c r="Q1184"/>
  <c r="P1184"/>
  <c r="Q1185"/>
  <c r="P1185"/>
  <c r="Q1186"/>
  <c r="P1186"/>
  <c r="Q1187"/>
  <c r="P1187"/>
  <c r="Q1188"/>
  <c r="P1188"/>
  <c r="Q1189"/>
  <c r="P1189"/>
  <c r="Q1190"/>
  <c r="P1190"/>
  <c r="Q1191"/>
  <c r="P1191"/>
  <c r="Q1192"/>
  <c r="P1192"/>
  <c r="Q1193"/>
  <c r="P1193"/>
  <c r="Q1194"/>
  <c r="P1194"/>
  <c r="Q1195"/>
  <c r="P1195"/>
  <c r="Q1196"/>
  <c r="P1196"/>
  <c r="Q1197"/>
  <c r="P1197"/>
  <c r="Q1198"/>
  <c r="P1198"/>
  <c r="Q1199"/>
  <c r="P1199"/>
  <c r="Q1200"/>
  <c r="P1200"/>
  <c r="Q882"/>
  <c r="P882"/>
  <c r="Q883"/>
  <c r="P883"/>
  <c r="Q884"/>
  <c r="P884"/>
  <c r="Q885"/>
  <c r="P885"/>
  <c r="Q886"/>
  <c r="P886"/>
  <c r="Q887"/>
  <c r="P887"/>
  <c r="Q888"/>
  <c r="P888"/>
  <c r="Q889"/>
  <c r="P889"/>
  <c r="Q890"/>
  <c r="P890"/>
  <c r="Q891"/>
  <c r="P891"/>
  <c r="Q892"/>
  <c r="P892"/>
  <c r="Q893"/>
  <c r="P893"/>
  <c r="Q894"/>
  <c r="P894"/>
  <c r="Q895"/>
  <c r="P895"/>
  <c r="Q896"/>
  <c r="P896"/>
  <c r="Q897"/>
  <c r="P897"/>
  <c r="Q898"/>
  <c r="P898"/>
  <c r="Q899"/>
  <c r="P899"/>
  <c r="Q900"/>
  <c r="P900"/>
  <c r="Q901"/>
  <c r="P901"/>
  <c r="Q902"/>
  <c r="P902"/>
  <c r="Q903"/>
  <c r="P903"/>
  <c r="Q904"/>
  <c r="P904"/>
  <c r="Q905"/>
  <c r="P905"/>
  <c r="Q906"/>
  <c r="P906"/>
  <c r="Q907"/>
  <c r="P907"/>
  <c r="Q908"/>
  <c r="P908"/>
  <c r="Q909"/>
  <c r="P909"/>
  <c r="Q910"/>
  <c r="P910"/>
  <c r="Q911"/>
  <c r="P911"/>
  <c r="Q912"/>
  <c r="P912"/>
  <c r="Q913"/>
  <c r="P913"/>
  <c r="Q914"/>
  <c r="P914"/>
  <c r="Q915"/>
  <c r="P915"/>
  <c r="Q916"/>
  <c r="P916"/>
  <c r="Q917"/>
  <c r="P917"/>
  <c r="Q918"/>
  <c r="P918"/>
  <c r="Q919"/>
  <c r="P919"/>
  <c r="Q920"/>
  <c r="P920"/>
  <c r="Q921"/>
  <c r="P921"/>
  <c r="Q922"/>
  <c r="P922"/>
  <c r="Q923"/>
  <c r="P923"/>
  <c r="Q924"/>
  <c r="P924"/>
  <c r="Q925"/>
  <c r="P925"/>
  <c r="Q926"/>
  <c r="P926"/>
  <c r="Q927"/>
  <c r="P927"/>
  <c r="Q928"/>
  <c r="P928"/>
  <c r="Q929"/>
  <c r="P929"/>
  <c r="Q930"/>
  <c r="P930"/>
  <c r="Q931"/>
  <c r="P931"/>
  <c r="Q932"/>
  <c r="P932"/>
  <c r="Q933"/>
  <c r="P933"/>
  <c r="Q934"/>
  <c r="P934"/>
  <c r="Q935"/>
  <c r="P935"/>
  <c r="Q936"/>
  <c r="P936"/>
  <c r="Q937"/>
  <c r="P937"/>
  <c r="Q938"/>
  <c r="P938"/>
  <c r="Q939"/>
  <c r="P939"/>
  <c r="Q940"/>
  <c r="P940"/>
  <c r="Q941"/>
  <c r="P941"/>
  <c r="Q942"/>
  <c r="P942"/>
  <c r="Q943"/>
  <c r="P943"/>
  <c r="Q944"/>
  <c r="P944"/>
  <c r="Q945"/>
  <c r="P945"/>
  <c r="Q946"/>
  <c r="P946"/>
  <c r="Q947"/>
  <c r="P947"/>
  <c r="Q948"/>
  <c r="P948"/>
  <c r="Q949"/>
  <c r="P949"/>
  <c r="Q950"/>
  <c r="P950"/>
  <c r="Q951"/>
  <c r="P951"/>
  <c r="Q952"/>
  <c r="P952"/>
  <c r="Q953"/>
  <c r="P953"/>
  <c r="Q954"/>
  <c r="P954"/>
  <c r="Q955"/>
  <c r="P955"/>
  <c r="Q956"/>
  <c r="P956"/>
  <c r="Q957"/>
  <c r="P957"/>
  <c r="Q958"/>
  <c r="P958"/>
  <c r="Q959"/>
  <c r="P959"/>
  <c r="Q960"/>
  <c r="P960"/>
  <c r="Q961"/>
  <c r="P961"/>
  <c r="Q962"/>
  <c r="P962"/>
  <c r="Q963"/>
  <c r="P963"/>
  <c r="Q964"/>
  <c r="P964"/>
  <c r="Q965"/>
  <c r="P965"/>
  <c r="Q966"/>
  <c r="P966"/>
  <c r="Q967"/>
  <c r="P967"/>
  <c r="Q968"/>
  <c r="P968"/>
  <c r="Q969"/>
  <c r="P969"/>
  <c r="Q970"/>
  <c r="P970"/>
  <c r="Q971"/>
  <c r="P971"/>
  <c r="Q972"/>
  <c r="P972"/>
  <c r="Q973"/>
  <c r="P973"/>
  <c r="Q974"/>
  <c r="P974"/>
  <c r="Q975"/>
  <c r="P975"/>
  <c r="Q976"/>
  <c r="P976"/>
  <c r="Q977"/>
  <c r="P977"/>
  <c r="Q978"/>
  <c r="P978"/>
  <c r="Q979"/>
  <c r="P979"/>
  <c r="Q980"/>
  <c r="P980"/>
  <c r="Q981"/>
  <c r="P981"/>
  <c r="Q982"/>
  <c r="P982"/>
  <c r="Q983"/>
  <c r="P983"/>
  <c r="Q984"/>
  <c r="P984"/>
  <c r="Q985"/>
  <c r="P985"/>
  <c r="Q986"/>
  <c r="P986"/>
  <c r="Q987"/>
  <c r="P987"/>
  <c r="Q988"/>
  <c r="P988"/>
  <c r="Q989"/>
  <c r="P989"/>
  <c r="Q990"/>
  <c r="P990"/>
  <c r="Q991"/>
  <c r="P991"/>
  <c r="Q992"/>
  <c r="P992"/>
  <c r="Q993"/>
  <c r="P993"/>
  <c r="Q994"/>
  <c r="P994"/>
  <c r="Q995"/>
  <c r="P995"/>
  <c r="Q996"/>
  <c r="P996"/>
  <c r="Q997"/>
  <c r="P997"/>
  <c r="Q998"/>
  <c r="P998"/>
  <c r="Q999"/>
  <c r="P999"/>
  <c r="Q1000"/>
  <c r="P1000"/>
  <c r="Q1001"/>
  <c r="P1001"/>
  <c r="Q1002"/>
  <c r="P1002"/>
  <c r="Q1003"/>
  <c r="P1003"/>
  <c r="Q1004"/>
  <c r="P1004"/>
  <c r="Q1005"/>
  <c r="P1005"/>
  <c r="Q1006"/>
  <c r="P1006"/>
  <c r="Q1007"/>
  <c r="P1007"/>
  <c r="Q1008"/>
  <c r="P1008"/>
  <c r="Q1009"/>
  <c r="P1009"/>
  <c r="Q1010"/>
  <c r="P1010"/>
  <c r="Q1011"/>
  <c r="P1011"/>
  <c r="Q1012"/>
  <c r="P1012"/>
  <c r="Q1013"/>
  <c r="P1013"/>
  <c r="Q1014"/>
  <c r="P1014"/>
  <c r="Q1015"/>
  <c r="P1015"/>
  <c r="Q1016"/>
  <c r="P1016"/>
  <c r="Q1017"/>
  <c r="P1017"/>
  <c r="Q1018"/>
  <c r="P1018"/>
  <c r="Q1019"/>
  <c r="P1019"/>
  <c r="Q1020"/>
  <c r="P1020"/>
  <c r="Q1021"/>
  <c r="P1021"/>
  <c r="Q1022"/>
  <c r="P1022"/>
  <c r="Q1023"/>
  <c r="P1023"/>
  <c r="Q1024"/>
  <c r="P1024"/>
  <c r="Q1025"/>
  <c r="P1025"/>
  <c r="Q1026"/>
  <c r="P1026"/>
  <c r="Q1027"/>
  <c r="P1027"/>
  <c r="Q1028"/>
  <c r="P1028"/>
  <c r="Q1029"/>
  <c r="P1029"/>
  <c r="Q1030"/>
  <c r="P1030"/>
  <c r="Q1031"/>
  <c r="P1031"/>
  <c r="Q1032"/>
  <c r="P1032"/>
  <c r="Q1033"/>
  <c r="P1033"/>
  <c r="Q1034"/>
  <c r="P1034"/>
  <c r="Q1035"/>
  <c r="P1035"/>
  <c r="Q1036"/>
  <c r="P1036"/>
  <c r="Q1037"/>
  <c r="P1037"/>
  <c r="Q1038"/>
  <c r="P1038"/>
  <c r="Q1039"/>
  <c r="P1039"/>
  <c r="Q1040"/>
  <c r="P1040"/>
  <c r="Q1041"/>
  <c r="P1041"/>
  <c r="Q1042"/>
  <c r="P1042"/>
  <c r="Q1043"/>
  <c r="P1043"/>
  <c r="Q1044"/>
  <c r="P1044"/>
  <c r="Q1045"/>
  <c r="P1045"/>
  <c r="Q1046"/>
  <c r="P1046"/>
  <c r="Q1047"/>
  <c r="P1047"/>
  <c r="Q1048"/>
  <c r="P1048"/>
  <c r="Q1049"/>
  <c r="P1049"/>
  <c r="Q1050"/>
  <c r="P1050"/>
  <c r="Q1051"/>
  <c r="P1051"/>
  <c r="Q1052"/>
  <c r="P1052"/>
  <c r="Q1053"/>
  <c r="P1053"/>
  <c r="Q1054"/>
  <c r="P1054"/>
  <c r="Q1055"/>
  <c r="P1055"/>
  <c r="Q1056"/>
  <c r="P1056"/>
  <c r="Q1057"/>
  <c r="P1057"/>
  <c r="Q1058"/>
  <c r="P1058"/>
  <c r="Q1059"/>
  <c r="P1059"/>
  <c r="Q1060"/>
  <c r="P1060"/>
  <c r="Q1061"/>
  <c r="P1061"/>
  <c r="Q1062"/>
  <c r="P1062"/>
  <c r="Q1063"/>
  <c r="P1063"/>
  <c r="Q1064"/>
  <c r="P1064"/>
  <c r="Q1065"/>
  <c r="P1065"/>
  <c r="Q1066"/>
  <c r="P1066"/>
  <c r="Q1067"/>
  <c r="P1067"/>
  <c r="Q1068"/>
  <c r="P1068"/>
  <c r="Q1069"/>
  <c r="P1069"/>
  <c r="Q1070"/>
  <c r="P1070"/>
  <c r="Q1071"/>
  <c r="P1071"/>
  <c r="Q1072"/>
  <c r="P1072"/>
  <c r="Q1073"/>
  <c r="P1073"/>
  <c r="Q1074"/>
  <c r="P1074"/>
  <c r="Q1075"/>
  <c r="P1075"/>
  <c r="Q1076"/>
  <c r="P1076"/>
  <c r="Q1077"/>
  <c r="P1077"/>
  <c r="Q1078"/>
  <c r="P1078"/>
  <c r="Q1079"/>
  <c r="P1079"/>
  <c r="Q1080"/>
  <c r="P1080"/>
  <c r="Q1081"/>
  <c r="P1081"/>
  <c r="Q1082"/>
  <c r="P1082"/>
  <c r="Q1083"/>
  <c r="P1083"/>
  <c r="Q1084"/>
  <c r="P1084"/>
  <c r="Q1085"/>
  <c r="P1085"/>
  <c r="Q1086"/>
  <c r="P1086"/>
  <c r="Q1087"/>
  <c r="P1087"/>
  <c r="Q1088"/>
  <c r="P1088"/>
  <c r="Q1089"/>
  <c r="P1089"/>
  <c r="Q1090"/>
  <c r="P1090"/>
  <c r="Q1091"/>
  <c r="P1091"/>
  <c r="Q1092"/>
  <c r="P1092"/>
  <c r="Q1093"/>
  <c r="P1093"/>
  <c r="Q1094"/>
  <c r="P1094"/>
  <c r="Q1095"/>
  <c r="P1095"/>
  <c r="Q1096"/>
  <c r="P1096"/>
  <c r="Q1097"/>
  <c r="P1097"/>
  <c r="Q1098"/>
  <c r="P1098"/>
  <c r="Q1099"/>
  <c r="P1099"/>
  <c r="Q1100"/>
  <c r="P1100"/>
  <c r="Q1101"/>
  <c r="P1101"/>
  <c r="Q1102"/>
  <c r="P1102"/>
  <c r="Q1103"/>
  <c r="P1103"/>
  <c r="Q1104"/>
  <c r="P1104"/>
  <c r="Q1105"/>
  <c r="P1105"/>
  <c r="Q1106"/>
  <c r="P1106"/>
  <c r="Q1107"/>
  <c r="P1107"/>
  <c r="Q1108"/>
  <c r="P1108"/>
  <c r="Q1109"/>
  <c r="P1109"/>
  <c r="Q1110"/>
  <c r="P1110"/>
  <c r="Q1111"/>
  <c r="P1111"/>
  <c r="Q1112"/>
  <c r="P1112"/>
  <c r="Q1113"/>
  <c r="P1113"/>
  <c r="Q1114"/>
  <c r="P1114"/>
  <c r="Q1115"/>
  <c r="P1115"/>
  <c r="Q1116"/>
  <c r="P1116"/>
  <c r="Q1117"/>
  <c r="P1117"/>
  <c r="Q1118"/>
  <c r="P1118"/>
  <c r="Q1119"/>
  <c r="P1119"/>
  <c r="Q1120"/>
  <c r="P1120"/>
  <c r="Q1121"/>
  <c r="P1121"/>
  <c r="Q1122"/>
  <c r="P1122"/>
  <c r="Q1123"/>
  <c r="P1123"/>
  <c r="Q1124"/>
  <c r="P1124"/>
  <c r="Q1125"/>
  <c r="P1125"/>
  <c r="Q1126"/>
  <c r="P1126"/>
  <c r="Q1127"/>
  <c r="P1127"/>
  <c r="Q1128"/>
  <c r="P1128"/>
  <c r="Q1129"/>
  <c r="P1129"/>
  <c r="Q1130"/>
  <c r="P1130"/>
  <c r="Q1131"/>
  <c r="P1131"/>
  <c r="Q1132"/>
  <c r="P1132"/>
  <c r="Q1133"/>
  <c r="P1133"/>
  <c r="Q1134"/>
  <c r="P1134"/>
  <c r="Q1135"/>
  <c r="P1135"/>
  <c r="Q1136"/>
  <c r="P1136"/>
  <c r="Q1137"/>
  <c r="P1137"/>
  <c r="Q1138"/>
  <c r="P1138"/>
  <c r="Q1139"/>
  <c r="P1139"/>
  <c r="Q1140"/>
  <c r="P1140"/>
  <c r="Q1141"/>
  <c r="P1141"/>
  <c r="Q1142"/>
  <c r="P1142"/>
  <c r="Q1143"/>
  <c r="P1143"/>
  <c r="Q1145"/>
  <c r="P1145"/>
  <c r="Q750"/>
  <c r="P750"/>
  <c r="Q751"/>
  <c r="P751"/>
  <c r="Q752"/>
  <c r="P752"/>
  <c r="Q753"/>
  <c r="P753"/>
  <c r="Q754"/>
  <c r="P754"/>
  <c r="Q755"/>
  <c r="P755"/>
  <c r="Q756"/>
  <c r="P756"/>
  <c r="Q757"/>
  <c r="P757"/>
  <c r="Q758"/>
  <c r="P758"/>
  <c r="Q759"/>
  <c r="P759"/>
  <c r="Q760"/>
  <c r="P760"/>
  <c r="Q761"/>
  <c r="P761"/>
  <c r="Q762"/>
  <c r="P762"/>
  <c r="Q763"/>
  <c r="P763"/>
  <c r="Q764"/>
  <c r="P764"/>
  <c r="Q765"/>
  <c r="P765"/>
  <c r="Q766"/>
  <c r="P766"/>
  <c r="Q767"/>
  <c r="P767"/>
  <c r="Q768"/>
  <c r="P768"/>
  <c r="Q769"/>
  <c r="P769"/>
  <c r="Q770"/>
  <c r="P770"/>
  <c r="Q771"/>
  <c r="P771"/>
  <c r="Q772"/>
  <c r="P772"/>
  <c r="Q773"/>
  <c r="P773"/>
  <c r="Q774"/>
  <c r="P774"/>
  <c r="Q775"/>
  <c r="P775"/>
  <c r="Q776"/>
  <c r="P776"/>
  <c r="Q777"/>
  <c r="P777"/>
  <c r="Q778"/>
  <c r="P778"/>
  <c r="Q779"/>
  <c r="P779"/>
  <c r="Q780"/>
  <c r="P780"/>
  <c r="Q781"/>
  <c r="P781"/>
  <c r="Q782"/>
  <c r="P782"/>
  <c r="Q783"/>
  <c r="P783"/>
  <c r="Q784"/>
  <c r="P784"/>
  <c r="Q785"/>
  <c r="P785"/>
  <c r="Q786"/>
  <c r="P786"/>
  <c r="Q787"/>
  <c r="P787"/>
  <c r="Q788"/>
  <c r="P788"/>
  <c r="Q789"/>
  <c r="P789"/>
  <c r="Q790"/>
  <c r="P790"/>
  <c r="Q791"/>
  <c r="P791"/>
  <c r="Q792"/>
  <c r="P792"/>
  <c r="Q793"/>
  <c r="P793"/>
  <c r="Q794"/>
  <c r="P794"/>
  <c r="Q795"/>
  <c r="P795"/>
  <c r="Q796"/>
  <c r="P796"/>
  <c r="Q797"/>
  <c r="P797"/>
  <c r="Q798"/>
  <c r="P798"/>
  <c r="Q799"/>
  <c r="P799"/>
  <c r="Q800"/>
  <c r="P800"/>
  <c r="Q801"/>
  <c r="P801"/>
  <c r="Q802"/>
  <c r="P802"/>
  <c r="Q803"/>
  <c r="P803"/>
  <c r="Q804"/>
  <c r="P804"/>
  <c r="Q805"/>
  <c r="P805"/>
  <c r="Q806"/>
  <c r="P806"/>
  <c r="Q807"/>
  <c r="P807"/>
  <c r="Q808"/>
  <c r="P808"/>
  <c r="Q809"/>
  <c r="P809"/>
  <c r="Q810"/>
  <c r="P810"/>
  <c r="Q811"/>
  <c r="P811"/>
  <c r="Q812"/>
  <c r="P812"/>
  <c r="Q813"/>
  <c r="P813"/>
  <c r="Q814"/>
  <c r="P814"/>
  <c r="Q815"/>
  <c r="P815"/>
  <c r="Q816"/>
  <c r="P816"/>
  <c r="Q817"/>
  <c r="P817"/>
  <c r="Q818"/>
  <c r="P818"/>
  <c r="Q819"/>
  <c r="P819"/>
  <c r="Q820"/>
  <c r="P820"/>
  <c r="Q821"/>
  <c r="P821"/>
  <c r="Q822"/>
  <c r="P822"/>
  <c r="Q823"/>
  <c r="P823"/>
  <c r="Q824"/>
  <c r="P824"/>
  <c r="Q825"/>
  <c r="P825"/>
  <c r="Q826"/>
  <c r="P826"/>
  <c r="Q827"/>
  <c r="P827"/>
  <c r="Q828"/>
  <c r="P828"/>
  <c r="Q829"/>
  <c r="P829"/>
  <c r="Q830"/>
  <c r="P830"/>
  <c r="Q831"/>
  <c r="P831"/>
  <c r="Q832"/>
  <c r="P832"/>
  <c r="Q833"/>
  <c r="P833"/>
  <c r="Q834"/>
  <c r="P834"/>
  <c r="Q835"/>
  <c r="P835"/>
  <c r="Q836"/>
  <c r="P836"/>
  <c r="Q837"/>
  <c r="P837"/>
  <c r="Q838"/>
  <c r="P838"/>
  <c r="Q839"/>
  <c r="P839"/>
  <c r="Q840"/>
  <c r="P840"/>
  <c r="Q841"/>
  <c r="P841"/>
  <c r="Q842"/>
  <c r="P842"/>
  <c r="Q843"/>
  <c r="P843"/>
  <c r="Q844"/>
  <c r="P844"/>
  <c r="Q845"/>
  <c r="P845"/>
  <c r="Q846"/>
  <c r="P846"/>
  <c r="Q847"/>
  <c r="P847"/>
  <c r="Q848"/>
  <c r="P848"/>
  <c r="Q849"/>
  <c r="P849"/>
  <c r="Q850"/>
  <c r="P850"/>
  <c r="Q851"/>
  <c r="P851"/>
  <c r="Q852"/>
  <c r="P852"/>
  <c r="Q853"/>
  <c r="P853"/>
  <c r="Q854"/>
  <c r="P854"/>
  <c r="Q855"/>
  <c r="P855"/>
  <c r="Q856"/>
  <c r="P856"/>
  <c r="Q857"/>
  <c r="P857"/>
  <c r="Q858"/>
  <c r="P858"/>
  <c r="Q859"/>
  <c r="P859"/>
  <c r="Q860"/>
  <c r="P860"/>
  <c r="Q861"/>
  <c r="P861"/>
  <c r="Q862"/>
  <c r="P862"/>
  <c r="Q863"/>
  <c r="P863"/>
  <c r="Q864"/>
  <c r="P864"/>
  <c r="Q865"/>
  <c r="P865"/>
  <c r="Q866"/>
  <c r="P866"/>
  <c r="Q867"/>
  <c r="P867"/>
  <c r="Q868"/>
  <c r="P868"/>
  <c r="Q869"/>
  <c r="P869"/>
  <c r="Q870"/>
  <c r="P870"/>
  <c r="Q871"/>
  <c r="P871"/>
  <c r="Q872"/>
  <c r="P872"/>
  <c r="Q873"/>
  <c r="P873"/>
  <c r="Q874"/>
  <c r="P874"/>
  <c r="Q875"/>
  <c r="P875"/>
  <c r="Q93"/>
  <c r="P93"/>
  <c r="Q94"/>
  <c r="P94"/>
  <c r="Q95"/>
  <c r="P95"/>
  <c r="Q96"/>
  <c r="P96"/>
  <c r="Q97"/>
  <c r="P97"/>
  <c r="Q98"/>
  <c r="P98"/>
  <c r="Q99"/>
  <c r="P99"/>
  <c r="Q100"/>
  <c r="P100"/>
  <c r="Q101"/>
  <c r="P101"/>
  <c r="Q102"/>
  <c r="P102"/>
  <c r="Q103"/>
  <c r="P103"/>
  <c r="Q104"/>
  <c r="P104"/>
  <c r="Q105"/>
  <c r="P105"/>
  <c r="Q106"/>
  <c r="P106"/>
  <c r="Q107"/>
  <c r="P107"/>
  <c r="Q108"/>
  <c r="P108"/>
  <c r="Q109"/>
  <c r="P109"/>
  <c r="Q110"/>
  <c r="P110"/>
  <c r="Q111"/>
  <c r="P111"/>
  <c r="Q112"/>
  <c r="P112"/>
  <c r="Q113"/>
  <c r="P113"/>
  <c r="Q114"/>
  <c r="P114"/>
  <c r="Q115"/>
  <c r="P115"/>
  <c r="Q116"/>
  <c r="P116"/>
  <c r="Q117"/>
  <c r="P117"/>
  <c r="Q118"/>
  <c r="P118"/>
  <c r="Q119"/>
  <c r="P119"/>
  <c r="Q120"/>
  <c r="P120"/>
  <c r="Q121"/>
  <c r="P121"/>
  <c r="Q122"/>
  <c r="P122"/>
  <c r="Q123"/>
  <c r="P123"/>
  <c r="Q124"/>
  <c r="P124"/>
  <c r="Q125"/>
  <c r="P125"/>
  <c r="Q126"/>
  <c r="P126"/>
  <c r="Q127"/>
  <c r="P127"/>
  <c r="Q128"/>
  <c r="P128"/>
  <c r="Q129"/>
  <c r="P129"/>
  <c r="Q130"/>
  <c r="P130"/>
  <c r="Q131"/>
  <c r="P131"/>
  <c r="Q132"/>
  <c r="P132"/>
  <c r="Q133"/>
  <c r="P133"/>
  <c r="Q134"/>
  <c r="P134"/>
  <c r="Q135"/>
  <c r="P135"/>
  <c r="Q136"/>
  <c r="P136"/>
  <c r="Q137"/>
  <c r="P137"/>
  <c r="Q138"/>
  <c r="P138"/>
  <c r="Q139"/>
  <c r="P139"/>
  <c r="Q140"/>
  <c r="P140"/>
  <c r="Q141"/>
  <c r="P141"/>
  <c r="Q142"/>
  <c r="P142"/>
  <c r="Q143"/>
  <c r="P143"/>
  <c r="Q144"/>
  <c r="P144"/>
  <c r="Q145"/>
  <c r="P145"/>
  <c r="Q146"/>
  <c r="P146"/>
  <c r="Q147"/>
  <c r="P147"/>
  <c r="Q148"/>
  <c r="P148"/>
  <c r="Q149"/>
  <c r="P149"/>
  <c r="Q150"/>
  <c r="P150"/>
  <c r="Q151"/>
  <c r="P151"/>
  <c r="Q152"/>
  <c r="P152"/>
  <c r="Q153"/>
  <c r="P153"/>
  <c r="Q154"/>
  <c r="P154"/>
  <c r="Q155"/>
  <c r="P155"/>
  <c r="Q156"/>
  <c r="P156"/>
  <c r="Q157"/>
  <c r="P157"/>
  <c r="Q158"/>
  <c r="P158"/>
  <c r="Q159"/>
  <c r="P159"/>
  <c r="Q160"/>
  <c r="P160"/>
  <c r="Q161"/>
  <c r="P161"/>
  <c r="Q162"/>
  <c r="P162"/>
  <c r="Q163"/>
  <c r="P163"/>
  <c r="Q164"/>
  <c r="P164"/>
  <c r="Q165"/>
  <c r="P165"/>
  <c r="Q166"/>
  <c r="P166"/>
  <c r="Q167"/>
  <c r="P167"/>
  <c r="Q168"/>
  <c r="P168"/>
  <c r="Q169"/>
  <c r="P169"/>
  <c r="Q170"/>
  <c r="P170"/>
  <c r="Q171"/>
  <c r="P171"/>
  <c r="Q172"/>
  <c r="P172"/>
  <c r="Q173"/>
  <c r="P173"/>
  <c r="Q174"/>
  <c r="P174"/>
  <c r="Q175"/>
  <c r="P175"/>
  <c r="Q176"/>
  <c r="P176"/>
  <c r="Q177"/>
  <c r="P177"/>
  <c r="Q178"/>
  <c r="P178"/>
  <c r="Q179"/>
  <c r="P179"/>
  <c r="Q180"/>
  <c r="P180"/>
  <c r="Q181"/>
  <c r="P181"/>
  <c r="Q182"/>
  <c r="P182"/>
  <c r="Q183"/>
  <c r="P183"/>
  <c r="Q184"/>
  <c r="P184"/>
  <c r="Q185"/>
  <c r="P185"/>
  <c r="Q186"/>
  <c r="P186"/>
  <c r="Q187"/>
  <c r="P187"/>
  <c r="Q188"/>
  <c r="P188"/>
  <c r="Q189"/>
  <c r="P189"/>
  <c r="Q190"/>
  <c r="P190"/>
  <c r="Q191"/>
  <c r="P191"/>
  <c r="Q192"/>
  <c r="P192"/>
  <c r="Q193"/>
  <c r="P193"/>
  <c r="Q194"/>
  <c r="P194"/>
  <c r="Q195"/>
  <c r="P195"/>
  <c r="Q196"/>
  <c r="P196"/>
  <c r="Q197"/>
  <c r="P197"/>
  <c r="Q198"/>
  <c r="P198"/>
  <c r="Q199"/>
  <c r="P199"/>
  <c r="Q200"/>
  <c r="P200"/>
  <c r="Q201"/>
  <c r="P201"/>
  <c r="Q202"/>
  <c r="P202"/>
  <c r="Q203"/>
  <c r="P203"/>
  <c r="Q204"/>
  <c r="P204"/>
  <c r="Q205"/>
  <c r="P205"/>
  <c r="Q206"/>
  <c r="P206"/>
  <c r="Q207"/>
  <c r="P207"/>
  <c r="Q208"/>
  <c r="P208"/>
  <c r="Q209"/>
  <c r="P209"/>
  <c r="Q210"/>
  <c r="P210"/>
  <c r="Q211"/>
  <c r="P211"/>
  <c r="Q212"/>
  <c r="P212"/>
  <c r="Q213"/>
  <c r="P213"/>
  <c r="Q214"/>
  <c r="P214"/>
  <c r="Q215"/>
  <c r="P215"/>
  <c r="Q216"/>
  <c r="P216"/>
  <c r="Q217"/>
  <c r="P217"/>
  <c r="Q218"/>
  <c r="P218"/>
  <c r="Q219"/>
  <c r="P219"/>
  <c r="Q220"/>
  <c r="P220"/>
  <c r="Q221"/>
  <c r="P221"/>
  <c r="Q222"/>
  <c r="P222"/>
  <c r="Q223"/>
  <c r="P223"/>
  <c r="Q224"/>
  <c r="P224"/>
  <c r="Q225"/>
  <c r="P225"/>
  <c r="Q226"/>
  <c r="P226"/>
  <c r="Q227"/>
  <c r="P227"/>
  <c r="Q228"/>
  <c r="P228"/>
  <c r="Q229"/>
  <c r="P229"/>
  <c r="Q230"/>
  <c r="P230"/>
  <c r="Q231"/>
  <c r="P231"/>
  <c r="Q232"/>
  <c r="P232"/>
  <c r="Q233"/>
  <c r="P233"/>
  <c r="Q234"/>
  <c r="P234"/>
  <c r="Q235"/>
  <c r="P235"/>
  <c r="Q236"/>
  <c r="P236"/>
  <c r="Q237"/>
  <c r="P237"/>
  <c r="Q238"/>
  <c r="P238"/>
  <c r="Q239"/>
  <c r="P239"/>
  <c r="Q240"/>
  <c r="P240"/>
  <c r="Q241"/>
  <c r="P241"/>
  <c r="Q242"/>
  <c r="P242"/>
  <c r="Q243"/>
  <c r="P243"/>
  <c r="Q244"/>
  <c r="P244"/>
  <c r="Q245"/>
  <c r="P245"/>
  <c r="Q246"/>
  <c r="P246"/>
  <c r="Q247"/>
  <c r="P247"/>
  <c r="Q248"/>
  <c r="P248"/>
  <c r="Q249"/>
  <c r="P249"/>
  <c r="Q250"/>
  <c r="P250"/>
  <c r="Q251"/>
  <c r="P251"/>
  <c r="Q252"/>
  <c r="P252"/>
  <c r="Q253"/>
  <c r="P253"/>
  <c r="Q254"/>
  <c r="P254"/>
  <c r="Q255"/>
  <c r="P255"/>
  <c r="Q256"/>
  <c r="P256"/>
  <c r="Q257"/>
  <c r="P257"/>
  <c r="Q258"/>
  <c r="P258"/>
  <c r="Q259"/>
  <c r="P259"/>
  <c r="Q260"/>
  <c r="P260"/>
  <c r="Q261"/>
  <c r="P261"/>
  <c r="Q262"/>
  <c r="P262"/>
  <c r="Q263"/>
  <c r="P263"/>
  <c r="Q264"/>
  <c r="P264"/>
  <c r="Q265"/>
  <c r="P265"/>
  <c r="Q266"/>
  <c r="P266"/>
  <c r="Q267"/>
  <c r="P267"/>
  <c r="Q268"/>
  <c r="P268"/>
  <c r="Q269"/>
  <c r="P269"/>
  <c r="Q270"/>
  <c r="P270"/>
  <c r="Q271"/>
  <c r="P271"/>
  <c r="Q272"/>
  <c r="P272"/>
  <c r="Q273"/>
  <c r="P273"/>
  <c r="Q274"/>
  <c r="P274"/>
  <c r="Q275"/>
  <c r="P275"/>
  <c r="Q276"/>
  <c r="P276"/>
  <c r="Q277"/>
  <c r="P277"/>
  <c r="Q278"/>
  <c r="P278"/>
  <c r="Q279"/>
  <c r="P279"/>
  <c r="Q280"/>
  <c r="P280"/>
  <c r="Q281"/>
  <c r="P281"/>
  <c r="Q282"/>
  <c r="P282"/>
  <c r="Q283"/>
  <c r="P283"/>
  <c r="Q284"/>
  <c r="P284"/>
  <c r="Q285"/>
  <c r="P285"/>
  <c r="Q286"/>
  <c r="P286"/>
  <c r="Q287"/>
  <c r="P287"/>
  <c r="Q288"/>
  <c r="P288"/>
  <c r="Q289"/>
  <c r="P289"/>
  <c r="Q290"/>
  <c r="P290"/>
  <c r="Q291"/>
  <c r="P291"/>
  <c r="Q292"/>
  <c r="P292"/>
  <c r="Q293"/>
  <c r="P293"/>
  <c r="Q294"/>
  <c r="P294"/>
  <c r="Q295"/>
  <c r="P295"/>
  <c r="Q296"/>
  <c r="P296"/>
  <c r="Q297"/>
  <c r="P297"/>
  <c r="Q298"/>
  <c r="P298"/>
  <c r="Q299"/>
  <c r="P299"/>
  <c r="Q300"/>
  <c r="P300"/>
  <c r="Q301"/>
  <c r="P301"/>
  <c r="Q302"/>
  <c r="P302"/>
  <c r="Q303"/>
  <c r="P303"/>
  <c r="Q304"/>
  <c r="P304"/>
  <c r="Q305"/>
  <c r="P305"/>
  <c r="Q306"/>
  <c r="P306"/>
  <c r="Q307"/>
  <c r="P307"/>
  <c r="Q308"/>
  <c r="P308"/>
  <c r="Q309"/>
  <c r="P309"/>
  <c r="Q310"/>
  <c r="P310"/>
  <c r="Q311"/>
  <c r="P311"/>
  <c r="Q312"/>
  <c r="P312"/>
  <c r="Q313"/>
  <c r="P313"/>
  <c r="Q314"/>
  <c r="P314"/>
  <c r="Q315"/>
  <c r="P315"/>
  <c r="Q316"/>
  <c r="P316"/>
  <c r="Q317"/>
  <c r="P317"/>
  <c r="Q318"/>
  <c r="P318"/>
  <c r="Q319"/>
  <c r="P319"/>
  <c r="Q320"/>
  <c r="P320"/>
  <c r="Q321"/>
  <c r="P321"/>
  <c r="Q322"/>
  <c r="P322"/>
  <c r="Q323"/>
  <c r="P323"/>
  <c r="Q324"/>
  <c r="P324"/>
  <c r="Q325"/>
  <c r="P325"/>
  <c r="Q326"/>
  <c r="P326"/>
  <c r="Q327"/>
  <c r="P327"/>
  <c r="Q328"/>
  <c r="P328"/>
  <c r="Q329"/>
  <c r="P329"/>
  <c r="Q330"/>
  <c r="P330"/>
  <c r="Q331"/>
  <c r="P331"/>
  <c r="Q332"/>
  <c r="P332"/>
  <c r="Q333"/>
  <c r="P333"/>
  <c r="Q334"/>
  <c r="P334"/>
  <c r="Q335"/>
  <c r="P335"/>
  <c r="Q336"/>
  <c r="P336"/>
  <c r="Q337"/>
  <c r="P337"/>
  <c r="Q338"/>
  <c r="P338"/>
  <c r="Q339"/>
  <c r="P339"/>
  <c r="Q340"/>
  <c r="P340"/>
  <c r="Q341"/>
  <c r="P341"/>
  <c r="Q342"/>
  <c r="P342"/>
  <c r="Q343"/>
  <c r="P343"/>
  <c r="Q344"/>
  <c r="P344"/>
  <c r="Q345"/>
  <c r="P345"/>
  <c r="Q346"/>
  <c r="P346"/>
  <c r="Q347"/>
  <c r="P347"/>
  <c r="Q348"/>
  <c r="P348"/>
  <c r="Q349"/>
  <c r="P349"/>
  <c r="Q350"/>
  <c r="P350"/>
  <c r="Q351"/>
  <c r="P351"/>
  <c r="Q352"/>
  <c r="P352"/>
  <c r="Q353"/>
  <c r="P353"/>
  <c r="Q354"/>
  <c r="P354"/>
  <c r="Q355"/>
  <c r="P355"/>
  <c r="Q356"/>
  <c r="P356"/>
  <c r="Q357"/>
  <c r="P357"/>
  <c r="Q358"/>
  <c r="P358"/>
  <c r="Q359"/>
  <c r="P359"/>
  <c r="Q360"/>
  <c r="P360"/>
  <c r="Q361"/>
  <c r="P361"/>
  <c r="Q362"/>
  <c r="P362"/>
  <c r="Q363"/>
  <c r="P363"/>
  <c r="Q364"/>
  <c r="P364"/>
  <c r="Q365"/>
  <c r="P365"/>
  <c r="Q366"/>
  <c r="P366"/>
  <c r="Q367"/>
  <c r="P367"/>
  <c r="Q368"/>
  <c r="P368"/>
  <c r="Q369"/>
  <c r="P369"/>
  <c r="Q370"/>
  <c r="P370"/>
  <c r="Q371"/>
  <c r="P371"/>
  <c r="Q372"/>
  <c r="P372"/>
  <c r="Q373"/>
  <c r="P373"/>
  <c r="Q374"/>
  <c r="P374"/>
  <c r="Q375"/>
  <c r="P375"/>
  <c r="Q376"/>
  <c r="P376"/>
  <c r="Q377"/>
  <c r="P377"/>
  <c r="Q378"/>
  <c r="P378"/>
  <c r="Q379"/>
  <c r="P379"/>
  <c r="Q70"/>
  <c r="P70"/>
  <c r="Q71"/>
  <c r="P71"/>
  <c r="Q72"/>
  <c r="P72"/>
  <c r="Q73"/>
  <c r="P73"/>
  <c r="Q74"/>
  <c r="P74"/>
  <c r="Q75"/>
  <c r="P75"/>
  <c r="Q76"/>
  <c r="P76"/>
  <c r="Q77"/>
  <c r="P77"/>
  <c r="Q78"/>
  <c r="P78"/>
  <c r="Q79"/>
  <c r="P79"/>
  <c r="Q80"/>
  <c r="P80"/>
  <c r="Q81"/>
  <c r="P81"/>
  <c r="Q82"/>
  <c r="P82"/>
  <c r="Q83"/>
  <c r="P83"/>
  <c r="Q84"/>
  <c r="P84"/>
  <c r="Q85"/>
  <c r="P85"/>
  <c r="Q86"/>
  <c r="P86"/>
  <c r="Q87"/>
  <c r="P87"/>
  <c r="Q30"/>
  <c r="P30"/>
  <c r="Q31"/>
  <c r="P31"/>
  <c r="Q32"/>
  <c r="P32"/>
  <c r="Q33"/>
  <c r="P33"/>
  <c r="Q34"/>
  <c r="P34"/>
  <c r="Q35"/>
  <c r="P35"/>
  <c r="Q36"/>
  <c r="P36"/>
  <c r="Q37"/>
  <c r="P37"/>
  <c r="Q38"/>
  <c r="P38"/>
  <c r="Q40"/>
  <c r="P40"/>
  <c r="Q41"/>
  <c r="P41"/>
  <c r="Q42"/>
  <c r="P42"/>
  <c r="Q43"/>
  <c r="P43"/>
  <c r="Q44"/>
  <c r="P44"/>
  <c r="Q45"/>
  <c r="P45"/>
  <c r="Q46"/>
  <c r="P46"/>
  <c r="Q47"/>
  <c r="P47"/>
  <c r="Q48"/>
  <c r="P48"/>
  <c r="Q49"/>
  <c r="P49"/>
  <c r="Q51"/>
  <c r="P51"/>
  <c r="Q52"/>
  <c r="P52"/>
  <c r="Q53"/>
  <c r="P53"/>
  <c r="Q54"/>
  <c r="P54"/>
  <c r="Q55"/>
  <c r="P55"/>
  <c r="Q56"/>
  <c r="P56"/>
  <c r="Q57"/>
  <c r="P57"/>
  <c r="Q58"/>
  <c r="P58"/>
  <c r="Q59"/>
  <c r="P59"/>
  <c r="J1234"/>
  <c r="Q92" l="1"/>
  <c r="M384"/>
  <c r="P92"/>
  <c r="P384" s="1"/>
  <c r="Q749"/>
  <c r="M879"/>
  <c r="Q879" s="1"/>
  <c r="P749"/>
  <c r="P879" s="1"/>
  <c r="Q881"/>
  <c r="M1146"/>
  <c r="Q1146" s="1"/>
  <c r="P881"/>
  <c r="P1146" s="1"/>
  <c r="Q1148"/>
  <c r="M1202"/>
  <c r="Q1202" s="1"/>
  <c r="P1148"/>
  <c r="P1202" s="1"/>
  <c r="Q537"/>
  <c r="M747"/>
  <c r="Q747" s="1"/>
  <c r="P537"/>
  <c r="P747" s="1"/>
  <c r="M67"/>
  <c r="Q6"/>
  <c r="P6"/>
  <c r="P67" s="1"/>
  <c r="Q386"/>
  <c r="M535"/>
  <c r="Q535" s="1"/>
  <c r="P386"/>
  <c r="P535" s="1"/>
  <c r="Q1204"/>
  <c r="M1232"/>
  <c r="P1204"/>
  <c r="P1232" s="1"/>
  <c r="M69"/>
  <c r="L90"/>
  <c r="L1234"/>
  <c r="Q69" l="1"/>
  <c r="M90"/>
  <c r="P69"/>
  <c r="Q1232"/>
  <c r="M1234"/>
  <c r="P89" l="1"/>
  <c r="P90"/>
  <c r="P1234" s="1"/>
</calcChain>
</file>

<file path=xl/sharedStrings.xml><?xml version="1.0" encoding="utf-8"?>
<sst xmlns="http://schemas.openxmlformats.org/spreadsheetml/2006/main" count="21395" uniqueCount="1427">
  <si>
    <t>в штатному 2 покрв</t>
  </si>
  <si>
    <t xml:space="preserve"> в штатному 1 водій</t>
  </si>
  <si>
    <t>в штатному сл.сантехніків є всього 18</t>
  </si>
  <si>
    <t xml:space="preserve">на гар.воду 4 </t>
  </si>
  <si>
    <t>5 розряд є в штатному</t>
  </si>
  <si>
    <t xml:space="preserve">на ц.о.5 </t>
  </si>
  <si>
    <t>5 розряд</t>
  </si>
  <si>
    <t>разом 9 сл.сантехніків</t>
  </si>
  <si>
    <t xml:space="preserve">хол.водопост </t>
  </si>
  <si>
    <t>всого в штатному 9</t>
  </si>
  <si>
    <t>на х.в.5 осіб</t>
  </si>
  <si>
    <t>4 на каналізацію</t>
  </si>
  <si>
    <t>1 столяр в штат</t>
  </si>
  <si>
    <t>електрик в штат 1</t>
  </si>
  <si>
    <t xml:space="preserve">2 чистильщика </t>
  </si>
  <si>
    <t>3 роз</t>
  </si>
  <si>
    <t>Діаманда,4</t>
  </si>
  <si>
    <t>Діаманда,12</t>
  </si>
  <si>
    <t>Діаманда,13</t>
  </si>
  <si>
    <t>Вилітна,7</t>
  </si>
  <si>
    <t>Погідна,2</t>
  </si>
  <si>
    <t>Погідна,4</t>
  </si>
  <si>
    <t>Погідна,7</t>
  </si>
  <si>
    <t>Погідна,9</t>
  </si>
  <si>
    <t>Погідна,11</t>
  </si>
  <si>
    <t>Погідна,13</t>
  </si>
  <si>
    <t>Погідна,15</t>
  </si>
  <si>
    <t>Погідна,16</t>
  </si>
  <si>
    <t>Погідна,17</t>
  </si>
  <si>
    <t>Погідна,19</t>
  </si>
  <si>
    <t>Равська,4</t>
  </si>
  <si>
    <t>Равська,4а</t>
  </si>
  <si>
    <t>Равська,10</t>
  </si>
  <si>
    <t>Сміла,7</t>
  </si>
  <si>
    <t>Сміла,9</t>
  </si>
  <si>
    <t>Дублянська,4</t>
  </si>
  <si>
    <t>Дублянська,10</t>
  </si>
  <si>
    <t>Дублянська,12а</t>
  </si>
  <si>
    <t>Дублянська,14</t>
  </si>
  <si>
    <t>Дублянська,16а</t>
  </si>
  <si>
    <t>Зустрічна,2</t>
  </si>
  <si>
    <t>Зустрічна,6</t>
  </si>
  <si>
    <t>Зустрічна,8</t>
  </si>
  <si>
    <t>Зустрічна,10</t>
  </si>
  <si>
    <t>Зустрічна,13</t>
  </si>
  <si>
    <t>Зустрічна,14</t>
  </si>
  <si>
    <t>Зустрічна,16</t>
  </si>
  <si>
    <t>Зустрічна,18</t>
  </si>
  <si>
    <t>Зустрічна,20</t>
  </si>
  <si>
    <t>Бовинського,10</t>
  </si>
  <si>
    <t>ЛКП "Янів-405"</t>
  </si>
  <si>
    <t>Шевченка,14</t>
  </si>
  <si>
    <t>Шевченка ,16</t>
  </si>
  <si>
    <t>Шевченка,18</t>
  </si>
  <si>
    <t>Шевченка,20</t>
  </si>
  <si>
    <t>Шевченка,22</t>
  </si>
  <si>
    <t>Шевченка,24</t>
  </si>
  <si>
    <t>Шевченка,26</t>
  </si>
  <si>
    <t>Шевченка,30</t>
  </si>
  <si>
    <t>Шевченка,32</t>
  </si>
  <si>
    <t>Шевченка,36</t>
  </si>
  <si>
    <t>Шевченка,46</t>
  </si>
  <si>
    <t>Шевченка,48</t>
  </si>
  <si>
    <t>Шевченка,50</t>
  </si>
  <si>
    <t>Шевченка,52</t>
  </si>
  <si>
    <t>Нарахування на заробітну плату (36,77%)</t>
  </si>
  <si>
    <t>д-367,79</t>
  </si>
  <si>
    <t>Шевченка,52а</t>
  </si>
  <si>
    <t>Шевченка,54</t>
  </si>
  <si>
    <t>Шевченка,56</t>
  </si>
  <si>
    <t>Шевченка,56а</t>
  </si>
  <si>
    <t>Шевченка,58</t>
  </si>
  <si>
    <t>Шевченка,68</t>
  </si>
  <si>
    <t>Шевченка,70</t>
  </si>
  <si>
    <t>Шевченка,70а</t>
  </si>
  <si>
    <t>Шевченка,72</t>
  </si>
  <si>
    <t>Шевченка,74</t>
  </si>
  <si>
    <t>Шевченка,82</t>
  </si>
  <si>
    <t>Шевченка,88</t>
  </si>
  <si>
    <t>Шевченка,92</t>
  </si>
  <si>
    <t>Шевченка,96</t>
  </si>
  <si>
    <t>Шевченка,102</t>
  </si>
  <si>
    <t>Шевченка,104</t>
  </si>
  <si>
    <t>Шевченка,106</t>
  </si>
  <si>
    <t>Шевченка,108</t>
  </si>
  <si>
    <t>Шевченка,132</t>
  </si>
  <si>
    <t>Шевченка,134</t>
  </si>
  <si>
    <t xml:space="preserve">Шевченка,136 </t>
  </si>
  <si>
    <t>Шевченка,138</t>
  </si>
  <si>
    <t>Шевченка,140</t>
  </si>
  <si>
    <t>Шевченка,140а</t>
  </si>
  <si>
    <t>Шевченка,142</t>
  </si>
  <si>
    <t>Шевченка,144</t>
  </si>
  <si>
    <t>Шевченка,146</t>
  </si>
  <si>
    <t>Шевченка,148</t>
  </si>
  <si>
    <t>Шевченка,148а</t>
  </si>
  <si>
    <t>Шевченка,150</t>
  </si>
  <si>
    <t>Шевченка,152</t>
  </si>
  <si>
    <t>Шевченка,154</t>
  </si>
  <si>
    <t>Шевченка,200/3</t>
  </si>
  <si>
    <t>Золота,5</t>
  </si>
  <si>
    <t xml:space="preserve">Золота,7 </t>
  </si>
  <si>
    <t xml:space="preserve">Золота,11 </t>
  </si>
  <si>
    <t xml:space="preserve">Золота,12 </t>
  </si>
  <si>
    <t>Золота,13</t>
  </si>
  <si>
    <t xml:space="preserve">Золота,15 </t>
  </si>
  <si>
    <t xml:space="preserve">Золота,17 </t>
  </si>
  <si>
    <t xml:space="preserve">Золота,22 </t>
  </si>
  <si>
    <t xml:space="preserve">Золота,22а </t>
  </si>
  <si>
    <t xml:space="preserve">Золота,24 </t>
  </si>
  <si>
    <t>Золота,26</t>
  </si>
  <si>
    <t xml:space="preserve">Золота,28 </t>
  </si>
  <si>
    <t xml:space="preserve">Золота,30 </t>
  </si>
  <si>
    <t xml:space="preserve">Золота,32 </t>
  </si>
  <si>
    <t xml:space="preserve">Золота,34 </t>
  </si>
  <si>
    <t xml:space="preserve">Золота,35 </t>
  </si>
  <si>
    <t>Золота,36</t>
  </si>
  <si>
    <t>Золота,37</t>
  </si>
  <si>
    <t>Золота,39</t>
  </si>
  <si>
    <t>Золота,39а</t>
  </si>
  <si>
    <t>Золота,40</t>
  </si>
  <si>
    <t>поверховість</t>
  </si>
  <si>
    <t>Золота,41</t>
  </si>
  <si>
    <t>Рапопорта,27</t>
  </si>
  <si>
    <t>Д.Гуні,26</t>
  </si>
  <si>
    <t>Д.Гуні,28</t>
  </si>
  <si>
    <t>Пстрака,4</t>
  </si>
  <si>
    <t xml:space="preserve">Хорватська,3 </t>
  </si>
  <si>
    <t>Хорватська,5</t>
  </si>
  <si>
    <t>Хорватська,7</t>
  </si>
  <si>
    <t>Хорватська,8</t>
  </si>
  <si>
    <t>Хорватська,9</t>
  </si>
  <si>
    <t>Хорватська,10</t>
  </si>
  <si>
    <t>Хорватська,11</t>
  </si>
  <si>
    <t>Хорватська,12</t>
  </si>
  <si>
    <t>Хорватська,15</t>
  </si>
  <si>
    <t>Хорватська,16</t>
  </si>
  <si>
    <t>Хорватська,16а</t>
  </si>
  <si>
    <t>Хорватська,17</t>
  </si>
  <si>
    <t>Хорватська,19</t>
  </si>
  <si>
    <t>Яцківа,7</t>
  </si>
  <si>
    <t>Яцківа,9</t>
  </si>
  <si>
    <t>Чигиринська, 1</t>
  </si>
  <si>
    <t>Чигиринська, 5</t>
  </si>
  <si>
    <t>Мідна,10</t>
  </si>
  <si>
    <t>Яцківа,11</t>
  </si>
  <si>
    <t>Яцківа,18</t>
  </si>
  <si>
    <t>Яцківа,18а</t>
  </si>
  <si>
    <t>Яцківа,20</t>
  </si>
  <si>
    <t>Яцківа,23</t>
  </si>
  <si>
    <t>Яцківа,24</t>
  </si>
  <si>
    <t>Яцківа,25</t>
  </si>
  <si>
    <t>Турянського,3</t>
  </si>
  <si>
    <t>Турянського,7</t>
  </si>
  <si>
    <t>Турянського,10</t>
  </si>
  <si>
    <t>Турянського,10а</t>
  </si>
  <si>
    <t>Турянського,13</t>
  </si>
  <si>
    <t>Турянського,15</t>
  </si>
  <si>
    <t>Турянського,17</t>
  </si>
  <si>
    <t>Турянського,18</t>
  </si>
  <si>
    <t>Турянського,19</t>
  </si>
  <si>
    <t>Турянського,21</t>
  </si>
  <si>
    <t>Турянського,26</t>
  </si>
  <si>
    <t>Турянського,27</t>
  </si>
  <si>
    <t>Турянського,28</t>
  </si>
  <si>
    <t>Турянського,30</t>
  </si>
  <si>
    <t>Скляна,5</t>
  </si>
  <si>
    <t>Скляна,7</t>
  </si>
  <si>
    <t>Сосенка,2</t>
  </si>
  <si>
    <t>Сосенка,7</t>
  </si>
  <si>
    <t>Сосенка,11</t>
  </si>
  <si>
    <t>Сосенка,28</t>
  </si>
  <si>
    <t>Єрошенка,2</t>
  </si>
  <si>
    <t>Єрошенка,4</t>
  </si>
  <si>
    <t>Єрошенка,5</t>
  </si>
  <si>
    <t>Єрошенка,6</t>
  </si>
  <si>
    <t>Єрошенка,6а</t>
  </si>
  <si>
    <t>Єрошенка,7</t>
  </si>
  <si>
    <t>Єрошенка,9</t>
  </si>
  <si>
    <t>Єрошенка,10</t>
  </si>
  <si>
    <t>Єрошенка,12</t>
  </si>
  <si>
    <t>Єрошенка,10а</t>
  </si>
  <si>
    <t>Яворівського,2</t>
  </si>
  <si>
    <t>Яворівського,5</t>
  </si>
  <si>
    <t>Яворівського,7</t>
  </si>
  <si>
    <t>Яворівського,8</t>
  </si>
  <si>
    <t>Яворівського,9</t>
  </si>
  <si>
    <t>Яворівського,11</t>
  </si>
  <si>
    <t>Маринецька,2</t>
  </si>
  <si>
    <t>Маринецька,5</t>
  </si>
  <si>
    <t>Маринецька,8</t>
  </si>
  <si>
    <t>Маринецька,8а</t>
  </si>
  <si>
    <t>Маринецька,14</t>
  </si>
  <si>
    <t>Кирилівська,9</t>
  </si>
  <si>
    <t>Татарбунарська,3</t>
  </si>
  <si>
    <t>Татарбунарська,7а</t>
  </si>
  <si>
    <t>Татарбунарська,10а</t>
  </si>
  <si>
    <t>Татарбунарська,14</t>
  </si>
  <si>
    <t>Татарбунарська,15</t>
  </si>
  <si>
    <t>Татарбунарська,16</t>
  </si>
  <si>
    <t>Холодна,52</t>
  </si>
  <si>
    <t>Холодна,78</t>
  </si>
  <si>
    <t>Холодна,80</t>
  </si>
  <si>
    <t>Холодна,81</t>
  </si>
  <si>
    <t>Холодна,82</t>
  </si>
  <si>
    <t>Холодна,83</t>
  </si>
  <si>
    <t>Холодна,84</t>
  </si>
  <si>
    <t>Холодна,85</t>
  </si>
  <si>
    <t>Холодна,110</t>
  </si>
  <si>
    <t>Винниця,41</t>
  </si>
  <si>
    <t>Винниця,56</t>
  </si>
  <si>
    <t>Винниця,78</t>
  </si>
  <si>
    <t>Мазепи 14</t>
  </si>
  <si>
    <t>Мазепи 15</t>
  </si>
  <si>
    <t>Мазепи 19</t>
  </si>
  <si>
    <t>Мазепи 22</t>
  </si>
  <si>
    <t>Мазепи  23</t>
  </si>
  <si>
    <t>Мазепи  24</t>
  </si>
  <si>
    <t>Мазепи  26</t>
  </si>
  <si>
    <t>Мазепи  17</t>
  </si>
  <si>
    <t>Мазепи 18</t>
  </si>
  <si>
    <t>Мазепи 21</t>
  </si>
  <si>
    <t xml:space="preserve">Хвильового 17 </t>
  </si>
  <si>
    <t>Хвильового 19</t>
  </si>
  <si>
    <t>Хвильового 23</t>
  </si>
  <si>
    <t>Хвильового 25</t>
  </si>
  <si>
    <t>Хвильового 31</t>
  </si>
  <si>
    <t>Хвильового 33</t>
  </si>
  <si>
    <t>Хвильового 37</t>
  </si>
  <si>
    <t>Хвильового 39</t>
  </si>
  <si>
    <t>Хвильового  56</t>
  </si>
  <si>
    <t>Хвильового 29</t>
  </si>
  <si>
    <t>Тичини  18</t>
  </si>
  <si>
    <t>І.Миколайчука  1</t>
  </si>
  <si>
    <t>І.Миколайчука 3</t>
  </si>
  <si>
    <t>І.Миколайчука 1Б</t>
  </si>
  <si>
    <t>І.Миколайчука 5</t>
  </si>
  <si>
    <t>І.Миколайчука 7</t>
  </si>
  <si>
    <t>Лінкольна 39</t>
  </si>
  <si>
    <t>Лінкольна 45</t>
  </si>
  <si>
    <t>Лінкольна 47</t>
  </si>
  <si>
    <t>Лінкольна 51</t>
  </si>
  <si>
    <t>Лінкольна 57</t>
  </si>
  <si>
    <t>Лінкольна 53</t>
  </si>
  <si>
    <t>Всього по ЛКП</t>
  </si>
  <si>
    <t>ЛКП "Варшавське -407"</t>
  </si>
  <si>
    <t>Масарика 2</t>
  </si>
  <si>
    <t>Масарика 3</t>
  </si>
  <si>
    <t>Масарика 6</t>
  </si>
  <si>
    <t>Масарика12</t>
  </si>
  <si>
    <t>Масарика14</t>
  </si>
  <si>
    <t>Масарика16</t>
  </si>
  <si>
    <t>Масарика 18</t>
  </si>
  <si>
    <t>Кошиця 1</t>
  </si>
  <si>
    <t>Кошиця 4</t>
  </si>
  <si>
    <t>Кошиця9</t>
  </si>
  <si>
    <t>П.Панча 7</t>
  </si>
  <si>
    <t>П.Панча 9</t>
  </si>
  <si>
    <t>П.Панча13</t>
  </si>
  <si>
    <t>Липинського 3</t>
  </si>
  <si>
    <t>Окуневського 1</t>
  </si>
  <si>
    <t>Окуневського 3</t>
  </si>
  <si>
    <t>Окуневського 8</t>
  </si>
  <si>
    <t>Сосюри 1</t>
  </si>
  <si>
    <t>Сосюри 9</t>
  </si>
  <si>
    <t>Сосюри16</t>
  </si>
  <si>
    <t>Сосюри 40</t>
  </si>
  <si>
    <t>Сосюри 46</t>
  </si>
  <si>
    <t>Зимова 1</t>
  </si>
  <si>
    <t>Зимова 3</t>
  </si>
  <si>
    <t>Зимова 5</t>
  </si>
  <si>
    <t>Зимова 22а</t>
  </si>
  <si>
    <t>Зимова 22б</t>
  </si>
  <si>
    <t>Зимова23</t>
  </si>
  <si>
    <t>Зимова 26</t>
  </si>
  <si>
    <t>Купчинського 2</t>
  </si>
  <si>
    <t>Купчинського12</t>
  </si>
  <si>
    <t>Купчинського 16</t>
  </si>
  <si>
    <t>Купчинського 24</t>
  </si>
  <si>
    <t>Купчинського 26</t>
  </si>
  <si>
    <t>Купчинського 28</t>
  </si>
  <si>
    <t>Купчинського 32</t>
  </si>
  <si>
    <t>Яблунева 2</t>
  </si>
  <si>
    <t>Почтова 7</t>
  </si>
  <si>
    <t>Х.Алчевської 4</t>
  </si>
  <si>
    <t>Х.Алчевської 5</t>
  </si>
  <si>
    <t>Х.Алчевської 6</t>
  </si>
  <si>
    <t>Соснова 26</t>
  </si>
  <si>
    <t>В.Мови 2а</t>
  </si>
  <si>
    <t>В.Мови 10</t>
  </si>
  <si>
    <t>В.Мови 12</t>
  </si>
  <si>
    <t>В.Мови 14</t>
  </si>
  <si>
    <t>В.Мови 18</t>
  </si>
  <si>
    <t>Холмська  29</t>
  </si>
  <si>
    <t>Дивізійна 22</t>
  </si>
  <si>
    <t>Дивізійна 28</t>
  </si>
  <si>
    <t>Дивізійна 30а</t>
  </si>
  <si>
    <t>Дивізійна 36</t>
  </si>
  <si>
    <t>Вишнева 37</t>
  </si>
  <si>
    <t>Винниця16</t>
  </si>
  <si>
    <t>Винниця 28</t>
  </si>
  <si>
    <t>Черемхова 5</t>
  </si>
  <si>
    <t>Черемхова 13</t>
  </si>
  <si>
    <t>Тунельна 24</t>
  </si>
  <si>
    <t>Горбкова 6</t>
  </si>
  <si>
    <t>Горбкова 14</t>
  </si>
  <si>
    <t>Горбкова 16</t>
  </si>
  <si>
    <t>Гранична 1</t>
  </si>
  <si>
    <t>Гранична 2</t>
  </si>
  <si>
    <t>Гранична 11</t>
  </si>
  <si>
    <t>Варшавська 2</t>
  </si>
  <si>
    <t>Варшавська 3</t>
  </si>
  <si>
    <t>Варшавська 4</t>
  </si>
  <si>
    <t>Варшавська 5</t>
  </si>
  <si>
    <t>Варшавська 6</t>
  </si>
  <si>
    <t>Варшавська 10</t>
  </si>
  <si>
    <t>Варшавська 11</t>
  </si>
  <si>
    <t>Варшавська 12</t>
  </si>
  <si>
    <t>Варшавська 20</t>
  </si>
  <si>
    <t>Варшавська 23</t>
  </si>
  <si>
    <t>Варшавська 26</t>
  </si>
  <si>
    <t>Варшавська 28</t>
  </si>
  <si>
    <t>Варшавська 30</t>
  </si>
  <si>
    <t>Варшавська 36</t>
  </si>
  <si>
    <t>Варшавська 37</t>
  </si>
  <si>
    <t>Варшавська 43</t>
  </si>
  <si>
    <t>Варшавська 52</t>
  </si>
  <si>
    <t>Варшавська 56</t>
  </si>
  <si>
    <t>Варшавська 62</t>
  </si>
  <si>
    <t>Варшавська 64</t>
  </si>
  <si>
    <t>Варшавська 66</t>
  </si>
  <si>
    <t>Варшавська 68</t>
  </si>
  <si>
    <t>Варшавська 69</t>
  </si>
  <si>
    <t>Варшавська 67</t>
  </si>
  <si>
    <t>Варшавська 107</t>
  </si>
  <si>
    <t>ЛКП"Збоїща-408"</t>
  </si>
  <si>
    <t>Б.Хмельницького,239</t>
  </si>
  <si>
    <t>Б.Хмельницького,241</t>
  </si>
  <si>
    <t>Б.Хмельницького,243</t>
  </si>
  <si>
    <t>Б.Хмельницького,245</t>
  </si>
  <si>
    <t xml:space="preserve">Б.Хмельницького,247 </t>
  </si>
  <si>
    <t>Б.Хмельницького,251</t>
  </si>
  <si>
    <t>Б,Хмельницького,253</t>
  </si>
  <si>
    <t>Б.Хмельницького,233</t>
  </si>
  <si>
    <t>Чигиринська ,3</t>
  </si>
  <si>
    <t>Чигиринська ,11</t>
  </si>
  <si>
    <t>Чигиринська,13</t>
  </si>
  <si>
    <t>Чигиринська,31</t>
  </si>
  <si>
    <t>Грінченка,16</t>
  </si>
  <si>
    <t>Грінченка,14</t>
  </si>
  <si>
    <t>Грінченка,6б</t>
  </si>
  <si>
    <t>Грінченка,6</t>
  </si>
  <si>
    <t>Грінченка,5</t>
  </si>
  <si>
    <t>Грінченка,1</t>
  </si>
  <si>
    <t>Б.Хмельницького,267</t>
  </si>
  <si>
    <t>Б.Хмельницького,255</t>
  </si>
  <si>
    <t>Г.Мазепи,43</t>
  </si>
  <si>
    <t>Г.Мазепи,41</t>
  </si>
  <si>
    <t>Г.Мазепи,39</t>
  </si>
  <si>
    <t>Г.Мазепи,37</t>
  </si>
  <si>
    <t>Г.Мазепи,35</t>
  </si>
  <si>
    <t>Г.Мазепи,33</t>
  </si>
  <si>
    <t>Розточчя,5</t>
  </si>
  <si>
    <t>Розточчя,30</t>
  </si>
  <si>
    <t>Загірна,66</t>
  </si>
  <si>
    <t>Грінченка,12а</t>
  </si>
  <si>
    <t>Грінченка,8</t>
  </si>
  <si>
    <t>Грінченка,10</t>
  </si>
  <si>
    <t>Грінченка,12</t>
  </si>
  <si>
    <t>Грінченка,10а</t>
  </si>
  <si>
    <t>Грінченка,11а</t>
  </si>
  <si>
    <t>Б,Хмельницького,271</t>
  </si>
  <si>
    <t>Б.Хмельницького,273</t>
  </si>
  <si>
    <t>Б.Хмельницького,269</t>
  </si>
  <si>
    <t>Грінченка,12б</t>
  </si>
  <si>
    <t>Грінченка,12в</t>
  </si>
  <si>
    <t>Стеценка,7</t>
  </si>
  <si>
    <t>Стеценка,9</t>
  </si>
  <si>
    <t>Стеценка,11</t>
  </si>
  <si>
    <t>Грінченка,4</t>
  </si>
  <si>
    <t>Грінченка,2а</t>
  </si>
  <si>
    <t>Грінченка,4б</t>
  </si>
  <si>
    <t>Очаківська,5</t>
  </si>
  <si>
    <t>Очаківська,7</t>
  </si>
  <si>
    <t>Творча,12</t>
  </si>
  <si>
    <t>Творча,14</t>
  </si>
  <si>
    <t>Творча,16</t>
  </si>
  <si>
    <t>Творча,2</t>
  </si>
  <si>
    <t>Заміська1</t>
  </si>
  <si>
    <t>Купальська,44</t>
  </si>
  <si>
    <t>Рубінова,2</t>
  </si>
  <si>
    <t>Полтвяна,36</t>
  </si>
  <si>
    <t>ЛКП "Балатон-409"</t>
  </si>
  <si>
    <t>Мазепи,3</t>
  </si>
  <si>
    <t>Мазепи.4</t>
  </si>
  <si>
    <t>Мазепи.5</t>
  </si>
  <si>
    <t>Мазепи.6</t>
  </si>
  <si>
    <t>Мазепи.7</t>
  </si>
  <si>
    <t>Мазепи.8</t>
  </si>
  <si>
    <t>Мазепи.11а</t>
  </si>
  <si>
    <t>Мазепи.12</t>
  </si>
  <si>
    <t>Мазепи.11б</t>
  </si>
  <si>
    <t>Мазепи.13а</t>
  </si>
  <si>
    <t>Мазепи.7а</t>
  </si>
  <si>
    <t>Мазепи.9а</t>
  </si>
  <si>
    <t>Мазепи.9б</t>
  </si>
  <si>
    <t>Хвильового.2</t>
  </si>
  <si>
    <t>Хвильового.3</t>
  </si>
  <si>
    <t>Хвильового.4</t>
  </si>
  <si>
    <t xml:space="preserve"> Хвильового.5а</t>
  </si>
  <si>
    <t>Хвильового.7</t>
  </si>
  <si>
    <t>Хвильового.9</t>
  </si>
  <si>
    <t>Хвильового.12</t>
  </si>
  <si>
    <t>Хвильового.14</t>
  </si>
  <si>
    <t>Хвильвого.30</t>
  </si>
  <si>
    <t>Хвильового.36</t>
  </si>
  <si>
    <t>Хвильового.38</t>
  </si>
  <si>
    <t>Тичини.11</t>
  </si>
  <si>
    <t>Тичини.12</t>
  </si>
  <si>
    <t>Тичини.13</t>
  </si>
  <si>
    <t>Тичини.15</t>
  </si>
  <si>
    <t>Тичини.23</t>
  </si>
  <si>
    <t>Лїнкольна.5</t>
  </si>
  <si>
    <t>Лїнкольна.21</t>
  </si>
  <si>
    <t>Лінкольна.29</t>
  </si>
  <si>
    <t>Лінкольна.37</t>
  </si>
  <si>
    <t>Лінкольна.43</t>
  </si>
  <si>
    <t>Лінкольна.5а</t>
  </si>
  <si>
    <t>Селянська.12</t>
  </si>
  <si>
    <t>Селянська.17</t>
  </si>
  <si>
    <t>Селянська.18</t>
  </si>
  <si>
    <t>Замарстинівська.120</t>
  </si>
  <si>
    <t>Замарстинівська.132</t>
  </si>
  <si>
    <t>Замарстинівська.134</t>
  </si>
  <si>
    <t>Замарстинівська.134а</t>
  </si>
  <si>
    <t>Замарстинівська.144</t>
  </si>
  <si>
    <t>Замарстинівська.149</t>
  </si>
  <si>
    <t>Замарстинівська.153</t>
  </si>
  <si>
    <t>Замарстинівська.266</t>
  </si>
  <si>
    <t>Замарстинівська.166</t>
  </si>
  <si>
    <t>Замарстинівська.167а</t>
  </si>
  <si>
    <t>Замарстинівська.270</t>
  </si>
  <si>
    <t>Замарстинівська.178</t>
  </si>
  <si>
    <t>Замарстинівська.182</t>
  </si>
  <si>
    <t>Шеремети.1</t>
  </si>
  <si>
    <t>Шеремети.4</t>
  </si>
  <si>
    <t>Шеремети.8</t>
  </si>
  <si>
    <t>Шеремети.12</t>
  </si>
  <si>
    <t>Шеремети.29</t>
  </si>
  <si>
    <t>Райніса.10</t>
  </si>
  <si>
    <t>Райніса.16</t>
  </si>
  <si>
    <t>Інструментальна.6</t>
  </si>
  <si>
    <t>Інструментальна.26</t>
  </si>
  <si>
    <t>Інструментальна.28</t>
  </si>
  <si>
    <t>Інструментальна.29а</t>
  </si>
  <si>
    <t>Інструментальна.30а</t>
  </si>
  <si>
    <t>Інструментальна.32а</t>
  </si>
  <si>
    <t>Інструментальна.32б</t>
  </si>
  <si>
    <t>Інструментальна.32в</t>
  </si>
  <si>
    <t>Топольна.9</t>
  </si>
  <si>
    <t>Топольна.11</t>
  </si>
  <si>
    <t>Серебриста.2</t>
  </si>
  <si>
    <t>Серебриста.3</t>
  </si>
  <si>
    <t>Серебриста.45</t>
  </si>
  <si>
    <t>Паньківського.3</t>
  </si>
  <si>
    <t>Паньківського.4</t>
  </si>
  <si>
    <t>Паньківського.6а</t>
  </si>
  <si>
    <t>Паньківського.6б</t>
  </si>
  <si>
    <t>Шполянська.16</t>
  </si>
  <si>
    <t>Шполянська.19</t>
  </si>
  <si>
    <t>Шполянська.22</t>
  </si>
  <si>
    <t>Уманська.20</t>
  </si>
  <si>
    <t>Уманська.21</t>
  </si>
  <si>
    <t>Сеньковича.7</t>
  </si>
  <si>
    <t>4топольний переулок.5</t>
  </si>
  <si>
    <t>Господарська.26</t>
  </si>
  <si>
    <t>Висока.8а</t>
  </si>
  <si>
    <t>Льняна.9</t>
  </si>
  <si>
    <t>Льняна.15</t>
  </si>
  <si>
    <t>Заозерна.13</t>
  </si>
  <si>
    <t>М.Ждахи.6</t>
  </si>
  <si>
    <t>М.Ждахи.8</t>
  </si>
  <si>
    <t>М.Ждахи.10</t>
  </si>
  <si>
    <t>М.Ждахи.11</t>
  </si>
  <si>
    <t>М.Ждахи.13</t>
  </si>
  <si>
    <t>М.Ждахи.15</t>
  </si>
  <si>
    <t>Ак.Возняка.1</t>
  </si>
  <si>
    <t>Варшавська.104</t>
  </si>
  <si>
    <t>Варшавська.106</t>
  </si>
  <si>
    <t>Варшавська.108</t>
  </si>
  <si>
    <t>Варшавська.120</t>
  </si>
  <si>
    <t>Варшавська.122</t>
  </si>
  <si>
    <t>Варшавська.133в</t>
  </si>
  <si>
    <t>Варшавська.167</t>
  </si>
  <si>
    <t>Підголоском.1</t>
  </si>
  <si>
    <t>Підголоском.15</t>
  </si>
  <si>
    <t>Підголоском.17</t>
  </si>
  <si>
    <t>Ланова.9</t>
  </si>
  <si>
    <t>Ланова.11</t>
  </si>
  <si>
    <t>Ланова.13</t>
  </si>
  <si>
    <t>Ланова.14</t>
  </si>
  <si>
    <t>Млинова.1</t>
  </si>
  <si>
    <t>Млинова.3</t>
  </si>
  <si>
    <t>Млинова.5</t>
  </si>
  <si>
    <t>Теслярська.2</t>
  </si>
  <si>
    <t>В.Загули.4</t>
  </si>
  <si>
    <t>В.Загули.12</t>
  </si>
  <si>
    <t>Рільнича.7</t>
  </si>
  <si>
    <t>Рільнича.9</t>
  </si>
  <si>
    <t>Рільнича.10</t>
  </si>
  <si>
    <t>Рільнича.11</t>
  </si>
  <si>
    <t>Рільнича.14</t>
  </si>
  <si>
    <t>П.Панча.8</t>
  </si>
  <si>
    <t>П.Панча.10</t>
  </si>
  <si>
    <t>П.Панча.12</t>
  </si>
  <si>
    <t>П.Панча.18</t>
  </si>
  <si>
    <t>П.Панча.22</t>
  </si>
  <si>
    <t>П.Панча.24</t>
  </si>
  <si>
    <t>П.Панча.26</t>
  </si>
  <si>
    <t>Ю.Липи.14</t>
  </si>
  <si>
    <t>Ю.Липи.16</t>
  </si>
  <si>
    <t>Ю.Липи.18</t>
  </si>
  <si>
    <t>Ю.Липи.20</t>
  </si>
  <si>
    <t>Ю.Липи.35</t>
  </si>
  <si>
    <t>Ю.Липи.37</t>
  </si>
  <si>
    <t>Ю.Липи.39</t>
  </si>
  <si>
    <t>Ю.Липи.43</t>
  </si>
  <si>
    <t>Ю.Липи.45</t>
  </si>
  <si>
    <t>пр.Чорновола.101</t>
  </si>
  <si>
    <t>пр.Чорновола.103</t>
  </si>
  <si>
    <t>пр.Чорновола.95</t>
  </si>
  <si>
    <t>пр.Чорновола.99</t>
  </si>
  <si>
    <t>І . Миколайчука 20</t>
  </si>
  <si>
    <t>І . Миколайчука 22</t>
  </si>
  <si>
    <t>І . Миколайчука 24</t>
  </si>
  <si>
    <t>І . Миколайчука 28</t>
  </si>
  <si>
    <t>І . Миколайчука 30</t>
  </si>
  <si>
    <t>І . Миколайчука 32</t>
  </si>
  <si>
    <t>І . Миколайчука 36</t>
  </si>
  <si>
    <t>І . Миколайчука 38</t>
  </si>
  <si>
    <t>І . Миколайчука 40</t>
  </si>
  <si>
    <t>Щурата 4</t>
  </si>
  <si>
    <t>Щурата 5</t>
  </si>
  <si>
    <t>Щурата 7</t>
  </si>
  <si>
    <t>Адреса будинків</t>
  </si>
  <si>
    <t>Щурата 8</t>
  </si>
  <si>
    <t>Щурата 9</t>
  </si>
  <si>
    <t xml:space="preserve">4 розряд в штатному </t>
  </si>
  <si>
    <t>к-сть 1 в штатному</t>
  </si>
  <si>
    <t>в штатному кіл-сть 2</t>
  </si>
  <si>
    <t>4 розряд</t>
  </si>
  <si>
    <t>окрім цього в в штатному є аварійна служба з слюсаром сант 2  та електрик 1 ос.</t>
  </si>
  <si>
    <t xml:space="preserve">зварювальник 4 розряду </t>
  </si>
  <si>
    <t>в штатному 1 особа</t>
  </si>
  <si>
    <t>в штатному 1 чистильщик 4 розряду</t>
  </si>
  <si>
    <t>4 розряду</t>
  </si>
  <si>
    <t xml:space="preserve">водія немає в штатному розписі </t>
  </si>
  <si>
    <t>в штатному є 2 маляри</t>
  </si>
  <si>
    <t>в поточному ремонті</t>
  </si>
  <si>
    <t>в штатному сл.сантехніків є 3</t>
  </si>
  <si>
    <t>1 на гар.водопостачання</t>
  </si>
  <si>
    <t xml:space="preserve">2 сл.сан на ц.о </t>
  </si>
  <si>
    <t>1 на гар.водопост</t>
  </si>
  <si>
    <t xml:space="preserve">в штатному на хол.водопостач та водовідведенння 2 слюсари  </t>
  </si>
  <si>
    <t>1 на водопостачання</t>
  </si>
  <si>
    <t>1 на каналізацію</t>
  </si>
  <si>
    <t>1 слюсар 4 розряду</t>
  </si>
  <si>
    <t>Щурата 10</t>
  </si>
  <si>
    <t>Щурата 12</t>
  </si>
  <si>
    <t>Щурата 13</t>
  </si>
  <si>
    <t>Щурата 14</t>
  </si>
  <si>
    <t>Очеретяна 31 а</t>
  </si>
  <si>
    <t>РАЗОМ по ЛКП</t>
  </si>
  <si>
    <t>Всього по району:</t>
  </si>
  <si>
    <t>№ п/п</t>
  </si>
  <si>
    <t>Загальна площа квартир будинку</t>
  </si>
  <si>
    <t>Площа прибудинкова територія</t>
  </si>
  <si>
    <t>К-сть двірників</t>
  </si>
  <si>
    <t>Заробітна плата</t>
  </si>
  <si>
    <t>Відрахування на соціальні заходи</t>
  </si>
  <si>
    <t>Накладні витрати</t>
  </si>
  <si>
    <t>Матеріальні витрати</t>
  </si>
  <si>
    <t>Витрати на прибирання прибудинкової території 1кв.м.</t>
  </si>
  <si>
    <t>Разом:</t>
  </si>
  <si>
    <t>Площа підвалів (першого поверху)</t>
  </si>
  <si>
    <t>Середньомісячний тариф на проведення дератизаційних робіт</t>
  </si>
  <si>
    <t>Вартість дератизаційних робіт</t>
  </si>
  <si>
    <t>Кількість квартир</t>
  </si>
  <si>
    <t>К-сть електриків</t>
  </si>
  <si>
    <t>ЛКП "Рясне - 402"</t>
  </si>
  <si>
    <t>ЛКП "Варшавська -407"</t>
  </si>
  <si>
    <t xml:space="preserve">К-ть столярів </t>
  </si>
  <si>
    <t>Витрати на підготовку житлових будинків до експлуатації в осінньо-зимовий період</t>
  </si>
  <si>
    <t>ЛКП "Збоїща-408"</t>
  </si>
  <si>
    <t xml:space="preserve">К-ть малярів </t>
  </si>
  <si>
    <t>Витрати на поточний ремонт (малярів, мулярів, штукатурів)</t>
  </si>
  <si>
    <t>Район</t>
  </si>
  <si>
    <t>К-сть електрогазозварювальників</t>
  </si>
  <si>
    <t>Витрати на електрогазозварювальні роботи</t>
  </si>
  <si>
    <t>ЛКП "Тополя 406"</t>
  </si>
  <si>
    <t>ЛКП "Варшавське 407"</t>
  </si>
  <si>
    <t xml:space="preserve">         Адреса</t>
  </si>
  <si>
    <t>К-ть водіїв</t>
  </si>
  <si>
    <t>Витрати на утримання виробничих майстерень</t>
  </si>
  <si>
    <t>Нормативна кількість димових каналів</t>
  </si>
  <si>
    <t>Фактична кількість димових каналів</t>
  </si>
  <si>
    <t>Нормативна кількість вентиляційних каналів</t>
  </si>
  <si>
    <t>Фактична кількість вентиляційних каналів</t>
  </si>
  <si>
    <t>Кількість чистильщиків димових каналів</t>
  </si>
  <si>
    <t>Кількість чистильщиків вентиляційних каналів</t>
  </si>
  <si>
    <t>Площа орендованих приміщень</t>
  </si>
  <si>
    <t>Площа викуплених приміщень</t>
  </si>
  <si>
    <t>Основна заробітна плата</t>
  </si>
  <si>
    <t xml:space="preserve">Накладні витрати </t>
  </si>
  <si>
    <t>Матеріали</t>
  </si>
  <si>
    <t>Витрати на обслуговування дим каналів</t>
  </si>
  <si>
    <t>гвода                хвода</t>
  </si>
  <si>
    <t>Під Голоском-410</t>
  </si>
  <si>
    <t>Північне-411</t>
  </si>
  <si>
    <t>Витрати на прибирання прибудинкової території  по ЛКП  Шевченківського р-ну</t>
  </si>
  <si>
    <t>рясне-402</t>
  </si>
  <si>
    <t>Вашавське-407</t>
  </si>
  <si>
    <t>Збоїща-408</t>
  </si>
  <si>
    <t>Балатон-409</t>
  </si>
  <si>
    <t>Всього по району</t>
  </si>
  <si>
    <t>Підголоском-410</t>
  </si>
  <si>
    <t>Витрати на підготовку житлових будинків до експлуатації в осінньо-зимовий період  по ЛКП  Щевченківського р-ну</t>
  </si>
  <si>
    <t>ВСЬОГО по району</t>
  </si>
  <si>
    <t>Витрати на обслуговування димовентиляційних каналів по ЛКП  Шевченківського р-ну</t>
  </si>
  <si>
    <t>північне-411</t>
  </si>
  <si>
    <t>Витрати на обслуговування внутрішньобудинкових систем ц/опалення та г/водопостачання   по  ЛКП   Шевченківського р-ну</t>
  </si>
  <si>
    <t>К-сть слюсарів-сантехніків</t>
  </si>
  <si>
    <t xml:space="preserve">Витрати на обслуговування внутрішньобудинкових систем ц/о та г/водопостачання </t>
  </si>
  <si>
    <t>ц.о.</t>
  </si>
  <si>
    <t>ПідГолоском-410</t>
  </si>
  <si>
    <t>Витрати на обслуговування внутрішньобудинкових систем водопостачання та водовідведення  по  ЛКП   Шевченківського р-ну</t>
  </si>
  <si>
    <t>ПідГолоском -410</t>
  </si>
  <si>
    <t>Витрати на підготовку житлових будинків до експлуатації в осінньо-зимовий період  по ЛКП  Шевченківського р-ну</t>
  </si>
  <si>
    <t xml:space="preserve">                   Витрати на покрівельні роботи по ЛКП Шевченківського р-ну</t>
  </si>
  <si>
    <t>Чучмана,3</t>
  </si>
  <si>
    <t>Витрати на електрогазозварювальні роботи по ЛКП  Шевченківського р-ну</t>
  </si>
  <si>
    <t>Північне411</t>
  </si>
  <si>
    <t>9;5</t>
  </si>
  <si>
    <t>Тичини,17</t>
  </si>
  <si>
    <t>4^5</t>
  </si>
  <si>
    <t>5^6</t>
  </si>
  <si>
    <t>2^5</t>
  </si>
  <si>
    <t>Шевченка,392</t>
  </si>
  <si>
    <t>Шевченка,392а</t>
  </si>
  <si>
    <t>Вид покрівлі</t>
  </si>
  <si>
    <t>Покрівля з чорної покр. сталі:</t>
  </si>
  <si>
    <t>до 200 м2</t>
  </si>
  <si>
    <t>до500 м2</t>
  </si>
  <si>
    <t>більше 500 м2</t>
  </si>
  <si>
    <t>Мяка покрівля:</t>
  </si>
  <si>
    <t>до 500 м2</t>
  </si>
  <si>
    <t>понад 500 м2</t>
  </si>
  <si>
    <t>Азбестоцементні:</t>
  </si>
  <si>
    <t>від 200 до 500 м2</t>
  </si>
  <si>
    <t>Інші:</t>
  </si>
  <si>
    <t>Загальна площа покрівель по ЛКП "Збоїща-408"</t>
  </si>
  <si>
    <t>ЛКП "Північне-411"</t>
  </si>
  <si>
    <t>Витрати на освітлення МЗК, в т.ч. підвалів та підкачку води</t>
  </si>
  <si>
    <t>Витрати на освітлення МЗК,підвалів,підкачку води</t>
  </si>
  <si>
    <t>Витрати на дератизацію по ЛКП Шевченківського р-ну</t>
  </si>
  <si>
    <t>Янів-405</t>
  </si>
  <si>
    <t>Варшавське-407</t>
  </si>
  <si>
    <t>Разом по району</t>
  </si>
  <si>
    <t>ЛКП Тополя-406"</t>
  </si>
  <si>
    <t>Витрати на поточний ремонт (маляри, муляри, штукатури)  по ЛКП Шевченківського р-ну</t>
  </si>
  <si>
    <t>Разом по району:</t>
  </si>
  <si>
    <t>Розрахунок витрат на прибирання сходових кліток</t>
  </si>
  <si>
    <t>з розрахунку на 1 кв.м житлової площі</t>
  </si>
  <si>
    <t>№п/п</t>
  </si>
  <si>
    <t>Адреса</t>
  </si>
  <si>
    <t>кількість двірників</t>
  </si>
  <si>
    <t>заробітна плата</t>
  </si>
  <si>
    <t>відрахування на соціальні заходи</t>
  </si>
  <si>
    <t>накладні витрати</t>
  </si>
  <si>
    <t>матеріальні витрати</t>
  </si>
  <si>
    <t>витрати на прибирання сход.кліток на 1 кв.м</t>
  </si>
  <si>
    <t>РАЗОМ</t>
  </si>
  <si>
    <t>Рясне-402</t>
  </si>
  <si>
    <t>Шевченка 320</t>
  </si>
  <si>
    <t>Шевченка 322</t>
  </si>
  <si>
    <t>Шевченка 338</t>
  </si>
  <si>
    <t>Шевченка 340</t>
  </si>
  <si>
    <t>Шевченка 342</t>
  </si>
  <si>
    <t xml:space="preserve">Шевченка 344 </t>
  </si>
  <si>
    <t xml:space="preserve">Шевченка 344а </t>
  </si>
  <si>
    <t>Шевченка 348</t>
  </si>
  <si>
    <t>Шевченка 350</t>
  </si>
  <si>
    <t>Шевченка 350а</t>
  </si>
  <si>
    <t xml:space="preserve">Шевченка 352 </t>
  </si>
  <si>
    <t>Шевченка 354</t>
  </si>
  <si>
    <t>Шевченка 358</t>
  </si>
  <si>
    <t>Шевченка 358б</t>
  </si>
  <si>
    <t>Шевченка 360</t>
  </si>
  <si>
    <t>Шевченка 366</t>
  </si>
  <si>
    <t>Шевченка 366а</t>
  </si>
  <si>
    <t>Шевченка 366б</t>
  </si>
  <si>
    <t>Шевченка 368</t>
  </si>
  <si>
    <t>Шевченка 370</t>
  </si>
  <si>
    <t>Шевченка 374</t>
  </si>
  <si>
    <t>Шевченка 376</t>
  </si>
  <si>
    <t>Шевченка 376а</t>
  </si>
  <si>
    <t>Шевченка 384</t>
  </si>
  <si>
    <t>Шевченка 386</t>
  </si>
  <si>
    <t>Шевченка 394</t>
  </si>
  <si>
    <t>Шевченка 396</t>
  </si>
  <si>
    <t>Шевченка 398</t>
  </si>
  <si>
    <t>Шевченка 400</t>
  </si>
  <si>
    <t>Шевченка 406</t>
  </si>
  <si>
    <t>Шевченка 408</t>
  </si>
  <si>
    <t xml:space="preserve">Шевченка 412 </t>
  </si>
  <si>
    <t>Шевченка 171</t>
  </si>
  <si>
    <t>Шевченка 240</t>
  </si>
  <si>
    <t>Шевченка 241</t>
  </si>
  <si>
    <t>Шевченка 374а</t>
  </si>
  <si>
    <t>Шевченка 364</t>
  </si>
  <si>
    <t>Ожинова 1</t>
  </si>
  <si>
    <t>Порічкова 15</t>
  </si>
  <si>
    <t>Біберовича 9</t>
  </si>
  <si>
    <t>Біберовича 11</t>
  </si>
  <si>
    <t>Біберовича 17</t>
  </si>
  <si>
    <t>Біберовича 19</t>
  </si>
  <si>
    <t>Світла 6</t>
  </si>
  <si>
    <t>Диктова 2</t>
  </si>
  <si>
    <t>Брюховицька 33</t>
  </si>
  <si>
    <t>Чикаленка 31</t>
  </si>
  <si>
    <t>І.Величковського 2</t>
  </si>
  <si>
    <t>І.Величковського 4</t>
  </si>
  <si>
    <t>І.Величковського 6</t>
  </si>
  <si>
    <t>І.Величковського 8</t>
  </si>
  <si>
    <t>І.Величковського 10</t>
  </si>
  <si>
    <t>І.Величковського 14</t>
  </si>
  <si>
    <t>І.Величковського 16</t>
  </si>
  <si>
    <t>І.Величковського 18</t>
  </si>
  <si>
    <t>І.Величковського 22</t>
  </si>
  <si>
    <t>І.Величковського 30</t>
  </si>
  <si>
    <t>І.Величковського 32</t>
  </si>
  <si>
    <t>І.Величковського 36</t>
  </si>
  <si>
    <t>І.Величковського 40</t>
  </si>
  <si>
    <t>І.Величковського 42</t>
  </si>
  <si>
    <t>І.Величковського 44</t>
  </si>
  <si>
    <t>І.Величковського 48</t>
  </si>
  <si>
    <t>І.Величковського  50</t>
  </si>
  <si>
    <t>І.Величковського  52</t>
  </si>
  <si>
    <t>І.Величковського 54</t>
  </si>
  <si>
    <t>Всього ЛКП</t>
  </si>
  <si>
    <t>Я.Остряниці,1</t>
  </si>
  <si>
    <t>Я.Остряниці,3</t>
  </si>
  <si>
    <t>Я.Остряниці,4</t>
  </si>
  <si>
    <t>Я.Остряниці,6</t>
  </si>
  <si>
    <t>Я.Остряниці,8</t>
  </si>
  <si>
    <t>Я.Остряниці,10</t>
  </si>
  <si>
    <t>Я.Остряниці,12</t>
  </si>
  <si>
    <t>Я.Остряниці,14</t>
  </si>
  <si>
    <t>Я.Остряниці,16</t>
  </si>
  <si>
    <t>Я.Остряниці,20</t>
  </si>
  <si>
    <t>Я.Остряниці,22</t>
  </si>
  <si>
    <t>Я.Остряниці,24</t>
  </si>
  <si>
    <t>І.Миколайчука 11</t>
  </si>
  <si>
    <t>Я.Остряниці,26</t>
  </si>
  <si>
    <t>Огіркова,2</t>
  </si>
  <si>
    <t>Огіркова,4</t>
  </si>
  <si>
    <t>Огіркова,9</t>
  </si>
  <si>
    <t>Огіркова,9а</t>
  </si>
  <si>
    <t>Огіркова,11</t>
  </si>
  <si>
    <t>Огіркова,13</t>
  </si>
  <si>
    <t>Огіркова,15</t>
  </si>
  <si>
    <t>Долинського,2</t>
  </si>
  <si>
    <t>Долинського,2а</t>
  </si>
  <si>
    <t>Долинського,4</t>
  </si>
  <si>
    <t>Долинського,6</t>
  </si>
  <si>
    <t>Долинського,8</t>
  </si>
  <si>
    <t>Б.Хмельницького,42</t>
  </si>
  <si>
    <t>Б.Хмельницького,44</t>
  </si>
  <si>
    <t>Б.Хмельницького,46</t>
  </si>
  <si>
    <t>Б.Хмельницького,48</t>
  </si>
  <si>
    <t>Б.Хмельницького,56</t>
  </si>
  <si>
    <t>Б.Хмельницького,60</t>
  </si>
  <si>
    <t>Б.Хмельницького,62</t>
  </si>
  <si>
    <t>Б.Хмельницького,64</t>
  </si>
  <si>
    <t>Б.Хмельницького,66</t>
  </si>
  <si>
    <t>Б.Хмельницького,58</t>
  </si>
  <si>
    <t>Б.Хмельницького,72</t>
  </si>
  <si>
    <t>Б.Хмельницького,74</t>
  </si>
  <si>
    <t>Б.Хмельницького,82</t>
  </si>
  <si>
    <t>Б.Хмельницького,96</t>
  </si>
  <si>
    <t>Б.Хмельницького,100</t>
  </si>
  <si>
    <t>Б.Хмельницького,73</t>
  </si>
  <si>
    <t>Б.Хмельницького,83</t>
  </si>
  <si>
    <t>Б.Хмельницького,85</t>
  </si>
  <si>
    <t>Б.Хмельницького,87</t>
  </si>
  <si>
    <t>Б.Хмельницького,95</t>
  </si>
  <si>
    <t>Б.Хмельницького,97</t>
  </si>
  <si>
    <t>Б.Хмельницького,105</t>
  </si>
  <si>
    <t>Б.Хмельницького,113</t>
  </si>
  <si>
    <t>Б.Хмельницького,115</t>
  </si>
  <si>
    <t>Б.Хмельницького,117</t>
  </si>
  <si>
    <t>Б.Хмельницького,123</t>
  </si>
  <si>
    <t>Б.Хмельницького,125</t>
  </si>
  <si>
    <t>Б.Хмельницького,127</t>
  </si>
  <si>
    <t>Б.Хмельницького,129</t>
  </si>
  <si>
    <t>Б.Хмельницького,133</t>
  </si>
  <si>
    <t>Б.Хмельницького,135</t>
  </si>
  <si>
    <t>Б.Хмельницького,137</t>
  </si>
  <si>
    <t>Б.Хмельницького,139</t>
  </si>
  <si>
    <t>Б.Хмельницького,145</t>
  </si>
  <si>
    <t>Б.Хмельницького,149</t>
  </si>
  <si>
    <t>Б.Хмельницького,151</t>
  </si>
  <si>
    <t>Б.Хмельницького,153</t>
  </si>
  <si>
    <t>Б.Хмельницького,159</t>
  </si>
  <si>
    <t>Б.Хмельницького,161</t>
  </si>
  <si>
    <t>Б.Хмельницького,163</t>
  </si>
  <si>
    <t>Б.Хмельницького,165</t>
  </si>
  <si>
    <t>Б.Хмельницького,167</t>
  </si>
  <si>
    <t>Б.Хмельницького,173</t>
  </si>
  <si>
    <t>Б.Хмельницького,175</t>
  </si>
  <si>
    <t>Б.Хмельницького,177</t>
  </si>
  <si>
    <t>Б.Хмельницького,179</t>
  </si>
  <si>
    <t>Б.Хмельницького,187</t>
  </si>
  <si>
    <t>Б.Хмельницького,187а</t>
  </si>
  <si>
    <t>Б.Хмельницького,187б</t>
  </si>
  <si>
    <t>Б.Хмельницького,189</t>
  </si>
  <si>
    <t>Б.Хмельницького,191</t>
  </si>
  <si>
    <t>Б.Хмельницького,195</t>
  </si>
  <si>
    <t>Б.Хмельницького,199</t>
  </si>
  <si>
    <t>Б.Хмельницького,201</t>
  </si>
  <si>
    <t>Б.Хмельницького,203</t>
  </si>
  <si>
    <t>Б.Хмельницького,203а</t>
  </si>
  <si>
    <t>Б.Хмельницького,215</t>
  </si>
  <si>
    <t>Жовківська,1</t>
  </si>
  <si>
    <t>Жовківська,1а</t>
  </si>
  <si>
    <t>Жовківська,3</t>
  </si>
  <si>
    <t>Жовківська,5</t>
  </si>
  <si>
    <t>Жовківська,7</t>
  </si>
  <si>
    <t>Жовківська,9</t>
  </si>
  <si>
    <t>Жовківська,9а</t>
  </si>
  <si>
    <t>Жовківська,13</t>
  </si>
  <si>
    <t>Жовківська,17</t>
  </si>
  <si>
    <t>Жовківська,17а</t>
  </si>
  <si>
    <t>Жовківська,15</t>
  </si>
  <si>
    <t>Жовківська,14</t>
  </si>
  <si>
    <t>Жовківська,16</t>
  </si>
  <si>
    <t>Жовківська,20</t>
  </si>
  <si>
    <t>Жовківська,24</t>
  </si>
  <si>
    <t>Жовківська,24а</t>
  </si>
  <si>
    <t>Жовківська,24б</t>
  </si>
  <si>
    <t>Жовківська,26</t>
  </si>
  <si>
    <t>Жовківська,32б</t>
  </si>
  <si>
    <t>Жовківська,35</t>
  </si>
  <si>
    <t>Жовківська,41</t>
  </si>
  <si>
    <t>Жовківська,47а</t>
  </si>
  <si>
    <t>Жовківська,49а</t>
  </si>
  <si>
    <t>Жовківська,57</t>
  </si>
  <si>
    <t>Жовківська,61</t>
  </si>
  <si>
    <t>Замарстинівська,36</t>
  </si>
  <si>
    <t>Замарстинівська,38</t>
  </si>
  <si>
    <t>Гайдамацька,1</t>
  </si>
  <si>
    <t>Гайдамацька,3</t>
  </si>
  <si>
    <t>Гайдамацька,5</t>
  </si>
  <si>
    <t>Гайдамацька,7</t>
  </si>
  <si>
    <t>Шкільна,6</t>
  </si>
  <si>
    <t>І.Чучмана,2</t>
  </si>
  <si>
    <t>Донецька,1</t>
  </si>
  <si>
    <t>Донецька,4</t>
  </si>
  <si>
    <t>Донецька,6</t>
  </si>
  <si>
    <t>Донецька,9</t>
  </si>
  <si>
    <t>Донецька,10</t>
  </si>
  <si>
    <t>Донецька,12</t>
  </si>
  <si>
    <t>Донецька,17</t>
  </si>
  <si>
    <t>Донецька,21</t>
  </si>
  <si>
    <t>Донецька,26</t>
  </si>
  <si>
    <t>Донецька,40</t>
  </si>
  <si>
    <t>Донецька,46</t>
  </si>
  <si>
    <t>Донецька,11</t>
  </si>
  <si>
    <t>Волинська,2</t>
  </si>
  <si>
    <t>Волинська,3</t>
  </si>
  <si>
    <t>Волинська,5</t>
  </si>
  <si>
    <t>Волинська,7</t>
  </si>
  <si>
    <t>Волинська,10</t>
  </si>
  <si>
    <t>Волинська,12</t>
  </si>
  <si>
    <t>Волинська,14</t>
  </si>
  <si>
    <t>Волинська,21</t>
  </si>
  <si>
    <t>Волинська,23</t>
  </si>
  <si>
    <t>Волинська,27</t>
  </si>
  <si>
    <t>Волинська,29</t>
  </si>
  <si>
    <t>Волинська,31</t>
  </si>
  <si>
    <t>Стрімка,2</t>
  </si>
  <si>
    <t>Стрімка,2а</t>
  </si>
  <si>
    <t>Стрімка,2ц</t>
  </si>
  <si>
    <t>Стрімка,3</t>
  </si>
  <si>
    <t>Купчинського,3</t>
  </si>
  <si>
    <t>Стрімка,4</t>
  </si>
  <si>
    <t>Стрімка,6</t>
  </si>
  <si>
    <t>Стрімка,7</t>
  </si>
  <si>
    <t>Караїмська,3</t>
  </si>
  <si>
    <t>Караїмська,5</t>
  </si>
  <si>
    <t>Караїмська,7</t>
  </si>
  <si>
    <t>Караїмська,9</t>
  </si>
  <si>
    <t>Караїмська,11а</t>
  </si>
  <si>
    <t>Караїмська,12</t>
  </si>
  <si>
    <t>К.Скидана,4</t>
  </si>
  <si>
    <t>К.Скидана,6</t>
  </si>
  <si>
    <t>Підзамче,3</t>
  </si>
  <si>
    <t>Підзамче,4</t>
  </si>
  <si>
    <t>Підзамче,5</t>
  </si>
  <si>
    <t>Підзамче,6</t>
  </si>
  <si>
    <t>Підзамче,7</t>
  </si>
  <si>
    <t>Підзамче,8</t>
  </si>
  <si>
    <t>Підзамче,9</t>
  </si>
  <si>
    <t>Підзамче,11</t>
  </si>
  <si>
    <t>Підзамче,13</t>
  </si>
  <si>
    <t>Підзамче,15</t>
  </si>
  <si>
    <t>Промислова,16</t>
  </si>
  <si>
    <t>Промислова,47</t>
  </si>
  <si>
    <t>Промислова,20</t>
  </si>
  <si>
    <t>Промислова,31</t>
  </si>
  <si>
    <t>Промислова,33</t>
  </si>
  <si>
    <t>Липинського,48</t>
  </si>
  <si>
    <t>Липинського,58</t>
  </si>
  <si>
    <t>Нафтова,3</t>
  </si>
  <si>
    <t>Діаманда,3</t>
  </si>
  <si>
    <t>Замарстинівська 232</t>
  </si>
  <si>
    <t>Баронча 5</t>
  </si>
  <si>
    <t>Баронча 6</t>
  </si>
  <si>
    <t>Біляшівського 1</t>
  </si>
  <si>
    <t>Весняна 13</t>
  </si>
  <si>
    <t>Весняна 15</t>
  </si>
  <si>
    <t>Гайдамацька 2</t>
  </si>
  <si>
    <t>Гайдамацька 4</t>
  </si>
  <si>
    <t>Гайдамацька 6</t>
  </si>
  <si>
    <t>Гайдамацька 8</t>
  </si>
  <si>
    <t>Гайдамацька 10</t>
  </si>
  <si>
    <t>Гайдамацька 12</t>
  </si>
  <si>
    <t>Гайдамацька 14</t>
  </si>
  <si>
    <t>Гайдамацька 16</t>
  </si>
  <si>
    <t>Гайдамацька 18</t>
  </si>
  <si>
    <t>Городницька 1</t>
  </si>
  <si>
    <t>Городницька 3</t>
  </si>
  <si>
    <t>Городницька 4</t>
  </si>
  <si>
    <t>Городницька 5</t>
  </si>
  <si>
    <t>Городницька 6</t>
  </si>
  <si>
    <t>Городницька 6а</t>
  </si>
  <si>
    <t>Городницька 7</t>
  </si>
  <si>
    <t>Городницька 14</t>
  </si>
  <si>
    <t>Городницька 14а</t>
  </si>
  <si>
    <t>Городницька 19</t>
  </si>
  <si>
    <t>Городницька 26</t>
  </si>
  <si>
    <t>Городницька 27</t>
  </si>
  <si>
    <t>Городницька 38</t>
  </si>
  <si>
    <t>Городницька 44</t>
  </si>
  <si>
    <t>Городницька 44а</t>
  </si>
  <si>
    <t>Городницька 48</t>
  </si>
  <si>
    <t>Дашкевича 31</t>
  </si>
  <si>
    <t>Дашкевича 33</t>
  </si>
  <si>
    <t>Дашкевича 39</t>
  </si>
  <si>
    <t>Квітова 1</t>
  </si>
  <si>
    <t>Квітова 2</t>
  </si>
  <si>
    <t>Квітова 3</t>
  </si>
  <si>
    <t>Квітова 10</t>
  </si>
  <si>
    <t>С.Ковалевської 3</t>
  </si>
  <si>
    <t>С.Ковалевської 5</t>
  </si>
  <si>
    <t>С.Ковалевської 7</t>
  </si>
  <si>
    <t>С.Ковалевської 9</t>
  </si>
  <si>
    <t>Колодійська 11</t>
  </si>
  <si>
    <t>Колодійська 13</t>
  </si>
  <si>
    <t>Колодійська 16</t>
  </si>
  <si>
    <t>Корінна 3</t>
  </si>
  <si>
    <t>Корінна 9</t>
  </si>
  <si>
    <t>Корінна 16</t>
  </si>
  <si>
    <t>Корінна 19</t>
  </si>
  <si>
    <t>Корінна 21</t>
  </si>
  <si>
    <t>Крута 23</t>
  </si>
  <si>
    <t>Крута 35</t>
  </si>
  <si>
    <t>Мельничука 3</t>
  </si>
  <si>
    <t>Мельничука 7</t>
  </si>
  <si>
    <t>Мельничука 15</t>
  </si>
  <si>
    <t>Мельничука 16</t>
  </si>
  <si>
    <t>Мельничука 17</t>
  </si>
  <si>
    <t>Перекопська 8</t>
  </si>
  <si>
    <t>Перекопська 15</t>
  </si>
  <si>
    <t>ЛКП "Рясне-403"</t>
  </si>
  <si>
    <t>Перекопська 16</t>
  </si>
  <si>
    <t>Половинна 5</t>
  </si>
  <si>
    <t>Замарстинівська 50</t>
  </si>
  <si>
    <t>Замарстинівська 58</t>
  </si>
  <si>
    <t>Замарстинівська 64</t>
  </si>
  <si>
    <t>Замарстинівська 84</t>
  </si>
  <si>
    <t>Замарстинівська 52</t>
  </si>
  <si>
    <t>Замарстинівська 70</t>
  </si>
  <si>
    <t>Замарстинівська 98</t>
  </si>
  <si>
    <t>Замарстинівська 72</t>
  </si>
  <si>
    <t>Замарстинівська 94</t>
  </si>
  <si>
    <t>Замарстинівська 86</t>
  </si>
  <si>
    <t>Замарстинівська 106</t>
  </si>
  <si>
    <t>Замарстинівська 100</t>
  </si>
  <si>
    <t>Замарстинівська 74</t>
  </si>
  <si>
    <t>Замарстинівська 54</t>
  </si>
  <si>
    <t>Замарстинівська 68</t>
  </si>
  <si>
    <t>Замарстинівська 82</t>
  </si>
  <si>
    <t>Замарстинівська 108</t>
  </si>
  <si>
    <t>Липинського 22</t>
  </si>
  <si>
    <t>Східна 2</t>
  </si>
  <si>
    <t>Східна 5</t>
  </si>
  <si>
    <t>Східна 5а</t>
  </si>
  <si>
    <t>Східна 5б</t>
  </si>
  <si>
    <t>Східна 7</t>
  </si>
  <si>
    <t>Східна 25</t>
  </si>
  <si>
    <t>Східна 39</t>
  </si>
  <si>
    <t>Східна 42</t>
  </si>
  <si>
    <t>Східна 44</t>
  </si>
  <si>
    <t>Східна 46</t>
  </si>
  <si>
    <t xml:space="preserve">Заводська 3 </t>
  </si>
  <si>
    <t>Заводська 5</t>
  </si>
  <si>
    <t>Заводська 6</t>
  </si>
  <si>
    <t xml:space="preserve">Заводська 9 </t>
  </si>
  <si>
    <t>Заводська 11</t>
  </si>
  <si>
    <t xml:space="preserve">Заводська 12 </t>
  </si>
  <si>
    <t xml:space="preserve">Заводська 13 </t>
  </si>
  <si>
    <t>Заводська 14</t>
  </si>
  <si>
    <t xml:space="preserve">Заводська 15 </t>
  </si>
  <si>
    <t xml:space="preserve">Заводська 16 </t>
  </si>
  <si>
    <t xml:space="preserve">Заводська 17 </t>
  </si>
  <si>
    <t>Заводська 22</t>
  </si>
  <si>
    <t xml:space="preserve">Заводська 24 </t>
  </si>
  <si>
    <t>b</t>
  </si>
  <si>
    <t>Заміська, 1</t>
  </si>
  <si>
    <t xml:space="preserve">Заводська 26 </t>
  </si>
  <si>
    <t xml:space="preserve">Заводська 32 </t>
  </si>
  <si>
    <t xml:space="preserve">Заводська 34 </t>
  </si>
  <si>
    <t xml:space="preserve">Заводська 36 </t>
  </si>
  <si>
    <t>Заводська 38</t>
  </si>
  <si>
    <t xml:space="preserve">Заводська 39 </t>
  </si>
  <si>
    <t>Заводська 40</t>
  </si>
  <si>
    <t>Заводська 41</t>
  </si>
  <si>
    <t xml:space="preserve">Заводська 43 </t>
  </si>
  <si>
    <t xml:space="preserve">Заводська 45 </t>
  </si>
  <si>
    <t>Заводська 19</t>
  </si>
  <si>
    <t>Сінна 1</t>
  </si>
  <si>
    <t>Сінна 2</t>
  </si>
  <si>
    <t>Сінна 11</t>
  </si>
  <si>
    <t>Сінна 12</t>
  </si>
  <si>
    <t>Сінна 12а</t>
  </si>
  <si>
    <t>Сінна 30</t>
  </si>
  <si>
    <t>Тучапського 4</t>
  </si>
  <si>
    <t>Б.Тена 3</t>
  </si>
  <si>
    <t>Б.Тена 4</t>
  </si>
  <si>
    <t>Б.Тена 5</t>
  </si>
  <si>
    <t>Б.Тена 9</t>
  </si>
  <si>
    <t>Б.Тена 10</t>
  </si>
  <si>
    <t>Б.Тена 17</t>
  </si>
  <si>
    <t>Б.Тена,20</t>
  </si>
  <si>
    <t>Б.Тена 21</t>
  </si>
  <si>
    <t>Б.Тена 25</t>
  </si>
  <si>
    <t>Ткацька 4</t>
  </si>
  <si>
    <t>Ткацька 5</t>
  </si>
  <si>
    <t>Ткацька 6</t>
  </si>
  <si>
    <t>Ткацька 7</t>
  </si>
  <si>
    <t>Ткацька 8</t>
  </si>
  <si>
    <t>Ткацька 17</t>
  </si>
  <si>
    <t>Ткацька 23</t>
  </si>
  <si>
    <t>Я.Купала 5</t>
  </si>
  <si>
    <t>Я.Купала 7</t>
  </si>
  <si>
    <t>Я.Купала 8</t>
  </si>
  <si>
    <t>Я.Купала 9</t>
  </si>
  <si>
    <t>Я.Купала 20</t>
  </si>
  <si>
    <t>Я.Купала 21</t>
  </si>
  <si>
    <t>Я.Купала 26</t>
  </si>
  <si>
    <t>Я.Купала 28</t>
  </si>
  <si>
    <t>Я.Купала 29</t>
  </si>
  <si>
    <t>Я.Купала 33</t>
  </si>
  <si>
    <t>Я.Купала 40</t>
  </si>
  <si>
    <t>Лобачевського 3</t>
  </si>
  <si>
    <t>Лобачевського 4</t>
  </si>
  <si>
    <t>Лобачевського 5</t>
  </si>
  <si>
    <t>Лобачевського 6</t>
  </si>
  <si>
    <t>Лобачевського 7</t>
  </si>
  <si>
    <t>Лобачевського 8</t>
  </si>
  <si>
    <t>Лобачевського 8а</t>
  </si>
  <si>
    <t>Лобачевського 8б</t>
  </si>
  <si>
    <t>Лобачевського 9</t>
  </si>
  <si>
    <t>Лобачевського 10</t>
  </si>
  <si>
    <t>Лобачевського 11</t>
  </si>
  <si>
    <t>Лобачевського 12</t>
  </si>
  <si>
    <t>Лобачевського 13</t>
  </si>
  <si>
    <t>Лобачевського 14</t>
  </si>
  <si>
    <t>Лобачевського 15</t>
  </si>
  <si>
    <t>Лобачевського 16</t>
  </si>
  <si>
    <t>Лобачевського 17</t>
  </si>
  <si>
    <t>Лобачевського 18</t>
  </si>
  <si>
    <t>Лобачевського 19</t>
  </si>
  <si>
    <t>Лобачевського 20</t>
  </si>
  <si>
    <t>Лобачевського 21</t>
  </si>
  <si>
    <t>Лобачевського 22</t>
  </si>
  <si>
    <t>Лобачевського 23</t>
  </si>
  <si>
    <t>Лобачевського 25</t>
  </si>
  <si>
    <t>Узбецька 11</t>
  </si>
  <si>
    <t>Узбецька 11 а</t>
  </si>
  <si>
    <t>Східна 43</t>
  </si>
  <si>
    <t>Замарстинівська 11а</t>
  </si>
  <si>
    <t>Замарстинівська 11</t>
  </si>
  <si>
    <t>Замарстинівська 15</t>
  </si>
  <si>
    <t>Замарстинівська 17</t>
  </si>
  <si>
    <t>Замарстинівська 19</t>
  </si>
  <si>
    <t>Замарстинівська 21</t>
  </si>
  <si>
    <t>Замарстинівська 23</t>
  </si>
  <si>
    <t>Замарстинівська 27</t>
  </si>
  <si>
    <t>Замарстинівська 33</t>
  </si>
  <si>
    <t>Замарстинівська 47</t>
  </si>
  <si>
    <t>Замарстинівська 51</t>
  </si>
  <si>
    <t>Лемківська 1</t>
  </si>
  <si>
    <t>Лемківська 1а</t>
  </si>
  <si>
    <t>Лемківська 2</t>
  </si>
  <si>
    <t>Лемківська 4</t>
  </si>
  <si>
    <t>Лемківська 5</t>
  </si>
  <si>
    <t>Лемківська 6</t>
  </si>
  <si>
    <t>Лемківська 8</t>
  </si>
  <si>
    <t>Лемківська 10</t>
  </si>
  <si>
    <t>Лемківська 12</t>
  </si>
  <si>
    <t>Лемківська 14</t>
  </si>
  <si>
    <t>Лемківська 16</t>
  </si>
  <si>
    <t>Долинського 10</t>
  </si>
  <si>
    <t>Долинського 12</t>
  </si>
  <si>
    <t>Тесленка 3</t>
  </si>
  <si>
    <t>Тесленка 7</t>
  </si>
  <si>
    <t>Тесленка 9</t>
  </si>
  <si>
    <t>Тесленка 11</t>
  </si>
  <si>
    <t>С.Кушевича 10</t>
  </si>
  <si>
    <t>С.Кушевича 12</t>
  </si>
  <si>
    <t>Пр.чорновола 43</t>
  </si>
  <si>
    <t>Пр.чорновола 55</t>
  </si>
  <si>
    <t>Пр.чорновола 47</t>
  </si>
  <si>
    <t>Липинського 6</t>
  </si>
  <si>
    <t>Липинського 13</t>
  </si>
  <si>
    <t>Хімічна   22</t>
  </si>
  <si>
    <t>Хімічна   2</t>
  </si>
  <si>
    <t>Хімічна   3</t>
  </si>
  <si>
    <t>Хімічна   5</t>
  </si>
  <si>
    <t>Хімічна 18</t>
  </si>
  <si>
    <t>Ржегоржа 11</t>
  </si>
  <si>
    <t>Ржегоржа 11 б</t>
  </si>
  <si>
    <t>Ржегоржа 13</t>
  </si>
  <si>
    <t>Ржегоржа 16</t>
  </si>
  <si>
    <t>Ржегоржа 17</t>
  </si>
  <si>
    <t>Замарстинівська 67</t>
  </si>
  <si>
    <t>Замарстинівська 71</t>
  </si>
  <si>
    <t>Замарстинівська 97</t>
  </si>
  <si>
    <t>Замарстинівська 107</t>
  </si>
  <si>
    <t>Циганівка 16</t>
  </si>
  <si>
    <t>Циганівка 18</t>
  </si>
  <si>
    <t>Циганівка 24</t>
  </si>
  <si>
    <t>Реміснича 20</t>
  </si>
  <si>
    <t>Фіалкова 6</t>
  </si>
  <si>
    <t>Малинова 8</t>
  </si>
  <si>
    <t>Торфяна 5</t>
  </si>
  <si>
    <t>Торфяна 13</t>
  </si>
  <si>
    <t>Торфяна 17</t>
  </si>
  <si>
    <t>Торфяна 23</t>
  </si>
  <si>
    <t>Вербова 21</t>
  </si>
  <si>
    <t>Вербова 2</t>
  </si>
  <si>
    <t>Вербова 24</t>
  </si>
  <si>
    <t>Вербова 28</t>
  </si>
  <si>
    <t>Вербова 29</t>
  </si>
  <si>
    <t>Вербова 32</t>
  </si>
  <si>
    <t>Вербова 34</t>
  </si>
  <si>
    <t>Вербова 36</t>
  </si>
  <si>
    <t>Вербова 42</t>
  </si>
  <si>
    <t>Вербова 50</t>
  </si>
  <si>
    <t>Покутська 1</t>
  </si>
  <si>
    <t>Покутська 3</t>
  </si>
  <si>
    <t>Покутська 4</t>
  </si>
  <si>
    <t>Покутська 4а</t>
  </si>
  <si>
    <t>Покутська 5</t>
  </si>
  <si>
    <t>Покутська 6</t>
  </si>
  <si>
    <t>Покутська 10</t>
  </si>
  <si>
    <t>Покутська 12а</t>
  </si>
  <si>
    <t>Покутська 18</t>
  </si>
  <si>
    <t>Покутська 20</t>
  </si>
  <si>
    <t>Покутська 39</t>
  </si>
  <si>
    <t>Покутська 33</t>
  </si>
  <si>
    <t>Почовського 6</t>
  </si>
  <si>
    <t>Почовського 7</t>
  </si>
  <si>
    <t>Підрічна 3</t>
  </si>
  <si>
    <t>Підрічна 5</t>
  </si>
  <si>
    <t>Підрічна 9</t>
  </si>
  <si>
    <t>Торфяна 7</t>
  </si>
  <si>
    <t>Торфяна 9</t>
  </si>
  <si>
    <t>Торфяна 15</t>
  </si>
  <si>
    <t>Торфяна 19</t>
  </si>
  <si>
    <t>Тесленка,5</t>
  </si>
  <si>
    <t>Торфяна,11</t>
  </si>
  <si>
    <t>Бальзака.5</t>
  </si>
  <si>
    <t>Бальзака.7</t>
  </si>
  <si>
    <t>Бальзака.22</t>
  </si>
  <si>
    <t>Бальзака.35</t>
  </si>
  <si>
    <t>Угнівська.11</t>
  </si>
  <si>
    <t>Угнівська.13</t>
  </si>
  <si>
    <t>Угнівська.15</t>
  </si>
  <si>
    <t>Плетенецького.3</t>
  </si>
  <si>
    <t>Оглоблена.19</t>
  </si>
  <si>
    <t>Ак.Кучера.4</t>
  </si>
  <si>
    <t>Ак.Кучера.6</t>
  </si>
  <si>
    <t>Ак.Кучера.8</t>
  </si>
  <si>
    <t>Ак.Кучера.10</t>
  </si>
  <si>
    <t>Ак.Кучера.12</t>
  </si>
  <si>
    <t>Ак.Кучера.13</t>
  </si>
  <si>
    <t>Ак.Кучера.15</t>
  </si>
  <si>
    <t>Ак.Кучера.16</t>
  </si>
  <si>
    <t>Ак.Кучера.17</t>
  </si>
  <si>
    <t>Ак.Кучера.18</t>
  </si>
  <si>
    <t>Ак.Кучера.19</t>
  </si>
  <si>
    <t>Ак.Кучера.20</t>
  </si>
  <si>
    <t>Ак.Кучера.22</t>
  </si>
  <si>
    <t>Ак.Кучера.24</t>
  </si>
  <si>
    <t>Ак.Кучерв.26</t>
  </si>
  <si>
    <t>Базарна.10</t>
  </si>
  <si>
    <t>Базарна.12</t>
  </si>
  <si>
    <t>Базарна.28</t>
  </si>
  <si>
    <t>Базарна.34</t>
  </si>
  <si>
    <t>Базарна.36</t>
  </si>
  <si>
    <t>Базарна.50</t>
  </si>
  <si>
    <t>Батуринська.1</t>
  </si>
  <si>
    <t>Батуринська.3</t>
  </si>
  <si>
    <t>Батуринська.5</t>
  </si>
  <si>
    <t>Батуринська.7</t>
  </si>
  <si>
    <t>Ветеранів.2</t>
  </si>
  <si>
    <t>Ветеранів.3</t>
  </si>
  <si>
    <t>Ветеранів.4</t>
  </si>
  <si>
    <t>Ветеранів.5</t>
  </si>
  <si>
    <t>Ветеранів.6</t>
  </si>
  <si>
    <t>Ветеранів.8</t>
  </si>
  <si>
    <t>Водна.3</t>
  </si>
  <si>
    <t>Водна.4</t>
  </si>
  <si>
    <t>Г.Грекова,2</t>
  </si>
  <si>
    <t>Г.Грекова,4</t>
  </si>
  <si>
    <t>Г.Грекова,6</t>
  </si>
  <si>
    <t>Г.Грекова.8</t>
  </si>
  <si>
    <t>Джерельна.1</t>
  </si>
  <si>
    <t>Джерельна.19</t>
  </si>
  <si>
    <t>Джерельна.21</t>
  </si>
  <si>
    <t>Джерельна.23</t>
  </si>
  <si>
    <t>Джерельна.25</t>
  </si>
  <si>
    <t>Джерельна.27</t>
  </si>
  <si>
    <t>Джерельна.29</t>
  </si>
  <si>
    <t>Джерельна.31</t>
  </si>
  <si>
    <t>Джерельна.33</t>
  </si>
  <si>
    <t>Джерельна.35</t>
  </si>
  <si>
    <t>Джерельна.37</t>
  </si>
  <si>
    <t>Джерельна.39</t>
  </si>
  <si>
    <t>Джерельна.41</t>
  </si>
  <si>
    <t>Джерельна.43</t>
  </si>
  <si>
    <t>Джерельна.47</t>
  </si>
  <si>
    <t>Джерельна.49</t>
  </si>
  <si>
    <t>Джерельна.51</t>
  </si>
  <si>
    <t>Джерельна.55</t>
  </si>
  <si>
    <t>Джерельна.57</t>
  </si>
  <si>
    <t>Клепарівська.2</t>
  </si>
  <si>
    <t>Клепарівська.3</t>
  </si>
  <si>
    <t>Клепарівська.4</t>
  </si>
  <si>
    <t>Клепарівська.5</t>
  </si>
  <si>
    <t>Клепарівська.6</t>
  </si>
  <si>
    <t>Клепарівська.7</t>
  </si>
  <si>
    <t>Клепарівська.7а</t>
  </si>
  <si>
    <t>Клепарівська.8</t>
  </si>
  <si>
    <t>Клепарівська.9</t>
  </si>
  <si>
    <t>Клепарівська.10</t>
  </si>
  <si>
    <t>Клепарівська.11а</t>
  </si>
  <si>
    <t>Клепарівська.12</t>
  </si>
  <si>
    <t>Клепарівська.13</t>
  </si>
  <si>
    <t>Клепарівська.14</t>
  </si>
  <si>
    <t>Клепарівська.17</t>
  </si>
  <si>
    <t>Клепарівська.19</t>
  </si>
  <si>
    <t>Клепарівська.21</t>
  </si>
  <si>
    <t>Клеперівська,21а</t>
  </si>
  <si>
    <t>Клепарівська.23</t>
  </si>
  <si>
    <t>Клепарівська.24</t>
  </si>
  <si>
    <t>Клепарівська.25</t>
  </si>
  <si>
    <t>Клепарівська.25а</t>
  </si>
  <si>
    <t>Клепарівська.28</t>
  </si>
  <si>
    <t>Клепарівська.28а</t>
  </si>
  <si>
    <t>Клепарівська.33</t>
  </si>
  <si>
    <t>Кортумівка.4</t>
  </si>
  <si>
    <t>Кортумівка.6</t>
  </si>
  <si>
    <t>Кортумівка.8</t>
  </si>
  <si>
    <t>Крехівська.3</t>
  </si>
  <si>
    <t>Крехівська.4</t>
  </si>
  <si>
    <t>Крехівська.5</t>
  </si>
  <si>
    <t>Крехівська.6</t>
  </si>
  <si>
    <t>Крехівська.7</t>
  </si>
  <si>
    <t>Крехівська.8</t>
  </si>
  <si>
    <t>Крехівська.9</t>
  </si>
  <si>
    <t>Крехівська.10</t>
  </si>
  <si>
    <t>Крехівська.11</t>
  </si>
  <si>
    <t>Леонтовича.1</t>
  </si>
  <si>
    <t>Леонтовича.3</t>
  </si>
  <si>
    <t>Леонтовича.5</t>
  </si>
  <si>
    <t>Леонтовича.6</t>
  </si>
  <si>
    <t>Леонтовича.7</t>
  </si>
  <si>
    <t>Леонтовича.8</t>
  </si>
  <si>
    <t>Леонтовича.9</t>
  </si>
  <si>
    <t>Леонтовича.13</t>
  </si>
  <si>
    <t>Леонтовича,15</t>
  </si>
  <si>
    <t>Леонтовича.17</t>
  </si>
  <si>
    <t>Леонтовича.19</t>
  </si>
  <si>
    <t>Рапопорта.5</t>
  </si>
  <si>
    <t>Рапопорта.7</t>
  </si>
  <si>
    <t>Рапопорта.7а</t>
  </si>
  <si>
    <t>Рапопорта.7б</t>
  </si>
  <si>
    <t>Рапопорта.9</t>
  </si>
  <si>
    <t>Рапопорта.11</t>
  </si>
  <si>
    <t>Рапопорта.13</t>
  </si>
  <si>
    <t>Рапопорта.15</t>
  </si>
  <si>
    <t>Рапопорта.17</t>
  </si>
  <si>
    <t>Рапопорта.19</t>
  </si>
  <si>
    <t>Рапопорта.21</t>
  </si>
  <si>
    <t>Шевченка.4</t>
  </si>
  <si>
    <t>Шевченка.8</t>
  </si>
  <si>
    <t>Шевченка.12</t>
  </si>
  <si>
    <t>Шолом-Алейхема.1</t>
  </si>
  <si>
    <t>Шолом-Алейхема.3</t>
  </si>
  <si>
    <t>Шолом-Алейхема.5</t>
  </si>
  <si>
    <t>Шолом-Алейхема.7</t>
  </si>
  <si>
    <t>Шолом-Алейхема.9</t>
  </si>
  <si>
    <t>Шолом-Алейхема.13</t>
  </si>
  <si>
    <t>Шолом-Алейхема.15</t>
  </si>
  <si>
    <t>Шолом-Алейхема.17</t>
  </si>
  <si>
    <t>Кількість нежитлових приміщень</t>
  </si>
  <si>
    <t>Кількість нежитлових приміщень викуплених</t>
  </si>
  <si>
    <t xml:space="preserve"> площа квартир будинку</t>
  </si>
  <si>
    <t xml:space="preserve"> загальна площа квартир будинку</t>
  </si>
  <si>
    <t>загальна кількість квартир</t>
  </si>
  <si>
    <t>метал-680,9</t>
  </si>
  <si>
    <t>мяка-376,38</t>
  </si>
  <si>
    <t>площа квартир будинку</t>
  </si>
  <si>
    <t>Витрати на обслуговування аварійних служб ( ТРАП, РАП)</t>
  </si>
  <si>
    <t>Вартість обслуговування аварійними службами)</t>
  </si>
  <si>
    <t>азбестоцем</t>
  </si>
  <si>
    <t>мяка</t>
  </si>
  <si>
    <t>мягка</t>
  </si>
  <si>
    <t>азбестова</t>
  </si>
  <si>
    <t>загальна площа сходових кліток</t>
  </si>
  <si>
    <t xml:space="preserve"> загальна площа квартир будинку діючого тарифу</t>
  </si>
  <si>
    <t xml:space="preserve"> загальна сходових кліток діючого тарифу</t>
  </si>
  <si>
    <t>Витрати на обслуговуван-ня внутрішньобудинкових систем водопостачання та водовідведення</t>
  </si>
  <si>
    <t>Золота 18( 1 під)</t>
  </si>
  <si>
    <t>Золота,18 (2 під)</t>
  </si>
  <si>
    <t>Варшавська 1</t>
  </si>
  <si>
    <t>Золота 20 (2 під)</t>
  </si>
  <si>
    <t>Золота,20 (1 п)</t>
  </si>
  <si>
    <t>Середньомісячний тариф на проведення аварійних робіт</t>
  </si>
  <si>
    <t>Хімічна 50</t>
  </si>
  <si>
    <t>Шевченка,334</t>
  </si>
  <si>
    <t>Холодна,79</t>
  </si>
  <si>
    <t>Базарна, 44</t>
  </si>
  <si>
    <t>Водна, 5</t>
  </si>
  <si>
    <t>Тичини.21</t>
  </si>
  <si>
    <t>Східна 18</t>
  </si>
  <si>
    <t>Заводська 4</t>
  </si>
  <si>
    <t>металева</t>
  </si>
  <si>
    <t>по ЛКП Шевченківського р-ну з розрахунку на 1 кв.м житлової площі</t>
  </si>
  <si>
    <t>тип покрівлі</t>
  </si>
  <si>
    <t>Площа покрівель</t>
  </si>
  <si>
    <t xml:space="preserve">    К-ть покрівель</t>
  </si>
  <si>
    <t>Накладні  витрати</t>
  </si>
  <si>
    <t>Витрати на покрів. Роботи</t>
  </si>
  <si>
    <t>Витрати на аварійні роботи по ЛКП Шевченківського р-нуз розрахунку на 1 кв.м житлової площі</t>
  </si>
  <si>
    <t>Кількість квартир діючого тарифу</t>
  </si>
  <si>
    <t>Плужника, 4</t>
  </si>
  <si>
    <t>Випасова, 11</t>
  </si>
  <si>
    <t>Мідна,8</t>
  </si>
  <si>
    <t>Б.Хмельницького, 275</t>
  </si>
  <si>
    <t>Біберовича, 13</t>
  </si>
  <si>
    <t>Біберовича, 15</t>
  </si>
  <si>
    <t>Біберовича, 13а</t>
  </si>
  <si>
    <t>Шевченка, 262</t>
  </si>
  <si>
    <t>І.Величковського 38</t>
  </si>
  <si>
    <r>
      <t xml:space="preserve">Площа бетонних сходових кліток </t>
    </r>
    <r>
      <rPr>
        <b/>
        <sz val="10"/>
        <rFont val="Arial"/>
        <family val="2"/>
        <charset val="204"/>
      </rPr>
      <t>840</t>
    </r>
  </si>
  <si>
    <r>
      <t xml:space="preserve">Площа деревяних сходових кліток </t>
    </r>
    <r>
      <rPr>
        <b/>
        <sz val="10"/>
        <rFont val="Arial"/>
        <family val="2"/>
        <charset val="204"/>
      </rPr>
      <t>756</t>
    </r>
  </si>
  <si>
    <t>Хімічна   49а</t>
  </si>
  <si>
    <t>Б.Хмельницького, 205</t>
  </si>
  <si>
    <t xml:space="preserve">Загальна площа покрівель по ЛКП "Балатон-409"Шевченківського району </t>
  </si>
  <si>
    <t>І.Величковського 56</t>
  </si>
  <si>
    <t>Шевченка 404</t>
  </si>
  <si>
    <t>Шевченка 402</t>
  </si>
  <si>
    <t>ПРОЕКТ(фактична площа)</t>
  </si>
  <si>
    <t>Шевченка 414</t>
  </si>
  <si>
    <t>Шевченка 416</t>
  </si>
  <si>
    <t>Шевченка 362</t>
  </si>
  <si>
    <t>ЛКП"Рясне-402"</t>
  </si>
  <si>
    <t>ЛКП "Під Голоском-410"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</si>
  <si>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</si>
  <si>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Донецька, 7</t>
  </si>
  <si>
    <t xml:space="preserve">Т. Шевченка, 66 </t>
  </si>
  <si>
    <t>Моринецька, 3</t>
  </si>
  <si>
    <t>Шевченка 372</t>
  </si>
  <si>
    <t>м’яка</t>
  </si>
  <si>
    <t>м"яка</t>
  </si>
  <si>
    <t>Єрошенка, 20</t>
  </si>
  <si>
    <t>Кортумівка,10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</si>
  <si>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</si>
  <si>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</si>
  <si>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</si>
  <si>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</si>
  <si>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 на 1 кв.м. заг. площі квартири житлового примвщення у гуртожитку та нежитлового приміщення у житловому будинку (гуртожитку)</t>
  </si>
  <si>
    <t>Шевченка 318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</si>
  <si>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</si>
  <si>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Усереднений тариф</t>
  </si>
  <si>
    <t>РАЗОМ ПО РАЙОНУ</t>
  </si>
  <si>
    <t>№ П/п</t>
  </si>
  <si>
    <t xml:space="preserve"> </t>
  </si>
  <si>
    <t xml:space="preserve"> 4 розряд</t>
  </si>
  <si>
    <t>столярів  2</t>
  </si>
  <si>
    <t>в штаті 2 електрики 4 розряду</t>
  </si>
  <si>
    <t>1зварюв</t>
  </si>
  <si>
    <t>4 роз</t>
  </si>
  <si>
    <t>в штатному чистильщика немає</t>
  </si>
  <si>
    <t>я ставлю 1 одиницю 3 розряду?</t>
  </si>
  <si>
    <t>Прибуток, грн.</t>
  </si>
  <si>
    <t>Ріст тарифу, %</t>
  </si>
  <si>
    <t>Всього витрат, грн.</t>
  </si>
  <si>
    <t>Тариф  без ПДВ, грн.</t>
  </si>
  <si>
    <t>Тариф  з ПДВ, грн.</t>
  </si>
  <si>
    <t>діючий тариф з ПДВ, грн.</t>
  </si>
  <si>
    <t>Скориговані тарифи на послуги з утримання будинків та прибудинкових територій по ЛКП Шевченківського району</t>
  </si>
</sst>
</file>

<file path=xl/styles.xml><?xml version="1.0" encoding="utf-8"?>
<styleSheet xmlns="http://schemas.openxmlformats.org/spreadsheetml/2006/main">
  <numFmts count="8">
    <numFmt numFmtId="164" formatCode="_(&quot;$&quot;* #,##0.00_);_(&quot;$&quot;* \(#,##0.00\);_(&quot;$&quot;* &quot;-&quot;??_);_(@_)"/>
    <numFmt numFmtId="166" formatCode="0.00000"/>
    <numFmt numFmtId="167" formatCode="0.0000"/>
    <numFmt numFmtId="168" formatCode="0.000"/>
    <numFmt numFmtId="169" formatCode="0.000000"/>
    <numFmt numFmtId="170" formatCode="0.0"/>
    <numFmt numFmtId="172" formatCode="#\ ?/?"/>
    <numFmt numFmtId="173" formatCode="mmm\ dd"/>
  </numFmts>
  <fonts count="63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"/>
      <family val="2"/>
      <charset val="204"/>
    </font>
    <font>
      <sz val="12"/>
      <color indexed="10"/>
      <name val="Arial Narrow"/>
      <family val="2"/>
      <charset val="204"/>
    </font>
    <font>
      <sz val="12"/>
      <color indexed="53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2"/>
      <color indexed="10"/>
      <name val="Arial Narrow"/>
      <family val="2"/>
      <charset val="204"/>
    </font>
    <font>
      <b/>
      <sz val="12"/>
      <color indexed="20"/>
      <name val="Arial Narrow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indexed="8"/>
      <name val="Arial Narrow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color indexed="8"/>
      <name val="Arial Narrow"/>
      <family val="2"/>
      <charset val="204"/>
    </font>
    <font>
      <b/>
      <i/>
      <sz val="12"/>
      <color indexed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2"/>
      <color indexed="8"/>
      <name val="Arial Narrow"/>
      <family val="2"/>
      <charset val="204"/>
    </font>
    <font>
      <sz val="14"/>
      <name val="Arial Narrow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 Narrow"/>
      <family val="2"/>
      <charset val="204"/>
    </font>
    <font>
      <sz val="10"/>
      <color indexed="9"/>
      <name val="Arial"/>
      <family val="2"/>
      <charset val="204"/>
    </font>
    <font>
      <sz val="10"/>
      <name val="Arial Narrow"/>
      <family val="2"/>
      <charset val="204"/>
    </font>
    <font>
      <sz val="14"/>
      <name val="Arial"/>
      <family val="2"/>
      <charset val="204"/>
    </font>
    <font>
      <sz val="10"/>
      <color indexed="12"/>
      <name val="Arial"/>
      <family val="2"/>
      <charset val="204"/>
    </font>
    <font>
      <b/>
      <sz val="10"/>
      <name val="Arial Narrow"/>
      <family val="2"/>
      <charset val="204"/>
    </font>
    <font>
      <b/>
      <i/>
      <sz val="10"/>
      <name val="Arial"/>
      <family val="2"/>
      <charset val="204"/>
    </font>
    <font>
      <i/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sz val="12"/>
      <color indexed="62"/>
      <name val="Arial Narrow"/>
      <family val="2"/>
      <charset val="204"/>
    </font>
    <font>
      <sz val="10"/>
      <color indexed="48"/>
      <name val="Arial"/>
      <family val="2"/>
      <charset val="204"/>
    </font>
    <font>
      <b/>
      <sz val="16"/>
      <name val="Arial Narrow"/>
      <family val="2"/>
      <charset val="204"/>
    </font>
    <font>
      <b/>
      <sz val="16"/>
      <name val="Arial"/>
      <family val="2"/>
      <charset val="204"/>
    </font>
    <font>
      <b/>
      <sz val="18"/>
      <name val="Arial Narrow"/>
      <family val="2"/>
      <charset val="204"/>
    </font>
    <font>
      <b/>
      <sz val="11"/>
      <name val="Arial"/>
      <family val="2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12"/>
      <color indexed="48"/>
      <name val="Arial"/>
      <family val="2"/>
      <charset val="204"/>
    </font>
    <font>
      <sz val="12"/>
      <color indexed="48"/>
      <name val="Arial Narrow"/>
      <family val="2"/>
      <charset val="204"/>
    </font>
    <font>
      <i/>
      <sz val="12"/>
      <name val="Arial Narrow"/>
      <family val="2"/>
      <charset val="204"/>
    </font>
    <font>
      <i/>
      <sz val="12"/>
      <color indexed="48"/>
      <name val="Arial Narrow"/>
      <family val="2"/>
      <charset val="204"/>
    </font>
    <font>
      <i/>
      <sz val="12"/>
      <color indexed="53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2"/>
      <color indexed="10"/>
      <name val="Arial Narrow"/>
      <family val="2"/>
      <charset val="204"/>
    </font>
    <font>
      <i/>
      <sz val="12"/>
      <name val="Arial"/>
      <family val="2"/>
      <charset val="204"/>
    </font>
    <font>
      <sz val="10"/>
      <name val="Arial"/>
    </font>
    <font>
      <b/>
      <sz val="10"/>
      <name val="Arial"/>
    </font>
    <font>
      <sz val="12"/>
      <color indexed="9"/>
      <name val="Arial Narrow"/>
      <family val="2"/>
      <charset val="204"/>
    </font>
    <font>
      <sz val="10"/>
      <color indexed="9"/>
      <name val="Arial"/>
    </font>
    <font>
      <sz val="10"/>
      <color indexed="53"/>
      <name val="Arial"/>
      <family val="2"/>
      <charset val="204"/>
    </font>
    <font>
      <i/>
      <sz val="11"/>
      <name val="Arial"/>
      <family val="2"/>
      <charset val="204"/>
    </font>
    <font>
      <sz val="16"/>
      <name val="Arial Narrow"/>
      <family val="2"/>
      <charset val="204"/>
    </font>
    <font>
      <i/>
      <sz val="16"/>
      <name val="Arial Narrow"/>
      <family val="2"/>
      <charset val="204"/>
    </font>
    <font>
      <sz val="18"/>
      <name val="Arial Narrow"/>
      <family val="2"/>
      <charset val="204"/>
    </font>
    <font>
      <i/>
      <sz val="14"/>
      <name val="Arial Narrow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41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41"/>
      </patternFill>
    </fill>
    <fill>
      <patternFill patternType="solid">
        <fgColor indexed="51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41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41"/>
        <bgColor indexed="27"/>
      </patternFill>
    </fill>
    <fill>
      <patternFill patternType="solid">
        <fgColor indexed="47"/>
        <bgColor indexed="3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0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34"/>
      </patternFill>
    </fill>
    <fill>
      <patternFill patternType="solid">
        <fgColor indexed="43"/>
        <bgColor indexed="6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66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3" fillId="0" borderId="0" xfId="0" applyFont="1" applyFill="1"/>
    <xf numFmtId="2" fontId="3" fillId="0" borderId="1" xfId="0" applyNumberFormat="1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0" xfId="0" applyFont="1"/>
    <xf numFmtId="0" fontId="5" fillId="0" borderId="0" xfId="0" applyFont="1" applyFill="1"/>
    <xf numFmtId="0" fontId="5" fillId="0" borderId="0" xfId="0" applyFont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/>
    <xf numFmtId="0" fontId="6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Alignment="1">
      <alignment horizontal="left"/>
    </xf>
    <xf numFmtId="0" fontId="3" fillId="0" borderId="4" xfId="0" applyFont="1" applyFill="1" applyBorder="1"/>
    <xf numFmtId="168" fontId="3" fillId="0" borderId="0" xfId="0" applyNumberFormat="1" applyFont="1" applyFill="1"/>
    <xf numFmtId="0" fontId="3" fillId="0" borderId="4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9" fillId="0" borderId="1" xfId="0" applyFont="1" applyFill="1" applyBorder="1"/>
    <xf numFmtId="0" fontId="10" fillId="0" borderId="1" xfId="0" applyFont="1" applyFill="1" applyBorder="1"/>
    <xf numFmtId="0" fontId="4" fillId="2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/>
    <xf numFmtId="0" fontId="4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3" fillId="4" borderId="1" xfId="0" applyFont="1" applyFill="1" applyBorder="1" applyAlignment="1">
      <alignment horizontal="center" wrapText="1"/>
    </xf>
    <xf numFmtId="2" fontId="3" fillId="4" borderId="1" xfId="0" applyNumberFormat="1" applyFont="1" applyFill="1" applyBorder="1"/>
    <xf numFmtId="0" fontId="0" fillId="4" borderId="0" xfId="0" applyFill="1"/>
    <xf numFmtId="2" fontId="3" fillId="4" borderId="4" xfId="0" applyNumberFormat="1" applyFont="1" applyFill="1" applyBorder="1"/>
    <xf numFmtId="0" fontId="3" fillId="4" borderId="1" xfId="0" applyFont="1" applyFill="1" applyBorder="1"/>
    <xf numFmtId="168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1" xfId="0" applyFont="1" applyFill="1" applyBorder="1" applyAlignment="1">
      <alignment wrapText="1"/>
    </xf>
    <xf numFmtId="166" fontId="3" fillId="4" borderId="1" xfId="0" applyNumberFormat="1" applyFont="1" applyFill="1" applyBorder="1"/>
    <xf numFmtId="2" fontId="3" fillId="4" borderId="1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70" fontId="3" fillId="4" borderId="1" xfId="0" applyNumberFormat="1" applyFont="1" applyFill="1" applyBorder="1"/>
    <xf numFmtId="167" fontId="3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1" xfId="0" applyBorder="1"/>
    <xf numFmtId="0" fontId="0" fillId="0" borderId="5" xfId="0" applyFill="1" applyBorder="1"/>
    <xf numFmtId="0" fontId="11" fillId="0" borderId="1" xfId="0" applyFont="1" applyFill="1" applyBorder="1"/>
    <xf numFmtId="0" fontId="12" fillId="0" borderId="1" xfId="0" applyFont="1" applyFill="1" applyBorder="1"/>
    <xf numFmtId="0" fontId="11" fillId="0" borderId="5" xfId="0" applyFont="1" applyFill="1" applyBorder="1"/>
    <xf numFmtId="164" fontId="3" fillId="0" borderId="1" xfId="1" applyFont="1" applyFill="1" applyBorder="1"/>
    <xf numFmtId="164" fontId="3" fillId="0" borderId="0" xfId="1" applyFont="1" applyFill="1"/>
    <xf numFmtId="164" fontId="4" fillId="0" borderId="1" xfId="1" applyFont="1" applyFill="1" applyBorder="1"/>
    <xf numFmtId="0" fontId="3" fillId="5" borderId="1" xfId="0" applyFont="1" applyFill="1" applyBorder="1"/>
    <xf numFmtId="2" fontId="3" fillId="5" borderId="1" xfId="0" applyNumberFormat="1" applyFont="1" applyFill="1" applyBorder="1"/>
    <xf numFmtId="0" fontId="4" fillId="5" borderId="1" xfId="0" applyFont="1" applyFill="1" applyBorder="1"/>
    <xf numFmtId="2" fontId="4" fillId="5" borderId="1" xfId="0" applyNumberFormat="1" applyFont="1" applyFill="1" applyBorder="1"/>
    <xf numFmtId="4" fontId="4" fillId="5" borderId="1" xfId="0" applyNumberFormat="1" applyFont="1" applyFill="1" applyBorder="1"/>
    <xf numFmtId="168" fontId="3" fillId="5" borderId="1" xfId="0" applyNumberFormat="1" applyFont="1" applyFill="1" applyBorder="1"/>
    <xf numFmtId="0" fontId="3" fillId="5" borderId="0" xfId="0" applyFont="1" applyFill="1"/>
    <xf numFmtId="170" fontId="4" fillId="5" borderId="1" xfId="0" applyNumberFormat="1" applyFont="1" applyFill="1" applyBorder="1"/>
    <xf numFmtId="0" fontId="4" fillId="5" borderId="0" xfId="0" applyFont="1" applyFill="1"/>
    <xf numFmtId="167" fontId="4" fillId="5" borderId="1" xfId="0" applyNumberFormat="1" applyFont="1" applyFill="1" applyBorder="1"/>
    <xf numFmtId="170" fontId="3" fillId="5" borderId="1" xfId="0" applyNumberFormat="1" applyFont="1" applyFill="1" applyBorder="1"/>
    <xf numFmtId="168" fontId="4" fillId="5" borderId="1" xfId="0" applyNumberFormat="1" applyFont="1" applyFill="1" applyBorder="1"/>
    <xf numFmtId="166" fontId="4" fillId="5" borderId="1" xfId="0" applyNumberFormat="1" applyFont="1" applyFill="1" applyBorder="1"/>
    <xf numFmtId="168" fontId="3" fillId="4" borderId="0" xfId="0" applyNumberFormat="1" applyFont="1" applyFill="1"/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3" fillId="5" borderId="1" xfId="0" applyFont="1" applyFill="1" applyBorder="1"/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68" fontId="3" fillId="4" borderId="6" xfId="0" applyNumberFormat="1" applyFont="1" applyFill="1" applyBorder="1" applyAlignment="1">
      <alignment vertical="center" wrapText="1"/>
    </xf>
    <xf numFmtId="168" fontId="3" fillId="4" borderId="3" xfId="0" applyNumberFormat="1" applyFont="1" applyFill="1" applyBorder="1" applyAlignment="1">
      <alignment vertical="center" wrapText="1"/>
    </xf>
    <xf numFmtId="0" fontId="19" fillId="5" borderId="1" xfId="0" applyFont="1" applyFill="1" applyBorder="1"/>
    <xf numFmtId="0" fontId="3" fillId="2" borderId="0" xfId="0" applyFont="1" applyFill="1" applyBorder="1"/>
    <xf numFmtId="0" fontId="3" fillId="2" borderId="4" xfId="0" applyFont="1" applyFill="1" applyBorder="1" applyAlignment="1">
      <alignment horizontal="center"/>
    </xf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166" fontId="3" fillId="4" borderId="4" xfId="0" applyNumberFormat="1" applyFont="1" applyFill="1" applyBorder="1"/>
    <xf numFmtId="0" fontId="3" fillId="6" borderId="2" xfId="0" applyFont="1" applyFill="1" applyBorder="1"/>
    <xf numFmtId="2" fontId="3" fillId="6" borderId="2" xfId="0" applyNumberFormat="1" applyFont="1" applyFill="1" applyBorder="1"/>
    <xf numFmtId="0" fontId="3" fillId="7" borderId="2" xfId="0" applyFont="1" applyFill="1" applyBorder="1"/>
    <xf numFmtId="166" fontId="3" fillId="6" borderId="2" xfId="0" applyNumberFormat="1" applyFont="1" applyFill="1" applyBorder="1"/>
    <xf numFmtId="0" fontId="3" fillId="0" borderId="9" xfId="0" applyFont="1" applyFill="1" applyBorder="1"/>
    <xf numFmtId="168" fontId="4" fillId="6" borderId="2" xfId="0" applyNumberFormat="1" applyFont="1" applyFill="1" applyBorder="1"/>
    <xf numFmtId="0" fontId="4" fillId="8" borderId="2" xfId="0" applyFont="1" applyFill="1" applyBorder="1"/>
    <xf numFmtId="0" fontId="10" fillId="0" borderId="2" xfId="0" applyFont="1" applyFill="1" applyBorder="1"/>
    <xf numFmtId="170" fontId="3" fillId="6" borderId="2" xfId="0" applyNumberFormat="1" applyFont="1" applyFill="1" applyBorder="1"/>
    <xf numFmtId="2" fontId="4" fillId="9" borderId="2" xfId="0" applyNumberFormat="1" applyFont="1" applyFill="1" applyBorder="1"/>
    <xf numFmtId="0" fontId="20" fillId="3" borderId="1" xfId="0" applyFont="1" applyFill="1" applyBorder="1"/>
    <xf numFmtId="0" fontId="3" fillId="3" borderId="0" xfId="0" applyFont="1" applyFill="1" applyBorder="1"/>
    <xf numFmtId="0" fontId="4" fillId="8" borderId="0" xfId="0" applyFont="1" applyFill="1"/>
    <xf numFmtId="0" fontId="11" fillId="2" borderId="1" xfId="0" applyFont="1" applyFill="1" applyBorder="1"/>
    <xf numFmtId="166" fontId="3" fillId="0" borderId="1" xfId="0" applyNumberFormat="1" applyFont="1" applyFill="1" applyBorder="1"/>
    <xf numFmtId="166" fontId="3" fillId="4" borderId="0" xfId="0" applyNumberFormat="1" applyFont="1" applyFill="1"/>
    <xf numFmtId="0" fontId="5" fillId="3" borderId="1" xfId="0" applyFont="1" applyFill="1" applyBorder="1"/>
    <xf numFmtId="0" fontId="4" fillId="10" borderId="1" xfId="0" applyFont="1" applyFill="1" applyBorder="1"/>
    <xf numFmtId="2" fontId="4" fillId="10" borderId="1" xfId="0" applyNumberFormat="1" applyFont="1" applyFill="1" applyBorder="1"/>
    <xf numFmtId="0" fontId="4" fillId="10" borderId="0" xfId="0" applyFont="1" applyFill="1"/>
    <xf numFmtId="166" fontId="4" fillId="10" borderId="1" xfId="0" applyNumberFormat="1" applyFont="1" applyFill="1" applyBorder="1"/>
    <xf numFmtId="168" fontId="4" fillId="10" borderId="1" xfId="0" applyNumberFormat="1" applyFont="1" applyFill="1" applyBorder="1"/>
    <xf numFmtId="2" fontId="3" fillId="4" borderId="0" xfId="0" applyNumberFormat="1" applyFont="1" applyFill="1" applyBorder="1"/>
    <xf numFmtId="0" fontId="11" fillId="4" borderId="0" xfId="0" applyFont="1" applyFill="1"/>
    <xf numFmtId="0" fontId="3" fillId="11" borderId="0" xfId="0" applyFont="1" applyFill="1"/>
    <xf numFmtId="0" fontId="3" fillId="12" borderId="10" xfId="0" applyFont="1" applyFill="1" applyBorder="1"/>
    <xf numFmtId="0" fontId="22" fillId="3" borderId="4" xfId="0" applyFont="1" applyFill="1" applyBorder="1"/>
    <xf numFmtId="0" fontId="22" fillId="3" borderId="1" xfId="0" applyFont="1" applyFill="1" applyBorder="1"/>
    <xf numFmtId="0" fontId="22" fillId="0" borderId="0" xfId="0" applyFont="1" applyFill="1"/>
    <xf numFmtId="0" fontId="22" fillId="4" borderId="4" xfId="0" applyFont="1" applyFill="1" applyBorder="1"/>
    <xf numFmtId="0" fontId="22" fillId="3" borderId="2" xfId="0" applyFont="1" applyFill="1" applyBorder="1"/>
    <xf numFmtId="0" fontId="22" fillId="3" borderId="12" xfId="0" applyFont="1" applyFill="1" applyBorder="1"/>
    <xf numFmtId="0" fontId="11" fillId="0" borderId="0" xfId="0" applyFont="1" applyFill="1"/>
    <xf numFmtId="0" fontId="11" fillId="3" borderId="0" xfId="0" applyFont="1" applyFill="1"/>
    <xf numFmtId="0" fontId="23" fillId="0" borderId="0" xfId="0" applyFont="1" applyFill="1"/>
    <xf numFmtId="0" fontId="23" fillId="4" borderId="0" xfId="0" applyFont="1" applyFill="1"/>
    <xf numFmtId="0" fontId="23" fillId="3" borderId="0" xfId="0" applyFont="1" applyFill="1"/>
    <xf numFmtId="0" fontId="23" fillId="2" borderId="0" xfId="0" applyFont="1" applyFill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/>
    </xf>
    <xf numFmtId="0" fontId="23" fillId="12" borderId="11" xfId="0" applyFont="1" applyFill="1" applyBorder="1"/>
    <xf numFmtId="0" fontId="11" fillId="12" borderId="10" xfId="0" applyFont="1" applyFill="1" applyBorder="1"/>
    <xf numFmtId="2" fontId="11" fillId="12" borderId="10" xfId="0" applyNumberFormat="1" applyFont="1" applyFill="1" applyBorder="1"/>
    <xf numFmtId="168" fontId="11" fillId="12" borderId="10" xfId="0" applyNumberFormat="1" applyFont="1" applyFill="1" applyBorder="1"/>
    <xf numFmtId="0" fontId="11" fillId="3" borderId="4" xfId="0" applyFont="1" applyFill="1" applyBorder="1"/>
    <xf numFmtId="0" fontId="11" fillId="0" borderId="4" xfId="0" applyFont="1" applyFill="1" applyBorder="1"/>
    <xf numFmtId="0" fontId="11" fillId="4" borderId="4" xfId="0" applyFont="1" applyFill="1" applyBorder="1"/>
    <xf numFmtId="2" fontId="11" fillId="4" borderId="4" xfId="0" applyNumberFormat="1" applyFont="1" applyFill="1" applyBorder="1"/>
    <xf numFmtId="0" fontId="11" fillId="0" borderId="1" xfId="0" applyFont="1" applyBorder="1"/>
    <xf numFmtId="0" fontId="11" fillId="3" borderId="1" xfId="0" applyFont="1" applyFill="1" applyBorder="1"/>
    <xf numFmtId="0" fontId="11" fillId="4" borderId="1" xfId="0" applyFont="1" applyFill="1" applyBorder="1"/>
    <xf numFmtId="2" fontId="11" fillId="4" borderId="1" xfId="0" applyNumberFormat="1" applyFont="1" applyFill="1" applyBorder="1"/>
    <xf numFmtId="169" fontId="11" fillId="4" borderId="1" xfId="0" applyNumberFormat="1" applyFont="1" applyFill="1" applyBorder="1"/>
    <xf numFmtId="2" fontId="11" fillId="4" borderId="6" xfId="0" applyNumberFormat="1" applyFont="1" applyFill="1" applyBorder="1"/>
    <xf numFmtId="2" fontId="11" fillId="5" borderId="6" xfId="0" applyNumberFormat="1" applyFont="1" applyFill="1" applyBorder="1"/>
    <xf numFmtId="0" fontId="11" fillId="5" borderId="0" xfId="0" applyFont="1" applyFill="1"/>
    <xf numFmtId="0" fontId="23" fillId="5" borderId="6" xfId="0" applyFont="1" applyFill="1" applyBorder="1"/>
    <xf numFmtId="0" fontId="23" fillId="0" borderId="1" xfId="0" applyFont="1" applyFill="1" applyBorder="1"/>
    <xf numFmtId="0" fontId="23" fillId="2" borderId="6" xfId="0" applyFont="1" applyFill="1" applyBorder="1"/>
    <xf numFmtId="170" fontId="11" fillId="0" borderId="1" xfId="0" applyNumberFormat="1" applyFont="1" applyFill="1" applyBorder="1"/>
    <xf numFmtId="0" fontId="11" fillId="0" borderId="1" xfId="2" applyFont="1" applyFill="1" applyBorder="1"/>
    <xf numFmtId="2" fontId="11" fillId="0" borderId="1" xfId="0" applyNumberFormat="1" applyFont="1" applyFill="1" applyBorder="1"/>
    <xf numFmtId="0" fontId="11" fillId="3" borderId="13" xfId="0" applyFont="1" applyFill="1" applyBorder="1"/>
    <xf numFmtId="0" fontId="11" fillId="0" borderId="6" xfId="0" applyFont="1" applyFill="1" applyBorder="1"/>
    <xf numFmtId="0" fontId="23" fillId="5" borderId="1" xfId="0" applyFont="1" applyFill="1" applyBorder="1"/>
    <xf numFmtId="0" fontId="11" fillId="0" borderId="0" xfId="0" applyFont="1"/>
    <xf numFmtId="0" fontId="23" fillId="0" borderId="6" xfId="0" applyFont="1" applyFill="1" applyBorder="1"/>
    <xf numFmtId="166" fontId="11" fillId="4" borderId="1" xfId="0" applyNumberFormat="1" applyFont="1" applyFill="1" applyBorder="1"/>
    <xf numFmtId="166" fontId="23" fillId="5" borderId="1" xfId="0" applyNumberFormat="1" applyFont="1" applyFill="1" applyBorder="1"/>
    <xf numFmtId="166" fontId="11" fillId="4" borderId="0" xfId="0" applyNumberFormat="1" applyFont="1" applyFill="1"/>
    <xf numFmtId="2" fontId="23" fillId="5" borderId="1" xfId="0" applyNumberFormat="1" applyFont="1" applyFill="1" applyBorder="1"/>
    <xf numFmtId="0" fontId="11" fillId="0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166" fontId="11" fillId="4" borderId="4" xfId="0" applyNumberFormat="1" applyFont="1" applyFill="1" applyBorder="1"/>
    <xf numFmtId="0" fontId="11" fillId="5" borderId="6" xfId="0" applyFont="1" applyFill="1" applyBorder="1"/>
    <xf numFmtId="166" fontId="11" fillId="12" borderId="14" xfId="0" applyNumberFormat="1" applyFont="1" applyFill="1" applyBorder="1"/>
    <xf numFmtId="0" fontId="23" fillId="3" borderId="1" xfId="0" applyFont="1" applyFill="1" applyBorder="1"/>
    <xf numFmtId="0" fontId="23" fillId="3" borderId="6" xfId="0" applyFont="1" applyFill="1" applyBorder="1"/>
    <xf numFmtId="0" fontId="3" fillId="3" borderId="0" xfId="0" applyFont="1" applyFill="1" applyAlignment="1">
      <alignment horizontal="center"/>
    </xf>
    <xf numFmtId="0" fontId="22" fillId="3" borderId="1" xfId="2" applyFont="1" applyFill="1" applyBorder="1"/>
    <xf numFmtId="2" fontId="23" fillId="4" borderId="1" xfId="0" applyNumberFormat="1" applyFont="1" applyFill="1" applyBorder="1"/>
    <xf numFmtId="167" fontId="11" fillId="4" borderId="1" xfId="0" applyNumberFormat="1" applyFont="1" applyFill="1" applyBorder="1"/>
    <xf numFmtId="167" fontId="23" fillId="4" borderId="1" xfId="0" applyNumberFormat="1" applyFont="1" applyFill="1" applyBorder="1"/>
    <xf numFmtId="168" fontId="11" fillId="4" borderId="6" xfId="0" applyNumberFormat="1" applyFont="1" applyFill="1" applyBorder="1"/>
    <xf numFmtId="168" fontId="23" fillId="5" borderId="1" xfId="0" applyNumberFormat="1" applyFont="1" applyFill="1" applyBorder="1"/>
    <xf numFmtId="168" fontId="11" fillId="4" borderId="0" xfId="0" applyNumberFormat="1" applyFont="1" applyFill="1"/>
    <xf numFmtId="167" fontId="23" fillId="5" borderId="6" xfId="0" applyNumberFormat="1" applyFont="1" applyFill="1" applyBorder="1"/>
    <xf numFmtId="2" fontId="23" fillId="5" borderId="6" xfId="0" applyNumberFormat="1" applyFont="1" applyFill="1" applyBorder="1"/>
    <xf numFmtId="2" fontId="23" fillId="4" borderId="6" xfId="0" applyNumberFormat="1" applyFont="1" applyFill="1" applyBorder="1"/>
    <xf numFmtId="0" fontId="23" fillId="4" borderId="6" xfId="0" applyFont="1" applyFill="1" applyBorder="1"/>
    <xf numFmtId="167" fontId="23" fillId="4" borderId="6" xfId="0" applyNumberFormat="1" applyFont="1" applyFill="1" applyBorder="1"/>
    <xf numFmtId="166" fontId="23" fillId="4" borderId="6" xfId="0" applyNumberFormat="1" applyFont="1" applyFill="1" applyBorder="1"/>
    <xf numFmtId="0" fontId="11" fillId="0" borderId="0" xfId="0" applyFont="1" applyFill="1" applyAlignment="1">
      <alignment horizontal="left"/>
    </xf>
    <xf numFmtId="0" fontId="23" fillId="5" borderId="0" xfId="0" applyFont="1" applyFill="1"/>
    <xf numFmtId="168" fontId="11" fillId="4" borderId="1" xfId="0" applyNumberFormat="1" applyFont="1" applyFill="1" applyBorder="1"/>
    <xf numFmtId="168" fontId="23" fillId="5" borderId="6" xfId="0" applyNumberFormat="1" applyFont="1" applyFill="1" applyBorder="1"/>
    <xf numFmtId="2" fontId="23" fillId="5" borderId="4" xfId="0" applyNumberFormat="1" applyFont="1" applyFill="1" applyBorder="1"/>
    <xf numFmtId="0" fontId="11" fillId="3" borderId="0" xfId="0" applyFont="1" applyFill="1" applyAlignment="1">
      <alignment horizontal="center"/>
    </xf>
    <xf numFmtId="0" fontId="29" fillId="3" borderId="1" xfId="0" applyFont="1" applyFill="1" applyBorder="1"/>
    <xf numFmtId="170" fontId="3" fillId="3" borderId="1" xfId="0" applyNumberFormat="1" applyFont="1" applyFill="1" applyBorder="1"/>
    <xf numFmtId="0" fontId="11" fillId="0" borderId="10" xfId="0" applyFont="1" applyFill="1" applyBorder="1"/>
    <xf numFmtId="2" fontId="28" fillId="0" borderId="1" xfId="0" applyNumberFormat="1" applyFont="1" applyFill="1" applyBorder="1"/>
    <xf numFmtId="170" fontId="28" fillId="0" borderId="1" xfId="0" applyNumberFormat="1" applyFont="1" applyFill="1" applyBorder="1"/>
    <xf numFmtId="0" fontId="26" fillId="4" borderId="6" xfId="0" applyFont="1" applyFill="1" applyBorder="1"/>
    <xf numFmtId="166" fontId="11" fillId="4" borderId="2" xfId="0" applyNumberFormat="1" applyFont="1" applyFill="1" applyBorder="1"/>
    <xf numFmtId="0" fontId="11" fillId="12" borderId="14" xfId="0" applyFont="1" applyFill="1" applyBorder="1"/>
    <xf numFmtId="0" fontId="23" fillId="12" borderId="20" xfId="0" applyFont="1" applyFill="1" applyBorder="1"/>
    <xf numFmtId="0" fontId="23" fillId="12" borderId="21" xfId="0" applyFont="1" applyFill="1" applyBorder="1"/>
    <xf numFmtId="0" fontId="23" fillId="4" borderId="22" xfId="0" applyFont="1" applyFill="1" applyBorder="1"/>
    <xf numFmtId="0" fontId="23" fillId="4" borderId="19" xfId="0" applyFont="1" applyFill="1" applyBorder="1"/>
    <xf numFmtId="4" fontId="23" fillId="4" borderId="19" xfId="0" applyNumberFormat="1" applyFont="1" applyFill="1" applyBorder="1"/>
    <xf numFmtId="0" fontId="11" fillId="12" borderId="21" xfId="0" applyFont="1" applyFill="1" applyBorder="1"/>
    <xf numFmtId="0" fontId="3" fillId="12" borderId="0" xfId="0" applyFont="1" applyFill="1"/>
    <xf numFmtId="2" fontId="4" fillId="12" borderId="1" xfId="0" applyNumberFormat="1" applyFont="1" applyFill="1" applyBorder="1"/>
    <xf numFmtId="2" fontId="11" fillId="3" borderId="0" xfId="0" applyNumberFormat="1" applyFont="1" applyFill="1"/>
    <xf numFmtId="0" fontId="11" fillId="12" borderId="0" xfId="0" applyFont="1" applyFill="1"/>
    <xf numFmtId="2" fontId="23" fillId="12" borderId="19" xfId="0" applyNumberFormat="1" applyFont="1" applyFill="1" applyBorder="1"/>
    <xf numFmtId="2" fontId="23" fillId="12" borderId="0" xfId="0" applyNumberFormat="1" applyFont="1" applyFill="1"/>
    <xf numFmtId="0" fontId="23" fillId="12" borderId="22" xfId="0" applyFont="1" applyFill="1" applyBorder="1"/>
    <xf numFmtId="2" fontId="11" fillId="4" borderId="10" xfId="0" applyNumberFormat="1" applyFont="1" applyFill="1" applyBorder="1"/>
    <xf numFmtId="2" fontId="11" fillId="13" borderId="23" xfId="0" applyNumberFormat="1" applyFont="1" applyFill="1" applyBorder="1"/>
    <xf numFmtId="2" fontId="11" fillId="13" borderId="2" xfId="0" applyNumberFormat="1" applyFont="1" applyFill="1" applyBorder="1"/>
    <xf numFmtId="0" fontId="23" fillId="10" borderId="0" xfId="0" applyFont="1" applyFill="1"/>
    <xf numFmtId="0" fontId="3" fillId="9" borderId="2" xfId="0" applyFont="1" applyFill="1" applyBorder="1"/>
    <xf numFmtId="167" fontId="3" fillId="5" borderId="1" xfId="0" applyNumberFormat="1" applyFont="1" applyFill="1" applyBorder="1"/>
    <xf numFmtId="0" fontId="21" fillId="5" borderId="0" xfId="0" applyFont="1" applyFill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167" fontId="3" fillId="5" borderId="1" xfId="0" applyNumberFormat="1" applyFont="1" applyFill="1" applyBorder="1" applyAlignment="1">
      <alignment wrapText="1"/>
    </xf>
    <xf numFmtId="4" fontId="3" fillId="4" borderId="0" xfId="0" applyNumberFormat="1" applyFont="1" applyFill="1"/>
    <xf numFmtId="164" fontId="3" fillId="5" borderId="1" xfId="1" applyFont="1" applyFill="1" applyBorder="1"/>
    <xf numFmtId="0" fontId="3" fillId="5" borderId="0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168" fontId="11" fillId="5" borderId="1" xfId="0" applyNumberFormat="1" applyFont="1" applyFill="1" applyBorder="1"/>
    <xf numFmtId="4" fontId="23" fillId="5" borderId="1" xfId="0" applyNumberFormat="1" applyFont="1" applyFill="1" applyBorder="1"/>
    <xf numFmtId="0" fontId="3" fillId="5" borderId="4" xfId="0" applyFont="1" applyFill="1" applyBorder="1" applyAlignment="1">
      <alignment horizontal="center"/>
    </xf>
    <xf numFmtId="0" fontId="22" fillId="0" borderId="1" xfId="0" applyFont="1" applyFill="1" applyBorder="1"/>
    <xf numFmtId="0" fontId="22" fillId="0" borderId="4" xfId="0" applyFont="1" applyFill="1" applyBorder="1"/>
    <xf numFmtId="2" fontId="20" fillId="3" borderId="6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168" fontId="3" fillId="4" borderId="0" xfId="0" applyNumberFormat="1" applyFont="1" applyFill="1" applyBorder="1" applyAlignment="1">
      <alignment vertical="center" wrapText="1"/>
    </xf>
    <xf numFmtId="166" fontId="3" fillId="4" borderId="0" xfId="0" applyNumberFormat="1" applyFont="1" applyFill="1" applyBorder="1"/>
    <xf numFmtId="166" fontId="4" fillId="5" borderId="0" xfId="0" applyNumberFormat="1" applyFont="1" applyFill="1" applyBorder="1"/>
    <xf numFmtId="166" fontId="3" fillId="6" borderId="0" xfId="0" applyNumberFormat="1" applyFont="1" applyFill="1" applyBorder="1"/>
    <xf numFmtId="166" fontId="4" fillId="8" borderId="0" xfId="0" applyNumberFormat="1" applyFont="1" applyFill="1" applyBorder="1"/>
    <xf numFmtId="1" fontId="3" fillId="0" borderId="1" xfId="0" applyNumberFormat="1" applyFont="1" applyFill="1" applyBorder="1"/>
    <xf numFmtId="2" fontId="11" fillId="0" borderId="0" xfId="0" applyNumberFormat="1" applyFont="1" applyFill="1"/>
    <xf numFmtId="0" fontId="18" fillId="3" borderId="1" xfId="0" applyFont="1" applyFill="1" applyBorder="1"/>
    <xf numFmtId="0" fontId="16" fillId="3" borderId="1" xfId="0" applyFont="1" applyFill="1" applyBorder="1"/>
    <xf numFmtId="0" fontId="11" fillId="0" borderId="3" xfId="0" applyFont="1" applyFill="1" applyBorder="1"/>
    <xf numFmtId="1" fontId="11" fillId="3" borderId="1" xfId="0" applyNumberFormat="1" applyFont="1" applyFill="1" applyBorder="1"/>
    <xf numFmtId="0" fontId="0" fillId="0" borderId="0" xfId="0" applyFont="1" applyFill="1"/>
    <xf numFmtId="0" fontId="22" fillId="3" borderId="4" xfId="2" applyFont="1" applyFill="1" applyBorder="1"/>
    <xf numFmtId="0" fontId="11" fillId="3" borderId="16" xfId="0" applyFont="1" applyFill="1" applyBorder="1"/>
    <xf numFmtId="0" fontId="23" fillId="12" borderId="19" xfId="0" applyFont="1" applyFill="1" applyBorder="1"/>
    <xf numFmtId="0" fontId="22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11" fillId="14" borderId="1" xfId="2" applyFont="1" applyFill="1" applyBorder="1"/>
    <xf numFmtId="0" fontId="11" fillId="14" borderId="1" xfId="0" applyFont="1" applyFill="1" applyBorder="1"/>
    <xf numFmtId="0" fontId="32" fillId="12" borderId="1" xfId="0" applyFont="1" applyFill="1" applyBorder="1" applyAlignment="1">
      <alignment horizontal="left"/>
    </xf>
    <xf numFmtId="0" fontId="11" fillId="12" borderId="1" xfId="0" applyFont="1" applyFill="1" applyBorder="1"/>
    <xf numFmtId="0" fontId="7" fillId="0" borderId="0" xfId="0" applyFont="1" applyFill="1"/>
    <xf numFmtId="0" fontId="18" fillId="14" borderId="1" xfId="0" applyFont="1" applyFill="1" applyBorder="1"/>
    <xf numFmtId="0" fontId="37" fillId="6" borderId="2" xfId="0" applyFont="1" applyFill="1" applyBorder="1"/>
    <xf numFmtId="2" fontId="37" fillId="6" borderId="2" xfId="0" applyNumberFormat="1" applyFont="1" applyFill="1" applyBorder="1"/>
    <xf numFmtId="0" fontId="37" fillId="0" borderId="0" xfId="0" applyFont="1" applyFill="1"/>
    <xf numFmtId="0" fontId="37" fillId="0" borderId="1" xfId="0" applyFont="1" applyFill="1" applyBorder="1"/>
    <xf numFmtId="0" fontId="37" fillId="4" borderId="1" xfId="0" applyFont="1" applyFill="1" applyBorder="1"/>
    <xf numFmtId="168" fontId="37" fillId="4" borderId="1" xfId="0" applyNumberFormat="1" applyFont="1" applyFill="1" applyBorder="1"/>
    <xf numFmtId="2" fontId="37" fillId="4" borderId="1" xfId="0" applyNumberFormat="1" applyFont="1" applyFill="1" applyBorder="1"/>
    <xf numFmtId="0" fontId="22" fillId="3" borderId="1" xfId="0" applyFont="1" applyFill="1" applyBorder="1" applyAlignment="1">
      <alignment horizontal="center"/>
    </xf>
    <xf numFmtId="0" fontId="39" fillId="3" borderId="10" xfId="0" applyFont="1" applyFill="1" applyBorder="1" applyAlignment="1">
      <alignment horizontal="left"/>
    </xf>
    <xf numFmtId="0" fontId="39" fillId="3" borderId="11" xfId="0" applyFont="1" applyFill="1" applyBorder="1" applyAlignment="1">
      <alignment horizontal="left"/>
    </xf>
    <xf numFmtId="0" fontId="41" fillId="3" borderId="11" xfId="0" applyFont="1" applyFill="1" applyBorder="1" applyAlignment="1">
      <alignment horizontal="left"/>
    </xf>
    <xf numFmtId="0" fontId="3" fillId="3" borderId="10" xfId="0" applyFont="1" applyFill="1" applyBorder="1"/>
    <xf numFmtId="0" fontId="34" fillId="3" borderId="1" xfId="0" applyFont="1" applyFill="1" applyBorder="1"/>
    <xf numFmtId="0" fontId="34" fillId="3" borderId="1" xfId="2" applyFont="1" applyFill="1" applyBorder="1"/>
    <xf numFmtId="0" fontId="22" fillId="3" borderId="4" xfId="0" applyFont="1" applyFill="1" applyBorder="1" applyAlignment="1">
      <alignment horizontal="center"/>
    </xf>
    <xf numFmtId="2" fontId="23" fillId="4" borderId="4" xfId="0" applyNumberFormat="1" applyFont="1" applyFill="1" applyBorder="1"/>
    <xf numFmtId="166" fontId="23" fillId="4" borderId="4" xfId="0" applyNumberFormat="1" applyFont="1" applyFill="1" applyBorder="1"/>
    <xf numFmtId="0" fontId="2" fillId="0" borderId="4" xfId="0" applyFont="1" applyFill="1" applyBorder="1"/>
    <xf numFmtId="0" fontId="11" fillId="0" borderId="6" xfId="0" applyFont="1" applyBorder="1"/>
    <xf numFmtId="0" fontId="11" fillId="3" borderId="6" xfId="0" applyFont="1" applyFill="1" applyBorder="1"/>
    <xf numFmtId="0" fontId="11" fillId="4" borderId="6" xfId="0" applyFont="1" applyFill="1" applyBorder="1"/>
    <xf numFmtId="1" fontId="2" fillId="0" borderId="4" xfId="0" applyNumberFormat="1" applyFont="1" applyFill="1" applyBorder="1"/>
    <xf numFmtId="0" fontId="35" fillId="0" borderId="4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3" borderId="4" xfId="0" applyFont="1" applyFill="1" applyBorder="1"/>
    <xf numFmtId="0" fontId="11" fillId="14" borderId="6" xfId="2" applyFont="1" applyFill="1" applyBorder="1"/>
    <xf numFmtId="2" fontId="3" fillId="6" borderId="0" xfId="0" applyNumberFormat="1" applyFont="1" applyFill="1" applyBorder="1"/>
    <xf numFmtId="167" fontId="11" fillId="4" borderId="6" xfId="0" applyNumberFormat="1" applyFont="1" applyFill="1" applyBorder="1"/>
    <xf numFmtId="0" fontId="5" fillId="0" borderId="4" xfId="2" applyFont="1" applyFill="1" applyBorder="1"/>
    <xf numFmtId="0" fontId="5" fillId="3" borderId="1" xfId="2" applyFont="1" applyFill="1" applyBorder="1"/>
    <xf numFmtId="0" fontId="2" fillId="0" borderId="1" xfId="0" applyFont="1" applyFill="1" applyBorder="1"/>
    <xf numFmtId="0" fontId="2" fillId="0" borderId="1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0" borderId="4" xfId="2" applyFont="1" applyFill="1" applyBorder="1"/>
    <xf numFmtId="0" fontId="2" fillId="0" borderId="1" xfId="2" applyFont="1" applyFill="1" applyBorder="1"/>
    <xf numFmtId="0" fontId="3" fillId="0" borderId="23" xfId="10" applyFont="1" applyFill="1" applyBorder="1"/>
    <xf numFmtId="0" fontId="3" fillId="15" borderId="23" xfId="3" applyFont="1" applyFill="1" applyBorder="1"/>
    <xf numFmtId="0" fontId="3" fillId="0" borderId="23" xfId="5" applyFont="1" applyFill="1" applyBorder="1"/>
    <xf numFmtId="0" fontId="5" fillId="0" borderId="3" xfId="2" applyFont="1" applyFill="1" applyBorder="1"/>
    <xf numFmtId="0" fontId="43" fillId="0" borderId="1" xfId="0" applyFont="1" applyBorder="1"/>
    <xf numFmtId="0" fontId="2" fillId="3" borderId="1" xfId="0" applyFont="1" applyFill="1" applyBorder="1"/>
    <xf numFmtId="0" fontId="35" fillId="3" borderId="4" xfId="0" applyFont="1" applyFill="1" applyBorder="1"/>
    <xf numFmtId="0" fontId="35" fillId="3" borderId="1" xfId="0" applyFont="1" applyFill="1" applyBorder="1"/>
    <xf numFmtId="0" fontId="35" fillId="0" borderId="1" xfId="0" applyFont="1" applyFill="1" applyBorder="1"/>
    <xf numFmtId="0" fontId="35" fillId="0" borderId="6" xfId="0" applyFont="1" applyFill="1" applyBorder="1"/>
    <xf numFmtId="0" fontId="35" fillId="0" borderId="4" xfId="0" applyFont="1" applyBorder="1"/>
    <xf numFmtId="0" fontId="35" fillId="0" borderId="1" xfId="0" applyFont="1" applyBorder="1"/>
    <xf numFmtId="0" fontId="35" fillId="0" borderId="6" xfId="0" applyFont="1" applyBorder="1"/>
    <xf numFmtId="0" fontId="44" fillId="0" borderId="1" xfId="0" applyFont="1" applyBorder="1"/>
    <xf numFmtId="0" fontId="44" fillId="3" borderId="1" xfId="0" applyFont="1" applyFill="1" applyBorder="1"/>
    <xf numFmtId="4" fontId="23" fillId="0" borderId="6" xfId="0" applyNumberFormat="1" applyFont="1" applyFill="1" applyBorder="1"/>
    <xf numFmtId="4" fontId="23" fillId="0" borderId="19" xfId="0" applyNumberFormat="1" applyFont="1" applyFill="1" applyBorder="1"/>
    <xf numFmtId="168" fontId="23" fillId="4" borderId="4" xfId="0" applyNumberFormat="1" applyFont="1" applyFill="1" applyBorder="1"/>
    <xf numFmtId="2" fontId="4" fillId="4" borderId="1" xfId="0" applyNumberFormat="1" applyFont="1" applyFill="1" applyBorder="1"/>
    <xf numFmtId="2" fontId="4" fillId="4" borderId="4" xfId="0" applyNumberFormat="1" applyFont="1" applyFill="1" applyBorder="1"/>
    <xf numFmtId="170" fontId="4" fillId="4" borderId="1" xfId="0" applyNumberFormat="1" applyFont="1" applyFill="1" applyBorder="1"/>
    <xf numFmtId="168" fontId="23" fillId="8" borderId="2" xfId="0" applyNumberFormat="1" applyFont="1" applyFill="1" applyBorder="1"/>
    <xf numFmtId="0" fontId="38" fillId="0" borderId="4" xfId="0" applyFont="1" applyFill="1" applyBorder="1"/>
    <xf numFmtId="0" fontId="45" fillId="0" borderId="4" xfId="0" applyFont="1" applyFill="1" applyBorder="1"/>
    <xf numFmtId="0" fontId="46" fillId="0" borderId="1" xfId="0" applyFont="1" applyFill="1" applyBorder="1"/>
    <xf numFmtId="167" fontId="3" fillId="16" borderId="1" xfId="0" applyNumberFormat="1" applyFont="1" applyFill="1" applyBorder="1"/>
    <xf numFmtId="168" fontId="3" fillId="16" borderId="1" xfId="0" applyNumberFormat="1" applyFont="1" applyFill="1" applyBorder="1"/>
    <xf numFmtId="0" fontId="3" fillId="16" borderId="0" xfId="0" applyFont="1" applyFill="1"/>
    <xf numFmtId="166" fontId="3" fillId="16" borderId="0" xfId="0" applyNumberFormat="1" applyFont="1" applyFill="1" applyBorder="1"/>
    <xf numFmtId="4" fontId="3" fillId="16" borderId="1" xfId="0" applyNumberFormat="1" applyFont="1" applyFill="1" applyBorder="1"/>
    <xf numFmtId="0" fontId="5" fillId="3" borderId="12" xfId="0" applyFont="1" applyFill="1" applyBorder="1"/>
    <xf numFmtId="0" fontId="5" fillId="0" borderId="13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4" fillId="0" borderId="5" xfId="0" applyFont="1" applyFill="1" applyBorder="1"/>
    <xf numFmtId="0" fontId="14" fillId="0" borderId="1" xfId="0" applyFont="1" applyFill="1" applyBorder="1"/>
    <xf numFmtId="0" fontId="14" fillId="0" borderId="4" xfId="0" applyFont="1" applyFill="1" applyBorder="1"/>
    <xf numFmtId="0" fontId="14" fillId="0" borderId="13" xfId="0" applyFont="1" applyFill="1" applyBorder="1"/>
    <xf numFmtId="0" fontId="11" fillId="17" borderId="0" xfId="0" applyFont="1" applyFill="1"/>
    <xf numFmtId="0" fontId="5" fillId="0" borderId="12" xfId="0" applyFont="1" applyFill="1" applyBorder="1"/>
    <xf numFmtId="0" fontId="35" fillId="12" borderId="1" xfId="0" applyFont="1" applyFill="1" applyBorder="1"/>
    <xf numFmtId="0" fontId="3" fillId="12" borderId="1" xfId="0" applyFont="1" applyFill="1" applyBorder="1"/>
    <xf numFmtId="168" fontId="3" fillId="12" borderId="1" xfId="0" applyNumberFormat="1" applyFont="1" applyFill="1" applyBorder="1"/>
    <xf numFmtId="2" fontId="3" fillId="12" borderId="4" xfId="0" applyNumberFormat="1" applyFont="1" applyFill="1" applyBorder="1"/>
    <xf numFmtId="2" fontId="3" fillId="12" borderId="1" xfId="0" applyNumberFormat="1" applyFont="1" applyFill="1" applyBorder="1"/>
    <xf numFmtId="166" fontId="3" fillId="12" borderId="0" xfId="0" applyNumberFormat="1" applyFont="1" applyFill="1" applyBorder="1"/>
    <xf numFmtId="0" fontId="3" fillId="11" borderId="23" xfId="10" applyFont="1" applyFill="1" applyBorder="1"/>
    <xf numFmtId="0" fontId="29" fillId="11" borderId="23" xfId="10" applyFont="1" applyFill="1" applyBorder="1"/>
    <xf numFmtId="166" fontId="3" fillId="18" borderId="0" xfId="0" applyNumberFormat="1" applyFont="1" applyFill="1" applyBorder="1"/>
    <xf numFmtId="0" fontId="3" fillId="11" borderId="2" xfId="10" applyFont="1" applyFill="1" applyBorder="1"/>
    <xf numFmtId="0" fontId="11" fillId="11" borderId="1" xfId="0" applyFont="1" applyFill="1" applyBorder="1"/>
    <xf numFmtId="0" fontId="11" fillId="19" borderId="1" xfId="0" applyFont="1" applyFill="1" applyBorder="1"/>
    <xf numFmtId="0" fontId="11" fillId="11" borderId="1" xfId="2" applyFont="1" applyFill="1" applyBorder="1"/>
    <xf numFmtId="0" fontId="11" fillId="19" borderId="1" xfId="2" applyFont="1" applyFill="1" applyBorder="1"/>
    <xf numFmtId="2" fontId="4" fillId="5" borderId="0" xfId="0" applyNumberFormat="1" applyFont="1" applyFill="1"/>
    <xf numFmtId="4" fontId="47" fillId="20" borderId="1" xfId="0" applyNumberFormat="1" applyFont="1" applyFill="1" applyBorder="1"/>
    <xf numFmtId="4" fontId="47" fillId="20" borderId="0" xfId="0" applyNumberFormat="1" applyFont="1" applyFill="1"/>
    <xf numFmtId="4" fontId="47" fillId="20" borderId="1" xfId="0" applyNumberFormat="1" applyFont="1" applyFill="1" applyBorder="1" applyAlignment="1">
      <alignment wrapText="1"/>
    </xf>
    <xf numFmtId="4" fontId="47" fillId="20" borderId="1" xfId="0" applyNumberFormat="1" applyFont="1" applyFill="1" applyBorder="1" applyAlignment="1">
      <alignment horizontal="center"/>
    </xf>
    <xf numFmtId="4" fontId="48" fillId="20" borderId="1" xfId="0" applyNumberFormat="1" applyFont="1" applyFill="1" applyBorder="1"/>
    <xf numFmtId="4" fontId="50" fillId="20" borderId="1" xfId="0" applyNumberFormat="1" applyFont="1" applyFill="1" applyBorder="1"/>
    <xf numFmtId="0" fontId="3" fillId="2" borderId="2" xfId="0" applyFont="1" applyFill="1" applyBorder="1"/>
    <xf numFmtId="166" fontId="3" fillId="21" borderId="0" xfId="0" applyNumberFormat="1" applyFont="1" applyFill="1" applyBorder="1"/>
    <xf numFmtId="0" fontId="3" fillId="20" borderId="1" xfId="0" applyFont="1" applyFill="1" applyBorder="1"/>
    <xf numFmtId="0" fontId="11" fillId="20" borderId="1" xfId="0" applyFont="1" applyFill="1" applyBorder="1"/>
    <xf numFmtId="0" fontId="3" fillId="20" borderId="0" xfId="0" applyFont="1" applyFill="1"/>
    <xf numFmtId="170" fontId="3" fillId="20" borderId="1" xfId="0" applyNumberFormat="1" applyFont="1" applyFill="1" applyBorder="1"/>
    <xf numFmtId="0" fontId="29" fillId="20" borderId="1" xfId="0" applyFont="1" applyFill="1" applyBorder="1"/>
    <xf numFmtId="0" fontId="47" fillId="20" borderId="1" xfId="0" applyFont="1" applyFill="1" applyBorder="1"/>
    <xf numFmtId="0" fontId="49" fillId="20" borderId="1" xfId="0" applyFont="1" applyFill="1" applyBorder="1"/>
    <xf numFmtId="170" fontId="47" fillId="20" borderId="1" xfId="0" applyNumberFormat="1" applyFont="1" applyFill="1" applyBorder="1"/>
    <xf numFmtId="0" fontId="50" fillId="20" borderId="1" xfId="0" applyFont="1" applyFill="1" applyBorder="1"/>
    <xf numFmtId="0" fontId="51" fillId="20" borderId="1" xfId="0" applyFont="1" applyFill="1" applyBorder="1"/>
    <xf numFmtId="0" fontId="17" fillId="20" borderId="1" xfId="0" applyFont="1" applyFill="1" applyBorder="1"/>
    <xf numFmtId="0" fontId="8" fillId="20" borderId="1" xfId="0" applyFont="1" applyFill="1" applyBorder="1"/>
    <xf numFmtId="4" fontId="52" fillId="20" borderId="0" xfId="0" applyNumberFormat="1" applyFont="1" applyFill="1"/>
    <xf numFmtId="0" fontId="20" fillId="12" borderId="1" xfId="0" applyFont="1" applyFill="1" applyBorder="1"/>
    <xf numFmtId="166" fontId="3" fillId="2" borderId="1" xfId="0" applyNumberFormat="1" applyFont="1" applyFill="1" applyBorder="1"/>
    <xf numFmtId="0" fontId="4" fillId="3" borderId="1" xfId="0" applyFont="1" applyFill="1" applyBorder="1"/>
    <xf numFmtId="0" fontId="35" fillId="0" borderId="18" xfId="0" applyFont="1" applyBorder="1"/>
    <xf numFmtId="0" fontId="35" fillId="0" borderId="7" xfId="0" applyFont="1" applyBorder="1"/>
    <xf numFmtId="0" fontId="4" fillId="2" borderId="0" xfId="0" applyFont="1" applyFill="1"/>
    <xf numFmtId="0" fontId="42" fillId="0" borderId="7" xfId="0" applyFont="1" applyBorder="1"/>
    <xf numFmtId="0" fontId="4" fillId="4" borderId="1" xfId="0" applyFont="1" applyFill="1" applyBorder="1"/>
    <xf numFmtId="0" fontId="54" fillId="0" borderId="0" xfId="0" applyFont="1" applyFill="1"/>
    <xf numFmtId="168" fontId="3" fillId="12" borderId="0" xfId="0" applyNumberFormat="1" applyFont="1" applyFill="1" applyBorder="1"/>
    <xf numFmtId="0" fontId="4" fillId="12" borderId="0" xfId="0" applyFont="1" applyFill="1"/>
    <xf numFmtId="0" fontId="11" fillId="0" borderId="7" xfId="0" applyFont="1" applyBorder="1"/>
    <xf numFmtId="0" fontId="1" fillId="0" borderId="4" xfId="0" applyFont="1" applyFill="1" applyBorder="1"/>
    <xf numFmtId="4" fontId="4" fillId="0" borderId="1" xfId="0" applyNumberFormat="1" applyFont="1" applyFill="1" applyBorder="1"/>
    <xf numFmtId="170" fontId="3" fillId="0" borderId="1" xfId="0" applyNumberFormat="1" applyFont="1" applyFill="1" applyBorder="1"/>
    <xf numFmtId="4" fontId="47" fillId="0" borderId="1" xfId="0" applyNumberFormat="1" applyFont="1" applyFill="1" applyBorder="1"/>
    <xf numFmtId="2" fontId="4" fillId="0" borderId="1" xfId="0" applyNumberFormat="1" applyFont="1" applyFill="1" applyBorder="1"/>
    <xf numFmtId="0" fontId="53" fillId="0" borderId="1" xfId="0" applyFont="1" applyFill="1" applyBorder="1"/>
    <xf numFmtId="0" fontId="53" fillId="0" borderId="0" xfId="0" applyFont="1" applyFill="1"/>
    <xf numFmtId="0" fontId="30" fillId="0" borderId="1" xfId="0" applyFont="1" applyFill="1" applyBorder="1"/>
    <xf numFmtId="0" fontId="30" fillId="0" borderId="13" xfId="0" applyFont="1" applyFill="1" applyBorder="1"/>
    <xf numFmtId="0" fontId="23" fillId="12" borderId="10" xfId="0" applyFont="1" applyFill="1" applyBorder="1"/>
    <xf numFmtId="0" fontId="1" fillId="5" borderId="1" xfId="0" applyFont="1" applyFill="1" applyBorder="1"/>
    <xf numFmtId="0" fontId="4" fillId="6" borderId="2" xfId="0" applyFont="1" applyFill="1" applyBorder="1"/>
    <xf numFmtId="0" fontId="23" fillId="3" borderId="0" xfId="0" applyFont="1" applyFill="1" applyBorder="1"/>
    <xf numFmtId="0" fontId="11" fillId="3" borderId="1" xfId="2" applyFont="1" applyFill="1" applyBorder="1"/>
    <xf numFmtId="0" fontId="11" fillId="22" borderId="1" xfId="2" applyFont="1" applyFill="1" applyBorder="1"/>
    <xf numFmtId="170" fontId="23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1" fontId="1" fillId="3" borderId="1" xfId="0" applyNumberFormat="1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3" borderId="16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1" xfId="0" applyNumberFormat="1" applyFont="1" applyFill="1" applyBorder="1"/>
    <xf numFmtId="0" fontId="1" fillId="3" borderId="6" xfId="0" applyFont="1" applyFill="1" applyBorder="1"/>
    <xf numFmtId="0" fontId="1" fillId="3" borderId="17" xfId="0" applyFont="1" applyFill="1" applyBorder="1"/>
    <xf numFmtId="0" fontId="1" fillId="14" borderId="1" xfId="2" applyFont="1" applyFill="1" applyBorder="1"/>
    <xf numFmtId="0" fontId="1" fillId="14" borderId="1" xfId="2" applyFont="1" applyFill="1" applyBorder="1" applyAlignment="1"/>
    <xf numFmtId="0" fontId="1" fillId="22" borderId="1" xfId="2" applyFont="1" applyFill="1" applyBorder="1"/>
    <xf numFmtId="0" fontId="11" fillId="3" borderId="1" xfId="2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0" fontId="53" fillId="3" borderId="1" xfId="0" applyFont="1" applyFill="1" applyBorder="1"/>
    <xf numFmtId="0" fontId="1" fillId="3" borderId="2" xfId="0" applyFont="1" applyFill="1" applyBorder="1"/>
    <xf numFmtId="170" fontId="53" fillId="3" borderId="1" xfId="0" applyNumberFormat="1" applyFont="1" applyFill="1" applyBorder="1"/>
    <xf numFmtId="0" fontId="1" fillId="4" borderId="0" xfId="0" applyFont="1" applyFill="1"/>
    <xf numFmtId="0" fontId="1" fillId="4" borderId="1" xfId="0" applyFont="1" applyFill="1" applyBorder="1" applyAlignment="1">
      <alignment horizontal="center" wrapText="1"/>
    </xf>
    <xf numFmtId="0" fontId="1" fillId="4" borderId="10" xfId="0" applyFont="1" applyFill="1" applyBorder="1"/>
    <xf numFmtId="2" fontId="1" fillId="4" borderId="10" xfId="0" applyNumberFormat="1" applyFont="1" applyFill="1" applyBorder="1"/>
    <xf numFmtId="168" fontId="1" fillId="4" borderId="1" xfId="0" applyNumberFormat="1" applyFont="1" applyFill="1" applyBorder="1"/>
    <xf numFmtId="2" fontId="1" fillId="4" borderId="4" xfId="0" applyNumberFormat="1" applyFont="1" applyFill="1" applyBorder="1"/>
    <xf numFmtId="2" fontId="1" fillId="4" borderId="1" xfId="0" applyNumberFormat="1" applyFont="1" applyFill="1" applyBorder="1"/>
    <xf numFmtId="2" fontId="1" fillId="13" borderId="2" xfId="0" applyNumberFormat="1" applyFont="1" applyFill="1" applyBorder="1"/>
    <xf numFmtId="2" fontId="1" fillId="4" borderId="6" xfId="0" applyNumberFormat="1" applyFont="1" applyFill="1" applyBorder="1"/>
    <xf numFmtId="0" fontId="1" fillId="4" borderId="0" xfId="0" applyFont="1" applyFill="1" applyAlignment="1">
      <alignment wrapText="1"/>
    </xf>
    <xf numFmtId="169" fontId="1" fillId="4" borderId="1" xfId="0" applyNumberFormat="1" applyFont="1" applyFill="1" applyBorder="1"/>
    <xf numFmtId="0" fontId="1" fillId="4" borderId="4" xfId="0" applyFont="1" applyFill="1" applyBorder="1"/>
    <xf numFmtId="0" fontId="1" fillId="4" borderId="1" xfId="0" applyFont="1" applyFill="1" applyBorder="1"/>
    <xf numFmtId="4" fontId="23" fillId="4" borderId="6" xfId="0" applyNumberFormat="1" applyFont="1" applyFill="1" applyBorder="1"/>
    <xf numFmtId="0" fontId="23" fillId="12" borderId="0" xfId="0" applyFont="1" applyFill="1"/>
    <xf numFmtId="0" fontId="1" fillId="12" borderId="10" xfId="0" applyFont="1" applyFill="1" applyBorder="1"/>
    <xf numFmtId="0" fontId="1" fillId="12" borderId="4" xfId="0" applyFont="1" applyFill="1" applyBorder="1"/>
    <xf numFmtId="0" fontId="1" fillId="12" borderId="1" xfId="0" applyFont="1" applyFill="1" applyBorder="1"/>
    <xf numFmtId="0" fontId="11" fillId="12" borderId="4" xfId="0" applyFont="1" applyFill="1" applyBorder="1"/>
    <xf numFmtId="4" fontId="23" fillId="12" borderId="6" xfId="0" applyNumberFormat="1" applyFont="1" applyFill="1" applyBorder="1"/>
    <xf numFmtId="0" fontId="11" fillId="12" borderId="6" xfId="0" applyFont="1" applyFill="1" applyBorder="1"/>
    <xf numFmtId="0" fontId="1" fillId="12" borderId="0" xfId="0" applyFont="1" applyFill="1"/>
    <xf numFmtId="0" fontId="23" fillId="3" borderId="1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168" fontId="23" fillId="4" borderId="1" xfId="0" applyNumberFormat="1" applyFont="1" applyFill="1" applyBorder="1"/>
    <xf numFmtId="2" fontId="11" fillId="13" borderId="1" xfId="0" applyNumberFormat="1" applyFont="1" applyFill="1" applyBorder="1"/>
    <xf numFmtId="2" fontId="1" fillId="1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170" fontId="11" fillId="3" borderId="1" xfId="2" applyNumberFormat="1" applyFont="1" applyFill="1" applyBorder="1" applyAlignment="1">
      <alignment horizontal="center"/>
    </xf>
    <xf numFmtId="170" fontId="11" fillId="3" borderId="1" xfId="6" applyNumberFormat="1" applyFont="1" applyFill="1" applyBorder="1"/>
    <xf numFmtId="0" fontId="11" fillId="3" borderId="1" xfId="6" applyFont="1" applyFill="1" applyBorder="1"/>
    <xf numFmtId="0" fontId="23" fillId="12" borderId="1" xfId="0" applyFont="1" applyFill="1" applyBorder="1"/>
    <xf numFmtId="0" fontId="53" fillId="14" borderId="1" xfId="0" applyFont="1" applyFill="1" applyBorder="1"/>
    <xf numFmtId="0" fontId="53" fillId="22" borderId="1" xfId="0" applyFont="1" applyFill="1" applyBorder="1"/>
    <xf numFmtId="168" fontId="1" fillId="13" borderId="1" xfId="0" applyNumberFormat="1" applyFont="1" applyFill="1" applyBorder="1"/>
    <xf numFmtId="2" fontId="53" fillId="13" borderId="1" xfId="0" applyNumberFormat="1" applyFont="1" applyFill="1" applyBorder="1"/>
    <xf numFmtId="2" fontId="29" fillId="3" borderId="1" xfId="0" applyNumberFormat="1" applyFont="1" applyFill="1" applyBorder="1" applyAlignment="1">
      <alignment horizontal="center"/>
    </xf>
    <xf numFmtId="0" fontId="1" fillId="3" borderId="15" xfId="0" applyFont="1" applyFill="1" applyBorder="1"/>
    <xf numFmtId="0" fontId="23" fillId="3" borderId="16" xfId="0" applyFont="1" applyFill="1" applyBorder="1"/>
    <xf numFmtId="0" fontId="23" fillId="4" borderId="16" xfId="0" applyFont="1" applyFill="1" applyBorder="1"/>
    <xf numFmtId="0" fontId="1" fillId="4" borderId="16" xfId="0" applyFont="1" applyFill="1" applyBorder="1"/>
    <xf numFmtId="0" fontId="1" fillId="4" borderId="16" xfId="0" applyFont="1" applyFill="1" applyBorder="1" applyAlignment="1">
      <alignment wrapText="1"/>
    </xf>
    <xf numFmtId="0" fontId="1" fillId="3" borderId="26" xfId="0" applyFont="1" applyFill="1" applyBorder="1"/>
    <xf numFmtId="0" fontId="1" fillId="3" borderId="27" xfId="0" applyFont="1" applyFill="1" applyBorder="1"/>
    <xf numFmtId="0" fontId="1" fillId="3" borderId="27" xfId="0" applyFont="1" applyFill="1" applyBorder="1" applyAlignment="1">
      <alignment horizontal="center" wrapText="1"/>
    </xf>
    <xf numFmtId="0" fontId="23" fillId="3" borderId="17" xfId="0" applyFont="1" applyFill="1" applyBorder="1" applyAlignment="1">
      <alignment horizontal="center"/>
    </xf>
    <xf numFmtId="0" fontId="23" fillId="3" borderId="27" xfId="0" applyFont="1" applyFill="1" applyBorder="1" applyAlignment="1">
      <alignment horizontal="center" wrapText="1"/>
    </xf>
    <xf numFmtId="0" fontId="23" fillId="3" borderId="27" xfId="0" applyFont="1" applyFill="1" applyBorder="1" applyAlignment="1">
      <alignment horizontal="center"/>
    </xf>
    <xf numFmtId="0" fontId="35" fillId="3" borderId="17" xfId="0" applyFont="1" applyFill="1" applyBorder="1"/>
    <xf numFmtId="16" fontId="23" fillId="3" borderId="27" xfId="0" applyNumberFormat="1" applyFont="1" applyFill="1" applyBorder="1" applyAlignment="1">
      <alignment horizontal="center"/>
    </xf>
    <xf numFmtId="12" fontId="23" fillId="3" borderId="27" xfId="0" applyNumberFormat="1" applyFont="1" applyFill="1" applyBorder="1" applyAlignment="1">
      <alignment horizontal="center"/>
    </xf>
    <xf numFmtId="0" fontId="23" fillId="3" borderId="17" xfId="0" applyFont="1" applyFill="1" applyBorder="1"/>
    <xf numFmtId="172" fontId="23" fillId="3" borderId="27" xfId="0" applyNumberFormat="1" applyFont="1" applyFill="1" applyBorder="1" applyAlignment="1">
      <alignment horizontal="center"/>
    </xf>
    <xf numFmtId="173" fontId="23" fillId="3" borderId="27" xfId="0" applyNumberFormat="1" applyFont="1" applyFill="1" applyBorder="1" applyAlignment="1">
      <alignment horizontal="center"/>
    </xf>
    <xf numFmtId="0" fontId="53" fillId="3" borderId="17" xfId="0" applyFont="1" applyFill="1" applyBorder="1"/>
    <xf numFmtId="0" fontId="1" fillId="4" borderId="5" xfId="0" applyFont="1" applyFill="1" applyBorder="1" applyAlignment="1">
      <alignment horizontal="center" wrapText="1"/>
    </xf>
    <xf numFmtId="0" fontId="23" fillId="4" borderId="5" xfId="0" applyFont="1" applyFill="1" applyBorder="1" applyAlignment="1">
      <alignment horizontal="center" wrapText="1"/>
    </xf>
    <xf numFmtId="2" fontId="1" fillId="4" borderId="5" xfId="0" applyNumberFormat="1" applyFont="1" applyFill="1" applyBorder="1"/>
    <xf numFmtId="2" fontId="23" fillId="4" borderId="5" xfId="0" applyNumberFormat="1" applyFont="1" applyFill="1" applyBorder="1"/>
    <xf numFmtId="0" fontId="1" fillId="3" borderId="31" xfId="0" applyFont="1" applyFill="1" applyBorder="1"/>
    <xf numFmtId="0" fontId="1" fillId="4" borderId="6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textRotation="90"/>
    </xf>
    <xf numFmtId="0" fontId="1" fillId="3" borderId="1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  <xf numFmtId="0" fontId="23" fillId="4" borderId="27" xfId="0" applyFont="1" applyFill="1" applyBorder="1" applyAlignment="1">
      <alignment horizontal="center" wrapText="1"/>
    </xf>
    <xf numFmtId="2" fontId="1" fillId="4" borderId="27" xfId="0" applyNumberFormat="1" applyFont="1" applyFill="1" applyBorder="1"/>
    <xf numFmtId="0" fontId="35" fillId="3" borderId="24" xfId="0" applyFont="1" applyFill="1" applyBorder="1"/>
    <xf numFmtId="0" fontId="42" fillId="3" borderId="25" xfId="0" applyFont="1" applyFill="1" applyBorder="1"/>
    <xf numFmtId="4" fontId="23" fillId="3" borderId="25" xfId="0" applyNumberFormat="1" applyFont="1" applyFill="1" applyBorder="1"/>
    <xf numFmtId="168" fontId="1" fillId="4" borderId="25" xfId="0" applyNumberFormat="1" applyFont="1" applyFill="1" applyBorder="1"/>
    <xf numFmtId="0" fontId="3" fillId="3" borderId="16" xfId="0" applyFont="1" applyFill="1" applyBorder="1"/>
    <xf numFmtId="2" fontId="1" fillId="4" borderId="26" xfId="0" applyNumberFormat="1" applyFont="1" applyFill="1" applyBorder="1"/>
    <xf numFmtId="0" fontId="42" fillId="3" borderId="24" xfId="0" applyFont="1" applyFill="1" applyBorder="1"/>
    <xf numFmtId="0" fontId="23" fillId="12" borderId="17" xfId="0" applyFont="1" applyFill="1" applyBorder="1"/>
    <xf numFmtId="2" fontId="1" fillId="12" borderId="1" xfId="0" applyNumberFormat="1" applyFont="1" applyFill="1" applyBorder="1"/>
    <xf numFmtId="2" fontId="1" fillId="12" borderId="27" xfId="0" applyNumberFormat="1" applyFont="1" applyFill="1" applyBorder="1"/>
    <xf numFmtId="2" fontId="1" fillId="12" borderId="5" xfId="0" applyNumberFormat="1" applyFont="1" applyFill="1" applyBorder="1"/>
    <xf numFmtId="168" fontId="1" fillId="12" borderId="1" xfId="0" applyNumberFormat="1" applyFont="1" applyFill="1" applyBorder="1"/>
    <xf numFmtId="0" fontId="23" fillId="12" borderId="27" xfId="0" applyFont="1" applyFill="1" applyBorder="1" applyAlignment="1">
      <alignment horizontal="center"/>
    </xf>
    <xf numFmtId="2" fontId="1" fillId="12" borderId="3" xfId="0" applyNumberFormat="1" applyFont="1" applyFill="1" applyBorder="1"/>
    <xf numFmtId="2" fontId="23" fillId="12" borderId="1" xfId="0" applyNumberFormat="1" applyFont="1" applyFill="1" applyBorder="1"/>
    <xf numFmtId="0" fontId="23" fillId="12" borderId="32" xfId="0" applyFont="1" applyFill="1" applyBorder="1"/>
    <xf numFmtId="0" fontId="32" fillId="12" borderId="4" xfId="0" applyFont="1" applyFill="1" applyBorder="1" applyAlignment="1">
      <alignment horizontal="left"/>
    </xf>
    <xf numFmtId="168" fontId="1" fillId="12" borderId="4" xfId="0" applyNumberFormat="1" applyFont="1" applyFill="1" applyBorder="1"/>
    <xf numFmtId="2" fontId="1" fillId="12" borderId="4" xfId="0" applyNumberFormat="1" applyFont="1" applyFill="1" applyBorder="1"/>
    <xf numFmtId="0" fontId="1" fillId="12" borderId="17" xfId="0" applyFont="1" applyFill="1" applyBorder="1"/>
    <xf numFmtId="0" fontId="4" fillId="12" borderId="1" xfId="0" applyFont="1" applyFill="1" applyBorder="1"/>
    <xf numFmtId="0" fontId="1" fillId="12" borderId="27" xfId="0" applyFont="1" applyFill="1" applyBorder="1"/>
    <xf numFmtId="0" fontId="27" fillId="12" borderId="19" xfId="0" applyFont="1" applyFill="1" applyBorder="1"/>
    <xf numFmtId="0" fontId="23" fillId="12" borderId="31" xfId="0" applyFont="1" applyFill="1" applyBorder="1"/>
    <xf numFmtId="0" fontId="23" fillId="12" borderId="6" xfId="0" applyFont="1" applyFill="1" applyBorder="1"/>
    <xf numFmtId="4" fontId="23" fillId="12" borderId="33" xfId="0" applyNumberFormat="1" applyFont="1" applyFill="1" applyBorder="1"/>
    <xf numFmtId="0" fontId="23" fillId="12" borderId="34" xfId="0" applyFont="1" applyFill="1" applyBorder="1"/>
    <xf numFmtId="0" fontId="1" fillId="3" borderId="0" xfId="0" applyFont="1" applyFill="1" applyBorder="1"/>
    <xf numFmtId="4" fontId="23" fillId="3" borderId="0" xfId="0" applyNumberFormat="1" applyFont="1" applyFill="1" applyBorder="1"/>
    <xf numFmtId="0" fontId="1" fillId="4" borderId="0" xfId="0" applyFont="1" applyFill="1" applyBorder="1"/>
    <xf numFmtId="169" fontId="1" fillId="4" borderId="0" xfId="0" applyNumberFormat="1" applyFont="1" applyFill="1" applyBorder="1"/>
    <xf numFmtId="0" fontId="11" fillId="0" borderId="0" xfId="0" applyFont="1" applyBorder="1"/>
    <xf numFmtId="0" fontId="33" fillId="3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6" fontId="1" fillId="4" borderId="4" xfId="0" applyNumberFormat="1" applyFont="1" applyFill="1" applyBorder="1"/>
    <xf numFmtId="0" fontId="1" fillId="0" borderId="6" xfId="0" applyFont="1" applyFill="1" applyBorder="1"/>
    <xf numFmtId="167" fontId="11" fillId="4" borderId="10" xfId="0" applyNumberFormat="1" applyFont="1" applyFill="1" applyBorder="1"/>
    <xf numFmtId="0" fontId="1" fillId="0" borderId="1" xfId="2" applyFont="1" applyFill="1" applyBorder="1"/>
    <xf numFmtId="167" fontId="1" fillId="4" borderId="6" xfId="0" applyNumberFormat="1" applyFont="1" applyFill="1" applyBorder="1"/>
    <xf numFmtId="2" fontId="1" fillId="0" borderId="0" xfId="0" applyNumberFormat="1" applyFont="1" applyFill="1"/>
    <xf numFmtId="0" fontId="11" fillId="0" borderId="4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167" fontId="1" fillId="4" borderId="10" xfId="0" applyNumberFormat="1" applyFont="1" applyFill="1" applyBorder="1"/>
    <xf numFmtId="0" fontId="1" fillId="5" borderId="6" xfId="0" applyFont="1" applyFill="1" applyBorder="1"/>
    <xf numFmtId="2" fontId="1" fillId="4" borderId="19" xfId="0" applyNumberFormat="1" applyFont="1" applyFill="1" applyBorder="1"/>
    <xf numFmtId="0" fontId="1" fillId="5" borderId="0" xfId="0" applyFont="1" applyFill="1"/>
    <xf numFmtId="167" fontId="1" fillId="4" borderId="21" xfId="0" applyNumberFormat="1" applyFont="1" applyFill="1" applyBorder="1"/>
    <xf numFmtId="2" fontId="1" fillId="4" borderId="21" xfId="0" applyNumberFormat="1" applyFont="1" applyFill="1" applyBorder="1"/>
    <xf numFmtId="170" fontId="53" fillId="0" borderId="1" xfId="0" applyNumberFormat="1" applyFont="1" applyFill="1" applyBorder="1"/>
    <xf numFmtId="2" fontId="53" fillId="0" borderId="1" xfId="0" applyNumberFormat="1" applyFont="1" applyFill="1" applyBorder="1"/>
    <xf numFmtId="0" fontId="3" fillId="0" borderId="5" xfId="0" applyFont="1" applyFill="1" applyBorder="1"/>
    <xf numFmtId="0" fontId="1" fillId="0" borderId="10" xfId="0" applyFont="1" applyFill="1" applyBorder="1"/>
    <xf numFmtId="2" fontId="1" fillId="0" borderId="1" xfId="0" applyNumberFormat="1" applyFont="1" applyFill="1" applyBorder="1"/>
    <xf numFmtId="4" fontId="11" fillId="0" borderId="6" xfId="0" applyNumberFormat="1" applyFont="1" applyFill="1" applyBorder="1"/>
    <xf numFmtId="0" fontId="11" fillId="0" borderId="11" xfId="0" applyFont="1" applyFill="1" applyBorder="1"/>
    <xf numFmtId="0" fontId="11" fillId="0" borderId="6" xfId="2" applyFont="1" applyFill="1" applyBorder="1"/>
    <xf numFmtId="0" fontId="1" fillId="0" borderId="6" xfId="2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1" fillId="0" borderId="13" xfId="0" applyFont="1" applyFill="1" applyBorder="1"/>
    <xf numFmtId="2" fontId="11" fillId="0" borderId="22" xfId="0" applyNumberFormat="1" applyFont="1" applyFill="1" applyBorder="1"/>
    <xf numFmtId="4" fontId="11" fillId="0" borderId="19" xfId="0" applyNumberFormat="1" applyFont="1" applyFill="1" applyBorder="1"/>
    <xf numFmtId="2" fontId="11" fillId="4" borderId="23" xfId="0" applyNumberFormat="1" applyFont="1" applyFill="1" applyBorder="1"/>
    <xf numFmtId="2" fontId="11" fillId="4" borderId="2" xfId="0" applyNumberFormat="1" applyFont="1" applyFill="1" applyBorder="1"/>
    <xf numFmtId="2" fontId="1" fillId="4" borderId="2" xfId="0" applyNumberFormat="1" applyFont="1" applyFill="1" applyBorder="1"/>
    <xf numFmtId="2" fontId="1" fillId="4" borderId="23" xfId="0" applyNumberFormat="1" applyFont="1" applyFill="1" applyBorder="1"/>
    <xf numFmtId="4" fontId="11" fillId="4" borderId="19" xfId="0" applyNumberFormat="1" applyFont="1" applyFill="1" applyBorder="1"/>
    <xf numFmtId="0" fontId="1" fillId="12" borderId="10" xfId="0" applyFont="1" applyFill="1" applyBorder="1" applyAlignment="1">
      <alignment wrapText="1"/>
    </xf>
    <xf numFmtId="2" fontId="1" fillId="12" borderId="10" xfId="0" applyNumberFormat="1" applyFont="1" applyFill="1" applyBorder="1"/>
    <xf numFmtId="0" fontId="42" fillId="12" borderId="11" xfId="0" applyFont="1" applyFill="1" applyBorder="1"/>
    <xf numFmtId="0" fontId="42" fillId="12" borderId="10" xfId="0" applyFont="1" applyFill="1" applyBorder="1"/>
    <xf numFmtId="0" fontId="23" fillId="12" borderId="10" xfId="0" applyFont="1" applyFill="1" applyBorder="1" applyAlignment="1">
      <alignment wrapText="1"/>
    </xf>
    <xf numFmtId="2" fontId="23" fillId="12" borderId="10" xfId="0" applyNumberFormat="1" applyFont="1" applyFill="1" applyBorder="1"/>
    <xf numFmtId="2" fontId="23" fillId="12" borderId="14" xfId="0" applyNumberFormat="1" applyFont="1" applyFill="1" applyBorder="1"/>
    <xf numFmtId="0" fontId="23" fillId="12" borderId="10" xfId="0" applyFont="1" applyFill="1" applyBorder="1" applyAlignment="1"/>
    <xf numFmtId="167" fontId="23" fillId="12" borderId="10" xfId="0" applyNumberFormat="1" applyFont="1" applyFill="1" applyBorder="1" applyAlignment="1"/>
    <xf numFmtId="2" fontId="23" fillId="12" borderId="10" xfId="0" applyNumberFormat="1" applyFont="1" applyFill="1" applyBorder="1" applyAlignment="1"/>
    <xf numFmtId="0" fontId="23" fillId="12" borderId="0" xfId="0" applyFont="1" applyFill="1" applyAlignment="1"/>
    <xf numFmtId="0" fontId="4" fillId="12" borderId="0" xfId="0" applyFont="1" applyFill="1" applyAlignment="1"/>
    <xf numFmtId="0" fontId="39" fillId="12" borderId="13" xfId="0" applyFont="1" applyFill="1" applyBorder="1" applyAlignment="1"/>
    <xf numFmtId="0" fontId="23" fillId="12" borderId="35" xfId="0" applyFont="1" applyFill="1" applyBorder="1" applyAlignment="1"/>
    <xf numFmtId="0" fontId="23" fillId="12" borderId="5" xfId="0" applyFont="1" applyFill="1" applyBorder="1" applyAlignment="1"/>
    <xf numFmtId="0" fontId="23" fillId="0" borderId="4" xfId="0" applyFont="1" applyFill="1" applyBorder="1"/>
    <xf numFmtId="0" fontId="29" fillId="0" borderId="1" xfId="0" applyFont="1" applyFill="1" applyBorder="1"/>
    <xf numFmtId="0" fontId="23" fillId="0" borderId="36" xfId="0" applyFont="1" applyFill="1" applyBorder="1"/>
    <xf numFmtId="4" fontId="27" fillId="0" borderId="19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6" xfId="0" applyFont="1" applyFill="1" applyBorder="1" applyAlignment="1">
      <alignment horizontal="center" wrapText="1"/>
    </xf>
    <xf numFmtId="168" fontId="23" fillId="4" borderId="6" xfId="0" applyNumberFormat="1" applyFont="1" applyFill="1" applyBorder="1"/>
    <xf numFmtId="168" fontId="1" fillId="4" borderId="4" xfId="0" applyNumberFormat="1" applyFont="1" applyFill="1" applyBorder="1"/>
    <xf numFmtId="168" fontId="1" fillId="4" borderId="23" xfId="0" applyNumberFormat="1" applyFont="1" applyFill="1" applyBorder="1"/>
    <xf numFmtId="168" fontId="1" fillId="4" borderId="2" xfId="0" applyNumberFormat="1" applyFont="1" applyFill="1" applyBorder="1"/>
    <xf numFmtId="168" fontId="1" fillId="4" borderId="6" xfId="0" applyNumberFormat="1" applyFont="1" applyFill="1" applyBorder="1"/>
    <xf numFmtId="168" fontId="1" fillId="4" borderId="0" xfId="0" applyNumberFormat="1" applyFont="1" applyFill="1"/>
    <xf numFmtId="0" fontId="1" fillId="12" borderId="11" xfId="0" applyFont="1" applyFill="1" applyBorder="1"/>
    <xf numFmtId="168" fontId="1" fillId="12" borderId="10" xfId="0" applyNumberFormat="1" applyFont="1" applyFill="1" applyBorder="1"/>
    <xf numFmtId="168" fontId="1" fillId="12" borderId="14" xfId="0" applyNumberFormat="1" applyFont="1" applyFill="1" applyBorder="1"/>
    <xf numFmtId="168" fontId="23" fillId="12" borderId="10" xfId="0" applyNumberFormat="1" applyFont="1" applyFill="1" applyBorder="1"/>
    <xf numFmtId="0" fontId="5" fillId="4" borderId="4" xfId="0" applyFont="1" applyFill="1" applyBorder="1"/>
    <xf numFmtId="0" fontId="23" fillId="4" borderId="36" xfId="0" applyFont="1" applyFill="1" applyBorder="1"/>
    <xf numFmtId="0" fontId="5" fillId="4" borderId="1" xfId="0" applyFont="1" applyFill="1" applyBorder="1"/>
    <xf numFmtId="168" fontId="23" fillId="12" borderId="1" xfId="0" applyNumberFormat="1" applyFont="1" applyFill="1" applyBorder="1"/>
    <xf numFmtId="4" fontId="27" fillId="12" borderId="19" xfId="0" applyNumberFormat="1" applyFont="1" applyFill="1" applyBorder="1"/>
    <xf numFmtId="0" fontId="1" fillId="17" borderId="0" xfId="0" applyFont="1" applyFill="1"/>
    <xf numFmtId="0" fontId="1" fillId="17" borderId="1" xfId="0" applyFont="1" applyFill="1" applyBorder="1" applyAlignment="1">
      <alignment wrapText="1"/>
    </xf>
    <xf numFmtId="0" fontId="1" fillId="17" borderId="6" xfId="0" applyFont="1" applyFill="1" applyBorder="1" applyAlignment="1">
      <alignment horizontal="center" wrapText="1"/>
    </xf>
    <xf numFmtId="0" fontId="1" fillId="17" borderId="10" xfId="0" applyFont="1" applyFill="1" applyBorder="1"/>
    <xf numFmtId="0" fontId="1" fillId="17" borderId="4" xfId="0" applyFont="1" applyFill="1" applyBorder="1"/>
    <xf numFmtId="0" fontId="5" fillId="17" borderId="4" xfId="0" applyFont="1" applyFill="1" applyBorder="1"/>
    <xf numFmtId="4" fontId="23" fillId="17" borderId="6" xfId="0" applyNumberFormat="1" applyFont="1" applyFill="1" applyBorder="1"/>
    <xf numFmtId="0" fontId="11" fillId="17" borderId="4" xfId="0" applyFont="1" applyFill="1" applyBorder="1"/>
    <xf numFmtId="0" fontId="23" fillId="17" borderId="4" xfId="0" applyFont="1" applyFill="1" applyBorder="1"/>
    <xf numFmtId="0" fontId="23" fillId="17" borderId="36" xfId="0" applyFont="1" applyFill="1" applyBorder="1"/>
    <xf numFmtId="0" fontId="4" fillId="17" borderId="1" xfId="0" applyFont="1" applyFill="1" applyBorder="1"/>
    <xf numFmtId="4" fontId="27" fillId="17" borderId="19" xfId="0" applyNumberFormat="1" applyFont="1" applyFill="1" applyBorder="1"/>
    <xf numFmtId="0" fontId="1" fillId="17" borderId="0" xfId="0" applyFont="1" applyFill="1" applyAlignment="1">
      <alignment wrapText="1"/>
    </xf>
    <xf numFmtId="0" fontId="1" fillId="17" borderId="5" xfId="0" applyFont="1" applyFill="1" applyBorder="1" applyAlignment="1">
      <alignment wrapText="1"/>
    </xf>
    <xf numFmtId="0" fontId="1" fillId="17" borderId="36" xfId="0" applyFont="1" applyFill="1" applyBorder="1" applyAlignment="1">
      <alignment horizontal="center"/>
    </xf>
    <xf numFmtId="0" fontId="23" fillId="17" borderId="10" xfId="0" applyFont="1" applyFill="1" applyBorder="1"/>
    <xf numFmtId="0" fontId="1" fillId="17" borderId="37" xfId="0" applyFont="1" applyFill="1" applyBorder="1"/>
    <xf numFmtId="0" fontId="23" fillId="17" borderId="35" xfId="0" applyFont="1" applyFill="1" applyBorder="1" applyAlignment="1"/>
    <xf numFmtId="0" fontId="11" fillId="17" borderId="37" xfId="0" applyFont="1" applyFill="1" applyBorder="1"/>
    <xf numFmtId="4" fontId="11" fillId="17" borderId="6" xfId="0" applyNumberFormat="1" applyFont="1" applyFill="1" applyBorder="1"/>
    <xf numFmtId="0" fontId="23" fillId="17" borderId="37" xfId="0" applyFont="1" applyFill="1" applyBorder="1" applyAlignment="1"/>
    <xf numFmtId="0" fontId="3" fillId="17" borderId="1" xfId="0" applyFont="1" applyFill="1" applyBorder="1"/>
    <xf numFmtId="0" fontId="1" fillId="17" borderId="30" xfId="0" applyFont="1" applyFill="1" applyBorder="1"/>
    <xf numFmtId="0" fontId="11" fillId="17" borderId="30" xfId="0" applyFont="1" applyFill="1" applyBorder="1"/>
    <xf numFmtId="0" fontId="1" fillId="17" borderId="6" xfId="0" applyFont="1" applyFill="1" applyBorder="1"/>
    <xf numFmtId="0" fontId="11" fillId="17" borderId="6" xfId="0" applyFont="1" applyFill="1" applyBorder="1"/>
    <xf numFmtId="0" fontId="3" fillId="17" borderId="5" xfId="0" applyFont="1" applyFill="1" applyBorder="1"/>
    <xf numFmtId="4" fontId="11" fillId="17" borderId="19" xfId="0" applyNumberFormat="1" applyFont="1" applyFill="1" applyBorder="1"/>
    <xf numFmtId="166" fontId="23" fillId="12" borderId="1" xfId="0" applyNumberFormat="1" applyFont="1" applyFill="1" applyBorder="1"/>
    <xf numFmtId="0" fontId="11" fillId="17" borderId="1" xfId="0" applyFont="1" applyFill="1" applyBorder="1" applyAlignment="1">
      <alignment horizontal="center" wrapText="1"/>
    </xf>
    <xf numFmtId="0" fontId="11" fillId="17" borderId="6" xfId="0" applyFont="1" applyFill="1" applyBorder="1" applyAlignment="1">
      <alignment horizontal="center"/>
    </xf>
    <xf numFmtId="0" fontId="11" fillId="17" borderId="10" xfId="0" applyFont="1" applyFill="1" applyBorder="1"/>
    <xf numFmtId="0" fontId="2" fillId="17" borderId="4" xfId="0" applyFont="1" applyFill="1" applyBorder="1"/>
    <xf numFmtId="0" fontId="38" fillId="17" borderId="4" xfId="0" applyFont="1" applyFill="1" applyBorder="1"/>
    <xf numFmtId="4" fontId="23" fillId="17" borderId="19" xfId="0" applyNumberFormat="1" applyFont="1" applyFill="1" applyBorder="1"/>
    <xf numFmtId="0" fontId="2" fillId="17" borderId="1" xfId="0" applyFont="1" applyFill="1" applyBorder="1"/>
    <xf numFmtId="0" fontId="23" fillId="17" borderId="16" xfId="0" applyFont="1" applyFill="1" applyBorder="1"/>
    <xf numFmtId="0" fontId="23" fillId="17" borderId="6" xfId="0" applyFont="1" applyFill="1" applyBorder="1"/>
    <xf numFmtId="0" fontId="1" fillId="17" borderId="16" xfId="0" applyFont="1" applyFill="1" applyBorder="1" applyAlignment="1">
      <alignment horizontal="center" wrapText="1"/>
    </xf>
    <xf numFmtId="0" fontId="23" fillId="17" borderId="1" xfId="0" applyFont="1" applyFill="1" applyBorder="1" applyAlignment="1">
      <alignment horizontal="center" wrapText="1"/>
    </xf>
    <xf numFmtId="0" fontId="1" fillId="17" borderId="1" xfId="0" applyFont="1" applyFill="1" applyBorder="1"/>
    <xf numFmtId="4" fontId="23" fillId="17" borderId="25" xfId="0" applyNumberFormat="1" applyFont="1" applyFill="1" applyBorder="1"/>
    <xf numFmtId="0" fontId="11" fillId="17" borderId="1" xfId="0" applyFont="1" applyFill="1" applyBorder="1"/>
    <xf numFmtId="0" fontId="23" fillId="17" borderId="1" xfId="0" applyFont="1" applyFill="1" applyBorder="1"/>
    <xf numFmtId="4" fontId="1" fillId="17" borderId="0" xfId="0" applyNumberFormat="1" applyFont="1" applyFill="1" applyBorder="1"/>
    <xf numFmtId="0" fontId="1" fillId="17" borderId="0" xfId="0" applyFont="1" applyFill="1" applyBorder="1"/>
    <xf numFmtId="0" fontId="23" fillId="17" borderId="0" xfId="0" applyFont="1" applyFill="1"/>
    <xf numFmtId="0" fontId="3" fillId="17" borderId="0" xfId="0" applyFont="1" applyFill="1"/>
    <xf numFmtId="0" fontId="3" fillId="17" borderId="1" xfId="0" applyFont="1" applyFill="1" applyBorder="1" applyAlignment="1">
      <alignment wrapText="1"/>
    </xf>
    <xf numFmtId="0" fontId="3" fillId="17" borderId="1" xfId="0" applyFont="1" applyFill="1" applyBorder="1" applyAlignment="1">
      <alignment horizontal="center"/>
    </xf>
    <xf numFmtId="4" fontId="4" fillId="17" borderId="1" xfId="0" applyNumberFormat="1" applyFont="1" applyFill="1" applyBorder="1"/>
    <xf numFmtId="0" fontId="3" fillId="23" borderId="2" xfId="0" applyFont="1" applyFill="1" applyBorder="1"/>
    <xf numFmtId="0" fontId="3" fillId="17" borderId="23" xfId="8" applyFont="1" applyFill="1" applyBorder="1"/>
    <xf numFmtId="0" fontId="4" fillId="17" borderId="6" xfId="0" applyFont="1" applyFill="1" applyBorder="1"/>
    <xf numFmtId="0" fontId="3" fillId="17" borderId="4" xfId="0" applyFont="1" applyFill="1" applyBorder="1"/>
    <xf numFmtId="0" fontId="4" fillId="17" borderId="5" xfId="0" applyFont="1" applyFill="1" applyBorder="1"/>
    <xf numFmtId="0" fontId="0" fillId="17" borderId="0" xfId="0" applyFill="1"/>
    <xf numFmtId="168" fontId="4" fillId="4" borderId="1" xfId="0" applyNumberFormat="1" applyFont="1" applyFill="1" applyBorder="1"/>
    <xf numFmtId="4" fontId="4" fillId="4" borderId="1" xfId="0" applyNumberFormat="1" applyFont="1" applyFill="1" applyBorder="1"/>
    <xf numFmtId="167" fontId="4" fillId="4" borderId="1" xfId="0" applyNumberFormat="1" applyFont="1" applyFill="1" applyBorder="1"/>
    <xf numFmtId="2" fontId="3" fillId="13" borderId="2" xfId="0" applyNumberFormat="1" applyFont="1" applyFill="1" applyBorder="1"/>
    <xf numFmtId="167" fontId="4" fillId="4" borderId="6" xfId="0" applyNumberFormat="1" applyFont="1" applyFill="1" applyBorder="1"/>
    <xf numFmtId="0" fontId="3" fillId="12" borderId="1" xfId="0" applyFont="1" applyFill="1" applyBorder="1" applyAlignment="1">
      <alignment wrapText="1"/>
    </xf>
    <xf numFmtId="0" fontId="9" fillId="12" borderId="0" xfId="0" applyFont="1" applyFill="1"/>
    <xf numFmtId="0" fontId="4" fillId="12" borderId="11" xfId="0" applyFont="1" applyFill="1" applyBorder="1"/>
    <xf numFmtId="2" fontId="3" fillId="12" borderId="10" xfId="0" applyNumberFormat="1" applyFont="1" applyFill="1" applyBorder="1"/>
    <xf numFmtId="167" fontId="4" fillId="12" borderId="1" xfId="0" applyNumberFormat="1" applyFont="1" applyFill="1" applyBorder="1"/>
    <xf numFmtId="4" fontId="4" fillId="12" borderId="1" xfId="0" applyNumberFormat="1" applyFont="1" applyFill="1" applyBorder="1"/>
    <xf numFmtId="0" fontId="11" fillId="24" borderId="23" xfId="0" applyFont="1" applyFill="1" applyBorder="1"/>
    <xf numFmtId="0" fontId="11" fillId="24" borderId="2" xfId="0" applyFont="1" applyFill="1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1" fillId="1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12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166" fontId="1" fillId="4" borderId="1" xfId="0" applyNumberFormat="1" applyFont="1" applyFill="1" applyBorder="1"/>
    <xf numFmtId="4" fontId="1" fillId="5" borderId="6" xfId="0" applyNumberFormat="1" applyFont="1" applyFill="1" applyBorder="1"/>
    <xf numFmtId="4" fontId="1" fillId="12" borderId="6" xfId="0" applyNumberFormat="1" applyFont="1" applyFill="1" applyBorder="1"/>
    <xf numFmtId="4" fontId="11" fillId="5" borderId="6" xfId="0" applyNumberFormat="1" applyFont="1" applyFill="1" applyBorder="1"/>
    <xf numFmtId="4" fontId="11" fillId="12" borderId="6" xfId="0" applyNumberFormat="1" applyFont="1" applyFill="1" applyBorder="1"/>
    <xf numFmtId="0" fontId="1" fillId="24" borderId="2" xfId="0" applyFont="1" applyFill="1" applyBorder="1"/>
    <xf numFmtId="0" fontId="11" fillId="12" borderId="23" xfId="9" applyFont="1" applyFill="1" applyBorder="1"/>
    <xf numFmtId="0" fontId="1" fillId="12" borderId="23" xfId="9" applyFont="1" applyFill="1" applyBorder="1"/>
    <xf numFmtId="0" fontId="1" fillId="0" borderId="2" xfId="9" applyFont="1" applyFill="1" applyBorder="1"/>
    <xf numFmtId="0" fontId="1" fillId="12" borderId="6" xfId="0" applyFont="1" applyFill="1" applyBorder="1"/>
    <xf numFmtId="167" fontId="1" fillId="4" borderId="1" xfId="0" applyNumberFormat="1" applyFont="1" applyFill="1" applyBorder="1"/>
    <xf numFmtId="0" fontId="1" fillId="3" borderId="3" xfId="0" applyFont="1" applyFill="1" applyBorder="1"/>
    <xf numFmtId="0" fontId="1" fillId="3" borderId="13" xfId="0" applyFont="1" applyFill="1" applyBorder="1"/>
    <xf numFmtId="167" fontId="21" fillId="4" borderId="0" xfId="0" applyNumberFormat="1" applyFont="1" applyFill="1"/>
    <xf numFmtId="167" fontId="1" fillId="4" borderId="0" xfId="0" applyNumberFormat="1" applyFont="1" applyFill="1"/>
    <xf numFmtId="0" fontId="1" fillId="0" borderId="0" xfId="0" applyFont="1"/>
    <xf numFmtId="0" fontId="11" fillId="12" borderId="11" xfId="0" applyFont="1" applyFill="1" applyBorder="1"/>
    <xf numFmtId="2" fontId="11" fillId="12" borderId="4" xfId="0" applyNumberFormat="1" applyFont="1" applyFill="1" applyBorder="1"/>
    <xf numFmtId="167" fontId="1" fillId="12" borderId="10" xfId="0" applyNumberFormat="1" applyFont="1" applyFill="1" applyBorder="1"/>
    <xf numFmtId="2" fontId="23" fillId="12" borderId="4" xfId="0" applyNumberFormat="1" applyFont="1" applyFill="1" applyBorder="1"/>
    <xf numFmtId="0" fontId="53" fillId="5" borderId="0" xfId="0" applyFont="1" applyFill="1"/>
    <xf numFmtId="168" fontId="1" fillId="5" borderId="6" xfId="0" applyNumberFormat="1" applyFont="1" applyFill="1" applyBorder="1"/>
    <xf numFmtId="167" fontId="1" fillId="5" borderId="6" xfId="0" applyNumberFormat="1" applyFont="1" applyFill="1" applyBorder="1"/>
    <xf numFmtId="2" fontId="1" fillId="5" borderId="6" xfId="0" applyNumberFormat="1" applyFont="1" applyFill="1" applyBorder="1"/>
    <xf numFmtId="2" fontId="1" fillId="5" borderId="1" xfId="0" applyNumberFormat="1" applyFont="1" applyFill="1" applyBorder="1"/>
    <xf numFmtId="0" fontId="3" fillId="5" borderId="5" xfId="0" applyFont="1" applyFill="1" applyBorder="1"/>
    <xf numFmtId="0" fontId="11" fillId="5" borderId="7" xfId="0" applyFont="1" applyFill="1" applyBorder="1"/>
    <xf numFmtId="168" fontId="11" fillId="5" borderId="36" xfId="0" applyNumberFormat="1" applyFont="1" applyFill="1" applyBorder="1"/>
    <xf numFmtId="168" fontId="11" fillId="5" borderId="6" xfId="0" applyNumberFormat="1" applyFont="1" applyFill="1" applyBorder="1"/>
    <xf numFmtId="2" fontId="27" fillId="12" borderId="19" xfId="0" applyNumberFormat="1" applyFont="1" applyFill="1" applyBorder="1"/>
    <xf numFmtId="167" fontId="3" fillId="4" borderId="1" xfId="0" applyNumberFormat="1" applyFont="1" applyFill="1" applyBorder="1"/>
    <xf numFmtId="167" fontId="4" fillId="25" borderId="2" xfId="0" applyNumberFormat="1" applyFont="1" applyFill="1" applyBorder="1"/>
    <xf numFmtId="2" fontId="4" fillId="25" borderId="2" xfId="0" applyNumberFormat="1" applyFont="1" applyFill="1" applyBorder="1"/>
    <xf numFmtId="4" fontId="3" fillId="4" borderId="1" xfId="0" applyNumberFormat="1" applyFont="1" applyFill="1" applyBorder="1"/>
    <xf numFmtId="0" fontId="3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4" xfId="0" applyFont="1" applyFill="1" applyBorder="1"/>
    <xf numFmtId="0" fontId="3" fillId="5" borderId="23" xfId="10" applyFont="1" applyFill="1" applyBorder="1"/>
    <xf numFmtId="4" fontId="3" fillId="5" borderId="1" xfId="0" applyNumberFormat="1" applyFont="1" applyFill="1" applyBorder="1"/>
    <xf numFmtId="0" fontId="27" fillId="12" borderId="22" xfId="0" applyFont="1" applyFill="1" applyBorder="1"/>
    <xf numFmtId="0" fontId="36" fillId="12" borderId="19" xfId="0" applyFont="1" applyFill="1" applyBorder="1"/>
    <xf numFmtId="0" fontId="3" fillId="12" borderId="19" xfId="0" applyFont="1" applyFill="1" applyBorder="1"/>
    <xf numFmtId="2" fontId="3" fillId="12" borderId="19" xfId="0" applyNumberFormat="1" applyFont="1" applyFill="1" applyBorder="1"/>
    <xf numFmtId="168" fontId="3" fillId="12" borderId="38" xfId="0" applyNumberFormat="1" applyFont="1" applyFill="1" applyBorder="1"/>
    <xf numFmtId="0" fontId="11" fillId="11" borderId="4" xfId="2" applyFont="1" applyFill="1" applyBorder="1" applyAlignment="1">
      <alignment horizontal="center"/>
    </xf>
    <xf numFmtId="0" fontId="11" fillId="11" borderId="4" xfId="2" applyFont="1" applyFill="1" applyBorder="1"/>
    <xf numFmtId="0" fontId="11" fillId="11" borderId="1" xfId="2" applyFont="1" applyFill="1" applyBorder="1" applyAlignment="1">
      <alignment horizontal="center"/>
    </xf>
    <xf numFmtId="0" fontId="1" fillId="11" borderId="1" xfId="2" applyFont="1" applyFill="1" applyBorder="1" applyAlignment="1">
      <alignment horizontal="center"/>
    </xf>
    <xf numFmtId="0" fontId="1" fillId="11" borderId="1" xfId="2" applyFont="1" applyFill="1" applyBorder="1"/>
    <xf numFmtId="0" fontId="53" fillId="2" borderId="0" xfId="0" applyFont="1" applyFill="1"/>
    <xf numFmtId="0" fontId="1" fillId="2" borderId="1" xfId="0" applyFont="1" applyFill="1" applyBorder="1"/>
    <xf numFmtId="2" fontId="1" fillId="20" borderId="1" xfId="0" applyNumberFormat="1" applyFont="1" applyFill="1" applyBorder="1"/>
    <xf numFmtId="0" fontId="1" fillId="20" borderId="6" xfId="0" applyFont="1" applyFill="1" applyBorder="1"/>
    <xf numFmtId="0" fontId="53" fillId="5" borderId="5" xfId="0" applyFont="1" applyFill="1" applyBorder="1"/>
    <xf numFmtId="0" fontId="53" fillId="0" borderId="0" xfId="0" applyFont="1"/>
    <xf numFmtId="0" fontId="53" fillId="4" borderId="0" xfId="0" applyFont="1" applyFill="1"/>
    <xf numFmtId="168" fontId="53" fillId="4" borderId="0" xfId="0" applyNumberFormat="1" applyFont="1" applyFill="1"/>
    <xf numFmtId="0" fontId="3" fillId="12" borderId="0" xfId="0" applyFont="1" applyFill="1" applyBorder="1"/>
    <xf numFmtId="0" fontId="3" fillId="12" borderId="2" xfId="0" applyFont="1" applyFill="1" applyBorder="1"/>
    <xf numFmtId="0" fontId="3" fillId="24" borderId="2" xfId="0" applyFont="1" applyFill="1" applyBorder="1"/>
    <xf numFmtId="0" fontId="3" fillId="26" borderId="2" xfId="0" applyFont="1" applyFill="1" applyBorder="1"/>
    <xf numFmtId="2" fontId="3" fillId="24" borderId="2" xfId="0" applyNumberFormat="1" applyFont="1" applyFill="1" applyBorder="1"/>
    <xf numFmtId="166" fontId="3" fillId="24" borderId="0" xfId="0" applyNumberFormat="1" applyFont="1" applyFill="1" applyBorder="1"/>
    <xf numFmtId="0" fontId="55" fillId="0" borderId="0" xfId="0" applyFont="1" applyFill="1"/>
    <xf numFmtId="166" fontId="55" fillId="0" borderId="0" xfId="0" applyNumberFormat="1" applyFont="1" applyFill="1"/>
    <xf numFmtId="168" fontId="55" fillId="0" borderId="0" xfId="0" applyNumberFormat="1" applyFont="1" applyFill="1"/>
    <xf numFmtId="0" fontId="56" fillId="0" borderId="0" xfId="0" applyFont="1" applyFill="1"/>
    <xf numFmtId="0" fontId="28" fillId="0" borderId="0" xfId="0" applyFont="1" applyFill="1"/>
    <xf numFmtId="168" fontId="56" fillId="0" borderId="0" xfId="0" applyNumberFormat="1" applyFont="1" applyFill="1"/>
    <xf numFmtId="0" fontId="1" fillId="0" borderId="0" xfId="0" applyFont="1" applyFill="1" applyBorder="1"/>
    <xf numFmtId="0" fontId="1" fillId="5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5" fillId="0" borderId="1" xfId="0" applyFont="1" applyBorder="1"/>
    <xf numFmtId="0" fontId="1" fillId="0" borderId="6" xfId="0" applyFont="1" applyBorder="1"/>
    <xf numFmtId="0" fontId="1" fillId="0" borderId="7" xfId="0" applyFont="1" applyBorder="1"/>
    <xf numFmtId="2" fontId="1" fillId="6" borderId="2" xfId="0" applyNumberFormat="1" applyFont="1" applyFill="1" applyBorder="1"/>
    <xf numFmtId="167" fontId="1" fillId="5" borderId="1" xfId="0" applyNumberFormat="1" applyFont="1" applyFill="1" applyBorder="1"/>
    <xf numFmtId="168" fontId="1" fillId="5" borderId="1" xfId="0" applyNumberFormat="1" applyFont="1" applyFill="1" applyBorder="1"/>
    <xf numFmtId="168" fontId="1" fillId="16" borderId="1" xfId="0" applyNumberFormat="1" applyFont="1" applyFill="1" applyBorder="1"/>
    <xf numFmtId="0" fontId="22" fillId="0" borderId="6" xfId="0" applyFont="1" applyFill="1" applyBorder="1"/>
    <xf numFmtId="0" fontId="53" fillId="0" borderId="5" xfId="0" applyFont="1" applyFill="1" applyBorder="1"/>
    <xf numFmtId="0" fontId="53" fillId="0" borderId="1" xfId="0" applyFont="1" applyBorder="1"/>
    <xf numFmtId="0" fontId="11" fillId="2" borderId="0" xfId="0" applyFont="1" applyFill="1"/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5" fillId="0" borderId="4" xfId="0" applyFont="1" applyFill="1" applyBorder="1"/>
    <xf numFmtId="0" fontId="23" fillId="0" borderId="1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6" fontId="25" fillId="0" borderId="6" xfId="0" applyNumberFormat="1" applyFont="1" applyFill="1" applyBorder="1" applyAlignment="1">
      <alignment horizontal="center"/>
    </xf>
    <xf numFmtId="0" fontId="39" fillId="3" borderId="13" xfId="0" applyFont="1" applyFill="1" applyBorder="1" applyAlignment="1"/>
    <xf numFmtId="0" fontId="11" fillId="0" borderId="35" xfId="0" applyFont="1" applyBorder="1" applyAlignment="1"/>
    <xf numFmtId="0" fontId="11" fillId="0" borderId="5" xfId="0" applyFont="1" applyBorder="1" applyAlignment="1"/>
    <xf numFmtId="0" fontId="11" fillId="12" borderId="35" xfId="0" applyFont="1" applyFill="1" applyBorder="1" applyAlignment="1"/>
    <xf numFmtId="0" fontId="11" fillId="12" borderId="5" xfId="0" applyFont="1" applyFill="1" applyBorder="1" applyAlignment="1"/>
    <xf numFmtId="0" fontId="1" fillId="12" borderId="35" xfId="0" applyFont="1" applyFill="1" applyBorder="1" applyAlignment="1"/>
    <xf numFmtId="0" fontId="1" fillId="12" borderId="5" xfId="0" applyFont="1" applyFill="1" applyBorder="1" applyAlignment="1"/>
    <xf numFmtId="0" fontId="0" fillId="0" borderId="35" xfId="0" applyBorder="1" applyAlignment="1"/>
    <xf numFmtId="0" fontId="0" fillId="0" borderId="5" xfId="0" applyBorder="1" applyAlignment="1"/>
    <xf numFmtId="0" fontId="1" fillId="0" borderId="35" xfId="0" applyFont="1" applyBorder="1" applyAlignment="1"/>
    <xf numFmtId="0" fontId="1" fillId="0" borderId="5" xfId="0" applyFont="1" applyBorder="1" applyAlignment="1"/>
    <xf numFmtId="0" fontId="39" fillId="12" borderId="39" xfId="0" applyFont="1" applyFill="1" applyBorder="1" applyAlignment="1"/>
    <xf numFmtId="0" fontId="1" fillId="12" borderId="28" xfId="0" applyFont="1" applyFill="1" applyBorder="1" applyAlignment="1"/>
    <xf numFmtId="170" fontId="3" fillId="2" borderId="1" xfId="0" applyNumberFormat="1" applyFont="1" applyFill="1" applyBorder="1"/>
    <xf numFmtId="0" fontId="25" fillId="0" borderId="11" xfId="0" applyFont="1" applyFill="1" applyBorder="1"/>
    <xf numFmtId="0" fontId="0" fillId="0" borderId="23" xfId="0" applyFont="1" applyFill="1" applyBorder="1"/>
    <xf numFmtId="0" fontId="0" fillId="0" borderId="2" xfId="0" applyFont="1" applyFill="1" applyBorder="1"/>
    <xf numFmtId="0" fontId="0" fillId="0" borderId="12" xfId="0" applyFont="1" applyFill="1" applyBorder="1"/>
    <xf numFmtId="0" fontId="42" fillId="0" borderId="7" xfId="0" applyFont="1" applyFill="1" applyBorder="1"/>
    <xf numFmtId="170" fontId="23" fillId="4" borderId="4" xfId="0" applyNumberFormat="1" applyFont="1" applyFill="1" applyBorder="1"/>
    <xf numFmtId="0" fontId="42" fillId="0" borderId="11" xfId="0" applyFont="1" applyFill="1" applyBorder="1"/>
    <xf numFmtId="0" fontId="3" fillId="7" borderId="0" xfId="0" applyFont="1" applyFill="1" applyBorder="1"/>
    <xf numFmtId="2" fontId="1" fillId="4" borderId="7" xfId="0" applyNumberFormat="1" applyFont="1" applyFill="1" applyBorder="1"/>
    <xf numFmtId="2" fontId="1" fillId="4" borderId="36" xfId="0" applyNumberFormat="1" applyFont="1" applyFill="1" applyBorder="1"/>
    <xf numFmtId="0" fontId="11" fillId="17" borderId="3" xfId="0" applyFont="1" applyFill="1" applyBorder="1"/>
    <xf numFmtId="0" fontId="22" fillId="0" borderId="3" xfId="0" applyFont="1" applyFill="1" applyBorder="1"/>
    <xf numFmtId="0" fontId="22" fillId="4" borderId="3" xfId="0" applyFont="1" applyFill="1" applyBorder="1"/>
    <xf numFmtId="0" fontId="1" fillId="14" borderId="1" xfId="0" applyFont="1" applyFill="1" applyBorder="1"/>
    <xf numFmtId="0" fontId="1" fillId="0" borderId="25" xfId="0" applyFont="1" applyFill="1" applyBorder="1"/>
    <xf numFmtId="0" fontId="1" fillId="0" borderId="5" xfId="0" applyFont="1" applyFill="1" applyBorder="1"/>
    <xf numFmtId="0" fontId="0" fillId="0" borderId="1" xfId="0" applyFill="1" applyBorder="1"/>
    <xf numFmtId="0" fontId="0" fillId="2" borderId="1" xfId="0" applyFill="1" applyBorder="1"/>
    <xf numFmtId="170" fontId="1" fillId="0" borderId="5" xfId="0" applyNumberFormat="1" applyFont="1" applyFill="1" applyBorder="1"/>
    <xf numFmtId="2" fontId="1" fillId="0" borderId="5" xfId="0" applyNumberFormat="1" applyFont="1" applyFill="1" applyBorder="1"/>
    <xf numFmtId="170" fontId="0" fillId="0" borderId="1" xfId="0" applyNumberFormat="1" applyFill="1" applyBorder="1"/>
    <xf numFmtId="0" fontId="53" fillId="0" borderId="1" xfId="0" applyFont="1" applyFill="1" applyBorder="1" applyAlignment="1">
      <alignment horizontal="right"/>
    </xf>
    <xf numFmtId="0" fontId="20" fillId="0" borderId="1" xfId="0" applyFont="1" applyFill="1" applyBorder="1"/>
    <xf numFmtId="0" fontId="35" fillId="0" borderId="6" xfId="0" applyFont="1" applyFill="1" applyBorder="1" applyAlignment="1">
      <alignment horizontal="center"/>
    </xf>
    <xf numFmtId="0" fontId="36" fillId="0" borderId="1" xfId="0" applyFont="1" applyFill="1" applyBorder="1"/>
    <xf numFmtId="0" fontId="44" fillId="0" borderId="6" xfId="0" applyFont="1" applyFill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3" fillId="0" borderId="6" xfId="0" applyFont="1" applyFill="1" applyBorder="1"/>
    <xf numFmtId="166" fontId="5" fillId="3" borderId="4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170" fontId="3" fillId="12" borderId="1" xfId="0" applyNumberFormat="1" applyFont="1" applyFill="1" applyBorder="1"/>
    <xf numFmtId="0" fontId="1" fillId="2" borderId="4" xfId="0" applyFont="1" applyFill="1" applyBorder="1"/>
    <xf numFmtId="0" fontId="57" fillId="2" borderId="1" xfId="0" applyFont="1" applyFill="1" applyBorder="1"/>
    <xf numFmtId="0" fontId="57" fillId="0" borderId="1" xfId="0" applyFont="1" applyFill="1" applyBorder="1"/>
    <xf numFmtId="0" fontId="18" fillId="14" borderId="16" xfId="0" applyFont="1" applyFill="1" applyBorder="1" applyAlignment="1"/>
    <xf numFmtId="0" fontId="18" fillId="14" borderId="1" xfId="0" applyFont="1" applyFill="1" applyBorder="1" applyAlignment="1"/>
    <xf numFmtId="0" fontId="12" fillId="14" borderId="1" xfId="2" applyFont="1" applyFill="1" applyBorder="1" applyAlignment="1"/>
    <xf numFmtId="0" fontId="1" fillId="14" borderId="1" xfId="0" applyFont="1" applyFill="1" applyBorder="1" applyAlignment="1"/>
    <xf numFmtId="0" fontId="1" fillId="22" borderId="1" xfId="0" applyFont="1" applyFill="1" applyBorder="1"/>
    <xf numFmtId="0" fontId="0" fillId="26" borderId="2" xfId="0" applyFill="1" applyBorder="1"/>
    <xf numFmtId="0" fontId="0" fillId="7" borderId="2" xfId="0" applyFill="1" applyBorder="1"/>
    <xf numFmtId="4" fontId="34" fillId="20" borderId="29" xfId="5" applyNumberFormat="1" applyFont="1" applyFill="1" applyBorder="1" applyAlignment="1">
      <alignment horizontal="center"/>
    </xf>
    <xf numFmtId="4" fontId="34" fillId="20" borderId="9" xfId="5" applyNumberFormat="1" applyFont="1" applyFill="1" applyBorder="1" applyAlignment="1">
      <alignment horizontal="center"/>
    </xf>
    <xf numFmtId="4" fontId="34" fillId="20" borderId="0" xfId="5" applyNumberFormat="1" applyFont="1" applyFill="1" applyBorder="1" applyAlignment="1">
      <alignment horizontal="center"/>
    </xf>
    <xf numFmtId="0" fontId="1" fillId="12" borderId="23" xfId="0" applyFont="1" applyFill="1" applyBorder="1"/>
    <xf numFmtId="0" fontId="1" fillId="12" borderId="2" xfId="0" applyFont="1" applyFill="1" applyBorder="1"/>
    <xf numFmtId="0" fontId="23" fillId="12" borderId="2" xfId="0" applyFont="1" applyFill="1" applyBorder="1"/>
    <xf numFmtId="0" fontId="1" fillId="0" borderId="2" xfId="4" applyFont="1" applyFill="1" applyBorder="1"/>
    <xf numFmtId="0" fontId="1" fillId="3" borderId="23" xfId="4" applyFont="1" applyFill="1" applyBorder="1"/>
    <xf numFmtId="0" fontId="1" fillId="3" borderId="2" xfId="4" applyFont="1" applyFill="1" applyBorder="1"/>
    <xf numFmtId="0" fontId="1" fillId="27" borderId="2" xfId="0" applyFont="1" applyFill="1" applyBorder="1"/>
    <xf numFmtId="0" fontId="1" fillId="0" borderId="23" xfId="4" applyFont="1" applyFill="1" applyBorder="1"/>
    <xf numFmtId="170" fontId="0" fillId="26" borderId="2" xfId="0" applyNumberFormat="1" applyFill="1" applyBorder="1"/>
    <xf numFmtId="1" fontId="0" fillId="26" borderId="2" xfId="0" applyNumberFormat="1" applyFill="1" applyBorder="1"/>
    <xf numFmtId="1" fontId="0" fillId="26" borderId="12" xfId="0" applyNumberFormat="1" applyFill="1" applyBorder="1"/>
    <xf numFmtId="170" fontId="1" fillId="17" borderId="1" xfId="0" applyNumberFormat="1" applyFont="1" applyFill="1" applyBorder="1"/>
    <xf numFmtId="0" fontId="1" fillId="3" borderId="1" xfId="6" applyFont="1" applyFill="1" applyBorder="1" applyAlignment="1"/>
    <xf numFmtId="4" fontId="58" fillId="12" borderId="29" xfId="5" applyNumberFormat="1" applyFont="1" applyFill="1" applyBorder="1" applyAlignment="1">
      <alignment horizontal="center"/>
    </xf>
    <xf numFmtId="0" fontId="35" fillId="12" borderId="1" xfId="5" applyFont="1" applyFill="1" applyBorder="1"/>
    <xf numFmtId="4" fontId="58" fillId="12" borderId="9" xfId="5" applyNumberFormat="1" applyFont="1" applyFill="1" applyBorder="1" applyAlignment="1">
      <alignment horizontal="center"/>
    </xf>
    <xf numFmtId="4" fontId="58" fillId="12" borderId="0" xfId="5" applyNumberFormat="1" applyFont="1" applyFill="1" applyBorder="1" applyAlignment="1">
      <alignment horizontal="center"/>
    </xf>
    <xf numFmtId="0" fontId="35" fillId="12" borderId="0" xfId="5" applyFont="1" applyFill="1" applyBorder="1"/>
    <xf numFmtId="0" fontId="1" fillId="3" borderId="23" xfId="0" applyFont="1" applyFill="1" applyBorder="1"/>
    <xf numFmtId="0" fontId="1" fillId="22" borderId="2" xfId="0" applyFont="1" applyFill="1" applyBorder="1"/>
    <xf numFmtId="0" fontId="1" fillId="0" borderId="23" xfId="9" applyFont="1" applyFill="1" applyBorder="1"/>
    <xf numFmtId="0" fontId="1" fillId="0" borderId="0" xfId="9" applyFont="1" applyFill="1" applyBorder="1"/>
    <xf numFmtId="0" fontId="6" fillId="7" borderId="2" xfId="0" applyFont="1" applyFill="1" applyBorder="1"/>
    <xf numFmtId="170" fontId="3" fillId="7" borderId="12" xfId="0" applyNumberFormat="1" applyFont="1" applyFill="1" applyBorder="1"/>
    <xf numFmtId="0" fontId="0" fillId="14" borderId="23" xfId="0" applyFont="1" applyFill="1" applyBorder="1"/>
    <xf numFmtId="0" fontId="0" fillId="14" borderId="2" xfId="0" applyFont="1" applyFill="1" applyBorder="1"/>
    <xf numFmtId="2" fontId="0" fillId="6" borderId="2" xfId="0" applyNumberFormat="1" applyFont="1" applyFill="1" applyBorder="1"/>
    <xf numFmtId="0" fontId="37" fillId="12" borderId="2" xfId="0" applyFont="1" applyFill="1" applyBorder="1"/>
    <xf numFmtId="0" fontId="3" fillId="28" borderId="2" xfId="0" applyFont="1" applyFill="1" applyBorder="1"/>
    <xf numFmtId="0" fontId="37" fillId="28" borderId="2" xfId="0" applyFont="1" applyFill="1" applyBorder="1"/>
    <xf numFmtId="2" fontId="3" fillId="28" borderId="2" xfId="0" applyNumberFormat="1" applyFont="1" applyFill="1" applyBorder="1"/>
    <xf numFmtId="0" fontId="1" fillId="0" borderId="36" xfId="0" applyFont="1" applyFill="1" applyBorder="1"/>
    <xf numFmtId="1" fontId="1" fillId="0" borderId="1" xfId="0" applyNumberFormat="1" applyFont="1" applyFill="1" applyBorder="1"/>
    <xf numFmtId="1" fontId="1" fillId="0" borderId="3" xfId="0" applyNumberFormat="1" applyFont="1" applyFill="1" applyBorder="1"/>
    <xf numFmtId="170" fontId="1" fillId="0" borderId="1" xfId="0" applyNumberFormat="1" applyFont="1" applyFill="1" applyBorder="1"/>
    <xf numFmtId="1" fontId="1" fillId="0" borderId="1" xfId="2" applyNumberFormat="1" applyFont="1" applyFill="1" applyBorder="1"/>
    <xf numFmtId="1" fontId="1" fillId="0" borderId="1" xfId="0" applyNumberFormat="1" applyFont="1" applyFill="1" applyBorder="1" applyAlignment="1">
      <alignment horizontal="right"/>
    </xf>
    <xf numFmtId="2" fontId="31" fillId="12" borderId="1" xfId="0" applyNumberFormat="1" applyFont="1" applyFill="1" applyBorder="1"/>
    <xf numFmtId="170" fontId="31" fillId="12" borderId="1" xfId="0" applyNumberFormat="1" applyFont="1" applyFill="1" applyBorder="1"/>
    <xf numFmtId="170" fontId="31" fillId="12" borderId="1" xfId="2" applyNumberFormat="1" applyFont="1" applyFill="1" applyBorder="1"/>
    <xf numFmtId="0" fontId="3" fillId="12" borderId="13" xfId="0" applyFont="1" applyFill="1" applyBorder="1"/>
    <xf numFmtId="170" fontId="53" fillId="12" borderId="1" xfId="2" applyNumberFormat="1" applyFont="1" applyFill="1" applyBorder="1"/>
    <xf numFmtId="0" fontId="3" fillId="12" borderId="8" xfId="0" applyFont="1" applyFill="1" applyBorder="1"/>
    <xf numFmtId="170" fontId="12" fillId="12" borderId="1" xfId="2" applyNumberFormat="1" applyFont="1" applyFill="1" applyBorder="1"/>
    <xf numFmtId="2" fontId="31" fillId="12" borderId="1" xfId="2" applyNumberFormat="1" applyFont="1" applyFill="1" applyBorder="1"/>
    <xf numFmtId="2" fontId="53" fillId="12" borderId="1" xfId="2" applyNumberFormat="1" applyFont="1" applyFill="1" applyBorder="1"/>
    <xf numFmtId="0" fontId="23" fillId="0" borderId="10" xfId="0" applyFont="1" applyFill="1" applyBorder="1"/>
    <xf numFmtId="0" fontId="37" fillId="12" borderId="1" xfId="0" applyFont="1" applyFill="1" applyBorder="1"/>
    <xf numFmtId="0" fontId="7" fillId="12" borderId="1" xfId="0" applyFont="1" applyFill="1" applyBorder="1"/>
    <xf numFmtId="0" fontId="0" fillId="12" borderId="1" xfId="0" applyFill="1" applyBorder="1"/>
    <xf numFmtId="0" fontId="3" fillId="2" borderId="4" xfId="0" applyFont="1" applyFill="1" applyBorder="1"/>
    <xf numFmtId="0" fontId="35" fillId="0" borderId="1" xfId="0" applyFont="1" applyFill="1" applyBorder="1" applyAlignment="1">
      <alignment horizontal="center" vertical="center" textRotation="90"/>
    </xf>
    <xf numFmtId="166" fontId="35" fillId="0" borderId="1" xfId="0" applyNumberFormat="1" applyFont="1" applyFill="1" applyBorder="1" applyAlignment="1">
      <alignment horizontal="center" vertical="center" textRotation="90" wrapText="1"/>
    </xf>
    <xf numFmtId="166" fontId="22" fillId="0" borderId="4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166" fontId="22" fillId="0" borderId="0" xfId="0" applyNumberFormat="1" applyFont="1" applyFill="1"/>
    <xf numFmtId="0" fontId="34" fillId="0" borderId="0" xfId="0" applyFont="1" applyFill="1"/>
    <xf numFmtId="166" fontId="5" fillId="0" borderId="1" xfId="0" applyNumberFormat="1" applyFont="1" applyFill="1" applyBorder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0" fontId="3" fillId="27" borderId="0" xfId="0" applyFont="1" applyFill="1"/>
    <xf numFmtId="0" fontId="39" fillId="0" borderId="10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/>
    </xf>
    <xf numFmtId="166" fontId="25" fillId="0" borderId="1" xfId="0" applyNumberFormat="1" applyFont="1" applyFill="1" applyBorder="1" applyAlignment="1">
      <alignment horizontal="center"/>
    </xf>
    <xf numFmtId="0" fontId="22" fillId="0" borderId="4" xfId="2" applyFont="1" applyFill="1" applyBorder="1"/>
    <xf numFmtId="0" fontId="22" fillId="0" borderId="1" xfId="2" applyFont="1" applyFill="1" applyBorder="1"/>
    <xf numFmtId="0" fontId="34" fillId="0" borderId="1" xfId="2" applyFont="1" applyFill="1" applyBorder="1"/>
    <xf numFmtId="0" fontId="34" fillId="0" borderId="1" xfId="0" applyFont="1" applyFill="1" applyBorder="1"/>
    <xf numFmtId="0" fontId="5" fillId="0" borderId="1" xfId="2" applyFont="1" applyFill="1" applyBorder="1"/>
    <xf numFmtId="0" fontId="43" fillId="0" borderId="1" xfId="0" applyFont="1" applyFill="1" applyBorder="1"/>
    <xf numFmtId="0" fontId="22" fillId="0" borderId="6" xfId="0" applyFont="1" applyFill="1" applyBorder="1" applyAlignment="1">
      <alignment horizontal="center"/>
    </xf>
    <xf numFmtId="0" fontId="25" fillId="0" borderId="6" xfId="0" applyFont="1" applyFill="1" applyBorder="1"/>
    <xf numFmtId="166" fontId="22" fillId="0" borderId="6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0" xfId="0" applyNumberFormat="1" applyFont="1" applyFill="1"/>
    <xf numFmtId="0" fontId="22" fillId="0" borderId="2" xfId="0" applyFont="1" applyFill="1" applyBorder="1"/>
    <xf numFmtId="0" fontId="22" fillId="0" borderId="12" xfId="0" applyFont="1" applyFill="1" applyBorder="1"/>
    <xf numFmtId="0" fontId="41" fillId="0" borderId="11" xfId="0" applyFont="1" applyFill="1" applyBorder="1" applyAlignment="1">
      <alignment horizontal="left"/>
    </xf>
    <xf numFmtId="0" fontId="39" fillId="0" borderId="1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25" fillId="0" borderId="19" xfId="0" applyFont="1" applyFill="1" applyBorder="1"/>
    <xf numFmtId="166" fontId="25" fillId="0" borderId="19" xfId="0" applyNumberFormat="1" applyFont="1" applyFill="1" applyBorder="1" applyAlignment="1">
      <alignment horizontal="center"/>
    </xf>
    <xf numFmtId="0" fontId="3" fillId="0" borderId="10" xfId="0" applyFont="1" applyFill="1" applyBorder="1"/>
    <xf numFmtId="2" fontId="1" fillId="13" borderId="23" xfId="0" applyNumberFormat="1" applyFont="1" applyFill="1" applyBorder="1"/>
    <xf numFmtId="2" fontId="1" fillId="29" borderId="4" xfId="0" applyNumberFormat="1" applyFont="1" applyFill="1" applyBorder="1"/>
    <xf numFmtId="2" fontId="1" fillId="29" borderId="1" xfId="0" applyNumberFormat="1" applyFont="1" applyFill="1" applyBorder="1"/>
    <xf numFmtId="2" fontId="57" fillId="4" borderId="1" xfId="0" applyNumberFormat="1" applyFont="1" applyFill="1" applyBorder="1"/>
    <xf numFmtId="4" fontId="23" fillId="3" borderId="6" xfId="0" applyNumberFormat="1" applyFont="1" applyFill="1" applyBorder="1"/>
    <xf numFmtId="2" fontId="23" fillId="12" borderId="0" xfId="0" applyNumberFormat="1" applyFont="1" applyFill="1" applyBorder="1" applyAlignment="1"/>
    <xf numFmtId="2" fontId="1" fillId="13" borderId="0" xfId="0" applyNumberFormat="1" applyFont="1" applyFill="1" applyBorder="1"/>
    <xf numFmtId="2" fontId="1" fillId="4" borderId="0" xfId="0" applyNumberFormat="1" applyFont="1" applyFill="1" applyBorder="1"/>
    <xf numFmtId="2" fontId="1" fillId="4" borderId="3" xfId="0" applyNumberFormat="1" applyFont="1" applyFill="1" applyBorder="1"/>
    <xf numFmtId="2" fontId="11" fillId="4" borderId="0" xfId="0" applyNumberFormat="1" applyFont="1" applyFill="1" applyBorder="1"/>
    <xf numFmtId="2" fontId="11" fillId="4" borderId="3" xfId="0" applyNumberFormat="1" applyFont="1" applyFill="1" applyBorder="1"/>
    <xf numFmtId="2" fontId="57" fillId="4" borderId="4" xfId="0" applyNumberFormat="1" applyFont="1" applyFill="1" applyBorder="1"/>
    <xf numFmtId="2" fontId="1" fillId="12" borderId="0" xfId="0" applyNumberFormat="1" applyFont="1" applyFill="1" applyBorder="1"/>
    <xf numFmtId="2" fontId="23" fillId="4" borderId="3" xfId="0" applyNumberFormat="1" applyFont="1" applyFill="1" applyBorder="1"/>
    <xf numFmtId="2" fontId="23" fillId="12" borderId="0" xfId="0" applyNumberFormat="1" applyFont="1" applyFill="1" applyBorder="1"/>
    <xf numFmtId="2" fontId="11" fillId="12" borderId="0" xfId="0" applyNumberFormat="1" applyFont="1" applyFill="1" applyBorder="1"/>
    <xf numFmtId="2" fontId="23" fillId="5" borderId="3" xfId="0" applyNumberFormat="1" applyFont="1" applyFill="1" applyBorder="1"/>
    <xf numFmtId="2" fontId="3" fillId="12" borderId="41" xfId="0" applyNumberFormat="1" applyFont="1" applyFill="1" applyBorder="1"/>
    <xf numFmtId="0" fontId="6" fillId="3" borderId="1" xfId="0" applyFont="1" applyFill="1" applyBorder="1"/>
    <xf numFmtId="0" fontId="6" fillId="2" borderId="1" xfId="0" applyFont="1" applyFill="1" applyBorder="1"/>
    <xf numFmtId="4" fontId="51" fillId="20" borderId="1" xfId="0" applyNumberFormat="1" applyFont="1" applyFill="1" applyBorder="1"/>
    <xf numFmtId="170" fontId="6" fillId="2" borderId="1" xfId="0" applyNumberFormat="1" applyFont="1" applyFill="1" applyBorder="1"/>
    <xf numFmtId="0" fontId="22" fillId="0" borderId="3" xfId="0" applyFont="1" applyFill="1" applyBorder="1" applyAlignment="1">
      <alignment horizontal="center"/>
    </xf>
    <xf numFmtId="0" fontId="5" fillId="0" borderId="0" xfId="0" applyFont="1" applyFill="1" applyBorder="1"/>
    <xf numFmtId="0" fontId="22" fillId="3" borderId="37" xfId="0" applyFont="1" applyFill="1" applyBorder="1" applyAlignment="1">
      <alignment horizontal="center"/>
    </xf>
    <xf numFmtId="0" fontId="3" fillId="4" borderId="13" xfId="0" applyFont="1" applyFill="1" applyBorder="1"/>
    <xf numFmtId="0" fontId="3" fillId="4" borderId="13" xfId="0" applyFont="1" applyFill="1" applyBorder="1" applyAlignment="1">
      <alignment wrapText="1"/>
    </xf>
    <xf numFmtId="0" fontId="3" fillId="4" borderId="18" xfId="0" applyFont="1" applyFill="1" applyBorder="1" applyAlignment="1">
      <alignment horizontal="center"/>
    </xf>
    <xf numFmtId="2" fontId="3" fillId="4" borderId="13" xfId="0" applyNumberFormat="1" applyFont="1" applyFill="1" applyBorder="1"/>
    <xf numFmtId="2" fontId="4" fillId="4" borderId="13" xfId="0" applyNumberFormat="1" applyFont="1" applyFill="1" applyBorder="1"/>
    <xf numFmtId="4" fontId="4" fillId="5" borderId="13" xfId="0" applyNumberFormat="1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wrapText="1"/>
    </xf>
    <xf numFmtId="0" fontId="3" fillId="4" borderId="37" xfId="0" applyFont="1" applyFill="1" applyBorder="1" applyAlignment="1">
      <alignment horizontal="center"/>
    </xf>
    <xf numFmtId="2" fontId="3" fillId="4" borderId="5" xfId="0" applyNumberFormat="1" applyFont="1" applyFill="1" applyBorder="1"/>
    <xf numFmtId="166" fontId="3" fillId="4" borderId="5" xfId="0" applyNumberFormat="1" applyFont="1" applyFill="1" applyBorder="1"/>
    <xf numFmtId="166" fontId="4" fillId="5" borderId="5" xfId="0" applyNumberFormat="1" applyFont="1" applyFill="1" applyBorder="1"/>
    <xf numFmtId="0" fontId="53" fillId="4" borderId="1" xfId="0" applyFont="1" applyFill="1" applyBorder="1"/>
    <xf numFmtId="169" fontId="3" fillId="4" borderId="1" xfId="0" applyNumberFormat="1" applyFont="1" applyFill="1" applyBorder="1"/>
    <xf numFmtId="0" fontId="22" fillId="17" borderId="4" xfId="0" applyFont="1" applyFill="1" applyBorder="1" applyAlignment="1">
      <alignment horizontal="center"/>
    </xf>
    <xf numFmtId="0" fontId="22" fillId="17" borderId="4" xfId="0" applyFont="1" applyFill="1" applyBorder="1"/>
    <xf numFmtId="0" fontId="0" fillId="17" borderId="23" xfId="0" applyFont="1" applyFill="1" applyBorder="1"/>
    <xf numFmtId="0" fontId="37" fillId="23" borderId="2" xfId="0" applyFont="1" applyFill="1" applyBorder="1"/>
    <xf numFmtId="0" fontId="37" fillId="17" borderId="2" xfId="0" applyFont="1" applyFill="1" applyBorder="1"/>
    <xf numFmtId="0" fontId="37" fillId="30" borderId="2" xfId="0" applyFont="1" applyFill="1" applyBorder="1"/>
    <xf numFmtId="168" fontId="4" fillId="17" borderId="1" xfId="0" applyNumberFormat="1" applyFont="1" applyFill="1" applyBorder="1"/>
    <xf numFmtId="2" fontId="3" fillId="17" borderId="1" xfId="0" applyNumberFormat="1" applyFont="1" applyFill="1" applyBorder="1"/>
    <xf numFmtId="2" fontId="37" fillId="23" borderId="2" xfId="0" applyNumberFormat="1" applyFont="1" applyFill="1" applyBorder="1"/>
    <xf numFmtId="2" fontId="3" fillId="17" borderId="0" xfId="0" applyNumberFormat="1" applyFont="1" applyFill="1" applyBorder="1"/>
    <xf numFmtId="166" fontId="3" fillId="17" borderId="1" xfId="0" applyNumberFormat="1" applyFont="1" applyFill="1" applyBorder="1"/>
    <xf numFmtId="0" fontId="37" fillId="17" borderId="0" xfId="0" applyFont="1" applyFill="1"/>
    <xf numFmtId="0" fontId="22" fillId="17" borderId="1" xfId="0" applyFont="1" applyFill="1" applyBorder="1"/>
    <xf numFmtId="0" fontId="0" fillId="17" borderId="2" xfId="0" applyFont="1" applyFill="1" applyBorder="1"/>
    <xf numFmtId="0" fontId="22" fillId="17" borderId="2" xfId="0" applyFont="1" applyFill="1" applyBorder="1"/>
    <xf numFmtId="0" fontId="37" fillId="31" borderId="2" xfId="0" applyFont="1" applyFill="1" applyBorder="1"/>
    <xf numFmtId="2" fontId="3" fillId="23" borderId="2" xfId="0" applyNumberFormat="1" applyFont="1" applyFill="1" applyBorder="1"/>
    <xf numFmtId="168" fontId="4" fillId="2" borderId="1" xfId="0" applyNumberFormat="1" applyFont="1" applyFill="1" applyBorder="1"/>
    <xf numFmtId="2" fontId="3" fillId="2" borderId="1" xfId="0" applyNumberFormat="1" applyFont="1" applyFill="1" applyBorder="1"/>
    <xf numFmtId="0" fontId="18" fillId="0" borderId="4" xfId="0" applyFont="1" applyFill="1" applyBorder="1"/>
    <xf numFmtId="166" fontId="22" fillId="3" borderId="4" xfId="0" applyNumberFormat="1" applyFont="1" applyFill="1" applyBorder="1" applyAlignment="1">
      <alignment horizontal="center"/>
    </xf>
    <xf numFmtId="168" fontId="3" fillId="3" borderId="0" xfId="0" applyNumberFormat="1" applyFont="1" applyFill="1"/>
    <xf numFmtId="170" fontId="23" fillId="5" borderId="6" xfId="0" applyNumberFormat="1" applyFont="1" applyFill="1" applyBorder="1"/>
    <xf numFmtId="0" fontId="3" fillId="0" borderId="0" xfId="0" applyFont="1" applyFill="1" applyAlignment="1">
      <alignment horizontal="center" vertical="center" textRotation="90"/>
    </xf>
    <xf numFmtId="170" fontId="3" fillId="0" borderId="0" xfId="0" applyNumberFormat="1" applyFont="1" applyFill="1" applyAlignment="1">
      <alignment horizontal="center"/>
    </xf>
    <xf numFmtId="170" fontId="3" fillId="3" borderId="0" xfId="0" applyNumberFormat="1" applyFont="1" applyFill="1" applyAlignment="1">
      <alignment horizontal="center"/>
    </xf>
    <xf numFmtId="0" fontId="3" fillId="0" borderId="10" xfId="0" applyFont="1" applyFill="1" applyBorder="1" applyAlignment="1">
      <alignment horizontal="center"/>
    </xf>
    <xf numFmtId="2" fontId="35" fillId="0" borderId="1" xfId="0" applyNumberFormat="1" applyFont="1" applyFill="1" applyBorder="1" applyAlignment="1">
      <alignment horizontal="center" vertical="center" textRotation="90" wrapText="1"/>
    </xf>
    <xf numFmtId="167" fontId="35" fillId="0" borderId="1" xfId="0" applyNumberFormat="1" applyFont="1" applyFill="1" applyBorder="1" applyAlignment="1">
      <alignment horizontal="center" vertical="center" textRotation="90" wrapText="1"/>
    </xf>
    <xf numFmtId="2" fontId="5" fillId="0" borderId="0" xfId="0" applyNumberFormat="1" applyFont="1" applyFill="1" applyAlignment="1">
      <alignment horizontal="center" vertical="center" textRotation="90"/>
    </xf>
    <xf numFmtId="1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2" fontId="59" fillId="0" borderId="10" xfId="0" applyNumberFormat="1" applyFont="1" applyFill="1" applyBorder="1" applyAlignment="1">
      <alignment horizontal="left"/>
    </xf>
    <xf numFmtId="168" fontId="59" fillId="0" borderId="10" xfId="0" applyNumberFormat="1" applyFont="1" applyFill="1" applyBorder="1" applyAlignment="1">
      <alignment horizontal="left"/>
    </xf>
    <xf numFmtId="0" fontId="59" fillId="0" borderId="10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2" fontId="34" fillId="0" borderId="42" xfId="0" applyNumberFormat="1" applyFont="1" applyFill="1" applyBorder="1" applyAlignment="1">
      <alignment horizontal="center"/>
    </xf>
    <xf numFmtId="2" fontId="34" fillId="0" borderId="43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34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/>
    <xf numFmtId="0" fontId="1" fillId="0" borderId="3" xfId="0" applyFont="1" applyFill="1" applyBorder="1" applyAlignment="1">
      <alignment horizontal="center"/>
    </xf>
    <xf numFmtId="2" fontId="34" fillId="0" borderId="0" xfId="0" applyNumberFormat="1" applyFont="1" applyFill="1" applyAlignment="1">
      <alignment horizontal="center"/>
    </xf>
    <xf numFmtId="16" fontId="1" fillId="0" borderId="13" xfId="0" applyNumberFormat="1" applyFont="1" applyFill="1" applyBorder="1" applyAlignment="1">
      <alignment horizontal="center"/>
    </xf>
    <xf numFmtId="2" fontId="34" fillId="0" borderId="42" xfId="0" applyNumberFormat="1" applyFont="1" applyFill="1" applyBorder="1" applyAlignment="1">
      <alignment horizontal="center" vertical="center"/>
    </xf>
    <xf numFmtId="2" fontId="34" fillId="0" borderId="0" xfId="0" applyNumberFormat="1" applyFont="1" applyFill="1" applyBorder="1" applyAlignment="1">
      <alignment horizontal="center" vertical="center"/>
    </xf>
    <xf numFmtId="12" fontId="1" fillId="0" borderId="6" xfId="0" applyNumberFormat="1" applyFont="1" applyFill="1" applyBorder="1" applyAlignment="1">
      <alignment horizontal="center"/>
    </xf>
    <xf numFmtId="2" fontId="60" fillId="0" borderId="10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172" fontId="1" fillId="0" borderId="13" xfId="0" applyNumberFormat="1" applyFont="1" applyFill="1" applyBorder="1" applyAlignment="1"/>
    <xf numFmtId="0" fontId="1" fillId="0" borderId="13" xfId="0" applyNumberFormat="1" applyFont="1" applyFill="1" applyBorder="1" applyAlignment="1">
      <alignment horizontal="center"/>
    </xf>
    <xf numFmtId="172" fontId="1" fillId="0" borderId="13" xfId="0" applyNumberFormat="1" applyFont="1" applyFill="1" applyBorder="1" applyAlignment="1">
      <alignment horizontal="center"/>
    </xf>
    <xf numFmtId="2" fontId="34" fillId="0" borderId="44" xfId="7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center"/>
    </xf>
    <xf numFmtId="2" fontId="34" fillId="0" borderId="6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/>
    </xf>
    <xf numFmtId="2" fontId="24" fillId="0" borderId="4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2" fontId="34" fillId="3" borderId="43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6" fontId="5" fillId="0" borderId="19" xfId="0" applyNumberFormat="1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center"/>
    </xf>
    <xf numFmtId="168" fontId="5" fillId="0" borderId="19" xfId="0" applyNumberFormat="1" applyFont="1" applyFill="1" applyBorder="1" applyAlignment="1">
      <alignment horizontal="center"/>
    </xf>
    <xf numFmtId="168" fontId="1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0" fontId="39" fillId="0" borderId="13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66" fontId="25" fillId="0" borderId="44" xfId="0" applyNumberFormat="1" applyFont="1" applyFill="1" applyBorder="1" applyAlignment="1">
      <alignment horizontal="center"/>
    </xf>
    <xf numFmtId="166" fontId="25" fillId="0" borderId="35" xfId="0" applyNumberFormat="1" applyFont="1" applyFill="1" applyBorder="1" applyAlignment="1">
      <alignment horizontal="center"/>
    </xf>
    <xf numFmtId="2" fontId="25" fillId="0" borderId="5" xfId="0" applyNumberFormat="1" applyFont="1" applyFill="1" applyBorder="1" applyAlignment="1">
      <alignment horizontal="center"/>
    </xf>
    <xf numFmtId="0" fontId="41" fillId="0" borderId="13" xfId="0" applyFont="1" applyFill="1" applyBorder="1" applyAlignment="1">
      <alignment horizontal="center"/>
    </xf>
    <xf numFmtId="166" fontId="25" fillId="0" borderId="45" xfId="0" applyNumberFormat="1" applyFont="1" applyFill="1" applyBorder="1" applyAlignment="1">
      <alignment horizontal="center" vertical="center" wrapText="1"/>
    </xf>
    <xf numFmtId="166" fontId="25" fillId="0" borderId="46" xfId="0" applyNumberFormat="1" applyFont="1" applyFill="1" applyBorder="1" applyAlignment="1">
      <alignment horizontal="center" vertical="center" wrapText="1"/>
    </xf>
    <xf numFmtId="2" fontId="25" fillId="0" borderId="47" xfId="0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/>
    </xf>
    <xf numFmtId="0" fontId="11" fillId="0" borderId="4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23" fillId="12" borderId="17" xfId="0" applyFont="1" applyFill="1" applyBorder="1"/>
    <xf numFmtId="0" fontId="23" fillId="12" borderId="1" xfId="0" applyFont="1" applyFill="1" applyBorder="1"/>
    <xf numFmtId="0" fontId="4" fillId="0" borderId="13" xfId="0" applyFont="1" applyFill="1" applyBorder="1"/>
    <xf numFmtId="0" fontId="4" fillId="0" borderId="5" xfId="0" applyFont="1" applyFill="1" applyBorder="1"/>
    <xf numFmtId="0" fontId="23" fillId="12" borderId="11" xfId="0" applyFont="1" applyFill="1" applyBorder="1"/>
    <xf numFmtId="0" fontId="23" fillId="12" borderId="10" xfId="0" applyFont="1" applyFill="1" applyBorder="1"/>
    <xf numFmtId="0" fontId="39" fillId="12" borderId="13" xfId="0" applyFont="1" applyFill="1" applyBorder="1" applyAlignment="1">
      <alignment horizontal="center"/>
    </xf>
    <xf numFmtId="0" fontId="11" fillId="12" borderId="35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40" fillId="12" borderId="11" xfId="0" applyFont="1" applyFill="1" applyBorder="1" applyAlignment="1">
      <alignment horizontal="center"/>
    </xf>
    <xf numFmtId="0" fontId="40" fillId="12" borderId="10" xfId="0" applyFont="1" applyFill="1" applyBorder="1" applyAlignment="1">
      <alignment horizontal="center"/>
    </xf>
    <xf numFmtId="0" fontId="23" fillId="0" borderId="0" xfId="0" applyFont="1" applyFill="1" applyAlignment="1">
      <alignment horizontal="left" wrapText="1"/>
    </xf>
    <xf numFmtId="0" fontId="4" fillId="12" borderId="13" xfId="0" applyFont="1" applyFill="1" applyBorder="1"/>
    <xf numFmtId="0" fontId="4" fillId="12" borderId="5" xfId="0" applyFont="1" applyFill="1" applyBorder="1"/>
    <xf numFmtId="0" fontId="4" fillId="12" borderId="13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11" fillId="12" borderId="11" xfId="0" applyFont="1" applyFill="1" applyBorder="1"/>
    <xf numFmtId="0" fontId="11" fillId="12" borderId="10" xfId="0" applyFont="1" applyFill="1" applyBorder="1"/>
    <xf numFmtId="4" fontId="3" fillId="16" borderId="13" xfId="0" applyNumberFormat="1" applyFont="1" applyFill="1" applyBorder="1" applyAlignment="1">
      <alignment horizontal="center"/>
    </xf>
    <xf numFmtId="4" fontId="3" fillId="16" borderId="5" xfId="0" applyNumberFormat="1" applyFont="1" applyFill="1" applyBorder="1" applyAlignment="1">
      <alignment horizontal="center"/>
    </xf>
    <xf numFmtId="0" fontId="4" fillId="12" borderId="2" xfId="0" applyFont="1" applyFill="1" applyBorder="1"/>
    <xf numFmtId="0" fontId="39" fillId="3" borderId="13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1">
    <cellStyle name="Денежный" xfId="1" builtinId="4"/>
    <cellStyle name="Обычный" xfId="0" builtinId="0"/>
    <cellStyle name="Обычный_Лист1" xfId="2"/>
    <cellStyle name="Обычный_Лист13" xfId="3"/>
    <cellStyle name="Обычный_Лист14" xfId="4"/>
    <cellStyle name="Обычный_Лист18" xfId="5"/>
    <cellStyle name="Обычный_Лист2" xfId="6"/>
    <cellStyle name="Обычный_Лист4" xfId="7"/>
    <cellStyle name="Обычный_Лист7" xfId="8"/>
    <cellStyle name="Обычный_Лист8" xfId="9"/>
    <cellStyle name="Обычный_Лист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1239</xdr:row>
      <xdr:rowOff>0</xdr:rowOff>
    </xdr:from>
    <xdr:ext cx="104775" cy="23177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5259050" y="2638425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D/Downloads/&#1050;&#1086;&#1087;&#1080;&#1103;%20&#1064;&#1045;&#1042;&#1063;&#1045;&#1053;&#1050;&#1110;&#1042;&#1057;&#1068;&#1050;&#1048;&#1049;%20&#1042;&#1048;&#1050;&#1054;&#1053;&#1050;&#1054;&#1052;.&#1089;&#1090;&#1072;&#1088;&#11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"/>
      <sheetName val="cходова"/>
      <sheetName val="дератизац."/>
      <sheetName val="підготовка до зими"/>
      <sheetName val="електрики"/>
      <sheetName val="зварювальн"/>
      <sheetName val="димоканал"/>
      <sheetName val="покрівлі"/>
      <sheetName val="Лист1"/>
      <sheetName val="майстерні"/>
      <sheetName val="маляри"/>
      <sheetName val="гар.вода"/>
      <sheetName val="хол.вода"/>
      <sheetName val="ц.о."/>
      <sheetName val="каналізація"/>
      <sheetName val="аварійні"/>
      <sheetName val="прибуд."/>
      <sheetName val="аналіз"/>
      <sheetName val="аналіз доходу (2)"/>
      <sheetName val="площі"/>
      <sheetName val="Лист2"/>
      <sheetName val="зведена (3)"/>
      <sheetName val="Аркуш1"/>
      <sheetName val="Аркуш2"/>
    </sheetNames>
    <sheetDataSet>
      <sheetData sheetId="0" refreshError="1"/>
      <sheetData sheetId="1"/>
      <sheetData sheetId="2">
        <row r="6">
          <cell r="I6">
            <v>2.2353070255641304E-3</v>
          </cell>
        </row>
        <row r="7">
          <cell r="I7">
            <v>3.413599928624088E-3</v>
          </cell>
        </row>
        <row r="8">
          <cell r="I8">
            <v>2.4417547010778017E-3</v>
          </cell>
        </row>
        <row r="9">
          <cell r="I9">
            <v>5.8103407703734219E-3</v>
          </cell>
        </row>
        <row r="10">
          <cell r="I10">
            <v>3.4884142363544113E-3</v>
          </cell>
        </row>
        <row r="11">
          <cell r="I11">
            <v>3.508241342809618E-3</v>
          </cell>
        </row>
        <row r="12">
          <cell r="I12">
            <v>3.7715517241379312E-3</v>
          </cell>
        </row>
        <row r="13">
          <cell r="I13">
            <v>2.8801576892931147E-3</v>
          </cell>
        </row>
        <row r="14">
          <cell r="I14">
            <v>2.8022973203089933E-3</v>
          </cell>
        </row>
        <row r="15">
          <cell r="I15">
            <v>3.1510914394930092E-3</v>
          </cell>
        </row>
        <row r="16">
          <cell r="I16">
            <v>3.924482150664225E-3</v>
          </cell>
        </row>
        <row r="17">
          <cell r="I17">
            <v>3.6567061589435558E-3</v>
          </cell>
        </row>
        <row r="18">
          <cell r="I18">
            <v>2.7709156404301712E-3</v>
          </cell>
        </row>
        <row r="19">
          <cell r="I19">
            <v>3.2030516334383241E-3</v>
          </cell>
        </row>
        <row r="20">
          <cell r="I20">
            <v>2.5618366308200213E-3</v>
          </cell>
        </row>
        <row r="21">
          <cell r="I21">
            <v>4.4007329255946661E-3</v>
          </cell>
        </row>
        <row r="22">
          <cell r="I22">
            <v>4.8888620289962879E-3</v>
          </cell>
        </row>
        <row r="23">
          <cell r="I23">
            <v>5.3086057082779303E-3</v>
          </cell>
        </row>
        <row r="24">
          <cell r="I24">
            <v>4.459264363290351E-3</v>
          </cell>
        </row>
        <row r="25">
          <cell r="I25">
            <v>2.7814017738699527E-3</v>
          </cell>
        </row>
        <row r="26">
          <cell r="I26">
            <v>3.3750275951377941E-3</v>
          </cell>
        </row>
        <row r="27">
          <cell r="I27">
            <v>2.7369324889986047E-3</v>
          </cell>
        </row>
        <row r="28">
          <cell r="I28">
            <v>3.4818335540101652E-3</v>
          </cell>
        </row>
        <row r="29">
          <cell r="I29">
            <v>7.5324476260310129E-3</v>
          </cell>
        </row>
        <row r="30">
          <cell r="I30">
            <v>2.7830493035260187E-3</v>
          </cell>
        </row>
        <row r="31">
          <cell r="I31">
            <v>3.2845910125802046E-3</v>
          </cell>
        </row>
        <row r="32">
          <cell r="I32">
            <v>3.3023695777371293E-3</v>
          </cell>
        </row>
        <row r="33">
          <cell r="I33">
            <v>2.9888896793010462E-3</v>
          </cell>
        </row>
        <row r="34">
          <cell r="I34">
            <v>2.6889898422745133E-3</v>
          </cell>
        </row>
        <row r="35">
          <cell r="I35">
            <v>2.9534657342305437E-3</v>
          </cell>
        </row>
        <row r="36">
          <cell r="I36">
            <v>3.3816936010580066E-3</v>
          </cell>
        </row>
        <row r="37">
          <cell r="I37">
            <v>3.317032853502308E-3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7.7548005908419501E-3</v>
          </cell>
        </row>
        <row r="42">
          <cell r="I42">
            <v>4.8742701768437913E-3</v>
          </cell>
        </row>
        <row r="43">
          <cell r="I43">
            <v>3.7751580644348726E-3</v>
          </cell>
        </row>
        <row r="44">
          <cell r="I44">
            <v>2.9277890035095187E-3</v>
          </cell>
        </row>
        <row r="45">
          <cell r="I45">
            <v>3.0196935041955429E-3</v>
          </cell>
        </row>
        <row r="46">
          <cell r="I46">
            <v>3.9351137653155675E-3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6.3746921182266025E-3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4.5408371795086291E-3</v>
          </cell>
        </row>
        <row r="54">
          <cell r="I54">
            <v>4.6963300713892403E-3</v>
          </cell>
        </row>
        <row r="55">
          <cell r="I55">
            <v>3.1184362235549636E-3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99"/>
  <sheetViews>
    <sheetView tabSelected="1" view="pageBreakPreview" zoomScale="75" zoomScaleNormal="75" zoomScaleSheetLayoutView="75" workbookViewId="0">
      <selection activeCell="Q5" sqref="Q5"/>
    </sheetView>
  </sheetViews>
  <sheetFormatPr defaultRowHeight="15"/>
  <cols>
    <col min="1" max="1" width="6.28515625" style="887" customWidth="1"/>
    <col min="2" max="2" width="30.28515625" style="123" customWidth="1"/>
    <col min="3" max="3" width="12" style="888" customWidth="1"/>
    <col min="4" max="4" width="11.85546875" style="888" customWidth="1"/>
    <col min="5" max="5" width="22.85546875" style="888" customWidth="1"/>
    <col min="6" max="6" width="11.42578125" style="888" customWidth="1"/>
    <col min="7" max="7" width="15" style="888" customWidth="1"/>
    <col min="8" max="8" width="28.28515625" style="888" customWidth="1"/>
    <col min="9" max="9" width="16.140625" style="888" customWidth="1"/>
    <col min="10" max="10" width="7.7109375" style="907" customWidth="1"/>
    <col min="11" max="11" width="7.5703125" style="907" customWidth="1"/>
    <col min="12" max="12" width="6.5703125" style="11" customWidth="1"/>
    <col min="13" max="13" width="6.5703125" style="907" bestFit="1" customWidth="1"/>
    <col min="14" max="14" width="12.5703125" style="523" hidden="1" customWidth="1"/>
    <col min="15" max="15" width="7.140625" style="907" customWidth="1"/>
    <col min="16" max="16" width="8" style="1027" hidden="1" customWidth="1"/>
    <col min="17" max="17" width="6.140625" style="531" customWidth="1"/>
    <col min="18" max="16384" width="9.140625" style="127"/>
  </cols>
  <sheetData>
    <row r="1" spans="1:26" s="6" customFormat="1" ht="33" customHeight="1">
      <c r="A1" s="1036" t="s">
        <v>1426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8"/>
      <c r="N1" s="523"/>
      <c r="O1" s="907"/>
      <c r="P1" s="22"/>
      <c r="Q1" s="2"/>
    </row>
    <row r="2" spans="1:26" s="6" customFormat="1" ht="15.75" customHeight="1">
      <c r="A2" s="1032"/>
      <c r="B2" s="1033"/>
      <c r="C2" s="1033"/>
      <c r="D2" s="1033"/>
      <c r="E2" s="1033"/>
      <c r="F2" s="1033"/>
      <c r="G2" s="1033"/>
      <c r="H2" s="1033"/>
      <c r="I2" s="1033"/>
      <c r="J2" s="1033"/>
      <c r="K2" s="1033"/>
      <c r="L2" s="1033"/>
      <c r="M2" s="1034"/>
      <c r="N2" s="523"/>
      <c r="O2" s="907"/>
      <c r="P2" s="22"/>
      <c r="Q2" s="2"/>
    </row>
    <row r="3" spans="1:26" s="6" customFormat="1" ht="288" customHeight="1">
      <c r="A3" s="884" t="s">
        <v>1411</v>
      </c>
      <c r="B3" s="884" t="s">
        <v>544</v>
      </c>
      <c r="C3" s="885" t="s">
        <v>1393</v>
      </c>
      <c r="D3" s="885" t="s">
        <v>1402</v>
      </c>
      <c r="E3" s="885" t="s">
        <v>1403</v>
      </c>
      <c r="F3" s="885" t="s">
        <v>1404</v>
      </c>
      <c r="G3" s="885" t="s">
        <v>1405</v>
      </c>
      <c r="H3" s="885" t="s">
        <v>1406</v>
      </c>
      <c r="I3" s="885" t="s">
        <v>1408</v>
      </c>
      <c r="J3" s="985" t="s">
        <v>1422</v>
      </c>
      <c r="K3" s="985" t="s">
        <v>1420</v>
      </c>
      <c r="L3" s="986" t="s">
        <v>1423</v>
      </c>
      <c r="M3" s="985" t="s">
        <v>1424</v>
      </c>
      <c r="N3" s="754" t="s">
        <v>121</v>
      </c>
      <c r="O3" s="987" t="s">
        <v>1425</v>
      </c>
      <c r="P3" s="22"/>
      <c r="Q3" s="981" t="s">
        <v>1421</v>
      </c>
    </row>
    <row r="4" spans="1:26" s="93" customFormat="1" ht="15" customHeight="1" thickBot="1">
      <c r="A4" s="236">
        <v>1</v>
      </c>
      <c r="B4" s="236">
        <v>2</v>
      </c>
      <c r="C4" s="236">
        <v>3</v>
      </c>
      <c r="D4" s="236">
        <v>4</v>
      </c>
      <c r="E4" s="236">
        <v>5</v>
      </c>
      <c r="F4" s="236">
        <v>6</v>
      </c>
      <c r="G4" s="236">
        <v>7</v>
      </c>
      <c r="H4" s="236">
        <v>8</v>
      </c>
      <c r="I4" s="236">
        <v>9</v>
      </c>
      <c r="J4" s="988">
        <v>10</v>
      </c>
      <c r="K4" s="988">
        <v>11</v>
      </c>
      <c r="L4" s="906">
        <v>12</v>
      </c>
      <c r="M4" s="988">
        <v>13</v>
      </c>
      <c r="N4" s="585">
        <v>15</v>
      </c>
      <c r="O4" s="1028">
        <v>14</v>
      </c>
      <c r="P4" s="22"/>
      <c r="Q4" s="2">
        <v>15</v>
      </c>
      <c r="R4" s="6"/>
      <c r="S4" s="6"/>
      <c r="T4" s="6"/>
      <c r="U4" s="6"/>
      <c r="V4" s="6"/>
      <c r="W4" s="6"/>
      <c r="X4" s="6"/>
      <c r="Y4" s="6"/>
      <c r="Z4" s="6"/>
    </row>
    <row r="5" spans="1:26" s="269" customFormat="1" ht="21" thickBot="1">
      <c r="A5" s="1029" t="s">
        <v>1391</v>
      </c>
      <c r="B5" s="1030"/>
      <c r="C5" s="1030"/>
      <c r="D5" s="1030"/>
      <c r="E5" s="1030"/>
      <c r="F5" s="1030"/>
      <c r="G5" s="1030"/>
      <c r="H5" s="1030"/>
      <c r="I5" s="1030"/>
      <c r="J5" s="1030"/>
      <c r="K5" s="1030"/>
      <c r="L5" s="1030"/>
      <c r="M5" s="1031"/>
      <c r="N5" s="990"/>
      <c r="O5" s="991"/>
      <c r="P5" s="992"/>
      <c r="Q5" s="993"/>
      <c r="R5" s="893"/>
      <c r="S5" s="893"/>
      <c r="T5" s="893"/>
      <c r="U5" s="893"/>
      <c r="V5" s="893"/>
      <c r="W5" s="893"/>
      <c r="X5" s="893"/>
      <c r="Y5" s="893"/>
      <c r="Z5" s="893"/>
    </row>
    <row r="6" spans="1:26" s="93" customFormat="1" ht="15.75">
      <c r="A6" s="894">
        <v>1</v>
      </c>
      <c r="B6" s="234" t="s">
        <v>683</v>
      </c>
      <c r="C6" s="886">
        <f>cходова!R6</f>
        <v>0.43910959990385434</v>
      </c>
      <c r="D6" s="886">
        <f>прибуд.!O6</f>
        <v>0.28227796262499116</v>
      </c>
      <c r="E6" s="886">
        <f>гар.вода!M6+хол.вода!Q6+ц.о.!M6+каналізація!Q6+аварійні!I6+зварювальн!M6</f>
        <v>0.26261388030089788</v>
      </c>
      <c r="F6" s="886">
        <f>дератизац.!I6</f>
        <v>2.2353070255641304E-3</v>
      </c>
      <c r="G6" s="886">
        <f>димоканал!R6</f>
        <v>8.3418572431467018E-3</v>
      </c>
      <c r="H6" s="886">
        <f>'підготовка до зими'!M6+майстерні!M6+маляри!M6+покрівлі!O6</f>
        <v>0.11277265603741195</v>
      </c>
      <c r="I6" s="886">
        <f>електрики!R6</f>
        <v>1.2456228258935572E-2</v>
      </c>
      <c r="J6" s="994">
        <f>I6+H6+G6+F6+E6+D6+C6</f>
        <v>1.1198074913948017</v>
      </c>
      <c r="K6" s="994">
        <v>2.8826692795561812E-2</v>
      </c>
      <c r="L6" s="994">
        <f>J6+K6</f>
        <v>1.1486341841903636</v>
      </c>
      <c r="M6" s="994">
        <f>L6*1.2</f>
        <v>1.3783610210284363</v>
      </c>
      <c r="N6" s="995">
        <v>9</v>
      </c>
      <c r="O6" s="996">
        <v>1.1876597431771467</v>
      </c>
      <c r="P6" s="22">
        <f t="shared" ref="P6:P37" si="0">M6-O6</f>
        <v>0.19070127785128954</v>
      </c>
      <c r="Q6" s="982">
        <f t="shared" ref="Q6:Q37" si="1">M6/O6*100-100</f>
        <v>16.056894994279958</v>
      </c>
      <c r="R6" s="6"/>
      <c r="S6" s="6"/>
      <c r="T6" s="6"/>
      <c r="U6" s="6"/>
      <c r="V6" s="6"/>
      <c r="W6" s="6"/>
      <c r="X6" s="6"/>
      <c r="Y6" s="6"/>
      <c r="Z6" s="6"/>
    </row>
    <row r="7" spans="1:26" s="93" customFormat="1" ht="15.75">
      <c r="A7" s="894">
        <v>2</v>
      </c>
      <c r="B7" s="233" t="s">
        <v>684</v>
      </c>
      <c r="C7" s="886">
        <f>cходова!R7</f>
        <v>0.5603645587370979</v>
      </c>
      <c r="D7" s="886">
        <f>прибуд.!O7</f>
        <v>0.28856851518362392</v>
      </c>
      <c r="E7" s="886">
        <f>гар.вода!M7+хол.вода!Q7+ц.о.!M7+каналізація!Q7+аварійні!I7+зварювальн!M7</f>
        <v>0.27648193807514149</v>
      </c>
      <c r="F7" s="886">
        <f>дератизац.!I7</f>
        <v>3.413599928624088E-3</v>
      </c>
      <c r="G7" s="886">
        <f>димоканал!R7</f>
        <v>9.3718439532130982E-3</v>
      </c>
      <c r="H7" s="886">
        <f>'підготовка до зими'!M7+майстерні!M7+маляри!M7+покрівлі!O7</f>
        <v>0.11214188569263223</v>
      </c>
      <c r="I7" s="886">
        <f>електрики!R7</f>
        <v>1.4194142537677408E-2</v>
      </c>
      <c r="J7" s="989">
        <f t="shared" ref="J7:J37" si="2">I7+H7+G7+F7+E7+D7+C7</f>
        <v>1.2645364841080102</v>
      </c>
      <c r="K7" s="994">
        <v>3.2484217754006083E-2</v>
      </c>
      <c r="L7" s="994">
        <f>J7+K7</f>
        <v>1.2970207018620163</v>
      </c>
      <c r="M7" s="994">
        <f t="shared" ref="M7:M37" si="3">L7*1.2</f>
        <v>1.5564248422344196</v>
      </c>
      <c r="N7" s="995">
        <v>9</v>
      </c>
      <c r="O7" s="997">
        <v>1.3383497714650507</v>
      </c>
      <c r="P7" s="22">
        <f t="shared" si="0"/>
        <v>0.21807507076936883</v>
      </c>
      <c r="Q7" s="982">
        <f t="shared" si="1"/>
        <v>16.294325700123125</v>
      </c>
      <c r="R7" s="6"/>
      <c r="S7" s="6"/>
      <c r="T7" s="6"/>
      <c r="U7" s="6"/>
      <c r="V7" s="6"/>
      <c r="W7" s="6"/>
      <c r="X7" s="6"/>
      <c r="Y7" s="6"/>
      <c r="Z7" s="6"/>
    </row>
    <row r="8" spans="1:26" s="93" customFormat="1" ht="15.75">
      <c r="A8" s="894">
        <v>3</v>
      </c>
      <c r="B8" s="233" t="s">
        <v>685</v>
      </c>
      <c r="C8" s="886">
        <f>cходова!R8</f>
        <v>0.48061949496458889</v>
      </c>
      <c r="D8" s="886">
        <f>прибуд.!O8</f>
        <v>0.2053948325294192</v>
      </c>
      <c r="E8" s="886">
        <f>гар.вода!M8+хол.вода!Q8+ц.о.!M8+каналізація!Q8+аварійні!I8+зварювальн!M8</f>
        <v>0.27650582035177018</v>
      </c>
      <c r="F8" s="886">
        <f>дератизац.!I8</f>
        <v>2.4417547010778017E-3</v>
      </c>
      <c r="G8" s="886">
        <f>димоканал!R8</f>
        <v>9.1798789281756586E-3</v>
      </c>
      <c r="H8" s="886">
        <f>'підготовка до зими'!M8+майстерні!M8+маляри!M8+покрівлі!O8</f>
        <v>0.11093171201633335</v>
      </c>
      <c r="I8" s="886">
        <f>електрики!R8</f>
        <v>1.4197135411678762E-2</v>
      </c>
      <c r="J8" s="989">
        <f t="shared" si="2"/>
        <v>1.0992706289030438</v>
      </c>
      <c r="K8" s="994">
        <v>2.8377914824798536E-2</v>
      </c>
      <c r="L8" s="994">
        <f>J8+K8</f>
        <v>1.1276485437278423</v>
      </c>
      <c r="M8" s="994">
        <f t="shared" si="3"/>
        <v>1.3531782524734106</v>
      </c>
      <c r="N8" s="995">
        <v>9</v>
      </c>
      <c r="O8" s="997">
        <v>1.1691700907816998</v>
      </c>
      <c r="P8" s="22">
        <f t="shared" si="0"/>
        <v>0.18400816169171086</v>
      </c>
      <c r="Q8" s="982">
        <f t="shared" si="1"/>
        <v>15.738356903116141</v>
      </c>
      <c r="R8" s="6"/>
      <c r="S8" s="6"/>
      <c r="T8" s="6"/>
      <c r="U8" s="6"/>
      <c r="V8" s="6"/>
      <c r="W8" s="6"/>
      <c r="X8" s="6"/>
      <c r="Y8" s="6"/>
      <c r="Z8" s="6"/>
    </row>
    <row r="9" spans="1:26" s="93" customFormat="1" ht="15.75">
      <c r="A9" s="236">
        <v>4</v>
      </c>
      <c r="B9" s="233" t="s">
        <v>686</v>
      </c>
      <c r="C9" s="886">
        <f>cходова!R9</f>
        <v>0.61965593535035646</v>
      </c>
      <c r="D9" s="886">
        <f>прибуд.!O9</f>
        <v>0.40794899429144665</v>
      </c>
      <c r="E9" s="886">
        <f>гар.вода!M9+хол.вода!Q9+ц.о.!M9+каналізація!Q9+аварійні!I9+зварювальн!M9</f>
        <v>0.28812922892444748</v>
      </c>
      <c r="F9" s="886">
        <f>дератизац.!I9</f>
        <v>5.8103407703734219E-3</v>
      </c>
      <c r="G9" s="886">
        <f>димоканал!R9</f>
        <v>2.8559693473532641E-2</v>
      </c>
      <c r="H9" s="886">
        <f>'підготовка до зими'!M9+майстерні!M9+маляри!M9+покрівлі!O9</f>
        <v>0.13295917783910446</v>
      </c>
      <c r="I9" s="886">
        <f>електрики!R9</f>
        <v>1.5653755224989855E-2</v>
      </c>
      <c r="J9" s="989">
        <f t="shared" si="2"/>
        <v>1.4987171258742511</v>
      </c>
      <c r="K9" s="994">
        <v>3.8399949949335203E-2</v>
      </c>
      <c r="L9" s="994">
        <f t="shared" ref="L9:L65" si="4">J9+K9</f>
        <v>1.5371170758235864</v>
      </c>
      <c r="M9" s="994">
        <f t="shared" si="3"/>
        <v>1.8445404909883036</v>
      </c>
      <c r="N9" s="995">
        <v>5</v>
      </c>
      <c r="O9" s="997">
        <v>1.5820779379126106</v>
      </c>
      <c r="P9" s="22">
        <f t="shared" si="0"/>
        <v>0.26246255307569299</v>
      </c>
      <c r="Q9" s="982">
        <f t="shared" si="1"/>
        <v>16.589735991261307</v>
      </c>
      <c r="R9" s="6"/>
      <c r="S9" s="6"/>
      <c r="T9" s="6"/>
      <c r="U9" s="6"/>
      <c r="V9" s="6"/>
      <c r="W9" s="6"/>
      <c r="X9" s="6"/>
      <c r="Y9" s="6"/>
      <c r="Z9" s="6"/>
    </row>
    <row r="10" spans="1:26" s="93" customFormat="1" ht="15.75">
      <c r="A10" s="894">
        <v>5</v>
      </c>
      <c r="B10" s="233" t="s">
        <v>687</v>
      </c>
      <c r="C10" s="886">
        <f>cходова!R10</f>
        <v>0.57099578354317027</v>
      </c>
      <c r="D10" s="886">
        <f>прибуд.!O10</f>
        <v>0.28158720010132809</v>
      </c>
      <c r="E10" s="886">
        <f>гар.вода!M10+хол.вода!Q10+ц.о.!M10+каналізація!Q10+аварійні!I10+зварювальн!M10</f>
        <v>0.28141976848296868</v>
      </c>
      <c r="F10" s="886">
        <f>дератизац.!I10</f>
        <v>3.4884142363544113E-3</v>
      </c>
      <c r="G10" s="886">
        <f>димоканал!R10</f>
        <v>9.6445732850624702E-3</v>
      </c>
      <c r="H10" s="886">
        <f>'підготовка до зими'!M10+майстерні!M10+маляри!M10+покрівлі!O10</f>
        <v>0.11401557401401655</v>
      </c>
      <c r="I10" s="886">
        <f>електрики!R10</f>
        <v>1.4812940505746627E-2</v>
      </c>
      <c r="J10" s="989">
        <f t="shared" si="2"/>
        <v>1.2759642541686471</v>
      </c>
      <c r="K10" s="994">
        <v>3.2799983588976046E-2</v>
      </c>
      <c r="L10" s="994">
        <f t="shared" si="4"/>
        <v>1.3087642377576232</v>
      </c>
      <c r="M10" s="994">
        <f t="shared" si="3"/>
        <v>1.5705170853091477</v>
      </c>
      <c r="N10" s="995">
        <v>9</v>
      </c>
      <c r="O10" s="997">
        <v>1.351359323865813</v>
      </c>
      <c r="P10" s="22">
        <f t="shared" si="0"/>
        <v>0.21915776144333465</v>
      </c>
      <c r="Q10" s="982">
        <f t="shared" si="1"/>
        <v>16.217578668595209</v>
      </c>
      <c r="R10" s="6"/>
      <c r="S10" s="6"/>
      <c r="T10" s="6"/>
      <c r="U10" s="6"/>
      <c r="V10" s="6"/>
      <c r="W10" s="6"/>
      <c r="X10" s="6"/>
      <c r="Y10" s="6"/>
      <c r="Z10" s="6"/>
    </row>
    <row r="11" spans="1:26" s="93" customFormat="1" ht="15.75">
      <c r="A11" s="894">
        <v>6</v>
      </c>
      <c r="B11" s="233" t="s">
        <v>688</v>
      </c>
      <c r="C11" s="886">
        <f>cходова!R11</f>
        <v>0.61479617206119819</v>
      </c>
      <c r="D11" s="886">
        <f>прибуд.!O11</f>
        <v>0.41436316759855729</v>
      </c>
      <c r="E11" s="886">
        <f>гар.вода!M11+хол.вода!Q11+ц.о.!M11+каналізація!Q11+аварійні!I11+зварювальн!M11</f>
        <v>0.28063982301818136</v>
      </c>
      <c r="F11" s="886">
        <f>дератизац.!I11</f>
        <v>3.508241342809618E-3</v>
      </c>
      <c r="G11" s="886">
        <f>димоканал!R11</f>
        <v>9.5809349681334859E-3</v>
      </c>
      <c r="H11" s="886">
        <f>'підготовка до зими'!M11+майстерні!M11+маляри!M11+покрівлі!O11</f>
        <v>0.1138702982399085</v>
      </c>
      <c r="I11" s="886">
        <f>електрики!R11</f>
        <v>1.4715199467891182E-2</v>
      </c>
      <c r="J11" s="989">
        <f t="shared" si="2"/>
        <v>1.4514738366966795</v>
      </c>
      <c r="K11" s="994">
        <v>3.7146562340312113E-2</v>
      </c>
      <c r="L11" s="994">
        <f t="shared" si="4"/>
        <v>1.4886203990369917</v>
      </c>
      <c r="M11" s="994">
        <f t="shared" si="3"/>
        <v>1.7863444788443901</v>
      </c>
      <c r="N11" s="995">
        <v>9</v>
      </c>
      <c r="O11" s="997">
        <v>1.5304383684208591</v>
      </c>
      <c r="P11" s="22">
        <f t="shared" si="0"/>
        <v>0.25590611042353095</v>
      </c>
      <c r="Q11" s="982">
        <f t="shared" si="1"/>
        <v>16.721098719419885</v>
      </c>
      <c r="R11" s="6"/>
      <c r="S11" s="6"/>
      <c r="T11" s="6"/>
      <c r="U11" s="6"/>
      <c r="V11" s="6"/>
      <c r="W11" s="6"/>
      <c r="X11" s="6"/>
      <c r="Y11" s="6"/>
      <c r="Z11" s="6"/>
    </row>
    <row r="12" spans="1:26" s="93" customFormat="1" ht="15.75">
      <c r="A12" s="894">
        <v>7</v>
      </c>
      <c r="B12" s="233" t="s">
        <v>689</v>
      </c>
      <c r="C12" s="886">
        <f>cходова!R12</f>
        <v>0.5746475963776243</v>
      </c>
      <c r="D12" s="886">
        <f>прибуд.!O12</f>
        <v>0.3831265927193051</v>
      </c>
      <c r="E12" s="886">
        <f>гар.вода!M12+хол.вода!Q12+ц.о.!M12+каналізація!Q12+аварійні!I12+зварювальн!M12</f>
        <v>0.30014208390137265</v>
      </c>
      <c r="F12" s="886">
        <f>дератизац.!I12</f>
        <v>3.7715517241379312E-3</v>
      </c>
      <c r="G12" s="886">
        <f>димоканал!R12</f>
        <v>1.7211209475561737E-2</v>
      </c>
      <c r="H12" s="886">
        <f>'підготовка до зими'!M12+майстерні!M12+маляри!M12+покрівлі!O12</f>
        <v>0.11426967818269979</v>
      </c>
      <c r="I12" s="886">
        <f>електрики!R12</f>
        <v>1.7159179598951399E-2</v>
      </c>
      <c r="J12" s="989">
        <f t="shared" si="2"/>
        <v>1.4103278919796529</v>
      </c>
      <c r="K12" s="989">
        <v>3.6263036543834407E-2</v>
      </c>
      <c r="L12" s="994">
        <f t="shared" si="4"/>
        <v>1.4465909285234873</v>
      </c>
      <c r="M12" s="994">
        <f t="shared" si="3"/>
        <v>1.7359091142281846</v>
      </c>
      <c r="N12" s="995">
        <v>9</v>
      </c>
      <c r="O12" s="997">
        <v>1.4940371056059776</v>
      </c>
      <c r="P12" s="22">
        <f t="shared" si="0"/>
        <v>0.24187200862220704</v>
      </c>
      <c r="Q12" s="982">
        <f t="shared" si="1"/>
        <v>16.189156729417675</v>
      </c>
      <c r="R12" s="6"/>
      <c r="S12" s="6"/>
      <c r="T12" s="6"/>
      <c r="U12" s="6"/>
      <c r="V12" s="6"/>
      <c r="W12" s="6"/>
      <c r="X12" s="6"/>
      <c r="Y12" s="6"/>
      <c r="Z12" s="6"/>
    </row>
    <row r="13" spans="1:26" s="93" customFormat="1" ht="15.75">
      <c r="A13" s="894">
        <v>8</v>
      </c>
      <c r="B13" s="233" t="s">
        <v>690</v>
      </c>
      <c r="C13" s="886">
        <f>cходова!R13</f>
        <v>0.4844435914652222</v>
      </c>
      <c r="D13" s="886">
        <f>прибуд.!O13</f>
        <v>0.43109186491302048</v>
      </c>
      <c r="E13" s="886">
        <f>гар.вода!M13+хол.вода!Q13+ц.о.!M13+каналізація!Q13+аварійні!I13+зварювальн!M13</f>
        <v>0.27605394812227457</v>
      </c>
      <c r="F13" s="886">
        <f>дератизац.!I13</f>
        <v>2.8801576892931147E-3</v>
      </c>
      <c r="G13" s="886">
        <f>димоканал!R13</f>
        <v>1.2390403754398318E-2</v>
      </c>
      <c r="H13" s="886">
        <f>'підготовка до зими'!M13+майстерні!M13+маляри!M13+покрівлі!O13</f>
        <v>0.11398788526001141</v>
      </c>
      <c r="I13" s="886">
        <f>електрики!R13</f>
        <v>1.4140507784898478E-2</v>
      </c>
      <c r="J13" s="989">
        <f t="shared" si="2"/>
        <v>1.3349883589891185</v>
      </c>
      <c r="K13" s="989">
        <v>3.4254646567118879E-2</v>
      </c>
      <c r="L13" s="994">
        <f t="shared" si="4"/>
        <v>1.3692430055562375</v>
      </c>
      <c r="M13" s="994">
        <f t="shared" si="3"/>
        <v>1.643091606667485</v>
      </c>
      <c r="N13" s="995">
        <v>9</v>
      </c>
      <c r="O13" s="997">
        <v>1.4112914385652979</v>
      </c>
      <c r="P13" s="22">
        <f t="shared" si="0"/>
        <v>0.23180016810218707</v>
      </c>
      <c r="Q13" s="982">
        <f t="shared" si="1"/>
        <v>16.424684637627536</v>
      </c>
      <c r="R13" s="6"/>
      <c r="S13" s="6"/>
      <c r="T13" s="6"/>
      <c r="U13" s="6"/>
      <c r="V13" s="6"/>
      <c r="W13" s="6"/>
      <c r="X13" s="6"/>
      <c r="Y13" s="6"/>
      <c r="Z13" s="6"/>
    </row>
    <row r="14" spans="1:26" s="93" customFormat="1" ht="15.75">
      <c r="A14" s="894">
        <v>9</v>
      </c>
      <c r="B14" s="233" t="s">
        <v>691</v>
      </c>
      <c r="C14" s="886">
        <f>cходова!R14</f>
        <v>0.48921172395634988</v>
      </c>
      <c r="D14" s="886">
        <f>прибуд.!O14</f>
        <v>0.46050472638043821</v>
      </c>
      <c r="E14" s="886">
        <f>гар.вода!M14+хол.вода!Q14+ц.о.!M14+каналізація!Q14+аварійні!I14+зварювальн!M14</f>
        <v>0.27471127296112724</v>
      </c>
      <c r="F14" s="886">
        <f>дератизац.!I14</f>
        <v>2.8022973203089933E-3</v>
      </c>
      <c r="G14" s="886">
        <f>димоканал!R14</f>
        <v>9.5193599105665872E-3</v>
      </c>
      <c r="H14" s="886">
        <f>'підготовка до зими'!M14+майстерні!M14+маляри!M14+покрівлі!O14</f>
        <v>0.12070673376245314</v>
      </c>
      <c r="I14" s="886">
        <f>електрики!R14</f>
        <v>1.3972246708094797E-2</v>
      </c>
      <c r="J14" s="989">
        <f t="shared" si="2"/>
        <v>1.3714283609993387</v>
      </c>
      <c r="K14" s="989">
        <v>3.5164618009913447E-2</v>
      </c>
      <c r="L14" s="994">
        <f t="shared" si="4"/>
        <v>1.4065929790092522</v>
      </c>
      <c r="M14" s="994">
        <f t="shared" si="3"/>
        <v>1.6879115748111027</v>
      </c>
      <c r="N14" s="995">
        <v>9</v>
      </c>
      <c r="O14" s="997">
        <v>1.4487822620084341</v>
      </c>
      <c r="P14" s="22">
        <f t="shared" si="0"/>
        <v>0.23912931280266858</v>
      </c>
      <c r="Q14" s="982">
        <f t="shared" si="1"/>
        <v>16.505538414804022</v>
      </c>
      <c r="R14" s="6"/>
      <c r="S14" s="6"/>
      <c r="T14" s="6"/>
      <c r="U14" s="6"/>
      <c r="V14" s="6"/>
      <c r="W14" s="6"/>
      <c r="X14" s="6"/>
      <c r="Y14" s="6"/>
      <c r="Z14" s="6"/>
    </row>
    <row r="15" spans="1:26" s="93" customFormat="1" ht="15.75">
      <c r="A15" s="236">
        <v>10</v>
      </c>
      <c r="B15" s="233" t="s">
        <v>692</v>
      </c>
      <c r="C15" s="886">
        <f>cходова!R15</f>
        <v>0.47289845685896909</v>
      </c>
      <c r="D15" s="886">
        <f>прибуд.!O15</f>
        <v>0.45249806963614109</v>
      </c>
      <c r="E15" s="886">
        <f>гар.вода!M15+хол.вода!Q15+ц.о.!M15+каналізація!Q15+аварійні!I15+зварювальн!M15</f>
        <v>0.27350661773412432</v>
      </c>
      <c r="F15" s="886">
        <f>дератизац.!I15</f>
        <v>3.1510914394930092E-3</v>
      </c>
      <c r="G15" s="886">
        <f>димоканал!R15</f>
        <v>9.1256585341899111E-3</v>
      </c>
      <c r="H15" s="886">
        <f>'підготовка до зими'!M15+майстерні!M15+маляри!M15+покрівлі!O15</f>
        <v>0.11067212037743626</v>
      </c>
      <c r="I15" s="886">
        <f>електрики!R15</f>
        <v>1.382128198368633E-2</v>
      </c>
      <c r="J15" s="989">
        <f t="shared" si="2"/>
        <v>1.3356732965640401</v>
      </c>
      <c r="K15" s="989">
        <v>3.4230188323807711E-2</v>
      </c>
      <c r="L15" s="994">
        <f t="shared" si="4"/>
        <v>1.3699034848878477</v>
      </c>
      <c r="M15" s="994">
        <f t="shared" si="3"/>
        <v>1.6438841818654173</v>
      </c>
      <c r="N15" s="995">
        <v>9</v>
      </c>
      <c r="O15" s="997">
        <v>1.4102837589408777</v>
      </c>
      <c r="P15" s="22">
        <f t="shared" si="0"/>
        <v>0.23360042292453964</v>
      </c>
      <c r="Q15" s="982">
        <f t="shared" si="1"/>
        <v>16.564072403412865</v>
      </c>
      <c r="R15" s="6"/>
      <c r="S15" s="6"/>
      <c r="T15" s="6"/>
      <c r="U15" s="6"/>
      <c r="V15" s="6"/>
      <c r="W15" s="6"/>
      <c r="X15" s="6"/>
      <c r="Y15" s="6"/>
      <c r="Z15" s="6"/>
    </row>
    <row r="16" spans="1:26" s="93" customFormat="1" ht="15.75">
      <c r="A16" s="894">
        <v>11</v>
      </c>
      <c r="B16" s="233" t="s">
        <v>693</v>
      </c>
      <c r="C16" s="886">
        <f>cходова!R16</f>
        <v>0.66858349069168388</v>
      </c>
      <c r="D16" s="886">
        <f>прибуд.!O16</f>
        <v>0.36637377742351207</v>
      </c>
      <c r="E16" s="886">
        <f>гар.вода!M16+хол.вода!Q16+ц.о.!M16+каналізація!Q16+аварійні!I16+зварювальн!M16</f>
        <v>0.30300730512830504</v>
      </c>
      <c r="F16" s="886">
        <f>дератизац.!I16</f>
        <v>3.924482150664225E-3</v>
      </c>
      <c r="G16" s="886">
        <f>димоканал!R16</f>
        <v>1.140597143503003E-2</v>
      </c>
      <c r="H16" s="886">
        <f>'підготовка до зими'!M16+майстерні!M16+маляри!M16+покрівлі!O16</f>
        <v>0.12107571033772407</v>
      </c>
      <c r="I16" s="886">
        <f>електрики!R16</f>
        <v>1.7958011544415446E-2</v>
      </c>
      <c r="J16" s="989">
        <f t="shared" si="2"/>
        <v>1.4923287487113348</v>
      </c>
      <c r="K16" s="989">
        <v>3.830323874181342E-2</v>
      </c>
      <c r="L16" s="994">
        <f t="shared" si="4"/>
        <v>1.5306319874531482</v>
      </c>
      <c r="M16" s="994">
        <f t="shared" si="3"/>
        <v>1.8367583849437779</v>
      </c>
      <c r="N16" s="995">
        <v>9</v>
      </c>
      <c r="O16" s="997">
        <v>1.578093436162713</v>
      </c>
      <c r="P16" s="22">
        <f t="shared" si="0"/>
        <v>0.25866494878106483</v>
      </c>
      <c r="Q16" s="982">
        <f t="shared" si="1"/>
        <v>16.390978053240858</v>
      </c>
      <c r="R16" s="6"/>
      <c r="S16" s="6"/>
      <c r="T16" s="6"/>
      <c r="U16" s="6"/>
      <c r="V16" s="6"/>
      <c r="W16" s="6"/>
      <c r="X16" s="6"/>
      <c r="Y16" s="6"/>
      <c r="Z16" s="6"/>
    </row>
    <row r="17" spans="1:26" s="93" customFormat="1" ht="15.75">
      <c r="A17" s="894">
        <v>12</v>
      </c>
      <c r="B17" s="233" t="s">
        <v>694</v>
      </c>
      <c r="C17" s="886">
        <f>cходова!R17</f>
        <v>0.657919031958764</v>
      </c>
      <c r="D17" s="886">
        <f>прибуд.!O17</f>
        <v>0.39222516677991581</v>
      </c>
      <c r="E17" s="886">
        <f>гар.вода!M17+хол.вода!Q17+ц.о.!M17+каналізація!Q17+аварійні!I17+зварювальн!M17</f>
        <v>0.29855816515407929</v>
      </c>
      <c r="F17" s="886">
        <f>дератизац.!I17</f>
        <v>3.6567061589435558E-3</v>
      </c>
      <c r="G17" s="886">
        <f>димоканал!R17</f>
        <v>1.1198485992040208E-2</v>
      </c>
      <c r="H17" s="886">
        <f>'підготовка до зими'!M17+майстерні!M17+маляри!M17+покрівлі!O17</f>
        <v>0.12054368603679913</v>
      </c>
      <c r="I17" s="886">
        <f>електрики!R17</f>
        <v>1.7439181288902806E-2</v>
      </c>
      <c r="J17" s="989">
        <f t="shared" si="2"/>
        <v>1.5015404233694447</v>
      </c>
      <c r="K17" s="989">
        <v>3.8506531929590235E-2</v>
      </c>
      <c r="L17" s="994">
        <f t="shared" si="4"/>
        <v>1.540046955299035</v>
      </c>
      <c r="M17" s="994">
        <f t="shared" si="3"/>
        <v>1.848056346358842</v>
      </c>
      <c r="N17" s="995">
        <v>5</v>
      </c>
      <c r="O17" s="997">
        <v>1.5864691154991177</v>
      </c>
      <c r="P17" s="22">
        <f t="shared" si="0"/>
        <v>0.26158723085972424</v>
      </c>
      <c r="Q17" s="982">
        <f t="shared" si="1"/>
        <v>16.488643132357893</v>
      </c>
      <c r="R17" s="6"/>
      <c r="S17" s="6"/>
      <c r="T17" s="6"/>
      <c r="U17" s="6"/>
      <c r="V17" s="6"/>
      <c r="W17" s="6"/>
      <c r="X17" s="6"/>
      <c r="Y17" s="6"/>
      <c r="Z17" s="6"/>
    </row>
    <row r="18" spans="1:26" s="93" customFormat="1" ht="15.75">
      <c r="A18" s="894">
        <v>13</v>
      </c>
      <c r="B18" s="233" t="s">
        <v>695</v>
      </c>
      <c r="C18" s="886">
        <f>cходова!R18</f>
        <v>0.54228034275682202</v>
      </c>
      <c r="D18" s="886">
        <f>прибуд.!O18</f>
        <v>0.41458602722450449</v>
      </c>
      <c r="E18" s="886">
        <f>гар.вода!M18+хол.вода!Q18+ц.о.!M18+каналізація!Q18+аварійні!I18+зварювальн!M18</f>
        <v>0.27427869581774483</v>
      </c>
      <c r="F18" s="886">
        <f>дератизац.!I18</f>
        <v>2.7709156404301712E-3</v>
      </c>
      <c r="G18" s="886">
        <f>димоканал!R18</f>
        <v>1.0147860087367618E-2</v>
      </c>
      <c r="H18" s="886">
        <f>'підготовка до зими'!M18+майстерні!M18+маляри!M18+покрівлі!O18</f>
        <v>0.12219944400545688</v>
      </c>
      <c r="I18" s="886">
        <f>електрики!R18</f>
        <v>1.564994547801796E-2</v>
      </c>
      <c r="J18" s="989">
        <f t="shared" si="2"/>
        <v>1.3819132310103441</v>
      </c>
      <c r="K18" s="989">
        <v>3.54231290973046E-2</v>
      </c>
      <c r="L18" s="994">
        <f t="shared" si="4"/>
        <v>1.4173363601076487</v>
      </c>
      <c r="M18" s="994">
        <f t="shared" si="3"/>
        <v>1.7008036321291784</v>
      </c>
      <c r="N18" s="995">
        <v>9</v>
      </c>
      <c r="O18" s="997">
        <v>1.4594329188089497</v>
      </c>
      <c r="P18" s="22">
        <f t="shared" si="0"/>
        <v>0.24137071332022875</v>
      </c>
      <c r="Q18" s="982">
        <f t="shared" si="1"/>
        <v>16.538664450382029</v>
      </c>
      <c r="R18" s="6"/>
      <c r="S18" s="6"/>
      <c r="T18" s="6"/>
      <c r="U18" s="6"/>
      <c r="V18" s="6"/>
      <c r="W18" s="6"/>
      <c r="X18" s="6"/>
      <c r="Y18" s="6"/>
      <c r="Z18" s="6"/>
    </row>
    <row r="19" spans="1:26" s="93" customFormat="1" ht="15.75">
      <c r="A19" s="894">
        <v>14</v>
      </c>
      <c r="B19" s="233" t="s">
        <v>696</v>
      </c>
      <c r="C19" s="886">
        <f>cходова!R19</f>
        <v>0.64800689240351317</v>
      </c>
      <c r="D19" s="886">
        <f>прибуд.!O19</f>
        <v>0.44078940707978465</v>
      </c>
      <c r="E19" s="886">
        <f>гар.вода!M19+хол.вода!Q19+ц.о.!M19+каналізація!Q19+аварійні!I19+зварювальн!M19</f>
        <v>0.28179608347419438</v>
      </c>
      <c r="F19" s="886">
        <f>дератизац.!I19</f>
        <v>3.2030516334383241E-3</v>
      </c>
      <c r="G19" s="886">
        <f>димоканал!R19</f>
        <v>1.3268952772777317E-2</v>
      </c>
      <c r="H19" s="886">
        <f>'підготовка до зими'!M19+майстерні!M19+маляри!M19+покрівлі!O19</f>
        <v>0.11361658757719537</v>
      </c>
      <c r="I19" s="886">
        <f>електрики!R19</f>
        <v>1.4983374326426361E-2</v>
      </c>
      <c r="J19" s="989">
        <f t="shared" si="2"/>
        <v>1.5156643492673294</v>
      </c>
      <c r="K19" s="989">
        <v>3.8522255617597853E-2</v>
      </c>
      <c r="L19" s="994">
        <f t="shared" si="4"/>
        <v>1.5541866048849273</v>
      </c>
      <c r="M19" s="994">
        <f t="shared" si="3"/>
        <v>1.8650239258619128</v>
      </c>
      <c r="N19" s="995">
        <v>9</v>
      </c>
      <c r="O19" s="997">
        <v>1.5871169314450317</v>
      </c>
      <c r="P19" s="22">
        <f t="shared" si="0"/>
        <v>0.27790699441688105</v>
      </c>
      <c r="Q19" s="982">
        <f t="shared" si="1"/>
        <v>17.510177663082047</v>
      </c>
      <c r="R19" s="6"/>
      <c r="S19" s="6"/>
      <c r="T19" s="6"/>
      <c r="U19" s="6"/>
      <c r="V19" s="6"/>
      <c r="W19" s="6"/>
      <c r="X19" s="6"/>
      <c r="Y19" s="6"/>
      <c r="Z19" s="6"/>
    </row>
    <row r="20" spans="1:26" s="93" customFormat="1" ht="15.75">
      <c r="A20" s="894">
        <v>15</v>
      </c>
      <c r="B20" s="233" t="s">
        <v>697</v>
      </c>
      <c r="C20" s="886">
        <f>cходова!R20</f>
        <v>0.54287536739943154</v>
      </c>
      <c r="D20" s="886">
        <f>прибуд.!O20</f>
        <v>0.29353594055844184</v>
      </c>
      <c r="E20" s="886">
        <f>гар.вода!M20+хол.вода!Q20+ц.о.!M20+каналізація!Q20+аварійні!I20+зварювальн!M20</f>
        <v>0.27822893805975363</v>
      </c>
      <c r="F20" s="886">
        <f>дератизац.!I20</f>
        <v>2.5618366308200213E-3</v>
      </c>
      <c r="G20" s="886">
        <f>димоканал!R20</f>
        <v>1.0704835850705511E-2</v>
      </c>
      <c r="H20" s="886">
        <f>'підготовка до зими'!M20+майстерні!M20+маляри!M20+покрівлі!O20</f>
        <v>0.11072634090228158</v>
      </c>
      <c r="I20" s="886">
        <f>електрики!R20</f>
        <v>1.4413072705668059E-2</v>
      </c>
      <c r="J20" s="989">
        <f t="shared" si="2"/>
        <v>1.2530463321071021</v>
      </c>
      <c r="K20" s="989">
        <v>3.2204976313096455E-2</v>
      </c>
      <c r="L20" s="994">
        <f t="shared" si="4"/>
        <v>1.2852513084201986</v>
      </c>
      <c r="M20" s="994">
        <f t="shared" si="3"/>
        <v>1.5423015701042384</v>
      </c>
      <c r="N20" s="995">
        <v>9</v>
      </c>
      <c r="O20" s="997">
        <v>1.3268450240995742</v>
      </c>
      <c r="P20" s="22">
        <f t="shared" si="0"/>
        <v>0.21545654600466424</v>
      </c>
      <c r="Q20" s="982">
        <f t="shared" si="1"/>
        <v>16.23826009001148</v>
      </c>
      <c r="R20" s="6"/>
      <c r="S20" s="6"/>
      <c r="T20" s="6"/>
      <c r="U20" s="6"/>
      <c r="V20" s="6"/>
      <c r="W20" s="6"/>
      <c r="X20" s="6"/>
      <c r="Y20" s="6"/>
      <c r="Z20" s="6"/>
    </row>
    <row r="21" spans="1:26" s="93" customFormat="1" ht="15.75">
      <c r="A21" s="236">
        <v>16</v>
      </c>
      <c r="B21" s="233" t="s">
        <v>698</v>
      </c>
      <c r="C21" s="886">
        <f>cходова!R21</f>
        <v>0.58579169949420917</v>
      </c>
      <c r="D21" s="886">
        <f>прибуд.!O21</f>
        <v>0.38222708643580072</v>
      </c>
      <c r="E21" s="886">
        <f>гар.вода!M21+хол.вода!Q21+ц.о.!M21+каналізація!Q21+аварійні!I21+зварювальн!M21</f>
        <v>0.3064739111456295</v>
      </c>
      <c r="F21" s="886">
        <f>дератизац.!I21</f>
        <v>4.4007329255946661E-3</v>
      </c>
      <c r="G21" s="886">
        <f>димоканал!R21</f>
        <v>2.2565295805129372E-2</v>
      </c>
      <c r="H21" s="886">
        <f>'підготовка до зими'!M21+майстерні!M21+маляри!M21+покрівлі!O21</f>
        <v>0.13471422423515012</v>
      </c>
      <c r="I21" s="886">
        <f>електрики!R21</f>
        <v>1.8579119502728995E-2</v>
      </c>
      <c r="J21" s="989">
        <f t="shared" si="2"/>
        <v>1.4547520695442424</v>
      </c>
      <c r="K21" s="989">
        <v>3.7511202432182637E-2</v>
      </c>
      <c r="L21" s="994">
        <f t="shared" si="4"/>
        <v>1.4922632719764251</v>
      </c>
      <c r="M21" s="994">
        <f t="shared" si="3"/>
        <v>1.7907159263717101</v>
      </c>
      <c r="N21" s="995">
        <v>5</v>
      </c>
      <c r="O21" s="997">
        <v>1.5454615402059249</v>
      </c>
      <c r="P21" s="22">
        <f t="shared" si="0"/>
        <v>0.24525438616578521</v>
      </c>
      <c r="Q21" s="982">
        <f t="shared" si="1"/>
        <v>15.869329632952642</v>
      </c>
      <c r="R21" s="6"/>
      <c r="S21" s="6"/>
      <c r="T21" s="6"/>
      <c r="U21" s="6"/>
      <c r="V21" s="6"/>
      <c r="W21" s="6"/>
      <c r="X21" s="6"/>
      <c r="Y21" s="6"/>
      <c r="Z21" s="6"/>
    </row>
    <row r="22" spans="1:26" s="93" customFormat="1" ht="15.75">
      <c r="A22" s="894">
        <v>17</v>
      </c>
      <c r="B22" s="233" t="s">
        <v>699</v>
      </c>
      <c r="C22" s="886">
        <f>cходова!R22</f>
        <v>0.18319956865403308</v>
      </c>
      <c r="D22" s="886">
        <f>прибуд.!O22</f>
        <v>0.4523692019918677</v>
      </c>
      <c r="E22" s="886">
        <f>гар.вода!M22+хол.вода!Q22+ц.о.!M22+каналізація!Q22+аварійні!I22+зварювальн!M22</f>
        <v>0.41590988503779713</v>
      </c>
      <c r="F22" s="886">
        <f>дератизац.!I22</f>
        <v>4.8888620289962879E-3</v>
      </c>
      <c r="G22" s="886">
        <f>димоканал!R22</f>
        <v>1.0364756719746472E-2</v>
      </c>
      <c r="H22" s="886">
        <f>'підготовка до зими'!M22+майстерні!M22+маляри!M22+покрівлі!O22</f>
        <v>0.13611127792533662</v>
      </c>
      <c r="I22" s="886">
        <f>електрики!R22</f>
        <v>3.1666943980147209E-2</v>
      </c>
      <c r="J22" s="989">
        <f t="shared" si="2"/>
        <v>1.2345104963379245</v>
      </c>
      <c r="K22" s="989">
        <v>3.2523847998663077E-2</v>
      </c>
      <c r="L22" s="994">
        <f t="shared" si="4"/>
        <v>1.2670343443365877</v>
      </c>
      <c r="M22" s="994">
        <f t="shared" si="3"/>
        <v>1.5204412132039051</v>
      </c>
      <c r="N22" s="995">
        <v>5</v>
      </c>
      <c r="O22" s="997">
        <v>1.3399825375449188</v>
      </c>
      <c r="P22" s="22">
        <f t="shared" si="0"/>
        <v>0.18045867565898632</v>
      </c>
      <c r="Q22" s="982">
        <f t="shared" si="1"/>
        <v>13.467240848497781</v>
      </c>
      <c r="R22" s="6"/>
      <c r="S22" s="6"/>
      <c r="T22" s="6"/>
      <c r="U22" s="6"/>
      <c r="V22" s="6"/>
      <c r="W22" s="6"/>
      <c r="X22" s="6"/>
      <c r="Y22" s="6"/>
      <c r="Z22" s="6"/>
    </row>
    <row r="23" spans="1:26" s="93" customFormat="1" ht="15.75">
      <c r="A23" s="894">
        <v>18</v>
      </c>
      <c r="B23" s="233" t="s">
        <v>700</v>
      </c>
      <c r="C23" s="886">
        <f>cходова!R23</f>
        <v>0.18133437049401502</v>
      </c>
      <c r="D23" s="886">
        <f>прибуд.!O23</f>
        <v>0.45657741093529997</v>
      </c>
      <c r="E23" s="886">
        <f>гар.вода!M23+хол.вода!Q23+ц.о.!M23+каналізація!Q23+аварійні!I23+зварювальн!M23</f>
        <v>0.41534103441539044</v>
      </c>
      <c r="F23" s="886">
        <f>дератизац.!I23</f>
        <v>5.3086057082779303E-3</v>
      </c>
      <c r="G23" s="886">
        <f>димоканал!R23</f>
        <v>1.0341424078378538E-2</v>
      </c>
      <c r="H23" s="886">
        <f>'підготовка до зими'!M23+майстерні!M23+маляри!M23+покрівлі!O23</f>
        <v>0.13599853949127308</v>
      </c>
      <c r="I23" s="886">
        <f>електрики!R23</f>
        <v>3.1595656880306314E-2</v>
      </c>
      <c r="J23" s="989">
        <f t="shared" si="2"/>
        <v>1.2364970420029415</v>
      </c>
      <c r="K23" s="989">
        <v>3.2572135553031505E-2</v>
      </c>
      <c r="L23" s="994">
        <f t="shared" si="4"/>
        <v>1.269069177555973</v>
      </c>
      <c r="M23" s="994">
        <f t="shared" si="3"/>
        <v>1.5228830130671676</v>
      </c>
      <c r="N23" s="995">
        <v>5</v>
      </c>
      <c r="O23" s="997">
        <v>1.3419719847848979</v>
      </c>
      <c r="P23" s="22">
        <f t="shared" si="0"/>
        <v>0.18091102828226968</v>
      </c>
      <c r="Q23" s="982">
        <f t="shared" si="1"/>
        <v>13.480983979800996</v>
      </c>
      <c r="R23" s="6"/>
      <c r="S23" s="6"/>
      <c r="T23" s="6"/>
      <c r="U23" s="6"/>
      <c r="V23" s="6"/>
      <c r="W23" s="6"/>
      <c r="X23" s="6"/>
      <c r="Y23" s="6"/>
      <c r="Z23" s="6"/>
    </row>
    <row r="24" spans="1:26" s="93" customFormat="1" ht="15.75">
      <c r="A24" s="894">
        <v>19</v>
      </c>
      <c r="B24" s="233" t="s">
        <v>701</v>
      </c>
      <c r="C24" s="886">
        <f>cходова!R24</f>
        <v>0.64324533990620558</v>
      </c>
      <c r="D24" s="886">
        <f>прибуд.!O24</f>
        <v>0.35295556956688651</v>
      </c>
      <c r="E24" s="886">
        <f>гар.вода!M24+хол.вода!Q24+ц.о.!M24+каналізація!Q24+аварійні!I24+зварювальн!M24</f>
        <v>0.30701298583745412</v>
      </c>
      <c r="F24" s="886">
        <f>дератизац.!I24</f>
        <v>4.459264363290351E-3</v>
      </c>
      <c r="G24" s="886">
        <f>димоканал!R24</f>
        <v>2.2123459657486532E-2</v>
      </c>
      <c r="H24" s="886">
        <f>'підготовка до зими'!M24+майстерні!M24+маляри!M24+покрівлі!O24</f>
        <v>0.13142392386216198</v>
      </c>
      <c r="I24" s="886">
        <f>електрики!R24</f>
        <v>1.8020225808661337E-2</v>
      </c>
      <c r="J24" s="989">
        <f t="shared" si="2"/>
        <v>1.4792407690021463</v>
      </c>
      <c r="K24" s="989">
        <v>3.8103502924165318E-2</v>
      </c>
      <c r="L24" s="994">
        <f t="shared" si="4"/>
        <v>1.5173442719263117</v>
      </c>
      <c r="M24" s="994">
        <f t="shared" si="3"/>
        <v>1.8208131263115739</v>
      </c>
      <c r="N24" s="995">
        <v>5</v>
      </c>
      <c r="O24" s="997">
        <v>1.5698643204756113</v>
      </c>
      <c r="P24" s="22">
        <f t="shared" si="0"/>
        <v>0.25094880583596257</v>
      </c>
      <c r="Q24" s="982">
        <f t="shared" si="1"/>
        <v>15.985381829681586</v>
      </c>
      <c r="R24" s="6"/>
      <c r="S24" s="6"/>
      <c r="T24" s="6"/>
      <c r="U24" s="6"/>
      <c r="V24" s="6"/>
      <c r="W24" s="6"/>
      <c r="X24" s="6"/>
      <c r="Y24" s="6"/>
      <c r="Z24" s="6"/>
    </row>
    <row r="25" spans="1:26" s="93" customFormat="1" ht="15.75">
      <c r="A25" s="894">
        <v>20</v>
      </c>
      <c r="B25" s="233" t="s">
        <v>702</v>
      </c>
      <c r="C25" s="886">
        <f>cходова!R25</f>
        <v>0.45989014233177838</v>
      </c>
      <c r="D25" s="886">
        <f>прибуд.!O25</f>
        <v>0.43955160697331525</v>
      </c>
      <c r="E25" s="886">
        <f>гар.вода!M25+хол.вода!Q25+ц.о.!M25+каналізація!Q25+аварійні!I25+зварювальн!M25</f>
        <v>0.27920973786628178</v>
      </c>
      <c r="F25" s="886">
        <f>дератизац.!I25</f>
        <v>2.7814017738699527E-3</v>
      </c>
      <c r="G25" s="886">
        <f>димоканал!R25</f>
        <v>1.2503228848922864E-2</v>
      </c>
      <c r="H25" s="886">
        <f>'підготовка до зими'!M25+майстерні!M25+маляри!M25+покрівлі!O25</f>
        <v>0.11448140678039553</v>
      </c>
      <c r="I25" s="886">
        <f>електрики!R25</f>
        <v>1.4535984364683374E-2</v>
      </c>
      <c r="J25" s="989">
        <f t="shared" si="2"/>
        <v>1.3229535089392472</v>
      </c>
      <c r="K25" s="989">
        <v>3.3974277755077505E-2</v>
      </c>
      <c r="L25" s="994">
        <f t="shared" si="4"/>
        <v>1.3569277866943248</v>
      </c>
      <c r="M25" s="994">
        <f t="shared" si="3"/>
        <v>1.6283133440331896</v>
      </c>
      <c r="N25" s="995">
        <v>9</v>
      </c>
      <c r="O25" s="997">
        <v>1.3997402435091932</v>
      </c>
      <c r="P25" s="22">
        <f t="shared" si="0"/>
        <v>0.22857310052399638</v>
      </c>
      <c r="Q25" s="982">
        <f t="shared" si="1"/>
        <v>16.329679851952832</v>
      </c>
      <c r="R25" s="6"/>
      <c r="S25" s="6"/>
      <c r="T25" s="6"/>
      <c r="U25" s="6"/>
      <c r="V25" s="6"/>
      <c r="W25" s="6"/>
      <c r="X25" s="6"/>
      <c r="Y25" s="6"/>
      <c r="Z25" s="6"/>
    </row>
    <row r="26" spans="1:26" s="93" customFormat="1" ht="15.75">
      <c r="A26" s="894">
        <v>21</v>
      </c>
      <c r="B26" s="233" t="s">
        <v>703</v>
      </c>
      <c r="C26" s="886">
        <f>cходова!R26</f>
        <v>0.53531107065163197</v>
      </c>
      <c r="D26" s="886">
        <f>прибуд.!O26</f>
        <v>0.29585591095701463</v>
      </c>
      <c r="E26" s="886">
        <f>гар.вода!M26+хол.вода!Q26+ц.о.!M26+каналізація!Q26+аварійні!I26+зварювальн!M26</f>
        <v>0.26373020317642687</v>
      </c>
      <c r="F26" s="886">
        <f>дератизац.!I26</f>
        <v>3.3750275951377941E-3</v>
      </c>
      <c r="G26" s="886">
        <f>димоканал!R26</f>
        <v>2.3324893285254066E-2</v>
      </c>
      <c r="H26" s="886">
        <f>'підготовка до зими'!M26+майстерні!M26+маляри!M26+покрівлі!O26</f>
        <v>0.12240517979094939</v>
      </c>
      <c r="I26" s="886">
        <f>електрики!R26</f>
        <v>1.4084774489478848E-2</v>
      </c>
      <c r="J26" s="989">
        <f t="shared" si="2"/>
        <v>1.2580870599458935</v>
      </c>
      <c r="K26" s="989">
        <v>3.2377182528797052E-2</v>
      </c>
      <c r="L26" s="994">
        <f t="shared" si="4"/>
        <v>1.2904642424746906</v>
      </c>
      <c r="M26" s="994">
        <f t="shared" si="3"/>
        <v>1.5485570909696287</v>
      </c>
      <c r="N26" s="995">
        <v>9</v>
      </c>
      <c r="O26" s="997">
        <v>1.3339399201864386</v>
      </c>
      <c r="P26" s="22">
        <f t="shared" si="0"/>
        <v>0.21461717078319009</v>
      </c>
      <c r="Q26" s="982">
        <f t="shared" si="1"/>
        <v>16.088968291255128</v>
      </c>
      <c r="R26" s="6"/>
      <c r="S26" s="6"/>
      <c r="T26" s="6"/>
      <c r="U26" s="6"/>
      <c r="V26" s="6"/>
      <c r="W26" s="6"/>
      <c r="X26" s="6"/>
      <c r="Y26" s="6"/>
      <c r="Z26" s="6"/>
    </row>
    <row r="27" spans="1:26" s="93" customFormat="1" ht="15.75">
      <c r="A27" s="236">
        <v>22</v>
      </c>
      <c r="B27" s="233" t="s">
        <v>704</v>
      </c>
      <c r="C27" s="886">
        <f>cходова!R27</f>
        <v>0.4983938090863142</v>
      </c>
      <c r="D27" s="886">
        <f>прибуд.!O27</f>
        <v>0.46255903903589396</v>
      </c>
      <c r="E27" s="886">
        <f>гар.вода!M27+хол.вода!Q27+ц.о.!M27+каналізація!Q27+аварійні!I27+зварювальн!M27</f>
        <v>0.29865122692017176</v>
      </c>
      <c r="F27" s="886">
        <f>дератизац.!I27</f>
        <v>2.7369324889986047E-3</v>
      </c>
      <c r="G27" s="886">
        <f>димоканал!R27</f>
        <v>2.3007522244549748E-2</v>
      </c>
      <c r="H27" s="886">
        <f>'підготовка до зими'!M27+майстерні!M27+маляри!M27+покрівлі!O27</f>
        <v>0.11342578683718149</v>
      </c>
      <c r="I27" s="886">
        <f>електрики!R27</f>
        <v>1.6972348704721703E-2</v>
      </c>
      <c r="J27" s="989">
        <f t="shared" si="2"/>
        <v>1.4157466653178314</v>
      </c>
      <c r="K27" s="989">
        <v>3.6416370725193048E-2</v>
      </c>
      <c r="L27" s="994">
        <f t="shared" si="4"/>
        <v>1.4521630360430244</v>
      </c>
      <c r="M27" s="994">
        <f t="shared" si="3"/>
        <v>1.7425956432516292</v>
      </c>
      <c r="N27" s="995">
        <v>9</v>
      </c>
      <c r="O27" s="997">
        <v>1.5003544738779535</v>
      </c>
      <c r="P27" s="22">
        <f t="shared" si="0"/>
        <v>0.24224116937367568</v>
      </c>
      <c r="Q27" s="982">
        <f t="shared" si="1"/>
        <v>16.145595830267823</v>
      </c>
      <c r="R27" s="6"/>
      <c r="S27" s="6"/>
      <c r="T27" s="6"/>
      <c r="U27" s="6"/>
      <c r="V27" s="6"/>
      <c r="W27" s="6"/>
      <c r="X27" s="6"/>
      <c r="Y27" s="6"/>
      <c r="Z27" s="6"/>
    </row>
    <row r="28" spans="1:26" s="93" customFormat="1" ht="15.75">
      <c r="A28" s="894">
        <v>23</v>
      </c>
      <c r="B28" s="233" t="s">
        <v>705</v>
      </c>
      <c r="C28" s="886">
        <f>cходова!R28</f>
        <v>0.54088777412777489</v>
      </c>
      <c r="D28" s="886">
        <f>прибуд.!O28</f>
        <v>0.30258903464702058</v>
      </c>
      <c r="E28" s="886">
        <f>гар.вода!M28+хол.вода!Q28+ц.о.!M28+каналізація!Q28+аварійні!I28+зварювальн!M28</f>
        <v>0.26868058202730749</v>
      </c>
      <c r="F28" s="886">
        <f>дератизац.!I28</f>
        <v>3.4818335540101652E-3</v>
      </c>
      <c r="G28" s="886">
        <f>димоканал!R28</f>
        <v>2.4102852341834676E-2</v>
      </c>
      <c r="H28" s="886">
        <f>'підготовка до зими'!M28+майстерні!M28+маляри!M28+покрівлі!O28</f>
        <v>0.12218224753299496</v>
      </c>
      <c r="I28" s="886">
        <f>електрики!R28</f>
        <v>1.4649747562446053E-2</v>
      </c>
      <c r="J28" s="989">
        <f t="shared" si="2"/>
        <v>1.2765740717933889</v>
      </c>
      <c r="K28" s="989">
        <v>3.2863190653652605E-2</v>
      </c>
      <c r="L28" s="994">
        <f t="shared" si="4"/>
        <v>1.3094372624470414</v>
      </c>
      <c r="M28" s="994">
        <f t="shared" si="3"/>
        <v>1.5713247149364495</v>
      </c>
      <c r="N28" s="995">
        <v>5</v>
      </c>
      <c r="O28" s="997">
        <v>1.3539634549304873</v>
      </c>
      <c r="P28" s="22">
        <f t="shared" si="0"/>
        <v>0.21736126000596223</v>
      </c>
      <c r="Q28" s="982">
        <f t="shared" si="1"/>
        <v>16.053702130174671</v>
      </c>
      <c r="R28" s="6"/>
      <c r="S28" s="6"/>
      <c r="T28" s="6"/>
      <c r="U28" s="6"/>
      <c r="V28" s="6"/>
      <c r="W28" s="6"/>
      <c r="X28" s="6"/>
      <c r="Y28" s="6"/>
      <c r="Z28" s="6"/>
    </row>
    <row r="29" spans="1:26" s="93" customFormat="1" ht="15.75">
      <c r="A29" s="894">
        <v>24</v>
      </c>
      <c r="B29" s="233" t="s">
        <v>706</v>
      </c>
      <c r="C29" s="886">
        <f>cходова!R29</f>
        <v>0.70712450313231812</v>
      </c>
      <c r="D29" s="886">
        <f>прибуд.!O29</f>
        <v>0.37761046908171736</v>
      </c>
      <c r="E29" s="886">
        <f>гар.вода!M29+хол.вода!Q29+ц.о.!M29+каналізація!Q29+аварійні!I29+зварювальн!M29</f>
        <v>0.27580745363179088</v>
      </c>
      <c r="F29" s="886">
        <f>дератизац.!I29</f>
        <v>7.5324476260310129E-3</v>
      </c>
      <c r="G29" s="886">
        <f>димоканал!R29</f>
        <v>1.3407537476479214E-2</v>
      </c>
      <c r="H29" s="886">
        <f>'підготовка до зими'!M29+майстерні!M29+маляри!M29+покрівлі!O29</f>
        <v>0.13407274870677893</v>
      </c>
      <c r="I29" s="886">
        <f>електрики!R29</f>
        <v>1.4109617641403512E-2</v>
      </c>
      <c r="J29" s="989">
        <f t="shared" si="2"/>
        <v>1.5296647772965191</v>
      </c>
      <c r="K29" s="989">
        <v>3.8927200620738067E-2</v>
      </c>
      <c r="L29" s="994">
        <f t="shared" si="4"/>
        <v>1.568591977917257</v>
      </c>
      <c r="M29" s="994">
        <f t="shared" si="3"/>
        <v>1.8823103735007083</v>
      </c>
      <c r="N29" s="995">
        <v>9</v>
      </c>
      <c r="O29" s="997">
        <v>1.6038006655744086</v>
      </c>
      <c r="P29" s="22">
        <f t="shared" si="0"/>
        <v>0.2785097079262997</v>
      </c>
      <c r="Q29" s="982">
        <f t="shared" si="1"/>
        <v>17.365606206838066</v>
      </c>
      <c r="R29" s="6"/>
      <c r="S29" s="6"/>
      <c r="T29" s="6"/>
      <c r="U29" s="6"/>
      <c r="V29" s="6"/>
      <c r="W29" s="6"/>
      <c r="X29" s="6"/>
      <c r="Y29" s="6"/>
      <c r="Z29" s="6"/>
    </row>
    <row r="30" spans="1:26" s="93" customFormat="1" ht="15.75">
      <c r="A30" s="894">
        <v>25</v>
      </c>
      <c r="B30" s="233" t="s">
        <v>707</v>
      </c>
      <c r="C30" s="886">
        <f>cходова!R30</f>
        <v>0.43039729389697395</v>
      </c>
      <c r="D30" s="886">
        <f>прибуд.!O30</f>
        <v>0.53996660241803307</v>
      </c>
      <c r="E30" s="886">
        <f>гар.вода!M30+хол.вода!Q30+ц.о.!M30+каналізація!Q30+аварійні!I30+зварювальн!M30</f>
        <v>0.28034026630756653</v>
      </c>
      <c r="F30" s="886">
        <f>дератизац.!I30</f>
        <v>2.7830493035260187E-3</v>
      </c>
      <c r="G30" s="886">
        <f>димоканал!R30</f>
        <v>1.262509186842526E-2</v>
      </c>
      <c r="H30" s="886">
        <f>'підготовка до зими'!M30+майстерні!M30+маляри!M30+покрівлі!O30</f>
        <v>0.11122253718543879</v>
      </c>
      <c r="I30" s="886">
        <f>електрики!R30</f>
        <v>1.4677659684516663E-2</v>
      </c>
      <c r="J30" s="989">
        <f t="shared" si="2"/>
        <v>1.3920125006644803</v>
      </c>
      <c r="K30" s="989">
        <v>3.5680792109976017E-2</v>
      </c>
      <c r="L30" s="994">
        <f t="shared" si="4"/>
        <v>1.4276932927744563</v>
      </c>
      <c r="M30" s="994">
        <f t="shared" si="3"/>
        <v>1.7132319513293475</v>
      </c>
      <c r="N30" s="995">
        <v>9</v>
      </c>
      <c r="O30" s="997">
        <v>1.4700486349310118</v>
      </c>
      <c r="P30" s="22">
        <f t="shared" si="0"/>
        <v>0.24318331639833568</v>
      </c>
      <c r="Q30" s="982">
        <f t="shared" si="1"/>
        <v>16.542535438614792</v>
      </c>
      <c r="R30" s="6"/>
      <c r="S30" s="6"/>
      <c r="T30" s="6"/>
      <c r="U30" s="6"/>
      <c r="V30" s="6"/>
      <c r="W30" s="6"/>
      <c r="X30" s="6"/>
      <c r="Y30" s="6"/>
      <c r="Z30" s="6"/>
    </row>
    <row r="31" spans="1:26" s="93" customFormat="1" ht="15.75">
      <c r="A31" s="894">
        <v>26</v>
      </c>
      <c r="B31" s="233" t="s">
        <v>708</v>
      </c>
      <c r="C31" s="886">
        <f>cходова!R31</f>
        <v>0.62600203074558103</v>
      </c>
      <c r="D31" s="886">
        <f>прибуд.!O31</f>
        <v>0.24567527873530698</v>
      </c>
      <c r="E31" s="886">
        <f>гар.вода!M31+хол.вода!Q31+ц.о.!M31+каналізація!Q31+аварійні!I31+зварювальн!M31</f>
        <v>0.27294094376133105</v>
      </c>
      <c r="F31" s="886">
        <f>дератизац.!I31</f>
        <v>3.2845910125802046E-3</v>
      </c>
      <c r="G31" s="886">
        <f>димоканал!R31</f>
        <v>9.07885326011478E-3</v>
      </c>
      <c r="H31" s="886">
        <f>'підготовка до зими'!M31+майстерні!M31+маляри!M31+покрівлі!O31</f>
        <v>0.11024723057883301</v>
      </c>
      <c r="I31" s="886">
        <f>електрики!R31</f>
        <v>1.3750392974537848E-2</v>
      </c>
      <c r="J31" s="989">
        <f t="shared" si="2"/>
        <v>1.2809793210682847</v>
      </c>
      <c r="K31" s="989">
        <v>3.28620069978015E-2</v>
      </c>
      <c r="L31" s="994">
        <f t="shared" si="4"/>
        <v>1.3138413280660861</v>
      </c>
      <c r="M31" s="994">
        <f t="shared" si="3"/>
        <v>1.5766095936793032</v>
      </c>
      <c r="N31" s="995">
        <v>9</v>
      </c>
      <c r="O31" s="997">
        <v>1.353914688309422</v>
      </c>
      <c r="P31" s="22">
        <f t="shared" si="0"/>
        <v>0.22269490536988124</v>
      </c>
      <c r="Q31" s="982">
        <f t="shared" si="1"/>
        <v>16.44822286756866</v>
      </c>
      <c r="R31" s="6"/>
      <c r="S31" s="6"/>
      <c r="T31" s="6"/>
      <c r="U31" s="6"/>
      <c r="V31" s="6"/>
      <c r="W31" s="6"/>
      <c r="X31" s="6"/>
      <c r="Y31" s="6"/>
      <c r="Z31" s="6"/>
    </row>
    <row r="32" spans="1:26" s="93" customFormat="1" ht="15.75">
      <c r="A32" s="894">
        <v>27</v>
      </c>
      <c r="B32" s="233" t="s">
        <v>709</v>
      </c>
      <c r="C32" s="886">
        <f>cходова!R32</f>
        <v>0.57032837950454718</v>
      </c>
      <c r="D32" s="886">
        <f>прибуд.!O32</f>
        <v>0.20496362038598567</v>
      </c>
      <c r="E32" s="886">
        <f>гар.вода!M32+хол.вода!Q32+ц.о.!M32+каналізація!Q32+аварійні!I32+зварювальн!M32</f>
        <v>0.27168673105073682</v>
      </c>
      <c r="F32" s="886">
        <f>дератизац.!I32</f>
        <v>3.3023695777371293E-3</v>
      </c>
      <c r="G32" s="886">
        <f>димоканал!R32</f>
        <v>9.0136156763810666E-3</v>
      </c>
      <c r="H32" s="886">
        <f>'підготовка до зими'!M32+майстерні!M32+маляри!M32+покрівлі!O32</f>
        <v>0.1218886254779078</v>
      </c>
      <c r="I32" s="886">
        <f>електрики!R32</f>
        <v>1.3593217816069045E-2</v>
      </c>
      <c r="J32" s="989">
        <f t="shared" si="2"/>
        <v>1.1947765594893647</v>
      </c>
      <c r="K32" s="989">
        <v>3.0769786307065641E-2</v>
      </c>
      <c r="L32" s="994">
        <f t="shared" si="4"/>
        <v>1.2255463457964304</v>
      </c>
      <c r="M32" s="994">
        <f t="shared" si="3"/>
        <v>1.4706556149557164</v>
      </c>
      <c r="N32" s="995">
        <v>9</v>
      </c>
      <c r="O32" s="997">
        <v>1.2677151958511044</v>
      </c>
      <c r="P32" s="22">
        <f t="shared" si="0"/>
        <v>0.20294041910461202</v>
      </c>
      <c r="Q32" s="982">
        <f t="shared" si="1"/>
        <v>16.008360534667588</v>
      </c>
      <c r="R32" s="6"/>
      <c r="S32" s="6"/>
      <c r="T32" s="6"/>
      <c r="U32" s="6"/>
      <c r="V32" s="6"/>
      <c r="W32" s="6"/>
      <c r="X32" s="6"/>
      <c r="Y32" s="6"/>
      <c r="Z32" s="6"/>
    </row>
    <row r="33" spans="1:26" s="93" customFormat="1" ht="15.75">
      <c r="A33" s="236">
        <v>28</v>
      </c>
      <c r="B33" s="233" t="s">
        <v>710</v>
      </c>
      <c r="C33" s="886">
        <f>cходова!R33</f>
        <v>0.57279077202946049</v>
      </c>
      <c r="D33" s="886">
        <f>прибуд.!O33</f>
        <v>0.31660434953379929</v>
      </c>
      <c r="E33" s="886">
        <f>гар.вода!M33+хол.вода!Q33+ц.о.!M33+каналізація!Q33+аварійні!I33+зварювальн!M33</f>
        <v>0.27965866173667686</v>
      </c>
      <c r="F33" s="886">
        <f>дератизац.!I33</f>
        <v>2.9888896793010462E-3</v>
      </c>
      <c r="G33" s="886">
        <f>димоканал!R33</f>
        <v>9.767349128945205E-3</v>
      </c>
      <c r="H33" s="886">
        <f>'підготовка до зими'!M33+майстерні!M33+маляри!M33+покрівлі!O33</f>
        <v>0.12044715795244476</v>
      </c>
      <c r="I33" s="886">
        <f>електрики!R33</f>
        <v>1.4592242509632604E-2</v>
      </c>
      <c r="J33" s="989">
        <f t="shared" si="2"/>
        <v>1.3168494225702603</v>
      </c>
      <c r="K33" s="989">
        <v>3.3831041135696897E-2</v>
      </c>
      <c r="L33" s="994">
        <f t="shared" si="4"/>
        <v>1.3506804637059571</v>
      </c>
      <c r="M33" s="994">
        <f t="shared" si="3"/>
        <v>1.6208165564471484</v>
      </c>
      <c r="N33" s="995">
        <v>9</v>
      </c>
      <c r="O33" s="997">
        <v>1.3938388947907123</v>
      </c>
      <c r="P33" s="22">
        <f t="shared" si="0"/>
        <v>0.22697766165643607</v>
      </c>
      <c r="Q33" s="982">
        <f t="shared" si="1"/>
        <v>16.28435413193985</v>
      </c>
      <c r="R33" s="6"/>
      <c r="S33" s="6"/>
      <c r="T33" s="6"/>
      <c r="U33" s="6"/>
      <c r="V33" s="6"/>
      <c r="W33" s="6"/>
      <c r="X33" s="6"/>
      <c r="Y33" s="6"/>
      <c r="Z33" s="6"/>
    </row>
    <row r="34" spans="1:26" s="93" customFormat="1" ht="15.75">
      <c r="A34" s="894">
        <v>29</v>
      </c>
      <c r="B34" s="233" t="s">
        <v>711</v>
      </c>
      <c r="C34" s="886">
        <f>cходова!R34</f>
        <v>0.53132537851113082</v>
      </c>
      <c r="D34" s="886">
        <f>прибуд.!O34</f>
        <v>0.3408451489626631</v>
      </c>
      <c r="E34" s="886">
        <f>гар.вода!M34+хол.вода!Q34+ц.о.!M34+каналізація!Q34+аварійні!I34+зварювальн!M34</f>
        <v>0.2692444025070691</v>
      </c>
      <c r="F34" s="886">
        <f>дератизац.!I34</f>
        <v>2.6889898422745133E-3</v>
      </c>
      <c r="G34" s="886">
        <f>димоканал!R34</f>
        <v>8.8106635738447008E-3</v>
      </c>
      <c r="H34" s="886">
        <f>'підготовка до зими'!M34+майстерні!M34+маляри!M34+покрівлі!O34</f>
        <v>0.11115232254231482</v>
      </c>
      <c r="I34" s="886">
        <f>електрики!R34</f>
        <v>1.3287150613399759E-2</v>
      </c>
      <c r="J34" s="989">
        <f t="shared" si="2"/>
        <v>1.2773540565526966</v>
      </c>
      <c r="K34" s="989">
        <v>3.2758808900686061E-2</v>
      </c>
      <c r="L34" s="994">
        <f t="shared" si="4"/>
        <v>1.3101128654533827</v>
      </c>
      <c r="M34" s="994">
        <f t="shared" si="3"/>
        <v>1.5721354385440591</v>
      </c>
      <c r="N34" s="995">
        <v>9</v>
      </c>
      <c r="O34" s="997">
        <v>1.3496629267082658</v>
      </c>
      <c r="P34" s="22">
        <f t="shared" si="0"/>
        <v>0.22247251183579331</v>
      </c>
      <c r="Q34" s="982">
        <f t="shared" si="1"/>
        <v>16.483561001292998</v>
      </c>
      <c r="R34" s="6"/>
      <c r="S34" s="6"/>
      <c r="T34" s="6"/>
      <c r="U34" s="6"/>
      <c r="V34" s="6"/>
      <c r="W34" s="6"/>
      <c r="X34" s="6"/>
      <c r="Y34" s="6"/>
      <c r="Z34" s="6"/>
    </row>
    <row r="35" spans="1:26" s="93" customFormat="1" ht="15.75">
      <c r="A35" s="894">
        <v>30</v>
      </c>
      <c r="B35" s="233" t="s">
        <v>712</v>
      </c>
      <c r="C35" s="886">
        <f>cходова!R35</f>
        <v>0.49944628039439154</v>
      </c>
      <c r="D35" s="886">
        <f>прибуд.!O35</f>
        <v>0.32191669342277601</v>
      </c>
      <c r="E35" s="886">
        <f>гар.вода!M35+хол.вода!Q35+ц.о.!M35+каналізація!Q35+аварійні!I35+зварювальн!M35</f>
        <v>0.27647741486197985</v>
      </c>
      <c r="F35" s="886">
        <f>дератизац.!I35</f>
        <v>2.9534657342305437E-3</v>
      </c>
      <c r="G35" s="886">
        <f>димоканал!R35</f>
        <v>1.4759706344484308E-2</v>
      </c>
      <c r="H35" s="886">
        <f>'підготовка до зими'!M35+майстерні!M35+маляри!M35+покрівлі!O35</f>
        <v>0.11593123906369097</v>
      </c>
      <c r="I35" s="886">
        <f>електрики!R35</f>
        <v>1.4193575698624141E-2</v>
      </c>
      <c r="J35" s="989">
        <f t="shared" si="2"/>
        <v>1.2456783755201775</v>
      </c>
      <c r="K35" s="989">
        <v>3.2061987556103337E-2</v>
      </c>
      <c r="L35" s="994">
        <f t="shared" si="4"/>
        <v>1.2777403630762807</v>
      </c>
      <c r="M35" s="994">
        <f t="shared" si="3"/>
        <v>1.5332884356915368</v>
      </c>
      <c r="N35" s="995">
        <v>9</v>
      </c>
      <c r="O35" s="997">
        <v>1.3209538873114577</v>
      </c>
      <c r="P35" s="22">
        <f t="shared" si="0"/>
        <v>0.21233454838007915</v>
      </c>
      <c r="Q35" s="982">
        <f t="shared" si="1"/>
        <v>16.07433464708177</v>
      </c>
      <c r="R35" s="6"/>
      <c r="S35" s="6"/>
      <c r="T35" s="6"/>
      <c r="U35" s="6"/>
      <c r="V35" s="6"/>
      <c r="W35" s="6"/>
      <c r="X35" s="6"/>
      <c r="Y35" s="6"/>
      <c r="Z35" s="6"/>
    </row>
    <row r="36" spans="1:26" s="93" customFormat="1" ht="15.75">
      <c r="A36" s="894">
        <v>31</v>
      </c>
      <c r="B36" s="233" t="s">
        <v>713</v>
      </c>
      <c r="C36" s="886">
        <f>cходова!R36</f>
        <v>0.56008694099652223</v>
      </c>
      <c r="D36" s="886">
        <f>прибуд.!O36</f>
        <v>0.36284916815436552</v>
      </c>
      <c r="E36" s="886">
        <f>гар.вода!M36+хол.вода!Q36+ц.о.!M36+каналізація!Q36+аварійні!I36+зварювальн!M36</f>
        <v>0.27534229140573019</v>
      </c>
      <c r="F36" s="886">
        <f>дератизац.!I36</f>
        <v>3.3816936010580066E-3</v>
      </c>
      <c r="G36" s="886">
        <f>димоканал!R36</f>
        <v>1.4292436882014809E-2</v>
      </c>
      <c r="H36" s="886">
        <f>'підготовка до зими'!M36+майстерні!M36+маляри!M36+покрівлі!O36</f>
        <v>0.11210412984222387</v>
      </c>
      <c r="I36" s="886">
        <f>електрики!R36</f>
        <v>1.405132454169466E-2</v>
      </c>
      <c r="J36" s="989">
        <f t="shared" si="2"/>
        <v>1.3421079854236093</v>
      </c>
      <c r="K36" s="989">
        <v>3.4428994769670707E-2</v>
      </c>
      <c r="L36" s="994">
        <f t="shared" si="4"/>
        <v>1.3765369801932801</v>
      </c>
      <c r="M36" s="994">
        <f t="shared" si="3"/>
        <v>1.6518443762319361</v>
      </c>
      <c r="N36" s="995">
        <v>9</v>
      </c>
      <c r="O36" s="997">
        <v>1.4184745845104332</v>
      </c>
      <c r="P36" s="22">
        <f t="shared" si="0"/>
        <v>0.23336979172150296</v>
      </c>
      <c r="Q36" s="982">
        <f t="shared" si="1"/>
        <v>16.452165887910297</v>
      </c>
      <c r="R36" s="6"/>
      <c r="S36" s="6"/>
      <c r="T36" s="6"/>
      <c r="U36" s="6"/>
      <c r="V36" s="6"/>
      <c r="W36" s="6"/>
      <c r="X36" s="6"/>
      <c r="Y36" s="6"/>
      <c r="Z36" s="6"/>
    </row>
    <row r="37" spans="1:26" s="93" customFormat="1" ht="15.75">
      <c r="A37" s="894">
        <v>32</v>
      </c>
      <c r="B37" s="233" t="s">
        <v>714</v>
      </c>
      <c r="C37" s="886">
        <f>cходова!R37</f>
        <v>0.63344765991962371</v>
      </c>
      <c r="D37" s="886">
        <f>прибуд.!O37</f>
        <v>0.35540971763882195</v>
      </c>
      <c r="E37" s="886">
        <f>гар.вода!M37+хол.вода!Q37+ц.о.!M37+каналізація!Q37+аварійні!I37+зварювальн!M37</f>
        <v>0.2755309205017778</v>
      </c>
      <c r="F37" s="886">
        <f>дератизац.!I37</f>
        <v>3.317032853502308E-3</v>
      </c>
      <c r="G37" s="886">
        <f>димоканал!R37</f>
        <v>9.1640828006722321E-3</v>
      </c>
      <c r="H37" s="886">
        <f>'підготовка до зими'!M37+майстерні!M37+маляри!M37+покрівлі!O37</f>
        <v>0.11229371349545378</v>
      </c>
      <c r="I37" s="886">
        <f>електрики!R37</f>
        <v>1.4074963122146513E-2</v>
      </c>
      <c r="J37" s="989">
        <f t="shared" si="2"/>
        <v>1.4032380903319983</v>
      </c>
      <c r="K37" s="989">
        <v>3.5915461823156164E-2</v>
      </c>
      <c r="L37" s="994">
        <f t="shared" si="4"/>
        <v>1.4391535521551544</v>
      </c>
      <c r="M37" s="994">
        <f t="shared" si="3"/>
        <v>1.7269842625861853</v>
      </c>
      <c r="N37" s="995">
        <v>9</v>
      </c>
      <c r="O37" s="997">
        <v>1.4797170271140341</v>
      </c>
      <c r="P37" s="22">
        <f t="shared" si="0"/>
        <v>0.24726723547215124</v>
      </c>
      <c r="Q37" s="982">
        <f t="shared" si="1"/>
        <v>16.710440641100746</v>
      </c>
      <c r="R37" s="6"/>
      <c r="S37" s="6"/>
      <c r="T37" s="6"/>
      <c r="U37" s="6"/>
      <c r="V37" s="6"/>
      <c r="W37" s="6"/>
      <c r="X37" s="6"/>
      <c r="Y37" s="6"/>
      <c r="Z37" s="6"/>
    </row>
    <row r="38" spans="1:26" s="892" customFormat="1" ht="15.75">
      <c r="A38" s="894">
        <v>33</v>
      </c>
      <c r="B38" s="233" t="s">
        <v>715</v>
      </c>
      <c r="C38" s="886">
        <f>cходова!R38</f>
        <v>0</v>
      </c>
      <c r="D38" s="886">
        <f>прибуд.!O38</f>
        <v>0</v>
      </c>
      <c r="E38" s="886">
        <f>гар.вода!M38+хол.вода!Q38+ц.о.!M38+каналізація!Q38+аварійні!I38+зварювальн!M38</f>
        <v>0.25657129783381571</v>
      </c>
      <c r="F38" s="886">
        <f>дератизац.!I38</f>
        <v>0</v>
      </c>
      <c r="G38" s="886">
        <f>димоканал!R38</f>
        <v>0.19427995205873091</v>
      </c>
      <c r="H38" s="886">
        <f>'підготовка до зими'!M38+майстерні!M38+маляри!M38+покрівлі!O38</f>
        <v>0.49157827901306483</v>
      </c>
      <c r="I38" s="886">
        <f>електрики!R38</f>
        <v>2.7780640235242682E-2</v>
      </c>
      <c r="J38" s="989">
        <f t="shared" ref="J38:J64" si="5">I38+H38+G38+F38+E38+D38+C38</f>
        <v>0.97021016914085412</v>
      </c>
      <c r="K38" s="989">
        <v>2.7331941849221504E-2</v>
      </c>
      <c r="L38" s="994">
        <f t="shared" si="4"/>
        <v>0.99754211099007561</v>
      </c>
      <c r="M38" s="994">
        <f t="shared" ref="M38:M65" si="6">L38*1.2</f>
        <v>1.1970505331880907</v>
      </c>
      <c r="N38" s="995">
        <v>1</v>
      </c>
      <c r="O38" s="997">
        <v>1.1260760041879259</v>
      </c>
      <c r="P38" s="22">
        <f t="shared" ref="P38:P69" si="7">M38-O38</f>
        <v>7.0974529000164877E-2</v>
      </c>
      <c r="Q38" s="982">
        <f t="shared" ref="Q38:Q66" si="8">M38/O38*100-100</f>
        <v>6.3028187028413356</v>
      </c>
      <c r="R38" s="6"/>
      <c r="S38" s="6"/>
      <c r="T38" s="6"/>
      <c r="U38" s="6"/>
      <c r="V38" s="6"/>
      <c r="W38" s="6"/>
      <c r="X38" s="6"/>
      <c r="Y38" s="6"/>
      <c r="Z38" s="6"/>
    </row>
    <row r="39" spans="1:26" s="892" customFormat="1" ht="15.75">
      <c r="A39" s="236">
        <v>34</v>
      </c>
      <c r="B39" s="233" t="s">
        <v>716</v>
      </c>
      <c r="C39" s="886">
        <f>cходова!R39</f>
        <v>0</v>
      </c>
      <c r="D39" s="886">
        <f>прибуд.!O39</f>
        <v>0</v>
      </c>
      <c r="E39" s="886">
        <f>гар.вода!M39+хол.вода!Q39+ц.о.!M39+каналізація!Q39+аварійні!I39+зварювальн!M39</f>
        <v>0.27398828207450154</v>
      </c>
      <c r="F39" s="886">
        <f>дератизац.!I39</f>
        <v>0</v>
      </c>
      <c r="G39" s="886">
        <f>димоканал!R39</f>
        <v>0.15248106001089565</v>
      </c>
      <c r="H39" s="886">
        <f>'підготовка до зими'!M39+майстерні!M39+маляри!M39+покрівлі!O39</f>
        <v>0.39741512404456553</v>
      </c>
      <c r="I39" s="886">
        <f>електрики!R39</f>
        <v>3.2222388768597468E-2</v>
      </c>
      <c r="J39" s="989">
        <f t="shared" si="5"/>
        <v>0.8561068548985602</v>
      </c>
      <c r="K39" s="989">
        <v>2.4501989637532397E-2</v>
      </c>
      <c r="L39" s="994">
        <f t="shared" si="4"/>
        <v>0.88060884453609256</v>
      </c>
      <c r="M39" s="994">
        <f t="shared" si="6"/>
        <v>1.056730613443311</v>
      </c>
      <c r="N39" s="995">
        <v>1</v>
      </c>
      <c r="O39" s="997">
        <v>1.0094819730663349</v>
      </c>
      <c r="P39" s="22">
        <f t="shared" si="7"/>
        <v>4.724864037697607E-2</v>
      </c>
      <c r="Q39" s="982">
        <f t="shared" si="8"/>
        <v>4.6804838162148457</v>
      </c>
      <c r="R39" s="6"/>
      <c r="S39" s="6"/>
      <c r="T39" s="6"/>
      <c r="U39" s="6"/>
      <c r="V39" s="6"/>
      <c r="W39" s="6"/>
      <c r="X39" s="6"/>
      <c r="Y39" s="6"/>
      <c r="Z39" s="6"/>
    </row>
    <row r="40" spans="1:26" s="892" customFormat="1" ht="15.75">
      <c r="A40" s="894">
        <v>35</v>
      </c>
      <c r="B40" s="233" t="s">
        <v>717</v>
      </c>
      <c r="C40" s="886">
        <f>cходова!R40</f>
        <v>0</v>
      </c>
      <c r="D40" s="886">
        <f>прибуд.!O40</f>
        <v>0</v>
      </c>
      <c r="E40" s="886">
        <f>гар.вода!M40+хол.вода!Q40+ц.о.!M40+каналізація!Q40+аварійні!I40+зварювальн!M40</f>
        <v>0.18658331628232105</v>
      </c>
      <c r="F40" s="886">
        <f>дератизац.!I40</f>
        <v>0</v>
      </c>
      <c r="G40" s="886">
        <f>димоканал!R40</f>
        <v>0.12795445674133984</v>
      </c>
      <c r="H40" s="886">
        <f>'підготовка до зими'!M40+майстерні!M40+маляри!M40+покрівлі!O40</f>
        <v>0.21499415934967187</v>
      </c>
      <c r="I40" s="886">
        <f>електрики!R40</f>
        <v>1.372242744899578E-2</v>
      </c>
      <c r="J40" s="989">
        <f t="shared" si="5"/>
        <v>0.5432543598223285</v>
      </c>
      <c r="K40" s="989">
        <v>1.3602846351474194E-2</v>
      </c>
      <c r="L40" s="994">
        <f t="shared" si="4"/>
        <v>0.55685720617380274</v>
      </c>
      <c r="M40" s="994">
        <f t="shared" si="6"/>
        <v>0.66822864740856325</v>
      </c>
      <c r="N40" s="995">
        <v>5</v>
      </c>
      <c r="O40" s="997">
        <v>0.56043726968073682</v>
      </c>
      <c r="P40" s="22">
        <f t="shared" si="7"/>
        <v>0.10779137772782643</v>
      </c>
      <c r="Q40" s="982">
        <f t="shared" si="8"/>
        <v>19.233442092320473</v>
      </c>
      <c r="R40" s="6"/>
      <c r="S40" s="6"/>
      <c r="T40" s="6"/>
      <c r="U40" s="6"/>
      <c r="V40" s="6"/>
      <c r="W40" s="6"/>
      <c r="X40" s="6"/>
      <c r="Y40" s="6"/>
      <c r="Z40" s="6"/>
    </row>
    <row r="41" spans="1:26" s="93" customFormat="1" ht="15.75">
      <c r="A41" s="894">
        <v>36</v>
      </c>
      <c r="B41" s="233" t="s">
        <v>718</v>
      </c>
      <c r="C41" s="886">
        <f>cходова!R41</f>
        <v>0.72659970750176495</v>
      </c>
      <c r="D41" s="886">
        <f>прибуд.!O41</f>
        <v>0.3422714195505685</v>
      </c>
      <c r="E41" s="886">
        <f>гар.вода!M41+хол.вода!Q41+ц.о.!M41+каналізація!Q41+аварійні!I41+зварювальн!M41</f>
        <v>0.27890836014296183</v>
      </c>
      <c r="F41" s="886">
        <f>дератизац.!I41</f>
        <v>7.7548005908419501E-3</v>
      </c>
      <c r="G41" s="886">
        <f>димоканал!R41</f>
        <v>1.3776799934913059E-2</v>
      </c>
      <c r="H41" s="886">
        <f>'підготовка до зими'!M41+майстерні!M41+маляри!M41+покрівлі!O41</f>
        <v>0.13421571003917546</v>
      </c>
      <c r="I41" s="886">
        <f>електрики!R41</f>
        <v>1.4498216376030684E-2</v>
      </c>
      <c r="J41" s="989">
        <f t="shared" si="5"/>
        <v>1.5180250141362563</v>
      </c>
      <c r="K41" s="989">
        <v>3.8648633054056088E-2</v>
      </c>
      <c r="L41" s="994">
        <f t="shared" si="4"/>
        <v>1.5566736471903124</v>
      </c>
      <c r="M41" s="994">
        <f t="shared" si="6"/>
        <v>1.8680083766283748</v>
      </c>
      <c r="N41" s="995">
        <v>5</v>
      </c>
      <c r="O41" s="997">
        <v>1.5923236818271109</v>
      </c>
      <c r="P41" s="22">
        <f t="shared" si="7"/>
        <v>0.2756846948012639</v>
      </c>
      <c r="Q41" s="982">
        <f t="shared" si="8"/>
        <v>17.313357701552846</v>
      </c>
      <c r="R41" s="6"/>
      <c r="S41" s="6"/>
      <c r="T41" s="6"/>
      <c r="U41" s="6"/>
      <c r="V41" s="6"/>
      <c r="W41" s="6"/>
      <c r="X41" s="6"/>
      <c r="Y41" s="6"/>
      <c r="Z41" s="6"/>
    </row>
    <row r="42" spans="1:26" s="93" customFormat="1" ht="15.75">
      <c r="A42" s="894">
        <v>37</v>
      </c>
      <c r="B42" s="233" t="s">
        <v>719</v>
      </c>
      <c r="C42" s="886">
        <f>cходова!R42</f>
        <v>0.16333141168578805</v>
      </c>
      <c r="D42" s="886">
        <f>прибуд.!O42</f>
        <v>0.2384052304968067</v>
      </c>
      <c r="E42" s="886">
        <f>гар.вода!M42+хол.вода!Q42+ц.о.!M42+каналізація!Q42+аварійні!I42+зварювальн!M42</f>
        <v>0.40668189582475317</v>
      </c>
      <c r="F42" s="886">
        <f>дератизац.!I42</f>
        <v>4.8742701768437913E-3</v>
      </c>
      <c r="G42" s="886">
        <f>димоканал!R42</f>
        <v>9.7453246569864007E-3</v>
      </c>
      <c r="H42" s="886">
        <f>'підготовка до зими'!M42+майстерні!M42+маляри!M42+покрівлі!O42</f>
        <v>0.14712134592579668</v>
      </c>
      <c r="I42" s="886">
        <f>електрики!R42</f>
        <v>3.0510512814478846E-2</v>
      </c>
      <c r="J42" s="989">
        <f t="shared" si="5"/>
        <v>1.0006699915814536</v>
      </c>
      <c r="K42" s="989">
        <v>2.6724871363920835E-2</v>
      </c>
      <c r="L42" s="994">
        <f t="shared" si="4"/>
        <v>1.0273948629453744</v>
      </c>
      <c r="M42" s="994">
        <f t="shared" si="6"/>
        <v>1.2328738355344493</v>
      </c>
      <c r="N42" s="995">
        <v>9</v>
      </c>
      <c r="O42" s="997">
        <v>1.1010647001935385</v>
      </c>
      <c r="P42" s="22">
        <f t="shared" si="7"/>
        <v>0.13180913534091077</v>
      </c>
      <c r="Q42" s="982">
        <f t="shared" si="8"/>
        <v>11.971061765738384</v>
      </c>
      <c r="R42" s="6"/>
      <c r="S42" s="6"/>
      <c r="T42" s="6"/>
      <c r="U42" s="6"/>
      <c r="V42" s="6"/>
      <c r="W42" s="6"/>
      <c r="X42" s="6"/>
      <c r="Y42" s="6"/>
      <c r="Z42" s="6"/>
    </row>
    <row r="43" spans="1:26" s="93" customFormat="1" ht="15.75">
      <c r="A43" s="894">
        <v>38</v>
      </c>
      <c r="B43" s="233" t="s">
        <v>720</v>
      </c>
      <c r="C43" s="886">
        <f>cходова!R43</f>
        <v>0.7569765774288425</v>
      </c>
      <c r="D43" s="886">
        <f>прибуд.!O43</f>
        <v>0.16726214911794585</v>
      </c>
      <c r="E43" s="886">
        <f>гар.вода!M43+хол.вода!Q43+ц.о.!M43+каналізація!Q43+аварійні!I43+зварювальн!M43</f>
        <v>0.346348746011789</v>
      </c>
      <c r="F43" s="886">
        <f>дератизац.!I43</f>
        <v>3.7751580644348726E-3</v>
      </c>
      <c r="G43" s="886">
        <f>димоканал!R43</f>
        <v>1.3859126196243557E-2</v>
      </c>
      <c r="H43" s="886">
        <f>'підготовка до зими'!M43+майстерні!M43+маляри!M43+покрівлі!O43</f>
        <v>0.10822177362121672</v>
      </c>
      <c r="I43" s="886">
        <f>електрики!R43</f>
        <v>2.2949696134283014E-2</v>
      </c>
      <c r="J43" s="989">
        <f t="shared" si="5"/>
        <v>1.4193932265747553</v>
      </c>
      <c r="K43" s="989">
        <v>3.6651150513676983E-2</v>
      </c>
      <c r="L43" s="994">
        <f t="shared" si="4"/>
        <v>1.4560443770884324</v>
      </c>
      <c r="M43" s="994">
        <f t="shared" si="6"/>
        <v>1.7472532525061188</v>
      </c>
      <c r="N43" s="995">
        <v>10</v>
      </c>
      <c r="O43" s="997">
        <v>1.5100274011634918</v>
      </c>
      <c r="P43" s="22">
        <f t="shared" si="7"/>
        <v>0.23722585134262708</v>
      </c>
      <c r="Q43" s="982">
        <f t="shared" si="8"/>
        <v>15.710036199332691</v>
      </c>
      <c r="R43" s="6"/>
      <c r="S43" s="6"/>
      <c r="T43" s="6"/>
      <c r="U43" s="6"/>
      <c r="V43" s="6"/>
      <c r="W43" s="6"/>
      <c r="X43" s="6"/>
      <c r="Y43" s="6"/>
      <c r="Z43" s="6"/>
    </row>
    <row r="44" spans="1:26" s="93" customFormat="1" ht="15.75">
      <c r="A44" s="894">
        <v>39</v>
      </c>
      <c r="B44" s="233" t="s">
        <v>721</v>
      </c>
      <c r="C44" s="886">
        <f>cходова!R44</f>
        <v>0.74220994528952422</v>
      </c>
      <c r="D44" s="886">
        <f>прибуд.!O44</f>
        <v>0.34501570923854086</v>
      </c>
      <c r="E44" s="886">
        <f>гар.вода!M44+хол.вода!Q44+ц.о.!M44+каналізація!Q44+аварійні!I44+зварювальн!M44</f>
        <v>0.28502523702383165</v>
      </c>
      <c r="F44" s="886">
        <f>дератизац.!I44</f>
        <v>2.9277890035095187E-3</v>
      </c>
      <c r="G44" s="886">
        <f>димоканал!R44</f>
        <v>1.2456451935661257E-2</v>
      </c>
      <c r="H44" s="886">
        <f>'підготовка до зими'!M44+майстерні!M44+маляри!M44+покрівлі!O44</f>
        <v>0.12023886565880401</v>
      </c>
      <c r="I44" s="886">
        <f>електрики!R44</f>
        <v>1.526476983619243E-2</v>
      </c>
      <c r="J44" s="989">
        <f t="shared" si="5"/>
        <v>1.523138767986064</v>
      </c>
      <c r="K44" s="989">
        <v>3.8800817745464809E-2</v>
      </c>
      <c r="L44" s="994">
        <f t="shared" si="4"/>
        <v>1.5619395857315288</v>
      </c>
      <c r="M44" s="994">
        <f t="shared" si="6"/>
        <v>1.8743275028778346</v>
      </c>
      <c r="N44" s="995">
        <v>10</v>
      </c>
      <c r="O44" s="997">
        <v>1.5985936911131502</v>
      </c>
      <c r="P44" s="22">
        <f t="shared" si="7"/>
        <v>0.27573381176468437</v>
      </c>
      <c r="Q44" s="982">
        <f t="shared" si="8"/>
        <v>17.248523705400245</v>
      </c>
      <c r="R44" s="6"/>
      <c r="S44" s="6"/>
      <c r="T44" s="6"/>
      <c r="U44" s="6"/>
      <c r="V44" s="6"/>
      <c r="W44" s="6"/>
      <c r="X44" s="6"/>
      <c r="Y44" s="6"/>
      <c r="Z44" s="6"/>
    </row>
    <row r="45" spans="1:26" s="93" customFormat="1" ht="15.75">
      <c r="A45" s="236">
        <v>40</v>
      </c>
      <c r="B45" s="233" t="s">
        <v>722</v>
      </c>
      <c r="C45" s="886">
        <f>cходова!R45</f>
        <v>0.70063219611184113</v>
      </c>
      <c r="D45" s="886">
        <f>прибуд.!O45</f>
        <v>0.16229843940659866</v>
      </c>
      <c r="E45" s="886">
        <f>гар.вода!M45+хол.вода!Q45+ц.о.!M45+каналізація!Q45+аварійні!I45+зварювальн!M45</f>
        <v>0.28515012617587826</v>
      </c>
      <c r="F45" s="886">
        <f>дератизац.!I45</f>
        <v>3.0196935041955429E-3</v>
      </c>
      <c r="G45" s="886">
        <f>димоканал!R45</f>
        <v>1.8866858842005254E-2</v>
      </c>
      <c r="H45" s="886">
        <f>'підготовка до зими'!M45+майстерні!M45+маляри!M45+покрівлі!O45</f>
        <v>0.12266618216620936</v>
      </c>
      <c r="I45" s="886">
        <f>електрики!R45</f>
        <v>1.5799262976361649E-2</v>
      </c>
      <c r="J45" s="989">
        <f t="shared" si="5"/>
        <v>1.3084327591830898</v>
      </c>
      <c r="K45" s="989">
        <v>3.3698355180614953E-2</v>
      </c>
      <c r="L45" s="994">
        <f t="shared" si="4"/>
        <v>1.3421311143637047</v>
      </c>
      <c r="M45" s="994">
        <f t="shared" si="6"/>
        <v>1.6105573372364457</v>
      </c>
      <c r="N45" s="995">
        <v>9</v>
      </c>
      <c r="O45" s="997">
        <v>1.388372233441336</v>
      </c>
      <c r="P45" s="22">
        <f t="shared" si="7"/>
        <v>0.2221851037951097</v>
      </c>
      <c r="Q45" s="982">
        <f t="shared" si="8"/>
        <v>16.003280564347151</v>
      </c>
      <c r="R45" s="6"/>
      <c r="S45" s="6"/>
      <c r="T45" s="6"/>
      <c r="U45" s="6"/>
      <c r="V45" s="6"/>
      <c r="W45" s="6"/>
      <c r="X45" s="6"/>
      <c r="Y45" s="6"/>
      <c r="Z45" s="6"/>
    </row>
    <row r="46" spans="1:26" s="93" customFormat="1" ht="15.75">
      <c r="A46" s="894">
        <v>41</v>
      </c>
      <c r="B46" s="233" t="s">
        <v>723</v>
      </c>
      <c r="C46" s="886">
        <f>cходова!R46</f>
        <v>0.55899628097673693</v>
      </c>
      <c r="D46" s="886">
        <f>прибуд.!O46</f>
        <v>0.19382228714895564</v>
      </c>
      <c r="E46" s="886">
        <f>гар.вода!M46+хол.вода!Q46+ц.о.!M46+каналізація!Q46+аварійні!I46+зварювальн!M46</f>
        <v>0.35153251390432438</v>
      </c>
      <c r="F46" s="886">
        <f>дератизац.!I46</f>
        <v>3.9351137653155675E-3</v>
      </c>
      <c r="G46" s="886">
        <f>димоканал!R46</f>
        <v>2.143777089158852E-2</v>
      </c>
      <c r="H46" s="886">
        <f>'підготовка до зими'!M46+майстерні!M46+маляри!M46+покрівлі!O46</f>
        <v>0.1226992583539081</v>
      </c>
      <c r="I46" s="886">
        <f>електрики!R46</f>
        <v>2.4293591278162371E-2</v>
      </c>
      <c r="J46" s="989">
        <f t="shared" si="5"/>
        <v>1.2767168163189915</v>
      </c>
      <c r="K46" s="989">
        <v>3.3248689606436233E-2</v>
      </c>
      <c r="L46" s="994">
        <f t="shared" si="4"/>
        <v>1.3099655059254278</v>
      </c>
      <c r="M46" s="994">
        <f t="shared" si="6"/>
        <v>1.5719586071105134</v>
      </c>
      <c r="N46" s="995">
        <v>2</v>
      </c>
      <c r="O46" s="997">
        <v>1.3698460117851727</v>
      </c>
      <c r="P46" s="22">
        <f t="shared" si="7"/>
        <v>0.20211259532534065</v>
      </c>
      <c r="Q46" s="982">
        <f t="shared" si="8"/>
        <v>14.754402581495214</v>
      </c>
      <c r="R46" s="6"/>
      <c r="S46" s="6"/>
      <c r="T46" s="6"/>
      <c r="U46" s="6"/>
      <c r="V46" s="6"/>
      <c r="W46" s="6"/>
      <c r="X46" s="6"/>
      <c r="Y46" s="6"/>
      <c r="Z46" s="6"/>
    </row>
    <row r="47" spans="1:26" s="93" customFormat="1" ht="15.75">
      <c r="A47" s="894">
        <v>42</v>
      </c>
      <c r="B47" s="233" t="s">
        <v>724</v>
      </c>
      <c r="C47" s="886">
        <f>cходова!R47</f>
        <v>0</v>
      </c>
      <c r="D47" s="886">
        <f>прибуд.!O47</f>
        <v>0.39021723473393283</v>
      </c>
      <c r="E47" s="886">
        <f>гар.вода!M47+хол.вода!Q47+ц.о.!M47+каналізація!Q47+аварійні!I47+зварювальн!M47</f>
        <v>0.16963496139634027</v>
      </c>
      <c r="F47" s="886">
        <f>дератизац.!I47</f>
        <v>0</v>
      </c>
      <c r="G47" s="886">
        <f>димоканал!R47</f>
        <v>0.178517685009559</v>
      </c>
      <c r="H47" s="886">
        <f>'підготовка до зими'!M47+майстерні!M47+маляри!M47+покрівлі!O47</f>
        <v>0.21236586685278872</v>
      </c>
      <c r="I47" s="886">
        <f>електрики!R47</f>
        <v>1.9145061792247061E-2</v>
      </c>
      <c r="J47" s="989">
        <f t="shared" si="5"/>
        <v>0.9698808097848679</v>
      </c>
      <c r="K47" s="989">
        <v>2.6046541377260084E-2</v>
      </c>
      <c r="L47" s="994">
        <f t="shared" si="4"/>
        <v>0.99592735116212794</v>
      </c>
      <c r="M47" s="994">
        <f t="shared" si="6"/>
        <v>1.1951128213945534</v>
      </c>
      <c r="N47" s="995">
        <v>2</v>
      </c>
      <c r="O47" s="997">
        <v>1.0731175047431154</v>
      </c>
      <c r="P47" s="22">
        <f t="shared" si="7"/>
        <v>0.12199531665143803</v>
      </c>
      <c r="Q47" s="982">
        <f t="shared" si="8"/>
        <v>11.368309258979181</v>
      </c>
      <c r="R47" s="6"/>
      <c r="S47" s="6"/>
      <c r="T47" s="6"/>
      <c r="U47" s="6"/>
      <c r="V47" s="6"/>
      <c r="W47" s="6"/>
      <c r="X47" s="6"/>
      <c r="Y47" s="6"/>
      <c r="Z47" s="6"/>
    </row>
    <row r="48" spans="1:26" s="93" customFormat="1" ht="15.75">
      <c r="A48" s="894">
        <v>43</v>
      </c>
      <c r="B48" s="233" t="s">
        <v>725</v>
      </c>
      <c r="C48" s="886">
        <f>cходова!R48</f>
        <v>0</v>
      </c>
      <c r="D48" s="886">
        <f>прибуд.!O48</f>
        <v>0.40114657812265814</v>
      </c>
      <c r="E48" s="886">
        <f>гар.вода!M48+хол.вода!Q48+ц.о.!M48+каналізація!Q48+аварійні!I48+зварювальн!M48</f>
        <v>0.29051140379388263</v>
      </c>
      <c r="F48" s="886">
        <f>дератизац.!I48</f>
        <v>0</v>
      </c>
      <c r="G48" s="886">
        <f>димоканал!R48</f>
        <v>7.2970706464983423E-2</v>
      </c>
      <c r="H48" s="886">
        <f>'підготовка до зими'!M48+майстерні!M48+маляри!M48+покрівлі!O48</f>
        <v>0.20806577342951585</v>
      </c>
      <c r="I48" s="886">
        <f>електрики!R48</f>
        <v>1.5952284102461096E-2</v>
      </c>
      <c r="J48" s="989">
        <f t="shared" si="5"/>
        <v>0.9886467459135011</v>
      </c>
      <c r="K48" s="989">
        <v>2.6273535893219891E-2</v>
      </c>
      <c r="L48" s="994">
        <f t="shared" si="4"/>
        <v>1.0149202818067209</v>
      </c>
      <c r="M48" s="994">
        <f t="shared" si="6"/>
        <v>1.217904338168065</v>
      </c>
      <c r="N48" s="995">
        <v>5</v>
      </c>
      <c r="O48" s="997">
        <v>1.0824696788006594</v>
      </c>
      <c r="P48" s="22">
        <f t="shared" si="7"/>
        <v>0.13543465936740562</v>
      </c>
      <c r="Q48" s="982">
        <f t="shared" si="8"/>
        <v>12.511635385248184</v>
      </c>
      <c r="R48" s="6"/>
      <c r="S48" s="6"/>
      <c r="T48" s="6"/>
      <c r="U48" s="6"/>
      <c r="V48" s="6"/>
      <c r="W48" s="6"/>
      <c r="X48" s="6"/>
      <c r="Y48" s="6"/>
      <c r="Z48" s="6"/>
    </row>
    <row r="49" spans="1:26" s="93" customFormat="1" ht="15.75">
      <c r="A49" s="894">
        <v>44</v>
      </c>
      <c r="B49" s="233" t="s">
        <v>726</v>
      </c>
      <c r="C49" s="886">
        <f>cходова!R49</f>
        <v>0.50119639984815356</v>
      </c>
      <c r="D49" s="886">
        <f>прибуд.!O49</f>
        <v>0.47206548776580465</v>
      </c>
      <c r="E49" s="886">
        <f>гар.вода!M49+хол.вода!Q49+ц.о.!M49+каналізація!Q49+аварійні!I49+зварювальн!M49</f>
        <v>0.13640084667362062</v>
      </c>
      <c r="F49" s="886">
        <f>дератизац.!I49</f>
        <v>6.3746921182266025E-3</v>
      </c>
      <c r="G49" s="886">
        <f>димоканал!R49</f>
        <v>8.122930037266074E-2</v>
      </c>
      <c r="H49" s="886">
        <f>'підготовка до зими'!M49+майстерні!M49+маляри!M49+покрівлі!O49</f>
        <v>0.14086853115953296</v>
      </c>
      <c r="I49" s="886">
        <f>електрики!R49</f>
        <v>1.498023615781471E-2</v>
      </c>
      <c r="J49" s="989">
        <f t="shared" si="5"/>
        <v>1.3531154940958139</v>
      </c>
      <c r="K49" s="989">
        <v>3.4876154716180115E-2</v>
      </c>
      <c r="L49" s="994">
        <f t="shared" si="4"/>
        <v>1.3879916488119941</v>
      </c>
      <c r="M49" s="994">
        <f t="shared" si="6"/>
        <v>1.6655899785743928</v>
      </c>
      <c r="N49" s="995">
        <v>1</v>
      </c>
      <c r="O49" s="997">
        <v>1.4368975743066208</v>
      </c>
      <c r="P49" s="22">
        <f t="shared" si="7"/>
        <v>0.22869240426777204</v>
      </c>
      <c r="Q49" s="982">
        <f t="shared" si="8"/>
        <v>15.915706753011122</v>
      </c>
      <c r="R49" s="6"/>
      <c r="S49" s="6"/>
      <c r="T49" s="6"/>
      <c r="U49" s="6"/>
      <c r="V49" s="6"/>
      <c r="W49" s="6"/>
      <c r="X49" s="6"/>
      <c r="Y49" s="6"/>
      <c r="Z49" s="6"/>
    </row>
    <row r="50" spans="1:26" s="892" customFormat="1" ht="15.75">
      <c r="A50" s="894">
        <v>45</v>
      </c>
      <c r="B50" s="233" t="s">
        <v>727</v>
      </c>
      <c r="C50" s="886">
        <f>cходова!R50</f>
        <v>0</v>
      </c>
      <c r="D50" s="886">
        <f>прибуд.!O50</f>
        <v>0</v>
      </c>
      <c r="E50" s="886">
        <f>гар.вода!M50+хол.вода!Q50+ц.о.!M50+каналізація!Q50+аварійні!I50+зварювальн!M50</f>
        <v>0.14913811989679973</v>
      </c>
      <c r="F50" s="886">
        <f>дератизац.!I50</f>
        <v>0</v>
      </c>
      <c r="G50" s="886">
        <f>димоканал!R50</f>
        <v>5.2294769770122221E-2</v>
      </c>
      <c r="H50" s="886">
        <f>'підготовка до зими'!M50+майстерні!M50+маляри!M50+покрівлі!O50</f>
        <v>0.28064240260380574</v>
      </c>
      <c r="I50" s="886">
        <f>електрики!R50</f>
        <v>1.657644302161301E-2</v>
      </c>
      <c r="J50" s="989">
        <f t="shared" si="5"/>
        <v>0.49865173529234064</v>
      </c>
      <c r="K50" s="989">
        <v>1.4282544024605806E-2</v>
      </c>
      <c r="L50" s="994">
        <f t="shared" si="4"/>
        <v>0.51293427931694646</v>
      </c>
      <c r="M50" s="994">
        <f t="shared" si="6"/>
        <v>0.61552113518033569</v>
      </c>
      <c r="N50" s="995">
        <v>1</v>
      </c>
      <c r="O50" s="997">
        <v>0.58844081381375923</v>
      </c>
      <c r="P50" s="22">
        <f t="shared" si="7"/>
        <v>2.7080321366576454E-2</v>
      </c>
      <c r="Q50" s="982">
        <f t="shared" si="8"/>
        <v>4.6020467531926386</v>
      </c>
      <c r="R50" s="6"/>
      <c r="S50" s="6"/>
      <c r="T50" s="6"/>
      <c r="U50" s="6"/>
      <c r="V50" s="6"/>
      <c r="W50" s="6"/>
      <c r="X50" s="6"/>
      <c r="Y50" s="6"/>
      <c r="Z50" s="6"/>
    </row>
    <row r="51" spans="1:26" s="892" customFormat="1" ht="15.75">
      <c r="A51" s="236">
        <v>46</v>
      </c>
      <c r="B51" s="233" t="s">
        <v>728</v>
      </c>
      <c r="C51" s="886">
        <f>cходова!R51</f>
        <v>0</v>
      </c>
      <c r="D51" s="886">
        <f>прибуд.!O51</f>
        <v>0</v>
      </c>
      <c r="E51" s="886">
        <f>гар.вода!M51+хол.вода!Q51+ц.о.!M51+каналізація!Q51+аварійні!I51+зварювальн!M51</f>
        <v>0.23394079162171075</v>
      </c>
      <c r="F51" s="886">
        <f>дератизац.!I51</f>
        <v>0</v>
      </c>
      <c r="G51" s="886">
        <f>димоканал!R51</f>
        <v>0.24791604662849237</v>
      </c>
      <c r="H51" s="886">
        <f>'підготовка до зими'!M51+майстерні!M51+маляри!M51+покрівлі!O51</f>
        <v>0.41417214089478338</v>
      </c>
      <c r="I51" s="886">
        <f>електрики!R51</f>
        <v>2.7203725981156172E-2</v>
      </c>
      <c r="J51" s="989">
        <f t="shared" si="5"/>
        <v>0.92323270512614275</v>
      </c>
      <c r="K51" s="989">
        <v>2.6356873948270493E-2</v>
      </c>
      <c r="L51" s="994">
        <f t="shared" si="4"/>
        <v>0.94958957907441321</v>
      </c>
      <c r="M51" s="994">
        <f t="shared" si="6"/>
        <v>1.1395074948892958</v>
      </c>
      <c r="N51" s="995">
        <v>2</v>
      </c>
      <c r="O51" s="997">
        <v>1.0859032066687442</v>
      </c>
      <c r="P51" s="22">
        <f t="shared" si="7"/>
        <v>5.3604288220551632E-2</v>
      </c>
      <c r="Q51" s="982">
        <f t="shared" si="8"/>
        <v>4.936378112833367</v>
      </c>
      <c r="R51" s="6"/>
      <c r="S51" s="6"/>
      <c r="T51" s="6"/>
      <c r="U51" s="6"/>
      <c r="V51" s="6"/>
      <c r="W51" s="6"/>
      <c r="X51" s="6"/>
      <c r="Y51" s="6"/>
      <c r="Z51" s="6"/>
    </row>
    <row r="52" spans="1:26" s="892" customFormat="1" ht="15.75">
      <c r="A52" s="894">
        <v>47</v>
      </c>
      <c r="B52" s="233" t="s">
        <v>729</v>
      </c>
      <c r="C52" s="886">
        <f>cходова!R52</f>
        <v>0</v>
      </c>
      <c r="D52" s="886">
        <f>прибуд.!O52</f>
        <v>0</v>
      </c>
      <c r="E52" s="886">
        <f>гар.вода!M52+хол.вода!Q52+ц.о.!M52+каналізація!Q52+аварійні!I52+зварювальн!M52</f>
        <v>0.22338380995952384</v>
      </c>
      <c r="F52" s="886">
        <f>дератизац.!I52</f>
        <v>0</v>
      </c>
      <c r="G52" s="886">
        <f>димоканал!R52</f>
        <v>9.3848392917259285E-2</v>
      </c>
      <c r="H52" s="886">
        <f>'підготовка до зими'!M52+майстерні!M52+маляри!M52+покрівлі!O52</f>
        <v>0.29947421986052825</v>
      </c>
      <c r="I52" s="886">
        <f>електрики!R52</f>
        <v>2.588074842584159E-2</v>
      </c>
      <c r="J52" s="989">
        <f t="shared" si="5"/>
        <v>0.642587171163153</v>
      </c>
      <c r="K52" s="989">
        <v>1.8418580218598116E-2</v>
      </c>
      <c r="L52" s="994">
        <f t="shared" si="4"/>
        <v>0.66100575138175111</v>
      </c>
      <c r="M52" s="994">
        <f t="shared" si="6"/>
        <v>0.79320690165810126</v>
      </c>
      <c r="N52" s="995">
        <v>9</v>
      </c>
      <c r="O52" s="997">
        <v>0.75884550500624237</v>
      </c>
      <c r="P52" s="22">
        <f t="shared" si="7"/>
        <v>3.4361396651858889E-2</v>
      </c>
      <c r="Q52" s="982">
        <f t="shared" si="8"/>
        <v>4.5281149358032025</v>
      </c>
      <c r="R52" s="6"/>
      <c r="S52" s="6"/>
      <c r="T52" s="6"/>
      <c r="U52" s="6"/>
      <c r="V52" s="6"/>
      <c r="W52" s="6"/>
      <c r="X52" s="6"/>
      <c r="Y52" s="6"/>
      <c r="Z52" s="6"/>
    </row>
    <row r="53" spans="1:26" s="93" customFormat="1" ht="15.75">
      <c r="A53" s="894">
        <v>48</v>
      </c>
      <c r="B53" s="233" t="s">
        <v>647</v>
      </c>
      <c r="C53" s="886">
        <f>cходова!R53</f>
        <v>0.37431543442300169</v>
      </c>
      <c r="D53" s="886">
        <f>прибуд.!O53</f>
        <v>0.41479674903247277</v>
      </c>
      <c r="E53" s="886">
        <f>гар.вода!M53+хол.вода!Q53+ц.о.!M53+каналізація!Q53+аварійні!I53+зварювальн!M53</f>
        <v>0.33860957381543549</v>
      </c>
      <c r="F53" s="886">
        <f>дератизац.!I53</f>
        <v>4.5408371795086291E-3</v>
      </c>
      <c r="G53" s="886">
        <f>димоканал!R53</f>
        <v>1.9596877555557245E-2</v>
      </c>
      <c r="H53" s="886">
        <f>'підготовка до зими'!M53+майстерні!M53+маляри!M53+покрівлі!O53</f>
        <v>0.1144648357969716</v>
      </c>
      <c r="I53" s="886">
        <f>електрики!R53</f>
        <v>2.2014568409704161E-2</v>
      </c>
      <c r="J53" s="989">
        <f t="shared" si="5"/>
        <v>1.2883388762126515</v>
      </c>
      <c r="K53" s="989">
        <v>3.3444475157675436E-2</v>
      </c>
      <c r="L53" s="994">
        <f t="shared" si="4"/>
        <v>1.321783351370327</v>
      </c>
      <c r="M53" s="994">
        <f t="shared" si="6"/>
        <v>1.5861400216443924</v>
      </c>
      <c r="N53" s="995">
        <v>9</v>
      </c>
      <c r="O53" s="997">
        <v>1.377912376496228</v>
      </c>
      <c r="P53" s="22">
        <f t="shared" si="7"/>
        <v>0.20822764514816439</v>
      </c>
      <c r="Q53" s="982">
        <f t="shared" si="8"/>
        <v>15.111820511957959</v>
      </c>
      <c r="R53" s="6"/>
      <c r="S53" s="6"/>
      <c r="T53" s="6"/>
      <c r="U53" s="6"/>
      <c r="V53" s="6"/>
      <c r="W53" s="6"/>
      <c r="X53" s="6"/>
      <c r="Y53" s="6"/>
      <c r="Z53" s="6"/>
    </row>
    <row r="54" spans="1:26" s="93" customFormat="1" ht="15.75">
      <c r="A54" s="894">
        <v>49</v>
      </c>
      <c r="B54" s="233" t="s">
        <v>648</v>
      </c>
      <c r="C54" s="886">
        <f>cходова!R54</f>
        <v>0.52994932058166089</v>
      </c>
      <c r="D54" s="886">
        <f>прибуд.!O54</f>
        <v>0.47855389044231866</v>
      </c>
      <c r="E54" s="886">
        <f>гар.вода!M54+хол.вода!Q54+ц.о.!M54+каналізація!Q54+аварійні!I54+зварювальн!M54</f>
        <v>0.34043649415681859</v>
      </c>
      <c r="F54" s="886">
        <f>дератизац.!I54</f>
        <v>4.6963300713892403E-3</v>
      </c>
      <c r="G54" s="886">
        <f>димоканал!R54</f>
        <v>2.2145857317504732E-2</v>
      </c>
      <c r="H54" s="886">
        <f>'підготовка до зими'!M54+майстерні!M54+маляри!M54+покрівлі!O54</f>
        <v>0.11473911179801317</v>
      </c>
      <c r="I54" s="886">
        <f>електрики!R54</f>
        <v>2.22087858290668E-2</v>
      </c>
      <c r="J54" s="989">
        <f t="shared" si="5"/>
        <v>1.5127297901967722</v>
      </c>
      <c r="K54" s="989">
        <v>3.8900389259110185E-2</v>
      </c>
      <c r="L54" s="994">
        <f t="shared" si="4"/>
        <v>1.5516301794558824</v>
      </c>
      <c r="M54" s="994">
        <f t="shared" si="6"/>
        <v>1.8619562153470588</v>
      </c>
      <c r="N54" s="995">
        <v>9</v>
      </c>
      <c r="O54" s="997">
        <v>1.6026960374753396</v>
      </c>
      <c r="P54" s="22">
        <f t="shared" si="7"/>
        <v>0.25926017787171918</v>
      </c>
      <c r="Q54" s="982">
        <f t="shared" si="8"/>
        <v>16.176503329983944</v>
      </c>
      <c r="R54" s="6"/>
      <c r="S54" s="6"/>
      <c r="T54" s="6"/>
      <c r="U54" s="6"/>
      <c r="V54" s="6"/>
      <c r="W54" s="6"/>
      <c r="X54" s="6"/>
      <c r="Y54" s="6"/>
      <c r="Z54" s="6"/>
    </row>
    <row r="55" spans="1:26" s="93" customFormat="1" ht="15.75">
      <c r="A55" s="894">
        <v>50</v>
      </c>
      <c r="B55" s="233" t="s">
        <v>1354</v>
      </c>
      <c r="C55" s="886">
        <f>cходова!R55</f>
        <v>0.45732915967551996</v>
      </c>
      <c r="D55" s="886">
        <f>прибуд.!O55</f>
        <v>0.41844872935998617</v>
      </c>
      <c r="E55" s="886">
        <f>гар.вода!M55+хол.вода!Q55+ц.о.!M55+каналізація!Q55+аварійні!I55+зварювальн!M55</f>
        <v>0.30376093765275525</v>
      </c>
      <c r="F55" s="886">
        <f>дератизац.!I55</f>
        <v>3.1184362235549636E-3</v>
      </c>
      <c r="G55" s="886">
        <f>димоканал!R55</f>
        <v>1.983561131688235E-2</v>
      </c>
      <c r="H55" s="886">
        <f>'підготовка до зими'!M55+майстерні!M55+маляри!M55+покрівлі!O55</f>
        <v>0.10938657169802345</v>
      </c>
      <c r="I55" s="886">
        <f>електрики!R55</f>
        <v>1.761268633432763E-2</v>
      </c>
      <c r="J55" s="989">
        <f t="shared" si="5"/>
        <v>1.3294921322610498</v>
      </c>
      <c r="K55" s="989">
        <v>3.4270752374028532E-2</v>
      </c>
      <c r="L55" s="994">
        <f t="shared" si="4"/>
        <v>1.3637628846350782</v>
      </c>
      <c r="M55" s="994">
        <f t="shared" si="6"/>
        <v>1.6365154615620938</v>
      </c>
      <c r="N55" s="995">
        <v>2</v>
      </c>
      <c r="O55" s="997">
        <v>1.4119549978099757</v>
      </c>
      <c r="P55" s="22">
        <f t="shared" si="7"/>
        <v>0.22456046375211813</v>
      </c>
      <c r="Q55" s="982">
        <f t="shared" si="8"/>
        <v>15.904222450462257</v>
      </c>
      <c r="R55" s="6"/>
      <c r="S55" s="6"/>
      <c r="T55" s="6"/>
      <c r="U55" s="6"/>
      <c r="V55" s="6"/>
      <c r="W55" s="6"/>
      <c r="X55" s="6"/>
      <c r="Y55" s="6"/>
      <c r="Z55" s="6"/>
    </row>
    <row r="56" spans="1:26" s="93" customFormat="1" ht="15.75">
      <c r="A56" s="894">
        <v>51</v>
      </c>
      <c r="B56" s="233" t="s">
        <v>1374</v>
      </c>
      <c r="C56" s="886">
        <f>cходова!R56</f>
        <v>0</v>
      </c>
      <c r="D56" s="886">
        <f>прибуд.!O56</f>
        <v>0.6828549358102598</v>
      </c>
      <c r="E56" s="886">
        <f>гар.вода!M56+хол.вода!Q56+ц.о.!M56+каналізація!Q56+аварійні!I56+зварювальн!M56</f>
        <v>0.40195671347307255</v>
      </c>
      <c r="F56" s="886">
        <f>дератизац.!I56</f>
        <v>0</v>
      </c>
      <c r="G56" s="886">
        <f>димоканал!R56</f>
        <v>7.970659613291976E-3</v>
      </c>
      <c r="H56" s="886">
        <f>'підготовка до зими'!M56+майстерні!M56+маляри!M56+покрівлі!O56</f>
        <v>0.19492950841948781</v>
      </c>
      <c r="I56" s="886">
        <f>електрики!R56</f>
        <v>2.9918363429732548E-2</v>
      </c>
      <c r="J56" s="989">
        <f t="shared" si="5"/>
        <v>1.3176301807458448</v>
      </c>
      <c r="K56" s="989">
        <v>3.4766564704770159E-2</v>
      </c>
      <c r="L56" s="994">
        <f t="shared" si="4"/>
        <v>1.3523967454506149</v>
      </c>
      <c r="M56" s="994">
        <f t="shared" si="6"/>
        <v>1.6228760945407379</v>
      </c>
      <c r="N56" s="995">
        <v>4</v>
      </c>
      <c r="O56" s="997">
        <v>1.4323824658365305</v>
      </c>
      <c r="P56" s="22">
        <f t="shared" si="7"/>
        <v>0.19049362870420739</v>
      </c>
      <c r="Q56" s="982">
        <f t="shared" si="8"/>
        <v>13.299075718087394</v>
      </c>
      <c r="R56" s="6"/>
      <c r="S56" s="6"/>
      <c r="T56" s="6"/>
      <c r="U56" s="6"/>
      <c r="V56" s="6"/>
      <c r="W56" s="6"/>
      <c r="X56" s="6"/>
      <c r="Y56" s="6"/>
      <c r="Z56" s="6"/>
    </row>
    <row r="57" spans="1:26" s="93" customFormat="1" ht="15.75">
      <c r="A57" s="236">
        <v>52</v>
      </c>
      <c r="B57" s="233" t="s">
        <v>1376</v>
      </c>
      <c r="C57" s="886">
        <f>cходова!R57</f>
        <v>0.45047013480414466</v>
      </c>
      <c r="D57" s="886">
        <f>прибуд.!O57</f>
        <v>0.46885147109535413</v>
      </c>
      <c r="E57" s="886">
        <f>гар.вода!M57+хол.вода!Q57+ц.о.!M57+каналізація!Q57+аварійні!I57+зварювальн!M57</f>
        <v>0.31596023482671887</v>
      </c>
      <c r="F57" s="886">
        <f>дератизац.!I57</f>
        <v>0</v>
      </c>
      <c r="G57" s="886">
        <f>димоканал!R57</f>
        <v>1.6894688513994165E-2</v>
      </c>
      <c r="H57" s="886">
        <f>'підготовка до зими'!M57+майстерні!M57+маляри!M57+покрівлі!O57</f>
        <v>0.152609007221992</v>
      </c>
      <c r="I57" s="886">
        <f>електрики!R57</f>
        <v>1.914147523140176E-2</v>
      </c>
      <c r="J57" s="989">
        <f t="shared" si="5"/>
        <v>1.4239270116936056</v>
      </c>
      <c r="K57" s="989">
        <v>3.6810382223239402E-2</v>
      </c>
      <c r="L57" s="994">
        <f t="shared" si="4"/>
        <v>1.4607373939168449</v>
      </c>
      <c r="M57" s="994">
        <f t="shared" si="6"/>
        <v>1.7528848727002138</v>
      </c>
      <c r="N57" s="995">
        <v>2</v>
      </c>
      <c r="O57" s="997">
        <v>1.5165877475974634</v>
      </c>
      <c r="P57" s="22">
        <f t="shared" si="7"/>
        <v>0.23629712510275036</v>
      </c>
      <c r="Q57" s="982">
        <f t="shared" si="8"/>
        <v>15.58084096862089</v>
      </c>
      <c r="R57" s="6"/>
      <c r="S57" s="6"/>
      <c r="T57" s="6"/>
      <c r="U57" s="6"/>
      <c r="V57" s="6"/>
      <c r="W57" s="6"/>
      <c r="X57" s="6"/>
      <c r="Y57" s="6"/>
      <c r="Z57" s="6"/>
    </row>
    <row r="58" spans="1:26" s="93" customFormat="1" ht="15.75">
      <c r="A58" s="894">
        <v>53</v>
      </c>
      <c r="B58" s="233" t="s">
        <v>1375</v>
      </c>
      <c r="C58" s="886">
        <f>cходова!R58</f>
        <v>0</v>
      </c>
      <c r="D58" s="886">
        <f>прибуд.!O58</f>
        <v>0.59099282523518704</v>
      </c>
      <c r="E58" s="886">
        <f>гар.вода!M58+хол.вода!Q58+ц.о.!M58+каналізація!Q58+аварійні!I58+зварювальн!M58</f>
        <v>0.39720270993347662</v>
      </c>
      <c r="F58" s="886">
        <f>дератизац.!I58</f>
        <v>0</v>
      </c>
      <c r="G58" s="886">
        <f>димоканал!R58</f>
        <v>8.0417036775044439E-3</v>
      </c>
      <c r="H58" s="886">
        <f>'підготовка до зими'!M58+майстерні!M58+маляри!M58+покрівлі!O58</f>
        <v>0.19455248966644767</v>
      </c>
      <c r="I58" s="886">
        <f>електрики!R58</f>
        <v>2.9322602237563451E-2</v>
      </c>
      <c r="J58" s="989">
        <f t="shared" si="5"/>
        <v>1.2201123307501791</v>
      </c>
      <c r="K58" s="989">
        <v>3.2324004547781483E-2</v>
      </c>
      <c r="L58" s="994">
        <f t="shared" si="4"/>
        <v>1.2524363352979606</v>
      </c>
      <c r="M58" s="994">
        <f t="shared" si="6"/>
        <v>1.5029236023575527</v>
      </c>
      <c r="N58" s="995">
        <v>2</v>
      </c>
      <c r="O58" s="997">
        <v>1.331748987368597</v>
      </c>
      <c r="P58" s="22">
        <f t="shared" si="7"/>
        <v>0.1711746149889557</v>
      </c>
      <c r="Q58" s="982">
        <f t="shared" si="8"/>
        <v>12.853369261964275</v>
      </c>
      <c r="R58" s="6"/>
      <c r="S58" s="6"/>
      <c r="T58" s="6"/>
      <c r="U58" s="6"/>
      <c r="V58" s="6"/>
      <c r="W58" s="6"/>
      <c r="X58" s="6"/>
      <c r="Y58" s="6"/>
      <c r="Z58" s="6"/>
    </row>
    <row r="59" spans="1:26" s="93" customFormat="1" ht="15.75">
      <c r="A59" s="894">
        <v>54</v>
      </c>
      <c r="B59" s="233" t="s">
        <v>1377</v>
      </c>
      <c r="C59" s="886">
        <f>cходова!R59</f>
        <v>0</v>
      </c>
      <c r="D59" s="886">
        <f>прибуд.!O59</f>
        <v>0</v>
      </c>
      <c r="E59" s="886">
        <f>гар.вода!M59+хол.вода!Q59+ц.о.!M59+каналізація!Q59+аварійні!I59+зварювальн!M59</f>
        <v>0.25458715089580636</v>
      </c>
      <c r="F59" s="886">
        <f>дератизац.!I59</f>
        <v>0</v>
      </c>
      <c r="G59" s="886">
        <f>димоканал!R59</f>
        <v>1.7938486309986752E-2</v>
      </c>
      <c r="H59" s="886">
        <f>'підготовка до зими'!M59+майстерні!M59+маляри!M59+покрівлі!O59</f>
        <v>0.29693243764177846</v>
      </c>
      <c r="I59" s="886">
        <f>електрики!R59</f>
        <v>2.1161868177388313E-2</v>
      </c>
      <c r="J59" s="989">
        <f>I59+H59+G59+F59+E59+D59+C59</f>
        <v>0.5906199430249599</v>
      </c>
      <c r="K59" s="989">
        <v>1.4939914598462306E-2</v>
      </c>
      <c r="L59" s="994">
        <f t="shared" si="4"/>
        <v>0.60555985762342224</v>
      </c>
      <c r="M59" s="994">
        <f>L59*1.2</f>
        <v>0.72667182914810668</v>
      </c>
      <c r="N59" s="995">
        <v>9</v>
      </c>
      <c r="O59" s="997">
        <v>0.61552448145664695</v>
      </c>
      <c r="P59" s="22">
        <f t="shared" si="7"/>
        <v>0.11114734769145973</v>
      </c>
      <c r="Q59" s="982">
        <f t="shared" si="8"/>
        <v>18.057339884910519</v>
      </c>
      <c r="R59" s="6"/>
      <c r="S59" s="6"/>
      <c r="T59" s="6"/>
      <c r="U59" s="6"/>
      <c r="V59" s="6"/>
      <c r="W59" s="6"/>
      <c r="X59" s="6"/>
      <c r="Y59" s="6"/>
      <c r="Z59" s="6"/>
    </row>
    <row r="60" spans="1:26" s="93" customFormat="1" ht="15.75">
      <c r="A60" s="894">
        <v>55</v>
      </c>
      <c r="B60" s="283" t="s">
        <v>1407</v>
      </c>
      <c r="C60" s="886">
        <f>cходова!R60</f>
        <v>0.52575292175640564</v>
      </c>
      <c r="D60" s="886">
        <f>прибуд.!O60</f>
        <v>0.34456853672708609</v>
      </c>
      <c r="E60" s="886">
        <f>гар.вода!M60+хол.вода!Q60+ц.о.!M60+каналізація!Q60+аварійні!I60+зварювальн!M60</f>
        <v>0.37829513612434673</v>
      </c>
      <c r="F60" s="886">
        <f>дератизац.!I60</f>
        <v>2.1210003992471341E-3</v>
      </c>
      <c r="G60" s="886">
        <f>димоканал!R60</f>
        <v>1.472067815460985E-2</v>
      </c>
      <c r="H60" s="886">
        <f>'підготовка до зими'!M60+майстерні!M60+маляри!M60+покрівлі!O60</f>
        <v>0.20465152307280243</v>
      </c>
      <c r="I60" s="886">
        <f>електрики!R60</f>
        <v>2.7438789261036694E-2</v>
      </c>
      <c r="J60" s="989">
        <f t="shared" si="5"/>
        <v>1.4975485854955346</v>
      </c>
      <c r="K60" s="998">
        <v>3.2396402621005994E-2</v>
      </c>
      <c r="L60" s="994">
        <f t="shared" si="4"/>
        <v>1.5299449881165406</v>
      </c>
      <c r="M60" s="994">
        <f t="shared" si="6"/>
        <v>1.8359339857398487</v>
      </c>
      <c r="N60" s="995">
        <v>9</v>
      </c>
      <c r="O60" s="997">
        <v>1.59</v>
      </c>
      <c r="P60" s="22">
        <f t="shared" si="7"/>
        <v>0.24593398573984859</v>
      </c>
      <c r="Q60" s="982">
        <f t="shared" si="8"/>
        <v>15.467546272946436</v>
      </c>
      <c r="R60" s="6"/>
      <c r="S60" s="6"/>
      <c r="T60" s="6"/>
      <c r="U60" s="6"/>
      <c r="V60" s="6"/>
      <c r="W60" s="6"/>
      <c r="X60" s="6"/>
      <c r="Y60" s="6"/>
      <c r="Z60" s="6"/>
    </row>
    <row r="61" spans="1:26" s="93" customFormat="1" ht="15.75">
      <c r="A61" s="894">
        <v>56</v>
      </c>
      <c r="B61" s="284" t="s">
        <v>1390</v>
      </c>
      <c r="C61" s="886">
        <f>cходова!R61</f>
        <v>0.52700456327061052</v>
      </c>
      <c r="D61" s="886">
        <f>прибуд.!O61</f>
        <v>0.35644252600254372</v>
      </c>
      <c r="E61" s="886">
        <f>гар.вода!M61+хол.вода!Q61+ц.о.!M61+каналізація!Q61+аварійні!I61+зварювальн!M61</f>
        <v>0.43976399362708279</v>
      </c>
      <c r="F61" s="886">
        <f>дератизац.!I61</f>
        <v>6.8311701294590053E-3</v>
      </c>
      <c r="G61" s="886">
        <f>димоканал!R61</f>
        <v>2.1954551016328275E-2</v>
      </c>
      <c r="H61" s="886">
        <f>'підготовка до зими'!M61+майстерні!M61+маляри!M61+покрівлі!O61</f>
        <v>0.11804980436504528</v>
      </c>
      <c r="I61" s="886">
        <f>електрики!R61</f>
        <v>3.4656288025206823E-2</v>
      </c>
      <c r="J61" s="989">
        <f t="shared" si="5"/>
        <v>1.5047028964362763</v>
      </c>
      <c r="K61" s="998">
        <v>0.03</v>
      </c>
      <c r="L61" s="994">
        <f t="shared" si="4"/>
        <v>1.5347028964362763</v>
      </c>
      <c r="M61" s="994">
        <f t="shared" si="6"/>
        <v>1.8416434757235316</v>
      </c>
      <c r="N61" s="995">
        <v>9</v>
      </c>
      <c r="O61" s="997">
        <v>1.62</v>
      </c>
      <c r="P61" s="22">
        <f t="shared" si="7"/>
        <v>0.22164347572353149</v>
      </c>
      <c r="Q61" s="982">
        <f t="shared" si="8"/>
        <v>13.681696032316751</v>
      </c>
      <c r="R61" s="6"/>
      <c r="S61" s="6"/>
      <c r="T61" s="6"/>
      <c r="U61" s="6"/>
      <c r="V61" s="6"/>
      <c r="W61" s="6"/>
      <c r="X61" s="6"/>
      <c r="Y61" s="6"/>
      <c r="Z61" s="6"/>
    </row>
    <row r="62" spans="1:26" s="93" customFormat="1" ht="15.75">
      <c r="A62" s="894">
        <v>57</v>
      </c>
      <c r="B62" s="285" t="s">
        <v>1386</v>
      </c>
      <c r="C62" s="886">
        <f>cходова!R62</f>
        <v>0.35460462636336232</v>
      </c>
      <c r="D62" s="886">
        <f>прибуд.!O62</f>
        <v>0.42690696680044821</v>
      </c>
      <c r="E62" s="886">
        <f>гар.вода!M62+хол.вода!Q62+ц.о.!M62+каналізація!Q62+аварійні!I62+зварювальн!M62</f>
        <v>0.30424569138395297</v>
      </c>
      <c r="F62" s="886">
        <f>дератизац.!I62</f>
        <v>4.8431175839761999E-3</v>
      </c>
      <c r="G62" s="886">
        <f>димоканал!R62</f>
        <v>2.2392030054380192E-2</v>
      </c>
      <c r="H62" s="886">
        <f>'підготовка до зими'!M62+майстерні!M62+маляри!M62+покрівлі!O62</f>
        <v>0.11182125582932745</v>
      </c>
      <c r="I62" s="886">
        <f>електрики!R62</f>
        <v>1.7673434598059739E-2</v>
      </c>
      <c r="J62" s="989">
        <f t="shared" si="5"/>
        <v>1.242487122613507</v>
      </c>
      <c r="K62" s="998">
        <v>0.02</v>
      </c>
      <c r="L62" s="994">
        <f t="shared" si="4"/>
        <v>1.262487122613507</v>
      </c>
      <c r="M62" s="994">
        <f t="shared" si="6"/>
        <v>1.5149845471362084</v>
      </c>
      <c r="N62" s="995">
        <v>9</v>
      </c>
      <c r="O62" s="997">
        <v>1.31</v>
      </c>
      <c r="P62" s="22">
        <f t="shared" si="7"/>
        <v>0.20498454713620839</v>
      </c>
      <c r="Q62" s="982">
        <f t="shared" si="8"/>
        <v>15.647675353909023</v>
      </c>
      <c r="R62" s="6"/>
      <c r="S62" s="6"/>
      <c r="T62" s="6"/>
      <c r="U62" s="6"/>
      <c r="V62" s="6"/>
      <c r="W62" s="6"/>
      <c r="X62" s="6"/>
      <c r="Y62" s="6"/>
      <c r="Z62" s="6"/>
    </row>
    <row r="63" spans="1:26" s="93" customFormat="1" ht="15.75">
      <c r="A63" s="236">
        <v>58</v>
      </c>
      <c r="B63" s="285" t="s">
        <v>1385</v>
      </c>
      <c r="C63" s="886">
        <f>cходова!R63</f>
        <v>0.35561201810370363</v>
      </c>
      <c r="D63" s="886">
        <f>прибуд.!O63</f>
        <v>0.62970997625218883</v>
      </c>
      <c r="E63" s="886">
        <f>гар.вода!M63+хол.вода!Q63+ц.о.!M63+каналізація!Q63+аварійні!I63+зварювальн!M63</f>
        <v>0.30464633869871094</v>
      </c>
      <c r="F63" s="886">
        <f>дератизац.!I63</f>
        <v>5.517951169119518E-3</v>
      </c>
      <c r="G63" s="886">
        <f>димоканал!R63</f>
        <v>1.4970428857137716E-2</v>
      </c>
      <c r="H63" s="886">
        <f>'підготовка до зими'!M63+майстерні!M63+маляри!M63+покрівлі!O63</f>
        <v>0.1118945231922794</v>
      </c>
      <c r="I63" s="886">
        <f>електрики!R63</f>
        <v>1.772364283200225E-2</v>
      </c>
      <c r="J63" s="989">
        <f t="shared" si="5"/>
        <v>1.4400748791051423</v>
      </c>
      <c r="K63" s="998">
        <v>0.02</v>
      </c>
      <c r="L63" s="994">
        <f>J63+K63</f>
        <v>1.4600748791051423</v>
      </c>
      <c r="M63" s="994">
        <f t="shared" si="6"/>
        <v>1.7520898549261708</v>
      </c>
      <c r="N63" s="995">
        <v>9</v>
      </c>
      <c r="O63" s="997">
        <v>1.52</v>
      </c>
      <c r="P63" s="22">
        <f t="shared" si="7"/>
        <v>0.23208985492617074</v>
      </c>
      <c r="Q63" s="982">
        <f t="shared" si="8"/>
        <v>15.269069403037534</v>
      </c>
      <c r="R63" s="6"/>
      <c r="S63" s="6"/>
      <c r="T63" s="6"/>
      <c r="U63" s="6"/>
      <c r="V63" s="6"/>
      <c r="W63" s="6"/>
      <c r="X63" s="6"/>
      <c r="Y63" s="6"/>
      <c r="Z63" s="6"/>
    </row>
    <row r="64" spans="1:26" s="93" customFormat="1" ht="15.75">
      <c r="A64" s="894">
        <v>59</v>
      </c>
      <c r="B64" s="285" t="s">
        <v>1388</v>
      </c>
      <c r="C64" s="886">
        <f>cходова!R64</f>
        <v>0.50379998508764279</v>
      </c>
      <c r="D64" s="886">
        <f>прибуд.!O64</f>
        <v>0.60016395034026504</v>
      </c>
      <c r="E64" s="886">
        <f>гар.вода!M64+хол.вода!Q64+ц.о.!M64+каналізація!Q64+аварійні!I64+зварювальн!M64</f>
        <v>0.34757821460534977</v>
      </c>
      <c r="F64" s="886">
        <f>дератизац.!I64</f>
        <v>9.5627694534052895E-3</v>
      </c>
      <c r="G64" s="886">
        <f>димоканал!R64</f>
        <v>1.0977075196414035E-2</v>
      </c>
      <c r="H64" s="886">
        <f>'підготовка до зими'!M64+майстерні!M64+маляри!M64+покрівлі!O64</f>
        <v>0.1310140182900261</v>
      </c>
      <c r="I64" s="886">
        <f>електрики!R64</f>
        <v>2.310377041482015E-2</v>
      </c>
      <c r="J64" s="989">
        <f t="shared" si="5"/>
        <v>1.6261997833879231</v>
      </c>
      <c r="K64" s="998">
        <v>0.04</v>
      </c>
      <c r="L64" s="994">
        <f t="shared" si="4"/>
        <v>1.6661997833879232</v>
      </c>
      <c r="M64" s="994">
        <f t="shared" si="6"/>
        <v>1.9994397400655077</v>
      </c>
      <c r="N64" s="995">
        <v>5</v>
      </c>
      <c r="O64" s="997">
        <v>1.72</v>
      </c>
      <c r="P64" s="22">
        <f t="shared" si="7"/>
        <v>0.27943974006550776</v>
      </c>
      <c r="Q64" s="982">
        <f t="shared" si="8"/>
        <v>16.246496515436505</v>
      </c>
      <c r="R64" s="6"/>
      <c r="S64" s="6"/>
      <c r="T64" s="6"/>
      <c r="U64" s="6"/>
      <c r="V64" s="6"/>
      <c r="W64" s="6"/>
      <c r="X64" s="6"/>
      <c r="Y64" s="6"/>
      <c r="Z64" s="6"/>
    </row>
    <row r="65" spans="1:26" s="93" customFormat="1" ht="15.75">
      <c r="A65" s="894">
        <v>60</v>
      </c>
      <c r="B65" s="286" t="s">
        <v>1389</v>
      </c>
      <c r="C65" s="886">
        <f>cходова!R65</f>
        <v>0.56850895051412587</v>
      </c>
      <c r="D65" s="886">
        <f>прибуд.!O65</f>
        <v>0.6149592726395462</v>
      </c>
      <c r="E65" s="886">
        <f>гар.вода!M65+хол.вода!Q65+ц.о.!M65+каналізація!Q65+аварійні!I65+зварювальн!M65</f>
        <v>0.28957389062042271</v>
      </c>
      <c r="F65" s="886">
        <f>дератизац.!I65</f>
        <v>1.0593240039053421E-2</v>
      </c>
      <c r="G65" s="886">
        <f>димоканал!R65</f>
        <v>1.3542186329066237E-2</v>
      </c>
      <c r="H65" s="886">
        <f>'підготовка до зими'!M65+майстерні!M65+маляри!M65+покрівлі!O65</f>
        <v>0.13568326746945336</v>
      </c>
      <c r="I65" s="886">
        <f>електрики!R65</f>
        <v>1.5834797028410209E-2</v>
      </c>
      <c r="J65" s="989">
        <f>I65+H65+G65+F65+E65+D65+C65</f>
        <v>1.648695604640078</v>
      </c>
      <c r="K65" s="998">
        <v>0.04</v>
      </c>
      <c r="L65" s="994">
        <f t="shared" si="4"/>
        <v>1.6886956046400781</v>
      </c>
      <c r="M65" s="994">
        <f t="shared" si="6"/>
        <v>2.0264347255680937</v>
      </c>
      <c r="N65" s="995">
        <v>5</v>
      </c>
      <c r="O65" s="997">
        <v>1.74</v>
      </c>
      <c r="P65" s="22">
        <f t="shared" si="7"/>
        <v>0.28643472556809368</v>
      </c>
      <c r="Q65" s="982">
        <f t="shared" si="8"/>
        <v>16.461765837246773</v>
      </c>
      <c r="R65" s="6"/>
      <c r="S65" s="6"/>
      <c r="T65" s="6"/>
      <c r="U65" s="6"/>
      <c r="V65" s="6"/>
      <c r="W65" s="6"/>
      <c r="X65" s="6"/>
      <c r="Y65" s="6"/>
      <c r="Z65" s="6"/>
    </row>
    <row r="66" spans="1:26" s="93" customFormat="1" ht="15.75">
      <c r="A66" s="894">
        <v>61</v>
      </c>
      <c r="B66" s="286" t="s">
        <v>1397</v>
      </c>
      <c r="C66" s="886">
        <f>cходова!R66</f>
        <v>0.1692532232641773</v>
      </c>
      <c r="D66" s="886">
        <f>прибуд.!O66</f>
        <v>0.49826204729360607</v>
      </c>
      <c r="E66" s="886">
        <f>гар.вода!M66+хол.вода!Q66+ц.о.!M66+каналізація!Q66+аварійні!I66+зварювальн!M66</f>
        <v>0.39417881787120135</v>
      </c>
      <c r="F66" s="886">
        <f>дератизац.!I66</f>
        <v>1.0791066583176792E-2</v>
      </c>
      <c r="G66" s="886">
        <f>димоканал!R66</f>
        <v>9.9720104144879855E-3</v>
      </c>
      <c r="H66" s="886">
        <f>'підготовка до зими'!M66+майстерні!M66+маляри!M66+покрівлі!O66</f>
        <v>0.13663497241695655</v>
      </c>
      <c r="I66" s="886">
        <f>електрики!R66</f>
        <v>2.8943654783063915E-2</v>
      </c>
      <c r="J66" s="998">
        <f>I66+H66+G66+F66+E66+D66+C66</f>
        <v>1.2480357926266699</v>
      </c>
      <c r="K66" s="998">
        <v>0.01</v>
      </c>
      <c r="L66" s="994">
        <f>J66+K66</f>
        <v>1.2580357926266699</v>
      </c>
      <c r="M66" s="999">
        <f>L66*1.2</f>
        <v>1.5096429511520038</v>
      </c>
      <c r="N66" s="995">
        <v>5</v>
      </c>
      <c r="O66" s="997">
        <v>1.31</v>
      </c>
      <c r="P66" s="22">
        <f t="shared" si="7"/>
        <v>0.1996429511520037</v>
      </c>
      <c r="Q66" s="982">
        <f t="shared" si="8"/>
        <v>15.239919935267451</v>
      </c>
      <c r="R66" s="6"/>
      <c r="S66" s="6"/>
      <c r="T66" s="6"/>
      <c r="U66" s="6"/>
      <c r="V66" s="6"/>
      <c r="W66" s="6"/>
      <c r="X66" s="6"/>
      <c r="Y66" s="6"/>
      <c r="Z66" s="6"/>
    </row>
    <row r="67" spans="1:26" s="376" customFormat="1" ht="15.75">
      <c r="A67" s="253"/>
      <c r="B67" s="254" t="s">
        <v>1409</v>
      </c>
      <c r="C67" s="895">
        <f t="shared" ref="C67:M67" si="9">SUM(C6:C66)/61</f>
        <v>0.42773694932774042</v>
      </c>
      <c r="D67" s="895">
        <f t="shared" si="9"/>
        <v>0.3436625338776077</v>
      </c>
      <c r="E67" s="895">
        <f t="shared" si="9"/>
        <v>0.2941427512786674</v>
      </c>
      <c r="F67" s="895">
        <f t="shared" si="9"/>
        <v>3.4190553133771704E-3</v>
      </c>
      <c r="G67" s="895">
        <f t="shared" si="9"/>
        <v>3.182773502319923E-2</v>
      </c>
      <c r="H67" s="895">
        <f t="shared" si="9"/>
        <v>0.15322450395793388</v>
      </c>
      <c r="I67" s="895">
        <f t="shared" si="9"/>
        <v>1.89432111584007E-2</v>
      </c>
      <c r="J67" s="989">
        <f t="shared" si="9"/>
        <v>1.2729567399369264</v>
      </c>
      <c r="K67" s="989">
        <f t="shared" si="9"/>
        <v>3.1832822035333275E-2</v>
      </c>
      <c r="L67" s="989">
        <f t="shared" si="9"/>
        <v>1.3047895619722596</v>
      </c>
      <c r="M67" s="989">
        <f t="shared" si="9"/>
        <v>1.5657474743667117</v>
      </c>
      <c r="N67" s="753"/>
      <c r="O67" s="1000"/>
      <c r="P67" s="1001">
        <f>AVERAGE(P6:P66)</f>
        <v>0.20696851451074191</v>
      </c>
      <c r="Q67" s="982">
        <v>0</v>
      </c>
      <c r="R67" s="9"/>
      <c r="S67" s="9"/>
      <c r="T67" s="9"/>
      <c r="U67" s="9"/>
      <c r="V67" s="9"/>
      <c r="W67" s="9"/>
      <c r="X67" s="9"/>
      <c r="Y67" s="9"/>
      <c r="Z67" s="9"/>
    </row>
    <row r="68" spans="1:26" s="93" customFormat="1" ht="20.25">
      <c r="A68" s="1039" t="s">
        <v>984</v>
      </c>
      <c r="B68" s="1040"/>
      <c r="C68" s="1040"/>
      <c r="D68" s="1040"/>
      <c r="E68" s="1040"/>
      <c r="F68" s="1040"/>
      <c r="G68" s="1040"/>
      <c r="H68" s="1040"/>
      <c r="I68" s="1040"/>
      <c r="J68" s="1040"/>
      <c r="K68" s="1040"/>
      <c r="L68" s="1040"/>
      <c r="M68" s="1041"/>
      <c r="N68" s="1002"/>
      <c r="O68" s="1003"/>
      <c r="P68" s="22"/>
      <c r="Q68" s="982">
        <v>0</v>
      </c>
      <c r="R68" s="6"/>
      <c r="S68" s="6"/>
      <c r="T68" s="6"/>
      <c r="U68" s="6"/>
      <c r="V68" s="6"/>
      <c r="W68" s="6"/>
      <c r="X68" s="6"/>
      <c r="Y68" s="6"/>
      <c r="Z68" s="6"/>
    </row>
    <row r="69" spans="1:26" s="93" customFormat="1" ht="15.75">
      <c r="A69" s="894">
        <v>1</v>
      </c>
      <c r="B69" s="234" t="s">
        <v>730</v>
      </c>
      <c r="C69" s="886">
        <f>cходова!R69</f>
        <v>0.577474627629051</v>
      </c>
      <c r="D69" s="886">
        <f>прибуд.!O69</f>
        <v>0.12190453055994901</v>
      </c>
      <c r="E69" s="886">
        <f>гар.вода!M69+хол.вода!Q69+ц.о.!M69+каналізація!Q69+аварійні!I69+зварювальн!M69</f>
        <v>0.34609005691726002</v>
      </c>
      <c r="F69" s="886">
        <f>дератизац.!I69</f>
        <v>2.0295946340962417E-3</v>
      </c>
      <c r="G69" s="886">
        <f>димоканал!R69</f>
        <v>3.6410515751062682E-2</v>
      </c>
      <c r="H69" s="886">
        <f>'підготовка до зими'!M69+майстерні!M69+маляри!M69+покрівлі!O69</f>
        <v>0.11581892047965034</v>
      </c>
      <c r="I69" s="886">
        <f>електрики!R69</f>
        <v>3.5469530655026074E-2</v>
      </c>
      <c r="J69" s="994">
        <f t="shared" ref="J69:J89" si="10">I69+H69+G69+F69+E69+D69+C69</f>
        <v>1.2351977766260953</v>
      </c>
      <c r="K69" s="994">
        <v>3.1477958449797276E-2</v>
      </c>
      <c r="L69" s="994">
        <f>J69+K69</f>
        <v>1.2666757350758926</v>
      </c>
      <c r="M69" s="994">
        <f t="shared" ref="M69:M87" si="11">L69*1.2</f>
        <v>1.5200108820910712</v>
      </c>
      <c r="N69" s="995">
        <v>9</v>
      </c>
      <c r="O69" s="997">
        <v>1.2968918881316478</v>
      </c>
      <c r="P69" s="22">
        <f t="shared" ref="P69:P88" si="12">M69-O69</f>
        <v>0.22311899395942336</v>
      </c>
      <c r="Q69" s="982">
        <f t="shared" ref="Q69:Q88" si="13">M69/O69*100-100</f>
        <v>17.204132125527977</v>
      </c>
      <c r="R69" s="6"/>
      <c r="S69" s="6"/>
      <c r="T69" s="6"/>
      <c r="U69" s="6"/>
      <c r="V69" s="6"/>
      <c r="W69" s="6"/>
      <c r="X69" s="6"/>
      <c r="Y69" s="6"/>
      <c r="Z69" s="6"/>
    </row>
    <row r="70" spans="1:26" s="93" customFormat="1" ht="15.75">
      <c r="A70" s="894">
        <v>2</v>
      </c>
      <c r="B70" s="233" t="s">
        <v>731</v>
      </c>
      <c r="C70" s="886">
        <f>cходова!R70</f>
        <v>0.35541834448065884</v>
      </c>
      <c r="D70" s="886">
        <f>прибуд.!O70</f>
        <v>0.41072964053293753</v>
      </c>
      <c r="E70" s="886">
        <f>гар.вода!M70+хол.вода!Q70+ц.о.!M70+каналізація!Q70+аварійні!I70+зварювальн!M70</f>
        <v>0.34924883120817884</v>
      </c>
      <c r="F70" s="886">
        <f>дератизац.!I70</f>
        <v>1.8504468829222259E-3</v>
      </c>
      <c r="G70" s="886">
        <f>димоканал!R70</f>
        <v>4.6532931102029301E-2</v>
      </c>
      <c r="H70" s="886">
        <f>'підготовка до зими'!M70+майстерні!M70+маляри!M70+покрівлі!O70</f>
        <v>0.10447908929340044</v>
      </c>
      <c r="I70" s="886">
        <f>електрики!R70</f>
        <v>4.5895647193734755E-2</v>
      </c>
      <c r="J70" s="989">
        <f t="shared" si="10"/>
        <v>1.314154930693862</v>
      </c>
      <c r="K70" s="989">
        <v>3.5016848266678467E-2</v>
      </c>
      <c r="L70" s="994">
        <f t="shared" ref="L70:L89" si="14">J70+K70</f>
        <v>1.3491717789605404</v>
      </c>
      <c r="M70" s="994">
        <f t="shared" si="11"/>
        <v>1.6190061347526485</v>
      </c>
      <c r="N70" s="995">
        <v>9</v>
      </c>
      <c r="O70" s="997">
        <v>1.4426941485871527</v>
      </c>
      <c r="P70" s="22">
        <f t="shared" si="12"/>
        <v>0.17631198616549582</v>
      </c>
      <c r="Q70" s="982">
        <f t="shared" si="13"/>
        <v>12.221023169613616</v>
      </c>
      <c r="R70" s="6"/>
      <c r="S70" s="6"/>
      <c r="T70" s="6"/>
      <c r="U70" s="6"/>
      <c r="V70" s="6"/>
      <c r="W70" s="6"/>
      <c r="X70" s="6"/>
      <c r="Y70" s="6"/>
      <c r="Z70" s="6"/>
    </row>
    <row r="71" spans="1:26" s="93" customFormat="1" ht="15.75">
      <c r="A71" s="894">
        <v>3</v>
      </c>
      <c r="B71" s="233" t="s">
        <v>732</v>
      </c>
      <c r="C71" s="886">
        <f>cходова!R71</f>
        <v>0.56616525235612747</v>
      </c>
      <c r="D71" s="886">
        <f>прибуд.!O71</f>
        <v>0.3491147990078794</v>
      </c>
      <c r="E71" s="886">
        <f>гар.вода!M71+хол.вода!Q71+ц.о.!M71+каналізація!Q71+аварійні!I71+зварювальн!M71</f>
        <v>0.3424623024720278</v>
      </c>
      <c r="F71" s="886">
        <f>дератизац.!I71</f>
        <v>1.9786066618633267E-3</v>
      </c>
      <c r="G71" s="886">
        <f>димоканал!R71</f>
        <v>3.5476468653758156E-2</v>
      </c>
      <c r="H71" s="886">
        <f>'підготовка до зими'!M71+майстерні!M71+маляри!M71+покрівлі!O71</f>
        <v>0.10564248689260741</v>
      </c>
      <c r="I71" s="886">
        <f>електрики!R71</f>
        <v>3.455962285867431E-2</v>
      </c>
      <c r="J71" s="989">
        <f t="shared" si="10"/>
        <v>1.4353995389029377</v>
      </c>
      <c r="K71" s="989">
        <v>3.6418258589945504E-2</v>
      </c>
      <c r="L71" s="994">
        <f t="shared" si="14"/>
        <v>1.4718177974928832</v>
      </c>
      <c r="M71" s="994">
        <f t="shared" si="11"/>
        <v>1.7661813569914597</v>
      </c>
      <c r="N71" s="995">
        <v>9</v>
      </c>
      <c r="O71" s="997">
        <v>1.5004322539057546</v>
      </c>
      <c r="P71" s="22">
        <f t="shared" si="12"/>
        <v>0.2657491030857051</v>
      </c>
      <c r="Q71" s="982">
        <f t="shared" si="13"/>
        <v>17.711502961492414</v>
      </c>
      <c r="R71" s="6"/>
      <c r="S71" s="6"/>
      <c r="T71" s="6"/>
      <c r="U71" s="6"/>
      <c r="V71" s="6"/>
      <c r="W71" s="6"/>
      <c r="X71" s="6"/>
      <c r="Y71" s="6"/>
      <c r="Z71" s="6"/>
    </row>
    <row r="72" spans="1:26" s="93" customFormat="1" ht="15.75">
      <c r="A72" s="894">
        <v>4</v>
      </c>
      <c r="B72" s="233" t="s">
        <v>733</v>
      </c>
      <c r="C72" s="886">
        <f>cходова!R72</f>
        <v>0.52743037312169527</v>
      </c>
      <c r="D72" s="886">
        <f>прибуд.!O72</f>
        <v>0.37052274337886421</v>
      </c>
      <c r="E72" s="886">
        <f>гар.вода!M72+хол.вода!Q72+ц.о.!M72+каналізація!Q72+аварійні!I72+зварювальн!M72</f>
        <v>0.34246522871271323</v>
      </c>
      <c r="F72" s="886">
        <f>дератизац.!I72</f>
        <v>2.0069306315266037E-3</v>
      </c>
      <c r="G72" s="886">
        <f>димоканал!R72</f>
        <v>3.514565925715564E-2</v>
      </c>
      <c r="H72" s="886">
        <f>'підготовка до зими'!M72+майстерні!M72+маляри!M72+покрівлі!O72</f>
        <v>0.1129590188700228</v>
      </c>
      <c r="I72" s="886">
        <f>електрики!R72</f>
        <v>3.4955254721980078E-2</v>
      </c>
      <c r="J72" s="989">
        <f t="shared" si="10"/>
        <v>1.4254852086939578</v>
      </c>
      <c r="K72" s="989">
        <v>3.6186762437631484E-2</v>
      </c>
      <c r="L72" s="994">
        <f t="shared" si="14"/>
        <v>1.4616719711315893</v>
      </c>
      <c r="M72" s="994">
        <f t="shared" si="11"/>
        <v>1.7540063653579072</v>
      </c>
      <c r="N72" s="995">
        <v>9</v>
      </c>
      <c r="O72" s="997">
        <v>1.4908946124304172</v>
      </c>
      <c r="P72" s="22">
        <f t="shared" si="12"/>
        <v>0.26311175292749001</v>
      </c>
      <c r="Q72" s="982">
        <f t="shared" si="13"/>
        <v>17.647910907570605</v>
      </c>
      <c r="R72" s="6"/>
      <c r="S72" s="6"/>
      <c r="T72" s="6"/>
      <c r="U72" s="6"/>
      <c r="V72" s="6"/>
      <c r="W72" s="6"/>
      <c r="X72" s="6"/>
      <c r="Y72" s="6"/>
      <c r="Z72" s="6"/>
    </row>
    <row r="73" spans="1:26" s="93" customFormat="1" ht="15.75">
      <c r="A73" s="894">
        <v>5</v>
      </c>
      <c r="B73" s="233" t="s">
        <v>734</v>
      </c>
      <c r="C73" s="886">
        <f>cходова!R73</f>
        <v>0.57865976411133913</v>
      </c>
      <c r="D73" s="886">
        <f>прибуд.!O73</f>
        <v>0.23176728033052188</v>
      </c>
      <c r="E73" s="886">
        <f>гар.вода!M73+хол.вода!Q73+ц.о.!M73+каналізація!Q73+аварійні!I73+зварювальн!M73</f>
        <v>0.33903573401065029</v>
      </c>
      <c r="F73" s="886">
        <f>дератизац.!I73</f>
        <v>1.8285178984204264E-3</v>
      </c>
      <c r="G73" s="886">
        <f>димоканал!R73</f>
        <v>3.4594221419723001E-2</v>
      </c>
      <c r="H73" s="886">
        <f>'підготовка до зими'!M73+майстерні!M73+маляри!M73+покрівлі!O73</f>
        <v>0.11462081580892033</v>
      </c>
      <c r="I73" s="886">
        <f>електрики!R73</f>
        <v>3.3700176221695306E-2</v>
      </c>
      <c r="J73" s="989">
        <f t="shared" si="10"/>
        <v>1.3342065098012703</v>
      </c>
      <c r="K73" s="989">
        <v>3.3915077917204627E-2</v>
      </c>
      <c r="L73" s="994">
        <f t="shared" si="14"/>
        <v>1.3681215877184749</v>
      </c>
      <c r="M73" s="994">
        <f t="shared" si="11"/>
        <v>1.6417459052621699</v>
      </c>
      <c r="N73" s="995">
        <v>9</v>
      </c>
      <c r="O73" s="997">
        <v>1.3973012101888307</v>
      </c>
      <c r="P73" s="22">
        <f t="shared" si="12"/>
        <v>0.24444469507333921</v>
      </c>
      <c r="Q73" s="982">
        <f t="shared" si="13"/>
        <v>17.494058782093603</v>
      </c>
      <c r="R73" s="6"/>
      <c r="S73" s="6"/>
      <c r="T73" s="6"/>
      <c r="U73" s="6"/>
      <c r="V73" s="6"/>
      <c r="W73" s="6"/>
      <c r="X73" s="6"/>
      <c r="Y73" s="6"/>
      <c r="Z73" s="6"/>
    </row>
    <row r="74" spans="1:26" s="93" customFormat="1" ht="15.75">
      <c r="A74" s="894">
        <v>6</v>
      </c>
      <c r="B74" s="233" t="s">
        <v>735</v>
      </c>
      <c r="C74" s="886">
        <f>cходова!R74</f>
        <v>0.34549761496726911</v>
      </c>
      <c r="D74" s="886">
        <f>прибуд.!O74</f>
        <v>0.19313315970728173</v>
      </c>
      <c r="E74" s="886">
        <f>гар.вода!M74+хол.вода!Q74+ц.о.!M74+каналізація!Q74+аварійні!I74+зварювальн!M74</f>
        <v>0.42701365883303283</v>
      </c>
      <c r="F74" s="886">
        <f>дератизац.!I74</f>
        <v>1.9574450932872481E-3</v>
      </c>
      <c r="G74" s="886">
        <f>димоканал!R74</f>
        <v>5.7246119873109756E-2</v>
      </c>
      <c r="H74" s="886">
        <f>'підготовка до зими'!M74+майстерні!M74+маляри!M74+покрівлі!O74</f>
        <v>0.1021815731716935</v>
      </c>
      <c r="I74" s="886">
        <f>електрики!R74</f>
        <v>5.5766664158315368E-2</v>
      </c>
      <c r="J74" s="989">
        <f t="shared" si="10"/>
        <v>1.1827962358039896</v>
      </c>
      <c r="K74" s="989">
        <v>3.0334514778877726E-2</v>
      </c>
      <c r="L74" s="994">
        <f t="shared" si="14"/>
        <v>1.2131307505828675</v>
      </c>
      <c r="M74" s="994">
        <f t="shared" si="11"/>
        <v>1.4557569006994409</v>
      </c>
      <c r="N74" s="995">
        <v>9</v>
      </c>
      <c r="O74" s="997">
        <v>1.2497820088897624</v>
      </c>
      <c r="P74" s="22">
        <f t="shared" si="12"/>
        <v>0.20597489180967843</v>
      </c>
      <c r="Q74" s="982">
        <f t="shared" si="13"/>
        <v>16.480865490507043</v>
      </c>
      <c r="R74" s="6"/>
      <c r="S74" s="6"/>
      <c r="T74" s="6"/>
      <c r="U74" s="6"/>
      <c r="V74" s="6"/>
      <c r="W74" s="6"/>
      <c r="X74" s="6"/>
      <c r="Y74" s="6"/>
      <c r="Z74" s="6"/>
    </row>
    <row r="75" spans="1:26" s="93" customFormat="1" ht="15.75">
      <c r="A75" s="894">
        <v>7</v>
      </c>
      <c r="B75" s="233" t="s">
        <v>736</v>
      </c>
      <c r="C75" s="886">
        <f>cходова!R75</f>
        <v>0.49066506044034175</v>
      </c>
      <c r="D75" s="886">
        <f>прибуд.!O75</f>
        <v>0.13866661104839889</v>
      </c>
      <c r="E75" s="886">
        <f>гар.вода!M75+хол.вода!Q75+ц.о.!M75+каналізація!Q75+аварійні!I75+зварювальн!M75</f>
        <v>0.33067751597065997</v>
      </c>
      <c r="F75" s="886">
        <f>дератизац.!I75</f>
        <v>1.9365084281408253E-3</v>
      </c>
      <c r="G75" s="886">
        <f>димоканал!R75</f>
        <v>3.2442209915980881E-2</v>
      </c>
      <c r="H75" s="886">
        <f>'підготовка до зими'!M75+майстерні!M75+маляри!M75+покрівлі!O75</f>
        <v>0.10869386432835543</v>
      </c>
      <c r="I75" s="886">
        <f>електрики!R75</f>
        <v>3.1603780814285505E-2</v>
      </c>
      <c r="J75" s="989">
        <f t="shared" si="10"/>
        <v>1.1346855509461633</v>
      </c>
      <c r="K75" s="989">
        <v>2.8940953555549265E-2</v>
      </c>
      <c r="L75" s="994">
        <f t="shared" si="14"/>
        <v>1.1636265045017127</v>
      </c>
      <c r="M75" s="994">
        <f t="shared" si="11"/>
        <v>1.3963518054020552</v>
      </c>
      <c r="N75" s="995">
        <v>9</v>
      </c>
      <c r="O75" s="997">
        <v>1.1923672864886297</v>
      </c>
      <c r="P75" s="22">
        <f t="shared" si="12"/>
        <v>0.20398451891342551</v>
      </c>
      <c r="Q75" s="982">
        <f t="shared" si="13"/>
        <v>17.107523933681051</v>
      </c>
      <c r="R75" s="6"/>
      <c r="S75" s="6"/>
      <c r="T75" s="6"/>
      <c r="U75" s="6"/>
      <c r="V75" s="6"/>
      <c r="W75" s="6"/>
      <c r="X75" s="6"/>
      <c r="Y75" s="6"/>
      <c r="Z75" s="6"/>
    </row>
    <row r="76" spans="1:26" s="93" customFormat="1" ht="15.75">
      <c r="A76" s="894">
        <v>8</v>
      </c>
      <c r="B76" s="233" t="s">
        <v>737</v>
      </c>
      <c r="C76" s="886">
        <f>cходова!R76</f>
        <v>0.44684201980321336</v>
      </c>
      <c r="D76" s="886">
        <f>прибуд.!O76</f>
        <v>0.37366247452339435</v>
      </c>
      <c r="E76" s="886">
        <f>гар.вода!M76+хол.вода!Q76+ц.о.!M76+каналізація!Q76+аварійні!I76+зварювальн!M76</f>
        <v>0.35750993786685553</v>
      </c>
      <c r="F76" s="886">
        <f>дератизац.!I76</f>
        <v>4.365904365904367E-3</v>
      </c>
      <c r="G76" s="886">
        <f>димоканал!R76</f>
        <v>3.9350821335017459E-2</v>
      </c>
      <c r="H76" s="886">
        <f>'підготовка до зими'!M76+майстерні!M76+маляри!M76+покрівлі!O76</f>
        <v>0.12937558626331391</v>
      </c>
      <c r="I76" s="886">
        <f>електрики!R76</f>
        <v>3.8333847649552159E-2</v>
      </c>
      <c r="J76" s="989">
        <f t="shared" si="10"/>
        <v>1.3894405918072512</v>
      </c>
      <c r="K76" s="989">
        <v>3.5368589721037569E-2</v>
      </c>
      <c r="L76" s="994">
        <f t="shared" si="14"/>
        <v>1.4248091815282888</v>
      </c>
      <c r="M76" s="994">
        <f t="shared" si="11"/>
        <v>1.7097710178339465</v>
      </c>
      <c r="N76" s="995">
        <v>5</v>
      </c>
      <c r="O76" s="997">
        <v>1.4571858965067479</v>
      </c>
      <c r="P76" s="22">
        <f t="shared" si="12"/>
        <v>0.25258512132719857</v>
      </c>
      <c r="Q76" s="982">
        <f t="shared" si="13"/>
        <v>17.33376104810722</v>
      </c>
      <c r="R76" s="6"/>
      <c r="S76" s="6"/>
      <c r="T76" s="6"/>
      <c r="U76" s="6"/>
      <c r="V76" s="6"/>
      <c r="W76" s="6"/>
      <c r="X76" s="6"/>
      <c r="Y76" s="6"/>
      <c r="Z76" s="6"/>
    </row>
    <row r="77" spans="1:26" s="93" customFormat="1" ht="15.75">
      <c r="A77" s="894">
        <v>9</v>
      </c>
      <c r="B77" s="233" t="s">
        <v>738</v>
      </c>
      <c r="C77" s="886">
        <f>cходова!R77</f>
        <v>0.46790823328094389</v>
      </c>
      <c r="D77" s="886">
        <f>прибуд.!O77</f>
        <v>0.43539788892500547</v>
      </c>
      <c r="E77" s="886">
        <f>гар.вода!M77+хол.вода!Q77+ц.о.!M77+каналізація!Q77+аварійні!I77+зварювальн!M77</f>
        <v>0.34886124217909514</v>
      </c>
      <c r="F77" s="886">
        <f>дератизац.!I77</f>
        <v>5.5776341024576402E-3</v>
      </c>
      <c r="G77" s="886">
        <f>димоканал!R77</f>
        <v>3.6280500001383519E-2</v>
      </c>
      <c r="H77" s="886">
        <f>'підготовка до зими'!M77+майстерні!M77+маляри!M77+покрівлі!O77</f>
        <v>0.14533968099307498</v>
      </c>
      <c r="I77" s="886">
        <f>електрики!R77</f>
        <v>3.6957633705809248E-2</v>
      </c>
      <c r="J77" s="989">
        <f t="shared" si="10"/>
        <v>1.4763228131877699</v>
      </c>
      <c r="K77" s="989">
        <v>3.7538695315632094E-2</v>
      </c>
      <c r="L77" s="994">
        <f t="shared" si="14"/>
        <v>1.513861508503402</v>
      </c>
      <c r="M77" s="994">
        <f t="shared" si="11"/>
        <v>1.8166338102040822</v>
      </c>
      <c r="N77" s="995">
        <v>5</v>
      </c>
      <c r="O77" s="997">
        <v>1.5465942470040421</v>
      </c>
      <c r="P77" s="22">
        <f t="shared" si="12"/>
        <v>0.27003956320004008</v>
      </c>
      <c r="Q77" s="982">
        <f t="shared" si="13"/>
        <v>17.460272060570659</v>
      </c>
      <c r="R77" s="6"/>
      <c r="S77" s="6"/>
      <c r="T77" s="6"/>
      <c r="U77" s="6"/>
      <c r="V77" s="6"/>
      <c r="W77" s="6"/>
      <c r="X77" s="6"/>
      <c r="Y77" s="6"/>
      <c r="Z77" s="6"/>
    </row>
    <row r="78" spans="1:26" s="93" customFormat="1" ht="15.75">
      <c r="A78" s="894">
        <v>10</v>
      </c>
      <c r="B78" s="233" t="s">
        <v>739</v>
      </c>
      <c r="C78" s="886">
        <f>cходова!R78</f>
        <v>0.55251765618554827</v>
      </c>
      <c r="D78" s="886">
        <f>прибуд.!O78</f>
        <v>0.29764740193452416</v>
      </c>
      <c r="E78" s="886">
        <f>гар.вода!M78+хол.вода!Q78+ц.о.!M78+каналізація!Q78+аварійні!I78+зварювальн!M78</f>
        <v>0.34503890988102093</v>
      </c>
      <c r="F78" s="886">
        <f>дератизац.!I78</f>
        <v>2.8241543416226951E-3</v>
      </c>
      <c r="G78" s="886">
        <f>димоканал!R78</f>
        <v>3.6139874269434914E-2</v>
      </c>
      <c r="H78" s="886">
        <f>'підготовка до зими'!M78+майстерні!M78+маляри!M78+покрівлі!O78</f>
        <v>0.10603581833634219</v>
      </c>
      <c r="I78" s="886">
        <f>електрики!R78</f>
        <v>3.5205883570355562E-2</v>
      </c>
      <c r="J78" s="989">
        <f t="shared" si="10"/>
        <v>1.3754096985188486</v>
      </c>
      <c r="K78" s="989">
        <v>3.4941431281779373E-2</v>
      </c>
      <c r="L78" s="994">
        <f t="shared" si="14"/>
        <v>1.4103511298006279</v>
      </c>
      <c r="M78" s="994">
        <f t="shared" si="11"/>
        <v>1.6924213557607535</v>
      </c>
      <c r="N78" s="995">
        <v>9</v>
      </c>
      <c r="O78" s="997">
        <v>1.4395869688093101</v>
      </c>
      <c r="P78" s="22">
        <f t="shared" si="12"/>
        <v>0.25283438695144334</v>
      </c>
      <c r="Q78" s="982">
        <f t="shared" si="13"/>
        <v>17.562981079258023</v>
      </c>
      <c r="R78" s="6"/>
      <c r="S78" s="6"/>
      <c r="T78" s="6"/>
      <c r="U78" s="6"/>
      <c r="V78" s="6"/>
      <c r="W78" s="6"/>
      <c r="X78" s="6"/>
      <c r="Y78" s="6"/>
      <c r="Z78" s="6"/>
    </row>
    <row r="79" spans="1:26" s="93" customFormat="1" ht="15.75">
      <c r="A79" s="894">
        <v>11</v>
      </c>
      <c r="B79" s="233" t="s">
        <v>740</v>
      </c>
      <c r="C79" s="886">
        <f>cходова!R79</f>
        <v>0.52217120894527602</v>
      </c>
      <c r="D79" s="886">
        <f>прибуд.!O79</f>
        <v>0.43025703290345946</v>
      </c>
      <c r="E79" s="886">
        <f>гар.вода!M79+хол.вода!Q79+ц.о.!M79+каналізація!Q79+аварійні!I79+зварювальн!M79</f>
        <v>0.40446056452790258</v>
      </c>
      <c r="F79" s="886">
        <f>дератизац.!I79</f>
        <v>4.2189596377459754E-3</v>
      </c>
      <c r="G79" s="886">
        <f>димоканал!R79</f>
        <v>5.1439317734495345E-2</v>
      </c>
      <c r="H79" s="886">
        <f>'підготовка до зими'!M79+майстерні!M79+маляри!M79+покрівлі!O79</f>
        <v>0.11604817956236943</v>
      </c>
      <c r="I79" s="886">
        <f>електрики!R79</f>
        <v>4.8941325742903788E-2</v>
      </c>
      <c r="J79" s="989">
        <f t="shared" si="10"/>
        <v>1.5775365890541524</v>
      </c>
      <c r="K79" s="989">
        <v>3.8731820516183645E-2</v>
      </c>
      <c r="L79" s="994">
        <f t="shared" si="14"/>
        <v>1.6162684095703361</v>
      </c>
      <c r="M79" s="994">
        <f t="shared" si="11"/>
        <v>1.9395220914844034</v>
      </c>
      <c r="N79" s="1004" t="s">
        <v>642</v>
      </c>
      <c r="O79" s="997">
        <v>1.5957510052667663</v>
      </c>
      <c r="P79" s="22">
        <f t="shared" si="12"/>
        <v>0.34377108621763708</v>
      </c>
      <c r="Q79" s="982">
        <f t="shared" si="13"/>
        <v>21.542902688641448</v>
      </c>
      <c r="R79" s="6"/>
      <c r="S79" s="6"/>
      <c r="T79" s="6"/>
      <c r="U79" s="6"/>
      <c r="V79" s="6"/>
      <c r="W79" s="6"/>
      <c r="X79" s="6"/>
      <c r="Y79" s="6"/>
      <c r="Z79" s="6"/>
    </row>
    <row r="80" spans="1:26" s="93" customFormat="1" ht="15.75">
      <c r="A80" s="894">
        <v>12</v>
      </c>
      <c r="B80" s="233" t="s">
        <v>741</v>
      </c>
      <c r="C80" s="886">
        <f>cходова!R80</f>
        <v>0.55286238021575296</v>
      </c>
      <c r="D80" s="886">
        <f>прибуд.!O80</f>
        <v>0.36471650269389772</v>
      </c>
      <c r="E80" s="886">
        <f>гар.вода!M80+хол.вода!Q80+ц.о.!M80+каналізація!Q80+аварійні!I80+зварювальн!M80</f>
        <v>0.34125431576740695</v>
      </c>
      <c r="F80" s="886">
        <f>дератизац.!I80</f>
        <v>1.8931481908704899E-3</v>
      </c>
      <c r="G80" s="886">
        <f>димоканал!R80</f>
        <v>3.5255009391955403E-2</v>
      </c>
      <c r="H80" s="886">
        <f>'підготовка до зими'!M80+майстерні!M80+маляри!M80+покрівлі!O80</f>
        <v>0.1063827567375181</v>
      </c>
      <c r="I80" s="886">
        <f>електрики!R80</f>
        <v>3.4632162589932271E-2</v>
      </c>
      <c r="J80" s="989">
        <f t="shared" si="10"/>
        <v>1.436996275587334</v>
      </c>
      <c r="K80" s="989">
        <v>3.6574462890180487E-2</v>
      </c>
      <c r="L80" s="994">
        <f t="shared" si="14"/>
        <v>1.4735707384775145</v>
      </c>
      <c r="M80" s="994">
        <f t="shared" si="11"/>
        <v>1.7682848861730174</v>
      </c>
      <c r="N80" s="995">
        <v>9</v>
      </c>
      <c r="O80" s="997">
        <v>1.5068678710754362</v>
      </c>
      <c r="P80" s="22">
        <f t="shared" si="12"/>
        <v>0.2614170150975812</v>
      </c>
      <c r="Q80" s="982">
        <f t="shared" si="13"/>
        <v>17.348370093723659</v>
      </c>
      <c r="R80" s="6"/>
      <c r="S80" s="6"/>
      <c r="T80" s="6"/>
      <c r="U80" s="6"/>
      <c r="V80" s="6"/>
      <c r="W80" s="6"/>
      <c r="X80" s="6"/>
      <c r="Y80" s="6"/>
      <c r="Z80" s="6"/>
    </row>
    <row r="81" spans="1:26" s="93" customFormat="1" ht="15.75">
      <c r="A81" s="894">
        <v>13</v>
      </c>
      <c r="B81" s="233" t="s">
        <v>742</v>
      </c>
      <c r="C81" s="886">
        <f>cходова!R81</f>
        <v>0.52197410631930952</v>
      </c>
      <c r="D81" s="886">
        <f>прибуд.!O81</f>
        <v>0.47870601425446507</v>
      </c>
      <c r="E81" s="886">
        <f>гар.вода!M81+хол.вода!Q81+ц.о.!M81+каналізація!Q81+аварійні!I81+зварювальн!M81</f>
        <v>0.33449586226292338</v>
      </c>
      <c r="F81" s="886">
        <f>дератизац.!I81</f>
        <v>5.9223535658948535E-3</v>
      </c>
      <c r="G81" s="886">
        <f>димоканал!R81</f>
        <v>3.3820987279244666E-2</v>
      </c>
      <c r="H81" s="886">
        <f>'підготовка до зими'!M81+майстерні!M81+маляри!M81+покрівлі!O81</f>
        <v>0.14259222088808654</v>
      </c>
      <c r="I81" s="886">
        <f>електрики!R81</f>
        <v>3.2946925368652707E-2</v>
      </c>
      <c r="J81" s="989">
        <f t="shared" si="10"/>
        <v>1.5504584699385768</v>
      </c>
      <c r="K81" s="989">
        <v>3.8147069690374853E-2</v>
      </c>
      <c r="L81" s="994">
        <f t="shared" si="14"/>
        <v>1.5886055396289518</v>
      </c>
      <c r="M81" s="994">
        <f t="shared" si="11"/>
        <v>1.906326647554742</v>
      </c>
      <c r="N81" s="995">
        <v>5</v>
      </c>
      <c r="O81" s="997">
        <v>1.5716592712434441</v>
      </c>
      <c r="P81" s="22">
        <f t="shared" si="12"/>
        <v>0.33466737631129795</v>
      </c>
      <c r="Q81" s="982">
        <f t="shared" si="13"/>
        <v>21.293888722236872</v>
      </c>
      <c r="R81" s="6"/>
      <c r="S81" s="6"/>
      <c r="T81" s="6"/>
      <c r="U81" s="6"/>
      <c r="V81" s="6"/>
      <c r="W81" s="6"/>
      <c r="X81" s="6"/>
      <c r="Y81" s="6"/>
      <c r="Z81" s="6"/>
    </row>
    <row r="82" spans="1:26" s="93" customFormat="1" ht="15.75">
      <c r="A82" s="894">
        <v>14</v>
      </c>
      <c r="B82" s="233" t="s">
        <v>743</v>
      </c>
      <c r="C82" s="886">
        <f>cходова!R82</f>
        <v>0.30290130166940116</v>
      </c>
      <c r="D82" s="886">
        <f>прибуд.!O82</f>
        <v>0.44537006479088437</v>
      </c>
      <c r="E82" s="886">
        <f>гар.вода!M82+хол.вода!Q82+ц.о.!M82+каналізація!Q82+аварійні!I82+зварювальн!M82</f>
        <v>0.43258667003493534</v>
      </c>
      <c r="F82" s="886">
        <f>дератизац.!I82</f>
        <v>5.339122271767192E-3</v>
      </c>
      <c r="G82" s="886">
        <f>димоканал!R82</f>
        <v>5.8681017139440413E-2</v>
      </c>
      <c r="H82" s="886">
        <f>'підготовка до зими'!M82+майстерні!M82+маляри!M82+покрівлі!O82</f>
        <v>0.13107667264259887</v>
      </c>
      <c r="I82" s="886">
        <f>електрики!R82</f>
        <v>5.716447826572589E-2</v>
      </c>
      <c r="J82" s="989">
        <f t="shared" si="10"/>
        <v>1.4331193268147533</v>
      </c>
      <c r="K82" s="989">
        <v>3.662402994651659E-2</v>
      </c>
      <c r="L82" s="994">
        <f t="shared" si="14"/>
        <v>1.4697433567612699</v>
      </c>
      <c r="M82" s="994">
        <f t="shared" si="11"/>
        <v>1.7636920281135238</v>
      </c>
      <c r="N82" s="995">
        <v>5</v>
      </c>
      <c r="O82" s="997">
        <v>1.5089100337964834</v>
      </c>
      <c r="P82" s="22">
        <f t="shared" si="12"/>
        <v>0.25478199431704041</v>
      </c>
      <c r="Q82" s="982">
        <f t="shared" si="13"/>
        <v>16.885168009387399</v>
      </c>
      <c r="R82" s="6"/>
      <c r="S82" s="6"/>
      <c r="T82" s="6"/>
      <c r="U82" s="6"/>
      <c r="V82" s="6"/>
      <c r="W82" s="6"/>
      <c r="X82" s="6"/>
      <c r="Y82" s="6"/>
      <c r="Z82" s="6"/>
    </row>
    <row r="83" spans="1:26" s="93" customFormat="1" ht="15.75">
      <c r="A83" s="894">
        <v>15</v>
      </c>
      <c r="B83" s="233" t="s">
        <v>744</v>
      </c>
      <c r="C83" s="886">
        <f>cходова!R83</f>
        <v>0.50798792389091774</v>
      </c>
      <c r="D83" s="886">
        <f>прибуд.!O83</f>
        <v>0.27948483674672731</v>
      </c>
      <c r="E83" s="886">
        <f>гар.вода!M83+хол.вода!Q83+ц.о.!M83+каналізація!Q83+аварійні!I83+зварювальн!M83</f>
        <v>0.33860423681889301</v>
      </c>
      <c r="F83" s="886">
        <f>дератизац.!I83</f>
        <v>1.5926643541132094E-3</v>
      </c>
      <c r="G83" s="886">
        <f>димоканал!R83</f>
        <v>3.4483122748205773E-2</v>
      </c>
      <c r="H83" s="886">
        <f>'підготовка до зими'!M83+майстерні!M83+маляри!M83+покрівлі!O83</f>
        <v>0.10647853097210781</v>
      </c>
      <c r="I83" s="886">
        <f>електрики!R83</f>
        <v>3.3808060916600741E-2</v>
      </c>
      <c r="J83" s="989">
        <f t="shared" si="10"/>
        <v>1.3024393764475657</v>
      </c>
      <c r="K83" s="989">
        <v>3.3114832357953997E-2</v>
      </c>
      <c r="L83" s="994">
        <f t="shared" si="14"/>
        <v>1.3355542088055197</v>
      </c>
      <c r="M83" s="994">
        <f t="shared" si="11"/>
        <v>1.6026650505666236</v>
      </c>
      <c r="N83" s="995">
        <v>9</v>
      </c>
      <c r="O83" s="997">
        <v>1.3643310931477046</v>
      </c>
      <c r="P83" s="22">
        <f t="shared" si="12"/>
        <v>0.23833395741891894</v>
      </c>
      <c r="Q83" s="982">
        <f t="shared" si="13"/>
        <v>17.468923681058143</v>
      </c>
      <c r="R83" s="6"/>
      <c r="S83" s="6"/>
      <c r="T83" s="6"/>
      <c r="U83" s="6"/>
      <c r="V83" s="6"/>
      <c r="W83" s="6"/>
      <c r="X83" s="6"/>
      <c r="Y83" s="6"/>
      <c r="Z83" s="6"/>
    </row>
    <row r="84" spans="1:26" s="93" customFormat="1" ht="15.75">
      <c r="A84" s="894">
        <v>16</v>
      </c>
      <c r="B84" s="233" t="s">
        <v>745</v>
      </c>
      <c r="C84" s="886">
        <f>cходова!R84</f>
        <v>0.54511784309721967</v>
      </c>
      <c r="D84" s="886">
        <f>прибуд.!O84</f>
        <v>0.33379166314907666</v>
      </c>
      <c r="E84" s="886">
        <f>гар.вода!M84+хол.вода!Q84+ц.о.!M84+каналізація!Q84+аварійні!I84+зварювальн!M84</f>
        <v>0.3424027341118619</v>
      </c>
      <c r="F84" s="886">
        <f>дератизац.!I84</f>
        <v>2.3593844165688124E-3</v>
      </c>
      <c r="G84" s="886">
        <f>димоканал!R84</f>
        <v>3.5461131437652685E-2</v>
      </c>
      <c r="H84" s="886">
        <f>'підготовка до зими'!M84+майстерні!M84+маляри!M84+покрівлі!O84</f>
        <v>0.11219097796798978</v>
      </c>
      <c r="I84" s="886">
        <f>електрики!R84</f>
        <v>3.4544682014097015E-2</v>
      </c>
      <c r="J84" s="989">
        <f t="shared" si="10"/>
        <v>1.4058684161944666</v>
      </c>
      <c r="K84" s="989">
        <v>3.5699854804695806E-2</v>
      </c>
      <c r="L84" s="994">
        <f t="shared" si="14"/>
        <v>1.4415682709991624</v>
      </c>
      <c r="M84" s="994">
        <f t="shared" si="11"/>
        <v>1.7298819251989948</v>
      </c>
      <c r="N84" s="995">
        <v>9</v>
      </c>
      <c r="O84" s="997">
        <v>1.4708340179534671</v>
      </c>
      <c r="P84" s="22">
        <f t="shared" si="12"/>
        <v>0.25904790724552762</v>
      </c>
      <c r="Q84" s="982">
        <f t="shared" si="13"/>
        <v>17.612314107744751</v>
      </c>
      <c r="R84" s="6"/>
      <c r="S84" s="6"/>
      <c r="T84" s="6"/>
      <c r="U84" s="6"/>
      <c r="V84" s="6"/>
      <c r="W84" s="6"/>
      <c r="X84" s="6"/>
      <c r="Y84" s="6"/>
      <c r="Z84" s="6"/>
    </row>
    <row r="85" spans="1:26" s="93" customFormat="1" ht="15.75">
      <c r="A85" s="894">
        <v>17</v>
      </c>
      <c r="B85" s="233" t="s">
        <v>746</v>
      </c>
      <c r="C85" s="886">
        <f>cходова!R85</f>
        <v>0.46233560573514831</v>
      </c>
      <c r="D85" s="886">
        <f>прибуд.!O85</f>
        <v>0.17357596786571766</v>
      </c>
      <c r="E85" s="886">
        <f>гар.вода!M85+хол.вода!Q85+ц.о.!M85+каналізація!Q85+аварійні!I85+зварювальн!M85</f>
        <v>0.34754280179068814</v>
      </c>
      <c r="F85" s="886">
        <f>дератизац.!I85</f>
        <v>2.5021747726374065E-3</v>
      </c>
      <c r="G85" s="886">
        <f>димоканал!R85</f>
        <v>3.678455764188937E-2</v>
      </c>
      <c r="H85" s="886">
        <f>'підготовка до зими'!M85+майстерні!M85+маляри!M85+покрівлі!O85</f>
        <v>0.11221577567018073</v>
      </c>
      <c r="I85" s="886">
        <f>електрики!R85</f>
        <v>3.5833905892214364E-2</v>
      </c>
      <c r="J85" s="989">
        <f t="shared" si="10"/>
        <v>1.1707907893684761</v>
      </c>
      <c r="K85" s="989">
        <v>2.9884748584874742E-2</v>
      </c>
      <c r="L85" s="994">
        <f t="shared" si="14"/>
        <v>1.2006755379533509</v>
      </c>
      <c r="M85" s="994">
        <f t="shared" si="11"/>
        <v>1.4408106455440211</v>
      </c>
      <c r="N85" s="995">
        <v>9</v>
      </c>
      <c r="O85" s="997">
        <v>1.2312516416968393</v>
      </c>
      <c r="P85" s="22">
        <f t="shared" si="12"/>
        <v>0.20955900384718174</v>
      </c>
      <c r="Q85" s="982">
        <f t="shared" si="13"/>
        <v>17.019997923282332</v>
      </c>
      <c r="R85" s="6"/>
      <c r="S85" s="6"/>
      <c r="T85" s="6"/>
      <c r="U85" s="6"/>
      <c r="V85" s="6"/>
      <c r="W85" s="6"/>
      <c r="X85" s="6"/>
      <c r="Y85" s="6"/>
      <c r="Z85" s="6"/>
    </row>
    <row r="86" spans="1:26" s="93" customFormat="1" ht="15.75">
      <c r="A86" s="894">
        <v>18</v>
      </c>
      <c r="B86" s="233" t="s">
        <v>747</v>
      </c>
      <c r="C86" s="886">
        <f>cходова!R86</f>
        <v>0.57451207143502336</v>
      </c>
      <c r="D86" s="886">
        <f>прибуд.!O86</f>
        <v>0.33159570753478967</v>
      </c>
      <c r="E86" s="886">
        <f>гар.вода!M86+хол.вода!Q86+ц.о.!M86+каналізація!Q86+аварійні!I86+зварювальн!M86</f>
        <v>0.33971738255918893</v>
      </c>
      <c r="F86" s="886">
        <f>дератизац.!I86</f>
        <v>5.7176527071557967E-3</v>
      </c>
      <c r="G86" s="886">
        <f>димоканал!R86</f>
        <v>3.5255119302478793E-2</v>
      </c>
      <c r="H86" s="886">
        <f>'підготовка до зими'!M86+майстерні!M86+маляри!M86+покрівлі!O86</f>
        <v>0.14289906101967911</v>
      </c>
      <c r="I86" s="886">
        <f>електрики!R86</f>
        <v>3.5966495465282154E-2</v>
      </c>
      <c r="J86" s="989">
        <f t="shared" si="10"/>
        <v>1.4656634900235979</v>
      </c>
      <c r="K86" s="989">
        <v>3.7915429979599818E-2</v>
      </c>
      <c r="L86" s="994">
        <f t="shared" si="14"/>
        <v>1.5035789200031977</v>
      </c>
      <c r="M86" s="994">
        <f t="shared" si="11"/>
        <v>1.8042947040038371</v>
      </c>
      <c r="N86" s="995">
        <v>5</v>
      </c>
      <c r="O86" s="997">
        <v>1.5621157151595126</v>
      </c>
      <c r="P86" s="22">
        <f t="shared" si="12"/>
        <v>0.24217898884432443</v>
      </c>
      <c r="Q86" s="982">
        <f t="shared" si="13"/>
        <v>15.503268195441905</v>
      </c>
      <c r="R86" s="6"/>
      <c r="S86" s="6"/>
      <c r="T86" s="6"/>
      <c r="U86" s="6"/>
      <c r="V86" s="6"/>
      <c r="W86" s="6"/>
      <c r="X86" s="6"/>
      <c r="Y86" s="6"/>
      <c r="Z86" s="6"/>
    </row>
    <row r="87" spans="1:26" s="93" customFormat="1" ht="15.75">
      <c r="A87" s="894">
        <v>19</v>
      </c>
      <c r="B87" s="233" t="s">
        <v>748</v>
      </c>
      <c r="C87" s="886">
        <f>cходова!R87</f>
        <v>0.45583751246620646</v>
      </c>
      <c r="D87" s="886">
        <f>прибуд.!O87</f>
        <v>0.48495415099548389</v>
      </c>
      <c r="E87" s="886">
        <f>гар.вода!M87+хол.вода!Q87+ц.о.!M87+каналізація!Q87+аварійні!I87+зварювальн!M87</f>
        <v>0.34291264967143387</v>
      </c>
      <c r="F87" s="886">
        <f>дератизац.!I87</f>
        <v>5.9785745503558125E-3</v>
      </c>
      <c r="G87" s="886">
        <f>димоканал!R87</f>
        <v>3.5592420684342076E-2</v>
      </c>
      <c r="H87" s="886">
        <f>'підготовка до зими'!M87+майстерні!M87+маляри!M87+покрівлі!O87</f>
        <v>0.14119998934704525</v>
      </c>
      <c r="I87" s="886">
        <f>електрики!R87</f>
        <v>3.4672578251325921E-2</v>
      </c>
      <c r="J87" s="989">
        <f t="shared" si="10"/>
        <v>1.5011478759661931</v>
      </c>
      <c r="K87" s="989">
        <v>3.8136907413044381E-2</v>
      </c>
      <c r="L87" s="994">
        <f t="shared" si="14"/>
        <v>1.5392847833792376</v>
      </c>
      <c r="M87" s="989">
        <f t="shared" si="11"/>
        <v>1.8471417400550849</v>
      </c>
      <c r="N87" s="995">
        <v>5</v>
      </c>
      <c r="O87" s="997">
        <v>1.5712405854174285</v>
      </c>
      <c r="P87" s="22">
        <f t="shared" si="12"/>
        <v>0.27590115463765641</v>
      </c>
      <c r="Q87" s="982">
        <f t="shared" si="13"/>
        <v>17.559446796262463</v>
      </c>
      <c r="R87" s="6"/>
      <c r="S87" s="6"/>
      <c r="T87" s="6"/>
      <c r="U87" s="6"/>
      <c r="V87" s="6"/>
      <c r="W87" s="6"/>
      <c r="X87" s="6"/>
      <c r="Y87" s="6"/>
      <c r="Z87" s="6"/>
    </row>
    <row r="88" spans="1:26" s="6" customFormat="1" ht="15.75">
      <c r="A88" s="894">
        <v>20</v>
      </c>
      <c r="B88" s="284" t="s">
        <v>1384</v>
      </c>
      <c r="C88" s="886">
        <f>cходова!R88</f>
        <v>0.44647188882214756</v>
      </c>
      <c r="D88" s="886">
        <f>прибуд.!O88</f>
        <v>0.26512565558021756</v>
      </c>
      <c r="E88" s="886">
        <f>гар.вода!M88+хол.вода!Q88+ц.о.!M88+каналізація!Q88+аварійні!I88+зварювальн!M88</f>
        <v>0.344570378981431</v>
      </c>
      <c r="F88" s="886">
        <f>дератизац.!I88</f>
        <v>4.3547580342628489E-3</v>
      </c>
      <c r="G88" s="886">
        <f>димоканал!R88</f>
        <v>1.3218267182273629E-2</v>
      </c>
      <c r="H88" s="886">
        <f>'підготовка до зими'!M88+майстерні!M88+маляри!M88+покрівлі!O88</f>
        <v>0.11110128406865691</v>
      </c>
      <c r="I88" s="886">
        <f>електрики!R88</f>
        <v>3.1173774397596252E-2</v>
      </c>
      <c r="J88" s="989">
        <f t="shared" si="10"/>
        <v>1.2160160070665857</v>
      </c>
      <c r="K88" s="989">
        <v>0.03</v>
      </c>
      <c r="L88" s="994">
        <f t="shared" si="14"/>
        <v>1.2460160070665858</v>
      </c>
      <c r="M88" s="989">
        <f>L88*1.2</f>
        <v>1.495219208479903</v>
      </c>
      <c r="N88" s="995">
        <v>9</v>
      </c>
      <c r="O88" s="1005">
        <v>1.34</v>
      </c>
      <c r="P88" s="22">
        <f t="shared" si="12"/>
        <v>0.15521920847990289</v>
      </c>
      <c r="Q88" s="982">
        <f t="shared" si="13"/>
        <v>11.583523020888279</v>
      </c>
    </row>
    <row r="89" spans="1:26" s="93" customFormat="1" ht="15.75">
      <c r="A89" s="894">
        <v>21</v>
      </c>
      <c r="B89" s="284" t="s">
        <v>1378</v>
      </c>
      <c r="C89" s="886">
        <f>cходова!R89</f>
        <v>0.34681340062004412</v>
      </c>
      <c r="D89" s="886">
        <f>прибуд.!O89</f>
        <v>0.53219732233150874</v>
      </c>
      <c r="E89" s="886">
        <f>гар.вода!M89+хол.вода!Q89+ц.о.!M89+каналізація!Q89+аварійні!I89+зварювальн!M89</f>
        <v>0.50187671074130713</v>
      </c>
      <c r="F89" s="886">
        <f>дератизац.!I89</f>
        <v>1.8541409147095185E-2</v>
      </c>
      <c r="G89" s="886">
        <f>димоканал!R89</f>
        <v>5.9248344985530872E-3</v>
      </c>
      <c r="H89" s="886">
        <f>'підготовка до зими'!M89+майстерні!M89+маляри!M89+покрівлі!O89</f>
        <v>0.12540511704711621</v>
      </c>
      <c r="I89" s="886">
        <f>електрики!R89</f>
        <v>8.5988987970232092E-2</v>
      </c>
      <c r="J89" s="989">
        <f t="shared" si="10"/>
        <v>1.6167477823558565</v>
      </c>
      <c r="K89" s="989">
        <v>0.04</v>
      </c>
      <c r="L89" s="994">
        <f t="shared" si="14"/>
        <v>1.6567477823558565</v>
      </c>
      <c r="M89" s="989">
        <f>L89*1.2</f>
        <v>1.9880973388270278</v>
      </c>
      <c r="N89" s="529">
        <v>1</v>
      </c>
      <c r="O89" s="1006">
        <v>1.9883809147899985</v>
      </c>
      <c r="P89" s="22">
        <f>AVERAGE(P69:P88)</f>
        <v>0.24665163529151543</v>
      </c>
      <c r="Q89" s="982"/>
      <c r="R89" s="6"/>
      <c r="S89" s="6"/>
      <c r="T89" s="6"/>
      <c r="U89" s="6"/>
      <c r="V89" s="6"/>
      <c r="W89" s="6"/>
      <c r="X89" s="6"/>
      <c r="Y89" s="6"/>
      <c r="Z89" s="6"/>
    </row>
    <row r="90" spans="1:26" s="91" customFormat="1" ht="16.5" thickBot="1">
      <c r="A90" s="253"/>
      <c r="B90" s="254" t="s">
        <v>1409</v>
      </c>
      <c r="C90" s="895">
        <f>SUM(C69:C89)/21</f>
        <v>0.48321734236155417</v>
      </c>
      <c r="D90" s="895">
        <f t="shared" ref="D90:K90" si="15">SUM(D69:D89)/21</f>
        <v>0.33534864041880885</v>
      </c>
      <c r="E90" s="895">
        <f t="shared" si="15"/>
        <v>0.36184893930092699</v>
      </c>
      <c r="F90" s="895">
        <f t="shared" si="15"/>
        <v>4.0369497470813887E-3</v>
      </c>
      <c r="G90" s="895">
        <f t="shared" si="15"/>
        <v>3.6454052696151741E-2</v>
      </c>
      <c r="H90" s="895">
        <f t="shared" si="15"/>
        <v>0.11870178192193953</v>
      </c>
      <c r="I90" s="895">
        <f t="shared" si="15"/>
        <v>4.038673421066627E-2</v>
      </c>
      <c r="J90" s="989">
        <f t="shared" si="15"/>
        <v>1.3799944406571285</v>
      </c>
      <c r="K90" s="989">
        <f t="shared" si="15"/>
        <v>3.4998487928455134E-2</v>
      </c>
      <c r="L90" s="989">
        <f>SUM(L69:L89)/21</f>
        <v>1.4149929285855838</v>
      </c>
      <c r="M90" s="989">
        <f>SUM(M69:M89)/21</f>
        <v>1.6979915143027007</v>
      </c>
      <c r="N90" s="1007"/>
      <c r="O90" s="1003">
        <f>MAX(O69:O89)</f>
        <v>1.9883809147899985</v>
      </c>
      <c r="P90" s="22">
        <f>AVERAGE(P69:P89)</f>
        <v>0.24665163529151543</v>
      </c>
      <c r="Q90" s="982"/>
      <c r="R90" s="5"/>
      <c r="S90" s="5"/>
      <c r="T90" s="5"/>
      <c r="U90" s="5"/>
      <c r="V90" s="5"/>
      <c r="W90" s="5"/>
      <c r="X90" s="5"/>
      <c r="Y90" s="5"/>
      <c r="Z90" s="5"/>
    </row>
    <row r="91" spans="1:26" s="269" customFormat="1" ht="21" thickBot="1">
      <c r="A91" s="1029" t="s">
        <v>50</v>
      </c>
      <c r="B91" s="1030"/>
      <c r="C91" s="1030"/>
      <c r="D91" s="1030"/>
      <c r="E91" s="1030"/>
      <c r="F91" s="1030"/>
      <c r="G91" s="1030"/>
      <c r="H91" s="1030"/>
      <c r="I91" s="1030"/>
      <c r="J91" s="1030"/>
      <c r="K91" s="1030"/>
      <c r="L91" s="1030"/>
      <c r="M91" s="1031"/>
      <c r="N91" s="990"/>
      <c r="O91" s="1008"/>
      <c r="P91" s="22"/>
      <c r="Q91" s="982"/>
      <c r="R91" s="893"/>
      <c r="S91" s="893"/>
      <c r="T91" s="893"/>
      <c r="U91" s="893"/>
      <c r="V91" s="893"/>
      <c r="W91" s="893"/>
      <c r="X91" s="893"/>
      <c r="Y91" s="893"/>
      <c r="Z91" s="893"/>
    </row>
    <row r="92" spans="1:26" s="93" customFormat="1" ht="15.75">
      <c r="A92" s="894">
        <v>1</v>
      </c>
      <c r="B92" s="896" t="s">
        <v>51</v>
      </c>
      <c r="C92" s="886">
        <f>cходова!R92</f>
        <v>0.98144379984979158</v>
      </c>
      <c r="D92" s="886">
        <f>прибуд.!O92</f>
        <v>5.8986491893805316E-2</v>
      </c>
      <c r="E92" s="886">
        <f>гар.вода!M92+хол.вода!Q92+ц.о.!M92+каналізація!Q92+аварійні!I92+зварювальн!M92</f>
        <v>0.1423621261964958</v>
      </c>
      <c r="F92" s="886">
        <f>дератизац.!I92</f>
        <v>8.2866676338314241E-3</v>
      </c>
      <c r="G92" s="886">
        <f>димоканал!R92</f>
        <v>2.8958077835454989E-2</v>
      </c>
      <c r="H92" s="886">
        <f>'підготовка до зими'!M92+майстерні!M92+маляри!M92+покрівлі!O92</f>
        <v>0.2815383036495489</v>
      </c>
      <c r="I92" s="886">
        <f>електрики!R92</f>
        <v>2.1374694948579898E-2</v>
      </c>
      <c r="J92" s="994">
        <f t="shared" ref="J92:J155" si="16">I92+H92+G92+F92+E92+D92+C92</f>
        <v>1.5229501620075079</v>
      </c>
      <c r="K92" s="994">
        <v>3.7936738705196441E-2</v>
      </c>
      <c r="L92" s="994">
        <f>J92+K92</f>
        <v>1.5608869007127044</v>
      </c>
      <c r="M92" s="994">
        <f>L92*1.2</f>
        <v>1.8730642808552451</v>
      </c>
      <c r="N92" s="995">
        <v>3</v>
      </c>
      <c r="O92" s="997">
        <v>1.5629936346540936</v>
      </c>
      <c r="P92" s="22">
        <f t="shared" ref="P92:P155" si="17">M92-O92</f>
        <v>0.31007064620115155</v>
      </c>
      <c r="Q92" s="982">
        <f t="shared" ref="Q92:Q155" si="18">M92/O92*100-100</f>
        <v>19.838253933118111</v>
      </c>
      <c r="R92" s="6"/>
      <c r="S92" s="6"/>
      <c r="T92" s="6"/>
      <c r="U92" s="6"/>
      <c r="V92" s="6"/>
      <c r="W92" s="6"/>
      <c r="X92" s="6"/>
      <c r="Y92" s="6"/>
      <c r="Z92" s="6"/>
    </row>
    <row r="93" spans="1:26" s="93" customFormat="1" ht="15.75">
      <c r="A93" s="236">
        <v>2</v>
      </c>
      <c r="B93" s="897" t="s">
        <v>52</v>
      </c>
      <c r="C93" s="886">
        <f>cходова!R93</f>
        <v>0.89842952612684723</v>
      </c>
      <c r="D93" s="886">
        <f>прибуд.!O93</f>
        <v>0.16641858571709234</v>
      </c>
      <c r="E93" s="886">
        <f>гар.вода!M93+хол.вода!Q93+ц.о.!M93+каналізація!Q93+аварійні!I93+зварювальн!M93</f>
        <v>0.15951007352697941</v>
      </c>
      <c r="F93" s="886">
        <f>дератизац.!I93</f>
        <v>9.4204322200392952E-3</v>
      </c>
      <c r="G93" s="886">
        <f>димоканал!R93</f>
        <v>4.1332202931273328E-2</v>
      </c>
      <c r="H93" s="886">
        <f>'підготовка до зими'!M93+майстерні!M93+маляри!M93+покрівлі!O93</f>
        <v>0.2233016948448675</v>
      </c>
      <c r="I93" s="886">
        <f>електрики!R93</f>
        <v>2.1559347812653177E-2</v>
      </c>
      <c r="J93" s="989">
        <f t="shared" si="16"/>
        <v>1.5199718631797523</v>
      </c>
      <c r="K93" s="989">
        <v>3.7991151699322684E-2</v>
      </c>
      <c r="L93" s="994">
        <f t="shared" ref="L93:L156" si="19">J93+K93</f>
        <v>1.5579630148790751</v>
      </c>
      <c r="M93" s="994">
        <f t="shared" ref="M93:M155" si="20">L93*1.2</f>
        <v>1.86955561785489</v>
      </c>
      <c r="N93" s="995">
        <v>3</v>
      </c>
      <c r="O93" s="997">
        <v>1.5652354500120946</v>
      </c>
      <c r="P93" s="22">
        <f t="shared" si="17"/>
        <v>0.30432016784279536</v>
      </c>
      <c r="Q93" s="982">
        <f t="shared" si="18"/>
        <v>19.44245307250381</v>
      </c>
      <c r="R93" s="6"/>
      <c r="S93" s="6"/>
      <c r="T93" s="6"/>
      <c r="U93" s="6"/>
      <c r="V93" s="6"/>
      <c r="W93" s="6"/>
      <c r="X93" s="6"/>
      <c r="Y93" s="6"/>
      <c r="Z93" s="6"/>
    </row>
    <row r="94" spans="1:26" s="93" customFormat="1" ht="15.75">
      <c r="A94" s="236">
        <v>3</v>
      </c>
      <c r="B94" s="897" t="s">
        <v>53</v>
      </c>
      <c r="C94" s="886">
        <f>cходова!R94</f>
        <v>0.59162672737701016</v>
      </c>
      <c r="D94" s="886">
        <f>прибуд.!O94</f>
        <v>0.15939982618022727</v>
      </c>
      <c r="E94" s="886">
        <f>гар.вода!M94+хол.вода!Q94+ц.о.!M94+каналізація!Q94+аварійні!I94+зварювальн!M94</f>
        <v>0.15514833458842842</v>
      </c>
      <c r="F94" s="886">
        <f>дератизац.!I94</f>
        <v>8.0845858913744031E-3</v>
      </c>
      <c r="G94" s="886">
        <f>димоканал!R94</f>
        <v>5.3191752573038056E-2</v>
      </c>
      <c r="H94" s="886">
        <f>'підготовка до зими'!M94+майстерні!M94+маляри!M94+покрівлі!O94</f>
        <v>0.17086529561409419</v>
      </c>
      <c r="I94" s="886">
        <f>електрики!R94</f>
        <v>1.8051066388901978E-2</v>
      </c>
      <c r="J94" s="989">
        <f t="shared" si="16"/>
        <v>1.1563675886130744</v>
      </c>
      <c r="K94" s="989">
        <v>2.8994577501648106E-2</v>
      </c>
      <c r="L94" s="994">
        <f t="shared" si="19"/>
        <v>1.1853621661147224</v>
      </c>
      <c r="M94" s="994">
        <f t="shared" si="20"/>
        <v>1.4224345993376668</v>
      </c>
      <c r="N94" s="995">
        <v>3</v>
      </c>
      <c r="O94" s="997">
        <v>1.194576593067902</v>
      </c>
      <c r="P94" s="22">
        <f t="shared" si="17"/>
        <v>0.22785800626976482</v>
      </c>
      <c r="Q94" s="982">
        <f t="shared" si="18"/>
        <v>19.074373932322047</v>
      </c>
      <c r="R94" s="6"/>
      <c r="S94" s="6"/>
      <c r="T94" s="6"/>
      <c r="U94" s="6"/>
      <c r="V94" s="6"/>
      <c r="W94" s="6"/>
      <c r="X94" s="6"/>
      <c r="Y94" s="6"/>
      <c r="Z94" s="6"/>
    </row>
    <row r="95" spans="1:26" s="93" customFormat="1" ht="15.75">
      <c r="A95" s="236">
        <v>4</v>
      </c>
      <c r="B95" s="897" t="s">
        <v>54</v>
      </c>
      <c r="C95" s="886">
        <f>cходова!R95</f>
        <v>0.35729974641999518</v>
      </c>
      <c r="D95" s="886">
        <f>прибуд.!O95</f>
        <v>8.4100485379202505E-2</v>
      </c>
      <c r="E95" s="886">
        <f>гар.вода!M95+хол.вода!Q95+ц.о.!M95+каналізація!Q95+аварійні!I95+зварювальн!M95</f>
        <v>0.14224558415627916</v>
      </c>
      <c r="F95" s="886">
        <f>дератизац.!I95</f>
        <v>6.0760721628587153E-3</v>
      </c>
      <c r="G95" s="886">
        <f>димоканал!R95</f>
        <v>3.2138255137779799E-2</v>
      </c>
      <c r="H95" s="886">
        <f>'підготовка до зими'!M95+майстерні!M95+маляри!M95+покрівлі!O95</f>
        <v>0.18844865877905631</v>
      </c>
      <c r="I95" s="886">
        <f>електрики!R95</f>
        <v>1.4814911058820835E-2</v>
      </c>
      <c r="J95" s="989">
        <f t="shared" si="16"/>
        <v>0.82512371309399257</v>
      </c>
      <c r="K95" s="989">
        <v>2.073885054607735E-2</v>
      </c>
      <c r="L95" s="994">
        <f t="shared" si="19"/>
        <v>0.84586256364006995</v>
      </c>
      <c r="M95" s="994">
        <f t="shared" si="20"/>
        <v>1.015035076368084</v>
      </c>
      <c r="N95" s="995">
        <v>3</v>
      </c>
      <c r="O95" s="997">
        <v>0.8544406424983868</v>
      </c>
      <c r="P95" s="22">
        <f t="shared" si="17"/>
        <v>0.16059443386969718</v>
      </c>
      <c r="Q95" s="982">
        <f t="shared" si="18"/>
        <v>18.795270950609108</v>
      </c>
      <c r="R95" s="6"/>
      <c r="S95" s="6"/>
      <c r="T95" s="6"/>
      <c r="U95" s="6"/>
      <c r="V95" s="6"/>
      <c r="W95" s="6"/>
      <c r="X95" s="6"/>
      <c r="Y95" s="6"/>
      <c r="Z95" s="6"/>
    </row>
    <row r="96" spans="1:26" s="93" customFormat="1" ht="15.75">
      <c r="A96" s="236">
        <v>5</v>
      </c>
      <c r="B96" s="897" t="s">
        <v>55</v>
      </c>
      <c r="C96" s="886">
        <f>cходова!R96</f>
        <v>0.55475267605370571</v>
      </c>
      <c r="D96" s="886">
        <f>прибуд.!O96</f>
        <v>0.10181089969905834</v>
      </c>
      <c r="E96" s="886">
        <f>гар.вода!M96+хол.вода!Q96+ц.о.!M96+каналізація!Q96+аварійні!I96+зварювальн!M96</f>
        <v>0.17118607578028366</v>
      </c>
      <c r="F96" s="886">
        <f>дератизац.!I96</f>
        <v>8.0582791314759115E-3</v>
      </c>
      <c r="G96" s="886">
        <f>димоканал!R96</f>
        <v>6.1434325190733864E-2</v>
      </c>
      <c r="H96" s="886">
        <f>'підготовка до зими'!M96+майстерні!M96+маляри!M96+покрівлі!O96</f>
        <v>0.19933265815932052</v>
      </c>
      <c r="I96" s="886">
        <f>електрики!R96</f>
        <v>2.3113128614249533E-2</v>
      </c>
      <c r="J96" s="989">
        <f t="shared" si="16"/>
        <v>1.1196880426288276</v>
      </c>
      <c r="K96" s="989">
        <v>2.8142694561448418E-2</v>
      </c>
      <c r="L96" s="994">
        <f t="shared" si="19"/>
        <v>1.1478307371902761</v>
      </c>
      <c r="M96" s="994">
        <f t="shared" si="20"/>
        <v>1.3773968846283313</v>
      </c>
      <c r="N96" s="995">
        <v>3</v>
      </c>
      <c r="O96" s="997">
        <v>1.159479015931675</v>
      </c>
      <c r="P96" s="22">
        <f t="shared" si="17"/>
        <v>0.2179178686966563</v>
      </c>
      <c r="Q96" s="982">
        <f t="shared" si="18"/>
        <v>18.794464212149038</v>
      </c>
      <c r="R96" s="6"/>
      <c r="S96" s="6"/>
      <c r="T96" s="6"/>
      <c r="U96" s="6"/>
      <c r="V96" s="6"/>
      <c r="W96" s="6"/>
      <c r="X96" s="6"/>
      <c r="Y96" s="6"/>
      <c r="Z96" s="6"/>
    </row>
    <row r="97" spans="1:26" s="93" customFormat="1" ht="15.75">
      <c r="A97" s="236">
        <v>6</v>
      </c>
      <c r="B97" s="897" t="s">
        <v>56</v>
      </c>
      <c r="C97" s="886">
        <f>cходова!R97</f>
        <v>0.4713314245435436</v>
      </c>
      <c r="D97" s="886">
        <f>прибуд.!O97</f>
        <v>9.9367932522977265E-2</v>
      </c>
      <c r="E97" s="886">
        <f>гар.вода!M97+хол.вода!Q97+ц.о.!M97+каналізація!Q97+аварійні!I97+зварювальн!M97</f>
        <v>0.13952269083486959</v>
      </c>
      <c r="F97" s="886">
        <f>дератизац.!I97</f>
        <v>6.8449600723218332E-3</v>
      </c>
      <c r="G97" s="886">
        <f>димоканал!R97</f>
        <v>3.722625498026555E-2</v>
      </c>
      <c r="H97" s="886">
        <f>'підготовка до зими'!M97+майстерні!M97+маляри!M97+покрівлі!O97</f>
        <v>0.16872287730229774</v>
      </c>
      <c r="I97" s="886">
        <f>електрики!R97</f>
        <v>1.4681684692642661E-2</v>
      </c>
      <c r="J97" s="989">
        <f t="shared" si="16"/>
        <v>0.93769782494891829</v>
      </c>
      <c r="K97" s="989">
        <v>2.3514663402201558E-2</v>
      </c>
      <c r="L97" s="994">
        <f t="shared" si="19"/>
        <v>0.96121248835111983</v>
      </c>
      <c r="M97" s="994">
        <f t="shared" si="20"/>
        <v>1.1534549860213437</v>
      </c>
      <c r="N97" s="995">
        <v>4</v>
      </c>
      <c r="O97" s="997">
        <v>0.96880413217070416</v>
      </c>
      <c r="P97" s="22">
        <f t="shared" si="17"/>
        <v>0.18465085385063951</v>
      </c>
      <c r="Q97" s="982">
        <f t="shared" si="18"/>
        <v>19.059668277519677</v>
      </c>
      <c r="R97" s="6"/>
      <c r="S97" s="6"/>
      <c r="T97" s="6"/>
      <c r="U97" s="6"/>
      <c r="V97" s="6"/>
      <c r="W97" s="6"/>
      <c r="X97" s="6"/>
      <c r="Y97" s="6"/>
      <c r="Z97" s="6"/>
    </row>
    <row r="98" spans="1:26" s="93" customFormat="1" ht="15.75">
      <c r="A98" s="236">
        <v>7</v>
      </c>
      <c r="B98" s="897" t="s">
        <v>57</v>
      </c>
      <c r="C98" s="886">
        <f>cходова!R98</f>
        <v>0.4264158237445721</v>
      </c>
      <c r="D98" s="886">
        <f>прибуд.!O98</f>
        <v>5.3842084938820922E-2</v>
      </c>
      <c r="E98" s="886">
        <f>гар.вода!M98+хол.вода!Q98+ц.о.!M98+каналізація!Q98+аварійні!I98+зварювальн!M98</f>
        <v>0.13878935664732392</v>
      </c>
      <c r="F98" s="886">
        <f>дератизац.!I98</f>
        <v>6.5566315513969787E-3</v>
      </c>
      <c r="G98" s="886">
        <f>димоканал!R98</f>
        <v>3.8178174806831625E-2</v>
      </c>
      <c r="H98" s="886">
        <f>'підготовка до зими'!M98+майстерні!M98+маляри!M98+покрівлі!O98</f>
        <v>0.17311141829882262</v>
      </c>
      <c r="I98" s="886">
        <f>електрики!R98</f>
        <v>1.4987558988793384E-2</v>
      </c>
      <c r="J98" s="989">
        <f t="shared" si="16"/>
        <v>0.85188104897656158</v>
      </c>
      <c r="K98" s="989">
        <v>2.138111988791537E-2</v>
      </c>
      <c r="L98" s="994">
        <f t="shared" si="19"/>
        <v>0.87326216886447694</v>
      </c>
      <c r="M98" s="994">
        <f t="shared" si="20"/>
        <v>1.0479146026373722</v>
      </c>
      <c r="N98" s="995">
        <v>4</v>
      </c>
      <c r="O98" s="997">
        <v>0.88090213938211326</v>
      </c>
      <c r="P98" s="22">
        <f t="shared" si="17"/>
        <v>0.16701246325525898</v>
      </c>
      <c r="Q98" s="982">
        <f t="shared" si="18"/>
        <v>18.959252769258313</v>
      </c>
      <c r="R98" s="6"/>
      <c r="S98" s="6"/>
      <c r="T98" s="6"/>
      <c r="U98" s="6"/>
      <c r="V98" s="6"/>
      <c r="W98" s="6"/>
      <c r="X98" s="6"/>
      <c r="Y98" s="6"/>
      <c r="Z98" s="6"/>
    </row>
    <row r="99" spans="1:26" s="93" customFormat="1" ht="15.75">
      <c r="A99" s="894">
        <v>8</v>
      </c>
      <c r="B99" s="897" t="s">
        <v>58</v>
      </c>
      <c r="C99" s="886">
        <f>cходова!R99</f>
        <v>0.50615564488569409</v>
      </c>
      <c r="D99" s="886">
        <f>прибуд.!O99</f>
        <v>6.4040401526582871E-2</v>
      </c>
      <c r="E99" s="886">
        <f>гар.вода!M99+хол.вода!Q99+ц.о.!M99+каналізація!Q99+аварійні!I99+зварювальн!M99</f>
        <v>0.15237572280731176</v>
      </c>
      <c r="F99" s="886">
        <f>дератизац.!I99</f>
        <v>6.459141856867588E-3</v>
      </c>
      <c r="G99" s="886">
        <f>димоканал!R99</f>
        <v>4.6793344576431029E-2</v>
      </c>
      <c r="H99" s="886">
        <f>'підготовка до зими'!M99+майстерні!M99+маляри!M99+покрівлі!O99</f>
        <v>0.16078203631388677</v>
      </c>
      <c r="I99" s="886">
        <f>електрики!R99</f>
        <v>1.7355664083719836E-2</v>
      </c>
      <c r="J99" s="989">
        <f t="shared" si="16"/>
        <v>0.95396195605049394</v>
      </c>
      <c r="K99" s="989">
        <v>2.3951945735053715E-2</v>
      </c>
      <c r="L99" s="994">
        <f t="shared" si="19"/>
        <v>0.9779139017855476</v>
      </c>
      <c r="M99" s="994">
        <f t="shared" si="20"/>
        <v>1.1734966821426571</v>
      </c>
      <c r="N99" s="995">
        <v>4</v>
      </c>
      <c r="O99" s="997">
        <v>0.98682016428421315</v>
      </c>
      <c r="P99" s="22">
        <f t="shared" si="17"/>
        <v>0.18667651785844397</v>
      </c>
      <c r="Q99" s="982">
        <f t="shared" si="18"/>
        <v>18.916974400685177</v>
      </c>
      <c r="R99" s="6"/>
      <c r="S99" s="6"/>
      <c r="T99" s="6"/>
      <c r="U99" s="6"/>
      <c r="V99" s="6"/>
      <c r="W99" s="6"/>
      <c r="X99" s="6"/>
      <c r="Y99" s="6"/>
      <c r="Z99" s="6"/>
    </row>
    <row r="100" spans="1:26" s="93" customFormat="1" ht="15.75">
      <c r="A100" s="236">
        <v>9</v>
      </c>
      <c r="B100" s="897" t="s">
        <v>59</v>
      </c>
      <c r="C100" s="886">
        <f>cходова!R100</f>
        <v>0.67761262434815783</v>
      </c>
      <c r="D100" s="886">
        <f>прибуд.!O100</f>
        <v>6.9937325478930473E-2</v>
      </c>
      <c r="E100" s="886">
        <f>гар.вода!M100+хол.вода!Q100+ц.о.!M100+каналізація!Q100+аварійні!I100+зварювальн!M100</f>
        <v>0.15830304531149908</v>
      </c>
      <c r="F100" s="886">
        <f>дератизац.!I100</f>
        <v>9.0788556664230229E-3</v>
      </c>
      <c r="G100" s="886">
        <f>димоканал!R100</f>
        <v>5.4454198162462844E-2</v>
      </c>
      <c r="H100" s="886">
        <f>'підготовка до зими'!M100+майстерні!M100+маляри!M100+покрівлі!O100</f>
        <v>0.1794940570332918</v>
      </c>
      <c r="I100" s="886">
        <f>електрики!R100</f>
        <v>1.8842303418170683E-2</v>
      </c>
      <c r="J100" s="989">
        <f t="shared" si="16"/>
        <v>1.1677224094189356</v>
      </c>
      <c r="K100" s="989">
        <v>2.9297850864167359E-2</v>
      </c>
      <c r="L100" s="994">
        <f t="shared" si="19"/>
        <v>1.1970202602831028</v>
      </c>
      <c r="M100" s="994">
        <f t="shared" si="20"/>
        <v>1.4364243123397233</v>
      </c>
      <c r="N100" s="995">
        <v>4</v>
      </c>
      <c r="O100" s="997">
        <v>1.2070714556036954</v>
      </c>
      <c r="P100" s="22">
        <f t="shared" si="17"/>
        <v>0.2293528567360279</v>
      </c>
      <c r="Q100" s="982">
        <f t="shared" si="18"/>
        <v>19.000768817064028</v>
      </c>
      <c r="R100" s="6"/>
      <c r="S100" s="6"/>
      <c r="T100" s="6"/>
      <c r="U100" s="6"/>
      <c r="V100" s="6"/>
      <c r="W100" s="6"/>
      <c r="X100" s="6"/>
      <c r="Y100" s="6"/>
      <c r="Z100" s="6"/>
    </row>
    <row r="101" spans="1:26" s="93" customFormat="1" ht="15.75">
      <c r="A101" s="236">
        <v>10</v>
      </c>
      <c r="B101" s="898" t="s">
        <v>60</v>
      </c>
      <c r="C101" s="886">
        <f>cходова!R101</f>
        <v>0</v>
      </c>
      <c r="D101" s="886">
        <f>прибуд.!O101</f>
        <v>0</v>
      </c>
      <c r="E101" s="886">
        <f>гар.вода!M101+хол.вода!Q101+ц.о.!M101+каналізація!Q101+аварійні!I101+зварювальн!M101</f>
        <v>0.16034900274623898</v>
      </c>
      <c r="F101" s="886">
        <f>дератизац.!I101</f>
        <v>9.9708686440677964E-3</v>
      </c>
      <c r="G101" s="886">
        <f>димоканал!R101</f>
        <v>5.5446389275068231E-2</v>
      </c>
      <c r="H101" s="886">
        <f>'підготовка до зими'!M101+майстерні!M101+маляри!M101+покрівлі!O101</f>
        <v>0.20114627707375399</v>
      </c>
      <c r="I101" s="886">
        <f>електрики!R101</f>
        <v>1.9355452617821574E-2</v>
      </c>
      <c r="J101" s="1000">
        <f t="shared" si="16"/>
        <v>0.44626799035695058</v>
      </c>
      <c r="K101" s="1000">
        <v>1.1486287585597842E-2</v>
      </c>
      <c r="L101" s="994">
        <f t="shared" si="19"/>
        <v>0.45775427794254842</v>
      </c>
      <c r="M101" s="1009">
        <f t="shared" si="20"/>
        <v>0.54930513353105803</v>
      </c>
      <c r="N101" s="995">
        <v>2</v>
      </c>
      <c r="O101" s="997">
        <v>0.47323504852663112</v>
      </c>
      <c r="P101" s="22">
        <f t="shared" si="17"/>
        <v>7.6070085004426913E-2</v>
      </c>
      <c r="Q101" s="982">
        <f t="shared" si="18"/>
        <v>16.074482488408947</v>
      </c>
      <c r="R101" s="6"/>
      <c r="S101" s="6"/>
      <c r="T101" s="6"/>
      <c r="U101" s="6"/>
      <c r="V101" s="6"/>
      <c r="W101" s="6"/>
      <c r="X101" s="6"/>
      <c r="Y101" s="6"/>
      <c r="Z101" s="6"/>
    </row>
    <row r="102" spans="1:26" s="93" customFormat="1" ht="15.75">
      <c r="A102" s="236">
        <v>11</v>
      </c>
      <c r="B102" s="897" t="s">
        <v>61</v>
      </c>
      <c r="C102" s="886">
        <f>cходова!R102</f>
        <v>0.41857797110072742</v>
      </c>
      <c r="D102" s="886">
        <f>прибуд.!O102</f>
        <v>0.42983355623088304</v>
      </c>
      <c r="E102" s="886">
        <f>гар.вода!M102+хол.вода!Q102+ц.о.!M102+каналізація!Q102+аварійні!I102+зварювальн!M102</f>
        <v>0.18380879787210372</v>
      </c>
      <c r="F102" s="886">
        <f>дератизац.!I102</f>
        <v>6.5614208189442528E-3</v>
      </c>
      <c r="G102" s="886">
        <f>димоканал!R102</f>
        <v>5.680861432977883E-2</v>
      </c>
      <c r="H102" s="886">
        <f>'підготовка до зими'!M102+майстерні!M102+маляри!M102+покрівлі!O102</f>
        <v>0.24166675237292909</v>
      </c>
      <c r="I102" s="886">
        <f>електрики!R102</f>
        <v>2.8203049812252471E-2</v>
      </c>
      <c r="J102" s="989">
        <f t="shared" si="16"/>
        <v>1.3654601625376188</v>
      </c>
      <c r="K102" s="989">
        <v>3.423145180171748E-2</v>
      </c>
      <c r="L102" s="994">
        <f t="shared" si="19"/>
        <v>1.3996916143393363</v>
      </c>
      <c r="M102" s="994">
        <f t="shared" si="20"/>
        <v>1.6796299372072034</v>
      </c>
      <c r="N102" s="995">
        <v>2</v>
      </c>
      <c r="O102" s="997">
        <v>1.41033581423076</v>
      </c>
      <c r="P102" s="22">
        <f t="shared" si="17"/>
        <v>0.2692941229764434</v>
      </c>
      <c r="Q102" s="982">
        <f t="shared" si="18"/>
        <v>19.094326348319001</v>
      </c>
      <c r="R102" s="6"/>
      <c r="S102" s="6"/>
      <c r="T102" s="6"/>
      <c r="U102" s="6"/>
      <c r="V102" s="6"/>
      <c r="W102" s="6"/>
      <c r="X102" s="6"/>
      <c r="Y102" s="6"/>
      <c r="Z102" s="6"/>
    </row>
    <row r="103" spans="1:26" s="93" customFormat="1" ht="15.75">
      <c r="A103" s="236">
        <v>12</v>
      </c>
      <c r="B103" s="897" t="s">
        <v>62</v>
      </c>
      <c r="C103" s="886">
        <f>cходова!R103</f>
        <v>0</v>
      </c>
      <c r="D103" s="886">
        <f>прибуд.!O103</f>
        <v>0.58707536904333613</v>
      </c>
      <c r="E103" s="886">
        <f>гар.вода!M103+хол.вода!Q103+ц.о.!M103+каналізація!Q103+аварійні!I103+зварювальн!M103</f>
        <v>0.16657066924359398</v>
      </c>
      <c r="F103" s="886">
        <f>дератизац.!I103</f>
        <v>9.3008994276369602E-3</v>
      </c>
      <c r="G103" s="886">
        <f>димоканал!R103</f>
        <v>5.4210217390985221E-2</v>
      </c>
      <c r="H103" s="886">
        <f>'підготовка до зими'!M103+майстерні!M103+маляри!M103+покрівлі!O103</f>
        <v>0.25527706210368817</v>
      </c>
      <c r="I103" s="886">
        <f>електрики!R103</f>
        <v>2.0915916745472603E-2</v>
      </c>
      <c r="J103" s="989">
        <f t="shared" si="16"/>
        <v>1.0933501339547131</v>
      </c>
      <c r="K103" s="989">
        <v>2.7559505055047038E-2</v>
      </c>
      <c r="L103" s="994">
        <f t="shared" si="19"/>
        <v>1.1209096390097602</v>
      </c>
      <c r="M103" s="994">
        <f t="shared" si="20"/>
        <v>1.345091566811712</v>
      </c>
      <c r="N103" s="995">
        <v>2</v>
      </c>
      <c r="O103" s="997">
        <v>1.135451608267938</v>
      </c>
      <c r="P103" s="22">
        <f t="shared" si="17"/>
        <v>0.20963995854377404</v>
      </c>
      <c r="Q103" s="982">
        <f t="shared" si="18"/>
        <v>18.463134581628452</v>
      </c>
      <c r="R103" s="6"/>
      <c r="S103" s="6"/>
      <c r="T103" s="6"/>
      <c r="U103" s="6"/>
      <c r="V103" s="6"/>
      <c r="W103" s="6"/>
      <c r="X103" s="6"/>
      <c r="Y103" s="6"/>
      <c r="Z103" s="6"/>
    </row>
    <row r="104" spans="1:26" s="93" customFormat="1" ht="15.75">
      <c r="A104" s="236">
        <v>13</v>
      </c>
      <c r="B104" s="897" t="s">
        <v>63</v>
      </c>
      <c r="C104" s="886">
        <f>cходова!R104</f>
        <v>0.523051261182234</v>
      </c>
      <c r="D104" s="886">
        <f>прибуд.!O104</f>
        <v>0.19881106643808016</v>
      </c>
      <c r="E104" s="886">
        <f>гар.вода!M104+хол.вода!Q104+ц.о.!M104+каналізація!Q104+аварійні!I104+зварювальн!M104</f>
        <v>0.15928889910875077</v>
      </c>
      <c r="F104" s="886">
        <f>дератизац.!I104</f>
        <v>9.360738457299329E-3</v>
      </c>
      <c r="G104" s="886">
        <f>димоканал!R104</f>
        <v>5.4923987212258191E-2</v>
      </c>
      <c r="H104" s="886">
        <f>'підготовка до зими'!M104+майстерні!M104+маляри!M104+покрівлі!O104</f>
        <v>0.17531865641810174</v>
      </c>
      <c r="I104" s="886">
        <f>електрики!R104</f>
        <v>1.9089566669322735E-2</v>
      </c>
      <c r="J104" s="989">
        <f t="shared" si="16"/>
        <v>1.1398441754860469</v>
      </c>
      <c r="K104" s="989">
        <v>2.8606599122038882E-2</v>
      </c>
      <c r="L104" s="994">
        <f t="shared" si="19"/>
        <v>1.1684507746080857</v>
      </c>
      <c r="M104" s="994">
        <f t="shared" si="20"/>
        <v>1.4021409295297027</v>
      </c>
      <c r="N104" s="995">
        <v>3</v>
      </c>
      <c r="O104" s="997">
        <v>1.1785918838280021</v>
      </c>
      <c r="P104" s="22">
        <f t="shared" si="17"/>
        <v>0.22354904570170064</v>
      </c>
      <c r="Q104" s="982">
        <f t="shared" si="18"/>
        <v>18.967468618197643</v>
      </c>
      <c r="R104" s="6"/>
      <c r="S104" s="6"/>
      <c r="T104" s="6"/>
      <c r="U104" s="6"/>
      <c r="V104" s="6"/>
      <c r="W104" s="6"/>
      <c r="X104" s="6"/>
      <c r="Y104" s="6"/>
      <c r="Z104" s="6"/>
    </row>
    <row r="105" spans="1:26" s="93" customFormat="1" ht="15.75">
      <c r="A105" s="236">
        <v>14</v>
      </c>
      <c r="B105" s="897" t="s">
        <v>64</v>
      </c>
      <c r="C105" s="886">
        <f>cходова!R105</f>
        <v>0.55376499245174993</v>
      </c>
      <c r="D105" s="886">
        <f>прибуд.!O105</f>
        <v>0.24877257013215867</v>
      </c>
      <c r="E105" s="886">
        <f>гар.вода!M105+хол.вода!Q105+ц.о.!M105+каналізація!Q105+аварійні!I105+зварювальн!M105</f>
        <v>0.16638018096504351</v>
      </c>
      <c r="F105" s="886">
        <f>дератизац.!I105</f>
        <v>9.0626529613313765E-3</v>
      </c>
      <c r="G105" s="886">
        <f>димоканал!R105</f>
        <v>5.0675651327636843E-2</v>
      </c>
      <c r="H105" s="886">
        <f>'підготовка до зими'!M105+майстерні!M105+маляри!M105+покрівлі!O105</f>
        <v>0.27280662541578693</v>
      </c>
      <c r="I105" s="886">
        <f>електрики!R105</f>
        <v>2.1915838056642385E-2</v>
      </c>
      <c r="J105" s="989">
        <f t="shared" si="16"/>
        <v>1.3233785113103496</v>
      </c>
      <c r="K105" s="989">
        <v>3.3237829435152418E-2</v>
      </c>
      <c r="L105" s="994">
        <f t="shared" si="19"/>
        <v>1.3566163407455021</v>
      </c>
      <c r="M105" s="994">
        <f t="shared" si="20"/>
        <v>1.6279396088946025</v>
      </c>
      <c r="N105" s="995">
        <v>3</v>
      </c>
      <c r="O105" s="997">
        <v>1.3693985727282796</v>
      </c>
      <c r="P105" s="22">
        <f t="shared" si="17"/>
        <v>0.25854103616632296</v>
      </c>
      <c r="Q105" s="982">
        <f t="shared" si="18"/>
        <v>18.879896716353855</v>
      </c>
      <c r="R105" s="6"/>
      <c r="S105" s="6"/>
      <c r="T105" s="6"/>
      <c r="U105" s="6"/>
      <c r="V105" s="6"/>
      <c r="W105" s="6"/>
      <c r="X105" s="6"/>
      <c r="Y105" s="6"/>
      <c r="Z105" s="6"/>
    </row>
    <row r="106" spans="1:26" s="93" customFormat="1" ht="15.75">
      <c r="A106" s="894">
        <v>15</v>
      </c>
      <c r="B106" s="897" t="s">
        <v>67</v>
      </c>
      <c r="C106" s="886">
        <f>cходова!R106</f>
        <v>0.64203912682940478</v>
      </c>
      <c r="D106" s="886">
        <f>прибуд.!O106</f>
        <v>0.3353890812965355</v>
      </c>
      <c r="E106" s="886">
        <f>гар.вода!M106+хол.вода!Q106+ц.о.!M106+каналізація!Q106+аварійні!I106+зварювальн!M106</f>
        <v>0.13907332590342639</v>
      </c>
      <c r="F106" s="886">
        <f>дератизац.!I106</f>
        <v>6.3875513799177934E-3</v>
      </c>
      <c r="G106" s="886">
        <f>димоканал!R106</f>
        <v>4.3601703819270005E-2</v>
      </c>
      <c r="H106" s="886">
        <f>'підготовка до зими'!M106+майстерні!M106+маляри!M106+покрівлі!O106</f>
        <v>0.12306258686255284</v>
      </c>
      <c r="I106" s="886">
        <f>електрики!R106</f>
        <v>1.4019272911175648E-2</v>
      </c>
      <c r="J106" s="989">
        <f t="shared" si="16"/>
        <v>1.303572649002283</v>
      </c>
      <c r="K106" s="989">
        <v>3.2548277604263133E-2</v>
      </c>
      <c r="L106" s="994">
        <f t="shared" si="19"/>
        <v>1.3361209266065461</v>
      </c>
      <c r="M106" s="994">
        <f t="shared" si="20"/>
        <v>1.6033451119278552</v>
      </c>
      <c r="N106" s="995">
        <v>4</v>
      </c>
      <c r="O106" s="997">
        <v>1.3409890372956412</v>
      </c>
      <c r="P106" s="22">
        <f t="shared" si="17"/>
        <v>0.262356074632214</v>
      </c>
      <c r="Q106" s="982">
        <f t="shared" si="18"/>
        <v>19.564371321133606</v>
      </c>
      <c r="R106" s="6"/>
      <c r="S106" s="6"/>
      <c r="T106" s="6"/>
      <c r="U106" s="6"/>
      <c r="V106" s="6"/>
      <c r="W106" s="6"/>
      <c r="X106" s="6"/>
      <c r="Y106" s="6"/>
      <c r="Z106" s="6"/>
    </row>
    <row r="107" spans="1:26" s="93" customFormat="1" ht="15.75">
      <c r="A107" s="236">
        <v>16</v>
      </c>
      <c r="B107" s="897" t="s">
        <v>68</v>
      </c>
      <c r="C107" s="886">
        <f>cходова!R107</f>
        <v>0.60250132842588455</v>
      </c>
      <c r="D107" s="886">
        <f>прибуд.!O107</f>
        <v>0.26615121532258068</v>
      </c>
      <c r="E107" s="886">
        <f>гар.вода!M107+хол.вода!Q107+ц.о.!M107+каналізація!Q107+аварійні!I107+зварювальн!M107</f>
        <v>0.13925700077827946</v>
      </c>
      <c r="F107" s="886">
        <f>дератизац.!I107</f>
        <v>9.4107404692082113E-3</v>
      </c>
      <c r="G107" s="886">
        <f>димоканал!R107</f>
        <v>4.2080531448067608E-2</v>
      </c>
      <c r="H107" s="886">
        <f>'підготовка до зими'!M107+майстерні!M107+маляри!M107+покрівлі!O107</f>
        <v>0.12026900300781102</v>
      </c>
      <c r="I107" s="886">
        <f>електрики!R107</f>
        <v>1.5035364133843845E-2</v>
      </c>
      <c r="J107" s="989">
        <f t="shared" si="16"/>
        <v>1.1947051835856755</v>
      </c>
      <c r="K107" s="989">
        <v>2.9835521935183698E-2</v>
      </c>
      <c r="L107" s="994">
        <f t="shared" si="19"/>
        <v>1.2245407055208593</v>
      </c>
      <c r="M107" s="994">
        <f t="shared" si="20"/>
        <v>1.4694488466250311</v>
      </c>
      <c r="N107" s="995">
        <v>4</v>
      </c>
      <c r="O107" s="997">
        <v>1.2292235037295685</v>
      </c>
      <c r="P107" s="22">
        <f t="shared" si="17"/>
        <v>0.2402253428954626</v>
      </c>
      <c r="Q107" s="982">
        <f t="shared" si="18"/>
        <v>19.542853042314803</v>
      </c>
      <c r="R107" s="6"/>
      <c r="S107" s="6"/>
      <c r="T107" s="6"/>
      <c r="U107" s="6"/>
      <c r="V107" s="6"/>
      <c r="W107" s="6"/>
      <c r="X107" s="6"/>
      <c r="Y107" s="6"/>
      <c r="Z107" s="6"/>
    </row>
    <row r="108" spans="1:26" s="93" customFormat="1" ht="15.75">
      <c r="A108" s="236">
        <v>17</v>
      </c>
      <c r="B108" s="897" t="s">
        <v>69</v>
      </c>
      <c r="C108" s="886">
        <f>cходова!R108</f>
        <v>0.51703066376782736</v>
      </c>
      <c r="D108" s="886">
        <f>прибуд.!O108</f>
        <v>0.25709902990386146</v>
      </c>
      <c r="E108" s="886">
        <f>гар.вода!M108+хол.вода!Q108+ц.о.!M108+каналізація!Q108+аварійні!I108+зварювальн!M108</f>
        <v>0.1373496604986329</v>
      </c>
      <c r="F108" s="886">
        <f>дератизац.!I108</f>
        <v>9.0844708840140918E-3</v>
      </c>
      <c r="G108" s="886">
        <f>димоканал!R108</f>
        <v>4.1513101268052993E-2</v>
      </c>
      <c r="H108" s="886">
        <f>'підготовка до зими'!M108+майстерні!M108+маляри!M108+покрівлі!O108</f>
        <v>0.14921008584883461</v>
      </c>
      <c r="I108" s="886">
        <f>електрики!R108</f>
        <v>1.4075401870680834E-2</v>
      </c>
      <c r="J108" s="989">
        <f t="shared" si="16"/>
        <v>1.1253624140419043</v>
      </c>
      <c r="K108" s="989">
        <v>2.8159428775078585E-2</v>
      </c>
      <c r="L108" s="994">
        <f t="shared" si="19"/>
        <v>1.1535218428169829</v>
      </c>
      <c r="M108" s="994">
        <f t="shared" si="20"/>
        <v>1.3842262113803794</v>
      </c>
      <c r="N108" s="995">
        <v>4</v>
      </c>
      <c r="O108" s="997">
        <v>1.1601684655332376</v>
      </c>
      <c r="P108" s="22">
        <f t="shared" si="17"/>
        <v>0.22405774584714178</v>
      </c>
      <c r="Q108" s="982">
        <f t="shared" si="18"/>
        <v>19.312518181931466</v>
      </c>
      <c r="R108" s="6"/>
      <c r="S108" s="6"/>
      <c r="T108" s="6"/>
      <c r="U108" s="6"/>
      <c r="V108" s="6"/>
      <c r="W108" s="6"/>
      <c r="X108" s="6"/>
      <c r="Y108" s="6"/>
      <c r="Z108" s="6"/>
    </row>
    <row r="109" spans="1:26" s="93" customFormat="1" ht="15.75">
      <c r="A109" s="236">
        <v>18</v>
      </c>
      <c r="B109" s="897" t="s">
        <v>70</v>
      </c>
      <c r="C109" s="886">
        <f>cходова!R109</f>
        <v>0.58142236457098451</v>
      </c>
      <c r="D109" s="886">
        <f>прибуд.!O109</f>
        <v>0.27079180061538466</v>
      </c>
      <c r="E109" s="886">
        <f>гар.вода!M109+хол.вода!Q109+ц.о.!M109+каналізація!Q109+аварійні!I109+зварювальн!M109</f>
        <v>0.15925385271118642</v>
      </c>
      <c r="F109" s="886">
        <f>дератизац.!I109</f>
        <v>8.8242424242424254E-3</v>
      </c>
      <c r="G109" s="886">
        <f>димоканал!R109</f>
        <v>3.4343039969938073E-2</v>
      </c>
      <c r="H109" s="886">
        <f>'підготовка до зими'!M109+майстерні!M109+маляри!M109+покрівлі!O109</f>
        <v>0.194359625324241</v>
      </c>
      <c r="I109" s="886">
        <f>електрики!R109</f>
        <v>1.9080776637548154E-2</v>
      </c>
      <c r="J109" s="989">
        <f t="shared" si="16"/>
        <v>1.2680757022535252</v>
      </c>
      <c r="K109" s="989">
        <v>3.1763462394660158E-2</v>
      </c>
      <c r="L109" s="994">
        <f t="shared" si="19"/>
        <v>1.2998391646481853</v>
      </c>
      <c r="M109" s="994">
        <f t="shared" si="20"/>
        <v>1.5598069975778224</v>
      </c>
      <c r="N109" s="995">
        <v>4</v>
      </c>
      <c r="O109" s="997">
        <v>1.3086546506599985</v>
      </c>
      <c r="P109" s="22">
        <f t="shared" si="17"/>
        <v>0.25115234691782384</v>
      </c>
      <c r="Q109" s="982">
        <f t="shared" si="18"/>
        <v>19.191644395345946</v>
      </c>
      <c r="R109" s="6"/>
      <c r="S109" s="6"/>
      <c r="T109" s="6"/>
      <c r="U109" s="6"/>
      <c r="V109" s="6"/>
      <c r="W109" s="6"/>
      <c r="X109" s="6"/>
      <c r="Y109" s="6"/>
      <c r="Z109" s="6"/>
    </row>
    <row r="110" spans="1:26" s="93" customFormat="1" ht="15.75">
      <c r="A110" s="236">
        <v>19</v>
      </c>
      <c r="B110" s="897" t="s">
        <v>71</v>
      </c>
      <c r="C110" s="886">
        <f>cходова!R110</f>
        <v>0.51095978886221483</v>
      </c>
      <c r="D110" s="886">
        <f>прибуд.!O110</f>
        <v>0.2407482187111428</v>
      </c>
      <c r="E110" s="886">
        <f>гар.вода!M110+хол.вода!Q110+ц.о.!M110+каналізація!Q110+аварійні!I110+зварювальн!M110</f>
        <v>0.13954077935752149</v>
      </c>
      <c r="F110" s="886">
        <f>дератизац.!I110</f>
        <v>6.8761708970936876E-3</v>
      </c>
      <c r="G110" s="886">
        <f>димоканал!R110</f>
        <v>4.1653046252829076E-2</v>
      </c>
      <c r="H110" s="886">
        <f>'підготовка до зими'!M110+майстерні!M110+маляри!M110+покрівлі!O110</f>
        <v>0.19339300182642055</v>
      </c>
      <c r="I110" s="886">
        <f>електрики!R110</f>
        <v>1.593869200124181E-2</v>
      </c>
      <c r="J110" s="989">
        <f t="shared" si="16"/>
        <v>1.1491096979084643</v>
      </c>
      <c r="K110" s="989">
        <v>2.8749659412659289E-2</v>
      </c>
      <c r="L110" s="994">
        <f t="shared" si="19"/>
        <v>1.1778593573211236</v>
      </c>
      <c r="M110" s="994">
        <f t="shared" si="20"/>
        <v>1.4134312287853483</v>
      </c>
      <c r="N110" s="995">
        <v>4</v>
      </c>
      <c r="O110" s="997">
        <v>1.1844859678015627</v>
      </c>
      <c r="P110" s="22">
        <f t="shared" si="17"/>
        <v>0.22894526098378565</v>
      </c>
      <c r="Q110" s="982">
        <f t="shared" si="18"/>
        <v>19.328659621752564</v>
      </c>
      <c r="R110" s="6"/>
      <c r="S110" s="6"/>
      <c r="T110" s="6"/>
      <c r="U110" s="6"/>
      <c r="V110" s="6"/>
      <c r="W110" s="6"/>
      <c r="X110" s="6"/>
      <c r="Y110" s="6"/>
      <c r="Z110" s="6"/>
    </row>
    <row r="111" spans="1:26" s="93" customFormat="1" ht="15.75">
      <c r="A111" s="236">
        <v>20</v>
      </c>
      <c r="B111" s="897" t="s">
        <v>72</v>
      </c>
      <c r="C111" s="886">
        <f>cходова!R111</f>
        <v>0</v>
      </c>
      <c r="D111" s="886">
        <f>прибуд.!O111</f>
        <v>0.55998497221242849</v>
      </c>
      <c r="E111" s="886">
        <f>гар.вода!M111+хол.вода!Q111+ц.о.!M111+каналізація!Q111+аварійні!I111+зварювальн!M111</f>
        <v>0.17307598847436767</v>
      </c>
      <c r="F111" s="886">
        <f>дератизац.!I111</f>
        <v>5.6765094755398858E-3</v>
      </c>
      <c r="G111" s="886">
        <f>димоканал!R111</f>
        <v>4.6762568874333089E-2</v>
      </c>
      <c r="H111" s="886">
        <f>'підготовка до зими'!M111+майстерні!M111+маляри!M111+покрівлі!O111</f>
        <v>0.23099391567553537</v>
      </c>
      <c r="I111" s="886">
        <f>електрики!R111</f>
        <v>2.6659891797512238E-2</v>
      </c>
      <c r="J111" s="989">
        <f t="shared" si="16"/>
        <v>1.0431538465097168</v>
      </c>
      <c r="K111" s="989">
        <v>2.6185703692529018E-2</v>
      </c>
      <c r="L111" s="994">
        <f t="shared" si="19"/>
        <v>1.0693395502022458</v>
      </c>
      <c r="M111" s="994">
        <f t="shared" si="20"/>
        <v>1.2832074602426948</v>
      </c>
      <c r="N111" s="995">
        <v>1</v>
      </c>
      <c r="O111" s="997">
        <v>1.0788509921321956</v>
      </c>
      <c r="P111" s="22">
        <f t="shared" si="17"/>
        <v>0.20435646811049923</v>
      </c>
      <c r="Q111" s="982">
        <f t="shared" si="18"/>
        <v>18.942047567349206</v>
      </c>
      <c r="R111" s="6"/>
      <c r="S111" s="6"/>
      <c r="T111" s="6"/>
      <c r="U111" s="6"/>
      <c r="V111" s="6"/>
      <c r="W111" s="6"/>
      <c r="X111" s="6"/>
      <c r="Y111" s="6"/>
      <c r="Z111" s="6"/>
    </row>
    <row r="112" spans="1:26" s="93" customFormat="1" ht="15.75">
      <c r="A112" s="236">
        <v>21</v>
      </c>
      <c r="B112" s="897" t="s">
        <v>73</v>
      </c>
      <c r="C112" s="886">
        <f>cходова!R112</f>
        <v>0.57967765643581004</v>
      </c>
      <c r="D112" s="886">
        <f>прибуд.!O112</f>
        <v>0.28244055318983408</v>
      </c>
      <c r="E112" s="886">
        <f>гар.вода!M112+хол.вода!Q112+ц.о.!M112+каналізація!Q112+аварійні!I112+зварювальн!M112</f>
        <v>0.14489337908155583</v>
      </c>
      <c r="F112" s="886">
        <f>дератизац.!I112</f>
        <v>8.2326244813278032E-3</v>
      </c>
      <c r="G112" s="886">
        <f>димоканал!R112</f>
        <v>3.8007234474030177E-2</v>
      </c>
      <c r="H112" s="886">
        <f>'підготовка до зими'!M112+майстерні!M112+маляри!M112+покрівлі!O112</f>
        <v>0.16768702431582569</v>
      </c>
      <c r="I112" s="886">
        <f>електрики!R112</f>
        <v>1.6201697725116811E-2</v>
      </c>
      <c r="J112" s="989">
        <f t="shared" si="16"/>
        <v>1.2371401697035003</v>
      </c>
      <c r="K112" s="989">
        <v>3.0936899149353988E-2</v>
      </c>
      <c r="L112" s="994">
        <f t="shared" si="19"/>
        <v>1.2680770688528542</v>
      </c>
      <c r="M112" s="994">
        <f t="shared" si="20"/>
        <v>1.521692482623425</v>
      </c>
      <c r="N112" s="995">
        <v>3</v>
      </c>
      <c r="O112" s="997">
        <v>1.2746002449533842</v>
      </c>
      <c r="P112" s="22">
        <f t="shared" si="17"/>
        <v>0.24709223767004085</v>
      </c>
      <c r="Q112" s="982">
        <f t="shared" si="18"/>
        <v>19.385861461142099</v>
      </c>
      <c r="R112" s="6"/>
      <c r="S112" s="6"/>
      <c r="T112" s="6"/>
      <c r="U112" s="6"/>
      <c r="V112" s="6"/>
      <c r="W112" s="6"/>
      <c r="X112" s="6"/>
      <c r="Y112" s="6"/>
      <c r="Z112" s="6"/>
    </row>
    <row r="113" spans="1:26" s="93" customFormat="1" ht="15.75">
      <c r="A113" s="894">
        <v>22</v>
      </c>
      <c r="B113" s="897" t="s">
        <v>74</v>
      </c>
      <c r="C113" s="886">
        <f>cходова!R113</f>
        <v>0.52926989077267328</v>
      </c>
      <c r="D113" s="886">
        <f>прибуд.!O113</f>
        <v>0.4161967208624846</v>
      </c>
      <c r="E113" s="886">
        <f>гар.вода!M113+хол.вода!Q113+ц.о.!M113+каналізація!Q113+аварійні!I113+зварювальн!M113</f>
        <v>0.15313351571389722</v>
      </c>
      <c r="F113" s="886">
        <f>дератизац.!I113</f>
        <v>9.3318243282967863E-3</v>
      </c>
      <c r="G113" s="886">
        <f>димоканал!R113</f>
        <v>4.203721017418071E-2</v>
      </c>
      <c r="H113" s="886">
        <f>'підготовка до зими'!M113+майстерні!M113+маляри!M113+покрівлі!O113</f>
        <v>0.1775494402679601</v>
      </c>
      <c r="I113" s="886">
        <f>електрики!R113</f>
        <v>1.9990305586218209E-2</v>
      </c>
      <c r="J113" s="989">
        <f t="shared" si="16"/>
        <v>1.347508907705711</v>
      </c>
      <c r="K113" s="989">
        <v>3.3669538977899566E-2</v>
      </c>
      <c r="L113" s="994">
        <f t="shared" si="19"/>
        <v>1.3811784466836106</v>
      </c>
      <c r="M113" s="994">
        <f t="shared" si="20"/>
        <v>1.6574141360203327</v>
      </c>
      <c r="N113" s="995">
        <v>3</v>
      </c>
      <c r="O113" s="997">
        <v>1.3871850058894621</v>
      </c>
      <c r="P113" s="22">
        <f t="shared" si="17"/>
        <v>0.27022913013087058</v>
      </c>
      <c r="Q113" s="982">
        <f t="shared" si="18"/>
        <v>19.480395836429892</v>
      </c>
      <c r="R113" s="6"/>
      <c r="S113" s="6"/>
      <c r="T113" s="6"/>
      <c r="U113" s="6"/>
      <c r="V113" s="6"/>
      <c r="W113" s="6"/>
      <c r="X113" s="6"/>
      <c r="Y113" s="6"/>
      <c r="Z113" s="6"/>
    </row>
    <row r="114" spans="1:26" s="93" customFormat="1" ht="15.75">
      <c r="A114" s="236">
        <v>23</v>
      </c>
      <c r="B114" s="897" t="s">
        <v>75</v>
      </c>
      <c r="C114" s="886">
        <f>cходова!R114</f>
        <v>0</v>
      </c>
      <c r="D114" s="886">
        <f>прибуд.!O114</f>
        <v>0.47657401732851995</v>
      </c>
      <c r="E114" s="886">
        <f>гар.вода!M114+хол.вода!Q114+ц.о.!M114+каналізація!Q114+аварійні!I114+зварювальн!M114</f>
        <v>0.15012195861016564</v>
      </c>
      <c r="F114" s="886">
        <f>дератизац.!I114</f>
        <v>2.9176238923531344E-3</v>
      </c>
      <c r="G114" s="886">
        <f>димоканал!R114</f>
        <v>4.8098423410521937E-2</v>
      </c>
      <c r="H114" s="886">
        <f>'підготовка до зими'!M114+майстерні!M114+маляри!M114+покрівлі!O114</f>
        <v>0.25979026589967041</v>
      </c>
      <c r="I114" s="886">
        <f>електрики!R114</f>
        <v>1.6790394604340658E-2</v>
      </c>
      <c r="J114" s="989">
        <f t="shared" si="16"/>
        <v>0.95429268374557175</v>
      </c>
      <c r="K114" s="989">
        <v>2.4056805030229934E-2</v>
      </c>
      <c r="L114" s="994">
        <f t="shared" si="19"/>
        <v>0.97834948877580163</v>
      </c>
      <c r="M114" s="994">
        <f t="shared" si="20"/>
        <v>1.1740193865309618</v>
      </c>
      <c r="N114" s="995">
        <v>1</v>
      </c>
      <c r="O114" s="997">
        <v>0.99114036724547327</v>
      </c>
      <c r="P114" s="22">
        <f t="shared" si="17"/>
        <v>0.18287901928548855</v>
      </c>
      <c r="Q114" s="982">
        <f t="shared" si="18"/>
        <v>18.451374328919385</v>
      </c>
      <c r="R114" s="6"/>
      <c r="S114" s="6"/>
      <c r="T114" s="6"/>
      <c r="U114" s="6"/>
      <c r="V114" s="6"/>
      <c r="W114" s="6"/>
      <c r="X114" s="6"/>
      <c r="Y114" s="6"/>
      <c r="Z114" s="6"/>
    </row>
    <row r="115" spans="1:26" s="93" customFormat="1" ht="15.75">
      <c r="A115" s="236">
        <v>24</v>
      </c>
      <c r="B115" s="897" t="s">
        <v>76</v>
      </c>
      <c r="C115" s="886">
        <f>cходова!R115</f>
        <v>0.59604626187705101</v>
      </c>
      <c r="D115" s="886">
        <f>прибуд.!O115</f>
        <v>0.37045037878710585</v>
      </c>
      <c r="E115" s="886">
        <f>гар.вода!M115+хол.вода!Q115+ц.о.!M115+каналізація!Q115+аварійні!I115+зварювальн!M115</f>
        <v>0.13868391811075018</v>
      </c>
      <c r="F115" s="886">
        <f>дератизац.!I115</f>
        <v>3.2608141065542822E-3</v>
      </c>
      <c r="G115" s="886">
        <f>димоканал!R115</f>
        <v>3.7460379730187385E-2</v>
      </c>
      <c r="H115" s="886">
        <f>'підготовка до зими'!M115+майстерні!M115+маляри!M115+покрівлі!O115</f>
        <v>0.20682614358065232</v>
      </c>
      <c r="I115" s="886">
        <f>електрики!R115</f>
        <v>1.663608630464098E-2</v>
      </c>
      <c r="J115" s="989">
        <f t="shared" si="16"/>
        <v>1.3693639824969419</v>
      </c>
      <c r="K115" s="989">
        <v>3.4142476447129588E-2</v>
      </c>
      <c r="L115" s="994">
        <f t="shared" si="19"/>
        <v>1.4035064589440716</v>
      </c>
      <c r="M115" s="994">
        <f t="shared" si="20"/>
        <v>1.6842077507328859</v>
      </c>
      <c r="N115" s="995">
        <v>4</v>
      </c>
      <c r="O115" s="997">
        <v>1.4066700296217391</v>
      </c>
      <c r="P115" s="22">
        <f t="shared" si="17"/>
        <v>0.27753772111114672</v>
      </c>
      <c r="Q115" s="982">
        <f t="shared" si="18"/>
        <v>19.730122577913889</v>
      </c>
      <c r="R115" s="6"/>
      <c r="S115" s="6"/>
      <c r="T115" s="6"/>
      <c r="U115" s="6"/>
      <c r="V115" s="6"/>
      <c r="W115" s="6"/>
      <c r="X115" s="6"/>
      <c r="Y115" s="6"/>
      <c r="Z115" s="6"/>
    </row>
    <row r="116" spans="1:26" s="93" customFormat="1" ht="15.75">
      <c r="A116" s="236">
        <v>25</v>
      </c>
      <c r="B116" s="897" t="s">
        <v>77</v>
      </c>
      <c r="C116" s="886">
        <f>cходова!R116</f>
        <v>0.40138570150919545</v>
      </c>
      <c r="D116" s="886">
        <f>прибуд.!O116</f>
        <v>0.5305847838273815</v>
      </c>
      <c r="E116" s="886">
        <f>гар.вода!M116+хол.вода!Q116+ц.о.!M116+каналізація!Q116+аварійні!I116+зварювальн!M116</f>
        <v>0.26961158518091916</v>
      </c>
      <c r="F116" s="886">
        <f>дератизац.!I116</f>
        <v>4.7575370272911824E-3</v>
      </c>
      <c r="G116" s="886">
        <f>димоканал!R116</f>
        <v>3.5761370790851531E-2</v>
      </c>
      <c r="H116" s="886">
        <f>'підготовка до зими'!M116+майстерні!M116+маляри!M116+покрівлі!O116</f>
        <v>0.14379491364595196</v>
      </c>
      <c r="I116" s="886">
        <f>електрики!R116</f>
        <v>1.5385409325441994E-2</v>
      </c>
      <c r="J116" s="989">
        <f t="shared" si="16"/>
        <v>1.4012813013070329</v>
      </c>
      <c r="K116" s="989">
        <v>3.5075992432297858E-2</v>
      </c>
      <c r="L116" s="994">
        <f t="shared" si="19"/>
        <v>1.4363572937393307</v>
      </c>
      <c r="M116" s="994">
        <f t="shared" si="20"/>
        <v>1.7236287524871969</v>
      </c>
      <c r="N116" s="995">
        <v>4</v>
      </c>
      <c r="O116" s="997">
        <v>1.4451308882106717</v>
      </c>
      <c r="P116" s="22">
        <f t="shared" si="17"/>
        <v>0.27849786427652523</v>
      </c>
      <c r="Q116" s="982">
        <f t="shared" si="18"/>
        <v>19.271462989857952</v>
      </c>
      <c r="R116" s="6"/>
      <c r="S116" s="6"/>
      <c r="T116" s="6"/>
      <c r="U116" s="6"/>
      <c r="V116" s="6"/>
      <c r="W116" s="6"/>
      <c r="X116" s="6"/>
      <c r="Y116" s="6"/>
      <c r="Z116" s="6"/>
    </row>
    <row r="117" spans="1:26" s="93" customFormat="1" ht="15.75">
      <c r="A117" s="236">
        <v>26</v>
      </c>
      <c r="B117" s="897" t="s">
        <v>78</v>
      </c>
      <c r="C117" s="886">
        <f>cходова!R117</f>
        <v>0.4995080883018494</v>
      </c>
      <c r="D117" s="886">
        <f>прибуд.!O117</f>
        <v>0.42113544791372698</v>
      </c>
      <c r="E117" s="886">
        <f>гар.вода!M117+хол.вода!Q117+ц.о.!M117+каналізація!Q117+аварійні!I117+зварювальн!M117</f>
        <v>0.18260095399126491</v>
      </c>
      <c r="F117" s="886">
        <f>дератизац.!I117</f>
        <v>1.0666544812039238E-2</v>
      </c>
      <c r="G117" s="886">
        <f>димоканал!R117</f>
        <v>9.8469898832340114E-2</v>
      </c>
      <c r="H117" s="886">
        <f>'підготовка до зими'!M117+майстерні!M117+маляри!M117+покрівлі!O117</f>
        <v>0.1613259104106011</v>
      </c>
      <c r="I117" s="886">
        <f>електрики!R117</f>
        <v>2.595159843227493E-2</v>
      </c>
      <c r="J117" s="989">
        <f t="shared" si="16"/>
        <v>1.3996584426940966</v>
      </c>
      <c r="K117" s="989">
        <v>3.5143736961094775E-2</v>
      </c>
      <c r="L117" s="994">
        <f t="shared" si="19"/>
        <v>1.4348021796551913</v>
      </c>
      <c r="M117" s="994">
        <f t="shared" si="20"/>
        <v>1.7217626155862296</v>
      </c>
      <c r="N117" s="995">
        <v>3</v>
      </c>
      <c r="O117" s="997">
        <v>1.4479219627971047</v>
      </c>
      <c r="P117" s="22">
        <f t="shared" si="17"/>
        <v>0.27384065278912484</v>
      </c>
      <c r="Q117" s="982">
        <f t="shared" si="18"/>
        <v>18.912666554219399</v>
      </c>
      <c r="R117" s="6"/>
      <c r="S117" s="6"/>
      <c r="T117" s="6"/>
      <c r="U117" s="6"/>
      <c r="V117" s="6"/>
      <c r="W117" s="6"/>
      <c r="X117" s="6"/>
      <c r="Y117" s="6"/>
      <c r="Z117" s="6"/>
    </row>
    <row r="118" spans="1:26" s="93" customFormat="1" ht="15.75">
      <c r="A118" s="236">
        <v>27</v>
      </c>
      <c r="B118" s="897" t="s">
        <v>79</v>
      </c>
      <c r="C118" s="886">
        <f>cходова!R118</f>
        <v>0.58427247268392113</v>
      </c>
      <c r="D118" s="886">
        <f>прибуд.!O118</f>
        <v>0.40918928948950395</v>
      </c>
      <c r="E118" s="886">
        <f>гар.вода!M118+хол.вода!Q118+ц.о.!M118+каналізація!Q118+аварійні!I118+зварювальн!M118</f>
        <v>0.28026266744070555</v>
      </c>
      <c r="F118" s="886">
        <f>дератизац.!I118</f>
        <v>4.7961909185924986E-3</v>
      </c>
      <c r="G118" s="886">
        <f>димоканал!R118</f>
        <v>3.0403268979514324E-2</v>
      </c>
      <c r="H118" s="886">
        <f>'підготовка до зими'!M118+майстерні!M118+маляри!M118+покрівлі!O118</f>
        <v>0.1524168926754314</v>
      </c>
      <c r="I118" s="886">
        <f>електрики!R118</f>
        <v>2.0545200327773405E-2</v>
      </c>
      <c r="J118" s="989">
        <f t="shared" si="16"/>
        <v>1.4818859825154422</v>
      </c>
      <c r="K118" s="989">
        <v>3.7023784098218222E-2</v>
      </c>
      <c r="L118" s="994">
        <f t="shared" si="19"/>
        <v>1.5189097666136604</v>
      </c>
      <c r="M118" s="994">
        <f t="shared" si="20"/>
        <v>1.8226917199363923</v>
      </c>
      <c r="N118" s="995">
        <v>4</v>
      </c>
      <c r="O118" s="997">
        <v>1.5253799048465908</v>
      </c>
      <c r="P118" s="22">
        <f t="shared" si="17"/>
        <v>0.29731181508980153</v>
      </c>
      <c r="Q118" s="982">
        <f t="shared" si="18"/>
        <v>19.491001169292474</v>
      </c>
      <c r="R118" s="6"/>
      <c r="S118" s="6"/>
      <c r="T118" s="6"/>
      <c r="U118" s="6"/>
      <c r="V118" s="6"/>
      <c r="W118" s="6"/>
      <c r="X118" s="6"/>
      <c r="Y118" s="6"/>
      <c r="Z118" s="6"/>
    </row>
    <row r="119" spans="1:26" s="93" customFormat="1" ht="15.75">
      <c r="A119" s="236">
        <v>28</v>
      </c>
      <c r="B119" s="897" t="s">
        <v>80</v>
      </c>
      <c r="C119" s="886">
        <f>cходова!R119</f>
        <v>0.68504189784980118</v>
      </c>
      <c r="D119" s="886">
        <f>прибуд.!O119</f>
        <v>6.9127707930374011E-2</v>
      </c>
      <c r="E119" s="886">
        <f>гар.вода!M119+хол.вода!Q119+ц.о.!M119+каналізація!Q119+аварійні!I119+зварювальн!M119</f>
        <v>0.17456931012777399</v>
      </c>
      <c r="F119" s="886">
        <f>дератизац.!I119</f>
        <v>9.4147988843711148E-3</v>
      </c>
      <c r="G119" s="886">
        <f>димоканал!R119</f>
        <v>4.0692208510465615E-2</v>
      </c>
      <c r="H119" s="886">
        <f>'підготовка до зими'!M119+майстерні!M119+маляри!M119+покрівлі!O119</f>
        <v>0.19819633448380886</v>
      </c>
      <c r="I119" s="886">
        <f>електрики!R119</f>
        <v>2.7352250081893681E-2</v>
      </c>
      <c r="J119" s="989">
        <f t="shared" si="16"/>
        <v>1.2043945078684883</v>
      </c>
      <c r="K119" s="989">
        <v>3.0132731385584366E-2</v>
      </c>
      <c r="L119" s="994">
        <f t="shared" si="19"/>
        <v>1.2345272392540727</v>
      </c>
      <c r="M119" s="994">
        <f t="shared" si="20"/>
        <v>1.4814326871048873</v>
      </c>
      <c r="N119" s="995">
        <v>3</v>
      </c>
      <c r="O119" s="997">
        <v>1.241468533086076</v>
      </c>
      <c r="P119" s="22">
        <f t="shared" si="17"/>
        <v>0.23996415401881133</v>
      </c>
      <c r="Q119" s="982">
        <f t="shared" si="18"/>
        <v>19.32905648621653</v>
      </c>
      <c r="R119" s="6"/>
      <c r="S119" s="6"/>
      <c r="T119" s="6"/>
      <c r="U119" s="6"/>
      <c r="V119" s="6"/>
      <c r="W119" s="6"/>
      <c r="X119" s="6"/>
      <c r="Y119" s="6"/>
      <c r="Z119" s="6"/>
    </row>
    <row r="120" spans="1:26" s="93" customFormat="1" ht="15.75">
      <c r="A120" s="894">
        <v>29</v>
      </c>
      <c r="B120" s="897" t="s">
        <v>81</v>
      </c>
      <c r="C120" s="886">
        <f>cходова!R120</f>
        <v>0</v>
      </c>
      <c r="D120" s="886">
        <f>прибуд.!O120</f>
        <v>0.69026879985211254</v>
      </c>
      <c r="E120" s="886">
        <f>гар.вода!M120+хол.вода!Q120+ц.о.!M120+каналізація!Q120+аварійні!I120+зварювальн!M120</f>
        <v>0.17894259547828714</v>
      </c>
      <c r="F120" s="886">
        <f>дератизац.!I120</f>
        <v>2.6619718309859159E-3</v>
      </c>
      <c r="G120" s="886">
        <f>димоканал!R120</f>
        <v>5.8976215747227508E-2</v>
      </c>
      <c r="H120" s="886">
        <f>'підготовка до зими'!M120+майстерні!M120+маляри!M120+покрівлі!O120</f>
        <v>0.34084474980903345</v>
      </c>
      <c r="I120" s="886">
        <f>електрики!R120</f>
        <v>2.40189353800122E-2</v>
      </c>
      <c r="J120" s="989">
        <f t="shared" si="16"/>
        <v>1.2957132680976589</v>
      </c>
      <c r="K120" s="989">
        <v>3.2652768863121198E-2</v>
      </c>
      <c r="L120" s="994">
        <f t="shared" si="19"/>
        <v>1.3283660369607801</v>
      </c>
      <c r="M120" s="994">
        <f t="shared" si="20"/>
        <v>1.5940392443529361</v>
      </c>
      <c r="N120" s="995">
        <v>1</v>
      </c>
      <c r="O120" s="997">
        <v>1.3452940771605935</v>
      </c>
      <c r="P120" s="22">
        <f t="shared" si="17"/>
        <v>0.24874516719234263</v>
      </c>
      <c r="Q120" s="982">
        <f t="shared" si="18"/>
        <v>18.490021729475643</v>
      </c>
      <c r="R120" s="6"/>
      <c r="S120" s="6"/>
      <c r="T120" s="6"/>
      <c r="U120" s="6"/>
      <c r="V120" s="6"/>
      <c r="W120" s="6"/>
      <c r="X120" s="6"/>
      <c r="Y120" s="6"/>
      <c r="Z120" s="6"/>
    </row>
    <row r="121" spans="1:26" s="93" customFormat="1" ht="15.75">
      <c r="A121" s="236">
        <v>30</v>
      </c>
      <c r="B121" s="897" t="s">
        <v>82</v>
      </c>
      <c r="C121" s="886">
        <f>cходова!R121</f>
        <v>0.65936015312733598</v>
      </c>
      <c r="D121" s="886">
        <f>прибуд.!O121</f>
        <v>0.40270975305577711</v>
      </c>
      <c r="E121" s="886">
        <f>гар.вода!M121+хол.вода!Q121+ц.о.!M121+каналізація!Q121+аварійні!I121+зварювальн!M121</f>
        <v>0.15978096945061701</v>
      </c>
      <c r="F121" s="886">
        <f>дератизац.!I121</f>
        <v>1.3346275175928176E-2</v>
      </c>
      <c r="G121" s="886">
        <f>димоканал!R121</f>
        <v>2.0328507294217972E-2</v>
      </c>
      <c r="H121" s="886">
        <f>'підготовка до зими'!M121+майстерні!M121+маляри!M121+покрівлі!O121</f>
        <v>0.15227577660636374</v>
      </c>
      <c r="I121" s="886">
        <f>електрики!R121</f>
        <v>2.0617399519893668E-2</v>
      </c>
      <c r="J121" s="989">
        <f t="shared" si="16"/>
        <v>1.4284188342301336</v>
      </c>
      <c r="K121" s="989">
        <v>3.5642155962832267E-2</v>
      </c>
      <c r="L121" s="994">
        <f t="shared" si="19"/>
        <v>1.4640609901929658</v>
      </c>
      <c r="M121" s="994">
        <f t="shared" si="20"/>
        <v>1.7568731882315589</v>
      </c>
      <c r="N121" s="995">
        <v>4</v>
      </c>
      <c r="O121" s="997">
        <v>1.4684568256686894</v>
      </c>
      <c r="P121" s="22">
        <f t="shared" si="17"/>
        <v>0.28841636256286951</v>
      </c>
      <c r="Q121" s="982">
        <f t="shared" si="18"/>
        <v>19.64077918542371</v>
      </c>
      <c r="R121" s="6"/>
      <c r="S121" s="6"/>
      <c r="T121" s="6"/>
      <c r="U121" s="6"/>
      <c r="V121" s="6"/>
      <c r="W121" s="6"/>
      <c r="X121" s="6"/>
      <c r="Y121" s="6"/>
      <c r="Z121" s="6"/>
    </row>
    <row r="122" spans="1:26" s="93" customFormat="1" ht="15.75">
      <c r="A122" s="236">
        <v>31</v>
      </c>
      <c r="B122" s="897" t="s">
        <v>83</v>
      </c>
      <c r="C122" s="886">
        <f>cходова!R122</f>
        <v>0.63220132812348095</v>
      </c>
      <c r="D122" s="886">
        <f>прибуд.!O122</f>
        <v>0.20588349989791752</v>
      </c>
      <c r="E122" s="886">
        <f>гар.вода!M122+хол.вода!Q122+ц.о.!M122+каналізація!Q122+аварійні!I122+зварювальн!M122</f>
        <v>0.15258669836939215</v>
      </c>
      <c r="F122" s="886">
        <f>дератизац.!I122</f>
        <v>1.6673472165509733E-2</v>
      </c>
      <c r="G122" s="886">
        <f>димоканал!R122</f>
        <v>4.2624189494168151E-2</v>
      </c>
      <c r="H122" s="886">
        <f>'підготовка до зими'!M122+майстерні!M122+маляри!M122+покрівлі!O122</f>
        <v>0.14693716857845274</v>
      </c>
      <c r="I122" s="886">
        <f>електрики!R122</f>
        <v>1.7408579134145227E-2</v>
      </c>
      <c r="J122" s="989">
        <f t="shared" si="16"/>
        <v>1.2143149357630665</v>
      </c>
      <c r="K122" s="989">
        <v>3.0432763030243493E-2</v>
      </c>
      <c r="L122" s="994">
        <f t="shared" si="19"/>
        <v>1.2447476987933099</v>
      </c>
      <c r="M122" s="994">
        <f t="shared" si="20"/>
        <v>1.4936972385519718</v>
      </c>
      <c r="N122" s="995">
        <v>4</v>
      </c>
      <c r="O122" s="997">
        <v>1.2538298368460319</v>
      </c>
      <c r="P122" s="22">
        <f t="shared" si="17"/>
        <v>0.2398674017059399</v>
      </c>
      <c r="Q122" s="982">
        <f t="shared" si="18"/>
        <v>19.130777929907822</v>
      </c>
      <c r="R122" s="6"/>
      <c r="S122" s="6"/>
      <c r="T122" s="6"/>
      <c r="U122" s="6"/>
      <c r="V122" s="6"/>
      <c r="W122" s="6"/>
      <c r="X122" s="6"/>
      <c r="Y122" s="6"/>
      <c r="Z122" s="6"/>
    </row>
    <row r="123" spans="1:26" s="93" customFormat="1" ht="15.75">
      <c r="A123" s="236">
        <v>32</v>
      </c>
      <c r="B123" s="897" t="s">
        <v>84</v>
      </c>
      <c r="C123" s="886">
        <f>cходова!R123</f>
        <v>0.2741230126299864</v>
      </c>
      <c r="D123" s="886">
        <f>прибуд.!O123</f>
        <v>0.28146343392715545</v>
      </c>
      <c r="E123" s="886">
        <f>гар.вода!M123+хол.вода!Q123+ц.о.!M123+каналізація!Q123+аварійні!I123+зварювальн!M123</f>
        <v>0.27835761198622749</v>
      </c>
      <c r="F123" s="886">
        <f>дератизац.!I123</f>
        <v>7.3822487709467673E-4</v>
      </c>
      <c r="G123" s="886">
        <f>димоканал!R123</f>
        <v>2.9281341721251349E-2</v>
      </c>
      <c r="H123" s="886">
        <f>'підготовка до зими'!M123+майстерні!M123+маляри!M123+покрівлі!O123</f>
        <v>0.12649192034876325</v>
      </c>
      <c r="I123" s="886">
        <f>електрики!R123</f>
        <v>1.7785856572512644E-2</v>
      </c>
      <c r="J123" s="989">
        <f t="shared" si="16"/>
        <v>1.0082414020629913</v>
      </c>
      <c r="K123" s="989">
        <v>2.5301448106229626E-2</v>
      </c>
      <c r="L123" s="994">
        <f t="shared" si="19"/>
        <v>1.033542850169221</v>
      </c>
      <c r="M123" s="994">
        <f t="shared" si="20"/>
        <v>1.2402514202030652</v>
      </c>
      <c r="N123" s="995">
        <v>5</v>
      </c>
      <c r="O123" s="997">
        <v>1.0424196619766606</v>
      </c>
      <c r="P123" s="22">
        <f t="shared" si="17"/>
        <v>0.19783175822640464</v>
      </c>
      <c r="Q123" s="982">
        <f t="shared" si="18"/>
        <v>18.978129964593293</v>
      </c>
      <c r="R123" s="6"/>
      <c r="S123" s="6"/>
      <c r="T123" s="6"/>
      <c r="U123" s="6"/>
      <c r="V123" s="6"/>
      <c r="W123" s="6"/>
      <c r="X123" s="6"/>
      <c r="Y123" s="6"/>
      <c r="Z123" s="6"/>
    </row>
    <row r="124" spans="1:26" s="93" customFormat="1" ht="15.75">
      <c r="A124" s="236">
        <v>33</v>
      </c>
      <c r="B124" s="897" t="s">
        <v>85</v>
      </c>
      <c r="C124" s="886">
        <f>cходова!R124</f>
        <v>0</v>
      </c>
      <c r="D124" s="886">
        <f>прибуд.!O124</f>
        <v>0.23031991987057479</v>
      </c>
      <c r="E124" s="886">
        <f>гар.вода!M124+хол.вода!Q124+ц.о.!M124+каналізація!Q124+аварійні!I124+зварювальн!M124</f>
        <v>0.18670732304501469</v>
      </c>
      <c r="F124" s="886">
        <f>дератизац.!I124</f>
        <v>2.3182337266844311E-2</v>
      </c>
      <c r="G124" s="886">
        <f>димоканал!R124</f>
        <v>5.1803432750943082E-2</v>
      </c>
      <c r="H124" s="886">
        <f>'підготовка до зими'!M124+майстерні!M124+маляри!M124+покрівлі!O124</f>
        <v>0.27036184191973267</v>
      </c>
      <c r="I124" s="886">
        <f>електрики!R124</f>
        <v>2.5966416627040217E-2</v>
      </c>
      <c r="J124" s="989">
        <f t="shared" si="16"/>
        <v>0.78834127148014976</v>
      </c>
      <c r="K124" s="989">
        <v>2.0117741870137353E-2</v>
      </c>
      <c r="L124" s="994">
        <f t="shared" si="19"/>
        <v>0.80845901335028714</v>
      </c>
      <c r="M124" s="994">
        <f t="shared" si="20"/>
        <v>0.97015081602034448</v>
      </c>
      <c r="N124" s="995">
        <v>2</v>
      </c>
      <c r="O124" s="997">
        <v>0.82885096504965905</v>
      </c>
      <c r="P124" s="22">
        <f t="shared" si="17"/>
        <v>0.14129985097068543</v>
      </c>
      <c r="Q124" s="982">
        <f t="shared" si="18"/>
        <v>17.047678886664471</v>
      </c>
      <c r="R124" s="6"/>
      <c r="S124" s="6"/>
      <c r="T124" s="6"/>
      <c r="U124" s="6"/>
      <c r="V124" s="6"/>
      <c r="W124" s="6"/>
      <c r="X124" s="6"/>
      <c r="Y124" s="6"/>
      <c r="Z124" s="6"/>
    </row>
    <row r="125" spans="1:26" s="93" customFormat="1" ht="15.75">
      <c r="A125" s="236">
        <v>34</v>
      </c>
      <c r="B125" s="897" t="s">
        <v>86</v>
      </c>
      <c r="C125" s="886">
        <f>cходова!R125</f>
        <v>0.27133932743030448</v>
      </c>
      <c r="D125" s="886">
        <f>прибуд.!O125</f>
        <v>0.37135646044470766</v>
      </c>
      <c r="E125" s="886">
        <f>гар.вода!M125+хол.вода!Q125+ц.о.!M125+каналізація!Q125+аварійні!I125+зварювальн!M125</f>
        <v>0.28148224617924572</v>
      </c>
      <c r="F125" s="886">
        <f>дератизац.!I125</f>
        <v>3.2787767847528805E-3</v>
      </c>
      <c r="G125" s="886">
        <f>димоканал!R125</f>
        <v>3.3050599734179127E-2</v>
      </c>
      <c r="H125" s="886">
        <f>'підготовка до зими'!M125+майстерні!M125+маляри!M125+покрівлі!O125</f>
        <v>0.16943678189310726</v>
      </c>
      <c r="I125" s="886">
        <f>електрики!R125</f>
        <v>1.8362704985257525E-2</v>
      </c>
      <c r="J125" s="989">
        <f t="shared" si="16"/>
        <v>1.1483068974515547</v>
      </c>
      <c r="K125" s="989">
        <v>2.8832123876835754E-2</v>
      </c>
      <c r="L125" s="994">
        <f t="shared" si="19"/>
        <v>1.1771390213283903</v>
      </c>
      <c r="M125" s="994">
        <f t="shared" si="20"/>
        <v>1.4125668255940684</v>
      </c>
      <c r="N125" s="995">
        <v>5</v>
      </c>
      <c r="O125" s="997">
        <v>1.187883503725633</v>
      </c>
      <c r="P125" s="22">
        <f t="shared" si="17"/>
        <v>0.22468332186843543</v>
      </c>
      <c r="Q125" s="982">
        <f t="shared" si="18"/>
        <v>18.914592311766867</v>
      </c>
      <c r="R125" s="6"/>
      <c r="S125" s="6"/>
      <c r="T125" s="6"/>
      <c r="U125" s="6"/>
      <c r="V125" s="6"/>
      <c r="W125" s="6"/>
      <c r="X125" s="6"/>
      <c r="Y125" s="6"/>
      <c r="Z125" s="6"/>
    </row>
    <row r="126" spans="1:26" s="93" customFormat="1" ht="15.75">
      <c r="A126" s="236">
        <v>35</v>
      </c>
      <c r="B126" s="897" t="s">
        <v>87</v>
      </c>
      <c r="C126" s="886">
        <f>cходова!R126</f>
        <v>0.34580721987037877</v>
      </c>
      <c r="D126" s="886">
        <f>прибуд.!O126</f>
        <v>0.53886768071411217</v>
      </c>
      <c r="E126" s="886">
        <f>гар.вода!M126+хол.вода!Q126+ц.о.!M126+каналізація!Q126+аварійні!I126+зварювальн!M126</f>
        <v>0.28396373677703712</v>
      </c>
      <c r="F126" s="886">
        <f>дератизац.!I126</f>
        <v>1.0569994332442719E-3</v>
      </c>
      <c r="G126" s="886">
        <f>димоканал!R126</f>
        <v>3.2195767644190847E-2</v>
      </c>
      <c r="H126" s="886">
        <f>'підготовка до зими'!M126+майстерні!M126+маляри!M126+покрівлі!O126</f>
        <v>0.13083283997222231</v>
      </c>
      <c r="I126" s="886">
        <f>електрики!R126</f>
        <v>1.8985090814295936E-2</v>
      </c>
      <c r="J126" s="989">
        <f t="shared" si="16"/>
        <v>1.3517093352254814</v>
      </c>
      <c r="K126" s="989">
        <v>3.3824464438566383E-2</v>
      </c>
      <c r="L126" s="994">
        <f t="shared" si="19"/>
        <v>1.3855337996640478</v>
      </c>
      <c r="M126" s="994">
        <f t="shared" si="20"/>
        <v>1.6626405595968572</v>
      </c>
      <c r="N126" s="995">
        <v>5</v>
      </c>
      <c r="O126" s="997">
        <v>1.3935679348689349</v>
      </c>
      <c r="P126" s="22">
        <f t="shared" si="17"/>
        <v>0.26907262472792226</v>
      </c>
      <c r="Q126" s="982">
        <f t="shared" si="18"/>
        <v>19.308181395062633</v>
      </c>
      <c r="R126" s="6"/>
      <c r="S126" s="6"/>
      <c r="T126" s="6"/>
      <c r="U126" s="6"/>
      <c r="V126" s="6"/>
      <c r="W126" s="6"/>
      <c r="X126" s="6"/>
      <c r="Y126" s="6"/>
      <c r="Z126" s="6"/>
    </row>
    <row r="127" spans="1:26" s="93" customFormat="1" ht="15.75">
      <c r="A127" s="894">
        <v>36</v>
      </c>
      <c r="B127" s="897" t="s">
        <v>88</v>
      </c>
      <c r="C127" s="886">
        <f>cходова!R127</f>
        <v>0</v>
      </c>
      <c r="D127" s="886">
        <f>прибуд.!O127</f>
        <v>0.21857322576354676</v>
      </c>
      <c r="E127" s="886">
        <f>гар.вода!M127+хол.вода!Q127+ц.о.!M127+каналізація!Q127+аварійні!I127+зварювальн!M127</f>
        <v>0.16691300523328315</v>
      </c>
      <c r="F127" s="886">
        <f>дератизац.!I127</f>
        <v>4.2155172413793102E-2</v>
      </c>
      <c r="G127" s="886">
        <f>димоканал!R127</f>
        <v>3.0956558621810196E-2</v>
      </c>
      <c r="H127" s="886">
        <f>'підготовка до зими'!M127+майстерні!M127+маляри!M127+покрівлі!O127</f>
        <v>0.31149371019044952</v>
      </c>
      <c r="I127" s="886">
        <f>електрики!R127</f>
        <v>2.1001778472670766E-2</v>
      </c>
      <c r="J127" s="989">
        <f t="shared" si="16"/>
        <v>0.79109345069555348</v>
      </c>
      <c r="K127" s="989">
        <v>2.0255676578149889E-2</v>
      </c>
      <c r="L127" s="994">
        <f t="shared" si="19"/>
        <v>0.81134912727370334</v>
      </c>
      <c r="M127" s="994">
        <f t="shared" si="20"/>
        <v>0.97361895272844401</v>
      </c>
      <c r="N127" s="995">
        <v>2</v>
      </c>
      <c r="O127" s="997">
        <v>0.83453387501977538</v>
      </c>
      <c r="P127" s="22">
        <f t="shared" si="17"/>
        <v>0.13908507770866863</v>
      </c>
      <c r="Q127" s="982">
        <f t="shared" si="18"/>
        <v>16.666199164817954</v>
      </c>
      <c r="R127" s="6"/>
      <c r="S127" s="6"/>
      <c r="T127" s="6"/>
      <c r="U127" s="6"/>
      <c r="V127" s="6"/>
      <c r="W127" s="6"/>
      <c r="X127" s="6"/>
      <c r="Y127" s="6"/>
      <c r="Z127" s="6"/>
    </row>
    <row r="128" spans="1:26" s="93" customFormat="1" ht="15.75">
      <c r="A128" s="236">
        <v>37</v>
      </c>
      <c r="B128" s="897" t="s">
        <v>89</v>
      </c>
      <c r="C128" s="886">
        <f>cходова!R128</f>
        <v>0.55974203758454177</v>
      </c>
      <c r="D128" s="886">
        <f>прибуд.!O128</f>
        <v>0.3270900044804238</v>
      </c>
      <c r="E128" s="886">
        <f>гар.вода!M128+хол.вода!Q128+ц.о.!M128+каналізація!Q128+аварійні!I128+зварювальн!M128</f>
        <v>0.27881285957931889</v>
      </c>
      <c r="F128" s="886">
        <f>дератизац.!I128</f>
        <v>2.4559056408016166E-3</v>
      </c>
      <c r="G128" s="886">
        <f>димоканал!R128</f>
        <v>3.0779920096312904E-2</v>
      </c>
      <c r="H128" s="886">
        <f>'підготовка до зими'!M128+майстерні!M128+маляри!M128+покрівлі!O128</f>
        <v>0.13126823850469865</v>
      </c>
      <c r="I128" s="886">
        <f>електрики!R128</f>
        <v>1.7693192719727222E-2</v>
      </c>
      <c r="J128" s="989">
        <f t="shared" si="16"/>
        <v>1.3478421586058249</v>
      </c>
      <c r="K128" s="989">
        <v>3.3729054455641186E-2</v>
      </c>
      <c r="L128" s="994">
        <f t="shared" si="19"/>
        <v>1.3815712130614661</v>
      </c>
      <c r="M128" s="994">
        <f t="shared" si="20"/>
        <v>1.6578854556737592</v>
      </c>
      <c r="N128" s="995">
        <v>5</v>
      </c>
      <c r="O128" s="997">
        <v>1.3896370435724168</v>
      </c>
      <c r="P128" s="22">
        <f t="shared" si="17"/>
        <v>0.26824841210134243</v>
      </c>
      <c r="Q128" s="982">
        <f t="shared" si="18"/>
        <v>19.303487435232825</v>
      </c>
      <c r="R128" s="6"/>
      <c r="S128" s="6"/>
      <c r="T128" s="6"/>
      <c r="U128" s="6"/>
      <c r="V128" s="6"/>
      <c r="W128" s="6"/>
      <c r="X128" s="6"/>
      <c r="Y128" s="6"/>
      <c r="Z128" s="6"/>
    </row>
    <row r="129" spans="1:26" s="93" customFormat="1" ht="15.75">
      <c r="A129" s="236">
        <v>38</v>
      </c>
      <c r="B129" s="897" t="s">
        <v>90</v>
      </c>
      <c r="C129" s="886">
        <f>cходова!R129</f>
        <v>0.5743231107788993</v>
      </c>
      <c r="D129" s="886">
        <f>прибуд.!O129</f>
        <v>0.26245206506533642</v>
      </c>
      <c r="E129" s="886">
        <f>гар.вода!M129+хол.вода!Q129+ц.о.!M129+каналізація!Q129+аварійні!I129+зварювальн!M129</f>
        <v>0.27831561399822641</v>
      </c>
      <c r="F129" s="886">
        <f>дератизац.!I129</f>
        <v>1.6757035189502792E-3</v>
      </c>
      <c r="G129" s="886">
        <f>димоканал!R129</f>
        <v>3.0033895859725199E-2</v>
      </c>
      <c r="H129" s="886">
        <f>'підготовка до зими'!M129+майстерні!M129+маляри!M129+покрівлі!O129</f>
        <v>0.13096656793419431</v>
      </c>
      <c r="I129" s="886">
        <f>електрики!R129</f>
        <v>1.7568477919880962E-2</v>
      </c>
      <c r="J129" s="989">
        <f t="shared" si="16"/>
        <v>1.2953354350752129</v>
      </c>
      <c r="K129" s="989">
        <v>3.2422991230190309E-2</v>
      </c>
      <c r="L129" s="994">
        <f t="shared" si="19"/>
        <v>1.3277584263054032</v>
      </c>
      <c r="M129" s="994">
        <f t="shared" si="20"/>
        <v>1.5933101115664838</v>
      </c>
      <c r="N129" s="995">
        <v>5</v>
      </c>
      <c r="O129" s="997">
        <v>1.3358272386838406</v>
      </c>
      <c r="P129" s="22">
        <f t="shared" si="17"/>
        <v>0.25748287288264327</v>
      </c>
      <c r="Q129" s="982">
        <f t="shared" si="18"/>
        <v>19.275162642763235</v>
      </c>
      <c r="R129" s="6"/>
      <c r="S129" s="6"/>
      <c r="T129" s="6"/>
      <c r="U129" s="6"/>
      <c r="V129" s="6"/>
      <c r="W129" s="6"/>
      <c r="X129" s="6"/>
      <c r="Y129" s="6"/>
      <c r="Z129" s="6"/>
    </row>
    <row r="130" spans="1:26" s="93" customFormat="1" ht="15.75">
      <c r="A130" s="236">
        <v>39</v>
      </c>
      <c r="B130" s="897" t="s">
        <v>91</v>
      </c>
      <c r="C130" s="886">
        <f>cходова!R130</f>
        <v>0</v>
      </c>
      <c r="D130" s="886">
        <f>прибуд.!O130</f>
        <v>0.20609686388831541</v>
      </c>
      <c r="E130" s="886">
        <f>гар.вода!M130+хол.вода!Q130+ц.о.!M130+каналізація!Q130+аварійні!I130+зварювальн!M130</f>
        <v>0.15336045768309164</v>
      </c>
      <c r="F130" s="886">
        <f>дератизац.!I130</f>
        <v>1.286127167630058E-2</v>
      </c>
      <c r="G130" s="886">
        <f>димоканал!R130</f>
        <v>3.4934164668781215E-2</v>
      </c>
      <c r="H130" s="886">
        <f>'підготовка до зими'!M130+майстерні!M130+маляри!M130+покрівлі!O130</f>
        <v>0.19995102455969566</v>
      </c>
      <c r="I130" s="886">
        <f>електрики!R130</f>
        <v>1.7602646696747177E-2</v>
      </c>
      <c r="J130" s="989">
        <f t="shared" si="16"/>
        <v>0.62480642917293172</v>
      </c>
      <c r="K130" s="989">
        <v>1.586094973422153E-2</v>
      </c>
      <c r="L130" s="994">
        <f t="shared" si="19"/>
        <v>0.64066737890715331</v>
      </c>
      <c r="M130" s="994">
        <f t="shared" si="20"/>
        <v>0.76880085468858395</v>
      </c>
      <c r="N130" s="995">
        <v>2</v>
      </c>
      <c r="O130" s="997">
        <v>0.65347112904992699</v>
      </c>
      <c r="P130" s="22">
        <f t="shared" si="17"/>
        <v>0.11532972563865695</v>
      </c>
      <c r="Q130" s="982">
        <f t="shared" si="18"/>
        <v>17.64878668876058</v>
      </c>
      <c r="R130" s="6"/>
      <c r="S130" s="6"/>
      <c r="T130" s="6"/>
      <c r="U130" s="6"/>
      <c r="V130" s="6"/>
      <c r="W130" s="6"/>
      <c r="X130" s="6"/>
      <c r="Y130" s="6"/>
      <c r="Z130" s="6"/>
    </row>
    <row r="131" spans="1:26" s="93" customFormat="1" ht="15.75">
      <c r="A131" s="236">
        <v>40</v>
      </c>
      <c r="B131" s="897" t="s">
        <v>92</v>
      </c>
      <c r="C131" s="886">
        <f>cходова!R131</f>
        <v>0.46389323043543473</v>
      </c>
      <c r="D131" s="886">
        <f>прибуд.!O131</f>
        <v>0.42452761752688167</v>
      </c>
      <c r="E131" s="886">
        <f>гар.вода!M131+хол.вода!Q131+ц.о.!M131+каналізація!Q131+аварійні!I131+зварювальн!M131</f>
        <v>0.28211839897336249</v>
      </c>
      <c r="F131" s="886">
        <f>дератизац.!I131</f>
        <v>8.4582382969479745E-4</v>
      </c>
      <c r="G131" s="886">
        <f>димоканал!R131</f>
        <v>3.201303361602461E-2</v>
      </c>
      <c r="H131" s="886">
        <f>'підготовка до зими'!M131+майстерні!M131+маляри!M131+покрівлі!O131</f>
        <v>0.13017774756519424</v>
      </c>
      <c r="I131" s="886">
        <f>електрики!R131</f>
        <v>1.8522259280774046E-2</v>
      </c>
      <c r="J131" s="989">
        <f t="shared" si="16"/>
        <v>1.3520981112273667</v>
      </c>
      <c r="K131" s="989">
        <v>3.3831007536928977E-2</v>
      </c>
      <c r="L131" s="994">
        <f t="shared" si="19"/>
        <v>1.3859291187642957</v>
      </c>
      <c r="M131" s="994">
        <f t="shared" si="20"/>
        <v>1.6631149425171547</v>
      </c>
      <c r="N131" s="995">
        <v>5</v>
      </c>
      <c r="O131" s="997">
        <v>1.393837510521474</v>
      </c>
      <c r="P131" s="22">
        <f t="shared" si="17"/>
        <v>0.26927743199568077</v>
      </c>
      <c r="Q131" s="982">
        <f t="shared" si="18"/>
        <v>19.319140858458923</v>
      </c>
      <c r="R131" s="6"/>
      <c r="S131" s="6"/>
      <c r="T131" s="6"/>
      <c r="U131" s="6"/>
      <c r="V131" s="6"/>
      <c r="W131" s="6"/>
      <c r="X131" s="6"/>
      <c r="Y131" s="6"/>
      <c r="Z131" s="6"/>
    </row>
    <row r="132" spans="1:26" s="93" customFormat="1" ht="15.75">
      <c r="A132" s="236">
        <v>41</v>
      </c>
      <c r="B132" s="897" t="s">
        <v>93</v>
      </c>
      <c r="C132" s="886">
        <f>cходова!R132</f>
        <v>0</v>
      </c>
      <c r="D132" s="886">
        <f>прибуд.!O132</f>
        <v>0.79812218302325577</v>
      </c>
      <c r="E132" s="886">
        <f>гар.вода!M132+хол.вода!Q132+ц.о.!M132+каналізація!Q132+аварійні!I132+зварювальн!M132</f>
        <v>0.14798236010738317</v>
      </c>
      <c r="F132" s="886">
        <f>дератизац.!I132</f>
        <v>2.6860465116279073E-2</v>
      </c>
      <c r="G132" s="886">
        <f>димоканал!R132</f>
        <v>3.6460537735695353E-2</v>
      </c>
      <c r="H132" s="886">
        <f>'підготовка до зими'!M132+майстерні!M132+маляри!M132+покрівлі!O132</f>
        <v>0.24256526919788954</v>
      </c>
      <c r="I132" s="886">
        <f>електрики!R132</f>
        <v>1.6253759168708217E-2</v>
      </c>
      <c r="J132" s="989">
        <f t="shared" si="16"/>
        <v>1.268244574349211</v>
      </c>
      <c r="K132" s="989">
        <v>3.1899928637845069E-2</v>
      </c>
      <c r="L132" s="994">
        <f t="shared" si="19"/>
        <v>1.300144502987056</v>
      </c>
      <c r="M132" s="994">
        <f t="shared" si="20"/>
        <v>1.5601734035844672</v>
      </c>
      <c r="N132" s="995">
        <v>2</v>
      </c>
      <c r="O132" s="997">
        <v>1.3142770598792171</v>
      </c>
      <c r="P132" s="22">
        <f t="shared" si="17"/>
        <v>0.24589634370525015</v>
      </c>
      <c r="Q132" s="982">
        <f t="shared" si="18"/>
        <v>18.709627612905933</v>
      </c>
      <c r="R132" s="6"/>
      <c r="S132" s="6"/>
      <c r="T132" s="6"/>
      <c r="U132" s="6"/>
      <c r="V132" s="6"/>
      <c r="W132" s="6"/>
      <c r="X132" s="6"/>
      <c r="Y132" s="6"/>
      <c r="Z132" s="6"/>
    </row>
    <row r="133" spans="1:26" s="93" customFormat="1" ht="15.75">
      <c r="A133" s="236">
        <v>42</v>
      </c>
      <c r="B133" s="897" t="s">
        <v>94</v>
      </c>
      <c r="C133" s="886">
        <f>cходова!R133</f>
        <v>0</v>
      </c>
      <c r="D133" s="886">
        <f>прибуд.!O133</f>
        <v>0.26834337950369586</v>
      </c>
      <c r="E133" s="886">
        <f>гар.вода!M133+хол.вода!Q133+ц.о.!M133+каналізація!Q133+аварійні!I133+зварювальн!M133</f>
        <v>0.19087529542771778</v>
      </c>
      <c r="F133" s="886">
        <f>дератизац.!I133</f>
        <v>1.4340021119324182E-2</v>
      </c>
      <c r="G133" s="886">
        <f>димоканал!R133</f>
        <v>3.3162444440758866E-2</v>
      </c>
      <c r="H133" s="886">
        <f>'підготовка до зими'!M133+майстерні!M133+маляри!M133+покрівлі!O133</f>
        <v>0.2232531044902713</v>
      </c>
      <c r="I133" s="886">
        <f>електрики!R133</f>
        <v>2.7011791108461448E-2</v>
      </c>
      <c r="J133" s="989">
        <f t="shared" si="16"/>
        <v>0.75698603609022941</v>
      </c>
      <c r="K133" s="989">
        <v>1.9201933224900759E-2</v>
      </c>
      <c r="L133" s="994">
        <f t="shared" si="19"/>
        <v>0.77618796931513012</v>
      </c>
      <c r="M133" s="994">
        <f t="shared" si="20"/>
        <v>0.93142556317815606</v>
      </c>
      <c r="N133" s="995">
        <v>1</v>
      </c>
      <c r="O133" s="997">
        <v>0.79111964886591135</v>
      </c>
      <c r="P133" s="22">
        <f t="shared" si="17"/>
        <v>0.14030591431224471</v>
      </c>
      <c r="Q133" s="982">
        <f t="shared" si="18"/>
        <v>17.735106758298386</v>
      </c>
      <c r="R133" s="6"/>
      <c r="S133" s="6"/>
      <c r="T133" s="6"/>
      <c r="U133" s="6"/>
      <c r="V133" s="6"/>
      <c r="W133" s="6"/>
      <c r="X133" s="6"/>
      <c r="Y133" s="6"/>
      <c r="Z133" s="6"/>
    </row>
    <row r="134" spans="1:26" s="93" customFormat="1" ht="15.75">
      <c r="A134" s="894">
        <v>43</v>
      </c>
      <c r="B134" s="897" t="s">
        <v>95</v>
      </c>
      <c r="C134" s="886">
        <f>cходова!R134</f>
        <v>0</v>
      </c>
      <c r="D134" s="886">
        <f>прибуд.!O134</f>
        <v>7.9611898618421065E-2</v>
      </c>
      <c r="E134" s="886">
        <f>гар.вода!M134+хол.вода!Q134+ц.о.!M134+каналізація!Q134+аварійні!I134+зварювальн!M134</f>
        <v>0.17264226828598628</v>
      </c>
      <c r="F134" s="886">
        <f>дератизац.!I134</f>
        <v>3.0947368421052637E-2</v>
      </c>
      <c r="G134" s="886">
        <f>димоканал!R134</f>
        <v>5.5096201553330962E-2</v>
      </c>
      <c r="H134" s="886">
        <f>'підготовка до зими'!M134+майстерні!M134+маляри!M134+покрівлі!O134</f>
        <v>0.39444571351639862</v>
      </c>
      <c r="I134" s="886">
        <f>електрики!R134</f>
        <v>2.2438742262906135E-2</v>
      </c>
      <c r="J134" s="989">
        <f t="shared" si="16"/>
        <v>0.75518219265809572</v>
      </c>
      <c r="K134" s="989">
        <v>1.9367894535305505E-2</v>
      </c>
      <c r="L134" s="994">
        <f t="shared" si="19"/>
        <v>0.77455008719340124</v>
      </c>
      <c r="M134" s="994">
        <f t="shared" si="20"/>
        <v>0.9294601046320814</v>
      </c>
      <c r="N134" s="995">
        <v>1</v>
      </c>
      <c r="O134" s="997">
        <v>0.79795725485458679</v>
      </c>
      <c r="P134" s="22">
        <f t="shared" si="17"/>
        <v>0.1315028497774946</v>
      </c>
      <c r="Q134" s="982">
        <f t="shared" si="18"/>
        <v>16.479936610321147</v>
      </c>
      <c r="R134" s="6"/>
      <c r="S134" s="6"/>
      <c r="T134" s="6"/>
      <c r="U134" s="6"/>
      <c r="V134" s="6"/>
      <c r="W134" s="6"/>
      <c r="X134" s="6"/>
      <c r="Y134" s="6"/>
      <c r="Z134" s="6"/>
    </row>
    <row r="135" spans="1:26" s="93" customFormat="1" ht="15.75">
      <c r="A135" s="236">
        <v>44</v>
      </c>
      <c r="B135" s="897" t="s">
        <v>96</v>
      </c>
      <c r="C135" s="886">
        <f>cходова!R135</f>
        <v>0.50617029777424127</v>
      </c>
      <c r="D135" s="886">
        <f>прибуд.!O135</f>
        <v>0.32382416498289562</v>
      </c>
      <c r="E135" s="886">
        <f>гар.вода!M135+хол.вода!Q135+ц.о.!M135+каналізація!Q135+аварійні!I135+зварювальн!M135</f>
        <v>0.28142427829589528</v>
      </c>
      <c r="F135" s="886">
        <f>дератизац.!I135</f>
        <v>1.6240896049437212E-3</v>
      </c>
      <c r="G135" s="886">
        <f>димоканал!R135</f>
        <v>3.1330870751652223E-2</v>
      </c>
      <c r="H135" s="886">
        <f>'підготовка до зими'!M135+майстерні!M135+маляри!M135+покрівлі!O135</f>
        <v>0.13574438291573027</v>
      </c>
      <c r="I135" s="886">
        <f>електрики!R135</f>
        <v>1.9705034388259594E-2</v>
      </c>
      <c r="J135" s="989">
        <f t="shared" si="16"/>
        <v>1.299823118713618</v>
      </c>
      <c r="K135" s="989">
        <v>3.251593223157731E-2</v>
      </c>
      <c r="L135" s="994">
        <f t="shared" si="19"/>
        <v>1.3323390509451953</v>
      </c>
      <c r="M135" s="994">
        <f t="shared" si="20"/>
        <v>1.5988068611342343</v>
      </c>
      <c r="N135" s="995">
        <v>5</v>
      </c>
      <c r="O135" s="997">
        <v>1.3396564079409852</v>
      </c>
      <c r="P135" s="22">
        <f t="shared" si="17"/>
        <v>0.25915045319324914</v>
      </c>
      <c r="Q135" s="982">
        <f t="shared" si="18"/>
        <v>19.344546232683356</v>
      </c>
      <c r="R135" s="6"/>
      <c r="S135" s="6"/>
      <c r="T135" s="6"/>
      <c r="U135" s="6"/>
      <c r="V135" s="6"/>
      <c r="W135" s="6"/>
      <c r="X135" s="6"/>
      <c r="Y135" s="6"/>
      <c r="Z135" s="6"/>
    </row>
    <row r="136" spans="1:26" s="93" customFormat="1" ht="15.75">
      <c r="A136" s="236">
        <v>45</v>
      </c>
      <c r="B136" s="897" t="s">
        <v>97</v>
      </c>
      <c r="C136" s="886">
        <f>cходова!R136</f>
        <v>0</v>
      </c>
      <c r="D136" s="886">
        <f>прибуд.!O136</f>
        <v>0.77670144993581502</v>
      </c>
      <c r="E136" s="886">
        <f>гар.вода!M136+хол.вода!Q136+ц.о.!M136+каналізація!Q136+аварійні!I136+зварювальн!M136</f>
        <v>0.17046020374621379</v>
      </c>
      <c r="F136" s="886">
        <f>дератизац.!I136</f>
        <v>6.9191270860077024E-3</v>
      </c>
      <c r="G136" s="886">
        <f>димоканал!R136</f>
        <v>4.7033342789428861E-2</v>
      </c>
      <c r="H136" s="886">
        <f>'підготовка до зими'!M136+майстерні!M136+маляри!M136+покрівлі!O136</f>
        <v>0.22921342422439112</v>
      </c>
      <c r="I136" s="886">
        <f>електрики!R136</f>
        <v>2.1891455866249885E-2</v>
      </c>
      <c r="J136" s="989">
        <f t="shared" si="16"/>
        <v>1.2522190036481065</v>
      </c>
      <c r="K136" s="989">
        <v>3.1436087643982258E-2</v>
      </c>
      <c r="L136" s="994">
        <f t="shared" si="19"/>
        <v>1.2836550912920888</v>
      </c>
      <c r="M136" s="994">
        <f t="shared" si="20"/>
        <v>1.5403861095505065</v>
      </c>
      <c r="N136" s="995">
        <v>2</v>
      </c>
      <c r="O136" s="997">
        <v>1.2951668109320691</v>
      </c>
      <c r="P136" s="22">
        <f t="shared" si="17"/>
        <v>0.24521929861843739</v>
      </c>
      <c r="Q136" s="982">
        <f t="shared" si="18"/>
        <v>18.933414333090042</v>
      </c>
      <c r="R136" s="6"/>
      <c r="S136" s="6"/>
      <c r="T136" s="6"/>
      <c r="U136" s="6"/>
      <c r="V136" s="6"/>
      <c r="W136" s="6"/>
      <c r="X136" s="6"/>
      <c r="Y136" s="6"/>
      <c r="Z136" s="6"/>
    </row>
    <row r="137" spans="1:26" s="93" customFormat="1" ht="15.75">
      <c r="A137" s="236">
        <v>46</v>
      </c>
      <c r="B137" s="897" t="s">
        <v>98</v>
      </c>
      <c r="C137" s="886">
        <f>cходова!R137</f>
        <v>0.4066605104847546</v>
      </c>
      <c r="D137" s="886">
        <f>прибуд.!O137</f>
        <v>0.47367079379000254</v>
      </c>
      <c r="E137" s="886">
        <f>гар.вода!M137+хол.вода!Q137+ц.о.!M137+каналізація!Q137+аварійні!I137+зварювальн!M137</f>
        <v>0.20905752625877244</v>
      </c>
      <c r="F137" s="886">
        <f>дератизац.!I137</f>
        <v>1.2755884686590852E-2</v>
      </c>
      <c r="G137" s="886">
        <f>димоканал!R137</f>
        <v>3.7470808897230139E-2</v>
      </c>
      <c r="H137" s="886">
        <f>'підготовка до зими'!M137+майстерні!M137+маляри!M137+покрівлі!O137</f>
        <v>0.19363975237374847</v>
      </c>
      <c r="I137" s="886">
        <f>електрики!R137</f>
        <v>3.1572099666400594E-2</v>
      </c>
      <c r="J137" s="989">
        <f t="shared" si="16"/>
        <v>1.3648273761574996</v>
      </c>
      <c r="K137" s="989">
        <v>3.4235794954221549E-2</v>
      </c>
      <c r="L137" s="994">
        <f t="shared" si="19"/>
        <v>1.3990631711117212</v>
      </c>
      <c r="M137" s="994">
        <f t="shared" si="20"/>
        <v>1.6788758053340653</v>
      </c>
      <c r="N137" s="995">
        <v>3</v>
      </c>
      <c r="O137" s="997">
        <v>1.4105147521139278</v>
      </c>
      <c r="P137" s="22">
        <f t="shared" si="17"/>
        <v>0.26836105322013748</v>
      </c>
      <c r="Q137" s="982">
        <f t="shared" si="18"/>
        <v>19.025753032213714</v>
      </c>
      <c r="R137" s="6"/>
      <c r="S137" s="6"/>
      <c r="T137" s="6"/>
      <c r="U137" s="6"/>
      <c r="V137" s="6"/>
      <c r="W137" s="6"/>
      <c r="X137" s="6"/>
      <c r="Y137" s="6"/>
      <c r="Z137" s="6"/>
    </row>
    <row r="138" spans="1:26" s="93" customFormat="1" ht="15.75">
      <c r="A138" s="236">
        <v>47</v>
      </c>
      <c r="B138" s="897" t="s">
        <v>99</v>
      </c>
      <c r="C138" s="886">
        <f>cходова!R138</f>
        <v>0</v>
      </c>
      <c r="D138" s="886">
        <f>прибуд.!O138</f>
        <v>0</v>
      </c>
      <c r="E138" s="886">
        <f>гар.вода!M138+хол.вода!Q138+ц.о.!M138+каналізація!Q138+аварійні!I138+зварювальн!M138</f>
        <v>0.19565592002017904</v>
      </c>
      <c r="F138" s="886">
        <f>дератизац.!I138</f>
        <v>5.2688172043010755E-3</v>
      </c>
      <c r="G138" s="886">
        <f>димоканал!R138</f>
        <v>1.2693999988888403E-2</v>
      </c>
      <c r="H138" s="886">
        <f>'підготовка до зими'!M138+майстерні!M138+маляри!M138+покрівлі!O138</f>
        <v>0.26848794259277886</v>
      </c>
      <c r="I138" s="886">
        <f>електрики!R138</f>
        <v>2.8210825673794314E-2</v>
      </c>
      <c r="J138" s="989">
        <f t="shared" si="16"/>
        <v>0.5103175054799417</v>
      </c>
      <c r="K138" s="989">
        <v>1.3056635307427676E-2</v>
      </c>
      <c r="L138" s="994">
        <f t="shared" si="19"/>
        <v>0.52337414078736932</v>
      </c>
      <c r="M138" s="994">
        <f t="shared" si="20"/>
        <v>0.62804896894484319</v>
      </c>
      <c r="N138" s="995">
        <v>2</v>
      </c>
      <c r="O138" s="997">
        <v>0.5379333746660202</v>
      </c>
      <c r="P138" s="22">
        <f t="shared" si="17"/>
        <v>9.0115594278822986E-2</v>
      </c>
      <c r="Q138" s="982">
        <f t="shared" si="18"/>
        <v>16.752185033094833</v>
      </c>
      <c r="R138" s="6"/>
      <c r="S138" s="6"/>
      <c r="T138" s="6"/>
      <c r="U138" s="6"/>
      <c r="V138" s="6"/>
      <c r="W138" s="6"/>
      <c r="X138" s="6"/>
      <c r="Y138" s="6"/>
      <c r="Z138" s="6"/>
    </row>
    <row r="139" spans="1:26" s="93" customFormat="1" ht="15.75">
      <c r="A139" s="236">
        <v>48</v>
      </c>
      <c r="B139" s="897" t="s">
        <v>100</v>
      </c>
      <c r="C139" s="886">
        <f>cходова!R139</f>
        <v>0.30747081797436504</v>
      </c>
      <c r="D139" s="886">
        <f>прибуд.!O139</f>
        <v>0.54594585635543347</v>
      </c>
      <c r="E139" s="886">
        <f>гар.вода!M139+хол.вода!Q139+ц.о.!M139+каналізація!Q139+аварійні!I139+зварювальн!M139</f>
        <v>0.28695859038980859</v>
      </c>
      <c r="F139" s="886">
        <f>дератизац.!I139</f>
        <v>5.6461357395056894E-3</v>
      </c>
      <c r="G139" s="886">
        <f>димоканал!R139</f>
        <v>3.4920700950209202E-2</v>
      </c>
      <c r="H139" s="886">
        <f>'підготовка до зими'!M139+майстерні!M139+маляри!M139+покрівлі!O139</f>
        <v>0.13652354772069164</v>
      </c>
      <c r="I139" s="886">
        <f>електрики!R139</f>
        <v>2.0461081121501426E-2</v>
      </c>
      <c r="J139" s="989">
        <f t="shared" si="16"/>
        <v>1.337926730251515</v>
      </c>
      <c r="K139" s="989">
        <v>3.3508292143684566E-2</v>
      </c>
      <c r="L139" s="994">
        <f t="shared" si="19"/>
        <v>1.3714350223951997</v>
      </c>
      <c r="M139" s="994">
        <f t="shared" si="20"/>
        <v>1.6457220268742396</v>
      </c>
      <c r="N139" s="995">
        <v>5</v>
      </c>
      <c r="O139" s="997">
        <v>1.3805416363198044</v>
      </c>
      <c r="P139" s="22">
        <f t="shared" si="17"/>
        <v>0.26518039055443521</v>
      </c>
      <c r="Q139" s="982">
        <f t="shared" si="18"/>
        <v>19.20843121119789</v>
      </c>
      <c r="R139" s="6"/>
      <c r="S139" s="6"/>
      <c r="T139" s="6"/>
      <c r="U139" s="6"/>
      <c r="V139" s="6"/>
      <c r="W139" s="6"/>
      <c r="X139" s="6"/>
      <c r="Y139" s="6"/>
      <c r="Z139" s="6"/>
    </row>
    <row r="140" spans="1:26" s="93" customFormat="1" ht="15.75">
      <c r="A140" s="236">
        <v>49</v>
      </c>
      <c r="B140" s="897" t="s">
        <v>101</v>
      </c>
      <c r="C140" s="886">
        <f>cходова!R140</f>
        <v>0.2948072256087092</v>
      </c>
      <c r="D140" s="886">
        <f>прибуд.!O140</f>
        <v>0.46616103796374492</v>
      </c>
      <c r="E140" s="886">
        <f>гар.вода!M140+хол.вода!Q140+ц.о.!M140+каналізація!Q140+аварійні!I140+зварювальн!M140</f>
        <v>0.28692561879902256</v>
      </c>
      <c r="F140" s="886">
        <f>дератизац.!I140</f>
        <v>5.613140065322428E-3</v>
      </c>
      <c r="G140" s="886">
        <f>димоканал!R140</f>
        <v>3.5507897658725592E-2</v>
      </c>
      <c r="H140" s="886">
        <f>'підготовка до зими'!M140+майстерні!M140+маляри!M140+покрівлі!O140</f>
        <v>0.13318764780627984</v>
      </c>
      <c r="I140" s="886">
        <f>електрики!R140</f>
        <v>1.9727964230543436E-2</v>
      </c>
      <c r="J140" s="989">
        <f t="shared" si="16"/>
        <v>1.2419305321323479</v>
      </c>
      <c r="K140" s="989">
        <v>3.1145180956443981E-2</v>
      </c>
      <c r="L140" s="994">
        <f t="shared" si="19"/>
        <v>1.273075713088792</v>
      </c>
      <c r="M140" s="994">
        <f t="shared" si="20"/>
        <v>1.5276908557065503</v>
      </c>
      <c r="N140" s="995">
        <v>5</v>
      </c>
      <c r="O140" s="997">
        <v>1.2831814554054921</v>
      </c>
      <c r="P140" s="22">
        <f t="shared" si="17"/>
        <v>0.24450940030105817</v>
      </c>
      <c r="Q140" s="982">
        <f t="shared" si="18"/>
        <v>19.054935626683587</v>
      </c>
      <c r="R140" s="6"/>
      <c r="S140" s="6"/>
      <c r="T140" s="6"/>
      <c r="U140" s="6"/>
      <c r="V140" s="6"/>
      <c r="W140" s="6"/>
      <c r="X140" s="6"/>
      <c r="Y140" s="6"/>
      <c r="Z140" s="6"/>
    </row>
    <row r="141" spans="1:26" s="93" customFormat="1" ht="15.75">
      <c r="A141" s="894">
        <v>50</v>
      </c>
      <c r="B141" s="898" t="s">
        <v>102</v>
      </c>
      <c r="C141" s="886">
        <f>cходова!R141</f>
        <v>0</v>
      </c>
      <c r="D141" s="886">
        <f>прибуд.!O141</f>
        <v>0</v>
      </c>
      <c r="E141" s="886">
        <f>гар.вода!M141+хол.вода!Q141+ц.о.!M141+каналізація!Q141+аварійні!I141+зварювальн!M141</f>
        <v>0.17129271605831403</v>
      </c>
      <c r="F141" s="886">
        <f>дератизац.!I141</f>
        <v>1.0105748794774766E-2</v>
      </c>
      <c r="G141" s="886">
        <f>димоканал!R141</f>
        <v>5.0287315306643397E-2</v>
      </c>
      <c r="H141" s="886">
        <f>'підготовка до зими'!M141+майстерні!M141+маляри!M141+покрівлі!O141</f>
        <v>0.17639849720644663</v>
      </c>
      <c r="I141" s="886">
        <f>електрики!R141</f>
        <v>2.5774505954610762E-2</v>
      </c>
      <c r="J141" s="1000">
        <f t="shared" si="16"/>
        <v>0.43385878332078959</v>
      </c>
      <c r="K141" s="1000">
        <v>1.1085342499921245E-2</v>
      </c>
      <c r="L141" s="994">
        <f t="shared" si="19"/>
        <v>0.44494412582071086</v>
      </c>
      <c r="M141" s="1009">
        <f t="shared" si="20"/>
        <v>0.53393295098485305</v>
      </c>
      <c r="N141" s="1010">
        <v>3</v>
      </c>
      <c r="O141" s="997">
        <v>0.45671611099675535</v>
      </c>
      <c r="P141" s="22">
        <f t="shared" si="17"/>
        <v>7.7216839988097696E-2</v>
      </c>
      <c r="Q141" s="982">
        <f t="shared" si="18"/>
        <v>16.906966522283739</v>
      </c>
      <c r="R141" s="6"/>
      <c r="S141" s="6"/>
      <c r="T141" s="6"/>
      <c r="U141" s="6"/>
      <c r="V141" s="6"/>
      <c r="W141" s="6"/>
      <c r="X141" s="6"/>
      <c r="Y141" s="6"/>
      <c r="Z141" s="6"/>
    </row>
    <row r="142" spans="1:26" s="93" customFormat="1" ht="15.75">
      <c r="A142" s="236">
        <v>51</v>
      </c>
      <c r="B142" s="897" t="s">
        <v>103</v>
      </c>
      <c r="C142" s="886">
        <f>cходова!R142</f>
        <v>0.30906956413127989</v>
      </c>
      <c r="D142" s="886">
        <f>прибуд.!O142</f>
        <v>0.52540340281923814</v>
      </c>
      <c r="E142" s="886">
        <f>гар.вода!M142+хол.вода!Q142+ц.о.!M142+каналізація!Q142+аварійні!I142+зварювальн!M142</f>
        <v>0.28027232721320722</v>
      </c>
      <c r="F142" s="886">
        <f>дератизац.!I142</f>
        <v>2.2691572290042656E-3</v>
      </c>
      <c r="G142" s="886">
        <f>димоканал!R142</f>
        <v>3.250440685491271E-2</v>
      </c>
      <c r="H142" s="886">
        <f>'підготовка до зими'!M142+майстерні!M142+маляри!M142+покрівлі!O142</f>
        <v>0.13590360543631633</v>
      </c>
      <c r="I142" s="886">
        <f>електрики!R142</f>
        <v>1.8059243662688979E-2</v>
      </c>
      <c r="J142" s="989">
        <f t="shared" si="16"/>
        <v>1.3034817073466476</v>
      </c>
      <c r="K142" s="989">
        <v>3.2638100810323006E-2</v>
      </c>
      <c r="L142" s="994">
        <f t="shared" si="19"/>
        <v>1.3361198081569705</v>
      </c>
      <c r="M142" s="994">
        <f t="shared" si="20"/>
        <v>1.6033437697883646</v>
      </c>
      <c r="N142" s="1011">
        <v>5</v>
      </c>
      <c r="O142" s="997">
        <v>1.3446897533853079</v>
      </c>
      <c r="P142" s="22">
        <f t="shared" si="17"/>
        <v>0.25865401640305663</v>
      </c>
      <c r="Q142" s="982">
        <f t="shared" si="18"/>
        <v>19.235218811765705</v>
      </c>
      <c r="R142" s="6"/>
      <c r="S142" s="6"/>
      <c r="T142" s="6"/>
      <c r="U142" s="6"/>
      <c r="V142" s="6"/>
      <c r="W142" s="6"/>
      <c r="X142" s="6"/>
      <c r="Y142" s="6"/>
      <c r="Z142" s="6"/>
    </row>
    <row r="143" spans="1:26" s="93" customFormat="1" ht="15.75">
      <c r="A143" s="236">
        <v>52</v>
      </c>
      <c r="B143" s="897" t="s">
        <v>104</v>
      </c>
      <c r="C143" s="886">
        <f>cходова!R143</f>
        <v>0</v>
      </c>
      <c r="D143" s="886">
        <f>прибуд.!O143</f>
        <v>0.61028919515754709</v>
      </c>
      <c r="E143" s="886">
        <f>гар.вода!M143+хол.вода!Q143+ц.о.!M143+каналізація!Q143+аварійні!I143+зварювальн!M143</f>
        <v>0.14386951812899157</v>
      </c>
      <c r="F143" s="886">
        <f>дератизац.!I143</f>
        <v>5.920289208247791E-3</v>
      </c>
      <c r="G143" s="886">
        <f>димоканал!R143</f>
        <v>3.2387398533278447E-2</v>
      </c>
      <c r="H143" s="886">
        <f>'підготовка до зими'!M143+майстерні!M143+маляри!M143+покрівлі!O143</f>
        <v>0.18391455878180862</v>
      </c>
      <c r="I143" s="886">
        <f>електрики!R143</f>
        <v>1.61292387400063E-2</v>
      </c>
      <c r="J143" s="989">
        <f t="shared" si="16"/>
        <v>0.99251019854987987</v>
      </c>
      <c r="K143" s="989">
        <v>2.486550828995204E-2</v>
      </c>
      <c r="L143" s="994">
        <f t="shared" si="19"/>
        <v>1.0173757068398319</v>
      </c>
      <c r="M143" s="994">
        <f t="shared" si="20"/>
        <v>1.2208508482077982</v>
      </c>
      <c r="N143" s="995">
        <v>3</v>
      </c>
      <c r="O143" s="997">
        <v>1.0244589415460241</v>
      </c>
      <c r="P143" s="22">
        <f t="shared" si="17"/>
        <v>0.19639190666177408</v>
      </c>
      <c r="Q143" s="982">
        <f t="shared" si="18"/>
        <v>19.170305289677742</v>
      </c>
      <c r="R143" s="6"/>
      <c r="S143" s="6"/>
      <c r="T143" s="6"/>
      <c r="U143" s="6"/>
      <c r="V143" s="6"/>
      <c r="W143" s="6"/>
      <c r="X143" s="6"/>
      <c r="Y143" s="6"/>
      <c r="Z143" s="6"/>
    </row>
    <row r="144" spans="1:26" s="93" customFormat="1" ht="15.75">
      <c r="A144" s="236">
        <v>53</v>
      </c>
      <c r="B144" s="897" t="s">
        <v>105</v>
      </c>
      <c r="C144" s="886">
        <f>cходова!R144</f>
        <v>0</v>
      </c>
      <c r="D144" s="886">
        <f>прибуд.!O144</f>
        <v>0.38332928578833686</v>
      </c>
      <c r="E144" s="886">
        <f>гар.вода!M144+хол.вода!Q144+ц.о.!M144+каналізація!Q144+аварійні!I144+зварювальн!M144</f>
        <v>0.18107989869859828</v>
      </c>
      <c r="F144" s="886">
        <f>дератизац.!I144</f>
        <v>1.3858891288696905E-2</v>
      </c>
      <c r="G144" s="886">
        <f>димоканал!R144</f>
        <v>6.4316585287806149E-2</v>
      </c>
      <c r="H144" s="886">
        <f>'підготовка до зими'!M144+майстерні!M144+маляри!M144+покрівлі!O144</f>
        <v>0.39595805444730114</v>
      </c>
      <c r="I144" s="886">
        <f>електрики!R144</f>
        <v>2.4554995132913839E-2</v>
      </c>
      <c r="J144" s="989">
        <f t="shared" si="16"/>
        <v>1.0630977106436532</v>
      </c>
      <c r="K144" s="989">
        <v>2.7031200588921781E-2</v>
      </c>
      <c r="L144" s="994">
        <f t="shared" si="19"/>
        <v>1.0901289112325749</v>
      </c>
      <c r="M144" s="994">
        <f t="shared" si="20"/>
        <v>1.30815469347909</v>
      </c>
      <c r="N144" s="995">
        <v>2</v>
      </c>
      <c r="O144" s="997">
        <v>1.1136854642635774</v>
      </c>
      <c r="P144" s="22">
        <f t="shared" si="17"/>
        <v>0.19446922921551257</v>
      </c>
      <c r="Q144" s="982">
        <f t="shared" si="18"/>
        <v>17.461773135748444</v>
      </c>
      <c r="R144" s="6"/>
      <c r="S144" s="6"/>
      <c r="T144" s="6"/>
      <c r="U144" s="6"/>
      <c r="V144" s="6"/>
      <c r="W144" s="6"/>
      <c r="X144" s="6"/>
      <c r="Y144" s="6"/>
      <c r="Z144" s="6"/>
    </row>
    <row r="145" spans="1:26" s="93" customFormat="1" ht="15.75">
      <c r="A145" s="236">
        <v>54</v>
      </c>
      <c r="B145" s="897" t="s">
        <v>106</v>
      </c>
      <c r="C145" s="886">
        <f>cходова!R145</f>
        <v>0.30659680447026444</v>
      </c>
      <c r="D145" s="886">
        <f>прибуд.!O145</f>
        <v>8.4885737413548962E-2</v>
      </c>
      <c r="E145" s="886">
        <f>гар.вода!M145+хол.вода!Q145+ц.о.!M145+каналізація!Q145+аварійні!I145+зварювальн!M145</f>
        <v>0.33508461384452798</v>
      </c>
      <c r="F145" s="886">
        <f>дератизац.!I145</f>
        <v>2.8950174953007021E-3</v>
      </c>
      <c r="G145" s="886">
        <f>димоканал!R145</f>
        <v>2.0534046732217294E-2</v>
      </c>
      <c r="H145" s="886">
        <f>'підготовка до зими'!M145+майстерні!M145+маляри!M145+покрівлі!O145</f>
        <v>0.11883558919941649</v>
      </c>
      <c r="I145" s="886">
        <f>електрики!R145</f>
        <v>1.4939086201488783E-2</v>
      </c>
      <c r="J145" s="989">
        <f t="shared" si="16"/>
        <v>0.88377089535676467</v>
      </c>
      <c r="K145" s="989">
        <v>2.2317414833307878E-2</v>
      </c>
      <c r="L145" s="994">
        <f t="shared" si="19"/>
        <v>0.90608831019007252</v>
      </c>
      <c r="M145" s="994">
        <f t="shared" si="20"/>
        <v>1.0873059722280869</v>
      </c>
      <c r="N145" s="1012">
        <v>9</v>
      </c>
      <c r="O145" s="997">
        <v>0.9194774911322845</v>
      </c>
      <c r="P145" s="22">
        <f t="shared" si="17"/>
        <v>0.1678284810958024</v>
      </c>
      <c r="Q145" s="982">
        <f t="shared" si="18"/>
        <v>18.252592664245768</v>
      </c>
      <c r="R145" s="6"/>
      <c r="S145" s="6"/>
      <c r="T145" s="6"/>
      <c r="U145" s="6"/>
      <c r="V145" s="6"/>
      <c r="W145" s="6"/>
      <c r="X145" s="6"/>
      <c r="Y145" s="6"/>
      <c r="Z145" s="6"/>
    </row>
    <row r="146" spans="1:26" s="93" customFormat="1" ht="15.75">
      <c r="A146" s="236">
        <v>55</v>
      </c>
      <c r="B146" s="897" t="s">
        <v>1347</v>
      </c>
      <c r="C146" s="886">
        <f>cходова!R146</f>
        <v>0.55988414108958107</v>
      </c>
      <c r="D146" s="886">
        <f>прибуд.!O146</f>
        <v>0.22842627062796259</v>
      </c>
      <c r="E146" s="886">
        <f>гар.вода!M146+хол.вода!Q146+ц.о.!M146+каналізація!Q146+аварійні!I146+зварювальн!M146</f>
        <v>0.22309295311343894</v>
      </c>
      <c r="F146" s="886">
        <f>дератизац.!I146</f>
        <v>4.7715927681530271E-3</v>
      </c>
      <c r="G146" s="886">
        <f>димоканал!R146</f>
        <v>3.1975452377297119E-2</v>
      </c>
      <c r="H146" s="886">
        <f>'підготовка до зими'!M146+майстерні!M146+маляри!M146+покрівлі!O146</f>
        <v>0.13660198127670847</v>
      </c>
      <c r="I146" s="886">
        <f>електрики!R146</f>
        <v>1.7883975963556214E-2</v>
      </c>
      <c r="J146" s="989">
        <f t="shared" si="16"/>
        <v>1.2026363672166975</v>
      </c>
      <c r="K146" s="989">
        <v>3.0156879031526817E-2</v>
      </c>
      <c r="L146" s="994">
        <f t="shared" si="19"/>
        <v>1.2327932462482243</v>
      </c>
      <c r="M146" s="994">
        <f t="shared" si="20"/>
        <v>1.4793518954978691</v>
      </c>
      <c r="N146" s="1012">
        <v>5</v>
      </c>
      <c r="O146" s="997">
        <v>1.2424634160989048</v>
      </c>
      <c r="P146" s="22">
        <f t="shared" si="17"/>
        <v>0.23688847939896429</v>
      </c>
      <c r="Q146" s="982">
        <f t="shared" si="18"/>
        <v>19.066032555127336</v>
      </c>
      <c r="R146" s="6"/>
      <c r="S146" s="6"/>
      <c r="T146" s="6"/>
      <c r="U146" s="6"/>
      <c r="V146" s="6"/>
      <c r="W146" s="6"/>
      <c r="X146" s="6"/>
      <c r="Y146" s="6"/>
      <c r="Z146" s="6"/>
    </row>
    <row r="147" spans="1:26" s="93" customFormat="1" ht="15.75">
      <c r="A147" s="236">
        <v>56</v>
      </c>
      <c r="B147" s="897" t="s">
        <v>1348</v>
      </c>
      <c r="C147" s="886">
        <f>cходова!R147</f>
        <v>0.74480387375798174</v>
      </c>
      <c r="D147" s="886">
        <f>прибуд.!O147</f>
        <v>0.18009756403930005</v>
      </c>
      <c r="E147" s="886">
        <f>гар.вода!M147+хол.вода!Q147+ц.о.!M147+каналізація!Q147+аварійні!I147+зварювальн!M147</f>
        <v>0.33814914738286445</v>
      </c>
      <c r="F147" s="886">
        <f>дератизац.!I147</f>
        <v>5.086913551537702E-3</v>
      </c>
      <c r="G147" s="886">
        <f>димоканал!R147</f>
        <v>1.5032538087666964E-2</v>
      </c>
      <c r="H147" s="886">
        <f>'підготовка до зими'!M147+майстерні!M147+маляри!M147+покрівлі!O147</f>
        <v>0.13675639969307687</v>
      </c>
      <c r="I147" s="886">
        <f>електрики!R147</f>
        <v>1.5894671308300318E-2</v>
      </c>
      <c r="J147" s="989">
        <f t="shared" si="16"/>
        <v>1.4358211078207281</v>
      </c>
      <c r="K147" s="989">
        <v>3.5991927776145585E-2</v>
      </c>
      <c r="L147" s="994">
        <f t="shared" si="19"/>
        <v>1.4718130355968737</v>
      </c>
      <c r="M147" s="994">
        <f t="shared" si="20"/>
        <v>1.7661756427162485</v>
      </c>
      <c r="N147" s="1012">
        <v>6</v>
      </c>
      <c r="O147" s="997">
        <v>1.4828674243771982</v>
      </c>
      <c r="P147" s="22">
        <f t="shared" si="17"/>
        <v>0.28330821833905029</v>
      </c>
      <c r="Q147" s="982">
        <f t="shared" si="18"/>
        <v>19.105431387977205</v>
      </c>
      <c r="R147" s="6"/>
      <c r="S147" s="6"/>
      <c r="T147" s="6"/>
      <c r="U147" s="6"/>
      <c r="V147" s="6"/>
      <c r="W147" s="6"/>
      <c r="X147" s="6"/>
      <c r="Y147" s="6"/>
      <c r="Z147" s="6"/>
    </row>
    <row r="148" spans="1:26" s="93" customFormat="1" ht="15.75">
      <c r="A148" s="894">
        <v>57</v>
      </c>
      <c r="B148" s="897" t="s">
        <v>1350</v>
      </c>
      <c r="C148" s="886">
        <f>cходова!R148</f>
        <v>0.45066511976096907</v>
      </c>
      <c r="D148" s="886">
        <f>прибуд.!O148</f>
        <v>0.49199663199163629</v>
      </c>
      <c r="E148" s="886">
        <f>гар.вода!M148+хол.вода!Q148+ц.о.!M148+каналізація!Q148+аварійні!I148+зварювальн!M148</f>
        <v>0.22143296398663223</v>
      </c>
      <c r="F148" s="886">
        <f>дератизац.!I148</f>
        <v>8.6464928074964677E-3</v>
      </c>
      <c r="G148" s="886">
        <f>димоканал!R148</f>
        <v>2.9712969713202218E-2</v>
      </c>
      <c r="H148" s="886">
        <f>'підготовка до зими'!M148+майстерні!M148+маляри!M148+покрівлі!O148</f>
        <v>0.10510344027646377</v>
      </c>
      <c r="I148" s="886">
        <f>електрики!R148</f>
        <v>3.3016677547014896E-3</v>
      </c>
      <c r="J148" s="989">
        <f t="shared" si="16"/>
        <v>1.3108592862911015</v>
      </c>
      <c r="K148" s="989">
        <v>3.2764830209738263E-2</v>
      </c>
      <c r="L148" s="994">
        <f t="shared" si="19"/>
        <v>1.3436241165008398</v>
      </c>
      <c r="M148" s="994">
        <f t="shared" si="20"/>
        <v>1.6123489398010078</v>
      </c>
      <c r="N148" s="1012">
        <v>5</v>
      </c>
      <c r="O148" s="997">
        <v>1.3499110046412166</v>
      </c>
      <c r="P148" s="22">
        <f t="shared" si="17"/>
        <v>0.26243793515979119</v>
      </c>
      <c r="Q148" s="982">
        <f t="shared" si="18"/>
        <v>19.441128656443738</v>
      </c>
      <c r="R148" s="6"/>
      <c r="S148" s="6"/>
      <c r="T148" s="6"/>
      <c r="U148" s="6"/>
      <c r="V148" s="6"/>
      <c r="W148" s="6"/>
      <c r="X148" s="6"/>
      <c r="Y148" s="6"/>
      <c r="Z148" s="6"/>
    </row>
    <row r="149" spans="1:26" s="93" customFormat="1" ht="15.75">
      <c r="A149" s="236">
        <v>58</v>
      </c>
      <c r="B149" s="897" t="s">
        <v>1351</v>
      </c>
      <c r="C149" s="886">
        <f>cходова!R149</f>
        <v>0</v>
      </c>
      <c r="D149" s="886">
        <f>прибуд.!O149</f>
        <v>0.52164253382793369</v>
      </c>
      <c r="E149" s="886">
        <f>гар.вода!M149+хол.вода!Q149+ц.о.!M149+каналізація!Q149+аварійні!I149+зварювальн!M149</f>
        <v>0.39170439890143821</v>
      </c>
      <c r="F149" s="886">
        <f>дератизац.!I149</f>
        <v>8.7666757419003552E-3</v>
      </c>
      <c r="G149" s="886">
        <f>димоканал!R149</f>
        <v>2.8823129450523542E-2</v>
      </c>
      <c r="H149" s="886">
        <f>'підготовка до зими'!M149+майстерні!M149+маляри!M149+покрівлі!O149</f>
        <v>0.13228005389178898</v>
      </c>
      <c r="I149" s="886">
        <f>електрики!R149</f>
        <v>7.7381995280010274E-2</v>
      </c>
      <c r="J149" s="989">
        <f t="shared" si="16"/>
        <v>1.160598787093595</v>
      </c>
      <c r="K149" s="989">
        <v>2.9268695825058068E-2</v>
      </c>
      <c r="L149" s="994">
        <f t="shared" si="19"/>
        <v>1.1898674829186531</v>
      </c>
      <c r="M149" s="994">
        <f t="shared" si="20"/>
        <v>1.4278409795023836</v>
      </c>
      <c r="N149" s="995">
        <v>2</v>
      </c>
      <c r="O149" s="997">
        <v>1.2058702679923925</v>
      </c>
      <c r="P149" s="22">
        <f t="shared" si="17"/>
        <v>0.22197071150999115</v>
      </c>
      <c r="Q149" s="982">
        <f t="shared" si="18"/>
        <v>18.407511769864087</v>
      </c>
      <c r="R149" s="6"/>
      <c r="S149" s="6"/>
      <c r="T149" s="6"/>
      <c r="U149" s="6"/>
      <c r="V149" s="6"/>
      <c r="W149" s="6"/>
      <c r="X149" s="6"/>
      <c r="Y149" s="6"/>
      <c r="Z149" s="6"/>
    </row>
    <row r="150" spans="1:26" s="93" customFormat="1" ht="15.75">
      <c r="A150" s="236">
        <v>59</v>
      </c>
      <c r="B150" s="897" t="s">
        <v>107</v>
      </c>
      <c r="C150" s="886">
        <f>cходова!R150</f>
        <v>0.27467368026593469</v>
      </c>
      <c r="D150" s="886">
        <f>прибуд.!O150</f>
        <v>0.29431654243368549</v>
      </c>
      <c r="E150" s="886">
        <f>гар.вода!M150+хол.вода!Q150+ц.о.!M150+каналізація!Q150+аварійні!I150+зварювальн!M150</f>
        <v>0.25133425626053812</v>
      </c>
      <c r="F150" s="886">
        <f>дератизац.!I150</f>
        <v>7.233918573129639E-3</v>
      </c>
      <c r="G150" s="886">
        <f>димоканал!R150</f>
        <v>2.459626197826164E-2</v>
      </c>
      <c r="H150" s="886">
        <f>'підготовка до зими'!M150+майстерні!M150+маляри!M150+покрівлі!O150</f>
        <v>0.21780249473147997</v>
      </c>
      <c r="I150" s="886">
        <f>електрики!R150</f>
        <v>1.1055574073469817E-2</v>
      </c>
      <c r="J150" s="989">
        <f t="shared" si="16"/>
        <v>1.0810127283164994</v>
      </c>
      <c r="K150" s="989">
        <v>2.720493847181624E-2</v>
      </c>
      <c r="L150" s="994">
        <f t="shared" si="19"/>
        <v>1.1082176667883157</v>
      </c>
      <c r="M150" s="994">
        <f t="shared" si="20"/>
        <v>1.3298612001459789</v>
      </c>
      <c r="N150" s="995">
        <v>2</v>
      </c>
      <c r="O150" s="997">
        <v>1.120843465038829</v>
      </c>
      <c r="P150" s="22">
        <f t="shared" si="17"/>
        <v>0.20901773510714983</v>
      </c>
      <c r="Q150" s="982">
        <f t="shared" si="18"/>
        <v>18.648253893322092</v>
      </c>
      <c r="R150" s="6"/>
      <c r="S150" s="6"/>
      <c r="T150" s="6"/>
      <c r="U150" s="6"/>
      <c r="V150" s="6"/>
      <c r="W150" s="6"/>
      <c r="X150" s="6"/>
      <c r="Y150" s="6"/>
      <c r="Z150" s="6"/>
    </row>
    <row r="151" spans="1:26" s="93" customFormat="1" ht="15.75">
      <c r="A151" s="236">
        <v>60</v>
      </c>
      <c r="B151" s="897" t="s">
        <v>108</v>
      </c>
      <c r="C151" s="886">
        <f>cходова!R151</f>
        <v>0.46637201180412291</v>
      </c>
      <c r="D151" s="886">
        <f>прибуд.!O151</f>
        <v>0.46791191680821381</v>
      </c>
      <c r="E151" s="886">
        <f>гар.вода!M151+хол.вода!Q151+ц.о.!M151+каналізація!Q151+аварійні!I151+зварювальн!M151</f>
        <v>0.27939704475255989</v>
      </c>
      <c r="F151" s="886">
        <f>дератизац.!I151</f>
        <v>8.1933359163115088E-3</v>
      </c>
      <c r="G151" s="886">
        <f>димоканал!R151</f>
        <v>3.567697633452014E-2</v>
      </c>
      <c r="H151" s="886">
        <f>'підготовка до зими'!M151+майстерні!M151+маляри!M151+покрівлі!O151</f>
        <v>0.15345531697703552</v>
      </c>
      <c r="I151" s="886">
        <f>електрики!R151</f>
        <v>2.0273115147711955E-2</v>
      </c>
      <c r="J151" s="989">
        <f t="shared" si="16"/>
        <v>1.4312797177404759</v>
      </c>
      <c r="K151" s="989">
        <v>3.5802059631627324E-2</v>
      </c>
      <c r="L151" s="994">
        <f t="shared" si="19"/>
        <v>1.4670817773721032</v>
      </c>
      <c r="M151" s="994">
        <f t="shared" si="20"/>
        <v>1.7604981328465239</v>
      </c>
      <c r="N151" s="995">
        <v>3</v>
      </c>
      <c r="O151" s="997">
        <v>1.4750448568230456</v>
      </c>
      <c r="P151" s="22">
        <f t="shared" si="17"/>
        <v>0.28545327602347825</v>
      </c>
      <c r="Q151" s="982">
        <f t="shared" si="18"/>
        <v>19.352175949298783</v>
      </c>
      <c r="R151" s="6"/>
      <c r="S151" s="6"/>
      <c r="T151" s="6"/>
      <c r="U151" s="6"/>
      <c r="V151" s="6"/>
      <c r="W151" s="6"/>
      <c r="X151" s="6"/>
      <c r="Y151" s="6"/>
      <c r="Z151" s="6"/>
    </row>
    <row r="152" spans="1:26" s="93" customFormat="1" ht="15.75">
      <c r="A152" s="236">
        <v>61</v>
      </c>
      <c r="B152" s="897" t="s">
        <v>109</v>
      </c>
      <c r="C152" s="886">
        <f>cходова!R152</f>
        <v>0</v>
      </c>
      <c r="D152" s="886">
        <f>прибуд.!O152</f>
        <v>0.62131424352159481</v>
      </c>
      <c r="E152" s="886">
        <f>гар.вода!M152+хол.вода!Q152+ц.о.!M152+каналізація!Q152+аварійні!I152+зварювальн!M152</f>
        <v>0.29627841441938108</v>
      </c>
      <c r="F152" s="886">
        <f>дератизац.!I152</f>
        <v>1.4089398973119904E-2</v>
      </c>
      <c r="G152" s="886">
        <f>димоканал!R152</f>
        <v>4.0649999851661539E-2</v>
      </c>
      <c r="H152" s="886">
        <f>'підготовка до зими'!M152+майстерні!M152+маляри!M152+покрівлі!O152</f>
        <v>0.28615463561228094</v>
      </c>
      <c r="I152" s="886">
        <f>електрики!R152</f>
        <v>2.6321105293731537E-2</v>
      </c>
      <c r="J152" s="989">
        <f t="shared" si="16"/>
        <v>1.2848077976717698</v>
      </c>
      <c r="K152" s="989">
        <v>3.237695317773772E-2</v>
      </c>
      <c r="L152" s="994">
        <f t="shared" si="19"/>
        <v>1.3171847508495076</v>
      </c>
      <c r="M152" s="994">
        <f t="shared" si="20"/>
        <v>1.580621701019409</v>
      </c>
      <c r="N152" s="995">
        <v>2</v>
      </c>
      <c r="O152" s="997">
        <v>1.3339304709227944</v>
      </c>
      <c r="P152" s="22">
        <f t="shared" si="17"/>
        <v>0.24669123009661464</v>
      </c>
      <c r="Q152" s="982">
        <f t="shared" si="18"/>
        <v>18.493559857430725</v>
      </c>
      <c r="R152" s="6"/>
      <c r="S152" s="6"/>
      <c r="T152" s="6"/>
      <c r="U152" s="6"/>
      <c r="V152" s="6"/>
      <c r="W152" s="6"/>
      <c r="X152" s="6"/>
      <c r="Y152" s="6"/>
      <c r="Z152" s="6"/>
    </row>
    <row r="153" spans="1:26" s="93" customFormat="1" ht="15.75">
      <c r="A153" s="236">
        <v>62</v>
      </c>
      <c r="B153" s="897" t="s">
        <v>110</v>
      </c>
      <c r="C153" s="886">
        <f>cходова!R153</f>
        <v>0.29117554616085384</v>
      </c>
      <c r="D153" s="886">
        <f>прибуд.!O153</f>
        <v>0.32318571187000561</v>
      </c>
      <c r="E153" s="886">
        <f>гар.вода!M153+хол.вода!Q153+ц.о.!M153+каналізація!Q153+аварійні!I153+зварювальн!M153</f>
        <v>0.27994988452735825</v>
      </c>
      <c r="F153" s="886">
        <f>дератизац.!I153</f>
        <v>7.3599797586500161E-3</v>
      </c>
      <c r="G153" s="886">
        <f>димоканал!R153</f>
        <v>3.2358846776985473E-2</v>
      </c>
      <c r="H153" s="886">
        <f>'підготовка до зими'!M153+майстерні!M153+маляри!M153+покрівлі!O153</f>
        <v>0.13879145218712158</v>
      </c>
      <c r="I153" s="886">
        <f>електрики!R153</f>
        <v>1.7978371400457535E-2</v>
      </c>
      <c r="J153" s="989">
        <f t="shared" si="16"/>
        <v>1.0907997926814323</v>
      </c>
      <c r="K153" s="989">
        <v>2.7403217399128946E-2</v>
      </c>
      <c r="L153" s="994">
        <f t="shared" si="19"/>
        <v>1.1182030100805613</v>
      </c>
      <c r="M153" s="994">
        <f t="shared" si="20"/>
        <v>1.3418436120966735</v>
      </c>
      <c r="N153" s="995">
        <v>4</v>
      </c>
      <c r="O153" s="997">
        <v>1.1290125568441125</v>
      </c>
      <c r="P153" s="22">
        <f t="shared" si="17"/>
        <v>0.21283105525256096</v>
      </c>
      <c r="Q153" s="982">
        <f t="shared" si="18"/>
        <v>18.851079552868725</v>
      </c>
      <c r="R153" s="6"/>
      <c r="S153" s="6"/>
      <c r="T153" s="6"/>
      <c r="U153" s="6"/>
      <c r="V153" s="6"/>
      <c r="W153" s="6"/>
      <c r="X153" s="6"/>
      <c r="Y153" s="6"/>
      <c r="Z153" s="6"/>
    </row>
    <row r="154" spans="1:26" s="93" customFormat="1" ht="15.75">
      <c r="A154" s="236">
        <v>63</v>
      </c>
      <c r="B154" s="897" t="s">
        <v>111</v>
      </c>
      <c r="C154" s="886">
        <f>cходова!R154</f>
        <v>0</v>
      </c>
      <c r="D154" s="886">
        <f>прибуд.!O154</f>
        <v>0.76272246939088995</v>
      </c>
      <c r="E154" s="886">
        <f>гар.вода!M154+хол.вода!Q154+ц.о.!M154+каналізація!Q154+аварійні!I154+зварювальн!M154</f>
        <v>0.28029563337119318</v>
      </c>
      <c r="F154" s="886">
        <f>дератизац.!I154</f>
        <v>4.792108050847458E-3</v>
      </c>
      <c r="G154" s="886">
        <f>димоканал!R154</f>
        <v>3.8975160579897937E-2</v>
      </c>
      <c r="H154" s="886">
        <f>'підготовка до зими'!M154+майстерні!M154+маляри!M154+покрівлі!O154</f>
        <v>0.22888186116045353</v>
      </c>
      <c r="I154" s="886">
        <f>електрики!R154</f>
        <v>1.8065089109966802E-2</v>
      </c>
      <c r="J154" s="989">
        <f t="shared" si="16"/>
        <v>1.3337323216632488</v>
      </c>
      <c r="K154" s="989">
        <v>3.3533892194306705E-2</v>
      </c>
      <c r="L154" s="994">
        <f t="shared" si="19"/>
        <v>1.3672662138575555</v>
      </c>
      <c r="M154" s="994">
        <f t="shared" si="20"/>
        <v>1.6407194566290666</v>
      </c>
      <c r="N154" s="995">
        <v>2</v>
      </c>
      <c r="O154" s="997">
        <v>1.3815963584054363</v>
      </c>
      <c r="P154" s="22">
        <f t="shared" si="17"/>
        <v>0.25912309822363033</v>
      </c>
      <c r="Q154" s="982">
        <f t="shared" si="18"/>
        <v>18.755340273384633</v>
      </c>
      <c r="R154" s="6"/>
      <c r="S154" s="6"/>
      <c r="T154" s="6"/>
      <c r="U154" s="6"/>
      <c r="V154" s="6"/>
      <c r="W154" s="6"/>
      <c r="X154" s="6"/>
      <c r="Y154" s="6"/>
      <c r="Z154" s="6"/>
    </row>
    <row r="155" spans="1:26" s="93" customFormat="1" ht="15.75">
      <c r="A155" s="894">
        <v>64</v>
      </c>
      <c r="B155" s="897" t="s">
        <v>112</v>
      </c>
      <c r="C155" s="886">
        <f>cходова!R155</f>
        <v>0.44734611296014537</v>
      </c>
      <c r="D155" s="886">
        <f>прибуд.!O155</f>
        <v>0.47032006222908385</v>
      </c>
      <c r="E155" s="886">
        <f>гар.вода!M155+хол.вода!Q155+ц.о.!M155+каналізація!Q155+аварійні!I155+зварювальн!M155</f>
        <v>0.27800517971899302</v>
      </c>
      <c r="F155" s="886">
        <f>дератизац.!I155</f>
        <v>7.0453060982126961E-3</v>
      </c>
      <c r="G155" s="886">
        <f>димоканал!R155</f>
        <v>4.2992050789903369E-2</v>
      </c>
      <c r="H155" s="886">
        <f>'підготовка до зими'!M155+майстерні!M155+маляри!M155+покрівлі!O155</f>
        <v>0.16283225655121919</v>
      </c>
      <c r="I155" s="886">
        <f>електрики!R155</f>
        <v>2.1210612543539557E-2</v>
      </c>
      <c r="J155" s="989">
        <f t="shared" si="16"/>
        <v>1.429751580891097</v>
      </c>
      <c r="K155" s="989">
        <v>3.5755437584298638E-2</v>
      </c>
      <c r="L155" s="994">
        <f t="shared" si="19"/>
        <v>1.4655070184753956</v>
      </c>
      <c r="M155" s="994">
        <f t="shared" si="20"/>
        <v>1.7586084221704745</v>
      </c>
      <c r="N155" s="995">
        <v>5</v>
      </c>
      <c r="O155" s="997">
        <v>1.4731240284731042</v>
      </c>
      <c r="P155" s="22">
        <f t="shared" si="17"/>
        <v>0.28548439369737033</v>
      </c>
      <c r="Q155" s="982">
        <f t="shared" si="18"/>
        <v>19.379521898999613</v>
      </c>
      <c r="R155" s="6"/>
      <c r="S155" s="6"/>
      <c r="T155" s="6"/>
      <c r="U155" s="6"/>
      <c r="V155" s="6"/>
      <c r="W155" s="6"/>
      <c r="X155" s="6"/>
      <c r="Y155" s="6"/>
      <c r="Z155" s="6"/>
    </row>
    <row r="156" spans="1:26" s="93" customFormat="1" ht="15.75">
      <c r="A156" s="236">
        <v>65</v>
      </c>
      <c r="B156" s="897" t="s">
        <v>113</v>
      </c>
      <c r="C156" s="886">
        <f>cходова!R156</f>
        <v>0.3527013792003551</v>
      </c>
      <c r="D156" s="886">
        <f>прибуд.!O156</f>
        <v>0.43342799361254408</v>
      </c>
      <c r="E156" s="886">
        <f>гар.вода!M156+хол.вода!Q156+ц.о.!M156+каналізація!Q156+аварійні!I156+зварювальн!M156</f>
        <v>0.28944716605995041</v>
      </c>
      <c r="F156" s="886">
        <f>дератизац.!I156</f>
        <v>4.4851481700734766E-3</v>
      </c>
      <c r="G156" s="886">
        <f>димоканал!R156</f>
        <v>4.1014830727491888E-2</v>
      </c>
      <c r="H156" s="886">
        <f>'підготовка до зими'!M156+майстерні!M156+маляри!M156+покрівлі!O156</f>
        <v>0.15457150007786666</v>
      </c>
      <c r="I156" s="886">
        <f>електрики!R156</f>
        <v>2.0360396722469414E-2</v>
      </c>
      <c r="J156" s="989">
        <f t="shared" ref="J156:J217" si="21">I156+H156+G156+F156+E156+D156+C156</f>
        <v>1.2960084145707509</v>
      </c>
      <c r="K156" s="989">
        <v>3.2533779717019838E-2</v>
      </c>
      <c r="L156" s="994">
        <f t="shared" si="19"/>
        <v>1.3285421942877707</v>
      </c>
      <c r="M156" s="994">
        <f t="shared" ref="M156:M217" si="22">L156*1.2</f>
        <v>1.5942506331453248</v>
      </c>
      <c r="N156" s="995">
        <v>5</v>
      </c>
      <c r="O156" s="997">
        <v>1.3403917243412171</v>
      </c>
      <c r="P156" s="22">
        <f t="shared" ref="P156:P219" si="23">M156-O156</f>
        <v>0.25385890880410766</v>
      </c>
      <c r="Q156" s="982">
        <f t="shared" ref="Q156:Q219" si="24">M156/O156*100-100</f>
        <v>18.93915817250182</v>
      </c>
      <c r="R156" s="6"/>
      <c r="S156" s="6"/>
      <c r="T156" s="6"/>
      <c r="U156" s="6"/>
      <c r="V156" s="6"/>
      <c r="W156" s="6"/>
      <c r="X156" s="6"/>
      <c r="Y156" s="6"/>
      <c r="Z156" s="6"/>
    </row>
    <row r="157" spans="1:26" s="93" customFormat="1" ht="15.75">
      <c r="A157" s="236">
        <v>66</v>
      </c>
      <c r="B157" s="897" t="s">
        <v>114</v>
      </c>
      <c r="C157" s="886">
        <f>cходова!R157</f>
        <v>0.30625943927898275</v>
      </c>
      <c r="D157" s="886">
        <f>прибуд.!O157</f>
        <v>0.4049315866135817</v>
      </c>
      <c r="E157" s="886">
        <f>гар.вода!M157+хол.вода!Q157+ц.о.!M157+каналізація!Q157+аварійні!I157+зварювальн!M157</f>
        <v>0.28256220538854898</v>
      </c>
      <c r="F157" s="886">
        <f>дератизац.!I157</f>
        <v>7.3617788461538469E-3</v>
      </c>
      <c r="G157" s="886">
        <f>димоканал!R157</f>
        <v>3.1539066967706197E-2</v>
      </c>
      <c r="H157" s="886">
        <f>'підготовка до зими'!M157+майстерні!M157+маляри!M157+покрівлі!O157</f>
        <v>0.14311188870365596</v>
      </c>
      <c r="I157" s="886">
        <f>електрики!R157</f>
        <v>1.863357093510562E-2</v>
      </c>
      <c r="J157" s="989">
        <f t="shared" si="21"/>
        <v>1.194399536733735</v>
      </c>
      <c r="K157" s="989">
        <v>2.9970902199228374E-2</v>
      </c>
      <c r="L157" s="994">
        <f t="shared" ref="L157:L220" si="25">J157+K157</f>
        <v>1.2243704389329633</v>
      </c>
      <c r="M157" s="994">
        <f t="shared" si="22"/>
        <v>1.469244526719556</v>
      </c>
      <c r="N157" s="995">
        <v>4</v>
      </c>
      <c r="O157" s="997">
        <v>1.2348011706082092</v>
      </c>
      <c r="P157" s="22">
        <f t="shared" si="23"/>
        <v>0.23444335611134681</v>
      </c>
      <c r="Q157" s="982">
        <f t="shared" si="24"/>
        <v>18.986324413336149</v>
      </c>
      <c r="R157" s="6"/>
      <c r="S157" s="6"/>
      <c r="T157" s="6"/>
      <c r="U157" s="6"/>
      <c r="V157" s="6"/>
      <c r="W157" s="6"/>
      <c r="X157" s="6"/>
      <c r="Y157" s="6"/>
      <c r="Z157" s="6"/>
    </row>
    <row r="158" spans="1:26" s="93" customFormat="1" ht="15.75">
      <c r="A158" s="236">
        <v>67</v>
      </c>
      <c r="B158" s="897" t="s">
        <v>115</v>
      </c>
      <c r="C158" s="886">
        <f>cходова!R158</f>
        <v>0</v>
      </c>
      <c r="D158" s="886">
        <f>прибуд.!O158</f>
        <v>0</v>
      </c>
      <c r="E158" s="886">
        <f>гар.вода!M158+хол.вода!Q158+ц.о.!M158+каналізація!Q158+аварійні!I158+зварювальн!M158</f>
        <v>0.17257757095461834</v>
      </c>
      <c r="F158" s="886">
        <f>дератизац.!I158</f>
        <v>1.4012885411872985E-2</v>
      </c>
      <c r="G158" s="886">
        <f>димоканал!R158</f>
        <v>4.7707057493697781E-2</v>
      </c>
      <c r="H158" s="886">
        <f>'підготовка до зими'!M158+майстерні!M158+маляри!M158+покрівлі!O158</f>
        <v>0.30900947765351455</v>
      </c>
      <c r="I158" s="886">
        <f>електрики!R158</f>
        <v>2.2422515442520097E-2</v>
      </c>
      <c r="J158" s="989">
        <f t="shared" si="21"/>
        <v>0.56572950695622382</v>
      </c>
      <c r="K158" s="989">
        <v>1.4579714270903555E-2</v>
      </c>
      <c r="L158" s="994">
        <f t="shared" si="25"/>
        <v>0.58030922122712736</v>
      </c>
      <c r="M158" s="994">
        <f t="shared" si="22"/>
        <v>0.69637106547255279</v>
      </c>
      <c r="N158" s="995">
        <v>2</v>
      </c>
      <c r="O158" s="997">
        <v>0.60068422796122645</v>
      </c>
      <c r="P158" s="22">
        <f t="shared" si="23"/>
        <v>9.5686837511326339E-2</v>
      </c>
      <c r="Q158" s="982">
        <f t="shared" si="24"/>
        <v>15.929640409586838</v>
      </c>
      <c r="R158" s="6"/>
      <c r="S158" s="6"/>
      <c r="T158" s="6"/>
      <c r="U158" s="6"/>
      <c r="V158" s="6"/>
      <c r="W158" s="6"/>
      <c r="X158" s="6"/>
      <c r="Y158" s="6"/>
      <c r="Z158" s="6"/>
    </row>
    <row r="159" spans="1:26" s="93" customFormat="1" ht="15.75">
      <c r="A159" s="236">
        <v>68</v>
      </c>
      <c r="B159" s="897" t="s">
        <v>116</v>
      </c>
      <c r="C159" s="886">
        <f>cходова!R159</f>
        <v>0.31110096253760139</v>
      </c>
      <c r="D159" s="886">
        <f>прибуд.!O159</f>
        <v>0.50468850074014027</v>
      </c>
      <c r="E159" s="886">
        <f>гар.вода!M159+хол.вода!Q159+ц.о.!M159+каналізація!Q159+аварійні!I159+зварювальн!M159</f>
        <v>0.28814909825815632</v>
      </c>
      <c r="F159" s="886">
        <f>дератизац.!I159</f>
        <v>2.1532599458796899E-3</v>
      </c>
      <c r="G159" s="886">
        <f>димоканал!R159</f>
        <v>3.6060212141980234E-2</v>
      </c>
      <c r="H159" s="886">
        <f>'підготовка до зими'!M159+майстерні!M159+маляри!M159+покрівлі!O159</f>
        <v>0.13154667031993178</v>
      </c>
      <c r="I159" s="886">
        <f>електрики!R159</f>
        <v>2.0034826677720205E-2</v>
      </c>
      <c r="J159" s="989">
        <f t="shared" si="21"/>
        <v>1.2937335306214099</v>
      </c>
      <c r="K159" s="989">
        <v>3.2410503345943496E-2</v>
      </c>
      <c r="L159" s="994">
        <f t="shared" si="25"/>
        <v>1.3261440339673534</v>
      </c>
      <c r="M159" s="994">
        <f t="shared" si="22"/>
        <v>1.5913728407608241</v>
      </c>
      <c r="N159" s="995">
        <v>5</v>
      </c>
      <c r="O159" s="997">
        <v>1.335312737852872</v>
      </c>
      <c r="P159" s="22">
        <f t="shared" si="23"/>
        <v>0.25606010290795211</v>
      </c>
      <c r="Q159" s="982">
        <f t="shared" si="24"/>
        <v>19.176039863117467</v>
      </c>
      <c r="R159" s="6"/>
      <c r="S159" s="6"/>
      <c r="T159" s="6"/>
      <c r="U159" s="6"/>
      <c r="V159" s="6"/>
      <c r="W159" s="6"/>
      <c r="X159" s="6"/>
      <c r="Y159" s="6"/>
      <c r="Z159" s="6"/>
    </row>
    <row r="160" spans="1:26" s="93" customFormat="1" ht="15.75">
      <c r="A160" s="236">
        <v>69</v>
      </c>
      <c r="B160" s="897" t="s">
        <v>117</v>
      </c>
      <c r="C160" s="886">
        <f>cходова!R160</f>
        <v>0</v>
      </c>
      <c r="D160" s="886">
        <f>прибуд.!O160</f>
        <v>0</v>
      </c>
      <c r="E160" s="886">
        <f>гар.вода!M160+хол.вода!Q160+ц.о.!M160+каналізація!Q160+аварійні!I160+зварювальн!M160</f>
        <v>0.14984409049467176</v>
      </c>
      <c r="F160" s="886">
        <f>дератизац.!I160</f>
        <v>2.7453671928620457E-2</v>
      </c>
      <c r="G160" s="886">
        <f>димоканал!R160</f>
        <v>6.4973969641825197E-2</v>
      </c>
      <c r="H160" s="886">
        <f>'підготовка до зими'!M160+майстерні!M160+маляри!M160+покрівлі!O160</f>
        <v>0.32384691578836455</v>
      </c>
      <c r="I160" s="886">
        <f>електрики!R160</f>
        <v>3.0081926476995348E-2</v>
      </c>
      <c r="J160" s="989">
        <f t="shared" si="21"/>
        <v>0.59620057433047735</v>
      </c>
      <c r="K160" s="989">
        <v>1.5120274332519048E-2</v>
      </c>
      <c r="L160" s="994">
        <f t="shared" si="25"/>
        <v>0.61132084866299641</v>
      </c>
      <c r="M160" s="994">
        <f t="shared" si="22"/>
        <v>0.73358501839559564</v>
      </c>
      <c r="N160" s="995">
        <v>1</v>
      </c>
      <c r="O160" s="997">
        <v>0.62295530249978481</v>
      </c>
      <c r="P160" s="22">
        <f t="shared" si="23"/>
        <v>0.11062971589581083</v>
      </c>
      <c r="Q160" s="982">
        <f t="shared" si="24"/>
        <v>17.758852914788221</v>
      </c>
      <c r="R160" s="6"/>
      <c r="S160" s="6"/>
      <c r="T160" s="6"/>
      <c r="U160" s="6"/>
      <c r="V160" s="6"/>
      <c r="W160" s="6"/>
      <c r="X160" s="6"/>
      <c r="Y160" s="6"/>
      <c r="Z160" s="6"/>
    </row>
    <row r="161" spans="1:26" s="93" customFormat="1" ht="15.75">
      <c r="A161" s="236">
        <v>70</v>
      </c>
      <c r="B161" s="897" t="s">
        <v>118</v>
      </c>
      <c r="C161" s="886">
        <f>cходова!R161</f>
        <v>0</v>
      </c>
      <c r="D161" s="886">
        <f>прибуд.!O161</f>
        <v>0</v>
      </c>
      <c r="E161" s="886">
        <f>гар.вода!M161+хол.вода!Q161+ц.о.!M161+каналізація!Q161+аварійні!I161+зварювальн!M161</f>
        <v>0.14458020890363821</v>
      </c>
      <c r="F161" s="886">
        <f>дератизац.!I161</f>
        <v>1.7974111980734498E-2</v>
      </c>
      <c r="G161" s="886">
        <f>димоканал!R161</f>
        <v>2.5209580481957573E-2</v>
      </c>
      <c r="H161" s="886">
        <f>'підготовка до зими'!M161+майстерні!M161+маляри!M161+покрівлі!O161</f>
        <v>0.19191534535916727</v>
      </c>
      <c r="I161" s="886">
        <f>електрики!R161</f>
        <v>1.5400461276166764E-2</v>
      </c>
      <c r="J161" s="989">
        <f t="shared" si="21"/>
        <v>0.39507970800166431</v>
      </c>
      <c r="K161" s="989">
        <v>1.0160002892033436E-2</v>
      </c>
      <c r="L161" s="994">
        <f t="shared" si="25"/>
        <v>0.40523971089369776</v>
      </c>
      <c r="M161" s="994">
        <f t="shared" si="22"/>
        <v>0.48628765307243726</v>
      </c>
      <c r="N161" s="995">
        <v>2</v>
      </c>
      <c r="O161" s="997">
        <v>0.41859211915177758</v>
      </c>
      <c r="P161" s="22">
        <f t="shared" si="23"/>
        <v>6.769553392065969E-2</v>
      </c>
      <c r="Q161" s="982">
        <f t="shared" si="24"/>
        <v>16.172195037459346</v>
      </c>
      <c r="R161" s="6"/>
      <c r="S161" s="6"/>
      <c r="T161" s="6"/>
      <c r="U161" s="6"/>
      <c r="V161" s="6"/>
      <c r="W161" s="6"/>
      <c r="X161" s="6"/>
      <c r="Y161" s="6"/>
      <c r="Z161" s="6"/>
    </row>
    <row r="162" spans="1:26" s="93" customFormat="1" ht="15.75">
      <c r="A162" s="894">
        <v>71</v>
      </c>
      <c r="B162" s="897" t="s">
        <v>119</v>
      </c>
      <c r="C162" s="886">
        <f>cходова!R162</f>
        <v>0</v>
      </c>
      <c r="D162" s="886">
        <f>прибуд.!O162</f>
        <v>0</v>
      </c>
      <c r="E162" s="886">
        <f>гар.вода!M162+хол.вода!Q162+ц.о.!M162+каналізація!Q162+аварійні!I162+зварювальн!M162</f>
        <v>0.16940860637764873</v>
      </c>
      <c r="F162" s="886">
        <f>дератизац.!I162</f>
        <v>7.7679137603043763E-3</v>
      </c>
      <c r="G162" s="886">
        <f>димоканал!R162</f>
        <v>3.8927193371125123E-2</v>
      </c>
      <c r="H162" s="886">
        <f>'підготовка до зими'!M162+майстерні!M162+маляри!M162+покрівлі!O162</f>
        <v>0.20417023838567974</v>
      </c>
      <c r="I162" s="886">
        <f>електрики!R162</f>
        <v>2.1627703385933627E-2</v>
      </c>
      <c r="J162" s="989">
        <f t="shared" si="21"/>
        <v>0.44190165528069159</v>
      </c>
      <c r="K162" s="989">
        <v>1.134245130603149E-2</v>
      </c>
      <c r="L162" s="994">
        <f t="shared" si="25"/>
        <v>0.45324410658672309</v>
      </c>
      <c r="M162" s="994">
        <f t="shared" si="22"/>
        <v>0.54389292790406774</v>
      </c>
      <c r="N162" s="995">
        <v>2</v>
      </c>
      <c r="O162" s="997">
        <v>0.46730899380849744</v>
      </c>
      <c r="P162" s="22">
        <f t="shared" si="23"/>
        <v>7.6583934095570294E-2</v>
      </c>
      <c r="Q162" s="982">
        <f t="shared" si="24"/>
        <v>16.388285932916219</v>
      </c>
      <c r="R162" s="6"/>
      <c r="S162" s="6"/>
      <c r="T162" s="6"/>
      <c r="U162" s="6"/>
      <c r="V162" s="6"/>
      <c r="W162" s="6"/>
      <c r="X162" s="6"/>
      <c r="Y162" s="6"/>
      <c r="Z162" s="6"/>
    </row>
    <row r="163" spans="1:26" s="93" customFormat="1" ht="15.75">
      <c r="A163" s="236">
        <v>72</v>
      </c>
      <c r="B163" s="897" t="s">
        <v>120</v>
      </c>
      <c r="C163" s="886">
        <f>cходова!R163</f>
        <v>0.31291916482544985</v>
      </c>
      <c r="D163" s="886">
        <f>прибуд.!O163</f>
        <v>0.49279430939776075</v>
      </c>
      <c r="E163" s="886">
        <f>гар.вода!M163+хол.вода!Q163+ц.о.!M163+каналізація!Q163+аварійні!I163+зварювальн!M163</f>
        <v>0.27862661183744042</v>
      </c>
      <c r="F163" s="886">
        <f>дератизац.!I163</f>
        <v>4.3460555040022438E-4</v>
      </c>
      <c r="G163" s="886">
        <f>димоканал!R163</f>
        <v>2.9712354788366209E-2</v>
      </c>
      <c r="H163" s="886">
        <f>'підготовка до зими'!M163+майстерні!M163+маляри!M163+покрівлі!O163</f>
        <v>0.15272285929419477</v>
      </c>
      <c r="I163" s="886">
        <f>електрики!R163</f>
        <v>1.9365993644784949E-2</v>
      </c>
      <c r="J163" s="989">
        <f t="shared" si="21"/>
        <v>1.2865758993383971</v>
      </c>
      <c r="K163" s="989">
        <v>3.2196434413684714E-2</v>
      </c>
      <c r="L163" s="994">
        <f t="shared" si="25"/>
        <v>1.3187723337520818</v>
      </c>
      <c r="M163" s="994">
        <f t="shared" si="22"/>
        <v>1.5825268005024982</v>
      </c>
      <c r="N163" s="995">
        <v>4</v>
      </c>
      <c r="O163" s="997">
        <v>1.3264930978438103</v>
      </c>
      <c r="P163" s="22">
        <f t="shared" si="23"/>
        <v>0.25603370265868786</v>
      </c>
      <c r="Q163" s="982">
        <f t="shared" si="24"/>
        <v>19.301548049881731</v>
      </c>
      <c r="R163" s="6"/>
      <c r="S163" s="6"/>
      <c r="T163" s="6"/>
      <c r="U163" s="6"/>
      <c r="V163" s="6"/>
      <c r="W163" s="6"/>
      <c r="X163" s="6"/>
      <c r="Y163" s="6"/>
      <c r="Z163" s="6"/>
    </row>
    <row r="164" spans="1:26" s="93" customFormat="1" ht="15.75">
      <c r="A164" s="236">
        <v>73</v>
      </c>
      <c r="B164" s="897" t="s">
        <v>122</v>
      </c>
      <c r="C164" s="886">
        <f>cходова!R164</f>
        <v>0</v>
      </c>
      <c r="D164" s="886">
        <f>прибуд.!O164</f>
        <v>0</v>
      </c>
      <c r="E164" s="886">
        <f>гар.вода!M164+хол.вода!Q164+ц.о.!M164+каналізація!Q164+аварійні!I164+зварювальн!M164</f>
        <v>0.144643117598553</v>
      </c>
      <c r="F164" s="886">
        <f>дератизац.!I164</f>
        <v>5.9904779123726871E-3</v>
      </c>
      <c r="G164" s="886">
        <f>димоканал!R164</f>
        <v>3.7853112620259921E-2</v>
      </c>
      <c r="H164" s="886">
        <f>'підготовка до зими'!M164+майстерні!M164+маляри!M164+покрівлі!O164</f>
        <v>0.19103512890196761</v>
      </c>
      <c r="I164" s="886">
        <f>електрики!R164</f>
        <v>1.5416239486357496E-2</v>
      </c>
      <c r="J164" s="989">
        <f t="shared" si="21"/>
        <v>0.39493807651951074</v>
      </c>
      <c r="K164" s="989">
        <v>1.0123569823026778E-2</v>
      </c>
      <c r="L164" s="994">
        <f t="shared" si="25"/>
        <v>0.4050616463425375</v>
      </c>
      <c r="M164" s="994">
        <f t="shared" si="22"/>
        <v>0.48607397561104498</v>
      </c>
      <c r="N164" s="995">
        <v>2</v>
      </c>
      <c r="O164" s="997">
        <v>0.41709107670870327</v>
      </c>
      <c r="P164" s="22">
        <f t="shared" si="23"/>
        <v>6.8982898902341716E-2</v>
      </c>
      <c r="Q164" s="982">
        <f t="shared" si="24"/>
        <v>16.53904932387691</v>
      </c>
      <c r="R164" s="6"/>
      <c r="S164" s="6"/>
      <c r="T164" s="6"/>
      <c r="U164" s="6"/>
      <c r="V164" s="6"/>
      <c r="W164" s="6"/>
      <c r="X164" s="6"/>
      <c r="Y164" s="6"/>
      <c r="Z164" s="6"/>
    </row>
    <row r="165" spans="1:26" s="93" customFormat="1" ht="15.75">
      <c r="A165" s="236">
        <v>74</v>
      </c>
      <c r="B165" s="897" t="s">
        <v>123</v>
      </c>
      <c r="C165" s="886">
        <f>cходова!R165</f>
        <v>0.49080791064200802</v>
      </c>
      <c r="D165" s="886">
        <f>прибуд.!O165</f>
        <v>0.15353938597141073</v>
      </c>
      <c r="E165" s="886">
        <f>гар.вода!M165+хол.вода!Q165+ц.о.!M165+каналізація!Q165+аварійні!I165+зварювальн!M165</f>
        <v>0.14231478860581931</v>
      </c>
      <c r="F165" s="886">
        <f>дератизац.!I165</f>
        <v>2.5320017599688937E-3</v>
      </c>
      <c r="G165" s="886">
        <f>димоканал!R165</f>
        <v>3.7354796140301245E-2</v>
      </c>
      <c r="H165" s="886">
        <f>'підготовка до зими'!M165+майстерні!M165+маляри!M165+покрівлі!O165</f>
        <v>0.22190526885439427</v>
      </c>
      <c r="I165" s="886">
        <f>електрики!R165</f>
        <v>1.8508187670727871E-2</v>
      </c>
      <c r="J165" s="989">
        <f t="shared" si="21"/>
        <v>1.0669623396446304</v>
      </c>
      <c r="K165" s="989">
        <v>2.6652144983429698E-2</v>
      </c>
      <c r="L165" s="994">
        <f t="shared" si="25"/>
        <v>1.09361448462806</v>
      </c>
      <c r="M165" s="994">
        <f t="shared" si="22"/>
        <v>1.3123373815536719</v>
      </c>
      <c r="N165" s="995">
        <v>3</v>
      </c>
      <c r="O165" s="997">
        <v>1.0980683733173036</v>
      </c>
      <c r="P165" s="22">
        <f t="shared" si="23"/>
        <v>0.2142690082363683</v>
      </c>
      <c r="Q165" s="982">
        <f t="shared" si="24"/>
        <v>19.513266518099769</v>
      </c>
      <c r="R165" s="6"/>
      <c r="S165" s="6"/>
      <c r="T165" s="6"/>
      <c r="U165" s="6"/>
      <c r="V165" s="6"/>
      <c r="W165" s="6"/>
      <c r="X165" s="6"/>
      <c r="Y165" s="6"/>
      <c r="Z165" s="6"/>
    </row>
    <row r="166" spans="1:26" s="93" customFormat="1" ht="15.75">
      <c r="A166" s="236">
        <v>75</v>
      </c>
      <c r="B166" s="897" t="s">
        <v>124</v>
      </c>
      <c r="C166" s="886">
        <f>cходова!R166</f>
        <v>0</v>
      </c>
      <c r="D166" s="886">
        <f>прибуд.!O166</f>
        <v>0</v>
      </c>
      <c r="E166" s="886">
        <f>гар.вода!M166+хол.вода!Q166+ц.о.!M166+каналізація!Q166+аварійні!I166+зварювальн!M166</f>
        <v>0.15356388619186778</v>
      </c>
      <c r="F166" s="886">
        <f>дератизац.!I166</f>
        <v>8.4299516908212559E-3</v>
      </c>
      <c r="G166" s="886">
        <f>димоканал!R166</f>
        <v>4.3346908054380462E-2</v>
      </c>
      <c r="H166" s="886">
        <f>'підготовка до зими'!M166+майстерні!M166+маляри!M166+покрівлі!O166</f>
        <v>0.24657669484861661</v>
      </c>
      <c r="I166" s="886">
        <f>електрики!R166</f>
        <v>1.7653668861085572E-2</v>
      </c>
      <c r="J166" s="989">
        <f t="shared" si="21"/>
        <v>0.46957110964677168</v>
      </c>
      <c r="K166" s="989">
        <v>1.2068303654017896E-2</v>
      </c>
      <c r="L166" s="994">
        <f t="shared" si="25"/>
        <v>0.48163941330078958</v>
      </c>
      <c r="M166" s="994">
        <f t="shared" si="22"/>
        <v>0.57796729596094742</v>
      </c>
      <c r="N166" s="995">
        <v>1</v>
      </c>
      <c r="O166" s="997">
        <v>0.49721411054553732</v>
      </c>
      <c r="P166" s="22">
        <f t="shared" si="23"/>
        <v>8.07531854154101E-2</v>
      </c>
      <c r="Q166" s="982">
        <f t="shared" si="24"/>
        <v>16.24112906345492</v>
      </c>
      <c r="R166" s="6"/>
      <c r="S166" s="6"/>
      <c r="T166" s="6"/>
      <c r="U166" s="6"/>
      <c r="V166" s="6"/>
      <c r="W166" s="6"/>
      <c r="X166" s="6"/>
      <c r="Y166" s="6"/>
      <c r="Z166" s="6"/>
    </row>
    <row r="167" spans="1:26" s="93" customFormat="1" ht="15.75">
      <c r="A167" s="236">
        <v>76</v>
      </c>
      <c r="B167" s="897" t="s">
        <v>125</v>
      </c>
      <c r="C167" s="886">
        <f>cходова!R167</f>
        <v>0</v>
      </c>
      <c r="D167" s="886">
        <f>прибуд.!O167</f>
        <v>0</v>
      </c>
      <c r="E167" s="886">
        <f>гар.вода!M167+хол.вода!Q167+ц.о.!M167+каналізація!Q167+аварійні!I167+зварювальн!M167</f>
        <v>0.15647767719984931</v>
      </c>
      <c r="F167" s="886">
        <f>дератизац.!I167</f>
        <v>4.527813712807245E-3</v>
      </c>
      <c r="G167" s="886">
        <f>димоканал!R167</f>
        <v>3.6113077344141035E-2</v>
      </c>
      <c r="H167" s="886">
        <f>'підготовка до зими'!M167+майстерні!M167+маляри!M167+покрівлі!O167</f>
        <v>0.22223309612125922</v>
      </c>
      <c r="I167" s="886">
        <f>електрики!R167</f>
        <v>1.9978261621144168E-2</v>
      </c>
      <c r="J167" s="989">
        <f t="shared" si="21"/>
        <v>0.43932992599920095</v>
      </c>
      <c r="K167" s="989">
        <v>1.1223084439923146E-2</v>
      </c>
      <c r="L167" s="994">
        <f t="shared" si="25"/>
        <v>0.4505530104391241</v>
      </c>
      <c r="M167" s="994">
        <f t="shared" si="22"/>
        <v>0.54066361252694894</v>
      </c>
      <c r="N167" s="995">
        <v>1</v>
      </c>
      <c r="O167" s="997">
        <v>0.46239107892483361</v>
      </c>
      <c r="P167" s="22">
        <f t="shared" si="23"/>
        <v>7.8272533602115335E-2</v>
      </c>
      <c r="Q167" s="982">
        <f t="shared" si="24"/>
        <v>16.927777625839397</v>
      </c>
      <c r="R167" s="6"/>
      <c r="S167" s="6"/>
      <c r="T167" s="6"/>
      <c r="U167" s="6"/>
      <c r="V167" s="6"/>
      <c r="W167" s="6"/>
      <c r="X167" s="6"/>
      <c r="Y167" s="6"/>
      <c r="Z167" s="6"/>
    </row>
    <row r="168" spans="1:26" s="93" customFormat="1" ht="15.75">
      <c r="A168" s="236">
        <v>77</v>
      </c>
      <c r="B168" s="898" t="s">
        <v>126</v>
      </c>
      <c r="C168" s="886">
        <f>cходова!R168</f>
        <v>0</v>
      </c>
      <c r="D168" s="886">
        <f>прибуд.!O168</f>
        <v>0.6133956874420009</v>
      </c>
      <c r="E168" s="886">
        <f>гар.вода!M168+хол.вода!Q168+ц.о.!M168+каналізація!Q168+аварійні!I168+зварювальн!M168</f>
        <v>0.33306178518466678</v>
      </c>
      <c r="F168" s="886">
        <f>дератизац.!I168</f>
        <v>3.8619462276743154E-3</v>
      </c>
      <c r="G168" s="886">
        <f>димоканал!R168</f>
        <v>1.6125082308175571E-2</v>
      </c>
      <c r="H168" s="886">
        <f>'підготовка до зими'!M168+майстерні!M168+маляри!M168+покрівлі!O168</f>
        <v>0.11506559479577423</v>
      </c>
      <c r="I168" s="886">
        <f>електрики!R168</f>
        <v>1.4091068045351339E-2</v>
      </c>
      <c r="J168" s="1000">
        <f t="shared" si="21"/>
        <v>1.0956011640036432</v>
      </c>
      <c r="K168" s="1000">
        <v>2.7553938133214998E-2</v>
      </c>
      <c r="L168" s="994">
        <f t="shared" si="25"/>
        <v>1.1231551021368582</v>
      </c>
      <c r="M168" s="1009">
        <f t="shared" si="22"/>
        <v>1.3477861225642298</v>
      </c>
      <c r="N168" s="995">
        <v>6</v>
      </c>
      <c r="O168" s="997">
        <v>1.135222251088458</v>
      </c>
      <c r="P168" s="22">
        <f t="shared" si="23"/>
        <v>0.21256387147577183</v>
      </c>
      <c r="Q168" s="982">
        <f t="shared" si="24"/>
        <v>18.724427861765776</v>
      </c>
      <c r="R168" s="6"/>
      <c r="S168" s="6"/>
      <c r="T168" s="6"/>
      <c r="U168" s="6"/>
      <c r="V168" s="6"/>
      <c r="W168" s="6"/>
      <c r="X168" s="6"/>
      <c r="Y168" s="6"/>
      <c r="Z168" s="6"/>
    </row>
    <row r="169" spans="1:26" s="93" customFormat="1" ht="15.75">
      <c r="A169" s="894">
        <v>78</v>
      </c>
      <c r="B169" s="897" t="s">
        <v>127</v>
      </c>
      <c r="C169" s="886">
        <f>cходова!R169</f>
        <v>0.57897385731265461</v>
      </c>
      <c r="D169" s="886">
        <f>прибуд.!O169</f>
        <v>0.12124544470442621</v>
      </c>
      <c r="E169" s="886">
        <f>гар.вода!M169+хол.вода!Q169+ц.о.!M169+каналізація!Q169+аварійні!I169+зварювальн!M169</f>
        <v>0.15130299658852475</v>
      </c>
      <c r="F169" s="886">
        <f>дератизац.!I169</f>
        <v>4.3195615017386692E-3</v>
      </c>
      <c r="G169" s="886">
        <f>димоканал!R169</f>
        <v>5.7504692060125977E-2</v>
      </c>
      <c r="H169" s="886">
        <f>'підготовка до зими'!M169+майстерні!M169+маляри!M169+покрівлі!O169</f>
        <v>0.16061208261793741</v>
      </c>
      <c r="I169" s="886">
        <f>електрики!R169</f>
        <v>1.7086612249469398E-2</v>
      </c>
      <c r="J169" s="989">
        <f t="shared" si="21"/>
        <v>1.091045247034877</v>
      </c>
      <c r="K169" s="989">
        <v>2.7366430182067775E-2</v>
      </c>
      <c r="L169" s="994">
        <f t="shared" si="25"/>
        <v>1.1184116772169448</v>
      </c>
      <c r="M169" s="994">
        <f t="shared" si="22"/>
        <v>1.3420940126603338</v>
      </c>
      <c r="N169" s="995">
        <v>4</v>
      </c>
      <c r="O169" s="997">
        <v>1.1274969235011922</v>
      </c>
      <c r="P169" s="22">
        <f t="shared" si="23"/>
        <v>0.21459708915914155</v>
      </c>
      <c r="Q169" s="982">
        <f t="shared" si="24"/>
        <v>19.033053189427591</v>
      </c>
      <c r="R169" s="6"/>
      <c r="S169" s="6"/>
      <c r="T169" s="6"/>
      <c r="U169" s="6"/>
      <c r="V169" s="6"/>
      <c r="W169" s="6"/>
      <c r="X169" s="6"/>
      <c r="Y169" s="6"/>
      <c r="Z169" s="6"/>
    </row>
    <row r="170" spans="1:26" s="93" customFormat="1" ht="15.75">
      <c r="A170" s="236">
        <v>79</v>
      </c>
      <c r="B170" s="897" t="s">
        <v>128</v>
      </c>
      <c r="C170" s="886">
        <f>cходова!R170</f>
        <v>0.35214337361778908</v>
      </c>
      <c r="D170" s="886">
        <f>прибуд.!O170</f>
        <v>6.5602937917325507E-2</v>
      </c>
      <c r="E170" s="886">
        <f>гар.вода!M170+хол.вода!Q170+ц.о.!M170+каналізація!Q170+аварійні!I170+зварювальн!M170</f>
        <v>0.15229194105454585</v>
      </c>
      <c r="F170" s="886">
        <f>дератизац.!I170</f>
        <v>3.2335667494917553E-3</v>
      </c>
      <c r="G170" s="886">
        <f>димоканал!R170</f>
        <v>5.8254868772371494E-2</v>
      </c>
      <c r="H170" s="886">
        <f>'підготовка до зими'!M170+майстерні!M170+маляри!M170+покрівлі!O170</f>
        <v>0.16184414935794589</v>
      </c>
      <c r="I170" s="886">
        <f>електрики!R170</f>
        <v>1.7334650675206457E-2</v>
      </c>
      <c r="J170" s="989">
        <f t="shared" si="21"/>
        <v>0.81070548814467602</v>
      </c>
      <c r="K170" s="989">
        <v>2.042531035486746E-2</v>
      </c>
      <c r="L170" s="994">
        <f t="shared" si="25"/>
        <v>0.83113079849954352</v>
      </c>
      <c r="M170" s="994">
        <f t="shared" si="22"/>
        <v>0.99735695819945214</v>
      </c>
      <c r="N170" s="995">
        <v>4</v>
      </c>
      <c r="O170" s="997">
        <v>0.84152278662053936</v>
      </c>
      <c r="P170" s="22">
        <f t="shared" si="23"/>
        <v>0.15583417157891277</v>
      </c>
      <c r="Q170" s="982">
        <f t="shared" si="24"/>
        <v>18.518116687573638</v>
      </c>
      <c r="R170" s="6"/>
      <c r="S170" s="6"/>
      <c r="T170" s="6"/>
      <c r="U170" s="6"/>
      <c r="V170" s="6"/>
      <c r="W170" s="6"/>
      <c r="X170" s="6"/>
      <c r="Y170" s="6"/>
      <c r="Z170" s="6"/>
    </row>
    <row r="171" spans="1:26" s="93" customFormat="1" ht="15.75">
      <c r="A171" s="236">
        <v>80</v>
      </c>
      <c r="B171" s="897" t="s">
        <v>129</v>
      </c>
      <c r="C171" s="886">
        <f>cходова!R171</f>
        <v>0.6098347097843303</v>
      </c>
      <c r="D171" s="886">
        <f>прибуд.!O171</f>
        <v>9.0986063516330776E-2</v>
      </c>
      <c r="E171" s="886">
        <f>гар.вода!M171+хол.вода!Q171+ц.о.!M171+каналізація!Q171+аварійні!I171+зварювальн!M171</f>
        <v>0.14901815508507435</v>
      </c>
      <c r="F171" s="886">
        <f>дератизац.!I171</f>
        <v>3.5726084826666975E-3</v>
      </c>
      <c r="G171" s="886">
        <f>димоканал!R171</f>
        <v>5.0341921168709225E-2</v>
      </c>
      <c r="H171" s="886">
        <f>'підготовка до зими'!M171+майстерні!M171+маляри!M171+покрівлі!O171</f>
        <v>0.16959341483979123</v>
      </c>
      <c r="I171" s="886">
        <f>електрики!R171</f>
        <v>1.6513548231168462E-2</v>
      </c>
      <c r="J171" s="989">
        <f t="shared" si="21"/>
        <v>1.0898604211080709</v>
      </c>
      <c r="K171" s="989">
        <v>2.7314621489111002E-2</v>
      </c>
      <c r="L171" s="994">
        <f t="shared" si="25"/>
        <v>1.1171750425971818</v>
      </c>
      <c r="M171" s="994">
        <f t="shared" si="22"/>
        <v>1.3406100511166181</v>
      </c>
      <c r="N171" s="995">
        <v>4</v>
      </c>
      <c r="O171" s="997">
        <v>1.1253624053513733</v>
      </c>
      <c r="P171" s="22">
        <f t="shared" si="23"/>
        <v>0.2152476457652448</v>
      </c>
      <c r="Q171" s="982">
        <f t="shared" si="24"/>
        <v>19.126962544837966</v>
      </c>
      <c r="R171" s="6"/>
      <c r="S171" s="6"/>
      <c r="T171" s="6"/>
      <c r="U171" s="6"/>
      <c r="V171" s="6"/>
      <c r="W171" s="6"/>
      <c r="X171" s="6"/>
      <c r="Y171" s="6"/>
      <c r="Z171" s="6"/>
    </row>
    <row r="172" spans="1:26" s="93" customFormat="1" ht="15.75">
      <c r="A172" s="236">
        <v>81</v>
      </c>
      <c r="B172" s="897" t="s">
        <v>130</v>
      </c>
      <c r="C172" s="886">
        <f>cходова!R172</f>
        <v>0.55338074211740529</v>
      </c>
      <c r="D172" s="886">
        <f>прибуд.!O172</f>
        <v>0.1668841062522371</v>
      </c>
      <c r="E172" s="886">
        <f>гар.вода!M172+хол.вода!Q172+ц.о.!M172+каналізація!Q172+аварійні!I172+зварювальн!M172</f>
        <v>0.15475687371791108</v>
      </c>
      <c r="F172" s="886">
        <f>дератизац.!I172</f>
        <v>2.4686809137803981E-3</v>
      </c>
      <c r="G172" s="886">
        <f>димоканал!R172</f>
        <v>4.2540775737552973E-2</v>
      </c>
      <c r="H172" s="886">
        <f>'підготовка до зими'!M172+майстерні!M172+маляри!M172+покрівлі!O172</f>
        <v>0.18266332307785738</v>
      </c>
      <c r="I172" s="886">
        <f>електрики!R172</f>
        <v>1.8584834481046929E-2</v>
      </c>
      <c r="J172" s="989">
        <f t="shared" si="21"/>
        <v>1.1212793362977911</v>
      </c>
      <c r="K172" s="989">
        <v>2.8075620024403912E-2</v>
      </c>
      <c r="L172" s="994">
        <f t="shared" si="25"/>
        <v>1.149354956322195</v>
      </c>
      <c r="M172" s="994">
        <f t="shared" si="22"/>
        <v>1.379225947586634</v>
      </c>
      <c r="N172" s="995">
        <v>4</v>
      </c>
      <c r="O172" s="997">
        <v>1.1567155450054412</v>
      </c>
      <c r="P172" s="22">
        <f t="shared" si="23"/>
        <v>0.22251040258119281</v>
      </c>
      <c r="Q172" s="982">
        <f t="shared" si="24"/>
        <v>19.236397707454174</v>
      </c>
      <c r="R172" s="6"/>
      <c r="S172" s="6"/>
      <c r="T172" s="6"/>
      <c r="U172" s="6"/>
      <c r="V172" s="6"/>
      <c r="W172" s="6"/>
      <c r="X172" s="6"/>
      <c r="Y172" s="6"/>
      <c r="Z172" s="6"/>
    </row>
    <row r="173" spans="1:26" s="93" customFormat="1" ht="15.75">
      <c r="A173" s="236">
        <v>82</v>
      </c>
      <c r="B173" s="897" t="s">
        <v>131</v>
      </c>
      <c r="C173" s="886">
        <f>cходова!R173</f>
        <v>0.54671197678715622</v>
      </c>
      <c r="D173" s="886">
        <f>прибуд.!O173</f>
        <v>8.021501906249999E-2</v>
      </c>
      <c r="E173" s="886">
        <f>гар.вода!M173+хол.вода!Q173+ц.о.!M173+каналізація!Q173+аварійні!I173+зварювальн!M173</f>
        <v>0.12824882645599367</v>
      </c>
      <c r="F173" s="886">
        <f>дератизац.!I173</f>
        <v>4.0833333333333338E-3</v>
      </c>
      <c r="G173" s="886">
        <f>димоканал!R173</f>
        <v>3.503252413740373E-2</v>
      </c>
      <c r="H173" s="886">
        <f>'підготовка до зими'!M173+майстерні!M173+маляри!M173+покрівлі!O173</f>
        <v>0.14667882595865384</v>
      </c>
      <c r="I173" s="886">
        <f>електрики!R173</f>
        <v>1.1724033474627837E-2</v>
      </c>
      <c r="J173" s="989">
        <f t="shared" si="21"/>
        <v>0.95269453920966862</v>
      </c>
      <c r="K173" s="989">
        <v>2.382294313682402E-2</v>
      </c>
      <c r="L173" s="994">
        <f t="shared" si="25"/>
        <v>0.9765174823464926</v>
      </c>
      <c r="M173" s="994">
        <f t="shared" si="22"/>
        <v>1.1718209788157912</v>
      </c>
      <c r="N173" s="995">
        <v>4</v>
      </c>
      <c r="O173" s="997">
        <v>0.98150525723714965</v>
      </c>
      <c r="P173" s="22">
        <f t="shared" si="23"/>
        <v>0.19031572157864152</v>
      </c>
      <c r="Q173" s="982">
        <f t="shared" si="24"/>
        <v>19.390188710182102</v>
      </c>
      <c r="R173" s="6"/>
      <c r="S173" s="6"/>
      <c r="T173" s="6"/>
      <c r="U173" s="6"/>
      <c r="V173" s="6"/>
      <c r="W173" s="6"/>
      <c r="X173" s="6"/>
      <c r="Y173" s="6"/>
      <c r="Z173" s="6"/>
    </row>
    <row r="174" spans="1:26" s="93" customFormat="1" ht="15.75">
      <c r="A174" s="236">
        <v>83</v>
      </c>
      <c r="B174" s="897" t="s">
        <v>132</v>
      </c>
      <c r="C174" s="886">
        <f>cходова!R174</f>
        <v>0.64226540941639809</v>
      </c>
      <c r="D174" s="886">
        <f>прибуд.!O174</f>
        <v>0.10303373035660621</v>
      </c>
      <c r="E174" s="886">
        <f>гар.вода!M174+хол.вода!Q174+ц.о.!M174+каналізація!Q174+аварійні!I174+зварювальн!M174</f>
        <v>0.14447564675050573</v>
      </c>
      <c r="F174" s="886">
        <f>дератизац.!I174</f>
        <v>5.0205349093458886E-3</v>
      </c>
      <c r="G174" s="886">
        <f>димоканал!R174</f>
        <v>4.5792543636075989E-2</v>
      </c>
      <c r="H174" s="886">
        <f>'підготовка до зими'!M174+майстерні!M174+маляри!M174+покрівлі!O174</f>
        <v>0.23786078268187338</v>
      </c>
      <c r="I174" s="886">
        <f>електрики!R174</f>
        <v>1.831734062278052E-2</v>
      </c>
      <c r="J174" s="989">
        <f t="shared" si="21"/>
        <v>1.1967659883735857</v>
      </c>
      <c r="K174" s="989">
        <v>2.9959013390703889E-2</v>
      </c>
      <c r="L174" s="994">
        <f t="shared" si="25"/>
        <v>1.2267250017642897</v>
      </c>
      <c r="M174" s="994">
        <f t="shared" si="22"/>
        <v>1.4720700021171476</v>
      </c>
      <c r="N174" s="995">
        <v>3</v>
      </c>
      <c r="O174" s="997">
        <v>1.2343113516970003</v>
      </c>
      <c r="P174" s="22">
        <f t="shared" si="23"/>
        <v>0.23775865042014721</v>
      </c>
      <c r="Q174" s="982">
        <f t="shared" si="24"/>
        <v>19.262453520601852</v>
      </c>
      <c r="R174" s="6"/>
      <c r="S174" s="6"/>
      <c r="T174" s="6"/>
      <c r="U174" s="6"/>
      <c r="V174" s="6"/>
      <c r="W174" s="6"/>
      <c r="X174" s="6"/>
      <c r="Y174" s="6"/>
      <c r="Z174" s="6"/>
    </row>
    <row r="175" spans="1:26" s="93" customFormat="1" ht="15.75">
      <c r="A175" s="236">
        <v>84</v>
      </c>
      <c r="B175" s="897" t="s">
        <v>133</v>
      </c>
      <c r="C175" s="886">
        <f>cходова!R175</f>
        <v>0.4214866749295112</v>
      </c>
      <c r="D175" s="886">
        <f>прибуд.!O175</f>
        <v>0.65679816360197374</v>
      </c>
      <c r="E175" s="886">
        <f>гар.вода!M175+хол.вода!Q175+ц.о.!M175+каналізація!Q175+аварійні!I175+зварювальн!M175</f>
        <v>0.16145918751965227</v>
      </c>
      <c r="F175" s="886">
        <f>дератизац.!I175</f>
        <v>2.7286184210526315E-3</v>
      </c>
      <c r="G175" s="886">
        <f>димоканал!R175</f>
        <v>3.8112435578529003E-2</v>
      </c>
      <c r="H175" s="886">
        <f>'підготовка до зими'!M175+майстерні!M175+маляри!M175+покрівлі!O175</f>
        <v>0.21765989786221654</v>
      </c>
      <c r="I175" s="886">
        <f>електрики!R175</f>
        <v>1.963389948004287E-2</v>
      </c>
      <c r="J175" s="989">
        <f t="shared" si="21"/>
        <v>1.5178788773929783</v>
      </c>
      <c r="K175" s="989">
        <v>3.7946086963720004E-2</v>
      </c>
      <c r="L175" s="994">
        <f t="shared" si="25"/>
        <v>1.5558249643566984</v>
      </c>
      <c r="M175" s="994">
        <f t="shared" si="22"/>
        <v>1.866989957228038</v>
      </c>
      <c r="N175" s="995">
        <v>3</v>
      </c>
      <c r="O175" s="997">
        <v>1.5633787829052641</v>
      </c>
      <c r="P175" s="22">
        <f t="shared" si="23"/>
        <v>0.30361117432277385</v>
      </c>
      <c r="Q175" s="982">
        <f t="shared" si="24"/>
        <v>19.420192831232242</v>
      </c>
      <c r="R175" s="6"/>
      <c r="S175" s="6"/>
      <c r="T175" s="6"/>
      <c r="U175" s="6"/>
      <c r="V175" s="6"/>
      <c r="W175" s="6"/>
      <c r="X175" s="6"/>
      <c r="Y175" s="6"/>
      <c r="Z175" s="6"/>
    </row>
    <row r="176" spans="1:26" s="93" customFormat="1" ht="15.75">
      <c r="A176" s="894">
        <v>85</v>
      </c>
      <c r="B176" s="897" t="s">
        <v>134</v>
      </c>
      <c r="C176" s="886">
        <f>cходова!R176</f>
        <v>0.54463404847955954</v>
      </c>
      <c r="D176" s="886">
        <f>прибуд.!O176</f>
        <v>4.3106913178869874E-2</v>
      </c>
      <c r="E176" s="886">
        <f>гар.вода!M176+хол.вода!Q176+ц.о.!M176+каналізація!Q176+аварійні!I176+зварювальн!M176</f>
        <v>0.1487759110671216</v>
      </c>
      <c r="F176" s="886">
        <f>дератизац.!I176</f>
        <v>3.2078874326510625E-3</v>
      </c>
      <c r="G176" s="886">
        <f>димоканал!R176</f>
        <v>4.6567793291833422E-2</v>
      </c>
      <c r="H176" s="886">
        <f>'підготовка до зими'!M176+майстерні!M176+маляри!M176+покрівлі!O176</f>
        <v>0.14434535218803557</v>
      </c>
      <c r="I176" s="886">
        <f>електрики!R176</f>
        <v>1.7426642368688891E-2</v>
      </c>
      <c r="J176" s="989">
        <f t="shared" si="21"/>
        <v>0.94806454800675999</v>
      </c>
      <c r="K176" s="989">
        <v>2.3743100076634507E-2</v>
      </c>
      <c r="L176" s="994">
        <f t="shared" si="25"/>
        <v>0.97180764808339448</v>
      </c>
      <c r="M176" s="994">
        <f t="shared" si="22"/>
        <v>1.1661691777000733</v>
      </c>
      <c r="N176" s="995">
        <v>3</v>
      </c>
      <c r="O176" s="997">
        <v>0.97821572315734173</v>
      </c>
      <c r="P176" s="22">
        <f t="shared" si="23"/>
        <v>0.1879534545427316</v>
      </c>
      <c r="Q176" s="982">
        <f t="shared" si="24"/>
        <v>19.213906512980898</v>
      </c>
      <c r="R176" s="6"/>
      <c r="S176" s="6"/>
      <c r="T176" s="6"/>
      <c r="U176" s="6"/>
      <c r="V176" s="6"/>
      <c r="W176" s="6"/>
      <c r="X176" s="6"/>
      <c r="Y176" s="6"/>
      <c r="Z176" s="6"/>
    </row>
    <row r="177" spans="1:26" s="93" customFormat="1" ht="15.75">
      <c r="A177" s="236">
        <v>86</v>
      </c>
      <c r="B177" s="897" t="s">
        <v>135</v>
      </c>
      <c r="C177" s="886">
        <f>cходова!R177</f>
        <v>0.53018077744641501</v>
      </c>
      <c r="D177" s="886">
        <f>прибуд.!O177</f>
        <v>6.6296212062520149E-2</v>
      </c>
      <c r="E177" s="886">
        <f>гар.вода!M177+хол.вода!Q177+ц.о.!M177+каналізація!Q177+аварійні!I177+зварювальн!M177</f>
        <v>0.14160978978604641</v>
      </c>
      <c r="F177" s="886">
        <f>дератизац.!I177</f>
        <v>5.361478139434956E-3</v>
      </c>
      <c r="G177" s="886">
        <f>димоканал!R177</f>
        <v>4.7535789026173281E-2</v>
      </c>
      <c r="H177" s="886">
        <f>'підготовка до зими'!M177+майстерні!M177+маляри!M177+покрівлі!O177</f>
        <v>0.16295082020050622</v>
      </c>
      <c r="I177" s="886">
        <f>електрики!R177</f>
        <v>1.4655446660056859E-2</v>
      </c>
      <c r="J177" s="989">
        <f t="shared" si="21"/>
        <v>0.96859031332115286</v>
      </c>
      <c r="K177" s="989">
        <v>2.4295321537321231E-2</v>
      </c>
      <c r="L177" s="994">
        <f t="shared" si="25"/>
        <v>0.99288563485847414</v>
      </c>
      <c r="M177" s="994">
        <f t="shared" si="22"/>
        <v>1.191462761830169</v>
      </c>
      <c r="N177" s="995">
        <v>4</v>
      </c>
      <c r="O177" s="997">
        <v>1.0009672473376348</v>
      </c>
      <c r="P177" s="22">
        <f t="shared" si="23"/>
        <v>0.19049551449253421</v>
      </c>
      <c r="Q177" s="982">
        <f t="shared" si="24"/>
        <v>19.031143626248777</v>
      </c>
      <c r="R177" s="6"/>
      <c r="S177" s="6"/>
      <c r="T177" s="6"/>
      <c r="U177" s="6"/>
      <c r="V177" s="6"/>
      <c r="W177" s="6"/>
      <c r="X177" s="6"/>
      <c r="Y177" s="6"/>
      <c r="Z177" s="6"/>
    </row>
    <row r="178" spans="1:26" s="93" customFormat="1" ht="15.75">
      <c r="A178" s="236">
        <v>87</v>
      </c>
      <c r="B178" s="897" t="s">
        <v>136</v>
      </c>
      <c r="C178" s="886">
        <f>cходова!R178</f>
        <v>0.5043053999905398</v>
      </c>
      <c r="D178" s="886">
        <f>прибуд.!O178</f>
        <v>0.25994079609552684</v>
      </c>
      <c r="E178" s="886">
        <f>гар.вода!M178+хол.вода!Q178+ц.о.!M178+каналізація!Q178+аварійні!I178+зварювальн!M178</f>
        <v>0.16479687222651113</v>
      </c>
      <c r="F178" s="886">
        <f>дератизац.!I178</f>
        <v>5.3026282537275721E-3</v>
      </c>
      <c r="G178" s="886">
        <f>димоканал!R178</f>
        <v>5.8817666499529957E-2</v>
      </c>
      <c r="H178" s="886">
        <f>'підготовка до зими'!M178+майстерні!M178+маляри!M178+покрівлі!O178</f>
        <v>0.14157910187579745</v>
      </c>
      <c r="I178" s="886">
        <f>електрики!R178</f>
        <v>2.0471028448089752E-2</v>
      </c>
      <c r="J178" s="989">
        <f t="shared" si="21"/>
        <v>1.1552134933897225</v>
      </c>
      <c r="K178" s="989">
        <v>2.8949914964755671E-2</v>
      </c>
      <c r="L178" s="994">
        <f t="shared" si="25"/>
        <v>1.1841634083544781</v>
      </c>
      <c r="M178" s="994">
        <f t="shared" si="22"/>
        <v>1.4209960900253737</v>
      </c>
      <c r="N178" s="995">
        <v>3</v>
      </c>
      <c r="O178" s="997">
        <v>1.1927364965479337</v>
      </c>
      <c r="P178" s="22">
        <f t="shared" si="23"/>
        <v>0.22825959347744007</v>
      </c>
      <c r="Q178" s="982">
        <f t="shared" si="24"/>
        <v>19.137470358128411</v>
      </c>
      <c r="R178" s="6"/>
      <c r="S178" s="6"/>
      <c r="T178" s="6"/>
      <c r="U178" s="6"/>
      <c r="V178" s="6"/>
      <c r="W178" s="6"/>
      <c r="X178" s="6"/>
      <c r="Y178" s="6"/>
      <c r="Z178" s="6"/>
    </row>
    <row r="179" spans="1:26" s="93" customFormat="1" ht="15.75">
      <c r="A179" s="236">
        <v>88</v>
      </c>
      <c r="B179" s="897" t="s">
        <v>137</v>
      </c>
      <c r="C179" s="886">
        <f>cходова!R179</f>
        <v>0.67743933165584802</v>
      </c>
      <c r="D179" s="886">
        <f>прибуд.!O179</f>
        <v>0.2633264407760737</v>
      </c>
      <c r="E179" s="886">
        <f>гар.вода!M179+хол.вода!Q179+ц.о.!M179+каналізація!Q179+аварійні!I179+зварювальн!M179</f>
        <v>0.183788943639941</v>
      </c>
      <c r="F179" s="886">
        <f>дератизац.!I179</f>
        <v>6.9521090472294284E-3</v>
      </c>
      <c r="G179" s="886">
        <f>димоканал!R179</f>
        <v>6.1358943677666179E-2</v>
      </c>
      <c r="H179" s="886">
        <f>'підготовка до зими'!M179+майстерні!M179+маляри!M179+покрівлі!O179</f>
        <v>0.19505095295033742</v>
      </c>
      <c r="I179" s="886">
        <f>електрики!R179</f>
        <v>2.5234454157751798E-2</v>
      </c>
      <c r="J179" s="989">
        <f t="shared" si="21"/>
        <v>1.4131511759048476</v>
      </c>
      <c r="K179" s="989">
        <v>3.5421908576178329E-2</v>
      </c>
      <c r="L179" s="994">
        <f t="shared" si="25"/>
        <v>1.4485730844810258</v>
      </c>
      <c r="M179" s="994">
        <f t="shared" si="22"/>
        <v>1.7382877013772309</v>
      </c>
      <c r="N179" s="995">
        <v>4</v>
      </c>
      <c r="O179" s="997">
        <v>1.4593826333385473</v>
      </c>
      <c r="P179" s="22">
        <f t="shared" si="23"/>
        <v>0.27890506803868353</v>
      </c>
      <c r="Q179" s="982">
        <f t="shared" si="24"/>
        <v>19.111168083496239</v>
      </c>
      <c r="R179" s="6"/>
      <c r="S179" s="6"/>
      <c r="T179" s="6"/>
      <c r="U179" s="6"/>
      <c r="V179" s="6"/>
      <c r="W179" s="6"/>
      <c r="X179" s="6"/>
      <c r="Y179" s="6"/>
      <c r="Z179" s="6"/>
    </row>
    <row r="180" spans="1:26" s="93" customFormat="1" ht="15.75">
      <c r="A180" s="236">
        <v>89</v>
      </c>
      <c r="B180" s="897" t="s">
        <v>138</v>
      </c>
      <c r="C180" s="886">
        <f>cходова!R180</f>
        <v>0.72585312746321473</v>
      </c>
      <c r="D180" s="886">
        <f>прибуд.!O180</f>
        <v>0.12882077055123892</v>
      </c>
      <c r="E180" s="886">
        <f>гар.вода!M180+хол.вода!Q180+ц.о.!M180+каналізація!Q180+аварійні!I180+зварювальн!M180</f>
        <v>0.13517603991251118</v>
      </c>
      <c r="F180" s="886">
        <f>дератизац.!I180</f>
        <v>7.6124197002141337E-3</v>
      </c>
      <c r="G180" s="886">
        <f>димоканал!R180</f>
        <v>3.8427451679900457E-2</v>
      </c>
      <c r="H180" s="886">
        <f>'підготовка до зими'!M180+майстерні!M180+маляри!M180+покрівлі!O180</f>
        <v>0.20778484675852624</v>
      </c>
      <c r="I180" s="886">
        <f>електрики!R180</f>
        <v>1.3041789629709899E-2</v>
      </c>
      <c r="J180" s="989">
        <f t="shared" si="21"/>
        <v>1.2567164456953155</v>
      </c>
      <c r="K180" s="989">
        <v>3.1460140255351536E-2</v>
      </c>
      <c r="L180" s="994">
        <f t="shared" si="25"/>
        <v>1.2881765859506671</v>
      </c>
      <c r="M180" s="994">
        <f t="shared" si="22"/>
        <v>1.5458119031408004</v>
      </c>
      <c r="N180" s="995">
        <v>3</v>
      </c>
      <c r="O180" s="997">
        <v>1.2961577785204834</v>
      </c>
      <c r="P180" s="22">
        <f t="shared" si="23"/>
        <v>0.249654124620317</v>
      </c>
      <c r="Q180" s="982">
        <f t="shared" si="24"/>
        <v>19.261090644789249</v>
      </c>
      <c r="R180" s="6"/>
      <c r="S180" s="6"/>
      <c r="T180" s="6"/>
      <c r="U180" s="6"/>
      <c r="V180" s="6"/>
      <c r="W180" s="6"/>
      <c r="X180" s="6"/>
      <c r="Y180" s="6"/>
      <c r="Z180" s="6"/>
    </row>
    <row r="181" spans="1:26" s="93" customFormat="1" ht="15.75">
      <c r="A181" s="236">
        <v>90</v>
      </c>
      <c r="B181" s="897" t="s">
        <v>139</v>
      </c>
      <c r="C181" s="886">
        <f>cходова!R181</f>
        <v>0.87990625723507354</v>
      </c>
      <c r="D181" s="886">
        <f>прибуд.!O181</f>
        <v>0.21315126379171817</v>
      </c>
      <c r="E181" s="886">
        <f>гар.вода!M181+хол.вода!Q181+ц.о.!M181+каналізація!Q181+аварійні!I181+зварювальн!M181</f>
        <v>0.1462120452634515</v>
      </c>
      <c r="F181" s="886">
        <f>дератизац.!I181</f>
        <v>8.0253399258343634E-3</v>
      </c>
      <c r="G181" s="886">
        <f>димоканал!R181</f>
        <v>4.378156008665858E-2</v>
      </c>
      <c r="H181" s="886">
        <f>'підготовка до зими'!M181+майстерні!M181+маляри!M181+покрівлі!O181</f>
        <v>0.22668858791337126</v>
      </c>
      <c r="I181" s="886">
        <f>електрики!R181</f>
        <v>1.5809744239624841E-2</v>
      </c>
      <c r="J181" s="989">
        <f t="shared" si="21"/>
        <v>1.5335747984557322</v>
      </c>
      <c r="K181" s="989">
        <v>3.8360597234707833E-2</v>
      </c>
      <c r="L181" s="994">
        <f t="shared" si="25"/>
        <v>1.5719353956904401</v>
      </c>
      <c r="M181" s="994">
        <f t="shared" si="22"/>
        <v>1.8863224748285279</v>
      </c>
      <c r="N181" s="995">
        <v>3</v>
      </c>
      <c r="O181" s="997">
        <v>1.5804566060699627</v>
      </c>
      <c r="P181" s="22">
        <f t="shared" si="23"/>
        <v>0.30586586875856514</v>
      </c>
      <c r="Q181" s="982">
        <f t="shared" si="24"/>
        <v>19.353006440280922</v>
      </c>
      <c r="R181" s="6"/>
      <c r="S181" s="6"/>
      <c r="T181" s="6"/>
      <c r="U181" s="6"/>
      <c r="V181" s="6"/>
      <c r="W181" s="6"/>
      <c r="X181" s="6"/>
      <c r="Y181" s="6"/>
      <c r="Z181" s="6"/>
    </row>
    <row r="182" spans="1:26" s="93" customFormat="1" ht="15.75">
      <c r="A182" s="236">
        <v>91</v>
      </c>
      <c r="B182" s="897" t="s">
        <v>140</v>
      </c>
      <c r="C182" s="886">
        <f>cходова!R182</f>
        <v>0</v>
      </c>
      <c r="D182" s="886">
        <f>прибуд.!O182</f>
        <v>0.73878260224544701</v>
      </c>
      <c r="E182" s="886">
        <f>гар.вода!M182+хол.вода!Q182+ц.о.!M182+каналізація!Q182+аварійні!I182+зварювальн!M182</f>
        <v>0.1394633266746112</v>
      </c>
      <c r="F182" s="886">
        <f>дератизац.!I182</f>
        <v>1.8036009933774836E-3</v>
      </c>
      <c r="G182" s="886">
        <f>димоканал!R182</f>
        <v>3.9437342311504829E-2</v>
      </c>
      <c r="H182" s="886">
        <f>'підготовка до зими'!M182+майстерні!M182+маляри!M182+покрівлі!O182</f>
        <v>0.2503493869229238</v>
      </c>
      <c r="I182" s="886">
        <f>електрики!R182</f>
        <v>1.4117089503152868E-2</v>
      </c>
      <c r="J182" s="989">
        <f t="shared" si="21"/>
        <v>1.1839533486510172</v>
      </c>
      <c r="K182" s="989">
        <v>2.9689295860758882E-2</v>
      </c>
      <c r="L182" s="994">
        <f t="shared" si="25"/>
        <v>1.2136426445117761</v>
      </c>
      <c r="M182" s="994">
        <f t="shared" si="22"/>
        <v>1.4563711734141311</v>
      </c>
      <c r="N182" s="995">
        <v>2</v>
      </c>
      <c r="O182" s="997">
        <v>1.223198989463266</v>
      </c>
      <c r="P182" s="22">
        <f t="shared" si="23"/>
        <v>0.23317218395086514</v>
      </c>
      <c r="Q182" s="982">
        <f t="shared" si="24"/>
        <v>19.062489910425782</v>
      </c>
      <c r="R182" s="6"/>
      <c r="S182" s="6"/>
      <c r="T182" s="6"/>
      <c r="U182" s="6"/>
      <c r="V182" s="6"/>
      <c r="W182" s="6"/>
      <c r="X182" s="6"/>
      <c r="Y182" s="6"/>
      <c r="Z182" s="6"/>
    </row>
    <row r="183" spans="1:26" s="93" customFormat="1" ht="15.75">
      <c r="A183" s="894">
        <v>92</v>
      </c>
      <c r="B183" s="897" t="s">
        <v>141</v>
      </c>
      <c r="C183" s="886">
        <f>cходова!R183</f>
        <v>0</v>
      </c>
      <c r="D183" s="886">
        <f>прибуд.!O183</f>
        <v>0.76483591774130311</v>
      </c>
      <c r="E183" s="886">
        <f>гар.вода!M183+хол.вода!Q183+ц.о.!M183+каналізація!Q183+аварійні!I183+зварювальн!M183</f>
        <v>0.14980489413896023</v>
      </c>
      <c r="F183" s="886">
        <f>дератизац.!I183</f>
        <v>6.9279764821166103E-3</v>
      </c>
      <c r="G183" s="886">
        <f>димоканал!R183</f>
        <v>4.0185000209511483E-2</v>
      </c>
      <c r="H183" s="886">
        <f>'підготовка до зими'!M183+майстерні!M183+маляри!M183+покрівлі!O183</f>
        <v>0.21675263907746245</v>
      </c>
      <c r="I183" s="886">
        <f>електрики!R183</f>
        <v>1.6710871258999178E-2</v>
      </c>
      <c r="J183" s="989">
        <f t="shared" si="21"/>
        <v>1.1952172989083532</v>
      </c>
      <c r="K183" s="989">
        <v>2.9970819454181358E-2</v>
      </c>
      <c r="L183" s="994">
        <f t="shared" si="25"/>
        <v>1.2251881183625346</v>
      </c>
      <c r="M183" s="994">
        <f t="shared" si="22"/>
        <v>1.4702257420350415</v>
      </c>
      <c r="N183" s="995">
        <v>2</v>
      </c>
      <c r="O183" s="997">
        <v>1.2347977615122721</v>
      </c>
      <c r="P183" s="22">
        <f t="shared" si="23"/>
        <v>0.23542798052276948</v>
      </c>
      <c r="Q183" s="982">
        <f t="shared" si="24"/>
        <v>19.066116562637589</v>
      </c>
      <c r="R183" s="6"/>
      <c r="S183" s="6"/>
      <c r="T183" s="6"/>
      <c r="U183" s="6"/>
      <c r="V183" s="6"/>
      <c r="W183" s="6"/>
      <c r="X183" s="6"/>
      <c r="Y183" s="6"/>
      <c r="Z183" s="6"/>
    </row>
    <row r="184" spans="1:26" s="93" customFormat="1" ht="15.75">
      <c r="A184" s="236">
        <v>93</v>
      </c>
      <c r="B184" s="897" t="s">
        <v>145</v>
      </c>
      <c r="C184" s="886">
        <f>cходова!R184</f>
        <v>0</v>
      </c>
      <c r="D184" s="886">
        <f>прибуд.!O184</f>
        <v>0.69152915726442632</v>
      </c>
      <c r="E184" s="886">
        <f>гар.вода!M184+хол.вода!Q184+ц.о.!M184+каналізація!Q184+аварійні!I184+зварювальн!M184</f>
        <v>0.13949013105591734</v>
      </c>
      <c r="F184" s="886">
        <f>дератизац.!I184</f>
        <v>3.2683189432055823E-3</v>
      </c>
      <c r="G184" s="886">
        <f>димоканал!R184</f>
        <v>4.1623603193640238E-2</v>
      </c>
      <c r="H184" s="886">
        <f>'підготовка до зими'!M184+майстерні!M184+маляри!M184+покрівлі!O184</f>
        <v>0.21383390557128987</v>
      </c>
      <c r="I184" s="886">
        <f>електрики!R184</f>
        <v>1.4123812344293569E-2</v>
      </c>
      <c r="J184" s="989">
        <f t="shared" si="21"/>
        <v>1.103868928372773</v>
      </c>
      <c r="K184" s="989">
        <v>2.7679983274620901E-2</v>
      </c>
      <c r="L184" s="994">
        <f t="shared" si="25"/>
        <v>1.1315489116473938</v>
      </c>
      <c r="M184" s="994">
        <f t="shared" si="22"/>
        <v>1.3578586939768724</v>
      </c>
      <c r="N184" s="995">
        <v>2</v>
      </c>
      <c r="O184" s="997">
        <v>1.1404153109143811</v>
      </c>
      <c r="P184" s="22">
        <f t="shared" si="23"/>
        <v>0.21744338306249134</v>
      </c>
      <c r="Q184" s="982">
        <f t="shared" si="24"/>
        <v>19.067034700555354</v>
      </c>
      <c r="R184" s="6"/>
      <c r="S184" s="6"/>
      <c r="T184" s="6"/>
      <c r="U184" s="6"/>
      <c r="V184" s="6"/>
      <c r="W184" s="6"/>
      <c r="X184" s="6"/>
      <c r="Y184" s="6"/>
      <c r="Z184" s="6"/>
    </row>
    <row r="185" spans="1:26" s="93" customFormat="1" ht="15.75">
      <c r="A185" s="236">
        <v>94</v>
      </c>
      <c r="B185" s="897" t="s">
        <v>146</v>
      </c>
      <c r="C185" s="886">
        <f>cходова!R185</f>
        <v>0</v>
      </c>
      <c r="D185" s="886">
        <f>прибуд.!O185</f>
        <v>0.74955106494099133</v>
      </c>
      <c r="E185" s="886">
        <f>гар.вода!M185+хол.вода!Q185+ц.о.!M185+каналізація!Q185+аварійні!I185+зварювальн!M185</f>
        <v>0.14639990266250538</v>
      </c>
      <c r="F185" s="886">
        <f>дератизац.!I185</f>
        <v>5.0768900650883355E-3</v>
      </c>
      <c r="G185" s="886">
        <f>димоканал!R185</f>
        <v>4.1930018205238638E-2</v>
      </c>
      <c r="H185" s="886">
        <f>'підготовка до зими'!M185+майстерні!M185+маляри!M185+покрівлі!O185</f>
        <v>0.2237739340736046</v>
      </c>
      <c r="I185" s="886">
        <f>електрики!R185</f>
        <v>1.5856860994028513E-2</v>
      </c>
      <c r="J185" s="989">
        <f t="shared" si="21"/>
        <v>1.1825886709414568</v>
      </c>
      <c r="K185" s="989">
        <v>2.9658308489148317E-2</v>
      </c>
      <c r="L185" s="994">
        <f t="shared" si="25"/>
        <v>1.2122469794306052</v>
      </c>
      <c r="M185" s="994">
        <f t="shared" si="22"/>
        <v>1.4546963753167261</v>
      </c>
      <c r="N185" s="995">
        <v>2</v>
      </c>
      <c r="O185" s="997">
        <v>1.2219223097529108</v>
      </c>
      <c r="P185" s="22">
        <f t="shared" si="23"/>
        <v>0.2327740655638153</v>
      </c>
      <c r="Q185" s="982">
        <f t="shared" si="24"/>
        <v>19.049825320800082</v>
      </c>
      <c r="R185" s="6"/>
      <c r="S185" s="6"/>
      <c r="T185" s="6"/>
      <c r="U185" s="6"/>
      <c r="V185" s="6"/>
      <c r="W185" s="6"/>
      <c r="X185" s="6"/>
      <c r="Y185" s="6"/>
      <c r="Z185" s="6"/>
    </row>
    <row r="186" spans="1:26" s="93" customFormat="1" ht="15.75">
      <c r="A186" s="236">
        <v>95</v>
      </c>
      <c r="B186" s="897" t="s">
        <v>147</v>
      </c>
      <c r="C186" s="886">
        <f>cходова!R186</f>
        <v>0.33981809008486769</v>
      </c>
      <c r="D186" s="886">
        <f>прибуд.!O186</f>
        <v>0.24417166161182843</v>
      </c>
      <c r="E186" s="886">
        <f>гар.вода!M186+хол.вода!Q186+ц.о.!M186+каналізація!Q186+аварійні!I186+зварювальн!M186</f>
        <v>0.33711184290981383</v>
      </c>
      <c r="F186" s="886">
        <f>дератизац.!I186</f>
        <v>3.4415442738536801E-3</v>
      </c>
      <c r="G186" s="886">
        <f>димоканал!R186</f>
        <v>2.1289249598022746E-2</v>
      </c>
      <c r="H186" s="886">
        <f>'підготовка до зими'!M186+майстерні!M186+маляри!M186+покрівлі!O186</f>
        <v>0.11566410717472987</v>
      </c>
      <c r="I186" s="886">
        <f>електрики!R186</f>
        <v>1.5106868200775087E-2</v>
      </c>
      <c r="J186" s="989">
        <f t="shared" si="21"/>
        <v>1.0766033638538914</v>
      </c>
      <c r="K186" s="989">
        <v>2.7112013667582344E-2</v>
      </c>
      <c r="L186" s="994">
        <f t="shared" si="25"/>
        <v>1.1037153775214739</v>
      </c>
      <c r="M186" s="994">
        <f t="shared" si="22"/>
        <v>1.3244584530257686</v>
      </c>
      <c r="N186" s="995">
        <v>9</v>
      </c>
      <c r="O186" s="997">
        <v>1.1170149631043924</v>
      </c>
      <c r="P186" s="22">
        <f t="shared" si="23"/>
        <v>0.20744348992137618</v>
      </c>
      <c r="Q186" s="982">
        <f t="shared" si="24"/>
        <v>18.571236444752003</v>
      </c>
      <c r="R186" s="6"/>
      <c r="S186" s="6"/>
      <c r="T186" s="6"/>
      <c r="U186" s="6"/>
      <c r="V186" s="6"/>
      <c r="W186" s="6"/>
      <c r="X186" s="6"/>
      <c r="Y186" s="6"/>
      <c r="Z186" s="6"/>
    </row>
    <row r="187" spans="1:26" s="93" customFormat="1" ht="15.75">
      <c r="A187" s="236">
        <v>96</v>
      </c>
      <c r="B187" s="897" t="s">
        <v>148</v>
      </c>
      <c r="C187" s="886">
        <f>cходова!R187</f>
        <v>0</v>
      </c>
      <c r="D187" s="886">
        <f>прибуд.!O187</f>
        <v>0.79362812052346599</v>
      </c>
      <c r="E187" s="886">
        <f>гар.вода!M187+хол.вода!Q187+ц.о.!M187+каналізація!Q187+аварійні!I187+зварювальн!M187</f>
        <v>0.18545369173911502</v>
      </c>
      <c r="F187" s="886">
        <f>дератизац.!I187</f>
        <v>1.5162454873646213E-2</v>
      </c>
      <c r="G187" s="886">
        <f>димоканал!R187</f>
        <v>6.5921510615380291E-2</v>
      </c>
      <c r="H187" s="886">
        <f>'підготовка до зими'!M187+майстерні!M187+маляри!M187+покрівлі!O187</f>
        <v>0.25289809007066499</v>
      </c>
      <c r="I187" s="886">
        <f>електрики!R187</f>
        <v>2.5651991756631565E-2</v>
      </c>
      <c r="J187" s="989">
        <f t="shared" si="21"/>
        <v>1.3387158595789042</v>
      </c>
      <c r="K187" s="989">
        <v>3.3709610573700088E-2</v>
      </c>
      <c r="L187" s="994">
        <f t="shared" si="25"/>
        <v>1.3724254701526042</v>
      </c>
      <c r="M187" s="994">
        <f t="shared" si="22"/>
        <v>1.646910564183125</v>
      </c>
      <c r="N187" s="995">
        <v>2</v>
      </c>
      <c r="O187" s="997">
        <v>1.3888359556364436</v>
      </c>
      <c r="P187" s="22">
        <f t="shared" si="23"/>
        <v>0.25807460854668141</v>
      </c>
      <c r="Q187" s="982">
        <f t="shared" si="24"/>
        <v>18.582080014512357</v>
      </c>
      <c r="R187" s="6"/>
      <c r="S187" s="6"/>
      <c r="T187" s="6"/>
      <c r="U187" s="6"/>
      <c r="V187" s="6"/>
      <c r="W187" s="6"/>
      <c r="X187" s="6"/>
      <c r="Y187" s="6"/>
      <c r="Z187" s="6"/>
    </row>
    <row r="188" spans="1:26" s="93" customFormat="1" ht="15.75">
      <c r="A188" s="236">
        <v>97</v>
      </c>
      <c r="B188" s="897" t="s">
        <v>149</v>
      </c>
      <c r="C188" s="886">
        <f>cходова!R188</f>
        <v>0</v>
      </c>
      <c r="D188" s="886">
        <f>прибуд.!O188</f>
        <v>0.2790496124341143</v>
      </c>
      <c r="E188" s="886">
        <f>гар.вода!M188+хол.вода!Q188+ц.о.!M188+каналізація!Q188+аварійні!I188+зварювальн!M188</f>
        <v>0.18272832648812648</v>
      </c>
      <c r="F188" s="886">
        <f>дератизац.!I188</f>
        <v>1.1184114202049782E-2</v>
      </c>
      <c r="G188" s="886">
        <f>димоканал!R188</f>
        <v>5.9261691844226375E-2</v>
      </c>
      <c r="H188" s="886">
        <f>'підготовка до зими'!M188+майстерні!M188+маляри!M188+покрівлі!O188</f>
        <v>0.24659984363750784</v>
      </c>
      <c r="I188" s="886">
        <f>електрики!R188</f>
        <v>2.496843941406832E-2</v>
      </c>
      <c r="J188" s="989">
        <f t="shared" si="21"/>
        <v>0.80379202802009309</v>
      </c>
      <c r="K188" s="989">
        <v>2.0424904837028812E-2</v>
      </c>
      <c r="L188" s="994">
        <f t="shared" si="25"/>
        <v>0.82421693285712194</v>
      </c>
      <c r="M188" s="994">
        <f t="shared" si="22"/>
        <v>0.98906031942854633</v>
      </c>
      <c r="N188" s="995">
        <v>2</v>
      </c>
      <c r="O188" s="997">
        <v>0.84150607928558707</v>
      </c>
      <c r="P188" s="22">
        <f t="shared" si="23"/>
        <v>0.14755424014295926</v>
      </c>
      <c r="Q188" s="982">
        <f t="shared" si="24"/>
        <v>17.534542384795174</v>
      </c>
      <c r="R188" s="6"/>
      <c r="S188" s="6"/>
      <c r="T188" s="6"/>
      <c r="U188" s="6"/>
      <c r="V188" s="6"/>
      <c r="W188" s="6"/>
      <c r="X188" s="6"/>
      <c r="Y188" s="6"/>
      <c r="Z188" s="6"/>
    </row>
    <row r="189" spans="1:26" s="93" customFormat="1" ht="15.75">
      <c r="A189" s="236">
        <v>98</v>
      </c>
      <c r="B189" s="897" t="s">
        <v>150</v>
      </c>
      <c r="C189" s="886">
        <f>cходова!R189</f>
        <v>0.46719490009608339</v>
      </c>
      <c r="D189" s="886">
        <f>прибуд.!O189</f>
        <v>0.32961122835646872</v>
      </c>
      <c r="E189" s="886">
        <f>гар.вода!M189+хол.вода!Q189+ц.о.!M189+каналізація!Q189+аварійні!I189+зварювальн!M189</f>
        <v>0.33572598058728054</v>
      </c>
      <c r="F189" s="886">
        <f>дератизац.!I189</f>
        <v>3.5045605565946565E-3</v>
      </c>
      <c r="G189" s="886">
        <f>димоканал!R189</f>
        <v>2.4865461190404746E-2</v>
      </c>
      <c r="H189" s="886">
        <f>'підготовка до зими'!M189+майстерні!M189+маляри!M189+покрівлі!O189</f>
        <v>0.10586721011076983</v>
      </c>
      <c r="I189" s="886">
        <f>електрики!R189</f>
        <v>1.4759278300047404E-2</v>
      </c>
      <c r="J189" s="989">
        <f t="shared" si="21"/>
        <v>1.2815286191976492</v>
      </c>
      <c r="K189" s="989">
        <v>3.217587132993209E-2</v>
      </c>
      <c r="L189" s="994">
        <f t="shared" si="25"/>
        <v>1.3137044905275812</v>
      </c>
      <c r="M189" s="994">
        <f t="shared" si="22"/>
        <v>1.5764453886330974</v>
      </c>
      <c r="N189" s="995">
        <v>9</v>
      </c>
      <c r="O189" s="997">
        <v>1.325645898793202</v>
      </c>
      <c r="P189" s="22">
        <f t="shared" si="23"/>
        <v>0.25079948983989531</v>
      </c>
      <c r="Q189" s="982">
        <f t="shared" si="24"/>
        <v>18.919040904377994</v>
      </c>
      <c r="R189" s="6"/>
      <c r="S189" s="6"/>
      <c r="T189" s="6"/>
      <c r="U189" s="6"/>
      <c r="V189" s="6"/>
      <c r="W189" s="6"/>
      <c r="X189" s="6"/>
      <c r="Y189" s="6"/>
      <c r="Z189" s="6"/>
    </row>
    <row r="190" spans="1:26" s="93" customFormat="1" ht="15.75">
      <c r="A190" s="894">
        <v>99</v>
      </c>
      <c r="B190" s="897" t="s">
        <v>151</v>
      </c>
      <c r="C190" s="886">
        <f>cходова!R190</f>
        <v>0.45390083067254333</v>
      </c>
      <c r="D190" s="886">
        <f>прибуд.!O190</f>
        <v>0.27703947333595152</v>
      </c>
      <c r="E190" s="886">
        <f>гар.вода!M190+хол.вода!Q190+ц.о.!M190+каналізація!Q190+аварійні!I190+зварювальн!M190</f>
        <v>0.27350784982204424</v>
      </c>
      <c r="F190" s="886">
        <f>дератизац.!I190</f>
        <v>3.8361813126737685E-3</v>
      </c>
      <c r="G190" s="886">
        <f>димоканал!R190</f>
        <v>3.0072186685129423E-2</v>
      </c>
      <c r="H190" s="886">
        <f>'підготовка до зими'!M190+майстерні!M190+маляри!M190+покрівлі!O190</f>
        <v>0.13335374722975335</v>
      </c>
      <c r="I190" s="886">
        <f>електрики!R190</f>
        <v>1.7395116572296136E-2</v>
      </c>
      <c r="J190" s="989">
        <f t="shared" si="21"/>
        <v>1.1891053856303919</v>
      </c>
      <c r="K190" s="989">
        <v>2.9777760080879775E-2</v>
      </c>
      <c r="L190" s="994">
        <f t="shared" si="25"/>
        <v>1.2188831457112717</v>
      </c>
      <c r="M190" s="994">
        <f t="shared" si="22"/>
        <v>1.4626597748535259</v>
      </c>
      <c r="N190" s="995">
        <v>5</v>
      </c>
      <c r="O190" s="997">
        <v>1.2268437153322469</v>
      </c>
      <c r="P190" s="22">
        <f t="shared" si="23"/>
        <v>0.23581605952127904</v>
      </c>
      <c r="Q190" s="982">
        <f t="shared" si="24"/>
        <v>19.221361007454533</v>
      </c>
      <c r="R190" s="6"/>
      <c r="S190" s="6"/>
      <c r="T190" s="6"/>
      <c r="U190" s="6"/>
      <c r="V190" s="6"/>
      <c r="W190" s="6"/>
      <c r="X190" s="6"/>
      <c r="Y190" s="6"/>
      <c r="Z190" s="6"/>
    </row>
    <row r="191" spans="1:26" s="93" customFormat="1" ht="15.75">
      <c r="A191" s="236">
        <v>100</v>
      </c>
      <c r="B191" s="897" t="s">
        <v>152</v>
      </c>
      <c r="C191" s="886">
        <f>cходова!R191</f>
        <v>0.67663412697714187</v>
      </c>
      <c r="D191" s="886">
        <f>прибуд.!O191</f>
        <v>0.17573195012761833</v>
      </c>
      <c r="E191" s="886">
        <f>гар.вода!M191+хол.вода!Q191+ц.о.!M191+каналізація!Q191+аварійні!I191+зварювальн!M191</f>
        <v>0.17294148114929958</v>
      </c>
      <c r="F191" s="886">
        <f>дератизац.!I191</f>
        <v>4.2356099278296078E-3</v>
      </c>
      <c r="G191" s="886">
        <f>димоканал!R191</f>
        <v>3.8083515957979611E-2</v>
      </c>
      <c r="H191" s="886">
        <f>'підготовка до зими'!M191+майстерні!M191+маляри!M191+покрівлі!O191</f>
        <v>0.2296138808997599</v>
      </c>
      <c r="I191" s="886">
        <f>електрики!R191</f>
        <v>2.2513788223651639E-2</v>
      </c>
      <c r="J191" s="989">
        <f t="shared" si="21"/>
        <v>1.3197543532632805</v>
      </c>
      <c r="K191" s="989">
        <v>3.3079594639564239E-2</v>
      </c>
      <c r="L191" s="994">
        <f t="shared" si="25"/>
        <v>1.3528339479028448</v>
      </c>
      <c r="M191" s="994">
        <f t="shared" si="22"/>
        <v>1.6234007374834138</v>
      </c>
      <c r="N191" s="995">
        <v>3</v>
      </c>
      <c r="O191" s="997">
        <v>1.3628792991500469</v>
      </c>
      <c r="P191" s="22">
        <f t="shared" si="23"/>
        <v>0.26052143833336694</v>
      </c>
      <c r="Q191" s="982">
        <f t="shared" si="24"/>
        <v>19.115518043002041</v>
      </c>
      <c r="R191" s="6"/>
      <c r="S191" s="6"/>
      <c r="T191" s="6"/>
      <c r="U191" s="6"/>
      <c r="V191" s="6"/>
      <c r="W191" s="6"/>
      <c r="X191" s="6"/>
      <c r="Y191" s="6"/>
      <c r="Z191" s="6"/>
    </row>
    <row r="192" spans="1:26" s="93" customFormat="1" ht="15.75">
      <c r="A192" s="236">
        <v>101</v>
      </c>
      <c r="B192" s="897" t="s">
        <v>153</v>
      </c>
      <c r="C192" s="886">
        <f>cходова!R192</f>
        <v>0</v>
      </c>
      <c r="D192" s="886">
        <f>прибуд.!O192</f>
        <v>0</v>
      </c>
      <c r="E192" s="886">
        <f>гар.вода!M192+хол.вода!Q192+ц.о.!M192+каналізація!Q192+аварійні!I192+зварювальн!M192</f>
        <v>0.12408804998883449</v>
      </c>
      <c r="F192" s="886">
        <f>дератизац.!I192</f>
        <v>7.223225030084237E-3</v>
      </c>
      <c r="G192" s="886">
        <f>димоканал!R192</f>
        <v>2.770224907322397E-2</v>
      </c>
      <c r="H192" s="886">
        <f>'підготовка до зими'!M192+майстерні!M192+маляри!M192+покрівлі!O192</f>
        <v>0.24206752805365658</v>
      </c>
      <c r="I192" s="886">
        <f>електрики!R192</f>
        <v>1.0260796702652626E-2</v>
      </c>
      <c r="J192" s="989">
        <f t="shared" si="21"/>
        <v>0.41134184884845193</v>
      </c>
      <c r="K192" s="989">
        <v>1.0547317978170051E-2</v>
      </c>
      <c r="L192" s="994">
        <f t="shared" si="25"/>
        <v>0.42188916682662198</v>
      </c>
      <c r="M192" s="994">
        <f t="shared" si="22"/>
        <v>0.50626700019194637</v>
      </c>
      <c r="N192" s="995">
        <v>2</v>
      </c>
      <c r="O192" s="997">
        <v>0.43454950070060605</v>
      </c>
      <c r="P192" s="22">
        <f t="shared" si="23"/>
        <v>7.171749949134032E-2</v>
      </c>
      <c r="Q192" s="982">
        <f t="shared" si="24"/>
        <v>16.503873408141814</v>
      </c>
      <c r="R192" s="6"/>
      <c r="S192" s="6"/>
      <c r="T192" s="6"/>
      <c r="U192" s="6"/>
      <c r="V192" s="6"/>
      <c r="W192" s="6"/>
      <c r="X192" s="6"/>
      <c r="Y192" s="6"/>
      <c r="Z192" s="6"/>
    </row>
    <row r="193" spans="1:26" s="93" customFormat="1" ht="15.75">
      <c r="A193" s="236">
        <v>102</v>
      </c>
      <c r="B193" s="897" t="s">
        <v>154</v>
      </c>
      <c r="C193" s="886">
        <f>cходова!R193</f>
        <v>0</v>
      </c>
      <c r="D193" s="886">
        <f>прибуд.!O193</f>
        <v>0</v>
      </c>
      <c r="E193" s="886">
        <f>гар.вода!M193+хол.вода!Q193+ц.о.!M193+каналізація!Q193+аварійні!I193+зварювальн!M193</f>
        <v>0.1434196165965228</v>
      </c>
      <c r="F193" s="886">
        <f>дератизац.!I193</f>
        <v>8.4760779681039566E-4</v>
      </c>
      <c r="G193" s="886">
        <f>димоканал!R193</f>
        <v>2.3502126870022542E-2</v>
      </c>
      <c r="H193" s="886">
        <f>'підготовка до зими'!M193+майстерні!M193+маляри!M193+покрівлі!O193</f>
        <v>0.18755697573881105</v>
      </c>
      <c r="I193" s="886">
        <f>електрики!R193</f>
        <v>1.720831899072519E-2</v>
      </c>
      <c r="J193" s="989">
        <f t="shared" si="21"/>
        <v>0.37253464599289199</v>
      </c>
      <c r="K193" s="989">
        <v>9.4446482652646973E-3</v>
      </c>
      <c r="L193" s="994">
        <f t="shared" si="25"/>
        <v>0.38197929425815669</v>
      </c>
      <c r="M193" s="994">
        <f t="shared" si="22"/>
        <v>0.45837515310978799</v>
      </c>
      <c r="N193" s="995">
        <v>3</v>
      </c>
      <c r="O193" s="997">
        <v>0.38911950852890553</v>
      </c>
      <c r="P193" s="22">
        <f t="shared" si="23"/>
        <v>6.9255644580882458E-2</v>
      </c>
      <c r="Q193" s="982">
        <f t="shared" si="24"/>
        <v>17.79803969292324</v>
      </c>
      <c r="R193" s="6"/>
      <c r="S193" s="6"/>
      <c r="T193" s="6"/>
      <c r="U193" s="6"/>
      <c r="V193" s="6"/>
      <c r="W193" s="6"/>
      <c r="X193" s="6"/>
      <c r="Y193" s="6"/>
      <c r="Z193" s="6"/>
    </row>
    <row r="194" spans="1:26" s="93" customFormat="1" ht="15.75">
      <c r="A194" s="236">
        <v>103</v>
      </c>
      <c r="B194" s="897" t="s">
        <v>155</v>
      </c>
      <c r="C194" s="886">
        <f>cходова!R194</f>
        <v>0.46127878258393951</v>
      </c>
      <c r="D194" s="886">
        <f>прибуд.!O194</f>
        <v>0.26671828499008154</v>
      </c>
      <c r="E194" s="886">
        <f>гар.вода!M194+хол.вода!Q194+ц.о.!M194+каналізація!Q194+аварійні!I194+зварювальн!M194</f>
        <v>0.15061625776626825</v>
      </c>
      <c r="F194" s="886">
        <f>дератизац.!I194</f>
        <v>1.3731540665638091E-3</v>
      </c>
      <c r="G194" s="886">
        <f>димоканал!R194</f>
        <v>4.0299647059442854E-2</v>
      </c>
      <c r="H194" s="886">
        <f>'підготовка до зими'!M194+майстерні!M194+маляри!M194+покрівлі!O194</f>
        <v>0.16709843289370582</v>
      </c>
      <c r="I194" s="886">
        <f>електрики!R194</f>
        <v>1.6914370407568654E-2</v>
      </c>
      <c r="J194" s="989">
        <f t="shared" si="21"/>
        <v>1.1042989297675705</v>
      </c>
      <c r="K194" s="989">
        <v>2.764299804172932E-2</v>
      </c>
      <c r="L194" s="994">
        <f t="shared" si="25"/>
        <v>1.1319419278092999</v>
      </c>
      <c r="M194" s="994">
        <f t="shared" si="22"/>
        <v>1.3583303133711599</v>
      </c>
      <c r="N194" s="995">
        <v>3</v>
      </c>
      <c r="O194" s="997">
        <v>1.1388915193192479</v>
      </c>
      <c r="P194" s="22">
        <f t="shared" si="23"/>
        <v>0.21943879405191202</v>
      </c>
      <c r="Q194" s="982">
        <f t="shared" si="24"/>
        <v>19.267752049209889</v>
      </c>
      <c r="R194" s="6"/>
      <c r="S194" s="6"/>
      <c r="T194" s="6"/>
      <c r="U194" s="6"/>
      <c r="V194" s="6"/>
      <c r="W194" s="6"/>
      <c r="X194" s="6"/>
      <c r="Y194" s="6"/>
      <c r="Z194" s="6"/>
    </row>
    <row r="195" spans="1:26" s="93" customFormat="1" ht="15.75">
      <c r="A195" s="236">
        <v>104</v>
      </c>
      <c r="B195" s="897" t="s">
        <v>156</v>
      </c>
      <c r="C195" s="886">
        <f>cходова!R195</f>
        <v>0</v>
      </c>
      <c r="D195" s="886">
        <f>прибуд.!O195</f>
        <v>0</v>
      </c>
      <c r="E195" s="886">
        <f>гар.вода!M195+хол.вода!Q195+ц.о.!M195+каналізація!Q195+аварійні!I195+зварювальн!M195</f>
        <v>0.13354290442147032</v>
      </c>
      <c r="F195" s="886">
        <f>дератизац.!I195</f>
        <v>5.0555555555555562E-3</v>
      </c>
      <c r="G195" s="886">
        <f>димоканал!R195</f>
        <v>3.824492486177624E-2</v>
      </c>
      <c r="H195" s="886">
        <f>'підготовка до зими'!M195+майстерні!M195+маляри!M195+покрівлі!O195</f>
        <v>0.23635249209639878</v>
      </c>
      <c r="I195" s="886">
        <f>електрики!R195</f>
        <v>1.370783026231273E-2</v>
      </c>
      <c r="J195" s="989">
        <f t="shared" si="21"/>
        <v>0.42690370719751358</v>
      </c>
      <c r="K195" s="989">
        <v>1.0956160331010273E-2</v>
      </c>
      <c r="L195" s="994">
        <f t="shared" si="25"/>
        <v>0.43785986752852385</v>
      </c>
      <c r="M195" s="994">
        <f t="shared" si="22"/>
        <v>0.52543184103422858</v>
      </c>
      <c r="N195" s="995">
        <v>2</v>
      </c>
      <c r="O195" s="997">
        <v>0.45139380563762321</v>
      </c>
      <c r="P195" s="22">
        <f t="shared" si="23"/>
        <v>7.4038035396605362E-2</v>
      </c>
      <c r="Q195" s="982">
        <f t="shared" si="24"/>
        <v>16.402093797459585</v>
      </c>
      <c r="R195" s="6"/>
      <c r="S195" s="6"/>
      <c r="T195" s="6"/>
      <c r="U195" s="6"/>
      <c r="V195" s="6"/>
      <c r="W195" s="6"/>
      <c r="X195" s="6"/>
      <c r="Y195" s="6"/>
      <c r="Z195" s="6"/>
    </row>
    <row r="196" spans="1:26" s="93" customFormat="1" ht="15.75">
      <c r="A196" s="236">
        <v>105</v>
      </c>
      <c r="B196" s="897" t="s">
        <v>157</v>
      </c>
      <c r="C196" s="886">
        <f>cходова!R196</f>
        <v>0</v>
      </c>
      <c r="D196" s="886">
        <f>прибуд.!O196</f>
        <v>0</v>
      </c>
      <c r="E196" s="886">
        <f>гар.вода!M196+хол.вода!Q196+ц.о.!M196+каналізація!Q196+аварійні!I196+зварювальн!M196</f>
        <v>0.19662556051901409</v>
      </c>
      <c r="F196" s="886">
        <f>дератизац.!I196</f>
        <v>2.0828698553948834E-2</v>
      </c>
      <c r="G196" s="886">
        <f>димоканал!R196</f>
        <v>6.443926816392001E-2</v>
      </c>
      <c r="H196" s="886">
        <f>'підготовка до зими'!M196+майстерні!M196+маляри!M196+покрівлі!O196</f>
        <v>0.29415805193402411</v>
      </c>
      <c r="I196" s="886">
        <f>електрики!R196</f>
        <v>3.0876925785520887E-2</v>
      </c>
      <c r="J196" s="989">
        <f t="shared" si="21"/>
        <v>0.60692850495642792</v>
      </c>
      <c r="K196" s="989">
        <v>1.5695913492972582E-2</v>
      </c>
      <c r="L196" s="994">
        <f t="shared" si="25"/>
        <v>0.62262441844940053</v>
      </c>
      <c r="M196" s="994">
        <f t="shared" si="22"/>
        <v>0.74714930213928066</v>
      </c>
      <c r="N196" s="995">
        <v>1</v>
      </c>
      <c r="O196" s="997">
        <v>0.64667163591047039</v>
      </c>
      <c r="P196" s="22">
        <f t="shared" si="23"/>
        <v>0.10047766622881027</v>
      </c>
      <c r="Q196" s="982">
        <f t="shared" si="24"/>
        <v>15.537664039856082</v>
      </c>
      <c r="R196" s="6"/>
      <c r="S196" s="6"/>
      <c r="T196" s="6"/>
      <c r="U196" s="6"/>
      <c r="V196" s="6"/>
      <c r="W196" s="6"/>
      <c r="X196" s="6"/>
      <c r="Y196" s="6"/>
      <c r="Z196" s="6"/>
    </row>
    <row r="197" spans="1:26" s="93" customFormat="1" ht="15.75">
      <c r="A197" s="894">
        <v>106</v>
      </c>
      <c r="B197" s="897" t="s">
        <v>158</v>
      </c>
      <c r="C197" s="886">
        <f>cходова!R197</f>
        <v>0</v>
      </c>
      <c r="D197" s="886">
        <f>прибуд.!O197</f>
        <v>0</v>
      </c>
      <c r="E197" s="886">
        <f>гар.вода!M197+хол.вода!Q197+ц.о.!M197+каналізація!Q197+аварійні!I197+зварювальн!M197</f>
        <v>0.12869248139708772</v>
      </c>
      <c r="F197" s="886">
        <f>дератизац.!I197</f>
        <v>5.8729025348089976E-3</v>
      </c>
      <c r="G197" s="886">
        <f>димоканал!R197</f>
        <v>3.3336055824019613E-2</v>
      </c>
      <c r="H197" s="886">
        <f>'підготовка до зими'!M197+майстерні!M197+маляри!M197+покрівлі!O197</f>
        <v>0.2484006175534921</v>
      </c>
      <c r="I197" s="886">
        <f>електрики!R197</f>
        <v>1.2387699161541983E-2</v>
      </c>
      <c r="J197" s="989">
        <f t="shared" si="21"/>
        <v>0.42868975647095042</v>
      </c>
      <c r="K197" s="989">
        <v>1.0996448318979973E-2</v>
      </c>
      <c r="L197" s="994">
        <f t="shared" si="25"/>
        <v>0.43968620478993037</v>
      </c>
      <c r="M197" s="994">
        <f t="shared" si="22"/>
        <v>0.52762344574791642</v>
      </c>
      <c r="N197" s="995">
        <v>2</v>
      </c>
      <c r="O197" s="997">
        <v>0.45305367074197495</v>
      </c>
      <c r="P197" s="22">
        <f t="shared" si="23"/>
        <v>7.4569775005941474E-2</v>
      </c>
      <c r="Q197" s="982">
        <f t="shared" si="24"/>
        <v>16.459368905193301</v>
      </c>
      <c r="R197" s="6"/>
      <c r="S197" s="6"/>
      <c r="T197" s="6"/>
      <c r="U197" s="6"/>
      <c r="V197" s="6"/>
      <c r="W197" s="6"/>
      <c r="X197" s="6"/>
      <c r="Y197" s="6"/>
      <c r="Z197" s="6"/>
    </row>
    <row r="198" spans="1:26" s="93" customFormat="1" ht="15.75">
      <c r="A198" s="236">
        <v>107</v>
      </c>
      <c r="B198" s="897" t="s">
        <v>159</v>
      </c>
      <c r="C198" s="886">
        <f>cходова!R198</f>
        <v>0</v>
      </c>
      <c r="D198" s="886">
        <f>прибуд.!O198</f>
        <v>0</v>
      </c>
      <c r="E198" s="886">
        <f>гар.вода!M198+хол.вода!Q198+ц.о.!M198+каналізація!Q198+аварійні!I198+зварювальн!M198</f>
        <v>0.14558431416795964</v>
      </c>
      <c r="F198" s="886">
        <f>дератизац.!I198</f>
        <v>1.44559514157654E-3</v>
      </c>
      <c r="G198" s="886">
        <f>димоканал!R198</f>
        <v>4.1852919719445617E-2</v>
      </c>
      <c r="H198" s="886">
        <f>'підготовка до зими'!M198+майстерні!M198+маляри!M198+покрівлі!O198</f>
        <v>0.22414660873014611</v>
      </c>
      <c r="I198" s="886">
        <f>електрики!R198</f>
        <v>1.6985119567504415E-2</v>
      </c>
      <c r="J198" s="989">
        <f t="shared" si="21"/>
        <v>0.43001455732663235</v>
      </c>
      <c r="K198" s="989">
        <v>1.1021658514093003E-2</v>
      </c>
      <c r="L198" s="994">
        <f t="shared" si="25"/>
        <v>0.44103621584072533</v>
      </c>
      <c r="M198" s="994">
        <f t="shared" si="22"/>
        <v>0.52924345900887038</v>
      </c>
      <c r="N198" s="995">
        <v>2</v>
      </c>
      <c r="O198" s="997">
        <v>0.45409233078063177</v>
      </c>
      <c r="P198" s="22">
        <f t="shared" si="23"/>
        <v>7.5151128228238606E-2</v>
      </c>
      <c r="Q198" s="982">
        <f t="shared" si="24"/>
        <v>16.549746193477006</v>
      </c>
      <c r="R198" s="6"/>
      <c r="S198" s="6"/>
      <c r="T198" s="6"/>
      <c r="U198" s="6"/>
      <c r="V198" s="6"/>
      <c r="W198" s="6"/>
      <c r="X198" s="6"/>
      <c r="Y198" s="6"/>
      <c r="Z198" s="6"/>
    </row>
    <row r="199" spans="1:26" s="93" customFormat="1" ht="15.75">
      <c r="A199" s="236">
        <v>108</v>
      </c>
      <c r="B199" s="897" t="s">
        <v>160</v>
      </c>
      <c r="C199" s="886">
        <f>cходова!R199</f>
        <v>0</v>
      </c>
      <c r="D199" s="886">
        <f>прибуд.!O199</f>
        <v>0</v>
      </c>
      <c r="E199" s="886">
        <f>гар.вода!M199+хол.вода!Q199+ц.о.!M199+каналізація!Q199+аварійні!I199+зварювальн!M199</f>
        <v>0.12051391948072782</v>
      </c>
      <c r="F199" s="886">
        <f>дератизац.!I199</f>
        <v>8.4948657404865201E-3</v>
      </c>
      <c r="G199" s="886">
        <f>димоканал!R199</f>
        <v>4.676718037757182E-2</v>
      </c>
      <c r="H199" s="886">
        <f>'підготовка до зими'!M199+майстерні!M199+маляри!M199+покрівлі!O199</f>
        <v>0.21606846983963537</v>
      </c>
      <c r="I199" s="886">
        <f>електрики!R199</f>
        <v>1.0161754354028983E-2</v>
      </c>
      <c r="J199" s="989">
        <f t="shared" si="21"/>
        <v>0.40200618979245051</v>
      </c>
      <c r="K199" s="989">
        <v>1.0336430811830033E-2</v>
      </c>
      <c r="L199" s="994">
        <f t="shared" si="25"/>
        <v>0.41234262060428056</v>
      </c>
      <c r="M199" s="994">
        <f t="shared" si="22"/>
        <v>0.49481114472513665</v>
      </c>
      <c r="N199" s="995">
        <v>2</v>
      </c>
      <c r="O199" s="997">
        <v>0.42586094944739733</v>
      </c>
      <c r="P199" s="22">
        <f t="shared" si="23"/>
        <v>6.8950195277739323E-2</v>
      </c>
      <c r="Q199" s="982">
        <f t="shared" si="24"/>
        <v>16.190776676567793</v>
      </c>
      <c r="R199" s="6"/>
      <c r="S199" s="6"/>
      <c r="T199" s="6"/>
      <c r="U199" s="6"/>
      <c r="V199" s="6"/>
      <c r="W199" s="6"/>
      <c r="X199" s="6"/>
      <c r="Y199" s="6"/>
      <c r="Z199" s="6"/>
    </row>
    <row r="200" spans="1:26" s="93" customFormat="1" ht="15.75">
      <c r="A200" s="236">
        <v>109</v>
      </c>
      <c r="B200" s="897" t="s">
        <v>161</v>
      </c>
      <c r="C200" s="886">
        <f>cходова!R200</f>
        <v>0.44881099708072875</v>
      </c>
      <c r="D200" s="886">
        <f>прибуд.!O200</f>
        <v>0.33824432400277415</v>
      </c>
      <c r="E200" s="886">
        <f>гар.вода!M200+хол.вода!Q200+ц.о.!M200+каналізація!Q200+аварійні!I200+зварювальн!M200</f>
        <v>0.27114358100021502</v>
      </c>
      <c r="F200" s="886">
        <f>дератизац.!I200</f>
        <v>3.9720902862426972E-3</v>
      </c>
      <c r="G200" s="886">
        <f>димоканал!R200</f>
        <v>2.5717542071383125E-2</v>
      </c>
      <c r="H200" s="886">
        <f>'підготовка до зими'!M200+майстерні!M200+маляри!M200+покрівлі!O200</f>
        <v>0.13554160300287008</v>
      </c>
      <c r="I200" s="886">
        <f>електрики!R200</f>
        <v>1.5769651155302027E-2</v>
      </c>
      <c r="J200" s="989">
        <f t="shared" si="21"/>
        <v>1.2391997885995159</v>
      </c>
      <c r="K200" s="989">
        <v>3.1029564295382121E-2</v>
      </c>
      <c r="L200" s="994">
        <f t="shared" si="25"/>
        <v>1.270229352894898</v>
      </c>
      <c r="M200" s="994">
        <f t="shared" si="22"/>
        <v>1.5242752234738777</v>
      </c>
      <c r="N200" s="995">
        <v>5</v>
      </c>
      <c r="O200" s="997">
        <v>1.2784180489697434</v>
      </c>
      <c r="P200" s="22">
        <f t="shared" si="23"/>
        <v>0.24585717450413425</v>
      </c>
      <c r="Q200" s="982">
        <f t="shared" si="24"/>
        <v>19.231359781119068</v>
      </c>
      <c r="R200" s="6"/>
      <c r="S200" s="6"/>
      <c r="T200" s="6"/>
      <c r="U200" s="6"/>
      <c r="V200" s="6"/>
      <c r="W200" s="6"/>
      <c r="X200" s="6"/>
      <c r="Y200" s="6"/>
      <c r="Z200" s="6"/>
    </row>
    <row r="201" spans="1:26" s="93" customFormat="1" ht="15.75">
      <c r="A201" s="236">
        <v>110</v>
      </c>
      <c r="B201" s="897" t="s">
        <v>162</v>
      </c>
      <c r="C201" s="886">
        <f>cходова!R201</f>
        <v>0</v>
      </c>
      <c r="D201" s="886">
        <f>прибуд.!O201</f>
        <v>0</v>
      </c>
      <c r="E201" s="886">
        <f>гар.вода!M201+хол.вода!Q201+ц.о.!M201+каналізація!Q201+аварійні!I201+зварювальн!M201</f>
        <v>0.18017210298172048</v>
      </c>
      <c r="F201" s="886">
        <f>дератизац.!I201</f>
        <v>3.0456490727532098E-3</v>
      </c>
      <c r="G201" s="886">
        <f>димоканал!R201</f>
        <v>3.3853511971634248E-2</v>
      </c>
      <c r="H201" s="886">
        <f>'підготовка до зими'!M201+майстерні!M201+маляри!M201+покрівлі!O201</f>
        <v>0.29272860202479872</v>
      </c>
      <c r="I201" s="886">
        <f>електрики!R201</f>
        <v>2.6398817195609395E-2</v>
      </c>
      <c r="J201" s="989">
        <f t="shared" si="21"/>
        <v>0.53619868324651598</v>
      </c>
      <c r="K201" s="989">
        <v>1.3756249716831244E-2</v>
      </c>
      <c r="L201" s="994">
        <f t="shared" si="25"/>
        <v>0.54995493296334719</v>
      </c>
      <c r="M201" s="994">
        <f t="shared" si="22"/>
        <v>0.65994591955601656</v>
      </c>
      <c r="N201" s="995">
        <v>1</v>
      </c>
      <c r="O201" s="997">
        <v>0.56675748833344719</v>
      </c>
      <c r="P201" s="22">
        <f t="shared" si="23"/>
        <v>9.3188431222569368E-2</v>
      </c>
      <c r="Q201" s="982">
        <f t="shared" si="24"/>
        <v>16.442381995973321</v>
      </c>
      <c r="R201" s="6"/>
      <c r="S201" s="6"/>
      <c r="T201" s="6"/>
      <c r="U201" s="6"/>
      <c r="V201" s="6"/>
      <c r="W201" s="6"/>
      <c r="X201" s="6"/>
      <c r="Y201" s="6"/>
      <c r="Z201" s="6"/>
    </row>
    <row r="202" spans="1:26" s="93" customFormat="1" ht="15.75">
      <c r="A202" s="236">
        <v>111</v>
      </c>
      <c r="B202" s="897" t="s">
        <v>163</v>
      </c>
      <c r="C202" s="886">
        <f>cходова!R202</f>
        <v>0</v>
      </c>
      <c r="D202" s="886">
        <f>прибуд.!O202</f>
        <v>0</v>
      </c>
      <c r="E202" s="886">
        <f>гар.вода!M202+хол.вода!Q202+ц.о.!M202+каналізація!Q202+аварійні!I202+зварювальн!M202</f>
        <v>0.1413959037370513</v>
      </c>
      <c r="F202" s="886">
        <f>дератизац.!I202</f>
        <v>3.1466735165681997E-3</v>
      </c>
      <c r="G202" s="886">
        <f>димоканал!R202</f>
        <v>5.0211186738274322E-2</v>
      </c>
      <c r="H202" s="886">
        <f>'підготовка до зими'!M202+майстерні!M202+маляри!M202+покрівлі!O202</f>
        <v>0.2383931847105209</v>
      </c>
      <c r="I202" s="886">
        <f>електрики!R202</f>
        <v>1.5845167269562619E-2</v>
      </c>
      <c r="J202" s="989">
        <f t="shared" si="21"/>
        <v>0.44899211597197741</v>
      </c>
      <c r="K202" s="989">
        <v>1.1529215739868842E-2</v>
      </c>
      <c r="L202" s="994">
        <f t="shared" si="25"/>
        <v>0.46052133171184628</v>
      </c>
      <c r="M202" s="994">
        <f t="shared" si="22"/>
        <v>0.55262559805421552</v>
      </c>
      <c r="N202" s="995">
        <v>2</v>
      </c>
      <c r="O202" s="997">
        <v>0.47500368848259633</v>
      </c>
      <c r="P202" s="22">
        <f t="shared" si="23"/>
        <v>7.7621909571619185E-2</v>
      </c>
      <c r="Q202" s="982">
        <f t="shared" si="24"/>
        <v>16.34132775254507</v>
      </c>
      <c r="R202" s="6"/>
      <c r="S202" s="6"/>
      <c r="T202" s="6"/>
      <c r="U202" s="6"/>
      <c r="V202" s="6"/>
      <c r="W202" s="6"/>
      <c r="X202" s="6"/>
      <c r="Y202" s="6"/>
      <c r="Z202" s="6"/>
    </row>
    <row r="203" spans="1:26" s="93" customFormat="1" ht="15.75">
      <c r="A203" s="236">
        <v>112</v>
      </c>
      <c r="B203" s="897" t="s">
        <v>164</v>
      </c>
      <c r="C203" s="886">
        <f>cходова!R203</f>
        <v>0</v>
      </c>
      <c r="D203" s="886">
        <f>прибуд.!O203</f>
        <v>0</v>
      </c>
      <c r="E203" s="886">
        <f>гар.вода!M203+хол.вода!Q203+ц.о.!M203+каналізація!Q203+аварійні!I203+зварювальн!M203</f>
        <v>0.14012329305925955</v>
      </c>
      <c r="F203" s="886">
        <f>дератизац.!I203</f>
        <v>7.386934673366834E-3</v>
      </c>
      <c r="G203" s="886">
        <f>димоканал!R203</f>
        <v>3.5069609028920874E-2</v>
      </c>
      <c r="H203" s="886">
        <f>'підготовка до зими'!M203+майстерні!M203+маляри!M203+покрівлі!O203</f>
        <v>0.45492323298338971</v>
      </c>
      <c r="I203" s="886">
        <f>електрики!R203</f>
        <v>1.5498803060403838E-2</v>
      </c>
      <c r="J203" s="989">
        <f t="shared" si="21"/>
        <v>0.65300187280534083</v>
      </c>
      <c r="K203" s="989">
        <v>1.6684501777964766E-2</v>
      </c>
      <c r="L203" s="994">
        <f t="shared" si="25"/>
        <v>0.6696863745833056</v>
      </c>
      <c r="M203" s="994">
        <f t="shared" si="22"/>
        <v>0.80362364949996667</v>
      </c>
      <c r="N203" s="995">
        <v>1</v>
      </c>
      <c r="O203" s="997">
        <v>0.6874014732521484</v>
      </c>
      <c r="P203" s="22">
        <f t="shared" si="23"/>
        <v>0.11622217624781828</v>
      </c>
      <c r="Q203" s="982">
        <f t="shared" si="24"/>
        <v>16.907466854553334</v>
      </c>
      <c r="R203" s="6"/>
      <c r="S203" s="6"/>
      <c r="T203" s="6"/>
      <c r="U203" s="6"/>
      <c r="V203" s="6"/>
      <c r="W203" s="6"/>
      <c r="X203" s="6"/>
      <c r="Y203" s="6"/>
      <c r="Z203" s="6"/>
    </row>
    <row r="204" spans="1:26" s="93" customFormat="1" ht="15.75">
      <c r="A204" s="894">
        <v>113</v>
      </c>
      <c r="B204" s="897" t="s">
        <v>165</v>
      </c>
      <c r="C204" s="886">
        <f>cходова!R204</f>
        <v>0</v>
      </c>
      <c r="D204" s="886">
        <f>прибуд.!O204</f>
        <v>0</v>
      </c>
      <c r="E204" s="886">
        <f>гар.вода!M204+хол.вода!Q204+ц.о.!M204+каналізація!Q204+аварійні!I204+зварювальн!M204</f>
        <v>0.1326271720166311</v>
      </c>
      <c r="F204" s="886">
        <f>дератизац.!I204</f>
        <v>2.3418181818181819E-3</v>
      </c>
      <c r="G204" s="886">
        <f>димоканал!R204</f>
        <v>2.2839879916653563E-2</v>
      </c>
      <c r="H204" s="886">
        <f>'підготовка до зими'!M204+майстерні!M204+маляри!M204+покрівлі!O204</f>
        <v>0.27888785856040521</v>
      </c>
      <c r="I204" s="886">
        <f>електрики!R204</f>
        <v>1.3458596984816135E-2</v>
      </c>
      <c r="J204" s="989">
        <f t="shared" si="21"/>
        <v>0.45015532566032412</v>
      </c>
      <c r="K204" s="989">
        <v>1.1524106649292353E-2</v>
      </c>
      <c r="L204" s="994">
        <f t="shared" si="25"/>
        <v>0.4616794323096165</v>
      </c>
      <c r="M204" s="994">
        <f t="shared" si="22"/>
        <v>0.55401531877153976</v>
      </c>
      <c r="N204" s="995">
        <v>1</v>
      </c>
      <c r="O204" s="997">
        <v>0.47479319395084496</v>
      </c>
      <c r="P204" s="22">
        <f t="shared" si="23"/>
        <v>7.9222124820694795E-2</v>
      </c>
      <c r="Q204" s="982">
        <f t="shared" si="24"/>
        <v>16.685606666235529</v>
      </c>
      <c r="R204" s="6"/>
      <c r="S204" s="6"/>
      <c r="T204" s="6"/>
      <c r="U204" s="6"/>
      <c r="V204" s="6"/>
      <c r="W204" s="6"/>
      <c r="X204" s="6"/>
      <c r="Y204" s="6"/>
      <c r="Z204" s="6"/>
    </row>
    <row r="205" spans="1:26" s="93" customFormat="1" ht="15.75">
      <c r="A205" s="236">
        <v>114</v>
      </c>
      <c r="B205" s="897" t="s">
        <v>166</v>
      </c>
      <c r="C205" s="886">
        <f>cходова!R205</f>
        <v>0.35574538632328101</v>
      </c>
      <c r="D205" s="886">
        <f>прибуд.!O205</f>
        <v>0.22765089785725515</v>
      </c>
      <c r="E205" s="886">
        <f>гар.вода!M205+хол.вода!Q205+ц.о.!M205+каналізація!Q205+аварійні!I205+зварювальн!M205</f>
        <v>0.14196746979345432</v>
      </c>
      <c r="F205" s="886">
        <f>дератизац.!I205</f>
        <v>4.3357962584499293E-3</v>
      </c>
      <c r="G205" s="886">
        <f>димоканал!R205</f>
        <v>4.1244051537122108E-2</v>
      </c>
      <c r="H205" s="886">
        <f>'підготовка до зими'!M205+майстерні!M205+маляри!M205+покрівлі!O205</f>
        <v>0.13222173666085885</v>
      </c>
      <c r="I205" s="886">
        <f>електрики!R205</f>
        <v>1.6842733691489663E-2</v>
      </c>
      <c r="J205" s="989">
        <f t="shared" si="21"/>
        <v>0.92000807212191105</v>
      </c>
      <c r="K205" s="989">
        <v>2.3024899667387619E-2</v>
      </c>
      <c r="L205" s="994">
        <f t="shared" si="25"/>
        <v>0.94303297178929868</v>
      </c>
      <c r="M205" s="994">
        <f t="shared" si="22"/>
        <v>1.1316395661471583</v>
      </c>
      <c r="N205" s="995">
        <v>5</v>
      </c>
      <c r="O205" s="997">
        <v>0.94862586629636991</v>
      </c>
      <c r="P205" s="22">
        <f t="shared" si="23"/>
        <v>0.18301369985078841</v>
      </c>
      <c r="Q205" s="982">
        <f t="shared" si="24"/>
        <v>19.292505755225875</v>
      </c>
      <c r="R205" s="6"/>
      <c r="S205" s="6"/>
      <c r="T205" s="6"/>
      <c r="U205" s="6"/>
      <c r="V205" s="6"/>
      <c r="W205" s="6"/>
      <c r="X205" s="6"/>
      <c r="Y205" s="6"/>
      <c r="Z205" s="6"/>
    </row>
    <row r="206" spans="1:26" s="93" customFormat="1" ht="15.75">
      <c r="A206" s="236">
        <v>115</v>
      </c>
      <c r="B206" s="897" t="s">
        <v>167</v>
      </c>
      <c r="C206" s="886">
        <f>cходова!R206</f>
        <v>0</v>
      </c>
      <c r="D206" s="886">
        <f>прибуд.!O206</f>
        <v>0.25856855961538466</v>
      </c>
      <c r="E206" s="886">
        <f>гар.вода!M206+хол.вода!Q206+ц.о.!M206+каналізація!Q206+аварійні!I206+зварювальн!M206</f>
        <v>0.18003393420561448</v>
      </c>
      <c r="F206" s="886">
        <f>дератизац.!I206</f>
        <v>5.3098290598290604E-3</v>
      </c>
      <c r="G206" s="886">
        <f>димоканал!R206</f>
        <v>4.4736232030482402E-2</v>
      </c>
      <c r="H206" s="886">
        <f>'підготовка до зими'!M206+майстерні!M206+маляри!M206+покрівлі!O206</f>
        <v>0.32856896315298023</v>
      </c>
      <c r="I206" s="886">
        <f>електрики!R206</f>
        <v>2.6361212042909095E-2</v>
      </c>
      <c r="J206" s="989">
        <f t="shared" si="21"/>
        <v>0.84357873010719997</v>
      </c>
      <c r="K206" s="989">
        <v>2.1441718560044155E-2</v>
      </c>
      <c r="L206" s="994">
        <f t="shared" si="25"/>
        <v>0.86502044866724415</v>
      </c>
      <c r="M206" s="994">
        <f t="shared" si="22"/>
        <v>1.038024538400693</v>
      </c>
      <c r="N206" s="995">
        <v>2</v>
      </c>
      <c r="O206" s="997">
        <v>0.88339880467381926</v>
      </c>
      <c r="P206" s="22">
        <f t="shared" si="23"/>
        <v>0.15462573372687372</v>
      </c>
      <c r="Q206" s="982">
        <f t="shared" si="24"/>
        <v>17.503502711209435</v>
      </c>
      <c r="R206" s="6"/>
      <c r="S206" s="6"/>
      <c r="T206" s="6"/>
      <c r="U206" s="6"/>
      <c r="V206" s="6"/>
      <c r="W206" s="6"/>
      <c r="X206" s="6"/>
      <c r="Y206" s="6"/>
      <c r="Z206" s="6"/>
    </row>
    <row r="207" spans="1:26" s="93" customFormat="1" ht="15.75">
      <c r="A207" s="236">
        <v>116</v>
      </c>
      <c r="B207" s="897" t="s">
        <v>168</v>
      </c>
      <c r="C207" s="886">
        <f>cходова!R207</f>
        <v>0</v>
      </c>
      <c r="D207" s="886">
        <f>прибуд.!O207</f>
        <v>0.61608162068111449</v>
      </c>
      <c r="E207" s="886">
        <f>гар.вода!M207+хол.вода!Q207+ц.о.!M207+каналізація!Q207+аварійні!I207+зварювальн!M207</f>
        <v>0.15334597206172368</v>
      </c>
      <c r="F207" s="886">
        <f>дератизац.!I207</f>
        <v>2.1912624699002409E-3</v>
      </c>
      <c r="G207" s="886">
        <f>димоканал!R207</f>
        <v>6.3352099015752644E-2</v>
      </c>
      <c r="H207" s="886">
        <f>'підготовка до зими'!M207+майстерні!M207+маляри!M207+покрівлі!O207</f>
        <v>0.17320045422407016</v>
      </c>
      <c r="I207" s="886">
        <f>електрики!R207</f>
        <v>1.7599013539534223E-2</v>
      </c>
      <c r="J207" s="989">
        <f t="shared" si="21"/>
        <v>1.0257704219920956</v>
      </c>
      <c r="K207" s="989">
        <v>2.574314399007693E-2</v>
      </c>
      <c r="L207" s="994">
        <f t="shared" si="25"/>
        <v>1.0515135659821724</v>
      </c>
      <c r="M207" s="994">
        <f t="shared" si="22"/>
        <v>1.2618162791786067</v>
      </c>
      <c r="N207" s="995">
        <v>5</v>
      </c>
      <c r="O207" s="997">
        <v>1.0606175323911695</v>
      </c>
      <c r="P207" s="22">
        <f t="shared" si="23"/>
        <v>0.20119874678743721</v>
      </c>
      <c r="Q207" s="982">
        <f t="shared" si="24"/>
        <v>18.969962370302639</v>
      </c>
      <c r="R207" s="6"/>
      <c r="S207" s="6"/>
      <c r="T207" s="6"/>
      <c r="U207" s="6"/>
      <c r="V207" s="6"/>
      <c r="W207" s="6"/>
      <c r="X207" s="6"/>
      <c r="Y207" s="6"/>
      <c r="Z207" s="6"/>
    </row>
    <row r="208" spans="1:26" s="93" customFormat="1" ht="15.75">
      <c r="A208" s="236">
        <v>117</v>
      </c>
      <c r="B208" s="897" t="s">
        <v>169</v>
      </c>
      <c r="C208" s="886">
        <f>cходова!R208</f>
        <v>0.35889528216362915</v>
      </c>
      <c r="D208" s="886">
        <f>прибуд.!O208</f>
        <v>0.34891610288665909</v>
      </c>
      <c r="E208" s="886">
        <f>гар.вода!M208+хол.вода!Q208+ц.о.!M208+каналізація!Q208+аварійні!I208+зварювальн!M208</f>
        <v>0.33289381088689823</v>
      </c>
      <c r="F208" s="886">
        <f>дератизац.!I208</f>
        <v>4.1059100720017144E-3</v>
      </c>
      <c r="G208" s="886">
        <f>димоканал!R208</f>
        <v>2.3110502220800494E-2</v>
      </c>
      <c r="H208" s="886">
        <f>'підготовка до зими'!M208+майстерні!M208+маляри!M208+покрівлі!O208</f>
        <v>0.13201521148931289</v>
      </c>
      <c r="I208" s="886">
        <f>електрики!R208</f>
        <v>1.4048938196998553E-2</v>
      </c>
      <c r="J208" s="989">
        <f t="shared" si="21"/>
        <v>1.2139857579163</v>
      </c>
      <c r="K208" s="989">
        <v>3.0519417528375302E-2</v>
      </c>
      <c r="L208" s="994">
        <f t="shared" si="25"/>
        <v>1.2445051754446754</v>
      </c>
      <c r="M208" s="994">
        <f t="shared" si="22"/>
        <v>1.4934062105336106</v>
      </c>
      <c r="N208" s="995">
        <v>5</v>
      </c>
      <c r="O208" s="997">
        <v>1.2574000021690626</v>
      </c>
      <c r="P208" s="22">
        <f t="shared" si="23"/>
        <v>0.236006208364548</v>
      </c>
      <c r="Q208" s="982">
        <f t="shared" si="24"/>
        <v>18.769381895771303</v>
      </c>
      <c r="R208" s="6"/>
      <c r="S208" s="6"/>
      <c r="T208" s="6"/>
      <c r="U208" s="6"/>
      <c r="V208" s="6"/>
      <c r="W208" s="6"/>
      <c r="X208" s="6"/>
      <c r="Y208" s="6"/>
      <c r="Z208" s="6"/>
    </row>
    <row r="209" spans="1:26" s="93" customFormat="1" ht="15.75">
      <c r="A209" s="236">
        <v>118</v>
      </c>
      <c r="B209" s="897" t="s">
        <v>170</v>
      </c>
      <c r="C209" s="886">
        <f>cходова!R209</f>
        <v>0</v>
      </c>
      <c r="D209" s="886">
        <f>прибуд.!O209</f>
        <v>0</v>
      </c>
      <c r="E209" s="886">
        <f>гар.вода!M209+хол.вода!Q209+ц.о.!M209+каналізація!Q209+аварійні!I209+зварювальн!M209</f>
        <v>0.15628851576747632</v>
      </c>
      <c r="F209" s="886">
        <f>дератизац.!I209</f>
        <v>1.1215053763440862E-2</v>
      </c>
      <c r="G209" s="886">
        <f>димоканал!R209</f>
        <v>5.6281066102864957E-2</v>
      </c>
      <c r="H209" s="886">
        <f>'підготовка до зими'!M209+майстерні!M209+маляри!M209+покрівлі!O209</f>
        <v>0.34360801711047756</v>
      </c>
      <c r="I209" s="886">
        <f>електрики!R209</f>
        <v>1.9898463284002348E-2</v>
      </c>
      <c r="J209" s="989">
        <f t="shared" si="21"/>
        <v>0.58729111602826201</v>
      </c>
      <c r="K209" s="989">
        <v>1.5146826982578814E-2</v>
      </c>
      <c r="L209" s="994">
        <f t="shared" si="25"/>
        <v>0.60243794301084086</v>
      </c>
      <c r="M209" s="994">
        <f t="shared" si="22"/>
        <v>0.72292553161300899</v>
      </c>
      <c r="N209" s="995">
        <v>1</v>
      </c>
      <c r="O209" s="997">
        <v>0.62404927168224711</v>
      </c>
      <c r="P209" s="22">
        <f t="shared" si="23"/>
        <v>9.8876259930761878E-2</v>
      </c>
      <c r="Q209" s="982">
        <f t="shared" si="24"/>
        <v>15.844303393580049</v>
      </c>
      <c r="R209" s="6"/>
      <c r="S209" s="6"/>
      <c r="T209" s="6"/>
      <c r="U209" s="6"/>
      <c r="V209" s="6"/>
      <c r="W209" s="6"/>
      <c r="X209" s="6"/>
      <c r="Y209" s="6"/>
      <c r="Z209" s="6"/>
    </row>
    <row r="210" spans="1:26" s="93" customFormat="1" ht="15.75">
      <c r="A210" s="236">
        <v>119</v>
      </c>
      <c r="B210" s="897" t="s">
        <v>171</v>
      </c>
      <c r="C210" s="886">
        <f>cходова!R210</f>
        <v>0.4923772574530208</v>
      </c>
      <c r="D210" s="886">
        <f>прибуд.!O210</f>
        <v>0.39496404504241023</v>
      </c>
      <c r="E210" s="886">
        <f>гар.вода!M210+хол.вода!Q210+ц.о.!M210+каналізація!Q210+аварійні!I210+зварювальн!M210</f>
        <v>0.27978244918866552</v>
      </c>
      <c r="F210" s="886">
        <f>дератизац.!I210</f>
        <v>1.3917350885526228E-3</v>
      </c>
      <c r="G210" s="886">
        <f>димоканал!R210</f>
        <v>3.1241866024087833E-2</v>
      </c>
      <c r="H210" s="886">
        <f>'підготовка до зими'!M210+майстерні!M210+маляри!M210+покрівлі!O210</f>
        <v>0.1457218284575274</v>
      </c>
      <c r="I210" s="886">
        <f>електрики!R210</f>
        <v>1.904520382282832E-2</v>
      </c>
      <c r="J210" s="989">
        <f t="shared" si="21"/>
        <v>1.3645243850770927</v>
      </c>
      <c r="K210" s="989">
        <v>3.4126052166831088E-2</v>
      </c>
      <c r="L210" s="994">
        <f t="shared" si="25"/>
        <v>1.3986504372439239</v>
      </c>
      <c r="M210" s="994">
        <f t="shared" si="22"/>
        <v>1.6783805246927086</v>
      </c>
      <c r="N210" s="995">
        <v>4</v>
      </c>
      <c r="O210" s="997">
        <v>1.4059933492734409</v>
      </c>
      <c r="P210" s="22">
        <f t="shared" si="23"/>
        <v>0.27238717541926771</v>
      </c>
      <c r="Q210" s="982">
        <f t="shared" si="24"/>
        <v>19.373290461155165</v>
      </c>
      <c r="R210" s="6"/>
      <c r="S210" s="6"/>
      <c r="T210" s="6"/>
      <c r="U210" s="6"/>
      <c r="V210" s="6"/>
      <c r="W210" s="6"/>
      <c r="X210" s="6"/>
      <c r="Y210" s="6"/>
      <c r="Z210" s="6"/>
    </row>
    <row r="211" spans="1:26" s="93" customFormat="1" ht="15.75">
      <c r="A211" s="894">
        <v>120</v>
      </c>
      <c r="B211" s="897" t="s">
        <v>172</v>
      </c>
      <c r="C211" s="886">
        <f>cходова!R211</f>
        <v>0.30665803552908999</v>
      </c>
      <c r="D211" s="886">
        <f>прибуд.!O211</f>
        <v>0.24134440745911445</v>
      </c>
      <c r="E211" s="886">
        <f>гар.вода!M211+хол.вода!Q211+ц.о.!M211+каналізація!Q211+аварійні!I211+зварювальн!M211</f>
        <v>0.28963294973041953</v>
      </c>
      <c r="F211" s="886">
        <f>дератизац.!I211</f>
        <v>2.7195851615476672E-3</v>
      </c>
      <c r="G211" s="886">
        <f>димоканал!R211</f>
        <v>3.4784008068593254E-2</v>
      </c>
      <c r="H211" s="886">
        <f>'підготовка до зими'!M211+майстерні!M211+маляри!M211+покрівлі!O211</f>
        <v>0.12978383769882493</v>
      </c>
      <c r="I211" s="886">
        <f>електрики!R211</f>
        <v>2.04069933623558E-2</v>
      </c>
      <c r="J211" s="989">
        <f t="shared" si="21"/>
        <v>1.0253298170099456</v>
      </c>
      <c r="K211" s="989">
        <v>2.5768248582003724E-2</v>
      </c>
      <c r="L211" s="994">
        <f t="shared" si="25"/>
        <v>1.0510980655919493</v>
      </c>
      <c r="M211" s="994">
        <f t="shared" si="22"/>
        <v>1.2613176787103391</v>
      </c>
      <c r="N211" s="995">
        <v>5</v>
      </c>
      <c r="O211" s="997">
        <v>1.0616518415785534</v>
      </c>
      <c r="P211" s="22">
        <f t="shared" si="23"/>
        <v>0.19966583713178565</v>
      </c>
      <c r="Q211" s="982">
        <f t="shared" si="24"/>
        <v>18.807091864966367</v>
      </c>
      <c r="R211" s="6"/>
      <c r="S211" s="6"/>
      <c r="T211" s="6"/>
      <c r="U211" s="6"/>
      <c r="V211" s="6"/>
      <c r="W211" s="6"/>
      <c r="X211" s="6"/>
      <c r="Y211" s="6"/>
      <c r="Z211" s="6"/>
    </row>
    <row r="212" spans="1:26" s="93" customFormat="1" ht="15.75">
      <c r="A212" s="236">
        <v>121</v>
      </c>
      <c r="B212" s="897" t="s">
        <v>173</v>
      </c>
      <c r="C212" s="886">
        <f>cходова!R212</f>
        <v>0.34482394866379212</v>
      </c>
      <c r="D212" s="886">
        <f>прибуд.!O212</f>
        <v>0.52956800208427235</v>
      </c>
      <c r="E212" s="886">
        <f>гар.вода!M212+хол.вода!Q212+ц.о.!M212+каналізація!Q212+аварійні!I212+зварювальн!M212</f>
        <v>0.29167712592875622</v>
      </c>
      <c r="F212" s="886">
        <f>дератизац.!I212</f>
        <v>2.7478389866773169E-3</v>
      </c>
      <c r="G212" s="886">
        <f>димоканал!R212</f>
        <v>2.9580276402634789E-2</v>
      </c>
      <c r="H212" s="886">
        <f>'підготовка до зими'!M212+майстерні!M212+маляри!M212+покрівлі!O212</f>
        <v>0.12643695563644453</v>
      </c>
      <c r="I212" s="886">
        <f>електрики!R212</f>
        <v>2.0919695807827359E-2</v>
      </c>
      <c r="J212" s="989">
        <f t="shared" si="21"/>
        <v>1.3457538435104046</v>
      </c>
      <c r="K212" s="989">
        <v>3.3683451560461854E-2</v>
      </c>
      <c r="L212" s="994">
        <f t="shared" si="25"/>
        <v>1.3794372950708664</v>
      </c>
      <c r="M212" s="994">
        <f t="shared" si="22"/>
        <v>1.6553247540850398</v>
      </c>
      <c r="N212" s="995">
        <v>5</v>
      </c>
      <c r="O212" s="997">
        <v>1.3877582042910284</v>
      </c>
      <c r="P212" s="22">
        <f t="shared" si="23"/>
        <v>0.2675665497940114</v>
      </c>
      <c r="Q212" s="982">
        <f t="shared" si="24"/>
        <v>19.280487693510324</v>
      </c>
      <c r="R212" s="6"/>
      <c r="S212" s="6"/>
      <c r="T212" s="6"/>
      <c r="U212" s="6"/>
      <c r="V212" s="6"/>
      <c r="W212" s="6"/>
      <c r="X212" s="6"/>
      <c r="Y212" s="6"/>
      <c r="Z212" s="6"/>
    </row>
    <row r="213" spans="1:26" s="93" customFormat="1" ht="15.75">
      <c r="A213" s="236">
        <v>122</v>
      </c>
      <c r="B213" s="897" t="s">
        <v>174</v>
      </c>
      <c r="C213" s="886">
        <f>cходова!R213</f>
        <v>0</v>
      </c>
      <c r="D213" s="886">
        <f>прибуд.!O213</f>
        <v>0</v>
      </c>
      <c r="E213" s="886">
        <f>гар.вода!M213+хол.вода!Q213+ц.о.!M213+каналізація!Q213+аварійні!I213+зварювальн!M213</f>
        <v>0.15408504843470805</v>
      </c>
      <c r="F213" s="886">
        <f>дератизац.!I213</f>
        <v>0</v>
      </c>
      <c r="G213" s="886">
        <f>димоканал!R213</f>
        <v>2.6180604202140439E-2</v>
      </c>
      <c r="H213" s="886">
        <f>'підготовка до зими'!M213+майстерні!M213+маляри!M213+покрівлі!O213</f>
        <v>0.24035236477061345</v>
      </c>
      <c r="I213" s="886">
        <f>електрики!R213</f>
        <v>1.7784382229438588E-2</v>
      </c>
      <c r="J213" s="989">
        <f t="shared" si="21"/>
        <v>0.43840239963690053</v>
      </c>
      <c r="K213" s="989">
        <v>1.120790054558078E-2</v>
      </c>
      <c r="L213" s="994">
        <f t="shared" si="25"/>
        <v>0.44961030018248133</v>
      </c>
      <c r="M213" s="994">
        <f t="shared" si="22"/>
        <v>0.53953236021897755</v>
      </c>
      <c r="N213" s="995">
        <v>2</v>
      </c>
      <c r="O213" s="997">
        <v>0.46176550247792819</v>
      </c>
      <c r="P213" s="22">
        <f t="shared" si="23"/>
        <v>7.7766857741049356E-2</v>
      </c>
      <c r="Q213" s="982">
        <f t="shared" si="24"/>
        <v>16.841201285877034</v>
      </c>
      <c r="R213" s="6"/>
      <c r="S213" s="6"/>
      <c r="T213" s="6"/>
      <c r="U213" s="6"/>
      <c r="V213" s="6"/>
      <c r="W213" s="6"/>
      <c r="X213" s="6"/>
      <c r="Y213" s="6"/>
      <c r="Z213" s="6"/>
    </row>
    <row r="214" spans="1:26" s="93" customFormat="1" ht="15.75">
      <c r="A214" s="236">
        <v>123</v>
      </c>
      <c r="B214" s="897" t="s">
        <v>175</v>
      </c>
      <c r="C214" s="886">
        <f>cходова!R214</f>
        <v>0.35031346647699835</v>
      </c>
      <c r="D214" s="886">
        <f>прибуд.!O214</f>
        <v>0.45683423344737506</v>
      </c>
      <c r="E214" s="886">
        <f>гар.вода!M214+хол.вода!Q214+ц.о.!M214+каналізація!Q214+аварійні!I214+зварювальн!M214</f>
        <v>0.29230310509633189</v>
      </c>
      <c r="F214" s="886">
        <f>дератизац.!I214</f>
        <v>2.2533074913626025E-3</v>
      </c>
      <c r="G214" s="886">
        <f>димоканал!R214</f>
        <v>3.0261202103804834E-2</v>
      </c>
      <c r="H214" s="886">
        <f>'підготовка до зими'!M214+майстерні!M214+маляри!M214+покрівлі!O214</f>
        <v>0.12585684136150921</v>
      </c>
      <c r="I214" s="886">
        <f>електрики!R214</f>
        <v>2.1076698443065676E-2</v>
      </c>
      <c r="J214" s="989">
        <f t="shared" si="21"/>
        <v>1.2788988544204476</v>
      </c>
      <c r="K214" s="989">
        <v>3.2028517211207953E-2</v>
      </c>
      <c r="L214" s="994">
        <f t="shared" si="25"/>
        <v>1.3109273716316556</v>
      </c>
      <c r="M214" s="994">
        <f t="shared" si="22"/>
        <v>1.5731128459579866</v>
      </c>
      <c r="N214" s="995">
        <v>5</v>
      </c>
      <c r="O214" s="997">
        <v>1.3195749091017677</v>
      </c>
      <c r="P214" s="22">
        <f t="shared" si="23"/>
        <v>0.25353793685621895</v>
      </c>
      <c r="Q214" s="982">
        <f t="shared" si="24"/>
        <v>19.213606981114978</v>
      </c>
      <c r="R214" s="6"/>
      <c r="S214" s="6"/>
      <c r="T214" s="6"/>
      <c r="U214" s="6"/>
      <c r="V214" s="6"/>
      <c r="W214" s="6"/>
      <c r="X214" s="6"/>
      <c r="Y214" s="6"/>
      <c r="Z214" s="6"/>
    </row>
    <row r="215" spans="1:26" s="93" customFormat="1" ht="15.75">
      <c r="A215" s="236">
        <v>124</v>
      </c>
      <c r="B215" s="897" t="s">
        <v>176</v>
      </c>
      <c r="C215" s="886">
        <f>cходова!R215</f>
        <v>0</v>
      </c>
      <c r="D215" s="886">
        <f>прибуд.!O215</f>
        <v>0.23687540424808545</v>
      </c>
      <c r="E215" s="886">
        <f>гар.вода!M215+хол.вода!Q215+ц.о.!M215+каналізація!Q215+аварійні!I215+зварювальн!M215</f>
        <v>0.17657798763395122</v>
      </c>
      <c r="F215" s="886">
        <f>дератизац.!I215</f>
        <v>0</v>
      </c>
      <c r="G215" s="886">
        <f>димоканал!R215</f>
        <v>3.5461828059616007E-2</v>
      </c>
      <c r="H215" s="886">
        <f>'підготовка до зими'!M215+майстерні!M215+маляри!M215+покрівлі!O215</f>
        <v>0.22446712511979805</v>
      </c>
      <c r="I215" s="886">
        <f>електрики!R215</f>
        <v>2.5420613144850009E-2</v>
      </c>
      <c r="J215" s="989">
        <f t="shared" si="21"/>
        <v>0.69880295820630067</v>
      </c>
      <c r="K215" s="989">
        <v>1.769007015742027E-2</v>
      </c>
      <c r="L215" s="994">
        <f t="shared" si="25"/>
        <v>0.71649302836372097</v>
      </c>
      <c r="M215" s="994">
        <f t="shared" si="22"/>
        <v>0.85979163403646519</v>
      </c>
      <c r="N215" s="995">
        <v>2</v>
      </c>
      <c r="O215" s="997">
        <v>0.72883089048571514</v>
      </c>
      <c r="P215" s="22">
        <f t="shared" si="23"/>
        <v>0.13096074355075005</v>
      </c>
      <c r="Q215" s="982">
        <f t="shared" si="24"/>
        <v>17.968604961772925</v>
      </c>
      <c r="R215" s="6"/>
      <c r="S215" s="6"/>
      <c r="T215" s="6"/>
      <c r="U215" s="6"/>
      <c r="V215" s="6"/>
      <c r="W215" s="6"/>
      <c r="X215" s="6"/>
      <c r="Y215" s="6"/>
      <c r="Z215" s="6"/>
    </row>
    <row r="216" spans="1:26" s="93" customFormat="1" ht="15.75">
      <c r="A216" s="236">
        <v>125</v>
      </c>
      <c r="B216" s="897" t="s">
        <v>177</v>
      </c>
      <c r="C216" s="886">
        <f>cходова!R216</f>
        <v>0</v>
      </c>
      <c r="D216" s="886">
        <f>прибуд.!O216</f>
        <v>0</v>
      </c>
      <c r="E216" s="886">
        <f>гар.вода!M216+хол.вода!Q216+ц.о.!M216+каналізація!Q216+аварійні!I216+зварювальн!M216</f>
        <v>0.20077888659920717</v>
      </c>
      <c r="F216" s="886">
        <f>дератизац.!I216</f>
        <v>0</v>
      </c>
      <c r="G216" s="886">
        <f>димоканал!R216</f>
        <v>2.0508999518342667E-2</v>
      </c>
      <c r="H216" s="886">
        <f>'підготовка до зими'!M216+майстерні!M216+маляри!M216+покрівлі!O216</f>
        <v>0.21772264310452927</v>
      </c>
      <c r="I216" s="886">
        <f>електрики!R216</f>
        <v>3.4174646083328139E-2</v>
      </c>
      <c r="J216" s="989">
        <f t="shared" si="21"/>
        <v>0.47318517530540727</v>
      </c>
      <c r="K216" s="989">
        <v>1.2066982970050502E-2</v>
      </c>
      <c r="L216" s="994">
        <f t="shared" si="25"/>
        <v>0.48525215827545776</v>
      </c>
      <c r="M216" s="994">
        <f t="shared" si="22"/>
        <v>0.58230258993054929</v>
      </c>
      <c r="N216" s="995">
        <v>2</v>
      </c>
      <c r="O216" s="997">
        <v>0.49715969836608065</v>
      </c>
      <c r="P216" s="22">
        <f t="shared" si="23"/>
        <v>8.5142891564468637E-2</v>
      </c>
      <c r="Q216" s="982">
        <f t="shared" si="24"/>
        <v>17.125863549336657</v>
      </c>
      <c r="R216" s="6"/>
      <c r="S216" s="6"/>
      <c r="T216" s="6"/>
      <c r="U216" s="6"/>
      <c r="V216" s="6"/>
      <c r="W216" s="6"/>
      <c r="X216" s="6"/>
      <c r="Y216" s="6"/>
      <c r="Z216" s="6"/>
    </row>
    <row r="217" spans="1:26" s="93" customFormat="1" ht="15.75">
      <c r="A217" s="236">
        <v>126</v>
      </c>
      <c r="B217" s="897" t="s">
        <v>178</v>
      </c>
      <c r="C217" s="886">
        <f>cходова!R217</f>
        <v>0</v>
      </c>
      <c r="D217" s="886">
        <f>прибуд.!O217</f>
        <v>0</v>
      </c>
      <c r="E217" s="886">
        <f>гар.вода!M217+хол.вода!Q217+ц.о.!M217+каналізація!Q217+аварійні!I217+зварювальн!M217</f>
        <v>0.16425309084189099</v>
      </c>
      <c r="F217" s="886">
        <f>дератизац.!I217</f>
        <v>0</v>
      </c>
      <c r="G217" s="886">
        <f>димоканал!R217</f>
        <v>1.6966927246287015E-2</v>
      </c>
      <c r="H217" s="886">
        <f>'підготовка до зими'!M217+майстерні!M217+маляри!M217+покрівлі!O217</f>
        <v>0.23364076134444089</v>
      </c>
      <c r="I217" s="886">
        <f>електрики!R217</f>
        <v>3.4795372394182802E-2</v>
      </c>
      <c r="J217" s="989">
        <f t="shared" si="21"/>
        <v>0.44965615182680169</v>
      </c>
      <c r="K217" s="989">
        <v>1.124946109977366E-2</v>
      </c>
      <c r="L217" s="994">
        <f t="shared" si="25"/>
        <v>0.46090561292657534</v>
      </c>
      <c r="M217" s="994">
        <f t="shared" si="22"/>
        <v>0.55308673551189036</v>
      </c>
      <c r="N217" s="995">
        <v>2</v>
      </c>
      <c r="O217" s="997">
        <v>0.46347779731067484</v>
      </c>
      <c r="P217" s="22">
        <f t="shared" si="23"/>
        <v>8.9608938201215516E-2</v>
      </c>
      <c r="Q217" s="982">
        <f t="shared" si="24"/>
        <v>19.334030393941305</v>
      </c>
      <c r="R217" s="6"/>
      <c r="S217" s="6"/>
      <c r="T217" s="6"/>
      <c r="U217" s="6"/>
      <c r="V217" s="6"/>
      <c r="W217" s="6"/>
      <c r="X217" s="6"/>
      <c r="Y217" s="6"/>
      <c r="Z217" s="6"/>
    </row>
    <row r="218" spans="1:26" s="93" customFormat="1" ht="15.75">
      <c r="A218" s="894">
        <v>127</v>
      </c>
      <c r="B218" s="897" t="s">
        <v>179</v>
      </c>
      <c r="C218" s="886">
        <f>cходова!R218</f>
        <v>0</v>
      </c>
      <c r="D218" s="886">
        <f>прибуд.!O218</f>
        <v>0.24253181333871945</v>
      </c>
      <c r="E218" s="886">
        <f>гар.вода!M218+хол.вода!Q218+ц.о.!M218+каналізація!Q218+аварійні!I218+зварювальн!M218</f>
        <v>0.19970112933231454</v>
      </c>
      <c r="F218" s="886">
        <f>дератизац.!I218</f>
        <v>0</v>
      </c>
      <c r="G218" s="886">
        <f>димоканал!R218</f>
        <v>5.6509817366774087E-2</v>
      </c>
      <c r="H218" s="886">
        <f>'підготовка до зими'!M218+майстерні!M218+маляри!M218+покрівлі!O218</f>
        <v>0.19263338595229923</v>
      </c>
      <c r="I218" s="886">
        <f>електрики!R218</f>
        <v>3.1713997938318389E-2</v>
      </c>
      <c r="J218" s="989">
        <f t="shared" ref="J218:J280" si="26">I218+H218+G218+F218+E218+D218+C218</f>
        <v>0.72309014392842574</v>
      </c>
      <c r="K218" s="989">
        <v>1.7984812361219259E-2</v>
      </c>
      <c r="L218" s="994">
        <f t="shared" si="25"/>
        <v>0.74107495628964504</v>
      </c>
      <c r="M218" s="994">
        <f t="shared" ref="M218:M280" si="27">L218*1.2</f>
        <v>0.88928994754757407</v>
      </c>
      <c r="N218" s="995">
        <v>2</v>
      </c>
      <c r="O218" s="997">
        <v>0.74097426928223342</v>
      </c>
      <c r="P218" s="22">
        <f t="shared" si="23"/>
        <v>0.14831567826534064</v>
      </c>
      <c r="Q218" s="982">
        <f t="shared" si="24"/>
        <v>20.016306154464857</v>
      </c>
      <c r="R218" s="6"/>
      <c r="S218" s="6"/>
      <c r="T218" s="6"/>
      <c r="U218" s="6"/>
      <c r="V218" s="6"/>
      <c r="W218" s="6"/>
      <c r="X218" s="6"/>
      <c r="Y218" s="6"/>
      <c r="Z218" s="6"/>
    </row>
    <row r="219" spans="1:26" s="93" customFormat="1" ht="15.75">
      <c r="A219" s="236">
        <v>128</v>
      </c>
      <c r="B219" s="897" t="s">
        <v>180</v>
      </c>
      <c r="C219" s="886">
        <f>cходова!R219</f>
        <v>0</v>
      </c>
      <c r="D219" s="886">
        <f>прибуд.!O219</f>
        <v>0</v>
      </c>
      <c r="E219" s="886">
        <f>гар.вода!M219+хол.вода!Q219+ц.о.!M219+каналізація!Q219+аварійні!I219+зварювальн!M219</f>
        <v>0.13369257836579768</v>
      </c>
      <c r="F219" s="886">
        <f>дератизац.!I219</f>
        <v>0</v>
      </c>
      <c r="G219" s="886">
        <f>димоканал!R219</f>
        <v>2.2803931629370104E-2</v>
      </c>
      <c r="H219" s="886">
        <f>'підготовка до зими'!M219+майстерні!M219+маляри!M219+покрівлі!O219</f>
        <v>0.30001096169483388</v>
      </c>
      <c r="I219" s="886">
        <f>електрики!R219</f>
        <v>1.3748566756405784E-2</v>
      </c>
      <c r="J219" s="989">
        <f t="shared" si="26"/>
        <v>0.47025603844640745</v>
      </c>
      <c r="K219" s="989">
        <v>1.2035602383189698E-2</v>
      </c>
      <c r="L219" s="994">
        <f t="shared" si="25"/>
        <v>0.48229164082959713</v>
      </c>
      <c r="M219" s="994">
        <f t="shared" si="27"/>
        <v>0.57874996899551656</v>
      </c>
      <c r="N219" s="995">
        <v>1</v>
      </c>
      <c r="O219" s="997">
        <v>0.49586681818741557</v>
      </c>
      <c r="P219" s="22">
        <f t="shared" si="23"/>
        <v>8.2883150808100992E-2</v>
      </c>
      <c r="Q219" s="982">
        <f t="shared" si="24"/>
        <v>16.714800782813199</v>
      </c>
      <c r="R219" s="6"/>
      <c r="S219" s="6"/>
      <c r="T219" s="6"/>
      <c r="U219" s="6"/>
      <c r="V219" s="6"/>
      <c r="W219" s="6"/>
      <c r="X219" s="6"/>
      <c r="Y219" s="6"/>
      <c r="Z219" s="6"/>
    </row>
    <row r="220" spans="1:26" s="93" customFormat="1" ht="15.75">
      <c r="A220" s="236">
        <v>129</v>
      </c>
      <c r="B220" s="897" t="s">
        <v>181</v>
      </c>
      <c r="C220" s="886">
        <f>cходова!R220</f>
        <v>0.74789371528602611</v>
      </c>
      <c r="D220" s="886">
        <f>прибуд.!O220</f>
        <v>0.164101087457483</v>
      </c>
      <c r="E220" s="886">
        <f>гар.вода!M220+хол.вода!Q220+ц.о.!M220+каналізація!Q220+аварійні!I220+зварювальн!M220</f>
        <v>0.19881219878679512</v>
      </c>
      <c r="F220" s="886">
        <f>дератизац.!I220</f>
        <v>0</v>
      </c>
      <c r="G220" s="886">
        <f>димоканал!R220</f>
        <v>3.6989259419792454E-2</v>
      </c>
      <c r="H220" s="886">
        <f>'підготовка до зими'!M220+майстерні!M220+маляри!M220+покрівлі!O220</f>
        <v>0.2050168377202824</v>
      </c>
      <c r="I220" s="886">
        <f>електрики!R220</f>
        <v>2.9002455986069153E-2</v>
      </c>
      <c r="J220" s="989">
        <f t="shared" si="26"/>
        <v>1.3818155546564483</v>
      </c>
      <c r="K220" s="989">
        <v>3.434493459174804E-2</v>
      </c>
      <c r="L220" s="994">
        <f t="shared" si="25"/>
        <v>1.4161604892481965</v>
      </c>
      <c r="M220" s="994">
        <f t="shared" si="27"/>
        <v>1.6993925870978357</v>
      </c>
      <c r="N220" s="995">
        <v>3</v>
      </c>
      <c r="O220" s="997">
        <v>1.4150113051800193</v>
      </c>
      <c r="P220" s="22">
        <f t="shared" ref="P220:P283" si="28">M220-O220</f>
        <v>0.28438128191781642</v>
      </c>
      <c r="Q220" s="982">
        <f t="shared" ref="Q220:Q283" si="29">M220/O220*100-100</f>
        <v>20.097456527503653</v>
      </c>
      <c r="R220" s="6"/>
      <c r="S220" s="6"/>
      <c r="T220" s="6"/>
      <c r="U220" s="6"/>
      <c r="V220" s="6"/>
      <c r="W220" s="6"/>
      <c r="X220" s="6"/>
      <c r="Y220" s="6"/>
      <c r="Z220" s="6"/>
    </row>
    <row r="221" spans="1:26" s="93" customFormat="1" ht="15.75">
      <c r="A221" s="236">
        <v>130</v>
      </c>
      <c r="B221" s="897" t="s">
        <v>182</v>
      </c>
      <c r="C221" s="886">
        <f>cходова!R221</f>
        <v>0</v>
      </c>
      <c r="D221" s="886">
        <f>прибуд.!O221</f>
        <v>0</v>
      </c>
      <c r="E221" s="886">
        <f>гар.вода!M221+хол.вода!Q221+ц.о.!M221+каналізація!Q221+аварійні!I221+зварювальн!M221</f>
        <v>0.17458261999450239</v>
      </c>
      <c r="F221" s="886">
        <f>дератизац.!I221</f>
        <v>0</v>
      </c>
      <c r="G221" s="886">
        <f>димоканал!R221</f>
        <v>7.1869969349104335E-2</v>
      </c>
      <c r="H221" s="886">
        <f>'підготовка до зими'!M221+майстерні!M221+маляри!M221+покрівлі!O221</f>
        <v>0.31725547831320455</v>
      </c>
      <c r="I221" s="886">
        <f>електрики!R221</f>
        <v>2.4877537445046852E-2</v>
      </c>
      <c r="J221" s="989">
        <f t="shared" si="26"/>
        <v>0.58858560510185809</v>
      </c>
      <c r="K221" s="989">
        <v>1.5161140338110108E-2</v>
      </c>
      <c r="L221" s="994">
        <f t="shared" ref="L221:L284" si="30">J221+K221</f>
        <v>0.6037467454399682</v>
      </c>
      <c r="M221" s="994">
        <f t="shared" si="27"/>
        <v>0.72449609452796182</v>
      </c>
      <c r="N221" s="995">
        <v>1</v>
      </c>
      <c r="O221" s="997">
        <v>0.62463898193013645</v>
      </c>
      <c r="P221" s="22">
        <f t="shared" si="28"/>
        <v>9.985711259782537E-2</v>
      </c>
      <c r="Q221" s="982">
        <f t="shared" si="29"/>
        <v>15.986372206433003</v>
      </c>
      <c r="R221" s="6"/>
      <c r="S221" s="6"/>
      <c r="T221" s="6"/>
      <c r="U221" s="6"/>
      <c r="V221" s="6"/>
      <c r="W221" s="6"/>
      <c r="X221" s="6"/>
      <c r="Y221" s="6"/>
      <c r="Z221" s="6"/>
    </row>
    <row r="222" spans="1:26" s="892" customFormat="1" ht="15.75">
      <c r="A222" s="236">
        <v>131</v>
      </c>
      <c r="B222" s="897" t="s">
        <v>183</v>
      </c>
      <c r="C222" s="886">
        <f>cходова!R222</f>
        <v>0</v>
      </c>
      <c r="D222" s="886">
        <f>прибуд.!O222</f>
        <v>0</v>
      </c>
      <c r="E222" s="886">
        <f>гар.вода!M222+хол.вода!Q222+ц.о.!M222+каналізація!Q222+аварійні!I222+зварювальн!M222</f>
        <v>0.20060962743909794</v>
      </c>
      <c r="F222" s="886">
        <f>дератизац.!I222</f>
        <v>0</v>
      </c>
      <c r="G222" s="886">
        <f>димоканал!R222</f>
        <v>4.4586052299998208E-2</v>
      </c>
      <c r="H222" s="886">
        <f>'підготовка до зими'!M222+майстерні!M222+маляри!M222+покрівлі!O222</f>
        <v>0.30891806251944953</v>
      </c>
      <c r="I222" s="886">
        <f>електрики!R222</f>
        <v>3.1961262269641078E-2</v>
      </c>
      <c r="J222" s="989">
        <f t="shared" si="26"/>
        <v>0.58607500452818673</v>
      </c>
      <c r="K222" s="989">
        <v>1.6025599281687706E-2</v>
      </c>
      <c r="L222" s="994">
        <f t="shared" si="30"/>
        <v>0.6021006038098744</v>
      </c>
      <c r="M222" s="994">
        <f t="shared" si="27"/>
        <v>0.72252072457184924</v>
      </c>
      <c r="N222" s="995">
        <v>1</v>
      </c>
      <c r="O222" s="997">
        <v>0.66025469040553353</v>
      </c>
      <c r="P222" s="22">
        <f t="shared" si="28"/>
        <v>6.2266034166315709E-2</v>
      </c>
      <c r="Q222" s="982">
        <f t="shared" si="29"/>
        <v>9.4306083805434753</v>
      </c>
      <c r="R222" s="6"/>
      <c r="S222" s="6"/>
      <c r="T222" s="6"/>
      <c r="U222" s="6"/>
      <c r="V222" s="6"/>
      <c r="W222" s="6"/>
      <c r="X222" s="6"/>
      <c r="Y222" s="6"/>
      <c r="Z222" s="6"/>
    </row>
    <row r="223" spans="1:26" s="93" customFormat="1" ht="15.75">
      <c r="A223" s="236">
        <v>132</v>
      </c>
      <c r="B223" s="897" t="s">
        <v>184</v>
      </c>
      <c r="C223" s="886">
        <f>cходова!R223</f>
        <v>0</v>
      </c>
      <c r="D223" s="886">
        <f>прибуд.!O223</f>
        <v>0</v>
      </c>
      <c r="E223" s="886">
        <f>гар.вода!M223+хол.вода!Q223+ц.о.!M223+каналізація!Q223+аварійні!I223+зварювальн!M223</f>
        <v>0.17941701502058072</v>
      </c>
      <c r="F223" s="886">
        <f>дератизац.!I223</f>
        <v>2.6751592356687899E-2</v>
      </c>
      <c r="G223" s="886">
        <f>димоканал!R223</f>
        <v>7.3079474258171156E-2</v>
      </c>
      <c r="H223" s="886">
        <f>'підготовка до зими'!M223+майстерні!M223+маляри!M223+покрівлі!O223</f>
        <v>0.41694049133224581</v>
      </c>
      <c r="I223" s="886">
        <f>електрики!R223</f>
        <v>4.9880244889817203E-2</v>
      </c>
      <c r="J223" s="989">
        <f t="shared" si="26"/>
        <v>0.74606881785750279</v>
      </c>
      <c r="K223" s="989">
        <v>1.8427957934036662E-2</v>
      </c>
      <c r="L223" s="994">
        <f t="shared" si="30"/>
        <v>0.76449677579153941</v>
      </c>
      <c r="M223" s="994">
        <f t="shared" si="27"/>
        <v>0.91739613094984729</v>
      </c>
      <c r="N223" s="995">
        <v>1</v>
      </c>
      <c r="O223" s="997">
        <v>0.75923186688231059</v>
      </c>
      <c r="P223" s="22">
        <f t="shared" si="28"/>
        <v>0.1581642640675367</v>
      </c>
      <c r="Q223" s="982">
        <f t="shared" si="29"/>
        <v>20.832142454322707</v>
      </c>
      <c r="R223" s="6"/>
      <c r="S223" s="6"/>
      <c r="T223" s="6"/>
      <c r="U223" s="6"/>
      <c r="V223" s="6"/>
      <c r="W223" s="6"/>
      <c r="X223" s="6"/>
      <c r="Y223" s="6"/>
      <c r="Z223" s="6"/>
    </row>
    <row r="224" spans="1:26" s="93" customFormat="1" ht="15.75">
      <c r="A224" s="236">
        <v>133</v>
      </c>
      <c r="B224" s="897" t="s">
        <v>185</v>
      </c>
      <c r="C224" s="886">
        <f>cходова!R224</f>
        <v>0</v>
      </c>
      <c r="D224" s="886">
        <f>прибуд.!O224</f>
        <v>0</v>
      </c>
      <c r="E224" s="886">
        <f>гар.вода!M224+хол.вода!Q224+ц.о.!M224+каналізація!Q224+аварійні!I224+зварювальн!M224</f>
        <v>0.16758870975222392</v>
      </c>
      <c r="F224" s="886">
        <f>дератизац.!I224</f>
        <v>7.8212290502793318E-3</v>
      </c>
      <c r="G224" s="886">
        <f>димоканал!R224</f>
        <v>2.6433181932214788E-2</v>
      </c>
      <c r="H224" s="886">
        <f>'підготовка до зими'!M224+майстерні!M224+маляри!M224+покрівлі!O224</f>
        <v>0.23050013892512197</v>
      </c>
      <c r="I224" s="886">
        <f>електрики!R224</f>
        <v>2.8274363413479272E-2</v>
      </c>
      <c r="J224" s="989">
        <f t="shared" si="26"/>
        <v>0.46061762307331922</v>
      </c>
      <c r="K224" s="989">
        <v>1.2056850424661121E-2</v>
      </c>
      <c r="L224" s="994">
        <f t="shared" si="30"/>
        <v>0.47267447349798036</v>
      </c>
      <c r="M224" s="994">
        <f t="shared" si="27"/>
        <v>0.56720936819757639</v>
      </c>
      <c r="N224" s="995">
        <v>1</v>
      </c>
      <c r="O224" s="997">
        <v>0.49674223749603819</v>
      </c>
      <c r="P224" s="22">
        <f t="shared" si="28"/>
        <v>7.0467130701538205E-2</v>
      </c>
      <c r="Q224" s="982">
        <f t="shared" si="29"/>
        <v>14.185854429602472</v>
      </c>
      <c r="R224" s="6"/>
      <c r="S224" s="6"/>
      <c r="T224" s="6"/>
      <c r="U224" s="6"/>
      <c r="V224" s="6"/>
      <c r="W224" s="6"/>
      <c r="X224" s="6"/>
      <c r="Y224" s="6"/>
      <c r="Z224" s="6"/>
    </row>
    <row r="225" spans="1:26" s="93" customFormat="1" ht="15.75">
      <c r="A225" s="894">
        <v>134</v>
      </c>
      <c r="B225" s="897" t="s">
        <v>186</v>
      </c>
      <c r="C225" s="886">
        <f>cходова!R225</f>
        <v>0</v>
      </c>
      <c r="D225" s="886">
        <f>прибуд.!O225</f>
        <v>0</v>
      </c>
      <c r="E225" s="886">
        <f>гар.вода!M225+хол.вода!Q225+ц.о.!M225+каналізація!Q225+аварійні!I225+зварювальн!M225</f>
        <v>0.17125162611815201</v>
      </c>
      <c r="F225" s="886">
        <f>дератизац.!I225</f>
        <v>9.9740932642487044E-3</v>
      </c>
      <c r="G225" s="886">
        <f>димоканал!R225</f>
        <v>6.5728264149047672E-2</v>
      </c>
      <c r="H225" s="886">
        <f>'підготовка до зими'!M225+майстерні!M225+маляри!M225+покрівлі!O225</f>
        <v>0.20241850228309496</v>
      </c>
      <c r="I225" s="886">
        <f>електрики!R225</f>
        <v>2.3970946702230808E-2</v>
      </c>
      <c r="J225" s="989">
        <f t="shared" si="26"/>
        <v>0.47334343251677413</v>
      </c>
      <c r="K225" s="989">
        <v>1.1901875764891141E-2</v>
      </c>
      <c r="L225" s="994">
        <f t="shared" si="30"/>
        <v>0.48524530828166529</v>
      </c>
      <c r="M225" s="994">
        <f t="shared" si="27"/>
        <v>0.58229436993799832</v>
      </c>
      <c r="N225" s="995">
        <v>2</v>
      </c>
      <c r="O225" s="997">
        <v>0.49035728151351499</v>
      </c>
      <c r="P225" s="22">
        <f t="shared" si="28"/>
        <v>9.1937088424483338E-2</v>
      </c>
      <c r="Q225" s="982">
        <f t="shared" si="29"/>
        <v>18.749000349442028</v>
      </c>
      <c r="R225" s="6"/>
      <c r="S225" s="6"/>
      <c r="T225" s="6"/>
      <c r="U225" s="6"/>
      <c r="V225" s="6"/>
      <c r="W225" s="6"/>
      <c r="X225" s="6"/>
      <c r="Y225" s="6"/>
      <c r="Z225" s="6"/>
    </row>
    <row r="226" spans="1:26" s="93" customFormat="1" ht="15.75">
      <c r="A226" s="236">
        <v>135</v>
      </c>
      <c r="B226" s="897" t="s">
        <v>187</v>
      </c>
      <c r="C226" s="886">
        <f>cходова!R226</f>
        <v>0</v>
      </c>
      <c r="D226" s="886">
        <f>прибуд.!O226</f>
        <v>0.62957916842503858</v>
      </c>
      <c r="E226" s="886">
        <f>гар.вода!M226+хол.вода!Q226+ц.о.!M226+каналізація!Q226+аварійні!I226+зварювальн!M226</f>
        <v>0.16239830440670308</v>
      </c>
      <c r="F226" s="886">
        <f>дератизац.!I226</f>
        <v>8.1558940898896046E-4</v>
      </c>
      <c r="G226" s="886">
        <f>димоканал!R226</f>
        <v>4.0825845422930281E-2</v>
      </c>
      <c r="H226" s="886">
        <f>'підготовка до зими'!M226+майстерні!M226+маляри!M226+покрівлі!O226</f>
        <v>0.2028673298096107</v>
      </c>
      <c r="I226" s="886">
        <f>електрики!R226</f>
        <v>1.9869440587001443E-2</v>
      </c>
      <c r="J226" s="989">
        <f t="shared" si="26"/>
        <v>1.0563556780602732</v>
      </c>
      <c r="K226" s="989">
        <v>2.5694071516061515E-2</v>
      </c>
      <c r="L226" s="994">
        <f t="shared" si="30"/>
        <v>1.0820497495763348</v>
      </c>
      <c r="M226" s="994">
        <f t="shared" si="27"/>
        <v>1.2984596994916018</v>
      </c>
      <c r="N226" s="995">
        <v>2</v>
      </c>
      <c r="O226" s="997">
        <v>1.0585957464617344</v>
      </c>
      <c r="P226" s="22">
        <f t="shared" si="28"/>
        <v>0.2398639530298674</v>
      </c>
      <c r="Q226" s="982">
        <f t="shared" si="29"/>
        <v>22.658692313056434</v>
      </c>
      <c r="R226" s="6"/>
      <c r="S226" s="6"/>
      <c r="T226" s="6"/>
      <c r="U226" s="6"/>
      <c r="V226" s="6"/>
      <c r="W226" s="6"/>
      <c r="X226" s="6"/>
      <c r="Y226" s="6"/>
      <c r="Z226" s="6"/>
    </row>
    <row r="227" spans="1:26" s="93" customFormat="1" ht="15.75">
      <c r="A227" s="236">
        <v>136</v>
      </c>
      <c r="B227" s="897" t="s">
        <v>188</v>
      </c>
      <c r="C227" s="886">
        <f>cходова!R227</f>
        <v>0</v>
      </c>
      <c r="D227" s="886">
        <f>прибуд.!O227</f>
        <v>0</v>
      </c>
      <c r="E227" s="886">
        <f>гар.вода!M227+хол.вода!Q227+ц.о.!M227+каналізація!Q227+аварійні!I227+зварювальн!M227</f>
        <v>0.15264342830499827</v>
      </c>
      <c r="F227" s="886">
        <f>дератизац.!I227</f>
        <v>1.048903419152704E-2</v>
      </c>
      <c r="G227" s="886">
        <f>димоканал!R227</f>
        <v>3.2327083356648419E-2</v>
      </c>
      <c r="H227" s="886">
        <f>'підготовка до зими'!M227+майстерні!M227+маляри!M227+покрівлі!O227</f>
        <v>0.22890523861945591</v>
      </c>
      <c r="I227" s="886">
        <f>електрики!R227</f>
        <v>1.8906386242462388E-2</v>
      </c>
      <c r="J227" s="989">
        <f t="shared" si="26"/>
        <v>0.44327117071509203</v>
      </c>
      <c r="K227" s="989">
        <v>1.1394837030827873E-2</v>
      </c>
      <c r="L227" s="994">
        <f t="shared" si="30"/>
        <v>0.45466600774591992</v>
      </c>
      <c r="M227" s="994">
        <f t="shared" si="27"/>
        <v>0.54559920929510386</v>
      </c>
      <c r="N227" s="995">
        <v>2</v>
      </c>
      <c r="O227" s="997">
        <v>0.46946728567010837</v>
      </c>
      <c r="P227" s="22">
        <f t="shared" si="28"/>
        <v>7.613192362499549E-2</v>
      </c>
      <c r="Q227" s="982">
        <f t="shared" si="29"/>
        <v>16.216662150660042</v>
      </c>
      <c r="R227" s="6"/>
      <c r="S227" s="6"/>
      <c r="T227" s="6"/>
      <c r="U227" s="6"/>
      <c r="V227" s="6"/>
      <c r="W227" s="6"/>
      <c r="X227" s="6"/>
      <c r="Y227" s="6"/>
      <c r="Z227" s="6"/>
    </row>
    <row r="228" spans="1:26" s="93" customFormat="1" ht="15.75">
      <c r="A228" s="236">
        <v>137</v>
      </c>
      <c r="B228" s="897" t="s">
        <v>189</v>
      </c>
      <c r="C228" s="886">
        <f>cходова!R228</f>
        <v>0</v>
      </c>
      <c r="D228" s="886">
        <f>прибуд.!O228</f>
        <v>0</v>
      </c>
      <c r="E228" s="886">
        <f>гар.вода!M228+хол.вода!Q228+ц.о.!M228+каналізація!Q228+аварійні!I228+зварювальн!M228</f>
        <v>0.14550232178344635</v>
      </c>
      <c r="F228" s="886">
        <f>дератизац.!I228</f>
        <v>7.2184793070259878E-3</v>
      </c>
      <c r="G228" s="886">
        <f>димоканал!R228</f>
        <v>4.3135832055439624E-2</v>
      </c>
      <c r="H228" s="886">
        <f>'підготовка до зими'!M228+майстерні!M228+маляри!M228+покрівлі!O228</f>
        <v>0.18896889826718383</v>
      </c>
      <c r="I228" s="886">
        <f>електрики!R228</f>
        <v>1.6962803844467834E-2</v>
      </c>
      <c r="J228" s="989">
        <f t="shared" si="26"/>
        <v>0.40178833525756363</v>
      </c>
      <c r="K228" s="989">
        <v>1.0229665160523064E-2</v>
      </c>
      <c r="L228" s="994">
        <f t="shared" si="30"/>
        <v>0.41201800041808667</v>
      </c>
      <c r="M228" s="994">
        <f t="shared" si="27"/>
        <v>0.49442160050170397</v>
      </c>
      <c r="N228" s="995">
        <v>2</v>
      </c>
      <c r="O228" s="997">
        <v>0.42146220461355027</v>
      </c>
      <c r="P228" s="22">
        <f t="shared" si="28"/>
        <v>7.29593958881537E-2</v>
      </c>
      <c r="Q228" s="982">
        <f t="shared" si="29"/>
        <v>17.311017474283872</v>
      </c>
      <c r="R228" s="6"/>
      <c r="S228" s="6"/>
      <c r="T228" s="6"/>
      <c r="U228" s="6"/>
      <c r="V228" s="6"/>
      <c r="W228" s="6"/>
      <c r="X228" s="6"/>
      <c r="Y228" s="6"/>
      <c r="Z228" s="6"/>
    </row>
    <row r="229" spans="1:26" s="93" customFormat="1" ht="15.75">
      <c r="A229" s="236">
        <v>138</v>
      </c>
      <c r="B229" s="897" t="s">
        <v>190</v>
      </c>
      <c r="C229" s="886">
        <f>cходова!R229</f>
        <v>0</v>
      </c>
      <c r="D229" s="886">
        <f>прибуд.!O229</f>
        <v>0</v>
      </c>
      <c r="E229" s="886">
        <f>гар.вода!M229+хол.вода!Q229+ц.о.!M229+каналізація!Q229+аварійні!I229+зварювальн!M229</f>
        <v>0.20725267883288864</v>
      </c>
      <c r="F229" s="886">
        <f>дератизац.!I229</f>
        <v>7.9835766423357671E-3</v>
      </c>
      <c r="G229" s="886">
        <f>димоканал!R229</f>
        <v>5.2208174422534323E-2</v>
      </c>
      <c r="H229" s="886">
        <f>'підготовка до зими'!M229+майстерні!M229+маляри!M229+покрівлі!O229</f>
        <v>0.24673537810677335</v>
      </c>
      <c r="I229" s="886">
        <f>електрики!R229</f>
        <v>3.376928987978501E-2</v>
      </c>
      <c r="J229" s="989">
        <f t="shared" si="26"/>
        <v>0.54794909788431712</v>
      </c>
      <c r="K229" s="989">
        <v>1.4158907375457533E-2</v>
      </c>
      <c r="L229" s="994">
        <f t="shared" si="30"/>
        <v>0.56210800525977467</v>
      </c>
      <c r="M229" s="994">
        <f t="shared" si="27"/>
        <v>0.67452960631172953</v>
      </c>
      <c r="N229" s="995">
        <v>2</v>
      </c>
      <c r="O229" s="997">
        <v>0.58334698386885042</v>
      </c>
      <c r="P229" s="22">
        <f t="shared" si="28"/>
        <v>9.1182622442879113E-2</v>
      </c>
      <c r="Q229" s="982">
        <f t="shared" si="29"/>
        <v>15.630940926126229</v>
      </c>
      <c r="R229" s="6"/>
      <c r="S229" s="6"/>
      <c r="T229" s="6"/>
      <c r="U229" s="6"/>
      <c r="V229" s="6"/>
      <c r="W229" s="6"/>
      <c r="X229" s="6"/>
      <c r="Y229" s="6"/>
      <c r="Z229" s="6"/>
    </row>
    <row r="230" spans="1:26" s="93" customFormat="1" ht="15.75">
      <c r="A230" s="236">
        <v>139</v>
      </c>
      <c r="B230" s="897" t="s">
        <v>191</v>
      </c>
      <c r="C230" s="886">
        <f>cходова!R230</f>
        <v>0</v>
      </c>
      <c r="D230" s="886">
        <f>прибуд.!O230</f>
        <v>0</v>
      </c>
      <c r="E230" s="886">
        <f>гар.вода!M230+хол.вода!Q230+ц.о.!M230+каналізація!Q230+аварійні!I230+зварювальн!M230</f>
        <v>0.16529493019796007</v>
      </c>
      <c r="F230" s="886">
        <f>дератизац.!I230</f>
        <v>2.6207729468599041E-2</v>
      </c>
      <c r="G230" s="886">
        <f>димоканал!R230</f>
        <v>2.5285696365055271E-2</v>
      </c>
      <c r="H230" s="886">
        <f>'підготовка до зими'!M230+майстерні!M230+маляри!M230+покрівлі!O230</f>
        <v>0.23867138344226266</v>
      </c>
      <c r="I230" s="886">
        <f>електрики!R230</f>
        <v>2.2349723253770756E-2</v>
      </c>
      <c r="J230" s="989">
        <f t="shared" si="26"/>
        <v>0.47780946272764779</v>
      </c>
      <c r="K230" s="989">
        <v>1.1548474842931691E-2</v>
      </c>
      <c r="L230" s="994">
        <f t="shared" si="30"/>
        <v>0.48935793757057949</v>
      </c>
      <c r="M230" s="994">
        <f t="shared" si="27"/>
        <v>0.58722952508469539</v>
      </c>
      <c r="N230" s="995">
        <v>1</v>
      </c>
      <c r="O230" s="997">
        <v>0.4757971635287857</v>
      </c>
      <c r="P230" s="22">
        <f t="shared" si="28"/>
        <v>0.11143236155590969</v>
      </c>
      <c r="Q230" s="982">
        <f t="shared" si="29"/>
        <v>23.420139945657326</v>
      </c>
      <c r="R230" s="6"/>
      <c r="S230" s="6"/>
      <c r="T230" s="6"/>
      <c r="U230" s="6"/>
      <c r="V230" s="6"/>
      <c r="W230" s="6"/>
      <c r="X230" s="6"/>
      <c r="Y230" s="6"/>
      <c r="Z230" s="6"/>
    </row>
    <row r="231" spans="1:26" s="892" customFormat="1" ht="15.75">
      <c r="A231" s="236">
        <v>140</v>
      </c>
      <c r="B231" s="897" t="s">
        <v>192</v>
      </c>
      <c r="C231" s="886">
        <f>cходова!R231</f>
        <v>0</v>
      </c>
      <c r="D231" s="886">
        <f>прибуд.!O231</f>
        <v>0</v>
      </c>
      <c r="E231" s="886">
        <f>гар.вода!M231+хол.вода!Q231+ц.о.!M231+каналізація!Q231+аварійні!I231+зварювальн!M231</f>
        <v>0.17800765152673789</v>
      </c>
      <c r="F231" s="886">
        <f>дератизац.!I231</f>
        <v>0</v>
      </c>
      <c r="G231" s="886">
        <f>димоканал!R231</f>
        <v>2.9200218396465499E-2</v>
      </c>
      <c r="H231" s="886">
        <f>'підготовка до зими'!M231+майстерні!M231+маляри!M231+покрівлі!O231</f>
        <v>0.24823052568676598</v>
      </c>
      <c r="I231" s="886">
        <f>електрики!R231</f>
        <v>2.5809722251216433E-2</v>
      </c>
      <c r="J231" s="989">
        <f t="shared" si="26"/>
        <v>0.48124811786118582</v>
      </c>
      <c r="K231" s="989">
        <v>1.3042634611229342E-2</v>
      </c>
      <c r="L231" s="994">
        <f t="shared" si="30"/>
        <v>0.49429075247241516</v>
      </c>
      <c r="M231" s="994">
        <f t="shared" si="27"/>
        <v>0.59314890296689815</v>
      </c>
      <c r="N231" s="995">
        <v>1</v>
      </c>
      <c r="O231" s="997">
        <v>0.53735654598264893</v>
      </c>
      <c r="P231" s="22">
        <f t="shared" si="28"/>
        <v>5.5792356984249225E-2</v>
      </c>
      <c r="Q231" s="982">
        <f t="shared" si="29"/>
        <v>10.382744455494318</v>
      </c>
      <c r="R231" s="6"/>
      <c r="S231" s="6"/>
      <c r="T231" s="6"/>
      <c r="U231" s="6"/>
      <c r="V231" s="6"/>
      <c r="W231" s="6"/>
      <c r="X231" s="6"/>
      <c r="Y231" s="6"/>
      <c r="Z231" s="6"/>
    </row>
    <row r="232" spans="1:26" s="93" customFormat="1" ht="15.75">
      <c r="A232" s="894">
        <v>141</v>
      </c>
      <c r="B232" s="898" t="s">
        <v>193</v>
      </c>
      <c r="C232" s="886">
        <f>cходова!R232</f>
        <v>0</v>
      </c>
      <c r="D232" s="886">
        <f>прибуд.!O232</f>
        <v>0</v>
      </c>
      <c r="E232" s="886">
        <f>гар.вода!M232+хол.вода!Q232+ц.о.!M232+каналізація!Q232+аварійні!I232+зварювальн!M232</f>
        <v>0.15502158988493253</v>
      </c>
      <c r="F232" s="886">
        <f>дератизац.!I232</f>
        <v>7.3224852071005929E-3</v>
      </c>
      <c r="G232" s="886">
        <f>димоканал!R232</f>
        <v>1.5185220253887828E-2</v>
      </c>
      <c r="H232" s="886">
        <f>'підготовка до зими'!M232+майстерні!M232+маляри!M232+покрівлі!O232</f>
        <v>0.30253032860453666</v>
      </c>
      <c r="I232" s="886">
        <f>електрики!R232</f>
        <v>1.9553646295564438E-2</v>
      </c>
      <c r="J232" s="1000">
        <f t="shared" si="26"/>
        <v>0.49961327024602209</v>
      </c>
      <c r="K232" s="1000">
        <v>1.2607928705499299E-2</v>
      </c>
      <c r="L232" s="994">
        <f t="shared" si="30"/>
        <v>0.51222119895152141</v>
      </c>
      <c r="M232" s="1009">
        <f t="shared" si="27"/>
        <v>0.61466543874182566</v>
      </c>
      <c r="N232" s="995">
        <v>1</v>
      </c>
      <c r="O232" s="997">
        <v>0.51944666266657114</v>
      </c>
      <c r="P232" s="22">
        <f t="shared" si="28"/>
        <v>9.521877607525453E-2</v>
      </c>
      <c r="Q232" s="982">
        <f t="shared" si="29"/>
        <v>18.330809093363015</v>
      </c>
      <c r="R232" s="6"/>
      <c r="S232" s="6"/>
      <c r="T232" s="6"/>
      <c r="U232" s="6"/>
      <c r="V232" s="6"/>
      <c r="W232" s="6"/>
      <c r="X232" s="6"/>
      <c r="Y232" s="6"/>
      <c r="Z232" s="6"/>
    </row>
    <row r="233" spans="1:26" s="93" customFormat="1" ht="15.75">
      <c r="A233" s="236">
        <v>142</v>
      </c>
      <c r="B233" s="897" t="s">
        <v>194</v>
      </c>
      <c r="C233" s="886">
        <f>cходова!R233</f>
        <v>0</v>
      </c>
      <c r="D233" s="886">
        <f>прибуд.!O233</f>
        <v>0</v>
      </c>
      <c r="E233" s="886">
        <f>гар.вода!M233+хол.вода!Q233+ц.о.!M233+каналізація!Q233+аварійні!I233+зварювальн!M233</f>
        <v>0.29711988513456367</v>
      </c>
      <c r="F233" s="886">
        <f>дератизац.!I233</f>
        <v>9.1473374714145703E-4</v>
      </c>
      <c r="G233" s="886">
        <f>димоканал!R233</f>
        <v>3.3734497591243334E-2</v>
      </c>
      <c r="H233" s="886">
        <f>'підготовка до зими'!M233+майстерні!M233+маляри!M233+покрівлі!O233</f>
        <v>0.20842155987862099</v>
      </c>
      <c r="I233" s="886">
        <f>електрики!R233</f>
        <v>2.4182385957689883E-2</v>
      </c>
      <c r="J233" s="989">
        <f t="shared" si="26"/>
        <v>0.56437306230925932</v>
      </c>
      <c r="K233" s="989">
        <v>1.4454770655772109E-2</v>
      </c>
      <c r="L233" s="994">
        <f t="shared" si="30"/>
        <v>0.57882783296503137</v>
      </c>
      <c r="M233" s="994">
        <f t="shared" si="27"/>
        <v>0.69459339955803767</v>
      </c>
      <c r="N233" s="995">
        <v>2</v>
      </c>
      <c r="O233" s="997">
        <v>0.59553655101781089</v>
      </c>
      <c r="P233" s="22">
        <f t="shared" si="28"/>
        <v>9.9056848540226783E-2</v>
      </c>
      <c r="Q233" s="982">
        <f t="shared" si="29"/>
        <v>16.633210568004955</v>
      </c>
      <c r="R233" s="6"/>
      <c r="S233" s="6"/>
      <c r="T233" s="6"/>
      <c r="U233" s="6"/>
      <c r="V233" s="6"/>
      <c r="W233" s="6"/>
      <c r="X233" s="6"/>
      <c r="Y233" s="6"/>
      <c r="Z233" s="6"/>
    </row>
    <row r="234" spans="1:26" s="93" customFormat="1" ht="15.75">
      <c r="A234" s="236">
        <v>143</v>
      </c>
      <c r="B234" s="897" t="s">
        <v>195</v>
      </c>
      <c r="C234" s="886">
        <f>cходова!R234</f>
        <v>0</v>
      </c>
      <c r="D234" s="886">
        <f>прибуд.!O234</f>
        <v>0</v>
      </c>
      <c r="E234" s="886">
        <f>гар.вода!M234+хол.вода!Q234+ц.о.!M234+каналізація!Q234+аварійні!I234+зварювальн!M234</f>
        <v>0.18245837255480848</v>
      </c>
      <c r="F234" s="886">
        <f>дератизац.!I234</f>
        <v>2.3946599916562371E-3</v>
      </c>
      <c r="G234" s="886">
        <f>димоканал!R234</f>
        <v>8.0012456606115931E-2</v>
      </c>
      <c r="H234" s="886">
        <f>'підготовка до зими'!M234+майстерні!M234+маляри!M234+покрівлі!O234</f>
        <v>0.24412298117054931</v>
      </c>
      <c r="I234" s="886">
        <f>електрики!R234</f>
        <v>2.7021067162881791E-2</v>
      </c>
      <c r="J234" s="989">
        <f t="shared" si="26"/>
        <v>0.53600953748601177</v>
      </c>
      <c r="K234" s="989">
        <v>1.4083371669086993E-2</v>
      </c>
      <c r="L234" s="994">
        <f t="shared" si="30"/>
        <v>0.55009290915509879</v>
      </c>
      <c r="M234" s="994">
        <f t="shared" si="27"/>
        <v>0.66011149098611854</v>
      </c>
      <c r="N234" s="995">
        <v>1</v>
      </c>
      <c r="O234" s="997">
        <v>0.58023491276638417</v>
      </c>
      <c r="P234" s="22">
        <f t="shared" si="28"/>
        <v>7.9876578219734373E-2</v>
      </c>
      <c r="Q234" s="982">
        <f t="shared" si="29"/>
        <v>13.766248197459731</v>
      </c>
      <c r="R234" s="6"/>
      <c r="S234" s="6"/>
      <c r="T234" s="6"/>
      <c r="U234" s="6"/>
      <c r="V234" s="6"/>
      <c r="W234" s="6"/>
      <c r="X234" s="6"/>
      <c r="Y234" s="6"/>
      <c r="Z234" s="6"/>
    </row>
    <row r="235" spans="1:26" s="93" customFormat="1" ht="15.75">
      <c r="A235" s="236">
        <v>144</v>
      </c>
      <c r="B235" s="897" t="s">
        <v>196</v>
      </c>
      <c r="C235" s="886">
        <f>cходова!R235</f>
        <v>0</v>
      </c>
      <c r="D235" s="886">
        <f>прибуд.!O235</f>
        <v>0</v>
      </c>
      <c r="E235" s="886">
        <f>гар.вода!M235+хол.вода!Q235+ц.о.!M235+каналізація!Q235+аварійні!I235+зварювальн!M235</f>
        <v>0.15338219733271305</v>
      </c>
      <c r="F235" s="886">
        <f>дератизац.!I235</f>
        <v>1.3822922044398556E-2</v>
      </c>
      <c r="G235" s="886">
        <f>димоканал!R235</f>
        <v>3.9615503321027569E-2</v>
      </c>
      <c r="H235" s="886">
        <f>'підготовка до зими'!M235+майстерні!M235+маляри!M235+покрівлі!O235</f>
        <v>0.27052729886936433</v>
      </c>
      <c r="I235" s="886">
        <f>електрики!R235</f>
        <v>1.9107455708954245E-2</v>
      </c>
      <c r="J235" s="989">
        <f t="shared" si="26"/>
        <v>0.49645537727645772</v>
      </c>
      <c r="K235" s="989">
        <v>1.2439310626369224E-2</v>
      </c>
      <c r="L235" s="994">
        <f t="shared" si="30"/>
        <v>0.50889468790282699</v>
      </c>
      <c r="M235" s="994">
        <f t="shared" si="27"/>
        <v>0.61067362548339232</v>
      </c>
      <c r="N235" s="995">
        <v>1</v>
      </c>
      <c r="O235" s="997">
        <v>0.51249959780641208</v>
      </c>
      <c r="P235" s="22">
        <f t="shared" si="28"/>
        <v>9.8174027676980247E-2</v>
      </c>
      <c r="Q235" s="982">
        <f t="shared" si="29"/>
        <v>19.155922872365608</v>
      </c>
      <c r="R235" s="6"/>
      <c r="S235" s="6"/>
      <c r="T235" s="6"/>
      <c r="U235" s="6"/>
      <c r="V235" s="6"/>
      <c r="W235" s="6"/>
      <c r="X235" s="6"/>
      <c r="Y235" s="6"/>
      <c r="Z235" s="6"/>
    </row>
    <row r="236" spans="1:26" s="93" customFormat="1" ht="15.75">
      <c r="A236" s="236">
        <v>145</v>
      </c>
      <c r="B236" s="897" t="s">
        <v>197</v>
      </c>
      <c r="C236" s="886">
        <f>cходова!R236</f>
        <v>0</v>
      </c>
      <c r="D236" s="886">
        <f>прибуд.!O236</f>
        <v>0</v>
      </c>
      <c r="E236" s="886">
        <f>гар.вода!M236+хол.вода!Q236+ц.о.!M236+каналізація!Q236+аварійні!I236+зварювальн!M236</f>
        <v>0.20473864311951703</v>
      </c>
      <c r="F236" s="886">
        <f>дератизац.!I236</f>
        <v>4.9225268176400485E-3</v>
      </c>
      <c r="G236" s="886">
        <f>димоканал!R236</f>
        <v>6.8200428089508477E-2</v>
      </c>
      <c r="H236" s="886">
        <f>'підготовка до зими'!M236+майстерні!M236+маляри!M236+покрівлі!O236</f>
        <v>0.40053711008082632</v>
      </c>
      <c r="I236" s="886">
        <f>електрики!R236</f>
        <v>3.3085049202840618E-2</v>
      </c>
      <c r="J236" s="989">
        <f t="shared" si="26"/>
        <v>0.71148375731033253</v>
      </c>
      <c r="K236" s="989">
        <v>1.8630005747902561E-2</v>
      </c>
      <c r="L236" s="994">
        <f t="shared" si="30"/>
        <v>0.73011376305823505</v>
      </c>
      <c r="M236" s="994">
        <f t="shared" si="27"/>
        <v>0.87613651566988204</v>
      </c>
      <c r="N236" s="995">
        <v>1</v>
      </c>
      <c r="O236" s="997">
        <v>0.76755623681358542</v>
      </c>
      <c r="P236" s="22">
        <f t="shared" si="28"/>
        <v>0.10858027885629662</v>
      </c>
      <c r="Q236" s="982">
        <f t="shared" si="29"/>
        <v>14.146231070579816</v>
      </c>
      <c r="R236" s="6"/>
      <c r="S236" s="6"/>
      <c r="T236" s="6"/>
      <c r="U236" s="6"/>
      <c r="V236" s="6"/>
      <c r="W236" s="6"/>
      <c r="X236" s="6"/>
      <c r="Y236" s="6"/>
      <c r="Z236" s="6"/>
    </row>
    <row r="237" spans="1:26" s="93" customFormat="1" ht="15.75">
      <c r="A237" s="236">
        <v>146</v>
      </c>
      <c r="B237" s="897" t="s">
        <v>198</v>
      </c>
      <c r="C237" s="886">
        <f>cходова!R237</f>
        <v>0.4166576931700765</v>
      </c>
      <c r="D237" s="886">
        <f>прибуд.!O237</f>
        <v>0.48740896760526475</v>
      </c>
      <c r="E237" s="886">
        <f>гар.вода!M237+хол.вода!Q237+ц.о.!M237+каналізація!Q237+аварійні!I237+зварювальн!M237</f>
        <v>0.27266681327194969</v>
      </c>
      <c r="F237" s="886">
        <f>дератизац.!I237</f>
        <v>5.8011232868927776E-4</v>
      </c>
      <c r="G237" s="886">
        <f>димоканал!R237</f>
        <v>2.7857675031482749E-2</v>
      </c>
      <c r="H237" s="886">
        <f>'підготовка до зими'!M237+майстерні!M237+маляри!M237+покрівлі!O237</f>
        <v>0.12831740840182032</v>
      </c>
      <c r="I237" s="886">
        <f>електрики!R237</f>
        <v>1.6151694988595384E-2</v>
      </c>
      <c r="J237" s="989">
        <f t="shared" si="26"/>
        <v>1.3496403647978787</v>
      </c>
      <c r="K237" s="989">
        <v>3.3071735879956196E-2</v>
      </c>
      <c r="L237" s="994">
        <f t="shared" si="30"/>
        <v>1.3827121006778349</v>
      </c>
      <c r="M237" s="994">
        <f t="shared" si="27"/>
        <v>1.6592545208134017</v>
      </c>
      <c r="N237" s="995">
        <v>5</v>
      </c>
      <c r="O237" s="997">
        <v>1.3625555182541953</v>
      </c>
      <c r="P237" s="22">
        <f t="shared" si="28"/>
        <v>0.29669900255920645</v>
      </c>
      <c r="Q237" s="982">
        <f t="shared" si="29"/>
        <v>21.775186301352221</v>
      </c>
      <c r="R237" s="6"/>
      <c r="S237" s="6"/>
      <c r="T237" s="6"/>
      <c r="U237" s="6"/>
      <c r="V237" s="6"/>
      <c r="W237" s="6"/>
      <c r="X237" s="6"/>
      <c r="Y237" s="6"/>
      <c r="Z237" s="6"/>
    </row>
    <row r="238" spans="1:26" s="93" customFormat="1" ht="15.75">
      <c r="A238" s="236">
        <v>147</v>
      </c>
      <c r="B238" s="897" t="s">
        <v>199</v>
      </c>
      <c r="C238" s="886">
        <f>cходова!R238</f>
        <v>0</v>
      </c>
      <c r="D238" s="886">
        <f>прибуд.!O238</f>
        <v>0</v>
      </c>
      <c r="E238" s="886">
        <f>гар.вода!M238+хол.вода!Q238+ц.о.!M238+каналізація!Q238+аварійні!I238+зварювальн!M238</f>
        <v>0.13919832806576327</v>
      </c>
      <c r="F238" s="886">
        <f>дератизац.!I238</f>
        <v>1.0134180790960453E-2</v>
      </c>
      <c r="G238" s="886">
        <f>димоканал!R238</f>
        <v>3.9261231122848309E-2</v>
      </c>
      <c r="H238" s="886">
        <f>'підготовка до зими'!M238+майстерні!M238+маляри!M238+покрівлі!O238</f>
        <v>0.19399159114584785</v>
      </c>
      <c r="I238" s="886">
        <f>електрики!R238</f>
        <v>1.524705696549615E-2</v>
      </c>
      <c r="J238" s="989">
        <f t="shared" si="26"/>
        <v>0.39783238809091603</v>
      </c>
      <c r="K238" s="989">
        <v>9.9352101236375289E-3</v>
      </c>
      <c r="L238" s="994">
        <f t="shared" si="30"/>
        <v>0.40776759821455355</v>
      </c>
      <c r="M238" s="994">
        <f t="shared" si="27"/>
        <v>0.48932111785746424</v>
      </c>
      <c r="N238" s="995">
        <v>2</v>
      </c>
      <c r="O238" s="997">
        <v>0.40933065709386618</v>
      </c>
      <c r="P238" s="22">
        <f t="shared" si="28"/>
        <v>7.9990460763598059E-2</v>
      </c>
      <c r="Q238" s="982">
        <f t="shared" si="29"/>
        <v>19.541771273988644</v>
      </c>
      <c r="R238" s="6"/>
      <c r="S238" s="6"/>
      <c r="T238" s="6"/>
      <c r="U238" s="6"/>
      <c r="V238" s="6"/>
      <c r="W238" s="6"/>
      <c r="X238" s="6"/>
      <c r="Y238" s="6"/>
      <c r="Z238" s="6"/>
    </row>
    <row r="239" spans="1:26" s="93" customFormat="1" ht="15.75">
      <c r="A239" s="894">
        <v>148</v>
      </c>
      <c r="B239" s="897" t="s">
        <v>200</v>
      </c>
      <c r="C239" s="886">
        <f>cходова!R239</f>
        <v>0</v>
      </c>
      <c r="D239" s="886">
        <f>прибуд.!O239</f>
        <v>0</v>
      </c>
      <c r="E239" s="886">
        <f>гар.вода!M239+хол.вода!Q239+ц.о.!M239+каналізація!Q239+аварійні!I239+зварювальн!M239</f>
        <v>0.17985032034390774</v>
      </c>
      <c r="F239" s="886">
        <f>дератизац.!I239</f>
        <v>6.6350710900473942E-3</v>
      </c>
      <c r="G239" s="886">
        <f>димоканал!R239</f>
        <v>1.9845077336744801E-2</v>
      </c>
      <c r="H239" s="886">
        <f>'підготовка до зими'!M239+майстерні!M239+маляри!M239+покрівлі!O239</f>
        <v>8.8470466721537078E-2</v>
      </c>
      <c r="I239" s="886">
        <f>електрики!R239</f>
        <v>2.6311238181216379E-2</v>
      </c>
      <c r="J239" s="989">
        <f t="shared" si="26"/>
        <v>0.3211121736734534</v>
      </c>
      <c r="K239" s="989">
        <v>7.9924537712882625E-3</v>
      </c>
      <c r="L239" s="994">
        <f t="shared" si="30"/>
        <v>0.32910462744474167</v>
      </c>
      <c r="M239" s="994">
        <f t="shared" si="27"/>
        <v>0.39492555293368997</v>
      </c>
      <c r="N239" s="995">
        <v>1</v>
      </c>
      <c r="O239" s="997">
        <v>0.3292890953770764</v>
      </c>
      <c r="P239" s="22">
        <f t="shared" si="28"/>
        <v>6.563645755661357E-2</v>
      </c>
      <c r="Q239" s="982">
        <f t="shared" si="29"/>
        <v>19.932775934001626</v>
      </c>
      <c r="R239" s="6"/>
      <c r="S239" s="6"/>
      <c r="T239" s="6"/>
      <c r="U239" s="6"/>
      <c r="V239" s="6"/>
      <c r="W239" s="6"/>
      <c r="X239" s="6"/>
      <c r="Y239" s="6"/>
      <c r="Z239" s="6"/>
    </row>
    <row r="240" spans="1:26" s="93" customFormat="1" ht="15.75">
      <c r="A240" s="236">
        <v>149</v>
      </c>
      <c r="B240" s="897" t="s">
        <v>201</v>
      </c>
      <c r="C240" s="886">
        <f>cходова!R240</f>
        <v>0</v>
      </c>
      <c r="D240" s="886">
        <f>прибуд.!O240</f>
        <v>0</v>
      </c>
      <c r="E240" s="886">
        <f>гар.вода!M240+хол.вода!Q240+ц.о.!M240+каналізація!Q240+аварійні!I240+зварювальн!M240</f>
        <v>0.19035468876835138</v>
      </c>
      <c r="F240" s="886">
        <f>дератизац.!I240</f>
        <v>0</v>
      </c>
      <c r="G240" s="886">
        <f>димоканал!R240</f>
        <v>4.2230576639321567E-2</v>
      </c>
      <c r="H240" s="886">
        <f>'підготовка до зими'!M240+майстерні!M240+маляри!M240+покрівлі!O240</f>
        <v>8.8470466721537078E-2</v>
      </c>
      <c r="I240" s="886">
        <f>електрики!R240</f>
        <v>2.9170193654038751E-2</v>
      </c>
      <c r="J240" s="989">
        <f t="shared" si="26"/>
        <v>0.35022592578324874</v>
      </c>
      <c r="K240" s="989">
        <v>8.9467697893704946E-3</v>
      </c>
      <c r="L240" s="994">
        <f t="shared" si="30"/>
        <v>0.35917269557261922</v>
      </c>
      <c r="M240" s="994">
        <f t="shared" si="27"/>
        <v>0.43100723468714303</v>
      </c>
      <c r="N240" s="995">
        <v>1</v>
      </c>
      <c r="O240" s="997">
        <v>0.36860691532206435</v>
      </c>
      <c r="P240" s="22">
        <f t="shared" si="28"/>
        <v>6.2400319365078671E-2</v>
      </c>
      <c r="Q240" s="982">
        <f t="shared" si="29"/>
        <v>16.928689281522963</v>
      </c>
      <c r="R240" s="6"/>
      <c r="S240" s="6"/>
      <c r="T240" s="6"/>
      <c r="U240" s="6"/>
      <c r="V240" s="6"/>
      <c r="W240" s="6"/>
      <c r="X240" s="6"/>
      <c r="Y240" s="6"/>
      <c r="Z240" s="6"/>
    </row>
    <row r="241" spans="1:26" s="93" customFormat="1" ht="15.75">
      <c r="A241" s="236">
        <v>150</v>
      </c>
      <c r="B241" s="897" t="s">
        <v>202</v>
      </c>
      <c r="C241" s="886">
        <f>cходова!R241</f>
        <v>0</v>
      </c>
      <c r="D241" s="886">
        <f>прибуд.!O241</f>
        <v>0</v>
      </c>
      <c r="E241" s="886">
        <f>гар.вода!M241+хол.вода!Q241+ц.о.!M241+каналізація!Q241+аварійні!I241+зварювальн!M241</f>
        <v>0.16326376003436105</v>
      </c>
      <c r="F241" s="886">
        <f>дератизац.!I241</f>
        <v>0</v>
      </c>
      <c r="G241" s="886">
        <f>димоканал!R241</f>
        <v>3.1243895399252583E-2</v>
      </c>
      <c r="H241" s="886">
        <f>'підготовка до зими'!M241+майстерні!M241+маляри!M241+покрівлі!O241</f>
        <v>8.8470466721537078E-2</v>
      </c>
      <c r="I241" s="886">
        <f>електрики!R241</f>
        <v>2.1796903243960167E-2</v>
      </c>
      <c r="J241" s="989">
        <f t="shared" si="26"/>
        <v>0.30477502539911089</v>
      </c>
      <c r="K241" s="989">
        <v>7.7588058029288707E-3</v>
      </c>
      <c r="L241" s="994">
        <f t="shared" si="30"/>
        <v>0.31253383120203976</v>
      </c>
      <c r="M241" s="994">
        <f t="shared" si="27"/>
        <v>0.37504059744244772</v>
      </c>
      <c r="N241" s="995">
        <v>1</v>
      </c>
      <c r="O241" s="997">
        <v>0.31966279908066947</v>
      </c>
      <c r="P241" s="22">
        <f t="shared" si="28"/>
        <v>5.5377798361778252E-2</v>
      </c>
      <c r="Q241" s="982">
        <f t="shared" si="29"/>
        <v>17.323817009999715</v>
      </c>
      <c r="R241" s="6"/>
      <c r="S241" s="6"/>
      <c r="T241" s="6"/>
      <c r="U241" s="6"/>
      <c r="V241" s="6"/>
      <c r="W241" s="6"/>
      <c r="X241" s="6"/>
      <c r="Y241" s="6"/>
      <c r="Z241" s="6"/>
    </row>
    <row r="242" spans="1:26" s="93" customFormat="1" ht="15.75">
      <c r="A242" s="236">
        <v>151</v>
      </c>
      <c r="B242" s="897" t="s">
        <v>203</v>
      </c>
      <c r="C242" s="886">
        <f>cходова!R242</f>
        <v>0</v>
      </c>
      <c r="D242" s="886">
        <f>прибуд.!O242</f>
        <v>0</v>
      </c>
      <c r="E242" s="886">
        <f>гар.вода!M242+хол.вода!Q242+ц.о.!M242+каналізація!Q242+аварійні!I242+зварювальн!M242</f>
        <v>0.15415166292703736</v>
      </c>
      <c r="F242" s="886">
        <f>дератизац.!I242</f>
        <v>0</v>
      </c>
      <c r="G242" s="886">
        <f>димоканал!R242</f>
        <v>1.6761783819240678E-2</v>
      </c>
      <c r="H242" s="886">
        <f>'підготовка до зими'!M242+майстерні!M242+маляри!M242+покрівлі!O242</f>
        <v>8.8470466721537078E-2</v>
      </c>
      <c r="I242" s="886">
        <f>електрики!R242</f>
        <v>1.9316879805973054E-2</v>
      </c>
      <c r="J242" s="989">
        <f t="shared" si="26"/>
        <v>0.27870079327378816</v>
      </c>
      <c r="K242" s="989">
        <v>7.0672280136981798E-3</v>
      </c>
      <c r="L242" s="994">
        <f t="shared" si="30"/>
        <v>0.28576802128748635</v>
      </c>
      <c r="M242" s="994">
        <f t="shared" si="27"/>
        <v>0.34292162554498362</v>
      </c>
      <c r="N242" s="995">
        <v>1</v>
      </c>
      <c r="O242" s="997">
        <v>0.291169794164365</v>
      </c>
      <c r="P242" s="22">
        <f t="shared" si="28"/>
        <v>5.1751831380618618E-2</v>
      </c>
      <c r="Q242" s="982">
        <f t="shared" si="29"/>
        <v>17.773763768711802</v>
      </c>
      <c r="R242" s="6"/>
      <c r="S242" s="6"/>
      <c r="T242" s="6"/>
      <c r="U242" s="6"/>
      <c r="V242" s="6"/>
      <c r="W242" s="6"/>
      <c r="X242" s="6"/>
      <c r="Y242" s="6"/>
      <c r="Z242" s="6"/>
    </row>
    <row r="243" spans="1:26" s="93" customFormat="1" ht="15.75">
      <c r="A243" s="236">
        <v>152</v>
      </c>
      <c r="B243" s="897" t="s">
        <v>204</v>
      </c>
      <c r="C243" s="886">
        <f>cходова!R243</f>
        <v>0</v>
      </c>
      <c r="D243" s="886">
        <f>прибуд.!O243</f>
        <v>0</v>
      </c>
      <c r="E243" s="886">
        <f>гар.вода!M243+хол.вода!Q243+ц.о.!M243+каналізація!Q243+аварійні!I243+зварювальн!M243</f>
        <v>0.16040393065936986</v>
      </c>
      <c r="F243" s="886">
        <f>дератизац.!I243</f>
        <v>0</v>
      </c>
      <c r="G243" s="886">
        <f>димоканал!R243</f>
        <v>1.7453014998696701E-2</v>
      </c>
      <c r="H243" s="886">
        <f>'підготовка до зими'!M243+майстерні!M243+маляри!M243+покрівлі!O243</f>
        <v>8.8470466721537078E-2</v>
      </c>
      <c r="I243" s="886">
        <f>електрики!R243</f>
        <v>2.1018548514517947E-2</v>
      </c>
      <c r="J243" s="989">
        <f t="shared" si="26"/>
        <v>0.28734596089412157</v>
      </c>
      <c r="K243" s="989">
        <v>7.289043871972877E-3</v>
      </c>
      <c r="L243" s="994">
        <f t="shared" si="30"/>
        <v>0.29463500476609444</v>
      </c>
      <c r="M243" s="994">
        <f t="shared" si="27"/>
        <v>0.35356200571931334</v>
      </c>
      <c r="N243" s="995">
        <v>1</v>
      </c>
      <c r="O243" s="997">
        <v>0.30030860752528254</v>
      </c>
      <c r="P243" s="22">
        <f t="shared" si="28"/>
        <v>5.3253398194030799E-2</v>
      </c>
      <c r="Q243" s="982">
        <f t="shared" si="29"/>
        <v>17.732891052597438</v>
      </c>
      <c r="R243" s="6"/>
      <c r="S243" s="6"/>
      <c r="T243" s="6"/>
      <c r="U243" s="6"/>
      <c r="V243" s="6"/>
      <c r="W243" s="6"/>
      <c r="X243" s="6"/>
      <c r="Y243" s="6"/>
      <c r="Z243" s="6"/>
    </row>
    <row r="244" spans="1:26" s="93" customFormat="1" ht="15.75">
      <c r="A244" s="236">
        <v>153</v>
      </c>
      <c r="B244" s="897" t="s">
        <v>205</v>
      </c>
      <c r="C244" s="886">
        <f>cходова!R244</f>
        <v>0</v>
      </c>
      <c r="D244" s="886">
        <f>прибуд.!O244</f>
        <v>0</v>
      </c>
      <c r="E244" s="886">
        <f>гар.вода!M244+хол.вода!Q244+ц.о.!M244+каналізація!Q244+аварійні!I244+зварювальн!M244</f>
        <v>0.14936172117476013</v>
      </c>
      <c r="F244" s="886">
        <f>дератизац.!I244</f>
        <v>0</v>
      </c>
      <c r="G244" s="886">
        <f>димоканал!R244</f>
        <v>6.7931721577760432E-3</v>
      </c>
      <c r="H244" s="886">
        <f>'підготовка до зими'!M244+майстерні!M244+маляри!M244+покрівлі!O244</f>
        <v>8.8470466721537078E-2</v>
      </c>
      <c r="I244" s="886">
        <f>електрики!R244</f>
        <v>1.9964289963139335E-2</v>
      </c>
      <c r="J244" s="989">
        <f t="shared" si="26"/>
        <v>0.26458965001721257</v>
      </c>
      <c r="K244" s="989">
        <v>6.6407295049412691E-3</v>
      </c>
      <c r="L244" s="994">
        <f t="shared" si="30"/>
        <v>0.27123037952215384</v>
      </c>
      <c r="M244" s="994">
        <f t="shared" si="27"/>
        <v>0.3254764554265846</v>
      </c>
      <c r="N244" s="995">
        <v>1</v>
      </c>
      <c r="O244" s="997">
        <v>0.2735980556035803</v>
      </c>
      <c r="P244" s="22">
        <f t="shared" si="28"/>
        <v>5.1878399823004295E-2</v>
      </c>
      <c r="Q244" s="982">
        <f t="shared" si="29"/>
        <v>18.961538198272706</v>
      </c>
      <c r="R244" s="6"/>
      <c r="S244" s="6"/>
      <c r="T244" s="6"/>
      <c r="U244" s="6"/>
      <c r="V244" s="6"/>
      <c r="W244" s="6"/>
      <c r="X244" s="6"/>
      <c r="Y244" s="6"/>
      <c r="Z244" s="6"/>
    </row>
    <row r="245" spans="1:26" s="93" customFormat="1" ht="15.75">
      <c r="A245" s="236">
        <v>154</v>
      </c>
      <c r="B245" s="897" t="s">
        <v>206</v>
      </c>
      <c r="C245" s="886">
        <f>cходова!R245</f>
        <v>0</v>
      </c>
      <c r="D245" s="886">
        <f>прибуд.!O245</f>
        <v>0</v>
      </c>
      <c r="E245" s="886">
        <f>гар.вода!M245+хол.вода!Q245+ц.о.!M245+каналізація!Q245+аварійні!I245+зварювальн!M245</f>
        <v>0.14524346520352122</v>
      </c>
      <c r="F245" s="886">
        <f>дератизац.!I245</f>
        <v>0</v>
      </c>
      <c r="G245" s="886">
        <f>димоканал!R245</f>
        <v>1.5040473207463538E-2</v>
      </c>
      <c r="H245" s="886">
        <f>'підготовка до зими'!M245+майстерні!M245+маляри!M245+покрівлі!O245</f>
        <v>8.8470466721537078E-2</v>
      </c>
      <c r="I245" s="886">
        <f>електрики!R245</f>
        <v>1.6892351304538734E-2</v>
      </c>
      <c r="J245" s="989">
        <f t="shared" si="26"/>
        <v>0.26564675643706059</v>
      </c>
      <c r="K245" s="989">
        <v>6.7851802936177864E-3</v>
      </c>
      <c r="L245" s="994">
        <f t="shared" si="30"/>
        <v>0.27243193673067839</v>
      </c>
      <c r="M245" s="994">
        <f t="shared" si="27"/>
        <v>0.32691832407681404</v>
      </c>
      <c r="N245" s="995">
        <v>1</v>
      </c>
      <c r="O245" s="997">
        <v>0.2795494280970528</v>
      </c>
      <c r="P245" s="22">
        <f t="shared" si="28"/>
        <v>4.7368895979761239E-2</v>
      </c>
      <c r="Q245" s="982">
        <f t="shared" si="29"/>
        <v>16.944730061588942</v>
      </c>
      <c r="R245" s="6"/>
      <c r="S245" s="6"/>
      <c r="T245" s="6"/>
      <c r="U245" s="6"/>
      <c r="V245" s="6"/>
      <c r="W245" s="6"/>
      <c r="X245" s="6"/>
      <c r="Y245" s="6"/>
      <c r="Z245" s="6"/>
    </row>
    <row r="246" spans="1:26" s="93" customFormat="1" ht="15.75">
      <c r="A246" s="894">
        <v>155</v>
      </c>
      <c r="B246" s="897" t="s">
        <v>207</v>
      </c>
      <c r="C246" s="886">
        <f>cходова!R246</f>
        <v>0</v>
      </c>
      <c r="D246" s="886">
        <f>прибуд.!O246</f>
        <v>0</v>
      </c>
      <c r="E246" s="886">
        <f>гар.вода!M246+хол.вода!Q246+ц.о.!M246+каналізація!Q246+аварійні!I246+зварювальн!M246</f>
        <v>0.1629193708566169</v>
      </c>
      <c r="F246" s="886">
        <f>дератизац.!I246</f>
        <v>0</v>
      </c>
      <c r="G246" s="886">
        <f>димоканал!R246</f>
        <v>1.4184363790786492E-2</v>
      </c>
      <c r="H246" s="886">
        <f>'підготовка до зими'!M246+майстерні!M246+маляри!M246+покрівлі!O246</f>
        <v>8.8470466721537078E-2</v>
      </c>
      <c r="I246" s="886">
        <f>електрики!R246</f>
        <v>2.1703171447367692E-2</v>
      </c>
      <c r="J246" s="989">
        <f t="shared" si="26"/>
        <v>0.28727737281630816</v>
      </c>
      <c r="K246" s="989">
        <v>7.2854205834871509E-3</v>
      </c>
      <c r="L246" s="994">
        <f t="shared" si="30"/>
        <v>0.2945627933997953</v>
      </c>
      <c r="M246" s="994">
        <f t="shared" si="27"/>
        <v>0.35347535207975433</v>
      </c>
      <c r="N246" s="995">
        <v>1</v>
      </c>
      <c r="O246" s="997">
        <v>0.3001593280396706</v>
      </c>
      <c r="P246" s="22">
        <f t="shared" si="28"/>
        <v>5.3316024040083732E-2</v>
      </c>
      <c r="Q246" s="982">
        <f t="shared" si="29"/>
        <v>17.762574426151829</v>
      </c>
      <c r="R246" s="6"/>
      <c r="S246" s="6"/>
      <c r="T246" s="6"/>
      <c r="U246" s="6"/>
      <c r="V246" s="6"/>
      <c r="W246" s="6"/>
      <c r="X246" s="6"/>
      <c r="Y246" s="6"/>
      <c r="Z246" s="6"/>
    </row>
    <row r="247" spans="1:26" s="93" customFormat="1" ht="15.75">
      <c r="A247" s="236">
        <v>156</v>
      </c>
      <c r="B247" s="897" t="s">
        <v>208</v>
      </c>
      <c r="C247" s="886">
        <f>cходова!R247</f>
        <v>0</v>
      </c>
      <c r="D247" s="886">
        <f>прибуд.!O247</f>
        <v>0</v>
      </c>
      <c r="E247" s="886">
        <f>гар.вода!M247+хол.вода!Q247+ц.о.!M247+каналізація!Q247+аварійні!I247+зварювальн!M247</f>
        <v>0.19980391899804284</v>
      </c>
      <c r="F247" s="886">
        <f>дератизац.!I247</f>
        <v>0</v>
      </c>
      <c r="G247" s="886">
        <f>димоканал!R247</f>
        <v>8.6122063016920991E-2</v>
      </c>
      <c r="H247" s="886">
        <f>'підготовка до зими'!M247+майстерні!M247+маляри!M247+покрівлі!O247</f>
        <v>8.8470466721537078E-2</v>
      </c>
      <c r="I247" s="886">
        <f>електрики!R247</f>
        <v>3.1741974020792769E-2</v>
      </c>
      <c r="J247" s="989">
        <f t="shared" si="26"/>
        <v>0.40613842275729367</v>
      </c>
      <c r="K247" s="989">
        <v>1.0458797396956005E-2</v>
      </c>
      <c r="L247" s="994">
        <f t="shared" si="30"/>
        <v>0.41659722015424966</v>
      </c>
      <c r="M247" s="994">
        <f t="shared" si="27"/>
        <v>0.49991666418509956</v>
      </c>
      <c r="N247" s="995">
        <v>1</v>
      </c>
      <c r="O247" s="997">
        <v>0.43090245275458738</v>
      </c>
      <c r="P247" s="22">
        <f t="shared" si="28"/>
        <v>6.9014211430512173E-2</v>
      </c>
      <c r="Q247" s="982">
        <f t="shared" si="29"/>
        <v>16.016202968753561</v>
      </c>
      <c r="R247" s="6"/>
      <c r="S247" s="6"/>
      <c r="T247" s="6"/>
      <c r="U247" s="6"/>
      <c r="V247" s="6"/>
      <c r="W247" s="6"/>
      <c r="X247" s="6"/>
      <c r="Y247" s="6"/>
      <c r="Z247" s="6"/>
    </row>
    <row r="248" spans="1:26" s="93" customFormat="1" ht="15.75">
      <c r="A248" s="236">
        <v>157</v>
      </c>
      <c r="B248" s="897" t="s">
        <v>209</v>
      </c>
      <c r="C248" s="886">
        <f>cходова!R248</f>
        <v>0</v>
      </c>
      <c r="D248" s="886">
        <f>прибуд.!O248</f>
        <v>0</v>
      </c>
      <c r="E248" s="886">
        <f>гар.вода!M248+хол.вода!Q248+ц.о.!M248+каналізація!Q248+аварійні!I248+зварювальн!M248</f>
        <v>0.1552042440401773</v>
      </c>
      <c r="F248" s="886">
        <f>дератизац.!I248</f>
        <v>0</v>
      </c>
      <c r="G248" s="886">
        <f>димоканал!R248</f>
        <v>8.5702600330505377E-2</v>
      </c>
      <c r="H248" s="886">
        <f>'підготовка до зими'!M248+майстерні!M248+маляри!M248+покрівлі!O248</f>
        <v>8.8470466721537078E-2</v>
      </c>
      <c r="I248" s="886">
        <f>електрики!R248</f>
        <v>1.9603358955637907E-2</v>
      </c>
      <c r="J248" s="989">
        <f t="shared" si="26"/>
        <v>0.34898067004785766</v>
      </c>
      <c r="K248" s="989">
        <v>8.9871799296535691E-3</v>
      </c>
      <c r="L248" s="994">
        <f t="shared" si="30"/>
        <v>0.35796784997751124</v>
      </c>
      <c r="M248" s="994">
        <f t="shared" si="27"/>
        <v>0.4295614199730135</v>
      </c>
      <c r="N248" s="995">
        <v>1</v>
      </c>
      <c r="O248" s="997">
        <v>0.37027181310172708</v>
      </c>
      <c r="P248" s="22">
        <f t="shared" si="28"/>
        <v>5.9289606871286427E-2</v>
      </c>
      <c r="Q248" s="982">
        <f t="shared" si="29"/>
        <v>16.012454843544205</v>
      </c>
      <c r="R248" s="6"/>
      <c r="S248" s="6"/>
      <c r="T248" s="6"/>
      <c r="U248" s="6"/>
      <c r="V248" s="6"/>
      <c r="W248" s="6"/>
      <c r="X248" s="6"/>
      <c r="Y248" s="6"/>
      <c r="Z248" s="6"/>
    </row>
    <row r="249" spans="1:26" s="93" customFormat="1" ht="15.75">
      <c r="A249" s="236">
        <v>158</v>
      </c>
      <c r="B249" s="897" t="s">
        <v>210</v>
      </c>
      <c r="C249" s="886">
        <f>cходова!R249</f>
        <v>0</v>
      </c>
      <c r="D249" s="886">
        <f>прибуд.!O249</f>
        <v>0</v>
      </c>
      <c r="E249" s="886">
        <f>гар.вода!M249+хол.вода!Q249+ц.о.!M249+каналізація!Q249+аварійні!I249+зварювальн!M249</f>
        <v>0.11667177538650175</v>
      </c>
      <c r="F249" s="886">
        <f>дератизац.!I249</f>
        <v>0</v>
      </c>
      <c r="G249" s="886">
        <f>димоканал!R249</f>
        <v>4.9467155407748709E-2</v>
      </c>
      <c r="H249" s="886">
        <f>'підготовка до зими'!M249+майстерні!M249+маляри!M249+покрівлі!O249</f>
        <v>8.8470466721537078E-2</v>
      </c>
      <c r="I249" s="886">
        <f>електрики!R249</f>
        <v>9.1160447557252135E-3</v>
      </c>
      <c r="J249" s="989">
        <f t="shared" si="26"/>
        <v>0.26372544227151273</v>
      </c>
      <c r="K249" s="989">
        <v>6.7391196952725193E-3</v>
      </c>
      <c r="L249" s="994">
        <f t="shared" si="30"/>
        <v>0.27046456196678526</v>
      </c>
      <c r="M249" s="994">
        <f t="shared" si="27"/>
        <v>0.32455747436014232</v>
      </c>
      <c r="N249" s="995">
        <v>1</v>
      </c>
      <c r="O249" s="997">
        <v>0.27765173144522781</v>
      </c>
      <c r="P249" s="22">
        <f t="shared" si="28"/>
        <v>4.6905742914914506E-2</v>
      </c>
      <c r="Q249" s="982">
        <f t="shared" si="29"/>
        <v>16.893733264605103</v>
      </c>
      <c r="R249" s="6"/>
      <c r="S249" s="6"/>
      <c r="T249" s="6"/>
      <c r="U249" s="6"/>
      <c r="V249" s="6"/>
      <c r="W249" s="6"/>
      <c r="X249" s="6"/>
      <c r="Y249" s="6"/>
      <c r="Z249" s="6"/>
    </row>
    <row r="250" spans="1:26" s="93" customFormat="1" ht="15.75">
      <c r="A250" s="236">
        <v>159</v>
      </c>
      <c r="B250" s="897" t="s">
        <v>211</v>
      </c>
      <c r="C250" s="886">
        <f>cходова!R250</f>
        <v>0</v>
      </c>
      <c r="D250" s="886">
        <f>прибуд.!O250</f>
        <v>0</v>
      </c>
      <c r="E250" s="886">
        <f>гар.вода!M250+хол.вода!Q250+ц.о.!M250+каналізація!Q250+аварійні!I250+зварювальн!M250</f>
        <v>0.20081279699841248</v>
      </c>
      <c r="F250" s="886">
        <f>дератизац.!I250</f>
        <v>0</v>
      </c>
      <c r="G250" s="886">
        <f>димоканал!R250</f>
        <v>9.6537497132464775E-2</v>
      </c>
      <c r="H250" s="886">
        <f>'підготовка до зими'!M250+майстерні!M250+маляри!M250+покрівлі!O250</f>
        <v>8.8470466721537064E-2</v>
      </c>
      <c r="I250" s="886">
        <f>електрики!R250</f>
        <v>3.2016558571145652E-2</v>
      </c>
      <c r="J250" s="989">
        <f t="shared" si="26"/>
        <v>0.41783731942355995</v>
      </c>
      <c r="K250" s="989">
        <v>1.0773149942618323E-2</v>
      </c>
      <c r="L250" s="994">
        <f t="shared" si="30"/>
        <v>0.42861046936617825</v>
      </c>
      <c r="M250" s="994">
        <f t="shared" si="27"/>
        <v>0.5143325632394139</v>
      </c>
      <c r="N250" s="995">
        <v>1</v>
      </c>
      <c r="O250" s="997">
        <v>0.44385377763587497</v>
      </c>
      <c r="P250" s="22">
        <f t="shared" si="28"/>
        <v>7.0478785603538929E-2</v>
      </c>
      <c r="Q250" s="982">
        <f t="shared" si="29"/>
        <v>15.878829730578019</v>
      </c>
      <c r="R250" s="6"/>
      <c r="S250" s="6"/>
      <c r="T250" s="6"/>
      <c r="U250" s="6"/>
      <c r="V250" s="6"/>
      <c r="W250" s="6"/>
      <c r="X250" s="6"/>
      <c r="Y250" s="6"/>
      <c r="Z250" s="6"/>
    </row>
    <row r="251" spans="1:26" s="93" customFormat="1" ht="15.75">
      <c r="A251" s="236">
        <v>160</v>
      </c>
      <c r="B251" s="233" t="s">
        <v>1203</v>
      </c>
      <c r="C251" s="886">
        <f>cходова!R251</f>
        <v>0.73323719035588764</v>
      </c>
      <c r="D251" s="886">
        <f>прибуд.!O251</f>
        <v>0.22908669463069245</v>
      </c>
      <c r="E251" s="886">
        <f>гар.вода!M251+хол.вода!Q251+ц.о.!M251+каналізація!Q251+аварійні!I251+зварювальн!M251</f>
        <v>0.15919289873649195</v>
      </c>
      <c r="F251" s="886">
        <f>дератизац.!I251</f>
        <v>3.4068718789595298E-3</v>
      </c>
      <c r="G251" s="886">
        <f>димоканал!R251</f>
        <v>2.8829724930797843E-2</v>
      </c>
      <c r="H251" s="886">
        <f>'підготовка до зими'!M251+майстерні!M251+маляри!M251+покрівлі!O251</f>
        <v>0.26934094992646485</v>
      </c>
      <c r="I251" s="886">
        <f>електрики!R251</f>
        <v>2.2456471055844963E-2</v>
      </c>
      <c r="J251" s="989">
        <f t="shared" si="26"/>
        <v>1.4455508015151393</v>
      </c>
      <c r="K251" s="989">
        <v>3.6106483841654435E-2</v>
      </c>
      <c r="L251" s="994">
        <f t="shared" si="30"/>
        <v>1.4816572853567938</v>
      </c>
      <c r="M251" s="994">
        <f t="shared" si="27"/>
        <v>1.7779887424281524</v>
      </c>
      <c r="N251" s="995">
        <v>3</v>
      </c>
      <c r="O251" s="997">
        <v>1.4875871342761628</v>
      </c>
      <c r="P251" s="22">
        <f t="shared" si="28"/>
        <v>0.29040160815198957</v>
      </c>
      <c r="Q251" s="982">
        <f t="shared" si="29"/>
        <v>19.521653653807292</v>
      </c>
      <c r="R251" s="6"/>
      <c r="S251" s="6"/>
      <c r="T251" s="6"/>
      <c r="U251" s="6"/>
      <c r="V251" s="6"/>
      <c r="W251" s="6"/>
      <c r="X251" s="6"/>
      <c r="Y251" s="6"/>
      <c r="Z251" s="6"/>
    </row>
    <row r="252" spans="1:26" s="93" customFormat="1" ht="15.75">
      <c r="A252" s="236">
        <v>161</v>
      </c>
      <c r="B252" s="233" t="s">
        <v>1204</v>
      </c>
      <c r="C252" s="886">
        <f>cходова!R252</f>
        <v>0.78984095656385522</v>
      </c>
      <c r="D252" s="886">
        <f>прибуд.!O252</f>
        <v>0.27040318162274624</v>
      </c>
      <c r="E252" s="886">
        <f>гар.вода!M252+хол.вода!Q252+ц.о.!M252+каналізація!Q252+аварійні!I252+зварювальн!M252</f>
        <v>0.16176422763301967</v>
      </c>
      <c r="F252" s="886">
        <f>дератизац.!I252</f>
        <v>2.6806903991370016E-3</v>
      </c>
      <c r="G252" s="886">
        <f>димоканал!R252</f>
        <v>2.9162611329802836E-2</v>
      </c>
      <c r="H252" s="886">
        <f>'підготовка до зими'!M252+майстерні!M252+маляри!M252+покрівлі!O252</f>
        <v>0.23339062060382598</v>
      </c>
      <c r="I252" s="886">
        <f>електрики!R252</f>
        <v>1.9710406980823696E-2</v>
      </c>
      <c r="J252" s="989">
        <f t="shared" si="26"/>
        <v>1.5069526951332106</v>
      </c>
      <c r="K252" s="989">
        <v>3.7659187748632361E-2</v>
      </c>
      <c r="L252" s="994">
        <f t="shared" si="30"/>
        <v>1.5446118828818429</v>
      </c>
      <c r="M252" s="994">
        <f t="shared" si="27"/>
        <v>1.8535342594582114</v>
      </c>
      <c r="N252" s="995">
        <v>3</v>
      </c>
      <c r="O252" s="997">
        <v>1.5515585352436532</v>
      </c>
      <c r="P252" s="22">
        <f t="shared" si="28"/>
        <v>0.30197572421455821</v>
      </c>
      <c r="Q252" s="982">
        <f t="shared" si="29"/>
        <v>19.46273487948919</v>
      </c>
      <c r="R252" s="6"/>
      <c r="S252" s="6"/>
      <c r="T252" s="6"/>
      <c r="U252" s="6"/>
      <c r="V252" s="6"/>
      <c r="W252" s="6"/>
      <c r="X252" s="6"/>
      <c r="Y252" s="6"/>
      <c r="Z252" s="6"/>
    </row>
    <row r="253" spans="1:26" s="93" customFormat="1" ht="15.75">
      <c r="A253" s="894">
        <v>162</v>
      </c>
      <c r="B253" s="233" t="s">
        <v>1205</v>
      </c>
      <c r="C253" s="886">
        <f>cходова!R253</f>
        <v>0.93527626629688776</v>
      </c>
      <c r="D253" s="886">
        <f>прибуд.!O253</f>
        <v>0.21692154556499799</v>
      </c>
      <c r="E253" s="886">
        <f>гар.вода!M253+хол.вода!Q253+ц.о.!M253+каналізація!Q253+аварійні!I253+зварювальн!M253</f>
        <v>0.14637665514099676</v>
      </c>
      <c r="F253" s="886">
        <f>дератизац.!I253</f>
        <v>3.3601115389722477E-3</v>
      </c>
      <c r="G253" s="886">
        <f>димоканал!R253</f>
        <v>1.6963426939104246E-2</v>
      </c>
      <c r="H253" s="886">
        <f>'підготовка до зими'!M253+майстерні!M253+маляри!M253+покрівлі!O253</f>
        <v>0.16901832478985357</v>
      </c>
      <c r="I253" s="886">
        <f>електрики!R253</f>
        <v>2.2621585908406412E-2</v>
      </c>
      <c r="J253" s="989">
        <f t="shared" si="26"/>
        <v>1.510537916179219</v>
      </c>
      <c r="K253" s="989">
        <v>3.7458393489305505E-2</v>
      </c>
      <c r="L253" s="994">
        <f t="shared" si="30"/>
        <v>1.5479963096685245</v>
      </c>
      <c r="M253" s="994">
        <f t="shared" si="27"/>
        <v>1.8575955716022294</v>
      </c>
      <c r="N253" s="995">
        <v>3</v>
      </c>
      <c r="O253" s="997">
        <v>1.5432858117593868</v>
      </c>
      <c r="P253" s="22">
        <f t="shared" si="28"/>
        <v>0.3143097598428426</v>
      </c>
      <c r="Q253" s="982">
        <f t="shared" si="29"/>
        <v>20.366270294711072</v>
      </c>
      <c r="R253" s="6"/>
      <c r="S253" s="6"/>
      <c r="T253" s="6"/>
      <c r="U253" s="6"/>
      <c r="V253" s="6"/>
      <c r="W253" s="6"/>
      <c r="X253" s="6"/>
      <c r="Y253" s="6"/>
      <c r="Z253" s="6"/>
    </row>
    <row r="254" spans="1:26" s="93" customFormat="1" ht="15.75">
      <c r="A254" s="236">
        <v>163</v>
      </c>
      <c r="B254" s="233" t="s">
        <v>1206</v>
      </c>
      <c r="C254" s="886">
        <f>cходова!R254</f>
        <v>0</v>
      </c>
      <c r="D254" s="886">
        <f>прибуд.!O254</f>
        <v>0.65623690835141013</v>
      </c>
      <c r="E254" s="886">
        <f>гар.вода!M254+хол.вода!Q254+ц.о.!M254+каналізація!Q254+аварійні!I254+зварювальн!M254</f>
        <v>0.16921376051669806</v>
      </c>
      <c r="F254" s="886">
        <f>дератизац.!I254</f>
        <v>2.6572668112798264E-3</v>
      </c>
      <c r="G254" s="886">
        <f>димоканал!R254</f>
        <v>2.1457840890779852E-2</v>
      </c>
      <c r="H254" s="886">
        <f>'підготовка до зими'!M254+майстерні!M254+маляри!M254+покрівлі!O254</f>
        <v>0.2428812618593123</v>
      </c>
      <c r="I254" s="886">
        <f>електрики!R254</f>
        <v>2.157883384646794E-2</v>
      </c>
      <c r="J254" s="989">
        <f t="shared" si="26"/>
        <v>1.1140258722759482</v>
      </c>
      <c r="K254" s="989">
        <v>2.7943153544712062E-2</v>
      </c>
      <c r="L254" s="994">
        <f t="shared" si="30"/>
        <v>1.1419690258206603</v>
      </c>
      <c r="M254" s="994">
        <f t="shared" si="27"/>
        <v>1.3703628309847924</v>
      </c>
      <c r="N254" s="995">
        <v>2</v>
      </c>
      <c r="O254" s="997">
        <v>1.1512579260421369</v>
      </c>
      <c r="P254" s="22">
        <f t="shared" si="28"/>
        <v>0.21910490494265544</v>
      </c>
      <c r="Q254" s="982">
        <f t="shared" si="29"/>
        <v>19.031782538593006</v>
      </c>
      <c r="R254" s="6"/>
      <c r="S254" s="6"/>
      <c r="T254" s="6"/>
      <c r="U254" s="6"/>
      <c r="V254" s="6"/>
      <c r="W254" s="6"/>
      <c r="X254" s="6"/>
      <c r="Y254" s="6"/>
      <c r="Z254" s="6"/>
    </row>
    <row r="255" spans="1:26" s="93" customFormat="1" ht="15.75">
      <c r="A255" s="236">
        <v>164</v>
      </c>
      <c r="B255" s="233" t="s">
        <v>1207</v>
      </c>
      <c r="C255" s="886">
        <f>cходова!R255</f>
        <v>0</v>
      </c>
      <c r="D255" s="886">
        <f>прибуд.!O255</f>
        <v>0.6739673963442212</v>
      </c>
      <c r="E255" s="886">
        <f>гар.вода!M255+хол.вода!Q255+ц.о.!M255+каналізація!Q255+аварійні!I255+зварювальн!M255</f>
        <v>0.18283254623721862</v>
      </c>
      <c r="F255" s="886">
        <f>дератизац.!I255</f>
        <v>4.3969849246231155E-3</v>
      </c>
      <c r="G255" s="886">
        <f>димоканал!R255</f>
        <v>2.4854433795601788E-2</v>
      </c>
      <c r="H255" s="886">
        <f>'підготовка до зими'!M255+майстерні!M255+маляри!M255+покрівлі!O255</f>
        <v>0.25019168649674828</v>
      </c>
      <c r="I255" s="886">
        <f>електрики!R255</f>
        <v>2.4994578902567136E-2</v>
      </c>
      <c r="J255" s="989">
        <f t="shared" si="26"/>
        <v>1.1612376267009801</v>
      </c>
      <c r="K255" s="989">
        <v>2.9151708458952794E-2</v>
      </c>
      <c r="L255" s="994">
        <f t="shared" si="30"/>
        <v>1.1903893351599328</v>
      </c>
      <c r="M255" s="994">
        <f t="shared" si="27"/>
        <v>1.4284672021919194</v>
      </c>
      <c r="N255" s="995">
        <v>2</v>
      </c>
      <c r="O255" s="997">
        <v>1.201050388508855</v>
      </c>
      <c r="P255" s="22">
        <f t="shared" si="28"/>
        <v>0.22741681368306432</v>
      </c>
      <c r="Q255" s="982">
        <f t="shared" si="29"/>
        <v>18.934827036308619</v>
      </c>
      <c r="R255" s="6"/>
      <c r="S255" s="6"/>
      <c r="T255" s="6"/>
      <c r="U255" s="6"/>
      <c r="V255" s="6"/>
      <c r="W255" s="6"/>
      <c r="X255" s="6"/>
      <c r="Y255" s="6"/>
      <c r="Z255" s="6"/>
    </row>
    <row r="256" spans="1:26" s="93" customFormat="1" ht="15.75">
      <c r="A256" s="236">
        <v>165</v>
      </c>
      <c r="B256" s="233" t="s">
        <v>1208</v>
      </c>
      <c r="C256" s="886">
        <f>cходова!R256</f>
        <v>0.23912833914506901</v>
      </c>
      <c r="D256" s="886">
        <f>прибуд.!O256</f>
        <v>5.616210741516714E-2</v>
      </c>
      <c r="E256" s="886">
        <f>гар.вода!M256+хол.вода!Q256+ц.о.!M256+каналізація!Q256+аварійні!I256+зварювальн!M256</f>
        <v>0.12375008177990124</v>
      </c>
      <c r="F256" s="886">
        <f>дератизац.!I256</f>
        <v>3.7268110272764645E-3</v>
      </c>
      <c r="G256" s="886">
        <f>димоканал!R256</f>
        <v>2.7316870662908208E-2</v>
      </c>
      <c r="H256" s="886">
        <f>'підготовка до зими'!M256+майстерні!M256+маляри!M256+покрівлі!O256</f>
        <v>0.16413795210507948</v>
      </c>
      <c r="I256" s="886">
        <f>електрики!R256</f>
        <v>1.1042534953330307E-2</v>
      </c>
      <c r="J256" s="989">
        <f t="shared" si="26"/>
        <v>0.62526469708873189</v>
      </c>
      <c r="K256" s="989">
        <v>1.5729630774744381E-2</v>
      </c>
      <c r="L256" s="994">
        <f t="shared" si="30"/>
        <v>0.64099432786347632</v>
      </c>
      <c r="M256" s="994">
        <f t="shared" si="27"/>
        <v>0.76919319343617154</v>
      </c>
      <c r="N256" s="995">
        <v>4</v>
      </c>
      <c r="O256" s="997">
        <v>0.64806078791946864</v>
      </c>
      <c r="P256" s="22">
        <f t="shared" si="28"/>
        <v>0.1211324055167029</v>
      </c>
      <c r="Q256" s="982">
        <f t="shared" si="29"/>
        <v>18.691519032587323</v>
      </c>
      <c r="R256" s="6"/>
      <c r="S256" s="6"/>
      <c r="T256" s="6"/>
      <c r="U256" s="6"/>
      <c r="V256" s="6"/>
      <c r="W256" s="6"/>
      <c r="X256" s="6"/>
      <c r="Y256" s="6"/>
      <c r="Z256" s="6"/>
    </row>
    <row r="257" spans="1:26" s="93" customFormat="1" ht="15.75">
      <c r="A257" s="236">
        <v>166</v>
      </c>
      <c r="B257" s="233" t="s">
        <v>1209</v>
      </c>
      <c r="C257" s="886">
        <f>cходова!R257</f>
        <v>0.91360041797635405</v>
      </c>
      <c r="D257" s="886">
        <f>прибуд.!O257</f>
        <v>5.5784602974491809E-2</v>
      </c>
      <c r="E257" s="886">
        <f>гар.вода!M257+хол.вода!Q257+ц.о.!M257+каналізація!Q257+аварійні!I257+зварювальн!M257</f>
        <v>0.14661240439223538</v>
      </c>
      <c r="F257" s="886">
        <f>дератизац.!I257</f>
        <v>3.0848004566009571E-3</v>
      </c>
      <c r="G257" s="886">
        <f>димоканал!R257</f>
        <v>2.376004247983959E-2</v>
      </c>
      <c r="H257" s="886">
        <f>'підготовка до зими'!M257+майстерні!M257+маляри!M257+покрівлі!O257</f>
        <v>0.19878718584194649</v>
      </c>
      <c r="I257" s="886">
        <f>електрики!R257</f>
        <v>1.7289805937447653E-2</v>
      </c>
      <c r="J257" s="989">
        <f t="shared" si="26"/>
        <v>1.3589192600589159</v>
      </c>
      <c r="K257" s="989">
        <v>3.3902033679830711E-2</v>
      </c>
      <c r="L257" s="994">
        <f t="shared" si="30"/>
        <v>1.3928212937387467</v>
      </c>
      <c r="M257" s="994">
        <f t="shared" si="27"/>
        <v>1.671385552486496</v>
      </c>
      <c r="N257" s="995">
        <v>4</v>
      </c>
      <c r="O257" s="997">
        <v>1.3967637876090255</v>
      </c>
      <c r="P257" s="22">
        <f t="shared" si="28"/>
        <v>0.27462176487747048</v>
      </c>
      <c r="Q257" s="982">
        <f t="shared" si="29"/>
        <v>19.661288996299575</v>
      </c>
      <c r="R257" s="6"/>
      <c r="S257" s="6"/>
      <c r="T257" s="6"/>
      <c r="U257" s="6"/>
      <c r="V257" s="6"/>
      <c r="W257" s="6"/>
      <c r="X257" s="6"/>
      <c r="Y257" s="6"/>
      <c r="Z257" s="6"/>
    </row>
    <row r="258" spans="1:26" s="93" customFormat="1" ht="15.75">
      <c r="A258" s="236">
        <v>167</v>
      </c>
      <c r="B258" s="233" t="s">
        <v>1210</v>
      </c>
      <c r="C258" s="886">
        <f>cходова!R258</f>
        <v>0.65689257194969086</v>
      </c>
      <c r="D258" s="886">
        <f>прибуд.!O258</f>
        <v>0.12478791172058198</v>
      </c>
      <c r="E258" s="886">
        <f>гар.вода!M258+хол.вода!Q258+ц.о.!M258+каналізація!Q258+аварійні!I258+зварювальн!M258</f>
        <v>0.13600460630932029</v>
      </c>
      <c r="F258" s="886">
        <f>дератизац.!I258</f>
        <v>3.2631727645147618E-3</v>
      </c>
      <c r="G258" s="886">
        <f>димоканал!R258</f>
        <v>2.0200901479097037E-2</v>
      </c>
      <c r="H258" s="886">
        <f>'підготовка до зими'!M258+майстерні!M258+маляри!M258+покрівлі!O258</f>
        <v>0.1772669160931746</v>
      </c>
      <c r="I258" s="886">
        <f>електрики!R258</f>
        <v>1.3870739819424376E-2</v>
      </c>
      <c r="J258" s="989">
        <f t="shared" si="26"/>
        <v>1.1322868201358038</v>
      </c>
      <c r="K258" s="989">
        <v>2.8275423243195867E-2</v>
      </c>
      <c r="L258" s="994">
        <f t="shared" si="30"/>
        <v>1.1605622433789997</v>
      </c>
      <c r="M258" s="994">
        <f t="shared" si="27"/>
        <v>1.3926746920547997</v>
      </c>
      <c r="N258" s="995">
        <v>4</v>
      </c>
      <c r="O258" s="997">
        <v>1.1649474376196698</v>
      </c>
      <c r="P258" s="22">
        <f t="shared" si="28"/>
        <v>0.22772725443512987</v>
      </c>
      <c r="Q258" s="982">
        <f t="shared" si="29"/>
        <v>19.548285792227986</v>
      </c>
      <c r="R258" s="6"/>
      <c r="S258" s="6"/>
      <c r="T258" s="6"/>
      <c r="U258" s="6"/>
      <c r="V258" s="6"/>
      <c r="W258" s="6"/>
      <c r="X258" s="6"/>
      <c r="Y258" s="6"/>
      <c r="Z258" s="6"/>
    </row>
    <row r="259" spans="1:26" s="93" customFormat="1" ht="15.75">
      <c r="A259" s="236">
        <v>168</v>
      </c>
      <c r="B259" s="899" t="s">
        <v>1211</v>
      </c>
      <c r="C259" s="886">
        <f>cходова!R259</f>
        <v>0</v>
      </c>
      <c r="D259" s="886">
        <f>прибуд.!O259</f>
        <v>0.20060861061104696</v>
      </c>
      <c r="E259" s="886">
        <f>гар.вода!M259+хол.вода!Q259+ц.о.!M259+каналізація!Q259+аварійні!I259+зварювальн!M259</f>
        <v>0.15414817671534337</v>
      </c>
      <c r="F259" s="886">
        <f>дератизац.!I259</f>
        <v>3.6102856300808022E-3</v>
      </c>
      <c r="G259" s="886">
        <f>димоканал!R259</f>
        <v>2.0754276007698417E-2</v>
      </c>
      <c r="H259" s="886">
        <f>'підготовка до зими'!M259+майстерні!M259+маляри!M259+покрівлі!O259</f>
        <v>0.21704871280050578</v>
      </c>
      <c r="I259" s="886">
        <f>електрики!R259</f>
        <v>1.7800215514204586E-2</v>
      </c>
      <c r="J259" s="1000">
        <f t="shared" si="26"/>
        <v>0.61397027727887998</v>
      </c>
      <c r="K259" s="1000">
        <v>1.5513256742616723E-2</v>
      </c>
      <c r="L259" s="994">
        <f t="shared" si="30"/>
        <v>0.6294835340214967</v>
      </c>
      <c r="M259" s="1009">
        <f t="shared" si="27"/>
        <v>0.75538024082579602</v>
      </c>
      <c r="N259" s="995">
        <v>3</v>
      </c>
      <c r="O259" s="997">
        <v>0.63914617779580896</v>
      </c>
      <c r="P259" s="22">
        <f t="shared" si="28"/>
        <v>0.11623406302998707</v>
      </c>
      <c r="Q259" s="982">
        <f t="shared" si="29"/>
        <v>18.185834018571086</v>
      </c>
      <c r="R259" s="6"/>
      <c r="S259" s="6"/>
      <c r="T259" s="6"/>
      <c r="U259" s="6"/>
      <c r="V259" s="6"/>
      <c r="W259" s="6"/>
      <c r="X259" s="6"/>
      <c r="Y259" s="6"/>
      <c r="Z259" s="6"/>
    </row>
    <row r="260" spans="1:26" s="892" customFormat="1" ht="15.75">
      <c r="A260" s="894">
        <v>169</v>
      </c>
      <c r="B260" s="899" t="s">
        <v>1212</v>
      </c>
      <c r="C260" s="886">
        <f>cходова!R260</f>
        <v>0</v>
      </c>
      <c r="D260" s="886">
        <f>прибуд.!O260</f>
        <v>4.5193167417748537E-2</v>
      </c>
      <c r="E260" s="886">
        <f>гар.вода!M260+хол.вода!Q260+ц.о.!M260+каналізація!Q260+аварійні!I260+зварювальн!M260</f>
        <v>0.13759147415013875</v>
      </c>
      <c r="F260" s="886">
        <f>дератизац.!I260</f>
        <v>4.892406188867153E-3</v>
      </c>
      <c r="G260" s="886">
        <f>димоканал!R260</f>
        <v>2.2593068711742409E-2</v>
      </c>
      <c r="H260" s="886"/>
      <c r="I260" s="886">
        <f>електрики!R260</f>
        <v>1.364760777861266E-2</v>
      </c>
      <c r="J260" s="1000">
        <f t="shared" si="26"/>
        <v>0.22391772424710951</v>
      </c>
      <c r="K260" s="1000">
        <v>6.0537897963637592E-3</v>
      </c>
      <c r="L260" s="994">
        <f t="shared" si="30"/>
        <v>0.22997151404347327</v>
      </c>
      <c r="M260" s="1009">
        <f t="shared" si="27"/>
        <v>0.27596581685216792</v>
      </c>
      <c r="N260" s="995">
        <v>3</v>
      </c>
      <c r="O260" s="997">
        <v>0.24941613961018688</v>
      </c>
      <c r="P260" s="22">
        <f t="shared" si="28"/>
        <v>2.654967724198104E-2</v>
      </c>
      <c r="Q260" s="982">
        <f t="shared" si="29"/>
        <v>10.644731044059782</v>
      </c>
      <c r="R260" s="6"/>
      <c r="S260" s="6"/>
      <c r="T260" s="6"/>
      <c r="U260" s="6"/>
      <c r="V260" s="6"/>
      <c r="W260" s="6"/>
      <c r="X260" s="6"/>
      <c r="Y260" s="6"/>
      <c r="Z260" s="6"/>
    </row>
    <row r="261" spans="1:26" s="93" customFormat="1" ht="15.75">
      <c r="A261" s="236">
        <v>170</v>
      </c>
      <c r="B261" s="233" t="s">
        <v>1213</v>
      </c>
      <c r="C261" s="886">
        <f>cходова!R261</f>
        <v>0.65895440097248803</v>
      </c>
      <c r="D261" s="886">
        <f>прибуд.!O261</f>
        <v>0.12381056291839219</v>
      </c>
      <c r="E261" s="886">
        <f>гар.вода!M261+хол.вода!Q261+ц.о.!M261+каналізація!Q261+аварійні!I261+зварювальн!M261</f>
        <v>0.16599507776957823</v>
      </c>
      <c r="F261" s="886">
        <f>дератизац.!I261</f>
        <v>5.4567600487210721E-3</v>
      </c>
      <c r="G261" s="886">
        <f>димоканал!R261</f>
        <v>4.3871610171512421E-2</v>
      </c>
      <c r="H261" s="886">
        <f>'підготовка до зими'!M261+майстерні!M261+маляри!M261+покрівлі!O261</f>
        <v>0.25189243956898444</v>
      </c>
      <c r="I261" s="886">
        <f>електрики!R261</f>
        <v>2.0771551912069017E-2</v>
      </c>
      <c r="J261" s="989">
        <f t="shared" si="26"/>
        <v>1.2707524033617454</v>
      </c>
      <c r="K261" s="989">
        <v>3.1890273876839972E-2</v>
      </c>
      <c r="L261" s="994">
        <f t="shared" si="30"/>
        <v>1.3026426772385855</v>
      </c>
      <c r="M261" s="994">
        <f t="shared" si="27"/>
        <v>1.5631712126863027</v>
      </c>
      <c r="N261" s="995">
        <v>3</v>
      </c>
      <c r="O261" s="997">
        <v>1.3138792837258069</v>
      </c>
      <c r="P261" s="22">
        <f t="shared" si="28"/>
        <v>0.24929192896049579</v>
      </c>
      <c r="Q261" s="982">
        <f t="shared" si="29"/>
        <v>18.973731609008354</v>
      </c>
      <c r="R261" s="6"/>
      <c r="S261" s="6"/>
      <c r="T261" s="6"/>
      <c r="U261" s="6"/>
      <c r="V261" s="6"/>
      <c r="W261" s="6"/>
      <c r="X261" s="6"/>
      <c r="Y261" s="6"/>
      <c r="Z261" s="6"/>
    </row>
    <row r="262" spans="1:26" s="93" customFormat="1" ht="15.75">
      <c r="A262" s="236">
        <v>171</v>
      </c>
      <c r="B262" s="233" t="s">
        <v>1214</v>
      </c>
      <c r="C262" s="886">
        <f>cходова!R262</f>
        <v>0.61098065557082493</v>
      </c>
      <c r="D262" s="886">
        <f>прибуд.!O262</f>
        <v>0.24975804607946181</v>
      </c>
      <c r="E262" s="886">
        <f>гар.вода!M262+хол.вода!Q262+ц.о.!M262+каналізація!Q262+аварійні!I262+зварювальн!M262</f>
        <v>0.16763791070339074</v>
      </c>
      <c r="F262" s="886">
        <f>дератизац.!I262</f>
        <v>5.906128767175646E-3</v>
      </c>
      <c r="G262" s="886">
        <f>димоканал!R262</f>
        <v>3.2552109689298468E-2</v>
      </c>
      <c r="H262" s="886">
        <f>'підготовка до зими'!M262+майстерні!M262+маляри!M262+покрівлі!O262</f>
        <v>0.21732017148059152</v>
      </c>
      <c r="I262" s="886">
        <f>електрики!R262</f>
        <v>2.1955629524185692E-2</v>
      </c>
      <c r="J262" s="989">
        <f t="shared" si="26"/>
        <v>1.3061106518149288</v>
      </c>
      <c r="K262" s="989">
        <v>3.2687798191326091E-2</v>
      </c>
      <c r="L262" s="994">
        <f t="shared" si="30"/>
        <v>1.3387984500062549</v>
      </c>
      <c r="M262" s="994">
        <f t="shared" si="27"/>
        <v>1.6065581400075057</v>
      </c>
      <c r="N262" s="995">
        <v>3</v>
      </c>
      <c r="O262" s="997">
        <v>1.3467372854826349</v>
      </c>
      <c r="P262" s="22">
        <f t="shared" si="28"/>
        <v>0.2598208545248708</v>
      </c>
      <c r="Q262" s="982">
        <f t="shared" si="29"/>
        <v>19.292616111965572</v>
      </c>
      <c r="R262" s="6"/>
      <c r="S262" s="6"/>
      <c r="T262" s="6"/>
      <c r="U262" s="6"/>
      <c r="V262" s="6"/>
      <c r="W262" s="6"/>
      <c r="X262" s="6"/>
      <c r="Y262" s="6"/>
      <c r="Z262" s="6"/>
    </row>
    <row r="263" spans="1:26" s="93" customFormat="1" ht="15.75">
      <c r="A263" s="236">
        <v>172</v>
      </c>
      <c r="B263" s="899" t="s">
        <v>1215</v>
      </c>
      <c r="C263" s="886">
        <f>cходова!R263</f>
        <v>0</v>
      </c>
      <c r="D263" s="886">
        <f>прибуд.!O263</f>
        <v>9.7289208076304631E-2</v>
      </c>
      <c r="E263" s="886">
        <f>гар.вода!M263+хол.вода!Q263+ц.о.!M263+каналізація!Q263+аварійні!I263+зварювальн!M263</f>
        <v>0.1676596589926394</v>
      </c>
      <c r="F263" s="886">
        <f>дератизац.!I263</f>
        <v>4.5176143838620087E-3</v>
      </c>
      <c r="G263" s="886">
        <f>димоканал!R263</f>
        <v>3.6635633513427107E-2</v>
      </c>
      <c r="H263" s="886">
        <f>'підготовка до зими'!M263+майстерні!M263+маляри!M263+покрівлі!O263</f>
        <v>0.24034668931710887</v>
      </c>
      <c r="I263" s="886">
        <f>електрики!R263</f>
        <v>2.1189047656537587E-2</v>
      </c>
      <c r="J263" s="1000">
        <f t="shared" si="26"/>
        <v>0.56763785193987959</v>
      </c>
      <c r="K263" s="1000">
        <v>1.4451629554131441E-2</v>
      </c>
      <c r="L263" s="994">
        <f t="shared" si="30"/>
        <v>0.58208948149401107</v>
      </c>
      <c r="M263" s="1009">
        <f t="shared" si="27"/>
        <v>0.69850737779281324</v>
      </c>
      <c r="N263" s="995">
        <v>3</v>
      </c>
      <c r="O263" s="997">
        <v>0.59540713763021536</v>
      </c>
      <c r="P263" s="22">
        <f t="shared" si="28"/>
        <v>0.10310024016259789</v>
      </c>
      <c r="Q263" s="982">
        <f t="shared" si="29"/>
        <v>17.315922777302944</v>
      </c>
      <c r="R263" s="6"/>
      <c r="S263" s="6"/>
      <c r="T263" s="6"/>
      <c r="U263" s="6"/>
      <c r="V263" s="6"/>
      <c r="W263" s="6"/>
      <c r="X263" s="6"/>
      <c r="Y263" s="6"/>
      <c r="Z263" s="6"/>
    </row>
    <row r="264" spans="1:26" s="93" customFormat="1" ht="15.75">
      <c r="A264" s="236">
        <v>173</v>
      </c>
      <c r="B264" s="233" t="s">
        <v>1216</v>
      </c>
      <c r="C264" s="886">
        <f>cходова!R264</f>
        <v>1.0817837569243232</v>
      </c>
      <c r="D264" s="886">
        <f>прибуд.!O264</f>
        <v>8.4825301459306918E-2</v>
      </c>
      <c r="E264" s="886">
        <f>гар.вода!M264+хол.вода!Q264+ц.о.!M264+каналізація!Q264+аварійні!I264+зварювальн!M264</f>
        <v>0.14507584184880581</v>
      </c>
      <c r="F264" s="886">
        <f>дератизац.!I264</f>
        <v>4.4448321903259088E-3</v>
      </c>
      <c r="G264" s="886">
        <f>димоканал!R264</f>
        <v>3.4634084853212989E-2</v>
      </c>
      <c r="H264" s="886">
        <f>'підготовка до зими'!M264+майстерні!M264+маляри!M264+покрівлі!O264</f>
        <v>0.18784063121919686</v>
      </c>
      <c r="I264" s="886">
        <f>електрики!R264</f>
        <v>1.9468142760160578E-2</v>
      </c>
      <c r="J264" s="989">
        <f t="shared" si="26"/>
        <v>1.5580725912553322</v>
      </c>
      <c r="K264" s="989">
        <v>3.7582376871335185E-2</v>
      </c>
      <c r="L264" s="994">
        <f t="shared" si="30"/>
        <v>1.5956549681266674</v>
      </c>
      <c r="M264" s="994">
        <f t="shared" si="27"/>
        <v>1.9147859617520009</v>
      </c>
      <c r="N264" s="995">
        <v>3</v>
      </c>
      <c r="O264" s="997">
        <v>1.5483939270990097</v>
      </c>
      <c r="P264" s="22">
        <f t="shared" si="28"/>
        <v>0.36639203465299119</v>
      </c>
      <c r="Q264" s="982">
        <f t="shared" si="29"/>
        <v>23.662714522488741</v>
      </c>
      <c r="R264" s="6"/>
      <c r="S264" s="6"/>
      <c r="T264" s="6"/>
      <c r="U264" s="6"/>
      <c r="V264" s="6"/>
      <c r="W264" s="6"/>
      <c r="X264" s="6"/>
      <c r="Y264" s="6"/>
      <c r="Z264" s="6"/>
    </row>
    <row r="265" spans="1:26" s="93" customFormat="1" ht="15.75">
      <c r="A265" s="236">
        <v>174</v>
      </c>
      <c r="B265" s="233" t="s">
        <v>1217</v>
      </c>
      <c r="C265" s="886">
        <f>cходова!R265</f>
        <v>0.81723319256044913</v>
      </c>
      <c r="D265" s="886">
        <f>прибуд.!O265</f>
        <v>0.11932398609646303</v>
      </c>
      <c r="E265" s="886">
        <f>гар.вода!M265+хол.вода!Q265+ц.о.!M265+каналізація!Q265+аварійні!I265+зварювальн!M265</f>
        <v>0.18520375664945687</v>
      </c>
      <c r="F265" s="886">
        <f>дератизац.!I265</f>
        <v>1.0406216505894962E-2</v>
      </c>
      <c r="G265" s="886">
        <f>димоканал!R265</f>
        <v>4.9388757810794347E-2</v>
      </c>
      <c r="H265" s="886">
        <f>'підготовка до зими'!M265+майстерні!M265+маляри!M265+покрівлі!O265</f>
        <v>0.22062345975737319</v>
      </c>
      <c r="I265" s="886">
        <f>електрики!R265</f>
        <v>2.8551568724865018E-2</v>
      </c>
      <c r="J265" s="989">
        <f t="shared" si="26"/>
        <v>1.4307309381052966</v>
      </c>
      <c r="K265" s="989">
        <v>3.5622020134280105E-2</v>
      </c>
      <c r="L265" s="994">
        <f t="shared" si="30"/>
        <v>1.4663529582395767</v>
      </c>
      <c r="M265" s="994">
        <f t="shared" si="27"/>
        <v>1.7596235498874919</v>
      </c>
      <c r="N265" s="995">
        <v>3</v>
      </c>
      <c r="O265" s="997">
        <v>1.4676272295323403</v>
      </c>
      <c r="P265" s="22">
        <f t="shared" si="28"/>
        <v>0.29199632035515166</v>
      </c>
      <c r="Q265" s="982">
        <f t="shared" si="29"/>
        <v>19.895809676970643</v>
      </c>
      <c r="R265" s="6"/>
      <c r="S265" s="6"/>
      <c r="T265" s="6"/>
      <c r="U265" s="6"/>
      <c r="V265" s="6"/>
      <c r="W265" s="6"/>
      <c r="X265" s="6"/>
      <c r="Y265" s="6"/>
      <c r="Z265" s="6"/>
    </row>
    <row r="266" spans="1:26" s="93" customFormat="1" ht="15.75">
      <c r="A266" s="236">
        <v>175</v>
      </c>
      <c r="B266" s="233" t="s">
        <v>1218</v>
      </c>
      <c r="C266" s="886">
        <f>cходова!R266</f>
        <v>0.71266372538737</v>
      </c>
      <c r="D266" s="886">
        <f>прибуд.!O266</f>
        <v>0.20557970131540623</v>
      </c>
      <c r="E266" s="886">
        <f>гар.вода!M266+хол.вода!Q266+ц.о.!M266+каналізація!Q266+аварійні!I266+зварювальн!M266</f>
        <v>0.16568554742872305</v>
      </c>
      <c r="F266" s="886">
        <f>дератизац.!I266</f>
        <v>4.306620716435298E-3</v>
      </c>
      <c r="G266" s="886">
        <f>димоканал!R266</f>
        <v>2.8119067119388452E-2</v>
      </c>
      <c r="H266" s="886">
        <f>'підготовка до зими'!M266+майстерні!M266+маляри!M266+покрівлі!O266</f>
        <v>0.24675124040347499</v>
      </c>
      <c r="I266" s="886">
        <f>електрики!R266</f>
        <v>2.1341347699615387E-2</v>
      </c>
      <c r="J266" s="989">
        <f t="shared" si="26"/>
        <v>1.3844472500704135</v>
      </c>
      <c r="K266" s="989">
        <v>3.4641750741588193E-2</v>
      </c>
      <c r="L266" s="994">
        <f t="shared" si="30"/>
        <v>1.4190890008120016</v>
      </c>
      <c r="M266" s="994">
        <f t="shared" si="27"/>
        <v>1.7029068009744019</v>
      </c>
      <c r="N266" s="995">
        <v>3</v>
      </c>
      <c r="O266" s="997">
        <v>1.4272401305534335</v>
      </c>
      <c r="P266" s="22">
        <f t="shared" si="28"/>
        <v>0.27566667042096848</v>
      </c>
      <c r="Q266" s="982">
        <f t="shared" si="29"/>
        <v>19.31466643346657</v>
      </c>
      <c r="R266" s="6"/>
      <c r="S266" s="6"/>
      <c r="T266" s="6"/>
      <c r="U266" s="6"/>
      <c r="V266" s="6"/>
      <c r="W266" s="6"/>
      <c r="X266" s="6"/>
      <c r="Y266" s="6"/>
      <c r="Z266" s="6"/>
    </row>
    <row r="267" spans="1:26" s="93" customFormat="1" ht="15.75">
      <c r="A267" s="894">
        <v>176</v>
      </c>
      <c r="B267" s="233" t="s">
        <v>1219</v>
      </c>
      <c r="C267" s="886">
        <f>cходова!R267</f>
        <v>0.78181676233187769</v>
      </c>
      <c r="D267" s="886">
        <f>прибуд.!O267</f>
        <v>9.9678818698517288E-2</v>
      </c>
      <c r="E267" s="886">
        <f>гар.вода!M267+хол.вода!Q267+ц.о.!M267+каналізація!Q267+аварійні!I267+зварювальн!M267</f>
        <v>0.2063941693797654</v>
      </c>
      <c r="F267" s="886">
        <f>дератизац.!I267</f>
        <v>6.6886326194398691E-3</v>
      </c>
      <c r="G267" s="886">
        <f>димоканал!R267</f>
        <v>7.4977128019205821E-2</v>
      </c>
      <c r="H267" s="886">
        <f>'підготовка до зими'!M267+майстерні!M267+маляри!M267+покрівлі!O267</f>
        <v>0.2001788186718742</v>
      </c>
      <c r="I267" s="886">
        <f>електрики!R267</f>
        <v>3.0904099722882251E-2</v>
      </c>
      <c r="J267" s="989">
        <f t="shared" si="26"/>
        <v>1.4006384294435623</v>
      </c>
      <c r="K267" s="989">
        <v>3.5173997014324526E-2</v>
      </c>
      <c r="L267" s="994">
        <f t="shared" si="30"/>
        <v>1.4358124264578869</v>
      </c>
      <c r="M267" s="994">
        <f t="shared" si="27"/>
        <v>1.7229749117494642</v>
      </c>
      <c r="N267" s="995">
        <v>3</v>
      </c>
      <c r="O267" s="997">
        <v>1.4491686769901706</v>
      </c>
      <c r="P267" s="22">
        <f t="shared" si="28"/>
        <v>0.27380623475929355</v>
      </c>
      <c r="Q267" s="982">
        <f t="shared" si="29"/>
        <v>18.894021041634119</v>
      </c>
      <c r="R267" s="6"/>
      <c r="S267" s="6"/>
      <c r="T267" s="6"/>
      <c r="U267" s="6"/>
      <c r="V267" s="6"/>
      <c r="W267" s="6"/>
      <c r="X267" s="6"/>
      <c r="Y267" s="6"/>
      <c r="Z267" s="6"/>
    </row>
    <row r="268" spans="1:26" s="93" customFormat="1" ht="15.75">
      <c r="A268" s="236">
        <v>177</v>
      </c>
      <c r="B268" s="233" t="s">
        <v>1220</v>
      </c>
      <c r="C268" s="886">
        <f>cходова!R268</f>
        <v>0.39176294980683168</v>
      </c>
      <c r="D268" s="886">
        <f>прибуд.!O268</f>
        <v>0.20719321267637938</v>
      </c>
      <c r="E268" s="886">
        <f>гар.вода!M268+хол.вода!Q268+ц.о.!M268+каналізація!Q268+аварійні!I268+зварювальн!M268</f>
        <v>0.27063563377178779</v>
      </c>
      <c r="F268" s="886">
        <f>дератизац.!I268</f>
        <v>3.7989390488129275E-3</v>
      </c>
      <c r="G268" s="886">
        <f>димоканал!R268</f>
        <v>1.2274157200275604E-2</v>
      </c>
      <c r="H268" s="886">
        <f>'підготовка до зими'!M268+майстерні!M268+маляри!M268+покрівлі!O268</f>
        <v>0.16652171522993223</v>
      </c>
      <c r="I268" s="886">
        <f>електрики!R268</f>
        <v>1.5642252261607321E-2</v>
      </c>
      <c r="J268" s="989">
        <f t="shared" si="26"/>
        <v>1.0678288599956269</v>
      </c>
      <c r="K268" s="989">
        <v>2.6801599937690965E-2</v>
      </c>
      <c r="L268" s="994">
        <f t="shared" si="30"/>
        <v>1.0946304599333179</v>
      </c>
      <c r="M268" s="994">
        <f t="shared" si="27"/>
        <v>1.3135565519199814</v>
      </c>
      <c r="N268" s="995">
        <v>4</v>
      </c>
      <c r="O268" s="997">
        <v>1.1042259174328677</v>
      </c>
      <c r="P268" s="22">
        <f t="shared" si="28"/>
        <v>0.20933063448711375</v>
      </c>
      <c r="Q268" s="982">
        <f t="shared" si="29"/>
        <v>18.957228877019205</v>
      </c>
      <c r="R268" s="6"/>
      <c r="S268" s="6"/>
      <c r="T268" s="6"/>
      <c r="U268" s="6"/>
      <c r="V268" s="6"/>
      <c r="W268" s="6"/>
      <c r="X268" s="6"/>
      <c r="Y268" s="6"/>
      <c r="Z268" s="6"/>
    </row>
    <row r="269" spans="1:26" s="93" customFormat="1" ht="15.75">
      <c r="A269" s="236">
        <v>178</v>
      </c>
      <c r="B269" s="233" t="s">
        <v>1221</v>
      </c>
      <c r="C269" s="886">
        <f>cходова!R269</f>
        <v>0.7142010254872827</v>
      </c>
      <c r="D269" s="886">
        <f>прибуд.!O269</f>
        <v>0.22596885107839784</v>
      </c>
      <c r="E269" s="886">
        <f>гар.вода!M269+хол.вода!Q269+ц.о.!M269+каналізація!Q269+аварійні!I269+зварювальн!M269</f>
        <v>0.19956435796378869</v>
      </c>
      <c r="F269" s="886">
        <f>дератизац.!I269</f>
        <v>4.8310043260402728E-3</v>
      </c>
      <c r="G269" s="886">
        <f>димоканал!R269</f>
        <v>3.1503999590560085E-2</v>
      </c>
      <c r="H269" s="886">
        <f>'підготовка до зими'!M269+майстерні!M269+маляри!M269+покрівлі!O269</f>
        <v>0.14561433067703006</v>
      </c>
      <c r="I269" s="886">
        <f>електрики!R269</f>
        <v>3.1368162489196896E-2</v>
      </c>
      <c r="J269" s="989">
        <f t="shared" si="26"/>
        <v>1.3530517316122965</v>
      </c>
      <c r="K269" s="989">
        <v>3.3796037384969967E-2</v>
      </c>
      <c r="L269" s="994">
        <f t="shared" si="30"/>
        <v>1.3868477689972665</v>
      </c>
      <c r="M269" s="994">
        <f t="shared" si="27"/>
        <v>1.6642173227967196</v>
      </c>
      <c r="N269" s="995">
        <v>3</v>
      </c>
      <c r="O269" s="997">
        <v>1.3923967402607627</v>
      </c>
      <c r="P269" s="22">
        <f t="shared" si="28"/>
        <v>0.27182058253595698</v>
      </c>
      <c r="Q269" s="982">
        <f t="shared" si="29"/>
        <v>19.521776708917855</v>
      </c>
      <c r="R269" s="6"/>
      <c r="S269" s="6"/>
      <c r="T269" s="6"/>
      <c r="U269" s="6"/>
      <c r="V269" s="6"/>
      <c r="W269" s="6"/>
      <c r="X269" s="6"/>
      <c r="Y269" s="6"/>
      <c r="Z269" s="6"/>
    </row>
    <row r="270" spans="1:26" s="93" customFormat="1" ht="15.75">
      <c r="A270" s="236">
        <v>179</v>
      </c>
      <c r="B270" s="233" t="s">
        <v>1222</v>
      </c>
      <c r="C270" s="886">
        <f>cходова!R270</f>
        <v>0</v>
      </c>
      <c r="D270" s="886">
        <f>прибуд.!O270</f>
        <v>0.94220267815931114</v>
      </c>
      <c r="E270" s="886">
        <f>гар.вода!M270+хол.вода!Q270+ц.о.!M270+каналізація!Q270+аварійні!I270+зварювальн!M270</f>
        <v>0.1929620103027482</v>
      </c>
      <c r="F270" s="886">
        <f>дератизац.!I270</f>
        <v>1.4693218514531755E-3</v>
      </c>
      <c r="G270" s="886">
        <f>димоканал!R270</f>
        <v>3.7816119793180954E-2</v>
      </c>
      <c r="H270" s="886">
        <f>'підготовка до зими'!M270+майстерні!M270+маляри!M270+покрівлі!O270</f>
        <v>0.18711241486196259</v>
      </c>
      <c r="I270" s="886">
        <f>електрики!R270</f>
        <v>2.7535162733813772E-2</v>
      </c>
      <c r="J270" s="989">
        <f t="shared" si="26"/>
        <v>1.3890977077024698</v>
      </c>
      <c r="K270" s="989">
        <v>3.4749224137290091E-2</v>
      </c>
      <c r="L270" s="994">
        <f t="shared" si="30"/>
        <v>1.4238469318397597</v>
      </c>
      <c r="M270" s="994">
        <f t="shared" si="27"/>
        <v>1.7086163182077116</v>
      </c>
      <c r="N270" s="995">
        <v>3</v>
      </c>
      <c r="O270" s="997">
        <v>1.4316680344563519</v>
      </c>
      <c r="P270" s="22">
        <f t="shared" si="28"/>
        <v>0.27694828375135971</v>
      </c>
      <c r="Q270" s="982">
        <f t="shared" si="29"/>
        <v>19.344448369731566</v>
      </c>
      <c r="R270" s="6"/>
      <c r="S270" s="6"/>
      <c r="T270" s="6"/>
      <c r="U270" s="6"/>
      <c r="V270" s="6"/>
      <c r="W270" s="6"/>
      <c r="X270" s="6"/>
      <c r="Y270" s="6"/>
      <c r="Z270" s="6"/>
    </row>
    <row r="271" spans="1:26" s="93" customFormat="1" ht="15.75">
      <c r="A271" s="236">
        <v>180</v>
      </c>
      <c r="B271" s="233" t="s">
        <v>1223</v>
      </c>
      <c r="C271" s="886">
        <f>cходова!R271</f>
        <v>0.48031677637132897</v>
      </c>
      <c r="D271" s="886">
        <f>прибуд.!O271</f>
        <v>0.13507285892480919</v>
      </c>
      <c r="E271" s="886">
        <f>гар.вода!M271+хол.вода!Q271+ц.о.!M271+каналізація!Q271+аварійні!I271+зварювальн!M271</f>
        <v>0.33285218589726945</v>
      </c>
      <c r="F271" s="886">
        <f>дератизац.!I271</f>
        <v>3.6117816132047831E-3</v>
      </c>
      <c r="G271" s="886">
        <f>димоканал!R271</f>
        <v>2.1782947932338363E-2</v>
      </c>
      <c r="H271" s="886">
        <f>'підготовка до зими'!M271+майстерні!M271+маляри!M271+покрівлі!O271</f>
        <v>0.13632654896536808</v>
      </c>
      <c r="I271" s="886">
        <f>електрики!R271</f>
        <v>1.4038498180138562E-2</v>
      </c>
      <c r="J271" s="989">
        <f t="shared" si="26"/>
        <v>1.1240015978844573</v>
      </c>
      <c r="K271" s="989">
        <v>2.8306554218895347E-2</v>
      </c>
      <c r="L271" s="994">
        <f t="shared" si="30"/>
        <v>1.1523081521033527</v>
      </c>
      <c r="M271" s="994">
        <f t="shared" si="27"/>
        <v>1.3827697825240233</v>
      </c>
      <c r="N271" s="995">
        <v>5</v>
      </c>
      <c r="O271" s="997">
        <v>1.1662300338184883</v>
      </c>
      <c r="P271" s="22">
        <f t="shared" si="28"/>
        <v>0.21653974870553494</v>
      </c>
      <c r="Q271" s="982">
        <f t="shared" si="29"/>
        <v>18.567498900413099</v>
      </c>
      <c r="R271" s="6"/>
      <c r="S271" s="6"/>
      <c r="T271" s="6"/>
      <c r="U271" s="6"/>
      <c r="V271" s="6"/>
      <c r="W271" s="6"/>
      <c r="X271" s="6"/>
      <c r="Y271" s="6"/>
      <c r="Z271" s="6"/>
    </row>
    <row r="272" spans="1:26" s="93" customFormat="1" ht="15.75">
      <c r="A272" s="236">
        <v>181</v>
      </c>
      <c r="B272" s="233" t="s">
        <v>1224</v>
      </c>
      <c r="C272" s="886">
        <f>cходова!R272</f>
        <v>0.65204866768949654</v>
      </c>
      <c r="D272" s="886">
        <f>прибуд.!O272</f>
        <v>0.19559565977994159</v>
      </c>
      <c r="E272" s="886">
        <f>гар.вода!M272+хол.вода!Q272+ц.о.!M272+каналізація!Q272+аварійні!I272+зварювальн!M272</f>
        <v>0.19572710881629604</v>
      </c>
      <c r="F272" s="886">
        <f>дератизац.!I272</f>
        <v>4.6689386562804294E-3</v>
      </c>
      <c r="G272" s="886">
        <f>димоканал!R272</f>
        <v>4.2691243228813285E-2</v>
      </c>
      <c r="H272" s="886">
        <f>'підготовка до зими'!M272+майстерні!M272+маляри!M272+покрівлі!O272</f>
        <v>0.16300602753046556</v>
      </c>
      <c r="I272" s="886">
        <f>електрики!R272</f>
        <v>2.9770851307942832E-2</v>
      </c>
      <c r="J272" s="989">
        <f t="shared" si="26"/>
        <v>1.2835084970092363</v>
      </c>
      <c r="K272" s="989">
        <v>3.2116145268425211E-2</v>
      </c>
      <c r="L272" s="994">
        <f t="shared" si="30"/>
        <v>1.3156246422776614</v>
      </c>
      <c r="M272" s="994">
        <f t="shared" si="27"/>
        <v>1.5787495707331936</v>
      </c>
      <c r="N272" s="995">
        <v>3</v>
      </c>
      <c r="O272" s="997">
        <v>1.323185185059119</v>
      </c>
      <c r="P272" s="22">
        <f t="shared" si="28"/>
        <v>0.25556438567407458</v>
      </c>
      <c r="Q272" s="982">
        <f t="shared" si="29"/>
        <v>19.314332457754674</v>
      </c>
      <c r="R272" s="6"/>
      <c r="S272" s="6"/>
      <c r="T272" s="6"/>
      <c r="U272" s="6"/>
      <c r="V272" s="6"/>
      <c r="W272" s="6"/>
      <c r="X272" s="6"/>
      <c r="Y272" s="6"/>
      <c r="Z272" s="6"/>
    </row>
    <row r="273" spans="1:26" s="93" customFormat="1" ht="15.75">
      <c r="A273" s="236">
        <v>182</v>
      </c>
      <c r="B273" s="233" t="s">
        <v>1225</v>
      </c>
      <c r="C273" s="886">
        <f>cходова!R273</f>
        <v>0</v>
      </c>
      <c r="D273" s="886">
        <f>прибуд.!O273</f>
        <v>0.20552141135252144</v>
      </c>
      <c r="E273" s="886">
        <f>гар.вода!M273+хол.вода!Q273+ц.о.!M273+каналізація!Q273+аварійні!I273+зварювальн!M273</f>
        <v>0.18021824688316024</v>
      </c>
      <c r="F273" s="886">
        <f>дератизац.!I273</f>
        <v>5.1034728829686023E-3</v>
      </c>
      <c r="G273" s="886">
        <f>димоканал!R273</f>
        <v>3.5706377424641486E-2</v>
      </c>
      <c r="H273" s="886">
        <f>'підготовка до зими'!M273+майстерні!M273+маляри!M273+покрівлі!O273</f>
        <v>0.11493934477953864</v>
      </c>
      <c r="I273" s="886">
        <f>електрики!R273</f>
        <v>2.4338883139593714E-2</v>
      </c>
      <c r="J273" s="989">
        <f t="shared" si="26"/>
        <v>0.56582773646242412</v>
      </c>
      <c r="K273" s="989">
        <v>1.4294311309274313E-2</v>
      </c>
      <c r="L273" s="994">
        <f t="shared" si="30"/>
        <v>0.5801220477716984</v>
      </c>
      <c r="M273" s="994">
        <f t="shared" si="27"/>
        <v>0.69614645732603808</v>
      </c>
      <c r="N273" s="995">
        <v>2</v>
      </c>
      <c r="O273" s="997">
        <v>0.58892562594210174</v>
      </c>
      <c r="P273" s="22">
        <f t="shared" si="28"/>
        <v>0.10722083138393634</v>
      </c>
      <c r="Q273" s="982">
        <f t="shared" si="29"/>
        <v>18.206175221602152</v>
      </c>
      <c r="R273" s="6"/>
      <c r="S273" s="6"/>
      <c r="T273" s="6"/>
      <c r="U273" s="6"/>
      <c r="V273" s="6"/>
      <c r="W273" s="6"/>
      <c r="X273" s="6"/>
      <c r="Y273" s="6"/>
      <c r="Z273" s="6"/>
    </row>
    <row r="274" spans="1:26" s="93" customFormat="1" ht="15.75">
      <c r="A274" s="894">
        <v>183</v>
      </c>
      <c r="B274" s="233" t="s">
        <v>1226</v>
      </c>
      <c r="C274" s="886">
        <f>cходова!R274</f>
        <v>0</v>
      </c>
      <c r="D274" s="886">
        <f>прибуд.!O274</f>
        <v>0.18984731663567692</v>
      </c>
      <c r="E274" s="886">
        <f>гар.вода!M274+хол.вода!Q274+ц.о.!M274+каналізація!Q274+аварійні!I274+зварювальн!M274</f>
        <v>0.20170138344406049</v>
      </c>
      <c r="F274" s="886">
        <f>дератизац.!I274</f>
        <v>7.3213248111563059E-3</v>
      </c>
      <c r="G274" s="886">
        <f>димоканал!R274</f>
        <v>4.1367772037389207E-2</v>
      </c>
      <c r="H274" s="886">
        <f>'підготовка до зими'!M274+майстерні!M274+маляри!M274+покрівлі!O274</f>
        <v>0.2094678037993622</v>
      </c>
      <c r="I274" s="886">
        <f>електрики!R274</f>
        <v>3.2669433179710085E-2</v>
      </c>
      <c r="J274" s="989">
        <f t="shared" si="26"/>
        <v>0.68237503390735521</v>
      </c>
      <c r="K274" s="989">
        <v>1.7295686769511522E-2</v>
      </c>
      <c r="L274" s="994">
        <f t="shared" si="30"/>
        <v>0.69967072067686675</v>
      </c>
      <c r="M274" s="994">
        <f t="shared" si="27"/>
        <v>0.83960486481224006</v>
      </c>
      <c r="N274" s="995">
        <v>2</v>
      </c>
      <c r="O274" s="997">
        <v>0.71258229490387481</v>
      </c>
      <c r="P274" s="22">
        <f t="shared" si="28"/>
        <v>0.12702256990836525</v>
      </c>
      <c r="Q274" s="982">
        <f t="shared" si="29"/>
        <v>17.825670216167836</v>
      </c>
      <c r="R274" s="6"/>
      <c r="S274" s="6"/>
      <c r="T274" s="6"/>
      <c r="U274" s="6"/>
      <c r="V274" s="6"/>
      <c r="W274" s="6"/>
      <c r="X274" s="6"/>
      <c r="Y274" s="6"/>
      <c r="Z274" s="6"/>
    </row>
    <row r="275" spans="1:26" s="93" customFormat="1" ht="15.75">
      <c r="A275" s="236">
        <v>184</v>
      </c>
      <c r="B275" s="233" t="s">
        <v>1227</v>
      </c>
      <c r="C275" s="886">
        <f>cходова!R275</f>
        <v>0</v>
      </c>
      <c r="D275" s="886">
        <f>прибуд.!O275</f>
        <v>0.37739912340772541</v>
      </c>
      <c r="E275" s="886">
        <f>гар.вода!M275+хол.вода!Q275+ц.о.!M275+каналізація!Q275+аварійні!I275+зварювальн!M275</f>
        <v>0.19017682696968025</v>
      </c>
      <c r="F275" s="886">
        <f>дератизац.!I275</f>
        <v>6.589413447782546E-3</v>
      </c>
      <c r="G275" s="886">
        <f>димоканал!R275</f>
        <v>4.015796146218209E-2</v>
      </c>
      <c r="H275" s="886">
        <f>'підготовка до зими'!M275+майстерні!M275+маляри!M275+покрівлі!O275</f>
        <v>0.19850018728293597</v>
      </c>
      <c r="I275" s="886">
        <f>електрики!R275</f>
        <v>2.6836607341615918E-2</v>
      </c>
      <c r="J275" s="989">
        <f t="shared" si="26"/>
        <v>0.83966011991192224</v>
      </c>
      <c r="K275" s="989">
        <v>2.1191986099331907E-2</v>
      </c>
      <c r="L275" s="994">
        <f t="shared" si="30"/>
        <v>0.86085210601125417</v>
      </c>
      <c r="M275" s="994">
        <f t="shared" si="27"/>
        <v>1.033022527213505</v>
      </c>
      <c r="N275" s="995">
        <v>2</v>
      </c>
      <c r="O275" s="997">
        <v>0.87310982729247455</v>
      </c>
      <c r="P275" s="22">
        <f t="shared" si="28"/>
        <v>0.15991269992103041</v>
      </c>
      <c r="Q275" s="982">
        <f t="shared" si="29"/>
        <v>18.315301800796561</v>
      </c>
      <c r="R275" s="6"/>
      <c r="S275" s="6"/>
      <c r="T275" s="6"/>
      <c r="U275" s="6"/>
      <c r="V275" s="6"/>
      <c r="W275" s="6"/>
      <c r="X275" s="6"/>
      <c r="Y275" s="6"/>
      <c r="Z275" s="6"/>
    </row>
    <row r="276" spans="1:26" s="93" customFormat="1" ht="15.75">
      <c r="A276" s="236">
        <v>185</v>
      </c>
      <c r="B276" s="233" t="s">
        <v>1228</v>
      </c>
      <c r="C276" s="886">
        <f>cходова!R276</f>
        <v>0</v>
      </c>
      <c r="D276" s="886">
        <f>прибуд.!O276</f>
        <v>8.8469790925291295E-2</v>
      </c>
      <c r="E276" s="886">
        <f>гар.вода!M276+хол.вода!Q276+ц.о.!M276+каналізація!Q276+аварійні!I276+зварювальн!M276</f>
        <v>0.18414982957718309</v>
      </c>
      <c r="F276" s="886">
        <f>дератизац.!I276</f>
        <v>4.7178432716472483E-3</v>
      </c>
      <c r="G276" s="886">
        <f>димоканал!R276</f>
        <v>3.1578671823972344E-2</v>
      </c>
      <c r="H276" s="886">
        <f>'підготовка до зими'!M276+майстерні!M276+маляри!M276+покрівлі!O276</f>
        <v>0.22798770633860152</v>
      </c>
      <c r="I276" s="886">
        <f>електрики!R276</f>
        <v>3.1670681936787515E-2</v>
      </c>
      <c r="J276" s="989">
        <f t="shared" si="26"/>
        <v>0.56857452387348295</v>
      </c>
      <c r="K276" s="989">
        <v>1.4326567216194491E-2</v>
      </c>
      <c r="L276" s="994">
        <f t="shared" si="30"/>
        <v>0.58290109108967747</v>
      </c>
      <c r="M276" s="994">
        <f t="shared" si="27"/>
        <v>0.69948130930761299</v>
      </c>
      <c r="N276" s="995">
        <v>2</v>
      </c>
      <c r="O276" s="997">
        <v>0.5902545693072131</v>
      </c>
      <c r="P276" s="22">
        <f t="shared" si="28"/>
        <v>0.10922674000039989</v>
      </c>
      <c r="Q276" s="982">
        <f t="shared" si="29"/>
        <v>18.505022354778248</v>
      </c>
      <c r="R276" s="6"/>
      <c r="S276" s="6"/>
      <c r="T276" s="6"/>
      <c r="U276" s="6"/>
      <c r="V276" s="6"/>
      <c r="W276" s="6"/>
      <c r="X276" s="6"/>
      <c r="Y276" s="6"/>
      <c r="Z276" s="6"/>
    </row>
    <row r="277" spans="1:26" s="93" customFormat="1" ht="15.75">
      <c r="A277" s="236">
        <v>186</v>
      </c>
      <c r="B277" s="899" t="s">
        <v>1229</v>
      </c>
      <c r="C277" s="886">
        <f>cходова!R277</f>
        <v>0</v>
      </c>
      <c r="D277" s="886">
        <f>прибуд.!O277</f>
        <v>0.1524221040954403</v>
      </c>
      <c r="E277" s="886">
        <f>гар.вода!M277+хол.вода!Q277+ц.о.!M277+каналізація!Q277+аварійні!I277+зварювальн!M277</f>
        <v>0.16882053384336534</v>
      </c>
      <c r="F277" s="886">
        <f>дератизац.!I277</f>
        <v>4.3203656386079821E-3</v>
      </c>
      <c r="G277" s="886">
        <f>димоканал!R277</f>
        <v>3.2900186905511969E-2</v>
      </c>
      <c r="H277" s="886">
        <f>'підготовка до зими'!M277+майстерні!M277+маляри!M277+покрівлі!O277</f>
        <v>0.2268587028992709</v>
      </c>
      <c r="I277" s="886">
        <f>електрики!R277</f>
        <v>2.4687535434226877E-2</v>
      </c>
      <c r="J277" s="1000">
        <f t="shared" si="26"/>
        <v>0.61000942881642339</v>
      </c>
      <c r="K277" s="1000">
        <v>1.5375504303443433E-2</v>
      </c>
      <c r="L277" s="994">
        <f t="shared" si="30"/>
        <v>0.62538493311986687</v>
      </c>
      <c r="M277" s="1009">
        <f t="shared" si="27"/>
        <v>0.75046191974384024</v>
      </c>
      <c r="N277" s="995">
        <v>3</v>
      </c>
      <c r="O277" s="997">
        <v>0.63347077730186951</v>
      </c>
      <c r="P277" s="22">
        <f t="shared" si="28"/>
        <v>0.11699114244197073</v>
      </c>
      <c r="Q277" s="982">
        <f t="shared" si="29"/>
        <v>18.468277722339295</v>
      </c>
      <c r="R277" s="6"/>
      <c r="S277" s="6"/>
      <c r="T277" s="6"/>
      <c r="U277" s="6"/>
      <c r="V277" s="6"/>
      <c r="W277" s="6"/>
      <c r="X277" s="6"/>
      <c r="Y277" s="6"/>
      <c r="Z277" s="6"/>
    </row>
    <row r="278" spans="1:26" s="93" customFormat="1" ht="15.75">
      <c r="A278" s="236">
        <v>187</v>
      </c>
      <c r="B278" s="233" t="s">
        <v>1230</v>
      </c>
      <c r="C278" s="886">
        <f>cходова!R278</f>
        <v>0</v>
      </c>
      <c r="D278" s="886">
        <f>прибуд.!O278</f>
        <v>0.2746068515128593</v>
      </c>
      <c r="E278" s="886">
        <f>гар.вода!M278+хол.вода!Q278+ц.о.!M278+каналізація!Q278+аварійні!I278+зварювальн!M278</f>
        <v>0.18604166309224429</v>
      </c>
      <c r="F278" s="886">
        <f>дератизац.!I278</f>
        <v>6.3804841149773068E-3</v>
      </c>
      <c r="G278" s="886">
        <f>димоканал!R278</f>
        <v>3.661897201254654E-2</v>
      </c>
      <c r="H278" s="886">
        <f>'підготовка до зими'!M278+майстерні!M278+маляри!M278+покрівлі!O278</f>
        <v>0.23512092988655792</v>
      </c>
      <c r="I278" s="886">
        <f>електрики!R278</f>
        <v>2.679954549996123E-2</v>
      </c>
      <c r="J278" s="989">
        <f t="shared" si="26"/>
        <v>0.76556844611914654</v>
      </c>
      <c r="K278" s="989">
        <v>1.9310032437916198E-2</v>
      </c>
      <c r="L278" s="994">
        <f t="shared" si="30"/>
        <v>0.78487847855706272</v>
      </c>
      <c r="M278" s="994">
        <f t="shared" si="27"/>
        <v>0.94185417426847517</v>
      </c>
      <c r="N278" s="995">
        <v>2</v>
      </c>
      <c r="O278" s="997">
        <v>0.79557333644214734</v>
      </c>
      <c r="P278" s="22">
        <f t="shared" si="28"/>
        <v>0.14628083782632784</v>
      </c>
      <c r="Q278" s="982">
        <f t="shared" si="29"/>
        <v>18.386845200280931</v>
      </c>
      <c r="R278" s="6"/>
      <c r="S278" s="6"/>
      <c r="T278" s="6"/>
      <c r="U278" s="6"/>
      <c r="V278" s="6"/>
      <c r="W278" s="6"/>
      <c r="X278" s="6"/>
      <c r="Y278" s="6"/>
      <c r="Z278" s="6"/>
    </row>
    <row r="279" spans="1:26" s="93" customFormat="1" ht="15.75">
      <c r="A279" s="236">
        <v>188</v>
      </c>
      <c r="B279" s="233" t="s">
        <v>1231</v>
      </c>
      <c r="C279" s="886">
        <f>cходова!R279</f>
        <v>0.516359181843565</v>
      </c>
      <c r="D279" s="886">
        <f>прибуд.!O279</f>
        <v>0.19319165998988136</v>
      </c>
      <c r="E279" s="886">
        <f>гар.вода!M279+хол.вода!Q279+ц.о.!M279+каналізація!Q279+аварійні!I279+зварювальн!M279</f>
        <v>0.14624393630892754</v>
      </c>
      <c r="F279" s="886">
        <f>дератизац.!I279</f>
        <v>4.289167463038957E-3</v>
      </c>
      <c r="G279" s="886">
        <f>димоканал!R279</f>
        <v>1.4323030729356435E-2</v>
      </c>
      <c r="H279" s="886">
        <f>'підготовка до зими'!M279+майстерні!M279+маляри!M279+покрівлі!O279</f>
        <v>0.17086139817512924</v>
      </c>
      <c r="I279" s="886">
        <f>електрики!R279</f>
        <v>1.7009117329193191E-2</v>
      </c>
      <c r="J279" s="989">
        <f t="shared" si="26"/>
        <v>1.0622774918390916</v>
      </c>
      <c r="K279" s="989">
        <v>2.649801283638005E-2</v>
      </c>
      <c r="L279" s="994">
        <f t="shared" si="30"/>
        <v>1.0887755046754717</v>
      </c>
      <c r="M279" s="994">
        <f t="shared" si="27"/>
        <v>1.3065306056105659</v>
      </c>
      <c r="N279" s="995">
        <v>5</v>
      </c>
      <c r="O279" s="997">
        <v>1.0917181288588582</v>
      </c>
      <c r="P279" s="22">
        <f t="shared" si="28"/>
        <v>0.21481247675170767</v>
      </c>
      <c r="Q279" s="982">
        <f t="shared" si="29"/>
        <v>19.676551215307285</v>
      </c>
      <c r="R279" s="6"/>
      <c r="S279" s="6"/>
      <c r="T279" s="6"/>
      <c r="U279" s="6"/>
      <c r="V279" s="6"/>
      <c r="W279" s="6"/>
      <c r="X279" s="6"/>
      <c r="Y279" s="6"/>
      <c r="Z279" s="6"/>
    </row>
    <row r="280" spans="1:26" s="93" customFormat="1" ht="15.75">
      <c r="A280" s="236">
        <v>189</v>
      </c>
      <c r="B280" s="233" t="s">
        <v>1232</v>
      </c>
      <c r="C280" s="886">
        <f>cходова!R280</f>
        <v>0</v>
      </c>
      <c r="D280" s="886">
        <f>прибуд.!O280</f>
        <v>0.68295342147503335</v>
      </c>
      <c r="E280" s="886">
        <f>гар.вода!M280+хол.вода!Q280+ц.о.!M280+каналізація!Q280+аварійні!I280+зварювальн!M280</f>
        <v>0.18538381003314891</v>
      </c>
      <c r="F280" s="886">
        <f>дератизац.!I280</f>
        <v>3.7928065812129329E-3</v>
      </c>
      <c r="G280" s="886">
        <f>димоканал!R280</f>
        <v>2.1276766418444407E-2</v>
      </c>
      <c r="H280" s="886">
        <f>'підготовка до зими'!M280+майстерні!M280+маляри!M280+покрівлі!O280</f>
        <v>0.18169365740113844</v>
      </c>
      <c r="I280" s="886">
        <f>електрики!R280</f>
        <v>2.6447649069182167E-2</v>
      </c>
      <c r="J280" s="989">
        <f t="shared" si="26"/>
        <v>1.1015481109781602</v>
      </c>
      <c r="K280" s="989">
        <v>2.7577460264742955E-2</v>
      </c>
      <c r="L280" s="994">
        <f t="shared" si="30"/>
        <v>1.1291255712429031</v>
      </c>
      <c r="M280" s="994">
        <f t="shared" si="27"/>
        <v>1.3549506854914837</v>
      </c>
      <c r="N280" s="995">
        <v>2</v>
      </c>
      <c r="O280" s="997">
        <v>1.1361913629074096</v>
      </c>
      <c r="P280" s="22">
        <f t="shared" si="28"/>
        <v>0.21875932258407405</v>
      </c>
      <c r="Q280" s="982">
        <f t="shared" si="29"/>
        <v>19.253739266622219</v>
      </c>
      <c r="R280" s="6"/>
      <c r="S280" s="6"/>
      <c r="T280" s="6"/>
      <c r="U280" s="6"/>
      <c r="V280" s="6"/>
      <c r="W280" s="6"/>
      <c r="X280" s="6"/>
      <c r="Y280" s="6"/>
      <c r="Z280" s="6"/>
    </row>
    <row r="281" spans="1:26" s="93" customFormat="1" ht="15.75">
      <c r="A281" s="894">
        <v>190</v>
      </c>
      <c r="B281" s="233" t="s">
        <v>1233</v>
      </c>
      <c r="C281" s="886">
        <f>cходова!R281</f>
        <v>0</v>
      </c>
      <c r="D281" s="886">
        <f>прибуд.!O281</f>
        <v>0.31329472077669901</v>
      </c>
      <c r="E281" s="886">
        <f>гар.вода!M281+хол.вода!Q281+ц.о.!M281+каналізація!Q281+аварійні!I281+зварювальн!M281</f>
        <v>0.19319886982410189</v>
      </c>
      <c r="F281" s="886">
        <f>дератизац.!I281</f>
        <v>7.0415318230852217E-3</v>
      </c>
      <c r="G281" s="886">
        <f>димоканал!R281</f>
        <v>2.8231602737683065E-2</v>
      </c>
      <c r="H281" s="886">
        <f>'підготовка до зими'!M281+майстерні!M281+маляри!M281+покрівлі!O281</f>
        <v>0.2747057883479247</v>
      </c>
      <c r="I281" s="886">
        <f>електрики!R281</f>
        <v>2.7594569773153173E-2</v>
      </c>
      <c r="J281" s="989">
        <f t="shared" ref="J281:J344" si="31">I281+H281+G281+F281+E281+D281+C281</f>
        <v>0.8440670832826469</v>
      </c>
      <c r="K281" s="989">
        <v>2.1366218841222574E-2</v>
      </c>
      <c r="L281" s="994">
        <f t="shared" si="30"/>
        <v>0.86543330212386949</v>
      </c>
      <c r="M281" s="994">
        <f t="shared" ref="M281:M344" si="32">L281*1.2</f>
        <v>1.0385199625486434</v>
      </c>
      <c r="N281" s="995">
        <v>2</v>
      </c>
      <c r="O281" s="997">
        <v>0.88028821625837006</v>
      </c>
      <c r="P281" s="22">
        <f t="shared" si="28"/>
        <v>0.15823174629027337</v>
      </c>
      <c r="Q281" s="982">
        <f t="shared" si="29"/>
        <v>17.974993117916654</v>
      </c>
      <c r="R281" s="6"/>
      <c r="S281" s="6"/>
      <c r="T281" s="6"/>
      <c r="U281" s="6"/>
      <c r="V281" s="6"/>
      <c r="W281" s="6"/>
      <c r="X281" s="6"/>
      <c r="Y281" s="6"/>
      <c r="Z281" s="6"/>
    </row>
    <row r="282" spans="1:26" s="93" customFormat="1" ht="15.75">
      <c r="A282" s="236">
        <v>191</v>
      </c>
      <c r="B282" s="233" t="s">
        <v>1234</v>
      </c>
      <c r="C282" s="886">
        <f>cходова!R282</f>
        <v>0.76350467310132941</v>
      </c>
      <c r="D282" s="886">
        <f>прибуд.!O282</f>
        <v>0.17698926061429165</v>
      </c>
      <c r="E282" s="886">
        <f>гар.вода!M282+хол.вода!Q282+ц.о.!M282+каналізація!Q282+аварійні!I282+зварювальн!M282</f>
        <v>0.18972766038031019</v>
      </c>
      <c r="F282" s="886">
        <f>дератизац.!I282</f>
        <v>3.7442540743836193E-3</v>
      </c>
      <c r="G282" s="886">
        <f>димоканал!R282</f>
        <v>1.9111568261922729E-2</v>
      </c>
      <c r="H282" s="886">
        <f>'підготовка до зими'!M282+майстерні!M282+маляри!M282+покрівлі!O282</f>
        <v>0.23085811896826422</v>
      </c>
      <c r="I282" s="886">
        <f>електрики!R282</f>
        <v>2.6723951295145206E-2</v>
      </c>
      <c r="J282" s="989">
        <f t="shared" si="31"/>
        <v>1.410659486695647</v>
      </c>
      <c r="K282" s="989">
        <v>3.528637598886205E-2</v>
      </c>
      <c r="L282" s="994">
        <f t="shared" si="30"/>
        <v>1.445945862684509</v>
      </c>
      <c r="M282" s="994">
        <f t="shared" si="32"/>
        <v>1.7351350352214108</v>
      </c>
      <c r="N282" s="995">
        <v>3</v>
      </c>
      <c r="O282" s="997">
        <v>1.4537986907411162</v>
      </c>
      <c r="P282" s="22">
        <f t="shared" si="28"/>
        <v>0.28133634448029454</v>
      </c>
      <c r="Q282" s="982">
        <f t="shared" si="29"/>
        <v>19.351808903946349</v>
      </c>
      <c r="R282" s="6"/>
      <c r="S282" s="6"/>
      <c r="T282" s="6"/>
      <c r="U282" s="6"/>
      <c r="V282" s="6"/>
      <c r="W282" s="6"/>
      <c r="X282" s="6"/>
      <c r="Y282" s="6"/>
      <c r="Z282" s="6"/>
    </row>
    <row r="283" spans="1:26" s="93" customFormat="1" ht="15.75">
      <c r="A283" s="236">
        <v>192</v>
      </c>
      <c r="B283" s="233" t="s">
        <v>1235</v>
      </c>
      <c r="C283" s="886">
        <f>cходова!R283</f>
        <v>0.76483786572456547</v>
      </c>
      <c r="D283" s="886">
        <f>прибуд.!O283</f>
        <v>0.17064962353438895</v>
      </c>
      <c r="E283" s="886">
        <f>гар.вода!M283+хол.вода!Q283+ц.о.!M283+каналізація!Q283+аварійні!I283+зварювальн!M283</f>
        <v>0.14481771437637436</v>
      </c>
      <c r="F283" s="886">
        <f>дератизац.!I283</f>
        <v>3.5466779483460257E-3</v>
      </c>
      <c r="G283" s="886">
        <f>димоканал!R283</f>
        <v>2.1375613194701999E-2</v>
      </c>
      <c r="H283" s="886">
        <f>'підготовка до зими'!M283+майстерні!M283+маляри!M283+покрівлі!O283</f>
        <v>0.17404238815153988</v>
      </c>
      <c r="I283" s="886">
        <f>електрики!R283</f>
        <v>1.5460030327398159E-2</v>
      </c>
      <c r="J283" s="989">
        <f t="shared" si="31"/>
        <v>1.2947299132573149</v>
      </c>
      <c r="K283" s="989">
        <v>3.2310202857642467E-2</v>
      </c>
      <c r="L283" s="994">
        <f t="shared" si="30"/>
        <v>1.3270401161149574</v>
      </c>
      <c r="M283" s="994">
        <f t="shared" si="32"/>
        <v>1.5924481393379488</v>
      </c>
      <c r="N283" s="995">
        <v>3</v>
      </c>
      <c r="O283" s="997">
        <v>1.3311803577348698</v>
      </c>
      <c r="P283" s="22">
        <f t="shared" si="28"/>
        <v>0.26126778160307906</v>
      </c>
      <c r="Q283" s="982">
        <f t="shared" si="29"/>
        <v>19.62677559693347</v>
      </c>
      <c r="R283" s="6"/>
      <c r="S283" s="6"/>
      <c r="T283" s="6"/>
      <c r="U283" s="6"/>
      <c r="V283" s="6"/>
      <c r="W283" s="6"/>
      <c r="X283" s="6"/>
      <c r="Y283" s="6"/>
      <c r="Z283" s="6"/>
    </row>
    <row r="284" spans="1:26" s="93" customFormat="1" ht="15.75">
      <c r="A284" s="236">
        <v>193</v>
      </c>
      <c r="B284" s="233" t="s">
        <v>1236</v>
      </c>
      <c r="C284" s="886">
        <f>cходова!R284</f>
        <v>0</v>
      </c>
      <c r="D284" s="886">
        <f>прибуд.!O284</f>
        <v>0.14847863300613495</v>
      </c>
      <c r="E284" s="886">
        <f>гар.вода!M284+хол.вода!Q284+ц.о.!M284+каналізація!Q284+аварійні!I284+зварювальн!M284</f>
        <v>0.1874615654978154</v>
      </c>
      <c r="F284" s="886">
        <f>дератизац.!I284</f>
        <v>4.7373466257668714E-3</v>
      </c>
      <c r="G284" s="886">
        <f>димоканал!R284</f>
        <v>3.0240589980686291E-2</v>
      </c>
      <c r="H284" s="886">
        <f>'підготовка до зими'!M284+майстерні!M284+маляри!M284+покрівлі!O284</f>
        <v>0.21761065724175577</v>
      </c>
      <c r="I284" s="886">
        <f>електрики!R284</f>
        <v>3.7418418255202771E-2</v>
      </c>
      <c r="J284" s="989">
        <f t="shared" si="31"/>
        <v>0.62594721060736203</v>
      </c>
      <c r="K284" s="989">
        <v>1.5721336934459748E-2</v>
      </c>
      <c r="L284" s="994">
        <f t="shared" si="30"/>
        <v>0.64166854754182179</v>
      </c>
      <c r="M284" s="994">
        <f t="shared" si="32"/>
        <v>0.7700022570501861</v>
      </c>
      <c r="N284" s="995">
        <v>2</v>
      </c>
      <c r="O284" s="997">
        <v>0.64771908169974168</v>
      </c>
      <c r="P284" s="22">
        <f t="shared" ref="P284:P347" si="33">M284-O284</f>
        <v>0.12228317535044442</v>
      </c>
      <c r="Q284" s="982">
        <f t="shared" ref="Q284:Q347" si="34">M284/O284*100-100</f>
        <v>18.87904475958149</v>
      </c>
      <c r="R284" s="6"/>
      <c r="S284" s="6"/>
      <c r="T284" s="6"/>
      <c r="U284" s="6"/>
      <c r="V284" s="6"/>
      <c r="W284" s="6"/>
      <c r="X284" s="6"/>
      <c r="Y284" s="6"/>
      <c r="Z284" s="6"/>
    </row>
    <row r="285" spans="1:26" s="93" customFormat="1" ht="15.75">
      <c r="A285" s="236">
        <v>194</v>
      </c>
      <c r="B285" s="233" t="s">
        <v>1237</v>
      </c>
      <c r="C285" s="886">
        <f>cходова!R285</f>
        <v>0</v>
      </c>
      <c r="D285" s="886">
        <f>прибуд.!O285</f>
        <v>0.41078388424328149</v>
      </c>
      <c r="E285" s="886">
        <f>гар.вода!M285+хол.вода!Q285+ц.о.!M285+каналізація!Q285+аварійні!I285+зварювальн!M285</f>
        <v>0.15530612045019832</v>
      </c>
      <c r="F285" s="886">
        <f>дератизац.!I285</f>
        <v>6.3737623762376242E-3</v>
      </c>
      <c r="G285" s="886">
        <f>димоканал!R285</f>
        <v>4.5425145399809241E-2</v>
      </c>
      <c r="H285" s="886">
        <f>'підготовка до зими'!M285+майстерні!M285+маляри!M285+покрівлі!O285</f>
        <v>0.24470379575305184</v>
      </c>
      <c r="I285" s="886">
        <f>електрики!R285</f>
        <v>1.8090640862597589E-2</v>
      </c>
      <c r="J285" s="989">
        <f t="shared" si="31"/>
        <v>0.88068334908517609</v>
      </c>
      <c r="K285" s="989">
        <v>2.2232598255510598E-2</v>
      </c>
      <c r="L285" s="994">
        <f t="shared" ref="L285:L348" si="35">J285+K285</f>
        <v>0.9029159473406867</v>
      </c>
      <c r="M285" s="994">
        <f t="shared" si="32"/>
        <v>1.083499136808824</v>
      </c>
      <c r="N285" s="995">
        <v>2</v>
      </c>
      <c r="O285" s="997">
        <v>0.91598304812703668</v>
      </c>
      <c r="P285" s="22">
        <f t="shared" si="33"/>
        <v>0.16751608868178736</v>
      </c>
      <c r="Q285" s="982">
        <f t="shared" si="34"/>
        <v>18.288121054676409</v>
      </c>
      <c r="R285" s="6"/>
      <c r="S285" s="6"/>
      <c r="T285" s="6"/>
      <c r="U285" s="6"/>
      <c r="V285" s="6"/>
      <c r="W285" s="6"/>
      <c r="X285" s="6"/>
      <c r="Y285" s="6"/>
      <c r="Z285" s="6"/>
    </row>
    <row r="286" spans="1:26" s="93" customFormat="1" ht="15.75">
      <c r="A286" s="236">
        <v>195</v>
      </c>
      <c r="B286" s="233" t="s">
        <v>1238</v>
      </c>
      <c r="C286" s="886">
        <f>cходова!R286</f>
        <v>0</v>
      </c>
      <c r="D286" s="886">
        <f>прибуд.!O286</f>
        <v>0.57497093168499769</v>
      </c>
      <c r="E286" s="886">
        <f>гар.вода!M286+хол.вода!Q286+ц.о.!M286+каналізація!Q286+аварійні!I286+зварювальн!M286</f>
        <v>0.15796109230413818</v>
      </c>
      <c r="F286" s="886">
        <f>дератизац.!I286</f>
        <v>1.0316761988561372E-2</v>
      </c>
      <c r="G286" s="886">
        <f>димоканал!R286</f>
        <v>4.2074786837100267E-2</v>
      </c>
      <c r="H286" s="886">
        <f>'підготовка до зими'!M286+майстерні!M286+маляри!M286+покрівлі!O286</f>
        <v>0.3130884305877778</v>
      </c>
      <c r="I286" s="886">
        <f>електрики!R286</f>
        <v>1.8756537747259858E-2</v>
      </c>
      <c r="J286" s="989">
        <f t="shared" si="31"/>
        <v>1.1171685411498351</v>
      </c>
      <c r="K286" s="989">
        <v>2.8177383606299948E-2</v>
      </c>
      <c r="L286" s="994">
        <f t="shared" si="35"/>
        <v>1.1453459247561351</v>
      </c>
      <c r="M286" s="994">
        <f t="shared" si="32"/>
        <v>1.374415109707362</v>
      </c>
      <c r="N286" s="995">
        <v>2</v>
      </c>
      <c r="O286" s="997">
        <v>1.1609082045795578</v>
      </c>
      <c r="P286" s="22">
        <f t="shared" si="33"/>
        <v>0.21350690512780424</v>
      </c>
      <c r="Q286" s="982">
        <f t="shared" si="34"/>
        <v>18.391368437707726</v>
      </c>
      <c r="R286" s="6"/>
      <c r="S286" s="6"/>
      <c r="T286" s="6"/>
      <c r="U286" s="6"/>
      <c r="V286" s="6"/>
      <c r="W286" s="6"/>
      <c r="X286" s="6"/>
      <c r="Y286" s="6"/>
      <c r="Z286" s="6"/>
    </row>
    <row r="287" spans="1:26" s="93" customFormat="1" ht="15.75">
      <c r="A287" s="236">
        <v>196</v>
      </c>
      <c r="B287" s="233" t="s">
        <v>1239</v>
      </c>
      <c r="C287" s="886">
        <f>cходова!R287</f>
        <v>0.54247111400025094</v>
      </c>
      <c r="D287" s="886">
        <f>прибуд.!O287</f>
        <v>0.24156602151322401</v>
      </c>
      <c r="E287" s="886">
        <f>гар.вода!M287+хол.вода!Q287+ц.о.!M287+каналізація!Q287+аварійні!I287+зварювальн!M287</f>
        <v>0.16633131765431652</v>
      </c>
      <c r="F287" s="886">
        <f>дератизац.!I287</f>
        <v>4.232247478575697E-3</v>
      </c>
      <c r="G287" s="886">
        <f>димоканал!R287</f>
        <v>2.68650621641283E-2</v>
      </c>
      <c r="H287" s="886">
        <f>'підготовка до зими'!M287+майстерні!M287+маляри!M287+покрівлі!O287</f>
        <v>0.16333049967636415</v>
      </c>
      <c r="I287" s="886">
        <f>електрики!R287</f>
        <v>2.0855884667391512E-2</v>
      </c>
      <c r="J287" s="989">
        <f t="shared" si="31"/>
        <v>1.1656521471542511</v>
      </c>
      <c r="K287" s="989">
        <v>2.9154140829144141E-2</v>
      </c>
      <c r="L287" s="994">
        <f t="shared" si="35"/>
        <v>1.1948062879833954</v>
      </c>
      <c r="M287" s="994">
        <f t="shared" si="32"/>
        <v>1.4337675455800745</v>
      </c>
      <c r="N287" s="995">
        <v>4</v>
      </c>
      <c r="O287" s="997">
        <v>1.2011506021607385</v>
      </c>
      <c r="P287" s="22">
        <f t="shared" si="33"/>
        <v>0.23261694341933592</v>
      </c>
      <c r="Q287" s="982">
        <f t="shared" si="34"/>
        <v>19.366176314683898</v>
      </c>
      <c r="R287" s="6"/>
      <c r="S287" s="6"/>
      <c r="T287" s="6"/>
      <c r="U287" s="6"/>
      <c r="V287" s="6"/>
      <c r="W287" s="6"/>
      <c r="X287" s="6"/>
      <c r="Y287" s="6"/>
      <c r="Z287" s="6"/>
    </row>
    <row r="288" spans="1:26" s="93" customFormat="1" ht="15.75">
      <c r="A288" s="894">
        <v>197</v>
      </c>
      <c r="B288" s="233" t="s">
        <v>1240</v>
      </c>
      <c r="C288" s="886">
        <f>cходова!R288</f>
        <v>0</v>
      </c>
      <c r="D288" s="886">
        <f>прибуд.!O288</f>
        <v>0.25310343814398945</v>
      </c>
      <c r="E288" s="886">
        <f>гар.вода!M288+хол.вода!Q288+ц.о.!M288+каналізація!Q288+аварійні!I288+зварювальн!M288</f>
        <v>0.19545161663898458</v>
      </c>
      <c r="F288" s="886">
        <f>дератизац.!I288</f>
        <v>2.4658740642888597E-3</v>
      </c>
      <c r="G288" s="886">
        <f>димоканал!R288</f>
        <v>4.2581287912430044E-2</v>
      </c>
      <c r="H288" s="886">
        <f>'підготовка до зими'!M288+майстерні!M288+маляри!M288+покрівлі!O288</f>
        <v>0.32614989516296677</v>
      </c>
      <c r="I288" s="886">
        <f>електрики!R288</f>
        <v>3.2921706794997417E-2</v>
      </c>
      <c r="J288" s="989">
        <f t="shared" si="31"/>
        <v>0.85267381871765702</v>
      </c>
      <c r="K288" s="989">
        <v>2.1580088398847324E-2</v>
      </c>
      <c r="L288" s="994">
        <f t="shared" si="35"/>
        <v>0.8742539071165043</v>
      </c>
      <c r="M288" s="994">
        <f t="shared" si="32"/>
        <v>1.0491046885398052</v>
      </c>
      <c r="N288" s="995">
        <v>2</v>
      </c>
      <c r="O288" s="997">
        <v>0.8890996420325098</v>
      </c>
      <c r="P288" s="22">
        <f t="shared" si="33"/>
        <v>0.16000504650729541</v>
      </c>
      <c r="Q288" s="982">
        <f t="shared" si="34"/>
        <v>17.996300857968947</v>
      </c>
      <c r="R288" s="6"/>
      <c r="S288" s="6"/>
      <c r="T288" s="6"/>
      <c r="U288" s="6"/>
      <c r="V288" s="6"/>
      <c r="W288" s="6"/>
      <c r="X288" s="6"/>
      <c r="Y288" s="6"/>
      <c r="Z288" s="6"/>
    </row>
    <row r="289" spans="1:26" s="93" customFormat="1" ht="15.75">
      <c r="A289" s="236">
        <v>198</v>
      </c>
      <c r="B289" s="233" t="s">
        <v>1241</v>
      </c>
      <c r="C289" s="886">
        <f>cходова!R289</f>
        <v>0.88955835584795306</v>
      </c>
      <c r="D289" s="886">
        <f>прибуд.!O289</f>
        <v>0.19600742806236079</v>
      </c>
      <c r="E289" s="886">
        <f>гар.вода!M289+хол.вода!Q289+ц.о.!M289+каналізація!Q289+аварійні!I289+зварювальн!M289</f>
        <v>0.18642696067421091</v>
      </c>
      <c r="F289" s="886">
        <f>дератизац.!I289</f>
        <v>4.88965377606803E-3</v>
      </c>
      <c r="G289" s="886">
        <f>димоканал!R289</f>
        <v>4.1978086628931037E-2</v>
      </c>
      <c r="H289" s="886">
        <f>'підготовка до зими'!M289+майстерні!M289+маляри!M289+покрівлі!O289</f>
        <v>0.21657634711713269</v>
      </c>
      <c r="I289" s="886">
        <f>електрики!R289</f>
        <v>3.3658113394359201E-2</v>
      </c>
      <c r="J289" s="989">
        <f t="shared" si="31"/>
        <v>1.5690949455010159</v>
      </c>
      <c r="K289" s="989">
        <v>3.8291302304541572E-2</v>
      </c>
      <c r="L289" s="994">
        <f t="shared" si="35"/>
        <v>1.6073862478055574</v>
      </c>
      <c r="M289" s="994">
        <f t="shared" si="32"/>
        <v>1.9288634973666687</v>
      </c>
      <c r="N289" s="995">
        <v>3</v>
      </c>
      <c r="O289" s="997">
        <v>1.5776016549471128</v>
      </c>
      <c r="P289" s="22">
        <f t="shared" si="33"/>
        <v>0.35126184241955594</v>
      </c>
      <c r="Q289" s="982">
        <f t="shared" si="34"/>
        <v>22.265559960466177</v>
      </c>
      <c r="R289" s="6"/>
      <c r="S289" s="6"/>
      <c r="T289" s="6"/>
      <c r="U289" s="6"/>
      <c r="V289" s="6"/>
      <c r="W289" s="6"/>
      <c r="X289" s="6"/>
      <c r="Y289" s="6"/>
      <c r="Z289" s="6"/>
    </row>
    <row r="290" spans="1:26" s="93" customFormat="1" ht="15.75">
      <c r="A290" s="236">
        <v>199</v>
      </c>
      <c r="B290" s="233" t="s">
        <v>1242</v>
      </c>
      <c r="C290" s="886">
        <f>cходова!R290</f>
        <v>0.81776050237015729</v>
      </c>
      <c r="D290" s="886">
        <f>прибуд.!O290</f>
        <v>5.8875574834721396E-2</v>
      </c>
      <c r="E290" s="886">
        <f>гар.вода!M290+хол.вода!Q290+ц.о.!M290+каналізація!Q290+аварійні!I290+зварювальн!M290</f>
        <v>0.17074497562742391</v>
      </c>
      <c r="F290" s="886">
        <f>дератизац.!I290</f>
        <v>3.9917289144557975E-3</v>
      </c>
      <c r="G290" s="886">
        <f>димоканал!R290</f>
        <v>2.9275526016092363E-2</v>
      </c>
      <c r="H290" s="886">
        <f>'підготовка до зими'!M290+майстерні!M290+маляри!M290+покрівлі!O290</f>
        <v>0.21815438336330339</v>
      </c>
      <c r="I290" s="886">
        <f>електрики!R290</f>
        <v>2.6447649069182167E-2</v>
      </c>
      <c r="J290" s="989">
        <f t="shared" si="31"/>
        <v>1.3252503401953364</v>
      </c>
      <c r="K290" s="989">
        <v>3.3079544569895231E-2</v>
      </c>
      <c r="L290" s="994">
        <f t="shared" si="35"/>
        <v>1.3583298847652316</v>
      </c>
      <c r="M290" s="994">
        <f t="shared" si="32"/>
        <v>1.6299958617182779</v>
      </c>
      <c r="N290" s="995">
        <v>3</v>
      </c>
      <c r="O290" s="997">
        <v>1.3628772362796835</v>
      </c>
      <c r="P290" s="22">
        <f t="shared" si="33"/>
        <v>0.26711862543859444</v>
      </c>
      <c r="Q290" s="982">
        <f t="shared" si="34"/>
        <v>19.59961017235581</v>
      </c>
      <c r="R290" s="6"/>
      <c r="S290" s="6"/>
      <c r="T290" s="6"/>
      <c r="U290" s="6"/>
      <c r="V290" s="6"/>
      <c r="W290" s="6"/>
      <c r="X290" s="6"/>
      <c r="Y290" s="6"/>
      <c r="Z290" s="6"/>
    </row>
    <row r="291" spans="1:26" s="93" customFormat="1" ht="15.75">
      <c r="A291" s="236">
        <v>200</v>
      </c>
      <c r="B291" s="233" t="s">
        <v>1243</v>
      </c>
      <c r="C291" s="886">
        <f>cходова!R291</f>
        <v>0.79321846096769832</v>
      </c>
      <c r="D291" s="886">
        <f>прибуд.!O291</f>
        <v>7.6561285402845305E-2</v>
      </c>
      <c r="E291" s="886">
        <f>гар.вода!M291+хол.вода!Q291+ц.о.!M291+каналізація!Q291+аварійні!I291+зварювальн!M291</f>
        <v>0.18647001813832495</v>
      </c>
      <c r="F291" s="886">
        <f>дератизац.!I291</f>
        <v>3.771983128395768E-3</v>
      </c>
      <c r="G291" s="886">
        <f>димоканал!R291</f>
        <v>3.3694138191096679E-2</v>
      </c>
      <c r="H291" s="886">
        <f>'підготовка до зими'!M291+майстерні!M291+маляри!M291+покрівлі!O291</f>
        <v>0.23761980105298594</v>
      </c>
      <c r="I291" s="886">
        <f>електрики!R291</f>
        <v>3.0285879198189303E-2</v>
      </c>
      <c r="J291" s="989">
        <f t="shared" si="31"/>
        <v>1.3616215660795363</v>
      </c>
      <c r="K291" s="989">
        <v>3.4042623896511838E-2</v>
      </c>
      <c r="L291" s="994">
        <f t="shared" si="35"/>
        <v>1.3956641899760482</v>
      </c>
      <c r="M291" s="994">
        <f t="shared" si="32"/>
        <v>1.6747970279712578</v>
      </c>
      <c r="N291" s="995">
        <v>3</v>
      </c>
      <c r="O291" s="997">
        <v>1.402556104536288</v>
      </c>
      <c r="P291" s="22">
        <f t="shared" si="33"/>
        <v>0.27224092343496986</v>
      </c>
      <c r="Q291" s="982">
        <f t="shared" si="34"/>
        <v>19.410341059046459</v>
      </c>
      <c r="R291" s="6"/>
      <c r="S291" s="6"/>
      <c r="T291" s="6"/>
      <c r="U291" s="6"/>
      <c r="V291" s="6"/>
      <c r="W291" s="6"/>
      <c r="X291" s="6"/>
      <c r="Y291" s="6"/>
      <c r="Z291" s="6"/>
    </row>
    <row r="292" spans="1:26" s="93" customFormat="1" ht="15.75">
      <c r="A292" s="236">
        <v>201</v>
      </c>
      <c r="B292" s="233" t="s">
        <v>1244</v>
      </c>
      <c r="C292" s="886">
        <f>cходова!R292</f>
        <v>0.94159280701478099</v>
      </c>
      <c r="D292" s="886">
        <f>прибуд.!O292</f>
        <v>0.1465257825093946</v>
      </c>
      <c r="E292" s="886">
        <f>гар.вода!M292+хол.вода!Q292+ц.о.!M292+каналізація!Q292+аварійні!I292+зварювальн!M292</f>
        <v>0.15415166292703736</v>
      </c>
      <c r="F292" s="886">
        <f>дератизац.!I292</f>
        <v>3.8361169102296452E-3</v>
      </c>
      <c r="G292" s="886">
        <f>димоканал!R292</f>
        <v>2.1281053026449916E-2</v>
      </c>
      <c r="H292" s="886">
        <f>'підготовка до зими'!M292+майстерні!M292+маляри!M292+покрівлі!O292</f>
        <v>0.23307123283759937</v>
      </c>
      <c r="I292" s="886">
        <f>електрики!R292</f>
        <v>2.1829805580912267E-2</v>
      </c>
      <c r="J292" s="989">
        <f t="shared" si="31"/>
        <v>1.5222884608064042</v>
      </c>
      <c r="K292" s="989">
        <v>3.7933283878004861E-2</v>
      </c>
      <c r="L292" s="994">
        <f t="shared" si="35"/>
        <v>1.5602217446844091</v>
      </c>
      <c r="M292" s="994">
        <f t="shared" si="32"/>
        <v>1.8722660936212909</v>
      </c>
      <c r="N292" s="995">
        <v>3</v>
      </c>
      <c r="O292" s="997">
        <v>1.5628512957738003</v>
      </c>
      <c r="P292" s="22">
        <f t="shared" si="33"/>
        <v>0.3094147978474906</v>
      </c>
      <c r="Q292" s="982">
        <f t="shared" si="34"/>
        <v>19.798095870297942</v>
      </c>
      <c r="R292" s="6"/>
      <c r="S292" s="6"/>
      <c r="T292" s="6"/>
      <c r="U292" s="6"/>
      <c r="V292" s="6"/>
      <c r="W292" s="6"/>
      <c r="X292" s="6"/>
      <c r="Y292" s="6"/>
      <c r="Z292" s="6"/>
    </row>
    <row r="293" spans="1:26" s="93" customFormat="1" ht="15.75">
      <c r="A293" s="236">
        <v>202</v>
      </c>
      <c r="B293" s="233" t="s">
        <v>1245</v>
      </c>
      <c r="C293" s="886">
        <f>cходова!R293</f>
        <v>0.70180830336505429</v>
      </c>
      <c r="D293" s="886">
        <f>прибуд.!O293</f>
        <v>0.18497255987571426</v>
      </c>
      <c r="E293" s="886">
        <f>гар.вода!M293+хол.вода!Q293+ц.о.!M293+каналізація!Q293+аварійні!I293+зварювальн!M293</f>
        <v>0.19488062318132479</v>
      </c>
      <c r="F293" s="886">
        <f>дератизац.!I293</f>
        <v>3.7000000000000006E-3</v>
      </c>
      <c r="G293" s="886">
        <f>димоканал!R293</f>
        <v>4.9682611123578427E-2</v>
      </c>
      <c r="H293" s="886">
        <f>'підготовка до зими'!M293+майстерні!M293+маляри!M293+покрівлі!O293</f>
        <v>0.24876827364721607</v>
      </c>
      <c r="I293" s="886">
        <f>електрики!R293</f>
        <v>2.900245598606915E-2</v>
      </c>
      <c r="J293" s="989">
        <f t="shared" si="31"/>
        <v>1.4128148271789569</v>
      </c>
      <c r="K293" s="989">
        <v>3.5420950981531134E-2</v>
      </c>
      <c r="L293" s="994">
        <f t="shared" si="35"/>
        <v>1.448235778160488</v>
      </c>
      <c r="M293" s="994">
        <f t="shared" si="32"/>
        <v>1.7378829337925856</v>
      </c>
      <c r="N293" s="995">
        <v>3</v>
      </c>
      <c r="O293" s="997">
        <v>1.4593431804390826</v>
      </c>
      <c r="P293" s="22">
        <f t="shared" si="33"/>
        <v>0.27853975335350301</v>
      </c>
      <c r="Q293" s="982">
        <f t="shared" si="34"/>
        <v>19.086651932665816</v>
      </c>
      <c r="R293" s="6"/>
      <c r="S293" s="6"/>
      <c r="T293" s="6"/>
      <c r="U293" s="6"/>
      <c r="V293" s="6"/>
      <c r="W293" s="6"/>
      <c r="X293" s="6"/>
      <c r="Y293" s="6"/>
      <c r="Z293" s="6"/>
    </row>
    <row r="294" spans="1:26" s="93" customFormat="1" ht="15.75">
      <c r="A294" s="236">
        <v>203</v>
      </c>
      <c r="B294" s="233" t="s">
        <v>1246</v>
      </c>
      <c r="C294" s="886">
        <f>cходова!R294</f>
        <v>0</v>
      </c>
      <c r="D294" s="886">
        <f>прибуд.!O294</f>
        <v>0.58815537795673312</v>
      </c>
      <c r="E294" s="886">
        <f>гар.вода!M294+хол.вода!Q294+ц.о.!M294+каналізація!Q294+аварійні!I294+зварювальн!M294</f>
        <v>0.18037546508771313</v>
      </c>
      <c r="F294" s="886">
        <f>дератизац.!I294</f>
        <v>8.0053368912608412E-3</v>
      </c>
      <c r="G294" s="886">
        <f>димоканал!R294</f>
        <v>3.8258336269018776E-2</v>
      </c>
      <c r="H294" s="886">
        <f>'підготовка до зими'!M294+майстерні!M294+маляри!M294+покрівлі!O294</f>
        <v>0.25573610355050258</v>
      </c>
      <c r="I294" s="886">
        <f>електрики!R294</f>
        <v>2.4378315238457057E-2</v>
      </c>
      <c r="J294" s="989">
        <f t="shared" si="31"/>
        <v>1.0949089349936854</v>
      </c>
      <c r="K294" s="989">
        <v>2.7552350452786242E-2</v>
      </c>
      <c r="L294" s="994">
        <f t="shared" si="35"/>
        <v>1.1224612854464715</v>
      </c>
      <c r="M294" s="994">
        <f t="shared" si="32"/>
        <v>1.3469535425357657</v>
      </c>
      <c r="N294" s="995">
        <v>2</v>
      </c>
      <c r="O294" s="997">
        <v>1.1351568386547932</v>
      </c>
      <c r="P294" s="22">
        <f t="shared" si="33"/>
        <v>0.21179670388097249</v>
      </c>
      <c r="Q294" s="982">
        <f t="shared" si="34"/>
        <v>18.657924321009261</v>
      </c>
      <c r="R294" s="6"/>
      <c r="S294" s="6"/>
      <c r="T294" s="6"/>
      <c r="U294" s="6"/>
      <c r="V294" s="6"/>
      <c r="W294" s="6"/>
      <c r="X294" s="6"/>
      <c r="Y294" s="6"/>
      <c r="Z294" s="6"/>
    </row>
    <row r="295" spans="1:26" s="93" customFormat="1" ht="15.75">
      <c r="A295" s="894">
        <v>204</v>
      </c>
      <c r="B295" s="233" t="s">
        <v>1247</v>
      </c>
      <c r="C295" s="886">
        <f>cходова!R295</f>
        <v>0.56698061497664254</v>
      </c>
      <c r="D295" s="886">
        <f>прибуд.!O295</f>
        <v>0.42953729865980989</v>
      </c>
      <c r="E295" s="886">
        <f>гар.вода!M295+хол.вода!Q295+ц.о.!M295+каналізація!Q295+аварійні!I295+зварювальн!M295</f>
        <v>0.18913543898453469</v>
      </c>
      <c r="F295" s="886">
        <f>дератизац.!I295</f>
        <v>2.9695427077381263E-3</v>
      </c>
      <c r="G295" s="886">
        <f>димоканал!R295</f>
        <v>3.8802884988033429E-2</v>
      </c>
      <c r="H295" s="886">
        <f>'підготовка до зими'!M295+майстерні!M295+маляри!M295+покрівлі!O295</f>
        <v>0.14348317235471672</v>
      </c>
      <c r="I295" s="886">
        <f>електрики!R295</f>
        <v>2.6575415489806239E-2</v>
      </c>
      <c r="J295" s="989">
        <f t="shared" si="31"/>
        <v>1.3974843681612816</v>
      </c>
      <c r="K295" s="989">
        <v>3.4904370536319812E-2</v>
      </c>
      <c r="L295" s="994">
        <f t="shared" si="35"/>
        <v>1.4323887386976015</v>
      </c>
      <c r="M295" s="994">
        <f t="shared" si="32"/>
        <v>1.7188664864371217</v>
      </c>
      <c r="N295" s="995">
        <v>3</v>
      </c>
      <c r="O295" s="997">
        <v>1.4380600660963763</v>
      </c>
      <c r="P295" s="22">
        <f t="shared" si="33"/>
        <v>0.28080642034074543</v>
      </c>
      <c r="Q295" s="982">
        <f t="shared" si="34"/>
        <v>19.526751834712755</v>
      </c>
      <c r="R295" s="6"/>
      <c r="S295" s="6"/>
      <c r="T295" s="6"/>
      <c r="U295" s="6"/>
      <c r="V295" s="6"/>
      <c r="W295" s="6"/>
      <c r="X295" s="6"/>
      <c r="Y295" s="6"/>
      <c r="Z295" s="6"/>
    </row>
    <row r="296" spans="1:26" s="93" customFormat="1" ht="15.75">
      <c r="A296" s="236">
        <v>205</v>
      </c>
      <c r="B296" s="233" t="s">
        <v>1248</v>
      </c>
      <c r="C296" s="886">
        <f>cходова!R296</f>
        <v>0.60850559439603591</v>
      </c>
      <c r="D296" s="886">
        <f>прибуд.!O296</f>
        <v>0.2875107637539599</v>
      </c>
      <c r="E296" s="886">
        <f>гар.вода!M296+хол.вода!Q296+ц.о.!M296+каналізація!Q296+аварійні!I296+зварювальн!M296</f>
        <v>0.18574683479569853</v>
      </c>
      <c r="F296" s="886">
        <f>дератизац.!I296</f>
        <v>4.7122492080253434E-3</v>
      </c>
      <c r="G296" s="886">
        <f>димоканал!R296</f>
        <v>4.369505361243331E-2</v>
      </c>
      <c r="H296" s="886">
        <f>'підготовка до зими'!M296+майстерні!M296+маляри!M296+покрівлі!O296</f>
        <v>0.20566940285915108</v>
      </c>
      <c r="I296" s="886">
        <f>електрики!R296</f>
        <v>2.5725515341391857E-2</v>
      </c>
      <c r="J296" s="989">
        <f t="shared" si="31"/>
        <v>1.3615654139666957</v>
      </c>
      <c r="K296" s="989">
        <v>3.4103921664014582E-2</v>
      </c>
      <c r="L296" s="994">
        <f t="shared" si="35"/>
        <v>1.3956693356307104</v>
      </c>
      <c r="M296" s="994">
        <f t="shared" si="32"/>
        <v>1.6748032027568525</v>
      </c>
      <c r="N296" s="995">
        <v>3</v>
      </c>
      <c r="O296" s="997">
        <v>1.4050815725574008</v>
      </c>
      <c r="P296" s="22">
        <f t="shared" si="33"/>
        <v>0.26972163019945161</v>
      </c>
      <c r="Q296" s="982">
        <f t="shared" si="34"/>
        <v>19.196154548417368</v>
      </c>
      <c r="R296" s="6"/>
      <c r="S296" s="6"/>
      <c r="T296" s="6"/>
      <c r="U296" s="6"/>
      <c r="V296" s="6"/>
      <c r="W296" s="6"/>
      <c r="X296" s="6"/>
      <c r="Y296" s="6"/>
      <c r="Z296" s="6"/>
    </row>
    <row r="297" spans="1:26" s="93" customFormat="1" ht="15.75">
      <c r="A297" s="236">
        <v>206</v>
      </c>
      <c r="B297" s="233" t="s">
        <v>1249</v>
      </c>
      <c r="C297" s="886">
        <f>cходова!R297</f>
        <v>0</v>
      </c>
      <c r="D297" s="886">
        <f>прибуд.!O297</f>
        <v>0.67287636732651268</v>
      </c>
      <c r="E297" s="886">
        <f>гар.вода!M297+хол.вода!Q297+ц.о.!M297+каналізація!Q297+аварійні!I297+зварювальн!M297</f>
        <v>0.18399780462760185</v>
      </c>
      <c r="F297" s="886">
        <f>дератизац.!I297</f>
        <v>3.1138790035587192E-3</v>
      </c>
      <c r="G297" s="886">
        <f>димоканал!R297</f>
        <v>4.2949957057654281E-2</v>
      </c>
      <c r="H297" s="886">
        <f>'підготовка до зими'!M297+майстерні!M297+маляри!M297+покрівлі!O297</f>
        <v>0.22916872814037745</v>
      </c>
      <c r="I297" s="886">
        <f>електрики!R297</f>
        <v>2.5286838849063853E-2</v>
      </c>
      <c r="J297" s="989">
        <f t="shared" si="31"/>
        <v>1.1573935750047688</v>
      </c>
      <c r="K297" s="989">
        <v>2.9060677042206506E-2</v>
      </c>
      <c r="L297" s="994">
        <f t="shared" si="35"/>
        <v>1.1864542520469754</v>
      </c>
      <c r="M297" s="994">
        <f t="shared" si="32"/>
        <v>1.4237451024563705</v>
      </c>
      <c r="N297" s="995">
        <v>2</v>
      </c>
      <c r="O297" s="997">
        <v>1.1972998941389079</v>
      </c>
      <c r="P297" s="22">
        <f t="shared" si="33"/>
        <v>0.22644520831746262</v>
      </c>
      <c r="Q297" s="982">
        <f t="shared" si="34"/>
        <v>18.912989922238395</v>
      </c>
      <c r="R297" s="6"/>
      <c r="S297" s="6"/>
      <c r="T297" s="6"/>
      <c r="U297" s="6"/>
      <c r="V297" s="6"/>
      <c r="W297" s="6"/>
      <c r="X297" s="6"/>
      <c r="Y297" s="6"/>
      <c r="Z297" s="6"/>
    </row>
    <row r="298" spans="1:26" s="93" customFormat="1" ht="15.75">
      <c r="A298" s="236">
        <v>207</v>
      </c>
      <c r="B298" s="233" t="s">
        <v>1250</v>
      </c>
      <c r="C298" s="886">
        <f>cходова!R298</f>
        <v>0.63070572553051374</v>
      </c>
      <c r="D298" s="886">
        <f>прибуд.!O298</f>
        <v>7.9287742902606845E-2</v>
      </c>
      <c r="E298" s="886">
        <f>гар.вода!M298+хол.вода!Q298+ц.о.!M298+каналізація!Q298+аварійні!I298+зварювальн!M298</f>
        <v>0.14682074571904402</v>
      </c>
      <c r="F298" s="886">
        <f>дератизац.!I298</f>
        <v>4.4227079140731033E-3</v>
      </c>
      <c r="G298" s="886">
        <f>димоканал!R298</f>
        <v>1.6338434548375989E-2</v>
      </c>
      <c r="H298" s="886">
        <f>'підготовка до зими'!M298+майстерні!M298+маляри!M298+покрівлі!O298</f>
        <v>0.1838563378020312</v>
      </c>
      <c r="I298" s="886">
        <f>електрики!R298</f>
        <v>1.777604015198693E-2</v>
      </c>
      <c r="J298" s="989">
        <f t="shared" si="31"/>
        <v>1.0792077345686319</v>
      </c>
      <c r="K298" s="989">
        <v>2.6933499266154407E-2</v>
      </c>
      <c r="L298" s="994">
        <f t="shared" si="35"/>
        <v>1.1061412338347865</v>
      </c>
      <c r="M298" s="994">
        <f t="shared" si="32"/>
        <v>1.3273694806017438</v>
      </c>
      <c r="N298" s="995">
        <v>3</v>
      </c>
      <c r="O298" s="997">
        <v>1.1096601697655615</v>
      </c>
      <c r="P298" s="22">
        <f t="shared" si="33"/>
        <v>0.21770931083618228</v>
      </c>
      <c r="Q298" s="982">
        <f t="shared" si="34"/>
        <v>19.619457989753556</v>
      </c>
      <c r="R298" s="6"/>
      <c r="S298" s="6"/>
      <c r="T298" s="6"/>
      <c r="U298" s="6"/>
      <c r="V298" s="6"/>
      <c r="W298" s="6"/>
      <c r="X298" s="6"/>
      <c r="Y298" s="6"/>
      <c r="Z298" s="6"/>
    </row>
    <row r="299" spans="1:26" s="93" customFormat="1" ht="15.75">
      <c r="A299" s="236">
        <v>208</v>
      </c>
      <c r="B299" s="233" t="s">
        <v>1251</v>
      </c>
      <c r="C299" s="886">
        <f>cходова!R299</f>
        <v>0.59174494215344098</v>
      </c>
      <c r="D299" s="886">
        <f>прибуд.!O299</f>
        <v>0.21472768144776117</v>
      </c>
      <c r="E299" s="886">
        <f>гар.вода!M299+хол.вода!Q299+ц.о.!M299+каналізація!Q299+аварійні!I299+зварювальн!M299</f>
        <v>0.16210828839332009</v>
      </c>
      <c r="F299" s="886">
        <f>дератизац.!I299</f>
        <v>3.8134328358208958E-3</v>
      </c>
      <c r="G299" s="886">
        <f>димоканал!R299</f>
        <v>2.3275634379821955E-2</v>
      </c>
      <c r="H299" s="886">
        <f>'підготовка до зими'!M299+майстерні!M299+маляри!M299+покрівлі!O299</f>
        <v>0.17144228775481027</v>
      </c>
      <c r="I299" s="886">
        <f>електрики!R299</f>
        <v>2.0964894421963583E-2</v>
      </c>
      <c r="J299" s="989">
        <f t="shared" si="31"/>
        <v>1.1880771613869388</v>
      </c>
      <c r="K299" s="989">
        <v>2.966608350380362E-2</v>
      </c>
      <c r="L299" s="994">
        <f t="shared" si="35"/>
        <v>1.2177432448907424</v>
      </c>
      <c r="M299" s="994">
        <f t="shared" si="32"/>
        <v>1.4612918938688908</v>
      </c>
      <c r="N299" s="995">
        <v>3</v>
      </c>
      <c r="O299" s="997">
        <v>1.2222426403567093</v>
      </c>
      <c r="P299" s="22">
        <f t="shared" si="33"/>
        <v>0.23904925351218154</v>
      </c>
      <c r="Q299" s="982">
        <f t="shared" si="34"/>
        <v>19.558248552219993</v>
      </c>
      <c r="R299" s="6"/>
      <c r="S299" s="6"/>
      <c r="T299" s="6"/>
      <c r="U299" s="6"/>
      <c r="V299" s="6"/>
      <c r="W299" s="6"/>
      <c r="X299" s="6"/>
      <c r="Y299" s="6"/>
      <c r="Z299" s="6"/>
    </row>
    <row r="300" spans="1:26" s="93" customFormat="1" ht="15.75">
      <c r="A300" s="236">
        <v>209</v>
      </c>
      <c r="B300" s="233" t="s">
        <v>1252</v>
      </c>
      <c r="C300" s="886">
        <f>cходова!R300</f>
        <v>0.65485761634075557</v>
      </c>
      <c r="D300" s="886">
        <f>прибуд.!O300</f>
        <v>0.35108063250199634</v>
      </c>
      <c r="E300" s="886">
        <f>гар.вода!M300+хол.вода!Q300+ц.о.!M300+каналізація!Q300+аварійні!I300+зварювальн!M300</f>
        <v>0.17366621818846667</v>
      </c>
      <c r="F300" s="886">
        <f>дератизац.!I300</f>
        <v>4.099015171679531E-3</v>
      </c>
      <c r="G300" s="886">
        <f>димоканал!R300</f>
        <v>5.1100006354464808E-2</v>
      </c>
      <c r="H300" s="886">
        <f>'підготовка до зими'!M300+майстерні!M300+маляри!M300+покрівлі!O300</f>
        <v>0.20191923762727035</v>
      </c>
      <c r="I300" s="886">
        <f>електрики!R300</f>
        <v>2.5034415912813655E-2</v>
      </c>
      <c r="J300" s="989">
        <f t="shared" si="31"/>
        <v>1.4617571420974469</v>
      </c>
      <c r="K300" s="989">
        <v>3.6536607523977881E-2</v>
      </c>
      <c r="L300" s="994">
        <f t="shared" si="35"/>
        <v>1.4982937496214248</v>
      </c>
      <c r="M300" s="994">
        <f t="shared" si="32"/>
        <v>1.7979524995457097</v>
      </c>
      <c r="N300" s="995">
        <v>3</v>
      </c>
      <c r="O300" s="997">
        <v>1.5053082299878888</v>
      </c>
      <c r="P300" s="22">
        <f t="shared" si="33"/>
        <v>0.29264426955782086</v>
      </c>
      <c r="Q300" s="982">
        <f t="shared" si="34"/>
        <v>19.440820406607045</v>
      </c>
      <c r="R300" s="6"/>
      <c r="S300" s="6"/>
      <c r="T300" s="6"/>
      <c r="U300" s="6"/>
      <c r="V300" s="6"/>
      <c r="W300" s="6"/>
      <c r="X300" s="6"/>
      <c r="Y300" s="6"/>
      <c r="Z300" s="6"/>
    </row>
    <row r="301" spans="1:26" s="93" customFormat="1" ht="15.75">
      <c r="A301" s="236">
        <v>210</v>
      </c>
      <c r="B301" s="233" t="s">
        <v>1253</v>
      </c>
      <c r="C301" s="886">
        <f>cходова!R301</f>
        <v>0.68611096496994883</v>
      </c>
      <c r="D301" s="886">
        <f>прибуд.!O301</f>
        <v>0.16928108524242122</v>
      </c>
      <c r="E301" s="886">
        <f>гар.вода!M301+хол.вода!Q301+ц.о.!M301+каналізація!Q301+аварійні!I301+зварювальн!M301</f>
        <v>0.16150814409586511</v>
      </c>
      <c r="F301" s="886">
        <f>дератизац.!I301</f>
        <v>3.744116388532307E-3</v>
      </c>
      <c r="G301" s="886">
        <f>димоканал!R301</f>
        <v>3.6647380903666184E-2</v>
      </c>
      <c r="H301" s="886">
        <f>'підготовка до зими'!M301+майстерні!M301+маляри!M301+покрівлі!O301</f>
        <v>0.22075341776940727</v>
      </c>
      <c r="I301" s="886">
        <f>електрики!R301</f>
        <v>2.0304481704766064E-2</v>
      </c>
      <c r="J301" s="989">
        <f t="shared" si="31"/>
        <v>1.298349591074607</v>
      </c>
      <c r="K301" s="989">
        <v>3.2493475791144845E-2</v>
      </c>
      <c r="L301" s="994">
        <f t="shared" si="35"/>
        <v>1.3308430668657518</v>
      </c>
      <c r="M301" s="994">
        <f t="shared" si="32"/>
        <v>1.5970116802389021</v>
      </c>
      <c r="N301" s="995">
        <v>3</v>
      </c>
      <c r="O301" s="997">
        <v>1.3387312025951676</v>
      </c>
      <c r="P301" s="22">
        <f t="shared" si="33"/>
        <v>0.25828047764373441</v>
      </c>
      <c r="Q301" s="982">
        <f t="shared" si="34"/>
        <v>19.29293028675589</v>
      </c>
      <c r="R301" s="6"/>
      <c r="S301" s="6"/>
      <c r="T301" s="6"/>
      <c r="U301" s="6"/>
      <c r="V301" s="6"/>
      <c r="W301" s="6"/>
      <c r="X301" s="6"/>
      <c r="Y301" s="6"/>
      <c r="Z301" s="6"/>
    </row>
    <row r="302" spans="1:26" s="93" customFormat="1" ht="15.75">
      <c r="A302" s="894">
        <v>211</v>
      </c>
      <c r="B302" s="233" t="s">
        <v>1254</v>
      </c>
      <c r="C302" s="886">
        <f>cходова!R302</f>
        <v>0.64726481140573588</v>
      </c>
      <c r="D302" s="886">
        <f>прибуд.!O302</f>
        <v>0.35669439788669055</v>
      </c>
      <c r="E302" s="886">
        <f>гар.вода!M302+хол.вода!Q302+ц.о.!M302+каналізація!Q302+аварійні!I302+зварювальн!M302</f>
        <v>0.18508579220823804</v>
      </c>
      <c r="F302" s="886">
        <f>дератизац.!I302</f>
        <v>4.8698541167066347E-3</v>
      </c>
      <c r="G302" s="886">
        <f>димоканал!R302</f>
        <v>4.3058358416656499E-2</v>
      </c>
      <c r="H302" s="886">
        <f>'підготовка до зими'!M302+майстерні!M302+маляри!M302+покрівлі!O302</f>
        <v>0.25115798967711911</v>
      </c>
      <c r="I302" s="886">
        <f>електрики!R302</f>
        <v>2.7787916115054035E-2</v>
      </c>
      <c r="J302" s="989">
        <f t="shared" si="31"/>
        <v>1.5159191198262008</v>
      </c>
      <c r="K302" s="989">
        <v>3.7615559938370929E-2</v>
      </c>
      <c r="L302" s="994">
        <f t="shared" si="35"/>
        <v>1.5535346797645717</v>
      </c>
      <c r="M302" s="994">
        <f t="shared" si="32"/>
        <v>1.8642416157174859</v>
      </c>
      <c r="N302" s="995">
        <v>3</v>
      </c>
      <c r="O302" s="997">
        <v>1.5497610694608823</v>
      </c>
      <c r="P302" s="22">
        <f t="shared" si="33"/>
        <v>0.3144805462566036</v>
      </c>
      <c r="Q302" s="982">
        <f t="shared" si="34"/>
        <v>20.292195516693567</v>
      </c>
      <c r="R302" s="6"/>
      <c r="S302" s="6"/>
      <c r="T302" s="6"/>
      <c r="U302" s="6"/>
      <c r="V302" s="6"/>
      <c r="W302" s="6"/>
      <c r="X302" s="6"/>
      <c r="Y302" s="6"/>
      <c r="Z302" s="6"/>
    </row>
    <row r="303" spans="1:26" s="93" customFormat="1" ht="15.75">
      <c r="A303" s="236">
        <v>212</v>
      </c>
      <c r="B303" s="233" t="s">
        <v>1255</v>
      </c>
      <c r="C303" s="886">
        <f>cходова!R303</f>
        <v>0.93258885208485998</v>
      </c>
      <c r="D303" s="886">
        <f>прибуд.!O303</f>
        <v>0.17480270497881353</v>
      </c>
      <c r="E303" s="886">
        <f>гар.вода!M303+хол.вода!Q303+ц.о.!M303+каналізація!Q303+аварійні!I303+зварювальн!M303</f>
        <v>0.14865636932337156</v>
      </c>
      <c r="F303" s="886">
        <f>дератизац.!I303</f>
        <v>6.258025166923472E-3</v>
      </c>
      <c r="G303" s="886">
        <f>димоканал!R303</f>
        <v>4.2803376631386017E-2</v>
      </c>
      <c r="H303" s="886">
        <f>'підготовка до зими'!M303+майстерні!M303+маляри!M303+покрівлі!O303</f>
        <v>0.20629837530557726</v>
      </c>
      <c r="I303" s="886">
        <f>електрики!R303</f>
        <v>1.9109641550659636E-2</v>
      </c>
      <c r="J303" s="989">
        <f t="shared" si="31"/>
        <v>1.5305173450415914</v>
      </c>
      <c r="K303" s="989">
        <v>3.7961276943669367E-2</v>
      </c>
      <c r="L303" s="994">
        <f t="shared" si="35"/>
        <v>1.5684786219852609</v>
      </c>
      <c r="M303" s="994">
        <f t="shared" si="32"/>
        <v>1.8821743463823131</v>
      </c>
      <c r="N303" s="995">
        <v>3</v>
      </c>
      <c r="O303" s="997">
        <v>1.564004610079178</v>
      </c>
      <c r="P303" s="22">
        <f t="shared" si="33"/>
        <v>0.31816973630313505</v>
      </c>
      <c r="Q303" s="982">
        <f t="shared" si="34"/>
        <v>20.343273558958856</v>
      </c>
      <c r="R303" s="6"/>
      <c r="S303" s="6"/>
      <c r="T303" s="6"/>
      <c r="U303" s="6"/>
      <c r="V303" s="6"/>
      <c r="W303" s="6"/>
      <c r="X303" s="6"/>
      <c r="Y303" s="6"/>
      <c r="Z303" s="6"/>
    </row>
    <row r="304" spans="1:26" s="93" customFormat="1" ht="15.75">
      <c r="A304" s="236">
        <v>213</v>
      </c>
      <c r="B304" s="233" t="s">
        <v>1256</v>
      </c>
      <c r="C304" s="886">
        <f>cходова!R304</f>
        <v>0.81003155892420098</v>
      </c>
      <c r="D304" s="886">
        <f>прибуд.!O304</f>
        <v>5.09008552601284E-2</v>
      </c>
      <c r="E304" s="886">
        <f>гар.вода!M304+хол.вода!Q304+ц.о.!M304+каналізація!Q304+аварійні!I304+зварювальн!M304</f>
        <v>0.1734939352737257</v>
      </c>
      <c r="F304" s="886">
        <f>дератизац.!I304</f>
        <v>5.0597741864069077E-3</v>
      </c>
      <c r="G304" s="886">
        <f>димоканал!R304</f>
        <v>3.6179070320432064E-2</v>
      </c>
      <c r="H304" s="886">
        <f>'підготовка до зими'!M304+майстерні!M304+маляри!M304+покрівлі!O304</f>
        <v>0.27072718329849943</v>
      </c>
      <c r="I304" s="886">
        <f>електрики!R304</f>
        <v>2.4950174279164097E-2</v>
      </c>
      <c r="J304" s="989">
        <f t="shared" si="31"/>
        <v>1.3713425515425577</v>
      </c>
      <c r="K304" s="989">
        <v>3.4344470183795307E-2</v>
      </c>
      <c r="L304" s="994">
        <f t="shared" si="35"/>
        <v>1.4056870217263531</v>
      </c>
      <c r="M304" s="994">
        <f t="shared" si="32"/>
        <v>1.6868244260716236</v>
      </c>
      <c r="N304" s="995">
        <v>3</v>
      </c>
      <c r="O304" s="997">
        <v>1.4149921715723666</v>
      </c>
      <c r="P304" s="22">
        <f t="shared" si="33"/>
        <v>0.27183225449925708</v>
      </c>
      <c r="Q304" s="982">
        <f t="shared" si="34"/>
        <v>19.210866318588302</v>
      </c>
      <c r="R304" s="6"/>
      <c r="S304" s="6"/>
      <c r="T304" s="6"/>
      <c r="U304" s="6"/>
      <c r="V304" s="6"/>
      <c r="W304" s="6"/>
      <c r="X304" s="6"/>
      <c r="Y304" s="6"/>
      <c r="Z304" s="6"/>
    </row>
    <row r="305" spans="1:26" s="93" customFormat="1" ht="15.75">
      <c r="A305" s="236">
        <v>214</v>
      </c>
      <c r="B305" s="233" t="s">
        <v>1257</v>
      </c>
      <c r="C305" s="886">
        <f>cходова!R305</f>
        <v>0</v>
      </c>
      <c r="D305" s="886">
        <f>прибуд.!O305</f>
        <v>0.55970305919388319</v>
      </c>
      <c r="E305" s="886">
        <f>гар.вода!M305+хол.вода!Q305+ц.о.!M305+каналізація!Q305+аварійні!I305+зварювальн!M305</f>
        <v>0.20512112698133883</v>
      </c>
      <c r="F305" s="886">
        <f>дератизац.!I305</f>
        <v>4.7574098546346996E-3</v>
      </c>
      <c r="G305" s="886">
        <f>димоканал!R305</f>
        <v>4.9674993997140829E-2</v>
      </c>
      <c r="H305" s="886">
        <f>'підготовка до зими'!M305+майстерні!M305+маляри!M305+покрівлі!O305</f>
        <v>0.22668774611528136</v>
      </c>
      <c r="I305" s="886">
        <f>електрики!R305</f>
        <v>3.457271001668423E-2</v>
      </c>
      <c r="J305" s="989">
        <f t="shared" si="31"/>
        <v>1.080517046158963</v>
      </c>
      <c r="K305" s="989">
        <v>2.7165836629434822E-2</v>
      </c>
      <c r="L305" s="994">
        <f t="shared" si="35"/>
        <v>1.1076828827883978</v>
      </c>
      <c r="M305" s="994">
        <f t="shared" si="32"/>
        <v>1.3292194593460773</v>
      </c>
      <c r="N305" s="995">
        <v>2</v>
      </c>
      <c r="O305" s="997">
        <v>1.1192324691327147</v>
      </c>
      <c r="P305" s="22">
        <f t="shared" si="33"/>
        <v>0.20998699021336265</v>
      </c>
      <c r="Q305" s="982">
        <f t="shared" si="34"/>
        <v>18.761695716000816</v>
      </c>
      <c r="R305" s="6"/>
      <c r="S305" s="6"/>
      <c r="T305" s="6"/>
      <c r="U305" s="6"/>
      <c r="V305" s="6"/>
      <c r="W305" s="6"/>
      <c r="X305" s="6"/>
      <c r="Y305" s="6"/>
      <c r="Z305" s="6"/>
    </row>
    <row r="306" spans="1:26" s="93" customFormat="1" ht="15.75">
      <c r="A306" s="236">
        <v>215</v>
      </c>
      <c r="B306" s="233" t="s">
        <v>1258</v>
      </c>
      <c r="C306" s="886">
        <f>cходова!R306</f>
        <v>0</v>
      </c>
      <c r="D306" s="886">
        <f>прибуд.!O306</f>
        <v>0.50206732797451814</v>
      </c>
      <c r="E306" s="886">
        <f>гар.вода!M306+хол.вода!Q306+ц.о.!M306+каналізація!Q306+аварійні!I306+зварювальн!M306</f>
        <v>0.17202849580354782</v>
      </c>
      <c r="F306" s="886">
        <f>дератизац.!I306</f>
        <v>7.7752368507023857E-3</v>
      </c>
      <c r="G306" s="886">
        <f>димоканал!R306</f>
        <v>4.3561280262036504E-2</v>
      </c>
      <c r="H306" s="886">
        <f>'підготовка до зими'!M306+майстерні!M306+маляри!M306+покрівлі!O306</f>
        <v>0.52751836283399145</v>
      </c>
      <c r="I306" s="886">
        <f>електрики!R306</f>
        <v>2.5490947862195308E-2</v>
      </c>
      <c r="J306" s="989">
        <f t="shared" si="31"/>
        <v>1.2784416515869916</v>
      </c>
      <c r="K306" s="989">
        <v>3.233996150583078E-2</v>
      </c>
      <c r="L306" s="994">
        <f t="shared" si="35"/>
        <v>1.3107816130928225</v>
      </c>
      <c r="M306" s="994">
        <f t="shared" si="32"/>
        <v>1.5729379357113868</v>
      </c>
      <c r="N306" s="995">
        <v>2</v>
      </c>
      <c r="O306" s="997">
        <v>1.3324064140402283</v>
      </c>
      <c r="P306" s="22">
        <f t="shared" si="33"/>
        <v>0.24053152167115854</v>
      </c>
      <c r="Q306" s="982">
        <f t="shared" si="34"/>
        <v>18.052413973436217</v>
      </c>
      <c r="R306" s="6"/>
      <c r="S306" s="6"/>
      <c r="T306" s="6"/>
      <c r="U306" s="6"/>
      <c r="V306" s="6"/>
      <c r="W306" s="6"/>
      <c r="X306" s="6"/>
      <c r="Y306" s="6"/>
      <c r="Z306" s="6"/>
    </row>
    <row r="307" spans="1:26" s="93" customFormat="1" ht="15.75">
      <c r="A307" s="236">
        <v>216</v>
      </c>
      <c r="B307" s="233" t="s">
        <v>1259</v>
      </c>
      <c r="C307" s="886">
        <f>cходова!R307</f>
        <v>0.70547765642325733</v>
      </c>
      <c r="D307" s="886">
        <f>прибуд.!O307</f>
        <v>0.14698469462110225</v>
      </c>
      <c r="E307" s="886">
        <f>гар.вода!M307+хол.вода!Q307+ц.о.!M307+каналізація!Q307+аварійні!I307+зварювальн!M307</f>
        <v>0.14481026452234716</v>
      </c>
      <c r="F307" s="886">
        <f>дератизац.!I307</f>
        <v>6.897208121827412E-3</v>
      </c>
      <c r="G307" s="886">
        <f>димоканал!R307</f>
        <v>2.6071312033579881E-2</v>
      </c>
      <c r="H307" s="886">
        <f>'підготовка до зими'!M307+майстерні!M307+маляри!M307+покрівлі!O307</f>
        <v>0.21009336394803485</v>
      </c>
      <c r="I307" s="886">
        <f>електрики!R307</f>
        <v>1.5458161819986098E-2</v>
      </c>
      <c r="J307" s="989">
        <f t="shared" si="31"/>
        <v>1.2557926614901351</v>
      </c>
      <c r="K307" s="989">
        <v>3.1414854484637288E-2</v>
      </c>
      <c r="L307" s="994">
        <f t="shared" si="35"/>
        <v>1.2872075159747725</v>
      </c>
      <c r="M307" s="994">
        <f t="shared" si="32"/>
        <v>1.5446490191697269</v>
      </c>
      <c r="N307" s="995">
        <v>3</v>
      </c>
      <c r="O307" s="997">
        <v>1.2942920047670563</v>
      </c>
      <c r="P307" s="22">
        <f t="shared" si="33"/>
        <v>0.25035701440267055</v>
      </c>
      <c r="Q307" s="982">
        <f t="shared" si="34"/>
        <v>19.343163171878615</v>
      </c>
      <c r="R307" s="6"/>
      <c r="S307" s="6"/>
      <c r="T307" s="6"/>
      <c r="U307" s="6"/>
      <c r="V307" s="6"/>
      <c r="W307" s="6"/>
      <c r="X307" s="6"/>
      <c r="Y307" s="6"/>
      <c r="Z307" s="6"/>
    </row>
    <row r="308" spans="1:26" s="93" customFormat="1" ht="15.75">
      <c r="A308" s="236">
        <v>217</v>
      </c>
      <c r="B308" s="233" t="s">
        <v>1260</v>
      </c>
      <c r="C308" s="886">
        <f>cходова!R308</f>
        <v>0.81483992914740688</v>
      </c>
      <c r="D308" s="886">
        <f>прибуд.!O308</f>
        <v>0.1654147589763062</v>
      </c>
      <c r="E308" s="886">
        <f>гар.вода!M308+хол.вода!Q308+ц.о.!M308+каналізація!Q308+аварійні!I308+зварювальн!M308</f>
        <v>0.15546679551727888</v>
      </c>
      <c r="F308" s="886">
        <f>дератизац.!I308</f>
        <v>5.3903402187120298E-3</v>
      </c>
      <c r="G308" s="886">
        <f>димоканал!R308</f>
        <v>4.3252694821595883E-2</v>
      </c>
      <c r="H308" s="886">
        <f>'підготовка до зими'!M308+майстерні!M308+маляри!M308+покрівлі!O308</f>
        <v>0.23012358344314393</v>
      </c>
      <c r="I308" s="886">
        <f>електрики!R308</f>
        <v>2.0496928028616183E-2</v>
      </c>
      <c r="J308" s="989">
        <f t="shared" si="31"/>
        <v>1.43498503015306</v>
      </c>
      <c r="K308" s="989">
        <v>3.5864480273405878E-2</v>
      </c>
      <c r="L308" s="994">
        <f t="shared" si="35"/>
        <v>1.4708495104264658</v>
      </c>
      <c r="M308" s="994">
        <f t="shared" si="32"/>
        <v>1.7650194125117589</v>
      </c>
      <c r="N308" s="995">
        <v>3</v>
      </c>
      <c r="O308" s="997">
        <v>1.4776165872643221</v>
      </c>
      <c r="P308" s="22">
        <f t="shared" si="33"/>
        <v>0.28740282524743677</v>
      </c>
      <c r="Q308" s="982">
        <f t="shared" si="34"/>
        <v>19.450433063934256</v>
      </c>
      <c r="R308" s="6"/>
      <c r="S308" s="6"/>
      <c r="T308" s="6"/>
      <c r="U308" s="6"/>
      <c r="V308" s="6"/>
      <c r="W308" s="6"/>
      <c r="X308" s="6"/>
      <c r="Y308" s="6"/>
      <c r="Z308" s="6"/>
    </row>
    <row r="309" spans="1:26" s="93" customFormat="1" ht="15.75">
      <c r="A309" s="894">
        <v>218</v>
      </c>
      <c r="B309" s="233" t="s">
        <v>1261</v>
      </c>
      <c r="C309" s="886">
        <f>cходова!R309</f>
        <v>0.95570077077382343</v>
      </c>
      <c r="D309" s="886">
        <f>прибуд.!O309</f>
        <v>0.1517896547874564</v>
      </c>
      <c r="E309" s="886">
        <f>гар.вода!M309+хол.вода!Q309+ц.о.!M309+каналізація!Q309+аварійні!I309+зварювальн!M309</f>
        <v>0.153173718431133</v>
      </c>
      <c r="F309" s="886">
        <f>дератизац.!I309</f>
        <v>4.8226164079822617E-3</v>
      </c>
      <c r="G309" s="886">
        <f>димоканал!R309</f>
        <v>4.0691261067678342E-2</v>
      </c>
      <c r="H309" s="886">
        <f>'підготовка до зими'!M309+майстерні!M309+маляри!M309+покрівлі!O309</f>
        <v>0.17509935899639789</v>
      </c>
      <c r="I309" s="886">
        <f>електрики!R309</f>
        <v>1.7858448006888402E-2</v>
      </c>
      <c r="J309" s="989">
        <f t="shared" si="31"/>
        <v>1.4991358284713598</v>
      </c>
      <c r="K309" s="989">
        <v>3.742517901207449E-2</v>
      </c>
      <c r="L309" s="994">
        <f t="shared" si="35"/>
        <v>1.5365610074834344</v>
      </c>
      <c r="M309" s="994">
        <f t="shared" si="32"/>
        <v>1.8438732089801211</v>
      </c>
      <c r="N309" s="995">
        <v>3</v>
      </c>
      <c r="O309" s="997">
        <v>1.5419173752974691</v>
      </c>
      <c r="P309" s="22">
        <f t="shared" si="33"/>
        <v>0.301955833682652</v>
      </c>
      <c r="Q309" s="982">
        <f t="shared" si="34"/>
        <v>19.583139701269545</v>
      </c>
      <c r="R309" s="6"/>
      <c r="S309" s="6"/>
      <c r="T309" s="6"/>
      <c r="U309" s="6"/>
      <c r="V309" s="6"/>
      <c r="W309" s="6"/>
      <c r="X309" s="6"/>
      <c r="Y309" s="6"/>
      <c r="Z309" s="6"/>
    </row>
    <row r="310" spans="1:26" s="93" customFormat="1" ht="15.75">
      <c r="A310" s="236">
        <v>219</v>
      </c>
      <c r="B310" s="233" t="s">
        <v>1262</v>
      </c>
      <c r="C310" s="886">
        <f>cходова!R310</f>
        <v>0.63563189758297578</v>
      </c>
      <c r="D310" s="886">
        <f>прибуд.!O310</f>
        <v>0.1912562300589338</v>
      </c>
      <c r="E310" s="886">
        <f>гар.вода!M310+хол.вода!Q310+ц.о.!M310+каналізація!Q310+аварійні!I310+зварювальн!M310</f>
        <v>0.15603391045888856</v>
      </c>
      <c r="F310" s="886">
        <f>дератизац.!I310</f>
        <v>5.316099651754622E-3</v>
      </c>
      <c r="G310" s="886">
        <f>димоканал!R310</f>
        <v>4.4868055912704555E-2</v>
      </c>
      <c r="H310" s="886">
        <f>'підготовка до зими'!M310+майстерні!M310+маляри!M310+покрівлі!O310</f>
        <v>0.23869026234023577</v>
      </c>
      <c r="I310" s="886">
        <f>електрики!R310</f>
        <v>1.8273178805045445E-2</v>
      </c>
      <c r="J310" s="989">
        <f t="shared" si="31"/>
        <v>1.2900696348105385</v>
      </c>
      <c r="K310" s="989">
        <v>3.234582149673973E-2</v>
      </c>
      <c r="L310" s="994">
        <f t="shared" si="35"/>
        <v>1.3224154563072783</v>
      </c>
      <c r="M310" s="994">
        <f t="shared" si="32"/>
        <v>1.5868985475687338</v>
      </c>
      <c r="N310" s="995">
        <v>3</v>
      </c>
      <c r="O310" s="997">
        <v>1.332647845665677</v>
      </c>
      <c r="P310" s="22">
        <f t="shared" si="33"/>
        <v>0.25425070190305687</v>
      </c>
      <c r="Q310" s="982">
        <f t="shared" si="34"/>
        <v>19.078611257278922</v>
      </c>
      <c r="R310" s="6"/>
      <c r="S310" s="6"/>
      <c r="T310" s="6"/>
      <c r="U310" s="6"/>
      <c r="V310" s="6"/>
      <c r="W310" s="6"/>
      <c r="X310" s="6"/>
      <c r="Y310" s="6"/>
      <c r="Z310" s="6"/>
    </row>
    <row r="311" spans="1:26" s="93" customFormat="1" ht="15.75">
      <c r="A311" s="236">
        <v>220</v>
      </c>
      <c r="B311" s="233" t="s">
        <v>1263</v>
      </c>
      <c r="C311" s="886">
        <f>cходова!R311</f>
        <v>0.55739109083327432</v>
      </c>
      <c r="D311" s="886">
        <f>прибуд.!O311</f>
        <v>0.16997279051720379</v>
      </c>
      <c r="E311" s="886">
        <f>гар.вода!M311+хол.вода!Q311+ц.о.!M311+каналізація!Q311+аварійні!I311+зварювальн!M311</f>
        <v>0.14980852149479557</v>
      </c>
      <c r="F311" s="886">
        <f>дератизац.!I311</f>
        <v>3.1135670731707319E-3</v>
      </c>
      <c r="G311" s="886">
        <f>димоканал!R311</f>
        <v>2.6149400105642644E-2</v>
      </c>
      <c r="H311" s="886">
        <f>'підготовка до зими'!M311+майстерні!M311+маляри!M311+покрівлі!O311</f>
        <v>0.22725424979419503</v>
      </c>
      <c r="I311" s="886">
        <f>електрики!R311</f>
        <v>1.8026896532567296E-2</v>
      </c>
      <c r="J311" s="989">
        <f t="shared" si="31"/>
        <v>1.1517165163508494</v>
      </c>
      <c r="K311" s="989">
        <v>2.8810234659816716E-2</v>
      </c>
      <c r="L311" s="994">
        <f t="shared" si="35"/>
        <v>1.1805267510106661</v>
      </c>
      <c r="M311" s="994">
        <f t="shared" si="32"/>
        <v>1.4166321012127991</v>
      </c>
      <c r="N311" s="995">
        <v>3</v>
      </c>
      <c r="O311" s="997">
        <v>1.1869816679844487</v>
      </c>
      <c r="P311" s="22">
        <f t="shared" si="33"/>
        <v>0.22965043322835044</v>
      </c>
      <c r="Q311" s="982">
        <f t="shared" si="34"/>
        <v>19.347428812300677</v>
      </c>
      <c r="R311" s="6"/>
      <c r="S311" s="6"/>
      <c r="T311" s="6"/>
      <c r="U311" s="6"/>
      <c r="V311" s="6"/>
      <c r="W311" s="6"/>
      <c r="X311" s="6"/>
      <c r="Y311" s="6"/>
      <c r="Z311" s="6"/>
    </row>
    <row r="312" spans="1:26" s="93" customFormat="1" ht="15.75">
      <c r="A312" s="236">
        <v>221</v>
      </c>
      <c r="B312" s="233" t="s">
        <v>1264</v>
      </c>
      <c r="C312" s="886">
        <f>cходова!R312</f>
        <v>0.58959689168824048</v>
      </c>
      <c r="D312" s="886">
        <f>прибуд.!O312</f>
        <v>7.2717925271186423E-2</v>
      </c>
      <c r="E312" s="886">
        <f>гар.вода!M312+хол.вода!Q312+ц.о.!M312+каналізація!Q312+аварійні!I312+зварювальн!M312</f>
        <v>0.14429111951216775</v>
      </c>
      <c r="F312" s="886">
        <f>дератизац.!I312</f>
        <v>3.5503338469440164E-3</v>
      </c>
      <c r="G312" s="886">
        <f>димоканал!R312</f>
        <v>2.7327022055669982E-2</v>
      </c>
      <c r="H312" s="886">
        <f>'підготовка до зими'!M312+майстерні!M312+маляри!M312+покрівлі!O312</f>
        <v>0.15476205642021248</v>
      </c>
      <c r="I312" s="886">
        <f>електрики!R312</f>
        <v>1.5777704049518986E-2</v>
      </c>
      <c r="J312" s="989">
        <f t="shared" si="31"/>
        <v>1.00802305284394</v>
      </c>
      <c r="K312" s="989">
        <v>2.5195932900214994E-2</v>
      </c>
      <c r="L312" s="994">
        <f t="shared" si="35"/>
        <v>1.0332189857441549</v>
      </c>
      <c r="M312" s="994">
        <f t="shared" si="32"/>
        <v>1.2398627828929858</v>
      </c>
      <c r="N312" s="995">
        <v>4</v>
      </c>
      <c r="O312" s="997">
        <v>1.0380724354888577</v>
      </c>
      <c r="P312" s="22">
        <f t="shared" si="33"/>
        <v>0.20179034740412805</v>
      </c>
      <c r="Q312" s="982">
        <f t="shared" si="34"/>
        <v>19.438946696344871</v>
      </c>
      <c r="R312" s="6"/>
      <c r="S312" s="6"/>
      <c r="T312" s="6"/>
      <c r="U312" s="6"/>
      <c r="V312" s="6"/>
      <c r="W312" s="6"/>
      <c r="X312" s="6"/>
      <c r="Y312" s="6"/>
      <c r="Z312" s="6"/>
    </row>
    <row r="313" spans="1:26" s="93" customFormat="1" ht="15.75">
      <c r="A313" s="236">
        <v>222</v>
      </c>
      <c r="B313" s="233" t="s">
        <v>1265</v>
      </c>
      <c r="C313" s="886">
        <f>cходова!R313</f>
        <v>0.65281714188242712</v>
      </c>
      <c r="D313" s="886">
        <f>прибуд.!O313</f>
        <v>4.6789786718221364E-2</v>
      </c>
      <c r="E313" s="886">
        <f>гар.вода!M313+хол.вода!Q313+ц.о.!M313+каналізація!Q313+аварійні!I313+зварювальн!M313</f>
        <v>0.14216213311876433</v>
      </c>
      <c r="F313" s="886">
        <f>дератизац.!I313</f>
        <v>4.3375345453644156E-3</v>
      </c>
      <c r="G313" s="886">
        <f>димоканал!R313</f>
        <v>3.5984837628618684E-2</v>
      </c>
      <c r="H313" s="886">
        <f>'підготовка до зими'!M313+майстерні!M313+маляри!M313+покрівлі!O313</f>
        <v>0.15008160060140147</v>
      </c>
      <c r="I313" s="886">
        <f>електрики!R313</f>
        <v>1.4793980597422346E-2</v>
      </c>
      <c r="J313" s="989">
        <f t="shared" si="31"/>
        <v>1.0469670150922197</v>
      </c>
      <c r="K313" s="989">
        <v>2.6188436835305522E-2</v>
      </c>
      <c r="L313" s="994">
        <f t="shared" si="35"/>
        <v>1.0731554519275253</v>
      </c>
      <c r="M313" s="994">
        <f t="shared" si="32"/>
        <v>1.2877865423130304</v>
      </c>
      <c r="N313" s="995">
        <v>4</v>
      </c>
      <c r="O313" s="997">
        <v>1.0789635976145875</v>
      </c>
      <c r="P313" s="22">
        <f t="shared" si="33"/>
        <v>0.20882294469844287</v>
      </c>
      <c r="Q313" s="982">
        <f t="shared" si="34"/>
        <v>19.354030586399418</v>
      </c>
      <c r="R313" s="6"/>
      <c r="S313" s="6"/>
      <c r="T313" s="6"/>
      <c r="U313" s="6"/>
      <c r="V313" s="6"/>
      <c r="W313" s="6"/>
      <c r="X313" s="6"/>
      <c r="Y313" s="6"/>
      <c r="Z313" s="6"/>
    </row>
    <row r="314" spans="1:26" s="93" customFormat="1" ht="15.75">
      <c r="A314" s="236">
        <v>223</v>
      </c>
      <c r="B314" s="233" t="s">
        <v>1266</v>
      </c>
      <c r="C314" s="886">
        <f>cходова!R314</f>
        <v>0.7959918745562653</v>
      </c>
      <c r="D314" s="886">
        <f>прибуд.!O314</f>
        <v>8.5684160202484469E-2</v>
      </c>
      <c r="E314" s="886">
        <f>гар.вода!M314+хол.вода!Q314+ц.о.!M314+каналізація!Q314+аварійні!I314+зварювальн!M314</f>
        <v>0.14652525978821243</v>
      </c>
      <c r="F314" s="886">
        <f>дератизац.!I314</f>
        <v>3.4130434782608694E-3</v>
      </c>
      <c r="G314" s="886">
        <f>димоканал!R314</f>
        <v>2.272496042274837E-2</v>
      </c>
      <c r="H314" s="886">
        <f>'підготовка до зими'!M314+майстерні!M314+маляри!M314+покрівлі!O314</f>
        <v>0.17095182600430275</v>
      </c>
      <c r="I314" s="886">
        <f>електрики!R314</f>
        <v>1.7026202196294589E-2</v>
      </c>
      <c r="J314" s="989">
        <f t="shared" si="31"/>
        <v>1.2423173266485688</v>
      </c>
      <c r="K314" s="989">
        <v>3.0983602555742118E-2</v>
      </c>
      <c r="L314" s="994">
        <f t="shared" si="35"/>
        <v>1.2733009292043109</v>
      </c>
      <c r="M314" s="994">
        <f t="shared" si="32"/>
        <v>1.5279611150451731</v>
      </c>
      <c r="N314" s="995">
        <v>4</v>
      </c>
      <c r="O314" s="997">
        <v>1.2765244252965753</v>
      </c>
      <c r="P314" s="22">
        <f t="shared" si="33"/>
        <v>0.25143668974859779</v>
      </c>
      <c r="Q314" s="982">
        <f t="shared" si="34"/>
        <v>19.696974438243231</v>
      </c>
      <c r="R314" s="6"/>
      <c r="S314" s="6"/>
      <c r="T314" s="6"/>
      <c r="U314" s="6"/>
      <c r="V314" s="6"/>
      <c r="W314" s="6"/>
      <c r="X314" s="6"/>
      <c r="Y314" s="6"/>
      <c r="Z314" s="6"/>
    </row>
    <row r="315" spans="1:26" s="93" customFormat="1" ht="15.75">
      <c r="A315" s="236">
        <v>224</v>
      </c>
      <c r="B315" s="233" t="s">
        <v>1267</v>
      </c>
      <c r="C315" s="886">
        <f>cходова!R315</f>
        <v>0.47033752041493726</v>
      </c>
      <c r="D315" s="886">
        <f>прибуд.!O315</f>
        <v>0.1303828939357593</v>
      </c>
      <c r="E315" s="886">
        <f>гар.вода!M315+хол.вода!Q315+ц.о.!M315+каналізація!Q315+аварійні!I315+зварювальн!M315</f>
        <v>0.17302420721030914</v>
      </c>
      <c r="F315" s="886">
        <f>дератизац.!I315</f>
        <v>4.3616588737548289E-3</v>
      </c>
      <c r="G315" s="886">
        <f>димоканал!R315</f>
        <v>5.8037504699665336E-2</v>
      </c>
      <c r="H315" s="886">
        <f>'підготовка до зими'!M315+майстерні!M315+маляри!M315+покрівлі!O315</f>
        <v>0.19957680399586122</v>
      </c>
      <c r="I315" s="886">
        <f>електрики!R315</f>
        <v>2.5971740107487418E-2</v>
      </c>
      <c r="J315" s="989">
        <f t="shared" si="31"/>
        <v>1.0616923292377747</v>
      </c>
      <c r="K315" s="989">
        <v>2.6638463048206554E-2</v>
      </c>
      <c r="L315" s="994">
        <f t="shared" si="35"/>
        <v>1.0883307922859813</v>
      </c>
      <c r="M315" s="994">
        <f t="shared" si="32"/>
        <v>1.3059969507431775</v>
      </c>
      <c r="N315" s="995">
        <v>4</v>
      </c>
      <c r="O315" s="997">
        <v>1.0975046775861101</v>
      </c>
      <c r="P315" s="22">
        <f t="shared" si="33"/>
        <v>0.20849227315706731</v>
      </c>
      <c r="Q315" s="982">
        <f t="shared" si="34"/>
        <v>18.9969370896562</v>
      </c>
      <c r="R315" s="6"/>
      <c r="S315" s="6"/>
      <c r="T315" s="6"/>
      <c r="U315" s="6"/>
      <c r="V315" s="6"/>
      <c r="W315" s="6"/>
      <c r="X315" s="6"/>
      <c r="Y315" s="6"/>
      <c r="Z315" s="6"/>
    </row>
    <row r="316" spans="1:26" s="93" customFormat="1" ht="15.75">
      <c r="A316" s="894">
        <v>225</v>
      </c>
      <c r="B316" s="233" t="s">
        <v>1268</v>
      </c>
      <c r="C316" s="886">
        <f>cходова!R316</f>
        <v>0.65083741989647736</v>
      </c>
      <c r="D316" s="886">
        <f>прибуд.!O316</f>
        <v>0.13231343350515462</v>
      </c>
      <c r="E316" s="886">
        <f>гар.вода!M316+хол.вода!Q316+ц.о.!M316+каналізація!Q316+аварійні!I316+зварювальн!M316</f>
        <v>0.16814248445998248</v>
      </c>
      <c r="F316" s="886">
        <f>дератизац.!I316</f>
        <v>4.0620118712902222E-3</v>
      </c>
      <c r="G316" s="886">
        <f>димоканал!R316</f>
        <v>2.1701123006215777E-2</v>
      </c>
      <c r="H316" s="886">
        <f>'підготовка до зими'!M316+майстерні!M316+маляри!M316+покрівлі!O316</f>
        <v>0.21941867062612094</v>
      </c>
      <c r="I316" s="886">
        <f>електрики!R316</f>
        <v>2.1310145729220447E-2</v>
      </c>
      <c r="J316" s="989">
        <f t="shared" si="31"/>
        <v>1.2177852890944618</v>
      </c>
      <c r="K316" s="989">
        <v>3.0490825384528561E-2</v>
      </c>
      <c r="L316" s="994">
        <f t="shared" si="35"/>
        <v>1.2482761144789905</v>
      </c>
      <c r="M316" s="994">
        <f t="shared" si="32"/>
        <v>1.4979313373747885</v>
      </c>
      <c r="N316" s="995">
        <v>3</v>
      </c>
      <c r="O316" s="997">
        <v>1.2562220058425768</v>
      </c>
      <c r="P316" s="22">
        <f t="shared" si="33"/>
        <v>0.24170933153221164</v>
      </c>
      <c r="Q316" s="982">
        <f t="shared" si="34"/>
        <v>19.240972567591001</v>
      </c>
      <c r="R316" s="6"/>
      <c r="S316" s="6"/>
      <c r="T316" s="6"/>
      <c r="U316" s="6"/>
      <c r="V316" s="6"/>
      <c r="W316" s="6"/>
      <c r="X316" s="6"/>
      <c r="Y316" s="6"/>
      <c r="Z316" s="6"/>
    </row>
    <row r="317" spans="1:26" s="93" customFormat="1" ht="15.75">
      <c r="A317" s="236">
        <v>226</v>
      </c>
      <c r="B317" s="233" t="s">
        <v>1269</v>
      </c>
      <c r="C317" s="886">
        <f>cходова!R317</f>
        <v>0.50019908033423799</v>
      </c>
      <c r="D317" s="886">
        <f>прибуд.!O317</f>
        <v>5.8487233397776686E-2</v>
      </c>
      <c r="E317" s="886">
        <f>гар.вода!M317+хол.вода!Q317+ц.о.!M317+каналізація!Q317+аварійні!I317+зварювальн!M317</f>
        <v>0.14005554344149823</v>
      </c>
      <c r="F317" s="886">
        <f>дератизац.!I317</f>
        <v>4.2811465962746768E-3</v>
      </c>
      <c r="G317" s="886">
        <f>димоканал!R317</f>
        <v>4.6061158719613512E-2</v>
      </c>
      <c r="H317" s="886">
        <f>'підготовка до зими'!M317+майстерні!M317+маляри!M317+покрівлі!O317</f>
        <v>0.16664919697149527</v>
      </c>
      <c r="I317" s="886">
        <f>електрики!R317</f>
        <v>1.4265624147514401E-2</v>
      </c>
      <c r="J317" s="989">
        <f t="shared" si="31"/>
        <v>0.92999898360841082</v>
      </c>
      <c r="K317" s="989">
        <v>2.3346025974826434E-2</v>
      </c>
      <c r="L317" s="994">
        <f t="shared" si="35"/>
        <v>0.9533450095832372</v>
      </c>
      <c r="M317" s="994">
        <f t="shared" si="32"/>
        <v>1.1440140114998847</v>
      </c>
      <c r="N317" s="995">
        <v>5</v>
      </c>
      <c r="O317" s="997">
        <v>0.96185627016284925</v>
      </c>
      <c r="P317" s="22">
        <f t="shared" si="33"/>
        <v>0.18215774133703544</v>
      </c>
      <c r="Q317" s="982">
        <f t="shared" si="34"/>
        <v>18.938145644795242</v>
      </c>
      <c r="R317" s="6"/>
      <c r="S317" s="6"/>
      <c r="T317" s="6"/>
      <c r="U317" s="6"/>
      <c r="V317" s="6"/>
      <c r="W317" s="6"/>
      <c r="X317" s="6"/>
      <c r="Y317" s="6"/>
      <c r="Z317" s="6"/>
    </row>
    <row r="318" spans="1:26" s="93" customFormat="1" ht="15.75">
      <c r="A318" s="236">
        <v>227</v>
      </c>
      <c r="B318" s="233" t="s">
        <v>1270</v>
      </c>
      <c r="C318" s="886">
        <f>cходова!R318</f>
        <v>0.71808151246693852</v>
      </c>
      <c r="D318" s="886">
        <f>прибуд.!O318</f>
        <v>5.9860887744918809E-2</v>
      </c>
      <c r="E318" s="886">
        <f>гар.вода!M318+хол.вода!Q318+ц.о.!M318+каналізація!Q318+аварійні!I318+зварювальн!M318</f>
        <v>0.17457606696028083</v>
      </c>
      <c r="F318" s="886">
        <f>дератизац.!I318</f>
        <v>3.1917410474244542E-3</v>
      </c>
      <c r="G318" s="886">
        <f>димоканал!R318</f>
        <v>3.2656898941099674E-2</v>
      </c>
      <c r="H318" s="886">
        <f>'підготовка до зими'!M318+майстерні!M318+маляри!M318+покрівлі!O318</f>
        <v>0.21660689087611418</v>
      </c>
      <c r="I318" s="886">
        <f>електрики!R318</f>
        <v>2.3544074607643947E-2</v>
      </c>
      <c r="J318" s="989">
        <f t="shared" si="31"/>
        <v>1.2285180726444205</v>
      </c>
      <c r="K318" s="989">
        <v>3.0771808490922283E-2</v>
      </c>
      <c r="L318" s="994">
        <f t="shared" si="35"/>
        <v>1.2592898811353428</v>
      </c>
      <c r="M318" s="994">
        <f t="shared" si="32"/>
        <v>1.5111478573624113</v>
      </c>
      <c r="N318" s="995">
        <v>4</v>
      </c>
      <c r="O318" s="997">
        <v>1.2677985098259981</v>
      </c>
      <c r="P318" s="22">
        <f t="shared" si="33"/>
        <v>0.24334934753641324</v>
      </c>
      <c r="Q318" s="982">
        <f t="shared" si="34"/>
        <v>19.194639025866351</v>
      </c>
      <c r="R318" s="6"/>
      <c r="S318" s="6"/>
      <c r="T318" s="6"/>
      <c r="U318" s="6"/>
      <c r="V318" s="6"/>
      <c r="W318" s="6"/>
      <c r="X318" s="6"/>
      <c r="Y318" s="6"/>
      <c r="Z318" s="6"/>
    </row>
    <row r="319" spans="1:26" s="93" customFormat="1" ht="15.75">
      <c r="A319" s="236">
        <v>228</v>
      </c>
      <c r="B319" s="233" t="s">
        <v>1271</v>
      </c>
      <c r="C319" s="886">
        <f>cходова!R319</f>
        <v>0.45146008536324811</v>
      </c>
      <c r="D319" s="886">
        <f>прибуд.!O319</f>
        <v>0.24759358886239211</v>
      </c>
      <c r="E319" s="886">
        <f>гар.вода!M319+хол.вода!Q319+ц.о.!M319+каналізація!Q319+аварійні!I319+зварювальн!M319</f>
        <v>0.15273654863553138</v>
      </c>
      <c r="F319" s="886">
        <f>дератизац.!I319</f>
        <v>2.689154484393521E-3</v>
      </c>
      <c r="G319" s="886">
        <f>димоканал!R319</f>
        <v>3.6160480868130992E-2</v>
      </c>
      <c r="H319" s="886">
        <f>'підготовка до зими'!M319+майстерні!M319+маляри!M319+покрівлі!O319</f>
        <v>0.13589577130897246</v>
      </c>
      <c r="I319" s="886">
        <f>електрики!R319</f>
        <v>1.8277940048284789E-2</v>
      </c>
      <c r="J319" s="989">
        <f t="shared" si="31"/>
        <v>1.0448135695709535</v>
      </c>
      <c r="K319" s="989">
        <v>2.6112436093216933E-2</v>
      </c>
      <c r="L319" s="994">
        <f t="shared" si="35"/>
        <v>1.0709260056641705</v>
      </c>
      <c r="M319" s="994">
        <f t="shared" si="32"/>
        <v>1.2851112067970045</v>
      </c>
      <c r="N319" s="995">
        <v>3</v>
      </c>
      <c r="O319" s="997">
        <v>1.0758323670405376</v>
      </c>
      <c r="P319" s="22">
        <f t="shared" si="33"/>
        <v>0.20927883975646688</v>
      </c>
      <c r="Q319" s="982">
        <f t="shared" si="34"/>
        <v>19.452736891730012</v>
      </c>
      <c r="R319" s="6"/>
      <c r="S319" s="6"/>
      <c r="T319" s="6"/>
      <c r="U319" s="6"/>
      <c r="V319" s="6"/>
      <c r="W319" s="6"/>
      <c r="X319" s="6"/>
      <c r="Y319" s="6"/>
      <c r="Z319" s="6"/>
    </row>
    <row r="320" spans="1:26" s="93" customFormat="1" ht="15.75">
      <c r="A320" s="236">
        <v>229</v>
      </c>
      <c r="B320" s="233" t="s">
        <v>1272</v>
      </c>
      <c r="C320" s="886">
        <f>cходова!R320</f>
        <v>0.59878228699486535</v>
      </c>
      <c r="D320" s="886">
        <f>прибуд.!O320</f>
        <v>0.10007450041349655</v>
      </c>
      <c r="E320" s="886">
        <f>гар.вода!M320+хол.вода!Q320+ц.о.!M320+каналізація!Q320+аварійні!I320+зварювальн!M320</f>
        <v>0.17401045201393189</v>
      </c>
      <c r="F320" s="886">
        <f>дератизац.!I320</f>
        <v>3.6648515229395157E-3</v>
      </c>
      <c r="G320" s="886">
        <f>димоканал!R320</f>
        <v>3.5171339365766802E-2</v>
      </c>
      <c r="H320" s="886">
        <f>'підготовка до зими'!M320+майстерні!M320+маляри!M320+покрівлі!O320</f>
        <v>0.2263367538242913</v>
      </c>
      <c r="I320" s="886">
        <f>електрики!R320</f>
        <v>2.4691961065941005E-2</v>
      </c>
      <c r="J320" s="989">
        <f t="shared" si="31"/>
        <v>1.1627321452012325</v>
      </c>
      <c r="K320" s="989">
        <v>2.9131942322848728E-2</v>
      </c>
      <c r="L320" s="994">
        <f t="shared" si="35"/>
        <v>1.1918640875240811</v>
      </c>
      <c r="M320" s="994">
        <f t="shared" si="32"/>
        <v>1.4302369050288972</v>
      </c>
      <c r="N320" s="995">
        <v>3</v>
      </c>
      <c r="O320" s="997">
        <v>1.2002360237013674</v>
      </c>
      <c r="P320" s="22">
        <f t="shared" si="33"/>
        <v>0.23000088132752983</v>
      </c>
      <c r="Q320" s="982">
        <f t="shared" si="34"/>
        <v>19.162971014504123</v>
      </c>
      <c r="R320" s="6"/>
      <c r="S320" s="6"/>
      <c r="T320" s="6"/>
      <c r="U320" s="6"/>
      <c r="V320" s="6"/>
      <c r="W320" s="6"/>
      <c r="X320" s="6"/>
      <c r="Y320" s="6"/>
      <c r="Z320" s="6"/>
    </row>
    <row r="321" spans="1:26" s="93" customFormat="1" ht="15.75">
      <c r="A321" s="236">
        <v>230</v>
      </c>
      <c r="B321" s="233" t="s">
        <v>1273</v>
      </c>
      <c r="C321" s="886">
        <f>cходова!R321</f>
        <v>0.89061232004400814</v>
      </c>
      <c r="D321" s="886">
        <f>прибуд.!O321</f>
        <v>8.4713039873991133E-2</v>
      </c>
      <c r="E321" s="886">
        <f>гар.вода!M321+хол.вода!Q321+ц.о.!M321+каналізація!Q321+аварійні!I321+зварювальн!M321</f>
        <v>0.19517421424773851</v>
      </c>
      <c r="F321" s="886">
        <f>дератизац.!I321</f>
        <v>5.3831741064075123E-3</v>
      </c>
      <c r="G321" s="886">
        <f>димоканал!R321</f>
        <v>7.1274074833563572E-2</v>
      </c>
      <c r="H321" s="886">
        <f>'підготовка до зими'!M321+майстерні!M321+маляри!M321+покрівлі!O321</f>
        <v>0.22148906776087396</v>
      </c>
      <c r="I321" s="886">
        <f>електрики!R321</f>
        <v>3.2004211541350594E-2</v>
      </c>
      <c r="J321" s="989">
        <f t="shared" si="31"/>
        <v>1.5006501024079335</v>
      </c>
      <c r="K321" s="989">
        <v>3.75908161508152E-2</v>
      </c>
      <c r="L321" s="994">
        <f t="shared" si="35"/>
        <v>1.5382409185587487</v>
      </c>
      <c r="M321" s="994">
        <f t="shared" si="32"/>
        <v>1.8458891022704984</v>
      </c>
      <c r="N321" s="995">
        <v>3</v>
      </c>
      <c r="O321" s="997">
        <v>1.5487416254135862</v>
      </c>
      <c r="P321" s="22">
        <f t="shared" si="33"/>
        <v>0.29714747685691223</v>
      </c>
      <c r="Q321" s="982">
        <f t="shared" si="34"/>
        <v>19.186381510057245</v>
      </c>
      <c r="R321" s="6"/>
      <c r="S321" s="6"/>
      <c r="T321" s="6"/>
      <c r="U321" s="6"/>
      <c r="V321" s="6"/>
      <c r="W321" s="6"/>
      <c r="X321" s="6"/>
      <c r="Y321" s="6"/>
      <c r="Z321" s="6"/>
    </row>
    <row r="322" spans="1:26" s="93" customFormat="1" ht="15.75">
      <c r="A322" s="236">
        <v>231</v>
      </c>
      <c r="B322" s="233" t="s">
        <v>1274</v>
      </c>
      <c r="C322" s="886">
        <f>cходова!R322</f>
        <v>0.62791900952386204</v>
      </c>
      <c r="D322" s="886">
        <f>прибуд.!O322</f>
        <v>8.9215320176941268E-2</v>
      </c>
      <c r="E322" s="886">
        <f>гар.вода!M322+хол.вода!Q322+ц.о.!M322+каналізація!Q322+аварійні!I322+зварювальн!M322</f>
        <v>0.19375473752379674</v>
      </c>
      <c r="F322" s="886">
        <f>дератизац.!I322</f>
        <v>4.4018474749007962E-3</v>
      </c>
      <c r="G322" s="886">
        <f>димоканал!R322</f>
        <v>6.8406408629902077E-2</v>
      </c>
      <c r="H322" s="886">
        <f>'підготовка до зими'!M322+майстерні!M322+маляри!M322+покрівлі!O322</f>
        <v>0.23528910568370251</v>
      </c>
      <c r="I322" s="886">
        <f>електрики!R322</f>
        <v>3.1810587932092661E-2</v>
      </c>
      <c r="J322" s="989">
        <f t="shared" si="31"/>
        <v>1.2507970169451981</v>
      </c>
      <c r="K322" s="989">
        <v>3.1411213250201998E-2</v>
      </c>
      <c r="L322" s="994">
        <f t="shared" si="35"/>
        <v>1.2822082301954001</v>
      </c>
      <c r="M322" s="994">
        <f t="shared" si="32"/>
        <v>1.53864987623448</v>
      </c>
      <c r="N322" s="995">
        <v>3</v>
      </c>
      <c r="O322" s="997">
        <v>1.2941419859083225</v>
      </c>
      <c r="P322" s="22">
        <f t="shared" si="33"/>
        <v>0.2445078903261575</v>
      </c>
      <c r="Q322" s="982">
        <f t="shared" si="34"/>
        <v>18.893436190816743</v>
      </c>
      <c r="R322" s="6"/>
      <c r="S322" s="6"/>
      <c r="T322" s="6"/>
      <c r="U322" s="6"/>
      <c r="V322" s="6"/>
      <c r="W322" s="6"/>
      <c r="X322" s="6"/>
      <c r="Y322" s="6"/>
      <c r="Z322" s="6"/>
    </row>
    <row r="323" spans="1:26" s="93" customFormat="1" ht="15.75">
      <c r="A323" s="894">
        <v>232</v>
      </c>
      <c r="B323" s="233" t="s">
        <v>1275</v>
      </c>
      <c r="C323" s="886">
        <f>cходова!R323</f>
        <v>0</v>
      </c>
      <c r="D323" s="886">
        <f>прибуд.!O323</f>
        <v>0</v>
      </c>
      <c r="E323" s="886">
        <f>гар.вода!M323+хол.вода!Q323+ц.о.!M323+каналізація!Q323+аварійні!I323+зварювальн!M323</f>
        <v>0.14997507874172816</v>
      </c>
      <c r="F323" s="886">
        <f>дератизац.!I323</f>
        <v>2.8653764285948196E-3</v>
      </c>
      <c r="G323" s="886">
        <f>димоканал!R323</f>
        <v>4.1369513198369547E-2</v>
      </c>
      <c r="H323" s="886">
        <f>'підготовка до зими'!M323+майстерні!M323+маляри!M323+покрівлі!O323</f>
        <v>0.18599959594935242</v>
      </c>
      <c r="I323" s="886">
        <f>електрики!R323</f>
        <v>1.6753555476774401E-2</v>
      </c>
      <c r="J323" s="989">
        <f t="shared" si="31"/>
        <v>0.39696311979481935</v>
      </c>
      <c r="K323" s="989">
        <v>1.0165393294293208E-2</v>
      </c>
      <c r="L323" s="994">
        <f t="shared" si="35"/>
        <v>0.40712851308911258</v>
      </c>
      <c r="M323" s="994">
        <f t="shared" si="32"/>
        <v>0.48855421570693508</v>
      </c>
      <c r="N323" s="995">
        <v>2</v>
      </c>
      <c r="O323" s="997">
        <v>0.41881420372488015</v>
      </c>
      <c r="P323" s="22">
        <f t="shared" si="33"/>
        <v>6.9740011982054928E-2</v>
      </c>
      <c r="Q323" s="982">
        <f t="shared" si="34"/>
        <v>16.651778130205756</v>
      </c>
      <c r="R323" s="6"/>
      <c r="S323" s="6"/>
      <c r="T323" s="6"/>
      <c r="U323" s="6"/>
      <c r="V323" s="6"/>
      <c r="W323" s="6"/>
      <c r="X323" s="6"/>
      <c r="Y323" s="6"/>
      <c r="Z323" s="6"/>
    </row>
    <row r="324" spans="1:26" s="93" customFormat="1" ht="15.75">
      <c r="A324" s="236">
        <v>233</v>
      </c>
      <c r="B324" s="233" t="s">
        <v>1276</v>
      </c>
      <c r="C324" s="886">
        <f>cходова!R324</f>
        <v>0</v>
      </c>
      <c r="D324" s="886">
        <f>прибуд.!O324</f>
        <v>0.29756578499999997</v>
      </c>
      <c r="E324" s="886">
        <f>гар.вода!M324+хол.вода!Q324+ц.о.!M324+каналізація!Q324+аварійні!I324+зварювальн!M324</f>
        <v>0.12298624689729939</v>
      </c>
      <c r="F324" s="886">
        <f>дератизац.!I324</f>
        <v>0</v>
      </c>
      <c r="G324" s="886">
        <f>димоканал!R324</f>
        <v>4.290277989808558E-2</v>
      </c>
      <c r="H324" s="886">
        <f>'підготовка до зими'!M324+майстерні!M324+маляри!M324+покрівлі!O324</f>
        <v>0.24559547352651648</v>
      </c>
      <c r="I324" s="886">
        <f>електрики!R324</f>
        <v>9.9844520607779048E-3</v>
      </c>
      <c r="J324" s="989">
        <f t="shared" si="31"/>
        <v>0.71903473738267931</v>
      </c>
      <c r="K324" s="989">
        <v>1.8161402673669846E-2</v>
      </c>
      <c r="L324" s="994">
        <f t="shared" si="35"/>
        <v>0.73719614005634915</v>
      </c>
      <c r="M324" s="994">
        <f t="shared" si="32"/>
        <v>0.884635368067619</v>
      </c>
      <c r="N324" s="995">
        <v>2</v>
      </c>
      <c r="O324" s="997">
        <v>0.74824979015519766</v>
      </c>
      <c r="P324" s="22">
        <f t="shared" si="33"/>
        <v>0.13638557791242134</v>
      </c>
      <c r="Q324" s="982">
        <f t="shared" si="34"/>
        <v>18.227279139514764</v>
      </c>
      <c r="R324" s="6"/>
      <c r="S324" s="6"/>
      <c r="T324" s="6"/>
      <c r="U324" s="6"/>
      <c r="V324" s="6"/>
      <c r="W324" s="6"/>
      <c r="X324" s="6"/>
      <c r="Y324" s="6"/>
      <c r="Z324" s="6"/>
    </row>
    <row r="325" spans="1:26" s="93" customFormat="1" ht="15.75">
      <c r="A325" s="236">
        <v>234</v>
      </c>
      <c r="B325" s="233" t="s">
        <v>1277</v>
      </c>
      <c r="C325" s="886">
        <f>cходова!R325</f>
        <v>0.58778049362692086</v>
      </c>
      <c r="D325" s="886">
        <f>прибуд.!O325</f>
        <v>0.43536509819522257</v>
      </c>
      <c r="E325" s="886">
        <f>гар.вода!M325+хол.вода!Q325+ц.о.!M325+каналізація!Q325+аварійні!I325+зварювальн!M325</f>
        <v>0.15836908233591443</v>
      </c>
      <c r="F325" s="886">
        <f>дератизац.!I325</f>
        <v>3.6125036862282513E-3</v>
      </c>
      <c r="G325" s="886">
        <f>димоканал!R325</f>
        <v>4.0851371773059295E-2</v>
      </c>
      <c r="H325" s="886">
        <f>'підготовка до зими'!M325+майстерні!M325+маляри!M325+покрівлі!O325</f>
        <v>0.20160427244051349</v>
      </c>
      <c r="I325" s="886">
        <f>електрики!R325</f>
        <v>1.8858866248682535E-2</v>
      </c>
      <c r="J325" s="989">
        <f t="shared" si="31"/>
        <v>1.4464416883065414</v>
      </c>
      <c r="K325" s="989">
        <v>3.6157732282144424E-2</v>
      </c>
      <c r="L325" s="994">
        <f t="shared" si="35"/>
        <v>1.4825994205886859</v>
      </c>
      <c r="M325" s="994">
        <f t="shared" si="32"/>
        <v>1.7791193047064231</v>
      </c>
      <c r="N325" s="995">
        <v>3</v>
      </c>
      <c r="O325" s="997">
        <v>1.4896985700243504</v>
      </c>
      <c r="P325" s="22">
        <f t="shared" si="33"/>
        <v>0.28942073468207274</v>
      </c>
      <c r="Q325" s="982">
        <f t="shared" si="34"/>
        <v>19.428140733017017</v>
      </c>
      <c r="R325" s="6"/>
      <c r="S325" s="6"/>
      <c r="T325" s="6"/>
      <c r="U325" s="6"/>
      <c r="V325" s="6"/>
      <c r="W325" s="6"/>
      <c r="X325" s="6"/>
      <c r="Y325" s="6"/>
      <c r="Z325" s="6"/>
    </row>
    <row r="326" spans="1:26" s="93" customFormat="1" ht="15.75">
      <c r="A326" s="236">
        <v>235</v>
      </c>
      <c r="B326" s="233" t="s">
        <v>1278</v>
      </c>
      <c r="C326" s="886">
        <f>cходова!R326</f>
        <v>0.42312170772005869</v>
      </c>
      <c r="D326" s="886">
        <f>прибуд.!O326</f>
        <v>0.48250854105316326</v>
      </c>
      <c r="E326" s="886">
        <f>гар.вода!M326+хол.вода!Q326+ц.о.!M326+каналізація!Q326+аварійні!I326+зварювальн!M326</f>
        <v>0.15472825045361657</v>
      </c>
      <c r="F326" s="886">
        <f>дератизац.!I326</f>
        <v>2.7764065710776161E-3</v>
      </c>
      <c r="G326" s="886">
        <f>димоканал!R326</f>
        <v>3.1151334004868522E-2</v>
      </c>
      <c r="H326" s="886">
        <f>'підготовка до зими'!M326+майстерні!M326+маляри!M326+покрівлі!O326</f>
        <v>0.15633678705098525</v>
      </c>
      <c r="I326" s="886">
        <f>електрики!R326</f>
        <v>1.7945704550036475E-2</v>
      </c>
      <c r="J326" s="989">
        <f t="shared" si="31"/>
        <v>1.2685687314038063</v>
      </c>
      <c r="K326" s="989">
        <v>3.1669864268466762E-2</v>
      </c>
      <c r="L326" s="994">
        <f t="shared" si="35"/>
        <v>1.3002385956722731</v>
      </c>
      <c r="M326" s="994">
        <f t="shared" si="32"/>
        <v>1.5602863148067276</v>
      </c>
      <c r="N326" s="995">
        <v>4</v>
      </c>
      <c r="O326" s="997">
        <v>1.3047984078608306</v>
      </c>
      <c r="P326" s="22">
        <f t="shared" si="33"/>
        <v>0.25548790694589707</v>
      </c>
      <c r="Q326" s="982">
        <f t="shared" si="34"/>
        <v>19.58064214415775</v>
      </c>
      <c r="R326" s="6"/>
      <c r="S326" s="6"/>
      <c r="T326" s="6"/>
      <c r="U326" s="6"/>
      <c r="V326" s="6"/>
      <c r="W326" s="6"/>
      <c r="X326" s="6"/>
      <c r="Y326" s="6"/>
      <c r="Z326" s="6"/>
    </row>
    <row r="327" spans="1:26" s="93" customFormat="1" ht="15.75">
      <c r="A327" s="236">
        <v>236</v>
      </c>
      <c r="B327" s="233" t="s">
        <v>1279</v>
      </c>
      <c r="C327" s="886">
        <f>cходова!R327</f>
        <v>0.26597402831265088</v>
      </c>
      <c r="D327" s="886">
        <f>прибуд.!O327</f>
        <v>0.14423834705538932</v>
      </c>
      <c r="E327" s="886">
        <f>гар.вода!M327+хол.вода!Q327+ц.о.!M327+каналізація!Q327+аварійні!I327+зварювальн!M327</f>
        <v>0.28765966294578948</v>
      </c>
      <c r="F327" s="886">
        <f>дератизац.!I327</f>
        <v>1.4473716217859838E-3</v>
      </c>
      <c r="G327" s="886">
        <f>димоканал!R327</f>
        <v>3.5839266698541525E-2</v>
      </c>
      <c r="H327" s="886">
        <f>'підготовка до зими'!M327+майстерні!M327+маляри!M327+покрівлі!O327</f>
        <v>0.14897612681774997</v>
      </c>
      <c r="I327" s="886">
        <f>електрики!R327</f>
        <v>1.9912070781357268E-2</v>
      </c>
      <c r="J327" s="989">
        <f t="shared" si="31"/>
        <v>0.90404687423326435</v>
      </c>
      <c r="K327" s="989">
        <v>2.2795714321775438E-2</v>
      </c>
      <c r="L327" s="994">
        <f t="shared" si="35"/>
        <v>0.92684258855503976</v>
      </c>
      <c r="M327" s="994">
        <f t="shared" si="32"/>
        <v>1.1122111062660476</v>
      </c>
      <c r="N327" s="995">
        <v>4</v>
      </c>
      <c r="O327" s="997">
        <v>0.93918343005714799</v>
      </c>
      <c r="P327" s="22">
        <f t="shared" si="33"/>
        <v>0.17302767620889958</v>
      </c>
      <c r="Q327" s="982">
        <f t="shared" si="34"/>
        <v>18.423203675811337</v>
      </c>
      <c r="R327" s="6"/>
      <c r="S327" s="6"/>
      <c r="T327" s="6"/>
      <c r="U327" s="6"/>
      <c r="V327" s="6"/>
      <c r="W327" s="6"/>
      <c r="X327" s="6"/>
      <c r="Y327" s="6"/>
      <c r="Z327" s="6"/>
    </row>
    <row r="328" spans="1:26" s="93" customFormat="1" ht="15.75">
      <c r="A328" s="236">
        <v>237</v>
      </c>
      <c r="B328" s="233" t="s">
        <v>1280</v>
      </c>
      <c r="C328" s="886">
        <f>cходова!R328</f>
        <v>0.43482806378041672</v>
      </c>
      <c r="D328" s="886">
        <f>прибуд.!O328</f>
        <v>0.52402445026326661</v>
      </c>
      <c r="E328" s="886">
        <f>гар.вода!M328+хол.вода!Q328+ц.о.!M328+каналізація!Q328+аварійні!I328+зварювальн!M328</f>
        <v>0.28041626437120687</v>
      </c>
      <c r="F328" s="886">
        <f>дератизац.!I328</f>
        <v>3.4950214513501734E-3</v>
      </c>
      <c r="G328" s="886">
        <f>димоканал!R328</f>
        <v>4.3721790112189775E-2</v>
      </c>
      <c r="H328" s="886">
        <f>'підготовка до зими'!M328+майстерні!M328+маляри!M328+покрівлі!O328</f>
        <v>0.1284837483589682</v>
      </c>
      <c r="I328" s="886">
        <f>електрики!R328</f>
        <v>1.8095344725288516E-2</v>
      </c>
      <c r="J328" s="989">
        <f t="shared" si="31"/>
        <v>1.4330646830626868</v>
      </c>
      <c r="K328" s="989">
        <v>3.5876737064469554E-2</v>
      </c>
      <c r="L328" s="994">
        <f t="shared" si="35"/>
        <v>1.4689414201271562</v>
      </c>
      <c r="M328" s="994">
        <f t="shared" si="32"/>
        <v>1.7627297041525873</v>
      </c>
      <c r="N328" s="995">
        <v>5</v>
      </c>
      <c r="O328" s="997">
        <v>1.4781215670561458</v>
      </c>
      <c r="P328" s="22">
        <f t="shared" si="33"/>
        <v>0.2846081370964415</v>
      </c>
      <c r="Q328" s="982">
        <f t="shared" si="34"/>
        <v>19.254717841866849</v>
      </c>
      <c r="R328" s="6"/>
      <c r="S328" s="6"/>
      <c r="T328" s="6"/>
      <c r="U328" s="6"/>
      <c r="V328" s="6"/>
      <c r="W328" s="6"/>
      <c r="X328" s="6"/>
      <c r="Y328" s="6"/>
      <c r="Z328" s="6"/>
    </row>
    <row r="329" spans="1:26" s="93" customFormat="1" ht="15.75">
      <c r="A329" s="236">
        <v>238</v>
      </c>
      <c r="B329" s="233" t="s">
        <v>1281</v>
      </c>
      <c r="C329" s="886">
        <f>cходова!R329</f>
        <v>0.52870719826707313</v>
      </c>
      <c r="D329" s="886">
        <f>прибуд.!O329</f>
        <v>0.32478526118904139</v>
      </c>
      <c r="E329" s="886">
        <f>гар.вода!M329+хол.вода!Q329+ц.о.!M329+каналізація!Q329+аварійні!I329+зварювальн!M329</f>
        <v>0.19508205115352156</v>
      </c>
      <c r="F329" s="886">
        <f>дератизац.!I329</f>
        <v>3.9613612194257363E-3</v>
      </c>
      <c r="G329" s="886">
        <f>димоканал!R329</f>
        <v>4.7735210919842036E-2</v>
      </c>
      <c r="H329" s="886">
        <f>'підготовка до зими'!M329+майстерні!M329+маляри!M329+покрівлі!O329</f>
        <v>0.1841175307435155</v>
      </c>
      <c r="I329" s="886">
        <f>електрики!R329</f>
        <v>2.8066892889744344E-2</v>
      </c>
      <c r="J329" s="989">
        <f t="shared" si="31"/>
        <v>1.3124555063821637</v>
      </c>
      <c r="K329" s="989">
        <v>3.2876807398241212E-2</v>
      </c>
      <c r="L329" s="994">
        <f t="shared" si="35"/>
        <v>1.345332313780405</v>
      </c>
      <c r="M329" s="994">
        <f t="shared" si="32"/>
        <v>1.614398776536486</v>
      </c>
      <c r="N329" s="995">
        <v>3</v>
      </c>
      <c r="O329" s="997">
        <v>1.3545244648075381</v>
      </c>
      <c r="P329" s="22">
        <f t="shared" si="33"/>
        <v>0.25987431172894793</v>
      </c>
      <c r="Q329" s="982">
        <f t="shared" si="34"/>
        <v>19.185649169199252</v>
      </c>
      <c r="R329" s="6"/>
      <c r="S329" s="6"/>
      <c r="T329" s="6"/>
      <c r="U329" s="6"/>
      <c r="V329" s="6"/>
      <c r="W329" s="6"/>
      <c r="X329" s="6"/>
      <c r="Y329" s="6"/>
      <c r="Z329" s="6"/>
    </row>
    <row r="330" spans="1:26" s="93" customFormat="1" ht="15.75">
      <c r="A330" s="894">
        <v>239</v>
      </c>
      <c r="B330" s="233" t="s">
        <v>1282</v>
      </c>
      <c r="C330" s="886">
        <f>cходова!R330</f>
        <v>0.72578347412084843</v>
      </c>
      <c r="D330" s="886">
        <f>прибуд.!O330</f>
        <v>0.3268961856427901</v>
      </c>
      <c r="E330" s="886">
        <f>гар.вода!M330+хол.вода!Q330+ц.о.!M330+каналізація!Q330+аварійні!I330+зварювальн!M330</f>
        <v>0.18951658221053908</v>
      </c>
      <c r="F330" s="886">
        <f>дератизац.!I330</f>
        <v>3.9511473824892654E-3</v>
      </c>
      <c r="G330" s="886">
        <f>димоканал!R330</f>
        <v>4.9446679822710067E-2</v>
      </c>
      <c r="H330" s="886">
        <f>'підготовка до зими'!M330+майстерні!M330+маляри!M330+покрівлі!O330</f>
        <v>0.1935589696976775</v>
      </c>
      <c r="I330" s="886">
        <f>електрики!R330</f>
        <v>2.812665087082725E-2</v>
      </c>
      <c r="J330" s="989">
        <f t="shared" si="31"/>
        <v>1.5172796897478817</v>
      </c>
      <c r="K330" s="989">
        <v>3.793175536822925E-2</v>
      </c>
      <c r="L330" s="994">
        <f t="shared" si="35"/>
        <v>1.555211445116111</v>
      </c>
      <c r="M330" s="994">
        <f t="shared" si="32"/>
        <v>1.866253734139333</v>
      </c>
      <c r="N330" s="995">
        <v>3</v>
      </c>
      <c r="O330" s="997">
        <v>1.5627883211710452</v>
      </c>
      <c r="P330" s="22">
        <f t="shared" si="33"/>
        <v>0.30346541296828788</v>
      </c>
      <c r="Q330" s="982">
        <f t="shared" si="34"/>
        <v>19.418203275341341</v>
      </c>
      <c r="R330" s="6"/>
      <c r="S330" s="6"/>
      <c r="T330" s="6"/>
      <c r="U330" s="6"/>
      <c r="V330" s="6"/>
      <c r="W330" s="6"/>
      <c r="X330" s="6"/>
      <c r="Y330" s="6"/>
      <c r="Z330" s="6"/>
    </row>
    <row r="331" spans="1:26" s="93" customFormat="1" ht="15.75">
      <c r="A331" s="236">
        <v>240</v>
      </c>
      <c r="B331" s="233" t="s">
        <v>1283</v>
      </c>
      <c r="C331" s="886">
        <f>cходова!R331</f>
        <v>0.69380522622141771</v>
      </c>
      <c r="D331" s="886">
        <f>прибуд.!O331</f>
        <v>0.2535786400438596</v>
      </c>
      <c r="E331" s="886">
        <f>гар.вода!M331+хол.вода!Q331+ц.о.!M331+каналізація!Q331+аварійні!I331+зварювальн!M331</f>
        <v>0.14944773040025647</v>
      </c>
      <c r="F331" s="886">
        <f>дератизац.!I331</f>
        <v>3.9400584795321637E-3</v>
      </c>
      <c r="G331" s="886">
        <f>димоканал!R331</f>
        <v>2.9354657240398419E-2</v>
      </c>
      <c r="H331" s="886">
        <f>'підготовка до зими'!M331+майстерні!M331+маляри!M331+покрівлі!O331</f>
        <v>0.24276111820338619</v>
      </c>
      <c r="I331" s="886">
        <f>електрики!R331</f>
        <v>1.6621290565115656E-2</v>
      </c>
      <c r="J331" s="989">
        <f t="shared" si="31"/>
        <v>1.3895087211539661</v>
      </c>
      <c r="K331" s="989">
        <v>3.4760374053128242E-2</v>
      </c>
      <c r="L331" s="994">
        <f t="shared" si="35"/>
        <v>1.4242690952070942</v>
      </c>
      <c r="M331" s="994">
        <f t="shared" si="32"/>
        <v>1.7091229142485129</v>
      </c>
      <c r="N331" s="995">
        <v>3</v>
      </c>
      <c r="O331" s="997">
        <v>1.4321274109888835</v>
      </c>
      <c r="P331" s="22">
        <f t="shared" si="33"/>
        <v>0.27699550325962941</v>
      </c>
      <c r="Q331" s="982">
        <f t="shared" si="34"/>
        <v>19.341540503603952</v>
      </c>
      <c r="R331" s="6"/>
      <c r="S331" s="6"/>
      <c r="T331" s="6"/>
      <c r="U331" s="6"/>
      <c r="V331" s="6"/>
      <c r="W331" s="6"/>
      <c r="X331" s="6"/>
      <c r="Y331" s="6"/>
      <c r="Z331" s="6"/>
    </row>
    <row r="332" spans="1:26" s="93" customFormat="1" ht="15.75">
      <c r="A332" s="236">
        <v>241</v>
      </c>
      <c r="B332" s="233" t="s">
        <v>1284</v>
      </c>
      <c r="C332" s="886">
        <f>cходова!R332</f>
        <v>0.7473560294351691</v>
      </c>
      <c r="D332" s="886">
        <f>прибуд.!O332</f>
        <v>9.9520097242296449E-2</v>
      </c>
      <c r="E332" s="886">
        <f>гар.вода!M332+хол.вода!Q332+ц.о.!M332+каналізація!Q332+аварійні!I332+зварювальн!M332</f>
        <v>0.17240901429600447</v>
      </c>
      <c r="F332" s="886">
        <f>дератизац.!I332</f>
        <v>7.3063395684963874E-3</v>
      </c>
      <c r="G332" s="886">
        <f>димоканал!R332</f>
        <v>5.8864790507057896E-2</v>
      </c>
      <c r="H332" s="886">
        <f>'підготовка до зими'!M332+майстерні!M332+маляри!M332+покрівлі!O332</f>
        <v>0.22709049796782346</v>
      </c>
      <c r="I332" s="886">
        <f>електрики!R332</f>
        <v>2.2380239531499233E-2</v>
      </c>
      <c r="J332" s="989">
        <f t="shared" si="31"/>
        <v>1.3349270085483469</v>
      </c>
      <c r="K332" s="989">
        <v>3.350578737535663E-2</v>
      </c>
      <c r="L332" s="994">
        <f t="shared" si="35"/>
        <v>1.3684327959237035</v>
      </c>
      <c r="M332" s="994">
        <f t="shared" si="32"/>
        <v>1.6421193551084441</v>
      </c>
      <c r="N332" s="995">
        <v>3</v>
      </c>
      <c r="O332" s="997">
        <v>1.3804384398646929</v>
      </c>
      <c r="P332" s="22">
        <f t="shared" si="33"/>
        <v>0.26168091524375114</v>
      </c>
      <c r="Q332" s="982">
        <f t="shared" si="34"/>
        <v>18.956362535760761</v>
      </c>
      <c r="R332" s="6"/>
      <c r="S332" s="6"/>
      <c r="T332" s="6"/>
      <c r="U332" s="6"/>
      <c r="V332" s="6"/>
      <c r="W332" s="6"/>
      <c r="X332" s="6"/>
      <c r="Y332" s="6"/>
      <c r="Z332" s="6"/>
    </row>
    <row r="333" spans="1:26" s="93" customFormat="1" ht="15.75">
      <c r="A333" s="236">
        <v>242</v>
      </c>
      <c r="B333" s="233" t="s">
        <v>1285</v>
      </c>
      <c r="C333" s="886">
        <f>cходова!R333</f>
        <v>0</v>
      </c>
      <c r="D333" s="886">
        <f>прибуд.!O333</f>
        <v>0.23184742037080708</v>
      </c>
      <c r="E333" s="886">
        <f>гар.вода!M333+хол.вода!Q333+ц.о.!M333+каналізація!Q333+аварійні!I333+зварювальн!M333</f>
        <v>0.2034272202086847</v>
      </c>
      <c r="F333" s="886">
        <f>дератизац.!I333</f>
        <v>5.4987325355184821E-3</v>
      </c>
      <c r="G333" s="886">
        <f>димоканал!R333</f>
        <v>6.8302661179465998E-2</v>
      </c>
      <c r="H333" s="886">
        <f>'підготовка до зими'!M333+майстерні!M333+маляри!M333+покрівлі!O333</f>
        <v>0.24083060520828953</v>
      </c>
      <c r="I333" s="886">
        <f>електрики!R333</f>
        <v>3.230226819006566E-2</v>
      </c>
      <c r="J333" s="989">
        <f t="shared" si="31"/>
        <v>0.78220890769283147</v>
      </c>
      <c r="K333" s="989">
        <v>1.9856118475529462E-2</v>
      </c>
      <c r="L333" s="994">
        <f t="shared" si="35"/>
        <v>0.80206502616836095</v>
      </c>
      <c r="M333" s="994">
        <f t="shared" si="32"/>
        <v>0.96247803140203314</v>
      </c>
      <c r="N333" s="995">
        <v>2</v>
      </c>
      <c r="O333" s="997">
        <v>0.81807208119181385</v>
      </c>
      <c r="P333" s="22">
        <f t="shared" si="33"/>
        <v>0.14440595021021929</v>
      </c>
      <c r="Q333" s="982">
        <f t="shared" si="34"/>
        <v>17.651983673595169</v>
      </c>
      <c r="R333" s="6"/>
      <c r="S333" s="6"/>
      <c r="T333" s="6"/>
      <c r="U333" s="6"/>
      <c r="V333" s="6"/>
      <c r="W333" s="6"/>
      <c r="X333" s="6"/>
      <c r="Y333" s="6"/>
      <c r="Z333" s="6"/>
    </row>
    <row r="334" spans="1:26" s="93" customFormat="1" ht="15.75">
      <c r="A334" s="236">
        <v>243</v>
      </c>
      <c r="B334" s="233" t="s">
        <v>1286</v>
      </c>
      <c r="C334" s="886">
        <f>cходова!R334</f>
        <v>0.54643153138745715</v>
      </c>
      <c r="D334" s="886">
        <f>прибуд.!O334</f>
        <v>0.17914641513872134</v>
      </c>
      <c r="E334" s="886">
        <f>гар.вода!M334+хол.вода!Q334+ц.о.!M334+каналізація!Q334+аварійні!I334+зварювальн!M334</f>
        <v>0.18570043738346678</v>
      </c>
      <c r="F334" s="886">
        <f>дератизац.!I334</f>
        <v>7.9929268560149144E-3</v>
      </c>
      <c r="G334" s="886">
        <f>димоканал!R334</f>
        <v>6.7540276179338735E-2</v>
      </c>
      <c r="H334" s="886">
        <f>'підготовка до зими'!M334+майстерні!M334+маляри!M334+покрівлі!O334</f>
        <v>0.1937283946622482</v>
      </c>
      <c r="I334" s="886">
        <f>електрики!R334</f>
        <v>2.5713878347118007E-2</v>
      </c>
      <c r="J334" s="989">
        <f t="shared" si="31"/>
        <v>1.2062538599543651</v>
      </c>
      <c r="K334" s="989">
        <v>3.0322895535160911E-2</v>
      </c>
      <c r="L334" s="994">
        <f t="shared" si="35"/>
        <v>1.2365767554895259</v>
      </c>
      <c r="M334" s="994">
        <f t="shared" si="32"/>
        <v>1.4838921065874311</v>
      </c>
      <c r="N334" s="995">
        <v>3</v>
      </c>
      <c r="O334" s="997">
        <v>1.2493032960486294</v>
      </c>
      <c r="P334" s="22">
        <f t="shared" si="33"/>
        <v>0.23458881053880165</v>
      </c>
      <c r="Q334" s="982">
        <f t="shared" si="34"/>
        <v>18.777570769305811</v>
      </c>
      <c r="R334" s="6"/>
      <c r="S334" s="6"/>
      <c r="T334" s="6"/>
      <c r="U334" s="6"/>
      <c r="V334" s="6"/>
      <c r="W334" s="6"/>
      <c r="X334" s="6"/>
      <c r="Y334" s="6"/>
      <c r="Z334" s="6"/>
    </row>
    <row r="335" spans="1:26" s="93" customFormat="1" ht="15.75">
      <c r="A335" s="236">
        <v>244</v>
      </c>
      <c r="B335" s="233" t="s">
        <v>1287</v>
      </c>
      <c r="C335" s="886">
        <f>cходова!R335</f>
        <v>0.92887528495468596</v>
      </c>
      <c r="D335" s="886">
        <f>прибуд.!O335</f>
        <v>9.1869181521409035E-2</v>
      </c>
      <c r="E335" s="886">
        <f>гар.вода!M335+хол.вода!Q335+ц.о.!M335+каналізація!Q335+аварійні!I335+зварювальн!M335</f>
        <v>0.2173881754154175</v>
      </c>
      <c r="F335" s="886">
        <f>дератизац.!I335</f>
        <v>5.7394473124810202E-3</v>
      </c>
      <c r="G335" s="886">
        <f>димоканал!R335</f>
        <v>3.3918548247665187E-2</v>
      </c>
      <c r="H335" s="886">
        <f>'підготовка до зими'!M335+майстерні!M335+маляри!M335+покрівлі!O335</f>
        <v>0.2021411667422916</v>
      </c>
      <c r="I335" s="886">
        <f>електрики!R335</f>
        <v>3.6583295966586243E-2</v>
      </c>
      <c r="J335" s="989">
        <f t="shared" si="31"/>
        <v>1.5165151001605364</v>
      </c>
      <c r="K335" s="989">
        <v>3.769631765516538E-2</v>
      </c>
      <c r="L335" s="994">
        <f t="shared" si="35"/>
        <v>1.5542114178157018</v>
      </c>
      <c r="M335" s="994">
        <f t="shared" si="32"/>
        <v>1.8650537013788422</v>
      </c>
      <c r="N335" s="995">
        <v>3</v>
      </c>
      <c r="O335" s="997">
        <v>1.5530882873928138</v>
      </c>
      <c r="P335" s="22">
        <f t="shared" si="33"/>
        <v>0.31196541398602839</v>
      </c>
      <c r="Q335" s="982">
        <f t="shared" si="34"/>
        <v>20.086779130227555</v>
      </c>
      <c r="R335" s="6"/>
      <c r="S335" s="6"/>
      <c r="T335" s="6"/>
      <c r="U335" s="6"/>
      <c r="V335" s="6"/>
      <c r="W335" s="6"/>
      <c r="X335" s="6"/>
      <c r="Y335" s="6"/>
      <c r="Z335" s="6"/>
    </row>
    <row r="336" spans="1:26" s="93" customFormat="1" ht="15.75">
      <c r="A336" s="236">
        <v>245</v>
      </c>
      <c r="B336" s="233" t="s">
        <v>1288</v>
      </c>
      <c r="C336" s="886">
        <f>cходова!R336</f>
        <v>0.95003764555475445</v>
      </c>
      <c r="D336" s="886">
        <f>прибуд.!O336</f>
        <v>0.10046837604173678</v>
      </c>
      <c r="E336" s="886">
        <f>гар.вода!M336+хол.вода!Q336+ц.о.!M336+каналізація!Q336+аварійні!I336+зварювальн!M336</f>
        <v>0.20523417964986965</v>
      </c>
      <c r="F336" s="886">
        <f>дератизац.!I336</f>
        <v>4.7671939863121295E-3</v>
      </c>
      <c r="G336" s="886">
        <f>димоканал!R336</f>
        <v>3.4937534230201385E-2</v>
      </c>
      <c r="H336" s="886">
        <f>'підготовка до зими'!M336+майстерні!M336+маляри!M336+покрівлі!O336</f>
        <v>0.23129854114087217</v>
      </c>
      <c r="I336" s="886">
        <f>електрики!R336</f>
        <v>3.3590435296927075E-2</v>
      </c>
      <c r="J336" s="989">
        <f t="shared" si="31"/>
        <v>1.5603339059006736</v>
      </c>
      <c r="K336" s="989">
        <v>3.8786691732911445E-2</v>
      </c>
      <c r="L336" s="994">
        <f t="shared" si="35"/>
        <v>1.5991205976335849</v>
      </c>
      <c r="M336" s="994">
        <f t="shared" si="32"/>
        <v>1.9189447171603018</v>
      </c>
      <c r="N336" s="995">
        <v>3</v>
      </c>
      <c r="O336" s="997">
        <v>1.5980116993959517</v>
      </c>
      <c r="P336" s="22">
        <f t="shared" si="33"/>
        <v>0.32093301776435013</v>
      </c>
      <c r="Q336" s="982">
        <f t="shared" si="34"/>
        <v>20.083270847495214</v>
      </c>
      <c r="R336" s="6"/>
      <c r="S336" s="6"/>
      <c r="T336" s="6"/>
      <c r="U336" s="6"/>
      <c r="V336" s="6"/>
      <c r="W336" s="6"/>
      <c r="X336" s="6"/>
      <c r="Y336" s="6"/>
      <c r="Z336" s="6"/>
    </row>
    <row r="337" spans="1:26" s="93" customFormat="1" ht="15.75">
      <c r="A337" s="894">
        <v>246</v>
      </c>
      <c r="B337" s="233" t="s">
        <v>1289</v>
      </c>
      <c r="C337" s="886">
        <f>cходова!R337</f>
        <v>0.57991377768079388</v>
      </c>
      <c r="D337" s="886">
        <f>прибуд.!O337</f>
        <v>0.25115079412860053</v>
      </c>
      <c r="E337" s="886">
        <f>гар.вода!M337+хол.вода!Q337+ц.о.!M337+каналізація!Q337+аварійні!I337+зварювальн!M337</f>
        <v>0.20187380672204822</v>
      </c>
      <c r="F337" s="886">
        <f>дератизац.!I337</f>
        <v>4.3448744059742033E-3</v>
      </c>
      <c r="G337" s="886">
        <f>димоканал!R337</f>
        <v>5.1057099388475857E-2</v>
      </c>
      <c r="H337" s="886">
        <f>'підготовка до зими'!M337+майстерні!M337+маляри!M337+покрівлі!O337</f>
        <v>0.18867916666346535</v>
      </c>
      <c r="I337" s="886">
        <f>електрики!R337</f>
        <v>2.9770341786107647E-2</v>
      </c>
      <c r="J337" s="989">
        <f t="shared" si="31"/>
        <v>1.3067898607754658</v>
      </c>
      <c r="K337" s="989">
        <v>3.275983386674744E-2</v>
      </c>
      <c r="L337" s="994">
        <f t="shared" si="35"/>
        <v>1.3395496946422132</v>
      </c>
      <c r="M337" s="994">
        <f t="shared" si="32"/>
        <v>1.6074596335706557</v>
      </c>
      <c r="N337" s="995">
        <v>3</v>
      </c>
      <c r="O337" s="997">
        <v>1.3497051553099946</v>
      </c>
      <c r="P337" s="22">
        <f t="shared" si="33"/>
        <v>0.25775447826066111</v>
      </c>
      <c r="Q337" s="982">
        <f t="shared" si="34"/>
        <v>19.097095187538287</v>
      </c>
      <c r="R337" s="6"/>
      <c r="S337" s="6"/>
      <c r="T337" s="6"/>
      <c r="U337" s="6"/>
      <c r="V337" s="6"/>
      <c r="W337" s="6"/>
      <c r="X337" s="6"/>
      <c r="Y337" s="6"/>
      <c r="Z337" s="6"/>
    </row>
    <row r="338" spans="1:26" s="93" customFormat="1" ht="15.75">
      <c r="A338" s="236">
        <v>247</v>
      </c>
      <c r="B338" s="233" t="s">
        <v>1290</v>
      </c>
      <c r="C338" s="886">
        <f>cходова!R338</f>
        <v>0.54638160069323871</v>
      </c>
      <c r="D338" s="886">
        <f>прибуд.!O338</f>
        <v>0.16220522113956945</v>
      </c>
      <c r="E338" s="886">
        <f>гар.вода!M338+хол.вода!Q338+ц.о.!M338+каналізація!Q338+аварійні!I338+зварювальн!M338</f>
        <v>0.18483360668472179</v>
      </c>
      <c r="F338" s="886">
        <f>дератизац.!I338</f>
        <v>3.9697269652726229E-3</v>
      </c>
      <c r="G338" s="886">
        <f>димоканал!R338</f>
        <v>3.0808972156422979E-2</v>
      </c>
      <c r="H338" s="886">
        <f>'підготовка до зими'!M338+майстерні!M338+маляри!M338+покрівлі!O338</f>
        <v>0.24103716546266626</v>
      </c>
      <c r="I338" s="886">
        <f>електрики!R338</f>
        <v>2.6360809745557288E-2</v>
      </c>
      <c r="J338" s="989">
        <f t="shared" si="31"/>
        <v>1.195597102847449</v>
      </c>
      <c r="K338" s="989">
        <v>2.9984430207388963E-2</v>
      </c>
      <c r="L338" s="994">
        <f t="shared" si="35"/>
        <v>1.2255815330548381</v>
      </c>
      <c r="M338" s="994">
        <f t="shared" si="32"/>
        <v>1.4706978396658057</v>
      </c>
      <c r="N338" s="995">
        <v>3</v>
      </c>
      <c r="O338" s="997">
        <v>1.2353585245444252</v>
      </c>
      <c r="P338" s="22">
        <f t="shared" si="33"/>
        <v>0.23533931512138051</v>
      </c>
      <c r="Q338" s="982">
        <f t="shared" si="34"/>
        <v>19.050284629570896</v>
      </c>
      <c r="R338" s="6"/>
      <c r="S338" s="6"/>
      <c r="T338" s="6"/>
      <c r="U338" s="6"/>
      <c r="V338" s="6"/>
      <c r="W338" s="6"/>
      <c r="X338" s="6"/>
      <c r="Y338" s="6"/>
      <c r="Z338" s="6"/>
    </row>
    <row r="339" spans="1:26" s="93" customFormat="1" ht="15.75">
      <c r="A339" s="236">
        <v>248</v>
      </c>
      <c r="B339" s="233" t="s">
        <v>1291</v>
      </c>
      <c r="C339" s="886">
        <f>cходова!R339</f>
        <v>0.7573234268413862</v>
      </c>
      <c r="D339" s="886">
        <f>прибуд.!O339</f>
        <v>0.25627581330258886</v>
      </c>
      <c r="E339" s="886">
        <f>гар.вода!M339+хол.вода!Q339+ц.о.!M339+каналізація!Q339+аварійні!I339+зварювальн!M339</f>
        <v>0.19756714277999587</v>
      </c>
      <c r="F339" s="886">
        <f>дератизац.!I339</f>
        <v>4.0178924867389759E-3</v>
      </c>
      <c r="G339" s="886">
        <f>димоканал!R339</f>
        <v>3.1923171542354557E-2</v>
      </c>
      <c r="H339" s="886">
        <f>'підготовка до зими'!M339+майстерні!M339+маляри!M339+покрівлі!O339</f>
        <v>0.19501444443660609</v>
      </c>
      <c r="I339" s="886">
        <f>електрики!R339</f>
        <v>3.0437232281701167E-2</v>
      </c>
      <c r="J339" s="989">
        <f t="shared" si="31"/>
        <v>1.4725591236713718</v>
      </c>
      <c r="K339" s="989">
        <v>3.6793949043291661E-2</v>
      </c>
      <c r="L339" s="994">
        <f t="shared" si="35"/>
        <v>1.5093530727146633</v>
      </c>
      <c r="M339" s="994">
        <f t="shared" si="32"/>
        <v>1.811223687257596</v>
      </c>
      <c r="N339" s="995">
        <v>3</v>
      </c>
      <c r="O339" s="997">
        <v>1.5159107005836168</v>
      </c>
      <c r="P339" s="22">
        <f t="shared" si="33"/>
        <v>0.29531298667397921</v>
      </c>
      <c r="Q339" s="982">
        <f t="shared" si="34"/>
        <v>19.480895976279172</v>
      </c>
      <c r="R339" s="6"/>
      <c r="S339" s="6"/>
      <c r="T339" s="6"/>
      <c r="U339" s="6"/>
      <c r="V339" s="6"/>
      <c r="W339" s="6"/>
      <c r="X339" s="6"/>
      <c r="Y339" s="6"/>
      <c r="Z339" s="6"/>
    </row>
    <row r="340" spans="1:26" s="93" customFormat="1" ht="15.75">
      <c r="A340" s="236">
        <v>249</v>
      </c>
      <c r="B340" s="233" t="s">
        <v>1292</v>
      </c>
      <c r="C340" s="886">
        <f>cходова!R340</f>
        <v>0.70189727500594756</v>
      </c>
      <c r="D340" s="886">
        <f>прибуд.!O340</f>
        <v>0.12400567394510532</v>
      </c>
      <c r="E340" s="886">
        <f>гар.вода!M340+хол.вода!Q340+ц.о.!M340+каналізація!Q340+аварійні!I340+зварювальн!M340</f>
        <v>0.1719807389945523</v>
      </c>
      <c r="F340" s="886">
        <f>дератизац.!I340</f>
        <v>3.424891496543965E-3</v>
      </c>
      <c r="G340" s="886">
        <f>димоканал!R340</f>
        <v>2.8610326184032642E-2</v>
      </c>
      <c r="H340" s="886">
        <f>'підготовка до зими'!M340+майстерні!M340+маляри!M340+покрівлі!O340</f>
        <v>0.20838243440406679</v>
      </c>
      <c r="I340" s="886">
        <f>електрики!R340</f>
        <v>2.3421100992806861E-2</v>
      </c>
      <c r="J340" s="989">
        <f t="shared" si="31"/>
        <v>1.2617224410230554</v>
      </c>
      <c r="K340" s="989">
        <v>3.1557121722314743E-2</v>
      </c>
      <c r="L340" s="994">
        <f t="shared" si="35"/>
        <v>1.2932795627453701</v>
      </c>
      <c r="M340" s="994">
        <f t="shared" si="32"/>
        <v>1.5519354752944441</v>
      </c>
      <c r="N340" s="995">
        <v>3</v>
      </c>
      <c r="O340" s="997">
        <v>1.3001534149593674</v>
      </c>
      <c r="P340" s="22">
        <f t="shared" si="33"/>
        <v>0.25178206033507666</v>
      </c>
      <c r="Q340" s="982">
        <f t="shared" si="34"/>
        <v>19.365565435440971</v>
      </c>
      <c r="R340" s="6"/>
      <c r="S340" s="6"/>
      <c r="T340" s="6"/>
      <c r="U340" s="6"/>
      <c r="V340" s="6"/>
      <c r="W340" s="6"/>
      <c r="X340" s="6"/>
      <c r="Y340" s="6"/>
      <c r="Z340" s="6"/>
    </row>
    <row r="341" spans="1:26" s="93" customFormat="1" ht="15.75">
      <c r="A341" s="236">
        <v>250</v>
      </c>
      <c r="B341" s="233" t="s">
        <v>1293</v>
      </c>
      <c r="C341" s="886">
        <f>cходова!R341</f>
        <v>0.61313019991660167</v>
      </c>
      <c r="D341" s="886">
        <f>прибуд.!O341</f>
        <v>0.10875089419117646</v>
      </c>
      <c r="E341" s="886">
        <f>гар.вода!M341+хол.вода!Q341+ц.о.!M341+каналізація!Q341+аварійні!I341+зварювальн!M341</f>
        <v>0.22205248134508299</v>
      </c>
      <c r="F341" s="886">
        <f>дератизац.!I341</f>
        <v>6.1049836601307196E-3</v>
      </c>
      <c r="G341" s="886">
        <f>димоканал!R341</f>
        <v>4.9902801337701953E-2</v>
      </c>
      <c r="H341" s="886">
        <f>'підготовка до зими'!M341+майстерні!M341+маляри!M341+покрівлі!O341</f>
        <v>0.2405544344147954</v>
      </c>
      <c r="I341" s="886">
        <f>електрики!R341</f>
        <v>3.6721455899674127E-2</v>
      </c>
      <c r="J341" s="989">
        <f t="shared" si="31"/>
        <v>1.2772172507651633</v>
      </c>
      <c r="K341" s="989">
        <v>3.2094816386638005E-2</v>
      </c>
      <c r="L341" s="994">
        <f t="shared" si="35"/>
        <v>1.3093120671518013</v>
      </c>
      <c r="M341" s="994">
        <f t="shared" si="32"/>
        <v>1.5711744805821615</v>
      </c>
      <c r="N341" s="995">
        <v>3</v>
      </c>
      <c r="O341" s="997">
        <v>1.322306435129486</v>
      </c>
      <c r="P341" s="22">
        <f t="shared" si="33"/>
        <v>0.24886804545267549</v>
      </c>
      <c r="Q341" s="982">
        <f t="shared" si="34"/>
        <v>18.82075431541746</v>
      </c>
      <c r="R341" s="6"/>
      <c r="S341" s="6"/>
      <c r="T341" s="6"/>
      <c r="U341" s="6"/>
      <c r="V341" s="6"/>
      <c r="W341" s="6"/>
      <c r="X341" s="6"/>
      <c r="Y341" s="6"/>
      <c r="Z341" s="6"/>
    </row>
    <row r="342" spans="1:26" s="93" customFormat="1" ht="15.75">
      <c r="A342" s="236">
        <v>251</v>
      </c>
      <c r="B342" s="233" t="s">
        <v>1294</v>
      </c>
      <c r="C342" s="886">
        <f>cходова!R342</f>
        <v>0.79667746218991331</v>
      </c>
      <c r="D342" s="886">
        <f>прибуд.!O342</f>
        <v>4.3824025314413637E-2</v>
      </c>
      <c r="E342" s="886">
        <f>гар.вода!M342+хол.вода!Q342+ц.о.!M342+каналізація!Q342+аварійні!I342+зварювальн!M342</f>
        <v>0.18950782974460972</v>
      </c>
      <c r="F342" s="886">
        <f>дератизац.!I342</f>
        <v>3.4569039309936128E-3</v>
      </c>
      <c r="G342" s="886">
        <f>димоканал!R342</f>
        <v>5.2632891972100866E-2</v>
      </c>
      <c r="H342" s="886">
        <f>'підготовка до зими'!M342+майстерні!M342+маляри!M342+покрівлі!O342</f>
        <v>0.21447642004355549</v>
      </c>
      <c r="I342" s="886">
        <f>електрики!R342</f>
        <v>2.924432635441393E-2</v>
      </c>
      <c r="J342" s="989">
        <f t="shared" si="31"/>
        <v>1.3298198595500006</v>
      </c>
      <c r="K342" s="989">
        <v>3.3307626643565291E-2</v>
      </c>
      <c r="L342" s="994">
        <f t="shared" si="35"/>
        <v>1.3631274861935658</v>
      </c>
      <c r="M342" s="994">
        <f t="shared" si="32"/>
        <v>1.635752983432279</v>
      </c>
      <c r="N342" s="995">
        <v>4</v>
      </c>
      <c r="O342" s="997">
        <v>1.3722742177148899</v>
      </c>
      <c r="P342" s="22">
        <f t="shared" si="33"/>
        <v>0.26347876571738915</v>
      </c>
      <c r="Q342" s="982">
        <f t="shared" si="34"/>
        <v>19.200154190474692</v>
      </c>
      <c r="R342" s="6"/>
      <c r="S342" s="6"/>
      <c r="T342" s="6"/>
      <c r="U342" s="6"/>
      <c r="V342" s="6"/>
      <c r="W342" s="6"/>
      <c r="X342" s="6"/>
      <c r="Y342" s="6"/>
      <c r="Z342" s="6"/>
    </row>
    <row r="343" spans="1:26" s="93" customFormat="1" ht="15.75">
      <c r="A343" s="236">
        <v>252</v>
      </c>
      <c r="B343" s="233" t="s">
        <v>1295</v>
      </c>
      <c r="C343" s="886">
        <f>cходова!R343</f>
        <v>0.99491421504990052</v>
      </c>
      <c r="D343" s="886">
        <f>прибуд.!O343</f>
        <v>4.7864924161548875E-2</v>
      </c>
      <c r="E343" s="886">
        <f>гар.вода!M343+хол.вода!Q343+ц.о.!M343+каналізація!Q343+аварійні!I343+зварювальн!M343</f>
        <v>0.20349439409330564</v>
      </c>
      <c r="F343" s="886">
        <f>дератизац.!I343</f>
        <v>4.7725616737795372E-3</v>
      </c>
      <c r="G343" s="886">
        <f>димоканал!R343</f>
        <v>3.4592984197361377E-2</v>
      </c>
      <c r="H343" s="886">
        <f>'підготовка до зими'!M343+майстерні!M343+маляри!M343+покрівлі!O343</f>
        <v>0.23512196984989753</v>
      </c>
      <c r="I343" s="886">
        <f>електрики!R343</f>
        <v>3.4533478265246845E-2</v>
      </c>
      <c r="J343" s="989">
        <f t="shared" si="31"/>
        <v>1.5552945272910403</v>
      </c>
      <c r="K343" s="989">
        <v>3.8871314613631275E-2</v>
      </c>
      <c r="L343" s="994">
        <f t="shared" si="35"/>
        <v>1.5941658419046716</v>
      </c>
      <c r="M343" s="994">
        <f t="shared" si="32"/>
        <v>1.9129990102856058</v>
      </c>
      <c r="N343" s="995">
        <v>4</v>
      </c>
      <c r="O343" s="997">
        <v>1.6014981620816084</v>
      </c>
      <c r="P343" s="22">
        <f t="shared" si="33"/>
        <v>0.31150084820399737</v>
      </c>
      <c r="Q343" s="982">
        <f t="shared" si="34"/>
        <v>19.450590427098092</v>
      </c>
      <c r="R343" s="6"/>
      <c r="S343" s="6"/>
      <c r="T343" s="6"/>
      <c r="U343" s="6"/>
      <c r="V343" s="6"/>
      <c r="W343" s="6"/>
      <c r="X343" s="6"/>
      <c r="Y343" s="6"/>
      <c r="Z343" s="6"/>
    </row>
    <row r="344" spans="1:26" s="93" customFormat="1" ht="15.75">
      <c r="A344" s="894">
        <v>253</v>
      </c>
      <c r="B344" s="233" t="s">
        <v>1296</v>
      </c>
      <c r="C344" s="886">
        <f>cходова!R344</f>
        <v>0.68372487615569832</v>
      </c>
      <c r="D344" s="886">
        <f>прибуд.!O344</f>
        <v>7.4766170825431424E-2</v>
      </c>
      <c r="E344" s="886">
        <f>гар.вода!M344+хол.вода!Q344+ц.о.!M344+каналізація!Q344+аварійні!I344+зварювальн!M344</f>
        <v>0.12985496234860588</v>
      </c>
      <c r="F344" s="886">
        <f>дератизац.!I344</f>
        <v>2.7271245055048789E-3</v>
      </c>
      <c r="G344" s="886">
        <f>димоканал!R344</f>
        <v>2.3425331131967222E-2</v>
      </c>
      <c r="H344" s="886">
        <f>'підготовка до зими'!M344+майстерні!M344+маляри!M344+покрівлі!O344</f>
        <v>0.17339089421303006</v>
      </c>
      <c r="I344" s="886">
        <f>електрики!R344</f>
        <v>1.4059912911944318E-2</v>
      </c>
      <c r="J344" s="989">
        <f t="shared" si="31"/>
        <v>1.101949272092182</v>
      </c>
      <c r="K344" s="989">
        <v>2.744507661136928E-2</v>
      </c>
      <c r="L344" s="994">
        <f t="shared" si="35"/>
        <v>1.1293943487035512</v>
      </c>
      <c r="M344" s="994">
        <f t="shared" si="32"/>
        <v>1.3552732184442613</v>
      </c>
      <c r="N344" s="995">
        <v>4</v>
      </c>
      <c r="O344" s="997">
        <v>1.1307371563884143</v>
      </c>
      <c r="P344" s="22">
        <f t="shared" si="33"/>
        <v>0.22453606205584697</v>
      </c>
      <c r="Q344" s="982">
        <f t="shared" si="34"/>
        <v>19.857493917774605</v>
      </c>
      <c r="R344" s="6"/>
      <c r="S344" s="6"/>
      <c r="T344" s="6"/>
      <c r="U344" s="6"/>
      <c r="V344" s="6"/>
      <c r="W344" s="6"/>
      <c r="X344" s="6"/>
      <c r="Y344" s="6"/>
      <c r="Z344" s="6"/>
    </row>
    <row r="345" spans="1:26" s="93" customFormat="1" ht="15.75">
      <c r="A345" s="236">
        <v>254</v>
      </c>
      <c r="B345" s="233" t="s">
        <v>1297</v>
      </c>
      <c r="C345" s="886">
        <f>cходова!R345</f>
        <v>0.68074688563996211</v>
      </c>
      <c r="D345" s="886">
        <f>прибуд.!O345</f>
        <v>0.16236999704100227</v>
      </c>
      <c r="E345" s="886">
        <f>гар.вода!M345+хол.вода!Q345+ц.о.!M345+каналізація!Q345+аварійні!I345+зварювальн!M345</f>
        <v>0.13119469187135688</v>
      </c>
      <c r="F345" s="886">
        <f>дератизац.!I345</f>
        <v>5.6107964576771526E-3</v>
      </c>
      <c r="G345" s="886">
        <f>димоканал!R345</f>
        <v>2.4653841823925497E-2</v>
      </c>
      <c r="H345" s="886">
        <f>'підготовка до зими'!M345+майстерні!M345+маляри!M345+покрівлі!O345</f>
        <v>0.16570643538628715</v>
      </c>
      <c r="I345" s="886">
        <f>електрики!R345</f>
        <v>1.2622643720898776E-2</v>
      </c>
      <c r="J345" s="989">
        <f t="shared" ref="J345:J383" si="36">I345+H345+G345+F345+E345+D345+C345</f>
        <v>1.1829052919411098</v>
      </c>
      <c r="K345" s="989">
        <v>2.9522386514279554E-2</v>
      </c>
      <c r="L345" s="994">
        <f t="shared" si="35"/>
        <v>1.2124276784553893</v>
      </c>
      <c r="M345" s="994">
        <f t="shared" ref="M345:M383" si="37">L345*1.2</f>
        <v>1.4549132141464671</v>
      </c>
      <c r="N345" s="995">
        <v>3</v>
      </c>
      <c r="O345" s="997">
        <v>1.2163223243883177</v>
      </c>
      <c r="P345" s="22">
        <f t="shared" si="33"/>
        <v>0.23859088975814946</v>
      </c>
      <c r="Q345" s="982">
        <f t="shared" si="34"/>
        <v>19.615761790620382</v>
      </c>
      <c r="R345" s="6"/>
      <c r="S345" s="6"/>
      <c r="T345" s="6"/>
      <c r="U345" s="6"/>
      <c r="V345" s="6"/>
      <c r="W345" s="6"/>
      <c r="X345" s="6"/>
      <c r="Y345" s="6"/>
      <c r="Z345" s="6"/>
    </row>
    <row r="346" spans="1:26" s="93" customFormat="1" ht="15.75">
      <c r="A346" s="236">
        <v>255</v>
      </c>
      <c r="B346" s="233" t="s">
        <v>1298</v>
      </c>
      <c r="C346" s="886">
        <f>cходова!R346</f>
        <v>0.57025795957188308</v>
      </c>
      <c r="D346" s="886">
        <f>прибуд.!O346</f>
        <v>0.17726755646852799</v>
      </c>
      <c r="E346" s="886">
        <f>гар.вода!M346+хол.вода!Q346+ц.о.!M346+каналізація!Q346+аварійні!I346+зварювальн!M346</f>
        <v>0.13297915774586283</v>
      </c>
      <c r="F346" s="886">
        <f>дератизац.!I346</f>
        <v>2.5006492166119551E-3</v>
      </c>
      <c r="G346" s="886">
        <f>димоканал!R346</f>
        <v>1.7940265194586615E-2</v>
      </c>
      <c r="H346" s="886">
        <f>'підготовка до зими'!M346+майстерні!M346+маляри!M346+покрівлі!O346</f>
        <v>0.16201574117138656</v>
      </c>
      <c r="I346" s="886">
        <f>електрики!R346</f>
        <v>1.2954874988287048E-2</v>
      </c>
      <c r="J346" s="989">
        <f t="shared" si="36"/>
        <v>1.0759162043571462</v>
      </c>
      <c r="K346" s="989">
        <v>2.6838382741379278E-2</v>
      </c>
      <c r="L346" s="994">
        <f t="shared" si="35"/>
        <v>1.1027545870985254</v>
      </c>
      <c r="M346" s="994">
        <f t="shared" si="37"/>
        <v>1.3233055045182305</v>
      </c>
      <c r="N346" s="995">
        <v>3</v>
      </c>
      <c r="O346" s="997">
        <v>1.1057413689448263</v>
      </c>
      <c r="P346" s="22">
        <f t="shared" si="33"/>
        <v>0.21756413557340415</v>
      </c>
      <c r="Q346" s="982">
        <f t="shared" si="34"/>
        <v>19.675861072378865</v>
      </c>
      <c r="R346" s="6"/>
      <c r="S346" s="6"/>
      <c r="T346" s="6"/>
      <c r="U346" s="6"/>
      <c r="V346" s="6"/>
      <c r="W346" s="6"/>
      <c r="X346" s="6"/>
      <c r="Y346" s="6"/>
      <c r="Z346" s="6"/>
    </row>
    <row r="347" spans="1:26" s="93" customFormat="1" ht="15.75">
      <c r="A347" s="236">
        <v>256</v>
      </c>
      <c r="B347" s="233" t="s">
        <v>1299</v>
      </c>
      <c r="C347" s="886">
        <f>cходова!R347</f>
        <v>0.60496384415220394</v>
      </c>
      <c r="D347" s="886">
        <f>прибуд.!O347</f>
        <v>0.16217846563917526</v>
      </c>
      <c r="E347" s="886">
        <f>гар.вода!M347+хол.вода!Q347+ц.о.!M347+каналізація!Q347+аварійні!I347+зварювальн!M347</f>
        <v>0.14275923184646283</v>
      </c>
      <c r="F347" s="886">
        <f>дератизац.!I347</f>
        <v>6.4948453608247433E-3</v>
      </c>
      <c r="G347" s="886">
        <f>димоканал!R347</f>
        <v>1.1441550151267525E-2</v>
      </c>
      <c r="H347" s="886">
        <f>'підготовка до зими'!M347+майстерні!M347+маляри!M347+покрівлі!O347</f>
        <v>0.17089852608856335</v>
      </c>
      <c r="I347" s="886">
        <f>електрики!R347</f>
        <v>1.54502531462773E-2</v>
      </c>
      <c r="J347" s="989">
        <f t="shared" si="36"/>
        <v>1.114186716384775</v>
      </c>
      <c r="K347" s="989">
        <v>2.7819711107574686E-2</v>
      </c>
      <c r="L347" s="994">
        <f t="shared" si="35"/>
        <v>1.1420064274923496</v>
      </c>
      <c r="M347" s="994">
        <f t="shared" si="37"/>
        <v>1.3704077129908194</v>
      </c>
      <c r="N347" s="995">
        <v>4</v>
      </c>
      <c r="O347" s="997">
        <v>1.1461720976320771</v>
      </c>
      <c r="P347" s="22">
        <f t="shared" si="33"/>
        <v>0.22423561535874237</v>
      </c>
      <c r="Q347" s="982">
        <f t="shared" si="34"/>
        <v>19.563869668612568</v>
      </c>
      <c r="R347" s="6"/>
      <c r="S347" s="6"/>
      <c r="T347" s="6"/>
      <c r="U347" s="6"/>
      <c r="V347" s="6"/>
      <c r="W347" s="6"/>
      <c r="X347" s="6"/>
      <c r="Y347" s="6"/>
      <c r="Z347" s="6"/>
    </row>
    <row r="348" spans="1:26" s="93" customFormat="1" ht="15.75">
      <c r="A348" s="236">
        <v>257</v>
      </c>
      <c r="B348" s="233" t="s">
        <v>1300</v>
      </c>
      <c r="C348" s="886">
        <f>cходова!R348</f>
        <v>0.66698280619676509</v>
      </c>
      <c r="D348" s="886">
        <f>прибуд.!O348</f>
        <v>9.1402428182113055E-2</v>
      </c>
      <c r="E348" s="886">
        <f>гар.вода!M348+хол.вода!Q348+ц.о.!M348+каналізація!Q348+аварійні!I348+зварювальн!M348</f>
        <v>0.12886346091157025</v>
      </c>
      <c r="F348" s="886">
        <f>дератизац.!I348</f>
        <v>3.2632066728452273E-3</v>
      </c>
      <c r="G348" s="886">
        <f>димоканал!R348</f>
        <v>1.7434833568440663E-2</v>
      </c>
      <c r="H348" s="886">
        <f>'підготовка до зими'!M348+майстерні!M348+маляри!M348+покрівлі!O348</f>
        <v>0.16369327790904176</v>
      </c>
      <c r="I348" s="886">
        <f>електрики!R348</f>
        <v>1.1458523620816756E-2</v>
      </c>
      <c r="J348" s="989">
        <f t="shared" si="36"/>
        <v>1.0830985370615926</v>
      </c>
      <c r="K348" s="989">
        <v>2.7045303268930725E-2</v>
      </c>
      <c r="L348" s="994">
        <f t="shared" si="35"/>
        <v>1.1101438403305233</v>
      </c>
      <c r="M348" s="994">
        <f t="shared" si="37"/>
        <v>1.3321726083966279</v>
      </c>
      <c r="N348" s="995">
        <v>4</v>
      </c>
      <c r="O348" s="997">
        <v>1.1142664946799459</v>
      </c>
      <c r="P348" s="22">
        <f t="shared" ref="P348:P411" si="38">M348-O348</f>
        <v>0.217906113716682</v>
      </c>
      <c r="Q348" s="982">
        <f t="shared" ref="Q348:Q383" si="39">M348/O348*100-100</f>
        <v>19.556014181263876</v>
      </c>
      <c r="R348" s="6"/>
      <c r="S348" s="6"/>
      <c r="T348" s="6"/>
      <c r="U348" s="6"/>
      <c r="V348" s="6"/>
      <c r="W348" s="6"/>
      <c r="X348" s="6"/>
      <c r="Y348" s="6"/>
      <c r="Z348" s="6"/>
    </row>
    <row r="349" spans="1:26" s="93" customFormat="1" ht="15.75">
      <c r="A349" s="236">
        <v>258</v>
      </c>
      <c r="B349" s="233" t="s">
        <v>1301</v>
      </c>
      <c r="C349" s="886">
        <f>cходова!R349</f>
        <v>0.71862363031368104</v>
      </c>
      <c r="D349" s="886">
        <f>прибуд.!O349</f>
        <v>0.15601355197640926</v>
      </c>
      <c r="E349" s="886">
        <f>гар.вода!M349+хол.вода!Q349+ц.о.!M349+каналізація!Q349+аварійні!I349+зварювальн!M349</f>
        <v>0.13446855903999519</v>
      </c>
      <c r="F349" s="886">
        <f>дератизац.!I349</f>
        <v>4.5748182690988895E-3</v>
      </c>
      <c r="G349" s="886">
        <f>димоканал!R349</f>
        <v>1.3214474474419886E-2</v>
      </c>
      <c r="H349" s="886">
        <f>'підготовка до зими'!M349+майстерні!M349+маляри!M349+покрівлі!O349</f>
        <v>0.18438950646948588</v>
      </c>
      <c r="I349" s="886">
        <f>електрики!R349</f>
        <v>1.3399134665563948E-2</v>
      </c>
      <c r="J349" s="989">
        <f t="shared" si="36"/>
        <v>1.2246836752086541</v>
      </c>
      <c r="K349" s="989">
        <v>3.0544572387834649E-2</v>
      </c>
      <c r="L349" s="994">
        <f t="shared" ref="L349:L383" si="40">J349+K349</f>
        <v>1.2552282475964887</v>
      </c>
      <c r="M349" s="994">
        <f t="shared" si="37"/>
        <v>1.5062738971157863</v>
      </c>
      <c r="N349" s="995">
        <v>3</v>
      </c>
      <c r="O349" s="997">
        <v>1.2584363823787874</v>
      </c>
      <c r="P349" s="22">
        <f t="shared" si="38"/>
        <v>0.24783751473699889</v>
      </c>
      <c r="Q349" s="982">
        <f t="shared" si="39"/>
        <v>19.694083722255272</v>
      </c>
      <c r="R349" s="6"/>
      <c r="S349" s="6"/>
      <c r="T349" s="6"/>
      <c r="U349" s="6"/>
      <c r="V349" s="6"/>
      <c r="W349" s="6"/>
      <c r="X349" s="6"/>
      <c r="Y349" s="6"/>
      <c r="Z349" s="6"/>
    </row>
    <row r="350" spans="1:26" s="93" customFormat="1" ht="15.75">
      <c r="A350" s="236">
        <v>259</v>
      </c>
      <c r="B350" s="233" t="s">
        <v>1302</v>
      </c>
      <c r="C350" s="886">
        <f>cходова!R350</f>
        <v>0.88311044623143442</v>
      </c>
      <c r="D350" s="886">
        <f>прибуд.!O350</f>
        <v>3.5657509818067756E-2</v>
      </c>
      <c r="E350" s="886">
        <f>гар.вода!M350+хол.вода!Q350+ц.о.!M350+каналізація!Q350+аварійні!I350+зварювальн!M350</f>
        <v>0.13811294913947272</v>
      </c>
      <c r="F350" s="886">
        <f>дератизац.!I350</f>
        <v>3.044085776206228E-3</v>
      </c>
      <c r="G350" s="886">
        <f>димоканал!R350</f>
        <v>2.3358959846956549E-2</v>
      </c>
      <c r="H350" s="886">
        <f>'підготовка до зими'!M350+майстерні!M350+маляри!M350+покрівлі!O350</f>
        <v>0.19916073186196168</v>
      </c>
      <c r="I350" s="886">
        <f>електрики!R350</f>
        <v>1.5867315609428556E-2</v>
      </c>
      <c r="J350" s="989">
        <f t="shared" si="36"/>
        <v>1.2983119982835278</v>
      </c>
      <c r="K350" s="989">
        <v>3.2358531167741206E-2</v>
      </c>
      <c r="L350" s="994">
        <f t="shared" si="40"/>
        <v>1.3306705294512691</v>
      </c>
      <c r="M350" s="994">
        <f t="shared" si="37"/>
        <v>1.5968046353415228</v>
      </c>
      <c r="N350" s="995">
        <v>4</v>
      </c>
      <c r="O350" s="997">
        <v>1.3331714841109377</v>
      </c>
      <c r="P350" s="22">
        <f t="shared" si="38"/>
        <v>0.26363315123058517</v>
      </c>
      <c r="Q350" s="982">
        <f t="shared" si="39"/>
        <v>19.774886754827065</v>
      </c>
      <c r="R350" s="6"/>
      <c r="S350" s="6"/>
      <c r="T350" s="6"/>
      <c r="U350" s="6"/>
      <c r="V350" s="6"/>
      <c r="W350" s="6"/>
      <c r="X350" s="6"/>
      <c r="Y350" s="6"/>
      <c r="Z350" s="6"/>
    </row>
    <row r="351" spans="1:26" s="93" customFormat="1" ht="15.75">
      <c r="A351" s="894">
        <v>260</v>
      </c>
      <c r="B351" s="233" t="s">
        <v>1303</v>
      </c>
      <c r="C351" s="886">
        <f>cходова!R351</f>
        <v>0.78755899192048029</v>
      </c>
      <c r="D351" s="886">
        <f>прибуд.!O351</f>
        <v>6.3626729359185008E-2</v>
      </c>
      <c r="E351" s="886">
        <f>гар.вода!M351+хол.вода!Q351+ц.о.!M351+каналізація!Q351+аварійні!I351+зварювальн!M351</f>
        <v>0.15579598427912622</v>
      </c>
      <c r="F351" s="886">
        <f>дератизац.!I351</f>
        <v>5.2505750903713436E-3</v>
      </c>
      <c r="G351" s="886">
        <f>димоканал!R351</f>
        <v>4.3468604835259286E-2</v>
      </c>
      <c r="H351" s="886">
        <f>'підготовка до зими'!M351+майстерні!M351+маляри!M351+покрівлі!O351</f>
        <v>0.21655875113715914</v>
      </c>
      <c r="I351" s="886">
        <f>електрики!R351</f>
        <v>1.8213504235747011E-2</v>
      </c>
      <c r="J351" s="989">
        <f t="shared" si="36"/>
        <v>1.2904731408573284</v>
      </c>
      <c r="K351" s="989">
        <v>3.2326867320949755E-2</v>
      </c>
      <c r="L351" s="994">
        <f t="shared" si="40"/>
        <v>1.3228000081782783</v>
      </c>
      <c r="M351" s="994">
        <f t="shared" si="37"/>
        <v>1.5873600098139338</v>
      </c>
      <c r="N351" s="995">
        <v>3</v>
      </c>
      <c r="O351" s="997">
        <v>1.3318669336231299</v>
      </c>
      <c r="P351" s="22">
        <f t="shared" si="38"/>
        <v>0.25549307619080386</v>
      </c>
      <c r="Q351" s="982">
        <f t="shared" si="39"/>
        <v>19.183078259610809</v>
      </c>
      <c r="R351" s="6"/>
      <c r="S351" s="6"/>
      <c r="T351" s="6"/>
      <c r="U351" s="6"/>
      <c r="V351" s="6"/>
      <c r="W351" s="6"/>
      <c r="X351" s="6"/>
      <c r="Y351" s="6"/>
      <c r="Z351" s="6"/>
    </row>
    <row r="352" spans="1:26" s="93" customFormat="1" ht="15.75">
      <c r="A352" s="236">
        <v>261</v>
      </c>
      <c r="B352" s="233" t="s">
        <v>1304</v>
      </c>
      <c r="C352" s="886">
        <f>cходова!R352</f>
        <v>0.71903450717492368</v>
      </c>
      <c r="D352" s="886">
        <f>прибуд.!O352</f>
        <v>0.16297654666666672</v>
      </c>
      <c r="E352" s="886">
        <f>гар.вода!M352+хол.вода!Q352+ц.о.!M352+каналізація!Q352+аварійні!I352+зварювальн!M352</f>
        <v>0.15676326182989297</v>
      </c>
      <c r="F352" s="886">
        <f>дератизац.!I352</f>
        <v>4.7727272727272731E-3</v>
      </c>
      <c r="G352" s="886">
        <f>димоканал!R352</f>
        <v>4.565908973952016E-2</v>
      </c>
      <c r="H352" s="886">
        <f>'підготовка до зими'!M352+майстерні!M352+маляри!M352+покрівлі!O352</f>
        <v>0.2022042950234198</v>
      </c>
      <c r="I352" s="886">
        <f>електрики!R352</f>
        <v>1.8456108354771277E-2</v>
      </c>
      <c r="J352" s="989">
        <f t="shared" si="36"/>
        <v>1.3098665360619219</v>
      </c>
      <c r="K352" s="989">
        <v>3.2794582685954879E-2</v>
      </c>
      <c r="L352" s="994">
        <f t="shared" si="40"/>
        <v>1.3426611187478767</v>
      </c>
      <c r="M352" s="994">
        <f t="shared" si="37"/>
        <v>1.6111933424974521</v>
      </c>
      <c r="N352" s="995">
        <v>3</v>
      </c>
      <c r="O352" s="997">
        <v>1.3511368066613409</v>
      </c>
      <c r="P352" s="22">
        <f t="shared" si="38"/>
        <v>0.2600565358361111</v>
      </c>
      <c r="Q352" s="982">
        <f t="shared" si="39"/>
        <v>19.247239402700529</v>
      </c>
      <c r="R352" s="6"/>
      <c r="S352" s="6"/>
      <c r="T352" s="6"/>
      <c r="U352" s="6"/>
      <c r="V352" s="6"/>
      <c r="W352" s="6"/>
      <c r="X352" s="6"/>
      <c r="Y352" s="6"/>
      <c r="Z352" s="6"/>
    </row>
    <row r="353" spans="1:26" s="93" customFormat="1" ht="15.75">
      <c r="A353" s="236">
        <v>262</v>
      </c>
      <c r="B353" s="233" t="s">
        <v>1305</v>
      </c>
      <c r="C353" s="886">
        <f>cходова!R353</f>
        <v>0.72153332388100533</v>
      </c>
      <c r="D353" s="886">
        <f>прибуд.!O353</f>
        <v>0.11827658265638576</v>
      </c>
      <c r="E353" s="886">
        <f>гар.вода!M353+хол.вода!Q353+ц.о.!M353+каналізація!Q353+аварійні!I353+зварювальн!M353</f>
        <v>0.14963485277366748</v>
      </c>
      <c r="F353" s="886">
        <f>дератизац.!I353</f>
        <v>4.485230234578628E-3</v>
      </c>
      <c r="G353" s="886">
        <f>димоканал!R353</f>
        <v>3.4877908120835278E-2</v>
      </c>
      <c r="H353" s="886">
        <f>'підготовка до зими'!M353+майстерні!M353+маляри!M353+покрівлі!O353</f>
        <v>0.24248259415388254</v>
      </c>
      <c r="I353" s="886">
        <f>електрики!R353</f>
        <v>1.6668222966798214E-2</v>
      </c>
      <c r="J353" s="989">
        <f t="shared" si="36"/>
        <v>1.2879587147871532</v>
      </c>
      <c r="K353" s="989">
        <v>3.2260157588040864E-2</v>
      </c>
      <c r="L353" s="994">
        <f t="shared" si="40"/>
        <v>1.320218872375194</v>
      </c>
      <c r="M353" s="994">
        <f t="shared" si="37"/>
        <v>1.5842626468502328</v>
      </c>
      <c r="N353" s="995">
        <v>3</v>
      </c>
      <c r="O353" s="997">
        <v>1.3291184926272837</v>
      </c>
      <c r="P353" s="22">
        <f t="shared" si="38"/>
        <v>0.25514415422294912</v>
      </c>
      <c r="Q353" s="982">
        <f t="shared" si="39"/>
        <v>19.196494190567066</v>
      </c>
      <c r="R353" s="6"/>
      <c r="S353" s="6"/>
      <c r="T353" s="6"/>
      <c r="U353" s="6"/>
      <c r="V353" s="6"/>
      <c r="W353" s="6"/>
      <c r="X353" s="6"/>
      <c r="Y353" s="6"/>
      <c r="Z353" s="6"/>
    </row>
    <row r="354" spans="1:26" s="93" customFormat="1" ht="15.75">
      <c r="A354" s="236">
        <v>263</v>
      </c>
      <c r="B354" s="233" t="s">
        <v>1306</v>
      </c>
      <c r="C354" s="886">
        <f>cходова!R354</f>
        <v>1.0519396753259149</v>
      </c>
      <c r="D354" s="886">
        <f>прибуд.!O354</f>
        <v>7.391541023560208E-2</v>
      </c>
      <c r="E354" s="886">
        <f>гар.вода!M354+хол.вода!Q354+ц.о.!M354+каналізація!Q354+аварійні!I354+зварювальн!M354</f>
        <v>0.16624078400787537</v>
      </c>
      <c r="F354" s="886">
        <f>дератизац.!I354</f>
        <v>8.9179755671902269E-3</v>
      </c>
      <c r="G354" s="886">
        <f>димоканал!R354</f>
        <v>3.2281278786298724E-2</v>
      </c>
      <c r="H354" s="886">
        <f>'підготовка до зими'!M354+майстерні!M354+маляри!M354+покрівлі!O354</f>
        <v>0.20531374566109134</v>
      </c>
      <c r="I354" s="886">
        <f>електрики!R354</f>
        <v>2.4613218317249618E-2</v>
      </c>
      <c r="J354" s="989">
        <f t="shared" si="36"/>
        <v>1.5632220879012224</v>
      </c>
      <c r="K354" s="989">
        <v>3.8610421580618094E-2</v>
      </c>
      <c r="L354" s="994">
        <f t="shared" si="40"/>
        <v>1.6018325094818404</v>
      </c>
      <c r="M354" s="994">
        <f t="shared" si="37"/>
        <v>1.9221990113782084</v>
      </c>
      <c r="N354" s="995">
        <v>3</v>
      </c>
      <c r="O354" s="997">
        <v>1.5907493691214656</v>
      </c>
      <c r="P354" s="22">
        <f t="shared" si="38"/>
        <v>0.33144964225674278</v>
      </c>
      <c r="Q354" s="982">
        <f t="shared" si="39"/>
        <v>20.836069382808859</v>
      </c>
      <c r="R354" s="6"/>
      <c r="S354" s="6"/>
      <c r="T354" s="6"/>
      <c r="U354" s="6"/>
      <c r="V354" s="6"/>
      <c r="W354" s="6"/>
      <c r="X354" s="6"/>
      <c r="Y354" s="6"/>
      <c r="Z354" s="6"/>
    </row>
    <row r="355" spans="1:26" s="93" customFormat="1" ht="15.75">
      <c r="A355" s="236">
        <v>264</v>
      </c>
      <c r="B355" s="233" t="s">
        <v>1307</v>
      </c>
      <c r="C355" s="886">
        <f>cходова!R355</f>
        <v>0.67176045563017073</v>
      </c>
      <c r="D355" s="886">
        <f>прибуд.!O355</f>
        <v>0.11776467498672935</v>
      </c>
      <c r="E355" s="886">
        <f>гар.вода!M355+хол.вода!Q355+ц.о.!M355+каналізація!Q355+аварійні!I355+зварювальн!M355</f>
        <v>0.15622198579679719</v>
      </c>
      <c r="F355" s="886">
        <f>дератизац.!I355</f>
        <v>2.8222239073835342E-3</v>
      </c>
      <c r="G355" s="886">
        <f>димоканал!R355</f>
        <v>2.3827183590761625E-2</v>
      </c>
      <c r="H355" s="886">
        <f>'підготовка до зими'!M355+майстерні!M355+маляри!M355+покрівлі!O355</f>
        <v>0.15107319291034266</v>
      </c>
      <c r="I355" s="886">
        <f>електрики!R355</f>
        <v>1.8320350220971872E-2</v>
      </c>
      <c r="J355" s="989">
        <f t="shared" si="36"/>
        <v>1.1417900670431571</v>
      </c>
      <c r="K355" s="989">
        <v>2.8512776719887247E-2</v>
      </c>
      <c r="L355" s="994">
        <f t="shared" si="40"/>
        <v>1.1703028437630443</v>
      </c>
      <c r="M355" s="994">
        <f t="shared" si="37"/>
        <v>1.404363412515653</v>
      </c>
      <c r="N355" s="995">
        <v>4</v>
      </c>
      <c r="O355" s="997">
        <v>1.1747264008593545</v>
      </c>
      <c r="P355" s="22">
        <f t="shared" si="38"/>
        <v>0.22963701165629846</v>
      </c>
      <c r="Q355" s="982">
        <f t="shared" si="39"/>
        <v>19.548127248039265</v>
      </c>
      <c r="R355" s="6"/>
      <c r="S355" s="6"/>
      <c r="T355" s="6"/>
      <c r="U355" s="6"/>
      <c r="V355" s="6"/>
      <c r="W355" s="6"/>
      <c r="X355" s="6"/>
      <c r="Y355" s="6"/>
      <c r="Z355" s="6"/>
    </row>
    <row r="356" spans="1:26" s="93" customFormat="1" ht="15.75">
      <c r="A356" s="236">
        <v>265</v>
      </c>
      <c r="B356" s="233" t="s">
        <v>1308</v>
      </c>
      <c r="C356" s="886">
        <f>cходова!R356</f>
        <v>0.8679136311294966</v>
      </c>
      <c r="D356" s="886">
        <f>прибуд.!O356</f>
        <v>0.16882922500483344</v>
      </c>
      <c r="E356" s="886">
        <f>гар.вода!M356+хол.вода!Q356+ц.о.!M356+каналізація!Q356+аварійні!I356+зварювальн!M356</f>
        <v>0.1675583857168364</v>
      </c>
      <c r="F356" s="886">
        <f>дератизац.!I356</f>
        <v>4.403004572175049E-3</v>
      </c>
      <c r="G356" s="886">
        <f>димоканал!R356</f>
        <v>2.5716719995448403E-2</v>
      </c>
      <c r="H356" s="886">
        <f>'підготовка до зими'!M356+майстерні!M356+маляри!M356+покрівлі!O356</f>
        <v>0.15313702466230938</v>
      </c>
      <c r="I356" s="886">
        <f>електрики!R356</f>
        <v>2.1163647176771039E-2</v>
      </c>
      <c r="J356" s="989">
        <f t="shared" si="36"/>
        <v>1.4087216382578704</v>
      </c>
      <c r="K356" s="989">
        <v>3.5148342393930491E-2</v>
      </c>
      <c r="L356" s="994">
        <f t="shared" si="40"/>
        <v>1.4438699806518009</v>
      </c>
      <c r="M356" s="994">
        <f t="shared" si="37"/>
        <v>1.7326439767821611</v>
      </c>
      <c r="N356" s="995">
        <v>3</v>
      </c>
      <c r="O356" s="997">
        <v>1.4481117066299363</v>
      </c>
      <c r="P356" s="22">
        <f t="shared" si="38"/>
        <v>0.28453227015222482</v>
      </c>
      <c r="Q356" s="982">
        <f t="shared" si="39"/>
        <v>19.648502864077514</v>
      </c>
      <c r="R356" s="6"/>
      <c r="S356" s="6"/>
      <c r="T356" s="6"/>
      <c r="U356" s="6"/>
      <c r="V356" s="6"/>
      <c r="W356" s="6"/>
      <c r="X356" s="6"/>
      <c r="Y356" s="6"/>
      <c r="Z356" s="6"/>
    </row>
    <row r="357" spans="1:26" s="93" customFormat="1" ht="15.75">
      <c r="A357" s="236">
        <v>266</v>
      </c>
      <c r="B357" s="233" t="s">
        <v>1309</v>
      </c>
      <c r="C357" s="886">
        <f>cходова!R357</f>
        <v>0.85473804789608865</v>
      </c>
      <c r="D357" s="886">
        <f>прибуд.!O357</f>
        <v>5.3135165478293236E-2</v>
      </c>
      <c r="E357" s="886">
        <f>гар.вода!M357+хол.вода!Q357+ц.о.!M357+каналізація!Q357+аварійні!I357+зварювальн!M357</f>
        <v>0.17173230785647561</v>
      </c>
      <c r="F357" s="886">
        <f>дератизац.!I357</f>
        <v>4.254527412552717E-3</v>
      </c>
      <c r="G357" s="886">
        <f>димоканал!R357</f>
        <v>2.7456184906568561E-2</v>
      </c>
      <c r="H357" s="886">
        <f>'підготовка до зими'!M357+майстерні!M357+маляри!M357+покрівлі!O357</f>
        <v>0.2335538840623515</v>
      </c>
      <c r="I357" s="886">
        <f>електрики!R357</f>
        <v>2.3036300432007072E-2</v>
      </c>
      <c r="J357" s="989">
        <f t="shared" si="36"/>
        <v>1.3679064180443374</v>
      </c>
      <c r="K357" s="989">
        <v>3.4219132375540751E-2</v>
      </c>
      <c r="L357" s="994">
        <f t="shared" si="40"/>
        <v>1.4021255504198782</v>
      </c>
      <c r="M357" s="994">
        <f t="shared" si="37"/>
        <v>1.6825506605038538</v>
      </c>
      <c r="N357" s="995">
        <v>3</v>
      </c>
      <c r="O357" s="997">
        <v>1.4098282538722788</v>
      </c>
      <c r="P357" s="22">
        <f t="shared" si="38"/>
        <v>0.27272240663157499</v>
      </c>
      <c r="Q357" s="982">
        <f t="shared" si="39"/>
        <v>19.344370910606102</v>
      </c>
      <c r="R357" s="6"/>
      <c r="S357" s="6"/>
      <c r="T357" s="6"/>
      <c r="U357" s="6"/>
      <c r="V357" s="6"/>
      <c r="W357" s="6"/>
      <c r="X357" s="6"/>
      <c r="Y357" s="6"/>
      <c r="Z357" s="6"/>
    </row>
    <row r="358" spans="1:26" s="93" customFormat="1" ht="15.75">
      <c r="A358" s="894">
        <v>267</v>
      </c>
      <c r="B358" s="233" t="s">
        <v>1310</v>
      </c>
      <c r="C358" s="886">
        <f>cходова!R358</f>
        <v>0.65583578598044467</v>
      </c>
      <c r="D358" s="886">
        <f>прибуд.!O358</f>
        <v>6.5888625788844635E-2</v>
      </c>
      <c r="E358" s="886">
        <f>гар.вода!M358+хол.вода!Q358+ц.о.!M358+каналізація!Q358+аварійні!I358+зварювальн!M358</f>
        <v>0.16895912880384706</v>
      </c>
      <c r="F358" s="886">
        <f>дератизац.!I358</f>
        <v>3.0816733067729083E-3</v>
      </c>
      <c r="G358" s="886">
        <f>димоканал!R358</f>
        <v>2.9395984424535952E-2</v>
      </c>
      <c r="H358" s="886">
        <f>'підготовка до зими'!M358+майстерні!M358+маляри!M358+покрівлі!O358</f>
        <v>0.21987439390797239</v>
      </c>
      <c r="I358" s="886">
        <f>електрики!R358</f>
        <v>2.2389126470174447E-2</v>
      </c>
      <c r="J358" s="989">
        <f t="shared" si="36"/>
        <v>1.1654247186825921</v>
      </c>
      <c r="K358" s="989">
        <v>2.9185629208334719E-2</v>
      </c>
      <c r="L358" s="994">
        <f t="shared" si="40"/>
        <v>1.1946103478909269</v>
      </c>
      <c r="M358" s="994">
        <f t="shared" si="37"/>
        <v>1.4335324174691122</v>
      </c>
      <c r="N358" s="995">
        <v>4</v>
      </c>
      <c r="O358" s="997">
        <v>1.2024479233833905</v>
      </c>
      <c r="P358" s="22">
        <f t="shared" si="38"/>
        <v>0.23108449408572174</v>
      </c>
      <c r="Q358" s="982">
        <f t="shared" si="39"/>
        <v>19.217838011271809</v>
      </c>
      <c r="R358" s="6"/>
      <c r="S358" s="6"/>
      <c r="T358" s="6"/>
      <c r="U358" s="6"/>
      <c r="V358" s="6"/>
      <c r="W358" s="6"/>
      <c r="X358" s="6"/>
      <c r="Y358" s="6"/>
      <c r="Z358" s="6"/>
    </row>
    <row r="359" spans="1:26" s="93" customFormat="1" ht="15.75">
      <c r="A359" s="236">
        <v>268</v>
      </c>
      <c r="B359" s="233" t="s">
        <v>1311</v>
      </c>
      <c r="C359" s="886">
        <f>cходова!R359</f>
        <v>0.77783753622960194</v>
      </c>
      <c r="D359" s="886">
        <f>прибуд.!O359</f>
        <v>9.2902222105521057E-2</v>
      </c>
      <c r="E359" s="886">
        <f>гар.вода!M359+хол.вода!Q359+ц.о.!M359+каналізація!Q359+аварійні!I359+зварювальн!M359</f>
        <v>0.17202849580354782</v>
      </c>
      <c r="F359" s="886">
        <f>дератизац.!I359</f>
        <v>3.0872263966024173E-3</v>
      </c>
      <c r="G359" s="886">
        <f>димоканал!R359</f>
        <v>3.1591670973253397E-2</v>
      </c>
      <c r="H359" s="886">
        <f>'підготовка до зими'!M359+майстерні!M359+маляри!M359+покрівлі!O359</f>
        <v>0.21792648216781793</v>
      </c>
      <c r="I359" s="886">
        <f>електрики!R359</f>
        <v>2.3538225148114097E-2</v>
      </c>
      <c r="J359" s="989">
        <f t="shared" si="36"/>
        <v>1.3189118588244586</v>
      </c>
      <c r="K359" s="989">
        <v>3.2985285882697786E-2</v>
      </c>
      <c r="L359" s="994">
        <f t="shared" si="40"/>
        <v>1.3518971447071564</v>
      </c>
      <c r="M359" s="994">
        <f t="shared" si="37"/>
        <v>1.6222765736485876</v>
      </c>
      <c r="N359" s="995">
        <v>4</v>
      </c>
      <c r="O359" s="997">
        <v>1.3589937783671486</v>
      </c>
      <c r="P359" s="22">
        <f t="shared" si="38"/>
        <v>0.26328279528143894</v>
      </c>
      <c r="Q359" s="982">
        <f t="shared" si="39"/>
        <v>19.373362812431495</v>
      </c>
      <c r="R359" s="6"/>
      <c r="S359" s="6"/>
      <c r="T359" s="6"/>
      <c r="U359" s="6"/>
      <c r="V359" s="6"/>
      <c r="W359" s="6"/>
      <c r="X359" s="6"/>
      <c r="Y359" s="6"/>
      <c r="Z359" s="6"/>
    </row>
    <row r="360" spans="1:26" s="93" customFormat="1" ht="15.75">
      <c r="A360" s="236">
        <v>269</v>
      </c>
      <c r="B360" s="233" t="s">
        <v>1312</v>
      </c>
      <c r="C360" s="886">
        <f>cходова!R360</f>
        <v>0.96960357701750943</v>
      </c>
      <c r="D360" s="886">
        <f>прибуд.!O360</f>
        <v>6.4085105968617204E-2</v>
      </c>
      <c r="E360" s="886">
        <f>гар.вода!M360+хол.вода!Q360+ц.о.!M360+каналізація!Q360+аварійні!I360+зварювальн!M360</f>
        <v>0.15541615629809288</v>
      </c>
      <c r="F360" s="886">
        <f>дератизац.!I360</f>
        <v>3.117848970251717E-3</v>
      </c>
      <c r="G360" s="886">
        <f>димоканал!R360</f>
        <v>3.161232587418393E-2</v>
      </c>
      <c r="H360" s="886">
        <f>'підготовка до зими'!M360+майстерні!M360+маляри!M360+покрівлі!O360</f>
        <v>0.24103740368621129</v>
      </c>
      <c r="I360" s="886">
        <f>електрики!R360</f>
        <v>1.8118239094272036E-2</v>
      </c>
      <c r="J360" s="989">
        <f t="shared" si="36"/>
        <v>1.4829906569091384</v>
      </c>
      <c r="K360" s="989">
        <v>3.707783081946403E-2</v>
      </c>
      <c r="L360" s="994">
        <f t="shared" si="40"/>
        <v>1.5200684877286026</v>
      </c>
      <c r="M360" s="994">
        <f t="shared" si="37"/>
        <v>1.824082185274323</v>
      </c>
      <c r="N360" s="995">
        <v>4</v>
      </c>
      <c r="O360" s="997">
        <v>1.5276066297619182</v>
      </c>
      <c r="P360" s="22">
        <f t="shared" si="38"/>
        <v>0.29647555551240479</v>
      </c>
      <c r="Q360" s="982">
        <f t="shared" si="39"/>
        <v>19.407846872110753</v>
      </c>
      <c r="R360" s="6"/>
      <c r="S360" s="6"/>
      <c r="T360" s="6"/>
      <c r="U360" s="6"/>
      <c r="V360" s="6"/>
      <c r="W360" s="6"/>
      <c r="X360" s="6"/>
      <c r="Y360" s="6"/>
      <c r="Z360" s="6"/>
    </row>
    <row r="361" spans="1:26" s="93" customFormat="1" ht="15.75">
      <c r="A361" s="236">
        <v>270</v>
      </c>
      <c r="B361" s="233" t="s">
        <v>1313</v>
      </c>
      <c r="C361" s="886">
        <f>cходова!R361</f>
        <v>0.58576518041405423</v>
      </c>
      <c r="D361" s="886">
        <f>прибуд.!O361</f>
        <v>0.1707038829310345</v>
      </c>
      <c r="E361" s="886">
        <f>гар.вода!M361+хол.вода!Q361+ц.о.!M361+каналізація!Q361+аварійні!I361+зварювальн!M361</f>
        <v>0.1364637750231126</v>
      </c>
      <c r="F361" s="886">
        <f>дератизац.!I361</f>
        <v>4.6630094043887153E-3</v>
      </c>
      <c r="G361" s="886">
        <f>димоканал!R361</f>
        <v>4.4602667757194729E-2</v>
      </c>
      <c r="H361" s="886">
        <f>'підготовка до зими'!M361+майстерні!M361+маляри!M361+покрівлі!O361</f>
        <v>0.23595160937691043</v>
      </c>
      <c r="I361" s="886">
        <f>електрики!R361</f>
        <v>1.3364768118972307E-2</v>
      </c>
      <c r="J361" s="989">
        <f t="shared" si="36"/>
        <v>1.1915148930256676</v>
      </c>
      <c r="K361" s="989">
        <v>2.9885911508729608E-2</v>
      </c>
      <c r="L361" s="994">
        <f t="shared" si="40"/>
        <v>1.2214008045343971</v>
      </c>
      <c r="M361" s="994">
        <f t="shared" si="37"/>
        <v>1.4656809654412766</v>
      </c>
      <c r="N361" s="995">
        <v>3</v>
      </c>
      <c r="O361" s="997">
        <v>1.2312995541596596</v>
      </c>
      <c r="P361" s="22">
        <f t="shared" si="38"/>
        <v>0.23438141128161694</v>
      </c>
      <c r="Q361" s="982">
        <f t="shared" si="39"/>
        <v>19.035287594299348</v>
      </c>
      <c r="R361" s="6"/>
      <c r="S361" s="6"/>
      <c r="T361" s="6"/>
      <c r="U361" s="6"/>
      <c r="V361" s="6"/>
      <c r="W361" s="6"/>
      <c r="X361" s="6"/>
      <c r="Y361" s="6"/>
      <c r="Z361" s="6"/>
    </row>
    <row r="362" spans="1:26" s="93" customFormat="1" ht="15.75">
      <c r="A362" s="236">
        <v>271</v>
      </c>
      <c r="B362" s="233" t="s">
        <v>1314</v>
      </c>
      <c r="C362" s="886">
        <f>cходова!R362</f>
        <v>0.6815529211626139</v>
      </c>
      <c r="D362" s="886">
        <f>прибуд.!O362</f>
        <v>3.5290738788948582E-2</v>
      </c>
      <c r="E362" s="886">
        <f>гар.вода!M362+хол.вода!Q362+ц.о.!M362+каналізація!Q362+аварійні!I362+зварювальн!M362</f>
        <v>0.15623240610238642</v>
      </c>
      <c r="F362" s="886">
        <f>дератизац.!I362</f>
        <v>2.524942440521873E-3</v>
      </c>
      <c r="G362" s="886">
        <f>димоканал!R362</f>
        <v>2.6472394951341752E-2</v>
      </c>
      <c r="H362" s="886">
        <f>'підготовка до зими'!M362+майстерні!M362+маляри!M362+покрівлі!O362</f>
        <v>0.24244916393243512</v>
      </c>
      <c r="I362" s="886">
        <f>електрики!R362</f>
        <v>2.1165622134514298E-2</v>
      </c>
      <c r="J362" s="989">
        <f t="shared" si="36"/>
        <v>1.165688189512762</v>
      </c>
      <c r="K362" s="989">
        <v>2.9161124134926369E-2</v>
      </c>
      <c r="L362" s="994">
        <f t="shared" si="40"/>
        <v>1.1948493136476883</v>
      </c>
      <c r="M362" s="994">
        <f t="shared" si="37"/>
        <v>1.4338191763772259</v>
      </c>
      <c r="N362" s="995">
        <v>3</v>
      </c>
      <c r="O362" s="997">
        <v>1.2014383143589664</v>
      </c>
      <c r="P362" s="22">
        <f t="shared" si="38"/>
        <v>0.23238086201825947</v>
      </c>
      <c r="Q362" s="982">
        <f t="shared" si="39"/>
        <v>19.341888737937211</v>
      </c>
      <c r="R362" s="6"/>
      <c r="S362" s="6"/>
      <c r="T362" s="6"/>
      <c r="U362" s="6"/>
      <c r="V362" s="6"/>
      <c r="W362" s="6"/>
      <c r="X362" s="6"/>
      <c r="Y362" s="6"/>
      <c r="Z362" s="6"/>
    </row>
    <row r="363" spans="1:26" s="93" customFormat="1" ht="15.75">
      <c r="A363" s="236">
        <v>272</v>
      </c>
      <c r="B363" s="899" t="s">
        <v>1315</v>
      </c>
      <c r="C363" s="886">
        <f>cходова!R363</f>
        <v>0</v>
      </c>
      <c r="D363" s="886">
        <f>прибуд.!O363</f>
        <v>0.13971540491302695</v>
      </c>
      <c r="E363" s="886">
        <f>гар.вода!M363+хол.вода!Q363+ц.о.!M363+каналізація!Q363+аварійні!I363+зварювальн!M363</f>
        <v>0.1477362350107175</v>
      </c>
      <c r="F363" s="886">
        <f>дератизац.!I363</f>
        <v>4.444233447271807E-3</v>
      </c>
      <c r="G363" s="886">
        <f>димоканал!R363</f>
        <v>2.3867001140248652E-2</v>
      </c>
      <c r="H363" s="886">
        <f>'підготовка до зими'!M363+майстерні!M363+маляри!M363+покрівлі!O363</f>
        <v>0.21620086504864061</v>
      </c>
      <c r="I363" s="886">
        <f>електрики!R363</f>
        <v>1.8279381291777183E-2</v>
      </c>
      <c r="J363" s="1000">
        <f t="shared" si="36"/>
        <v>0.5502431208516827</v>
      </c>
      <c r="K363" s="1000">
        <v>1.3894377492751056E-2</v>
      </c>
      <c r="L363" s="994">
        <f t="shared" si="40"/>
        <v>0.56413749834443372</v>
      </c>
      <c r="M363" s="1009">
        <f t="shared" si="37"/>
        <v>0.67696499801332044</v>
      </c>
      <c r="N363" s="995">
        <v>3</v>
      </c>
      <c r="O363" s="997">
        <v>0.57244835270134353</v>
      </c>
      <c r="P363" s="22">
        <f t="shared" si="38"/>
        <v>0.10451664531197691</v>
      </c>
      <c r="Q363" s="982">
        <f t="shared" si="39"/>
        <v>18.257829692193226</v>
      </c>
      <c r="R363" s="6"/>
      <c r="S363" s="6"/>
      <c r="T363" s="6"/>
      <c r="U363" s="6"/>
      <c r="V363" s="6"/>
      <c r="W363" s="6"/>
      <c r="X363" s="6"/>
      <c r="Y363" s="6"/>
      <c r="Z363" s="6"/>
    </row>
    <row r="364" spans="1:26" s="93" customFormat="1" ht="15.75">
      <c r="A364" s="236">
        <v>273</v>
      </c>
      <c r="B364" s="233" t="s">
        <v>1316</v>
      </c>
      <c r="C364" s="886">
        <f>cходова!R364</f>
        <v>0.75870923757341568</v>
      </c>
      <c r="D364" s="886">
        <f>прибуд.!O364</f>
        <v>0.16017426371398913</v>
      </c>
      <c r="E364" s="886">
        <f>гар.вода!M364+хол.вода!Q364+ц.о.!M364+каналізація!Q364+аварійні!I364+зварювальн!M364</f>
        <v>0.15817653391292408</v>
      </c>
      <c r="F364" s="886">
        <f>дератизац.!I364</f>
        <v>4.5737087983389576E-3</v>
      </c>
      <c r="G364" s="886">
        <f>димоканал!R364</f>
        <v>3.0623937943298114E-2</v>
      </c>
      <c r="H364" s="886">
        <f>'підготовка до зими'!M364+майстерні!M364+маляри!M364+покрівлі!O364</f>
        <v>0.23345950517363359</v>
      </c>
      <c r="I364" s="886">
        <f>електрики!R364</f>
        <v>1.88105729325686E-2</v>
      </c>
      <c r="J364" s="989">
        <f t="shared" si="36"/>
        <v>1.3645277600481682</v>
      </c>
      <c r="K364" s="989">
        <v>3.415120417253651E-2</v>
      </c>
      <c r="L364" s="994">
        <f t="shared" si="40"/>
        <v>1.3986789642207047</v>
      </c>
      <c r="M364" s="994">
        <f t="shared" si="37"/>
        <v>1.6784147570648456</v>
      </c>
      <c r="N364" s="995">
        <v>3</v>
      </c>
      <c r="O364" s="997">
        <v>1.4070296119085042</v>
      </c>
      <c r="P364" s="22">
        <f t="shared" si="38"/>
        <v>0.27138514515634138</v>
      </c>
      <c r="Q364" s="982">
        <f t="shared" si="39"/>
        <v>19.287806230903186</v>
      </c>
      <c r="R364" s="6"/>
      <c r="S364" s="6"/>
      <c r="T364" s="6"/>
      <c r="U364" s="6"/>
      <c r="V364" s="6"/>
      <c r="W364" s="6"/>
      <c r="X364" s="6"/>
      <c r="Y364" s="6"/>
      <c r="Z364" s="6"/>
    </row>
    <row r="365" spans="1:26" s="93" customFormat="1" ht="15.75">
      <c r="A365" s="894">
        <v>274</v>
      </c>
      <c r="B365" s="233" t="s">
        <v>1317</v>
      </c>
      <c r="C365" s="886">
        <f>cходова!R365</f>
        <v>0.54479132979440059</v>
      </c>
      <c r="D365" s="886">
        <f>прибуд.!O365</f>
        <v>0.12628896462116468</v>
      </c>
      <c r="E365" s="886">
        <f>гар.вода!M365+хол.вода!Q365+ц.о.!M365+каналізація!Q365+аварійні!I365+зварювальн!M365</f>
        <v>0.13994500354484521</v>
      </c>
      <c r="F365" s="886">
        <f>дератизац.!I365</f>
        <v>4.0179503235232734E-3</v>
      </c>
      <c r="G365" s="886">
        <f>димоканал!R365</f>
        <v>3.1979027573358326E-2</v>
      </c>
      <c r="H365" s="886">
        <f>'підготовка до зими'!M365+майстерні!M365+маляри!M365+покрівлі!O365</f>
        <v>0.22226604577258918</v>
      </c>
      <c r="I365" s="886">
        <f>електрики!R365</f>
        <v>1.4237899494726498E-2</v>
      </c>
      <c r="J365" s="989">
        <f t="shared" si="36"/>
        <v>1.0835262211246077</v>
      </c>
      <c r="K365" s="989">
        <v>2.716512943282275E-2</v>
      </c>
      <c r="L365" s="994">
        <f t="shared" si="40"/>
        <v>1.1106913505574305</v>
      </c>
      <c r="M365" s="994">
        <f t="shared" si="37"/>
        <v>1.3328296206689165</v>
      </c>
      <c r="N365" s="995">
        <v>3</v>
      </c>
      <c r="O365" s="997">
        <v>1.1192033326322974</v>
      </c>
      <c r="P365" s="22">
        <f t="shared" si="38"/>
        <v>0.21362628803661909</v>
      </c>
      <c r="Q365" s="982">
        <f t="shared" si="39"/>
        <v>19.087352745294567</v>
      </c>
      <c r="R365" s="6"/>
      <c r="S365" s="6"/>
      <c r="T365" s="6"/>
      <c r="U365" s="6"/>
      <c r="V365" s="6"/>
      <c r="W365" s="6"/>
      <c r="X365" s="6"/>
      <c r="Y365" s="6"/>
      <c r="Z365" s="6"/>
    </row>
    <row r="366" spans="1:26" s="93" customFormat="1" ht="15.75">
      <c r="A366" s="236">
        <v>275</v>
      </c>
      <c r="B366" s="233" t="s">
        <v>1318</v>
      </c>
      <c r="C366" s="886">
        <f>cходова!R366</f>
        <v>0.81745449145739568</v>
      </c>
      <c r="D366" s="886">
        <f>прибуд.!O366</f>
        <v>8.5102788094640086E-2</v>
      </c>
      <c r="E366" s="886">
        <f>гар.вода!M366+хол.вода!Q366+ц.о.!M366+каналізація!Q366+аварійні!I366+зварювальн!M366</f>
        <v>0.13156442194133097</v>
      </c>
      <c r="F366" s="886">
        <f>дератизац.!I366</f>
        <v>3.1940188543393452E-3</v>
      </c>
      <c r="G366" s="886">
        <f>димоканал!R366</f>
        <v>2.3144261913485533E-2</v>
      </c>
      <c r="H366" s="886">
        <f>'підготовка до зими'!M366+майстерні!M366+маляри!M366+покрівлі!O366</f>
        <v>0.18029387558977633</v>
      </c>
      <c r="I366" s="886">
        <f>електрики!R366</f>
        <v>1.4526908891789802E-2</v>
      </c>
      <c r="J366" s="989">
        <f t="shared" si="36"/>
        <v>1.2552807667427577</v>
      </c>
      <c r="K366" s="989">
        <v>3.1255439066629441E-2</v>
      </c>
      <c r="L366" s="994">
        <f t="shared" si="40"/>
        <v>1.2865362058093872</v>
      </c>
      <c r="M366" s="994">
        <f t="shared" si="37"/>
        <v>1.5438434469712645</v>
      </c>
      <c r="N366" s="995">
        <v>4</v>
      </c>
      <c r="O366" s="997">
        <v>1.2877240895451332</v>
      </c>
      <c r="P366" s="22">
        <f t="shared" si="38"/>
        <v>0.25611935742613134</v>
      </c>
      <c r="Q366" s="982">
        <f t="shared" si="39"/>
        <v>19.889303889360434</v>
      </c>
      <c r="R366" s="6"/>
      <c r="S366" s="6"/>
      <c r="T366" s="6"/>
      <c r="U366" s="6"/>
      <c r="V366" s="6"/>
      <c r="W366" s="6"/>
      <c r="X366" s="6"/>
      <c r="Y366" s="6"/>
      <c r="Z366" s="6"/>
    </row>
    <row r="367" spans="1:26" s="93" customFormat="1" ht="15.75">
      <c r="A367" s="236">
        <v>276</v>
      </c>
      <c r="B367" s="233" t="s">
        <v>1319</v>
      </c>
      <c r="C367" s="886">
        <f>cходова!R367</f>
        <v>0.49006516960047813</v>
      </c>
      <c r="D367" s="886">
        <f>прибуд.!O367</f>
        <v>0.62602298300826753</v>
      </c>
      <c r="E367" s="886">
        <f>гар.вода!M367+хол.вода!Q367+ц.о.!M367+каналізація!Q367+аварійні!I367+зварювальн!M367</f>
        <v>0.17634867828189912</v>
      </c>
      <c r="F367" s="886">
        <f>дератизац.!I367</f>
        <v>4.0766455031288548E-3</v>
      </c>
      <c r="G367" s="886">
        <f>димоканал!R367</f>
        <v>2.8224442401504443E-2</v>
      </c>
      <c r="H367" s="886">
        <f>'підготовка до зими'!M367+майстерні!M367+маляри!M367+покрівлі!O367</f>
        <v>0.23290916158932917</v>
      </c>
      <c r="I367" s="886">
        <f>електрики!R367</f>
        <v>2.922279574096923E-2</v>
      </c>
      <c r="J367" s="989">
        <f t="shared" si="36"/>
        <v>1.5868698761255766</v>
      </c>
      <c r="K367" s="989">
        <v>3.8499870034178638E-2</v>
      </c>
      <c r="L367" s="994">
        <f t="shared" si="40"/>
        <v>1.6253697461597552</v>
      </c>
      <c r="M367" s="994">
        <f t="shared" si="37"/>
        <v>1.9504436953917061</v>
      </c>
      <c r="N367" s="995">
        <v>3</v>
      </c>
      <c r="O367" s="997">
        <v>1.5861946454081599</v>
      </c>
      <c r="P367" s="22">
        <f t="shared" si="38"/>
        <v>0.36424904998354624</v>
      </c>
      <c r="Q367" s="982">
        <f t="shared" si="39"/>
        <v>22.963704425431189</v>
      </c>
      <c r="R367" s="6"/>
      <c r="S367" s="6"/>
      <c r="T367" s="6"/>
      <c r="U367" s="6"/>
      <c r="V367" s="6"/>
      <c r="W367" s="6"/>
      <c r="X367" s="6"/>
      <c r="Y367" s="6"/>
      <c r="Z367" s="6"/>
    </row>
    <row r="368" spans="1:26" s="93" customFormat="1" ht="15.75">
      <c r="A368" s="236">
        <v>277</v>
      </c>
      <c r="B368" s="233" t="s">
        <v>1320</v>
      </c>
      <c r="C368" s="886">
        <f>cходова!R368</f>
        <v>0.58109727518626497</v>
      </c>
      <c r="D368" s="886">
        <f>прибуд.!O368</f>
        <v>0.12058548910736841</v>
      </c>
      <c r="E368" s="886">
        <f>гар.вода!M368+хол.вода!Q368+ц.о.!M368+каналізація!Q368+аварійні!I368+зварювальн!M368</f>
        <v>0.14997789126621602</v>
      </c>
      <c r="F368" s="886">
        <f>дератизац.!I368</f>
        <v>3.4533333333333334E-3</v>
      </c>
      <c r="G368" s="886">
        <f>димоканал!R368</f>
        <v>2.6559464550047804E-2</v>
      </c>
      <c r="H368" s="886">
        <f>'підготовка до зими'!M368+майстерні!M368+маляри!M368+покрівлі!O368</f>
        <v>0.20388187114961936</v>
      </c>
      <c r="I368" s="886">
        <f>електрики!R368</f>
        <v>1.9489650422638474E-2</v>
      </c>
      <c r="J368" s="989">
        <f t="shared" si="36"/>
        <v>1.1050449750154883</v>
      </c>
      <c r="K368" s="989">
        <v>2.7603707738687304E-2</v>
      </c>
      <c r="L368" s="994">
        <f t="shared" si="40"/>
        <v>1.1326486827541755</v>
      </c>
      <c r="M368" s="994">
        <f t="shared" si="37"/>
        <v>1.3591784193050105</v>
      </c>
      <c r="N368" s="995">
        <v>3</v>
      </c>
      <c r="O368" s="997">
        <v>1.1372727588339171</v>
      </c>
      <c r="P368" s="22">
        <f t="shared" si="38"/>
        <v>0.22190566047109339</v>
      </c>
      <c r="Q368" s="982">
        <f t="shared" si="39"/>
        <v>19.512087909203117</v>
      </c>
      <c r="R368" s="6"/>
      <c r="S368" s="6"/>
      <c r="T368" s="6"/>
      <c r="U368" s="6"/>
      <c r="V368" s="6"/>
      <c r="W368" s="6"/>
      <c r="X368" s="6"/>
      <c r="Y368" s="6"/>
      <c r="Z368" s="6"/>
    </row>
    <row r="369" spans="1:26" s="93" customFormat="1" ht="15.75">
      <c r="A369" s="236">
        <v>278</v>
      </c>
      <c r="B369" s="233" t="s">
        <v>1321</v>
      </c>
      <c r="C369" s="886">
        <f>cходова!R369</f>
        <v>0.60157579293915431</v>
      </c>
      <c r="D369" s="886">
        <f>прибуд.!O369</f>
        <v>8.3835693101527137E-2</v>
      </c>
      <c r="E369" s="886">
        <f>гар.вода!M369+хол.вода!Q369+ц.о.!M369+каналізація!Q369+аварійні!I369+зварювальн!M369</f>
        <v>0.14229865663967228</v>
      </c>
      <c r="F369" s="886">
        <f>дератизац.!I369</f>
        <v>4.3722103066488908E-3</v>
      </c>
      <c r="G369" s="886">
        <f>димоканал!R369</f>
        <v>1.9156665061898875E-2</v>
      </c>
      <c r="H369" s="886">
        <f>'підготовка до зими'!M369+майстерні!M369+маляри!M369+покрівлі!O369</f>
        <v>0.22384858261613763</v>
      </c>
      <c r="I369" s="886">
        <f>електрики!R369</f>
        <v>1.5319605242077532E-2</v>
      </c>
      <c r="J369" s="989">
        <f t="shared" si="36"/>
        <v>1.0904072059071166</v>
      </c>
      <c r="K369" s="989">
        <v>2.7095837650771819E-2</v>
      </c>
      <c r="L369" s="994">
        <f t="shared" si="40"/>
        <v>1.1175030435578883</v>
      </c>
      <c r="M369" s="994">
        <f t="shared" si="37"/>
        <v>1.3410036522694659</v>
      </c>
      <c r="N369" s="995">
        <v>3</v>
      </c>
      <c r="O369" s="997">
        <v>1.116348511211799</v>
      </c>
      <c r="P369" s="22">
        <f t="shared" si="38"/>
        <v>0.22465514105766693</v>
      </c>
      <c r="Q369" s="982">
        <f t="shared" si="39"/>
        <v>20.124104506916325</v>
      </c>
      <c r="R369" s="6"/>
      <c r="S369" s="6"/>
      <c r="T369" s="6"/>
      <c r="U369" s="6"/>
      <c r="V369" s="6"/>
      <c r="W369" s="6"/>
      <c r="X369" s="6"/>
      <c r="Y369" s="6"/>
      <c r="Z369" s="6"/>
    </row>
    <row r="370" spans="1:26" s="93" customFormat="1" ht="15.75">
      <c r="A370" s="236">
        <v>279</v>
      </c>
      <c r="B370" s="233" t="s">
        <v>1322</v>
      </c>
      <c r="C370" s="886">
        <f>cходова!R370</f>
        <v>0.82647672424366325</v>
      </c>
      <c r="D370" s="886">
        <f>прибуд.!O370</f>
        <v>0.11139151682787847</v>
      </c>
      <c r="E370" s="886">
        <f>гар.вода!M370+хол.вода!Q370+ц.о.!M370+каналізація!Q370+аварійні!I370+зварювальн!M370</f>
        <v>0.15272056742345791</v>
      </c>
      <c r="F370" s="886">
        <f>дератизац.!I370</f>
        <v>4.6383693746347172E-3</v>
      </c>
      <c r="G370" s="886">
        <f>димоканал!R370</f>
        <v>3.2224515942439656E-2</v>
      </c>
      <c r="H370" s="886">
        <f>'підготовка до зими'!M370+майстерні!M370+маляри!M370+покрівлі!O370</f>
        <v>0.19494818701055444</v>
      </c>
      <c r="I370" s="886">
        <f>електрики!R370</f>
        <v>2.0164545411935918E-2</v>
      </c>
      <c r="J370" s="989">
        <f t="shared" si="36"/>
        <v>1.3425644262345644</v>
      </c>
      <c r="K370" s="989">
        <v>3.3501892974128235E-2</v>
      </c>
      <c r="L370" s="994">
        <f t="shared" si="40"/>
        <v>1.3760663192086926</v>
      </c>
      <c r="M370" s="994">
        <f t="shared" si="37"/>
        <v>1.651279583050431</v>
      </c>
      <c r="N370" s="995">
        <v>3</v>
      </c>
      <c r="O370" s="997">
        <v>1.3802779905340832</v>
      </c>
      <c r="P370" s="22">
        <f t="shared" si="38"/>
        <v>0.27100159251634781</v>
      </c>
      <c r="Q370" s="982">
        <f t="shared" si="39"/>
        <v>19.633841470694378</v>
      </c>
      <c r="R370" s="6"/>
      <c r="S370" s="6"/>
      <c r="T370" s="6"/>
      <c r="U370" s="6"/>
      <c r="V370" s="6"/>
      <c r="W370" s="6"/>
      <c r="X370" s="6"/>
      <c r="Y370" s="6"/>
      <c r="Z370" s="6"/>
    </row>
    <row r="371" spans="1:26" s="93" customFormat="1" ht="15.75">
      <c r="A371" s="236">
        <v>280</v>
      </c>
      <c r="B371" s="233" t="s">
        <v>1323</v>
      </c>
      <c r="C371" s="886">
        <f>cходова!R371</f>
        <v>0.79247723070895604</v>
      </c>
      <c r="D371" s="886">
        <f>прибуд.!O371</f>
        <v>0.11835416214239972</v>
      </c>
      <c r="E371" s="886">
        <f>гар.вода!M371+хол.вода!Q371+ц.о.!M371+каналізація!Q371+аварійні!I371+зварювальн!M371</f>
        <v>0.15442850176569983</v>
      </c>
      <c r="F371" s="886">
        <f>дератизац.!I371</f>
        <v>3.4924608488094548E-3</v>
      </c>
      <c r="G371" s="886">
        <f>димоканал!R371</f>
        <v>1.9182152153169048E-2</v>
      </c>
      <c r="H371" s="886">
        <f>'підготовка до зими'!M371+майстерні!M371+маляри!M371+покрівлі!O371</f>
        <v>0.24603812698598557</v>
      </c>
      <c r="I371" s="886">
        <f>електрики!R371</f>
        <v>1.9270638091314955E-2</v>
      </c>
      <c r="J371" s="989">
        <f t="shared" si="36"/>
        <v>1.3532432726963346</v>
      </c>
      <c r="K371" s="989">
        <v>3.381785365985028E-2</v>
      </c>
      <c r="L371" s="994">
        <f t="shared" si="40"/>
        <v>1.3870611263561849</v>
      </c>
      <c r="M371" s="994">
        <f t="shared" si="37"/>
        <v>1.6644733516274219</v>
      </c>
      <c r="N371" s="995">
        <v>3</v>
      </c>
      <c r="O371" s="997">
        <v>1.3932955707858317</v>
      </c>
      <c r="P371" s="22">
        <f t="shared" si="38"/>
        <v>0.27117778084159028</v>
      </c>
      <c r="Q371" s="982">
        <f t="shared" si="39"/>
        <v>19.463047649584041</v>
      </c>
      <c r="R371" s="6"/>
      <c r="S371" s="6"/>
      <c r="T371" s="6"/>
      <c r="U371" s="6"/>
      <c r="V371" s="6"/>
      <c r="W371" s="6"/>
      <c r="X371" s="6"/>
      <c r="Y371" s="6"/>
      <c r="Z371" s="6"/>
    </row>
    <row r="372" spans="1:26" s="93" customFormat="1" ht="15.75">
      <c r="A372" s="894">
        <v>281</v>
      </c>
      <c r="B372" s="233" t="s">
        <v>1324</v>
      </c>
      <c r="C372" s="886">
        <f>cходова!R372</f>
        <v>0.75222538273818818</v>
      </c>
      <c r="D372" s="886">
        <f>прибуд.!O372</f>
        <v>0.10000108584704602</v>
      </c>
      <c r="E372" s="886">
        <f>гар.вода!M372+хол.вода!Q372+ц.о.!M372+каналізація!Q372+аварійні!I372+зварювальн!M372</f>
        <v>0.14889527933478577</v>
      </c>
      <c r="F372" s="886">
        <f>дератизац.!I372</f>
        <v>3.776126615923644E-3</v>
      </c>
      <c r="G372" s="886">
        <f>димоканал!R372</f>
        <v>2.075110670481153E-2</v>
      </c>
      <c r="H372" s="886">
        <f>'підготовка до зими'!M372+майстерні!M372+маляри!M372+покрівлі!O372</f>
        <v>0.23977534467175696</v>
      </c>
      <c r="I372" s="886">
        <f>електрики!R372</f>
        <v>1.9188122778968961E-2</v>
      </c>
      <c r="J372" s="989">
        <f t="shared" si="36"/>
        <v>1.2846124486914809</v>
      </c>
      <c r="K372" s="989">
        <v>3.20755216032012E-2</v>
      </c>
      <c r="L372" s="994">
        <f t="shared" si="40"/>
        <v>1.3166879702946821</v>
      </c>
      <c r="M372" s="994">
        <f t="shared" si="37"/>
        <v>1.5800255643536185</v>
      </c>
      <c r="N372" s="995">
        <v>3</v>
      </c>
      <c r="O372" s="997">
        <v>1.3215114900518894</v>
      </c>
      <c r="P372" s="22">
        <f t="shared" si="38"/>
        <v>0.25851407430172912</v>
      </c>
      <c r="Q372" s="982">
        <f t="shared" si="39"/>
        <v>19.561999744064167</v>
      </c>
      <c r="R372" s="6"/>
      <c r="S372" s="6"/>
      <c r="T372" s="6"/>
      <c r="U372" s="6"/>
      <c r="V372" s="6"/>
      <c r="W372" s="6"/>
      <c r="X372" s="6"/>
      <c r="Y372" s="6"/>
      <c r="Z372" s="6"/>
    </row>
    <row r="373" spans="1:26" s="93" customFormat="1" ht="15.75">
      <c r="A373" s="236">
        <v>282</v>
      </c>
      <c r="B373" s="899" t="s">
        <v>1325</v>
      </c>
      <c r="C373" s="886">
        <f>cходова!R373</f>
        <v>0</v>
      </c>
      <c r="D373" s="886">
        <f>прибуд.!O373</f>
        <v>7.1115233415114845E-2</v>
      </c>
      <c r="E373" s="886">
        <f>гар.вода!M373+хол.вода!Q373+ц.о.!M373+каналізація!Q373+аварійні!I373+зварювальн!M373</f>
        <v>0.14002874524746475</v>
      </c>
      <c r="F373" s="886">
        <f>дератизац.!I373</f>
        <v>4.0552323845244216E-3</v>
      </c>
      <c r="G373" s="886">
        <f>димоканал!R373</f>
        <v>1.7930172445107178E-2</v>
      </c>
      <c r="H373" s="886">
        <f>'підготовка до зими'!M373+майстерні!M373+маляри!M373+покрівлі!O373</f>
        <v>0.22826951643879795</v>
      </c>
      <c r="I373" s="886">
        <f>електрики!R373</f>
        <v>1.4258902858211474E-2</v>
      </c>
      <c r="J373" s="1000">
        <f t="shared" si="36"/>
        <v>0.47565780278922065</v>
      </c>
      <c r="K373" s="1000">
        <v>1.1701812685704307E-2</v>
      </c>
      <c r="L373" s="994">
        <f t="shared" si="40"/>
        <v>0.48735961547492496</v>
      </c>
      <c r="M373" s="1009">
        <f t="shared" si="37"/>
        <v>0.58483153856990988</v>
      </c>
      <c r="N373" s="995">
        <v>3</v>
      </c>
      <c r="O373" s="997">
        <v>0.48211468265101742</v>
      </c>
      <c r="P373" s="22">
        <f t="shared" si="38"/>
        <v>0.10271685591889246</v>
      </c>
      <c r="Q373" s="982">
        <f t="shared" si="39"/>
        <v>21.305481789950974</v>
      </c>
      <c r="R373" s="6"/>
      <c r="S373" s="6"/>
      <c r="T373" s="6"/>
      <c r="U373" s="6"/>
      <c r="V373" s="6"/>
      <c r="W373" s="6"/>
      <c r="X373" s="6"/>
      <c r="Y373" s="6"/>
      <c r="Z373" s="6"/>
    </row>
    <row r="374" spans="1:26" s="93" customFormat="1" ht="15.75">
      <c r="A374" s="236">
        <v>283</v>
      </c>
      <c r="B374" s="233" t="s">
        <v>1326</v>
      </c>
      <c r="C374" s="886">
        <f>cходова!R374</f>
        <v>0.63206915244678474</v>
      </c>
      <c r="D374" s="886">
        <f>прибуд.!O374</f>
        <v>0.11911174250384496</v>
      </c>
      <c r="E374" s="886">
        <f>гар.вода!M374+хол.вода!Q374+ц.о.!M374+каналізація!Q374+аварійні!I374+зварювальн!M374</f>
        <v>0.15637847072731903</v>
      </c>
      <c r="F374" s="886">
        <f>дератизац.!I374</f>
        <v>5.9966164257151651E-3</v>
      </c>
      <c r="G374" s="886">
        <f>димоканал!R374</f>
        <v>5.3706515485940021E-2</v>
      </c>
      <c r="H374" s="886">
        <f>'підготовка до зими'!M374+майстерні!M374+маляри!M374+покрівлі!O374</f>
        <v>0.22597074648236531</v>
      </c>
      <c r="I374" s="886">
        <f>електрики!R374</f>
        <v>1.8359598406438117E-2</v>
      </c>
      <c r="J374" s="989">
        <f t="shared" si="36"/>
        <v>1.2115928424784073</v>
      </c>
      <c r="K374" s="989">
        <v>3.0414705278077728E-2</v>
      </c>
      <c r="L374" s="994">
        <f t="shared" si="40"/>
        <v>1.2420075477564849</v>
      </c>
      <c r="M374" s="994">
        <f t="shared" si="37"/>
        <v>1.4904090573077819</v>
      </c>
      <c r="N374" s="995">
        <v>3</v>
      </c>
      <c r="O374" s="997">
        <v>1.2530858574568022</v>
      </c>
      <c r="P374" s="22">
        <f t="shared" si="38"/>
        <v>0.23732319985097972</v>
      </c>
      <c r="Q374" s="982">
        <f t="shared" si="39"/>
        <v>18.939101294514529</v>
      </c>
      <c r="R374" s="6"/>
      <c r="S374" s="6"/>
      <c r="T374" s="6"/>
      <c r="U374" s="6"/>
      <c r="V374" s="6"/>
      <c r="W374" s="6"/>
      <c r="X374" s="6"/>
      <c r="Y374" s="6"/>
      <c r="Z374" s="6"/>
    </row>
    <row r="375" spans="1:26" s="93" customFormat="1" ht="15.75">
      <c r="A375" s="236">
        <v>284</v>
      </c>
      <c r="B375" s="233" t="s">
        <v>1327</v>
      </c>
      <c r="C375" s="886">
        <f>cходова!R375</f>
        <v>0.59099244913338189</v>
      </c>
      <c r="D375" s="886">
        <f>прибуд.!O375</f>
        <v>0.18163307240350876</v>
      </c>
      <c r="E375" s="886">
        <f>гар.вода!M375+хол.вода!Q375+ц.о.!M375+каналізація!Q375+аварійні!I375+зварювальн!M375</f>
        <v>0.14944773040025647</v>
      </c>
      <c r="F375" s="886">
        <f>дератизац.!I375</f>
        <v>4.0458089668615983E-3</v>
      </c>
      <c r="G375" s="886">
        <f>димоканал!R375</f>
        <v>3.4570452397548676E-2</v>
      </c>
      <c r="H375" s="886">
        <f>'підготовка до зими'!M375+майстерні!M375+маляри!M375+покрівлі!O375</f>
        <v>0.23116061495485046</v>
      </c>
      <c r="I375" s="886">
        <f>електрики!R375</f>
        <v>1.8694852137479349E-2</v>
      </c>
      <c r="J375" s="989">
        <f t="shared" si="36"/>
        <v>1.2105449803938872</v>
      </c>
      <c r="K375" s="989">
        <v>3.0282546801008853E-2</v>
      </c>
      <c r="L375" s="994">
        <f t="shared" si="40"/>
        <v>1.2408275271948961</v>
      </c>
      <c r="M375" s="994">
        <f t="shared" si="37"/>
        <v>1.4889930326338752</v>
      </c>
      <c r="N375" s="995">
        <v>3</v>
      </c>
      <c r="O375" s="997">
        <v>1.2476409282015648</v>
      </c>
      <c r="P375" s="22">
        <f t="shared" si="38"/>
        <v>0.24135210443231037</v>
      </c>
      <c r="Q375" s="982">
        <f t="shared" si="39"/>
        <v>19.344676739661935</v>
      </c>
      <c r="R375" s="6"/>
      <c r="S375" s="6"/>
      <c r="T375" s="6"/>
      <c r="U375" s="6"/>
      <c r="V375" s="6"/>
      <c r="W375" s="6"/>
      <c r="X375" s="6"/>
      <c r="Y375" s="6"/>
      <c r="Z375" s="6"/>
    </row>
    <row r="376" spans="1:26" s="93" customFormat="1" ht="15.75">
      <c r="A376" s="236">
        <v>285</v>
      </c>
      <c r="B376" s="233" t="s">
        <v>1328</v>
      </c>
      <c r="C376" s="886">
        <f>cходова!R376</f>
        <v>0.60304965901481644</v>
      </c>
      <c r="D376" s="886">
        <f>прибуд.!O376</f>
        <v>2.2465768033651877E-2</v>
      </c>
      <c r="E376" s="886">
        <f>гар.вода!M376+хол.вода!Q376+ц.о.!M376+каналізація!Q376+аварійні!I376+зварювальн!M376</f>
        <v>0.13964921876317232</v>
      </c>
      <c r="F376" s="886">
        <f>дератизац.!I376</f>
        <v>3.5396025092337465E-3</v>
      </c>
      <c r="G376" s="886">
        <f>димоканал!R376</f>
        <v>2.0129049337533921E-2</v>
      </c>
      <c r="H376" s="886">
        <f>'підготовка до зими'!M376+майстерні!M376+маляри!M376+покрівлі!O376</f>
        <v>0.22386481879699127</v>
      </c>
      <c r="I376" s="886">
        <f>електрики!R376</f>
        <v>1.6798028745010029E-2</v>
      </c>
      <c r="J376" s="989">
        <f t="shared" si="36"/>
        <v>1.0294961452004094</v>
      </c>
      <c r="K376" s="989">
        <v>2.5730915920269177E-2</v>
      </c>
      <c r="L376" s="994">
        <f t="shared" si="40"/>
        <v>1.0552270611206787</v>
      </c>
      <c r="M376" s="994">
        <f t="shared" si="37"/>
        <v>1.2662724733448143</v>
      </c>
      <c r="N376" s="995">
        <v>4</v>
      </c>
      <c r="O376" s="997">
        <v>1.0601137359150903</v>
      </c>
      <c r="P376" s="22">
        <f t="shared" si="38"/>
        <v>0.20615873742972401</v>
      </c>
      <c r="Q376" s="982">
        <f t="shared" si="39"/>
        <v>19.446850884520202</v>
      </c>
      <c r="R376" s="6"/>
      <c r="S376" s="6"/>
      <c r="T376" s="6"/>
      <c r="U376" s="6"/>
      <c r="V376" s="6"/>
      <c r="W376" s="6"/>
      <c r="X376" s="6"/>
      <c r="Y376" s="6"/>
      <c r="Z376" s="6"/>
    </row>
    <row r="377" spans="1:26" s="93" customFormat="1" ht="15.75">
      <c r="A377" s="236">
        <v>286</v>
      </c>
      <c r="B377" s="233" t="s">
        <v>1355</v>
      </c>
      <c r="C377" s="886">
        <f>cходова!R377</f>
        <v>0</v>
      </c>
      <c r="D377" s="886">
        <f>прибуд.!O377</f>
        <v>0</v>
      </c>
      <c r="E377" s="886">
        <f>гар.вода!M377+хол.вода!Q377+ц.о.!M377+каналізація!Q377+аварійні!I377+зварювальн!M377</f>
        <v>0.15024443601643889</v>
      </c>
      <c r="F377" s="886">
        <f>дератизац.!I377</f>
        <v>0</v>
      </c>
      <c r="G377" s="886">
        <f>димоканал!R377</f>
        <v>3.1138024353141492E-2</v>
      </c>
      <c r="H377" s="886">
        <f>'підготовка до зими'!M377+майстерні!M377+маляри!M377+покрівлі!O377</f>
        <v>8.9647718332951293E-2</v>
      </c>
      <c r="I377" s="886">
        <f>електрики!R377</f>
        <v>1.1429922332311437E-2</v>
      </c>
      <c r="J377" s="989">
        <f t="shared" si="36"/>
        <v>0.28246010103484309</v>
      </c>
      <c r="K377" s="989">
        <v>7.3514936072890894E-3</v>
      </c>
      <c r="L377" s="994">
        <f t="shared" si="40"/>
        <v>0.28981159464213219</v>
      </c>
      <c r="M377" s="994">
        <f t="shared" si="37"/>
        <v>0.34777391357055859</v>
      </c>
      <c r="N377" s="995">
        <v>1</v>
      </c>
      <c r="O377" s="997">
        <v>0.30288153662031053</v>
      </c>
      <c r="P377" s="22">
        <f t="shared" si="38"/>
        <v>4.4892376950248059E-2</v>
      </c>
      <c r="Q377" s="982">
        <f t="shared" si="39"/>
        <v>14.821760828070779</v>
      </c>
      <c r="R377" s="6"/>
      <c r="S377" s="6"/>
      <c r="T377" s="6"/>
      <c r="U377" s="6"/>
      <c r="V377" s="6"/>
      <c r="W377" s="6"/>
      <c r="X377" s="6"/>
      <c r="Y377" s="6"/>
      <c r="Z377" s="6"/>
    </row>
    <row r="378" spans="1:26" s="93" customFormat="1" ht="15.75">
      <c r="A378" s="236">
        <v>287</v>
      </c>
      <c r="B378" s="233" t="s">
        <v>1356</v>
      </c>
      <c r="C378" s="886">
        <f>cходова!R378</f>
        <v>1.0565405003386634</v>
      </c>
      <c r="D378" s="886">
        <f>прибуд.!O378</f>
        <v>4.1886495638629291E-2</v>
      </c>
      <c r="E378" s="886">
        <f>гар.вода!M378+хол.вода!Q378+ц.о.!M378+каналізація!Q378+аварійні!I378+зварювальн!M378</f>
        <v>0.18908592598601637</v>
      </c>
      <c r="F378" s="886">
        <f>дератизац.!I378</f>
        <v>0</v>
      </c>
      <c r="G378" s="886">
        <f>димоканал!R378</f>
        <v>3.8661744333527683E-2</v>
      </c>
      <c r="H378" s="886">
        <f>'підготовка до зими'!M378+майстерні!M378+маляри!M378+покрівлі!O378</f>
        <v>0.14487653865715944</v>
      </c>
      <c r="I378" s="886">
        <f>електрики!R378</f>
        <v>2.847513860450426E-2</v>
      </c>
      <c r="J378" s="989">
        <f t="shared" si="36"/>
        <v>1.4995263435585005</v>
      </c>
      <c r="K378" s="989">
        <v>3.7390023975059056E-2</v>
      </c>
      <c r="L378" s="994">
        <f t="shared" si="40"/>
        <v>1.5369163675335595</v>
      </c>
      <c r="M378" s="994">
        <f t="shared" si="37"/>
        <v>1.8442996410402714</v>
      </c>
      <c r="N378" s="995">
        <v>3</v>
      </c>
      <c r="O378" s="997">
        <v>1.5404689877724331</v>
      </c>
      <c r="P378" s="22">
        <f t="shared" si="38"/>
        <v>0.30383065326783831</v>
      </c>
      <c r="Q378" s="982">
        <f t="shared" si="39"/>
        <v>19.723256727627287</v>
      </c>
      <c r="R378" s="6"/>
      <c r="S378" s="6"/>
      <c r="T378" s="6"/>
      <c r="U378" s="6"/>
      <c r="V378" s="6"/>
      <c r="W378" s="6"/>
      <c r="X378" s="6"/>
      <c r="Y378" s="6"/>
      <c r="Z378" s="6"/>
    </row>
    <row r="379" spans="1:26" s="93" customFormat="1" ht="18.75" customHeight="1">
      <c r="A379" s="894">
        <v>288</v>
      </c>
      <c r="B379" s="233" t="s">
        <v>1357</v>
      </c>
      <c r="C379" s="886">
        <f>cходова!R379</f>
        <v>0.62541219654118319</v>
      </c>
      <c r="D379" s="886">
        <f>прибуд.!O379</f>
        <v>6.3790240326831851E-2</v>
      </c>
      <c r="E379" s="886">
        <f>гар.вода!M379+хол.вода!Q379+ц.о.!M379+каналізація!Q379+аварійні!I379+зварювальн!M379</f>
        <v>0.16382313869904075</v>
      </c>
      <c r="F379" s="886">
        <f>дератизац.!I379</f>
        <v>0</v>
      </c>
      <c r="G379" s="886">
        <f>димоканал!R379</f>
        <v>3.9002999988506412E-2</v>
      </c>
      <c r="H379" s="886">
        <f>'підготовка до зими'!M379+майстерні!M379+маляри!M379+покрівлі!O379</f>
        <v>0.14140521314945967</v>
      </c>
      <c r="I379" s="886">
        <f>електрики!R379</f>
        <v>2.0226805097295464E-2</v>
      </c>
      <c r="J379" s="989">
        <f t="shared" si="36"/>
        <v>1.0536605938023174</v>
      </c>
      <c r="K379" s="989">
        <v>2.6352439022676009E-2</v>
      </c>
      <c r="L379" s="994">
        <f t="shared" si="40"/>
        <v>1.0800130328249933</v>
      </c>
      <c r="M379" s="994">
        <f t="shared" si="37"/>
        <v>1.296015639389992</v>
      </c>
      <c r="N379" s="995">
        <v>3</v>
      </c>
      <c r="O379" s="997">
        <v>1.0857204877342514</v>
      </c>
      <c r="P379" s="22">
        <f t="shared" si="38"/>
        <v>0.21029515165574053</v>
      </c>
      <c r="Q379" s="982">
        <f t="shared" si="39"/>
        <v>19.369179639835068</v>
      </c>
      <c r="R379" s="6"/>
      <c r="S379" s="6"/>
      <c r="T379" s="6"/>
      <c r="U379" s="6"/>
      <c r="V379" s="6"/>
      <c r="W379" s="6"/>
      <c r="X379" s="6"/>
      <c r="Y379" s="6"/>
      <c r="Z379" s="6"/>
    </row>
    <row r="380" spans="1:26" s="363" customFormat="1" ht="18.75" customHeight="1">
      <c r="A380" s="236">
        <v>289</v>
      </c>
      <c r="B380" s="291" t="s">
        <v>1395</v>
      </c>
      <c r="C380" s="886">
        <f>cходова!R380</f>
        <v>0.15816310002210632</v>
      </c>
      <c r="D380" s="886">
        <f>прибуд.!O380</f>
        <v>0.34407765108382959</v>
      </c>
      <c r="E380" s="886">
        <f>гар.вода!M380+хол.вода!Q380+ц.о.!M380+каналізація!Q380+аварійні!I380+зварювальн!M380</f>
        <v>0.35865012370543797</v>
      </c>
      <c r="F380" s="886">
        <f>дератизац.!I380</f>
        <v>2.9937445641265805E-3</v>
      </c>
      <c r="G380" s="886">
        <f>димоканал!R380</f>
        <v>1.5041607119105934E-2</v>
      </c>
      <c r="H380" s="886">
        <f>'підготовка до зими'!M380+майстерні!M380+маляри!M380+покрівлі!O380</f>
        <v>0.15797217788553064</v>
      </c>
      <c r="I380" s="886">
        <f>електрики!R380</f>
        <v>2.5956101808098424E-2</v>
      </c>
      <c r="J380" s="989">
        <f t="shared" si="36"/>
        <v>1.0628545061882355</v>
      </c>
      <c r="K380" s="998">
        <v>0.03</v>
      </c>
      <c r="L380" s="994">
        <f t="shared" si="40"/>
        <v>1.0928545061882355</v>
      </c>
      <c r="M380" s="994">
        <f t="shared" si="37"/>
        <v>1.3114254074258826</v>
      </c>
      <c r="N380" s="995">
        <v>7</v>
      </c>
      <c r="O380" s="997">
        <v>1.0900000000000001</v>
      </c>
      <c r="P380" s="22">
        <f t="shared" si="38"/>
        <v>0.22142540742588257</v>
      </c>
      <c r="Q380" s="982">
        <f t="shared" si="39"/>
        <v>20.314257562007583</v>
      </c>
      <c r="R380" s="6"/>
      <c r="S380" s="6"/>
      <c r="T380" s="6"/>
      <c r="U380" s="6"/>
      <c r="V380" s="6"/>
      <c r="W380" s="6"/>
      <c r="X380" s="6"/>
      <c r="Y380" s="6"/>
      <c r="Z380" s="6"/>
    </row>
    <row r="381" spans="1:26" s="363" customFormat="1" ht="18.75" customHeight="1">
      <c r="A381" s="236">
        <v>290</v>
      </c>
      <c r="B381" s="900" t="s">
        <v>1396</v>
      </c>
      <c r="C381" s="886">
        <f>cходова!R381</f>
        <v>0</v>
      </c>
      <c r="D381" s="886">
        <f>прибуд.!O381</f>
        <v>0.21342571569694671</v>
      </c>
      <c r="E381" s="886">
        <f>гар.вода!M381+хол.вода!Q381+ц.о.!M381+каналізація!Q381+аварійні!I381+зварювальн!M381</f>
        <v>0.17000077319991899</v>
      </c>
      <c r="F381" s="886">
        <f>дератизац.!I381</f>
        <v>1.4602692964157029E-3</v>
      </c>
      <c r="G381" s="886">
        <f>димоканал!R381</f>
        <v>5.7689053816933032E-2</v>
      </c>
      <c r="H381" s="886">
        <f>'підготовка до зими'!M381+майстерні!M381+маляри!M381+покрівлі!O381</f>
        <v>0.25176433225233896</v>
      </c>
      <c r="I381" s="886">
        <f>електрики!R381</f>
        <v>2.2638746223906818E-2</v>
      </c>
      <c r="J381" s="989">
        <f t="shared" si="36"/>
        <v>0.71697889048646013</v>
      </c>
      <c r="K381" s="998">
        <v>0.01</v>
      </c>
      <c r="L381" s="994">
        <f t="shared" si="40"/>
        <v>0.72697889048646014</v>
      </c>
      <c r="M381" s="994">
        <f t="shared" si="37"/>
        <v>0.87237466858375212</v>
      </c>
      <c r="N381" s="995">
        <v>2</v>
      </c>
      <c r="O381" s="1013">
        <v>0.75</v>
      </c>
      <c r="P381" s="22">
        <f t="shared" si="38"/>
        <v>0.12237466858375212</v>
      </c>
      <c r="Q381" s="982">
        <f t="shared" si="39"/>
        <v>16.316622477833604</v>
      </c>
      <c r="R381" s="6"/>
      <c r="S381" s="6"/>
      <c r="T381" s="6"/>
      <c r="U381" s="6"/>
      <c r="V381" s="6"/>
      <c r="W381" s="6"/>
      <c r="X381" s="6"/>
      <c r="Y381" s="6"/>
      <c r="Z381" s="6"/>
    </row>
    <row r="382" spans="1:26" s="6" customFormat="1" ht="18.75" customHeight="1">
      <c r="A382" s="236">
        <v>291</v>
      </c>
      <c r="B382" s="301" t="s">
        <v>1400</v>
      </c>
      <c r="C382" s="886">
        <f>cходова!R382</f>
        <v>0.20229600535760886</v>
      </c>
      <c r="D382" s="886">
        <f>прибуд.!O382</f>
        <v>0.35325660624160005</v>
      </c>
      <c r="E382" s="886">
        <f>гар.вода!M382+хол.вода!Q382+ц.о.!M382+каналізація!Q382+аварійні!I382+зварювальн!M382</f>
        <v>0.16298168122610635</v>
      </c>
      <c r="F382" s="886">
        <f>дератизац.!I382</f>
        <v>3.5971207376478786E-3</v>
      </c>
      <c r="G382" s="886">
        <f>димоканал!R382</f>
        <v>1.6975531285432141E-3</v>
      </c>
      <c r="H382" s="886">
        <f>'підготовка до зими'!M382+майстерні!M382+маляри!M382+покрівлі!O382</f>
        <v>0.12107833567122706</v>
      </c>
      <c r="I382" s="886">
        <f>електрики!R382</f>
        <v>2.0767938211318834E-2</v>
      </c>
      <c r="J382" s="989">
        <f t="shared" si="36"/>
        <v>0.86567524057405221</v>
      </c>
      <c r="K382" s="998">
        <v>0.01</v>
      </c>
      <c r="L382" s="994">
        <f t="shared" si="40"/>
        <v>0.87567524057405222</v>
      </c>
      <c r="M382" s="994">
        <f t="shared" si="37"/>
        <v>1.0508102886888626</v>
      </c>
      <c r="N382" s="995">
        <v>9</v>
      </c>
      <c r="O382" s="1013">
        <v>0.95</v>
      </c>
      <c r="P382" s="22">
        <f t="shared" si="38"/>
        <v>0.10081028868886266</v>
      </c>
      <c r="Q382" s="982">
        <f t="shared" si="39"/>
        <v>10.611609335669755</v>
      </c>
    </row>
    <row r="383" spans="1:26" s="6" customFormat="1" ht="18.75" customHeight="1">
      <c r="A383" s="236">
        <v>292</v>
      </c>
      <c r="B383" s="901" t="s">
        <v>1401</v>
      </c>
      <c r="C383" s="886">
        <f>cходова!R383</f>
        <v>0.65133336026212707</v>
      </c>
      <c r="D383" s="886">
        <f>прибуд.!O383</f>
        <v>0.61621677372180439</v>
      </c>
      <c r="E383" s="886">
        <f>гар.вода!M383+хол.вода!Q383+ц.о.!M383+каналізація!Q383+аварійні!I383+зварювальн!M383</f>
        <v>0.16569738869980841</v>
      </c>
      <c r="F383" s="886">
        <f>дератизац.!I383</f>
        <v>1.9736842105263159E-3</v>
      </c>
      <c r="G383" s="886">
        <f>димоканал!R383</f>
        <v>1.0733026276622913E-2</v>
      </c>
      <c r="H383" s="886">
        <f>'підготовка до зими'!M383+майстерні!M383+маляри!M383+покрівлі!O383</f>
        <v>0.20953814485905325</v>
      </c>
      <c r="I383" s="886">
        <f>електрики!R383</f>
        <v>1.605637234931203E-2</v>
      </c>
      <c r="J383" s="989">
        <f t="shared" si="36"/>
        <v>1.6715487503792543</v>
      </c>
      <c r="K383" s="998">
        <v>0.03</v>
      </c>
      <c r="L383" s="994">
        <f t="shared" si="40"/>
        <v>1.7015487503792543</v>
      </c>
      <c r="M383" s="994">
        <f t="shared" si="37"/>
        <v>2.0418585004551053</v>
      </c>
      <c r="N383" s="995">
        <v>3</v>
      </c>
      <c r="O383" s="1013">
        <v>1.68</v>
      </c>
      <c r="P383" s="22">
        <f t="shared" si="38"/>
        <v>0.36185850045510537</v>
      </c>
      <c r="Q383" s="982">
        <f t="shared" si="39"/>
        <v>21.539196455661028</v>
      </c>
    </row>
    <row r="384" spans="1:26" s="93" customFormat="1" ht="18.75" customHeight="1" thickBot="1">
      <c r="A384" s="902"/>
      <c r="B384" s="903" t="s">
        <v>1409</v>
      </c>
      <c r="C384" s="773">
        <f t="shared" ref="C384:I384" si="41">SUM(C92:C383)/292</f>
        <v>0.37570026544503854</v>
      </c>
      <c r="D384" s="773">
        <f>SUM(D92:D383)/292</f>
        <v>0.21700515725166164</v>
      </c>
      <c r="E384" s="773">
        <f t="shared" si="41"/>
        <v>0.18265829908593911</v>
      </c>
      <c r="F384" s="773">
        <f t="shared" si="41"/>
        <v>5.4824644461536126E-3</v>
      </c>
      <c r="G384" s="773">
        <f t="shared" si="41"/>
        <v>3.7449537371094618E-2</v>
      </c>
      <c r="H384" s="773">
        <f>SUM(H92:H383)/292</f>
        <v>0.20159758187758814</v>
      </c>
      <c r="I384" s="773">
        <f t="shared" si="41"/>
        <v>2.1250564199972944E-2</v>
      </c>
      <c r="J384" s="998">
        <f>SUM(J92:J383)/292</f>
        <v>1.0411438696774482</v>
      </c>
      <c r="K384" s="998">
        <f>SUM(K92:K383)/292</f>
        <v>2.6019075303367129E-2</v>
      </c>
      <c r="L384" s="998">
        <f>SUM(L92:L383)/292</f>
        <v>1.0671629449808151</v>
      </c>
      <c r="M384" s="998">
        <f>SUM(M92:M383)/292</f>
        <v>1.2805955339769779</v>
      </c>
      <c r="N384" s="528"/>
      <c r="O384" s="1003"/>
      <c r="P384" s="22">
        <f>AVERAGE(P92:P383)</f>
        <v>0.20458908353304742</v>
      </c>
      <c r="Q384" s="982"/>
      <c r="R384" s="6"/>
      <c r="S384" s="6"/>
      <c r="T384" s="6"/>
      <c r="U384" s="6"/>
      <c r="V384" s="6"/>
      <c r="W384" s="6"/>
      <c r="X384" s="6"/>
      <c r="Y384" s="6"/>
      <c r="Z384" s="6"/>
    </row>
    <row r="385" spans="1:26" s="269" customFormat="1" ht="21" thickBot="1">
      <c r="A385" s="1029" t="s">
        <v>599</v>
      </c>
      <c r="B385" s="1030"/>
      <c r="C385" s="1030"/>
      <c r="D385" s="1030"/>
      <c r="E385" s="1030"/>
      <c r="F385" s="1030"/>
      <c r="G385" s="1030"/>
      <c r="H385" s="1030"/>
      <c r="I385" s="1030"/>
      <c r="J385" s="1030"/>
      <c r="K385" s="1030"/>
      <c r="L385" s="1030"/>
      <c r="M385" s="1031"/>
      <c r="N385" s="990"/>
      <c r="O385" s="1008"/>
      <c r="P385" s="22"/>
      <c r="Q385" s="982"/>
      <c r="R385" s="893"/>
      <c r="S385" s="893"/>
      <c r="T385" s="893"/>
      <c r="U385" s="893"/>
      <c r="V385" s="893"/>
      <c r="W385" s="893"/>
      <c r="X385" s="893"/>
      <c r="Y385" s="893"/>
      <c r="Z385" s="893"/>
    </row>
    <row r="386" spans="1:26" s="93" customFormat="1" ht="15.75">
      <c r="A386" s="905">
        <v>1</v>
      </c>
      <c r="B386" s="284" t="s">
        <v>212</v>
      </c>
      <c r="C386" s="886">
        <f>cходова!R386</f>
        <v>0.65121628441136803</v>
      </c>
      <c r="D386" s="886">
        <f>прибуд.!O386</f>
        <v>0.47815519090043296</v>
      </c>
      <c r="E386" s="886">
        <f>гар.вода!M386+хол.вода!Q386+ц.о.!M386+каналізація!Q386+аварійні!I386+зварювальн!M386</f>
        <v>0.27242316176067299</v>
      </c>
      <c r="F386" s="886">
        <f>дератизац.!I386</f>
        <v>2.4710743801652896E-3</v>
      </c>
      <c r="G386" s="886">
        <f>димоканал!R386</f>
        <v>9.0362651994505567E-3</v>
      </c>
      <c r="H386" s="886">
        <f>'підготовка до зими'!M386+майстерні!M386+маляри!M387+покрівлі!O386</f>
        <v>0.12566596389083656</v>
      </c>
      <c r="I386" s="886">
        <f>електрики!R386</f>
        <v>1.2863187697938263E-2</v>
      </c>
      <c r="J386" s="994">
        <f t="shared" ref="J386:J417" si="42">I386+H386+G386+F386+E386+D386+C386</f>
        <v>1.5518311282408646</v>
      </c>
      <c r="K386" s="994">
        <v>3.8935192403684857E-2</v>
      </c>
      <c r="L386" s="994">
        <f>J386+K386</f>
        <v>1.5907663206445495</v>
      </c>
      <c r="M386" s="994">
        <f t="shared" ref="M386:M417" si="43">L386*1.2</f>
        <v>1.9089195847734592</v>
      </c>
      <c r="N386" s="995">
        <v>5</v>
      </c>
      <c r="O386" s="997">
        <v>1.6041299270318163</v>
      </c>
      <c r="P386" s="22">
        <f t="shared" ref="P386:P417" si="44">M386-O386</f>
        <v>0.30478965774164291</v>
      </c>
      <c r="Q386" s="982">
        <f t="shared" ref="Q386:Q417" si="45">M386/O386*100-100</f>
        <v>19.000309925369137</v>
      </c>
      <c r="R386" s="6"/>
      <c r="S386" s="6"/>
      <c r="T386" s="6"/>
      <c r="U386" s="6"/>
      <c r="V386" s="6"/>
      <c r="W386" s="6"/>
      <c r="X386" s="6"/>
      <c r="Y386" s="6"/>
      <c r="Z386" s="6"/>
    </row>
    <row r="387" spans="1:26" s="93" customFormat="1" ht="15.75">
      <c r="A387" s="906">
        <v>2</v>
      </c>
      <c r="B387" s="285" t="s">
        <v>213</v>
      </c>
      <c r="C387" s="886">
        <f>cходова!R387</f>
        <v>0.69357513575481533</v>
      </c>
      <c r="D387" s="886">
        <f>прибуд.!O387</f>
        <v>0.3656658504510224</v>
      </c>
      <c r="E387" s="886">
        <f>гар.вода!M387+хол.вода!Q387+ц.о.!M387+каналізація!Q387+аварійні!I387+зварювальн!M387</f>
        <v>0.27750846262554635</v>
      </c>
      <c r="F387" s="886">
        <f>дератизац.!I387</f>
        <v>2.8469962701372907E-3</v>
      </c>
      <c r="G387" s="886">
        <f>димоканал!R387</f>
        <v>5.9337293819153357E-3</v>
      </c>
      <c r="H387" s="886">
        <f>'підготовка до зими'!M387+майстерні!M387+маляри!M388+покрівлі!O387</f>
        <v>0.12241670309565045</v>
      </c>
      <c r="I387" s="886">
        <f>електрики!R387</f>
        <v>1.3586939787283411E-2</v>
      </c>
      <c r="J387" s="989">
        <f t="shared" si="42"/>
        <v>1.4815338173663706</v>
      </c>
      <c r="K387" s="989">
        <v>3.8207182668243578E-2</v>
      </c>
      <c r="L387" s="994">
        <f t="shared" ref="L387:L450" si="46">J387+K387</f>
        <v>1.5197410000346141</v>
      </c>
      <c r="M387" s="994">
        <f t="shared" si="43"/>
        <v>1.8236892000415368</v>
      </c>
      <c r="N387" s="995">
        <v>9</v>
      </c>
      <c r="O387" s="997">
        <v>1.5741359259316354</v>
      </c>
      <c r="P387" s="22">
        <f t="shared" si="44"/>
        <v>0.24955327410990136</v>
      </c>
      <c r="Q387" s="982">
        <f t="shared" si="45"/>
        <v>15.853349764710174</v>
      </c>
      <c r="R387" s="6"/>
      <c r="S387" s="6"/>
      <c r="T387" s="6"/>
      <c r="U387" s="6"/>
      <c r="V387" s="6"/>
      <c r="W387" s="6"/>
      <c r="X387" s="6"/>
      <c r="Y387" s="6"/>
      <c r="Z387" s="6"/>
    </row>
    <row r="388" spans="1:26" s="93" customFormat="1" ht="15.75">
      <c r="A388" s="906">
        <v>3</v>
      </c>
      <c r="B388" s="285" t="s">
        <v>214</v>
      </c>
      <c r="C388" s="886">
        <f>cходова!R388</f>
        <v>0</v>
      </c>
      <c r="D388" s="886">
        <f>прибуд.!O388</f>
        <v>0.43958232700221644</v>
      </c>
      <c r="E388" s="886">
        <f>гар.вода!M388+хол.вода!Q388+ц.о.!M388+каналізація!Q388+аварійні!I388+зварювальн!M388</f>
        <v>0.27841860902613635</v>
      </c>
      <c r="F388" s="886">
        <f>дератизац.!I388</f>
        <v>2.8741387598141322E-3</v>
      </c>
      <c r="G388" s="886">
        <f>димоканал!R388</f>
        <v>5.9902999472452451E-3</v>
      </c>
      <c r="H388" s="886">
        <f>'підготовка до зими'!M388+майстерні!M388+маляри!M389+покрівлі!O388</f>
        <v>0.1185217120815017</v>
      </c>
      <c r="I388" s="886">
        <f>електрики!R388</f>
        <v>1.3716473983300614E-2</v>
      </c>
      <c r="J388" s="1000">
        <f t="shared" si="42"/>
        <v>0.85910356080021444</v>
      </c>
      <c r="K388" s="1000">
        <v>2.1807527611233044E-2</v>
      </c>
      <c r="L388" s="994">
        <f t="shared" si="46"/>
        <v>0.8809110884114475</v>
      </c>
      <c r="M388" s="1009">
        <f t="shared" si="43"/>
        <v>1.0570933060937369</v>
      </c>
      <c r="N388" s="995">
        <v>9</v>
      </c>
      <c r="O388" s="997">
        <v>0.89847013758280136</v>
      </c>
      <c r="P388" s="22">
        <f t="shared" si="44"/>
        <v>0.1586231685109355</v>
      </c>
      <c r="Q388" s="982">
        <f t="shared" si="45"/>
        <v>17.654806974184737</v>
      </c>
      <c r="R388" s="6"/>
      <c r="S388" s="6"/>
      <c r="T388" s="6"/>
      <c r="U388" s="6"/>
      <c r="V388" s="6"/>
      <c r="W388" s="6"/>
      <c r="X388" s="6"/>
      <c r="Y388" s="6"/>
      <c r="Z388" s="6"/>
    </row>
    <row r="389" spans="1:26" s="93" customFormat="1" ht="15.75">
      <c r="A389" s="906">
        <v>4</v>
      </c>
      <c r="B389" s="285" t="s">
        <v>215</v>
      </c>
      <c r="C389" s="886">
        <f>cходова!R389</f>
        <v>0.67622502155656905</v>
      </c>
      <c r="D389" s="886">
        <f>прибуд.!O389</f>
        <v>0.22233052671202672</v>
      </c>
      <c r="E389" s="886">
        <f>гар.вода!M389+хол.вода!Q389+ц.о.!M389+каналізація!Q389+аварійні!I389+зварювальн!M389</f>
        <v>0.304112763596812</v>
      </c>
      <c r="F389" s="886">
        <f>дератизац.!I389</f>
        <v>3.0219960604070911E-3</v>
      </c>
      <c r="G389" s="886">
        <f>димоканал!R389</f>
        <v>5.5086348750476464E-3</v>
      </c>
      <c r="H389" s="886">
        <f>'підготовка до зими'!M389+майстерні!M389+маляри!M390+покрівлі!O389</f>
        <v>0.11460116801800127</v>
      </c>
      <c r="I389" s="886">
        <f>електрики!R389</f>
        <v>1.7373327048364418E-2</v>
      </c>
      <c r="J389" s="989">
        <f t="shared" si="42"/>
        <v>1.3431734378672282</v>
      </c>
      <c r="K389" s="989">
        <v>3.397940929975956E-2</v>
      </c>
      <c r="L389" s="994">
        <f t="shared" si="46"/>
        <v>1.3771528471669878</v>
      </c>
      <c r="M389" s="994">
        <f t="shared" si="43"/>
        <v>1.6525834166003854</v>
      </c>
      <c r="N389" s="995">
        <v>9</v>
      </c>
      <c r="O389" s="997">
        <v>1.3999516631500939</v>
      </c>
      <c r="P389" s="22">
        <f t="shared" si="44"/>
        <v>0.25263175345029154</v>
      </c>
      <c r="Q389" s="982">
        <f t="shared" si="45"/>
        <v>18.045748299754408</v>
      </c>
      <c r="R389" s="6"/>
      <c r="S389" s="6"/>
      <c r="T389" s="6"/>
      <c r="U389" s="6"/>
      <c r="V389" s="6"/>
      <c r="W389" s="6"/>
      <c r="X389" s="6"/>
      <c r="Y389" s="6"/>
      <c r="Z389" s="6"/>
    </row>
    <row r="390" spans="1:26" s="93" customFormat="1" ht="15.75">
      <c r="A390" s="906">
        <v>5</v>
      </c>
      <c r="B390" s="285" t="s">
        <v>216</v>
      </c>
      <c r="C390" s="886">
        <f>cходова!R390</f>
        <v>0.66582885000872483</v>
      </c>
      <c r="D390" s="886">
        <f>прибуд.!O390</f>
        <v>0.4372832759661926</v>
      </c>
      <c r="E390" s="886">
        <f>гар.вода!M390+хол.вода!Q390+ц.о.!M390+каналізація!Q390+аварійні!I390+зварювальн!M390</f>
        <v>0.2756352706458492</v>
      </c>
      <c r="F390" s="886">
        <f>дератизац.!I390</f>
        <v>2.7911337254535834E-3</v>
      </c>
      <c r="G390" s="886">
        <f>димоканал!R390</f>
        <v>5.8173002786477412E-3</v>
      </c>
      <c r="H390" s="886">
        <f>'підготовка до зими'!M390+майстерні!M390+маляри!M391+покрівлі!O390</f>
        <v>0.11840074408041808</v>
      </c>
      <c r="I390" s="886">
        <f>електрики!R390</f>
        <v>1.3320342658603169E-2</v>
      </c>
      <c r="J390" s="989">
        <f t="shared" si="42"/>
        <v>1.5190769173638892</v>
      </c>
      <c r="K390" s="989">
        <v>3.8600637661761167E-2</v>
      </c>
      <c r="L390" s="994">
        <f t="shared" si="46"/>
        <v>1.5576775550256503</v>
      </c>
      <c r="M390" s="994">
        <f t="shared" si="43"/>
        <v>1.8692130660307802</v>
      </c>
      <c r="N390" s="995">
        <v>9</v>
      </c>
      <c r="O390" s="997">
        <v>1.59034627166456</v>
      </c>
      <c r="P390" s="22">
        <f t="shared" si="44"/>
        <v>0.27886679436622019</v>
      </c>
      <c r="Q390" s="982">
        <f t="shared" si="45"/>
        <v>17.534973315864107</v>
      </c>
      <c r="R390" s="6"/>
      <c r="S390" s="6"/>
      <c r="T390" s="6"/>
      <c r="U390" s="6"/>
      <c r="V390" s="6"/>
      <c r="W390" s="6"/>
      <c r="X390" s="6"/>
      <c r="Y390" s="6"/>
      <c r="Z390" s="6"/>
    </row>
    <row r="391" spans="1:26" s="93" customFormat="1" ht="15.75">
      <c r="A391" s="906">
        <v>6</v>
      </c>
      <c r="B391" s="285" t="s">
        <v>217</v>
      </c>
      <c r="C391" s="886">
        <f>cходова!R391</f>
        <v>0.6674599532279033</v>
      </c>
      <c r="D391" s="886">
        <f>прибуд.!O391</f>
        <v>0.24972692130444876</v>
      </c>
      <c r="E391" s="886">
        <f>гар.вода!M391+хол.вода!Q391+ц.о.!M391+каналізація!Q391+аварійні!I391+зварювальн!M391</f>
        <v>0.30062857254658665</v>
      </c>
      <c r="F391" s="886">
        <f>дератизац.!I391</f>
        <v>2.5153947222617975E-3</v>
      </c>
      <c r="G391" s="886">
        <f>димоканал!R391</f>
        <v>5.7783382915961501E-3</v>
      </c>
      <c r="H391" s="886">
        <f>'підготовка до зими'!M391+майстерні!M391+маляри!M392+покрівлі!O391</f>
        <v>0.11661333649099752</v>
      </c>
      <c r="I391" s="886">
        <f>електрики!R391</f>
        <v>1.727422735488679E-2</v>
      </c>
      <c r="J391" s="989">
        <f t="shared" si="42"/>
        <v>1.3599967439386811</v>
      </c>
      <c r="K391" s="989">
        <v>3.427991930827478E-2</v>
      </c>
      <c r="L391" s="994">
        <f t="shared" si="46"/>
        <v>1.3942766632469559</v>
      </c>
      <c r="M391" s="994">
        <f t="shared" si="43"/>
        <v>1.6731319958963471</v>
      </c>
      <c r="N391" s="995">
        <v>9</v>
      </c>
      <c r="O391" s="997">
        <v>1.4123326755009209</v>
      </c>
      <c r="P391" s="22">
        <f t="shared" si="44"/>
        <v>0.26079932039542619</v>
      </c>
      <c r="Q391" s="982">
        <f t="shared" si="45"/>
        <v>18.465856162601838</v>
      </c>
      <c r="R391" s="6"/>
      <c r="S391" s="6"/>
      <c r="T391" s="6"/>
      <c r="U391" s="6"/>
      <c r="V391" s="6"/>
      <c r="W391" s="6"/>
      <c r="X391" s="6"/>
      <c r="Y391" s="6"/>
      <c r="Z391" s="6"/>
    </row>
    <row r="392" spans="1:26" s="93" customFormat="1" ht="15.75">
      <c r="A392" s="905">
        <v>7</v>
      </c>
      <c r="B392" s="285" t="s">
        <v>218</v>
      </c>
      <c r="C392" s="886">
        <f>cходова!R392</f>
        <v>0</v>
      </c>
      <c r="D392" s="886">
        <f>прибуд.!O392</f>
        <v>0.21792064915795037</v>
      </c>
      <c r="E392" s="886">
        <f>гар.вода!M392+хол.вода!Q392+ц.о.!M392+каналізація!Q392+аварійні!I392+зварювальн!M392</f>
        <v>0.30203418322279646</v>
      </c>
      <c r="F392" s="886">
        <f>дератизац.!I392</f>
        <v>2.5452099117425639E-3</v>
      </c>
      <c r="G392" s="886">
        <f>димоканал!R392</f>
        <v>5.846829431186756E-3</v>
      </c>
      <c r="H392" s="886">
        <f>'підготовка до зими'!M392+майстерні!M392+маляри!M393+покрівлі!O392</f>
        <v>0.11625716072296172</v>
      </c>
      <c r="I392" s="886">
        <f>електрики!R392</f>
        <v>1.727422735488679E-2</v>
      </c>
      <c r="J392" s="1000">
        <f t="shared" si="42"/>
        <v>0.6618782598015247</v>
      </c>
      <c r="K392" s="1000">
        <v>1.6944883702987405E-2</v>
      </c>
      <c r="L392" s="994">
        <f t="shared" si="46"/>
        <v>0.67882314350451212</v>
      </c>
      <c r="M392" s="1009">
        <f t="shared" si="43"/>
        <v>0.81458777220541456</v>
      </c>
      <c r="N392" s="995">
        <v>9</v>
      </c>
      <c r="O392" s="997">
        <v>0.69812920856308114</v>
      </c>
      <c r="P392" s="22">
        <f t="shared" si="44"/>
        <v>0.11645856364233342</v>
      </c>
      <c r="Q392" s="982">
        <f t="shared" si="45"/>
        <v>16.681520012897508</v>
      </c>
      <c r="R392" s="6"/>
      <c r="S392" s="6"/>
      <c r="T392" s="6"/>
      <c r="U392" s="6"/>
      <c r="V392" s="6"/>
      <c r="W392" s="6"/>
      <c r="X392" s="6"/>
      <c r="Y392" s="6"/>
      <c r="Z392" s="6"/>
    </row>
    <row r="393" spans="1:26" s="93" customFormat="1" ht="15.75">
      <c r="A393" s="905">
        <v>8</v>
      </c>
      <c r="B393" s="285" t="s">
        <v>219</v>
      </c>
      <c r="C393" s="886">
        <f>cходова!R393</f>
        <v>0</v>
      </c>
      <c r="D393" s="886">
        <f>прибуд.!O393</f>
        <v>0.41041200633996938</v>
      </c>
      <c r="E393" s="886">
        <f>гар.вода!M393+хол.вода!Q393+ц.о.!M393+каналізація!Q393+аварійні!I393+зварювальн!M393</f>
        <v>0.27973573551518327</v>
      </c>
      <c r="F393" s="886">
        <f>дератизац.!I393</f>
        <v>3.1176620724859628E-3</v>
      </c>
      <c r="G393" s="886">
        <f>димоканал!R393</f>
        <v>9.0160403156256588E-3</v>
      </c>
      <c r="H393" s="886">
        <f>'підготовка до зими'!M393+майстерні!M393+маляри!M394+покрівлі!O393</f>
        <v>0.1457931262092847</v>
      </c>
      <c r="I393" s="886">
        <f>електрики!R393</f>
        <v>1.3903930551497842E-2</v>
      </c>
      <c r="J393" s="1000">
        <f t="shared" si="42"/>
        <v>0.86197850100404683</v>
      </c>
      <c r="K393" s="1000">
        <v>2.1274294983295739E-2</v>
      </c>
      <c r="L393" s="994">
        <f t="shared" si="46"/>
        <v>0.88325279598734252</v>
      </c>
      <c r="M393" s="1009">
        <f t="shared" si="43"/>
        <v>1.0599033551848109</v>
      </c>
      <c r="N393" s="995">
        <v>5</v>
      </c>
      <c r="O393" s="997">
        <v>0.87650095331178446</v>
      </c>
      <c r="P393" s="22">
        <f t="shared" si="44"/>
        <v>0.18340240187302648</v>
      </c>
      <c r="Q393" s="982">
        <f t="shared" si="45"/>
        <v>20.9243813346758</v>
      </c>
      <c r="R393" s="6"/>
      <c r="S393" s="6"/>
      <c r="T393" s="6"/>
      <c r="U393" s="6"/>
      <c r="V393" s="6"/>
      <c r="W393" s="6"/>
      <c r="X393" s="6"/>
      <c r="Y393" s="6"/>
      <c r="Z393" s="6"/>
    </row>
    <row r="394" spans="1:26" s="93" customFormat="1" ht="15.75">
      <c r="A394" s="906">
        <v>9</v>
      </c>
      <c r="B394" s="285" t="s">
        <v>220</v>
      </c>
      <c r="C394" s="886">
        <f>cходова!R394</f>
        <v>0</v>
      </c>
      <c r="D394" s="886">
        <f>прибуд.!O394</f>
        <v>0.48011033684702992</v>
      </c>
      <c r="E394" s="886">
        <f>гар.вода!M394+хол.вода!Q394+ц.о.!M394+каналізація!Q394+аварійні!I394+зварювальн!M394</f>
        <v>0.27039940312411126</v>
      </c>
      <c r="F394" s="886">
        <f>дератизац.!I394</f>
        <v>2.4157433056325025E-3</v>
      </c>
      <c r="G394" s="886">
        <f>димоканал!R394</f>
        <v>8.1543965735506301E-3</v>
      </c>
      <c r="H394" s="886">
        <f>'підготовка до зими'!M394+майстерні!M394+маляри!M395+покрівлі!O394</f>
        <v>0.15335488011732534</v>
      </c>
      <c r="I394" s="886">
        <f>електрики!R394</f>
        <v>1.2575161565274363E-2</v>
      </c>
      <c r="J394" s="1000">
        <f t="shared" si="42"/>
        <v>0.92700992153292394</v>
      </c>
      <c r="K394" s="1000">
        <v>2.3260996603079703E-2</v>
      </c>
      <c r="L394" s="994">
        <f t="shared" si="46"/>
        <v>0.95027091813600362</v>
      </c>
      <c r="M394" s="1009">
        <f t="shared" si="43"/>
        <v>1.1403251017632043</v>
      </c>
      <c r="N394" s="995">
        <v>5</v>
      </c>
      <c r="O394" s="997">
        <v>0.9583530600468837</v>
      </c>
      <c r="P394" s="22">
        <f t="shared" si="44"/>
        <v>0.18197204171632064</v>
      </c>
      <c r="Q394" s="982">
        <f t="shared" si="45"/>
        <v>18.987996105257736</v>
      </c>
      <c r="R394" s="6"/>
      <c r="S394" s="6"/>
      <c r="T394" s="6"/>
      <c r="U394" s="6"/>
      <c r="V394" s="6"/>
      <c r="W394" s="6"/>
      <c r="X394" s="6"/>
      <c r="Y394" s="6"/>
      <c r="Z394" s="6"/>
    </row>
    <row r="395" spans="1:26" s="93" customFormat="1" ht="15.75">
      <c r="A395" s="906">
        <v>10</v>
      </c>
      <c r="B395" s="285" t="s">
        <v>221</v>
      </c>
      <c r="C395" s="886">
        <f>cходова!R395</f>
        <v>0.70079204875655954</v>
      </c>
      <c r="D395" s="886">
        <f>прибуд.!O395</f>
        <v>0.42904775423080205</v>
      </c>
      <c r="E395" s="886">
        <f>гар.вода!M395+хол.вода!Q395+ц.о.!M395+каналізація!Q395+аварійні!I395+зварювальн!M395</f>
        <v>0.27991058913838823</v>
      </c>
      <c r="F395" s="886">
        <f>дератизац.!I395</f>
        <v>3.1232421375607267E-3</v>
      </c>
      <c r="G395" s="886">
        <f>димоканал!R395</f>
        <v>9.0321774371315087E-3</v>
      </c>
      <c r="H395" s="886">
        <f>'підготовка до зими'!M395+майстерні!M395+маляри!M396+покрівлі!O395</f>
        <v>0.13715530748135835</v>
      </c>
      <c r="I395" s="886">
        <f>електрики!R395</f>
        <v>1.3928816134177588E-2</v>
      </c>
      <c r="J395" s="989">
        <f t="shared" si="42"/>
        <v>1.572989935315978</v>
      </c>
      <c r="K395" s="989">
        <v>3.8728904040713129E-2</v>
      </c>
      <c r="L395" s="994">
        <f t="shared" si="46"/>
        <v>1.611718839356691</v>
      </c>
      <c r="M395" s="994">
        <f t="shared" si="43"/>
        <v>1.9340626072280291</v>
      </c>
      <c r="N395" s="995">
        <v>5</v>
      </c>
      <c r="O395" s="997">
        <v>1.5956308464773807</v>
      </c>
      <c r="P395" s="22">
        <f t="shared" si="44"/>
        <v>0.3384317607506484</v>
      </c>
      <c r="Q395" s="982">
        <f t="shared" si="45"/>
        <v>21.209903374442305</v>
      </c>
      <c r="R395" s="6"/>
      <c r="S395" s="6"/>
      <c r="T395" s="6"/>
      <c r="U395" s="6"/>
      <c r="V395" s="6"/>
      <c r="W395" s="6"/>
      <c r="X395" s="6"/>
      <c r="Y395" s="6"/>
      <c r="Z395" s="6"/>
    </row>
    <row r="396" spans="1:26" s="93" customFormat="1" ht="15.75">
      <c r="A396" s="906">
        <v>11</v>
      </c>
      <c r="B396" s="285" t="s">
        <v>222</v>
      </c>
      <c r="C396" s="886">
        <f>cходова!R396</f>
        <v>0.26698279384147905</v>
      </c>
      <c r="D396" s="886">
        <f>прибуд.!O396</f>
        <v>0.50311730972089075</v>
      </c>
      <c r="E396" s="886">
        <f>гар.вода!M396+хол.вода!Q396+ц.о.!M396+каналізація!Q396+аварійні!I396+зварювальн!M396</f>
        <v>0.37861635635859359</v>
      </c>
      <c r="F396" s="886">
        <f>дератизац.!I396</f>
        <v>2.7366686638705816E-3</v>
      </c>
      <c r="G396" s="886">
        <f>димоканал!R396</f>
        <v>1.8519616663896742E-2</v>
      </c>
      <c r="H396" s="886">
        <f>'підготовка до зими'!M396+майстерні!M396+маляри!M397+покрівлі!O396</f>
        <v>0.17209798708010543</v>
      </c>
      <c r="I396" s="886">
        <f>електрики!R396</f>
        <v>2.7976855208817195E-2</v>
      </c>
      <c r="J396" s="989">
        <f t="shared" si="42"/>
        <v>1.3700475875376534</v>
      </c>
      <c r="K396" s="989">
        <v>3.4545124736532325E-2</v>
      </c>
      <c r="L396" s="994">
        <f t="shared" si="46"/>
        <v>1.4045927122741857</v>
      </c>
      <c r="M396" s="994">
        <f t="shared" si="43"/>
        <v>1.6855112547290227</v>
      </c>
      <c r="N396" s="995">
        <v>5</v>
      </c>
      <c r="O396" s="997">
        <v>1.4232591391451319</v>
      </c>
      <c r="P396" s="22">
        <f t="shared" si="44"/>
        <v>0.26225211558389083</v>
      </c>
      <c r="Q396" s="982">
        <f t="shared" si="45"/>
        <v>18.426167685907885</v>
      </c>
      <c r="R396" s="6"/>
      <c r="S396" s="6"/>
      <c r="T396" s="6"/>
      <c r="U396" s="6"/>
      <c r="V396" s="6"/>
      <c r="W396" s="6"/>
      <c r="X396" s="6"/>
      <c r="Y396" s="6"/>
      <c r="Z396" s="6"/>
    </row>
    <row r="397" spans="1:26" s="93" customFormat="1" ht="15.75">
      <c r="A397" s="906">
        <v>12</v>
      </c>
      <c r="B397" s="285" t="s">
        <v>223</v>
      </c>
      <c r="C397" s="886">
        <f>cходова!R397</f>
        <v>0.26578841808614884</v>
      </c>
      <c r="D397" s="886">
        <f>прибуд.!O397</f>
        <v>0.53703021187444078</v>
      </c>
      <c r="E397" s="886">
        <f>гар.вода!M397+хол.вода!Q397+ц.о.!M397+каналізація!Q397+аварійні!I397+зварювальн!M397</f>
        <v>0.37773696251112737</v>
      </c>
      <c r="F397" s="886">
        <f>дератизац.!I397</f>
        <v>2.7244258872651363E-3</v>
      </c>
      <c r="G397" s="886">
        <f>димоканал!R397</f>
        <v>1.8436767200741822E-2</v>
      </c>
      <c r="H397" s="886">
        <f>'підготовка до зими'!M397+майстерні!M397+маляри!M398+покрівлі!O397</f>
        <v>0.14750093224874816</v>
      </c>
      <c r="I397" s="886">
        <f>електрики!R397</f>
        <v>2.7851697789153532E-2</v>
      </c>
      <c r="J397" s="989">
        <f t="shared" si="42"/>
        <v>1.3770694155976257</v>
      </c>
      <c r="K397" s="989">
        <v>3.4703780484560874E-2</v>
      </c>
      <c r="L397" s="994">
        <f t="shared" si="46"/>
        <v>1.4117731960821867</v>
      </c>
      <c r="M397" s="994">
        <f t="shared" si="43"/>
        <v>1.694127835298624</v>
      </c>
      <c r="N397" s="995">
        <v>5</v>
      </c>
      <c r="O397" s="997">
        <v>1.4297957559639081</v>
      </c>
      <c r="P397" s="22">
        <f t="shared" si="44"/>
        <v>0.26433207933471592</v>
      </c>
      <c r="Q397" s="982">
        <f t="shared" si="45"/>
        <v>18.487401311141411</v>
      </c>
      <c r="R397" s="6"/>
      <c r="S397" s="6"/>
      <c r="T397" s="6"/>
      <c r="U397" s="6"/>
      <c r="V397" s="6"/>
      <c r="W397" s="6"/>
      <c r="X397" s="6"/>
      <c r="Y397" s="6"/>
      <c r="Z397" s="6"/>
    </row>
    <row r="398" spans="1:26" s="93" customFormat="1" ht="15.75">
      <c r="A398" s="906">
        <v>13</v>
      </c>
      <c r="B398" s="285" t="s">
        <v>224</v>
      </c>
      <c r="C398" s="886">
        <f>cходова!R398</f>
        <v>0.57327599721075828</v>
      </c>
      <c r="D398" s="886">
        <f>прибуд.!O398</f>
        <v>0.55324527637506171</v>
      </c>
      <c r="E398" s="886">
        <f>гар.вода!M398+хол.вода!Q398+ц.о.!M398+каналізація!Q398+аварійні!I398+зварювальн!M398</f>
        <v>0.30355427227855963</v>
      </c>
      <c r="F398" s="886">
        <f>дератизац.!I398</f>
        <v>2.22962962962963E-3</v>
      </c>
      <c r="G398" s="886">
        <f>димоканал!R398</f>
        <v>1.1629578915760108E-2</v>
      </c>
      <c r="H398" s="886">
        <f>'підготовка до зими'!M398+майстерні!M398+маляри!M399+покрівлі!O398</f>
        <v>9.9574020622304318E-2</v>
      </c>
      <c r="I398" s="886">
        <f>електрики!R398</f>
        <v>1.7293841238339221E-2</v>
      </c>
      <c r="J398" s="989">
        <f t="shared" si="42"/>
        <v>1.5608026162704129</v>
      </c>
      <c r="K398" s="989">
        <v>3.8878669939435416E-2</v>
      </c>
      <c r="L398" s="994">
        <f t="shared" si="46"/>
        <v>1.5996812862098484</v>
      </c>
      <c r="M398" s="994">
        <f t="shared" si="43"/>
        <v>1.9196175434518179</v>
      </c>
      <c r="N398" s="995">
        <v>5</v>
      </c>
      <c r="O398" s="997">
        <v>1.6018012015047391</v>
      </c>
      <c r="P398" s="22">
        <f t="shared" si="44"/>
        <v>0.31781634194707875</v>
      </c>
      <c r="Q398" s="982">
        <f t="shared" si="45"/>
        <v>19.841185138862457</v>
      </c>
      <c r="R398" s="6"/>
      <c r="S398" s="6"/>
      <c r="T398" s="6"/>
      <c r="U398" s="6"/>
      <c r="V398" s="6"/>
      <c r="W398" s="6"/>
      <c r="X398" s="6"/>
      <c r="Y398" s="6"/>
      <c r="Z398" s="6"/>
    </row>
    <row r="399" spans="1:26" s="93" customFormat="1" ht="15.75">
      <c r="A399" s="905">
        <v>14</v>
      </c>
      <c r="B399" s="285" t="s">
        <v>225</v>
      </c>
      <c r="C399" s="886">
        <f>cходова!R399</f>
        <v>0.56188804140378834</v>
      </c>
      <c r="D399" s="886">
        <f>прибуд.!O399</f>
        <v>0.53062917276158617</v>
      </c>
      <c r="E399" s="886">
        <f>гар.вода!M399+хол.вода!Q399+ц.о.!M399+каналізація!Q399+аварійні!I399+зварювальн!M399</f>
        <v>0.30400598883602031</v>
      </c>
      <c r="F399" s="886">
        <f>дератизац.!I399</f>
        <v>2.2379182156133832E-3</v>
      </c>
      <c r="G399" s="886">
        <f>димоканал!R399</f>
        <v>1.1672811551134681E-2</v>
      </c>
      <c r="H399" s="886">
        <f>'підготовка до зими'!M399+майстерні!M399+маляри!M400+покрівлі!O399</f>
        <v>0.11998794314730493</v>
      </c>
      <c r="I399" s="886">
        <f>електрики!R399</f>
        <v>1.7358130610972453E-2</v>
      </c>
      <c r="J399" s="989">
        <f t="shared" si="42"/>
        <v>1.5477800065264202</v>
      </c>
      <c r="K399" s="989">
        <v>3.8584668515119672E-2</v>
      </c>
      <c r="L399" s="994">
        <f t="shared" si="46"/>
        <v>1.5863646750415399</v>
      </c>
      <c r="M399" s="994">
        <f t="shared" si="43"/>
        <v>1.9036376100498478</v>
      </c>
      <c r="N399" s="995">
        <v>5</v>
      </c>
      <c r="O399" s="997">
        <v>1.5896883428229305</v>
      </c>
      <c r="P399" s="22">
        <f t="shared" si="44"/>
        <v>0.31394926722691729</v>
      </c>
      <c r="Q399" s="982">
        <f t="shared" si="45"/>
        <v>19.749107971026177</v>
      </c>
      <c r="R399" s="6"/>
      <c r="S399" s="6"/>
      <c r="T399" s="6"/>
      <c r="U399" s="6"/>
      <c r="V399" s="6"/>
      <c r="W399" s="6"/>
      <c r="X399" s="6"/>
      <c r="Y399" s="6"/>
      <c r="Z399" s="6"/>
    </row>
    <row r="400" spans="1:26" s="93" customFormat="1" ht="15.75">
      <c r="A400" s="905">
        <v>15</v>
      </c>
      <c r="B400" s="285" t="s">
        <v>226</v>
      </c>
      <c r="C400" s="886">
        <f>cходова!R400</f>
        <v>0.57784165970721035</v>
      </c>
      <c r="D400" s="886">
        <f>прибуд.!O400</f>
        <v>0.54109570357864611</v>
      </c>
      <c r="E400" s="886">
        <f>гар.вода!M400+хол.вода!Q400+ц.о.!M400+каналізація!Q400+аварійні!I400+зварювальн!M400</f>
        <v>0.30452201148379143</v>
      </c>
      <c r="F400" s="886">
        <f>дератизац.!I400</f>
        <v>2.2473867595818819E-3</v>
      </c>
      <c r="G400" s="886">
        <f>димоканал!R400</f>
        <v>1.1722198757797023E-2</v>
      </c>
      <c r="H400" s="886">
        <f>'підготовка до зими'!M400+майстерні!M400+маляри!M401+покрівлі!O400</f>
        <v>9.6249560518285426E-2</v>
      </c>
      <c r="I400" s="886">
        <f>електрики!R400</f>
        <v>1.7431572179012905E-2</v>
      </c>
      <c r="J400" s="989">
        <f t="shared" si="42"/>
        <v>1.5511100929843251</v>
      </c>
      <c r="K400" s="989">
        <v>3.8644163808119317E-2</v>
      </c>
      <c r="L400" s="994">
        <f t="shared" si="46"/>
        <v>1.5897542567924445</v>
      </c>
      <c r="M400" s="994">
        <f t="shared" si="43"/>
        <v>1.9077051081509333</v>
      </c>
      <c r="N400" s="995">
        <v>5</v>
      </c>
      <c r="O400" s="997">
        <v>1.5921395488945158</v>
      </c>
      <c r="P400" s="22">
        <f t="shared" si="44"/>
        <v>0.31556555925641749</v>
      </c>
      <c r="Q400" s="982">
        <f t="shared" si="45"/>
        <v>19.820219871777383</v>
      </c>
      <c r="R400" s="6"/>
      <c r="S400" s="6"/>
      <c r="T400" s="6"/>
      <c r="U400" s="6"/>
      <c r="V400" s="6"/>
      <c r="W400" s="6"/>
      <c r="X400" s="6"/>
      <c r="Y400" s="6"/>
      <c r="Z400" s="6"/>
    </row>
    <row r="401" spans="1:26" s="93" customFormat="1" ht="15.75">
      <c r="A401" s="906">
        <v>16</v>
      </c>
      <c r="B401" s="285" t="s">
        <v>227</v>
      </c>
      <c r="C401" s="886">
        <f>cходова!R401</f>
        <v>0</v>
      </c>
      <c r="D401" s="886">
        <f>прибуд.!O401</f>
        <v>0.48709333529372373</v>
      </c>
      <c r="E401" s="886">
        <f>гар.вода!M401+хол.вода!Q401+ц.о.!M401+каналізація!Q401+аварійні!I401+зварювальн!M401</f>
        <v>0.30412701435873363</v>
      </c>
      <c r="F401" s="886">
        <f>дератизац.!I401</f>
        <v>2.2401389233440835E-3</v>
      </c>
      <c r="G401" s="886">
        <f>димоканал!R401</f>
        <v>1.1684394594102813E-2</v>
      </c>
      <c r="H401" s="886">
        <f>'підготовка до зими'!M401+майстерні!M401+маляри!M402+покрівлі!O401</f>
        <v>0.14736444765341314</v>
      </c>
      <c r="I401" s="886">
        <f>електрики!R401</f>
        <v>1.7375355250626109E-2</v>
      </c>
      <c r="J401" s="1000">
        <f t="shared" si="42"/>
        <v>0.9698846860739434</v>
      </c>
      <c r="K401" s="1000">
        <v>2.4328500032863472E-2</v>
      </c>
      <c r="L401" s="994">
        <f t="shared" si="46"/>
        <v>0.99421318610680687</v>
      </c>
      <c r="M401" s="1009">
        <f t="shared" si="43"/>
        <v>1.1930558233281683</v>
      </c>
      <c r="N401" s="995">
        <v>5</v>
      </c>
      <c r="O401" s="997">
        <v>1.0023342013539751</v>
      </c>
      <c r="P401" s="22">
        <f t="shared" si="44"/>
        <v>0.19072162197419318</v>
      </c>
      <c r="Q401" s="982">
        <f t="shared" si="45"/>
        <v>19.027747603200822</v>
      </c>
      <c r="R401" s="6"/>
      <c r="S401" s="6"/>
      <c r="T401" s="6"/>
      <c r="U401" s="6"/>
      <c r="V401" s="6"/>
      <c r="W401" s="6"/>
      <c r="X401" s="6"/>
      <c r="Y401" s="6"/>
      <c r="Z401" s="6"/>
    </row>
    <row r="402" spans="1:26" s="93" customFormat="1" ht="15.75">
      <c r="A402" s="906">
        <v>17</v>
      </c>
      <c r="B402" s="285" t="s">
        <v>228</v>
      </c>
      <c r="C402" s="886">
        <f>cходова!R402</f>
        <v>0</v>
      </c>
      <c r="D402" s="886">
        <f>прибуд.!O402</f>
        <v>0.53758893639098093</v>
      </c>
      <c r="E402" s="886">
        <f>гар.вода!M402+хол.вода!Q402+ц.о.!M402+каналізація!Q402+аварійні!I402+зварювальн!M402</f>
        <v>0.27101555992189691</v>
      </c>
      <c r="F402" s="886">
        <f>дератизац.!I402</f>
        <v>1.5864714086471412E-3</v>
      </c>
      <c r="G402" s="886">
        <f>димоканал!R402</f>
        <v>8.1428340865448996E-3</v>
      </c>
      <c r="H402" s="886">
        <f>'підготовка до зими'!M402+майстерні!M402+маляри!M403+покрівлі!O402</f>
        <v>0.12574151847542286</v>
      </c>
      <c r="I402" s="886">
        <f>електрики!R402</f>
        <v>1.2662854463219094E-2</v>
      </c>
      <c r="J402" s="1000">
        <f t="shared" si="42"/>
        <v>0.95673817474671186</v>
      </c>
      <c r="K402" s="1000">
        <v>2.3946115262609438E-2</v>
      </c>
      <c r="L402" s="994">
        <f t="shared" si="46"/>
        <v>0.98068429000932134</v>
      </c>
      <c r="M402" s="1009">
        <f t="shared" si="43"/>
        <v>1.1768211480111856</v>
      </c>
      <c r="N402" s="995">
        <v>5</v>
      </c>
      <c r="O402" s="997">
        <v>0.98657994881950883</v>
      </c>
      <c r="P402" s="22">
        <f t="shared" si="44"/>
        <v>0.19024119919167681</v>
      </c>
      <c r="Q402" s="982">
        <f t="shared" si="45"/>
        <v>19.282897389036719</v>
      </c>
      <c r="R402" s="6"/>
      <c r="S402" s="6"/>
      <c r="T402" s="6"/>
      <c r="U402" s="6"/>
      <c r="V402" s="6"/>
      <c r="W402" s="6"/>
      <c r="X402" s="6"/>
      <c r="Y402" s="6"/>
      <c r="Z402" s="6"/>
    </row>
    <row r="403" spans="1:26" s="93" customFormat="1" ht="15.75">
      <c r="A403" s="906">
        <v>18</v>
      </c>
      <c r="B403" s="285" t="s">
        <v>229</v>
      </c>
      <c r="C403" s="886">
        <f>cходова!R403</f>
        <v>0</v>
      </c>
      <c r="D403" s="886">
        <f>прибуд.!O403</f>
        <v>0.52831127665200772</v>
      </c>
      <c r="E403" s="886">
        <f>гар.вода!M403+хол.вода!Q403+ц.о.!M403+каналізація!Q403+аварійні!I403+зварювальн!M403</f>
        <v>0.27157749492147748</v>
      </c>
      <c r="F403" s="886">
        <f>дератизац.!I403</f>
        <v>1.5964912280701756E-3</v>
      </c>
      <c r="G403" s="886">
        <f>димоканал!R403</f>
        <v>8.194262512354656E-3</v>
      </c>
      <c r="H403" s="886">
        <f>'підготовка до зими'!M403+майстерні!M403+маляри!M404+покрівлі!O403</f>
        <v>0.1259896594753965</v>
      </c>
      <c r="I403" s="886">
        <f>електрики!R403</f>
        <v>1.2742830386144689E-2</v>
      </c>
      <c r="J403" s="1000">
        <f t="shared" si="42"/>
        <v>0.94841201517545126</v>
      </c>
      <c r="K403" s="1000">
        <v>2.3672062878360361E-2</v>
      </c>
      <c r="L403" s="994">
        <f t="shared" si="46"/>
        <v>0.97208407805381158</v>
      </c>
      <c r="M403" s="1009">
        <f t="shared" si="43"/>
        <v>1.1665008936645738</v>
      </c>
      <c r="N403" s="995">
        <v>5</v>
      </c>
      <c r="O403" s="997">
        <v>0.97528899058844698</v>
      </c>
      <c r="P403" s="22">
        <f t="shared" si="44"/>
        <v>0.19121190307612679</v>
      </c>
      <c r="Q403" s="982">
        <f t="shared" si="45"/>
        <v>19.605666107310185</v>
      </c>
      <c r="R403" s="6"/>
      <c r="S403" s="6"/>
      <c r="T403" s="6"/>
      <c r="U403" s="6"/>
      <c r="V403" s="6"/>
      <c r="W403" s="6"/>
      <c r="X403" s="6"/>
      <c r="Y403" s="6"/>
      <c r="Z403" s="6"/>
    </row>
    <row r="404" spans="1:26" s="93" customFormat="1" ht="15.75">
      <c r="A404" s="906">
        <v>19</v>
      </c>
      <c r="B404" s="285" t="s">
        <v>230</v>
      </c>
      <c r="C404" s="886">
        <f>cходова!R404</f>
        <v>0.5951847581743146</v>
      </c>
      <c r="D404" s="886">
        <f>прибуд.!O404</f>
        <v>0.26250242779644445</v>
      </c>
      <c r="E404" s="886">
        <f>гар.вода!M404+хол.вода!Q404+ц.о.!M404+каналізація!Q404+аварійні!I404+зварювальн!M404</f>
        <v>0.40871717206672381</v>
      </c>
      <c r="F404" s="886">
        <f>дератизац.!I404</f>
        <v>5.4218181818181822E-3</v>
      </c>
      <c r="G404" s="886">
        <f>димоканал!R404</f>
        <v>1.2131765278031567E-2</v>
      </c>
      <c r="H404" s="886">
        <f>'підготовка до зими'!M404+майстерні!M404+маляри!M405+покрівлі!O404</f>
        <v>0.13398812029508503</v>
      </c>
      <c r="I404" s="886">
        <f>електрики!R404</f>
        <v>3.2260874746429163E-2</v>
      </c>
      <c r="J404" s="989">
        <f t="shared" si="42"/>
        <v>1.4502069365388468</v>
      </c>
      <c r="K404" s="989">
        <v>3.6575707351192824E-2</v>
      </c>
      <c r="L404" s="994">
        <f t="shared" si="46"/>
        <v>1.4867826438900396</v>
      </c>
      <c r="M404" s="994">
        <f t="shared" si="43"/>
        <v>1.7841391726680473</v>
      </c>
      <c r="N404" s="995">
        <v>9</v>
      </c>
      <c r="O404" s="997">
        <v>1.5069191428691444</v>
      </c>
      <c r="P404" s="22">
        <f t="shared" si="44"/>
        <v>0.27722002979890292</v>
      </c>
      <c r="Q404" s="982">
        <f t="shared" si="45"/>
        <v>18.396476752633291</v>
      </c>
      <c r="R404" s="6"/>
      <c r="S404" s="6"/>
      <c r="T404" s="6"/>
      <c r="U404" s="6"/>
      <c r="V404" s="6"/>
      <c r="W404" s="6"/>
      <c r="X404" s="6"/>
      <c r="Y404" s="6"/>
      <c r="Z404" s="6"/>
    </row>
    <row r="405" spans="1:26" s="93" customFormat="1" ht="15.75">
      <c r="A405" s="906">
        <v>20</v>
      </c>
      <c r="B405" s="285" t="s">
        <v>231</v>
      </c>
      <c r="C405" s="886">
        <f>cходова!R405</f>
        <v>0.58409252546001789</v>
      </c>
      <c r="D405" s="886">
        <f>прибуд.!O405</f>
        <v>0.36148229904779877</v>
      </c>
      <c r="E405" s="886">
        <f>гар.вода!M405+хол.вода!Q405+ц.о.!M405+каналізація!Q405+аварійні!I405+зварювальн!M405</f>
        <v>0.30584694688152025</v>
      </c>
      <c r="F405" s="886">
        <f>дератизац.!I405</f>
        <v>2.2716981132075474E-3</v>
      </c>
      <c r="G405" s="886">
        <f>димоканал!R405</f>
        <v>1.1849004933038601E-2</v>
      </c>
      <c r="H405" s="886">
        <f>'підготовка до зими'!M405+майстерні!M405+маляри!M406+покрівлі!O405</f>
        <v>0.14847015321385859</v>
      </c>
      <c r="I405" s="886">
        <f>електрики!R405</f>
        <v>1.7620140129628641E-2</v>
      </c>
      <c r="J405" s="989">
        <f t="shared" si="42"/>
        <v>1.4316327677790701</v>
      </c>
      <c r="K405" s="989">
        <v>3.5993402734281199E-2</v>
      </c>
      <c r="L405" s="994">
        <f t="shared" si="46"/>
        <v>1.4676261705133513</v>
      </c>
      <c r="M405" s="994">
        <f t="shared" si="43"/>
        <v>1.7611514046160215</v>
      </c>
      <c r="N405" s="995">
        <v>5</v>
      </c>
      <c r="O405" s="997">
        <v>1.4829281926523856</v>
      </c>
      <c r="P405" s="22">
        <f t="shared" si="44"/>
        <v>0.27822321196363586</v>
      </c>
      <c r="Q405" s="982">
        <f t="shared" si="45"/>
        <v>18.761745399553178</v>
      </c>
      <c r="R405" s="6"/>
      <c r="S405" s="6"/>
      <c r="T405" s="6"/>
      <c r="U405" s="6"/>
      <c r="V405" s="6"/>
      <c r="W405" s="6"/>
      <c r="X405" s="6"/>
      <c r="Y405" s="6"/>
      <c r="Z405" s="6"/>
    </row>
    <row r="406" spans="1:26" s="93" customFormat="1" ht="15.75">
      <c r="A406" s="905">
        <v>21</v>
      </c>
      <c r="B406" s="285" t="s">
        <v>232</v>
      </c>
      <c r="C406" s="886">
        <f>cходова!R406</f>
        <v>0.2654717205370441</v>
      </c>
      <c r="D406" s="886">
        <f>прибуд.!O406</f>
        <v>0.41358041420563996</v>
      </c>
      <c r="E406" s="886">
        <f>гар.вода!M406+хол.вода!Q406+ц.о.!M406+каналізація!Q406+аварійні!I406+зварювальн!M406</f>
        <v>0.37750378474027307</v>
      </c>
      <c r="F406" s="886">
        <f>дератизац.!I406</f>
        <v>1.2823949955317248E-3</v>
      </c>
      <c r="G406" s="886">
        <f>димоканал!R406</f>
        <v>1.9291694246988116E-2</v>
      </c>
      <c r="H406" s="886">
        <f>'підготовка до зими'!M406+майстерні!M406+маляри!M407+покрівлі!O406</f>
        <v>0.15827482313325331</v>
      </c>
      <c r="I406" s="886">
        <f>електрики!R406</f>
        <v>2.7818511375344593E-2</v>
      </c>
      <c r="J406" s="989">
        <f t="shared" si="42"/>
        <v>1.2632233432340749</v>
      </c>
      <c r="K406" s="989">
        <v>3.1890951610960748E-2</v>
      </c>
      <c r="L406" s="994">
        <f t="shared" si="46"/>
        <v>1.2951142948450356</v>
      </c>
      <c r="M406" s="994">
        <f t="shared" si="43"/>
        <v>1.5541371538140427</v>
      </c>
      <c r="N406" s="995">
        <v>5</v>
      </c>
      <c r="O406" s="997">
        <v>1.3139072063715826</v>
      </c>
      <c r="P406" s="22">
        <f t="shared" si="44"/>
        <v>0.24022994744246007</v>
      </c>
      <c r="Q406" s="982">
        <f t="shared" si="45"/>
        <v>18.283631163411187</v>
      </c>
      <c r="R406" s="6"/>
      <c r="S406" s="6"/>
      <c r="T406" s="6"/>
      <c r="U406" s="6"/>
      <c r="V406" s="6"/>
      <c r="W406" s="6"/>
      <c r="X406" s="6"/>
      <c r="Y406" s="6"/>
      <c r="Z406" s="6"/>
    </row>
    <row r="407" spans="1:26" s="93" customFormat="1" ht="15.75">
      <c r="A407" s="905">
        <v>22</v>
      </c>
      <c r="B407" s="285" t="s">
        <v>233</v>
      </c>
      <c r="C407" s="886">
        <f>cходова!R407</f>
        <v>0</v>
      </c>
      <c r="D407" s="886">
        <f>прибуд.!O407</f>
        <v>0.42969037486137335</v>
      </c>
      <c r="E407" s="886">
        <f>гар.вода!M407+хол.вода!Q407+ц.о.!M407+каналізація!Q407+аварійні!I407+зварювальн!M407</f>
        <v>0.276349558083195</v>
      </c>
      <c r="F407" s="886">
        <f>дератизац.!I407</f>
        <v>6.2585421412300691E-3</v>
      </c>
      <c r="G407" s="886">
        <f>димоканал!R407</f>
        <v>1.0058327436395596E-2</v>
      </c>
      <c r="H407" s="886">
        <f>'підготовка до зими'!M407+майстерні!M407+маляри!M408+покрівлі!O407</f>
        <v>0.11399357304478182</v>
      </c>
      <c r="I407" s="886">
        <f>електрики!R407</f>
        <v>1.342200174208885E-2</v>
      </c>
      <c r="J407" s="1000">
        <f t="shared" si="42"/>
        <v>0.84977237730906463</v>
      </c>
      <c r="K407" s="1000">
        <v>2.1379409366873412E-2</v>
      </c>
      <c r="L407" s="994">
        <f t="shared" si="46"/>
        <v>0.87115178667593807</v>
      </c>
      <c r="M407" s="1009">
        <f t="shared" si="43"/>
        <v>1.0453821440111257</v>
      </c>
      <c r="N407" s="995">
        <v>5</v>
      </c>
      <c r="O407" s="997">
        <v>0.88083166591518458</v>
      </c>
      <c r="P407" s="22">
        <f t="shared" si="44"/>
        <v>0.16455047809594114</v>
      </c>
      <c r="Q407" s="982">
        <f t="shared" si="45"/>
        <v>18.68126277283335</v>
      </c>
      <c r="R407" s="6"/>
      <c r="S407" s="6"/>
      <c r="T407" s="6"/>
      <c r="U407" s="6"/>
      <c r="V407" s="6"/>
      <c r="W407" s="6"/>
      <c r="X407" s="6"/>
      <c r="Y407" s="6"/>
      <c r="Z407" s="6"/>
    </row>
    <row r="408" spans="1:26" s="93" customFormat="1" ht="15.75">
      <c r="A408" s="906">
        <v>23</v>
      </c>
      <c r="B408" s="285" t="s">
        <v>234</v>
      </c>
      <c r="C408" s="886">
        <f>cходова!R408</f>
        <v>0.37407947975342731</v>
      </c>
      <c r="D408" s="886">
        <f>прибуд.!O408</f>
        <v>0.66611016384537125</v>
      </c>
      <c r="E408" s="886">
        <f>гар.вода!M408+хол.вода!Q408+ц.о.!M408+каналізація!Q408+аварійні!I408+зварювальн!M408</f>
        <v>0.26548141345991366</v>
      </c>
      <c r="F408" s="886">
        <f>дератизац.!I408</f>
        <v>2.1363173957273654E-3</v>
      </c>
      <c r="G408" s="886">
        <f>димоканал!R408</f>
        <v>6.5882215246326654E-3</v>
      </c>
      <c r="H408" s="886">
        <f>'підготовка до зими'!M408+майстерні!M408+маляри!M409+покрівлі!O408</f>
        <v>0.13976276679380811</v>
      </c>
      <c r="I408" s="886">
        <f>електрики!R408</f>
        <v>1.1875221603132223E-2</v>
      </c>
      <c r="J408" s="989">
        <f t="shared" si="42"/>
        <v>1.4660335843760126</v>
      </c>
      <c r="K408" s="989">
        <v>3.6809989343976626E-2</v>
      </c>
      <c r="L408" s="994">
        <f t="shared" si="46"/>
        <v>1.5028435737199892</v>
      </c>
      <c r="M408" s="994">
        <f t="shared" si="43"/>
        <v>1.8034122884639869</v>
      </c>
      <c r="N408" s="995">
        <v>5</v>
      </c>
      <c r="O408" s="997">
        <v>1.5165715609718369</v>
      </c>
      <c r="P408" s="22">
        <f t="shared" si="44"/>
        <v>0.28684072749215006</v>
      </c>
      <c r="Q408" s="982">
        <f t="shared" si="45"/>
        <v>18.913761465257807</v>
      </c>
      <c r="R408" s="6"/>
      <c r="S408" s="6"/>
      <c r="T408" s="6"/>
      <c r="U408" s="6"/>
      <c r="V408" s="6"/>
      <c r="W408" s="6"/>
      <c r="X408" s="6"/>
      <c r="Y408" s="6"/>
      <c r="Z408" s="6"/>
    </row>
    <row r="409" spans="1:26" s="93" customFormat="1" ht="15.75">
      <c r="A409" s="906">
        <v>24</v>
      </c>
      <c r="B409" s="285" t="s">
        <v>235</v>
      </c>
      <c r="C409" s="886">
        <f>cходова!R409</f>
        <v>0</v>
      </c>
      <c r="D409" s="886">
        <f>прибуд.!O409</f>
        <v>0.269437518059502</v>
      </c>
      <c r="E409" s="886">
        <f>гар.вода!M409+хол.вода!Q409+ц.о.!M409+каналізація!Q409+аварійні!I409+зварювальн!M409</f>
        <v>0.28237332434111623</v>
      </c>
      <c r="F409" s="886">
        <f>дератизац.!I409</f>
        <v>6.4128440366972485E-3</v>
      </c>
      <c r="G409" s="886">
        <f>димоканал!R409</f>
        <v>1.0725543005614605E-2</v>
      </c>
      <c r="H409" s="886">
        <f>'підготовка до зими'!M409+майстерні!M409+маляри!M410+покрівлі!O409</f>
        <v>0.13269160476832248</v>
      </c>
      <c r="I409" s="886">
        <f>електрики!R409</f>
        <v>1.4279318453674585E-2</v>
      </c>
      <c r="J409" s="1000">
        <f t="shared" si="42"/>
        <v>0.71592015266492715</v>
      </c>
      <c r="K409" s="1000">
        <v>1.8006458293567538E-2</v>
      </c>
      <c r="L409" s="994">
        <f t="shared" si="46"/>
        <v>0.73392661095849465</v>
      </c>
      <c r="M409" s="1009">
        <f t="shared" si="43"/>
        <v>0.88071193315019358</v>
      </c>
      <c r="N409" s="995">
        <v>5</v>
      </c>
      <c r="O409" s="997">
        <v>0.74186608169498247</v>
      </c>
      <c r="P409" s="22">
        <f t="shared" si="44"/>
        <v>0.13884585145521111</v>
      </c>
      <c r="Q409" s="982">
        <f t="shared" si="45"/>
        <v>18.715756776207144</v>
      </c>
      <c r="R409" s="6"/>
      <c r="S409" s="6"/>
      <c r="T409" s="6"/>
      <c r="U409" s="6"/>
      <c r="V409" s="6"/>
      <c r="W409" s="6"/>
      <c r="X409" s="6"/>
      <c r="Y409" s="6"/>
      <c r="Z409" s="6"/>
    </row>
    <row r="410" spans="1:26" s="93" customFormat="1" ht="15.75">
      <c r="A410" s="906">
        <v>25</v>
      </c>
      <c r="B410" s="285" t="s">
        <v>236</v>
      </c>
      <c r="C410" s="886">
        <f>cходова!R410</f>
        <v>0.56485680039117658</v>
      </c>
      <c r="D410" s="886">
        <f>прибуд.!O410</f>
        <v>0.30666586980798732</v>
      </c>
      <c r="E410" s="886">
        <f>гар.вода!M410+хол.вода!Q410+ц.о.!M410+каналізація!Q410+аварійні!I410+зварювальн!M410</f>
        <v>0.40387714387287871</v>
      </c>
      <c r="F410" s="886">
        <f>дератизац.!I410</f>
        <v>5.2811387900355876E-3</v>
      </c>
      <c r="G410" s="886">
        <f>димоканал!R410</f>
        <v>1.1942563579640663E-2</v>
      </c>
      <c r="H410" s="886">
        <f>'підготовка до зими'!M410+майстерні!M410+маляри!M411+покрівлі!O410</f>
        <v>0.13297312541646239</v>
      </c>
      <c r="I410" s="886">
        <f>електрики!R410</f>
        <v>3.157203044579366E-2</v>
      </c>
      <c r="J410" s="989">
        <f t="shared" si="42"/>
        <v>1.457168672303975</v>
      </c>
      <c r="K410" s="989">
        <v>3.6739644504947752E-2</v>
      </c>
      <c r="L410" s="994">
        <f t="shared" si="46"/>
        <v>1.4939083168089227</v>
      </c>
      <c r="M410" s="994">
        <f t="shared" si="43"/>
        <v>1.7926899801707072</v>
      </c>
      <c r="N410" s="995">
        <v>9</v>
      </c>
      <c r="O410" s="997">
        <v>1.5136733536038474</v>
      </c>
      <c r="P410" s="22">
        <f t="shared" si="44"/>
        <v>0.27901662656685988</v>
      </c>
      <c r="Q410" s="982">
        <f t="shared" si="45"/>
        <v>18.433080420062879</v>
      </c>
      <c r="R410" s="6"/>
      <c r="S410" s="6"/>
      <c r="T410" s="6"/>
      <c r="U410" s="6"/>
      <c r="V410" s="6"/>
      <c r="W410" s="6"/>
      <c r="X410" s="6"/>
      <c r="Y410" s="6"/>
      <c r="Z410" s="6"/>
    </row>
    <row r="411" spans="1:26" s="93" customFormat="1" ht="15.75">
      <c r="A411" s="906">
        <v>26</v>
      </c>
      <c r="B411" s="285" t="s">
        <v>237</v>
      </c>
      <c r="C411" s="886">
        <f>cходова!R411</f>
        <v>0.76250128600631062</v>
      </c>
      <c r="D411" s="886">
        <f>прибуд.!O411</f>
        <v>0.37233092476844099</v>
      </c>
      <c r="E411" s="886">
        <f>гар.вода!M411+хол.вода!Q411+ц.о.!M411+каналізація!Q411+аварійні!I411+зварювальн!M411</f>
        <v>0.27532116691280101</v>
      </c>
      <c r="F411" s="886">
        <f>дератизац.!I411</f>
        <v>2.9714894961301538E-3</v>
      </c>
      <c r="G411" s="886">
        <f>димоканал!R411</f>
        <v>6.2538721912883295E-3</v>
      </c>
      <c r="H411" s="886">
        <f>'підготовка до зими'!M411+майстерні!M411+маляри!M412+покрівлі!O411</f>
        <v>0.10776770022878895</v>
      </c>
      <c r="I411" s="886">
        <f>електрики!R411</f>
        <v>1.3275638669772331E-2</v>
      </c>
      <c r="J411" s="989">
        <f t="shared" si="42"/>
        <v>1.5404220782735325</v>
      </c>
      <c r="K411" s="989">
        <v>3.8561212699198801E-2</v>
      </c>
      <c r="L411" s="994">
        <f t="shared" si="46"/>
        <v>1.5789832909727313</v>
      </c>
      <c r="M411" s="994">
        <f t="shared" si="43"/>
        <v>1.8947799491672774</v>
      </c>
      <c r="N411" s="995">
        <v>9</v>
      </c>
      <c r="O411" s="997">
        <v>1.5887219632069907</v>
      </c>
      <c r="P411" s="22">
        <f t="shared" si="44"/>
        <v>0.30605798596028677</v>
      </c>
      <c r="Q411" s="982">
        <f t="shared" si="45"/>
        <v>19.264414607983312</v>
      </c>
      <c r="R411" s="6"/>
      <c r="S411" s="6"/>
      <c r="T411" s="6"/>
      <c r="U411" s="6"/>
      <c r="V411" s="6"/>
      <c r="W411" s="6"/>
      <c r="X411" s="6"/>
      <c r="Y411" s="6"/>
      <c r="Z411" s="6"/>
    </row>
    <row r="412" spans="1:26" s="93" customFormat="1" ht="15.75">
      <c r="A412" s="906">
        <v>27</v>
      </c>
      <c r="B412" s="285" t="s">
        <v>238</v>
      </c>
      <c r="C412" s="886">
        <f>cходова!R412</f>
        <v>0.75063359740167201</v>
      </c>
      <c r="D412" s="886">
        <f>прибуд.!O412</f>
        <v>0.31968416712818581</v>
      </c>
      <c r="E412" s="886">
        <f>гар.вода!M412+хол.вода!Q412+ц.о.!M412+каналізація!Q412+аварійні!I412+зварювальн!M412</f>
        <v>0.33057046707179671</v>
      </c>
      <c r="F412" s="886">
        <f>дератизац.!I412</f>
        <v>3.2746478873239438E-3</v>
      </c>
      <c r="G412" s="886">
        <f>димоканал!R412</f>
        <v>7.9960667406839027E-3</v>
      </c>
      <c r="H412" s="886">
        <f>'підготовка до зими'!M412+майстерні!M412+маляри!M413+покрівлі!O412</f>
        <v>0.12382700301796004</v>
      </c>
      <c r="I412" s="886">
        <f>електрики!R412</f>
        <v>2.1138850205817059E-2</v>
      </c>
      <c r="J412" s="989">
        <f t="shared" si="42"/>
        <v>1.5571247994534394</v>
      </c>
      <c r="K412" s="989">
        <v>3.874834872192038E-2</v>
      </c>
      <c r="L412" s="994">
        <f t="shared" si="46"/>
        <v>1.5958731481753599</v>
      </c>
      <c r="M412" s="994">
        <f t="shared" si="43"/>
        <v>1.9150477778104318</v>
      </c>
      <c r="N412" s="995">
        <v>9</v>
      </c>
      <c r="O412" s="997">
        <v>1.5964319673431198</v>
      </c>
      <c r="P412" s="22">
        <f t="shared" si="44"/>
        <v>0.31861581046731202</v>
      </c>
      <c r="Q412" s="982">
        <f t="shared" si="45"/>
        <v>19.957994890165722</v>
      </c>
      <c r="R412" s="6"/>
      <c r="S412" s="6"/>
      <c r="T412" s="6"/>
      <c r="U412" s="6"/>
      <c r="V412" s="6"/>
      <c r="W412" s="6"/>
      <c r="X412" s="6"/>
      <c r="Y412" s="6"/>
      <c r="Z412" s="6"/>
    </row>
    <row r="413" spans="1:26" s="93" customFormat="1" ht="15.75">
      <c r="A413" s="905">
        <v>28</v>
      </c>
      <c r="B413" s="285" t="s">
        <v>239</v>
      </c>
      <c r="C413" s="886">
        <f>cходова!R413</f>
        <v>0.61042270377254571</v>
      </c>
      <c r="D413" s="886">
        <f>прибуд.!O413</f>
        <v>0.35765963142453977</v>
      </c>
      <c r="E413" s="886">
        <f>гар.вода!M413+хол.вода!Q413+ц.о.!M413+каналізація!Q413+аварійні!I413+зварювальн!M413</f>
        <v>0.27403521623123434</v>
      </c>
      <c r="F413" s="886">
        <f>дератизац.!I413</f>
        <v>3.1922268089415069E-3</v>
      </c>
      <c r="G413" s="886">
        <f>димоканал!R413</f>
        <v>3.1640760845949474E-3</v>
      </c>
      <c r="H413" s="886">
        <f>'підготовка до зими'!M413+майстерні!M413+маляри!M414+покрівлі!O413</f>
        <v>0.10854694960998999</v>
      </c>
      <c r="I413" s="886">
        <f>електрики!R413</f>
        <v>1.3092619116493282E-2</v>
      </c>
      <c r="J413" s="989">
        <f t="shared" si="42"/>
        <v>1.3701134230483394</v>
      </c>
      <c r="K413" s="989">
        <v>3.4507266918109868E-2</v>
      </c>
      <c r="L413" s="994">
        <f t="shared" si="46"/>
        <v>1.4046206899664493</v>
      </c>
      <c r="M413" s="994">
        <f t="shared" si="43"/>
        <v>1.6855448279597391</v>
      </c>
      <c r="N413" s="995">
        <v>9</v>
      </c>
      <c r="O413" s="997">
        <v>1.4216993970261267</v>
      </c>
      <c r="P413" s="22">
        <f t="shared" si="44"/>
        <v>0.26384543093361246</v>
      </c>
      <c r="Q413" s="982">
        <f t="shared" si="45"/>
        <v>18.558454163061299</v>
      </c>
      <c r="R413" s="6"/>
      <c r="S413" s="6"/>
      <c r="T413" s="6"/>
      <c r="U413" s="6"/>
      <c r="V413" s="6"/>
      <c r="W413" s="6"/>
      <c r="X413" s="6"/>
      <c r="Y413" s="6"/>
      <c r="Z413" s="6"/>
    </row>
    <row r="414" spans="1:26" s="93" customFormat="1" ht="15.75">
      <c r="A414" s="905">
        <v>29</v>
      </c>
      <c r="B414" s="285" t="s">
        <v>240</v>
      </c>
      <c r="C414" s="886">
        <f>cходова!R414</f>
        <v>0.62989097969264396</v>
      </c>
      <c r="D414" s="886">
        <f>прибуд.!O414</f>
        <v>0.46231108820724653</v>
      </c>
      <c r="E414" s="886">
        <f>гар.вода!M414+хол.вода!Q414+ц.о.!M414+каналізація!Q414+аварійні!I414+зварювальн!M414</f>
        <v>0.27747985052866658</v>
      </c>
      <c r="F414" s="886">
        <f>дератизац.!I414</f>
        <v>3.3394744497236501E-3</v>
      </c>
      <c r="G414" s="886">
        <f>димоканал!R414</f>
        <v>3.4252735340464784E-3</v>
      </c>
      <c r="H414" s="886">
        <f>'підготовка до зими'!M414+майстерні!M414+маляри!M415+покрівлі!O414</f>
        <v>0.10780374061963939</v>
      </c>
      <c r="I414" s="886">
        <f>електрики!R414</f>
        <v>1.3582867645743013E-2</v>
      </c>
      <c r="J414" s="989">
        <f t="shared" si="42"/>
        <v>1.4978332746777097</v>
      </c>
      <c r="K414" s="989">
        <v>3.7666235878820925E-2</v>
      </c>
      <c r="L414" s="994">
        <f t="shared" si="46"/>
        <v>1.5354995105565306</v>
      </c>
      <c r="M414" s="994">
        <f t="shared" si="43"/>
        <v>1.8425994126678367</v>
      </c>
      <c r="N414" s="995">
        <v>9</v>
      </c>
      <c r="O414" s="997">
        <v>1.551848918207422</v>
      </c>
      <c r="P414" s="22">
        <f t="shared" si="44"/>
        <v>0.29075049446041468</v>
      </c>
      <c r="Q414" s="982">
        <f t="shared" si="45"/>
        <v>18.735747471878099</v>
      </c>
      <c r="R414" s="6"/>
      <c r="S414" s="6"/>
      <c r="T414" s="6"/>
      <c r="U414" s="6"/>
      <c r="V414" s="6"/>
      <c r="W414" s="6"/>
      <c r="X414" s="6"/>
      <c r="Y414" s="6"/>
      <c r="Z414" s="6"/>
    </row>
    <row r="415" spans="1:26" s="93" customFormat="1" ht="15.75">
      <c r="A415" s="906">
        <v>30</v>
      </c>
      <c r="B415" s="285" t="s">
        <v>241</v>
      </c>
      <c r="C415" s="886">
        <f>cходова!R415</f>
        <v>0.39888443647518357</v>
      </c>
      <c r="D415" s="886">
        <f>прибуд.!O415</f>
        <v>0.39520005559785948</v>
      </c>
      <c r="E415" s="886">
        <f>гар.вода!M415+хол.вода!Q415+ц.о.!M415+каналізація!Q415+аварійні!I415+зварювальн!M415</f>
        <v>0.27453227936011154</v>
      </c>
      <c r="F415" s="886">
        <f>дератизац.!I415</f>
        <v>2.8285043069694602E-3</v>
      </c>
      <c r="G415" s="886">
        <f>димоканал!R415</f>
        <v>4.6564988796903607E-3</v>
      </c>
      <c r="H415" s="886">
        <f>'підготовка до зими'!M415+майстерні!M415+маляри!M416+покрівлі!O415</f>
        <v>0.11465774842745975</v>
      </c>
      <c r="I415" s="886">
        <f>електрики!R415</f>
        <v>1.3163362320803231E-2</v>
      </c>
      <c r="J415" s="989">
        <f t="shared" si="42"/>
        <v>1.2039228853680775</v>
      </c>
      <c r="K415" s="989">
        <v>3.0375206357520935E-2</v>
      </c>
      <c r="L415" s="994">
        <f t="shared" si="46"/>
        <v>1.2342980917255983</v>
      </c>
      <c r="M415" s="994">
        <f t="shared" si="43"/>
        <v>1.4811577100707181</v>
      </c>
      <c r="N415" s="995">
        <v>9</v>
      </c>
      <c r="O415" s="997">
        <v>1.2514585019298625</v>
      </c>
      <c r="P415" s="22">
        <f t="shared" si="44"/>
        <v>0.22969920814085554</v>
      </c>
      <c r="Q415" s="982">
        <f t="shared" si="45"/>
        <v>18.354520568331949</v>
      </c>
      <c r="R415" s="6"/>
      <c r="S415" s="6"/>
      <c r="T415" s="6"/>
      <c r="U415" s="6"/>
      <c r="V415" s="6"/>
      <c r="W415" s="6"/>
      <c r="X415" s="6"/>
      <c r="Y415" s="6"/>
      <c r="Z415" s="6"/>
    </row>
    <row r="416" spans="1:26" s="93" customFormat="1" ht="15.75">
      <c r="A416" s="906">
        <v>31</v>
      </c>
      <c r="B416" s="285" t="s">
        <v>242</v>
      </c>
      <c r="C416" s="886">
        <f>cходова!R416</f>
        <v>0.86757720257929949</v>
      </c>
      <c r="D416" s="886">
        <f>прибуд.!O416</f>
        <v>0.22684089867333074</v>
      </c>
      <c r="E416" s="886">
        <f>гар.вода!M416+хол.вода!Q416+ц.о.!M416+каналізація!Q416+аварійні!I416+зварювальн!M416</f>
        <v>0.27913365409545271</v>
      </c>
      <c r="F416" s="886">
        <f>дератизац.!I416</f>
        <v>7.4000394581086428E-3</v>
      </c>
      <c r="G416" s="886">
        <f>димоканал!R416</f>
        <v>1.045388707120847E-2</v>
      </c>
      <c r="H416" s="886">
        <f>'підготовка до зими'!M416+майстерні!M416+маляри!M417+покрівлі!O416</f>
        <v>0.12847654664619423</v>
      </c>
      <c r="I416" s="886">
        <f>електрики!R416</f>
        <v>1.3864742398272621E-2</v>
      </c>
      <c r="J416" s="989">
        <f t="shared" si="42"/>
        <v>1.5337469709218667</v>
      </c>
      <c r="K416" s="989">
        <v>3.8444032656807792E-2</v>
      </c>
      <c r="L416" s="994">
        <f t="shared" si="46"/>
        <v>1.5721910035786746</v>
      </c>
      <c r="M416" s="994">
        <f t="shared" si="43"/>
        <v>1.8866292042944095</v>
      </c>
      <c r="N416" s="995">
        <v>5</v>
      </c>
      <c r="O416" s="997">
        <v>1.5838941454604811</v>
      </c>
      <c r="P416" s="22">
        <f t="shared" si="44"/>
        <v>0.30273505883392837</v>
      </c>
      <c r="Q416" s="982">
        <f t="shared" si="45"/>
        <v>19.113339089078778</v>
      </c>
      <c r="R416" s="6"/>
      <c r="S416" s="6"/>
      <c r="T416" s="6"/>
      <c r="U416" s="6"/>
      <c r="V416" s="6"/>
      <c r="W416" s="6"/>
      <c r="X416" s="6"/>
      <c r="Y416" s="6"/>
      <c r="Z416" s="6"/>
    </row>
    <row r="417" spans="1:26" s="93" customFormat="1" ht="15.75">
      <c r="A417" s="906">
        <v>32</v>
      </c>
      <c r="B417" s="285" t="s">
        <v>243</v>
      </c>
      <c r="C417" s="886">
        <f>cходова!R417</f>
        <v>0.8498816210241894</v>
      </c>
      <c r="D417" s="886">
        <f>прибуд.!O417</f>
        <v>0.21374383321710411</v>
      </c>
      <c r="E417" s="886">
        <f>гар.вода!M417+хол.вода!Q417+ц.о.!M417+каналізація!Q417+аварійні!I417+зварювальн!M417</f>
        <v>0.29179708764454032</v>
      </c>
      <c r="F417" s="886">
        <f>дератизац.!I417</f>
        <v>3.4135357694287187E-3</v>
      </c>
      <c r="G417" s="886">
        <f>димоканал!R417</f>
        <v>3.6361138401051294E-3</v>
      </c>
      <c r="H417" s="886">
        <f>'підготовка до зими'!M417+майстерні!M417+маляри!M418+покрівлі!O417</f>
        <v>0.13146691547640577</v>
      </c>
      <c r="I417" s="886">
        <f>електрики!R417</f>
        <v>1.5620530814866355E-2</v>
      </c>
      <c r="J417" s="989">
        <f t="shared" si="42"/>
        <v>1.5095596377866398</v>
      </c>
      <c r="K417" s="989">
        <v>3.8007927275325586E-2</v>
      </c>
      <c r="L417" s="994">
        <f t="shared" si="46"/>
        <v>1.5475675650619654</v>
      </c>
      <c r="M417" s="994">
        <f t="shared" si="43"/>
        <v>1.8570810780743583</v>
      </c>
      <c r="N417" s="995">
        <v>14</v>
      </c>
      <c r="O417" s="997">
        <v>1.5659266037434141</v>
      </c>
      <c r="P417" s="22">
        <f t="shared" si="44"/>
        <v>0.29115447433094421</v>
      </c>
      <c r="Q417" s="982">
        <f t="shared" si="45"/>
        <v>18.593111173596967</v>
      </c>
      <c r="R417" s="6"/>
      <c r="S417" s="6"/>
      <c r="T417" s="6"/>
      <c r="U417" s="6"/>
      <c r="V417" s="6"/>
      <c r="W417" s="6"/>
      <c r="X417" s="6"/>
      <c r="Y417" s="6"/>
      <c r="Z417" s="6"/>
    </row>
    <row r="418" spans="1:26" s="93" customFormat="1" ht="15.75">
      <c r="A418" s="906">
        <v>33</v>
      </c>
      <c r="B418" s="285" t="s">
        <v>762</v>
      </c>
      <c r="C418" s="886">
        <f>cходова!R418</f>
        <v>0.56015580236340667</v>
      </c>
      <c r="D418" s="886">
        <f>прибуд.!O418</f>
        <v>0.18794642760394661</v>
      </c>
      <c r="E418" s="886">
        <f>гар.вода!M418+хол.вода!Q418+ц.о.!M418+каналізація!Q418+аварійні!I418+зварювальн!M418</f>
        <v>0.37545842734665147</v>
      </c>
      <c r="F418" s="886">
        <f>дератизац.!I418</f>
        <v>4.118152788012773E-3</v>
      </c>
      <c r="G418" s="886">
        <f>димоканал!R418</f>
        <v>1.0412629611384328E-2</v>
      </c>
      <c r="H418" s="886">
        <f>'підготовка до зими'!M418+майстерні!M418+маляри!M419+покрівлі!O418</f>
        <v>0.16548053965757609</v>
      </c>
      <c r="I418" s="886">
        <f>електрики!R418</f>
        <v>2.7527411256310034E-2</v>
      </c>
      <c r="J418" s="989">
        <f t="shared" ref="J418:J449" si="47">I418+H418+G418+F418+E418+D418+C418</f>
        <v>1.3310993906272879</v>
      </c>
      <c r="K418" s="989">
        <v>3.361257367503042E-2</v>
      </c>
      <c r="L418" s="994">
        <f t="shared" si="46"/>
        <v>1.3647119643023182</v>
      </c>
      <c r="M418" s="994">
        <f t="shared" ref="M418:M449" si="48">L418*1.2</f>
        <v>1.6376543571627817</v>
      </c>
      <c r="N418" s="995">
        <v>9</v>
      </c>
      <c r="O418" s="997">
        <v>1.3848380354112533</v>
      </c>
      <c r="P418" s="22">
        <f t="shared" ref="P418:P449" si="49">M418-O418</f>
        <v>0.25281632175152846</v>
      </c>
      <c r="Q418" s="982">
        <f t="shared" ref="Q418:Q449" si="50">M418/O418*100-100</f>
        <v>18.256020941571705</v>
      </c>
      <c r="R418" s="6"/>
      <c r="S418" s="6"/>
      <c r="T418" s="6"/>
      <c r="U418" s="6"/>
      <c r="V418" s="6"/>
      <c r="W418" s="6"/>
      <c r="X418" s="6"/>
      <c r="Y418" s="6"/>
      <c r="Z418" s="6"/>
    </row>
    <row r="419" spans="1:26" s="93" customFormat="1" ht="15.75">
      <c r="A419" s="906">
        <v>34</v>
      </c>
      <c r="B419" s="285" t="s">
        <v>750</v>
      </c>
      <c r="C419" s="886">
        <f>cходова!R419</f>
        <v>0</v>
      </c>
      <c r="D419" s="886">
        <f>прибуд.!O419</f>
        <v>0.24072519681414251</v>
      </c>
      <c r="E419" s="886">
        <f>гар.вода!M419+хол.вода!Q419+ц.о.!M419+каналізація!Q419+аварійні!I419+зварювальн!M419</f>
        <v>0.19828176200099834</v>
      </c>
      <c r="F419" s="886">
        <f>дератизац.!I419</f>
        <v>2.8786159954622805E-3</v>
      </c>
      <c r="G419" s="886">
        <f>димоканал!R419</f>
        <v>1.2490190891756171E-2</v>
      </c>
      <c r="H419" s="886">
        <f>'підготовка до зими'!M419+майстерні!M419+маляри!M420+покрівлі!O419</f>
        <v>0.35938229614564099</v>
      </c>
      <c r="I419" s="886">
        <f>електрики!R419</f>
        <v>3.5836703762370685E-2</v>
      </c>
      <c r="J419" s="989">
        <f t="shared" si="47"/>
        <v>0.84959476561037095</v>
      </c>
      <c r="K419" s="989">
        <v>2.2083805295158729E-2</v>
      </c>
      <c r="L419" s="994">
        <f t="shared" si="46"/>
        <v>0.87167857090552969</v>
      </c>
      <c r="M419" s="994">
        <f t="shared" si="48"/>
        <v>1.0460142850866356</v>
      </c>
      <c r="N419" s="995">
        <v>2</v>
      </c>
      <c r="O419" s="997">
        <v>0.90985277816053967</v>
      </c>
      <c r="P419" s="22">
        <f t="shared" si="49"/>
        <v>0.13616150692609597</v>
      </c>
      <c r="Q419" s="982">
        <f t="shared" si="50"/>
        <v>14.965224066400637</v>
      </c>
      <c r="R419" s="6"/>
      <c r="S419" s="6"/>
      <c r="T419" s="6"/>
      <c r="U419" s="6"/>
      <c r="V419" s="6"/>
      <c r="W419" s="6"/>
      <c r="X419" s="6"/>
      <c r="Y419" s="6"/>
      <c r="Z419" s="6"/>
    </row>
    <row r="420" spans="1:26" s="93" customFormat="1" ht="15.75">
      <c r="A420" s="905">
        <v>35</v>
      </c>
      <c r="B420" s="285" t="s">
        <v>751</v>
      </c>
      <c r="C420" s="886">
        <f>cходова!R420</f>
        <v>0</v>
      </c>
      <c r="D420" s="886">
        <f>прибуд.!O420</f>
        <v>0.26578838209300554</v>
      </c>
      <c r="E420" s="886">
        <f>гар.вода!M420+хол.вода!Q420+ц.о.!M420+каналізація!Q420+аварійні!I420+зварювальн!M420</f>
        <v>0.24110523970832026</v>
      </c>
      <c r="F420" s="886">
        <f>дератизац.!I420</f>
        <v>7.458710708577518E-4</v>
      </c>
      <c r="G420" s="886">
        <f>димоканал!R420</f>
        <v>5.9778211035168083E-3</v>
      </c>
      <c r="H420" s="886">
        <f>'підготовка до зими'!M420+майстерні!M420+маляри!M421+покрівлі!O420</f>
        <v>0.4032474732497785</v>
      </c>
      <c r="I420" s="886">
        <f>електрики!R420</f>
        <v>2.2507396694999671E-2</v>
      </c>
      <c r="J420" s="989">
        <f t="shared" si="47"/>
        <v>0.9393721839204785</v>
      </c>
      <c r="K420" s="989">
        <v>2.3999420482369412E-2</v>
      </c>
      <c r="L420" s="994">
        <f t="shared" si="46"/>
        <v>0.96337160440284786</v>
      </c>
      <c r="M420" s="994">
        <f t="shared" si="48"/>
        <v>1.1560459252834174</v>
      </c>
      <c r="N420" s="995">
        <v>2</v>
      </c>
      <c r="O420" s="997">
        <v>0.98877612387361991</v>
      </c>
      <c r="P420" s="22">
        <f t="shared" si="49"/>
        <v>0.16726980140979752</v>
      </c>
      <c r="Q420" s="982">
        <f t="shared" si="50"/>
        <v>16.9168528012694</v>
      </c>
      <c r="R420" s="6"/>
      <c r="S420" s="6"/>
      <c r="T420" s="6"/>
      <c r="U420" s="6"/>
      <c r="V420" s="6"/>
      <c r="W420" s="6"/>
      <c r="X420" s="6"/>
      <c r="Y420" s="6"/>
      <c r="Z420" s="6"/>
    </row>
    <row r="421" spans="1:26" s="93" customFormat="1" ht="15.75">
      <c r="A421" s="905">
        <v>36</v>
      </c>
      <c r="B421" s="285" t="s">
        <v>752</v>
      </c>
      <c r="C421" s="886">
        <f>cходова!R421</f>
        <v>0.48962260431948268</v>
      </c>
      <c r="D421" s="886">
        <f>прибуд.!O421</f>
        <v>0.30991494249869461</v>
      </c>
      <c r="E421" s="886">
        <f>гар.вода!M421+хол.вода!Q421+ц.о.!M421+каналізація!Q421+аварійні!I421+зварювальн!M421</f>
        <v>0.19566715305212407</v>
      </c>
      <c r="F421" s="886">
        <f>дератизац.!I421</f>
        <v>1.4428229862313464E-3</v>
      </c>
      <c r="G421" s="886">
        <f>димоканал!R421</f>
        <v>2.798499456188688E-2</v>
      </c>
      <c r="H421" s="886">
        <f>'підготовка до зими'!M421+майстерні!M421+маляри!M422+покрівлі!O421</f>
        <v>0.25029200777721317</v>
      </c>
      <c r="I421" s="886">
        <f>електрики!R421</f>
        <v>1.6040540352157327E-2</v>
      </c>
      <c r="J421" s="989">
        <f t="shared" si="47"/>
        <v>1.29096506554779</v>
      </c>
      <c r="K421" s="989">
        <v>3.2542584850127954E-2</v>
      </c>
      <c r="L421" s="994">
        <f t="shared" si="46"/>
        <v>1.323507650397918</v>
      </c>
      <c r="M421" s="994">
        <f t="shared" si="48"/>
        <v>1.5882091804775016</v>
      </c>
      <c r="N421" s="995">
        <v>3</v>
      </c>
      <c r="O421" s="997">
        <v>1.3407544958252717</v>
      </c>
      <c r="P421" s="22">
        <f t="shared" si="49"/>
        <v>0.24745468465222986</v>
      </c>
      <c r="Q421" s="982">
        <f t="shared" si="50"/>
        <v>18.456375527565513</v>
      </c>
      <c r="R421" s="6"/>
      <c r="S421" s="6"/>
      <c r="T421" s="6"/>
      <c r="U421" s="6"/>
      <c r="V421" s="6"/>
      <c r="W421" s="6"/>
      <c r="X421" s="6"/>
      <c r="Y421" s="6"/>
      <c r="Z421" s="6"/>
    </row>
    <row r="422" spans="1:26" s="93" customFormat="1" ht="15.75">
      <c r="A422" s="906">
        <v>37</v>
      </c>
      <c r="B422" s="285" t="s">
        <v>753</v>
      </c>
      <c r="C422" s="886">
        <f>cходова!R422</f>
        <v>0</v>
      </c>
      <c r="D422" s="886">
        <f>прибуд.!O422</f>
        <v>0.43106738804544825</v>
      </c>
      <c r="E422" s="886">
        <f>гар.вода!M422+хол.вода!Q422+ц.о.!M422+каналізація!Q422+аварійні!I422+зварювальн!M422</f>
        <v>0.23542289259391769</v>
      </c>
      <c r="F422" s="886">
        <f>дератизац.!I422</f>
        <v>3.4155862261257496E-3</v>
      </c>
      <c r="G422" s="886">
        <f>димоканал!R422</f>
        <v>2.6101990490608431E-2</v>
      </c>
      <c r="H422" s="886">
        <f>'підготовка до зими'!M422+майстерні!M422+маляри!M423+покрівлі!O422</f>
        <v>0.30219724897151368</v>
      </c>
      <c r="I422" s="886">
        <f>електрики!R422</f>
        <v>2.169867156629764E-2</v>
      </c>
      <c r="J422" s="989">
        <f t="shared" si="47"/>
        <v>1.0199037778939115</v>
      </c>
      <c r="K422" s="989">
        <v>2.5910583859515699E-2</v>
      </c>
      <c r="L422" s="994">
        <f t="shared" si="46"/>
        <v>1.0458143617534272</v>
      </c>
      <c r="M422" s="994">
        <f t="shared" si="48"/>
        <v>1.2549772341041125</v>
      </c>
      <c r="N422" s="995">
        <v>2</v>
      </c>
      <c r="O422" s="997">
        <v>1.0675160550120468</v>
      </c>
      <c r="P422" s="22">
        <f t="shared" si="49"/>
        <v>0.18746117909206572</v>
      </c>
      <c r="Q422" s="982">
        <f t="shared" si="50"/>
        <v>17.560502084434717</v>
      </c>
      <c r="R422" s="6"/>
      <c r="S422" s="6"/>
      <c r="T422" s="6"/>
      <c r="U422" s="6"/>
      <c r="V422" s="6"/>
      <c r="W422" s="6"/>
      <c r="X422" s="6"/>
      <c r="Y422" s="6"/>
      <c r="Z422" s="6"/>
    </row>
    <row r="423" spans="1:26" s="93" customFormat="1" ht="15.75">
      <c r="A423" s="906">
        <v>38</v>
      </c>
      <c r="B423" s="285" t="s">
        <v>754</v>
      </c>
      <c r="C423" s="886">
        <f>cходова!R423</f>
        <v>0</v>
      </c>
      <c r="D423" s="886">
        <f>прибуд.!O423</f>
        <v>0.50225309479451241</v>
      </c>
      <c r="E423" s="886">
        <f>гар.вода!M423+хол.вода!Q423+ц.о.!M423+каналізація!Q423+аварійні!I423+зварювальн!M423</f>
        <v>0.20343447871472267</v>
      </c>
      <c r="F423" s="886">
        <f>дератизац.!I423</f>
        <v>4.6267735965453425E-3</v>
      </c>
      <c r="G423" s="886">
        <f>димоканал!R423</f>
        <v>2.9290540851071432E-2</v>
      </c>
      <c r="H423" s="886">
        <f>'підготовка до зими'!M423+майстерні!M423+маляри!M424+покрівлі!O423</f>
        <v>0.34153420035281379</v>
      </c>
      <c r="I423" s="886">
        <f>електрики!R423</f>
        <v>1.7146004576656052E-2</v>
      </c>
      <c r="J423" s="989">
        <f t="shared" si="47"/>
        <v>1.0982850928863217</v>
      </c>
      <c r="K423" s="989">
        <v>2.7874491522493501E-2</v>
      </c>
      <c r="L423" s="994">
        <f t="shared" si="46"/>
        <v>1.1261595844088153</v>
      </c>
      <c r="M423" s="994">
        <f t="shared" si="48"/>
        <v>1.3513915012905782</v>
      </c>
      <c r="N423" s="995">
        <v>2</v>
      </c>
      <c r="O423" s="997">
        <v>1.1484290507267323</v>
      </c>
      <c r="P423" s="22">
        <f t="shared" si="49"/>
        <v>0.20296245056384588</v>
      </c>
      <c r="Q423" s="982">
        <f t="shared" si="50"/>
        <v>17.673050889422399</v>
      </c>
      <c r="R423" s="6"/>
      <c r="S423" s="6"/>
      <c r="T423" s="6"/>
      <c r="U423" s="6"/>
      <c r="V423" s="6"/>
      <c r="W423" s="6"/>
      <c r="X423" s="6"/>
      <c r="Y423" s="6"/>
      <c r="Z423" s="6"/>
    </row>
    <row r="424" spans="1:26" s="93" customFormat="1" ht="15.75">
      <c r="A424" s="906">
        <v>39</v>
      </c>
      <c r="B424" s="285" t="s">
        <v>755</v>
      </c>
      <c r="C424" s="886">
        <f>cходова!R424</f>
        <v>0</v>
      </c>
      <c r="D424" s="886">
        <f>прибуд.!O424</f>
        <v>0.41057134751532909</v>
      </c>
      <c r="E424" s="886">
        <f>гар.вода!M424+хол.вода!Q424+ц.о.!M424+каналізація!Q424+аварійні!I424+зварювальн!M424</f>
        <v>0.26098617852343398</v>
      </c>
      <c r="F424" s="886">
        <f>дератизац.!I424</f>
        <v>6.2672961093928059E-3</v>
      </c>
      <c r="G424" s="886">
        <f>димоканал!R424</f>
        <v>3.2644345955329564E-2</v>
      </c>
      <c r="H424" s="886">
        <f>'підготовка до зими'!M424+майстерні!M424+маляри!M425+покрівлі!O424</f>
        <v>0.34718673741972661</v>
      </c>
      <c r="I424" s="886">
        <f>електрики!R424</f>
        <v>2.5336899095727332E-2</v>
      </c>
      <c r="J424" s="989">
        <f t="shared" si="47"/>
        <v>1.0829928046189394</v>
      </c>
      <c r="K424" s="989">
        <v>2.753819805083128E-2</v>
      </c>
      <c r="L424" s="994">
        <f t="shared" si="46"/>
        <v>1.1105310026697708</v>
      </c>
      <c r="M424" s="994">
        <f t="shared" si="48"/>
        <v>1.3326372032037248</v>
      </c>
      <c r="N424" s="995">
        <v>2</v>
      </c>
      <c r="O424" s="997">
        <v>1.1345737596942487</v>
      </c>
      <c r="P424" s="22">
        <f t="shared" si="49"/>
        <v>0.19806344350947613</v>
      </c>
      <c r="Q424" s="982">
        <f t="shared" si="50"/>
        <v>17.457079525869815</v>
      </c>
      <c r="R424" s="6"/>
      <c r="S424" s="6"/>
      <c r="T424" s="6"/>
      <c r="U424" s="6"/>
      <c r="V424" s="6"/>
      <c r="W424" s="6"/>
      <c r="X424" s="6"/>
      <c r="Y424" s="6"/>
      <c r="Z424" s="6"/>
    </row>
    <row r="425" spans="1:26" s="93" customFormat="1" ht="15.75">
      <c r="A425" s="906">
        <v>40</v>
      </c>
      <c r="B425" s="285" t="s">
        <v>756</v>
      </c>
      <c r="C425" s="886">
        <f>cходова!R425</f>
        <v>0</v>
      </c>
      <c r="D425" s="886">
        <f>прибуд.!O425</f>
        <v>0.364156388172304</v>
      </c>
      <c r="E425" s="886">
        <f>гар.вода!M425+хол.вода!Q425+ц.о.!M425+каналізація!Q425+аварійні!I425+зварювальн!M425</f>
        <v>0.24883524284620215</v>
      </c>
      <c r="F425" s="886">
        <f>дератизац.!I425</f>
        <v>1.6987714242378282E-3</v>
      </c>
      <c r="G425" s="886">
        <f>димоканал!R425</f>
        <v>2.7183533120252575E-2</v>
      </c>
      <c r="H425" s="886">
        <f>'підготовка до зими'!M425+майстерні!M425+маляри!M426+покрівлі!O425</f>
        <v>0.39333939764597636</v>
      </c>
      <c r="I425" s="886">
        <f>електрики!R425</f>
        <v>2.3607549089193536E-2</v>
      </c>
      <c r="J425" s="989">
        <f t="shared" si="47"/>
        <v>1.0588208822981664</v>
      </c>
      <c r="K425" s="989">
        <v>2.695175838646802E-2</v>
      </c>
      <c r="L425" s="994">
        <f t="shared" si="46"/>
        <v>1.0857726406846344</v>
      </c>
      <c r="M425" s="994">
        <f t="shared" si="48"/>
        <v>1.3029271688215613</v>
      </c>
      <c r="N425" s="995">
        <v>2</v>
      </c>
      <c r="O425" s="997">
        <v>1.1104124455224824</v>
      </c>
      <c r="P425" s="22">
        <f t="shared" si="49"/>
        <v>0.19251472329907893</v>
      </c>
      <c r="Q425" s="982">
        <f t="shared" si="50"/>
        <v>17.33722672826265</v>
      </c>
      <c r="R425" s="6"/>
      <c r="S425" s="6"/>
      <c r="T425" s="6"/>
      <c r="U425" s="6"/>
      <c r="V425" s="6"/>
      <c r="W425" s="6"/>
      <c r="X425" s="6"/>
      <c r="Y425" s="6"/>
      <c r="Z425" s="6"/>
    </row>
    <row r="426" spans="1:26" s="93" customFormat="1" ht="15.75">
      <c r="A426" s="906">
        <v>41</v>
      </c>
      <c r="B426" s="285" t="s">
        <v>757</v>
      </c>
      <c r="C426" s="886">
        <f>cходова!R426</f>
        <v>0</v>
      </c>
      <c r="D426" s="886">
        <f>прибуд.!O426</f>
        <v>0.47046619125646655</v>
      </c>
      <c r="E426" s="886">
        <f>гар.вода!M426+хол.вода!Q426+ц.о.!M426+каналізація!Q426+аварійні!I426+зварювальн!M426</f>
        <v>0.25439990618359754</v>
      </c>
      <c r="F426" s="886">
        <f>дератизац.!I426</f>
        <v>8.6416366201599003E-3</v>
      </c>
      <c r="G426" s="886">
        <f>димоканал!R426</f>
        <v>3.1381204828874201E-2</v>
      </c>
      <c r="H426" s="886">
        <f>'підготовка до зими'!M426+майстерні!M426+маляри!M427+покрівлі!O426</f>
        <v>0.39905954427516532</v>
      </c>
      <c r="I426" s="886">
        <f>електрики!R426</f>
        <v>2.4399525183422636E-2</v>
      </c>
      <c r="J426" s="989">
        <f t="shared" si="47"/>
        <v>1.1883480083476861</v>
      </c>
      <c r="K426" s="989">
        <v>3.0196046262667593E-2</v>
      </c>
      <c r="L426" s="994">
        <f t="shared" si="46"/>
        <v>1.2185440546103536</v>
      </c>
      <c r="M426" s="994">
        <f t="shared" si="48"/>
        <v>1.4622528655324243</v>
      </c>
      <c r="N426" s="995">
        <v>2</v>
      </c>
      <c r="O426" s="997">
        <v>1.2440771060219049</v>
      </c>
      <c r="P426" s="22">
        <f t="shared" si="49"/>
        <v>0.21817575951051937</v>
      </c>
      <c r="Q426" s="982">
        <f t="shared" si="50"/>
        <v>17.53715733972183</v>
      </c>
      <c r="R426" s="6"/>
      <c r="S426" s="6"/>
      <c r="T426" s="6"/>
      <c r="U426" s="6"/>
      <c r="V426" s="6"/>
      <c r="W426" s="6"/>
      <c r="X426" s="6"/>
      <c r="Y426" s="6"/>
      <c r="Z426" s="6"/>
    </row>
    <row r="427" spans="1:26" s="93" customFormat="1" ht="15.75">
      <c r="A427" s="905">
        <v>42</v>
      </c>
      <c r="B427" s="285" t="s">
        <v>758</v>
      </c>
      <c r="C427" s="886">
        <f>cходова!R427</f>
        <v>0.48505284461655895</v>
      </c>
      <c r="D427" s="886">
        <f>прибуд.!O427</f>
        <v>0.13808391174245402</v>
      </c>
      <c r="E427" s="886">
        <f>гар.вода!M427+хол.вода!Q427+ц.о.!M427+каналізація!Q427+аварійні!I427+зварювальн!M427</f>
        <v>0.25473650878387089</v>
      </c>
      <c r="F427" s="886">
        <f>дератизац.!I427</f>
        <v>5.9785596481583296E-3</v>
      </c>
      <c r="G427" s="886">
        <f>димоканал!R427</f>
        <v>2.6102235689712365E-2</v>
      </c>
      <c r="H427" s="886">
        <f>'підготовка до зими'!M427+майстерні!M427+маляри!M428+покрівлі!O427</f>
        <v>0.19399489188276609</v>
      </c>
      <c r="I427" s="886">
        <f>електрики!R427</f>
        <v>2.444743126443933E-2</v>
      </c>
      <c r="J427" s="989">
        <f t="shared" si="47"/>
        <v>1.12839638362796</v>
      </c>
      <c r="K427" s="989">
        <v>2.8532025279606396E-2</v>
      </c>
      <c r="L427" s="994">
        <f t="shared" si="46"/>
        <v>1.1569284089075664</v>
      </c>
      <c r="M427" s="994">
        <f t="shared" si="48"/>
        <v>1.3883140906890796</v>
      </c>
      <c r="N427" s="995">
        <v>3</v>
      </c>
      <c r="O427" s="997">
        <v>1.1755194415197836</v>
      </c>
      <c r="P427" s="22">
        <f t="shared" si="49"/>
        <v>0.21279464916929602</v>
      </c>
      <c r="Q427" s="982">
        <f t="shared" si="50"/>
        <v>18.102180334353463</v>
      </c>
      <c r="R427" s="6"/>
      <c r="S427" s="6"/>
      <c r="T427" s="6"/>
      <c r="U427" s="6"/>
      <c r="V427" s="6"/>
      <c r="W427" s="6"/>
      <c r="X427" s="6"/>
      <c r="Y427" s="6"/>
      <c r="Z427" s="6"/>
    </row>
    <row r="428" spans="1:26" s="93" customFormat="1" ht="15.75">
      <c r="A428" s="905">
        <v>43</v>
      </c>
      <c r="B428" s="285" t="s">
        <v>759</v>
      </c>
      <c r="C428" s="886">
        <f>cходова!R428</f>
        <v>0.5355307506755983</v>
      </c>
      <c r="D428" s="886">
        <f>прибуд.!O428</f>
        <v>0.32138880574834544</v>
      </c>
      <c r="E428" s="886">
        <f>гар.вода!M428+хол.вода!Q428+ц.о.!M428+каналізація!Q428+аварійні!I428+зварювальн!M428</f>
        <v>0.23330300242856974</v>
      </c>
      <c r="F428" s="886">
        <f>дератизац.!I428</f>
        <v>3.5743042872012419E-3</v>
      </c>
      <c r="G428" s="886">
        <f>димоканал!R428</f>
        <v>2.6606239359958303E-2</v>
      </c>
      <c r="H428" s="886">
        <f>'підготовка до зими'!M428+майстерні!M428+маляри!M429+покрівлі!O428</f>
        <v>0.23382387429324158</v>
      </c>
      <c r="I428" s="886">
        <f>електрики!R428</f>
        <v>2.1396963766283136E-2</v>
      </c>
      <c r="J428" s="989">
        <f t="shared" si="47"/>
        <v>1.3756239405591977</v>
      </c>
      <c r="K428" s="989">
        <v>3.4446469178747399E-2</v>
      </c>
      <c r="L428" s="994">
        <f t="shared" si="46"/>
        <v>1.4100704097379451</v>
      </c>
      <c r="M428" s="994">
        <f t="shared" si="48"/>
        <v>1.692084491685534</v>
      </c>
      <c r="N428" s="995">
        <v>3</v>
      </c>
      <c r="O428" s="997">
        <v>1.4191945301643929</v>
      </c>
      <c r="P428" s="22">
        <f t="shared" si="49"/>
        <v>0.27288996152114109</v>
      </c>
      <c r="Q428" s="982">
        <f t="shared" si="50"/>
        <v>19.228509955540105</v>
      </c>
      <c r="R428" s="6"/>
      <c r="S428" s="6"/>
      <c r="T428" s="6"/>
      <c r="U428" s="6"/>
      <c r="V428" s="6"/>
      <c r="W428" s="6"/>
      <c r="X428" s="6"/>
      <c r="Y428" s="6"/>
      <c r="Z428" s="6"/>
    </row>
    <row r="429" spans="1:26" s="93" customFormat="1" ht="15.75">
      <c r="A429" s="906">
        <v>44</v>
      </c>
      <c r="B429" s="285" t="s">
        <v>760</v>
      </c>
      <c r="C429" s="886">
        <f>cходова!R429</f>
        <v>0</v>
      </c>
      <c r="D429" s="886">
        <f>прибуд.!O429</f>
        <v>0.39527119561587121</v>
      </c>
      <c r="E429" s="886">
        <f>гар.вода!M429+хол.вода!Q429+ц.о.!M429+каналізація!Q429+аварійні!I429+зварювальн!M429</f>
        <v>0.27058899367952044</v>
      </c>
      <c r="F429" s="886">
        <f>дератизац.!I429</f>
        <v>5.2842878221185195E-3</v>
      </c>
      <c r="G429" s="886">
        <f>димоканал!R429</f>
        <v>3.2243866621407567E-2</v>
      </c>
      <c r="H429" s="886">
        <f>'підготовка до зими'!M429+майстерні!M429+маляри!M430+покрівлі!O429</f>
        <v>0.31603508972029964</v>
      </c>
      <c r="I429" s="886">
        <f>електрики!R429</f>
        <v>2.6703594541579966E-2</v>
      </c>
      <c r="J429" s="989">
        <f t="shared" si="47"/>
        <v>1.0461270280007973</v>
      </c>
      <c r="K429" s="989">
        <v>2.6596547880648417E-2</v>
      </c>
      <c r="L429" s="994">
        <f t="shared" si="46"/>
        <v>1.0727235758814457</v>
      </c>
      <c r="M429" s="994">
        <f t="shared" si="48"/>
        <v>1.2872682910577349</v>
      </c>
      <c r="N429" s="995">
        <v>2</v>
      </c>
      <c r="O429" s="997">
        <v>1.0957777726827149</v>
      </c>
      <c r="P429" s="22">
        <f t="shared" si="49"/>
        <v>0.19149051837501996</v>
      </c>
      <c r="Q429" s="982">
        <f t="shared" si="50"/>
        <v>17.475305956079694</v>
      </c>
      <c r="R429" s="6"/>
      <c r="S429" s="6"/>
      <c r="T429" s="6"/>
      <c r="U429" s="6"/>
      <c r="V429" s="6"/>
      <c r="W429" s="6"/>
      <c r="X429" s="6"/>
      <c r="Y429" s="6"/>
      <c r="Z429" s="6"/>
    </row>
    <row r="430" spans="1:26" s="93" customFormat="1" ht="15.75">
      <c r="A430" s="906">
        <v>45</v>
      </c>
      <c r="B430" s="285" t="s">
        <v>761</v>
      </c>
      <c r="C430" s="886">
        <f>cходова!R430</f>
        <v>0.65532654481274777</v>
      </c>
      <c r="D430" s="886">
        <f>прибуд.!O430</f>
        <v>0.21311918049227255</v>
      </c>
      <c r="E430" s="886">
        <f>гар.вода!M430+хол.вода!Q430+ц.о.!M430+каналізація!Q430+аварійні!I430+зварювальн!M430</f>
        <v>0.24110949878981747</v>
      </c>
      <c r="F430" s="886">
        <f>дератизац.!I430</f>
        <v>3.3483136068345647E-3</v>
      </c>
      <c r="G430" s="886">
        <f>димоканал!R430</f>
        <v>2.8175914102477606E-2</v>
      </c>
      <c r="H430" s="886">
        <f>'підготовка до зими'!M430+майстерні!M430+маляри!M431+покрівлі!O430</f>
        <v>0.24271633888049599</v>
      </c>
      <c r="I430" s="886">
        <f>електрики!R430</f>
        <v>2.2508002857587524E-2</v>
      </c>
      <c r="J430" s="989">
        <f t="shared" si="47"/>
        <v>1.4063037935422336</v>
      </c>
      <c r="K430" s="989">
        <v>3.5422073557611164E-2</v>
      </c>
      <c r="L430" s="994">
        <f t="shared" si="46"/>
        <v>1.4417258670998447</v>
      </c>
      <c r="M430" s="994">
        <f t="shared" si="48"/>
        <v>1.7300710405198136</v>
      </c>
      <c r="N430" s="995">
        <v>3</v>
      </c>
      <c r="O430" s="997">
        <v>1.4593894305735799</v>
      </c>
      <c r="P430" s="22">
        <f t="shared" si="49"/>
        <v>0.27068160994623369</v>
      </c>
      <c r="Q430" s="982">
        <f t="shared" si="50"/>
        <v>18.547592868330455</v>
      </c>
      <c r="R430" s="6"/>
      <c r="S430" s="6"/>
      <c r="T430" s="6"/>
      <c r="U430" s="6"/>
      <c r="V430" s="6"/>
      <c r="W430" s="6"/>
      <c r="X430" s="6"/>
      <c r="Y430" s="6"/>
      <c r="Z430" s="6"/>
    </row>
    <row r="431" spans="1:26" s="93" customFormat="1" ht="15.75">
      <c r="A431" s="906">
        <v>46</v>
      </c>
      <c r="B431" s="285" t="s">
        <v>763</v>
      </c>
      <c r="C431" s="886">
        <f>cходова!R431</f>
        <v>0.71944946509867469</v>
      </c>
      <c r="D431" s="886">
        <f>прибуд.!O431</f>
        <v>0.22307957833254896</v>
      </c>
      <c r="E431" s="886">
        <f>гар.вода!M431+хол.вода!Q431+ц.о.!M431+каналізація!Q431+аварійні!I431+зварювальн!M431</f>
        <v>0.19993466384094893</v>
      </c>
      <c r="F431" s="886">
        <f>дератизац.!I431</f>
        <v>4.7169811320754724E-3</v>
      </c>
      <c r="G431" s="886">
        <f>димоканал!R431</f>
        <v>2.1600592949599238E-2</v>
      </c>
      <c r="H431" s="886">
        <f>'підготовка до зими'!M431+майстерні!M431+маляри!M432+покрівлі!O431</f>
        <v>0.26507536812051463</v>
      </c>
      <c r="I431" s="886">
        <f>електрики!R431</f>
        <v>1.6647902616807105E-2</v>
      </c>
      <c r="J431" s="989">
        <f t="shared" si="47"/>
        <v>1.450504552091169</v>
      </c>
      <c r="K431" s="989">
        <v>3.634577698384666E-2</v>
      </c>
      <c r="L431" s="994">
        <f t="shared" si="46"/>
        <v>1.4868503290750157</v>
      </c>
      <c r="M431" s="994">
        <f t="shared" si="48"/>
        <v>1.7842203948900188</v>
      </c>
      <c r="N431" s="995">
        <v>3</v>
      </c>
      <c r="O431" s="997">
        <v>1.4974460117344826</v>
      </c>
      <c r="P431" s="22">
        <f t="shared" si="49"/>
        <v>0.28677438315553627</v>
      </c>
      <c r="Q431" s="982">
        <f t="shared" si="50"/>
        <v>19.150899659037933</v>
      </c>
      <c r="R431" s="6"/>
      <c r="S431" s="6"/>
      <c r="T431" s="6"/>
      <c r="U431" s="6"/>
      <c r="V431" s="6"/>
      <c r="W431" s="6"/>
      <c r="X431" s="6"/>
      <c r="Y431" s="6"/>
      <c r="Z431" s="6"/>
    </row>
    <row r="432" spans="1:26" s="93" customFormat="1" ht="15.75">
      <c r="A432" s="906">
        <v>47</v>
      </c>
      <c r="B432" s="285" t="s">
        <v>764</v>
      </c>
      <c r="C432" s="886">
        <f>cходова!R432</f>
        <v>0</v>
      </c>
      <c r="D432" s="886">
        <f>прибуд.!O432</f>
        <v>0</v>
      </c>
      <c r="E432" s="886">
        <f>гар.вода!M432+хол.вода!Q432+ц.о.!M432+каналізація!Q432+аварійні!I432+зварювальн!M432</f>
        <v>0.22005388563049605</v>
      </c>
      <c r="F432" s="886">
        <f>дератизац.!I432</f>
        <v>2.4444842406876797E-3</v>
      </c>
      <c r="G432" s="886">
        <f>димоканал!R432</f>
        <v>1.835670174864697E-2</v>
      </c>
      <c r="H432" s="886">
        <f>'підготовка до зими'!M432+майстерні!M432+маляри!M433+покрівлі!O432</f>
        <v>0.43785724556735284</v>
      </c>
      <c r="I432" s="886">
        <f>електрики!R432</f>
        <v>2.5384715703992804E-2</v>
      </c>
      <c r="J432" s="989">
        <f t="shared" si="47"/>
        <v>0.70409703289117631</v>
      </c>
      <c r="K432" s="989">
        <v>1.8220902773109261E-2</v>
      </c>
      <c r="L432" s="994">
        <f t="shared" si="46"/>
        <v>0.72231793566428559</v>
      </c>
      <c r="M432" s="994">
        <f t="shared" si="48"/>
        <v>0.86678152279714271</v>
      </c>
      <c r="N432" s="995">
        <v>3</v>
      </c>
      <c r="O432" s="997">
        <v>0.75070119425210169</v>
      </c>
      <c r="P432" s="22">
        <f t="shared" si="49"/>
        <v>0.11608032854504102</v>
      </c>
      <c r="Q432" s="982">
        <f t="shared" si="50"/>
        <v>15.462920458077605</v>
      </c>
      <c r="R432" s="6"/>
      <c r="S432" s="6"/>
      <c r="T432" s="6"/>
      <c r="U432" s="6"/>
      <c r="V432" s="6"/>
      <c r="W432" s="6"/>
      <c r="X432" s="6"/>
      <c r="Y432" s="6"/>
      <c r="Z432" s="6"/>
    </row>
    <row r="433" spans="1:26" s="93" customFormat="1" ht="15.75">
      <c r="A433" s="906">
        <v>48</v>
      </c>
      <c r="B433" s="285" t="s">
        <v>765</v>
      </c>
      <c r="C433" s="886">
        <f>cходова!R433</f>
        <v>0</v>
      </c>
      <c r="D433" s="886">
        <f>прибуд.!O433</f>
        <v>0</v>
      </c>
      <c r="E433" s="886">
        <f>гар.вода!M433+хол.вода!Q433+ц.о.!M433+каналізація!Q433+аварійні!I433+зварювальн!M433</f>
        <v>0.24794936819087074</v>
      </c>
      <c r="F433" s="886">
        <f>дератизац.!I433</f>
        <v>8.7653128960231731E-3</v>
      </c>
      <c r="G433" s="886">
        <f>димоканал!R433</f>
        <v>2.238392611044954E-2</v>
      </c>
      <c r="H433" s="886">
        <f>'підготовка до зими'!M433+майстерні!M433+маляри!M434+покрівлі!O433</f>
        <v>0.4766823564845154</v>
      </c>
      <c r="I433" s="886">
        <f>електрики!R433</f>
        <v>2.348146930557193E-2</v>
      </c>
      <c r="J433" s="989">
        <f t="shared" si="47"/>
        <v>0.77926243298743092</v>
      </c>
      <c r="K433" s="989">
        <v>2.0158895660148137E-2</v>
      </c>
      <c r="L433" s="994">
        <f t="shared" si="46"/>
        <v>0.79942132864757909</v>
      </c>
      <c r="M433" s="994">
        <f t="shared" si="48"/>
        <v>0.95930559437709484</v>
      </c>
      <c r="N433" s="995">
        <v>2</v>
      </c>
      <c r="O433" s="997">
        <v>0.83054650119810336</v>
      </c>
      <c r="P433" s="22">
        <f t="shared" si="49"/>
        <v>0.12875909317899148</v>
      </c>
      <c r="Q433" s="982">
        <f t="shared" si="50"/>
        <v>15.502936078022159</v>
      </c>
      <c r="R433" s="6"/>
      <c r="S433" s="6"/>
      <c r="T433" s="6"/>
      <c r="U433" s="6"/>
      <c r="V433" s="6"/>
      <c r="W433" s="6"/>
      <c r="X433" s="6"/>
      <c r="Y433" s="6"/>
      <c r="Z433" s="6"/>
    </row>
    <row r="434" spans="1:26" s="93" customFormat="1" ht="15.75">
      <c r="A434" s="905">
        <v>49</v>
      </c>
      <c r="B434" s="285" t="s">
        <v>766</v>
      </c>
      <c r="C434" s="886">
        <f>cходова!R434</f>
        <v>0</v>
      </c>
      <c r="D434" s="886">
        <f>прибуд.!O434</f>
        <v>0.54937969932214337</v>
      </c>
      <c r="E434" s="886">
        <f>гар.вода!M434+хол.вода!Q434+ц.о.!M434+каналізація!Q434+аварійні!I434+зварювальн!M434</f>
        <v>0.18886261109177285</v>
      </c>
      <c r="F434" s="886">
        <f>дератизац.!I434</f>
        <v>0</v>
      </c>
      <c r="G434" s="886">
        <f>димоканал!R434</f>
        <v>2.2273840151565579E-2</v>
      </c>
      <c r="H434" s="886">
        <f>'підготовка до зими'!M434+майстерні!M434+маляри!M435+покрівлі!O434</f>
        <v>0.56331091430705948</v>
      </c>
      <c r="I434" s="886">
        <f>електрики!R434</f>
        <v>1.5072101789385371E-2</v>
      </c>
      <c r="J434" s="989">
        <f t="shared" si="47"/>
        <v>1.3388991666619265</v>
      </c>
      <c r="K434" s="989">
        <v>3.3780938025315684E-2</v>
      </c>
      <c r="L434" s="994">
        <f t="shared" si="46"/>
        <v>1.3726801046872423</v>
      </c>
      <c r="M434" s="994">
        <f t="shared" si="48"/>
        <v>1.6472161256246907</v>
      </c>
      <c r="N434" s="995">
        <v>2</v>
      </c>
      <c r="O434" s="997">
        <v>1.3917746466430063</v>
      </c>
      <c r="P434" s="22">
        <f t="shared" si="49"/>
        <v>0.25544147898168434</v>
      </c>
      <c r="Q434" s="982">
        <f t="shared" si="50"/>
        <v>18.353652266752761</v>
      </c>
      <c r="R434" s="6"/>
      <c r="S434" s="6"/>
      <c r="T434" s="6"/>
      <c r="U434" s="6"/>
      <c r="V434" s="6"/>
      <c r="W434" s="6"/>
      <c r="X434" s="6"/>
      <c r="Y434" s="6"/>
      <c r="Z434" s="6"/>
    </row>
    <row r="435" spans="1:26" s="93" customFormat="1" ht="15.75">
      <c r="A435" s="905">
        <v>50</v>
      </c>
      <c r="B435" s="285" t="s">
        <v>767</v>
      </c>
      <c r="C435" s="886">
        <f>cходова!R435</f>
        <v>0</v>
      </c>
      <c r="D435" s="886">
        <f>прибуд.!O435</f>
        <v>0.72579738363080348</v>
      </c>
      <c r="E435" s="886">
        <f>гар.вода!M435+хол.вода!Q435+ц.о.!M435+каналізація!Q435+аварійні!I435+зварювальн!M435</f>
        <v>0.2197762052934403</v>
      </c>
      <c r="F435" s="886">
        <f>дератизац.!I435</f>
        <v>0</v>
      </c>
      <c r="G435" s="886">
        <f>димоканал!R435</f>
        <v>2.87757951582778E-2</v>
      </c>
      <c r="H435" s="886">
        <f>'підготовка до зими'!M435+майстерні!M435+маляри!M436+покрівлі!O435</f>
        <v>0.36432994662585938</v>
      </c>
      <c r="I435" s="886">
        <f>електрики!R435</f>
        <v>1.9471797891374428E-2</v>
      </c>
      <c r="J435" s="989">
        <f t="shared" si="47"/>
        <v>1.3581511285997554</v>
      </c>
      <c r="K435" s="989">
        <v>3.4064772652109797E-2</v>
      </c>
      <c r="L435" s="994">
        <f t="shared" si="46"/>
        <v>1.3922159012518651</v>
      </c>
      <c r="M435" s="994">
        <f t="shared" si="48"/>
        <v>1.6706590815022382</v>
      </c>
      <c r="N435" s="995">
        <v>2</v>
      </c>
      <c r="O435" s="997">
        <v>1.4034686332669235</v>
      </c>
      <c r="P435" s="22">
        <f t="shared" si="49"/>
        <v>0.26719044823531468</v>
      </c>
      <c r="Q435" s="982">
        <f t="shared" si="50"/>
        <v>19.037863896777111</v>
      </c>
      <c r="R435" s="6"/>
      <c r="S435" s="6"/>
      <c r="T435" s="6"/>
      <c r="U435" s="6"/>
      <c r="V435" s="6"/>
      <c r="W435" s="6"/>
      <c r="X435" s="6"/>
      <c r="Y435" s="6"/>
      <c r="Z435" s="6"/>
    </row>
    <row r="436" spans="1:26" s="93" customFormat="1" ht="15.75">
      <c r="A436" s="906">
        <v>51</v>
      </c>
      <c r="B436" s="285" t="s">
        <v>768</v>
      </c>
      <c r="C436" s="886">
        <f>cходова!R436</f>
        <v>0</v>
      </c>
      <c r="D436" s="886">
        <f>прибуд.!O436</f>
        <v>0.4280124002686202</v>
      </c>
      <c r="E436" s="886">
        <f>гар.вода!M436+хол.вода!Q436+ц.о.!M436+каналізація!Q436+аварійні!I436+зварювальн!M436</f>
        <v>0.28325556974132277</v>
      </c>
      <c r="F436" s="886">
        <f>дератизац.!I436</f>
        <v>4.4289044289044293E-3</v>
      </c>
      <c r="G436" s="886">
        <f>димоканал!R436</f>
        <v>4.7819013814760288E-2</v>
      </c>
      <c r="H436" s="886">
        <f>'підготовка до зими'!M436+майстерні!M436+маляри!M437+покрівлі!O436</f>
        <v>0.33198323205138947</v>
      </c>
      <c r="I436" s="886">
        <f>електрики!R436</f>
        <v>3.0496798763726091E-2</v>
      </c>
      <c r="J436" s="989">
        <f t="shared" si="47"/>
        <v>1.1259959190687232</v>
      </c>
      <c r="K436" s="989">
        <v>2.8588659390697928E-2</v>
      </c>
      <c r="L436" s="994">
        <f t="shared" si="46"/>
        <v>1.1545845784594211</v>
      </c>
      <c r="M436" s="994">
        <f t="shared" si="48"/>
        <v>1.3855014941513053</v>
      </c>
      <c r="N436" s="995">
        <v>2</v>
      </c>
      <c r="O436" s="997">
        <v>1.1778527668967547</v>
      </c>
      <c r="P436" s="22">
        <f t="shared" si="49"/>
        <v>0.20764872725455064</v>
      </c>
      <c r="Q436" s="982">
        <f t="shared" si="50"/>
        <v>17.629429848149456</v>
      </c>
      <c r="R436" s="6"/>
      <c r="S436" s="6"/>
      <c r="T436" s="6"/>
      <c r="U436" s="6"/>
      <c r="V436" s="6"/>
      <c r="W436" s="6"/>
      <c r="X436" s="6"/>
      <c r="Y436" s="6"/>
      <c r="Z436" s="6"/>
    </row>
    <row r="437" spans="1:26" s="93" customFormat="1" ht="15.75">
      <c r="A437" s="906">
        <v>52</v>
      </c>
      <c r="B437" s="285" t="s">
        <v>769</v>
      </c>
      <c r="C437" s="886">
        <f>cходова!R437</f>
        <v>0</v>
      </c>
      <c r="D437" s="886">
        <f>прибуд.!O437</f>
        <v>0.27314854704196789</v>
      </c>
      <c r="E437" s="886">
        <f>гар.вода!M437+хол.вода!Q437+ц.о.!M437+каналізація!Q437+аварійні!I437+зварювальн!M437</f>
        <v>0.27580325884641638</v>
      </c>
      <c r="F437" s="886">
        <f>дератизац.!I437</f>
        <v>5.5545759125374726E-3</v>
      </c>
      <c r="G437" s="886">
        <f>димоканал!R437</f>
        <v>3.0601168475786145E-2</v>
      </c>
      <c r="H437" s="886">
        <f>'підготовка до зими'!M437+майстерні!M437+маляри!M438+покрівлі!O437</f>
        <v>0.32192098221087789</v>
      </c>
      <c r="I437" s="886">
        <f>електрики!R437</f>
        <v>2.7445701136493209E-2</v>
      </c>
      <c r="J437" s="989">
        <f t="shared" si="47"/>
        <v>0.934474233624079</v>
      </c>
      <c r="K437" s="989">
        <v>2.3910294561779597E-2</v>
      </c>
      <c r="L437" s="994">
        <f t="shared" si="46"/>
        <v>0.95838452818585862</v>
      </c>
      <c r="M437" s="994">
        <f t="shared" si="48"/>
        <v>1.1500614338230304</v>
      </c>
      <c r="N437" s="995">
        <v>2</v>
      </c>
      <c r="O437" s="997">
        <v>0.98510413594531943</v>
      </c>
      <c r="P437" s="22">
        <f t="shared" si="49"/>
        <v>0.16495729787771096</v>
      </c>
      <c r="Q437" s="982">
        <f t="shared" si="50"/>
        <v>16.745163466339093</v>
      </c>
      <c r="R437" s="6"/>
      <c r="S437" s="6"/>
      <c r="T437" s="6"/>
      <c r="U437" s="6"/>
      <c r="V437" s="6"/>
      <c r="W437" s="6"/>
      <c r="X437" s="6"/>
      <c r="Y437" s="6"/>
      <c r="Z437" s="6"/>
    </row>
    <row r="438" spans="1:26" s="93" customFormat="1" ht="15.75">
      <c r="A438" s="906">
        <v>53</v>
      </c>
      <c r="B438" s="285" t="s">
        <v>770</v>
      </c>
      <c r="C438" s="886">
        <f>cходова!R438</f>
        <v>0</v>
      </c>
      <c r="D438" s="886">
        <f>прибуд.!O438</f>
        <v>0.28061260227461859</v>
      </c>
      <c r="E438" s="886">
        <f>гар.вода!M438+хол.вода!Q438+ц.о.!M438+каналізація!Q438+аварійні!I438+зварювальн!M438</f>
        <v>0.25992033479814103</v>
      </c>
      <c r="F438" s="886">
        <f>дератизац.!I438</f>
        <v>6.6343042071197412E-3</v>
      </c>
      <c r="G438" s="886">
        <f>димоканал!R438</f>
        <v>2.852650765725516E-2</v>
      </c>
      <c r="H438" s="886">
        <f>'підготовка до зими'!M438+майстерні!M438+маляри!M439+покрівлі!O438</f>
        <v>0.38931696071354882</v>
      </c>
      <c r="I438" s="886">
        <f>електрики!R438</f>
        <v>2.5185205686901781E-2</v>
      </c>
      <c r="J438" s="989">
        <f t="shared" si="47"/>
        <v>0.99019591533758511</v>
      </c>
      <c r="K438" s="989">
        <v>2.5346306267454519E-2</v>
      </c>
      <c r="L438" s="994">
        <f t="shared" si="46"/>
        <v>1.0155422216050396</v>
      </c>
      <c r="M438" s="994">
        <f t="shared" si="48"/>
        <v>1.2186506659260474</v>
      </c>
      <c r="N438" s="995">
        <v>2</v>
      </c>
      <c r="O438" s="997">
        <v>1.0442678182191261</v>
      </c>
      <c r="P438" s="22">
        <f t="shared" si="49"/>
        <v>0.17438284770692136</v>
      </c>
      <c r="Q438" s="982">
        <f t="shared" si="50"/>
        <v>16.699054080236863</v>
      </c>
      <c r="R438" s="6"/>
      <c r="S438" s="6"/>
      <c r="T438" s="6"/>
      <c r="U438" s="6"/>
      <c r="V438" s="6"/>
      <c r="W438" s="6"/>
      <c r="X438" s="6"/>
      <c r="Y438" s="6"/>
      <c r="Z438" s="6"/>
    </row>
    <row r="439" spans="1:26" s="93" customFormat="1" ht="15.75">
      <c r="A439" s="906">
        <v>54</v>
      </c>
      <c r="B439" s="285" t="s">
        <v>780</v>
      </c>
      <c r="C439" s="886">
        <f>cходова!R439</f>
        <v>0</v>
      </c>
      <c r="D439" s="886">
        <f>прибуд.!O439</f>
        <v>0.17262942511945395</v>
      </c>
      <c r="E439" s="886">
        <f>гар.вода!M439+хол.вода!Q439+ц.о.!M439+каналізація!Q439+аварійні!I439+зварювальн!M439</f>
        <v>0.20737623495594262</v>
      </c>
      <c r="F439" s="886">
        <f>дератизац.!I439</f>
        <v>5.3469852104664406E-3</v>
      </c>
      <c r="G439" s="886">
        <f>димоканал!R439</f>
        <v>2.4706708303909863E-2</v>
      </c>
      <c r="H439" s="886">
        <f>'підготовка до зими'!M439+майстерні!M439+маляри!M440+покрівлі!O439</f>
        <v>0.31853227992530408</v>
      </c>
      <c r="I439" s="886">
        <f>електрики!R439</f>
        <v>1.7707004680893403E-2</v>
      </c>
      <c r="J439" s="989">
        <f t="shared" si="47"/>
        <v>0.74629863819597042</v>
      </c>
      <c r="K439" s="989">
        <v>1.9203763538774375E-2</v>
      </c>
      <c r="L439" s="994">
        <f t="shared" si="46"/>
        <v>0.76550240173474482</v>
      </c>
      <c r="M439" s="994">
        <f t="shared" si="48"/>
        <v>0.91860288208169372</v>
      </c>
      <c r="N439" s="995">
        <v>2</v>
      </c>
      <c r="O439" s="997">
        <v>0.79119505779750432</v>
      </c>
      <c r="P439" s="22">
        <f t="shared" si="49"/>
        <v>0.1274078242841894</v>
      </c>
      <c r="Q439" s="982">
        <f t="shared" si="50"/>
        <v>16.103212858642195</v>
      </c>
      <c r="R439" s="6"/>
      <c r="S439" s="6"/>
      <c r="T439" s="6"/>
      <c r="U439" s="6"/>
      <c r="V439" s="6"/>
      <c r="W439" s="6"/>
      <c r="X439" s="6"/>
      <c r="Y439" s="6"/>
      <c r="Z439" s="6"/>
    </row>
    <row r="440" spans="1:26" s="93" customFormat="1" ht="15.75">
      <c r="A440" s="906">
        <v>55</v>
      </c>
      <c r="B440" s="285" t="s">
        <v>781</v>
      </c>
      <c r="C440" s="886">
        <f>cходова!R440</f>
        <v>0</v>
      </c>
      <c r="D440" s="886">
        <f>прибуд.!O440</f>
        <v>0</v>
      </c>
      <c r="E440" s="886">
        <f>гар.вода!M440+хол.вода!Q440+ц.о.!M440+каналізація!Q440+аварійні!I440+зварювальн!M440</f>
        <v>0.17652267887059747</v>
      </c>
      <c r="F440" s="886">
        <f>дератизац.!I440</f>
        <v>5.2900245251810869E-3</v>
      </c>
      <c r="G440" s="886">
        <f>димоканал!R440</f>
        <v>1.9476796209761109E-2</v>
      </c>
      <c r="H440" s="886">
        <f>'підготовка до зими'!M440+майстерні!M440+маляри!M441+покрівлі!O440</f>
        <v>0.37276542150106928</v>
      </c>
      <c r="I440" s="886">
        <f>електрики!R440</f>
        <v>1.3315853346123275E-2</v>
      </c>
      <c r="J440" s="989">
        <f t="shared" si="47"/>
        <v>0.58737077445273222</v>
      </c>
      <c r="K440" s="989">
        <v>1.5274576222741478E-2</v>
      </c>
      <c r="L440" s="994">
        <f t="shared" si="46"/>
        <v>0.60264535067547376</v>
      </c>
      <c r="M440" s="994">
        <f t="shared" si="48"/>
        <v>0.72317442081056849</v>
      </c>
      <c r="N440" s="995">
        <v>2</v>
      </c>
      <c r="O440" s="997">
        <v>0.62931254037694895</v>
      </c>
      <c r="P440" s="22">
        <f t="shared" si="49"/>
        <v>9.3861880433619538E-2</v>
      </c>
      <c r="Q440" s="982">
        <f t="shared" si="50"/>
        <v>14.914986498981506</v>
      </c>
      <c r="R440" s="6"/>
      <c r="S440" s="6"/>
      <c r="T440" s="6"/>
      <c r="U440" s="6"/>
      <c r="V440" s="6"/>
      <c r="W440" s="6"/>
      <c r="X440" s="6"/>
      <c r="Y440" s="6"/>
      <c r="Z440" s="6"/>
    </row>
    <row r="441" spans="1:26" s="93" customFormat="1" ht="15.75">
      <c r="A441" s="905">
        <v>56</v>
      </c>
      <c r="B441" s="285" t="s">
        <v>782</v>
      </c>
      <c r="C441" s="886">
        <f>cходова!R441</f>
        <v>0</v>
      </c>
      <c r="D441" s="886">
        <f>прибуд.!O441</f>
        <v>0</v>
      </c>
      <c r="E441" s="886">
        <f>гар.вода!M441+хол.вода!Q441+ц.о.!M441+каналізація!Q441+аварійні!I441+зварювальн!M441</f>
        <v>0.19551867294246278</v>
      </c>
      <c r="F441" s="886">
        <f>дератизац.!I441</f>
        <v>3.4582132564841502E-3</v>
      </c>
      <c r="G441" s="886">
        <f>димоканал!R441</f>
        <v>3.0917043230183319E-2</v>
      </c>
      <c r="H441" s="886">
        <f>'підготовка до зими'!M441+майстерні!M441+маляри!M442+покрівлі!O441</f>
        <v>0.35843644254743995</v>
      </c>
      <c r="I441" s="886">
        <f>електрики!R441</f>
        <v>1.6019408310524185E-2</v>
      </c>
      <c r="J441" s="989">
        <f t="shared" si="47"/>
        <v>0.6043497802870943</v>
      </c>
      <c r="K441" s="989">
        <v>1.5681513556317535E-2</v>
      </c>
      <c r="L441" s="994">
        <f t="shared" si="46"/>
        <v>0.62003129384341182</v>
      </c>
      <c r="M441" s="994">
        <f t="shared" si="48"/>
        <v>0.74403755261209414</v>
      </c>
      <c r="N441" s="995">
        <v>2</v>
      </c>
      <c r="O441" s="997">
        <v>0.6460783585202825</v>
      </c>
      <c r="P441" s="22">
        <f t="shared" si="49"/>
        <v>9.7959194091811641E-2</v>
      </c>
      <c r="Q441" s="982">
        <f t="shared" si="50"/>
        <v>15.162122798257499</v>
      </c>
      <c r="R441" s="6"/>
      <c r="S441" s="6"/>
      <c r="T441" s="6"/>
      <c r="U441" s="6"/>
      <c r="V441" s="6"/>
      <c r="W441" s="6"/>
      <c r="X441" s="6"/>
      <c r="Y441" s="6"/>
      <c r="Z441" s="6"/>
    </row>
    <row r="442" spans="1:26" s="93" customFormat="1" ht="15.75">
      <c r="A442" s="905">
        <v>57</v>
      </c>
      <c r="B442" s="285" t="s">
        <v>783</v>
      </c>
      <c r="C442" s="886">
        <f>cходова!R442</f>
        <v>0</v>
      </c>
      <c r="D442" s="886">
        <f>прибуд.!O442</f>
        <v>0.22869542294685993</v>
      </c>
      <c r="E442" s="886">
        <f>гар.вода!M442+хол.вода!Q442+ц.о.!M442+каналізація!Q442+аварійні!I442+зварювальн!M442</f>
        <v>0.17794906782809827</v>
      </c>
      <c r="F442" s="886">
        <f>дератизац.!I442</f>
        <v>3.3874329958308524E-3</v>
      </c>
      <c r="G442" s="886">
        <f>димоканал!R442</f>
        <v>2.223806753298407E-2</v>
      </c>
      <c r="H442" s="886">
        <f>'підготовка до зими'!M442+майстерні!M442+маляри!M443+покрівлі!O442</f>
        <v>0.24430146824517213</v>
      </c>
      <c r="I442" s="886">
        <f>електрики!R442</f>
        <v>1.3518860408171669E-2</v>
      </c>
      <c r="J442" s="989">
        <f t="shared" si="47"/>
        <v>0.69009031995711689</v>
      </c>
      <c r="K442" s="989">
        <v>1.7687849646638967E-2</v>
      </c>
      <c r="L442" s="994">
        <f t="shared" si="46"/>
        <v>0.70777816960375584</v>
      </c>
      <c r="M442" s="994">
        <f t="shared" si="48"/>
        <v>0.84933380352450694</v>
      </c>
      <c r="N442" s="995">
        <v>2</v>
      </c>
      <c r="O442" s="997">
        <v>0.72873940544152538</v>
      </c>
      <c r="P442" s="22">
        <f t="shared" si="49"/>
        <v>0.12059439808298156</v>
      </c>
      <c r="Q442" s="982">
        <f t="shared" si="50"/>
        <v>16.548356954831661</v>
      </c>
      <c r="R442" s="6"/>
      <c r="S442" s="6"/>
      <c r="T442" s="6"/>
      <c r="U442" s="6"/>
      <c r="V442" s="6"/>
      <c r="W442" s="6"/>
      <c r="X442" s="6"/>
      <c r="Y442" s="6"/>
      <c r="Z442" s="6"/>
    </row>
    <row r="443" spans="1:26" s="93" customFormat="1" ht="15.75">
      <c r="A443" s="906">
        <v>58</v>
      </c>
      <c r="B443" s="285" t="s">
        <v>784</v>
      </c>
      <c r="C443" s="886">
        <f>cходова!R443</f>
        <v>0.55926971854339236</v>
      </c>
      <c r="D443" s="886">
        <f>прибуд.!O443</f>
        <v>9.2091380395433048E-2</v>
      </c>
      <c r="E443" s="886">
        <f>гар.вода!M443+хол.вода!Q443+ц.о.!M443+каналізація!Q443+аварійні!I443+зварювальн!M443</f>
        <v>0.20754631665812115</v>
      </c>
      <c r="F443" s="886">
        <f>дератизац.!I443</f>
        <v>2.9904306220095698E-3</v>
      </c>
      <c r="G443" s="886">
        <f>димоканал!R443</f>
        <v>2.8998139172620802E-2</v>
      </c>
      <c r="H443" s="886">
        <f>'підготовка до зими'!M443+майстерні!M443+маляри!M444+покрівлі!O443</f>
        <v>0.25595207320999114</v>
      </c>
      <c r="I443" s="886">
        <f>електрики!R443</f>
        <v>1.7731211112446223E-2</v>
      </c>
      <c r="J443" s="989">
        <f t="shared" si="47"/>
        <v>1.1645792697140143</v>
      </c>
      <c r="K443" s="989">
        <v>2.9444340922826332E-2</v>
      </c>
      <c r="L443" s="994">
        <f t="shared" si="46"/>
        <v>1.1940236106368407</v>
      </c>
      <c r="M443" s="994">
        <f t="shared" si="48"/>
        <v>1.4328283327642088</v>
      </c>
      <c r="N443" s="995">
        <v>3</v>
      </c>
      <c r="O443" s="997">
        <v>1.2131068460204448</v>
      </c>
      <c r="P443" s="22">
        <f t="shared" si="49"/>
        <v>0.21972148674376402</v>
      </c>
      <c r="Q443" s="982">
        <f t="shared" si="50"/>
        <v>18.112294680765558</v>
      </c>
      <c r="R443" s="6"/>
      <c r="S443" s="6"/>
      <c r="T443" s="6"/>
      <c r="U443" s="6"/>
      <c r="V443" s="6"/>
      <c r="W443" s="6"/>
      <c r="X443" s="6"/>
      <c r="Y443" s="6"/>
      <c r="Z443" s="6"/>
    </row>
    <row r="444" spans="1:26" s="93" customFormat="1" ht="15.75">
      <c r="A444" s="906">
        <v>59</v>
      </c>
      <c r="B444" s="285" t="s">
        <v>785</v>
      </c>
      <c r="C444" s="886">
        <f>cходова!R444</f>
        <v>0</v>
      </c>
      <c r="D444" s="886">
        <f>прибуд.!O444</f>
        <v>0</v>
      </c>
      <c r="E444" s="886">
        <f>гар.вода!M444+хол.вода!Q444+ц.о.!M444+каналізація!Q444+аварійні!I444+зварювальн!M444</f>
        <v>0.30333543164856019</v>
      </c>
      <c r="F444" s="886">
        <f>дератизац.!I444</f>
        <v>0</v>
      </c>
      <c r="G444" s="886">
        <f>димоканал!R444</f>
        <v>1.2576294058044285E-2</v>
      </c>
      <c r="H444" s="886">
        <f>'підготовка до зими'!M444+майстерні!M444+маляри!M445+покрівлі!O444</f>
        <v>0.41663658008377857</v>
      </c>
      <c r="I444" s="886">
        <f>електрики!R444</f>
        <v>3.1364145318902366E-2</v>
      </c>
      <c r="J444" s="989">
        <f t="shared" si="47"/>
        <v>0.76391245110928541</v>
      </c>
      <c r="K444" s="989">
        <v>1.9697361713085459E-2</v>
      </c>
      <c r="L444" s="994">
        <f t="shared" si="46"/>
        <v>0.78360981282237085</v>
      </c>
      <c r="M444" s="994">
        <f t="shared" si="48"/>
        <v>0.94033177538684498</v>
      </c>
      <c r="N444" s="995">
        <v>3</v>
      </c>
      <c r="O444" s="997">
        <v>0.81153130257912087</v>
      </c>
      <c r="P444" s="22">
        <f t="shared" si="49"/>
        <v>0.12880047280772411</v>
      </c>
      <c r="Q444" s="982">
        <f t="shared" si="50"/>
        <v>15.87128831609877</v>
      </c>
      <c r="R444" s="6"/>
      <c r="S444" s="6"/>
      <c r="T444" s="6"/>
      <c r="U444" s="6"/>
      <c r="V444" s="6"/>
      <c r="W444" s="6"/>
      <c r="X444" s="6"/>
      <c r="Y444" s="6"/>
      <c r="Z444" s="6"/>
    </row>
    <row r="445" spans="1:26" s="93" customFormat="1" ht="15.75">
      <c r="A445" s="906">
        <v>60</v>
      </c>
      <c r="B445" s="285" t="s">
        <v>786</v>
      </c>
      <c r="C445" s="886">
        <f>cходова!R445</f>
        <v>0.38593439201762453</v>
      </c>
      <c r="D445" s="886">
        <f>прибуд.!O445</f>
        <v>8.2693830802455112E-2</v>
      </c>
      <c r="E445" s="886">
        <f>гар.вода!M445+хол.вода!Q445+ц.о.!M445+каналізація!Q445+аварійні!I445+зварювальн!M445</f>
        <v>0.19483294140259302</v>
      </c>
      <c r="F445" s="886">
        <f>дератизац.!I445</f>
        <v>1.949306660604683E-3</v>
      </c>
      <c r="G445" s="886">
        <f>димоканал!R445</f>
        <v>2.2123976230675829E-2</v>
      </c>
      <c r="H445" s="886">
        <f>'підготовка до зими'!M445+майстерні!M445+маляри!M446+покрівлі!O445</f>
        <v>0.2323072840124763</v>
      </c>
      <c r="I445" s="886">
        <f>електрики!R445</f>
        <v>2.0973216653772674E-2</v>
      </c>
      <c r="J445" s="989">
        <f t="shared" si="47"/>
        <v>0.94081494778020214</v>
      </c>
      <c r="K445" s="989">
        <v>2.3960783227517036E-2</v>
      </c>
      <c r="L445" s="994">
        <f t="shared" si="46"/>
        <v>0.96477573100771918</v>
      </c>
      <c r="M445" s="994">
        <f t="shared" si="48"/>
        <v>1.1577308772092629</v>
      </c>
      <c r="N445" s="995">
        <v>3</v>
      </c>
      <c r="O445" s="997">
        <v>0.98718426897370182</v>
      </c>
      <c r="P445" s="22">
        <f t="shared" si="49"/>
        <v>0.17054660823556111</v>
      </c>
      <c r="Q445" s="982">
        <f t="shared" si="50"/>
        <v>17.276066241702281</v>
      </c>
      <c r="R445" s="6"/>
      <c r="S445" s="6"/>
      <c r="T445" s="6"/>
      <c r="U445" s="6"/>
      <c r="V445" s="6"/>
      <c r="W445" s="6"/>
      <c r="X445" s="6"/>
      <c r="Y445" s="6"/>
      <c r="Z445" s="6"/>
    </row>
    <row r="446" spans="1:26" s="93" customFormat="1" ht="15.75">
      <c r="A446" s="906">
        <v>61</v>
      </c>
      <c r="B446" s="285" t="s">
        <v>787</v>
      </c>
      <c r="C446" s="886">
        <f>cходова!R446</f>
        <v>0.48285899014778322</v>
      </c>
      <c r="D446" s="886">
        <f>прибуд.!O446</f>
        <v>0.1269028808258712</v>
      </c>
      <c r="E446" s="886">
        <f>гар.вода!M446+хол.вода!Q446+ц.о.!M446+каналізація!Q446+аварійні!I446+зварювальн!M446</f>
        <v>0.2359732486365308</v>
      </c>
      <c r="F446" s="886">
        <f>дератизац.!I446</f>
        <v>2.801096933064697E-3</v>
      </c>
      <c r="G446" s="886">
        <f>димоканал!R446</f>
        <v>2.1349059037704114E-2</v>
      </c>
      <c r="H446" s="886">
        <f>'підготовка до зими'!M446+майстерні!M446+маляри!M447+покрівлі!O446</f>
        <v>0.25132507267247328</v>
      </c>
      <c r="I446" s="886">
        <f>електрики!R446</f>
        <v>2.526861665449915E-2</v>
      </c>
      <c r="J446" s="989">
        <f t="shared" si="47"/>
        <v>1.1464789649079266</v>
      </c>
      <c r="K446" s="989">
        <v>2.9099236276271985E-2</v>
      </c>
      <c r="L446" s="994">
        <f t="shared" si="46"/>
        <v>1.1755782011841986</v>
      </c>
      <c r="M446" s="994">
        <f t="shared" si="48"/>
        <v>1.4106938414210384</v>
      </c>
      <c r="N446" s="995">
        <v>3</v>
      </c>
      <c r="O446" s="997">
        <v>1.1988885345824059</v>
      </c>
      <c r="P446" s="22">
        <f t="shared" si="49"/>
        <v>0.21180530683863252</v>
      </c>
      <c r="Q446" s="982">
        <f t="shared" si="50"/>
        <v>17.66680560611151</v>
      </c>
      <c r="R446" s="6"/>
      <c r="S446" s="6"/>
      <c r="T446" s="6"/>
      <c r="U446" s="6"/>
      <c r="V446" s="6"/>
      <c r="W446" s="6"/>
      <c r="X446" s="6"/>
      <c r="Y446" s="6"/>
      <c r="Z446" s="6"/>
    </row>
    <row r="447" spans="1:26" s="93" customFormat="1" ht="15.75">
      <c r="A447" s="906">
        <v>62</v>
      </c>
      <c r="B447" s="285" t="s">
        <v>788</v>
      </c>
      <c r="C447" s="886">
        <f>cходова!R447</f>
        <v>0.61508364244339786</v>
      </c>
      <c r="D447" s="886">
        <f>прибуд.!O447</f>
        <v>0</v>
      </c>
      <c r="E447" s="886">
        <f>гар.вода!M447+хол.вода!Q447+ц.о.!M447+каналізація!Q447+аварійні!I447+зварювальн!M447</f>
        <v>0.18157589372234634</v>
      </c>
      <c r="F447" s="886">
        <f>дератизац.!I447</f>
        <v>1.8485597980110271E-3</v>
      </c>
      <c r="G447" s="886">
        <f>димоканал!R447</f>
        <v>1.5229713634202112E-2</v>
      </c>
      <c r="H447" s="886">
        <f>'підготовка до зими'!M447+майстерні!M447+маляри!M448+покрівлі!O447</f>
        <v>0.24748016501262346</v>
      </c>
      <c r="I447" s="886">
        <f>електрики!R447</f>
        <v>2.0150773063833897E-2</v>
      </c>
      <c r="J447" s="989">
        <f t="shared" si="47"/>
        <v>1.0813687476744147</v>
      </c>
      <c r="K447" s="989">
        <v>2.736223797250514E-2</v>
      </c>
      <c r="L447" s="994">
        <f t="shared" si="46"/>
        <v>1.1087309856469199</v>
      </c>
      <c r="M447" s="994">
        <f t="shared" si="48"/>
        <v>1.3304771827763038</v>
      </c>
      <c r="N447" s="995">
        <v>3</v>
      </c>
      <c r="O447" s="997">
        <v>1.1273242044672118</v>
      </c>
      <c r="P447" s="22">
        <f t="shared" si="49"/>
        <v>0.20315297830909196</v>
      </c>
      <c r="Q447" s="982">
        <f t="shared" si="50"/>
        <v>18.020812247627077</v>
      </c>
      <c r="R447" s="6"/>
      <c r="S447" s="6"/>
      <c r="T447" s="6"/>
      <c r="U447" s="6"/>
      <c r="V447" s="6"/>
      <c r="W447" s="6"/>
      <c r="X447" s="6"/>
      <c r="Y447" s="6"/>
      <c r="Z447" s="6"/>
    </row>
    <row r="448" spans="1:26" s="93" customFormat="1" ht="15.75">
      <c r="A448" s="905">
        <v>63</v>
      </c>
      <c r="B448" s="285" t="s">
        <v>789</v>
      </c>
      <c r="C448" s="886">
        <f>cходова!R448</f>
        <v>0</v>
      </c>
      <c r="D448" s="886">
        <f>прибуд.!O448</f>
        <v>0</v>
      </c>
      <c r="E448" s="886">
        <f>гар.вода!M448+хол.вода!Q448+ц.о.!M448+каналізація!Q448+аварійні!I448+зварювальн!M448</f>
        <v>0.19800762958976761</v>
      </c>
      <c r="F448" s="886">
        <f>дератизац.!I448</f>
        <v>3.8292410949104763E-3</v>
      </c>
      <c r="G448" s="886">
        <f>димоканал!R448</f>
        <v>2.4812121353301232E-2</v>
      </c>
      <c r="H448" s="886">
        <f>'підготовка до зими'!M448+майстерні!M448+маляри!M449+покрівлі!O448</f>
        <v>0.35335124383904076</v>
      </c>
      <c r="I448" s="886">
        <f>електрики!R448</f>
        <v>1.6373642528251485E-2</v>
      </c>
      <c r="J448" s="989">
        <f t="shared" si="47"/>
        <v>0.59637387840527156</v>
      </c>
      <c r="K448" s="989">
        <v>1.5484058856867032E-2</v>
      </c>
      <c r="L448" s="994">
        <f t="shared" si="46"/>
        <v>0.61185793726213855</v>
      </c>
      <c r="M448" s="994">
        <f t="shared" si="48"/>
        <v>0.73422952471456626</v>
      </c>
      <c r="N448" s="995">
        <v>2</v>
      </c>
      <c r="O448" s="997">
        <v>0.63794322490292188</v>
      </c>
      <c r="P448" s="22">
        <f t="shared" si="49"/>
        <v>9.6286299811644382E-2</v>
      </c>
      <c r="Q448" s="982">
        <f t="shared" si="50"/>
        <v>15.093239657227599</v>
      </c>
      <c r="R448" s="6"/>
      <c r="S448" s="6"/>
      <c r="T448" s="6"/>
      <c r="U448" s="6"/>
      <c r="V448" s="6"/>
      <c r="W448" s="6"/>
      <c r="X448" s="6"/>
      <c r="Y448" s="6"/>
      <c r="Z448" s="6"/>
    </row>
    <row r="449" spans="1:26" s="93" customFormat="1" ht="15.75">
      <c r="A449" s="905">
        <v>64</v>
      </c>
      <c r="B449" s="285" t="s">
        <v>790</v>
      </c>
      <c r="C449" s="886">
        <f>cходова!R449</f>
        <v>0</v>
      </c>
      <c r="D449" s="886">
        <f>прибуд.!O449</f>
        <v>0.1839909998135093</v>
      </c>
      <c r="E449" s="886">
        <f>гар.вода!M449+хол.вода!Q449+ц.о.!M449+каналізація!Q449+аварійні!I449+зварювальн!M449</f>
        <v>0.17260863643356214</v>
      </c>
      <c r="F449" s="886">
        <f>дератизац.!I449</f>
        <v>2.7973604393802774E-3</v>
      </c>
      <c r="G449" s="886">
        <f>димоканал!R449</f>
        <v>2.4312762271601614E-2</v>
      </c>
      <c r="H449" s="886">
        <f>'підготовка до зими'!M449+майстерні!M449+маляри!M450+покрівлі!O449</f>
        <v>0.3312337479468016</v>
      </c>
      <c r="I449" s="886">
        <f>електрики!R449</f>
        <v>1.2758797536277809E-2</v>
      </c>
      <c r="J449" s="989">
        <f t="shared" si="47"/>
        <v>0.72770230444113271</v>
      </c>
      <c r="K449" s="989">
        <v>1.8719016101236656E-2</v>
      </c>
      <c r="L449" s="994">
        <f t="shared" si="46"/>
        <v>0.74642132054236932</v>
      </c>
      <c r="M449" s="994">
        <f t="shared" si="48"/>
        <v>0.89570558465084316</v>
      </c>
      <c r="N449" s="995">
        <v>2</v>
      </c>
      <c r="O449" s="997">
        <v>0.77122346337095038</v>
      </c>
      <c r="P449" s="22">
        <f t="shared" si="49"/>
        <v>0.12448212127989278</v>
      </c>
      <c r="Q449" s="982">
        <f t="shared" si="50"/>
        <v>16.140862822792286</v>
      </c>
      <c r="R449" s="6"/>
      <c r="S449" s="6"/>
      <c r="T449" s="6"/>
      <c r="U449" s="6"/>
      <c r="V449" s="6"/>
      <c r="W449" s="6"/>
      <c r="X449" s="6"/>
      <c r="Y449" s="6"/>
      <c r="Z449" s="6"/>
    </row>
    <row r="450" spans="1:26" s="93" customFormat="1" ht="15.75">
      <c r="A450" s="906">
        <v>65</v>
      </c>
      <c r="B450" s="285" t="s">
        <v>792</v>
      </c>
      <c r="C450" s="886">
        <f>cходова!R450</f>
        <v>0.67327618250564092</v>
      </c>
      <c r="D450" s="886">
        <f>прибуд.!O450</f>
        <v>5.0383361710137804E-2</v>
      </c>
      <c r="E450" s="886">
        <f>гар.вода!M450+хол.вода!Q450+ц.о.!M450+каналізація!Q450+аварійні!I450+зварювальн!M450</f>
        <v>0.18107141903813825</v>
      </c>
      <c r="F450" s="886">
        <f>дератизац.!I450</f>
        <v>2.0822709501954785E-3</v>
      </c>
      <c r="G450" s="886">
        <f>димоканал!R450</f>
        <v>1.9204327913309241E-2</v>
      </c>
      <c r="H450" s="886">
        <f>'підготовка до зими'!M450+майстерні!M450+маляри!M451+покрівлі!O450</f>
        <v>0.24244590272291455</v>
      </c>
      <c r="I450" s="886">
        <f>електрики!R450</f>
        <v>2.0954359530043699E-2</v>
      </c>
      <c r="J450" s="989">
        <f t="shared" ref="J450:J481" si="51">I450+H450+G450+F450+E450+D450+C450</f>
        <v>1.1894178243703799</v>
      </c>
      <c r="K450" s="989">
        <v>3.002816681570895E-2</v>
      </c>
      <c r="L450" s="994">
        <f t="shared" si="46"/>
        <v>1.2194459911860889</v>
      </c>
      <c r="M450" s="994">
        <f t="shared" ref="M450:M481" si="52">L450*1.2</f>
        <v>1.4633351894233066</v>
      </c>
      <c r="N450" s="995">
        <v>3</v>
      </c>
      <c r="O450" s="997">
        <v>1.2371604728072088</v>
      </c>
      <c r="P450" s="22">
        <f t="shared" ref="P450:P481" si="53">M450-O450</f>
        <v>0.22617471661609789</v>
      </c>
      <c r="Q450" s="982">
        <f t="shared" ref="Q450:Q481" si="54">M450/O450*100-100</f>
        <v>18.28176065978657</v>
      </c>
      <c r="R450" s="6"/>
      <c r="S450" s="6"/>
      <c r="T450" s="6"/>
      <c r="U450" s="6"/>
      <c r="V450" s="6"/>
      <c r="W450" s="6"/>
      <c r="X450" s="6"/>
      <c r="Y450" s="6"/>
      <c r="Z450" s="6"/>
    </row>
    <row r="451" spans="1:26" s="93" customFormat="1" ht="15.75">
      <c r="A451" s="906">
        <v>66</v>
      </c>
      <c r="B451" s="285" t="s">
        <v>793</v>
      </c>
      <c r="C451" s="886">
        <f>cходова!R451</f>
        <v>0.43647360336551638</v>
      </c>
      <c r="D451" s="886">
        <f>прибуд.!O451</f>
        <v>0.46788233664530654</v>
      </c>
      <c r="E451" s="886">
        <f>гар.вода!M451+хол.вода!Q451+ц.о.!M451+каналізація!Q451+аварійні!I451+зварювальн!M451</f>
        <v>0.1959917653004134</v>
      </c>
      <c r="F451" s="886">
        <f>дератизац.!I451</f>
        <v>1.575598888352971E-2</v>
      </c>
      <c r="G451" s="886">
        <f>димоканал!R451</f>
        <v>2.1163306532773207E-2</v>
      </c>
      <c r="H451" s="886">
        <f>'підготовка до зими'!M451+майстерні!M451+маляри!M452+покрівлі!O451</f>
        <v>0.2548456804003324</v>
      </c>
      <c r="I451" s="886">
        <f>електрики!R451</f>
        <v>1.6086739937819849E-2</v>
      </c>
      <c r="J451" s="989">
        <f t="shared" si="51"/>
        <v>1.4081994210656914</v>
      </c>
      <c r="K451" s="989">
        <v>3.5515847396492814E-2</v>
      </c>
      <c r="L451" s="994">
        <f t="shared" ref="L451:L514" si="55">J451+K451</f>
        <v>1.4437152684621841</v>
      </c>
      <c r="M451" s="994">
        <f t="shared" si="52"/>
        <v>1.7324583221546208</v>
      </c>
      <c r="N451" s="995">
        <v>3</v>
      </c>
      <c r="O451" s="997">
        <v>1.4632529127355041</v>
      </c>
      <c r="P451" s="22">
        <f t="shared" si="53"/>
        <v>0.26920540941911675</v>
      </c>
      <c r="Q451" s="982">
        <f t="shared" si="54"/>
        <v>18.397736103996266</v>
      </c>
      <c r="R451" s="6"/>
      <c r="S451" s="6"/>
      <c r="T451" s="6"/>
      <c r="U451" s="6"/>
      <c r="V451" s="6"/>
      <c r="W451" s="6"/>
      <c r="X451" s="6"/>
      <c r="Y451" s="6"/>
      <c r="Z451" s="6"/>
    </row>
    <row r="452" spans="1:26" s="93" customFormat="1" ht="15.75">
      <c r="A452" s="906">
        <v>67</v>
      </c>
      <c r="B452" s="285" t="s">
        <v>794</v>
      </c>
      <c r="C452" s="886">
        <f>cходова!R452</f>
        <v>0.33402645968973738</v>
      </c>
      <c r="D452" s="886">
        <f>прибуд.!O452</f>
        <v>0.4179639003243083</v>
      </c>
      <c r="E452" s="886">
        <f>гар.вода!M452+хол.вода!Q452+ц.о.!M452+каналізація!Q452+аварійні!I452+зварювальн!M452</f>
        <v>0.25522753563217537</v>
      </c>
      <c r="F452" s="886">
        <f>дератизац.!I452</f>
        <v>3.5025296047145162E-3</v>
      </c>
      <c r="G452" s="886">
        <f>димоканал!R452</f>
        <v>2.1571105208920759E-2</v>
      </c>
      <c r="H452" s="886">
        <f>'підготовка до зими'!M452+майстерні!M452+маляри!M453+покрівлі!O452</f>
        <v>0.24772595366955688</v>
      </c>
      <c r="I452" s="886">
        <f>електрики!R452</f>
        <v>2.657597988656215E-2</v>
      </c>
      <c r="J452" s="989">
        <f t="shared" si="51"/>
        <v>1.3065934640159753</v>
      </c>
      <c r="K452" s="989">
        <v>3.2959743125525472E-2</v>
      </c>
      <c r="L452" s="994">
        <f t="shared" si="55"/>
        <v>1.3395532071415008</v>
      </c>
      <c r="M452" s="994">
        <f t="shared" si="52"/>
        <v>1.607463848569801</v>
      </c>
      <c r="N452" s="995">
        <v>3</v>
      </c>
      <c r="O452" s="997">
        <v>1.3579414167716497</v>
      </c>
      <c r="P452" s="22">
        <f t="shared" si="53"/>
        <v>0.24952243179815126</v>
      </c>
      <c r="Q452" s="982">
        <f t="shared" si="54"/>
        <v>18.375051288395213</v>
      </c>
      <c r="R452" s="6"/>
      <c r="S452" s="6"/>
      <c r="T452" s="6"/>
      <c r="U452" s="6"/>
      <c r="V452" s="6"/>
      <c r="W452" s="6"/>
      <c r="X452" s="6"/>
      <c r="Y452" s="6"/>
      <c r="Z452" s="6"/>
    </row>
    <row r="453" spans="1:26" s="93" customFormat="1" ht="15.75">
      <c r="A453" s="906">
        <v>68</v>
      </c>
      <c r="B453" s="285" t="s">
        <v>795</v>
      </c>
      <c r="C453" s="886">
        <f>cходова!R453</f>
        <v>0</v>
      </c>
      <c r="D453" s="886">
        <f>прибуд.!O453</f>
        <v>0.43384086252814413</v>
      </c>
      <c r="E453" s="886">
        <f>гар.вода!M453+хол.вода!Q453+ц.о.!M453+каналізація!Q453+аварійні!I453+зварювальн!M453</f>
        <v>0.28228921030133086</v>
      </c>
      <c r="F453" s="886">
        <f>дератизац.!I453</f>
        <v>3.0020370966012651E-3</v>
      </c>
      <c r="G453" s="886">
        <f>димоканал!R453</f>
        <v>2.5894204863667367E-2</v>
      </c>
      <c r="H453" s="886">
        <f>'підготовка до зими'!M453+майстерні!M453+маляри!M454+покрівлі!O453</f>
        <v>0.32541677950127118</v>
      </c>
      <c r="I453" s="886">
        <f>електрики!R453</f>
        <v>3.1661573644440597E-2</v>
      </c>
      <c r="J453" s="989">
        <f t="shared" si="51"/>
        <v>1.1021046679354556</v>
      </c>
      <c r="K453" s="989">
        <v>2.8074860351834135E-2</v>
      </c>
      <c r="L453" s="994">
        <f t="shared" si="55"/>
        <v>1.1301795282872897</v>
      </c>
      <c r="M453" s="994">
        <f t="shared" si="52"/>
        <v>1.3562154339447476</v>
      </c>
      <c r="N453" s="995">
        <v>2</v>
      </c>
      <c r="O453" s="997">
        <v>1.1566842464955662</v>
      </c>
      <c r="P453" s="22">
        <f t="shared" si="53"/>
        <v>0.19953118744918141</v>
      </c>
      <c r="Q453" s="982">
        <f t="shared" si="54"/>
        <v>17.250272756260472</v>
      </c>
      <c r="R453" s="6"/>
      <c r="S453" s="6"/>
      <c r="T453" s="6"/>
      <c r="U453" s="6"/>
      <c r="V453" s="6"/>
      <c r="W453" s="6"/>
      <c r="X453" s="6"/>
      <c r="Y453" s="6"/>
      <c r="Z453" s="6"/>
    </row>
    <row r="454" spans="1:26" s="93" customFormat="1" ht="15.75">
      <c r="A454" s="906">
        <v>69</v>
      </c>
      <c r="B454" s="285" t="s">
        <v>796</v>
      </c>
      <c r="C454" s="886">
        <f>cходова!R454</f>
        <v>0</v>
      </c>
      <c r="D454" s="886">
        <f>прибуд.!O454</f>
        <v>0.29004681249722536</v>
      </c>
      <c r="E454" s="886">
        <f>гар.вода!M454+хол.вода!Q454+ц.о.!M454+каналізація!Q454+аварійні!I454+зварювальн!M454</f>
        <v>0.24479732413897767</v>
      </c>
      <c r="F454" s="886">
        <f>дератизац.!I454</f>
        <v>6.0858305586385508E-3</v>
      </c>
      <c r="G454" s="886">
        <f>димоканал!R454</f>
        <v>1.670690716450508E-2</v>
      </c>
      <c r="H454" s="886">
        <f>'підготовка до зими'!M454+майстерні!M454+маляри!M455+покрівлі!O454</f>
        <v>0.20438888672192515</v>
      </c>
      <c r="I454" s="886">
        <f>електрики!R454</f>
        <v>2.3032862914547241E-2</v>
      </c>
      <c r="J454" s="989">
        <f t="shared" si="51"/>
        <v>0.78505862399581905</v>
      </c>
      <c r="K454" s="989">
        <v>2.0104994399966266E-2</v>
      </c>
      <c r="L454" s="994">
        <f t="shared" si="55"/>
        <v>0.80516361839578532</v>
      </c>
      <c r="M454" s="994">
        <f t="shared" si="52"/>
        <v>0.96619634207494232</v>
      </c>
      <c r="N454" s="995">
        <v>2</v>
      </c>
      <c r="O454" s="997">
        <v>0.82832576927861024</v>
      </c>
      <c r="P454" s="22">
        <f t="shared" si="53"/>
        <v>0.13787057279633208</v>
      </c>
      <c r="Q454" s="982">
        <f t="shared" si="54"/>
        <v>16.644486735744522</v>
      </c>
      <c r="R454" s="6"/>
      <c r="S454" s="6"/>
      <c r="T454" s="6"/>
      <c r="U454" s="6"/>
      <c r="V454" s="6"/>
      <c r="W454" s="6"/>
      <c r="X454" s="6"/>
      <c r="Y454" s="6"/>
      <c r="Z454" s="6"/>
    </row>
    <row r="455" spans="1:26" s="93" customFormat="1" ht="15.75">
      <c r="A455" s="905">
        <v>70</v>
      </c>
      <c r="B455" s="285" t="s">
        <v>797</v>
      </c>
      <c r="C455" s="886">
        <f>cходова!R455</f>
        <v>0.82928141894053142</v>
      </c>
      <c r="D455" s="886">
        <f>прибуд.!O455</f>
        <v>0.14225142480313596</v>
      </c>
      <c r="E455" s="886">
        <f>гар.вода!M455+хол.вода!Q455+ц.о.!M455+каналізація!Q455+аварійні!I455+зварювальн!M455</f>
        <v>0.21229166517987716</v>
      </c>
      <c r="F455" s="886">
        <f>дератизац.!I455</f>
        <v>4.40401517516722E-3</v>
      </c>
      <c r="G455" s="886">
        <f>димоканал!R455</f>
        <v>1.6053396831783463E-2</v>
      </c>
      <c r="H455" s="886">
        <f>'підготовка до зими'!M455+майстерні!M455+маляри!M456+покрівлі!O455</f>
        <v>0.18400570041744646</v>
      </c>
      <c r="I455" s="886">
        <f>електрики!R455</f>
        <v>1.8406580377422321E-2</v>
      </c>
      <c r="J455" s="989">
        <f t="shared" si="51"/>
        <v>1.4066942017253639</v>
      </c>
      <c r="K455" s="989">
        <v>3.5375421736254825E-2</v>
      </c>
      <c r="L455" s="994">
        <f t="shared" si="55"/>
        <v>1.4420696234616186</v>
      </c>
      <c r="M455" s="994">
        <f t="shared" si="52"/>
        <v>1.7304835481539422</v>
      </c>
      <c r="N455" s="995">
        <v>4</v>
      </c>
      <c r="O455" s="997">
        <v>1.4574673755336989</v>
      </c>
      <c r="P455" s="22">
        <f t="shared" si="53"/>
        <v>0.27301617262024336</v>
      </c>
      <c r="Q455" s="982">
        <f t="shared" si="54"/>
        <v>18.732232172282394</v>
      </c>
      <c r="R455" s="6"/>
      <c r="S455" s="6"/>
      <c r="T455" s="6"/>
      <c r="U455" s="6"/>
      <c r="V455" s="6"/>
      <c r="W455" s="6"/>
      <c r="X455" s="6"/>
      <c r="Y455" s="6"/>
      <c r="Z455" s="6"/>
    </row>
    <row r="456" spans="1:26" s="93" customFormat="1" ht="15.75">
      <c r="A456" s="905">
        <v>71</v>
      </c>
      <c r="B456" s="285" t="s">
        <v>798</v>
      </c>
      <c r="C456" s="886">
        <f>cходова!R456</f>
        <v>0</v>
      </c>
      <c r="D456" s="886">
        <f>прибуд.!O456</f>
        <v>0.33587220507443</v>
      </c>
      <c r="E456" s="886">
        <f>гар.вода!M456+хол.вода!Q456+ц.о.!M456+каналізація!Q456+аварійні!I456+зварювальн!M456</f>
        <v>0.22205773988738736</v>
      </c>
      <c r="F456" s="886">
        <f>дератизац.!I456</f>
        <v>9.3979649519502564E-3</v>
      </c>
      <c r="G456" s="886">
        <f>димоканал!R456</f>
        <v>2.033580948349405E-2</v>
      </c>
      <c r="H456" s="886">
        <f>'підготовка до зими'!M456+майстерні!M456+маляри!M457+покрівлі!O456</f>
        <v>0.36782327607093429</v>
      </c>
      <c r="I456" s="886">
        <f>електрики!R456</f>
        <v>2.1724583441462112E-2</v>
      </c>
      <c r="J456" s="989">
        <f t="shared" si="51"/>
        <v>0.97721157890965804</v>
      </c>
      <c r="K456" s="989">
        <v>2.4939517755383462E-2</v>
      </c>
      <c r="L456" s="994">
        <f t="shared" si="55"/>
        <v>1.0021510966650415</v>
      </c>
      <c r="M456" s="994">
        <f t="shared" si="52"/>
        <v>1.2025813159980498</v>
      </c>
      <c r="N456" s="995">
        <v>2</v>
      </c>
      <c r="O456" s="997">
        <v>1.0275081315217987</v>
      </c>
      <c r="P456" s="22">
        <f t="shared" si="53"/>
        <v>0.1750731844762512</v>
      </c>
      <c r="Q456" s="982">
        <f t="shared" si="54"/>
        <v>17.038617905335471</v>
      </c>
      <c r="R456" s="6"/>
      <c r="S456" s="6"/>
      <c r="T456" s="6"/>
      <c r="U456" s="6"/>
      <c r="V456" s="6"/>
      <c r="W456" s="6"/>
      <c r="X456" s="6"/>
      <c r="Y456" s="6"/>
      <c r="Z456" s="6"/>
    </row>
    <row r="457" spans="1:26" s="93" customFormat="1" ht="15.75">
      <c r="A457" s="906">
        <v>72</v>
      </c>
      <c r="B457" s="285" t="s">
        <v>799</v>
      </c>
      <c r="C457" s="886">
        <f>cходова!R457</f>
        <v>0</v>
      </c>
      <c r="D457" s="886">
        <f>прибуд.!O457</f>
        <v>0.3223365770121186</v>
      </c>
      <c r="E457" s="886">
        <f>гар.вода!M457+хол.вода!Q457+ц.о.!M457+каналізація!Q457+аварійні!I457+зварювальн!M457</f>
        <v>0.19721196977183353</v>
      </c>
      <c r="F457" s="886">
        <f>дератизац.!I457</f>
        <v>5.9966569160050144E-3</v>
      </c>
      <c r="G457" s="886">
        <f>димоканал!R457</f>
        <v>3.0533410335949394E-2</v>
      </c>
      <c r="H457" s="886">
        <f>'підготовка до зими'!M457+майстерні!M457+маляри!M458+покрівлі!O457</f>
        <v>0.36107898230379337</v>
      </c>
      <c r="I457" s="886">
        <f>електрики!R457</f>
        <v>1.6260402334418406E-2</v>
      </c>
      <c r="J457" s="989">
        <f t="shared" si="51"/>
        <v>0.93341799867411834</v>
      </c>
      <c r="K457" s="989">
        <v>2.3882429092741631E-2</v>
      </c>
      <c r="L457" s="994">
        <f t="shared" si="55"/>
        <v>0.95730042776685997</v>
      </c>
      <c r="M457" s="994">
        <f t="shared" si="52"/>
        <v>1.1487605133202319</v>
      </c>
      <c r="N457" s="995">
        <v>2</v>
      </c>
      <c r="O457" s="997">
        <v>0.98395607862095524</v>
      </c>
      <c r="P457" s="22">
        <f t="shared" si="53"/>
        <v>0.16480443469927664</v>
      </c>
      <c r="Q457" s="982">
        <f t="shared" si="54"/>
        <v>16.749165768685032</v>
      </c>
      <c r="R457" s="6"/>
      <c r="S457" s="6"/>
      <c r="T457" s="6"/>
      <c r="U457" s="6"/>
      <c r="V457" s="6"/>
      <c r="W457" s="6"/>
      <c r="X457" s="6"/>
      <c r="Y457" s="6"/>
      <c r="Z457" s="6"/>
    </row>
    <row r="458" spans="1:26" s="93" customFormat="1" ht="15.75">
      <c r="A458" s="906">
        <v>73</v>
      </c>
      <c r="B458" s="285" t="s">
        <v>800</v>
      </c>
      <c r="C458" s="886">
        <f>cходова!R458</f>
        <v>0</v>
      </c>
      <c r="D458" s="886">
        <f>прибуд.!O458</f>
        <v>0.51893409905255883</v>
      </c>
      <c r="E458" s="886">
        <f>гар.вода!M458+хол.вода!Q458+ц.о.!M458+каналізація!Q458+аварійні!I458+зварювальн!M458</f>
        <v>0.26643127712456416</v>
      </c>
      <c r="F458" s="886">
        <f>дератизац.!I458</f>
        <v>9.681881051175659E-3</v>
      </c>
      <c r="G458" s="886">
        <f>димоканал!R458</f>
        <v>2.4858308896334728E-2</v>
      </c>
      <c r="H458" s="886">
        <f>'підготовка до зими'!M458+майстерні!M458+маляри!M459+покрівлі!O458</f>
        <v>0.35293245993258043</v>
      </c>
      <c r="I458" s="886">
        <f>електрики!R458</f>
        <v>4.2202974822411331E-2</v>
      </c>
      <c r="J458" s="989">
        <f t="shared" si="51"/>
        <v>1.2150410008796251</v>
      </c>
      <c r="K458" s="989">
        <v>3.1494735318663779E-2</v>
      </c>
      <c r="L458" s="994">
        <f t="shared" si="55"/>
        <v>1.2465357361982889</v>
      </c>
      <c r="M458" s="994">
        <f t="shared" si="52"/>
        <v>1.4958428834379467</v>
      </c>
      <c r="N458" s="995">
        <v>2</v>
      </c>
      <c r="O458" s="997">
        <v>1.2975830951289478</v>
      </c>
      <c r="P458" s="22">
        <f t="shared" si="53"/>
        <v>0.19825978830899893</v>
      </c>
      <c r="Q458" s="982">
        <f t="shared" si="54"/>
        <v>15.279159311897232</v>
      </c>
      <c r="R458" s="6"/>
      <c r="S458" s="6"/>
      <c r="T458" s="6"/>
      <c r="U458" s="6"/>
      <c r="V458" s="6"/>
      <c r="W458" s="6"/>
      <c r="X458" s="6"/>
      <c r="Y458" s="6"/>
      <c r="Z458" s="6"/>
    </row>
    <row r="459" spans="1:26" s="93" customFormat="1" ht="15.75">
      <c r="A459" s="906">
        <v>74</v>
      </c>
      <c r="B459" s="285" t="s">
        <v>801</v>
      </c>
      <c r="C459" s="886">
        <f>cходова!R459</f>
        <v>0</v>
      </c>
      <c r="D459" s="886">
        <f>прибуд.!O459</f>
        <v>0.8073017347980469</v>
      </c>
      <c r="E459" s="886">
        <f>гар.вода!M459+хол.вода!Q459+ц.о.!M459+каналізація!Q459+аварійні!I459+зварювальн!M459</f>
        <v>0.21401942015202546</v>
      </c>
      <c r="F459" s="886">
        <f>дератизац.!I459</f>
        <v>2.1438082556591211E-3</v>
      </c>
      <c r="G459" s="886">
        <f>димоканал!R459</f>
        <v>2.3268655916980741E-2</v>
      </c>
      <c r="H459" s="886">
        <f>'підготовка до зими'!M459+майстерні!M459+маляри!M460+покрівлі!O459</f>
        <v>0.33443910873148108</v>
      </c>
      <c r="I459" s="886">
        <f>електрики!R459</f>
        <v>1.8652478565985044E-2</v>
      </c>
      <c r="J459" s="989">
        <f t="shared" si="51"/>
        <v>1.3998252064201784</v>
      </c>
      <c r="K459" s="989">
        <v>3.5304397638224828E-2</v>
      </c>
      <c r="L459" s="994">
        <f t="shared" si="55"/>
        <v>1.4351296040584032</v>
      </c>
      <c r="M459" s="994">
        <f t="shared" si="52"/>
        <v>1.7221555248700837</v>
      </c>
      <c r="N459" s="995">
        <v>2</v>
      </c>
      <c r="O459" s="997">
        <v>1.4545411826948629</v>
      </c>
      <c r="P459" s="22">
        <f t="shared" si="53"/>
        <v>0.26761434217522084</v>
      </c>
      <c r="Q459" s="982">
        <f t="shared" si="54"/>
        <v>18.398540059168724</v>
      </c>
      <c r="R459" s="6"/>
      <c r="S459" s="6"/>
      <c r="T459" s="6"/>
      <c r="U459" s="6"/>
      <c r="V459" s="6"/>
      <c r="W459" s="6"/>
      <c r="X459" s="6"/>
      <c r="Y459" s="6"/>
      <c r="Z459" s="6"/>
    </row>
    <row r="460" spans="1:26" s="93" customFormat="1" ht="15.75">
      <c r="A460" s="906">
        <v>75</v>
      </c>
      <c r="B460" s="285" t="s">
        <v>802</v>
      </c>
      <c r="C460" s="886">
        <f>cходова!R460</f>
        <v>0.51463941947823144</v>
      </c>
      <c r="D460" s="886">
        <f>прибуд.!O460</f>
        <v>0.13175967463049976</v>
      </c>
      <c r="E460" s="886">
        <f>гар.вода!M460+хол.вода!Q460+ц.о.!M460+каналізація!Q460+аварійні!I460+зварювальн!M460</f>
        <v>0.2425059345161632</v>
      </c>
      <c r="F460" s="886">
        <f>дератизац.!I460</f>
        <v>1.6902938897888141E-3</v>
      </c>
      <c r="G460" s="886">
        <f>димоканал!R460</f>
        <v>1.7255906405408424E-2</v>
      </c>
      <c r="H460" s="886">
        <f>'підготовка до зими'!M460+майстерні!M460+маляри!M461+покрівлі!O460</f>
        <v>0.19152737934494526</v>
      </c>
      <c r="I460" s="886">
        <f>електрики!R460</f>
        <v>2.3283018658667182E-2</v>
      </c>
      <c r="J460" s="989">
        <f t="shared" si="51"/>
        <v>1.122661626923704</v>
      </c>
      <c r="K460" s="989">
        <v>2.8355075925460629E-2</v>
      </c>
      <c r="L460" s="994">
        <f t="shared" si="55"/>
        <v>1.1510167028491647</v>
      </c>
      <c r="M460" s="994">
        <f t="shared" si="52"/>
        <v>1.3812200434189976</v>
      </c>
      <c r="N460" s="995">
        <v>3</v>
      </c>
      <c r="O460" s="997">
        <v>1.1682291281289778</v>
      </c>
      <c r="P460" s="22">
        <f t="shared" si="53"/>
        <v>0.21299091529001979</v>
      </c>
      <c r="Q460" s="982">
        <f t="shared" si="54"/>
        <v>18.231946983820151</v>
      </c>
      <c r="R460" s="6"/>
      <c r="S460" s="6"/>
      <c r="T460" s="6"/>
      <c r="U460" s="6"/>
      <c r="V460" s="6"/>
      <c r="W460" s="6"/>
      <c r="X460" s="6"/>
      <c r="Y460" s="6"/>
      <c r="Z460" s="6"/>
    </row>
    <row r="461" spans="1:26" s="93" customFormat="1" ht="15.75">
      <c r="A461" s="906">
        <v>76</v>
      </c>
      <c r="B461" s="285" t="s">
        <v>803</v>
      </c>
      <c r="C461" s="886">
        <f>cходова!R461</f>
        <v>0.45533243032181592</v>
      </c>
      <c r="D461" s="886">
        <f>прибуд.!O461</f>
        <v>0.45712530791678302</v>
      </c>
      <c r="E461" s="886">
        <f>гар.вода!M461+хол.вода!Q461+ц.о.!M461+каналізація!Q461+аварійні!I461+зварювальн!M461</f>
        <v>0.2051179384649251</v>
      </c>
      <c r="F461" s="886">
        <f>дератизац.!I461</f>
        <v>3.9095224797542592E-3</v>
      </c>
      <c r="G461" s="886">
        <f>димоканал!R461</f>
        <v>2.050264242784916E-2</v>
      </c>
      <c r="H461" s="886">
        <f>'підготовка до зими'!M461+майстерні!M461+маляри!M462+покрівлі!O461</f>
        <v>0.24642106201486283</v>
      </c>
      <c r="I461" s="886">
        <f>електрики!R461</f>
        <v>2.1310227094992709E-2</v>
      </c>
      <c r="J461" s="989">
        <f t="shared" si="51"/>
        <v>1.4097191307209829</v>
      </c>
      <c r="K461" s="989">
        <v>3.548854546257136E-2</v>
      </c>
      <c r="L461" s="994">
        <f t="shared" si="55"/>
        <v>1.4452076761835542</v>
      </c>
      <c r="M461" s="994">
        <f t="shared" si="52"/>
        <v>1.734249211420265</v>
      </c>
      <c r="N461" s="995">
        <v>3</v>
      </c>
      <c r="O461" s="997">
        <v>1.4621280730579398</v>
      </c>
      <c r="P461" s="22">
        <f t="shared" si="53"/>
        <v>0.27212113836232521</v>
      </c>
      <c r="Q461" s="982">
        <f t="shared" si="54"/>
        <v>18.611306586378745</v>
      </c>
      <c r="R461" s="6"/>
      <c r="S461" s="6"/>
      <c r="T461" s="6"/>
      <c r="U461" s="6"/>
      <c r="V461" s="6"/>
      <c r="W461" s="6"/>
      <c r="X461" s="6"/>
      <c r="Y461" s="6"/>
      <c r="Z461" s="6"/>
    </row>
    <row r="462" spans="1:26" s="93" customFormat="1" ht="15.75">
      <c r="A462" s="905">
        <v>77</v>
      </c>
      <c r="B462" s="285" t="s">
        <v>804</v>
      </c>
      <c r="C462" s="886">
        <f>cходова!R462</f>
        <v>0</v>
      </c>
      <c r="D462" s="886">
        <f>прибуд.!O462</f>
        <v>0.19548765215374841</v>
      </c>
      <c r="E462" s="886">
        <f>гар.вода!M462+хол.вода!Q462+ц.о.!M462+каналізація!Q462+аварійні!I462+зварювальн!M462</f>
        <v>0.23350017388857194</v>
      </c>
      <c r="F462" s="886">
        <f>дератизац.!I462</f>
        <v>4.3731469716221947E-3</v>
      </c>
      <c r="G462" s="886">
        <f>димоканал!R462</f>
        <v>2.9226750016751447E-2</v>
      </c>
      <c r="H462" s="886">
        <f>'підготовка до зими'!M462+майстерні!M462+маляри!M463+покрівлі!O462</f>
        <v>0.34380358271899558</v>
      </c>
      <c r="I462" s="886">
        <f>електрики!R462</f>
        <v>2.1425025676468531E-2</v>
      </c>
      <c r="J462" s="989">
        <f t="shared" si="51"/>
        <v>0.82781633142615818</v>
      </c>
      <c r="K462" s="989">
        <v>2.1244155305336267E-2</v>
      </c>
      <c r="L462" s="994">
        <f t="shared" si="55"/>
        <v>0.84906048673149448</v>
      </c>
      <c r="M462" s="994">
        <f t="shared" si="52"/>
        <v>1.0188725840777932</v>
      </c>
      <c r="N462" s="995">
        <v>2</v>
      </c>
      <c r="O462" s="997">
        <v>0.87525919857985435</v>
      </c>
      <c r="P462" s="22">
        <f t="shared" si="53"/>
        <v>0.14361338549793889</v>
      </c>
      <c r="Q462" s="982">
        <f t="shared" si="54"/>
        <v>16.408097821874691</v>
      </c>
      <c r="R462" s="6"/>
      <c r="S462" s="6"/>
      <c r="T462" s="6"/>
      <c r="U462" s="6"/>
      <c r="V462" s="6"/>
      <c r="W462" s="6"/>
      <c r="X462" s="6"/>
      <c r="Y462" s="6"/>
      <c r="Z462" s="6"/>
    </row>
    <row r="463" spans="1:26" s="93" customFormat="1" ht="15.75">
      <c r="A463" s="905">
        <v>78</v>
      </c>
      <c r="B463" s="285" t="s">
        <v>805</v>
      </c>
      <c r="C463" s="886">
        <f>cходова!R463</f>
        <v>0.45385040640359237</v>
      </c>
      <c r="D463" s="886">
        <f>прибуд.!O463</f>
        <v>0.23366993290344903</v>
      </c>
      <c r="E463" s="886">
        <f>гар.вода!M463+хол.вода!Q463+ц.о.!M463+каналізація!Q463+аварійні!I463+зварювальн!M463</f>
        <v>0.24507320797010076</v>
      </c>
      <c r="F463" s="886">
        <f>дератизац.!I463</f>
        <v>3.7355469908093696E-3</v>
      </c>
      <c r="G463" s="886">
        <f>димоканал!R463</f>
        <v>2.2534891223533561E-2</v>
      </c>
      <c r="H463" s="886">
        <f>'підготовка до зими'!M463+майстерні!M463+маляри!M464+покрівлі!O463</f>
        <v>0.29234234610353094</v>
      </c>
      <c r="I463" s="886">
        <f>електрики!R463</f>
        <v>2.973721267578391E-2</v>
      </c>
      <c r="J463" s="989">
        <f t="shared" si="51"/>
        <v>1.2809435442707999</v>
      </c>
      <c r="K463" s="989">
        <v>3.2368393291021542E-2</v>
      </c>
      <c r="L463" s="994">
        <f t="shared" si="55"/>
        <v>1.3133119375618214</v>
      </c>
      <c r="M463" s="994">
        <f t="shared" si="52"/>
        <v>1.5759743250741856</v>
      </c>
      <c r="N463" s="995">
        <v>3</v>
      </c>
      <c r="O463" s="997">
        <v>1.3335778035900874</v>
      </c>
      <c r="P463" s="22">
        <f t="shared" si="53"/>
        <v>0.24239652148409818</v>
      </c>
      <c r="Q463" s="982">
        <f t="shared" si="54"/>
        <v>18.1764064182494</v>
      </c>
      <c r="R463" s="6"/>
      <c r="S463" s="6"/>
      <c r="T463" s="6"/>
      <c r="U463" s="6"/>
      <c r="V463" s="6"/>
      <c r="W463" s="6"/>
      <c r="X463" s="6"/>
      <c r="Y463" s="6"/>
      <c r="Z463" s="6"/>
    </row>
    <row r="464" spans="1:26" s="93" customFormat="1" ht="15.75">
      <c r="A464" s="906">
        <v>79</v>
      </c>
      <c r="B464" s="285" t="s">
        <v>806</v>
      </c>
      <c r="C464" s="886">
        <f>cходова!R464</f>
        <v>0.60062023441628376</v>
      </c>
      <c r="D464" s="886">
        <f>прибуд.!O464</f>
        <v>0.11829807823767383</v>
      </c>
      <c r="E464" s="886">
        <f>гар.вода!M464+хол.вода!Q464+ц.о.!M464+каналізація!Q464+аварійні!I464+зварювальн!M464</f>
        <v>0.23504318462567533</v>
      </c>
      <c r="F464" s="886">
        <f>дератизац.!I464</f>
        <v>3.2743362831858412E-3</v>
      </c>
      <c r="G464" s="886">
        <f>димоканал!R464</f>
        <v>1.9963065805317436E-2</v>
      </c>
      <c r="H464" s="886">
        <f>'підготовка до зими'!M464+майстерні!M464+маляри!M465+покрівлі!O464</f>
        <v>0.26172574704974683</v>
      </c>
      <c r="I464" s="886">
        <f>електрики!R464</f>
        <v>2.1644630626998517E-2</v>
      </c>
      <c r="J464" s="989">
        <f t="shared" si="51"/>
        <v>1.2605692770448815</v>
      </c>
      <c r="K464" s="989">
        <v>3.1856931968237481E-2</v>
      </c>
      <c r="L464" s="994">
        <f t="shared" si="55"/>
        <v>1.2924262090131191</v>
      </c>
      <c r="M464" s="994">
        <f t="shared" si="52"/>
        <v>1.5509114508157429</v>
      </c>
      <c r="N464" s="995">
        <v>3</v>
      </c>
      <c r="O464" s="997">
        <v>1.3125055970913844</v>
      </c>
      <c r="P464" s="22">
        <f t="shared" si="53"/>
        <v>0.23840585372435852</v>
      </c>
      <c r="Q464" s="982">
        <f t="shared" si="54"/>
        <v>18.164178061616255</v>
      </c>
      <c r="R464" s="6"/>
      <c r="S464" s="6"/>
      <c r="T464" s="6"/>
      <c r="U464" s="6"/>
      <c r="V464" s="6"/>
      <c r="W464" s="6"/>
      <c r="X464" s="6"/>
      <c r="Y464" s="6"/>
      <c r="Z464" s="6"/>
    </row>
    <row r="465" spans="1:26" s="93" customFormat="1" ht="15.75">
      <c r="A465" s="906">
        <v>80</v>
      </c>
      <c r="B465" s="285" t="s">
        <v>807</v>
      </c>
      <c r="C465" s="886">
        <f>cходова!R465</f>
        <v>0.76688348586451738</v>
      </c>
      <c r="D465" s="886">
        <f>прибуд.!O465</f>
        <v>7.3156392498743103E-2</v>
      </c>
      <c r="E465" s="886">
        <f>гар.вода!M465+хол.вода!Q465+ц.о.!M465+каналізація!Q465+аварійні!I465+зварювальн!M465</f>
        <v>0.22434554035044735</v>
      </c>
      <c r="F465" s="886">
        <f>дератизац.!I465</f>
        <v>3.0165912518853701E-3</v>
      </c>
      <c r="G465" s="886">
        <f>димоканал!R465</f>
        <v>1.8674160691200353E-2</v>
      </c>
      <c r="H465" s="886">
        <f>'підготовка до зими'!M465+майстерні!M465+маляри!M466+покрівлі!O465</f>
        <v>0.31109422030733308</v>
      </c>
      <c r="I465" s="886">
        <f>електрики!R465</f>
        <v>2.4712025056107905E-2</v>
      </c>
      <c r="J465" s="989">
        <f t="shared" si="51"/>
        <v>1.4218824160202344</v>
      </c>
      <c r="K465" s="989">
        <v>3.5854223131892599E-2</v>
      </c>
      <c r="L465" s="994">
        <f t="shared" si="55"/>
        <v>1.4577366391521269</v>
      </c>
      <c r="M465" s="994">
        <f t="shared" si="52"/>
        <v>1.7492839669825522</v>
      </c>
      <c r="N465" s="995">
        <v>3</v>
      </c>
      <c r="O465" s="997">
        <v>1.477193993033975</v>
      </c>
      <c r="P465" s="22">
        <f t="shared" si="53"/>
        <v>0.27208997394857715</v>
      </c>
      <c r="Q465" s="982">
        <f t="shared" si="54"/>
        <v>18.419379934637959</v>
      </c>
      <c r="R465" s="6"/>
      <c r="S465" s="6"/>
      <c r="T465" s="6"/>
      <c r="U465" s="6"/>
      <c r="V465" s="6"/>
      <c r="W465" s="6"/>
      <c r="X465" s="6"/>
      <c r="Y465" s="6"/>
      <c r="Z465" s="6"/>
    </row>
    <row r="466" spans="1:26" s="93" customFormat="1" ht="15.75">
      <c r="A466" s="906">
        <v>81</v>
      </c>
      <c r="B466" s="285" t="s">
        <v>833</v>
      </c>
      <c r="C466" s="886">
        <f>cходова!R466</f>
        <v>0</v>
      </c>
      <c r="D466" s="886">
        <f>прибуд.!O466</f>
        <v>0.28641233522425552</v>
      </c>
      <c r="E466" s="886">
        <f>гар.вода!M466+хол.вода!Q466+ц.о.!M466+каналізація!Q466+аварійні!I466+зварювальн!M466</f>
        <v>0.2234595437340339</v>
      </c>
      <c r="F466" s="886">
        <f>дератизац.!I466</f>
        <v>4.3966083307163039E-3</v>
      </c>
      <c r="G466" s="886">
        <f>димоканал!R466</f>
        <v>2.7583392308316763E-2</v>
      </c>
      <c r="H466" s="886">
        <f>'підготовка до зими'!M466+майстерні!M466+маляри!M467+покрівлі!O466</f>
        <v>0.83016107926440441</v>
      </c>
      <c r="I466" s="886">
        <f>електрики!R466</f>
        <v>2.7136790784685717E-2</v>
      </c>
      <c r="J466" s="989">
        <f t="shared" si="51"/>
        <v>1.3991497496464127</v>
      </c>
      <c r="K466" s="989">
        <v>3.5780987668195589E-2</v>
      </c>
      <c r="L466" s="994">
        <f t="shared" si="55"/>
        <v>1.4349307373146083</v>
      </c>
      <c r="M466" s="994">
        <f t="shared" si="52"/>
        <v>1.7219168847775299</v>
      </c>
      <c r="N466" s="995">
        <v>2</v>
      </c>
      <c r="O466" s="997">
        <v>1.4741766919296584</v>
      </c>
      <c r="P466" s="22">
        <f t="shared" si="53"/>
        <v>0.24774019284787152</v>
      </c>
      <c r="Q466" s="982">
        <f t="shared" si="54"/>
        <v>16.805325589810138</v>
      </c>
      <c r="R466" s="6"/>
      <c r="S466" s="6"/>
      <c r="T466" s="6"/>
      <c r="U466" s="6"/>
      <c r="V466" s="6"/>
      <c r="W466" s="6"/>
      <c r="X466" s="6"/>
      <c r="Y466" s="6"/>
      <c r="Z466" s="6"/>
    </row>
    <row r="467" spans="1:26" s="93" customFormat="1" ht="15.75">
      <c r="A467" s="906">
        <v>82</v>
      </c>
      <c r="B467" s="285" t="s">
        <v>834</v>
      </c>
      <c r="C467" s="886">
        <f>cходова!R467</f>
        <v>0.55102412570209758</v>
      </c>
      <c r="D467" s="886">
        <f>прибуд.!O467</f>
        <v>0.34242083415614</v>
      </c>
      <c r="E467" s="886">
        <f>гар.вода!M467+хол.вода!Q467+ц.о.!M467+каналізація!Q467+аварійні!I467+зварювальн!M467</f>
        <v>0.20704371774494892</v>
      </c>
      <c r="F467" s="886">
        <f>дератизац.!I467</f>
        <v>3.7064118403469406E-3</v>
      </c>
      <c r="G467" s="886">
        <f>димоканал!R467</f>
        <v>1.7962499874486296E-2</v>
      </c>
      <c r="H467" s="886">
        <f>'підготовка до зими'!M467+майстерні!M467+маляри!M468+покрівлі!O467</f>
        <v>0.16126081477575777</v>
      </c>
      <c r="I467" s="886">
        <f>електрики!R467</f>
        <v>1.7659680042175899E-2</v>
      </c>
      <c r="J467" s="989">
        <f t="shared" si="51"/>
        <v>1.3010780841359533</v>
      </c>
      <c r="K467" s="989">
        <v>3.2731925903865158E-2</v>
      </c>
      <c r="L467" s="994">
        <f t="shared" si="55"/>
        <v>1.3338100100398185</v>
      </c>
      <c r="M467" s="994">
        <f t="shared" si="52"/>
        <v>1.6005720120477822</v>
      </c>
      <c r="N467" s="995">
        <v>3</v>
      </c>
      <c r="O467" s="997">
        <v>1.3485553472392444</v>
      </c>
      <c r="P467" s="22">
        <f t="shared" si="53"/>
        <v>0.25201666480853779</v>
      </c>
      <c r="Q467" s="982">
        <f t="shared" si="54"/>
        <v>18.687899263791067</v>
      </c>
      <c r="R467" s="6"/>
      <c r="S467" s="6"/>
      <c r="T467" s="6"/>
      <c r="U467" s="6"/>
      <c r="V467" s="6"/>
      <c r="W467" s="6"/>
      <c r="X467" s="6"/>
      <c r="Y467" s="6"/>
      <c r="Z467" s="6"/>
    </row>
    <row r="468" spans="1:26" s="93" customFormat="1" ht="15.75">
      <c r="A468" s="906">
        <v>83</v>
      </c>
      <c r="B468" s="285" t="s">
        <v>835</v>
      </c>
      <c r="C468" s="886">
        <f>cходова!R468</f>
        <v>0.60431865625811154</v>
      </c>
      <c r="D468" s="886">
        <f>прибуд.!O468</f>
        <v>0.26484323588940639</v>
      </c>
      <c r="E468" s="886">
        <f>гар.вода!M468+хол.вода!Q468+ц.о.!M468+каналізація!Q468+аварійні!I468+зварювальн!M468</f>
        <v>0.22685318129522983</v>
      </c>
      <c r="F468" s="886">
        <f>дератизац.!I468</f>
        <v>5.4340675245388281E-3</v>
      </c>
      <c r="G468" s="886">
        <f>димоканал!R468</f>
        <v>2.5022146121442334E-2</v>
      </c>
      <c r="H468" s="886">
        <f>'підготовка до зими'!M468+майстерні!M468+маляри!M469+покрівлі!O468</f>
        <v>0.25388955342756747</v>
      </c>
      <c r="I468" s="886">
        <f>електрики!R468</f>
        <v>2.2497842089713071E-2</v>
      </c>
      <c r="J468" s="989">
        <f t="shared" si="51"/>
        <v>1.4028586826060094</v>
      </c>
      <c r="K468" s="989">
        <v>3.5349781499242387E-2</v>
      </c>
      <c r="L468" s="994">
        <f t="shared" si="55"/>
        <v>1.4382084641052517</v>
      </c>
      <c r="M468" s="994">
        <f t="shared" si="52"/>
        <v>1.7258501569263021</v>
      </c>
      <c r="N468" s="995">
        <v>3</v>
      </c>
      <c r="O468" s="997">
        <v>1.4564109977687865</v>
      </c>
      <c r="P468" s="22">
        <f t="shared" si="53"/>
        <v>0.2694391591575156</v>
      </c>
      <c r="Q468" s="982">
        <f t="shared" si="54"/>
        <v>18.500214539048045</v>
      </c>
      <c r="R468" s="6"/>
      <c r="S468" s="6"/>
      <c r="T468" s="6"/>
      <c r="U468" s="6"/>
      <c r="V468" s="6"/>
      <c r="W468" s="6"/>
      <c r="X468" s="6"/>
      <c r="Y468" s="6"/>
      <c r="Z468" s="6"/>
    </row>
    <row r="469" spans="1:26" s="93" customFormat="1" ht="15.75">
      <c r="A469" s="905">
        <v>84</v>
      </c>
      <c r="B469" s="285" t="s">
        <v>836</v>
      </c>
      <c r="C469" s="886">
        <f>cходова!R469</f>
        <v>0.63421140791711073</v>
      </c>
      <c r="D469" s="886">
        <f>прибуд.!O469</f>
        <v>0.28266659307232522</v>
      </c>
      <c r="E469" s="886">
        <f>гар.вода!M469+хол.вода!Q469+ц.о.!M469+каналізація!Q469+аварійні!I469+зварювальн!M469</f>
        <v>0.22459202582907026</v>
      </c>
      <c r="F469" s="886">
        <f>дератизац.!I469</f>
        <v>3.2775453277545333E-3</v>
      </c>
      <c r="G469" s="886">
        <f>димоканал!R469</f>
        <v>2.2241626513863071E-2</v>
      </c>
      <c r="H469" s="886">
        <f>'підготовка до зими'!M469+майстерні!M469+маляри!M470+покрівлі!O469</f>
        <v>0.24853457712075178</v>
      </c>
      <c r="I469" s="886">
        <f>електрики!R469</f>
        <v>2.0157196900634472E-2</v>
      </c>
      <c r="J469" s="989">
        <f t="shared" si="51"/>
        <v>1.4356809726815101</v>
      </c>
      <c r="K469" s="989">
        <v>3.6144799573405426E-2</v>
      </c>
      <c r="L469" s="994">
        <f t="shared" si="55"/>
        <v>1.4718257722549155</v>
      </c>
      <c r="M469" s="994">
        <f t="shared" si="52"/>
        <v>1.7661909267058986</v>
      </c>
      <c r="N469" s="995">
        <v>3</v>
      </c>
      <c r="O469" s="997">
        <v>1.4891657424243037</v>
      </c>
      <c r="P469" s="22">
        <f t="shared" si="53"/>
        <v>0.27702518428159495</v>
      </c>
      <c r="Q469" s="982">
        <f t="shared" si="54"/>
        <v>18.602709986506198</v>
      </c>
      <c r="R469" s="6"/>
      <c r="S469" s="6"/>
      <c r="T469" s="6"/>
      <c r="U469" s="6"/>
      <c r="V469" s="6"/>
      <c r="W469" s="6"/>
      <c r="X469" s="6"/>
      <c r="Y469" s="6"/>
      <c r="Z469" s="6"/>
    </row>
    <row r="470" spans="1:26" s="93" customFormat="1" ht="15.75">
      <c r="A470" s="905">
        <v>85</v>
      </c>
      <c r="B470" s="285" t="s">
        <v>837</v>
      </c>
      <c r="C470" s="886">
        <f>cходова!R470</f>
        <v>0.40865498131764111</v>
      </c>
      <c r="D470" s="886">
        <f>прибуд.!O470</f>
        <v>0.3009812921413943</v>
      </c>
      <c r="E470" s="886">
        <f>гар.вода!M470+хол.вода!Q470+ц.о.!M470+каналізація!Q470+аварійні!I470+зварювальн!M470</f>
        <v>0.21734409276788963</v>
      </c>
      <c r="F470" s="886">
        <f>дератизац.!I470</f>
        <v>3.440648808060949E-3</v>
      </c>
      <c r="G470" s="886">
        <f>димоканал!R470</f>
        <v>2.2471343601041884E-2</v>
      </c>
      <c r="H470" s="886">
        <f>'підготовка до зими'!M470+майстерні!M470+маляри!M471+покрівлі!O470</f>
        <v>0.38832500301025719</v>
      </c>
      <c r="I470" s="886">
        <f>електрики!R470</f>
        <v>1.9125653863978003E-2</v>
      </c>
      <c r="J470" s="989">
        <f t="shared" si="51"/>
        <v>1.3603430155102632</v>
      </c>
      <c r="K470" s="989">
        <v>3.4399806722557075E-2</v>
      </c>
      <c r="L470" s="994">
        <f t="shared" si="55"/>
        <v>1.3947428222328202</v>
      </c>
      <c r="M470" s="994">
        <f t="shared" si="52"/>
        <v>1.6736913866793841</v>
      </c>
      <c r="N470" s="995">
        <v>3</v>
      </c>
      <c r="O470" s="997">
        <v>1.4172720369693514</v>
      </c>
      <c r="P470" s="22">
        <f t="shared" si="53"/>
        <v>0.25641934971003266</v>
      </c>
      <c r="Q470" s="982">
        <f t="shared" si="54"/>
        <v>18.092458118227711</v>
      </c>
      <c r="R470" s="6"/>
      <c r="S470" s="6"/>
      <c r="T470" s="6"/>
      <c r="U470" s="6"/>
      <c r="V470" s="6"/>
      <c r="W470" s="6"/>
      <c r="X470" s="6"/>
      <c r="Y470" s="6"/>
      <c r="Z470" s="6"/>
    </row>
    <row r="471" spans="1:26" s="93" customFormat="1" ht="15.75">
      <c r="A471" s="906">
        <v>86</v>
      </c>
      <c r="B471" s="285" t="s">
        <v>838</v>
      </c>
      <c r="C471" s="886">
        <f>cходова!R471</f>
        <v>0.51280189390694508</v>
      </c>
      <c r="D471" s="886">
        <f>прибуд.!O471</f>
        <v>0.30954565703965142</v>
      </c>
      <c r="E471" s="886">
        <f>гар.вода!M471+хол.вода!Q471+ц.о.!M471+каналізація!Q471+аварійні!I471+зварювальн!M471</f>
        <v>0.20475011076492869</v>
      </c>
      <c r="F471" s="886">
        <f>дератизац.!I471</f>
        <v>2.7584080045231041E-3</v>
      </c>
      <c r="G471" s="886">
        <f>димоканал!R471</f>
        <v>2.3523856010879179E-2</v>
      </c>
      <c r="H471" s="886">
        <f>'підготовка до зими'!M471+майстерні!M471+маляри!M472+покрівлі!O471</f>
        <v>0.27468190578207075</v>
      </c>
      <c r="I471" s="886">
        <f>електрики!R471</f>
        <v>1.7333248452770299E-2</v>
      </c>
      <c r="J471" s="989">
        <f t="shared" si="51"/>
        <v>1.3453950799617687</v>
      </c>
      <c r="K471" s="989">
        <v>3.3922040361577657E-2</v>
      </c>
      <c r="L471" s="994">
        <f t="shared" si="55"/>
        <v>1.3793171203233463</v>
      </c>
      <c r="M471" s="994">
        <f t="shared" si="52"/>
        <v>1.6551805443880154</v>
      </c>
      <c r="N471" s="995">
        <v>3</v>
      </c>
      <c r="O471" s="997">
        <v>1.3975880628969997</v>
      </c>
      <c r="P471" s="22">
        <f t="shared" si="53"/>
        <v>0.25759248149101577</v>
      </c>
      <c r="Q471" s="982">
        <f t="shared" si="54"/>
        <v>18.431216488574151</v>
      </c>
      <c r="R471" s="6"/>
      <c r="S471" s="6"/>
      <c r="T471" s="6"/>
      <c r="U471" s="6"/>
      <c r="V471" s="6"/>
      <c r="W471" s="6"/>
      <c r="X471" s="6"/>
      <c r="Y471" s="6"/>
      <c r="Z471" s="6"/>
    </row>
    <row r="472" spans="1:26" s="93" customFormat="1" ht="15.75">
      <c r="A472" s="906">
        <v>87</v>
      </c>
      <c r="B472" s="285" t="s">
        <v>839</v>
      </c>
      <c r="C472" s="886">
        <f>cходова!R472</f>
        <v>0</v>
      </c>
      <c r="D472" s="886">
        <f>прибуд.!O472</f>
        <v>0.24449615211690637</v>
      </c>
      <c r="E472" s="886">
        <f>гар.вода!M472+хол.вода!Q472+ц.о.!M472+каналізація!Q472+аварійні!I472+зварювальн!M472</f>
        <v>0.2466207531146889</v>
      </c>
      <c r="F472" s="886">
        <f>дератизац.!I472</f>
        <v>2.4259227170334435E-3</v>
      </c>
      <c r="G472" s="886">
        <f>димоканал!R472</f>
        <v>2.8631155344741564E-2</v>
      </c>
      <c r="H472" s="886">
        <f>'підготовка до зими'!M472+майстерні!M472+маляри!M473+покрівлі!O472</f>
        <v>0.271215089398889</v>
      </c>
      <c r="I472" s="886">
        <f>електрики!R472</f>
        <v>2.3292377654384834E-2</v>
      </c>
      <c r="J472" s="989">
        <f t="shared" si="51"/>
        <v>0.81668145034664408</v>
      </c>
      <c r="K472" s="989">
        <v>2.0864960169327901E-2</v>
      </c>
      <c r="L472" s="994">
        <f t="shared" si="55"/>
        <v>0.83754641051597201</v>
      </c>
      <c r="M472" s="994">
        <f t="shared" si="52"/>
        <v>1.0050556926191663</v>
      </c>
      <c r="N472" s="995">
        <v>3</v>
      </c>
      <c r="O472" s="997">
        <v>0.85963635897630963</v>
      </c>
      <c r="P472" s="22">
        <f t="shared" si="53"/>
        <v>0.14541933364285664</v>
      </c>
      <c r="Q472" s="982">
        <f t="shared" si="54"/>
        <v>16.916377736282342</v>
      </c>
      <c r="R472" s="6"/>
      <c r="S472" s="6"/>
      <c r="T472" s="6"/>
      <c r="U472" s="6"/>
      <c r="V472" s="6"/>
      <c r="W472" s="6"/>
      <c r="X472" s="6"/>
      <c r="Y472" s="6"/>
      <c r="Z472" s="6"/>
    </row>
    <row r="473" spans="1:26" s="93" customFormat="1" ht="15.75">
      <c r="A473" s="906">
        <v>88</v>
      </c>
      <c r="B473" s="285" t="s">
        <v>840</v>
      </c>
      <c r="C473" s="886">
        <f>cходова!R473</f>
        <v>0</v>
      </c>
      <c r="D473" s="886">
        <f>прибуд.!O473</f>
        <v>0</v>
      </c>
      <c r="E473" s="886">
        <f>гар.вода!M473+хол.вода!Q473+ц.о.!M473+каналізація!Q473+аварійні!I473+зварювальн!M473</f>
        <v>0.1878670577395905</v>
      </c>
      <c r="F473" s="886">
        <f>дератизац.!I473</f>
        <v>4.7003901004028913E-3</v>
      </c>
      <c r="G473" s="886">
        <f>димоканал!R473</f>
        <v>3.1477178621240623E-2</v>
      </c>
      <c r="H473" s="886">
        <f>'підготовка до зими'!M473+майстерні!M473+маляри!M474+покрівлі!O473</f>
        <v>0.44942960152243194</v>
      </c>
      <c r="I473" s="886">
        <f>електрики!R473</f>
        <v>1.4930412273299188E-2</v>
      </c>
      <c r="J473" s="989">
        <f t="shared" si="51"/>
        <v>0.68840464025696502</v>
      </c>
      <c r="K473" s="989">
        <v>1.7842805561377777E-2</v>
      </c>
      <c r="L473" s="994">
        <f t="shared" si="55"/>
        <v>0.70624744581834276</v>
      </c>
      <c r="M473" s="994">
        <f t="shared" si="52"/>
        <v>0.84749693498201129</v>
      </c>
      <c r="N473" s="995">
        <v>2</v>
      </c>
      <c r="O473" s="997">
        <v>0.7351235891287643</v>
      </c>
      <c r="P473" s="22">
        <f t="shared" si="53"/>
        <v>0.11237334585324699</v>
      </c>
      <c r="Q473" s="982">
        <f t="shared" si="54"/>
        <v>15.286320220852502</v>
      </c>
      <c r="R473" s="6"/>
      <c r="S473" s="6"/>
      <c r="T473" s="6"/>
      <c r="U473" s="6"/>
      <c r="V473" s="6"/>
      <c r="W473" s="6"/>
      <c r="X473" s="6"/>
      <c r="Y473" s="6"/>
      <c r="Z473" s="6"/>
    </row>
    <row r="474" spans="1:26" s="93" customFormat="1" ht="15.75">
      <c r="A474" s="906">
        <v>89</v>
      </c>
      <c r="B474" s="285" t="s">
        <v>841</v>
      </c>
      <c r="C474" s="886">
        <f>cходова!R474</f>
        <v>0</v>
      </c>
      <c r="D474" s="886">
        <f>прибуд.!O474</f>
        <v>0.51297026234715659</v>
      </c>
      <c r="E474" s="886">
        <f>гар.вода!M474+хол.вода!Q474+ц.о.!M474+каналізація!Q474+аварійні!I474+зварювальн!M474</f>
        <v>0.17427283515708983</v>
      </c>
      <c r="F474" s="886">
        <f>дератизац.!I474</f>
        <v>4.5783467854160877E-3</v>
      </c>
      <c r="G474" s="886">
        <f>димоканал!R474</f>
        <v>1.6550548872806287E-2</v>
      </c>
      <c r="H474" s="886">
        <f>'підготовка до зими'!M474+майстерні!M474+маляри!M475+покрівлі!O474</f>
        <v>0.34982287118289002</v>
      </c>
      <c r="I474" s="886">
        <f>електрики!R474</f>
        <v>1.2995650248682405E-2</v>
      </c>
      <c r="J474" s="989">
        <f t="shared" si="51"/>
        <v>1.0711905145940412</v>
      </c>
      <c r="K474" s="989">
        <v>2.7195211629879382E-2</v>
      </c>
      <c r="L474" s="994">
        <f t="shared" si="55"/>
        <v>1.0983857262239207</v>
      </c>
      <c r="M474" s="994">
        <f t="shared" si="52"/>
        <v>1.3180628714687048</v>
      </c>
      <c r="N474" s="995">
        <v>2</v>
      </c>
      <c r="O474" s="997">
        <v>1.1204427191510304</v>
      </c>
      <c r="P474" s="22">
        <f t="shared" si="53"/>
        <v>0.19762015231767438</v>
      </c>
      <c r="Q474" s="982">
        <f t="shared" si="54"/>
        <v>17.637684545570778</v>
      </c>
      <c r="R474" s="6"/>
      <c r="S474" s="6"/>
      <c r="T474" s="6"/>
      <c r="U474" s="6"/>
      <c r="V474" s="6"/>
      <c r="W474" s="6"/>
      <c r="X474" s="6"/>
      <c r="Y474" s="6"/>
      <c r="Z474" s="6"/>
    </row>
    <row r="475" spans="1:26" s="93" customFormat="1" ht="15.75">
      <c r="A475" s="906">
        <v>90</v>
      </c>
      <c r="B475" s="285" t="s">
        <v>842</v>
      </c>
      <c r="C475" s="886">
        <f>cходова!R475</f>
        <v>0</v>
      </c>
      <c r="D475" s="886">
        <f>прибуд.!O475</f>
        <v>0.3400780570582736</v>
      </c>
      <c r="E475" s="886">
        <f>гар.вода!M475+хол.вода!Q475+ц.о.!M475+каналізація!Q475+аварійні!I475+зварювальн!M475</f>
        <v>0.25335813319848083</v>
      </c>
      <c r="F475" s="886">
        <f>дератизац.!I475</f>
        <v>4.1949325215140118E-3</v>
      </c>
      <c r="G475" s="886">
        <f>димоканал!R475</f>
        <v>2.0408248197524445E-2</v>
      </c>
      <c r="H475" s="886">
        <f>'підготовка до зими'!M475+майстерні!M475+маляри!M476+покрівлі!O475</f>
        <v>0.34728558277419208</v>
      </c>
      <c r="I475" s="886">
        <f>електрики!R475</f>
        <v>2.5830155805725331E-2</v>
      </c>
      <c r="J475" s="989">
        <f t="shared" si="51"/>
        <v>0.99115510955571029</v>
      </c>
      <c r="K475" s="989">
        <v>2.5246193956128954E-2</v>
      </c>
      <c r="L475" s="994">
        <f t="shared" si="55"/>
        <v>1.0164013035118393</v>
      </c>
      <c r="M475" s="994">
        <f t="shared" si="52"/>
        <v>1.2196815642142071</v>
      </c>
      <c r="N475" s="995">
        <v>2</v>
      </c>
      <c r="O475" s="997">
        <v>1.040143190992513</v>
      </c>
      <c r="P475" s="22">
        <f t="shared" si="53"/>
        <v>0.17953837322169419</v>
      </c>
      <c r="Q475" s="982">
        <f t="shared" si="54"/>
        <v>17.260928569880576</v>
      </c>
      <c r="R475" s="6"/>
      <c r="S475" s="6"/>
      <c r="T475" s="6"/>
      <c r="U475" s="6"/>
      <c r="V475" s="6"/>
      <c r="W475" s="6"/>
      <c r="X475" s="6"/>
      <c r="Y475" s="6"/>
      <c r="Z475" s="6"/>
    </row>
    <row r="476" spans="1:26" s="93" customFormat="1" ht="15.75">
      <c r="A476" s="905">
        <v>91</v>
      </c>
      <c r="B476" s="285" t="s">
        <v>843</v>
      </c>
      <c r="C476" s="886">
        <f>cходова!R476</f>
        <v>0</v>
      </c>
      <c r="D476" s="886">
        <f>прибуд.!O476</f>
        <v>0</v>
      </c>
      <c r="E476" s="886">
        <f>гар.вода!M476+хол.вода!Q476+ц.о.!M476+каналізація!Q476+аварійні!I476+зварювальн!M476</f>
        <v>0.23649617697812009</v>
      </c>
      <c r="F476" s="886">
        <f>дератизац.!I476</f>
        <v>6.317689530685921E-3</v>
      </c>
      <c r="G476" s="886">
        <f>димоканал!R476</f>
        <v>1.1194416714107374E-2</v>
      </c>
      <c r="H476" s="886">
        <f>'підготовка до зими'!M476+майстерні!M476+маляри!M477+покрівлі!O476</f>
        <v>0.35935335638095434</v>
      </c>
      <c r="I476" s="886">
        <f>електрики!R476</f>
        <v>2.7864756982490309E-2</v>
      </c>
      <c r="J476" s="989">
        <f t="shared" si="51"/>
        <v>0.64122639658635805</v>
      </c>
      <c r="K476" s="989">
        <v>1.662288618440045E-2</v>
      </c>
      <c r="L476" s="994">
        <f t="shared" si="55"/>
        <v>0.65784928277075849</v>
      </c>
      <c r="M476" s="994">
        <f t="shared" si="52"/>
        <v>0.78941913932491015</v>
      </c>
      <c r="N476" s="995">
        <v>2</v>
      </c>
      <c r="O476" s="997">
        <v>0.68486291079729844</v>
      </c>
      <c r="P476" s="22">
        <f t="shared" si="53"/>
        <v>0.10455622852761171</v>
      </c>
      <c r="Q476" s="982">
        <f t="shared" si="54"/>
        <v>15.266738332477402</v>
      </c>
      <c r="R476" s="6"/>
      <c r="S476" s="6"/>
      <c r="T476" s="6"/>
      <c r="U476" s="6"/>
      <c r="V476" s="6"/>
      <c r="W476" s="6"/>
      <c r="X476" s="6"/>
      <c r="Y476" s="6"/>
      <c r="Z476" s="6"/>
    </row>
    <row r="477" spans="1:26" s="93" customFormat="1" ht="15.75">
      <c r="A477" s="905">
        <v>92</v>
      </c>
      <c r="B477" s="285" t="s">
        <v>844</v>
      </c>
      <c r="C477" s="886">
        <f>cходова!R477</f>
        <v>0</v>
      </c>
      <c r="D477" s="886">
        <f>прибуд.!O477</f>
        <v>0.31960963098478329</v>
      </c>
      <c r="E477" s="886">
        <f>гар.вода!M477+хол.вода!Q477+ц.о.!M477+каналізація!Q477+аварійні!I477+зварювальн!M477</f>
        <v>0.23628788758053687</v>
      </c>
      <c r="F477" s="886">
        <f>дератизац.!I477</f>
        <v>5.1688039780162258E-3</v>
      </c>
      <c r="G477" s="886">
        <f>димоканал!R477</f>
        <v>2.3124343205736073E-2</v>
      </c>
      <c r="H477" s="886">
        <f>'підготовка до зими'!M477+майстерні!M477+маляри!M478+покрівлі!O477</f>
        <v>0.45340871706133545</v>
      </c>
      <c r="I477" s="886">
        <f>електрики!R477</f>
        <v>2.3826066122135312E-2</v>
      </c>
      <c r="J477" s="989">
        <f t="shared" si="51"/>
        <v>1.0614254489325432</v>
      </c>
      <c r="K477" s="989">
        <v>2.7074967756672258E-2</v>
      </c>
      <c r="L477" s="994">
        <f t="shared" si="55"/>
        <v>1.0885004166892154</v>
      </c>
      <c r="M477" s="994">
        <f t="shared" si="52"/>
        <v>1.3062005000270585</v>
      </c>
      <c r="N477" s="995">
        <v>3</v>
      </c>
      <c r="O477" s="997">
        <v>1.1154886715748971</v>
      </c>
      <c r="P477" s="22">
        <f t="shared" si="53"/>
        <v>0.19071182845216139</v>
      </c>
      <c r="Q477" s="982">
        <f t="shared" si="54"/>
        <v>17.096706879407918</v>
      </c>
      <c r="R477" s="6"/>
      <c r="S477" s="6"/>
      <c r="T477" s="6"/>
      <c r="U477" s="6"/>
      <c r="V477" s="6"/>
      <c r="W477" s="6"/>
      <c r="X477" s="6"/>
      <c r="Y477" s="6"/>
      <c r="Z477" s="6"/>
    </row>
    <row r="478" spans="1:26" s="93" customFormat="1" ht="15.75">
      <c r="A478" s="906">
        <v>93</v>
      </c>
      <c r="B478" s="285" t="s">
        <v>845</v>
      </c>
      <c r="C478" s="886">
        <f>cходова!R478</f>
        <v>0.83176282884376673</v>
      </c>
      <c r="D478" s="886">
        <f>прибуд.!O478</f>
        <v>0</v>
      </c>
      <c r="E478" s="886">
        <f>гар.вода!M478+хол.вода!Q478+ц.о.!M478+каналізація!Q478+аварійні!I478+зварювальн!M478</f>
        <v>0.24003129330603104</v>
      </c>
      <c r="F478" s="886">
        <f>дератизац.!I478</f>
        <v>7.5860448111975771E-3</v>
      </c>
      <c r="G478" s="886">
        <f>димоканал!R478</f>
        <v>2.0033741917109864E-2</v>
      </c>
      <c r="H478" s="886">
        <f>'підготовка до зими'!M478+майстерні!M478+маляри!M479+покрівлі!O478</f>
        <v>0.37124968245892631</v>
      </c>
      <c r="I478" s="886">
        <f>електрики!R478</f>
        <v>2.7754024811885339E-2</v>
      </c>
      <c r="J478" s="989">
        <f t="shared" si="51"/>
        <v>1.4984176161489169</v>
      </c>
      <c r="K478" s="989">
        <v>3.7838104304618682E-2</v>
      </c>
      <c r="L478" s="994">
        <f t="shared" si="55"/>
        <v>1.5362557204535356</v>
      </c>
      <c r="M478" s="994">
        <f t="shared" si="52"/>
        <v>1.8435068645442427</v>
      </c>
      <c r="N478" s="995">
        <v>3</v>
      </c>
      <c r="O478" s="997">
        <v>1.5589298973502899</v>
      </c>
      <c r="P478" s="22">
        <f t="shared" si="53"/>
        <v>0.28457696719395287</v>
      </c>
      <c r="Q478" s="982">
        <f t="shared" si="54"/>
        <v>18.254635290377564</v>
      </c>
      <c r="R478" s="6"/>
      <c r="S478" s="6"/>
      <c r="T478" s="6"/>
      <c r="U478" s="6"/>
      <c r="V478" s="6"/>
      <c r="W478" s="6"/>
      <c r="X478" s="6"/>
      <c r="Y478" s="6"/>
      <c r="Z478" s="6"/>
    </row>
    <row r="479" spans="1:26" s="93" customFormat="1" ht="15.75">
      <c r="A479" s="906">
        <v>94</v>
      </c>
      <c r="B479" s="285" t="s">
        <v>846</v>
      </c>
      <c r="C479" s="886">
        <f>cходова!R479</f>
        <v>0</v>
      </c>
      <c r="D479" s="886">
        <f>прибуд.!O479</f>
        <v>0.3893413068535147</v>
      </c>
      <c r="E479" s="886">
        <f>гар.вода!M479+хол.вода!Q479+ц.о.!M479+каналізація!Q479+аварійні!I479+зварювальн!M479</f>
        <v>0.24663036289716705</v>
      </c>
      <c r="F479" s="886">
        <f>дератизац.!I479</f>
        <v>8.1904761904761907E-3</v>
      </c>
      <c r="G479" s="886">
        <f>димоканал!R479</f>
        <v>2.9767077417803756E-2</v>
      </c>
      <c r="H479" s="886">
        <f>'підготовка до зими'!M479+майстерні!M479+маляри!M480+покрівлі!O479</f>
        <v>0.51009754952586672</v>
      </c>
      <c r="I479" s="886">
        <f>електрики!R479</f>
        <v>2.3293745341436498E-2</v>
      </c>
      <c r="J479" s="989">
        <f t="shared" si="51"/>
        <v>1.207320518226265</v>
      </c>
      <c r="K479" s="989">
        <v>3.0755230406669387E-2</v>
      </c>
      <c r="L479" s="994">
        <f t="shared" si="55"/>
        <v>1.2380757486329343</v>
      </c>
      <c r="M479" s="994">
        <f t="shared" si="52"/>
        <v>1.4856908983595212</v>
      </c>
      <c r="N479" s="995">
        <v>2</v>
      </c>
      <c r="O479" s="997">
        <v>1.2671154927547787</v>
      </c>
      <c r="P479" s="22">
        <f t="shared" si="53"/>
        <v>0.21857540560474242</v>
      </c>
      <c r="Q479" s="982">
        <f t="shared" si="54"/>
        <v>17.249840827811795</v>
      </c>
      <c r="R479" s="6"/>
      <c r="S479" s="6"/>
      <c r="T479" s="6"/>
      <c r="U479" s="6"/>
      <c r="V479" s="6"/>
      <c r="W479" s="6"/>
      <c r="X479" s="6"/>
      <c r="Y479" s="6"/>
      <c r="Z479" s="6"/>
    </row>
    <row r="480" spans="1:26" s="93" customFormat="1" ht="15.75">
      <c r="A480" s="906">
        <v>95</v>
      </c>
      <c r="B480" s="285" t="s">
        <v>847</v>
      </c>
      <c r="C480" s="886">
        <f>cходова!R480</f>
        <v>0</v>
      </c>
      <c r="D480" s="886">
        <f>прибуд.!O480</f>
        <v>0.75961684186199907</v>
      </c>
      <c r="E480" s="886">
        <f>гар.вода!M480+хол.вода!Q480+ц.о.!M480+каналізація!Q480+аварійні!I480+зварювальн!M480</f>
        <v>0.24941592728756876</v>
      </c>
      <c r="F480" s="886">
        <f>дератизац.!I480</f>
        <v>0</v>
      </c>
      <c r="G480" s="886">
        <f>димоканал!R480</f>
        <v>3.1589048479607001E-2</v>
      </c>
      <c r="H480" s="886">
        <f>'підготовка до зими'!M480+майстерні!M480+маляри!M481+покрівлі!O480</f>
        <v>0.46812297458486252</v>
      </c>
      <c r="I480" s="886">
        <f>електрики!R480</f>
        <v>2.3690193477177015E-2</v>
      </c>
      <c r="J480" s="989">
        <f t="shared" si="51"/>
        <v>1.5324349856912143</v>
      </c>
      <c r="K480" s="989">
        <v>3.8527030462148205E-2</v>
      </c>
      <c r="L480" s="994">
        <f t="shared" si="55"/>
        <v>1.5709620161533624</v>
      </c>
      <c r="M480" s="994">
        <f t="shared" si="52"/>
        <v>1.8851544193840348</v>
      </c>
      <c r="N480" s="995">
        <v>1</v>
      </c>
      <c r="O480" s="997">
        <v>1.587313655040506</v>
      </c>
      <c r="P480" s="22">
        <f t="shared" si="53"/>
        <v>0.2978407643435288</v>
      </c>
      <c r="Q480" s="982">
        <f t="shared" si="54"/>
        <v>18.763825498365549</v>
      </c>
      <c r="R480" s="6"/>
      <c r="S480" s="6"/>
      <c r="T480" s="6"/>
      <c r="U480" s="6"/>
      <c r="V480" s="6"/>
      <c r="W480" s="6"/>
      <c r="X480" s="6"/>
      <c r="Y480" s="6"/>
      <c r="Z480" s="6"/>
    </row>
    <row r="481" spans="1:26" s="93" customFormat="1" ht="15.75">
      <c r="A481" s="906">
        <v>96</v>
      </c>
      <c r="B481" s="285" t="s">
        <v>848</v>
      </c>
      <c r="C481" s="886">
        <f>cходова!R481</f>
        <v>0.44348240492668739</v>
      </c>
      <c r="D481" s="886">
        <f>прибуд.!O481</f>
        <v>0.19293648257170742</v>
      </c>
      <c r="E481" s="886">
        <f>гар.вода!M481+хол.вода!Q481+ц.о.!M481+каналізація!Q481+аварійні!I481+зварювальн!M481</f>
        <v>0.25696951869412643</v>
      </c>
      <c r="F481" s="886">
        <f>дератизац.!I481</f>
        <v>5.4204854039375423E-3</v>
      </c>
      <c r="G481" s="886">
        <f>димоканал!R481</f>
        <v>2.0710085891510032E-2</v>
      </c>
      <c r="H481" s="886">
        <f>'підготовка до зими'!M481+майстерні!M481+маляри!M482+покрівлі!O481</f>
        <v>0.28297651446463601</v>
      </c>
      <c r="I481" s="886">
        <f>електрики!R481</f>
        <v>2.4765238535045347E-2</v>
      </c>
      <c r="J481" s="989">
        <f t="shared" si="51"/>
        <v>1.2272607304876502</v>
      </c>
      <c r="K481" s="989">
        <v>3.1047312071329061E-2</v>
      </c>
      <c r="L481" s="994">
        <f t="shared" si="55"/>
        <v>1.2583080425589792</v>
      </c>
      <c r="M481" s="994">
        <f t="shared" si="52"/>
        <v>1.509969651070775</v>
      </c>
      <c r="N481" s="995">
        <v>3</v>
      </c>
      <c r="O481" s="997">
        <v>1.2791492573387573</v>
      </c>
      <c r="P481" s="22">
        <f t="shared" si="53"/>
        <v>0.23082039373201768</v>
      </c>
      <c r="Q481" s="982">
        <f t="shared" si="54"/>
        <v>18.04483662932617</v>
      </c>
      <c r="R481" s="6"/>
      <c r="S481" s="6"/>
      <c r="T481" s="6"/>
      <c r="U481" s="6"/>
      <c r="V481" s="6"/>
      <c r="W481" s="6"/>
      <c r="X481" s="6"/>
      <c r="Y481" s="6"/>
      <c r="Z481" s="6"/>
    </row>
    <row r="482" spans="1:26" s="93" customFormat="1" ht="15.75">
      <c r="A482" s="906">
        <v>97</v>
      </c>
      <c r="B482" s="285" t="s">
        <v>849</v>
      </c>
      <c r="C482" s="886">
        <f>cходова!R482</f>
        <v>0.53702781321395676</v>
      </c>
      <c r="D482" s="886">
        <f>прибуд.!O482</f>
        <v>0.20331288866679229</v>
      </c>
      <c r="E482" s="886">
        <f>гар.вода!M482+хол.вода!Q482+ц.о.!M482+каналізація!Q482+аварійні!I482+зварювальн!M482</f>
        <v>0.25808673691302075</v>
      </c>
      <c r="F482" s="886">
        <f>дератизац.!I482</f>
        <v>2.9012810851544841E-3</v>
      </c>
      <c r="G482" s="886">
        <f>димоканал!R482</f>
        <v>2.0953163091966018E-2</v>
      </c>
      <c r="H482" s="886">
        <f>'підготовка до зими'!M482+майстерні!M482+маляри!M483+покрівлі!O482</f>
        <v>0.42472560036457674</v>
      </c>
      <c r="I482" s="886">
        <f>електрики!R482</f>
        <v>2.4924243683740591E-2</v>
      </c>
      <c r="J482" s="989">
        <f t="shared" ref="J482:J511" si="56">I482+H482+G482+F482+E482+D482+C482</f>
        <v>1.4719317270192076</v>
      </c>
      <c r="K482" s="989">
        <v>3.7206897391508682E-2</v>
      </c>
      <c r="L482" s="994">
        <f t="shared" si="55"/>
        <v>1.5091386244107163</v>
      </c>
      <c r="M482" s="994">
        <f t="shared" ref="M482:M511" si="57">L482*1.2</f>
        <v>1.8109663492928596</v>
      </c>
      <c r="N482" s="995">
        <v>3</v>
      </c>
      <c r="O482" s="997">
        <v>1.5329241725301577</v>
      </c>
      <c r="P482" s="22">
        <f t="shared" ref="P482:P513" si="58">M482-O482</f>
        <v>0.27804217676270193</v>
      </c>
      <c r="Q482" s="982">
        <f t="shared" ref="Q482:Q513" si="59">M482/O482*100-100</f>
        <v>18.138025464350349</v>
      </c>
      <c r="R482" s="6"/>
      <c r="S482" s="6"/>
      <c r="T482" s="6"/>
      <c r="U482" s="6"/>
      <c r="V482" s="6"/>
      <c r="W482" s="6"/>
      <c r="X482" s="6"/>
      <c r="Y482" s="6"/>
      <c r="Z482" s="6"/>
    </row>
    <row r="483" spans="1:26" s="93" customFormat="1" ht="15.75">
      <c r="A483" s="905">
        <v>98</v>
      </c>
      <c r="B483" s="285" t="s">
        <v>850</v>
      </c>
      <c r="C483" s="886">
        <f>cходова!R483</f>
        <v>0</v>
      </c>
      <c r="D483" s="886">
        <f>прибуд.!O483</f>
        <v>0.56193482497955471</v>
      </c>
      <c r="E483" s="886">
        <f>гар.вода!M483+хол.вода!Q483+ц.о.!M483+каналізація!Q483+аварійні!I483+зварювальн!M483</f>
        <v>0.24858403313389885</v>
      </c>
      <c r="F483" s="886">
        <f>дератизац.!I483</f>
        <v>8.7990307436013951E-3</v>
      </c>
      <c r="G483" s="886">
        <f>димоканал!R483</f>
        <v>2.4342865867282792E-2</v>
      </c>
      <c r="H483" s="886">
        <f>'підготовка до зими'!M483+майстерні!M483+маляри!M484+покрівлі!O483</f>
        <v>0.35221782954088066</v>
      </c>
      <c r="I483" s="886">
        <f>електрики!R483</f>
        <v>2.3571796326677722E-2</v>
      </c>
      <c r="J483" s="989">
        <f t="shared" si="56"/>
        <v>1.2194503805918961</v>
      </c>
      <c r="K483" s="989">
        <v>3.0916559136815725E-2</v>
      </c>
      <c r="L483" s="994">
        <f t="shared" si="55"/>
        <v>1.2503669397287118</v>
      </c>
      <c r="M483" s="994">
        <f t="shared" si="57"/>
        <v>1.5004403276744542</v>
      </c>
      <c r="N483" s="995">
        <v>2</v>
      </c>
      <c r="O483" s="997">
        <v>1.2737622364368077</v>
      </c>
      <c r="P483" s="22">
        <f t="shared" si="58"/>
        <v>0.22667809123764648</v>
      </c>
      <c r="Q483" s="982">
        <f t="shared" si="59"/>
        <v>17.795950041017889</v>
      </c>
      <c r="R483" s="6"/>
      <c r="S483" s="6"/>
      <c r="T483" s="6"/>
      <c r="U483" s="6"/>
      <c r="V483" s="6"/>
      <c r="W483" s="6"/>
      <c r="X483" s="6"/>
      <c r="Y483" s="6"/>
      <c r="Z483" s="6"/>
    </row>
    <row r="484" spans="1:26" s="93" customFormat="1" ht="15.75">
      <c r="A484" s="905">
        <v>99</v>
      </c>
      <c r="B484" s="285" t="s">
        <v>851</v>
      </c>
      <c r="C484" s="886">
        <f>cходова!R484</f>
        <v>0</v>
      </c>
      <c r="D484" s="886">
        <f>прибуд.!O484</f>
        <v>0</v>
      </c>
      <c r="E484" s="886">
        <f>гар.вода!M484+хол.вода!Q484+ц.о.!M484+каналізація!Q484+аварійні!I484+зварювальн!M484</f>
        <v>0.19589060917750653</v>
      </c>
      <c r="F484" s="886">
        <f>дератизац.!I484</f>
        <v>0</v>
      </c>
      <c r="G484" s="886">
        <f>димоканал!R484</f>
        <v>6.3716270200994338E-3</v>
      </c>
      <c r="H484" s="886">
        <f>'підготовка до зими'!M484+майстерні!M484+маляри!M485+покрівлі!O484</f>
        <v>0.43543343775712684</v>
      </c>
      <c r="I484" s="886">
        <f>електрики!R484</f>
        <v>1.6072343158307825E-2</v>
      </c>
      <c r="J484" s="989">
        <f t="shared" si="56"/>
        <v>0.65376801711304056</v>
      </c>
      <c r="K484" s="989">
        <v>1.6950522579197404E-2</v>
      </c>
      <c r="L484" s="994">
        <f t="shared" si="55"/>
        <v>0.67071853969223794</v>
      </c>
      <c r="M484" s="994">
        <f t="shared" si="57"/>
        <v>0.80486224763068548</v>
      </c>
      <c r="N484" s="995">
        <v>1</v>
      </c>
      <c r="O484" s="997">
        <v>0.69836153026293313</v>
      </c>
      <c r="P484" s="22">
        <f t="shared" si="58"/>
        <v>0.10650071736775235</v>
      </c>
      <c r="Q484" s="982">
        <f t="shared" si="59"/>
        <v>15.2500836246886</v>
      </c>
      <c r="R484" s="6"/>
      <c r="S484" s="6"/>
      <c r="T484" s="6"/>
      <c r="U484" s="6"/>
      <c r="V484" s="6"/>
      <c r="W484" s="6"/>
      <c r="X484" s="6"/>
      <c r="Y484" s="6"/>
      <c r="Z484" s="6"/>
    </row>
    <row r="485" spans="1:26" s="93" customFormat="1" ht="15.75">
      <c r="A485" s="906">
        <v>100</v>
      </c>
      <c r="B485" s="285" t="s">
        <v>852</v>
      </c>
      <c r="C485" s="886">
        <f>cходова!R485</f>
        <v>0.5660761081375848</v>
      </c>
      <c r="D485" s="886">
        <f>прибуд.!O485</f>
        <v>0.24309135643353377</v>
      </c>
      <c r="E485" s="886">
        <f>гар.вода!M485+хол.вода!Q485+ц.о.!M485+каналізація!Q485+аварійні!I485+зварювальн!M485</f>
        <v>0.24842741309066252</v>
      </c>
      <c r="F485" s="886">
        <f>дератизац.!I485</f>
        <v>2.9125846351704052E-3</v>
      </c>
      <c r="G485" s="886">
        <f>димоканал!R485</f>
        <v>2.082328416817919E-2</v>
      </c>
      <c r="H485" s="886">
        <f>'підготовка до зими'!M485+майстерні!M485+маляри!M486+покрівлі!O485</f>
        <v>0.25579372199145467</v>
      </c>
      <c r="I485" s="886">
        <f>електрики!R485</f>
        <v>2.3549505790377574E-2</v>
      </c>
      <c r="J485" s="989">
        <f t="shared" si="56"/>
        <v>1.3606739742469629</v>
      </c>
      <c r="K485" s="989">
        <v>3.4304338696818995E-2</v>
      </c>
      <c r="L485" s="994">
        <f t="shared" si="55"/>
        <v>1.3949783129437818</v>
      </c>
      <c r="M485" s="994">
        <f t="shared" si="57"/>
        <v>1.6739739755325382</v>
      </c>
      <c r="N485" s="995">
        <v>3</v>
      </c>
      <c r="O485" s="997">
        <v>1.4133387543089426</v>
      </c>
      <c r="P485" s="22">
        <f t="shared" si="58"/>
        <v>0.26063522122359561</v>
      </c>
      <c r="Q485" s="982">
        <f t="shared" si="59"/>
        <v>18.441100580379555</v>
      </c>
      <c r="R485" s="6"/>
      <c r="S485" s="6"/>
      <c r="T485" s="6"/>
      <c r="U485" s="6"/>
      <c r="V485" s="6"/>
      <c r="W485" s="6"/>
      <c r="X485" s="6"/>
      <c r="Y485" s="6"/>
      <c r="Z485" s="6"/>
    </row>
    <row r="486" spans="1:26" s="93" customFormat="1" ht="15.75">
      <c r="A486" s="906">
        <v>101</v>
      </c>
      <c r="B486" s="285" t="s">
        <v>853</v>
      </c>
      <c r="C486" s="886">
        <f>cходова!R486</f>
        <v>0</v>
      </c>
      <c r="D486" s="886">
        <f>прибуд.!O486</f>
        <v>0</v>
      </c>
      <c r="E486" s="886">
        <f>гар.вода!M486+хол.вода!Q486+ц.о.!M486+каналізація!Q486+аварійні!I486+зварювальн!M486</f>
        <v>0.16074282014038416</v>
      </c>
      <c r="F486" s="886">
        <f>дератизац.!I486</f>
        <v>0</v>
      </c>
      <c r="G486" s="886">
        <f>димоканал!R486</f>
        <v>5.5862440596804661E-2</v>
      </c>
      <c r="H486" s="886">
        <f>'підготовка до зими'!M486+майстерні!M486+маляри!M487+покрівлі!O486</f>
        <v>0.40776070092078609</v>
      </c>
      <c r="I486" s="886">
        <f>електрики!R486</f>
        <v>1.1070026397229944E-2</v>
      </c>
      <c r="J486" s="989">
        <f t="shared" si="56"/>
        <v>0.63543598805520485</v>
      </c>
      <c r="K486" s="989">
        <v>1.6353700341995122E-2</v>
      </c>
      <c r="L486" s="994">
        <f t="shared" si="55"/>
        <v>0.65178968839719997</v>
      </c>
      <c r="M486" s="994">
        <f t="shared" si="57"/>
        <v>0.7821476260766399</v>
      </c>
      <c r="N486" s="995">
        <v>1</v>
      </c>
      <c r="O486" s="997">
        <v>0.67377245409019892</v>
      </c>
      <c r="P486" s="22">
        <f t="shared" si="58"/>
        <v>0.10837517198644098</v>
      </c>
      <c r="Q486" s="982">
        <f t="shared" si="59"/>
        <v>16.084832695153878</v>
      </c>
      <c r="R486" s="6"/>
      <c r="S486" s="6"/>
      <c r="T486" s="6"/>
      <c r="U486" s="6"/>
      <c r="V486" s="6"/>
      <c r="W486" s="6"/>
      <c r="X486" s="6"/>
      <c r="Y486" s="6"/>
      <c r="Z486" s="6"/>
    </row>
    <row r="487" spans="1:26" s="93" customFormat="1" ht="15.75">
      <c r="A487" s="906">
        <v>102</v>
      </c>
      <c r="B487" s="285" t="s">
        <v>854</v>
      </c>
      <c r="C487" s="886">
        <f>cходова!R487</f>
        <v>0</v>
      </c>
      <c r="D487" s="886">
        <f>прибуд.!O487</f>
        <v>0</v>
      </c>
      <c r="E487" s="886">
        <f>гар.вода!M487+хол.вода!Q487+ц.о.!M487+каналізація!Q487+аварійні!I487+зварювальн!M487</f>
        <v>0.20209064035833885</v>
      </c>
      <c r="F487" s="886">
        <f>дератизац.!I487</f>
        <v>0</v>
      </c>
      <c r="G487" s="886">
        <f>димоканал!R487</f>
        <v>3.8802326117756046E-2</v>
      </c>
      <c r="H487" s="886">
        <f>'підготовка до зими'!M487+майстерні!M487+маляри!M488+покрівлі!O487</f>
        <v>0.47614565590846791</v>
      </c>
      <c r="I487" s="886">
        <f>електрики!R487</f>
        <v>1.6954746312097275E-2</v>
      </c>
      <c r="J487" s="989">
        <f t="shared" si="56"/>
        <v>0.73399336869665999</v>
      </c>
      <c r="K487" s="989">
        <v>1.8848848138975471E-2</v>
      </c>
      <c r="L487" s="994">
        <f t="shared" si="55"/>
        <v>0.75284221683563546</v>
      </c>
      <c r="M487" s="994">
        <f t="shared" si="57"/>
        <v>0.90341066020276251</v>
      </c>
      <c r="N487" s="995">
        <v>1</v>
      </c>
      <c r="O487" s="997">
        <v>0.77657254332578951</v>
      </c>
      <c r="P487" s="22">
        <f t="shared" si="58"/>
        <v>0.12683811687697299</v>
      </c>
      <c r="Q487" s="982">
        <f t="shared" si="59"/>
        <v>16.333067395580272</v>
      </c>
      <c r="R487" s="6"/>
      <c r="S487" s="6"/>
      <c r="T487" s="6"/>
      <c r="U487" s="6"/>
      <c r="V487" s="6"/>
      <c r="W487" s="6"/>
      <c r="X487" s="6"/>
      <c r="Y487" s="6"/>
      <c r="Z487" s="6"/>
    </row>
    <row r="488" spans="1:26" s="93" customFormat="1" ht="15.75">
      <c r="A488" s="906">
        <v>103</v>
      </c>
      <c r="B488" s="285" t="s">
        <v>855</v>
      </c>
      <c r="C488" s="886">
        <f>cходова!R488</f>
        <v>0</v>
      </c>
      <c r="D488" s="886">
        <f>прибуд.!O488</f>
        <v>0.52953285820639462</v>
      </c>
      <c r="E488" s="886">
        <f>гар.вода!M488+хол.вода!Q488+ц.о.!M488+каналізація!Q488+аварійні!I488+зварювальн!M488</f>
        <v>0.21088520350756212</v>
      </c>
      <c r="F488" s="886">
        <f>дератизац.!I488</f>
        <v>7.4603587210813624E-3</v>
      </c>
      <c r="G488" s="886">
        <f>димоканал!R488</f>
        <v>2.7196488735547236E-2</v>
      </c>
      <c r="H488" s="886">
        <f>'підготовка до зими'!M488+майстерні!M488+маляри!M489+покрівлі!O488</f>
        <v>0.38973694277269511</v>
      </c>
      <c r="I488" s="886">
        <f>електрики!R488</f>
        <v>1.820640941390014E-2</v>
      </c>
      <c r="J488" s="989">
        <f t="shared" si="56"/>
        <v>1.1830182613571805</v>
      </c>
      <c r="K488" s="989">
        <v>3.0024165627857452E-2</v>
      </c>
      <c r="L488" s="994">
        <f t="shared" si="55"/>
        <v>1.2130424269850379</v>
      </c>
      <c r="M488" s="994">
        <f t="shared" si="57"/>
        <v>1.4556509123820456</v>
      </c>
      <c r="N488" s="995">
        <v>2</v>
      </c>
      <c r="O488" s="997">
        <v>1.2369956238677271</v>
      </c>
      <c r="P488" s="22">
        <f t="shared" si="58"/>
        <v>0.21865528851431848</v>
      </c>
      <c r="Q488" s="982">
        <f t="shared" si="59"/>
        <v>17.676318678529086</v>
      </c>
      <c r="R488" s="6"/>
      <c r="S488" s="6"/>
      <c r="T488" s="6"/>
      <c r="U488" s="6"/>
      <c r="V488" s="6"/>
      <c r="W488" s="6"/>
      <c r="X488" s="6"/>
      <c r="Y488" s="6"/>
      <c r="Z488" s="6"/>
    </row>
    <row r="489" spans="1:26" s="93" customFormat="1" ht="15.75">
      <c r="A489" s="906">
        <v>104</v>
      </c>
      <c r="B489" s="285" t="s">
        <v>856</v>
      </c>
      <c r="C489" s="886">
        <f>cходова!R489</f>
        <v>0.33152379916455721</v>
      </c>
      <c r="D489" s="886">
        <f>прибуд.!O489</f>
        <v>0.48608069500702311</v>
      </c>
      <c r="E489" s="886">
        <f>гар.вода!M489+хол.вода!Q489+ц.о.!M489+каналізація!Q489+аварійні!I489+зварювальн!M489</f>
        <v>0.24117407301159619</v>
      </c>
      <c r="F489" s="886">
        <f>дератизац.!I489</f>
        <v>3.6456990746342463E-3</v>
      </c>
      <c r="G489" s="886">
        <f>димоканал!R489</f>
        <v>2.0820589462721428E-2</v>
      </c>
      <c r="H489" s="886">
        <f>'підготовка до зими'!M489+майстерні!M489+маляри!M490+покрівлі!O489</f>
        <v>0.1782628026514203</v>
      </c>
      <c r="I489" s="886">
        <f>електрики!R489</f>
        <v>2.5528134376406546E-2</v>
      </c>
      <c r="J489" s="989">
        <f t="shared" si="56"/>
        <v>1.2870357927483589</v>
      </c>
      <c r="K489" s="989">
        <v>3.2404981689165044E-2</v>
      </c>
      <c r="L489" s="994">
        <f t="shared" si="55"/>
        <v>1.3194407744375238</v>
      </c>
      <c r="M489" s="994">
        <f t="shared" si="57"/>
        <v>1.5833289293250286</v>
      </c>
      <c r="N489" s="995">
        <v>4</v>
      </c>
      <c r="O489" s="997">
        <v>1.3350852455936</v>
      </c>
      <c r="P489" s="22">
        <f t="shared" si="58"/>
        <v>0.24824368373142858</v>
      </c>
      <c r="Q489" s="982">
        <f t="shared" si="59"/>
        <v>18.593845190840639</v>
      </c>
      <c r="R489" s="6"/>
      <c r="S489" s="6"/>
      <c r="T489" s="6"/>
      <c r="U489" s="6"/>
      <c r="V489" s="6"/>
      <c r="W489" s="6"/>
      <c r="X489" s="6"/>
      <c r="Y489" s="6"/>
      <c r="Z489" s="6"/>
    </row>
    <row r="490" spans="1:26" s="93" customFormat="1" ht="15.75">
      <c r="A490" s="905">
        <v>105</v>
      </c>
      <c r="B490" s="285" t="s">
        <v>857</v>
      </c>
      <c r="C490" s="886">
        <f>cходова!R490</f>
        <v>0</v>
      </c>
      <c r="D490" s="886">
        <f>прибуд.!O490</f>
        <v>0</v>
      </c>
      <c r="E490" s="886">
        <f>гар.вода!M490+хол.вода!Q490+ц.о.!M490+каналізація!Q490+аварійні!I490+зварювальн!M490</f>
        <v>0.21875689021121364</v>
      </c>
      <c r="F490" s="886">
        <f>дератизац.!I490</f>
        <v>4.3460264900662257E-3</v>
      </c>
      <c r="G490" s="886">
        <f>димоканал!R490</f>
        <v>2.5230655936158784E-2</v>
      </c>
      <c r="H490" s="886">
        <f>'підготовка до зими'!M490+майстерні!M490+маляри!M491+покрівлі!O490</f>
        <v>0.52116154488260558</v>
      </c>
      <c r="I490" s="886">
        <f>електрики!R490</f>
        <v>1.9326726549468501E-2</v>
      </c>
      <c r="J490" s="989">
        <f t="shared" si="56"/>
        <v>0.78882184406951272</v>
      </c>
      <c r="K490" s="989">
        <v>2.0392229303837255E-2</v>
      </c>
      <c r="L490" s="994">
        <f t="shared" si="55"/>
        <v>0.80921407337334994</v>
      </c>
      <c r="M490" s="994">
        <f t="shared" si="57"/>
        <v>0.97105688804801993</v>
      </c>
      <c r="N490" s="995">
        <v>2</v>
      </c>
      <c r="O490" s="997">
        <v>0.84015984731809501</v>
      </c>
      <c r="P490" s="22">
        <f t="shared" si="58"/>
        <v>0.13089704072992492</v>
      </c>
      <c r="Q490" s="982">
        <f t="shared" si="59"/>
        <v>15.580016249022876</v>
      </c>
      <c r="R490" s="6"/>
      <c r="S490" s="6"/>
      <c r="T490" s="6"/>
      <c r="U490" s="6"/>
      <c r="V490" s="6"/>
      <c r="W490" s="6"/>
      <c r="X490" s="6"/>
      <c r="Y490" s="6"/>
      <c r="Z490" s="6"/>
    </row>
    <row r="491" spans="1:26" s="93" customFormat="1" ht="15.75">
      <c r="A491" s="905">
        <v>106</v>
      </c>
      <c r="B491" s="285" t="s">
        <v>864</v>
      </c>
      <c r="C491" s="886">
        <f>cходова!R491</f>
        <v>0</v>
      </c>
      <c r="D491" s="886">
        <f>прибуд.!O491</f>
        <v>0.4946730058813531</v>
      </c>
      <c r="E491" s="886">
        <f>гар.вода!M491+хол.вода!Q491+ц.о.!M491+каналізація!Q491+аварійні!I491+зварювальн!M491</f>
        <v>0.22238087134373483</v>
      </c>
      <c r="F491" s="886">
        <f>дератизац.!I491</f>
        <v>2.1417644059153495E-3</v>
      </c>
      <c r="G491" s="886">
        <f>димоканал!R491</f>
        <v>1.7594175622016872E-2</v>
      </c>
      <c r="H491" s="886">
        <f>'підготовка до зими'!M491+майстерні!M491+маляри!M492+покрівлі!O491</f>
        <v>0.28339030297431184</v>
      </c>
      <c r="I491" s="886">
        <f>електрики!R491</f>
        <v>2.4911102936148045E-2</v>
      </c>
      <c r="J491" s="989">
        <f t="shared" si="56"/>
        <v>1.0450912231634799</v>
      </c>
      <c r="K491" s="989">
        <v>2.6501174268062432E-2</v>
      </c>
      <c r="L491" s="994">
        <f t="shared" si="55"/>
        <v>1.0715923974315424</v>
      </c>
      <c r="M491" s="994">
        <f t="shared" si="57"/>
        <v>1.2859108769178509</v>
      </c>
      <c r="N491" s="995">
        <v>2</v>
      </c>
      <c r="O491" s="997">
        <v>1.0918483798441723</v>
      </c>
      <c r="P491" s="22">
        <f t="shared" si="58"/>
        <v>0.19406249707367862</v>
      </c>
      <c r="Q491" s="982">
        <f t="shared" si="59"/>
        <v>17.77375876139277</v>
      </c>
      <c r="R491" s="6"/>
      <c r="S491" s="6"/>
      <c r="T491" s="6"/>
      <c r="U491" s="6"/>
      <c r="V491" s="6"/>
      <c r="W491" s="6"/>
      <c r="X491" s="6"/>
      <c r="Y491" s="6"/>
      <c r="Z491" s="6"/>
    </row>
    <row r="492" spans="1:26" s="93" customFormat="1" ht="15.75">
      <c r="A492" s="906">
        <v>107</v>
      </c>
      <c r="B492" s="285" t="s">
        <v>865</v>
      </c>
      <c r="C492" s="886">
        <f>cходова!R492</f>
        <v>0</v>
      </c>
      <c r="D492" s="886">
        <f>прибуд.!O492</f>
        <v>0</v>
      </c>
      <c r="E492" s="886">
        <f>гар.вода!M492+хол.вода!Q492+ц.о.!M492+каналізація!Q492+аварійні!I492+зварювальн!M492</f>
        <v>0.30505850182132505</v>
      </c>
      <c r="F492" s="886">
        <f>дератизац.!I492</f>
        <v>0</v>
      </c>
      <c r="G492" s="886">
        <f>димоканал!R492</f>
        <v>1.5663798756763533E-2</v>
      </c>
      <c r="H492" s="886">
        <f>'підготовка до зими'!M492+майстерні!M492+маляри!M493+покрівлі!O492</f>
        <v>0.51516505995105122</v>
      </c>
      <c r="I492" s="886">
        <f>електрики!R492</f>
        <v>3.1609376755697194E-2</v>
      </c>
      <c r="J492" s="989">
        <f t="shared" si="56"/>
        <v>0.86749673728483701</v>
      </c>
      <c r="K492" s="989">
        <v>2.2351993371003152E-2</v>
      </c>
      <c r="L492" s="994">
        <f t="shared" si="55"/>
        <v>0.88984873065584014</v>
      </c>
      <c r="M492" s="994">
        <f t="shared" si="57"/>
        <v>1.067818476787008</v>
      </c>
      <c r="N492" s="995">
        <v>1</v>
      </c>
      <c r="O492" s="997">
        <v>0.92090212688532991</v>
      </c>
      <c r="P492" s="22">
        <f t="shared" si="58"/>
        <v>0.14691634990167812</v>
      </c>
      <c r="Q492" s="982">
        <f t="shared" si="59"/>
        <v>15.953524876587892</v>
      </c>
      <c r="R492" s="6"/>
      <c r="S492" s="6"/>
      <c r="T492" s="6"/>
      <c r="U492" s="6"/>
      <c r="V492" s="6"/>
      <c r="W492" s="6"/>
      <c r="X492" s="6"/>
      <c r="Y492" s="6"/>
      <c r="Z492" s="6"/>
    </row>
    <row r="493" spans="1:26" s="93" customFormat="1" ht="15.75">
      <c r="A493" s="906">
        <v>108</v>
      </c>
      <c r="B493" s="285" t="s">
        <v>866</v>
      </c>
      <c r="C493" s="886">
        <f>cходова!R493</f>
        <v>0.45538187378886968</v>
      </c>
      <c r="D493" s="886">
        <f>прибуд.!O493</f>
        <v>0.16507077393984945</v>
      </c>
      <c r="E493" s="886">
        <f>гар.вода!M493+хол.вода!Q493+ц.о.!M493+каналізація!Q493+аварійні!I493+зварювальн!M493</f>
        <v>0.19567528435624854</v>
      </c>
      <c r="F493" s="886">
        <f>дератизац.!I493</f>
        <v>2.6303358241003181E-3</v>
      </c>
      <c r="G493" s="886">
        <f>димоканал!R493</f>
        <v>2.3342376359683035E-2</v>
      </c>
      <c r="H493" s="886">
        <f>'підготовка до зими'!M493+майстерні!M493+маляри!M494+покрівлі!O493</f>
        <v>0.21112555594303045</v>
      </c>
      <c r="I493" s="886">
        <f>електрики!R493</f>
        <v>1.6041697618660443E-2</v>
      </c>
      <c r="J493" s="989">
        <f t="shared" si="56"/>
        <v>1.069267897830442</v>
      </c>
      <c r="K493" s="989">
        <v>2.7035814050490683E-2</v>
      </c>
      <c r="L493" s="994">
        <f t="shared" si="55"/>
        <v>1.0963037118809327</v>
      </c>
      <c r="M493" s="994">
        <f t="shared" si="57"/>
        <v>1.3155644542571192</v>
      </c>
      <c r="N493" s="995">
        <v>4</v>
      </c>
      <c r="O493" s="997">
        <v>1.1138755388802162</v>
      </c>
      <c r="P493" s="22">
        <f t="shared" si="58"/>
        <v>0.20168891537690303</v>
      </c>
      <c r="Q493" s="982">
        <f t="shared" si="59"/>
        <v>18.106952557703337</v>
      </c>
      <c r="R493" s="6"/>
      <c r="S493" s="6"/>
      <c r="T493" s="6"/>
      <c r="U493" s="6"/>
      <c r="V493" s="6"/>
      <c r="W493" s="6"/>
      <c r="X493" s="6"/>
      <c r="Y493" s="6"/>
      <c r="Z493" s="6"/>
    </row>
    <row r="494" spans="1:26" s="93" customFormat="1" ht="15.75">
      <c r="A494" s="906">
        <v>109</v>
      </c>
      <c r="B494" s="285" t="s">
        <v>867</v>
      </c>
      <c r="C494" s="886">
        <f>cходова!R494</f>
        <v>0.44631797340447221</v>
      </c>
      <c r="D494" s="886">
        <f>прибуд.!O494</f>
        <v>0.44805827728648667</v>
      </c>
      <c r="E494" s="886">
        <f>гар.вода!M494+хол.вода!Q494+ц.о.!M494+каналізація!Q494+аварійні!I494+зварювальн!M494</f>
        <v>0.25419053375864359</v>
      </c>
      <c r="F494" s="886">
        <f>дератизац.!I494</f>
        <v>2.1920210434020169E-3</v>
      </c>
      <c r="G494" s="886">
        <f>димоканал!R494</f>
        <v>1.7392477990832326E-2</v>
      </c>
      <c r="H494" s="886">
        <f>'підготовка до зими'!M494+майстерні!M494+маляри!M495+покрівлі!O494</f>
        <v>0.2380952568745521</v>
      </c>
      <c r="I494" s="886">
        <f>електрики!R494</f>
        <v>2.4369726802945607E-2</v>
      </c>
      <c r="J494" s="989">
        <f t="shared" si="56"/>
        <v>1.4306162671613345</v>
      </c>
      <c r="K494" s="989">
        <v>3.6011025868611546E-2</v>
      </c>
      <c r="L494" s="994">
        <f t="shared" si="55"/>
        <v>1.466627293029946</v>
      </c>
      <c r="M494" s="994">
        <f t="shared" si="57"/>
        <v>1.7599527516359352</v>
      </c>
      <c r="N494" s="995">
        <v>3</v>
      </c>
      <c r="O494" s="997">
        <v>1.4836542657867957</v>
      </c>
      <c r="P494" s="22">
        <f t="shared" si="58"/>
        <v>0.27629848584913952</v>
      </c>
      <c r="Q494" s="982">
        <f t="shared" si="59"/>
        <v>18.622834997385041</v>
      </c>
      <c r="R494" s="6"/>
      <c r="S494" s="6"/>
      <c r="T494" s="6"/>
      <c r="U494" s="6"/>
      <c r="V494" s="6"/>
      <c r="W494" s="6"/>
      <c r="X494" s="6"/>
      <c r="Y494" s="6"/>
      <c r="Z494" s="6"/>
    </row>
    <row r="495" spans="1:26" s="93" customFormat="1" ht="15.75">
      <c r="A495" s="906">
        <v>110</v>
      </c>
      <c r="B495" s="285" t="s">
        <v>868</v>
      </c>
      <c r="C495" s="886">
        <f>cходова!R495</f>
        <v>0.33106184533002581</v>
      </c>
      <c r="D495" s="886">
        <f>прибуд.!O495</f>
        <v>0.18474225907598338</v>
      </c>
      <c r="E495" s="886">
        <f>гар.вода!M495+хол.вода!Q495+ц.о.!M495+каналізація!Q495+аварійні!I495+зварювальн!M495</f>
        <v>0.25414407598364464</v>
      </c>
      <c r="F495" s="886">
        <f>дератизац.!I495</f>
        <v>1.7531410443711653E-3</v>
      </c>
      <c r="G495" s="886">
        <f>димоканал!R495</f>
        <v>1.8383108521238995E-2</v>
      </c>
      <c r="H495" s="886">
        <f>'підготовка до зими'!M495+майстерні!M495+маляри!M496+покрівлі!O495</f>
        <v>0.24629428500490741</v>
      </c>
      <c r="I495" s="886">
        <f>електрики!R495</f>
        <v>2.4363114822137526E-2</v>
      </c>
      <c r="J495" s="989">
        <f t="shared" si="56"/>
        <v>1.0607418297823088</v>
      </c>
      <c r="K495" s="989">
        <v>2.6950706293284509E-2</v>
      </c>
      <c r="L495" s="994">
        <f t="shared" si="55"/>
        <v>1.0876925360755934</v>
      </c>
      <c r="M495" s="994">
        <f t="shared" si="57"/>
        <v>1.3052310432907119</v>
      </c>
      <c r="N495" s="995">
        <v>3</v>
      </c>
      <c r="O495" s="997">
        <v>1.1103690992833219</v>
      </c>
      <c r="P495" s="22">
        <f t="shared" si="58"/>
        <v>0.19486194400738999</v>
      </c>
      <c r="Q495" s="982">
        <f t="shared" si="59"/>
        <v>17.549294566388966</v>
      </c>
      <c r="R495" s="6"/>
      <c r="S495" s="6"/>
      <c r="T495" s="6"/>
      <c r="U495" s="6"/>
      <c r="V495" s="6"/>
      <c r="W495" s="6"/>
      <c r="X495" s="6"/>
      <c r="Y495" s="6"/>
      <c r="Z495" s="6"/>
    </row>
    <row r="496" spans="1:26" s="93" customFormat="1" ht="15.75">
      <c r="A496" s="906">
        <v>111</v>
      </c>
      <c r="B496" s="285" t="s">
        <v>869</v>
      </c>
      <c r="C496" s="886">
        <f>cходова!R496</f>
        <v>0.50847353310909615</v>
      </c>
      <c r="D496" s="886">
        <f>прибуд.!O496</f>
        <v>0.24071540174119688</v>
      </c>
      <c r="E496" s="886">
        <f>гар.вода!M496+хол.вода!Q496+ц.о.!M496+каналізація!Q496+аварійні!I496+зварювальн!M496</f>
        <v>0.24342633102647379</v>
      </c>
      <c r="F496" s="886">
        <f>дератизац.!I496</f>
        <v>2.416730681259117E-3</v>
      </c>
      <c r="G496" s="886">
        <f>димоканал!R496</f>
        <v>1.7466023130297721E-2</v>
      </c>
      <c r="H496" s="886">
        <f>'підготовка до зими'!M496+майстерні!M496+маляри!M497+покрівлі!O496</f>
        <v>0.18181729166055821</v>
      </c>
      <c r="I496" s="886">
        <f>електрики!R496</f>
        <v>2.2837739920644067E-2</v>
      </c>
      <c r="J496" s="989">
        <f t="shared" si="56"/>
        <v>1.2171530512695259</v>
      </c>
      <c r="K496" s="989">
        <v>3.0688817170236655E-2</v>
      </c>
      <c r="L496" s="994">
        <f t="shared" si="55"/>
        <v>1.2478418684397625</v>
      </c>
      <c r="M496" s="994">
        <f t="shared" si="57"/>
        <v>1.4974102421277149</v>
      </c>
      <c r="N496" s="995">
        <v>3</v>
      </c>
      <c r="O496" s="997">
        <v>1.2643792674137502</v>
      </c>
      <c r="P496" s="22">
        <f t="shared" si="58"/>
        <v>0.23303097471396472</v>
      </c>
      <c r="Q496" s="982">
        <f t="shared" si="59"/>
        <v>18.430464712587607</v>
      </c>
      <c r="R496" s="6"/>
      <c r="S496" s="6"/>
      <c r="T496" s="6"/>
      <c r="U496" s="6"/>
      <c r="V496" s="6"/>
      <c r="W496" s="6"/>
      <c r="X496" s="6"/>
      <c r="Y496" s="6"/>
      <c r="Z496" s="6"/>
    </row>
    <row r="497" spans="1:26" s="93" customFormat="1" ht="15.75">
      <c r="A497" s="905">
        <v>112</v>
      </c>
      <c r="B497" s="285" t="s">
        <v>870</v>
      </c>
      <c r="C497" s="886">
        <f>cходова!R497</f>
        <v>0</v>
      </c>
      <c r="D497" s="886">
        <f>прибуд.!O497</f>
        <v>0.51921628904667694</v>
      </c>
      <c r="E497" s="886">
        <f>гар.вода!M497+хол.вода!Q497+ц.о.!M497+каналізація!Q497+аварійні!I497+зварювальн!M497</f>
        <v>0.26078836793081206</v>
      </c>
      <c r="F497" s="886">
        <f>дератизац.!I497</f>
        <v>3.0353126100978347E-3</v>
      </c>
      <c r="G497" s="886">
        <f>димоканал!R497</f>
        <v>2.4780047457285948E-2</v>
      </c>
      <c r="H497" s="886">
        <f>'підготовка до зими'!M497+майстерні!M497+маляри!M498+покрівлі!O497</f>
        <v>0.32293107259055975</v>
      </c>
      <c r="I497" s="886">
        <f>електрики!R497</f>
        <v>2.5308746222670469E-2</v>
      </c>
      <c r="J497" s="989">
        <f t="shared" si="56"/>
        <v>1.1560598358581031</v>
      </c>
      <c r="K497" s="989">
        <v>2.9302250904046843E-2</v>
      </c>
      <c r="L497" s="994">
        <f t="shared" si="55"/>
        <v>1.1853620867621499</v>
      </c>
      <c r="M497" s="994">
        <f t="shared" si="57"/>
        <v>1.4224345041145798</v>
      </c>
      <c r="N497" s="995">
        <v>2</v>
      </c>
      <c r="O497" s="997">
        <v>1.2072527372467299</v>
      </c>
      <c r="P497" s="22">
        <f t="shared" si="58"/>
        <v>0.21518176686784996</v>
      </c>
      <c r="Q497" s="982">
        <f t="shared" si="59"/>
        <v>17.824086061597598</v>
      </c>
      <c r="R497" s="6"/>
      <c r="S497" s="6"/>
      <c r="T497" s="6"/>
      <c r="U497" s="6"/>
      <c r="V497" s="6"/>
      <c r="W497" s="6"/>
      <c r="X497" s="6"/>
      <c r="Y497" s="6"/>
      <c r="Z497" s="6"/>
    </row>
    <row r="498" spans="1:26" s="93" customFormat="1" ht="15.75">
      <c r="A498" s="905">
        <v>113</v>
      </c>
      <c r="B498" s="285" t="s">
        <v>871</v>
      </c>
      <c r="C498" s="886">
        <f>cходова!R498</f>
        <v>0</v>
      </c>
      <c r="D498" s="886">
        <f>прибуд.!O498</f>
        <v>0.32219322701401726</v>
      </c>
      <c r="E498" s="886">
        <f>гар.вода!M498+хол.вода!Q498+ц.о.!M498+каналізація!Q498+аварійні!I498+зварювальн!M498</f>
        <v>0.22509484652373007</v>
      </c>
      <c r="F498" s="886">
        <f>дератизац.!I498</f>
        <v>3.7401802218114608E-3</v>
      </c>
      <c r="G498" s="886">
        <f>димоканал!R498</f>
        <v>2.1425834079035314E-2</v>
      </c>
      <c r="H498" s="886">
        <f>'підготовка до зими'!M498+майстерні!M498+маляри!M499+покрівлі!O498</f>
        <v>0.30799061701295471</v>
      </c>
      <c r="I498" s="886">
        <f>електрики!R498</f>
        <v>2.0228759535372526E-2</v>
      </c>
      <c r="J498" s="989">
        <f t="shared" si="56"/>
        <v>0.90067346438692142</v>
      </c>
      <c r="K498" s="989">
        <v>2.2969047837166988E-2</v>
      </c>
      <c r="L498" s="994">
        <f t="shared" si="55"/>
        <v>0.92364251222408844</v>
      </c>
      <c r="M498" s="994">
        <f t="shared" si="57"/>
        <v>1.1083710146689061</v>
      </c>
      <c r="N498" s="995">
        <v>2</v>
      </c>
      <c r="O498" s="997">
        <v>0.94632477089127998</v>
      </c>
      <c r="P498" s="22">
        <f t="shared" si="58"/>
        <v>0.16204624377762611</v>
      </c>
      <c r="Q498" s="982">
        <f t="shared" si="59"/>
        <v>17.123745331637636</v>
      </c>
      <c r="R498" s="6"/>
      <c r="S498" s="6"/>
      <c r="T498" s="6"/>
      <c r="U498" s="6"/>
      <c r="V498" s="6"/>
      <c r="W498" s="6"/>
      <c r="X498" s="6"/>
      <c r="Y498" s="6"/>
      <c r="Z498" s="6"/>
    </row>
    <row r="499" spans="1:26" s="93" customFormat="1" ht="15.75">
      <c r="A499" s="906">
        <v>114</v>
      </c>
      <c r="B499" s="285" t="s">
        <v>872</v>
      </c>
      <c r="C499" s="886">
        <f>cходова!R499</f>
        <v>0</v>
      </c>
      <c r="D499" s="886">
        <f>прибуд.!O499</f>
        <v>0</v>
      </c>
      <c r="E499" s="886">
        <f>гар.вода!M499+хол.вода!Q499+ц.о.!M499+каналізація!Q499+аварійні!I499+зварювальн!M499</f>
        <v>0.19123927036801081</v>
      </c>
      <c r="F499" s="886">
        <f>дератизац.!I499</f>
        <v>0</v>
      </c>
      <c r="G499" s="886">
        <f>димоканал!R499</f>
        <v>2.2773715112062762E-2</v>
      </c>
      <c r="H499" s="886">
        <f>'підготовка до зими'!M499+майстерні!M499+маляри!M500+покрівлі!O499</f>
        <v>0.60842940142396551</v>
      </c>
      <c r="I499" s="886">
        <f>електрики!R499</f>
        <v>1.5410353578718113E-2</v>
      </c>
      <c r="J499" s="989">
        <f t="shared" si="56"/>
        <v>0.83785274048275715</v>
      </c>
      <c r="K499" s="989">
        <v>2.1643717001234231E-2</v>
      </c>
      <c r="L499" s="994">
        <f t="shared" si="55"/>
        <v>0.85949645748399139</v>
      </c>
      <c r="M499" s="994">
        <f t="shared" si="57"/>
        <v>1.0313957489807897</v>
      </c>
      <c r="N499" s="995">
        <v>1</v>
      </c>
      <c r="O499" s="997">
        <v>0.89172114045085038</v>
      </c>
      <c r="P499" s="22">
        <f t="shared" si="58"/>
        <v>0.13967460852993929</v>
      </c>
      <c r="Q499" s="982">
        <f t="shared" si="59"/>
        <v>15.663485163009639</v>
      </c>
      <c r="R499" s="6"/>
      <c r="S499" s="6"/>
      <c r="T499" s="6"/>
      <c r="U499" s="6"/>
      <c r="V499" s="6"/>
      <c r="W499" s="6"/>
      <c r="X499" s="6"/>
      <c r="Y499" s="6"/>
      <c r="Z499" s="6"/>
    </row>
    <row r="500" spans="1:26" s="93" customFormat="1" ht="15.75">
      <c r="A500" s="906">
        <v>115</v>
      </c>
      <c r="B500" s="285" t="s">
        <v>873</v>
      </c>
      <c r="C500" s="886">
        <f>cходова!R500</f>
        <v>0</v>
      </c>
      <c r="D500" s="886">
        <f>прибуд.!O500</f>
        <v>0</v>
      </c>
      <c r="E500" s="886">
        <f>гар.вода!M500+хол.вода!Q500+ц.о.!M500+каналізація!Q500+аварійні!I500+зварювальн!M500</f>
        <v>0.30416005104458971</v>
      </c>
      <c r="F500" s="886">
        <f>дератизац.!I500</f>
        <v>0</v>
      </c>
      <c r="G500" s="886">
        <f>димоканал!R500</f>
        <v>2.1674210264518382E-2</v>
      </c>
      <c r="H500" s="886">
        <f>'підготовка до зими'!M500+майстерні!M500+маляри!M501+покрівлі!O500</f>
        <v>0.73527951452225371</v>
      </c>
      <c r="I500" s="886">
        <f>електрики!R500</f>
        <v>3.9185440872369838E-2</v>
      </c>
      <c r="J500" s="989">
        <f t="shared" si="56"/>
        <v>1.1002992167037318</v>
      </c>
      <c r="K500" s="989">
        <v>2.8295952790724239E-2</v>
      </c>
      <c r="L500" s="994">
        <f t="shared" si="55"/>
        <v>1.128595169494456</v>
      </c>
      <c r="M500" s="994">
        <f t="shared" si="57"/>
        <v>1.3543142033933473</v>
      </c>
      <c r="N500" s="995">
        <v>1</v>
      </c>
      <c r="O500" s="997">
        <v>1.1657932549778387</v>
      </c>
      <c r="P500" s="22">
        <f t="shared" si="58"/>
        <v>0.18852094841550859</v>
      </c>
      <c r="Q500" s="982">
        <f t="shared" si="59"/>
        <v>16.171044703727702</v>
      </c>
      <c r="R500" s="6"/>
      <c r="S500" s="6"/>
      <c r="T500" s="6"/>
      <c r="U500" s="6"/>
      <c r="V500" s="6"/>
      <c r="W500" s="6"/>
      <c r="X500" s="6"/>
      <c r="Y500" s="6"/>
      <c r="Z500" s="6"/>
    </row>
    <row r="501" spans="1:26" s="93" customFormat="1" ht="15.75">
      <c r="A501" s="906">
        <v>116</v>
      </c>
      <c r="B501" s="285" t="s">
        <v>874</v>
      </c>
      <c r="C501" s="886">
        <f>cходова!R501</f>
        <v>0.34994103936639759</v>
      </c>
      <c r="D501" s="886">
        <f>прибуд.!O501</f>
        <v>0.47569929286694107</v>
      </c>
      <c r="E501" s="886">
        <f>гар.вода!M501+хол.вода!Q501+ц.о.!M501+каналізація!Q501+аварійні!I501+зварювальн!M501</f>
        <v>0.25807568505505041</v>
      </c>
      <c r="F501" s="886">
        <f>дератизац.!I501</f>
        <v>1.2329666458503468E-3</v>
      </c>
      <c r="G501" s="886">
        <f>димоканал!R501</f>
        <v>2.5756447083811741E-2</v>
      </c>
      <c r="H501" s="886">
        <f>'підготовка до зими'!M501+майстерні!M501+маляри!M502+покрівлі!O501</f>
        <v>0.2451639600044139</v>
      </c>
      <c r="I501" s="886">
        <f>електрики!R501</f>
        <v>2.492267075708203E-2</v>
      </c>
      <c r="J501" s="989">
        <f t="shared" si="56"/>
        <v>1.3807920617795471</v>
      </c>
      <c r="K501" s="989">
        <v>3.4782962800785543E-2</v>
      </c>
      <c r="L501" s="994">
        <f t="shared" si="55"/>
        <v>1.4155750245803327</v>
      </c>
      <c r="M501" s="994">
        <f t="shared" si="57"/>
        <v>1.6986900294963991</v>
      </c>
      <c r="N501" s="995">
        <v>3</v>
      </c>
      <c r="O501" s="997">
        <v>1.4330580673923645</v>
      </c>
      <c r="P501" s="22">
        <f t="shared" si="58"/>
        <v>0.26563196210403461</v>
      </c>
      <c r="Q501" s="982">
        <f t="shared" si="59"/>
        <v>18.53602224140063</v>
      </c>
      <c r="R501" s="6"/>
      <c r="S501" s="6"/>
      <c r="T501" s="6"/>
      <c r="U501" s="6"/>
      <c r="V501" s="6"/>
      <c r="W501" s="6"/>
      <c r="X501" s="6"/>
      <c r="Y501" s="6"/>
      <c r="Z501" s="6"/>
    </row>
    <row r="502" spans="1:26" s="93" customFormat="1" ht="15.75">
      <c r="A502" s="906">
        <v>117</v>
      </c>
      <c r="B502" s="285" t="s">
        <v>875</v>
      </c>
      <c r="C502" s="886">
        <f>cходова!R502</f>
        <v>0</v>
      </c>
      <c r="D502" s="886">
        <f>прибуд.!O502</f>
        <v>0</v>
      </c>
      <c r="E502" s="886">
        <f>гар.вода!M502+хол.вода!Q502+ц.о.!M502+каналізація!Q502+аварійні!I502+зварювальн!M502</f>
        <v>0.21797452976447118</v>
      </c>
      <c r="F502" s="886">
        <f>дератизац.!I502</f>
        <v>0</v>
      </c>
      <c r="G502" s="886">
        <f>димоканал!R502</f>
        <v>9.9727537582416387E-3</v>
      </c>
      <c r="H502" s="886">
        <f>'підготовка до зими'!M502+майстерні!M502+маляри!M503+покрівлі!O502</f>
        <v>0.41248208995653479</v>
      </c>
      <c r="I502" s="886">
        <f>електрики!R502</f>
        <v>1.9215379153710244E-2</v>
      </c>
      <c r="J502" s="1000">
        <f t="shared" si="56"/>
        <v>0.65964475263295785</v>
      </c>
      <c r="K502" s="1000">
        <v>1.7085482582086801E-2</v>
      </c>
      <c r="L502" s="994">
        <f t="shared" si="55"/>
        <v>0.67673023521504461</v>
      </c>
      <c r="M502" s="1009">
        <f t="shared" si="57"/>
        <v>0.81207628225805351</v>
      </c>
      <c r="N502" s="995">
        <v>1</v>
      </c>
      <c r="O502" s="997">
        <v>0.70392188238197628</v>
      </c>
      <c r="P502" s="22">
        <f t="shared" si="58"/>
        <v>0.10815439987607722</v>
      </c>
      <c r="Q502" s="982">
        <f t="shared" si="59"/>
        <v>15.364545780292758</v>
      </c>
      <c r="R502" s="6"/>
      <c r="S502" s="6"/>
      <c r="T502" s="6"/>
      <c r="U502" s="6"/>
      <c r="V502" s="6"/>
      <c r="W502" s="6"/>
      <c r="X502" s="6"/>
      <c r="Y502" s="6"/>
      <c r="Z502" s="6"/>
    </row>
    <row r="503" spans="1:26" s="93" customFormat="1" ht="15.75">
      <c r="A503" s="906">
        <v>118</v>
      </c>
      <c r="B503" s="285" t="s">
        <v>876</v>
      </c>
      <c r="C503" s="886">
        <f>cходова!R503</f>
        <v>0</v>
      </c>
      <c r="D503" s="886">
        <f>прибуд.!O503</f>
        <v>0</v>
      </c>
      <c r="E503" s="886">
        <f>гар.вода!M503+хол.вода!Q503+ц.о.!M503+каналізація!Q503+аварійні!I503+зварювальн!M503</f>
        <v>0.24803404122551032</v>
      </c>
      <c r="F503" s="886">
        <f>дератизац.!I503</f>
        <v>0</v>
      </c>
      <c r="G503" s="886">
        <f>димоканал!R503</f>
        <v>1.3019689960292484E-2</v>
      </c>
      <c r="H503" s="886">
        <f>'підготовка до зими'!M503+майстерні!M503+маляри!M504+покрівлі!O503</f>
        <v>0.48482783790950312</v>
      </c>
      <c r="I503" s="886">
        <f>електрики!R503</f>
        <v>2.3493520172838189E-2</v>
      </c>
      <c r="J503" s="989">
        <f t="shared" si="56"/>
        <v>0.76937508926814413</v>
      </c>
      <c r="K503" s="989">
        <v>1.9873604400896305E-2</v>
      </c>
      <c r="L503" s="994">
        <f t="shared" si="55"/>
        <v>0.78924869366904038</v>
      </c>
      <c r="M503" s="994">
        <f t="shared" si="57"/>
        <v>0.94709843240284841</v>
      </c>
      <c r="N503" s="995">
        <v>1</v>
      </c>
      <c r="O503" s="997">
        <v>0.81879250131692793</v>
      </c>
      <c r="P503" s="22">
        <f t="shared" si="58"/>
        <v>0.12830593108592048</v>
      </c>
      <c r="Q503" s="982">
        <f t="shared" si="59"/>
        <v>15.670139978023244</v>
      </c>
      <c r="R503" s="6"/>
      <c r="S503" s="6"/>
      <c r="T503" s="6"/>
      <c r="U503" s="6"/>
      <c r="V503" s="6"/>
      <c r="W503" s="6"/>
      <c r="X503" s="6"/>
      <c r="Y503" s="6"/>
      <c r="Z503" s="6"/>
    </row>
    <row r="504" spans="1:26" s="93" customFormat="1" ht="15.75">
      <c r="A504" s="905">
        <v>119</v>
      </c>
      <c r="B504" s="285" t="s">
        <v>877</v>
      </c>
      <c r="C504" s="886">
        <f>cходова!R504</f>
        <v>0</v>
      </c>
      <c r="D504" s="886">
        <f>прибуд.!O504</f>
        <v>0</v>
      </c>
      <c r="E504" s="886">
        <f>гар.вода!M504+хол.вода!Q504+ц.о.!M504+каналізація!Q504+аварійні!I504+зварювальн!M504</f>
        <v>0.15301949579647264</v>
      </c>
      <c r="F504" s="886">
        <f>дератизац.!I504</f>
        <v>0</v>
      </c>
      <c r="G504" s="886">
        <f>димоканал!R504</f>
        <v>1.599227655683402E-2</v>
      </c>
      <c r="H504" s="886">
        <f>'підготовка до зими'!M504+майстерні!M504+маляри!M505+покрівлі!O504</f>
        <v>0.525931037807298</v>
      </c>
      <c r="I504" s="886">
        <f>електрики!R504</f>
        <v>9.9708245448464437E-3</v>
      </c>
      <c r="J504" s="989">
        <f t="shared" si="56"/>
        <v>0.7049136347054511</v>
      </c>
      <c r="K504" s="989">
        <v>1.8274492455916176E-2</v>
      </c>
      <c r="L504" s="994">
        <f t="shared" si="55"/>
        <v>0.72318812716136727</v>
      </c>
      <c r="M504" s="994">
        <f t="shared" si="57"/>
        <v>0.8678257525936407</v>
      </c>
      <c r="N504" s="995">
        <v>1</v>
      </c>
      <c r="O504" s="997">
        <v>0.75290908918374655</v>
      </c>
      <c r="P504" s="22">
        <f t="shared" si="58"/>
        <v>0.11491666340989415</v>
      </c>
      <c r="Q504" s="982">
        <f t="shared" si="59"/>
        <v>15.263019806877224</v>
      </c>
      <c r="R504" s="6"/>
      <c r="S504" s="6"/>
      <c r="T504" s="6"/>
      <c r="U504" s="6"/>
      <c r="V504" s="6"/>
      <c r="W504" s="6"/>
      <c r="X504" s="6"/>
      <c r="Y504" s="6"/>
      <c r="Z504" s="6"/>
    </row>
    <row r="505" spans="1:26" s="93" customFormat="1" ht="15.75">
      <c r="A505" s="905">
        <v>120</v>
      </c>
      <c r="B505" s="285" t="s">
        <v>890</v>
      </c>
      <c r="C505" s="886">
        <f>cходова!R505</f>
        <v>0</v>
      </c>
      <c r="D505" s="886">
        <f>прибуд.!O505</f>
        <v>0.61392902980434783</v>
      </c>
      <c r="E505" s="886">
        <f>гар.вода!M505+хол.вода!Q505+ц.о.!M505+каналізація!Q505+аварійні!I505+зварювальн!M505</f>
        <v>0.28107845995948605</v>
      </c>
      <c r="F505" s="886">
        <f>дератизац.!I505</f>
        <v>4.5652173913043491E-3</v>
      </c>
      <c r="G505" s="886">
        <f>димоканал!R505</f>
        <v>1.6767075017022532E-2</v>
      </c>
      <c r="H505" s="886">
        <f>'підготовка до зими'!M505+майстерні!M505+маляри!M506+покрівлі!O505</f>
        <v>0.28589569059063358</v>
      </c>
      <c r="I505" s="886">
        <f>електрики!R505</f>
        <v>2.8196480279900904E-2</v>
      </c>
      <c r="J505" s="989">
        <f t="shared" si="56"/>
        <v>1.2304319530426953</v>
      </c>
      <c r="K505" s="989">
        <v>3.1256944838548684E-2</v>
      </c>
      <c r="L505" s="994">
        <f t="shared" si="55"/>
        <v>1.2616888978812439</v>
      </c>
      <c r="M505" s="994">
        <f t="shared" si="57"/>
        <v>1.5140266774574926</v>
      </c>
      <c r="N505" s="995">
        <v>2</v>
      </c>
      <c r="O505" s="997">
        <v>1.2877861273482059</v>
      </c>
      <c r="P505" s="22">
        <f t="shared" si="58"/>
        <v>0.22624055010928679</v>
      </c>
      <c r="Q505" s="982">
        <f t="shared" si="59"/>
        <v>17.568177300927971</v>
      </c>
      <c r="R505" s="6"/>
      <c r="S505" s="6"/>
      <c r="T505" s="6"/>
      <c r="U505" s="6"/>
      <c r="V505" s="6"/>
      <c r="W505" s="6"/>
      <c r="X505" s="6"/>
      <c r="Y505" s="6"/>
      <c r="Z505" s="6"/>
    </row>
    <row r="506" spans="1:26" s="93" customFormat="1" ht="15.75">
      <c r="A506" s="906">
        <v>121</v>
      </c>
      <c r="B506" s="285" t="s">
        <v>891</v>
      </c>
      <c r="C506" s="886">
        <f>cходова!R506</f>
        <v>0</v>
      </c>
      <c r="D506" s="886">
        <f>прибуд.!O506</f>
        <v>0</v>
      </c>
      <c r="E506" s="886">
        <f>гар.вода!M506+хол.вода!Q506+ц.о.!M506+каналізація!Q506+аварійні!I506+зварювальн!M506</f>
        <v>0.24180036387366971</v>
      </c>
      <c r="F506" s="886">
        <f>дератизац.!I506</f>
        <v>5.3376906318082801E-3</v>
      </c>
      <c r="G506" s="886">
        <f>димоканал!R506</f>
        <v>2.984508055285438E-2</v>
      </c>
      <c r="H506" s="886">
        <f>'підготовка до зими'!M506+майстерні!M506+маляри!M507+покрівлі!O506</f>
        <v>0.41248208995653479</v>
      </c>
      <c r="I506" s="886">
        <f>електрики!R506</f>
        <v>2.2606328416129702E-2</v>
      </c>
      <c r="J506" s="989">
        <f t="shared" si="56"/>
        <v>0.71207155343099693</v>
      </c>
      <c r="K506" s="989">
        <v>1.8418307923022882E-2</v>
      </c>
      <c r="L506" s="994">
        <f t="shared" si="55"/>
        <v>0.73048986135401983</v>
      </c>
      <c r="M506" s="994">
        <f t="shared" si="57"/>
        <v>0.87658783362482373</v>
      </c>
      <c r="N506" s="995">
        <v>2</v>
      </c>
      <c r="O506" s="997">
        <v>0.75883428642854278</v>
      </c>
      <c r="P506" s="22">
        <f t="shared" si="58"/>
        <v>0.11775354719628095</v>
      </c>
      <c r="Q506" s="982">
        <f t="shared" si="59"/>
        <v>15.517689343016983</v>
      </c>
      <c r="R506" s="6"/>
      <c r="S506" s="6"/>
      <c r="T506" s="6"/>
      <c r="U506" s="6"/>
      <c r="V506" s="6"/>
      <c r="W506" s="6"/>
      <c r="X506" s="6"/>
      <c r="Y506" s="6"/>
      <c r="Z506" s="6"/>
    </row>
    <row r="507" spans="1:26" s="93" customFormat="1" ht="15.75">
      <c r="A507" s="906">
        <v>122</v>
      </c>
      <c r="B507" s="285" t="s">
        <v>892</v>
      </c>
      <c r="C507" s="886">
        <f>cходова!R507</f>
        <v>0</v>
      </c>
      <c r="D507" s="886">
        <f>прибуд.!O507</f>
        <v>0</v>
      </c>
      <c r="E507" s="886">
        <f>гар.вода!M507+хол.вода!Q507+ц.о.!M507+каналізація!Q507+аварійні!I507+зварювальн!M507</f>
        <v>0.20126586029397892</v>
      </c>
      <c r="F507" s="886">
        <f>дератизац.!I507</f>
        <v>8.5190393768931217E-3</v>
      </c>
      <c r="G507" s="886">
        <f>димоканал!R507</f>
        <v>3.0190048537721427E-2</v>
      </c>
      <c r="H507" s="886">
        <f>'підготовка до зими'!M507+майстерні!M507+маляри!M508+покрівлі!O507</f>
        <v>0.47328373559367415</v>
      </c>
      <c r="I507" s="886">
        <f>електрики!R507</f>
        <v>1.6837361655674274E-2</v>
      </c>
      <c r="J507" s="989">
        <f t="shared" si="56"/>
        <v>0.73009604545794193</v>
      </c>
      <c r="K507" s="989">
        <v>1.8917959044231193E-2</v>
      </c>
      <c r="L507" s="994">
        <f t="shared" si="55"/>
        <v>0.74901400450217315</v>
      </c>
      <c r="M507" s="994">
        <f t="shared" si="57"/>
        <v>0.89881680540260778</v>
      </c>
      <c r="N507" s="995">
        <v>2</v>
      </c>
      <c r="O507" s="997">
        <v>0.77941991262232524</v>
      </c>
      <c r="P507" s="22">
        <f t="shared" si="58"/>
        <v>0.11939689278028254</v>
      </c>
      <c r="Q507" s="982">
        <f t="shared" si="59"/>
        <v>15.318686480382155</v>
      </c>
      <c r="R507" s="6"/>
      <c r="S507" s="6"/>
      <c r="T507" s="6"/>
      <c r="U507" s="6"/>
      <c r="V507" s="6"/>
      <c r="W507" s="6"/>
      <c r="X507" s="6"/>
      <c r="Y507" s="6"/>
      <c r="Z507" s="6"/>
    </row>
    <row r="508" spans="1:26" s="93" customFormat="1" ht="15.75">
      <c r="A508" s="906">
        <v>123</v>
      </c>
      <c r="B508" s="285" t="s">
        <v>893</v>
      </c>
      <c r="C508" s="886">
        <f>cходова!R508</f>
        <v>0</v>
      </c>
      <c r="D508" s="886">
        <f>прибуд.!O508</f>
        <v>0.1423846678829562</v>
      </c>
      <c r="E508" s="886">
        <f>гар.вода!M508+хол.вода!Q508+ц.о.!M508+каналізація!Q508+аварійні!I508+зварювальн!M508</f>
        <v>0.25768812038414773</v>
      </c>
      <c r="F508" s="886">
        <f>дератизац.!I508</f>
        <v>2.1835390069842816E-3</v>
      </c>
      <c r="G508" s="886">
        <f>димоканал!R508</f>
        <v>2.3965142004464125E-2</v>
      </c>
      <c r="H508" s="886">
        <f>'підготовка до зими'!M508+майстерні!M508+маляри!M509+покрівлі!O508</f>
        <v>0.31926960648562736</v>
      </c>
      <c r="I508" s="886">
        <f>електрики!R508</f>
        <v>2.5854988957633499E-2</v>
      </c>
      <c r="J508" s="989">
        <f t="shared" si="56"/>
        <v>0.77134606472181322</v>
      </c>
      <c r="K508" s="989">
        <v>1.9822348540833819E-2</v>
      </c>
      <c r="L508" s="994">
        <f t="shared" si="55"/>
        <v>0.79116841326264709</v>
      </c>
      <c r="M508" s="994">
        <f t="shared" si="57"/>
        <v>0.94940209591517644</v>
      </c>
      <c r="N508" s="995">
        <v>2</v>
      </c>
      <c r="O508" s="997">
        <v>0.81668075988235345</v>
      </c>
      <c r="P508" s="22">
        <f t="shared" si="58"/>
        <v>0.13272133603282299</v>
      </c>
      <c r="Q508" s="982">
        <f t="shared" si="59"/>
        <v>16.251311718417625</v>
      </c>
      <c r="R508" s="6"/>
      <c r="S508" s="6"/>
      <c r="T508" s="6"/>
      <c r="U508" s="6"/>
      <c r="V508" s="6"/>
      <c r="W508" s="6"/>
      <c r="X508" s="6"/>
      <c r="Y508" s="6"/>
      <c r="Z508" s="6"/>
    </row>
    <row r="509" spans="1:26" s="93" customFormat="1" ht="15.75">
      <c r="A509" s="906">
        <v>124</v>
      </c>
      <c r="B509" s="285" t="s">
        <v>895</v>
      </c>
      <c r="C509" s="886">
        <f>cходова!R509</f>
        <v>0.81580626467875961</v>
      </c>
      <c r="D509" s="886">
        <f>прибуд.!O509</f>
        <v>6.692692782411383E-2</v>
      </c>
      <c r="E509" s="886">
        <f>гар.вода!M509+хол.вода!Q509+ц.о.!M509+каналізація!Q509+аварійні!I509+зварювальн!M509</f>
        <v>0.27745777658748511</v>
      </c>
      <c r="F509" s="886">
        <f>дератизац.!I509</f>
        <v>3.2626027229240772E-3</v>
      </c>
      <c r="G509" s="886">
        <f>димоканал!R509</f>
        <v>2.3896331158533089E-2</v>
      </c>
      <c r="H509" s="886">
        <f>'підготовка до зими'!M509+майстерні!M509+маляри!M510+покрівлі!O509</f>
        <v>0.24863170282960911</v>
      </c>
      <c r="I509" s="886">
        <f>електрики!R509</f>
        <v>2.7681176028495874E-2</v>
      </c>
      <c r="J509" s="989">
        <f t="shared" si="56"/>
        <v>1.4636627818299206</v>
      </c>
      <c r="K509" s="989">
        <v>3.6863551831726696E-2</v>
      </c>
      <c r="L509" s="994">
        <f t="shared" si="55"/>
        <v>1.5005263336616472</v>
      </c>
      <c r="M509" s="994">
        <f t="shared" si="57"/>
        <v>1.8006316003939766</v>
      </c>
      <c r="N509" s="995">
        <v>3</v>
      </c>
      <c r="O509" s="997">
        <v>1.5187783354671398</v>
      </c>
      <c r="P509" s="22">
        <f t="shared" si="58"/>
        <v>0.28185326492683682</v>
      </c>
      <c r="Q509" s="982">
        <f t="shared" si="59"/>
        <v>18.55789342953365</v>
      </c>
      <c r="R509" s="6"/>
      <c r="S509" s="6"/>
      <c r="T509" s="6"/>
      <c r="U509" s="6"/>
      <c r="V509" s="6"/>
      <c r="W509" s="6"/>
      <c r="X509" s="6"/>
      <c r="Y509" s="6"/>
      <c r="Z509" s="6"/>
    </row>
    <row r="510" spans="1:26" s="93" customFormat="1" ht="15.75">
      <c r="A510" s="906">
        <v>125</v>
      </c>
      <c r="B510" s="285" t="s">
        <v>896</v>
      </c>
      <c r="C510" s="886">
        <f>cходова!R510</f>
        <v>0.62324479721944592</v>
      </c>
      <c r="D510" s="886">
        <f>прибуд.!O510</f>
        <v>0.24239224501082796</v>
      </c>
      <c r="E510" s="886">
        <f>гар.вода!M510+хол.вода!Q510+ц.о.!M510+каналізація!Q510+аварійні!I510+зварювальн!M510</f>
        <v>0.30157332100919015</v>
      </c>
      <c r="F510" s="886">
        <f>дератизац.!I510</f>
        <v>2.4925037481259371E-3</v>
      </c>
      <c r="G510" s="886">
        <f>димоканал!R510</f>
        <v>3.7338868223664799E-2</v>
      </c>
      <c r="H510" s="886">
        <f>'підготовка до зими'!M510+майстерні!M510+маляри!M511+покрівлі!O510</f>
        <v>0.28550108243374334</v>
      </c>
      <c r="I510" s="886">
        <f>електрики!R510</f>
        <v>3.111335755023548E-2</v>
      </c>
      <c r="J510" s="989">
        <f t="shared" si="56"/>
        <v>1.5236561751952336</v>
      </c>
      <c r="K510" s="989">
        <v>3.8382366641918665E-2</v>
      </c>
      <c r="L510" s="994">
        <f t="shared" si="55"/>
        <v>1.5620385418371523</v>
      </c>
      <c r="M510" s="994">
        <f t="shared" si="57"/>
        <v>1.8744462502045827</v>
      </c>
      <c r="N510" s="995">
        <v>3</v>
      </c>
      <c r="O510" s="997">
        <v>1.5813535056470491</v>
      </c>
      <c r="P510" s="22">
        <f t="shared" si="58"/>
        <v>0.29309274455753354</v>
      </c>
      <c r="Q510" s="982">
        <f t="shared" si="59"/>
        <v>18.534296317103838</v>
      </c>
      <c r="R510" s="6"/>
      <c r="S510" s="6"/>
      <c r="T510" s="6"/>
      <c r="U510" s="6"/>
      <c r="V510" s="6"/>
      <c r="W510" s="6"/>
      <c r="X510" s="6"/>
      <c r="Y510" s="6"/>
      <c r="Z510" s="6"/>
    </row>
    <row r="511" spans="1:26" s="93" customFormat="1" ht="15.75">
      <c r="A511" s="905">
        <v>126</v>
      </c>
      <c r="B511" s="285" t="s">
        <v>897</v>
      </c>
      <c r="C511" s="886">
        <f>cходова!R511</f>
        <v>0</v>
      </c>
      <c r="D511" s="886">
        <f>прибуд.!O511</f>
        <v>8.5062588962936975E-2</v>
      </c>
      <c r="E511" s="886">
        <f>гар.вода!M511+хол.вода!Q511+ц.о.!M511+каналізація!Q511+аварійні!I511+зварювальн!M511</f>
        <v>0.3131135116809281</v>
      </c>
      <c r="F511" s="886">
        <f>дератизац.!I511</f>
        <v>3.5601543318133991E-3</v>
      </c>
      <c r="G511" s="886">
        <f>димоканал!R511</f>
        <v>1.0821262024314786E-2</v>
      </c>
      <c r="H511" s="886">
        <f>'підготовка до зими'!M511+майстерні!M511+маляри!M512+покрівлі!O511</f>
        <v>0.40788889687374064</v>
      </c>
      <c r="I511" s="886">
        <f>електрики!R511</f>
        <v>3.2755784877948703E-2</v>
      </c>
      <c r="J511" s="989">
        <f t="shared" si="56"/>
        <v>0.85320219875168257</v>
      </c>
      <c r="K511" s="989">
        <v>2.1925241963106225E-2</v>
      </c>
      <c r="L511" s="994">
        <f t="shared" si="55"/>
        <v>0.87512744071478876</v>
      </c>
      <c r="M511" s="994">
        <f t="shared" si="57"/>
        <v>1.0501529288577465</v>
      </c>
      <c r="N511" s="995">
        <v>2</v>
      </c>
      <c r="O511" s="997">
        <v>0.90331996887997634</v>
      </c>
      <c r="P511" s="22">
        <f t="shared" si="58"/>
        <v>0.14683295997777013</v>
      </c>
      <c r="Q511" s="982">
        <f t="shared" si="59"/>
        <v>16.254811698652901</v>
      </c>
      <c r="R511" s="6"/>
      <c r="S511" s="6"/>
      <c r="T511" s="6"/>
      <c r="U511" s="6"/>
      <c r="V511" s="6"/>
      <c r="W511" s="6"/>
      <c r="X511" s="6"/>
      <c r="Y511" s="6"/>
      <c r="Z511" s="6"/>
    </row>
    <row r="512" spans="1:26" s="93" customFormat="1" ht="15.75">
      <c r="A512" s="905">
        <v>127</v>
      </c>
      <c r="B512" s="285" t="s">
        <v>898</v>
      </c>
      <c r="C512" s="886">
        <f>cходова!R512</f>
        <v>0.76546437484031815</v>
      </c>
      <c r="D512" s="886">
        <f>прибуд.!O512</f>
        <v>0.22161193639540852</v>
      </c>
      <c r="E512" s="886">
        <f>гар.вода!M512+хол.вода!Q512+ц.о.!M512+каналізація!Q512+аварійні!I512+зварювальн!M512</f>
        <v>0.21445504734363377</v>
      </c>
      <c r="F512" s="886">
        <f>дератизац.!I512</f>
        <v>4.5450173143516742E-3</v>
      </c>
      <c r="G512" s="886">
        <f>димоканал!R512</f>
        <v>1.8278710104121462E-2</v>
      </c>
      <c r="H512" s="886">
        <f>'підготовка до зими'!M512+майстерні!M512+маляри!M513+покрівлі!O512</f>
        <v>0.25210489358069554</v>
      </c>
      <c r="I512" s="886">
        <f>електрики!R512</f>
        <v>1.8714478061881132E-2</v>
      </c>
      <c r="J512" s="989">
        <f t="shared" ref="J512:J532" si="60">I512+H512+G512+F512+E512+D512+C512</f>
        <v>1.4951744576404105</v>
      </c>
      <c r="K512" s="989">
        <v>3.7622867233915044E-2</v>
      </c>
      <c r="L512" s="994">
        <f t="shared" si="55"/>
        <v>1.5327973248743254</v>
      </c>
      <c r="M512" s="994">
        <f t="shared" ref="M512:M534" si="61">L512*1.2</f>
        <v>1.8393567898491905</v>
      </c>
      <c r="N512" s="995">
        <v>3</v>
      </c>
      <c r="O512" s="997">
        <v>1.5500621300373001</v>
      </c>
      <c r="P512" s="22">
        <f t="shared" si="58"/>
        <v>0.2892946598118904</v>
      </c>
      <c r="Q512" s="982">
        <f t="shared" si="59"/>
        <v>18.663423498058677</v>
      </c>
      <c r="R512" s="6"/>
      <c r="S512" s="6"/>
      <c r="T512" s="6"/>
      <c r="U512" s="6"/>
      <c r="V512" s="6"/>
      <c r="W512" s="6"/>
      <c r="X512" s="6"/>
      <c r="Y512" s="6"/>
      <c r="Z512" s="6"/>
    </row>
    <row r="513" spans="1:26" s="93" customFormat="1" ht="15.75">
      <c r="A513" s="906">
        <v>128</v>
      </c>
      <c r="B513" s="285" t="s">
        <v>899</v>
      </c>
      <c r="C513" s="886">
        <f>cходова!R513</f>
        <v>0.65327948609545849</v>
      </c>
      <c r="D513" s="886">
        <f>прибуд.!O513</f>
        <v>8.4542006050276938E-2</v>
      </c>
      <c r="E513" s="886">
        <f>гар.вода!M513+хол.вода!Q513+ц.о.!M513+каналізація!Q513+аварійні!I513+зварювальн!M513</f>
        <v>0.24181113073521857</v>
      </c>
      <c r="F513" s="886">
        <f>дератизац.!I513</f>
        <v>3.6603788201572608E-3</v>
      </c>
      <c r="G513" s="886">
        <f>димоканал!R513</f>
        <v>1.5291072793126711E-2</v>
      </c>
      <c r="H513" s="886">
        <f>'підготовка до зими'!M513+майстерні!M513+маляри!M514+покрівлі!O513</f>
        <v>0.23791518844903461</v>
      </c>
      <c r="I513" s="886">
        <f>електрики!R513</f>
        <v>2.2607860781421105E-2</v>
      </c>
      <c r="J513" s="989">
        <f t="shared" si="60"/>
        <v>1.2591071237246938</v>
      </c>
      <c r="K513" s="989">
        <v>3.1784922582603209E-2</v>
      </c>
      <c r="L513" s="994">
        <f t="shared" si="55"/>
        <v>1.290892046307297</v>
      </c>
      <c r="M513" s="994">
        <f t="shared" si="61"/>
        <v>1.5490704555687564</v>
      </c>
      <c r="N513" s="995">
        <v>3</v>
      </c>
      <c r="O513" s="997">
        <v>1.3095388104032522</v>
      </c>
      <c r="P513" s="22">
        <f t="shared" si="58"/>
        <v>0.23953164516550429</v>
      </c>
      <c r="Q513" s="982">
        <f t="shared" si="59"/>
        <v>18.291297918214752</v>
      </c>
      <c r="R513" s="6"/>
      <c r="S513" s="6"/>
      <c r="T513" s="6"/>
      <c r="U513" s="6"/>
      <c r="V513" s="6"/>
      <c r="W513" s="6"/>
      <c r="X513" s="6"/>
      <c r="Y513" s="6"/>
      <c r="Z513" s="6"/>
    </row>
    <row r="514" spans="1:26" s="93" customFormat="1" ht="15.75">
      <c r="A514" s="906">
        <v>129</v>
      </c>
      <c r="B514" s="285" t="s">
        <v>900</v>
      </c>
      <c r="C514" s="886">
        <f>cходова!R514</f>
        <v>0.40824786796461282</v>
      </c>
      <c r="D514" s="886">
        <f>прибуд.!O514</f>
        <v>0.21640820010576065</v>
      </c>
      <c r="E514" s="886">
        <f>гар.вода!M514+хол.вода!Q514+ц.о.!M514+каналізація!Q514+аварійні!I514+зварювальн!M514</f>
        <v>0.20946509706034647</v>
      </c>
      <c r="F514" s="886">
        <f>дератизац.!I514</f>
        <v>2.5448656509237532E-3</v>
      </c>
      <c r="G514" s="886">
        <f>димоканал!R514</f>
        <v>2.1113040897832124E-2</v>
      </c>
      <c r="H514" s="886">
        <f>'підготовка до зими'!M514+майстерні!M514+маляри!M515+покрівлі!O514</f>
        <v>0.22106795789154779</v>
      </c>
      <c r="I514" s="886">
        <f>електрики!R514</f>
        <v>1.8004296493627444E-2</v>
      </c>
      <c r="J514" s="989">
        <f t="shared" si="60"/>
        <v>1.0968513260646511</v>
      </c>
      <c r="K514" s="989">
        <v>2.773407339729575E-2</v>
      </c>
      <c r="L514" s="994">
        <f t="shared" si="55"/>
        <v>1.1245853994619468</v>
      </c>
      <c r="M514" s="994">
        <f t="shared" si="61"/>
        <v>1.3495024793543362</v>
      </c>
      <c r="N514" s="995">
        <v>3</v>
      </c>
      <c r="O514" s="997">
        <v>1.1426438239685848</v>
      </c>
      <c r="P514" s="22">
        <f t="shared" ref="P514:P545" si="62">M514-O514</f>
        <v>0.20685865538575143</v>
      </c>
      <c r="Q514" s="982">
        <f t="shared" ref="Q514:Q535" si="63">M514/O514*100-100</f>
        <v>18.103511439575144</v>
      </c>
      <c r="R514" s="6"/>
      <c r="S514" s="6"/>
      <c r="T514" s="6"/>
      <c r="U514" s="6"/>
      <c r="V514" s="6"/>
      <c r="W514" s="6"/>
      <c r="X514" s="6"/>
      <c r="Y514" s="6"/>
      <c r="Z514" s="6"/>
    </row>
    <row r="515" spans="1:26" s="93" customFormat="1" ht="15.75">
      <c r="A515" s="906">
        <v>130</v>
      </c>
      <c r="B515" s="285" t="s">
        <v>901</v>
      </c>
      <c r="C515" s="886">
        <f>cходова!R515</f>
        <v>0.65860071325218439</v>
      </c>
      <c r="D515" s="886">
        <f>прибуд.!O515</f>
        <v>0.23106997877126656</v>
      </c>
      <c r="E515" s="886">
        <f>гар.вода!M515+хол.вода!Q515+ц.о.!M515+каналізація!Q515+аварійні!I515+зварювальн!M515</f>
        <v>0.26672215632563534</v>
      </c>
      <c r="F515" s="886">
        <f>дератизац.!I515</f>
        <v>3.5286704473850034E-3</v>
      </c>
      <c r="G515" s="886">
        <f>димоканал!R515</f>
        <v>2.8220532076380318E-2</v>
      </c>
      <c r="H515" s="886">
        <f>'підготовка до зими'!M515+майстерні!M515+маляри!M516+покрівлі!O515</f>
        <v>0.26389294978470107</v>
      </c>
      <c r="I515" s="886">
        <f>електрики!R515</f>
        <v>2.6153257071212431E-2</v>
      </c>
      <c r="J515" s="989">
        <f t="shared" si="60"/>
        <v>1.4781882577287651</v>
      </c>
      <c r="K515" s="989">
        <v>3.7279730398207533E-2</v>
      </c>
      <c r="L515" s="994">
        <f t="shared" ref="L515:L534" si="64">J515+K515</f>
        <v>1.5154679881269726</v>
      </c>
      <c r="M515" s="994">
        <f t="shared" si="61"/>
        <v>1.8185615857523669</v>
      </c>
      <c r="N515" s="995">
        <v>3</v>
      </c>
      <c r="O515" s="997">
        <v>1.5359248924061504</v>
      </c>
      <c r="P515" s="22">
        <f t="shared" si="62"/>
        <v>0.28263669334621655</v>
      </c>
      <c r="Q515" s="982">
        <f t="shared" si="63"/>
        <v>18.401726200520343</v>
      </c>
      <c r="R515" s="6"/>
      <c r="S515" s="6"/>
      <c r="T515" s="6"/>
      <c r="U515" s="6"/>
      <c r="V515" s="6"/>
      <c r="W515" s="6"/>
      <c r="X515" s="6"/>
      <c r="Y515" s="6"/>
      <c r="Z515" s="6"/>
    </row>
    <row r="516" spans="1:26" s="93" customFormat="1" ht="15.75">
      <c r="A516" s="906">
        <v>131</v>
      </c>
      <c r="B516" s="285" t="s">
        <v>902</v>
      </c>
      <c r="C516" s="886">
        <f>cходова!R516</f>
        <v>0</v>
      </c>
      <c r="D516" s="886">
        <f>прибуд.!O516</f>
        <v>0.45015308698585299</v>
      </c>
      <c r="E516" s="886">
        <f>гар.вода!M516+хол.вода!Q516+ц.о.!M516+каналізація!Q516+аварійні!I516+зварювальн!M516</f>
        <v>0.26631174044095046</v>
      </c>
      <c r="F516" s="886">
        <f>дератизац.!I516</f>
        <v>5.867982372101936E-3</v>
      </c>
      <c r="G516" s="886">
        <f>димоканал!R516</f>
        <v>1.5920663299344107E-2</v>
      </c>
      <c r="H516" s="886">
        <f>'підготовка до зими'!M516+майстерні!M516+маляри!M517+покрівлі!O516</f>
        <v>0.35987112282415856</v>
      </c>
      <c r="I516" s="886">
        <f>електрики!R516</f>
        <v>2.609484570835819E-2</v>
      </c>
      <c r="J516" s="989">
        <f t="shared" si="60"/>
        <v>1.1242194416307663</v>
      </c>
      <c r="K516" s="989">
        <v>2.856602158674822E-2</v>
      </c>
      <c r="L516" s="994">
        <f t="shared" si="64"/>
        <v>1.1527854632175145</v>
      </c>
      <c r="M516" s="994">
        <f t="shared" si="61"/>
        <v>1.3833425558610173</v>
      </c>
      <c r="N516" s="995">
        <v>2</v>
      </c>
      <c r="O516" s="997">
        <v>1.1769200893740266</v>
      </c>
      <c r="P516" s="22">
        <f t="shared" si="62"/>
        <v>0.2064224664869907</v>
      </c>
      <c r="Q516" s="982">
        <f t="shared" si="63"/>
        <v>17.539208341390577</v>
      </c>
      <c r="R516" s="6"/>
      <c r="S516" s="6"/>
      <c r="T516" s="6"/>
      <c r="U516" s="6"/>
      <c r="V516" s="6"/>
      <c r="W516" s="6"/>
      <c r="X516" s="6"/>
      <c r="Y516" s="6"/>
      <c r="Z516" s="6"/>
    </row>
    <row r="517" spans="1:26" s="93" customFormat="1" ht="15.75">
      <c r="A517" s="906">
        <v>132</v>
      </c>
      <c r="B517" s="285" t="s">
        <v>903</v>
      </c>
      <c r="C517" s="886">
        <f>cходова!R517</f>
        <v>0</v>
      </c>
      <c r="D517" s="886">
        <f>прибуд.!O517</f>
        <v>0.78510671355095774</v>
      </c>
      <c r="E517" s="886">
        <f>гар.вода!M517+хол.вода!Q517+ц.о.!M517+каналізація!Q517+аварійні!I517+зварювальн!M517</f>
        <v>0.30283395924308038</v>
      </c>
      <c r="F517" s="886">
        <f>дератизац.!I517</f>
        <v>4.8618219037871039E-3</v>
      </c>
      <c r="G517" s="886">
        <f>димоканал!R517</f>
        <v>2.7376747739309006E-2</v>
      </c>
      <c r="H517" s="886">
        <f>'підготовка до зими'!M517+майстерні!M517+маляри!M518+покрівлі!O517</f>
        <v>0.38291700203633228</v>
      </c>
      <c r="I517" s="886">
        <f>електрики!R517</f>
        <v>3.1292774575880658E-2</v>
      </c>
      <c r="J517" s="989">
        <f t="shared" si="60"/>
        <v>1.534389019049347</v>
      </c>
      <c r="K517" s="989">
        <v>3.8636373446107375E-2</v>
      </c>
      <c r="L517" s="994">
        <f t="shared" si="64"/>
        <v>1.5730253924954543</v>
      </c>
      <c r="M517" s="994">
        <f t="shared" si="61"/>
        <v>1.8876304709945451</v>
      </c>
      <c r="N517" s="995">
        <v>2</v>
      </c>
      <c r="O517" s="997">
        <v>1.5918185859796241</v>
      </c>
      <c r="P517" s="22">
        <f t="shared" si="62"/>
        <v>0.29581188501492095</v>
      </c>
      <c r="Q517" s="982">
        <f t="shared" si="63"/>
        <v>18.58326618500152</v>
      </c>
      <c r="R517" s="6"/>
      <c r="S517" s="6"/>
      <c r="T517" s="6"/>
      <c r="U517" s="6"/>
      <c r="V517" s="6"/>
      <c r="W517" s="6"/>
      <c r="X517" s="6"/>
      <c r="Y517" s="6"/>
      <c r="Z517" s="6"/>
    </row>
    <row r="518" spans="1:26" s="93" customFormat="1" ht="15.75">
      <c r="A518" s="905">
        <v>133</v>
      </c>
      <c r="B518" s="285" t="s">
        <v>904</v>
      </c>
      <c r="C518" s="886">
        <f>cходова!R518</f>
        <v>0.404520215160313</v>
      </c>
      <c r="D518" s="886">
        <f>прибуд.!O518</f>
        <v>0.14877746104806874</v>
      </c>
      <c r="E518" s="886">
        <f>гар.вода!M518+хол.вода!Q518+ц.о.!M518+каналізація!Q518+аварійні!I518+зварювальн!M518</f>
        <v>0.24379829872040434</v>
      </c>
      <c r="F518" s="886">
        <f>дератизац.!I518</f>
        <v>3.0884743401192044E-3</v>
      </c>
      <c r="G518" s="886">
        <f>димоканал!R518</f>
        <v>3.2995097672829606E-2</v>
      </c>
      <c r="H518" s="886">
        <f>'підготовка до зими'!M518+майстерні!M518+маляри!M519+покрівлі!O518</f>
        <v>0.24115457649199334</v>
      </c>
      <c r="I518" s="886">
        <f>електрики!R518</f>
        <v>2.2890679245731144E-2</v>
      </c>
      <c r="J518" s="989">
        <f t="shared" si="60"/>
        <v>1.0972248026794595</v>
      </c>
      <c r="K518" s="989">
        <v>2.7817274813687471E-2</v>
      </c>
      <c r="L518" s="994">
        <f t="shared" si="64"/>
        <v>1.1250420774931471</v>
      </c>
      <c r="M518" s="994">
        <f t="shared" si="61"/>
        <v>1.3500504929917765</v>
      </c>
      <c r="N518" s="995">
        <v>3</v>
      </c>
      <c r="O518" s="997">
        <v>1.1460717223239238</v>
      </c>
      <c r="P518" s="22">
        <f t="shared" si="62"/>
        <v>0.20397877066785264</v>
      </c>
      <c r="Q518" s="982">
        <f t="shared" si="63"/>
        <v>17.798080756607334</v>
      </c>
      <c r="R518" s="6"/>
      <c r="S518" s="6"/>
      <c r="T518" s="6"/>
      <c r="U518" s="6"/>
      <c r="V518" s="6"/>
      <c r="W518" s="6"/>
      <c r="X518" s="6"/>
      <c r="Y518" s="6"/>
      <c r="Z518" s="6"/>
    </row>
    <row r="519" spans="1:26" s="93" customFormat="1" ht="15.75">
      <c r="A519" s="905">
        <v>134</v>
      </c>
      <c r="B519" s="285" t="s">
        <v>905</v>
      </c>
      <c r="C519" s="886">
        <f>cходова!R519</f>
        <v>0.72822988338207972</v>
      </c>
      <c r="D519" s="886">
        <f>прибуд.!O519</f>
        <v>0.14813309492055443</v>
      </c>
      <c r="E519" s="886">
        <f>гар.вода!M519+хол.вода!Q519+ц.о.!M519+каналізація!Q519+аварійні!I519+зварювальн!M519</f>
        <v>0.25311265579986308</v>
      </c>
      <c r="F519" s="886">
        <f>дератизац.!I519</f>
        <v>2.6219343536787762E-3</v>
      </c>
      <c r="G519" s="886">
        <f>димоканал!R519</f>
        <v>3.1790220138780002E-2</v>
      </c>
      <c r="H519" s="886">
        <f>'підготовка до зими'!M519+майстерні!M519+маляри!M520+покрівлі!O519</f>
        <v>0.25304848679369973</v>
      </c>
      <c r="I519" s="886">
        <f>електрики!R519</f>
        <v>2.4216320653446151E-2</v>
      </c>
      <c r="J519" s="989">
        <f t="shared" si="60"/>
        <v>1.4411525960421019</v>
      </c>
      <c r="K519" s="989">
        <v>3.6297493991145166E-2</v>
      </c>
      <c r="L519" s="994">
        <f t="shared" si="64"/>
        <v>1.477450090033247</v>
      </c>
      <c r="M519" s="994">
        <f t="shared" si="61"/>
        <v>1.7729401080398963</v>
      </c>
      <c r="N519" s="995">
        <v>3</v>
      </c>
      <c r="O519" s="997">
        <v>1.4954567524351809</v>
      </c>
      <c r="P519" s="22">
        <f t="shared" si="62"/>
        <v>0.27748335560471538</v>
      </c>
      <c r="Q519" s="982">
        <f t="shared" si="63"/>
        <v>18.555090620498731</v>
      </c>
      <c r="R519" s="6"/>
      <c r="S519" s="6"/>
      <c r="T519" s="6"/>
      <c r="U519" s="6"/>
      <c r="V519" s="6"/>
      <c r="W519" s="6"/>
      <c r="X519" s="6"/>
      <c r="Y519" s="6"/>
      <c r="Z519" s="6"/>
    </row>
    <row r="520" spans="1:26" s="93" customFormat="1" ht="15.75">
      <c r="A520" s="906">
        <v>135</v>
      </c>
      <c r="B520" s="285" t="s">
        <v>906</v>
      </c>
      <c r="C520" s="886">
        <f>cходова!R520</f>
        <v>0.39408024580307921</v>
      </c>
      <c r="D520" s="886">
        <f>прибуд.!O520</f>
        <v>0.14371812081170871</v>
      </c>
      <c r="E520" s="886">
        <f>гар.вода!M520+хол.вода!Q520+ц.о.!M520+каналізація!Q520+аварійні!I520+зварювальн!M520</f>
        <v>0.230255056812285</v>
      </c>
      <c r="F520" s="886">
        <f>дератизац.!I520</f>
        <v>2.451288497800126E-3</v>
      </c>
      <c r="G520" s="886">
        <f>димоканал!R520</f>
        <v>2.1759712339523375E-2</v>
      </c>
      <c r="H520" s="886">
        <f>'підготовка до зими'!M520+майстерні!M520+маляри!M521+покрівлі!O520</f>
        <v>0.22642157050215125</v>
      </c>
      <c r="I520" s="886">
        <f>електрики!R520</f>
        <v>2.2006490406030678E-2</v>
      </c>
      <c r="J520" s="989">
        <f t="shared" si="60"/>
        <v>1.0406924851725783</v>
      </c>
      <c r="K520" s="989">
        <v>2.6360997331602652E-2</v>
      </c>
      <c r="L520" s="994">
        <f t="shared" si="64"/>
        <v>1.0670534825041809</v>
      </c>
      <c r="M520" s="994">
        <f t="shared" si="61"/>
        <v>1.2804641790050171</v>
      </c>
      <c r="N520" s="995">
        <v>3</v>
      </c>
      <c r="O520" s="997">
        <v>1.0860730900620295</v>
      </c>
      <c r="P520" s="22">
        <f t="shared" si="62"/>
        <v>0.19439108894298762</v>
      </c>
      <c r="Q520" s="982">
        <f t="shared" si="63"/>
        <v>17.898527338697363</v>
      </c>
      <c r="R520" s="6"/>
      <c r="S520" s="6"/>
      <c r="T520" s="6"/>
      <c r="U520" s="6"/>
      <c r="V520" s="6"/>
      <c r="W520" s="6"/>
      <c r="X520" s="6"/>
      <c r="Y520" s="6"/>
      <c r="Z520" s="6"/>
    </row>
    <row r="521" spans="1:26" s="93" customFormat="1" ht="15.75">
      <c r="A521" s="906">
        <v>136</v>
      </c>
      <c r="B521" s="285" t="s">
        <v>907</v>
      </c>
      <c r="C521" s="886">
        <f>cходова!R521</f>
        <v>0</v>
      </c>
      <c r="D521" s="886">
        <f>прибуд.!O521</f>
        <v>0</v>
      </c>
      <c r="E521" s="886">
        <f>гар.вода!M521+хол.вода!Q521+ц.о.!M521+каналізація!Q521+аварійні!I521+зварювальн!M521</f>
        <v>0.21347114051014587</v>
      </c>
      <c r="F521" s="886">
        <f>дератизац.!I521</f>
        <v>4.2812816993854051E-3</v>
      </c>
      <c r="G521" s="886">
        <f>димоканал!R521</f>
        <v>2.6190445954169635E-2</v>
      </c>
      <c r="H521" s="886">
        <f>'підготовка до зими'!M521+майстерні!M521+маляри!M522+покрівлі!O521</f>
        <v>0.48016961289387905</v>
      </c>
      <c r="I521" s="886">
        <f>електрики!R521</f>
        <v>1.8574446105979234E-2</v>
      </c>
      <c r="J521" s="989">
        <f t="shared" si="60"/>
        <v>0.74268692716355922</v>
      </c>
      <c r="K521" s="989">
        <v>1.9219723733139106E-2</v>
      </c>
      <c r="L521" s="994">
        <f t="shared" si="64"/>
        <v>0.76190665089669829</v>
      </c>
      <c r="M521" s="994">
        <f t="shared" si="61"/>
        <v>0.91428798107603793</v>
      </c>
      <c r="N521" s="995">
        <v>2</v>
      </c>
      <c r="O521" s="997">
        <v>0.79185261780533112</v>
      </c>
      <c r="P521" s="22">
        <f t="shared" si="62"/>
        <v>0.12243536327070681</v>
      </c>
      <c r="Q521" s="982">
        <f t="shared" si="63"/>
        <v>15.461887795489517</v>
      </c>
      <c r="R521" s="6"/>
      <c r="S521" s="6"/>
      <c r="T521" s="6"/>
      <c r="U521" s="6"/>
      <c r="V521" s="6"/>
      <c r="W521" s="6"/>
      <c r="X521" s="6"/>
      <c r="Y521" s="6"/>
      <c r="Z521" s="6"/>
    </row>
    <row r="522" spans="1:26" s="93" customFormat="1" ht="15.75">
      <c r="A522" s="906">
        <v>137</v>
      </c>
      <c r="B522" s="285" t="s">
        <v>908</v>
      </c>
      <c r="C522" s="886">
        <f>cходова!R522</f>
        <v>0</v>
      </c>
      <c r="D522" s="886">
        <f>прибуд.!O522</f>
        <v>0.17663676108622556</v>
      </c>
      <c r="E522" s="886">
        <f>гар.вода!M522+хол.вода!Q522+ц.о.!M522+каналізація!Q522+аварійні!I522+зварювальн!M522</f>
        <v>0.22235548451218026</v>
      </c>
      <c r="F522" s="886">
        <f>дератизац.!I522</f>
        <v>4.8435849812447657E-3</v>
      </c>
      <c r="G522" s="886">
        <f>димоканал!R522</f>
        <v>3.0232717653376748E-2</v>
      </c>
      <c r="H522" s="886">
        <f>'підготовка до зими'!M522+майстерні!M522+маляри!M523+покрівлі!O522</f>
        <v>0.33100676509074756</v>
      </c>
      <c r="I522" s="886">
        <f>електрики!R522</f>
        <v>1.9838887031854241E-2</v>
      </c>
      <c r="J522" s="989">
        <f t="shared" si="60"/>
        <v>0.78491420035562909</v>
      </c>
      <c r="K522" s="989">
        <v>2.0137168331512221E-2</v>
      </c>
      <c r="L522" s="994">
        <f t="shared" si="64"/>
        <v>0.80505136868714133</v>
      </c>
      <c r="M522" s="994">
        <f t="shared" si="61"/>
        <v>0.9660616424245696</v>
      </c>
      <c r="N522" s="995">
        <v>2</v>
      </c>
      <c r="O522" s="997">
        <v>0.82965133525830359</v>
      </c>
      <c r="P522" s="22">
        <f t="shared" si="62"/>
        <v>0.13641030716626601</v>
      </c>
      <c r="Q522" s="982">
        <f t="shared" si="63"/>
        <v>16.441883640649607</v>
      </c>
      <c r="R522" s="6"/>
      <c r="S522" s="6"/>
      <c r="T522" s="6"/>
      <c r="U522" s="6"/>
      <c r="V522" s="6"/>
      <c r="W522" s="6"/>
      <c r="X522" s="6"/>
      <c r="Y522" s="6"/>
      <c r="Z522" s="6"/>
    </row>
    <row r="523" spans="1:26" s="93" customFormat="1" ht="15.75">
      <c r="A523" s="906">
        <v>138</v>
      </c>
      <c r="B523" s="285" t="s">
        <v>909</v>
      </c>
      <c r="C523" s="886">
        <f>cходова!R523</f>
        <v>0</v>
      </c>
      <c r="D523" s="886">
        <f>прибуд.!O523</f>
        <v>0.28775398178117345</v>
      </c>
      <c r="E523" s="886">
        <f>гар.вода!M523+хол.вода!Q523+ц.о.!M523+каналізація!Q523+аварійні!I523+зварювальн!M523</f>
        <v>0.24120737269077014</v>
      </c>
      <c r="F523" s="886">
        <f>дератизац.!I523</f>
        <v>3.6464664004167394E-3</v>
      </c>
      <c r="G523" s="886">
        <f>димоканал!R523</f>
        <v>2.6461740207396948E-2</v>
      </c>
      <c r="H523" s="886">
        <f>'підготовка до зими'!M523+майстерні!M523+маляри!M524+покрівлі!O523</f>
        <v>0.34652305301918307</v>
      </c>
      <c r="I523" s="886">
        <f>електрики!R523</f>
        <v>2.2521932503480491E-2</v>
      </c>
      <c r="J523" s="989">
        <f t="shared" si="60"/>
        <v>0.92811454660242076</v>
      </c>
      <c r="K523" s="989">
        <v>2.3688297481112265E-2</v>
      </c>
      <c r="L523" s="994">
        <f t="shared" si="64"/>
        <v>0.951802844083533</v>
      </c>
      <c r="M523" s="994">
        <f t="shared" si="61"/>
        <v>1.1421634129002396</v>
      </c>
      <c r="N523" s="995">
        <v>2</v>
      </c>
      <c r="O523" s="997">
        <v>0.9759578562218254</v>
      </c>
      <c r="P523" s="22">
        <f t="shared" si="62"/>
        <v>0.16620555667841419</v>
      </c>
      <c r="Q523" s="982">
        <f t="shared" si="63"/>
        <v>17.02999321321488</v>
      </c>
      <c r="R523" s="6"/>
      <c r="S523" s="6"/>
      <c r="T523" s="6"/>
      <c r="U523" s="6"/>
      <c r="V523" s="6"/>
      <c r="W523" s="6"/>
      <c r="X523" s="6"/>
      <c r="Y523" s="6"/>
      <c r="Z523" s="6"/>
    </row>
    <row r="524" spans="1:26" s="93" customFormat="1" ht="15.75">
      <c r="A524" s="906">
        <v>139</v>
      </c>
      <c r="B524" s="285" t="s">
        <v>910</v>
      </c>
      <c r="C524" s="886">
        <f>cходова!R524</f>
        <v>0</v>
      </c>
      <c r="D524" s="886">
        <f>прибуд.!O524</f>
        <v>0.46241969707627112</v>
      </c>
      <c r="E524" s="886">
        <f>гар.вода!M524+хол.вода!Q524+ц.о.!M524+каналізація!Q524+аварійні!I524+зварювальн!M524</f>
        <v>0.26316957949420788</v>
      </c>
      <c r="F524" s="886">
        <f>дератизац.!I524</f>
        <v>5.1082862523540501E-3</v>
      </c>
      <c r="G524" s="886">
        <f>димоканал!R524</f>
        <v>3.2487926925400264E-2</v>
      </c>
      <c r="H524" s="886">
        <f>'підготовка до зими'!M524+майстерні!M524+маляри!M525+покрівлі!O524</f>
        <v>0.38370537887943668</v>
      </c>
      <c r="I524" s="886">
        <f>електрики!R524</f>
        <v>2.5647645904316643E-2</v>
      </c>
      <c r="J524" s="989">
        <f t="shared" si="60"/>
        <v>1.1725385145319867</v>
      </c>
      <c r="K524" s="989">
        <v>2.9774203409321583E-2</v>
      </c>
      <c r="L524" s="994">
        <f t="shared" si="64"/>
        <v>1.2023127179413082</v>
      </c>
      <c r="M524" s="994">
        <f t="shared" si="61"/>
        <v>1.4427752615295699</v>
      </c>
      <c r="N524" s="995">
        <v>2</v>
      </c>
      <c r="O524" s="997">
        <v>1.2266971804640492</v>
      </c>
      <c r="P524" s="22">
        <f t="shared" si="62"/>
        <v>0.21607808106552073</v>
      </c>
      <c r="Q524" s="982">
        <f t="shared" si="63"/>
        <v>17.614622786022878</v>
      </c>
      <c r="R524" s="6"/>
      <c r="S524" s="6"/>
      <c r="T524" s="6"/>
      <c r="U524" s="6"/>
      <c r="V524" s="6"/>
      <c r="W524" s="6"/>
      <c r="X524" s="6"/>
      <c r="Y524" s="6"/>
      <c r="Z524" s="6"/>
    </row>
    <row r="525" spans="1:26" s="93" customFormat="1" ht="15.75">
      <c r="A525" s="905">
        <v>140</v>
      </c>
      <c r="B525" s="285" t="s">
        <v>911</v>
      </c>
      <c r="C525" s="886">
        <f>cходова!R525</f>
        <v>0</v>
      </c>
      <c r="D525" s="886">
        <f>прибуд.!O525</f>
        <v>0</v>
      </c>
      <c r="E525" s="886">
        <f>гар.вода!M525+хол.вода!Q525+ц.о.!M525+каналізація!Q525+аварійні!I525+зварювальн!M525</f>
        <v>0.23178029755895363</v>
      </c>
      <c r="F525" s="886">
        <f>дератизац.!I525</f>
        <v>0</v>
      </c>
      <c r="G525" s="886">
        <f>димоканал!R525</f>
        <v>2.9278057891359583E-2</v>
      </c>
      <c r="H525" s="886">
        <f>'підготовка до зими'!M525+майстерні!M525+маляри!M526+покрівлі!O525</f>
        <v>0.54222752961087084</v>
      </c>
      <c r="I525" s="886">
        <f>електрики!R525</f>
        <v>2.1180248795011101E-2</v>
      </c>
      <c r="J525" s="989">
        <f t="shared" si="60"/>
        <v>0.82446613385619516</v>
      </c>
      <c r="K525" s="989">
        <v>2.1278643137695112E-2</v>
      </c>
      <c r="L525" s="994">
        <f t="shared" si="64"/>
        <v>0.84574477699389028</v>
      </c>
      <c r="M525" s="994">
        <f t="shared" si="61"/>
        <v>1.0148937323926683</v>
      </c>
      <c r="N525" s="995">
        <v>2</v>
      </c>
      <c r="O525" s="997">
        <v>0.87668009727303853</v>
      </c>
      <c r="P525" s="22">
        <f t="shared" si="62"/>
        <v>0.13821363511962981</v>
      </c>
      <c r="Q525" s="982">
        <f t="shared" si="63"/>
        <v>15.765572362090907</v>
      </c>
      <c r="R525" s="6"/>
      <c r="S525" s="6"/>
      <c r="T525" s="6"/>
      <c r="U525" s="6"/>
      <c r="V525" s="6"/>
      <c r="W525" s="6"/>
      <c r="X525" s="6"/>
      <c r="Y525" s="6"/>
      <c r="Z525" s="6"/>
    </row>
    <row r="526" spans="1:26" s="93" customFormat="1" ht="15.75">
      <c r="A526" s="905">
        <v>141</v>
      </c>
      <c r="B526" s="285" t="s">
        <v>912</v>
      </c>
      <c r="C526" s="886">
        <f>cходова!R526</f>
        <v>0</v>
      </c>
      <c r="D526" s="886">
        <f>прибуд.!O526</f>
        <v>0.47324962310533319</v>
      </c>
      <c r="E526" s="886">
        <f>гар.вода!M526+хол.вода!Q526+ц.о.!M526+каналізація!Q526+аварійні!I526+зварювальн!M526</f>
        <v>0.2175955597335818</v>
      </c>
      <c r="F526" s="886">
        <f>дератизац.!I526</f>
        <v>3.9641502930024136E-3</v>
      </c>
      <c r="G526" s="886">
        <f>димоканал!R526</f>
        <v>2.8311861529781272E-2</v>
      </c>
      <c r="H526" s="886">
        <f>'підготовка до зими'!M526+майстерні!M526+маляри!M527+покрівлі!O526</f>
        <v>0.31321731683930443</v>
      </c>
      <c r="I526" s="886">
        <f>електрики!R526</f>
        <v>2.1632925327327093E-2</v>
      </c>
      <c r="J526" s="989">
        <f t="shared" si="60"/>
        <v>1.0579714368283302</v>
      </c>
      <c r="K526" s="989">
        <v>2.6960524811636615E-2</v>
      </c>
      <c r="L526" s="994">
        <f t="shared" si="64"/>
        <v>1.0849319616399669</v>
      </c>
      <c r="M526" s="994">
        <f t="shared" si="61"/>
        <v>1.3019183539679602</v>
      </c>
      <c r="N526" s="995">
        <v>2</v>
      </c>
      <c r="O526" s="997">
        <v>1.1107736222394287</v>
      </c>
      <c r="P526" s="22">
        <f t="shared" si="62"/>
        <v>0.19114473172853153</v>
      </c>
      <c r="Q526" s="982">
        <f t="shared" si="63"/>
        <v>17.208252689973421</v>
      </c>
      <c r="R526" s="6"/>
      <c r="S526" s="6"/>
      <c r="T526" s="6"/>
      <c r="U526" s="6"/>
      <c r="V526" s="6"/>
      <c r="W526" s="6"/>
      <c r="X526" s="6"/>
      <c r="Y526" s="6"/>
      <c r="Z526" s="6"/>
    </row>
    <row r="527" spans="1:26" s="93" customFormat="1" ht="15.75">
      <c r="A527" s="906">
        <v>142</v>
      </c>
      <c r="B527" s="285" t="s">
        <v>913</v>
      </c>
      <c r="C527" s="886">
        <f>cходова!R527</f>
        <v>0</v>
      </c>
      <c r="D527" s="886">
        <f>прибуд.!O527</f>
        <v>0.3826491122769648</v>
      </c>
      <c r="E527" s="886">
        <f>гар.вода!M527+хол.вода!Q527+ц.о.!M527+каналізація!Q527+аварійні!I527+зварювальн!M527</f>
        <v>0.27708501662529067</v>
      </c>
      <c r="F527" s="886">
        <f>дератизац.!I527</f>
        <v>5.1082797522780171E-3</v>
      </c>
      <c r="G527" s="886">
        <f>димоканал!R527</f>
        <v>3.2746644867818711E-2</v>
      </c>
      <c r="H527" s="886">
        <f>'підготовка до зими'!M527+майстерні!M527+маляри!M528+покрівлі!O527</f>
        <v>0.39797239758259617</v>
      </c>
      <c r="I527" s="886">
        <f>електрики!R527</f>
        <v>2.7628123945908974E-2</v>
      </c>
      <c r="J527" s="989">
        <f t="shared" si="60"/>
        <v>1.1231895750508574</v>
      </c>
      <c r="K527" s="989">
        <v>2.8578258116657047E-2</v>
      </c>
      <c r="L527" s="994">
        <f t="shared" si="64"/>
        <v>1.1517678331675145</v>
      </c>
      <c r="M527" s="994">
        <f t="shared" si="61"/>
        <v>1.3821213998010173</v>
      </c>
      <c r="N527" s="995">
        <v>2</v>
      </c>
      <c r="O527" s="997">
        <v>1.1774242344062704</v>
      </c>
      <c r="P527" s="22">
        <f t="shared" si="62"/>
        <v>0.20469716539474692</v>
      </c>
      <c r="Q527" s="982">
        <f t="shared" si="63"/>
        <v>17.385166655582537</v>
      </c>
      <c r="R527" s="6"/>
      <c r="S527" s="6"/>
      <c r="T527" s="6"/>
      <c r="U527" s="6"/>
      <c r="V527" s="6"/>
      <c r="W527" s="6"/>
      <c r="X527" s="6"/>
      <c r="Y527" s="6"/>
      <c r="Z527" s="6"/>
    </row>
    <row r="528" spans="1:26" s="93" customFormat="1" ht="15.75">
      <c r="A528" s="906">
        <v>143</v>
      </c>
      <c r="B528" s="285" t="s">
        <v>914</v>
      </c>
      <c r="C528" s="886">
        <f>cходова!R528</f>
        <v>0</v>
      </c>
      <c r="D528" s="886">
        <f>прибуд.!O528</f>
        <v>0.31456176100082711</v>
      </c>
      <c r="E528" s="886">
        <f>гар.вода!M528+хол.вода!Q528+ц.о.!M528+каналізація!Q528+аварійні!I528+зварювальн!M528</f>
        <v>0.25256534475220543</v>
      </c>
      <c r="F528" s="886">
        <f>дератизац.!I528</f>
        <v>4.4411233927362966E-3</v>
      </c>
      <c r="G528" s="886">
        <f>димоканал!R528</f>
        <v>1.9573564902569729E-2</v>
      </c>
      <c r="H528" s="886">
        <f>'підготовка до зими'!M528+майстерні!M528+маляри!M529+покрівлі!O528</f>
        <v>0.35026797472142723</v>
      </c>
      <c r="I528" s="886">
        <f>електрики!R528</f>
        <v>2.4138426046069011E-2</v>
      </c>
      <c r="J528" s="989">
        <f t="shared" si="60"/>
        <v>0.96554819481583487</v>
      </c>
      <c r="K528" s="989">
        <v>2.4625531571675605E-2</v>
      </c>
      <c r="L528" s="994">
        <f t="shared" si="64"/>
        <v>0.99017372638751044</v>
      </c>
      <c r="M528" s="994">
        <f t="shared" si="61"/>
        <v>1.1882084716650125</v>
      </c>
      <c r="N528" s="995">
        <v>2</v>
      </c>
      <c r="O528" s="997">
        <v>1.0145719007530349</v>
      </c>
      <c r="P528" s="22">
        <f t="shared" si="62"/>
        <v>0.17363657091197759</v>
      </c>
      <c r="Q528" s="982">
        <f t="shared" si="63"/>
        <v>17.11426965236285</v>
      </c>
      <c r="R528" s="6"/>
      <c r="S528" s="6"/>
      <c r="T528" s="6"/>
      <c r="U528" s="6"/>
      <c r="V528" s="6"/>
      <c r="W528" s="6"/>
      <c r="X528" s="6"/>
      <c r="Y528" s="6"/>
      <c r="Z528" s="6"/>
    </row>
    <row r="529" spans="1:26" s="93" customFormat="1" ht="15.75">
      <c r="A529" s="906">
        <v>144</v>
      </c>
      <c r="B529" s="285" t="s">
        <v>915</v>
      </c>
      <c r="C529" s="886">
        <f>cходова!R529</f>
        <v>0</v>
      </c>
      <c r="D529" s="886">
        <f>прибуд.!O529</f>
        <v>0.23793842464980136</v>
      </c>
      <c r="E529" s="886">
        <f>гар.вода!M529+хол.вода!Q529+ц.о.!M529+каналізація!Q529+аварійні!I529+зварювальн!M529</f>
        <v>0.23539101690443792</v>
      </c>
      <c r="F529" s="886">
        <f>дератизац.!I529</f>
        <v>5.3662276116802562E-3</v>
      </c>
      <c r="G529" s="886">
        <f>димоканал!R529</f>
        <v>2.457803594389792E-2</v>
      </c>
      <c r="H529" s="886">
        <f>'підготовка до зими'!M529+майстерні!M529+маляри!M530+покрівлі!O529</f>
        <v>0.35901565528738066</v>
      </c>
      <c r="I529" s="886">
        <f>електрики!R529</f>
        <v>2.169413494251209E-2</v>
      </c>
      <c r="J529" s="989">
        <f t="shared" si="60"/>
        <v>0.8839834953397101</v>
      </c>
      <c r="K529" s="989">
        <v>2.2669117829576053E-2</v>
      </c>
      <c r="L529" s="994">
        <f t="shared" si="64"/>
        <v>0.90665261316928614</v>
      </c>
      <c r="M529" s="994">
        <f t="shared" si="61"/>
        <v>1.0879831358031433</v>
      </c>
      <c r="N529" s="995">
        <v>2</v>
      </c>
      <c r="O529" s="997">
        <v>0.93396765457853337</v>
      </c>
      <c r="P529" s="22">
        <f t="shared" si="62"/>
        <v>0.15401548122460995</v>
      </c>
      <c r="Q529" s="982">
        <f t="shared" si="63"/>
        <v>16.490451298777757</v>
      </c>
      <c r="R529" s="6"/>
      <c r="S529" s="6"/>
      <c r="T529" s="6"/>
      <c r="U529" s="6"/>
      <c r="V529" s="6"/>
      <c r="W529" s="6"/>
      <c r="X529" s="6"/>
      <c r="Y529" s="6"/>
      <c r="Z529" s="6"/>
    </row>
    <row r="530" spans="1:26" s="93" customFormat="1" ht="15.75">
      <c r="A530" s="906">
        <v>145</v>
      </c>
      <c r="B530" s="285" t="s">
        <v>917</v>
      </c>
      <c r="C530" s="886">
        <f>cходова!R530</f>
        <v>0</v>
      </c>
      <c r="D530" s="886">
        <f>прибуд.!O530</f>
        <v>0</v>
      </c>
      <c r="E530" s="886">
        <f>гар.вода!M530+хол.вода!Q530+ц.о.!M530+каналізація!Q530+аварійні!I530+зварювальн!M530</f>
        <v>0.21022358605891861</v>
      </c>
      <c r="F530" s="886">
        <f>дератизац.!I530</f>
        <v>0</v>
      </c>
      <c r="G530" s="886">
        <f>димоканал!R530</f>
        <v>1.4250927989691629E-2</v>
      </c>
      <c r="H530" s="886">
        <f>'підготовка до зими'!M530+майстерні!M530+маляри!M531+покрівлі!O530</f>
        <v>0.56470768859494147</v>
      </c>
      <c r="I530" s="886">
        <f>електрики!R530</f>
        <v>1.811224644822183E-2</v>
      </c>
      <c r="J530" s="989">
        <f t="shared" si="60"/>
        <v>0.8072944490917735</v>
      </c>
      <c r="K530" s="989">
        <v>2.0712303654479337E-2</v>
      </c>
      <c r="L530" s="994">
        <f t="shared" si="64"/>
        <v>0.82800675274625279</v>
      </c>
      <c r="M530" s="994">
        <f t="shared" si="61"/>
        <v>0.99360810329550331</v>
      </c>
      <c r="N530" s="995">
        <v>1</v>
      </c>
      <c r="O530" s="997">
        <v>0.85334691056454881</v>
      </c>
      <c r="P530" s="22">
        <f t="shared" si="62"/>
        <v>0.1402611927309545</v>
      </c>
      <c r="Q530" s="982">
        <f t="shared" si="63"/>
        <v>16.436597003458047</v>
      </c>
      <c r="R530" s="6"/>
      <c r="S530" s="6"/>
      <c r="T530" s="6"/>
      <c r="U530" s="6"/>
      <c r="V530" s="6"/>
      <c r="W530" s="6"/>
      <c r="X530" s="6"/>
      <c r="Y530" s="6"/>
      <c r="Z530" s="6"/>
    </row>
    <row r="531" spans="1:26" s="93" customFormat="1" ht="15.75">
      <c r="A531" s="906">
        <v>146</v>
      </c>
      <c r="B531" s="285" t="s">
        <v>919</v>
      </c>
      <c r="C531" s="886">
        <f>cходова!R531</f>
        <v>0.41509236634777247</v>
      </c>
      <c r="D531" s="886">
        <f>прибуд.!O531</f>
        <v>0.42614126218681819</v>
      </c>
      <c r="E531" s="886">
        <f>гар.вода!M531+хол.вода!Q531+ц.о.!M531+каналізація!Q531+аварійні!I531+зварювальн!M531</f>
        <v>0.21107273315448058</v>
      </c>
      <c r="F531" s="886">
        <f>дератизац.!I531</f>
        <v>2.050050519102078E-3</v>
      </c>
      <c r="G531" s="886">
        <f>димоканал!R531</f>
        <v>1.7352131835849462E-2</v>
      </c>
      <c r="H531" s="886">
        <f>'підготовка до зими'!M531+майстерні!M531+маляри!M532+покрівлі!O531</f>
        <v>0.21999355317942637</v>
      </c>
      <c r="I531" s="886">
        <f>електрики!R531</f>
        <v>1.8233099078362063E-2</v>
      </c>
      <c r="J531" s="989">
        <f t="shared" si="60"/>
        <v>1.3099351963018111</v>
      </c>
      <c r="K531" s="989">
        <v>3.2994241127340299E-2</v>
      </c>
      <c r="L531" s="994">
        <f t="shared" si="64"/>
        <v>1.3429294374291514</v>
      </c>
      <c r="M531" s="994">
        <f t="shared" si="61"/>
        <v>1.6115153249149816</v>
      </c>
      <c r="N531" s="995">
        <v>4</v>
      </c>
      <c r="O531" s="997">
        <v>1.3593627344464203</v>
      </c>
      <c r="P531" s="22">
        <f t="shared" si="62"/>
        <v>0.25215259046856131</v>
      </c>
      <c r="Q531" s="982">
        <f t="shared" si="63"/>
        <v>18.549323449803595</v>
      </c>
      <c r="R531" s="6"/>
      <c r="S531" s="6"/>
      <c r="T531" s="6"/>
      <c r="U531" s="6"/>
      <c r="V531" s="6"/>
      <c r="W531" s="6"/>
      <c r="X531" s="6"/>
      <c r="Y531" s="6"/>
      <c r="Z531" s="6"/>
    </row>
    <row r="532" spans="1:26" s="93" customFormat="1" ht="15.75">
      <c r="A532" s="905">
        <v>147</v>
      </c>
      <c r="B532" s="285" t="s">
        <v>920</v>
      </c>
      <c r="C532" s="886">
        <f>cходова!R532</f>
        <v>0.41357029169694248</v>
      </c>
      <c r="D532" s="886">
        <f>прибуд.!O532</f>
        <v>0.42457867307308866</v>
      </c>
      <c r="E532" s="886">
        <f>гар.вода!M532+хол.вода!Q532+ц.о.!M532+каналізація!Q532+аварійні!I532+зварювальн!M532</f>
        <v>0.21060297046495066</v>
      </c>
      <c r="F532" s="886">
        <f>дератизац.!I532</f>
        <v>2.0425333249038309E-3</v>
      </c>
      <c r="G532" s="886">
        <f>димоканал!R532</f>
        <v>2.2969235808496892E-2</v>
      </c>
      <c r="H532" s="886">
        <f>'підготовка до зими'!M532+майстерні!M532+маляри!M533+покрівлі!O532</f>
        <v>0.21950786555568505</v>
      </c>
      <c r="I532" s="886">
        <f>електрики!R532</f>
        <v>1.816624133737919E-2</v>
      </c>
      <c r="J532" s="989">
        <f t="shared" si="60"/>
        <v>1.3114378112614467</v>
      </c>
      <c r="K532" s="989">
        <v>3.3031332183979245E-2</v>
      </c>
      <c r="L532" s="994">
        <f t="shared" si="64"/>
        <v>1.3444691434454259</v>
      </c>
      <c r="M532" s="994">
        <f t="shared" si="61"/>
        <v>1.6133629721345111</v>
      </c>
      <c r="N532" s="995">
        <v>4</v>
      </c>
      <c r="O532" s="997">
        <v>1.3608908859799447</v>
      </c>
      <c r="P532" s="22">
        <f t="shared" si="62"/>
        <v>0.2524720861545664</v>
      </c>
      <c r="Q532" s="982">
        <f t="shared" si="63"/>
        <v>18.551971267907149</v>
      </c>
      <c r="R532" s="6"/>
      <c r="S532" s="6"/>
      <c r="T532" s="6"/>
      <c r="U532" s="6"/>
      <c r="V532" s="6"/>
      <c r="W532" s="6"/>
      <c r="X532" s="6"/>
      <c r="Y532" s="6"/>
      <c r="Z532" s="6"/>
    </row>
    <row r="533" spans="1:26" s="93" customFormat="1" ht="15.75">
      <c r="A533" s="905">
        <v>148</v>
      </c>
      <c r="B533" s="285" t="s">
        <v>639</v>
      </c>
      <c r="C533" s="886">
        <f>cходова!R533</f>
        <v>0</v>
      </c>
      <c r="D533" s="886">
        <f>прибуд.!O533</f>
        <v>0</v>
      </c>
      <c r="E533" s="886">
        <f>гар.вода!M533+хол.вода!Q533+ц.о.!M533+каналізація!Q533+аварійні!I533+зварювальн!M533</f>
        <v>0.22704655355572068</v>
      </c>
      <c r="F533" s="886">
        <f>дератизац.!I533</f>
        <v>0</v>
      </c>
      <c r="G533" s="886">
        <f>димоканал!R533</f>
        <v>2.6607149354992511E-2</v>
      </c>
      <c r="H533" s="886">
        <f>'підготовка до зими'!M533+майстерні!M533+маляри!M534+покрівлі!O533</f>
        <v>0.4691210040554496</v>
      </c>
      <c r="I533" s="886">
        <f>електрики!R533</f>
        <v>2.0506531112655203E-2</v>
      </c>
      <c r="J533" s="989">
        <f>I533+H533+G533+F533+E533+D533+C533</f>
        <v>0.74328123807881796</v>
      </c>
      <c r="K533" s="989">
        <v>1.9213755569499891E-2</v>
      </c>
      <c r="L533" s="994">
        <f t="shared" si="64"/>
        <v>0.76249499364831785</v>
      </c>
      <c r="M533" s="994">
        <f t="shared" si="61"/>
        <v>0.9149939923779814</v>
      </c>
      <c r="N533" s="995">
        <v>1</v>
      </c>
      <c r="O533" s="997">
        <v>0.7916067294633955</v>
      </c>
      <c r="P533" s="22">
        <f t="shared" si="62"/>
        <v>0.1233872629145859</v>
      </c>
      <c r="Q533" s="982">
        <f t="shared" si="63"/>
        <v>15.586939615612678</v>
      </c>
      <c r="R533" s="6"/>
      <c r="S533" s="6"/>
      <c r="T533" s="6"/>
      <c r="U533" s="6"/>
      <c r="V533" s="6"/>
      <c r="W533" s="6"/>
      <c r="X533" s="6"/>
      <c r="Y533" s="6"/>
      <c r="Z533" s="6"/>
    </row>
    <row r="534" spans="1:26" s="93" customFormat="1" ht="15.75">
      <c r="A534" s="906">
        <v>149</v>
      </c>
      <c r="B534" s="285" t="s">
        <v>1394</v>
      </c>
      <c r="C534" s="886">
        <f>cходова!R534</f>
        <v>0</v>
      </c>
      <c r="D534" s="886">
        <f>прибуд.!O534</f>
        <v>0.22613102705898858</v>
      </c>
      <c r="E534" s="886">
        <f>гар.вода!M534+хол.вода!Q534+ц.о.!M534+каналізація!Q534+аварійні!I534+зварювальн!M534</f>
        <v>0.28902970505155062</v>
      </c>
      <c r="F534" s="886">
        <f>дератизац.!I534</f>
        <v>1.5988372093023258E-3</v>
      </c>
      <c r="G534" s="886">
        <f>димоканал!R534</f>
        <v>3.9257959331462696E-3</v>
      </c>
      <c r="H534" s="886">
        <f>'підготовка до зими'!M534+майстерні!M534+маляри!M535+покрівлі!O534</f>
        <v>0.32430450269709277</v>
      </c>
      <c r="I534" s="886">
        <f>електрики!R534</f>
        <v>2.9437591083890192E-2</v>
      </c>
      <c r="J534" s="989">
        <f>I534+H534+G534+F534+E534+D534+C534</f>
        <v>0.87442745903397079</v>
      </c>
      <c r="K534" s="998">
        <v>0.02</v>
      </c>
      <c r="L534" s="994">
        <f t="shared" si="64"/>
        <v>0.89442745903397081</v>
      </c>
      <c r="M534" s="994">
        <f t="shared" si="61"/>
        <v>1.0733129508407648</v>
      </c>
      <c r="N534" s="995">
        <v>2</v>
      </c>
      <c r="O534" s="997">
        <v>0.91</v>
      </c>
      <c r="P534" s="22">
        <f t="shared" si="62"/>
        <v>0.1633129508407648</v>
      </c>
      <c r="Q534" s="982">
        <f t="shared" si="63"/>
        <v>17.946478114369754</v>
      </c>
      <c r="R534" s="6"/>
      <c r="S534" s="6"/>
      <c r="T534" s="6"/>
      <c r="U534" s="6"/>
      <c r="V534" s="6"/>
      <c r="W534" s="6"/>
      <c r="X534" s="6"/>
      <c r="Y534" s="6"/>
      <c r="Z534" s="6"/>
    </row>
    <row r="535" spans="1:26" s="93" customFormat="1" ht="16.5" thickBot="1">
      <c r="A535" s="902"/>
      <c r="B535" s="903" t="s">
        <v>1409</v>
      </c>
      <c r="C535" s="904">
        <f>SUM(C386:C534)/149</f>
        <v>0.25435715773212064</v>
      </c>
      <c r="D535" s="904">
        <f t="shared" ref="D535:I535" si="65">SUM(D386:D534)/149</f>
        <v>0.28209529461098981</v>
      </c>
      <c r="E535" s="904">
        <f t="shared" si="65"/>
        <v>0.24866658093455676</v>
      </c>
      <c r="F535" s="904">
        <f t="shared" si="65"/>
        <v>3.540062007956844E-3</v>
      </c>
      <c r="G535" s="904">
        <f t="shared" si="65"/>
        <v>2.0283066405949329E-2</v>
      </c>
      <c r="H535" s="904">
        <f t="shared" si="65"/>
        <v>0.29558493744798314</v>
      </c>
      <c r="I535" s="904">
        <f t="shared" si="65"/>
        <v>2.1354734578552376E-2</v>
      </c>
      <c r="J535" s="998">
        <f>SUM(J386:J534)/149</f>
        <v>1.1258818337181087</v>
      </c>
      <c r="K535" s="998">
        <f>SUM(K386:K534)/149</f>
        <v>2.8514738486271229E-2</v>
      </c>
      <c r="L535" s="998">
        <f>SUM(L386:L534)/149</f>
        <v>1.1543965722043803</v>
      </c>
      <c r="M535" s="998">
        <f>SUM(M386:M534)/149</f>
        <v>1.3852758866452561</v>
      </c>
      <c r="N535" s="528"/>
      <c r="O535" s="1003">
        <f>AVERAGE(O386:O534)</f>
        <v>1.1753844068424273</v>
      </c>
      <c r="P535" s="22">
        <f>AVERAGE(P386:P534)</f>
        <v>0.2098914798028281</v>
      </c>
      <c r="Q535" s="982">
        <f t="shared" si="63"/>
        <v>17.857262575627047</v>
      </c>
      <c r="R535" s="6"/>
      <c r="S535" s="6"/>
      <c r="T535" s="6"/>
      <c r="U535" s="6"/>
      <c r="V535" s="6"/>
      <c r="W535" s="6"/>
      <c r="X535" s="6"/>
      <c r="Y535" s="6"/>
      <c r="Z535" s="6"/>
    </row>
    <row r="536" spans="1:26" s="269" customFormat="1" ht="21" thickBot="1">
      <c r="A536" s="1029" t="s">
        <v>245</v>
      </c>
      <c r="B536" s="1030"/>
      <c r="C536" s="1030"/>
      <c r="D536" s="1030"/>
      <c r="E536" s="1030"/>
      <c r="F536" s="1030"/>
      <c r="G536" s="1030"/>
      <c r="H536" s="1030"/>
      <c r="I536" s="1030"/>
      <c r="J536" s="1030"/>
      <c r="K536" s="1030"/>
      <c r="L536" s="1030"/>
      <c r="M536" s="1031"/>
      <c r="N536" s="990"/>
      <c r="O536" s="991"/>
      <c r="P536" s="22"/>
      <c r="Q536" s="982"/>
      <c r="R536" s="893"/>
      <c r="S536" s="893"/>
      <c r="T536" s="893"/>
      <c r="U536" s="893"/>
      <c r="V536" s="893"/>
      <c r="W536" s="893"/>
      <c r="X536" s="893"/>
      <c r="Y536" s="893"/>
      <c r="Z536" s="893"/>
    </row>
    <row r="537" spans="1:26" s="93" customFormat="1" ht="15.75">
      <c r="A537" s="894">
        <v>1</v>
      </c>
      <c r="B537" s="234" t="s">
        <v>246</v>
      </c>
      <c r="C537" s="886">
        <f>cходова!R537</f>
        <v>0.22164673103026952</v>
      </c>
      <c r="D537" s="886">
        <f>прибуд.!O537</f>
        <v>0.2135326889227375</v>
      </c>
      <c r="E537" s="886">
        <f>гар.вода!M537+хол.вода!Q537+ц.о.!M537+каналізація!Q537+аварійні!I537+зварювальн!M537</f>
        <v>0.40570989883418068</v>
      </c>
      <c r="F537" s="886">
        <f>дератизац.!I537</f>
        <v>2.390852390852391E-3</v>
      </c>
      <c r="G537" s="886">
        <f>димоканал!R537</f>
        <v>3.4374459221421141E-2</v>
      </c>
      <c r="H537" s="886">
        <f>'підготовка до зими'!M537+майстерні!M537+маляри!M537+покрівлі!O537</f>
        <v>0.12271203316456918</v>
      </c>
      <c r="I537" s="886">
        <f>електрики!R537</f>
        <v>3.2136913960596973E-2</v>
      </c>
      <c r="J537" s="994">
        <f t="shared" ref="J537:J596" si="66">I537+H537+G537+F537+E537+D537+C537</f>
        <v>1.0325035775246274</v>
      </c>
      <c r="K537" s="994">
        <v>2.6224056304589481E-2</v>
      </c>
      <c r="L537" s="994">
        <f t="shared" ref="L537:L542" si="67">J537+K537</f>
        <v>1.0587276338292169</v>
      </c>
      <c r="M537" s="994">
        <f t="shared" ref="M537:M596" si="68">L537*1.2</f>
        <v>1.2704731605950601</v>
      </c>
      <c r="N537" s="995">
        <v>9</v>
      </c>
      <c r="O537" s="1009">
        <v>1.0804311197490866</v>
      </c>
      <c r="P537" s="22">
        <f t="shared" ref="P537:P600" si="69">M537-O537</f>
        <v>0.19004204084597354</v>
      </c>
      <c r="Q537" s="982">
        <f t="shared" ref="Q537:Q600" si="70">M537/O537*100-100</f>
        <v>17.589463814232587</v>
      </c>
      <c r="R537" s="6"/>
      <c r="S537" s="6"/>
      <c r="T537" s="6"/>
      <c r="U537" s="6"/>
      <c r="V537" s="6"/>
      <c r="W537" s="6"/>
      <c r="X537" s="6"/>
      <c r="Y537" s="6"/>
      <c r="Z537" s="6"/>
    </row>
    <row r="538" spans="1:26" s="93" customFormat="1" ht="15.75">
      <c r="A538" s="894">
        <v>2</v>
      </c>
      <c r="B538" s="233" t="s">
        <v>247</v>
      </c>
      <c r="C538" s="886">
        <f>cходова!R538</f>
        <v>0.60047755522285928</v>
      </c>
      <c r="D538" s="886">
        <f>прибуд.!O538</f>
        <v>0.4263924812575362</v>
      </c>
      <c r="E538" s="886">
        <f>гар.вода!M538+хол.вода!Q538+ц.о.!M538+каналізація!Q538+аварійні!I538+зварювальн!M538</f>
        <v>0.31368310306203989</v>
      </c>
      <c r="F538" s="886">
        <f>дератизац.!I538</f>
        <v>2.166868470346737E-3</v>
      </c>
      <c r="G538" s="886">
        <f>димоканал!R538</f>
        <v>1.6683732826105437E-2</v>
      </c>
      <c r="H538" s="886">
        <f>'підготовка до зими'!M538+майстерні!M538+маляри!M538+покрівлі!O538</f>
        <v>0.10859706545226425</v>
      </c>
      <c r="I538" s="886">
        <f>електрики!R538</f>
        <v>1.4096148068377858E-2</v>
      </c>
      <c r="J538" s="989">
        <f t="shared" si="66"/>
        <v>1.4820969543595295</v>
      </c>
      <c r="K538" s="989">
        <v>3.7307436889248868E-2</v>
      </c>
      <c r="L538" s="994">
        <f t="shared" si="67"/>
        <v>1.5194043912487785</v>
      </c>
      <c r="M538" s="994">
        <f t="shared" si="68"/>
        <v>1.823285269498534</v>
      </c>
      <c r="N538" s="995">
        <v>9</v>
      </c>
      <c r="O538" s="1009">
        <v>1.5370663998370537</v>
      </c>
      <c r="P538" s="22">
        <f t="shared" si="69"/>
        <v>0.28621886966148025</v>
      </c>
      <c r="Q538" s="982">
        <f t="shared" si="70"/>
        <v>18.621112899990706</v>
      </c>
      <c r="R538" s="6"/>
      <c r="S538" s="6"/>
      <c r="T538" s="6"/>
      <c r="U538" s="6"/>
      <c r="V538" s="6"/>
      <c r="W538" s="6"/>
      <c r="X538" s="6"/>
      <c r="Y538" s="6"/>
      <c r="Z538" s="6"/>
    </row>
    <row r="539" spans="1:26" s="93" customFormat="1" ht="15.75">
      <c r="A539" s="894">
        <v>3</v>
      </c>
      <c r="B539" s="233" t="s">
        <v>248</v>
      </c>
      <c r="C539" s="886">
        <f>cходова!R539</f>
        <v>0.47065225044538289</v>
      </c>
      <c r="D539" s="886">
        <f>прибуд.!O539</f>
        <v>0.40121964744431821</v>
      </c>
      <c r="E539" s="886">
        <f>гар.вода!M539+хол.вода!Q539+ц.о.!M539+каналізація!Q539+аварійні!I539+зварювальн!M539</f>
        <v>0.32492449858869943</v>
      </c>
      <c r="F539" s="886">
        <f>дератизац.!I539</f>
        <v>1.2421037688977218E-3</v>
      </c>
      <c r="G539" s="886">
        <f>димоканал!R539</f>
        <v>1.8831667542810262E-2</v>
      </c>
      <c r="H539" s="886">
        <f>'підготовка до зими'!M539+майстерні!M539+маляри!M539+покрівлі!O539</f>
        <v>0.11319892427325853</v>
      </c>
      <c r="I539" s="886">
        <f>електрики!R539</f>
        <v>1.5974336342459136E-2</v>
      </c>
      <c r="J539" s="989">
        <f t="shared" si="66"/>
        <v>1.3460434284058262</v>
      </c>
      <c r="K539" s="989">
        <v>3.4739977918323131E-2</v>
      </c>
      <c r="L539" s="994">
        <f t="shared" si="67"/>
        <v>1.3807834063241493</v>
      </c>
      <c r="M539" s="994">
        <f t="shared" si="68"/>
        <v>1.656940087588979</v>
      </c>
      <c r="N539" s="995">
        <v>14</v>
      </c>
      <c r="O539" s="1009">
        <v>1.4312870902349129</v>
      </c>
      <c r="P539" s="22">
        <f t="shared" si="69"/>
        <v>0.22565299735406619</v>
      </c>
      <c r="Q539" s="982">
        <f t="shared" si="70"/>
        <v>15.765739724308588</v>
      </c>
      <c r="R539" s="6"/>
      <c r="S539" s="6"/>
      <c r="T539" s="6"/>
      <c r="U539" s="6"/>
      <c r="V539" s="6"/>
      <c r="W539" s="6"/>
      <c r="X539" s="6"/>
      <c r="Y539" s="6"/>
      <c r="Z539" s="6"/>
    </row>
    <row r="540" spans="1:26" s="93" customFormat="1" ht="15.75">
      <c r="A540" s="894">
        <v>4</v>
      </c>
      <c r="B540" s="233" t="s">
        <v>249</v>
      </c>
      <c r="C540" s="886">
        <f>cходова!R540</f>
        <v>0.47194157201097198</v>
      </c>
      <c r="D540" s="886">
        <f>прибуд.!O540</f>
        <v>0.49580017846026664</v>
      </c>
      <c r="E540" s="886">
        <f>гар.вода!M540+хол.вода!Q540+ц.о.!M540+каналізація!Q540+аварійні!I540+зварювальн!M540</f>
        <v>0.32697811384593756</v>
      </c>
      <c r="F540" s="886">
        <f>дератизац.!I540</f>
        <v>1.2690907508666079E-3</v>
      </c>
      <c r="G540" s="886">
        <f>димоканал!R540</f>
        <v>1.9240820050956078E-2</v>
      </c>
      <c r="H540" s="886">
        <f>'підготовка до зими'!M540+майстерні!M540+маляри!M540+покрівлі!O540</f>
        <v>0.10527956770041308</v>
      </c>
      <c r="I540" s="886">
        <f>електрики!R540</f>
        <v>1.6321408090918154E-2</v>
      </c>
      <c r="J540" s="989">
        <f t="shared" si="66"/>
        <v>1.43683075091033</v>
      </c>
      <c r="K540" s="989">
        <v>3.6204911665473197E-2</v>
      </c>
      <c r="L540" s="994">
        <f t="shared" si="67"/>
        <v>1.4730356625758032</v>
      </c>
      <c r="M540" s="994">
        <f t="shared" si="68"/>
        <v>1.7676427950909639</v>
      </c>
      <c r="N540" s="995">
        <v>14</v>
      </c>
      <c r="O540" s="1009">
        <v>1.4916423606174958</v>
      </c>
      <c r="P540" s="22">
        <f t="shared" si="69"/>
        <v>0.27600043447346811</v>
      </c>
      <c r="Q540" s="982">
        <f t="shared" si="70"/>
        <v>18.503123923030202</v>
      </c>
      <c r="R540" s="6"/>
      <c r="S540" s="6"/>
      <c r="T540" s="6"/>
      <c r="U540" s="6"/>
      <c r="V540" s="6"/>
      <c r="W540" s="6"/>
      <c r="X540" s="6"/>
      <c r="Y540" s="6"/>
      <c r="Z540" s="6"/>
    </row>
    <row r="541" spans="1:26" s="93" customFormat="1" ht="15.75">
      <c r="A541" s="894">
        <v>5</v>
      </c>
      <c r="B541" s="233" t="s">
        <v>250</v>
      </c>
      <c r="C541" s="886">
        <f>cходова!R541</f>
        <v>0.5842258214567202</v>
      </c>
      <c r="D541" s="886">
        <f>прибуд.!O541</f>
        <v>0.45134055492449388</v>
      </c>
      <c r="E541" s="886">
        <f>гар.вода!M541+хол.вода!Q541+ц.о.!M541+каналізація!Q541+аварійні!I541+зварювальн!M541</f>
        <v>0.31606925142577491</v>
      </c>
      <c r="F541" s="886">
        <f>дератизац.!I541</f>
        <v>2.1040028654515219E-3</v>
      </c>
      <c r="G541" s="886">
        <f>димоканал!R541</f>
        <v>1.7088756187903804E-2</v>
      </c>
      <c r="H541" s="886">
        <f>'підготовка до зими'!M541+майстерні!M541+маляри!M541+покрівлі!O541</f>
        <v>0.10796333853676499</v>
      </c>
      <c r="I541" s="886">
        <f>електрики!R541</f>
        <v>1.4495877138829199E-2</v>
      </c>
      <c r="J541" s="989">
        <f t="shared" si="66"/>
        <v>1.4932876025359385</v>
      </c>
      <c r="K541" s="989">
        <v>3.7589915001061527E-2</v>
      </c>
      <c r="L541" s="994">
        <f t="shared" si="67"/>
        <v>1.530877517537</v>
      </c>
      <c r="M541" s="994">
        <f t="shared" si="68"/>
        <v>1.8370530210443998</v>
      </c>
      <c r="N541" s="995">
        <v>9</v>
      </c>
      <c r="O541" s="1009">
        <v>1.5487044980437348</v>
      </c>
      <c r="P541" s="22">
        <f t="shared" si="69"/>
        <v>0.28834852300066505</v>
      </c>
      <c r="Q541" s="982">
        <f t="shared" si="70"/>
        <v>18.618692162700896</v>
      </c>
      <c r="R541" s="6"/>
      <c r="S541" s="6"/>
      <c r="T541" s="6"/>
      <c r="U541" s="6"/>
      <c r="V541" s="6"/>
      <c r="W541" s="6"/>
      <c r="X541" s="6"/>
      <c r="Y541" s="6"/>
      <c r="Z541" s="6"/>
    </row>
    <row r="542" spans="1:26" s="93" customFormat="1" ht="15.75">
      <c r="A542" s="894">
        <v>6</v>
      </c>
      <c r="B542" s="233" t="s">
        <v>251</v>
      </c>
      <c r="C542" s="886">
        <f>cходова!R542</f>
        <v>0.46977292106220886</v>
      </c>
      <c r="D542" s="886">
        <f>прибуд.!O542</f>
        <v>0.46586534803250429</v>
      </c>
      <c r="E542" s="886">
        <f>гар.вода!M542+хол.вода!Q542+ц.о.!M542+каналізація!Q542+аварійні!I542+зварювальн!M542</f>
        <v>0.32528478545188488</v>
      </c>
      <c r="F542" s="886">
        <f>дератизац.!I542</f>
        <v>1.247054575858924E-3</v>
      </c>
      <c r="G542" s="886">
        <f>димоканал!R542</f>
        <v>1.8906727254483724E-2</v>
      </c>
      <c r="H542" s="886">
        <f>'підготовка до зими'!M542+майстерні!M542+маляри!M542+покрівлі!O542</f>
        <v>0.10502232865458536</v>
      </c>
      <c r="I542" s="886">
        <f>електрики!R542</f>
        <v>1.6038007234976445E-2</v>
      </c>
      <c r="J542" s="989">
        <f t="shared" si="66"/>
        <v>1.4021371722665024</v>
      </c>
      <c r="K542" s="989">
        <v>3.581911617355401E-2</v>
      </c>
      <c r="L542" s="994">
        <f t="shared" si="67"/>
        <v>1.4379562884400563</v>
      </c>
      <c r="M542" s="994">
        <f t="shared" si="68"/>
        <v>1.7255475461280676</v>
      </c>
      <c r="N542" s="995">
        <v>14</v>
      </c>
      <c r="O542" s="1009">
        <v>1.475747586350425</v>
      </c>
      <c r="P542" s="22">
        <f t="shared" si="69"/>
        <v>0.24979995977764258</v>
      </c>
      <c r="Q542" s="982">
        <f t="shared" si="70"/>
        <v>16.927011237430278</v>
      </c>
      <c r="R542" s="6"/>
      <c r="S542" s="6"/>
      <c r="T542" s="6"/>
      <c r="U542" s="6"/>
      <c r="V542" s="6"/>
      <c r="W542" s="6"/>
      <c r="X542" s="6"/>
      <c r="Y542" s="6"/>
      <c r="Z542" s="6"/>
    </row>
    <row r="543" spans="1:26" s="93" customFormat="1" ht="15.75">
      <c r="A543" s="894">
        <v>7</v>
      </c>
      <c r="B543" s="233" t="s">
        <v>252</v>
      </c>
      <c r="C543" s="886">
        <f>cходова!R543</f>
        <v>0.55620191296349064</v>
      </c>
      <c r="D543" s="886">
        <f>прибуд.!O543</f>
        <v>0.43080364997708098</v>
      </c>
      <c r="E543" s="886">
        <f>гар.вода!M543+хол.вода!Q543+ц.о.!M543+каналізація!Q543+аварійні!I543+зварювальн!M543</f>
        <v>0.31513627318749915</v>
      </c>
      <c r="F543" s="886">
        <f>дератизац.!I543</f>
        <v>2.2547355641174944E-3</v>
      </c>
      <c r="G543" s="886">
        <f>димоканал!R543</f>
        <v>1.6904317277722781E-2</v>
      </c>
      <c r="H543" s="886">
        <f>'підготовка до зими'!M543+майстерні!M543+маляри!M543+покрівлі!O543</f>
        <v>0.10777447739506239</v>
      </c>
      <c r="I543" s="886">
        <f>електрики!R543</f>
        <v>1.4339423166860418E-2</v>
      </c>
      <c r="J543" s="989">
        <f t="shared" si="66"/>
        <v>1.4434147895318339</v>
      </c>
      <c r="K543" s="989">
        <v>3.6352905998909786E-2</v>
      </c>
      <c r="L543" s="994">
        <f t="shared" ref="L543:L606" si="71">J543+K543</f>
        <v>1.4797676955307437</v>
      </c>
      <c r="M543" s="994">
        <f t="shared" si="68"/>
        <v>1.7757212346368925</v>
      </c>
      <c r="N543" s="995">
        <v>9</v>
      </c>
      <c r="O543" s="1009">
        <v>1.4977397271550832</v>
      </c>
      <c r="P543" s="22">
        <f t="shared" si="69"/>
        <v>0.27798150748180928</v>
      </c>
      <c r="Q543" s="982">
        <f t="shared" si="70"/>
        <v>18.560067710150662</v>
      </c>
      <c r="R543" s="6"/>
      <c r="S543" s="6"/>
      <c r="T543" s="6"/>
      <c r="U543" s="6"/>
      <c r="V543" s="6"/>
      <c r="W543" s="6"/>
      <c r="X543" s="6"/>
      <c r="Y543" s="6"/>
      <c r="Z543" s="6"/>
    </row>
    <row r="544" spans="1:26" s="93" customFormat="1" ht="15.75">
      <c r="A544" s="894">
        <v>8</v>
      </c>
      <c r="B544" s="233" t="s">
        <v>253</v>
      </c>
      <c r="C544" s="886">
        <f>cходова!R544</f>
        <v>0.23633117600100184</v>
      </c>
      <c r="D544" s="886">
        <f>прибуд.!O544</f>
        <v>0.24070257996027983</v>
      </c>
      <c r="E544" s="886">
        <f>гар.вода!M544+хол.вода!Q544+ц.о.!M544+каналізація!Q544+аварійні!I544+зварювальн!M544</f>
        <v>0.41461438761371205</v>
      </c>
      <c r="F544" s="886">
        <f>дератизац.!I544</f>
        <v>2.4713081682058639E-3</v>
      </c>
      <c r="G544" s="886">
        <f>димоканал!R544</f>
        <v>3.6320793929421454E-2</v>
      </c>
      <c r="H544" s="886">
        <f>'підготовка до зими'!M544+майстерні!M544+маляри!M544+покрівлі!O544</f>
        <v>0.12212676888902524</v>
      </c>
      <c r="I544" s="886">
        <f>електрики!R544</f>
        <v>3.2866428701645384E-2</v>
      </c>
      <c r="J544" s="989">
        <f t="shared" si="66"/>
        <v>1.0854334432632917</v>
      </c>
      <c r="K544" s="989">
        <v>2.754455245143338E-2</v>
      </c>
      <c r="L544" s="994">
        <f t="shared" si="71"/>
        <v>1.112977995714725</v>
      </c>
      <c r="M544" s="994">
        <f t="shared" si="68"/>
        <v>1.3355735948576699</v>
      </c>
      <c r="N544" s="995">
        <v>9</v>
      </c>
      <c r="O544" s="1009">
        <v>1.1348355609990552</v>
      </c>
      <c r="P544" s="22">
        <f t="shared" si="69"/>
        <v>0.20073803385861466</v>
      </c>
      <c r="Q544" s="982">
        <f t="shared" si="70"/>
        <v>17.688733130806582</v>
      </c>
      <c r="R544" s="6"/>
      <c r="S544" s="6"/>
      <c r="T544" s="6"/>
      <c r="U544" s="6"/>
      <c r="V544" s="6"/>
      <c r="W544" s="6"/>
      <c r="X544" s="6"/>
      <c r="Y544" s="6"/>
      <c r="Z544" s="6"/>
    </row>
    <row r="545" spans="1:26" s="93" customFormat="1" ht="15.75">
      <c r="A545" s="894">
        <v>9</v>
      </c>
      <c r="B545" s="233" t="s">
        <v>254</v>
      </c>
      <c r="C545" s="886">
        <f>cходова!R545</f>
        <v>0.60367887158782685</v>
      </c>
      <c r="D545" s="886">
        <f>прибуд.!O545</f>
        <v>0.35390869451433199</v>
      </c>
      <c r="E545" s="886">
        <f>гар.вода!M545+хол.вода!Q545+ц.о.!M545+каналізація!Q545+аварійні!I545+зварювальн!M545</f>
        <v>0.31453228367506381</v>
      </c>
      <c r="F545" s="886">
        <f>дератизац.!I545</f>
        <v>1.6360660803399474E-3</v>
      </c>
      <c r="G545" s="886">
        <f>димоканал!R545</f>
        <v>1.6785048795861578E-2</v>
      </c>
      <c r="H545" s="886">
        <f>'підготовка до зими'!M545+майстерні!M545+маляри!M545+покрівлі!O545</f>
        <v>0.10982405482952397</v>
      </c>
      <c r="I545" s="886">
        <f>електрики!R545</f>
        <v>1.4238251306218011E-2</v>
      </c>
      <c r="J545" s="989">
        <f t="shared" si="66"/>
        <v>1.4146032707891663</v>
      </c>
      <c r="K545" s="989">
        <v>3.5755417781383296E-2</v>
      </c>
      <c r="L545" s="994">
        <f t="shared" si="71"/>
        <v>1.4503586885705495</v>
      </c>
      <c r="M545" s="994">
        <f t="shared" si="68"/>
        <v>1.7404304262846593</v>
      </c>
      <c r="N545" s="995">
        <v>9</v>
      </c>
      <c r="O545" s="1009">
        <v>1.4731232125929916</v>
      </c>
      <c r="P545" s="22">
        <f t="shared" si="69"/>
        <v>0.26730721369166766</v>
      </c>
      <c r="Q545" s="982">
        <f t="shared" si="70"/>
        <v>18.145611406200942</v>
      </c>
      <c r="R545" s="6"/>
      <c r="S545" s="6"/>
      <c r="T545" s="6"/>
      <c r="U545" s="6"/>
      <c r="V545" s="6"/>
      <c r="W545" s="6"/>
      <c r="X545" s="6"/>
      <c r="Y545" s="6"/>
      <c r="Z545" s="6"/>
    </row>
    <row r="546" spans="1:26" s="93" customFormat="1" ht="15.75">
      <c r="A546" s="894">
        <v>10</v>
      </c>
      <c r="B546" s="233" t="s">
        <v>255</v>
      </c>
      <c r="C546" s="886">
        <f>cходова!R546</f>
        <v>0.56904217888123343</v>
      </c>
      <c r="D546" s="886">
        <f>прибуд.!O546</f>
        <v>0.48482392119342027</v>
      </c>
      <c r="E546" s="886">
        <f>гар.вода!M546+хол.вода!Q546+ц.о.!M546+каналізація!Q546+аварійні!I546+зварювальн!M546</f>
        <v>0.31711358322066752</v>
      </c>
      <c r="F546" s="886">
        <f>дератизац.!I546</f>
        <v>2.5729553243698162E-3</v>
      </c>
      <c r="G546" s="886">
        <f>димоканал!R546</f>
        <v>1.7294563920074946E-2</v>
      </c>
      <c r="H546" s="886">
        <f>'підготовка до зими'!M546+майстерні!M546+маляри!M546+покрівлі!O546</f>
        <v>0.10817408085372467</v>
      </c>
      <c r="I546" s="886">
        <f>електрики!R546</f>
        <v>1.4670457638835732E-2</v>
      </c>
      <c r="J546" s="989">
        <f t="shared" si="66"/>
        <v>1.5136917410323263</v>
      </c>
      <c r="K546" s="989">
        <v>3.8103970356425952E-2</v>
      </c>
      <c r="L546" s="994">
        <f t="shared" si="71"/>
        <v>1.5517957113887522</v>
      </c>
      <c r="M546" s="994">
        <f t="shared" si="68"/>
        <v>1.8621548536665025</v>
      </c>
      <c r="N546" s="995">
        <v>9</v>
      </c>
      <c r="O546" s="1009">
        <v>1.5698835786847491</v>
      </c>
      <c r="P546" s="22">
        <f t="shared" si="69"/>
        <v>0.29227127498175332</v>
      </c>
      <c r="Q546" s="982">
        <f t="shared" si="70"/>
        <v>18.61738532398806</v>
      </c>
      <c r="R546" s="6"/>
      <c r="S546" s="6"/>
      <c r="T546" s="6"/>
      <c r="U546" s="6"/>
      <c r="V546" s="6"/>
      <c r="W546" s="6"/>
      <c r="X546" s="6"/>
      <c r="Y546" s="6"/>
      <c r="Z546" s="6"/>
    </row>
    <row r="547" spans="1:26" s="93" customFormat="1" ht="15.75">
      <c r="A547" s="894">
        <v>11</v>
      </c>
      <c r="B547" s="233" t="s">
        <v>256</v>
      </c>
      <c r="C547" s="886">
        <f>cходова!R547</f>
        <v>0.47831638186638781</v>
      </c>
      <c r="D547" s="886">
        <f>прибуд.!O547</f>
        <v>0.53260961506037785</v>
      </c>
      <c r="E547" s="886">
        <f>гар.вода!M547+хол.вода!Q547+ц.о.!M547+каналізація!Q547+аварійні!I547+зварювальн!M547</f>
        <v>0.3087771242485674</v>
      </c>
      <c r="F547" s="886">
        <f>дератизац.!I547</f>
        <v>2.4998059156897756E-3</v>
      </c>
      <c r="G547" s="886">
        <f>димоканал!R547</f>
        <v>1.5515173473683598E-2</v>
      </c>
      <c r="H547" s="886">
        <f>'підготовка до зими'!M547+майстерні!M547+маляри!M547+покрівлі!O547</f>
        <v>0.11045169557024195</v>
      </c>
      <c r="I547" s="886">
        <f>електрики!R547</f>
        <v>1.3316804860022478E-2</v>
      </c>
      <c r="J547" s="989">
        <f t="shared" si="66"/>
        <v>1.461486600994971</v>
      </c>
      <c r="K547" s="989">
        <v>3.6815954434569205E-2</v>
      </c>
      <c r="L547" s="994">
        <f t="shared" si="71"/>
        <v>1.4983025554295402</v>
      </c>
      <c r="M547" s="994">
        <f t="shared" si="68"/>
        <v>1.7979630665154482</v>
      </c>
      <c r="N547" s="995">
        <v>10</v>
      </c>
      <c r="O547" s="1009">
        <v>1.5168173227042512</v>
      </c>
      <c r="P547" s="22">
        <f t="shared" si="69"/>
        <v>0.28114574381119706</v>
      </c>
      <c r="Q547" s="982">
        <f t="shared" si="70"/>
        <v>18.535240836382158</v>
      </c>
      <c r="R547" s="6"/>
      <c r="S547" s="6"/>
      <c r="T547" s="6"/>
      <c r="U547" s="6"/>
      <c r="V547" s="6"/>
      <c r="W547" s="6"/>
      <c r="X547" s="6"/>
      <c r="Y547" s="6"/>
      <c r="Z547" s="6"/>
    </row>
    <row r="548" spans="1:26" s="93" customFormat="1" ht="15.75">
      <c r="A548" s="894">
        <v>12</v>
      </c>
      <c r="B548" s="233" t="s">
        <v>257</v>
      </c>
      <c r="C548" s="886">
        <f>cходова!R548</f>
        <v>0.51742855241723629</v>
      </c>
      <c r="D548" s="886">
        <f>прибуд.!O548</f>
        <v>0.42450415141856257</v>
      </c>
      <c r="E548" s="886">
        <f>гар.вода!M548+хол.вода!Q548+ц.о.!M548+каналізація!Q548+аварійні!I548+зварювальн!M548</f>
        <v>0.30962249909009298</v>
      </c>
      <c r="F548" s="886">
        <f>дератизац.!I548</f>
        <v>1.6065497154111935E-3</v>
      </c>
      <c r="G548" s="886">
        <f>димоканал!R548</f>
        <v>1.5816280101832825E-2</v>
      </c>
      <c r="H548" s="886">
        <f>'підготовка до зими'!M548+майстерні!M548+маляри!M548+покрівлі!O548</f>
        <v>0.11061860352883503</v>
      </c>
      <c r="I548" s="886">
        <f>електрики!R548</f>
        <v>1.3416474003635557E-2</v>
      </c>
      <c r="J548" s="989">
        <f t="shared" si="66"/>
        <v>1.3930131102756065</v>
      </c>
      <c r="K548" s="989">
        <v>3.5098918920736126E-2</v>
      </c>
      <c r="L548" s="994">
        <f t="shared" si="71"/>
        <v>1.4281120291963425</v>
      </c>
      <c r="M548" s="994">
        <f t="shared" si="68"/>
        <v>1.713734435035611</v>
      </c>
      <c r="N548" s="995">
        <v>10</v>
      </c>
      <c r="O548" s="1009">
        <v>1.4460754595343286</v>
      </c>
      <c r="P548" s="22">
        <f t="shared" si="69"/>
        <v>0.26765897550128237</v>
      </c>
      <c r="Q548" s="982">
        <f t="shared" si="70"/>
        <v>18.509336683403447</v>
      </c>
      <c r="R548" s="6"/>
      <c r="S548" s="6"/>
      <c r="T548" s="6"/>
      <c r="U548" s="6"/>
      <c r="V548" s="6"/>
      <c r="W548" s="6"/>
      <c r="X548" s="6"/>
      <c r="Y548" s="6"/>
      <c r="Z548" s="6"/>
    </row>
    <row r="549" spans="1:26" s="93" customFormat="1" ht="15.75">
      <c r="A549" s="894">
        <v>13</v>
      </c>
      <c r="B549" s="233" t="s">
        <v>258</v>
      </c>
      <c r="C549" s="886">
        <f>cходова!R549</f>
        <v>0.51489430232297162</v>
      </c>
      <c r="D549" s="886">
        <f>прибуд.!O549</f>
        <v>0.44211543883300425</v>
      </c>
      <c r="E549" s="886">
        <f>гар.вода!M549+хол.вода!Q549+ц.о.!M549+каналізація!Q549+аварійні!I549+зварювальн!M549</f>
        <v>0.30923015103209139</v>
      </c>
      <c r="F549" s="886">
        <f>дератизац.!I549</f>
        <v>1.5986811918272097E-3</v>
      </c>
      <c r="G549" s="886">
        <f>димоканал!R549</f>
        <v>1.5738815475747285E-2</v>
      </c>
      <c r="H549" s="886">
        <f>'підготовка до зими'!M549+майстерні!M549+маляри!M549+покрівлі!O549</f>
        <v>0.11033662428755081</v>
      </c>
      <c r="I549" s="886">
        <f>електрики!R549</f>
        <v>1.3350763094661607E-2</v>
      </c>
      <c r="J549" s="989">
        <f t="shared" si="66"/>
        <v>1.4072647762378541</v>
      </c>
      <c r="K549" s="989">
        <v>3.5454185163158937E-2</v>
      </c>
      <c r="L549" s="994">
        <f t="shared" si="71"/>
        <v>1.442718961401013</v>
      </c>
      <c r="M549" s="994">
        <f t="shared" si="68"/>
        <v>1.7312627536812155</v>
      </c>
      <c r="N549" s="995">
        <v>10</v>
      </c>
      <c r="O549" s="1009">
        <v>1.4607124287221482</v>
      </c>
      <c r="P549" s="22">
        <f t="shared" si="69"/>
        <v>0.27055032495906728</v>
      </c>
      <c r="Q549" s="982">
        <f t="shared" si="70"/>
        <v>18.521806184380083</v>
      </c>
      <c r="R549" s="6"/>
      <c r="S549" s="6"/>
      <c r="T549" s="6"/>
      <c r="U549" s="6"/>
      <c r="V549" s="6"/>
      <c r="W549" s="6"/>
      <c r="X549" s="6"/>
      <c r="Y549" s="6"/>
      <c r="Z549" s="6"/>
    </row>
    <row r="550" spans="1:26" s="93" customFormat="1" ht="15.75">
      <c r="A550" s="894">
        <v>14</v>
      </c>
      <c r="B550" s="233" t="s">
        <v>259</v>
      </c>
      <c r="C550" s="886">
        <f>cходова!R550</f>
        <v>0.52912868938315438</v>
      </c>
      <c r="D550" s="886">
        <f>прибуд.!O550</f>
        <v>0.54523979695015534</v>
      </c>
      <c r="E550" s="886">
        <f>гар.вода!M550+хол.вода!Q550+ц.о.!M550+каналізація!Q550+аварійні!I550+зварювальн!M550</f>
        <v>0.32854522458995072</v>
      </c>
      <c r="F550" s="886">
        <f>дератизац.!I550</f>
        <v>3.2484161822688043E-3</v>
      </c>
      <c r="G550" s="886">
        <f>димоканал!R550</f>
        <v>1.9380623232625759E-2</v>
      </c>
      <c r="H550" s="886">
        <f>'підготовка до зими'!M550+майстерні!M550+маляри!M550+покрівлі!O550</f>
        <v>0.12587971859649402</v>
      </c>
      <c r="I550" s="886">
        <f>електрики!R550</f>
        <v>1.6578150170295586E-2</v>
      </c>
      <c r="J550" s="989">
        <f t="shared" si="66"/>
        <v>1.5680006191049447</v>
      </c>
      <c r="K550" s="989">
        <v>3.892906338645593E-2</v>
      </c>
      <c r="L550" s="994">
        <f t="shared" si="71"/>
        <v>1.6069296824914006</v>
      </c>
      <c r="M550" s="994">
        <f t="shared" si="68"/>
        <v>1.9283156189896806</v>
      </c>
      <c r="N550" s="995">
        <v>5</v>
      </c>
      <c r="O550" s="1009">
        <v>1.6038774115219845</v>
      </c>
      <c r="P550" s="22">
        <f t="shared" si="69"/>
        <v>0.32443820746769614</v>
      </c>
      <c r="Q550" s="982">
        <f t="shared" si="70"/>
        <v>20.228366902419538</v>
      </c>
      <c r="R550" s="6"/>
      <c r="S550" s="6"/>
      <c r="T550" s="6"/>
      <c r="U550" s="6"/>
      <c r="V550" s="6"/>
      <c r="W550" s="6"/>
      <c r="X550" s="6"/>
      <c r="Y550" s="6"/>
      <c r="Z550" s="6"/>
    </row>
    <row r="551" spans="1:26" s="93" customFormat="1" ht="15.75">
      <c r="A551" s="894">
        <v>15</v>
      </c>
      <c r="B551" s="233" t="s">
        <v>260</v>
      </c>
      <c r="C551" s="886">
        <f>cходова!R551</f>
        <v>0.66601931491109212</v>
      </c>
      <c r="D551" s="886">
        <f>прибуд.!O551</f>
        <v>0.37362977475208947</v>
      </c>
      <c r="E551" s="886">
        <f>гар.вода!M551+хол.вода!Q551+ц.о.!M551+каналізація!Q551+аварійні!I551+зварювальн!M551</f>
        <v>0.30800586484481907</v>
      </c>
      <c r="F551" s="886">
        <f>дератизац.!I551</f>
        <v>1.8848625555056692E-3</v>
      </c>
      <c r="G551" s="886">
        <f>димоканал!R551</f>
        <v>1.4777816144774506E-2</v>
      </c>
      <c r="H551" s="886">
        <f>'підготовка до зими'!M551+майстерні!M551+маляри!M551+покрівлі!O551</f>
        <v>0.11990003669314497</v>
      </c>
      <c r="I551" s="886">
        <f>електрики!R551</f>
        <v>1.4345006943239357E-2</v>
      </c>
      <c r="J551" s="989">
        <f t="shared" si="66"/>
        <v>1.4985626768446652</v>
      </c>
      <c r="K551" s="989">
        <v>3.7856414858348245E-2</v>
      </c>
      <c r="L551" s="994">
        <f t="shared" si="71"/>
        <v>1.5364190917030134</v>
      </c>
      <c r="M551" s="994">
        <f t="shared" si="68"/>
        <v>1.843702910043616</v>
      </c>
      <c r="N551" s="995">
        <v>9</v>
      </c>
      <c r="O551" s="1009">
        <v>1.5596842921639478</v>
      </c>
      <c r="P551" s="22">
        <f t="shared" si="69"/>
        <v>0.2840186178796682</v>
      </c>
      <c r="Q551" s="982">
        <f t="shared" si="70"/>
        <v>18.210006942213482</v>
      </c>
      <c r="R551" s="6"/>
      <c r="S551" s="6"/>
      <c r="T551" s="6"/>
      <c r="U551" s="6"/>
      <c r="V551" s="6"/>
      <c r="W551" s="6"/>
      <c r="X551" s="6"/>
      <c r="Y551" s="6"/>
      <c r="Z551" s="6"/>
    </row>
    <row r="552" spans="1:26" s="93" customFormat="1" ht="15.75">
      <c r="A552" s="894">
        <v>16</v>
      </c>
      <c r="B552" s="233" t="s">
        <v>261</v>
      </c>
      <c r="C552" s="886">
        <f>cходова!R552</f>
        <v>0.715060024969292</v>
      </c>
      <c r="D552" s="886">
        <f>прибуд.!O552</f>
        <v>0.34300841381177988</v>
      </c>
      <c r="E552" s="886">
        <f>гар.вода!M552+хол.вода!Q552+ц.о.!M552+каналізація!Q552+аварійні!I552+зварювальн!M552</f>
        <v>0.32171096268099675</v>
      </c>
      <c r="F552" s="886">
        <f>дератизац.!I552</f>
        <v>3.2561159725797936E-3</v>
      </c>
      <c r="G552" s="886">
        <f>димоканал!R552</f>
        <v>1.705231654652066E-2</v>
      </c>
      <c r="H552" s="886">
        <f>'підготовка до зими'!M552+майстерні!M552+маляри!M552+покрівлі!O552</f>
        <v>0.11678765272251188</v>
      </c>
      <c r="I552" s="886">
        <f>електрики!R552</f>
        <v>1.4999359086981539E-2</v>
      </c>
      <c r="J552" s="989">
        <f t="shared" si="66"/>
        <v>1.5318748457906626</v>
      </c>
      <c r="K552" s="989">
        <v>3.8589301134918423E-2</v>
      </c>
      <c r="L552" s="994">
        <f t="shared" si="71"/>
        <v>1.5704641469255809</v>
      </c>
      <c r="M552" s="994">
        <f t="shared" si="68"/>
        <v>1.8845569763106971</v>
      </c>
      <c r="N552" s="995">
        <v>9</v>
      </c>
      <c r="O552" s="1009">
        <v>1.5898792067586391</v>
      </c>
      <c r="P552" s="22">
        <f t="shared" si="69"/>
        <v>0.29467776955205793</v>
      </c>
      <c r="Q552" s="982">
        <f t="shared" si="70"/>
        <v>18.534601138210434</v>
      </c>
      <c r="R552" s="6"/>
      <c r="S552" s="6"/>
      <c r="T552" s="6"/>
      <c r="U552" s="6"/>
      <c r="V552" s="6"/>
      <c r="W552" s="6"/>
      <c r="X552" s="6"/>
      <c r="Y552" s="6"/>
      <c r="Z552" s="6"/>
    </row>
    <row r="553" spans="1:26" s="93" customFormat="1" ht="15.75">
      <c r="A553" s="894">
        <v>17</v>
      </c>
      <c r="B553" s="233" t="s">
        <v>262</v>
      </c>
      <c r="C553" s="886">
        <f>cходова!R553</f>
        <v>0</v>
      </c>
      <c r="D553" s="886">
        <f>прибуд.!O553</f>
        <v>0</v>
      </c>
      <c r="E553" s="886">
        <f>гар.вода!M553+хол.вода!Q553+ц.о.!M553+каналізація!Q553+аварійні!I553+зварювальн!M553</f>
        <v>0.16899417540664402</v>
      </c>
      <c r="F553" s="886">
        <f>дератизац.!I553</f>
        <v>0</v>
      </c>
      <c r="G553" s="886">
        <f>димоканал!R553</f>
        <v>9.0256468295234593E-2</v>
      </c>
      <c r="H553" s="886">
        <f>'підготовка до зими'!M553+майстерні!M553+маляри!M553+покрівлі!O553</f>
        <v>0.14150317585192237</v>
      </c>
      <c r="I553" s="886">
        <f>електрики!R553</f>
        <v>1.4307239038223698E-2</v>
      </c>
      <c r="J553" s="989">
        <f t="shared" si="66"/>
        <v>0.41506105859202469</v>
      </c>
      <c r="K553" s="989">
        <v>1.0922391338545069E-2</v>
      </c>
      <c r="L553" s="994">
        <f t="shared" si="71"/>
        <v>0.42598344993056975</v>
      </c>
      <c r="M553" s="994">
        <f t="shared" si="68"/>
        <v>0.51118013991668365</v>
      </c>
      <c r="N553" s="995">
        <v>3</v>
      </c>
      <c r="O553" s="1009">
        <v>0.45000252314805678</v>
      </c>
      <c r="P553" s="22">
        <f t="shared" si="69"/>
        <v>6.1177616768626875E-2</v>
      </c>
      <c r="Q553" s="982">
        <f t="shared" si="70"/>
        <v>13.594949721759363</v>
      </c>
      <c r="R553" s="6"/>
      <c r="S553" s="6"/>
      <c r="T553" s="6"/>
      <c r="U553" s="6"/>
      <c r="V553" s="6"/>
      <c r="W553" s="6"/>
      <c r="X553" s="6"/>
      <c r="Y553" s="6"/>
      <c r="Z553" s="6"/>
    </row>
    <row r="554" spans="1:26" s="93" customFormat="1" ht="15.75">
      <c r="A554" s="894">
        <v>18</v>
      </c>
      <c r="B554" s="233" t="s">
        <v>263</v>
      </c>
      <c r="C554" s="886">
        <f>cходова!R554</f>
        <v>0</v>
      </c>
      <c r="D554" s="886">
        <f>прибуд.!O554</f>
        <v>0</v>
      </c>
      <c r="E554" s="886">
        <f>гар.вода!M554+хол.вода!Q554+ц.о.!M554+каналізація!Q554+аварійні!I554+зварювальн!M554</f>
        <v>0.24267485001191991</v>
      </c>
      <c r="F554" s="886">
        <f>дератизац.!I554</f>
        <v>0</v>
      </c>
      <c r="G554" s="886">
        <f>димоканал!R554</f>
        <v>0.13391932088514033</v>
      </c>
      <c r="H554" s="886">
        <f>'підготовка до зими'!M554+майстерні!M554+маляри!M554+покрівлі!O554</f>
        <v>0.24228680171917691</v>
      </c>
      <c r="I554" s="886">
        <f>електрики!R554</f>
        <v>2.6638553894239251E-2</v>
      </c>
      <c r="J554" s="989">
        <f t="shared" si="66"/>
        <v>0.64551952651047639</v>
      </c>
      <c r="K554" s="989">
        <v>1.6830588356119152E-2</v>
      </c>
      <c r="L554" s="994">
        <f t="shared" si="71"/>
        <v>0.66235011486659556</v>
      </c>
      <c r="M554" s="994">
        <f t="shared" si="68"/>
        <v>0.79482013783991468</v>
      </c>
      <c r="N554" s="995">
        <v>2</v>
      </c>
      <c r="O554" s="1009">
        <v>0.69342024027210913</v>
      </c>
      <c r="P554" s="22">
        <f t="shared" si="69"/>
        <v>0.10139989756780554</v>
      </c>
      <c r="Q554" s="982">
        <f t="shared" si="70"/>
        <v>14.623152264493271</v>
      </c>
      <c r="R554" s="6"/>
      <c r="S554" s="6"/>
      <c r="T554" s="6"/>
      <c r="U554" s="6"/>
      <c r="V554" s="6"/>
      <c r="W554" s="6"/>
      <c r="X554" s="6"/>
      <c r="Y554" s="6"/>
      <c r="Z554" s="6"/>
    </row>
    <row r="555" spans="1:26" s="93" customFormat="1" ht="15.75">
      <c r="A555" s="894">
        <v>19</v>
      </c>
      <c r="B555" s="233" t="s">
        <v>264</v>
      </c>
      <c r="C555" s="886">
        <f>cходова!R555</f>
        <v>0</v>
      </c>
      <c r="D555" s="886">
        <f>прибуд.!O555</f>
        <v>0</v>
      </c>
      <c r="E555" s="886">
        <f>гар.вода!M555+хол.вода!Q555+ц.о.!M555+каналізація!Q555+аварійні!I555+зварювальн!M555</f>
        <v>0.20417893045711999</v>
      </c>
      <c r="F555" s="886">
        <f>дератизац.!I555</f>
        <v>0</v>
      </c>
      <c r="G555" s="886">
        <f>димоканал!R555</f>
        <v>0.10152990732968721</v>
      </c>
      <c r="H555" s="886">
        <f>'підготовка до зими'!M555+майстерні!M555+маляри!M555+покрівлі!O555</f>
        <v>0.34036986900845856</v>
      </c>
      <c r="I555" s="886">
        <f>електрики!R555</f>
        <v>2.019581558809333E-2</v>
      </c>
      <c r="J555" s="989">
        <f t="shared" si="66"/>
        <v>0.66627452238335905</v>
      </c>
      <c r="K555" s="989">
        <v>1.7335677304499114E-2</v>
      </c>
      <c r="L555" s="994">
        <f t="shared" si="71"/>
        <v>0.68361019968785819</v>
      </c>
      <c r="M555" s="994">
        <f t="shared" si="68"/>
        <v>0.82033223962542978</v>
      </c>
      <c r="N555" s="995">
        <v>1</v>
      </c>
      <c r="O555" s="1009">
        <v>0.71422990494536354</v>
      </c>
      <c r="P555" s="22">
        <f t="shared" si="69"/>
        <v>0.10610233468006625</v>
      </c>
      <c r="Q555" s="982">
        <f t="shared" si="70"/>
        <v>14.85548756015514</v>
      </c>
      <c r="R555" s="6"/>
      <c r="S555" s="6"/>
      <c r="T555" s="6"/>
      <c r="U555" s="6"/>
      <c r="V555" s="6"/>
      <c r="W555" s="6"/>
      <c r="X555" s="6"/>
      <c r="Y555" s="6"/>
      <c r="Z555" s="6"/>
    </row>
    <row r="556" spans="1:26" s="93" customFormat="1" ht="15.75">
      <c r="A556" s="894">
        <v>20</v>
      </c>
      <c r="B556" s="233" t="s">
        <v>265</v>
      </c>
      <c r="C556" s="886">
        <f>cходова!R556</f>
        <v>0</v>
      </c>
      <c r="D556" s="886">
        <f>прибуд.!O556</f>
        <v>0</v>
      </c>
      <c r="E556" s="886">
        <f>гар.вода!M556+хол.вода!Q556+ц.о.!M556+каналізація!Q556+аварійні!I556+зварювальн!M556</f>
        <v>0</v>
      </c>
      <c r="F556" s="886">
        <f>дератизац.!I556</f>
        <v>0</v>
      </c>
      <c r="G556" s="886">
        <f>димоканал!R556</f>
        <v>7.5016304078708282E-2</v>
      </c>
      <c r="H556" s="886">
        <f>'підготовка до зими'!M556+майстерні!M556+маляри!M556+покрівлі!O556</f>
        <v>0.34747019586086769</v>
      </c>
      <c r="I556" s="886">
        <f>електрики!R556</f>
        <v>2.9843727491139695E-2</v>
      </c>
      <c r="J556" s="989">
        <f t="shared" si="66"/>
        <v>0.45233022743071566</v>
      </c>
      <c r="K556" s="989">
        <v>1.159870662066018E-2</v>
      </c>
      <c r="L556" s="994">
        <f t="shared" si="71"/>
        <v>0.46392893405137586</v>
      </c>
      <c r="M556" s="994">
        <f t="shared" si="68"/>
        <v>0.55671472086165097</v>
      </c>
      <c r="N556" s="995">
        <v>1</v>
      </c>
      <c r="O556" s="1009">
        <v>0.47786671277119941</v>
      </c>
      <c r="P556" s="22">
        <f t="shared" si="69"/>
        <v>7.884800809045156E-2</v>
      </c>
      <c r="Q556" s="982">
        <f t="shared" si="70"/>
        <v>16.500000101116825</v>
      </c>
      <c r="R556" s="6"/>
      <c r="S556" s="6"/>
      <c r="T556" s="6"/>
      <c r="U556" s="6"/>
      <c r="V556" s="6"/>
      <c r="W556" s="6"/>
      <c r="X556" s="6"/>
      <c r="Y556" s="6"/>
      <c r="Z556" s="6"/>
    </row>
    <row r="557" spans="1:26" s="93" customFormat="1" ht="15.75">
      <c r="A557" s="894">
        <v>21</v>
      </c>
      <c r="B557" s="233" t="s">
        <v>266</v>
      </c>
      <c r="C557" s="886">
        <f>cходова!R557</f>
        <v>0</v>
      </c>
      <c r="D557" s="886">
        <f>прибуд.!O557</f>
        <v>0</v>
      </c>
      <c r="E557" s="886">
        <f>гар.вода!M557+хол.вода!Q557+ц.о.!M557+каналізація!Q557+аварійні!I557+зварювальн!M557</f>
        <v>0.19849210096161818</v>
      </c>
      <c r="F557" s="886">
        <f>дератизац.!I557</f>
        <v>0</v>
      </c>
      <c r="G557" s="886">
        <f>димоканал!R557</f>
        <v>9.1050102757830625E-2</v>
      </c>
      <c r="H557" s="886">
        <f>'підготовка до зими'!M557+майстерні!M557+маляри!M557+покрівлі!O557</f>
        <v>0.26745179248419038</v>
      </c>
      <c r="I557" s="886">
        <f>електрики!R557</f>
        <v>1.9244058761528012E-2</v>
      </c>
      <c r="J557" s="989">
        <f t="shared" si="66"/>
        <v>0.57623805496516722</v>
      </c>
      <c r="K557" s="989">
        <v>1.5024372792299484E-2</v>
      </c>
      <c r="L557" s="994">
        <f t="shared" si="71"/>
        <v>0.59126242775746674</v>
      </c>
      <c r="M557" s="994">
        <f t="shared" si="68"/>
        <v>0.7095149133089601</v>
      </c>
      <c r="N557" s="995">
        <v>1</v>
      </c>
      <c r="O557" s="1009">
        <v>0.61900415904273876</v>
      </c>
      <c r="P557" s="22">
        <f t="shared" si="69"/>
        <v>9.0510754266221349E-2</v>
      </c>
      <c r="Q557" s="982">
        <f t="shared" si="70"/>
        <v>14.621994528468434</v>
      </c>
      <c r="R557" s="6"/>
      <c r="S557" s="6"/>
      <c r="T557" s="6"/>
      <c r="U557" s="6"/>
      <c r="V557" s="6"/>
      <c r="W557" s="6"/>
      <c r="X557" s="6"/>
      <c r="Y557" s="6"/>
      <c r="Z557" s="6"/>
    </row>
    <row r="558" spans="1:26" s="93" customFormat="1" ht="15.75">
      <c r="A558" s="894">
        <v>22</v>
      </c>
      <c r="B558" s="233" t="s">
        <v>267</v>
      </c>
      <c r="C558" s="886">
        <f>cходова!R558</f>
        <v>0.2235368082324371</v>
      </c>
      <c r="D558" s="886">
        <f>прибуд.!O558</f>
        <v>0.33339833374337219</v>
      </c>
      <c r="E558" s="886">
        <f>гар.вода!M558+хол.вода!Q558+ц.о.!M558+каналізація!Q558+аварійні!I558+зварювальн!M558</f>
        <v>0.43007522937853732</v>
      </c>
      <c r="F558" s="886">
        <f>дератизац.!I558</f>
        <v>2.5558453339380887E-3</v>
      </c>
      <c r="G558" s="886">
        <f>димоканал!R558</f>
        <v>3.8428590355671463E-2</v>
      </c>
      <c r="H558" s="886">
        <f>'підготовка до зими'!M558+майстерні!M558+маляри!M558+покрівлі!O558</f>
        <v>0.12083466481135381</v>
      </c>
      <c r="I558" s="886">
        <f>електрики!R558</f>
        <v>3.3369034659842089E-2</v>
      </c>
      <c r="J558" s="989">
        <f t="shared" si="66"/>
        <v>1.1821985065151521</v>
      </c>
      <c r="K558" s="989">
        <v>3.0095959442483684E-2</v>
      </c>
      <c r="L558" s="994">
        <f t="shared" si="71"/>
        <v>1.2122944659576358</v>
      </c>
      <c r="M558" s="994">
        <f t="shared" si="68"/>
        <v>1.4547533591491628</v>
      </c>
      <c r="N558" s="995">
        <v>1</v>
      </c>
      <c r="O558" s="1009">
        <v>1.2399535290303276</v>
      </c>
      <c r="P558" s="22">
        <f t="shared" si="69"/>
        <v>0.21479983011883519</v>
      </c>
      <c r="Q558" s="982">
        <f t="shared" si="70"/>
        <v>17.323216160109951</v>
      </c>
      <c r="R558" s="6"/>
      <c r="S558" s="6"/>
      <c r="T558" s="6"/>
      <c r="U558" s="6"/>
      <c r="V558" s="6"/>
      <c r="W558" s="6"/>
      <c r="X558" s="6"/>
      <c r="Y558" s="6"/>
      <c r="Z558" s="6"/>
    </row>
    <row r="559" spans="1:26" s="93" customFormat="1" ht="15.75">
      <c r="A559" s="894">
        <v>23</v>
      </c>
      <c r="B559" s="233" t="s">
        <v>268</v>
      </c>
      <c r="C559" s="886">
        <f>cходова!R559</f>
        <v>0</v>
      </c>
      <c r="D559" s="886">
        <f>прибуд.!O559</f>
        <v>0</v>
      </c>
      <c r="E559" s="886">
        <f>гар.вода!M559+хол.вода!Q559+ц.о.!M559+каналізація!Q559+аварійні!I559+зварювальн!M559</f>
        <v>0.19632012759581502</v>
      </c>
      <c r="F559" s="886">
        <f>дератизац.!I559</f>
        <v>0</v>
      </c>
      <c r="G559" s="886">
        <f>димоканал!R559</f>
        <v>9.4917725600575931E-2</v>
      </c>
      <c r="H559" s="886">
        <f>'підготовка до зими'!M559+майстерні!M559+маляри!M559+покрівлі!O559</f>
        <v>0.18401641586987888</v>
      </c>
      <c r="I559" s="886">
        <f>електрики!R559</f>
        <v>1.8880553845536364E-2</v>
      </c>
      <c r="J559" s="989">
        <f t="shared" si="66"/>
        <v>0.49413482291180616</v>
      </c>
      <c r="K559" s="989">
        <v>1.2909876336605036E-2</v>
      </c>
      <c r="L559" s="994">
        <f t="shared" si="71"/>
        <v>0.50704469924841122</v>
      </c>
      <c r="M559" s="994">
        <f t="shared" si="68"/>
        <v>0.60845363909809347</v>
      </c>
      <c r="N559" s="995">
        <v>1</v>
      </c>
      <c r="O559" s="1009">
        <v>0.53188690506812752</v>
      </c>
      <c r="P559" s="22">
        <f t="shared" si="69"/>
        <v>7.6566734029965944E-2</v>
      </c>
      <c r="Q559" s="982">
        <f t="shared" si="70"/>
        <v>14.395303456504308</v>
      </c>
      <c r="R559" s="6"/>
      <c r="S559" s="6"/>
      <c r="T559" s="6"/>
      <c r="U559" s="6"/>
      <c r="V559" s="6"/>
      <c r="W559" s="6"/>
      <c r="X559" s="6"/>
      <c r="Y559" s="6"/>
      <c r="Z559" s="6"/>
    </row>
    <row r="560" spans="1:26" s="93" customFormat="1" ht="15.75">
      <c r="A560" s="894">
        <v>24</v>
      </c>
      <c r="B560" s="233" t="s">
        <v>269</v>
      </c>
      <c r="C560" s="886">
        <f>cходова!R560</f>
        <v>0</v>
      </c>
      <c r="D560" s="886">
        <f>прибуд.!O560</f>
        <v>0</v>
      </c>
      <c r="E560" s="886">
        <f>гар.вода!M560+хол.вода!Q560+ц.о.!M560+каналізація!Q560+аварійні!I560+зварювальн!M560</f>
        <v>0.19705642093699313</v>
      </c>
      <c r="F560" s="886">
        <f>дератизац.!I560</f>
        <v>0</v>
      </c>
      <c r="G560" s="886">
        <f>димоканал!R560</f>
        <v>9.5537222674586503E-2</v>
      </c>
      <c r="H560" s="886">
        <f>'підготовка до зими'!M560+майстерні!M560+маляри!M560+покрівлі!O560</f>
        <v>0.18388263167136654</v>
      </c>
      <c r="I560" s="886">
        <f>електрики!R560</f>
        <v>1.9003781069840377E-2</v>
      </c>
      <c r="J560" s="989">
        <f t="shared" si="66"/>
        <v>0.49548005635278658</v>
      </c>
      <c r="K560" s="989">
        <v>1.2944721006577096E-2</v>
      </c>
      <c r="L560" s="994">
        <f t="shared" si="71"/>
        <v>0.50842477735936364</v>
      </c>
      <c r="M560" s="994">
        <f t="shared" si="68"/>
        <v>0.61010973283123637</v>
      </c>
      <c r="N560" s="995">
        <v>1</v>
      </c>
      <c r="O560" s="1009">
        <v>0.53332250547097637</v>
      </c>
      <c r="P560" s="22">
        <f t="shared" si="69"/>
        <v>7.6787227360260002E-2</v>
      </c>
      <c r="Q560" s="982">
        <f t="shared" si="70"/>
        <v>14.397897439645703</v>
      </c>
      <c r="R560" s="6"/>
      <c r="S560" s="6"/>
      <c r="T560" s="6"/>
      <c r="U560" s="6"/>
      <c r="V560" s="6"/>
      <c r="W560" s="6"/>
      <c r="X560" s="6"/>
      <c r="Y560" s="6"/>
      <c r="Z560" s="6"/>
    </row>
    <row r="561" spans="1:26" s="93" customFormat="1" ht="15.75">
      <c r="A561" s="894">
        <v>25</v>
      </c>
      <c r="B561" s="233" t="s">
        <v>270</v>
      </c>
      <c r="C561" s="886">
        <f>cходова!R561</f>
        <v>0</v>
      </c>
      <c r="D561" s="886">
        <f>прибуд.!O561</f>
        <v>0</v>
      </c>
      <c r="E561" s="886">
        <f>гар.вода!M561+хол.вода!Q561+ц.о.!M561+каналізація!Q561+аварійні!I561+зварювальн!M561</f>
        <v>0.19891659535325962</v>
      </c>
      <c r="F561" s="886">
        <f>дератизац.!I561</f>
        <v>0</v>
      </c>
      <c r="G561" s="886">
        <f>димоканал!R561</f>
        <v>9.7102322538429514E-2</v>
      </c>
      <c r="H561" s="886">
        <f>'підготовка до зими'!M561+майстерні!M561+маляри!M561+покрівлі!O561</f>
        <v>0.22288764331036859</v>
      </c>
      <c r="I561" s="886">
        <f>електрики!R561</f>
        <v>1.9315102817869603E-2</v>
      </c>
      <c r="J561" s="989">
        <f t="shared" si="66"/>
        <v>0.53822166401992733</v>
      </c>
      <c r="K561" s="989">
        <v>1.4064014443929389E-2</v>
      </c>
      <c r="L561" s="994">
        <f t="shared" si="71"/>
        <v>0.55228567846385668</v>
      </c>
      <c r="M561" s="994">
        <f t="shared" si="68"/>
        <v>0.66274281415662795</v>
      </c>
      <c r="N561" s="995">
        <v>2</v>
      </c>
      <c r="O561" s="1009">
        <v>0.57943739508989089</v>
      </c>
      <c r="P561" s="22">
        <f t="shared" si="69"/>
        <v>8.3305419066737052E-2</v>
      </c>
      <c r="Q561" s="982">
        <f t="shared" si="70"/>
        <v>14.376949049657654</v>
      </c>
      <c r="R561" s="6"/>
      <c r="S561" s="6"/>
      <c r="T561" s="6"/>
      <c r="U561" s="6"/>
      <c r="V561" s="6"/>
      <c r="W561" s="6"/>
      <c r="X561" s="6"/>
      <c r="Y561" s="6"/>
      <c r="Z561" s="6"/>
    </row>
    <row r="562" spans="1:26" s="93" customFormat="1" ht="15.75">
      <c r="A562" s="894">
        <v>26</v>
      </c>
      <c r="B562" s="233" t="s">
        <v>271</v>
      </c>
      <c r="C562" s="886">
        <f>cходова!R562</f>
        <v>0</v>
      </c>
      <c r="D562" s="886">
        <f>прибуд.!O562</f>
        <v>0</v>
      </c>
      <c r="E562" s="886">
        <f>гар.вода!M562+хол.вода!Q562+ц.о.!M562+каналізація!Q562+аварійні!I562+зварювальн!M562</f>
        <v>0.31778558766605419</v>
      </c>
      <c r="F562" s="886">
        <f>дератизац.!I562</f>
        <v>0</v>
      </c>
      <c r="G562" s="886">
        <f>димоканал!R562</f>
        <v>4.9278860173484013E-2</v>
      </c>
      <c r="H562" s="886">
        <f>'підготовка до зими'!M562+майстерні!M562+маляри!M562+покрівлі!O562</f>
        <v>0.30027181083372345</v>
      </c>
      <c r="I562" s="886">
        <f>електрики!R562</f>
        <v>3.9209206375946999E-2</v>
      </c>
      <c r="J562" s="989">
        <f t="shared" si="66"/>
        <v>0.70654546504920868</v>
      </c>
      <c r="K562" s="989">
        <v>1.8247929959596263E-2</v>
      </c>
      <c r="L562" s="994">
        <f t="shared" si="71"/>
        <v>0.72479339500880491</v>
      </c>
      <c r="M562" s="994">
        <f t="shared" si="68"/>
        <v>0.86975207401056587</v>
      </c>
      <c r="N562" s="995">
        <v>2</v>
      </c>
      <c r="O562" s="1009">
        <v>0.75181471433536606</v>
      </c>
      <c r="P562" s="22">
        <f t="shared" si="69"/>
        <v>0.1179373596751998</v>
      </c>
      <c r="Q562" s="982">
        <f t="shared" si="70"/>
        <v>15.687024665307476</v>
      </c>
      <c r="R562" s="6"/>
      <c r="S562" s="6"/>
      <c r="T562" s="6"/>
      <c r="U562" s="6"/>
      <c r="V562" s="6"/>
      <c r="W562" s="6"/>
      <c r="X562" s="6"/>
      <c r="Y562" s="6"/>
      <c r="Z562" s="6"/>
    </row>
    <row r="563" spans="1:26" s="93" customFormat="1" ht="15.75">
      <c r="A563" s="894">
        <v>27</v>
      </c>
      <c r="B563" s="233" t="s">
        <v>272</v>
      </c>
      <c r="C563" s="886">
        <f>cходова!R563</f>
        <v>0</v>
      </c>
      <c r="D563" s="886">
        <f>прибуд.!O563</f>
        <v>0</v>
      </c>
      <c r="E563" s="886">
        <f>гар.вода!M563+хол.вода!Q563+ц.о.!M563+каналізація!Q563+аварійні!I563+зварювальн!M563</f>
        <v>0.27178236258599242</v>
      </c>
      <c r="F563" s="886">
        <f>дератизац.!I563</f>
        <v>0</v>
      </c>
      <c r="G563" s="886">
        <f>димоканал!R563</f>
        <v>2.6401597608629451E-2</v>
      </c>
      <c r="H563" s="886">
        <f>'підготовка до зими'!M563+майстерні!M563+маляри!M563+покрівлі!O563</f>
        <v>0.22921599146808858</v>
      </c>
      <c r="I563" s="886">
        <f>електрики!R563</f>
        <v>3.1510033480293673E-2</v>
      </c>
      <c r="J563" s="989">
        <f t="shared" si="66"/>
        <v>0.55890998514300416</v>
      </c>
      <c r="K563" s="989">
        <v>1.447054277202418E-2</v>
      </c>
      <c r="L563" s="994">
        <f t="shared" si="71"/>
        <v>0.57338052791502836</v>
      </c>
      <c r="M563" s="994">
        <f t="shared" si="68"/>
        <v>0.68805663349803403</v>
      </c>
      <c r="N563" s="995">
        <v>2</v>
      </c>
      <c r="O563" s="1009">
        <v>0.59618636220739629</v>
      </c>
      <c r="P563" s="22">
        <f t="shared" si="69"/>
        <v>9.1870271290637739E-2</v>
      </c>
      <c r="Q563" s="982">
        <f t="shared" si="70"/>
        <v>15.409656629931206</v>
      </c>
      <c r="R563" s="6"/>
      <c r="S563" s="6"/>
      <c r="T563" s="6"/>
      <c r="U563" s="6"/>
      <c r="V563" s="6"/>
      <c r="W563" s="6"/>
      <c r="X563" s="6"/>
      <c r="Y563" s="6"/>
      <c r="Z563" s="6"/>
    </row>
    <row r="564" spans="1:26" s="93" customFormat="1" ht="15.75">
      <c r="A564" s="894">
        <v>28</v>
      </c>
      <c r="B564" s="233" t="s">
        <v>273</v>
      </c>
      <c r="C564" s="886">
        <f>cходова!R564</f>
        <v>0</v>
      </c>
      <c r="D564" s="886">
        <f>прибуд.!O564</f>
        <v>0</v>
      </c>
      <c r="E564" s="886">
        <f>гар.вода!M564+хол.вода!Q564+ц.о.!M564+каналізація!Q564+аварійні!I564+зварювальн!M564</f>
        <v>0</v>
      </c>
      <c r="F564" s="886">
        <f>дератизац.!I564</f>
        <v>0</v>
      </c>
      <c r="G564" s="886">
        <f>димоканал!R564</f>
        <v>0.11062458328117329</v>
      </c>
      <c r="H564" s="886">
        <f>'підготовка до зими'!M564+майстерні!M564+маляри!M564+покрівлі!O564</f>
        <v>0.23938036266543108</v>
      </c>
      <c r="I564" s="886">
        <f>електрики!R564</f>
        <v>3.5621981111764615E-2</v>
      </c>
      <c r="J564" s="989">
        <f t="shared" si="66"/>
        <v>0.38562692705836898</v>
      </c>
      <c r="K564" s="989">
        <v>9.9484479023711127E-3</v>
      </c>
      <c r="L564" s="994">
        <f t="shared" si="71"/>
        <v>0.39557537496074008</v>
      </c>
      <c r="M564" s="994">
        <f t="shared" si="68"/>
        <v>0.47469044995288806</v>
      </c>
      <c r="N564" s="995">
        <v>1</v>
      </c>
      <c r="O564" s="1009">
        <v>0.4098760535776898</v>
      </c>
      <c r="P564" s="22">
        <f t="shared" si="69"/>
        <v>6.4814396375198258E-2</v>
      </c>
      <c r="Q564" s="982">
        <f t="shared" si="70"/>
        <v>15.813169813032999</v>
      </c>
      <c r="R564" s="6"/>
      <c r="S564" s="6"/>
      <c r="T564" s="6"/>
      <c r="U564" s="6"/>
      <c r="V564" s="6"/>
      <c r="W564" s="6"/>
      <c r="X564" s="6"/>
      <c r="Y564" s="6"/>
      <c r="Z564" s="6"/>
    </row>
    <row r="565" spans="1:26" s="93" customFormat="1" ht="15.75">
      <c r="A565" s="894">
        <v>29</v>
      </c>
      <c r="B565" s="233" t="s">
        <v>274</v>
      </c>
      <c r="C565" s="886">
        <f>cходова!R565</f>
        <v>0</v>
      </c>
      <c r="D565" s="886">
        <f>прибуд.!O565</f>
        <v>0</v>
      </c>
      <c r="E565" s="886">
        <f>гар.вода!M565+хол.вода!Q565+ц.о.!M565+каналізація!Q565+аварійні!I565+зварювальн!M565</f>
        <v>0</v>
      </c>
      <c r="F565" s="886">
        <f>дератизац.!I565</f>
        <v>0</v>
      </c>
      <c r="G565" s="886">
        <f>димоканал!R565</f>
        <v>8.964405886577835E-2</v>
      </c>
      <c r="H565" s="886">
        <f>'підготовка до зими'!M565+майстерні!M565+маляри!M565+покрівлі!O565</f>
        <v>0.24009926513639929</v>
      </c>
      <c r="I565" s="886">
        <f>електрики!R565</f>
        <v>2.8866088142292017E-2</v>
      </c>
      <c r="J565" s="989">
        <f t="shared" si="66"/>
        <v>0.35860941214446967</v>
      </c>
      <c r="K565" s="989">
        <v>9.2328761482687715E-3</v>
      </c>
      <c r="L565" s="994">
        <f t="shared" si="71"/>
        <v>0.36784228829273846</v>
      </c>
      <c r="M565" s="994">
        <f t="shared" si="68"/>
        <v>0.44141074595128615</v>
      </c>
      <c r="N565" s="995">
        <v>1</v>
      </c>
      <c r="O565" s="1009">
        <v>0.38039449730867342</v>
      </c>
      <c r="P565" s="22">
        <f t="shared" si="69"/>
        <v>6.1016248642612736E-2</v>
      </c>
      <c r="Q565" s="982">
        <f t="shared" si="70"/>
        <v>16.04025533342579</v>
      </c>
      <c r="R565" s="6"/>
      <c r="S565" s="6"/>
      <c r="T565" s="6"/>
      <c r="U565" s="6"/>
      <c r="V565" s="6"/>
      <c r="W565" s="6"/>
      <c r="X565" s="6"/>
      <c r="Y565" s="6"/>
      <c r="Z565" s="6"/>
    </row>
    <row r="566" spans="1:26" s="93" customFormat="1" ht="15.75">
      <c r="A566" s="894">
        <v>30</v>
      </c>
      <c r="B566" s="233" t="s">
        <v>275</v>
      </c>
      <c r="C566" s="886">
        <f>cходова!R566</f>
        <v>0</v>
      </c>
      <c r="D566" s="886">
        <f>прибуд.!O566</f>
        <v>0</v>
      </c>
      <c r="E566" s="886">
        <f>гар.вода!M566+хол.вода!Q566+ц.о.!M566+каналізація!Q566+аварійні!I566+зварювальн!M566</f>
        <v>0.20161447772870814</v>
      </c>
      <c r="F566" s="886">
        <f>дератизац.!I566</f>
        <v>0</v>
      </c>
      <c r="G566" s="886">
        <f>димоканал!R566</f>
        <v>8.7672828361646499E-2</v>
      </c>
      <c r="H566" s="886">
        <f>'підготовка до зими'!M566+майстерні!M566+маляри!M566+покрівлі!O566</f>
        <v>0.21358826634024869</v>
      </c>
      <c r="I566" s="886">
        <f>електрики!R566</f>
        <v>1.9766624701923696E-2</v>
      </c>
      <c r="J566" s="989">
        <f t="shared" si="66"/>
        <v>0.52264219713252702</v>
      </c>
      <c r="K566" s="989">
        <v>1.364825629857622E-2</v>
      </c>
      <c r="L566" s="994">
        <f t="shared" si="71"/>
        <v>0.53629045343110326</v>
      </c>
      <c r="M566" s="994">
        <f t="shared" si="68"/>
        <v>0.64354854411732387</v>
      </c>
      <c r="N566" s="995">
        <v>2</v>
      </c>
      <c r="O566" s="1009">
        <v>0.56230815950134028</v>
      </c>
      <c r="P566" s="22">
        <f t="shared" si="69"/>
        <v>8.1240384615983596E-2</v>
      </c>
      <c r="Q566" s="982">
        <f t="shared" si="70"/>
        <v>14.447662414863103</v>
      </c>
      <c r="R566" s="6"/>
      <c r="S566" s="6"/>
      <c r="T566" s="6"/>
      <c r="U566" s="6"/>
      <c r="V566" s="6"/>
      <c r="W566" s="6"/>
      <c r="X566" s="6"/>
      <c r="Y566" s="6"/>
      <c r="Z566" s="6"/>
    </row>
    <row r="567" spans="1:26" s="93" customFormat="1" ht="15.75">
      <c r="A567" s="894">
        <v>31</v>
      </c>
      <c r="B567" s="233" t="s">
        <v>276</v>
      </c>
      <c r="C567" s="886">
        <f>cходова!R567</f>
        <v>0</v>
      </c>
      <c r="D567" s="886">
        <f>прибуд.!O567</f>
        <v>0</v>
      </c>
      <c r="E567" s="886">
        <v>0</v>
      </c>
      <c r="F567" s="886">
        <f>дератизац.!I567</f>
        <v>0</v>
      </c>
      <c r="G567" s="886">
        <f>димоканал!R567</f>
        <v>7.7517974104016035E-2</v>
      </c>
      <c r="H567" s="886">
        <f>'підготовка до зими'!M567+майстерні!M567+маляри!M567+покрівлі!O567</f>
        <v>0.23192240361153399</v>
      </c>
      <c r="I567" s="886">
        <f>електрики!R567</f>
        <v>1.4170003207015775E-2</v>
      </c>
      <c r="J567" s="989">
        <f t="shared" si="66"/>
        <v>0.32361038092256578</v>
      </c>
      <c r="K567" s="989">
        <v>8.3198039260082759E-3</v>
      </c>
      <c r="L567" s="994">
        <f t="shared" si="71"/>
        <v>0.33193018484857406</v>
      </c>
      <c r="M567" s="994">
        <f t="shared" si="68"/>
        <v>0.39831622181828885</v>
      </c>
      <c r="N567" s="995">
        <v>1</v>
      </c>
      <c r="O567" s="1009">
        <v>0.34277592175154098</v>
      </c>
      <c r="P567" s="22">
        <f t="shared" si="69"/>
        <v>5.5540300066747872E-2</v>
      </c>
      <c r="Q567" s="982">
        <f t="shared" si="70"/>
        <v>16.20309261599941</v>
      </c>
      <c r="R567" s="6"/>
      <c r="S567" s="6"/>
      <c r="T567" s="6"/>
      <c r="U567" s="6"/>
      <c r="V567" s="6"/>
      <c r="W567" s="6"/>
      <c r="X567" s="6"/>
      <c r="Y567" s="6"/>
      <c r="Z567" s="6"/>
    </row>
    <row r="568" spans="1:26" s="93" customFormat="1" ht="15.75">
      <c r="A568" s="894">
        <v>32</v>
      </c>
      <c r="B568" s="233" t="s">
        <v>277</v>
      </c>
      <c r="C568" s="886">
        <f>cходова!R568</f>
        <v>0</v>
      </c>
      <c r="D568" s="886">
        <f>прибуд.!O568</f>
        <v>0</v>
      </c>
      <c r="E568" s="886">
        <f>гар.вода!M568+хол.вода!Q568+ц.о.!M568+каналізація!Q568+аварійні!I568+зварювальн!M568</f>
        <v>0</v>
      </c>
      <c r="F568" s="886">
        <f>дератизац.!I568</f>
        <v>0</v>
      </c>
      <c r="G568" s="886">
        <f>димоканал!R568</f>
        <v>0</v>
      </c>
      <c r="H568" s="886">
        <f>'підготовка до зими'!M568+майстерні!M568+маляри!M568+покрівлі!O568</f>
        <v>0.24470701940135842</v>
      </c>
      <c r="I568" s="886">
        <f>електрики!R568</f>
        <v>3.0901312518511203E-2</v>
      </c>
      <c r="J568" s="989">
        <f t="shared" si="66"/>
        <v>0.27560833191986961</v>
      </c>
      <c r="K568" s="989">
        <v>6.9923047700891725E-3</v>
      </c>
      <c r="L568" s="994">
        <f t="shared" si="71"/>
        <v>0.28260063668995877</v>
      </c>
      <c r="M568" s="994">
        <f t="shared" si="68"/>
        <v>0.33912076402795049</v>
      </c>
      <c r="N568" s="995">
        <v>1</v>
      </c>
      <c r="O568" s="1009">
        <v>0.28808295652767391</v>
      </c>
      <c r="P568" s="22">
        <f t="shared" si="69"/>
        <v>5.1037807500276589E-2</v>
      </c>
      <c r="Q568" s="982">
        <f t="shared" si="70"/>
        <v>17.716357855892028</v>
      </c>
      <c r="R568" s="6"/>
      <c r="S568" s="6"/>
      <c r="T568" s="6"/>
      <c r="U568" s="6"/>
      <c r="V568" s="6"/>
      <c r="W568" s="6"/>
      <c r="X568" s="6"/>
      <c r="Y568" s="6"/>
      <c r="Z568" s="6"/>
    </row>
    <row r="569" spans="1:26" s="93" customFormat="1" ht="15.75">
      <c r="A569" s="894">
        <v>33</v>
      </c>
      <c r="B569" s="233" t="s">
        <v>278</v>
      </c>
      <c r="C569" s="886">
        <f>cходова!R569</f>
        <v>0</v>
      </c>
      <c r="D569" s="886">
        <f>прибуд.!O569</f>
        <v>0</v>
      </c>
      <c r="E569" s="886">
        <v>0</v>
      </c>
      <c r="F569" s="886">
        <f>дератизац.!I569</f>
        <v>0</v>
      </c>
      <c r="G569" s="886">
        <f>димоканал!R569</f>
        <v>2.7614269414800097E-2</v>
      </c>
      <c r="H569" s="886">
        <f>'підготовка до зими'!M569+майстерні!M569+маляри!M569+покрівлі!O569</f>
        <v>0.33809454028006036</v>
      </c>
      <c r="I569" s="886">
        <f>електрики!R569</f>
        <v>2.1971563152925682E-2</v>
      </c>
      <c r="J569" s="989">
        <f t="shared" si="66"/>
        <v>0.38768037284778617</v>
      </c>
      <c r="K569" s="989">
        <v>9.8910803773040665E-3</v>
      </c>
      <c r="L569" s="994">
        <f t="shared" si="71"/>
        <v>0.39757145322509024</v>
      </c>
      <c r="M569" s="994">
        <f t="shared" si="68"/>
        <v>0.47708574387010827</v>
      </c>
      <c r="N569" s="995">
        <v>1</v>
      </c>
      <c r="O569" s="1009">
        <v>0.40751251154492757</v>
      </c>
      <c r="P569" s="22">
        <f t="shared" si="69"/>
        <v>6.9573232325180701E-2</v>
      </c>
      <c r="Q569" s="982">
        <f t="shared" si="70"/>
        <v>17.072661661704672</v>
      </c>
      <c r="R569" s="6"/>
      <c r="S569" s="6"/>
      <c r="T569" s="6"/>
      <c r="U569" s="6"/>
      <c r="V569" s="6"/>
      <c r="W569" s="6"/>
      <c r="X569" s="6"/>
      <c r="Y569" s="6"/>
      <c r="Z569" s="6"/>
    </row>
    <row r="570" spans="1:26" s="93" customFormat="1" ht="15.75">
      <c r="A570" s="894">
        <v>34</v>
      </c>
      <c r="B570" s="233" t="s">
        <v>279</v>
      </c>
      <c r="C570" s="886">
        <f>cходова!R570</f>
        <v>0</v>
      </c>
      <c r="D570" s="886">
        <f>прибуд.!O570</f>
        <v>0</v>
      </c>
      <c r="E570" s="886">
        <v>0</v>
      </c>
      <c r="F570" s="886">
        <f>дератизац.!I570</f>
        <v>0</v>
      </c>
      <c r="G570" s="886">
        <f>димоканал!R570</f>
        <v>4.2725021916908981E-2</v>
      </c>
      <c r="H570" s="886">
        <f>'підготовка до зими'!M570+майстерні!M570+маляри!M570+покрівлі!O570</f>
        <v>0.24124596410314453</v>
      </c>
      <c r="I570" s="886">
        <f>електрики!R570</f>
        <v>1.6997290479725247E-2</v>
      </c>
      <c r="J570" s="989">
        <f t="shared" si="66"/>
        <v>0.30096827649977875</v>
      </c>
      <c r="K570" s="989">
        <v>7.6989487146133639E-3</v>
      </c>
      <c r="L570" s="994">
        <f t="shared" si="71"/>
        <v>0.3086672252143921</v>
      </c>
      <c r="M570" s="994">
        <f t="shared" si="68"/>
        <v>0.37040067025727053</v>
      </c>
      <c r="N570" s="995">
        <v>1</v>
      </c>
      <c r="O570" s="1009">
        <v>0.31719668704207055</v>
      </c>
      <c r="P570" s="22">
        <f t="shared" si="69"/>
        <v>5.3203983215199979E-2</v>
      </c>
      <c r="Q570" s="982">
        <f t="shared" si="70"/>
        <v>16.773183765359875</v>
      </c>
      <c r="R570" s="6"/>
      <c r="S570" s="6"/>
      <c r="T570" s="6"/>
      <c r="U570" s="6"/>
      <c r="V570" s="6"/>
      <c r="W570" s="6"/>
      <c r="X570" s="6"/>
      <c r="Y570" s="6"/>
      <c r="Z570" s="6"/>
    </row>
    <row r="571" spans="1:26" s="93" customFormat="1" ht="15.75">
      <c r="A571" s="894">
        <v>35</v>
      </c>
      <c r="B571" s="233" t="s">
        <v>280</v>
      </c>
      <c r="C571" s="886">
        <f>cходова!R571</f>
        <v>0</v>
      </c>
      <c r="D571" s="886">
        <f>прибуд.!O571</f>
        <v>0</v>
      </c>
      <c r="E571" s="886">
        <v>0</v>
      </c>
      <c r="F571" s="886">
        <f>дератизац.!I571</f>
        <v>0</v>
      </c>
      <c r="G571" s="886">
        <f>димоканал!R571</f>
        <v>4.5057972792457546E-2</v>
      </c>
      <c r="H571" s="886">
        <f>'підготовка до зими'!M571+майстерні!M571+маляри!M571+покрівлі!O571</f>
        <v>0.25247663690827726</v>
      </c>
      <c r="I571" s="886">
        <f>електрики!R571</f>
        <v>1.7925408054099968E-2</v>
      </c>
      <c r="J571" s="989">
        <f t="shared" si="66"/>
        <v>0.31546001775483479</v>
      </c>
      <c r="K571" s="989">
        <v>8.0714618665073644E-3</v>
      </c>
      <c r="L571" s="994">
        <f t="shared" si="71"/>
        <v>0.32353147962134216</v>
      </c>
      <c r="M571" s="994">
        <f t="shared" si="68"/>
        <v>0.38823777554561056</v>
      </c>
      <c r="N571" s="995">
        <v>2</v>
      </c>
      <c r="O571" s="1009">
        <v>0.33254422890010343</v>
      </c>
      <c r="P571" s="22">
        <f t="shared" si="69"/>
        <v>5.569354664550713E-2</v>
      </c>
      <c r="Q571" s="982">
        <f t="shared" si="70"/>
        <v>16.74771107281417</v>
      </c>
      <c r="R571" s="6"/>
      <c r="S571" s="6"/>
      <c r="T571" s="6"/>
      <c r="U571" s="6"/>
      <c r="V571" s="6"/>
      <c r="W571" s="6"/>
      <c r="X571" s="6"/>
      <c r="Y571" s="6"/>
      <c r="Z571" s="6"/>
    </row>
    <row r="572" spans="1:26" s="93" customFormat="1" ht="15.75">
      <c r="A572" s="894">
        <v>36</v>
      </c>
      <c r="B572" s="233" t="s">
        <v>281</v>
      </c>
      <c r="C572" s="886">
        <f>cходова!R572</f>
        <v>0</v>
      </c>
      <c r="D572" s="886">
        <f>прибуд.!O572</f>
        <v>0</v>
      </c>
      <c r="E572" s="886">
        <v>0</v>
      </c>
      <c r="F572" s="886">
        <f>дератизац.!I572</f>
        <v>0</v>
      </c>
      <c r="G572" s="886">
        <f>димоканал!R572</f>
        <v>4.5398216384202099E-2</v>
      </c>
      <c r="H572" s="886">
        <f>'підготовка до зими'!M572+майстерні!M572+маляри!M572+покрівлі!O572</f>
        <v>0.23044543195482595</v>
      </c>
      <c r="I572" s="886">
        <f>електрики!R572</f>
        <v>1.1186271740499788E-2</v>
      </c>
      <c r="J572" s="989">
        <f t="shared" si="66"/>
        <v>0.28702992007952782</v>
      </c>
      <c r="K572" s="989">
        <v>7.3590508174687054E-3</v>
      </c>
      <c r="L572" s="994">
        <f t="shared" si="71"/>
        <v>0.2943889708969965</v>
      </c>
      <c r="M572" s="994">
        <f t="shared" si="68"/>
        <v>0.35326676507639582</v>
      </c>
      <c r="N572" s="995">
        <v>1</v>
      </c>
      <c r="O572" s="1009">
        <v>0.3031928936797107</v>
      </c>
      <c r="P572" s="22">
        <f t="shared" si="69"/>
        <v>5.0073871396685121E-2</v>
      </c>
      <c r="Q572" s="982">
        <f t="shared" si="70"/>
        <v>16.51551617485552</v>
      </c>
      <c r="R572" s="6"/>
      <c r="S572" s="6"/>
      <c r="T572" s="6"/>
      <c r="U572" s="6"/>
      <c r="V572" s="6"/>
      <c r="W572" s="6"/>
      <c r="X572" s="6"/>
      <c r="Y572" s="6"/>
      <c r="Z572" s="6"/>
    </row>
    <row r="573" spans="1:26" s="93" customFormat="1" ht="15.75">
      <c r="A573" s="894">
        <v>37</v>
      </c>
      <c r="B573" s="233" t="s">
        <v>282</v>
      </c>
      <c r="C573" s="886">
        <f>cходова!R573</f>
        <v>0</v>
      </c>
      <c r="D573" s="886">
        <f>прибуд.!O573</f>
        <v>0</v>
      </c>
      <c r="E573" s="886">
        <f>гар.вода!M573+хол.вода!Q573+ц.о.!M573+каналізація!Q573+аварійні!I573+зварювальн!M573</f>
        <v>0.19895655244941457</v>
      </c>
      <c r="F573" s="886">
        <f>дератизац.!I573</f>
        <v>0</v>
      </c>
      <c r="G573" s="886">
        <f>димоканал!R573</f>
        <v>9.7135941346001953E-2</v>
      </c>
      <c r="H573" s="886">
        <f>'підготовка до зими'!M573+майстерні!M573+маляри!M573+покрівлі!O573</f>
        <v>0.18393224167308203</v>
      </c>
      <c r="I573" s="886">
        <f>електрики!R573</f>
        <v>1.9321790101014851E-2</v>
      </c>
      <c r="J573" s="989">
        <f t="shared" si="66"/>
        <v>0.49934652556951342</v>
      </c>
      <c r="K573" s="989">
        <v>1.3044606756526474E-2</v>
      </c>
      <c r="L573" s="994">
        <f t="shared" si="71"/>
        <v>0.51239113232603994</v>
      </c>
      <c r="M573" s="994">
        <f t="shared" si="68"/>
        <v>0.61486935879124793</v>
      </c>
      <c r="N573" s="995">
        <v>1</v>
      </c>
      <c r="O573" s="1009">
        <v>0.53743779836889072</v>
      </c>
      <c r="P573" s="22">
        <f t="shared" si="69"/>
        <v>7.7431560422357215E-2</v>
      </c>
      <c r="Q573" s="982">
        <f t="shared" si="70"/>
        <v>14.407539004022411</v>
      </c>
      <c r="R573" s="6"/>
      <c r="S573" s="6"/>
      <c r="T573" s="6"/>
      <c r="U573" s="6"/>
      <c r="V573" s="6"/>
      <c r="W573" s="6"/>
      <c r="X573" s="6"/>
      <c r="Y573" s="6"/>
      <c r="Z573" s="6"/>
    </row>
    <row r="574" spans="1:26" s="93" customFormat="1" ht="15.75">
      <c r="A574" s="894">
        <v>38</v>
      </c>
      <c r="B574" s="233" t="s">
        <v>283</v>
      </c>
      <c r="C574" s="886">
        <f>cходова!R574</f>
        <v>0</v>
      </c>
      <c r="D574" s="886">
        <f>прибуд.!O574</f>
        <v>0</v>
      </c>
      <c r="E574" s="886">
        <f>гар.вода!M574+хол.вода!Q574+ц.о.!M574+каналізація!Q574+аварійні!I574+зварювальн!M574</f>
        <v>0.13480814619097775</v>
      </c>
      <c r="F574" s="886">
        <f>дератизац.!I574</f>
        <v>0</v>
      </c>
      <c r="G574" s="886">
        <f>димоканал!R574</f>
        <v>5.1413160355584783E-2</v>
      </c>
      <c r="H574" s="886">
        <f>'підготовка до зими'!M574+майстерні!M574+маляри!M574+покрівлі!O574</f>
        <v>0.19297370715927287</v>
      </c>
      <c r="I574" s="886">
        <f>електрики!R574</f>
        <v>8.5858108320663439E-3</v>
      </c>
      <c r="J574" s="989">
        <f t="shared" si="66"/>
        <v>0.38778082453790175</v>
      </c>
      <c r="K574" s="989">
        <v>1.0192709215931297E-2</v>
      </c>
      <c r="L574" s="994">
        <f t="shared" si="71"/>
        <v>0.39797353375383304</v>
      </c>
      <c r="M574" s="994">
        <f t="shared" si="68"/>
        <v>0.47756824050459962</v>
      </c>
      <c r="N574" s="995">
        <v>1</v>
      </c>
      <c r="O574" s="1009">
        <v>0.41993961969636945</v>
      </c>
      <c r="P574" s="22">
        <f t="shared" si="69"/>
        <v>5.7628620808230169E-2</v>
      </c>
      <c r="Q574" s="982">
        <f t="shared" si="70"/>
        <v>13.723073057478501</v>
      </c>
      <c r="R574" s="6"/>
      <c r="S574" s="6"/>
      <c r="T574" s="6"/>
      <c r="U574" s="6"/>
      <c r="V574" s="6"/>
      <c r="W574" s="6"/>
      <c r="X574" s="6"/>
      <c r="Y574" s="6"/>
      <c r="Z574" s="6"/>
    </row>
    <row r="575" spans="1:26" s="93" customFormat="1" ht="15.75">
      <c r="A575" s="894">
        <v>39</v>
      </c>
      <c r="B575" s="233" t="s">
        <v>284</v>
      </c>
      <c r="C575" s="886">
        <f>cходова!R575</f>
        <v>0</v>
      </c>
      <c r="D575" s="886">
        <f>прибуд.!O575</f>
        <v>0</v>
      </c>
      <c r="E575" s="886">
        <f>гар.вода!M575+хол.вода!Q575+ц.о.!M575+каналізація!Q575+аварійні!I575+зварювальн!M575</f>
        <v>0.15695569874337134</v>
      </c>
      <c r="F575" s="886">
        <f>дератизац.!I575</f>
        <v>0</v>
      </c>
      <c r="G575" s="886">
        <f>димоканал!R575</f>
        <v>5.4521942453975479E-2</v>
      </c>
      <c r="H575" s="886">
        <f>'підготовка до зими'!M575+майстерні!M575+маляри!M575+покрівлі!O575</f>
        <v>0.23722863192161428</v>
      </c>
      <c r="I575" s="886">
        <f>електрики!R575</f>
        <v>1.2292460442385736E-2</v>
      </c>
      <c r="J575" s="989">
        <f t="shared" si="66"/>
        <v>0.46099873356134685</v>
      </c>
      <c r="K575" s="989">
        <v>1.2053849420910687E-2</v>
      </c>
      <c r="L575" s="994">
        <f t="shared" si="71"/>
        <v>0.47305258298225755</v>
      </c>
      <c r="M575" s="994">
        <f t="shared" si="68"/>
        <v>0.56766309957870908</v>
      </c>
      <c r="N575" s="995">
        <v>2</v>
      </c>
      <c r="O575" s="1009">
        <v>0.49661859614152032</v>
      </c>
      <c r="P575" s="22">
        <f t="shared" si="69"/>
        <v>7.1044503437188766E-2</v>
      </c>
      <c r="Q575" s="982">
        <f t="shared" si="70"/>
        <v>14.305647027551771</v>
      </c>
      <c r="R575" s="6"/>
      <c r="S575" s="6"/>
      <c r="T575" s="6"/>
      <c r="U575" s="6"/>
      <c r="V575" s="6"/>
      <c r="W575" s="6"/>
      <c r="X575" s="6"/>
      <c r="Y575" s="6"/>
      <c r="Z575" s="6"/>
    </row>
    <row r="576" spans="1:26" s="93" customFormat="1" ht="15.75">
      <c r="A576" s="894">
        <v>40</v>
      </c>
      <c r="B576" s="233" t="s">
        <v>285</v>
      </c>
      <c r="C576" s="886">
        <f>cходова!R576</f>
        <v>0</v>
      </c>
      <c r="D576" s="886">
        <f>прибуд.!O576</f>
        <v>0</v>
      </c>
      <c r="E576" s="886">
        <f>гар.вода!M576+хол.вода!Q576+ц.о.!M576+каналізація!Q576+аварійні!I576+зварювальн!M576</f>
        <v>0.16880465785784599</v>
      </c>
      <c r="F576" s="886">
        <f>дератизац.!I576</f>
        <v>0</v>
      </c>
      <c r="G576" s="886">
        <f>димоканал!R576</f>
        <v>5.2343954645848317E-2</v>
      </c>
      <c r="H576" s="886">
        <f>'підготовка до зими'!M576+майстерні!M576+маляри!M576+покрівлі!O576</f>
        <v>0.14890149178605208</v>
      </c>
      <c r="I576" s="886">
        <f>електрики!R576</f>
        <v>1.4275521079919315E-2</v>
      </c>
      <c r="J576" s="989">
        <f t="shared" si="66"/>
        <v>0.38432562536966569</v>
      </c>
      <c r="K576" s="989">
        <v>1.0089966046779945E-2</v>
      </c>
      <c r="L576" s="994">
        <f t="shared" si="71"/>
        <v>0.39441559141644561</v>
      </c>
      <c r="M576" s="994">
        <f t="shared" si="68"/>
        <v>0.4732987096997347</v>
      </c>
      <c r="N576" s="995">
        <v>1</v>
      </c>
      <c r="O576" s="1009">
        <v>0.41570660112733376</v>
      </c>
      <c r="P576" s="22">
        <f t="shared" si="69"/>
        <v>5.7592108572400935E-2</v>
      </c>
      <c r="Q576" s="982">
        <f t="shared" si="70"/>
        <v>13.85402791685766</v>
      </c>
      <c r="R576" s="6"/>
      <c r="S576" s="6"/>
      <c r="T576" s="6"/>
      <c r="U576" s="6"/>
      <c r="V576" s="6"/>
      <c r="W576" s="6"/>
      <c r="X576" s="6"/>
      <c r="Y576" s="6"/>
      <c r="Z576" s="6"/>
    </row>
    <row r="577" spans="1:26" s="93" customFormat="1" ht="15.75">
      <c r="A577" s="894">
        <v>41</v>
      </c>
      <c r="B577" s="233" t="s">
        <v>286</v>
      </c>
      <c r="C577" s="886">
        <f>cходова!R577</f>
        <v>0</v>
      </c>
      <c r="D577" s="886">
        <f>прибуд.!O577</f>
        <v>0</v>
      </c>
      <c r="E577" s="886">
        <f>гар.вода!M577+хол.вода!Q577+ц.о.!M577+каналізація!Q577+аварійні!I577+зварювальн!M577</f>
        <v>0.18782092501595271</v>
      </c>
      <c r="F577" s="886">
        <f>дератизац.!I577</f>
        <v>0</v>
      </c>
      <c r="G577" s="886">
        <f>димоканал!R577</f>
        <v>8.7766729068102914E-2</v>
      </c>
      <c r="H577" s="886">
        <f>'підготовка до зими'!M577+майстерні!M577+маляри!M577+покрівлі!O577</f>
        <v>0.22533665162151162</v>
      </c>
      <c r="I577" s="886">
        <f>електрики!R577</f>
        <v>1.7458113787830416E-2</v>
      </c>
      <c r="J577" s="989">
        <f t="shared" si="66"/>
        <v>0.51838241949339769</v>
      </c>
      <c r="K577" s="989">
        <v>1.3550554915275804E-2</v>
      </c>
      <c r="L577" s="994">
        <f t="shared" si="71"/>
        <v>0.53193297440867349</v>
      </c>
      <c r="M577" s="994">
        <f t="shared" si="68"/>
        <v>0.63831956929040812</v>
      </c>
      <c r="N577" s="995">
        <v>1</v>
      </c>
      <c r="O577" s="1009">
        <v>0.5582828625093631</v>
      </c>
      <c r="P577" s="22">
        <f t="shared" si="69"/>
        <v>8.0036706781045019E-2</v>
      </c>
      <c r="Q577" s="982">
        <f t="shared" si="70"/>
        <v>14.33622848842198</v>
      </c>
      <c r="R577" s="6"/>
      <c r="S577" s="6"/>
      <c r="T577" s="6"/>
      <c r="U577" s="6"/>
      <c r="V577" s="6"/>
      <c r="W577" s="6"/>
      <c r="X577" s="6"/>
      <c r="Y577" s="6"/>
      <c r="Z577" s="6"/>
    </row>
    <row r="578" spans="1:26" s="93" customFormat="1" ht="15.75">
      <c r="A578" s="894">
        <v>42</v>
      </c>
      <c r="B578" s="233" t="s">
        <v>287</v>
      </c>
      <c r="C578" s="886">
        <f>cходова!R578</f>
        <v>0.57885251599327137</v>
      </c>
      <c r="D578" s="886">
        <f>прибуд.!O578</f>
        <v>0.47815972836658527</v>
      </c>
      <c r="E578" s="886">
        <f>гар.вода!M578+хол.вода!Q578+ц.о.!M578+каналізація!Q578+аварійні!I578+зварювальн!M578</f>
        <v>0.31593863528416505</v>
      </c>
      <c r="F578" s="886">
        <f>дератизац.!I578</f>
        <v>1.5730948678071542E-3</v>
      </c>
      <c r="G578" s="886">
        <f>димоканал!R578</f>
        <v>1.7612810582530284E-2</v>
      </c>
      <c r="H578" s="886">
        <f>'підготовка до зими'!M578+майстерні!M578+маляри!M578+покрівлі!O578</f>
        <v>0.1083020918364991</v>
      </c>
      <c r="I578" s="886">
        <f>електрики!R578</f>
        <v>1.4878765716533545E-2</v>
      </c>
      <c r="J578" s="989">
        <f t="shared" si="66"/>
        <v>1.5153176426473918</v>
      </c>
      <c r="K578" s="989">
        <v>3.851228705355781E-2</v>
      </c>
      <c r="L578" s="994">
        <f t="shared" si="71"/>
        <v>1.5538299297009497</v>
      </c>
      <c r="M578" s="994">
        <f t="shared" si="68"/>
        <v>1.8645959156411396</v>
      </c>
      <c r="N578" s="995">
        <v>1</v>
      </c>
      <c r="O578" s="1009">
        <v>1.5867062266065819</v>
      </c>
      <c r="P578" s="22">
        <f t="shared" si="69"/>
        <v>0.27788968903455769</v>
      </c>
      <c r="Q578" s="982">
        <f t="shared" si="70"/>
        <v>17.513619369154938</v>
      </c>
      <c r="R578" s="6"/>
      <c r="S578" s="6"/>
      <c r="T578" s="6"/>
      <c r="U578" s="6"/>
      <c r="V578" s="6"/>
      <c r="W578" s="6"/>
      <c r="X578" s="6"/>
      <c r="Y578" s="6"/>
      <c r="Z578" s="6"/>
    </row>
    <row r="579" spans="1:26" s="93" customFormat="1" ht="15.75">
      <c r="A579" s="894">
        <v>43</v>
      </c>
      <c r="B579" s="233" t="s">
        <v>288</v>
      </c>
      <c r="C579" s="886">
        <f>cходова!R579</f>
        <v>0</v>
      </c>
      <c r="D579" s="886">
        <f>прибуд.!O579</f>
        <v>0</v>
      </c>
      <c r="E579" s="886">
        <f>гар.вода!M579+хол.вода!Q579+ц.о.!M579+каналізація!Q579+аварійні!I579+зварювальн!M579</f>
        <v>0.13458288922852446</v>
      </c>
      <c r="F579" s="886">
        <f>дератизац.!I579</f>
        <v>0</v>
      </c>
      <c r="G579" s="886">
        <f>димоканал!R579</f>
        <v>3.2230276668147158E-2</v>
      </c>
      <c r="H579" s="886">
        <f>'підготовка до зими'!M579+майстерні!M579+маляри!M579+покрівлі!O579</f>
        <v>0.16579392899723233</v>
      </c>
      <c r="I579" s="886">
        <f>електрики!R579</f>
        <v>8.5481114686660718E-3</v>
      </c>
      <c r="J579" s="989">
        <f t="shared" si="66"/>
        <v>0.34115520636257002</v>
      </c>
      <c r="K579" s="989">
        <v>8.979421394151945E-3</v>
      </c>
      <c r="L579" s="994">
        <f t="shared" si="71"/>
        <v>0.35013462775672194</v>
      </c>
      <c r="M579" s="994">
        <f t="shared" si="68"/>
        <v>0.42016155330806632</v>
      </c>
      <c r="N579" s="995">
        <v>1</v>
      </c>
      <c r="O579" s="1009">
        <v>0.36995216143906012</v>
      </c>
      <c r="P579" s="22">
        <f t="shared" si="69"/>
        <v>5.0209391869006192E-2</v>
      </c>
      <c r="Q579" s="982">
        <f t="shared" si="70"/>
        <v>13.571860662659446</v>
      </c>
      <c r="R579" s="6"/>
      <c r="S579" s="6"/>
      <c r="T579" s="6"/>
      <c r="U579" s="6"/>
      <c r="V579" s="6"/>
      <c r="W579" s="6"/>
      <c r="X579" s="6"/>
      <c r="Y579" s="6"/>
      <c r="Z579" s="6"/>
    </row>
    <row r="580" spans="1:26" s="93" customFormat="1" ht="15.75">
      <c r="A580" s="894">
        <v>44</v>
      </c>
      <c r="B580" s="233" t="s">
        <v>289</v>
      </c>
      <c r="C580" s="886">
        <f>cходова!R580</f>
        <v>0</v>
      </c>
      <c r="D580" s="886">
        <f>прибуд.!O580</f>
        <v>0</v>
      </c>
      <c r="E580" s="886">
        <f>гар.вода!M580+хол.вода!Q580+ц.о.!M580+каналізація!Q580+аварійні!I580+зварювальн!M580</f>
        <v>0.18489591129352442</v>
      </c>
      <c r="F580" s="886">
        <f>дератизац.!I580</f>
        <v>0</v>
      </c>
      <c r="G580" s="886">
        <f>димоканал!R580</f>
        <v>5.6870468362372091E-2</v>
      </c>
      <c r="H580" s="886">
        <f>'підготовка до зими'!M580+майстерні!M580+маляри!M580+покрівлі!O580</f>
        <v>0.2227843325820166</v>
      </c>
      <c r="I580" s="886">
        <f>електрики!R580</f>
        <v>1.6968578840401389E-2</v>
      </c>
      <c r="J580" s="989">
        <f t="shared" si="66"/>
        <v>0.48151929107831448</v>
      </c>
      <c r="K580" s="989">
        <v>1.2571606151601801E-2</v>
      </c>
      <c r="L580" s="994">
        <f t="shared" si="71"/>
        <v>0.49409089722991628</v>
      </c>
      <c r="M580" s="994">
        <f t="shared" si="68"/>
        <v>0.59290907667589954</v>
      </c>
      <c r="N580" s="995">
        <v>1</v>
      </c>
      <c r="O580" s="1009">
        <v>0.51795017344599414</v>
      </c>
      <c r="P580" s="22">
        <f t="shared" si="69"/>
        <v>7.4958903229905394E-2</v>
      </c>
      <c r="Q580" s="982">
        <f t="shared" si="70"/>
        <v>14.472222826221582</v>
      </c>
      <c r="R580" s="6"/>
      <c r="S580" s="6"/>
      <c r="T580" s="6"/>
      <c r="U580" s="6"/>
      <c r="V580" s="6"/>
      <c r="W580" s="6"/>
      <c r="X580" s="6"/>
      <c r="Y580" s="6"/>
      <c r="Z580" s="6"/>
    </row>
    <row r="581" spans="1:26" s="93" customFormat="1" ht="15.75">
      <c r="A581" s="894">
        <v>45</v>
      </c>
      <c r="B581" s="233" t="s">
        <v>290</v>
      </c>
      <c r="C581" s="886">
        <f>cходова!R581</f>
        <v>0</v>
      </c>
      <c r="D581" s="886">
        <f>прибуд.!O581</f>
        <v>0</v>
      </c>
      <c r="E581" s="886">
        <v>0</v>
      </c>
      <c r="F581" s="886">
        <f>дератизац.!I581</f>
        <v>0</v>
      </c>
      <c r="G581" s="886">
        <f>димоканал!R581</f>
        <v>0.11229925707312968</v>
      </c>
      <c r="H581" s="886">
        <f>'підготовка до зими'!M581+майстерні!M581+маляри!M581+покрівлі!O581</f>
        <v>0.27666984000068495</v>
      </c>
      <c r="I581" s="886">
        <f>електрики!R581</f>
        <v>2.2338000163481482E-2</v>
      </c>
      <c r="J581" s="989">
        <f t="shared" si="66"/>
        <v>0.41130709723729608</v>
      </c>
      <c r="K581" s="989">
        <v>1.0601839499143333E-2</v>
      </c>
      <c r="L581" s="994">
        <f t="shared" si="71"/>
        <v>0.42190893673643942</v>
      </c>
      <c r="M581" s="994">
        <f t="shared" si="68"/>
        <v>0.50629072408372733</v>
      </c>
      <c r="N581" s="995">
        <v>2</v>
      </c>
      <c r="O581" s="1009">
        <v>0.43679578736470531</v>
      </c>
      <c r="P581" s="22">
        <f t="shared" si="69"/>
        <v>6.9494936719022016E-2</v>
      </c>
      <c r="Q581" s="982">
        <f t="shared" si="70"/>
        <v>15.910166427726296</v>
      </c>
      <c r="R581" s="6"/>
      <c r="S581" s="6"/>
      <c r="T581" s="6"/>
      <c r="U581" s="6"/>
      <c r="V581" s="6"/>
      <c r="W581" s="6"/>
      <c r="X581" s="6"/>
      <c r="Y581" s="6"/>
      <c r="Z581" s="6"/>
    </row>
    <row r="582" spans="1:26" s="93" customFormat="1" ht="15.75">
      <c r="A582" s="894">
        <v>46</v>
      </c>
      <c r="B582" s="233" t="s">
        <v>291</v>
      </c>
      <c r="C582" s="886">
        <f>cходова!R582</f>
        <v>0</v>
      </c>
      <c r="D582" s="886">
        <f>прибуд.!O582</f>
        <v>0</v>
      </c>
      <c r="E582" s="886">
        <f>гар.вода!M582+хол.вода!Q582+ц.о.!M582+каналізація!Q582+аварійні!I582+зварювальн!M582</f>
        <v>0.19809696378520622</v>
      </c>
      <c r="F582" s="886">
        <f>дератизац.!I582</f>
        <v>0</v>
      </c>
      <c r="G582" s="886">
        <f>димоканал!R582</f>
        <v>4.8206353480132129E-2</v>
      </c>
      <c r="H582" s="886">
        <f>'підготовка до зими'!M582+майстерні!M582+маляри!M582+покрівлі!O582</f>
        <v>0.21825926452516525</v>
      </c>
      <c r="I582" s="886">
        <f>електрики!R582</f>
        <v>1.9177927975405924E-2</v>
      </c>
      <c r="J582" s="989">
        <f t="shared" si="66"/>
        <v>0.48374050976590954</v>
      </c>
      <c r="K582" s="989">
        <v>1.2611565439935654E-2</v>
      </c>
      <c r="L582" s="994">
        <f t="shared" si="71"/>
        <v>0.49635207520584518</v>
      </c>
      <c r="M582" s="994">
        <f t="shared" si="68"/>
        <v>0.59562249024701419</v>
      </c>
      <c r="N582" s="995">
        <v>1</v>
      </c>
      <c r="O582" s="1009">
        <v>0.51959649612534897</v>
      </c>
      <c r="P582" s="22">
        <f t="shared" si="69"/>
        <v>7.6025994121665219E-2</v>
      </c>
      <c r="Q582" s="982">
        <f t="shared" si="70"/>
        <v>14.631737259314477</v>
      </c>
      <c r="R582" s="6"/>
      <c r="S582" s="6"/>
      <c r="T582" s="6"/>
      <c r="U582" s="6"/>
      <c r="V582" s="6"/>
      <c r="W582" s="6"/>
      <c r="X582" s="6"/>
      <c r="Y582" s="6"/>
      <c r="Z582" s="6"/>
    </row>
    <row r="583" spans="1:26" s="93" customFormat="1" ht="15.75">
      <c r="A583" s="894">
        <v>47</v>
      </c>
      <c r="B583" s="233" t="s">
        <v>292</v>
      </c>
      <c r="C583" s="886">
        <f>cходова!R583</f>
        <v>0</v>
      </c>
      <c r="D583" s="886">
        <f>прибуд.!O583</f>
        <v>0</v>
      </c>
      <c r="E583" s="886">
        <f>гар.вода!M583+хол.вода!Q583+ц.о.!M583+каналізація!Q583+аварійні!I583+зварювальн!M583</f>
        <v>0.19153836939918928</v>
      </c>
      <c r="F583" s="886">
        <f>дератизац.!I583</f>
        <v>0</v>
      </c>
      <c r="G583" s="886">
        <f>димоканал!R583</f>
        <v>9.0894485071609826E-2</v>
      </c>
      <c r="H583" s="886">
        <f>'підготовка до зими'!M583+майстерні!M583+маляри!M583+покрівлі!O583</f>
        <v>0.22757326020372073</v>
      </c>
      <c r="I583" s="886">
        <f>електрики!R583</f>
        <v>1.808027119063647E-2</v>
      </c>
      <c r="J583" s="989">
        <f t="shared" si="66"/>
        <v>0.52808638586515633</v>
      </c>
      <c r="K583" s="989">
        <v>1.3800608868627601E-2</v>
      </c>
      <c r="L583" s="994">
        <f t="shared" si="71"/>
        <v>0.54188699473378388</v>
      </c>
      <c r="M583" s="994">
        <f t="shared" si="68"/>
        <v>0.65026439368054068</v>
      </c>
      <c r="N583" s="995">
        <v>1</v>
      </c>
      <c r="O583" s="1009">
        <v>0.56858508538745722</v>
      </c>
      <c r="P583" s="22">
        <f t="shared" si="69"/>
        <v>8.1679308293083452E-2</v>
      </c>
      <c r="Q583" s="982">
        <f t="shared" si="70"/>
        <v>14.365362439541272</v>
      </c>
      <c r="R583" s="6"/>
      <c r="S583" s="6"/>
      <c r="T583" s="6"/>
      <c r="U583" s="6"/>
      <c r="V583" s="6"/>
      <c r="W583" s="6"/>
      <c r="X583" s="6"/>
      <c r="Y583" s="6"/>
      <c r="Z583" s="6"/>
    </row>
    <row r="584" spans="1:26" s="93" customFormat="1" ht="15.75">
      <c r="A584" s="894">
        <v>48</v>
      </c>
      <c r="B584" s="233" t="s">
        <v>293</v>
      </c>
      <c r="C584" s="886">
        <f>cходова!R584</f>
        <v>0</v>
      </c>
      <c r="D584" s="886">
        <f>прибуд.!O584</f>
        <v>0</v>
      </c>
      <c r="E584" s="886">
        <v>0</v>
      </c>
      <c r="F584" s="886">
        <f>дератизац.!I584</f>
        <v>0</v>
      </c>
      <c r="G584" s="886">
        <f>димоканал!R584</f>
        <v>1.9008196290946407E-2</v>
      </c>
      <c r="H584" s="886">
        <f>'підготовка до зими'!M584+майстерні!M584+маляри!M584+покрівлі!O584</f>
        <v>0.24195241739573473</v>
      </c>
      <c r="I584" s="886">
        <f>електрики!R584</f>
        <v>1.5124057021255077E-2</v>
      </c>
      <c r="J584" s="989">
        <f t="shared" si="66"/>
        <v>0.27608467070793619</v>
      </c>
      <c r="K584" s="989">
        <v>7.0343041770576202E-3</v>
      </c>
      <c r="L584" s="994">
        <f t="shared" si="71"/>
        <v>0.28311897488499382</v>
      </c>
      <c r="M584" s="994">
        <f t="shared" si="68"/>
        <v>0.33974276986199259</v>
      </c>
      <c r="N584" s="995">
        <v>1</v>
      </c>
      <c r="O584" s="1009">
        <v>0.289813332094774</v>
      </c>
      <c r="P584" s="22">
        <f t="shared" si="69"/>
        <v>4.9929437767218587E-2</v>
      </c>
      <c r="Q584" s="982">
        <f t="shared" si="70"/>
        <v>17.228136955028276</v>
      </c>
      <c r="R584" s="6"/>
      <c r="S584" s="6"/>
      <c r="T584" s="6"/>
      <c r="U584" s="6"/>
      <c r="V584" s="6"/>
      <c r="W584" s="6"/>
      <c r="X584" s="6"/>
      <c r="Y584" s="6"/>
      <c r="Z584" s="6"/>
    </row>
    <row r="585" spans="1:26" s="93" customFormat="1" ht="15.75">
      <c r="A585" s="894">
        <v>49</v>
      </c>
      <c r="B585" s="233" t="s">
        <v>294</v>
      </c>
      <c r="C585" s="886">
        <f>cходова!R585</f>
        <v>0</v>
      </c>
      <c r="D585" s="886">
        <f>прибуд.!O585</f>
        <v>0</v>
      </c>
      <c r="E585" s="886">
        <f>гар.вода!M585+хол.вода!Q585+ц.о.!M585+каналізація!Q585+аварійні!I585+зварювальн!M585</f>
        <v>0.21061884584329277</v>
      </c>
      <c r="F585" s="886">
        <f>дератизац.!I585</f>
        <v>0</v>
      </c>
      <c r="G585" s="886">
        <f>димоканал!R585</f>
        <v>7.3915522370057149E-2</v>
      </c>
      <c r="H585" s="886">
        <f>'підготовка до зими'!M585+майстерні!M585+маляри!M585+покрівлі!O585</f>
        <v>0.25178935792170987</v>
      </c>
      <c r="I585" s="886">
        <f>електрики!R585</f>
        <v>2.1273610066746339E-2</v>
      </c>
      <c r="J585" s="989">
        <f t="shared" si="66"/>
        <v>0.55759733620180607</v>
      </c>
      <c r="K585" s="989">
        <v>1.4521293253970294E-2</v>
      </c>
      <c r="L585" s="994">
        <f t="shared" si="71"/>
        <v>0.57211862945577641</v>
      </c>
      <c r="M585" s="994">
        <f t="shared" si="68"/>
        <v>0.68654235534693164</v>
      </c>
      <c r="N585" s="995">
        <v>1</v>
      </c>
      <c r="O585" s="1009">
        <v>0.59827728206357622</v>
      </c>
      <c r="P585" s="22">
        <f t="shared" si="69"/>
        <v>8.8265073283355422E-2</v>
      </c>
      <c r="Q585" s="982">
        <f t="shared" si="70"/>
        <v>14.753204898389555</v>
      </c>
      <c r="R585" s="6"/>
      <c r="S585" s="6"/>
      <c r="T585" s="6"/>
      <c r="U585" s="6"/>
      <c r="V585" s="6"/>
      <c r="W585" s="6"/>
      <c r="X585" s="6"/>
      <c r="Y585" s="6"/>
      <c r="Z585" s="6"/>
    </row>
    <row r="586" spans="1:26" s="93" customFormat="1" ht="15.75">
      <c r="A586" s="894">
        <v>50</v>
      </c>
      <c r="B586" s="233" t="s">
        <v>295</v>
      </c>
      <c r="C586" s="886">
        <f>cходова!R586</f>
        <v>0</v>
      </c>
      <c r="D586" s="886">
        <f>прибуд.!O586</f>
        <v>0</v>
      </c>
      <c r="E586" s="886">
        <v>0</v>
      </c>
      <c r="F586" s="886">
        <f>дератизац.!I586</f>
        <v>0</v>
      </c>
      <c r="G586" s="886">
        <f>димоканал!R586</f>
        <v>5.5373877089678093E-2</v>
      </c>
      <c r="H586" s="886">
        <f>'підготовка до зими'!M586+майстерні!M586+маляри!M586+покрівлі!O586</f>
        <v>0.24456628005155714</v>
      </c>
      <c r="I586" s="886">
        <f>електрики!R586</f>
        <v>1.4686255370639799E-2</v>
      </c>
      <c r="J586" s="989">
        <f t="shared" si="66"/>
        <v>0.31462641251187506</v>
      </c>
      <c r="K586" s="989">
        <v>8.0644813187735354E-3</v>
      </c>
      <c r="L586" s="994">
        <f t="shared" si="71"/>
        <v>0.32269089383064858</v>
      </c>
      <c r="M586" s="994">
        <f t="shared" si="68"/>
        <v>0.3872290725967783</v>
      </c>
      <c r="N586" s="995">
        <v>2</v>
      </c>
      <c r="O586" s="1009">
        <v>0.33225663033346964</v>
      </c>
      <c r="P586" s="22">
        <f t="shared" si="69"/>
        <v>5.4972442263308663E-2</v>
      </c>
      <c r="Q586" s="982">
        <f t="shared" si="70"/>
        <v>16.545175398948558</v>
      </c>
      <c r="R586" s="6"/>
      <c r="S586" s="6"/>
      <c r="T586" s="6"/>
      <c r="U586" s="6"/>
      <c r="V586" s="6"/>
      <c r="W586" s="6"/>
      <c r="X586" s="6"/>
      <c r="Y586" s="6"/>
      <c r="Z586" s="6"/>
    </row>
    <row r="587" spans="1:26" s="93" customFormat="1" ht="15.75">
      <c r="A587" s="894">
        <v>51</v>
      </c>
      <c r="B587" s="233" t="s">
        <v>296</v>
      </c>
      <c r="C587" s="886">
        <f>cходова!R587</f>
        <v>0</v>
      </c>
      <c r="D587" s="886">
        <f>прибуд.!O587</f>
        <v>0</v>
      </c>
      <c r="E587" s="886">
        <f>гар.вода!M587+хол.вода!Q587+ц.о.!M587+каналізація!Q587+аварійні!I587+зварювальн!M587</f>
        <v>0.28278383392497136</v>
      </c>
      <c r="F587" s="886">
        <f>дератизац.!I587</f>
        <v>0</v>
      </c>
      <c r="G587" s="886">
        <f>димоканал!R587</f>
        <v>8.3832961330986749E-2</v>
      </c>
      <c r="H587" s="886">
        <f>'підготовка до зими'!M587+майстерні!M587+маляри!M587+покрівлі!O587</f>
        <v>0.31688762349102539</v>
      </c>
      <c r="I587" s="886">
        <f>електрики!R587</f>
        <v>3.3351257216193961E-2</v>
      </c>
      <c r="J587" s="989">
        <f t="shared" si="66"/>
        <v>0.71685567596317745</v>
      </c>
      <c r="K587" s="989">
        <v>1.8570195684635523E-2</v>
      </c>
      <c r="L587" s="994">
        <f t="shared" si="71"/>
        <v>0.73542587164781292</v>
      </c>
      <c r="M587" s="994">
        <f t="shared" si="68"/>
        <v>0.88251104597737551</v>
      </c>
      <c r="N587" s="995">
        <v>1</v>
      </c>
      <c r="O587" s="1009">
        <v>0.76509206220698356</v>
      </c>
      <c r="P587" s="22">
        <f t="shared" si="69"/>
        <v>0.11741898377039195</v>
      </c>
      <c r="Q587" s="982">
        <f t="shared" si="70"/>
        <v>15.347039862325246</v>
      </c>
      <c r="R587" s="6"/>
      <c r="S587" s="6"/>
      <c r="T587" s="6"/>
      <c r="U587" s="6"/>
      <c r="V587" s="6"/>
      <c r="W587" s="6"/>
      <c r="X587" s="6"/>
      <c r="Y587" s="6"/>
      <c r="Z587" s="6"/>
    </row>
    <row r="588" spans="1:26" s="93" customFormat="1" ht="15.75">
      <c r="A588" s="894">
        <v>52</v>
      </c>
      <c r="B588" s="233" t="s">
        <v>297</v>
      </c>
      <c r="C588" s="886">
        <f>cходова!R588</f>
        <v>0</v>
      </c>
      <c r="D588" s="886">
        <f>прибуд.!O588</f>
        <v>0</v>
      </c>
      <c r="E588" s="886">
        <f>гар.вода!M588+хол.вода!Q588+ц.о.!M588+каналізація!Q588+аварійні!I588+зварювальн!M588</f>
        <v>0.15860994460187652</v>
      </c>
      <c r="F588" s="886">
        <f>дератизац.!I588</f>
        <v>0</v>
      </c>
      <c r="G588" s="886">
        <f>димоканал!R588</f>
        <v>3.1594704645762278E-2</v>
      </c>
      <c r="H588" s="886">
        <f>'підготовка до зими'!M588+майстерні!M588+маляри!M588+покрівлі!O588</f>
        <v>0.24936172670250345</v>
      </c>
      <c r="I588" s="886">
        <f>електрики!R588</f>
        <v>1.2569317659556585E-2</v>
      </c>
      <c r="J588" s="989">
        <f t="shared" si="66"/>
        <v>0.45213569360969885</v>
      </c>
      <c r="K588" s="989">
        <v>1.1800798500430408E-2</v>
      </c>
      <c r="L588" s="994">
        <f t="shared" si="71"/>
        <v>0.46393649211012927</v>
      </c>
      <c r="M588" s="994">
        <f t="shared" si="68"/>
        <v>0.55672379053215515</v>
      </c>
      <c r="N588" s="995">
        <v>1</v>
      </c>
      <c r="O588" s="1009">
        <v>0.48619289821773287</v>
      </c>
      <c r="P588" s="22">
        <f t="shared" si="69"/>
        <v>7.0530892314422278E-2</v>
      </c>
      <c r="Q588" s="982">
        <f t="shared" si="70"/>
        <v>14.506771401427642</v>
      </c>
      <c r="R588" s="6"/>
      <c r="S588" s="6"/>
      <c r="T588" s="6"/>
      <c r="U588" s="6"/>
      <c r="V588" s="6"/>
      <c r="W588" s="6"/>
      <c r="X588" s="6"/>
      <c r="Y588" s="6"/>
      <c r="Z588" s="6"/>
    </row>
    <row r="589" spans="1:26" s="93" customFormat="1" ht="15.75">
      <c r="A589" s="894">
        <v>53</v>
      </c>
      <c r="B589" s="233" t="s">
        <v>298</v>
      </c>
      <c r="C589" s="886">
        <f>cходова!R589</f>
        <v>0</v>
      </c>
      <c r="D589" s="886">
        <f>прибуд.!O589</f>
        <v>0</v>
      </c>
      <c r="E589" s="886">
        <f>гар.вода!M589+хол.вода!Q589+ц.о.!M589+каналізація!Q589+аварійні!I589+зварювальн!M589</f>
        <v>0.17945048085356666</v>
      </c>
      <c r="F589" s="886">
        <f>дератизац.!I589</f>
        <v>0</v>
      </c>
      <c r="G589" s="886">
        <f>димоканал!R589</f>
        <v>5.3816044230377683E-2</v>
      </c>
      <c r="H589" s="886">
        <f>'підготовка до зими'!M589+майстерні!M589+маляри!M589+покрівлі!O589</f>
        <v>0.23697905242969511</v>
      </c>
      <c r="I589" s="886">
        <f>електрики!R589</f>
        <v>1.6057222943602338E-2</v>
      </c>
      <c r="J589" s="989">
        <f t="shared" si="66"/>
        <v>0.48630280045724172</v>
      </c>
      <c r="K589" s="989">
        <v>1.2692155358431267E-2</v>
      </c>
      <c r="L589" s="994">
        <f t="shared" si="71"/>
        <v>0.49899495581567299</v>
      </c>
      <c r="M589" s="994">
        <f t="shared" si="68"/>
        <v>0.59879394697880761</v>
      </c>
      <c r="N589" s="995">
        <v>1</v>
      </c>
      <c r="O589" s="1009">
        <v>0.52291680076736824</v>
      </c>
      <c r="P589" s="22">
        <f t="shared" si="69"/>
        <v>7.5877146211439372E-2</v>
      </c>
      <c r="Q589" s="982">
        <f t="shared" si="70"/>
        <v>14.510366869087292</v>
      </c>
      <c r="R589" s="6"/>
      <c r="S589" s="6"/>
      <c r="T589" s="6"/>
      <c r="U589" s="6"/>
      <c r="V589" s="6"/>
      <c r="W589" s="6"/>
      <c r="X589" s="6"/>
      <c r="Y589" s="6"/>
      <c r="Z589" s="6"/>
    </row>
    <row r="590" spans="1:26" s="93" customFormat="1" ht="15.75">
      <c r="A590" s="894">
        <v>54</v>
      </c>
      <c r="B590" s="233" t="s">
        <v>299</v>
      </c>
      <c r="C590" s="886">
        <f>cходова!R590</f>
        <v>0</v>
      </c>
      <c r="D590" s="886">
        <f>прибуд.!O590</f>
        <v>0</v>
      </c>
      <c r="E590" s="886">
        <f>гар.вода!M590+хол.вода!Q590+ц.о.!M590+каналізація!Q590+аварійні!I590+зварювальн!M590</f>
        <v>0.22110949205106883</v>
      </c>
      <c r="F590" s="886">
        <f>дератизац.!I590</f>
        <v>0</v>
      </c>
      <c r="G590" s="886">
        <f>димоканал!R590</f>
        <v>8.0015840584917425E-2</v>
      </c>
      <c r="H590" s="886">
        <f>'підготовка до зими'!M590+майстерні!M590+маляри!M590+покрівлі!O590</f>
        <v>0.23294852350190515</v>
      </c>
      <c r="I590" s="886">
        <f>електрики!R590</f>
        <v>2.3029341296464056E-2</v>
      </c>
      <c r="J590" s="989">
        <f t="shared" si="66"/>
        <v>0.55710319743435543</v>
      </c>
      <c r="K590" s="989">
        <v>1.4511704145838517E-2</v>
      </c>
      <c r="L590" s="994">
        <f t="shared" si="71"/>
        <v>0.5716149015801939</v>
      </c>
      <c r="M590" s="994">
        <f t="shared" si="68"/>
        <v>0.68593788189623262</v>
      </c>
      <c r="N590" s="995">
        <v>1</v>
      </c>
      <c r="O590" s="1009">
        <v>0.59788221080854687</v>
      </c>
      <c r="P590" s="22">
        <f t="shared" si="69"/>
        <v>8.805567108768575E-2</v>
      </c>
      <c r="Q590" s="982">
        <f t="shared" si="70"/>
        <v>14.727929598139994</v>
      </c>
      <c r="R590" s="6"/>
      <c r="S590" s="6"/>
      <c r="T590" s="6"/>
      <c r="U590" s="6"/>
      <c r="V590" s="6"/>
      <c r="W590" s="6"/>
      <c r="X590" s="6"/>
      <c r="Y590" s="6"/>
      <c r="Z590" s="6"/>
    </row>
    <row r="591" spans="1:26" s="93" customFormat="1" ht="15.75">
      <c r="A591" s="894">
        <v>55</v>
      </c>
      <c r="B591" s="233" t="s">
        <v>300</v>
      </c>
      <c r="C591" s="886">
        <f>cходова!R591</f>
        <v>0</v>
      </c>
      <c r="D591" s="886">
        <f>прибуд.!O591</f>
        <v>0</v>
      </c>
      <c r="E591" s="886">
        <v>0</v>
      </c>
      <c r="F591" s="886">
        <f>дератизац.!I591</f>
        <v>0</v>
      </c>
      <c r="G591" s="886">
        <f>димоканал!R591</f>
        <v>3.530549210415717E-2</v>
      </c>
      <c r="H591" s="886">
        <f>'підготовка до зими'!M591+майстерні!M591+маляри!M591+покрівлі!O591</f>
        <v>0.23843090134830858</v>
      </c>
      <c r="I591" s="886">
        <f>електрики!R591</f>
        <v>1.4045579800779672E-2</v>
      </c>
      <c r="J591" s="989">
        <f t="shared" si="66"/>
        <v>0.28778197325324545</v>
      </c>
      <c r="K591" s="989">
        <v>7.3539976042641796E-3</v>
      </c>
      <c r="L591" s="994">
        <f t="shared" si="71"/>
        <v>0.29513597085750964</v>
      </c>
      <c r="M591" s="994">
        <f t="shared" si="68"/>
        <v>0.35416316502901157</v>
      </c>
      <c r="N591" s="995">
        <v>1</v>
      </c>
      <c r="O591" s="1009">
        <v>0.30298470129568422</v>
      </c>
      <c r="P591" s="22">
        <f t="shared" si="69"/>
        <v>5.1178463733327351E-2</v>
      </c>
      <c r="Q591" s="982">
        <f t="shared" si="70"/>
        <v>16.891434951820244</v>
      </c>
      <c r="R591" s="6"/>
      <c r="S591" s="6"/>
      <c r="T591" s="6"/>
      <c r="U591" s="6"/>
      <c r="V591" s="6"/>
      <c r="W591" s="6"/>
      <c r="X591" s="6"/>
      <c r="Y591" s="6"/>
      <c r="Z591" s="6"/>
    </row>
    <row r="592" spans="1:26" s="93" customFormat="1" ht="15.75">
      <c r="A592" s="894">
        <v>56</v>
      </c>
      <c r="B592" s="233" t="s">
        <v>301</v>
      </c>
      <c r="C592" s="886">
        <f>cходова!R592</f>
        <v>0</v>
      </c>
      <c r="D592" s="886">
        <f>прибуд.!O592</f>
        <v>0</v>
      </c>
      <c r="E592" s="886">
        <f>гар.вода!M592+хол.вода!Q592+ц.о.!M592+каналізація!Q592+аварійні!I592+зварювальн!M592</f>
        <v>0.22560502204649863</v>
      </c>
      <c r="F592" s="886">
        <f>дератизац.!I592</f>
        <v>0</v>
      </c>
      <c r="G592" s="886">
        <f>димоканал!R592</f>
        <v>0.15611943807334955</v>
      </c>
      <c r="H592" s="886">
        <f>'підготовка до зими'!M592+майстерні!M592+маляри!M592+покрівлі!O592</f>
        <v>0.20817579404733294</v>
      </c>
      <c r="I592" s="886">
        <f>електрики!R592</f>
        <v>2.3781720344501947E-2</v>
      </c>
      <c r="J592" s="989">
        <f t="shared" si="66"/>
        <v>0.61368197451168305</v>
      </c>
      <c r="K592" s="989">
        <v>1.6048878968608855E-2</v>
      </c>
      <c r="L592" s="994">
        <f t="shared" si="71"/>
        <v>0.6297308534802919</v>
      </c>
      <c r="M592" s="994">
        <f t="shared" si="68"/>
        <v>0.7556770241763503</v>
      </c>
      <c r="N592" s="995">
        <v>1</v>
      </c>
      <c r="O592" s="1009">
        <v>0.66121381350668484</v>
      </c>
      <c r="P592" s="22">
        <f t="shared" si="69"/>
        <v>9.4463210669665454E-2</v>
      </c>
      <c r="Q592" s="982">
        <f t="shared" si="70"/>
        <v>14.286333518758298</v>
      </c>
      <c r="R592" s="6"/>
      <c r="S592" s="6"/>
      <c r="T592" s="6"/>
      <c r="U592" s="6"/>
      <c r="V592" s="6"/>
      <c r="W592" s="6"/>
      <c r="X592" s="6"/>
      <c r="Y592" s="6"/>
      <c r="Z592" s="6"/>
    </row>
    <row r="593" spans="1:26" s="93" customFormat="1" ht="15.75">
      <c r="A593" s="894">
        <v>57</v>
      </c>
      <c r="B593" s="233" t="s">
        <v>302</v>
      </c>
      <c r="C593" s="886">
        <f>cходова!R593</f>
        <v>0</v>
      </c>
      <c r="D593" s="886">
        <f>прибуд.!O593</f>
        <v>0</v>
      </c>
      <c r="E593" s="886">
        <f>гар.вода!M593+хол.вода!Q593+ц.о.!M593+каналізація!Q593+аварійні!I593+зварювальн!M593</f>
        <v>0.19886432803474538</v>
      </c>
      <c r="F593" s="886">
        <f>дератизац.!I593</f>
        <v>0</v>
      </c>
      <c r="G593" s="886">
        <f>димоканал!R593</f>
        <v>8.4733181049977208E-2</v>
      </c>
      <c r="H593" s="886">
        <f>'підготовка до зими'!M593+майстерні!M593+маляри!M593+покрівлі!O593</f>
        <v>0.27178197940344201</v>
      </c>
      <c r="I593" s="886">
        <f>електрики!R593</f>
        <v>1.8196528596962139E-2</v>
      </c>
      <c r="J593" s="989">
        <f t="shared" si="66"/>
        <v>0.57357601708512673</v>
      </c>
      <c r="K593" s="989">
        <v>1.502838678448499E-2</v>
      </c>
      <c r="L593" s="994">
        <f t="shared" si="71"/>
        <v>0.58860440386961177</v>
      </c>
      <c r="M593" s="994">
        <f t="shared" si="68"/>
        <v>0.70632528464353406</v>
      </c>
      <c r="N593" s="995">
        <v>1</v>
      </c>
      <c r="O593" s="1009">
        <v>0.61916953552078169</v>
      </c>
      <c r="P593" s="22">
        <f t="shared" si="69"/>
        <v>8.7155749122752368E-2</v>
      </c>
      <c r="Q593" s="982">
        <f t="shared" si="70"/>
        <v>14.076233426027002</v>
      </c>
      <c r="R593" s="6"/>
      <c r="S593" s="6"/>
      <c r="T593" s="6"/>
      <c r="U593" s="6"/>
      <c r="V593" s="6"/>
      <c r="W593" s="6"/>
      <c r="X593" s="6"/>
      <c r="Y593" s="6"/>
      <c r="Z593" s="6"/>
    </row>
    <row r="594" spans="1:26" s="93" customFormat="1" ht="15.75">
      <c r="A594" s="894">
        <v>58</v>
      </c>
      <c r="B594" s="233" t="s">
        <v>303</v>
      </c>
      <c r="C594" s="886">
        <f>cходова!R594</f>
        <v>0</v>
      </c>
      <c r="D594" s="886">
        <f>прибуд.!O594</f>
        <v>0</v>
      </c>
      <c r="E594" s="886">
        <f>гар.вода!M594+хол.вода!Q594+ц.о.!M594+каналізація!Q594+аварійні!I594+зварювальн!M594</f>
        <v>0.19475816010818439</v>
      </c>
      <c r="F594" s="886">
        <f>дератизац.!I594</f>
        <v>0</v>
      </c>
      <c r="G594" s="886">
        <f>димоканал!R594</f>
        <v>8.4243175999421271E-2</v>
      </c>
      <c r="H594" s="886">
        <f>'підготовка до зими'!M594+майстерні!M594+маляри!M594+покрівлі!O594</f>
        <v>0.16269682329268145</v>
      </c>
      <c r="I594" s="886">
        <f>електрики!R594</f>
        <v>1.8619140483239958E-2</v>
      </c>
      <c r="J594" s="989">
        <f t="shared" si="66"/>
        <v>0.4603172998835271</v>
      </c>
      <c r="K594" s="989">
        <v>1.206107628967267E-2</v>
      </c>
      <c r="L594" s="994">
        <f t="shared" si="71"/>
        <v>0.47237837617319978</v>
      </c>
      <c r="M594" s="994">
        <f t="shared" si="68"/>
        <v>0.56685405140783973</v>
      </c>
      <c r="N594" s="995">
        <v>2</v>
      </c>
      <c r="O594" s="1009">
        <v>0.49691634313451399</v>
      </c>
      <c r="P594" s="22">
        <f t="shared" si="69"/>
        <v>6.9937708273325738E-2</v>
      </c>
      <c r="Q594" s="982">
        <f t="shared" si="70"/>
        <v>14.074342540670642</v>
      </c>
      <c r="R594" s="6"/>
      <c r="S594" s="6"/>
      <c r="T594" s="6"/>
      <c r="U594" s="6"/>
      <c r="V594" s="6"/>
      <c r="W594" s="6"/>
      <c r="X594" s="6"/>
      <c r="Y594" s="6"/>
      <c r="Z594" s="6"/>
    </row>
    <row r="595" spans="1:26" s="93" customFormat="1" ht="15.75">
      <c r="A595" s="894">
        <v>59</v>
      </c>
      <c r="B595" s="233" t="s">
        <v>304</v>
      </c>
      <c r="C595" s="886">
        <f>cходова!R595</f>
        <v>0</v>
      </c>
      <c r="D595" s="886">
        <f>прибуд.!O595</f>
        <v>0</v>
      </c>
      <c r="E595" s="886">
        <f>гар.вода!M595+хол.вода!Q595+ц.о.!M595+каналізація!Q595+аварійні!I595+зварювальн!M595</f>
        <v>0.20680654041400706</v>
      </c>
      <c r="F595" s="886">
        <f>дератизац.!I595</f>
        <v>0</v>
      </c>
      <c r="G595" s="886">
        <f>димоканал!R595</f>
        <v>6.9160470974782826E-2</v>
      </c>
      <c r="H595" s="886">
        <f>'підготовка до зими'!M595+майстерні!M595+маляри!M595+покрівлі!O595</f>
        <v>0.1836318768841152</v>
      </c>
      <c r="I595" s="886">
        <f>електрики!R595</f>
        <v>2.0635576568442116E-2</v>
      </c>
      <c r="J595" s="989">
        <f t="shared" si="66"/>
        <v>0.48023446484134724</v>
      </c>
      <c r="K595" s="989">
        <v>1.2545011398022008E-2</v>
      </c>
      <c r="L595" s="994">
        <f t="shared" si="71"/>
        <v>0.49277947623936924</v>
      </c>
      <c r="M595" s="994">
        <f t="shared" si="68"/>
        <v>0.59133537148724302</v>
      </c>
      <c r="N595" s="995">
        <v>2</v>
      </c>
      <c r="O595" s="1009">
        <v>0.51685446959850667</v>
      </c>
      <c r="P595" s="22">
        <f t="shared" si="69"/>
        <v>7.4480901888736351E-2</v>
      </c>
      <c r="Q595" s="982">
        <f t="shared" si="70"/>
        <v>14.410420392918951</v>
      </c>
      <c r="R595" s="6"/>
      <c r="S595" s="6"/>
      <c r="T595" s="6"/>
      <c r="U595" s="6"/>
      <c r="V595" s="6"/>
      <c r="W595" s="6"/>
      <c r="X595" s="6"/>
      <c r="Y595" s="6"/>
      <c r="Z595" s="6"/>
    </row>
    <row r="596" spans="1:26" s="93" customFormat="1" ht="15.75">
      <c r="A596" s="894">
        <v>60</v>
      </c>
      <c r="B596" s="233" t="s">
        <v>305</v>
      </c>
      <c r="C596" s="886">
        <f>cходова!R596</f>
        <v>0</v>
      </c>
      <c r="D596" s="886">
        <f>прибуд.!O596</f>
        <v>0</v>
      </c>
      <c r="E596" s="886">
        <f>гар.вода!M596+хол.вода!Q596+ц.о.!M596+каналізація!Q596+аварійні!I596+зварювальн!M596</f>
        <v>0.20126689887319615</v>
      </c>
      <c r="F596" s="886">
        <f>дератизац.!I596</f>
        <v>0</v>
      </c>
      <c r="G596" s="886">
        <f>димоканал!R596</f>
        <v>7.430985271598943E-2</v>
      </c>
      <c r="H596" s="886">
        <f>'підготовка до зими'!M596+майстерні!M596+маляри!M596+покрівлі!O596</f>
        <v>0.20498692720494999</v>
      </c>
      <c r="I596" s="886">
        <f>електрики!R596</f>
        <v>1.9708453352006321E-2</v>
      </c>
      <c r="J596" s="989">
        <f t="shared" si="66"/>
        <v>0.50027213214614186</v>
      </c>
      <c r="K596" s="989">
        <v>1.3065382631472819E-2</v>
      </c>
      <c r="L596" s="994">
        <f t="shared" si="71"/>
        <v>0.51333751477761469</v>
      </c>
      <c r="M596" s="994">
        <f t="shared" si="68"/>
        <v>0.61600501773313765</v>
      </c>
      <c r="N596" s="995">
        <v>1</v>
      </c>
      <c r="O596" s="1009">
        <v>0.5382937644166802</v>
      </c>
      <c r="P596" s="22">
        <f t="shared" si="69"/>
        <v>7.7711253316457451E-2</v>
      </c>
      <c r="Q596" s="982">
        <f t="shared" si="70"/>
        <v>14.436588059062672</v>
      </c>
      <c r="R596" s="6"/>
      <c r="S596" s="6"/>
      <c r="T596" s="6"/>
      <c r="U596" s="6"/>
      <c r="V596" s="6"/>
      <c r="W596" s="6"/>
      <c r="X596" s="6"/>
      <c r="Y596" s="6"/>
      <c r="Z596" s="6"/>
    </row>
    <row r="597" spans="1:26" s="93" customFormat="1" ht="15.75">
      <c r="A597" s="894">
        <v>61</v>
      </c>
      <c r="B597" s="233" t="s">
        <v>306</v>
      </c>
      <c r="C597" s="886">
        <f>cходова!R597</f>
        <v>0</v>
      </c>
      <c r="D597" s="886">
        <f>прибуд.!O597</f>
        <v>0</v>
      </c>
      <c r="E597" s="886">
        <f>гар.вода!M597+хол.вода!Q597+ц.о.!M597+каналізація!Q597+аварійні!I597+зварювальн!M597</f>
        <v>0.18961896088319319</v>
      </c>
      <c r="F597" s="886">
        <f>дератизац.!I597</f>
        <v>0</v>
      </c>
      <c r="G597" s="886">
        <f>димоканал!R597</f>
        <v>8.9279547256760211E-2</v>
      </c>
      <c r="H597" s="886">
        <f>'підготовка до зими'!M597+майстерні!M597+маляри!M597+покрівлі!O597</f>
        <v>0.21852982162768911</v>
      </c>
      <c r="I597" s="886">
        <f>електрики!R597</f>
        <v>1.7759035929492833E-2</v>
      </c>
      <c r="J597" s="989">
        <f t="shared" ref="J597:J655" si="72">I597+H597+G597+F597+E597+D597+C597</f>
        <v>0.5151873656971353</v>
      </c>
      <c r="K597" s="989">
        <v>1.3470158436349708E-2</v>
      </c>
      <c r="L597" s="994">
        <f t="shared" si="71"/>
        <v>0.52865752413348499</v>
      </c>
      <c r="M597" s="994">
        <f t="shared" ref="M597:M655" si="73">L597*1.2</f>
        <v>0.63438902896018201</v>
      </c>
      <c r="N597" s="995">
        <v>1</v>
      </c>
      <c r="O597" s="1009">
        <v>0.55497052757760801</v>
      </c>
      <c r="P597" s="22">
        <f t="shared" si="69"/>
        <v>7.9418501382574003E-2</v>
      </c>
      <c r="Q597" s="982">
        <f t="shared" si="70"/>
        <v>14.310399820550472</v>
      </c>
      <c r="R597" s="6"/>
      <c r="S597" s="6"/>
      <c r="T597" s="6"/>
      <c r="U597" s="6"/>
      <c r="V597" s="6"/>
      <c r="W597" s="6"/>
      <c r="X597" s="6"/>
      <c r="Y597" s="6"/>
      <c r="Z597" s="6"/>
    </row>
    <row r="598" spans="1:26" s="93" customFormat="1" ht="15.75">
      <c r="A598" s="894">
        <v>62</v>
      </c>
      <c r="B598" s="233" t="s">
        <v>307</v>
      </c>
      <c r="C598" s="886">
        <f>cходова!R598</f>
        <v>0</v>
      </c>
      <c r="D598" s="886">
        <f>прибуд.!O598</f>
        <v>0</v>
      </c>
      <c r="E598" s="886">
        <f>гар.вода!M598+хол.вода!Q598+ц.о.!M598+каналізація!Q598+аварійні!I598+зварювальн!M598</f>
        <v>0.19836008613000408</v>
      </c>
      <c r="F598" s="886">
        <f>дератизац.!I598</f>
        <v>0</v>
      </c>
      <c r="G598" s="886">
        <f>димоканал!R598</f>
        <v>6.1098521616804728E-2</v>
      </c>
      <c r="H598" s="886">
        <f>'підготовка до зими'!M598+майстерні!M598+маляри!M598+покрівлі!O598</f>
        <v>0.32028371536842259</v>
      </c>
      <c r="I598" s="886">
        <f>електрики!R598</f>
        <v>1.9221964549402264E-2</v>
      </c>
      <c r="J598" s="989">
        <f t="shared" si="72"/>
        <v>0.59896428766463372</v>
      </c>
      <c r="K598" s="989">
        <v>1.5563918534978741E-2</v>
      </c>
      <c r="L598" s="994">
        <f t="shared" si="71"/>
        <v>0.61452820619961246</v>
      </c>
      <c r="M598" s="994">
        <f t="shared" si="73"/>
        <v>0.73743384743953488</v>
      </c>
      <c r="N598" s="995">
        <v>2</v>
      </c>
      <c r="O598" s="1009">
        <v>0.64123344364112411</v>
      </c>
      <c r="P598" s="22">
        <f t="shared" si="69"/>
        <v>9.6200403798410772E-2</v>
      </c>
      <c r="Q598" s="982">
        <f t="shared" si="70"/>
        <v>15.002399633455596</v>
      </c>
      <c r="R598" s="6"/>
      <c r="S598" s="6"/>
      <c r="T598" s="6"/>
      <c r="U598" s="6"/>
      <c r="V598" s="6"/>
      <c r="W598" s="6"/>
      <c r="X598" s="6"/>
      <c r="Y598" s="6"/>
      <c r="Z598" s="6"/>
    </row>
    <row r="599" spans="1:26" s="93" customFormat="1" ht="15.75">
      <c r="A599" s="894">
        <v>63</v>
      </c>
      <c r="B599" s="233" t="s">
        <v>308</v>
      </c>
      <c r="C599" s="886">
        <f>cходова!R599</f>
        <v>0</v>
      </c>
      <c r="D599" s="886">
        <f>прибуд.!O599</f>
        <v>0</v>
      </c>
      <c r="E599" s="886">
        <f>гар.вода!M599+хол.вода!Q599+ц.о.!M599+каналізація!Q599+аварійні!I599+зварювальн!M599</f>
        <v>0.19842605563230406</v>
      </c>
      <c r="F599" s="886">
        <f>дератизац.!I599</f>
        <v>0</v>
      </c>
      <c r="G599" s="886">
        <f>димоканал!R599</f>
        <v>9.6689595837232287E-2</v>
      </c>
      <c r="H599" s="886">
        <f>'підготовка до зими'!M599+майстерні!M599+маляри!M599+покрівлі!O599</f>
        <v>0.1953899848704454</v>
      </c>
      <c r="I599" s="886">
        <f>електрики!R599</f>
        <v>1.9233005310200311E-2</v>
      </c>
      <c r="J599" s="989">
        <f t="shared" si="72"/>
        <v>0.50973864165018201</v>
      </c>
      <c r="K599" s="989">
        <v>1.3336727968739139E-2</v>
      </c>
      <c r="L599" s="994">
        <f t="shared" si="71"/>
        <v>0.5230753696189212</v>
      </c>
      <c r="M599" s="994">
        <f t="shared" si="73"/>
        <v>0.62769044354270542</v>
      </c>
      <c r="N599" s="995">
        <v>3</v>
      </c>
      <c r="O599" s="1009">
        <v>0.54947319231205249</v>
      </c>
      <c r="P599" s="22">
        <f t="shared" si="69"/>
        <v>7.8217251230652929E-2</v>
      </c>
      <c r="Q599" s="982">
        <f t="shared" si="70"/>
        <v>14.234953101448554</v>
      </c>
      <c r="R599" s="6"/>
      <c r="S599" s="6"/>
      <c r="T599" s="6"/>
      <c r="U599" s="6"/>
      <c r="V599" s="6"/>
      <c r="W599" s="6"/>
      <c r="X599" s="6"/>
      <c r="Y599" s="6"/>
      <c r="Z599" s="6"/>
    </row>
    <row r="600" spans="1:26" s="93" customFormat="1" ht="15.75">
      <c r="A600" s="894">
        <v>64</v>
      </c>
      <c r="B600" s="233" t="s">
        <v>309</v>
      </c>
      <c r="C600" s="886">
        <f>cходова!R600</f>
        <v>0</v>
      </c>
      <c r="D600" s="886">
        <f>прибуд.!O600</f>
        <v>0</v>
      </c>
      <c r="E600" s="886">
        <f>гар.вода!M600+хол.вода!Q600+ц.о.!M600+каналізація!Q600+аварійні!I600+зварювальн!M600</f>
        <v>0.23727489291680248</v>
      </c>
      <c r="F600" s="886">
        <f>дератизац.!I600</f>
        <v>0</v>
      </c>
      <c r="G600" s="886">
        <f>димоканал!R600</f>
        <v>0.12937594471545344</v>
      </c>
      <c r="H600" s="886">
        <f>'підготовка до зими'!M600+майстерні!M600+маляри!M600+покрівлі!O600</f>
        <v>0.20911330123322469</v>
      </c>
      <c r="I600" s="886">
        <f>електрики!R600</f>
        <v>2.5734808488736407E-2</v>
      </c>
      <c r="J600" s="989">
        <f t="shared" si="72"/>
        <v>0.60149894735421705</v>
      </c>
      <c r="K600" s="989">
        <v>1.570359416174261E-2</v>
      </c>
      <c r="L600" s="994">
        <f t="shared" si="71"/>
        <v>0.61720254151595966</v>
      </c>
      <c r="M600" s="994">
        <f t="shared" si="73"/>
        <v>0.74064304981915152</v>
      </c>
      <c r="N600" s="995">
        <v>2</v>
      </c>
      <c r="O600" s="1009">
        <v>0.64698807946379555</v>
      </c>
      <c r="P600" s="22">
        <f t="shared" si="69"/>
        <v>9.3654970355355971E-2</v>
      </c>
      <c r="Q600" s="982">
        <f t="shared" si="70"/>
        <v>14.475532599143776</v>
      </c>
      <c r="R600" s="6"/>
      <c r="S600" s="6"/>
      <c r="T600" s="6"/>
      <c r="U600" s="6"/>
      <c r="V600" s="6"/>
      <c r="W600" s="6"/>
      <c r="X600" s="6"/>
      <c r="Y600" s="6"/>
      <c r="Z600" s="6"/>
    </row>
    <row r="601" spans="1:26" s="93" customFormat="1" ht="15.75">
      <c r="A601" s="894">
        <v>65</v>
      </c>
      <c r="B601" s="233" t="s">
        <v>310</v>
      </c>
      <c r="C601" s="886">
        <f>cходова!R601</f>
        <v>0</v>
      </c>
      <c r="D601" s="886">
        <f>прибуд.!O601</f>
        <v>0</v>
      </c>
      <c r="E601" s="886">
        <f>гар.вода!M601+хол.вода!Q601+ц.о.!M601+каналізація!Q601+аварійні!I601+зварювальн!M601</f>
        <v>0.18129494308733723</v>
      </c>
      <c r="F601" s="886">
        <f>дератизац.!I601</f>
        <v>0</v>
      </c>
      <c r="G601" s="886">
        <f>димоканал!R601</f>
        <v>8.227594640890587E-2</v>
      </c>
      <c r="H601" s="886">
        <f>'підготовка до зими'!M601+майстерні!M601+маляри!M601+покрівлі!O601</f>
        <v>0.2074574186309622</v>
      </c>
      <c r="I601" s="886">
        <f>електрики!R601</f>
        <v>1.6365915075786285E-2</v>
      </c>
      <c r="J601" s="989">
        <f t="shared" si="72"/>
        <v>0.48739422320299158</v>
      </c>
      <c r="K601" s="989">
        <v>1.2755465605124203E-2</v>
      </c>
      <c r="L601" s="994">
        <f t="shared" si="71"/>
        <v>0.50014968880811583</v>
      </c>
      <c r="M601" s="994">
        <f t="shared" si="73"/>
        <v>0.600179626569739</v>
      </c>
      <c r="N601" s="995">
        <v>1</v>
      </c>
      <c r="O601" s="1009">
        <v>0.52552518293111716</v>
      </c>
      <c r="P601" s="22">
        <f t="shared" ref="P601:P664" si="74">M601-O601</f>
        <v>7.4654443638621837E-2</v>
      </c>
      <c r="Q601" s="982">
        <f t="shared" ref="Q601:Q664" si="75">M601/O601*100-100</f>
        <v>14.205683393179498</v>
      </c>
      <c r="R601" s="6"/>
      <c r="S601" s="6"/>
      <c r="T601" s="6"/>
      <c r="U601" s="6"/>
      <c r="V601" s="6"/>
      <c r="W601" s="6"/>
      <c r="X601" s="6"/>
      <c r="Y601" s="6"/>
      <c r="Z601" s="6"/>
    </row>
    <row r="602" spans="1:26" s="93" customFormat="1" ht="15.75">
      <c r="A602" s="894">
        <v>66</v>
      </c>
      <c r="B602" s="233" t="s">
        <v>311</v>
      </c>
      <c r="C602" s="886">
        <f>cходова!R602</f>
        <v>0</v>
      </c>
      <c r="D602" s="886">
        <f>прибуд.!O602</f>
        <v>0</v>
      </c>
      <c r="E602" s="886">
        <f>гар.вода!M602+хол.вода!Q602+ц.о.!M602+каналізація!Q602+аварійні!I602+зварювальн!M602</f>
        <v>0.19616132558994498</v>
      </c>
      <c r="F602" s="886">
        <f>дератизац.!I602</f>
        <v>0</v>
      </c>
      <c r="G602" s="886">
        <f>димоканал!R602</f>
        <v>5.0181867653890051E-2</v>
      </c>
      <c r="H602" s="886">
        <f>'підготовка до зими'!M602+майстерні!M602+маляри!M602+покрівлі!O602</f>
        <v>0.20446465588687435</v>
      </c>
      <c r="I602" s="886">
        <f>електрики!R602</f>
        <v>1.8853976489334876E-2</v>
      </c>
      <c r="J602" s="989">
        <f t="shared" si="72"/>
        <v>0.46966182562004427</v>
      </c>
      <c r="K602" s="989">
        <v>1.2251990451684897E-2</v>
      </c>
      <c r="L602" s="994">
        <f t="shared" si="71"/>
        <v>0.48191381607172917</v>
      </c>
      <c r="M602" s="994">
        <f t="shared" si="73"/>
        <v>0.57829657928607503</v>
      </c>
      <c r="N602" s="995">
        <v>1</v>
      </c>
      <c r="O602" s="1009">
        <v>0.50478200660941774</v>
      </c>
      <c r="P602" s="22">
        <f t="shared" si="74"/>
        <v>7.3514572676657286E-2</v>
      </c>
      <c r="Q602" s="982">
        <f t="shared" si="75"/>
        <v>14.563627806476106</v>
      </c>
      <c r="R602" s="6"/>
      <c r="S602" s="6"/>
      <c r="T602" s="6"/>
      <c r="U602" s="6"/>
      <c r="V602" s="6"/>
      <c r="W602" s="6"/>
      <c r="X602" s="6"/>
      <c r="Y602" s="6"/>
      <c r="Z602" s="6"/>
    </row>
    <row r="603" spans="1:26" s="93" customFormat="1" ht="15.75">
      <c r="A603" s="894">
        <v>67</v>
      </c>
      <c r="B603" s="233" t="s">
        <v>312</v>
      </c>
      <c r="C603" s="886">
        <f>cходова!R603</f>
        <v>0</v>
      </c>
      <c r="D603" s="886">
        <f>прибуд.!O603</f>
        <v>0</v>
      </c>
      <c r="E603" s="886">
        <f>гар.вода!M603+хол.вода!Q603+ц.о.!M603+каналізація!Q603+аварійні!I603+зварювальн!M603</f>
        <v>0.18773940867649697</v>
      </c>
      <c r="F603" s="886">
        <f>дератизац.!I603</f>
        <v>0</v>
      </c>
      <c r="G603" s="886">
        <f>димоканал!R603</f>
        <v>8.7698143450180469E-2</v>
      </c>
      <c r="H603" s="886">
        <f>'підготовка до зими'!M603+майстерні!M603+маляри!M603+покрівлі!O603</f>
        <v>0.21516753054960358</v>
      </c>
      <c r="I603" s="886">
        <f>електрики!R603</f>
        <v>1.7444471083646128E-2</v>
      </c>
      <c r="J603" s="989">
        <f t="shared" si="72"/>
        <v>0.50804955375992722</v>
      </c>
      <c r="K603" s="989">
        <v>1.3286776894924275E-2</v>
      </c>
      <c r="L603" s="994">
        <f t="shared" si="71"/>
        <v>0.52133633065485152</v>
      </c>
      <c r="M603" s="994">
        <f t="shared" si="73"/>
        <v>0.62560359678582178</v>
      </c>
      <c r="N603" s="995">
        <v>2</v>
      </c>
      <c r="O603" s="1009">
        <v>0.54741520807088018</v>
      </c>
      <c r="P603" s="22">
        <f t="shared" si="74"/>
        <v>7.8188388714941603E-2</v>
      </c>
      <c r="Q603" s="982">
        <f t="shared" si="75"/>
        <v>14.283196294542421</v>
      </c>
      <c r="R603" s="6"/>
      <c r="S603" s="6"/>
      <c r="T603" s="6"/>
      <c r="U603" s="6"/>
      <c r="V603" s="6"/>
      <c r="W603" s="6"/>
      <c r="X603" s="6"/>
      <c r="Y603" s="6"/>
      <c r="Z603" s="6"/>
    </row>
    <row r="604" spans="1:26" s="93" customFormat="1" ht="15.75">
      <c r="A604" s="894">
        <v>68</v>
      </c>
      <c r="B604" s="233" t="s">
        <v>313</v>
      </c>
      <c r="C604" s="886">
        <f>cходова!R604</f>
        <v>0</v>
      </c>
      <c r="D604" s="886">
        <f>прибуд.!O604</f>
        <v>0</v>
      </c>
      <c r="E604" s="886">
        <f>гар.вода!M604+хол.вода!Q604+ц.о.!M604+каналізація!Q604+аварійні!I604+зварювальн!M604</f>
        <v>0.24590471339232134</v>
      </c>
      <c r="F604" s="886">
        <f>дератизац.!I604</f>
        <v>0</v>
      </c>
      <c r="G604" s="886">
        <f>димоканал!R604</f>
        <v>8.5398024732458097E-2</v>
      </c>
      <c r="H604" s="886">
        <f>'підготовка до зими'!M604+майстерні!M604+маляри!M604+покрівлі!O604</f>
        <v>0.2166456032622727</v>
      </c>
      <c r="I604" s="886">
        <f>електрики!R604</f>
        <v>2.7179108965145082E-2</v>
      </c>
      <c r="J604" s="989">
        <f t="shared" si="72"/>
        <v>0.57512745035219726</v>
      </c>
      <c r="K604" s="989">
        <v>1.4965998098096294E-2</v>
      </c>
      <c r="L604" s="994">
        <f t="shared" si="71"/>
        <v>0.59009344845029355</v>
      </c>
      <c r="M604" s="994">
        <f t="shared" si="73"/>
        <v>0.70811213814035223</v>
      </c>
      <c r="N604" s="995">
        <v>2</v>
      </c>
      <c r="O604" s="1009">
        <v>0.61659912164156738</v>
      </c>
      <c r="P604" s="22">
        <f t="shared" si="74"/>
        <v>9.1513016498784849E-2</v>
      </c>
      <c r="Q604" s="982">
        <f t="shared" si="75"/>
        <v>14.841574255758005</v>
      </c>
      <c r="R604" s="6"/>
      <c r="S604" s="6"/>
      <c r="T604" s="6"/>
      <c r="U604" s="6"/>
      <c r="V604" s="6"/>
      <c r="W604" s="6"/>
      <c r="X604" s="6"/>
      <c r="Y604" s="6"/>
      <c r="Z604" s="6"/>
    </row>
    <row r="605" spans="1:26" s="93" customFormat="1" ht="15.75">
      <c r="A605" s="894">
        <v>69</v>
      </c>
      <c r="B605" s="233" t="s">
        <v>314</v>
      </c>
      <c r="C605" s="886">
        <f>cходова!R605</f>
        <v>0</v>
      </c>
      <c r="D605" s="886">
        <f>прибуд.!O605</f>
        <v>0</v>
      </c>
      <c r="E605" s="886">
        <f>гар.вода!M605+хол.вода!Q605+ц.о.!M605+каналізація!Q605+аварійні!I605+зварювальн!M605</f>
        <v>0.17794841836065994</v>
      </c>
      <c r="F605" s="886">
        <f>дератизац.!I605</f>
        <v>0</v>
      </c>
      <c r="G605" s="886">
        <f>димоканал!R605</f>
        <v>7.9460272056937176E-2</v>
      </c>
      <c r="H605" s="886">
        <f>'підготовка до зими'!M605+майстерні!M605+маляри!M605+покрівлі!O605</f>
        <v>0.19633154860194613</v>
      </c>
      <c r="I605" s="886">
        <f>електрики!R605</f>
        <v>1.5805835376473325E-2</v>
      </c>
      <c r="J605" s="989">
        <f t="shared" si="72"/>
        <v>0.46954607439601653</v>
      </c>
      <c r="K605" s="989">
        <v>1.2266950989733176E-2</v>
      </c>
      <c r="L605" s="994">
        <f t="shared" si="71"/>
        <v>0.48181302538574972</v>
      </c>
      <c r="M605" s="994">
        <f t="shared" si="73"/>
        <v>0.57817563046289966</v>
      </c>
      <c r="N605" s="995">
        <v>2</v>
      </c>
      <c r="O605" s="1009">
        <v>0.50539838077700683</v>
      </c>
      <c r="P605" s="22">
        <f t="shared" si="74"/>
        <v>7.2777249685892831E-2</v>
      </c>
      <c r="Q605" s="982">
        <f t="shared" si="75"/>
        <v>14.399976821058274</v>
      </c>
      <c r="R605" s="6"/>
      <c r="S605" s="6"/>
      <c r="T605" s="6"/>
      <c r="U605" s="6"/>
      <c r="V605" s="6"/>
      <c r="W605" s="6"/>
      <c r="X605" s="6"/>
      <c r="Y605" s="6"/>
      <c r="Z605" s="6"/>
    </row>
    <row r="606" spans="1:26" s="93" customFormat="1" ht="15.75">
      <c r="A606" s="894">
        <v>70</v>
      </c>
      <c r="B606" s="233" t="s">
        <v>315</v>
      </c>
      <c r="C606" s="886">
        <f>cходова!R606</f>
        <v>0</v>
      </c>
      <c r="D606" s="886">
        <f>прибуд.!O606</f>
        <v>0</v>
      </c>
      <c r="E606" s="886">
        <f>гар.вода!M606+хол.вода!Q606+ц.о.!M606+каналізація!Q606+аварійні!I606+зварювальн!M606</f>
        <v>0.26368888102670202</v>
      </c>
      <c r="F606" s="886">
        <f>дератизац.!I606</f>
        <v>0</v>
      </c>
      <c r="G606" s="886">
        <f>димоканал!R606</f>
        <v>0.18637092326514088</v>
      </c>
      <c r="H606" s="886">
        <f>'підготовка до зими'!M606+майстерні!M606+маляри!M606+покрівлі!O606</f>
        <v>0.22654729488026057</v>
      </c>
      <c r="I606" s="886">
        <f>електрики!R606</f>
        <v>3.0155495537696992E-2</v>
      </c>
      <c r="J606" s="989">
        <f t="shared" si="72"/>
        <v>0.70676259470980041</v>
      </c>
      <c r="K606" s="989">
        <v>1.8442129532286234E-2</v>
      </c>
      <c r="L606" s="994">
        <f t="shared" si="71"/>
        <v>0.7252047242420866</v>
      </c>
      <c r="M606" s="994">
        <f t="shared" si="73"/>
        <v>0.87024566909050394</v>
      </c>
      <c r="N606" s="995">
        <v>2</v>
      </c>
      <c r="O606" s="1009">
        <v>0.75981573673019287</v>
      </c>
      <c r="P606" s="22">
        <f t="shared" si="74"/>
        <v>0.11042993236031107</v>
      </c>
      <c r="Q606" s="982">
        <f t="shared" si="75"/>
        <v>14.533777996693971</v>
      </c>
      <c r="R606" s="6"/>
      <c r="S606" s="6"/>
      <c r="T606" s="6"/>
      <c r="U606" s="6"/>
      <c r="V606" s="6"/>
      <c r="W606" s="6"/>
      <c r="X606" s="6"/>
      <c r="Y606" s="6"/>
      <c r="Z606" s="6"/>
    </row>
    <row r="607" spans="1:26" s="93" customFormat="1" ht="15.75">
      <c r="A607" s="894">
        <v>71</v>
      </c>
      <c r="B607" s="233" t="s">
        <v>316</v>
      </c>
      <c r="C607" s="886">
        <f>cходова!R607</f>
        <v>0</v>
      </c>
      <c r="D607" s="886">
        <f>прибуд.!O607</f>
        <v>0</v>
      </c>
      <c r="E607" s="886">
        <f>гар.вода!M607+хол.вода!Q607+ц.о.!M607+каналізація!Q607+аварійні!I607+зварювальн!M607</f>
        <v>0.12743438357079862</v>
      </c>
      <c r="F607" s="886">
        <f>дератизац.!I607</f>
        <v>0</v>
      </c>
      <c r="G607" s="886">
        <f>димоканал!R607</f>
        <v>1.9930012780805348E-2</v>
      </c>
      <c r="H607" s="886">
        <f>'підготовка до зими'!M607+майстерні!M607+маляри!M607+покрівлі!O607</f>
        <v>0.40663620578108772</v>
      </c>
      <c r="I607" s="886">
        <f>електрики!R607</f>
        <v>3.6986003952568562E-2</v>
      </c>
      <c r="J607" s="989">
        <f t="shared" si="72"/>
        <v>0.59098660608526021</v>
      </c>
      <c r="K607" s="989">
        <v>1.5213415512097279E-2</v>
      </c>
      <c r="L607" s="994">
        <f t="shared" ref="L607:L670" si="76">J607+K607</f>
        <v>0.60620002159735753</v>
      </c>
      <c r="M607" s="994">
        <f t="shared" si="73"/>
        <v>0.72744002591682899</v>
      </c>
      <c r="N607" s="995">
        <v>2</v>
      </c>
      <c r="O607" s="1009">
        <v>0.62679271909840795</v>
      </c>
      <c r="P607" s="22">
        <f t="shared" si="74"/>
        <v>0.10064730681842105</v>
      </c>
      <c r="Q607" s="982">
        <f t="shared" si="75"/>
        <v>16.057510521691171</v>
      </c>
      <c r="R607" s="6"/>
      <c r="S607" s="6"/>
      <c r="T607" s="6"/>
      <c r="U607" s="6"/>
      <c r="V607" s="6"/>
      <c r="W607" s="6"/>
      <c r="X607" s="6"/>
      <c r="Y607" s="6"/>
      <c r="Z607" s="6"/>
    </row>
    <row r="608" spans="1:26" s="93" customFormat="1" ht="15.75">
      <c r="A608" s="894">
        <v>72</v>
      </c>
      <c r="B608" s="233" t="s">
        <v>317</v>
      </c>
      <c r="C608" s="886">
        <f>cходова!R608</f>
        <v>0</v>
      </c>
      <c r="D608" s="886">
        <f>прибуд.!O608</f>
        <v>0</v>
      </c>
      <c r="E608" s="886">
        <f>гар.вода!M608+хол.вода!Q608+ц.о.!M608+каналізація!Q608+аварійні!I608+зварювальн!M608</f>
        <v>0.19676716445672104</v>
      </c>
      <c r="F608" s="886">
        <f>дератизац.!I608</f>
        <v>0</v>
      </c>
      <c r="G608" s="886">
        <f>димоканал!R608</f>
        <v>9.5293850185463561E-2</v>
      </c>
      <c r="H608" s="886">
        <f>'підготовка до зими'!M608+майстерні!M608+маляри!M608+покрівлі!O608</f>
        <v>0.18628267987919034</v>
      </c>
      <c r="I608" s="886">
        <f>електрики!R608</f>
        <v>1.8955370645377154E-2</v>
      </c>
      <c r="J608" s="989">
        <f t="shared" si="72"/>
        <v>0.4972990651667521</v>
      </c>
      <c r="K608" s="989">
        <v>1.2985174329218049E-2</v>
      </c>
      <c r="L608" s="994">
        <f t="shared" si="76"/>
        <v>0.51028423949597013</v>
      </c>
      <c r="M608" s="994">
        <f t="shared" si="73"/>
        <v>0.61234108739516413</v>
      </c>
      <c r="N608" s="995">
        <v>2</v>
      </c>
      <c r="O608" s="1009">
        <v>0.53498918236378368</v>
      </c>
      <c r="P608" s="22">
        <f t="shared" si="74"/>
        <v>7.7351905031380452E-2</v>
      </c>
      <c r="Q608" s="982">
        <f t="shared" si="75"/>
        <v>14.45859235687918</v>
      </c>
      <c r="R608" s="6"/>
      <c r="S608" s="6"/>
      <c r="T608" s="6"/>
      <c r="U608" s="6"/>
      <c r="V608" s="6"/>
      <c r="W608" s="6"/>
      <c r="X608" s="6"/>
      <c r="Y608" s="6"/>
      <c r="Z608" s="6"/>
    </row>
    <row r="609" spans="1:26" s="93" customFormat="1" ht="15.75">
      <c r="A609" s="894">
        <v>73</v>
      </c>
      <c r="B609" s="233" t="s">
        <v>318</v>
      </c>
      <c r="C609" s="886">
        <f>cходова!R609</f>
        <v>0</v>
      </c>
      <c r="D609" s="886">
        <f>прибуд.!O609</f>
        <v>0</v>
      </c>
      <c r="E609" s="886">
        <f>гар.вода!M609+хол.вода!Q609+ц.о.!M609+каналізація!Q609+аварійні!I609+зварювальн!M609</f>
        <v>0.19638377382710981</v>
      </c>
      <c r="F609" s="886">
        <f>дератизац.!I609</f>
        <v>0</v>
      </c>
      <c r="G609" s="886">
        <f>димоканал!R609</f>
        <v>9.497127579837597E-2</v>
      </c>
      <c r="H609" s="886">
        <f>'підготовка до зими'!M609+майстерні!M609+маляри!M609+покрівлі!O609</f>
        <v>0.18595469516706392</v>
      </c>
      <c r="I609" s="886">
        <f>електрики!R609</f>
        <v>1.889120578000493E-2</v>
      </c>
      <c r="J609" s="989">
        <f t="shared" si="72"/>
        <v>0.49620095057255464</v>
      </c>
      <c r="K609" s="989">
        <v>1.2956997259087685E-2</v>
      </c>
      <c r="L609" s="994">
        <f t="shared" si="76"/>
        <v>0.50915794783164237</v>
      </c>
      <c r="M609" s="994">
        <f t="shared" si="73"/>
        <v>0.61098953739797079</v>
      </c>
      <c r="N609" s="995">
        <v>2</v>
      </c>
      <c r="O609" s="1009">
        <v>0.53382828707441266</v>
      </c>
      <c r="P609" s="22">
        <f t="shared" si="74"/>
        <v>7.7161250323558139E-2</v>
      </c>
      <c r="Q609" s="982">
        <f t="shared" si="75"/>
        <v>14.454320273365795</v>
      </c>
      <c r="R609" s="6"/>
      <c r="S609" s="6"/>
      <c r="T609" s="6"/>
      <c r="U609" s="6"/>
      <c r="V609" s="6"/>
      <c r="W609" s="6"/>
      <c r="X609" s="6"/>
      <c r="Y609" s="6"/>
      <c r="Z609" s="6"/>
    </row>
    <row r="610" spans="1:26" s="93" customFormat="1" ht="15.75">
      <c r="A610" s="894">
        <v>74</v>
      </c>
      <c r="B610" s="233" t="s">
        <v>319</v>
      </c>
      <c r="C610" s="886">
        <f>cходова!R610</f>
        <v>0</v>
      </c>
      <c r="D610" s="886">
        <f>прибуд.!O610</f>
        <v>0</v>
      </c>
      <c r="E610" s="886">
        <f>гар.вода!M610+хол.вода!Q610+ц.о.!M610+каналізація!Q610+аварійні!I610+зварювальн!M610</f>
        <v>0.18245562867145115</v>
      </c>
      <c r="F610" s="886">
        <f>дератизац.!I610</f>
        <v>0</v>
      </c>
      <c r="G610" s="886">
        <f>димоканал!R610</f>
        <v>8.3252515505747485E-2</v>
      </c>
      <c r="H610" s="886">
        <f>'підготовка до зими'!M610+майстерні!M610+маляри!M610+покрівлі!O610</f>
        <v>0.20881016474458761</v>
      </c>
      <c r="I610" s="886">
        <f>електрики!R610</f>
        <v>1.6560169260662089E-2</v>
      </c>
      <c r="J610" s="989">
        <f t="shared" si="72"/>
        <v>0.49107847818244832</v>
      </c>
      <c r="K610" s="989">
        <v>1.284546564745425E-2</v>
      </c>
      <c r="L610" s="994">
        <f t="shared" si="76"/>
        <v>0.50392394382990258</v>
      </c>
      <c r="M610" s="994">
        <f t="shared" si="73"/>
        <v>0.60470873259588309</v>
      </c>
      <c r="N610" s="995">
        <v>1</v>
      </c>
      <c r="O610" s="1009">
        <v>0.52923318467511515</v>
      </c>
      <c r="P610" s="22">
        <f t="shared" si="74"/>
        <v>7.5475547920767938E-2</v>
      </c>
      <c r="Q610" s="982">
        <f t="shared" si="75"/>
        <v>14.261302976891116</v>
      </c>
      <c r="R610" s="6"/>
      <c r="S610" s="6"/>
      <c r="T610" s="6"/>
      <c r="U610" s="6"/>
      <c r="V610" s="6"/>
      <c r="W610" s="6"/>
      <c r="X610" s="6"/>
      <c r="Y610" s="6"/>
      <c r="Z610" s="6"/>
    </row>
    <row r="611" spans="1:26" s="93" customFormat="1" ht="15.75">
      <c r="A611" s="894">
        <v>75</v>
      </c>
      <c r="B611" s="233" t="s">
        <v>320</v>
      </c>
      <c r="C611" s="886">
        <f>cходова!R611</f>
        <v>0</v>
      </c>
      <c r="D611" s="886">
        <f>прибуд.!O611</f>
        <v>0</v>
      </c>
      <c r="E611" s="886">
        <f>гар.вода!M611+хол.вода!Q611+ц.о.!M611+каналізація!Q611+аварійні!I611+зварювальн!M611</f>
        <v>0.19839306141094126</v>
      </c>
      <c r="F611" s="886">
        <f>дератизац.!I611</f>
        <v>0</v>
      </c>
      <c r="G611" s="886">
        <f>димоканал!R611</f>
        <v>9.6661835402022042E-2</v>
      </c>
      <c r="H611" s="886">
        <f>'підготовка до зими'!M611+майстерні!M611+маляри!M611+покрівлі!O611</f>
        <v>0.18767360939934569</v>
      </c>
      <c r="I611" s="886">
        <f>електрики!R611</f>
        <v>1.9227483344851415E-2</v>
      </c>
      <c r="J611" s="989">
        <f t="shared" si="72"/>
        <v>0.50195598955716036</v>
      </c>
      <c r="K611" s="989">
        <v>1.3104668675102989E-2</v>
      </c>
      <c r="L611" s="994">
        <f t="shared" si="76"/>
        <v>0.51506065823226332</v>
      </c>
      <c r="M611" s="994">
        <f t="shared" si="73"/>
        <v>0.61807278987871594</v>
      </c>
      <c r="N611" s="995">
        <v>2</v>
      </c>
      <c r="O611" s="1009">
        <v>0.53991234941424315</v>
      </c>
      <c r="P611" s="22">
        <f t="shared" si="74"/>
        <v>7.8160440464472791E-2</v>
      </c>
      <c r="Q611" s="982">
        <f t="shared" si="75"/>
        <v>14.476505408566751</v>
      </c>
      <c r="R611" s="6"/>
      <c r="S611" s="6"/>
      <c r="T611" s="6"/>
      <c r="U611" s="6"/>
      <c r="V611" s="6"/>
      <c r="W611" s="6"/>
      <c r="X611" s="6"/>
      <c r="Y611" s="6"/>
      <c r="Z611" s="6"/>
    </row>
    <row r="612" spans="1:26" s="93" customFormat="1" ht="15.75">
      <c r="A612" s="894">
        <v>76</v>
      </c>
      <c r="B612" s="233" t="s">
        <v>321</v>
      </c>
      <c r="C612" s="886">
        <f>cходова!R612</f>
        <v>0</v>
      </c>
      <c r="D612" s="886">
        <f>прибуд.!O612</f>
        <v>0</v>
      </c>
      <c r="E612" s="886">
        <f>гар.вода!M612+хол.вода!Q612+ц.о.!M612+каналізація!Q612+аварійні!I612+зварювальн!M612</f>
        <v>0.2197972084461951</v>
      </c>
      <c r="F612" s="886">
        <f>дератизац.!I612</f>
        <v>0</v>
      </c>
      <c r="G612" s="886">
        <f>димоканал!R612</f>
        <v>0.11467069915028705</v>
      </c>
      <c r="H612" s="886">
        <f>'підготовка до зими'!M612+майстерні!M612+маляри!M612+покрівлі!O612</f>
        <v>0.2820068604917384</v>
      </c>
      <c r="I612" s="886">
        <f>електрики!R612</f>
        <v>2.5144153025453669E-2</v>
      </c>
      <c r="J612" s="989">
        <f t="shared" si="72"/>
        <v>0.64161892111367425</v>
      </c>
      <c r="K612" s="989">
        <v>1.6722046633327266E-2</v>
      </c>
      <c r="L612" s="994">
        <f t="shared" si="76"/>
        <v>0.65834096774700146</v>
      </c>
      <c r="M612" s="994">
        <f t="shared" si="73"/>
        <v>0.79000916129640175</v>
      </c>
      <c r="N612" s="995">
        <v>2</v>
      </c>
      <c r="O612" s="1009">
        <v>0.68894832129308348</v>
      </c>
      <c r="P612" s="22">
        <f t="shared" si="74"/>
        <v>0.10106084000331828</v>
      </c>
      <c r="Q612" s="982">
        <f t="shared" si="75"/>
        <v>14.668856411992962</v>
      </c>
      <c r="R612" s="6"/>
      <c r="S612" s="6"/>
      <c r="T612" s="6"/>
      <c r="U612" s="6"/>
      <c r="V612" s="6"/>
      <c r="W612" s="6"/>
      <c r="X612" s="6"/>
      <c r="Y612" s="6"/>
      <c r="Z612" s="6"/>
    </row>
    <row r="613" spans="1:26" s="93" customFormat="1" ht="15.75">
      <c r="A613" s="894">
        <v>77</v>
      </c>
      <c r="B613" s="233" t="s">
        <v>322</v>
      </c>
      <c r="C613" s="886">
        <f>cходова!R613</f>
        <v>0</v>
      </c>
      <c r="D613" s="886">
        <f>прибуд.!O613</f>
        <v>0</v>
      </c>
      <c r="E613" s="886">
        <f>гар.вода!M613+хол.вода!Q613+ц.о.!M613+каналізація!Q613+аварійні!I613+зварювальн!M613</f>
        <v>0.16886288139042763</v>
      </c>
      <c r="F613" s="886">
        <f>дератизац.!I613</f>
        <v>0</v>
      </c>
      <c r="G613" s="886">
        <f>димоканал!R613</f>
        <v>7.1815949809138815E-2</v>
      </c>
      <c r="H613" s="886">
        <f>'підготовка до зими'!M613+майстерні!M613+маляри!M613+покрівлі!O613</f>
        <v>0.32707086777675543</v>
      </c>
      <c r="I613" s="886">
        <f>електрики!R613</f>
        <v>1.4285265462909019E-2</v>
      </c>
      <c r="J613" s="989">
        <f t="shared" si="72"/>
        <v>0.58203496443923086</v>
      </c>
      <c r="K613" s="989">
        <v>1.5158248370144227E-2</v>
      </c>
      <c r="L613" s="994">
        <f t="shared" si="76"/>
        <v>0.5971932128093751</v>
      </c>
      <c r="M613" s="994">
        <f t="shared" si="73"/>
        <v>0.71663185537125007</v>
      </c>
      <c r="N613" s="995">
        <v>2</v>
      </c>
      <c r="O613" s="1009">
        <v>0.62451983284994217</v>
      </c>
      <c r="P613" s="22">
        <f t="shared" si="74"/>
        <v>9.2112022521307901E-2</v>
      </c>
      <c r="Q613" s="982">
        <f t="shared" si="75"/>
        <v>14.749254975772772</v>
      </c>
      <c r="R613" s="6"/>
      <c r="S613" s="6"/>
      <c r="T613" s="6"/>
      <c r="U613" s="6"/>
      <c r="V613" s="6"/>
      <c r="W613" s="6"/>
      <c r="X613" s="6"/>
      <c r="Y613" s="6"/>
      <c r="Z613" s="6"/>
    </row>
    <row r="614" spans="1:26" s="93" customFormat="1" ht="15.75">
      <c r="A614" s="894">
        <v>78</v>
      </c>
      <c r="B614" s="233" t="s">
        <v>323</v>
      </c>
      <c r="C614" s="886">
        <f>cходова!R614</f>
        <v>0</v>
      </c>
      <c r="D614" s="886">
        <f>прибуд.!O614</f>
        <v>0</v>
      </c>
      <c r="E614" s="886">
        <f>гар.вода!M614+хол.вода!Q614+ц.о.!M614+каналізація!Q614+аварійні!I614+зварювальн!M614</f>
        <v>0.23530821290224085</v>
      </c>
      <c r="F614" s="886">
        <f>дератизац.!I614</f>
        <v>0</v>
      </c>
      <c r="G614" s="886">
        <f>димоканал!R614</f>
        <v>6.3860616977473972E-2</v>
      </c>
      <c r="H614" s="886">
        <f>'підготовка до зими'!M614+майстерні!M614+маляри!M614+покрівлі!O614</f>
        <v>0.25507315967754357</v>
      </c>
      <c r="I614" s="886">
        <f>електрики!R614</f>
        <v>2.5405661794429997E-2</v>
      </c>
      <c r="J614" s="989">
        <f t="shared" si="72"/>
        <v>0.57964765135168839</v>
      </c>
      <c r="K614" s="989">
        <v>1.5058507861235252E-2</v>
      </c>
      <c r="L614" s="994">
        <f t="shared" si="76"/>
        <v>0.59470615921292369</v>
      </c>
      <c r="M614" s="994">
        <f t="shared" si="73"/>
        <v>0.71364739105550845</v>
      </c>
      <c r="N614" s="995">
        <v>2</v>
      </c>
      <c r="O614" s="1009">
        <v>0.62041052388289242</v>
      </c>
      <c r="P614" s="22">
        <f t="shared" si="74"/>
        <v>9.3236867172616034E-2</v>
      </c>
      <c r="Q614" s="982">
        <f t="shared" si="75"/>
        <v>15.028253645519271</v>
      </c>
      <c r="R614" s="6"/>
      <c r="S614" s="6"/>
      <c r="T614" s="6"/>
      <c r="U614" s="6"/>
      <c r="V614" s="6"/>
      <c r="W614" s="6"/>
      <c r="X614" s="6"/>
      <c r="Y614" s="6"/>
      <c r="Z614" s="6"/>
    </row>
    <row r="615" spans="1:26" s="93" customFormat="1" ht="15.75">
      <c r="A615" s="894">
        <v>79</v>
      </c>
      <c r="B615" s="233" t="s">
        <v>324</v>
      </c>
      <c r="C615" s="886">
        <f>cходова!R615</f>
        <v>0</v>
      </c>
      <c r="D615" s="886">
        <f>прибуд.!O615</f>
        <v>0</v>
      </c>
      <c r="E615" s="886">
        <f>гар.вода!M615+хол.вода!Q615+ц.о.!M615+каналізація!Q615+аварійні!I615+зварювальн!M615</f>
        <v>0.13062770968754572</v>
      </c>
      <c r="F615" s="886">
        <f>дератизац.!I615</f>
        <v>0</v>
      </c>
      <c r="G615" s="886">
        <f>димоканал!R615</f>
        <v>5.946888354426097E-2</v>
      </c>
      <c r="H615" s="886">
        <f>'підготовка до зими'!M615+майстерні!M615+маляри!M615+покрівлі!O615</f>
        <v>0.15446864235400945</v>
      </c>
      <c r="I615" s="886">
        <f>електрики!R615</f>
        <v>7.8861663318555673E-3</v>
      </c>
      <c r="J615" s="989">
        <f t="shared" si="72"/>
        <v>0.35245140191767171</v>
      </c>
      <c r="K615" s="989">
        <v>9.2993593843429968E-3</v>
      </c>
      <c r="L615" s="994">
        <f t="shared" si="76"/>
        <v>0.36175076130201472</v>
      </c>
      <c r="M615" s="994">
        <f t="shared" si="73"/>
        <v>0.43410091356241765</v>
      </c>
      <c r="N615" s="995">
        <v>2</v>
      </c>
      <c r="O615" s="1009">
        <v>0.38313360663493146</v>
      </c>
      <c r="P615" s="22">
        <f t="shared" si="74"/>
        <v>5.0967306927486189E-2</v>
      </c>
      <c r="Q615" s="982">
        <f t="shared" si="75"/>
        <v>13.302750279499847</v>
      </c>
      <c r="R615" s="6"/>
      <c r="S615" s="6"/>
      <c r="T615" s="6"/>
      <c r="U615" s="6"/>
      <c r="V615" s="6"/>
      <c r="W615" s="6"/>
      <c r="X615" s="6"/>
      <c r="Y615" s="6"/>
      <c r="Z615" s="6"/>
    </row>
    <row r="616" spans="1:26" s="93" customFormat="1" ht="15.75">
      <c r="A616" s="894">
        <v>80</v>
      </c>
      <c r="B616" s="233" t="s">
        <v>325</v>
      </c>
      <c r="C616" s="886">
        <f>cходова!R616</f>
        <v>0</v>
      </c>
      <c r="D616" s="886">
        <f>прибуд.!O616</f>
        <v>0</v>
      </c>
      <c r="E616" s="886">
        <f>гар.вода!M616+хол.вода!Q616+ц.о.!M616+каналізація!Q616+аварійні!I616+зварювальн!M616</f>
        <v>0.23348751088992903</v>
      </c>
      <c r="F616" s="886">
        <f>дератизац.!I616</f>
        <v>0</v>
      </c>
      <c r="G616" s="886">
        <f>димоканал!R616</f>
        <v>6.3094672545960045E-2</v>
      </c>
      <c r="H616" s="886">
        <f>'підготовка до зими'!M616+майстерні!M616+маляри!M616+покрівлі!O616</f>
        <v>0.193204213863538</v>
      </c>
      <c r="I616" s="886">
        <f>електрики!R616</f>
        <v>2.5100946210688712E-2</v>
      </c>
      <c r="J616" s="989">
        <f t="shared" si="72"/>
        <v>0.51488734351011578</v>
      </c>
      <c r="K616" s="989">
        <v>1.3405440009677047E-2</v>
      </c>
      <c r="L616" s="994">
        <f t="shared" si="76"/>
        <v>0.52829278351979281</v>
      </c>
      <c r="M616" s="994">
        <f t="shared" si="73"/>
        <v>0.63395134022375133</v>
      </c>
      <c r="N616" s="995">
        <v>1</v>
      </c>
      <c r="O616" s="1009">
        <v>0.55230412839869436</v>
      </c>
      <c r="P616" s="22">
        <f t="shared" si="74"/>
        <v>8.1647211825056965E-2</v>
      </c>
      <c r="Q616" s="982">
        <f t="shared" si="75"/>
        <v>14.783016752342277</v>
      </c>
      <c r="R616" s="6"/>
      <c r="S616" s="6"/>
      <c r="T616" s="6"/>
      <c r="U616" s="6"/>
      <c r="V616" s="6"/>
      <c r="W616" s="6"/>
      <c r="X616" s="6"/>
      <c r="Y616" s="6"/>
      <c r="Z616" s="6"/>
    </row>
    <row r="617" spans="1:26" s="93" customFormat="1" ht="15.75">
      <c r="A617" s="894">
        <v>81</v>
      </c>
      <c r="B617" s="233" t="s">
        <v>326</v>
      </c>
      <c r="C617" s="886">
        <f>cходова!R617</f>
        <v>0</v>
      </c>
      <c r="D617" s="886">
        <f>прибуд.!O617</f>
        <v>0</v>
      </c>
      <c r="E617" s="886">
        <f>гар.вода!M617+хол.вода!Q617+ц.о.!M617+каналізація!Q617+аварійні!I617+зварювальн!M617</f>
        <v>0.2099760561430776</v>
      </c>
      <c r="F617" s="886">
        <f>дератизац.!I617</f>
        <v>0</v>
      </c>
      <c r="G617" s="886">
        <f>димоканал!R617</f>
        <v>5.3203725143053542E-2</v>
      </c>
      <c r="H617" s="886">
        <f>'підготовка до зими'!M617+майстерні!M617+маляри!M617+покрівлі!O617</f>
        <v>0.20955085136254042</v>
      </c>
      <c r="I617" s="886">
        <f>електрики!R617</f>
        <v>2.1166031760466969E-2</v>
      </c>
      <c r="J617" s="989">
        <f t="shared" si="72"/>
        <v>0.49389666440913849</v>
      </c>
      <c r="K617" s="989">
        <v>1.2867243400866131E-2</v>
      </c>
      <c r="L617" s="994">
        <f t="shared" si="76"/>
        <v>0.50676390781000458</v>
      </c>
      <c r="M617" s="994">
        <f t="shared" si="73"/>
        <v>0.60811668937200547</v>
      </c>
      <c r="N617" s="995">
        <v>2</v>
      </c>
      <c r="O617" s="1009">
        <v>0.53013042811568456</v>
      </c>
      <c r="P617" s="22">
        <f t="shared" si="74"/>
        <v>7.798626125632091E-2</v>
      </c>
      <c r="Q617" s="982">
        <f t="shared" si="75"/>
        <v>14.71076873167199</v>
      </c>
      <c r="R617" s="6"/>
      <c r="S617" s="6"/>
      <c r="T617" s="6"/>
      <c r="U617" s="6"/>
      <c r="V617" s="6"/>
      <c r="W617" s="6"/>
      <c r="X617" s="6"/>
      <c r="Y617" s="6"/>
      <c r="Z617" s="6"/>
    </row>
    <row r="618" spans="1:26" s="93" customFormat="1" ht="15.75">
      <c r="A618" s="894">
        <v>82</v>
      </c>
      <c r="B618" s="233" t="s">
        <v>327</v>
      </c>
      <c r="C618" s="886">
        <f>cходова!R618</f>
        <v>0.41615734405357391</v>
      </c>
      <c r="D618" s="886">
        <f>прибуд.!O618</f>
        <v>0.65376266353800805</v>
      </c>
      <c r="E618" s="886">
        <f>гар.вода!M618+хол.вода!Q618+ц.о.!M618+каналізація!Q618+аварійні!I618+зварювальн!M618</f>
        <v>0.30560699673776603</v>
      </c>
      <c r="F618" s="886">
        <f>дератизац.!I618</f>
        <v>2.2028122313643619E-3</v>
      </c>
      <c r="G618" s="886">
        <f>димоканал!R618</f>
        <v>1.3386157815787433E-2</v>
      </c>
      <c r="H618" s="886">
        <f>'підготовка до зими'!M618+майстерні!M618+маляри!M618+покрівлі!O618</f>
        <v>0.1128464709618983</v>
      </c>
      <c r="I618" s="886">
        <f>електрики!R618</f>
        <v>1.3014519934371216E-2</v>
      </c>
      <c r="J618" s="989">
        <f t="shared" si="72"/>
        <v>1.5169769652727694</v>
      </c>
      <c r="K618" s="989">
        <v>3.8340090536674878E-2</v>
      </c>
      <c r="L618" s="994">
        <f t="shared" si="76"/>
        <v>1.5553170558094442</v>
      </c>
      <c r="M618" s="994">
        <f t="shared" si="73"/>
        <v>1.8663804669713331</v>
      </c>
      <c r="N618" s="995">
        <v>5</v>
      </c>
      <c r="O618" s="1009">
        <v>1.5796117301110049</v>
      </c>
      <c r="P618" s="22">
        <f t="shared" si="74"/>
        <v>0.28676873686032822</v>
      </c>
      <c r="Q618" s="982">
        <f t="shared" si="75"/>
        <v>18.15438132003338</v>
      </c>
      <c r="R618" s="6"/>
      <c r="S618" s="6"/>
      <c r="T618" s="6"/>
      <c r="U618" s="6"/>
      <c r="V618" s="6"/>
      <c r="W618" s="6"/>
      <c r="X618" s="6"/>
      <c r="Y618" s="6"/>
      <c r="Z618" s="6"/>
    </row>
    <row r="619" spans="1:26" s="93" customFormat="1" ht="15.75">
      <c r="A619" s="894">
        <v>83</v>
      </c>
      <c r="B619" s="233" t="s">
        <v>328</v>
      </c>
      <c r="C619" s="886">
        <f>cходова!R619</f>
        <v>0.56276281064011779</v>
      </c>
      <c r="D619" s="886">
        <f>прибуд.!O619</f>
        <v>0.3234433963035348</v>
      </c>
      <c r="E619" s="886">
        <f>гар.вода!M619+хол.вода!Q619+ц.о.!M619+каналізація!Q619+аварійні!I619+зварювальн!M619</f>
        <v>0.31850896741091406</v>
      </c>
      <c r="F619" s="886">
        <f>дератизац.!I619</f>
        <v>2.3386098217436425E-3</v>
      </c>
      <c r="G619" s="886">
        <f>димоканал!R619</f>
        <v>1.6553027023882803E-2</v>
      </c>
      <c r="H619" s="886">
        <f>'підготовка до зими'!M619+майстерні!M619+маляри!M619+покрівлі!O619</f>
        <v>0.11006709602193626</v>
      </c>
      <c r="I619" s="886">
        <f>електрики!R619</f>
        <v>1.3983492857868375E-2</v>
      </c>
      <c r="J619" s="989">
        <f t="shared" si="72"/>
        <v>1.3476574000799979</v>
      </c>
      <c r="K619" s="989">
        <v>3.4251515658466798E-2</v>
      </c>
      <c r="L619" s="994">
        <f t="shared" si="76"/>
        <v>1.3819089157384647</v>
      </c>
      <c r="M619" s="994">
        <f t="shared" si="73"/>
        <v>1.6582906988861577</v>
      </c>
      <c r="N619" s="995">
        <v>9</v>
      </c>
      <c r="O619" s="1009">
        <v>1.411162445128832</v>
      </c>
      <c r="P619" s="22">
        <f t="shared" si="74"/>
        <v>0.24712825375732561</v>
      </c>
      <c r="Q619" s="982">
        <f t="shared" si="75"/>
        <v>17.512388783473057</v>
      </c>
      <c r="R619" s="6"/>
      <c r="S619" s="6"/>
      <c r="T619" s="6"/>
      <c r="U619" s="6"/>
      <c r="V619" s="6"/>
      <c r="W619" s="6"/>
      <c r="X619" s="6"/>
      <c r="Y619" s="6"/>
      <c r="Z619" s="6"/>
    </row>
    <row r="620" spans="1:26" s="93" customFormat="1" ht="15.75">
      <c r="A620" s="894">
        <v>84</v>
      </c>
      <c r="B620" s="233" t="s">
        <v>329</v>
      </c>
      <c r="C620" s="886">
        <f>cходова!R620</f>
        <v>0.61614283136392178</v>
      </c>
      <c r="D620" s="886">
        <f>прибуд.!O620</f>
        <v>0.42441569870621693</v>
      </c>
      <c r="E620" s="886">
        <f>гар.вода!M620+хол.вода!Q620+ц.о.!M620+каналізація!Q620+аварійні!I620+зварювальн!M620</f>
        <v>0.33316222841273974</v>
      </c>
      <c r="F620" s="886">
        <f>дератизац.!I620</f>
        <v>3.0476413630635374E-3</v>
      </c>
      <c r="G620" s="886">
        <f>димоканал!R620</f>
        <v>1.9296828064605566E-2</v>
      </c>
      <c r="H620" s="886">
        <f>'підготовка до зими'!M620+майстерні!M620+маляри!M620+покрівлі!O620</f>
        <v>0.11379249186032003</v>
      </c>
      <c r="I620" s="886">
        <f>електрики!R620</f>
        <v>1.6478044549941284E-2</v>
      </c>
      <c r="J620" s="989">
        <f t="shared" si="72"/>
        <v>1.5263357643208089</v>
      </c>
      <c r="K620" s="989">
        <v>3.8606105166106526E-2</v>
      </c>
      <c r="L620" s="994">
        <f t="shared" si="76"/>
        <v>1.5649418694869155</v>
      </c>
      <c r="M620" s="994">
        <f t="shared" si="73"/>
        <v>1.8779302433842986</v>
      </c>
      <c r="N620" s="995">
        <v>9</v>
      </c>
      <c r="O620" s="1009">
        <v>1.590571532843589</v>
      </c>
      <c r="P620" s="22">
        <f t="shared" si="74"/>
        <v>0.28735871054070961</v>
      </c>
      <c r="Q620" s="982">
        <f t="shared" si="75"/>
        <v>18.066380832742297</v>
      </c>
      <c r="R620" s="6"/>
      <c r="S620" s="6"/>
      <c r="T620" s="6"/>
      <c r="U620" s="6"/>
      <c r="V620" s="6"/>
      <c r="W620" s="6"/>
      <c r="X620" s="6"/>
      <c r="Y620" s="6"/>
      <c r="Z620" s="6"/>
    </row>
    <row r="621" spans="1:26" s="93" customFormat="1" ht="15.75">
      <c r="A621" s="894">
        <v>85</v>
      </c>
      <c r="B621" s="233" t="s">
        <v>330</v>
      </c>
      <c r="C621" s="886">
        <f>cходова!R621</f>
        <v>0.53772043138486625</v>
      </c>
      <c r="D621" s="886">
        <f>прибуд.!O621</f>
        <v>0.34844194640479959</v>
      </c>
      <c r="E621" s="886">
        <f>гар.вода!M621+хол.вода!Q621+ц.о.!M621+каналізація!Q621+аварійні!I621+зварювальн!M621</f>
        <v>0.31812582480640117</v>
      </c>
      <c r="F621" s="886">
        <f>дератизац.!I621</f>
        <v>3.9275910151679834E-3</v>
      </c>
      <c r="G621" s="886">
        <f>димоканал!R621</f>
        <v>1.6474116433740877E-2</v>
      </c>
      <c r="H621" s="886">
        <f>'підготовка до зими'!M621+майстерні!M621+маляри!M621+покрівлі!O621</f>
        <v>0.11002303919764739</v>
      </c>
      <c r="I621" s="886">
        <f>електрики!R621</f>
        <v>1.3916831595727756E-2</v>
      </c>
      <c r="J621" s="989">
        <f t="shared" si="72"/>
        <v>1.3486297808383509</v>
      </c>
      <c r="K621" s="989">
        <v>3.4444334728056143E-2</v>
      </c>
      <c r="L621" s="994">
        <f t="shared" si="76"/>
        <v>1.383074115566407</v>
      </c>
      <c r="M621" s="994">
        <f t="shared" si="73"/>
        <v>1.6596889386796885</v>
      </c>
      <c r="N621" s="995">
        <v>9</v>
      </c>
      <c r="O621" s="1009">
        <v>1.4191065907959131</v>
      </c>
      <c r="P621" s="22">
        <f t="shared" si="74"/>
        <v>0.24058234788377542</v>
      </c>
      <c r="Q621" s="982">
        <f t="shared" si="75"/>
        <v>16.953085091997465</v>
      </c>
      <c r="R621" s="6"/>
      <c r="S621" s="6"/>
      <c r="T621" s="6"/>
      <c r="U621" s="6"/>
      <c r="V621" s="6"/>
      <c r="W621" s="6"/>
      <c r="X621" s="6"/>
      <c r="Y621" s="6"/>
      <c r="Z621" s="6"/>
    </row>
    <row r="622" spans="1:26" s="93" customFormat="1" ht="15.75">
      <c r="A622" s="894">
        <v>86</v>
      </c>
      <c r="B622" s="233" t="s">
        <v>331</v>
      </c>
      <c r="C622" s="886">
        <f>cходова!R622</f>
        <v>0.608453251942221</v>
      </c>
      <c r="D622" s="886">
        <f>прибуд.!O622</f>
        <v>0.43738141677755332</v>
      </c>
      <c r="E622" s="886">
        <f>гар.вода!M622+хол.вода!Q622+ц.о.!M622+каналізація!Q622+аварійні!I622+зварювальн!M622</f>
        <v>0.33913162249620232</v>
      </c>
      <c r="F622" s="886">
        <f>дератизац.!I622</f>
        <v>3.3288440297496369E-3</v>
      </c>
      <c r="G622" s="886">
        <f>димоканал!R622</f>
        <v>2.0627909284308358E-2</v>
      </c>
      <c r="H622" s="886">
        <f>'підготовка до зими'!M622+майстерні!M622+маляри!M622+покрівлі!O622</f>
        <v>0.11187962295945604</v>
      </c>
      <c r="I622" s="886">
        <f>електрики!R622</f>
        <v>1.742582922952431E-2</v>
      </c>
      <c r="J622" s="989">
        <f t="shared" si="72"/>
        <v>1.538228496719015</v>
      </c>
      <c r="K622" s="989">
        <v>3.870751600336627E-2</v>
      </c>
      <c r="L622" s="994">
        <f t="shared" si="76"/>
        <v>1.5769360127223813</v>
      </c>
      <c r="M622" s="994">
        <f t="shared" si="73"/>
        <v>1.8923232152668574</v>
      </c>
      <c r="N622" s="995">
        <v>9</v>
      </c>
      <c r="O622" s="1009">
        <v>1.5947496593386903</v>
      </c>
      <c r="P622" s="22">
        <f t="shared" si="74"/>
        <v>0.29757355592816714</v>
      </c>
      <c r="Q622" s="982">
        <f t="shared" si="75"/>
        <v>18.659577958559638</v>
      </c>
      <c r="R622" s="6"/>
      <c r="S622" s="6"/>
      <c r="T622" s="6"/>
      <c r="U622" s="6"/>
      <c r="V622" s="6"/>
      <c r="W622" s="6"/>
      <c r="X622" s="6"/>
      <c r="Y622" s="6"/>
      <c r="Z622" s="6"/>
    </row>
    <row r="623" spans="1:26" s="93" customFormat="1" ht="15.75">
      <c r="A623" s="894">
        <v>87</v>
      </c>
      <c r="B623" s="233" t="s">
        <v>332</v>
      </c>
      <c r="C623" s="886">
        <f>cходова!R623</f>
        <v>0</v>
      </c>
      <c r="D623" s="886">
        <f>прибуд.!O623</f>
        <v>1.6973295825503356E-2</v>
      </c>
      <c r="E623" s="886">
        <f>гар.вода!M623+хол.вода!Q623+ц.о.!M623+каналізація!Q623+аварійні!I623+зварювальн!M623</f>
        <v>0.21778487249448369</v>
      </c>
      <c r="F623" s="886">
        <f>дератизац.!I623</f>
        <v>0</v>
      </c>
      <c r="G623" s="886">
        <f>димоканал!R623</f>
        <v>7.8082571953335539E-2</v>
      </c>
      <c r="H623" s="886">
        <f>'підготовка до зими'!M623+майстерні!M623+маляри!M623+покрівлі!O623</f>
        <v>0.27460038036584761</v>
      </c>
      <c r="I623" s="886">
        <f>електрики!R623</f>
        <v>2.2472927681247475E-2</v>
      </c>
      <c r="J623" s="989">
        <f t="shared" si="72"/>
        <v>0.60991404832041773</v>
      </c>
      <c r="K623" s="989">
        <v>1.5848293838279421E-2</v>
      </c>
      <c r="L623" s="994">
        <f t="shared" si="76"/>
        <v>0.62576234215869719</v>
      </c>
      <c r="M623" s="994">
        <f t="shared" si="73"/>
        <v>0.75091481059043663</v>
      </c>
      <c r="N623" s="995">
        <v>1</v>
      </c>
      <c r="O623" s="1009">
        <v>0.65294970613711223</v>
      </c>
      <c r="P623" s="22">
        <f t="shared" si="74"/>
        <v>9.7965104453324403E-2</v>
      </c>
      <c r="Q623" s="982">
        <f t="shared" si="75"/>
        <v>15.003468648893588</v>
      </c>
      <c r="R623" s="6"/>
      <c r="S623" s="6"/>
      <c r="T623" s="6"/>
      <c r="U623" s="6"/>
      <c r="V623" s="6"/>
      <c r="W623" s="6"/>
      <c r="X623" s="6"/>
      <c r="Y623" s="6"/>
      <c r="Z623" s="6"/>
    </row>
    <row r="624" spans="1:26" s="93" customFormat="1" ht="15.75">
      <c r="A624" s="894">
        <v>88</v>
      </c>
      <c r="B624" s="233" t="s">
        <v>333</v>
      </c>
      <c r="C624" s="886">
        <f>cходова!R624</f>
        <v>0</v>
      </c>
      <c r="D624" s="886">
        <f>прибуд.!O624</f>
        <v>0</v>
      </c>
      <c r="E624" s="886">
        <f>гар.вода!M624+хол.вода!Q624+ц.о.!M624+каналізація!Q624+аварійні!I624+зварювальн!M624</f>
        <v>0.21519241161066416</v>
      </c>
      <c r="F624" s="886">
        <f>дератизац.!I624</f>
        <v>0</v>
      </c>
      <c r="G624" s="886">
        <f>димоканал!R624</f>
        <v>0.10481089354279219</v>
      </c>
      <c r="H624" s="886">
        <f>'підготовка до зими'!M624+майстерні!M624+маляри!M624+покрівлі!O624</f>
        <v>0.2163798097172594</v>
      </c>
      <c r="I624" s="886">
        <f>електрики!R624</f>
        <v>2.2039049305655162E-2</v>
      </c>
      <c r="J624" s="989">
        <f t="shared" si="72"/>
        <v>0.55842216417637092</v>
      </c>
      <c r="K624" s="989">
        <v>1.457594949142569E-2</v>
      </c>
      <c r="L624" s="994">
        <f t="shared" si="76"/>
        <v>0.57299811366779663</v>
      </c>
      <c r="M624" s="994">
        <f t="shared" si="73"/>
        <v>0.68759773640135591</v>
      </c>
      <c r="N624" s="995">
        <v>2</v>
      </c>
      <c r="O624" s="1009">
        <v>0.60052911904673845</v>
      </c>
      <c r="P624" s="22">
        <f t="shared" si="74"/>
        <v>8.7068617354617461E-2</v>
      </c>
      <c r="Q624" s="982">
        <f t="shared" si="75"/>
        <v>14.498650372329578</v>
      </c>
      <c r="R624" s="6"/>
      <c r="S624" s="6"/>
      <c r="T624" s="6"/>
      <c r="U624" s="6"/>
      <c r="V624" s="6"/>
      <c r="W624" s="6"/>
      <c r="X624" s="6"/>
      <c r="Y624" s="6"/>
      <c r="Z624" s="6"/>
    </row>
    <row r="625" spans="1:26" s="93" customFormat="1" ht="15.75">
      <c r="A625" s="894">
        <v>89</v>
      </c>
      <c r="B625" s="233" t="s">
        <v>334</v>
      </c>
      <c r="C625" s="886">
        <f>cходова!R625</f>
        <v>0</v>
      </c>
      <c r="D625" s="886">
        <f>прибуд.!O625</f>
        <v>0</v>
      </c>
      <c r="E625" s="886">
        <f>гар.вода!M625+хол.вода!Q625+ц.о.!M625+каналізація!Q625+аварійні!I625+зварювальн!M625</f>
        <v>0.19032712811662519</v>
      </c>
      <c r="F625" s="886">
        <f>дератизац.!I625</f>
        <v>0</v>
      </c>
      <c r="G625" s="886">
        <f>димоканал!R625</f>
        <v>8.987537979317746E-2</v>
      </c>
      <c r="H625" s="886">
        <f>'підготовка до зими'!M625+майстерні!M625+маляри!M625+покрівлі!O625</f>
        <v>0.1820164855725179</v>
      </c>
      <c r="I625" s="886">
        <f>електрики!R625</f>
        <v>1.7877555923683255E-2</v>
      </c>
      <c r="J625" s="989">
        <f t="shared" si="72"/>
        <v>0.48009654940600377</v>
      </c>
      <c r="K625" s="989">
        <v>1.2574988452434299E-2</v>
      </c>
      <c r="L625" s="994">
        <f t="shared" si="76"/>
        <v>0.49267153785843809</v>
      </c>
      <c r="M625" s="994">
        <f t="shared" si="73"/>
        <v>0.59120584543012566</v>
      </c>
      <c r="N625" s="995">
        <v>1</v>
      </c>
      <c r="O625" s="1009">
        <v>0.51808952424029309</v>
      </c>
      <c r="P625" s="22">
        <f t="shared" si="74"/>
        <v>7.3116321189832578E-2</v>
      </c>
      <c r="Q625" s="982">
        <f t="shared" si="75"/>
        <v>14.112680872489676</v>
      </c>
      <c r="R625" s="6"/>
      <c r="S625" s="6"/>
      <c r="T625" s="6"/>
      <c r="U625" s="6"/>
      <c r="V625" s="6"/>
      <c r="W625" s="6"/>
      <c r="X625" s="6"/>
      <c r="Y625" s="6"/>
      <c r="Z625" s="6"/>
    </row>
    <row r="626" spans="1:26" s="93" customFormat="1" ht="15.75">
      <c r="A626" s="894">
        <v>90</v>
      </c>
      <c r="B626" s="908" t="s">
        <v>1102</v>
      </c>
      <c r="C626" s="886">
        <f>cходова!R626</f>
        <v>0.73823939252098947</v>
      </c>
      <c r="D626" s="886">
        <f>прибуд.!O626</f>
        <v>0.3033132029688751</v>
      </c>
      <c r="E626" s="886">
        <f>гар.вода!M626+хол.вода!Q626+ц.о.!M626+каналізація!Q626+аварійні!I626+зварювальн!M626</f>
        <v>0.22575897420188407</v>
      </c>
      <c r="F626" s="886">
        <f>дератизац.!I626</f>
        <v>1.4599133261105094E-3</v>
      </c>
      <c r="G626" s="886">
        <f>димоканал!R626</f>
        <v>4.3573590241277417E-2</v>
      </c>
      <c r="H626" s="886">
        <f>'підготовка до зими'!M626+майстерні!M626+маляри!M626+покрівлі!O626</f>
        <v>0.17792471894700282</v>
      </c>
      <c r="I626" s="886">
        <f>електрики!R626</f>
        <v>2.4833235878875325E-2</v>
      </c>
      <c r="J626" s="989">
        <f t="shared" si="72"/>
        <v>1.5151030280850146</v>
      </c>
      <c r="K626" s="989">
        <v>3.8005650939023389E-2</v>
      </c>
      <c r="L626" s="994">
        <f t="shared" si="76"/>
        <v>1.553108679024038</v>
      </c>
      <c r="M626" s="994">
        <f t="shared" si="73"/>
        <v>1.8637304148288456</v>
      </c>
      <c r="N626" s="995">
        <v>3</v>
      </c>
      <c r="O626" s="1009">
        <v>1.5658328186877635</v>
      </c>
      <c r="P626" s="22">
        <f t="shared" si="74"/>
        <v>0.29789759614108213</v>
      </c>
      <c r="Q626" s="982">
        <f t="shared" si="75"/>
        <v>19.024866038427618</v>
      </c>
      <c r="R626" s="6"/>
      <c r="S626" s="6"/>
      <c r="T626" s="6"/>
      <c r="U626" s="6"/>
      <c r="V626" s="6"/>
      <c r="W626" s="6"/>
      <c r="X626" s="6"/>
      <c r="Y626" s="6"/>
      <c r="Z626" s="6"/>
    </row>
    <row r="627" spans="1:26" s="93" customFormat="1" ht="15.75">
      <c r="A627" s="894">
        <v>91</v>
      </c>
      <c r="B627" s="908" t="s">
        <v>1103</v>
      </c>
      <c r="C627" s="886">
        <f>cходова!R627</f>
        <v>0.35888002844214606</v>
      </c>
      <c r="D627" s="886">
        <f>прибуд.!O627</f>
        <v>0.70022556400201097</v>
      </c>
      <c r="E627" s="886">
        <f>гар.вода!M627+хол.вода!Q627+ц.о.!M627+каналізація!Q627+аварійні!I627+зварювальн!M627</f>
        <v>0.21921174371850155</v>
      </c>
      <c r="F627" s="886">
        <f>дератизац.!I627</f>
        <v>2.4689125028261364E-3</v>
      </c>
      <c r="G627" s="886">
        <f>димоканал!R627</f>
        <v>3.2734869015084017E-2</v>
      </c>
      <c r="H627" s="886">
        <f>'підготовка до зими'!M627+майстерні!M627+маляри!M627+покрівлі!O627</f>
        <v>0.19426692726434225</v>
      </c>
      <c r="I627" s="886">
        <f>електрики!R627</f>
        <v>3.0302861760234157E-2</v>
      </c>
      <c r="J627" s="989">
        <f t="shared" si="72"/>
        <v>1.5380909067051451</v>
      </c>
      <c r="K627" s="989">
        <v>3.8536340963896007E-2</v>
      </c>
      <c r="L627" s="994">
        <f t="shared" si="76"/>
        <v>1.5766272476690411</v>
      </c>
      <c r="M627" s="994">
        <f t="shared" si="73"/>
        <v>1.8919526972028491</v>
      </c>
      <c r="N627" s="995">
        <v>3</v>
      </c>
      <c r="O627" s="1009">
        <v>1.5876972477125157</v>
      </c>
      <c r="P627" s="22">
        <f t="shared" si="74"/>
        <v>0.30425544949033334</v>
      </c>
      <c r="Q627" s="982">
        <f t="shared" si="75"/>
        <v>19.163316553498547</v>
      </c>
      <c r="R627" s="6"/>
      <c r="S627" s="6"/>
      <c r="T627" s="6"/>
      <c r="U627" s="6"/>
      <c r="V627" s="6"/>
      <c r="W627" s="6"/>
      <c r="X627" s="6"/>
      <c r="Y627" s="6"/>
      <c r="Z627" s="6"/>
    </row>
    <row r="628" spans="1:26" s="93" customFormat="1" ht="15.75">
      <c r="A628" s="894">
        <v>92</v>
      </c>
      <c r="B628" s="908" t="s">
        <v>1104</v>
      </c>
      <c r="C628" s="886">
        <f>cходова!R628</f>
        <v>0.55430052316293932</v>
      </c>
      <c r="D628" s="886">
        <f>прибуд.!O628</f>
        <v>0.42419682618210863</v>
      </c>
      <c r="E628" s="886">
        <f>гар.вода!M628+хол.вода!Q628+ц.о.!M628+каналізація!Q628+аварійні!I628+зварювальн!M628</f>
        <v>0.1937644289311321</v>
      </c>
      <c r="F628" s="886">
        <f>дератизац.!I628</f>
        <v>1.0968947671075333E-3</v>
      </c>
      <c r="G628" s="886">
        <f>димоканал!R628</f>
        <v>2.7752793876503083E-2</v>
      </c>
      <c r="H628" s="886">
        <f>'підготовка до зими'!M628+майстерні!M628+маляри!M628+покрівлі!O628</f>
        <v>0.17667852970085993</v>
      </c>
      <c r="I628" s="886">
        <f>електрики!R628</f>
        <v>2.050445238648432E-2</v>
      </c>
      <c r="J628" s="989">
        <f t="shared" si="72"/>
        <v>1.398294449007135</v>
      </c>
      <c r="K628" s="989">
        <v>3.5348947906863479E-2</v>
      </c>
      <c r="L628" s="994">
        <f t="shared" si="76"/>
        <v>1.4336433969139983</v>
      </c>
      <c r="M628" s="994">
        <f t="shared" si="73"/>
        <v>1.720372076296798</v>
      </c>
      <c r="N628" s="995">
        <v>3</v>
      </c>
      <c r="O628" s="1009">
        <v>1.4563766537627754</v>
      </c>
      <c r="P628" s="22">
        <f t="shared" si="74"/>
        <v>0.26399542253402264</v>
      </c>
      <c r="Q628" s="982">
        <f t="shared" si="75"/>
        <v>18.126864492914635</v>
      </c>
      <c r="R628" s="6"/>
      <c r="S628" s="6"/>
      <c r="T628" s="6"/>
      <c r="U628" s="6"/>
      <c r="V628" s="6"/>
      <c r="W628" s="6"/>
      <c r="X628" s="6"/>
      <c r="Y628" s="6"/>
      <c r="Z628" s="6"/>
    </row>
    <row r="629" spans="1:26" s="93" customFormat="1" ht="15.75">
      <c r="A629" s="894">
        <v>93</v>
      </c>
      <c r="B629" s="908" t="s">
        <v>1105</v>
      </c>
      <c r="C629" s="886">
        <f>cходова!R629</f>
        <v>0.51362276693200881</v>
      </c>
      <c r="D629" s="886">
        <f>прибуд.!O629</f>
        <v>0.49497304082431492</v>
      </c>
      <c r="E629" s="886">
        <f>гар.вода!M629+хол.вода!Q629+ц.о.!M629+каналізація!Q629+аварійні!I629+зварювальн!M629</f>
        <v>0.22080441936336487</v>
      </c>
      <c r="F629" s="886">
        <f>дератизац.!I629</f>
        <v>1.4336993243243244E-3</v>
      </c>
      <c r="G629" s="886">
        <f>димоканал!R629</f>
        <v>4.7555568673799557E-2</v>
      </c>
      <c r="H629" s="886">
        <f>'підготовка до зими'!M629+майстерні!M629+маляри!M629+покрівлі!O629</f>
        <v>0.18623685767614875</v>
      </c>
      <c r="I629" s="886">
        <f>електрики!R629</f>
        <v>2.5057598963030375E-2</v>
      </c>
      <c r="J629" s="989">
        <f t="shared" si="72"/>
        <v>1.4896839517569915</v>
      </c>
      <c r="K629" s="989">
        <v>3.7674796412108399E-2</v>
      </c>
      <c r="L629" s="994">
        <f t="shared" si="76"/>
        <v>1.5273587481691</v>
      </c>
      <c r="M629" s="994">
        <f t="shared" si="73"/>
        <v>1.83283049780292</v>
      </c>
      <c r="N629" s="995">
        <v>3</v>
      </c>
      <c r="O629" s="1009">
        <v>1.5522016121788662</v>
      </c>
      <c r="P629" s="22">
        <f t="shared" si="74"/>
        <v>0.28062888562405375</v>
      </c>
      <c r="Q629" s="982">
        <f t="shared" si="75"/>
        <v>18.07940949308302</v>
      </c>
      <c r="R629" s="6"/>
      <c r="S629" s="6"/>
      <c r="T629" s="6"/>
      <c r="U629" s="6"/>
      <c r="V629" s="6"/>
      <c r="W629" s="6"/>
      <c r="X629" s="6"/>
      <c r="Y629" s="6"/>
      <c r="Z629" s="6"/>
    </row>
    <row r="630" spans="1:26" s="93" customFormat="1" ht="15.75">
      <c r="A630" s="894">
        <v>94</v>
      </c>
      <c r="B630" s="908" t="s">
        <v>1106</v>
      </c>
      <c r="C630" s="886">
        <f>cходова!R630</f>
        <v>0.50259578143105454</v>
      </c>
      <c r="D630" s="886">
        <f>прибуд.!O630</f>
        <v>0.36631243887601389</v>
      </c>
      <c r="E630" s="886">
        <f>гар.вода!M630+хол.вода!Q630+ц.о.!M630+каналізація!Q630+аварійні!I630+зварювальн!M630</f>
        <v>0.2139144697882438</v>
      </c>
      <c r="F630" s="886">
        <f>дератизац.!I630</f>
        <v>1.2775202780996523E-3</v>
      </c>
      <c r="G630" s="886">
        <f>димоканал!R630</f>
        <v>5.1263344347588599E-2</v>
      </c>
      <c r="H630" s="886">
        <f>'підготовка до зими'!M630+майстерні!M630+маляри!M630+покрівлі!O630</f>
        <v>0.19021926263740105</v>
      </c>
      <c r="I630" s="886">
        <f>електрики!R630</f>
        <v>2.1825170930296112E-2</v>
      </c>
      <c r="J630" s="989">
        <f t="shared" si="72"/>
        <v>1.3474079882886976</v>
      </c>
      <c r="K630" s="989">
        <v>3.4137671223566944E-2</v>
      </c>
      <c r="L630" s="994">
        <f t="shared" si="76"/>
        <v>1.3815456595122646</v>
      </c>
      <c r="M630" s="994">
        <f t="shared" si="73"/>
        <v>1.6578547914147175</v>
      </c>
      <c r="N630" s="995">
        <v>3</v>
      </c>
      <c r="O630" s="1009">
        <v>1.4064720544109581</v>
      </c>
      <c r="P630" s="22">
        <f t="shared" si="74"/>
        <v>0.25138273700375935</v>
      </c>
      <c r="Q630" s="982">
        <f t="shared" si="75"/>
        <v>17.873283455250771</v>
      </c>
      <c r="R630" s="6"/>
      <c r="S630" s="6"/>
      <c r="T630" s="6"/>
      <c r="U630" s="6"/>
      <c r="V630" s="6"/>
      <c r="W630" s="6"/>
      <c r="X630" s="6"/>
      <c r="Y630" s="6"/>
      <c r="Z630" s="6"/>
    </row>
    <row r="631" spans="1:26" s="93" customFormat="1" ht="15.75">
      <c r="A631" s="894">
        <v>95</v>
      </c>
      <c r="B631" s="908" t="s">
        <v>1107</v>
      </c>
      <c r="C631" s="886">
        <f>cходова!R631</f>
        <v>0.54447668784995795</v>
      </c>
      <c r="D631" s="886">
        <f>прибуд.!O631</f>
        <v>0.16082340072840792</v>
      </c>
      <c r="E631" s="886">
        <f>гар.вода!M631+хол.вода!Q631+ц.о.!M631+каналізація!Q631+аварійні!I631+зварювальн!M631</f>
        <v>0.20495327223127213</v>
      </c>
      <c r="F631" s="886">
        <f>дератизац.!I631</f>
        <v>1.1411723898716616E-3</v>
      </c>
      <c r="G631" s="886">
        <f>димоканал!R631</f>
        <v>3.7200530736685451E-2</v>
      </c>
      <c r="H631" s="886">
        <f>'підготовка до зими'!M631+майстерні!M631+маляри!M631+покрівлі!O631</f>
        <v>0.18627766621179817</v>
      </c>
      <c r="I631" s="886">
        <f>електрики!R631</f>
        <v>2.0325410658637813E-2</v>
      </c>
      <c r="J631" s="989">
        <f t="shared" si="72"/>
        <v>1.1551981408066312</v>
      </c>
      <c r="K631" s="989">
        <v>2.9320129891304805E-2</v>
      </c>
      <c r="L631" s="994">
        <f t="shared" si="76"/>
        <v>1.184518270697936</v>
      </c>
      <c r="M631" s="994">
        <f t="shared" si="73"/>
        <v>1.4214219248375233</v>
      </c>
      <c r="N631" s="995">
        <v>3</v>
      </c>
      <c r="O631" s="1009">
        <v>1.2079893515217581</v>
      </c>
      <c r="P631" s="22">
        <f t="shared" si="74"/>
        <v>0.21343257331576515</v>
      </c>
      <c r="Q631" s="982">
        <f t="shared" si="75"/>
        <v>17.668415126912706</v>
      </c>
      <c r="R631" s="6"/>
      <c r="S631" s="6"/>
      <c r="T631" s="6"/>
      <c r="U631" s="6"/>
      <c r="V631" s="6"/>
      <c r="W631" s="6"/>
      <c r="X631" s="6"/>
      <c r="Y631" s="6"/>
      <c r="Z631" s="6"/>
    </row>
    <row r="632" spans="1:26" s="93" customFormat="1" ht="15.75">
      <c r="A632" s="894">
        <v>96</v>
      </c>
      <c r="B632" s="908" t="s">
        <v>1108</v>
      </c>
      <c r="C632" s="886">
        <f>cходова!R632</f>
        <v>0.79887677564176363</v>
      </c>
      <c r="D632" s="886">
        <f>прибуд.!O632</f>
        <v>0.11321609266720385</v>
      </c>
      <c r="E632" s="886">
        <f>гар.вода!M632+хол.вода!Q632+ц.о.!M632+каналізація!Q632+аварійні!I632+зварювальн!M632</f>
        <v>0.22681366156167204</v>
      </c>
      <c r="F632" s="886">
        <f>дератизац.!I632</f>
        <v>1.3318112633181126E-3</v>
      </c>
      <c r="G632" s="886">
        <f>димоканал!R632</f>
        <v>5.041256451766378E-2</v>
      </c>
      <c r="H632" s="886">
        <f>'підготовка до зими'!M632+майстерні!M632+маляри!M632+покрівлі!O632</f>
        <v>0.16215335687266108</v>
      </c>
      <c r="I632" s="886">
        <f>електрики!R632</f>
        <v>2.3984000175527792E-2</v>
      </c>
      <c r="J632" s="989">
        <f t="shared" si="72"/>
        <v>1.3767882626998103</v>
      </c>
      <c r="K632" s="989">
        <v>3.4864450915197007E-2</v>
      </c>
      <c r="L632" s="994">
        <f t="shared" si="76"/>
        <v>1.4116527136150072</v>
      </c>
      <c r="M632" s="994">
        <f t="shared" si="73"/>
        <v>1.6939832563380086</v>
      </c>
      <c r="N632" s="995">
        <v>3</v>
      </c>
      <c r="O632" s="1009">
        <v>1.4364153777061166</v>
      </c>
      <c r="P632" s="22">
        <f t="shared" si="74"/>
        <v>0.25756787863189201</v>
      </c>
      <c r="Q632" s="982">
        <f t="shared" si="75"/>
        <v>17.931294988168062</v>
      </c>
      <c r="R632" s="6"/>
      <c r="S632" s="6"/>
      <c r="T632" s="6"/>
      <c r="U632" s="6"/>
      <c r="V632" s="6"/>
      <c r="W632" s="6"/>
      <c r="X632" s="6"/>
      <c r="Y632" s="6"/>
      <c r="Z632" s="6"/>
    </row>
    <row r="633" spans="1:26" s="93" customFormat="1" ht="15.75">
      <c r="A633" s="894">
        <v>97</v>
      </c>
      <c r="B633" s="908" t="s">
        <v>1109</v>
      </c>
      <c r="C633" s="886">
        <f>cходова!R633</f>
        <v>0.50303902506795528</v>
      </c>
      <c r="D633" s="886">
        <f>прибуд.!O633</f>
        <v>0.51271340620155037</v>
      </c>
      <c r="E633" s="886">
        <f>гар.вода!M633+хол.вода!Q633+ц.о.!M633+каналізація!Q633+аварійні!I633+зварювальн!M633</f>
        <v>0.24160576650912852</v>
      </c>
      <c r="F633" s="886">
        <f>дератизац.!I633</f>
        <v>1.949822204662189E-3</v>
      </c>
      <c r="G633" s="886">
        <f>димоканал!R633</f>
        <v>5.4027120069212495E-2</v>
      </c>
      <c r="H633" s="886">
        <f>'підготовка до зими'!M633+майстерні!M633+маляри!M633+покрівлі!O633</f>
        <v>0.19506658389705309</v>
      </c>
      <c r="I633" s="886">
        <f>електрики!R633</f>
        <v>2.8316839107872086E-2</v>
      </c>
      <c r="J633" s="989">
        <f t="shared" si="72"/>
        <v>1.536718563057434</v>
      </c>
      <c r="K633" s="989">
        <v>3.8760139835813917E-2</v>
      </c>
      <c r="L633" s="994">
        <f t="shared" si="76"/>
        <v>1.575478702893248</v>
      </c>
      <c r="M633" s="994">
        <f t="shared" si="73"/>
        <v>1.8905744434718974</v>
      </c>
      <c r="N633" s="995">
        <v>3</v>
      </c>
      <c r="O633" s="1009">
        <v>1.5969177612355334</v>
      </c>
      <c r="P633" s="22">
        <f t="shared" si="74"/>
        <v>0.29365668223636399</v>
      </c>
      <c r="Q633" s="982">
        <f t="shared" si="75"/>
        <v>18.388967131855452</v>
      </c>
      <c r="R633" s="6"/>
      <c r="S633" s="6"/>
      <c r="T633" s="6"/>
      <c r="U633" s="6"/>
      <c r="V633" s="6"/>
      <c r="W633" s="6"/>
      <c r="X633" s="6"/>
      <c r="Y633" s="6"/>
      <c r="Z633" s="6"/>
    </row>
    <row r="634" spans="1:26" s="93" customFormat="1" ht="15.75">
      <c r="A634" s="894">
        <v>98</v>
      </c>
      <c r="B634" s="908" t="s">
        <v>1110</v>
      </c>
      <c r="C634" s="886">
        <f>cходова!R634</f>
        <v>0</v>
      </c>
      <c r="D634" s="886">
        <f>прибуд.!O634</f>
        <v>0.51333310108254415</v>
      </c>
      <c r="E634" s="886">
        <f>гар.вода!M634+хол.вода!Q634+ц.о.!M634+каналізація!Q634+аварійні!I634+зварювальн!M634</f>
        <v>0.17826471343297917</v>
      </c>
      <c r="F634" s="886">
        <f>дератизац.!I634</f>
        <v>1.8281461434370774E-3</v>
      </c>
      <c r="G634" s="886">
        <f>димоканал!R634</f>
        <v>6.0953497493671106E-2</v>
      </c>
      <c r="H634" s="886">
        <f>'підготовка до зими'!M634+майстерні!M634+маляри!M634+покрівлі!O634</f>
        <v>0.31549452658085186</v>
      </c>
      <c r="I634" s="886">
        <f>електрики!R634</f>
        <v>1.5858771022693584E-2</v>
      </c>
      <c r="J634" s="989">
        <f t="shared" si="72"/>
        <v>1.0857327557561769</v>
      </c>
      <c r="K634" s="989">
        <v>2.7688412573660004E-2</v>
      </c>
      <c r="L634" s="994">
        <f t="shared" si="76"/>
        <v>1.113421168329837</v>
      </c>
      <c r="M634" s="994">
        <f t="shared" si="73"/>
        <v>1.3361054019958043</v>
      </c>
      <c r="N634" s="995">
        <v>1</v>
      </c>
      <c r="O634" s="1009">
        <v>1.1407625980347922</v>
      </c>
      <c r="P634" s="22">
        <f t="shared" si="74"/>
        <v>0.19534280396101211</v>
      </c>
      <c r="Q634" s="982">
        <f t="shared" si="75"/>
        <v>17.123878736691751</v>
      </c>
      <c r="R634" s="6"/>
      <c r="S634" s="6"/>
      <c r="T634" s="6"/>
      <c r="U634" s="6"/>
      <c r="V634" s="6"/>
      <c r="W634" s="6"/>
      <c r="X634" s="6"/>
      <c r="Y634" s="6"/>
      <c r="Z634" s="6"/>
    </row>
    <row r="635" spans="1:26" s="93" customFormat="1" ht="15.75">
      <c r="A635" s="894">
        <v>99</v>
      </c>
      <c r="B635" s="908" t="s">
        <v>1111</v>
      </c>
      <c r="C635" s="886">
        <f>cходова!R635</f>
        <v>0.63165452957403312</v>
      </c>
      <c r="D635" s="886">
        <f>прибуд.!O635</f>
        <v>0.24789463614977453</v>
      </c>
      <c r="E635" s="886">
        <f>гар.вода!M635+хол.вода!Q635+ц.о.!M635+каналізація!Q635+аварійні!I635+зварювальн!M635</f>
        <v>0.22078578538314017</v>
      </c>
      <c r="F635" s="886">
        <f>дератизац.!I635</f>
        <v>1.7290727308370906E-3</v>
      </c>
      <c r="G635" s="886">
        <f>димоканал!R635</f>
        <v>5.6767820291596389E-2</v>
      </c>
      <c r="H635" s="886">
        <f>'підготовка до зими'!M635+майстерні!M635+маляри!M635+покрівлі!O635</f>
        <v>0.18815763044028661</v>
      </c>
      <c r="I635" s="886">
        <f>електрики!R635</f>
        <v>2.2975165233817995E-2</v>
      </c>
      <c r="J635" s="989">
        <f t="shared" si="72"/>
        <v>1.3699646398034857</v>
      </c>
      <c r="K635" s="989">
        <v>3.471639775585212E-2</v>
      </c>
      <c r="L635" s="994">
        <f t="shared" si="76"/>
        <v>1.4046810375593379</v>
      </c>
      <c r="M635" s="994">
        <f t="shared" si="73"/>
        <v>1.6856172450712055</v>
      </c>
      <c r="N635" s="995">
        <v>3</v>
      </c>
      <c r="O635" s="1009">
        <v>1.4303155875411075</v>
      </c>
      <c r="P635" s="22">
        <f t="shared" si="74"/>
        <v>0.25530165753009793</v>
      </c>
      <c r="Q635" s="982">
        <f t="shared" si="75"/>
        <v>17.849323586621438</v>
      </c>
      <c r="R635" s="6"/>
      <c r="S635" s="6"/>
      <c r="T635" s="6"/>
      <c r="U635" s="6"/>
      <c r="V635" s="6"/>
      <c r="W635" s="6"/>
      <c r="X635" s="6"/>
      <c r="Y635" s="6"/>
      <c r="Z635" s="6"/>
    </row>
    <row r="636" spans="1:26" s="93" customFormat="1" ht="15.75">
      <c r="A636" s="894">
        <v>100</v>
      </c>
      <c r="B636" s="908" t="s">
        <v>1112</v>
      </c>
      <c r="C636" s="886">
        <f>cходова!R636</f>
        <v>0</v>
      </c>
      <c r="D636" s="886">
        <f>прибуд.!O636</f>
        <v>0.60793775913461556</v>
      </c>
      <c r="E636" s="886">
        <f>гар.вода!M636+хол.вода!Q636+ц.о.!M636+каналізація!Q636+аварійні!I636+зварювальн!M636</f>
        <v>0.17969648931056109</v>
      </c>
      <c r="F636" s="886">
        <f>дератизац.!I636</f>
        <v>1.9855769230769232E-3</v>
      </c>
      <c r="G636" s="886">
        <f>димоканал!R636</f>
        <v>5.156208178551161E-2</v>
      </c>
      <c r="H636" s="886">
        <f>'підготовка до зими'!M636+майстерні!M636+маляри!M636+покрівлі!O636</f>
        <v>0.22775349770227185</v>
      </c>
      <c r="I636" s="886">
        <f>електрики!R636</f>
        <v>1.6098395310124396E-2</v>
      </c>
      <c r="J636" s="989">
        <f t="shared" si="72"/>
        <v>1.0850338001661615</v>
      </c>
      <c r="K636" s="989">
        <v>2.7602265263193666E-2</v>
      </c>
      <c r="L636" s="994">
        <f t="shared" si="76"/>
        <v>1.1126360654293552</v>
      </c>
      <c r="M636" s="994">
        <f t="shared" si="73"/>
        <v>1.3351632785152263</v>
      </c>
      <c r="N636" s="995">
        <v>2</v>
      </c>
      <c r="O636" s="1009">
        <v>1.1372133288435788</v>
      </c>
      <c r="P636" s="22">
        <f t="shared" si="74"/>
        <v>0.19794994967164747</v>
      </c>
      <c r="Q636" s="982">
        <f t="shared" si="75"/>
        <v>17.406580159673382</v>
      </c>
      <c r="R636" s="6"/>
      <c r="S636" s="6"/>
      <c r="T636" s="6"/>
      <c r="U636" s="6"/>
      <c r="V636" s="6"/>
      <c r="W636" s="6"/>
      <c r="X636" s="6"/>
      <c r="Y636" s="6"/>
      <c r="Z636" s="6"/>
    </row>
    <row r="637" spans="1:26" s="93" customFormat="1" ht="15.75">
      <c r="A637" s="894">
        <v>101</v>
      </c>
      <c r="B637" s="908" t="s">
        <v>1113</v>
      </c>
      <c r="C637" s="886">
        <f>cходова!R637</f>
        <v>0.55845283000234103</v>
      </c>
      <c r="D637" s="886">
        <f>прибуд.!O637</f>
        <v>0.33671931599754207</v>
      </c>
      <c r="E637" s="886">
        <f>гар.вода!M637+хол.вода!Q637+ц.о.!M637+каналізація!Q637+аварійні!I637+зварювальн!M637</f>
        <v>0.19620747640639896</v>
      </c>
      <c r="F637" s="886">
        <f>дератизац.!I637</f>
        <v>3.3049979516591565E-3</v>
      </c>
      <c r="G637" s="886">
        <f>димоканал!R637</f>
        <v>3.6247657658311318E-2</v>
      </c>
      <c r="H637" s="886">
        <f>'підготовка до зими'!M637+майстерні!M637+маляри!M637+покрівлі!O637</f>
        <v>0.16558757154466136</v>
      </c>
      <c r="I637" s="886">
        <f>електрики!R637</f>
        <v>1.8861700363357544E-2</v>
      </c>
      <c r="J637" s="989">
        <f t="shared" si="72"/>
        <v>1.3153815499242714</v>
      </c>
      <c r="K637" s="989">
        <v>3.330559809747493E-2</v>
      </c>
      <c r="L637" s="994">
        <f t="shared" si="76"/>
        <v>1.3486871480217464</v>
      </c>
      <c r="M637" s="994">
        <f t="shared" si="73"/>
        <v>1.6184245776260957</v>
      </c>
      <c r="N637" s="995">
        <v>3</v>
      </c>
      <c r="O637" s="1009">
        <v>1.372190641615967</v>
      </c>
      <c r="P637" s="22">
        <f t="shared" si="74"/>
        <v>0.24623393601012866</v>
      </c>
      <c r="Q637" s="982">
        <f t="shared" si="75"/>
        <v>17.944586454849315</v>
      </c>
      <c r="R637" s="6"/>
      <c r="S637" s="6"/>
      <c r="T637" s="6"/>
      <c r="U637" s="6"/>
      <c r="V637" s="6"/>
      <c r="W637" s="6"/>
      <c r="X637" s="6"/>
      <c r="Y637" s="6"/>
      <c r="Z637" s="6"/>
    </row>
    <row r="638" spans="1:26" s="93" customFormat="1" ht="15.75">
      <c r="A638" s="894">
        <v>102</v>
      </c>
      <c r="B638" s="908" t="s">
        <v>1114</v>
      </c>
      <c r="C638" s="886">
        <f>cходова!R638</f>
        <v>0.50966338415607637</v>
      </c>
      <c r="D638" s="886">
        <f>прибуд.!O638</f>
        <v>0.51883051959469528</v>
      </c>
      <c r="E638" s="886">
        <f>гар.вода!M638+хол.вода!Q638+ц.о.!M638+каналізація!Q638+аварійні!I638+зварювальн!M638</f>
        <v>0.21766482091659478</v>
      </c>
      <c r="F638" s="886">
        <f>дератизац.!I638</f>
        <v>2.2373714796602596E-3</v>
      </c>
      <c r="G638" s="886">
        <f>димоканал!R638</f>
        <v>0.10787239282798138</v>
      </c>
      <c r="H638" s="886">
        <f>'підготовка до зими'!M638+майстерні!M638+маляри!M638+покрівлі!O638</f>
        <v>0.15616874451421381</v>
      </c>
      <c r="I638" s="886">
        <f>електрики!R638</f>
        <v>2.2452835658287044E-2</v>
      </c>
      <c r="J638" s="989">
        <f t="shared" si="72"/>
        <v>1.5348900691475089</v>
      </c>
      <c r="K638" s="989">
        <v>3.8656940741899626E-2</v>
      </c>
      <c r="L638" s="994">
        <f t="shared" si="76"/>
        <v>1.5735470098894084</v>
      </c>
      <c r="M638" s="994">
        <f t="shared" si="73"/>
        <v>1.88825641186729</v>
      </c>
      <c r="N638" s="995">
        <v>3</v>
      </c>
      <c r="O638" s="1009">
        <v>1.5926659585662646</v>
      </c>
      <c r="P638" s="22">
        <f t="shared" si="74"/>
        <v>0.2955904533010254</v>
      </c>
      <c r="Q638" s="982">
        <f t="shared" si="75"/>
        <v>18.559475809172142</v>
      </c>
      <c r="R638" s="6"/>
      <c r="S638" s="6"/>
      <c r="T638" s="6"/>
      <c r="U638" s="6"/>
      <c r="V638" s="6"/>
      <c r="W638" s="6"/>
      <c r="X638" s="6"/>
      <c r="Y638" s="6"/>
      <c r="Z638" s="6"/>
    </row>
    <row r="639" spans="1:26" s="93" customFormat="1" ht="15.75">
      <c r="A639" s="894">
        <v>103</v>
      </c>
      <c r="B639" s="908" t="s">
        <v>1115</v>
      </c>
      <c r="C639" s="886">
        <f>cходова!R639</f>
        <v>0.38278226971869828</v>
      </c>
      <c r="D639" s="886">
        <f>прибуд.!O639</f>
        <v>0.55332507498069494</v>
      </c>
      <c r="E639" s="886">
        <f>гар.вода!M639+хол.вода!Q639+ц.о.!M639+каналізація!Q639+аварійні!I639+зварювальн!M639</f>
        <v>0.21225477458483144</v>
      </c>
      <c r="F639" s="886">
        <f>дератизац.!I639</f>
        <v>1.6666666666666668E-3</v>
      </c>
      <c r="G639" s="886">
        <f>димоканал!R639</f>
        <v>4.1408930545893494E-2</v>
      </c>
      <c r="H639" s="886">
        <f>'підготовка до зими'!M639+майстерні!M639+маляри!M639+покрівлі!O639</f>
        <v>0.18738834200535059</v>
      </c>
      <c r="I639" s="886">
        <f>електрики!R639</f>
        <v>2.1547401702097003E-2</v>
      </c>
      <c r="J639" s="989">
        <f t="shared" si="72"/>
        <v>1.4003734602042324</v>
      </c>
      <c r="K639" s="989">
        <v>3.5435895352151942E-2</v>
      </c>
      <c r="L639" s="994">
        <f t="shared" si="76"/>
        <v>1.4358093555563842</v>
      </c>
      <c r="M639" s="994">
        <f t="shared" si="73"/>
        <v>1.7229712266676611</v>
      </c>
      <c r="N639" s="995">
        <v>3</v>
      </c>
      <c r="O639" s="1009">
        <v>1.4599588885086601</v>
      </c>
      <c r="P639" s="22">
        <f t="shared" si="74"/>
        <v>0.26301233815900105</v>
      </c>
      <c r="Q639" s="982">
        <f t="shared" si="75"/>
        <v>18.015050987337517</v>
      </c>
      <c r="R639" s="6"/>
      <c r="S639" s="6"/>
      <c r="T639" s="6"/>
      <c r="U639" s="6"/>
      <c r="V639" s="6"/>
      <c r="W639" s="6"/>
      <c r="X639" s="6"/>
      <c r="Y639" s="6"/>
      <c r="Z639" s="6"/>
    </row>
    <row r="640" spans="1:26" s="93" customFormat="1" ht="15.75">
      <c r="A640" s="894">
        <v>104</v>
      </c>
      <c r="B640" s="908" t="s">
        <v>1116</v>
      </c>
      <c r="C640" s="886">
        <f>cходова!R640</f>
        <v>0.56295772178117154</v>
      </c>
      <c r="D640" s="886">
        <f>прибуд.!O640</f>
        <v>0.35901836169367057</v>
      </c>
      <c r="E640" s="886">
        <f>гар.вода!M640+хол.вода!Q640+ц.о.!M640+каналізація!Q640+аварійні!I640+зварювальн!M640</f>
        <v>0.17818169707930406</v>
      </c>
      <c r="F640" s="886">
        <f>дератизац.!I640</f>
        <v>1.2587068443367655E-3</v>
      </c>
      <c r="G640" s="886">
        <f>димоканал!R640</f>
        <v>5.1765082107501817E-2</v>
      </c>
      <c r="H640" s="886">
        <f>'підготовка до зими'!M640+майстерні!M640+маляри!M640+покрівлі!O640</f>
        <v>0.16942119011936724</v>
      </c>
      <c r="I640" s="886">
        <f>електрики!R640</f>
        <v>1.5844877273744482E-2</v>
      </c>
      <c r="J640" s="989">
        <f t="shared" si="72"/>
        <v>1.3384476368990965</v>
      </c>
      <c r="K640" s="989">
        <v>3.3894485091125609E-2</v>
      </c>
      <c r="L640" s="994">
        <f t="shared" si="76"/>
        <v>1.3723421219902221</v>
      </c>
      <c r="M640" s="994">
        <f t="shared" si="73"/>
        <v>1.6468105463882665</v>
      </c>
      <c r="N640" s="995">
        <v>3</v>
      </c>
      <c r="O640" s="1009">
        <v>1.3964527857543751</v>
      </c>
      <c r="P640" s="22">
        <f t="shared" si="74"/>
        <v>0.25035776063389137</v>
      </c>
      <c r="Q640" s="982">
        <f t="shared" si="75"/>
        <v>17.928122109667029</v>
      </c>
      <c r="R640" s="6"/>
      <c r="S640" s="6"/>
      <c r="T640" s="6"/>
      <c r="U640" s="6"/>
      <c r="V640" s="6"/>
      <c r="W640" s="6"/>
      <c r="X640" s="6"/>
      <c r="Y640" s="6"/>
      <c r="Z640" s="6"/>
    </row>
    <row r="641" spans="1:26" s="93" customFormat="1" ht="15.75">
      <c r="A641" s="894">
        <v>105</v>
      </c>
      <c r="B641" s="908" t="s">
        <v>1117</v>
      </c>
      <c r="C641" s="886">
        <f>cходова!R641</f>
        <v>0.37815389959622714</v>
      </c>
      <c r="D641" s="886">
        <f>прибуд.!O641</f>
        <v>0.67525451218674915</v>
      </c>
      <c r="E641" s="886">
        <f>гар.вода!M641+хол.вода!Q641+ц.о.!M641+каналізація!Q641+аварійні!I641+зварювальн!M641</f>
        <v>0.17890032348111432</v>
      </c>
      <c r="F641" s="886">
        <f>дератизац.!I641</f>
        <v>4.0050349010184233E-3</v>
      </c>
      <c r="G641" s="886">
        <f>димоканал!R641</f>
        <v>3.68174150751336E-2</v>
      </c>
      <c r="H641" s="886">
        <f>'підготовка до зими'!M641+майстерні!M641+маляри!M641+покрівлі!O641</f>
        <v>0.20792957923952393</v>
      </c>
      <c r="I641" s="886">
        <f>електрики!R641</f>
        <v>1.5965147730985021E-2</v>
      </c>
      <c r="J641" s="989">
        <f t="shared" si="72"/>
        <v>1.4970259122107517</v>
      </c>
      <c r="K641" s="989">
        <v>3.7850733547484416E-2</v>
      </c>
      <c r="L641" s="994">
        <f t="shared" si="76"/>
        <v>1.5348766457582361</v>
      </c>
      <c r="M641" s="994">
        <f t="shared" si="73"/>
        <v>1.8418519749098832</v>
      </c>
      <c r="N641" s="995">
        <v>3</v>
      </c>
      <c r="O641" s="1009">
        <v>1.559450222156358</v>
      </c>
      <c r="P641" s="22">
        <f t="shared" si="74"/>
        <v>0.28240175275352519</v>
      </c>
      <c r="Q641" s="982">
        <f t="shared" si="75"/>
        <v>18.109058483638478</v>
      </c>
      <c r="R641" s="6"/>
      <c r="S641" s="6"/>
      <c r="T641" s="6"/>
      <c r="U641" s="6"/>
      <c r="V641" s="6"/>
      <c r="W641" s="6"/>
      <c r="X641" s="6"/>
      <c r="Y641" s="6"/>
      <c r="Z641" s="6"/>
    </row>
    <row r="642" spans="1:26" s="93" customFormat="1" ht="15.75">
      <c r="A642" s="894">
        <v>106</v>
      </c>
      <c r="B642" s="908" t="s">
        <v>1118</v>
      </c>
      <c r="C642" s="886">
        <f>cходова!R642</f>
        <v>0.56011642857142852</v>
      </c>
      <c r="D642" s="886">
        <f>прибуд.!O642</f>
        <v>0.29561906230274704</v>
      </c>
      <c r="E642" s="886">
        <f>гар.вода!M642+хол.вода!Q642+ц.о.!M642+каналізація!Q642+аварійні!I642+зварювальн!M642</f>
        <v>0.20044099788256525</v>
      </c>
      <c r="F642" s="886">
        <f>дератизац.!I642</f>
        <v>2.1205922462497573E-3</v>
      </c>
      <c r="G642" s="886">
        <f>димоканал!R642</f>
        <v>5.6413919989759052E-2</v>
      </c>
      <c r="H642" s="886">
        <f>'підготовка до зими'!M642+майстерні!M642+маляри!M642+покрівлі!O642</f>
        <v>0.18291257535741831</v>
      </c>
      <c r="I642" s="886">
        <f>електрики!R642</f>
        <v>1.9570229249011539E-2</v>
      </c>
      <c r="J642" s="989">
        <f t="shared" si="72"/>
        <v>1.3171938055991794</v>
      </c>
      <c r="K642" s="989">
        <v>3.3391869647052735E-2</v>
      </c>
      <c r="L642" s="994">
        <f t="shared" si="76"/>
        <v>1.3505856752462322</v>
      </c>
      <c r="M642" s="994">
        <f t="shared" si="73"/>
        <v>1.6207028102954786</v>
      </c>
      <c r="N642" s="995">
        <v>3</v>
      </c>
      <c r="O642" s="1009">
        <v>1.3757450294585727</v>
      </c>
      <c r="P642" s="22">
        <f t="shared" si="74"/>
        <v>0.24495778083690589</v>
      </c>
      <c r="Q642" s="982">
        <f t="shared" si="75"/>
        <v>17.805463628192015</v>
      </c>
      <c r="R642" s="6"/>
      <c r="S642" s="6"/>
      <c r="T642" s="6"/>
      <c r="U642" s="6"/>
      <c r="V642" s="6"/>
      <c r="W642" s="6"/>
      <c r="X642" s="6"/>
      <c r="Y642" s="6"/>
      <c r="Z642" s="6"/>
    </row>
    <row r="643" spans="1:26" s="93" customFormat="1" ht="15.75">
      <c r="A643" s="894">
        <v>107</v>
      </c>
      <c r="B643" s="908" t="s">
        <v>1119</v>
      </c>
      <c r="C643" s="886">
        <f>cходова!R643</f>
        <v>0.30032207676994982</v>
      </c>
      <c r="D643" s="886">
        <f>прибуд.!O643</f>
        <v>0.32833058828111483</v>
      </c>
      <c r="E643" s="886">
        <f>гар.вода!M643+хол.вода!Q643+ц.о.!M643+каналізація!Q643+аварійні!I643+зварювальн!M643</f>
        <v>0.19606382330245645</v>
      </c>
      <c r="F643" s="886">
        <f>дератизац.!I643</f>
        <v>1.0541803704344815E-3</v>
      </c>
      <c r="G643" s="886">
        <f>димоканал!R643</f>
        <v>3.6201454686175361E-2</v>
      </c>
      <c r="H643" s="886">
        <f>'підготовка до зими'!M643+майстерні!M643+маляри!M643+покрівлі!O643</f>
        <v>0.16969914202926548</v>
      </c>
      <c r="I643" s="886">
        <f>електрики!R643</f>
        <v>1.8837658351469777E-2</v>
      </c>
      <c r="J643" s="989">
        <f t="shared" si="72"/>
        <v>1.0505089237908662</v>
      </c>
      <c r="K643" s="989">
        <v>2.6689316022616164E-2</v>
      </c>
      <c r="L643" s="994">
        <f t="shared" si="76"/>
        <v>1.0771982398134825</v>
      </c>
      <c r="M643" s="994">
        <f t="shared" si="73"/>
        <v>1.2926378877761791</v>
      </c>
      <c r="N643" s="995">
        <v>3</v>
      </c>
      <c r="O643" s="1009">
        <v>1.0995998201317858</v>
      </c>
      <c r="P643" s="22">
        <f t="shared" si="74"/>
        <v>0.19303806764439324</v>
      </c>
      <c r="Q643" s="982">
        <f t="shared" si="75"/>
        <v>17.555301857111786</v>
      </c>
      <c r="R643" s="6"/>
      <c r="S643" s="6"/>
      <c r="T643" s="6"/>
      <c r="U643" s="6"/>
      <c r="V643" s="6"/>
      <c r="W643" s="6"/>
      <c r="X643" s="6"/>
      <c r="Y643" s="6"/>
      <c r="Z643" s="6"/>
    </row>
    <row r="644" spans="1:26" s="93" customFormat="1" ht="15.75">
      <c r="A644" s="894">
        <v>108</v>
      </c>
      <c r="B644" s="908" t="s">
        <v>1120</v>
      </c>
      <c r="C644" s="886">
        <f>cходова!R644</f>
        <v>0.4814876884828862</v>
      </c>
      <c r="D644" s="886">
        <f>прибуд.!O644</f>
        <v>0.49714799174375579</v>
      </c>
      <c r="E644" s="886">
        <f>гар.вода!M644+хол.вода!Q644+ц.о.!M644+каналізація!Q644+аварійні!I644+зварювальн!M644</f>
        <v>0.21075113133924073</v>
      </c>
      <c r="F644" s="886">
        <f>дератизац.!I644</f>
        <v>2.3230804810360781E-3</v>
      </c>
      <c r="G644" s="886">
        <f>димоканал!R644</f>
        <v>5.9527731793079089E-2</v>
      </c>
      <c r="H644" s="886">
        <f>'підготовка до зими'!M644+майстерні!M644+маляри!M644+покрівлі!O644</f>
        <v>0.20344640219886709</v>
      </c>
      <c r="I644" s="886">
        <f>електрики!R644</f>
        <v>2.1295749577685371E-2</v>
      </c>
      <c r="J644" s="989">
        <f t="shared" si="72"/>
        <v>1.4759797756165505</v>
      </c>
      <c r="K644" s="989">
        <v>3.7367155440288902E-2</v>
      </c>
      <c r="L644" s="994">
        <f t="shared" si="76"/>
        <v>1.5133469310568395</v>
      </c>
      <c r="M644" s="994">
        <f t="shared" si="73"/>
        <v>1.8160163172682073</v>
      </c>
      <c r="N644" s="995">
        <v>3</v>
      </c>
      <c r="O644" s="1009">
        <v>1.5395268041399028</v>
      </c>
      <c r="P644" s="22">
        <f t="shared" si="74"/>
        <v>0.2764895131283045</v>
      </c>
      <c r="Q644" s="982">
        <f t="shared" si="75"/>
        <v>17.959382869125989</v>
      </c>
      <c r="R644" s="6"/>
      <c r="S644" s="6"/>
      <c r="T644" s="6"/>
      <c r="U644" s="6"/>
      <c r="V644" s="6"/>
      <c r="W644" s="6"/>
      <c r="X644" s="6"/>
      <c r="Y644" s="6"/>
      <c r="Z644" s="6"/>
    </row>
    <row r="645" spans="1:26" s="93" customFormat="1" ht="15.75">
      <c r="A645" s="894">
        <v>109</v>
      </c>
      <c r="B645" s="908" t="s">
        <v>1121</v>
      </c>
      <c r="C645" s="886">
        <f>cходова!R645</f>
        <v>0.50695749569003312</v>
      </c>
      <c r="D645" s="886">
        <f>прибуд.!O645</f>
        <v>0.35434228644508081</v>
      </c>
      <c r="E645" s="886">
        <f>гар.вода!M645+хол.вода!Q645+ц.о.!M645+каналізація!Q645+аварійні!I645+зварювальн!M645</f>
        <v>0.17558448990431694</v>
      </c>
      <c r="F645" s="886">
        <f>дератизац.!I645</f>
        <v>1.5892820617713235E-3</v>
      </c>
      <c r="G645" s="886">
        <f>димоканал!R645</f>
        <v>3.2905235256861572E-2</v>
      </c>
      <c r="H645" s="886">
        <f>'підготовка до зими'!M645+майстерні!M645+маляри!M645+покрівлі!O645</f>
        <v>0.14915991961364028</v>
      </c>
      <c r="I645" s="886">
        <f>електрики!R645</f>
        <v>1.5410204551315643E-2</v>
      </c>
      <c r="J645" s="989">
        <f t="shared" si="72"/>
        <v>1.2359489135230197</v>
      </c>
      <c r="K645" s="989">
        <v>3.1294623627321029E-2</v>
      </c>
      <c r="L645" s="994">
        <f t="shared" si="76"/>
        <v>1.2672435371503408</v>
      </c>
      <c r="M645" s="994">
        <f t="shared" si="73"/>
        <v>1.520692244580409</v>
      </c>
      <c r="N645" s="995">
        <v>3</v>
      </c>
      <c r="O645" s="1009">
        <v>1.2893384934456262</v>
      </c>
      <c r="P645" s="22">
        <f t="shared" si="74"/>
        <v>0.23135375113478274</v>
      </c>
      <c r="Q645" s="982">
        <f t="shared" si="75"/>
        <v>17.943600715473366</v>
      </c>
      <c r="R645" s="6"/>
      <c r="S645" s="6"/>
      <c r="T645" s="6"/>
      <c r="U645" s="6"/>
      <c r="V645" s="6"/>
      <c r="W645" s="6"/>
      <c r="X645" s="6"/>
      <c r="Y645" s="6"/>
      <c r="Z645" s="6"/>
    </row>
    <row r="646" spans="1:26" s="93" customFormat="1" ht="15.75">
      <c r="A646" s="894">
        <v>110</v>
      </c>
      <c r="B646" s="908" t="s">
        <v>1122</v>
      </c>
      <c r="C646" s="886">
        <f>cходова!R646</f>
        <v>0.41300938285238187</v>
      </c>
      <c r="D646" s="886">
        <f>прибуд.!O646</f>
        <v>0.30436284034438071</v>
      </c>
      <c r="E646" s="886">
        <f>гар.вода!M646+хол.вода!Q646+ц.о.!M646+каналізація!Q646+аварійні!I646+зварювальн!M646</f>
        <v>0.20389964942621974</v>
      </c>
      <c r="F646" s="886">
        <f>дератизац.!I646</f>
        <v>1.244214034438067E-3</v>
      </c>
      <c r="G646" s="886">
        <f>димоканал!R646</f>
        <v>3.5743090947038605E-2</v>
      </c>
      <c r="H646" s="886">
        <f>'підготовка до зими'!M646+майстерні!M646+маляри!M646+покрівлі!O646</f>
        <v>0.21072219139898984</v>
      </c>
      <c r="I646" s="886">
        <f>електрики!R646</f>
        <v>2.0149074670698187E-2</v>
      </c>
      <c r="J646" s="989">
        <f t="shared" si="72"/>
        <v>1.1891304436741472</v>
      </c>
      <c r="K646" s="989">
        <v>3.0173851534093351E-2</v>
      </c>
      <c r="L646" s="994">
        <f t="shared" si="76"/>
        <v>1.2193042952082405</v>
      </c>
      <c r="M646" s="994">
        <f t="shared" si="73"/>
        <v>1.4631651542498885</v>
      </c>
      <c r="N646" s="995">
        <v>3</v>
      </c>
      <c r="O646" s="1009">
        <v>1.2431626832046463</v>
      </c>
      <c r="P646" s="22">
        <f t="shared" si="74"/>
        <v>0.22000247104524218</v>
      </c>
      <c r="Q646" s="982">
        <f t="shared" si="75"/>
        <v>17.696997667120769</v>
      </c>
      <c r="R646" s="6"/>
      <c r="S646" s="6"/>
      <c r="T646" s="6"/>
      <c r="U646" s="6"/>
      <c r="V646" s="6"/>
      <c r="W646" s="6"/>
      <c r="X646" s="6"/>
      <c r="Y646" s="6"/>
      <c r="Z646" s="6"/>
    </row>
    <row r="647" spans="1:26" s="93" customFormat="1" ht="15.75">
      <c r="A647" s="894">
        <v>111</v>
      </c>
      <c r="B647" s="908" t="s">
        <v>1123</v>
      </c>
      <c r="C647" s="886">
        <f>cходова!R647</f>
        <v>0</v>
      </c>
      <c r="D647" s="886">
        <f>прибуд.!O647</f>
        <v>0.58739932132601347</v>
      </c>
      <c r="E647" s="886">
        <f>гар.вода!M647+хол.вода!Q647+ц.о.!M647+каналізація!Q647+аварійні!I647+зварювальн!M647</f>
        <v>0.23136574526625908</v>
      </c>
      <c r="F647" s="886">
        <f>дератизац.!I647</f>
        <v>2.586570945945946E-3</v>
      </c>
      <c r="G647" s="886">
        <f>димоканал!R647</f>
        <v>2.7174610670742606E-2</v>
      </c>
      <c r="H647" s="886">
        <f>'підготовка до зими'!M647+майстерні!M647+маляри!M647+покрівлі!O647</f>
        <v>0.23943067195997275</v>
      </c>
      <c r="I647" s="886">
        <f>електрики!R647</f>
        <v>2.4745844142252026E-2</v>
      </c>
      <c r="J647" s="989">
        <f t="shared" si="72"/>
        <v>1.112702764311186</v>
      </c>
      <c r="K647" s="989">
        <v>2.8273483055857807E-2</v>
      </c>
      <c r="L647" s="994">
        <f t="shared" si="76"/>
        <v>1.1409762473670437</v>
      </c>
      <c r="M647" s="994">
        <f t="shared" si="73"/>
        <v>1.3691714968404525</v>
      </c>
      <c r="N647" s="995">
        <v>2</v>
      </c>
      <c r="O647" s="1009">
        <v>1.1648675019013417</v>
      </c>
      <c r="P647" s="22">
        <f t="shared" si="74"/>
        <v>0.20430399493911078</v>
      </c>
      <c r="Q647" s="982">
        <f t="shared" si="75"/>
        <v>17.538818329607267</v>
      </c>
      <c r="R647" s="6"/>
      <c r="S647" s="6"/>
      <c r="T647" s="6"/>
      <c r="U647" s="6"/>
      <c r="V647" s="6"/>
      <c r="W647" s="6"/>
      <c r="X647" s="6"/>
      <c r="Y647" s="6"/>
      <c r="Z647" s="6"/>
    </row>
    <row r="648" spans="1:26" s="93" customFormat="1" ht="15.75">
      <c r="A648" s="894">
        <v>112</v>
      </c>
      <c r="B648" s="908" t="s">
        <v>1124</v>
      </c>
      <c r="C648" s="886">
        <f>cходова!R648</f>
        <v>0.26402292372075331</v>
      </c>
      <c r="D648" s="886">
        <f>прибуд.!O648</f>
        <v>0.57248146905459385</v>
      </c>
      <c r="E648" s="886">
        <f>гар.вода!M648+хол.вода!Q648+ц.о.!M648+каналізація!Q648+аварійні!I648+зварювальн!M648</f>
        <v>0.20339159148991126</v>
      </c>
      <c r="F648" s="886">
        <f>дератизац.!I648</f>
        <v>4.6324900133155799E-3</v>
      </c>
      <c r="G648" s="886">
        <f>димоканал!R648</f>
        <v>0.18850712616551354</v>
      </c>
      <c r="H648" s="886">
        <f>'підготовка до зими'!M648+майстерні!M648+маляри!M648+покрівлі!O648</f>
        <v>0.14824644889281444</v>
      </c>
      <c r="I648" s="886">
        <f>електрики!R648</f>
        <v>2.0064045286653041E-2</v>
      </c>
      <c r="J648" s="989">
        <f t="shared" si="72"/>
        <v>1.401346094623555</v>
      </c>
      <c r="K648" s="989">
        <v>3.5702908208218809E-2</v>
      </c>
      <c r="L648" s="994">
        <f t="shared" si="76"/>
        <v>1.4370490028317737</v>
      </c>
      <c r="M648" s="994">
        <f t="shared" si="73"/>
        <v>1.7244588033981285</v>
      </c>
      <c r="N648" s="995">
        <v>3</v>
      </c>
      <c r="O648" s="1009">
        <v>1.4709598181786148</v>
      </c>
      <c r="P648" s="22">
        <f t="shared" si="74"/>
        <v>0.25349898521951375</v>
      </c>
      <c r="Q648" s="982">
        <f t="shared" si="75"/>
        <v>17.233576477527677</v>
      </c>
      <c r="R648" s="6"/>
      <c r="S648" s="6"/>
      <c r="T648" s="6"/>
      <c r="U648" s="6"/>
      <c r="V648" s="6"/>
      <c r="W648" s="6"/>
      <c r="X648" s="6"/>
      <c r="Y648" s="6"/>
      <c r="Z648" s="6"/>
    </row>
    <row r="649" spans="1:26" s="93" customFormat="1" ht="15.75">
      <c r="A649" s="894">
        <v>113</v>
      </c>
      <c r="B649" s="908" t="s">
        <v>1125</v>
      </c>
      <c r="C649" s="886">
        <f>cходова!R649</f>
        <v>0.58303230952467122</v>
      </c>
      <c r="D649" s="886">
        <f>прибуд.!O649</f>
        <v>0.5416613808808628</v>
      </c>
      <c r="E649" s="886">
        <f>гар.вода!M649+хол.вода!Q649+ц.о.!M649+каналізація!Q649+аварійні!I649+зварювальн!M649</f>
        <v>0.19671864068269637</v>
      </c>
      <c r="F649" s="886">
        <f>дератизац.!I649</f>
        <v>1.5956930837132605E-3</v>
      </c>
      <c r="G649" s="886">
        <f>димоканал!R649</f>
        <v>3.6412062799352468E-2</v>
      </c>
      <c r="H649" s="886">
        <f>'підготовка до зими'!M649+майстерні!M649+маляри!M649+покрівлі!O649</f>
        <v>0.16286339509716008</v>
      </c>
      <c r="I649" s="886">
        <f>електрики!R649</f>
        <v>2.1206629606562246E-2</v>
      </c>
      <c r="J649" s="989">
        <f t="shared" si="72"/>
        <v>1.5434901116750184</v>
      </c>
      <c r="K649" s="989">
        <v>3.8589952116450457E-2</v>
      </c>
      <c r="L649" s="994">
        <f t="shared" si="76"/>
        <v>1.5820800637914689</v>
      </c>
      <c r="M649" s="994">
        <f t="shared" si="73"/>
        <v>1.8984960765497627</v>
      </c>
      <c r="N649" s="995">
        <v>3</v>
      </c>
      <c r="O649" s="1009">
        <v>1.589906027197759</v>
      </c>
      <c r="P649" s="22">
        <f t="shared" si="74"/>
        <v>0.30859004935200374</v>
      </c>
      <c r="Q649" s="982">
        <f t="shared" si="75"/>
        <v>19.409326342129773</v>
      </c>
      <c r="R649" s="6"/>
      <c r="S649" s="6"/>
      <c r="T649" s="6"/>
      <c r="U649" s="6"/>
      <c r="V649" s="6"/>
      <c r="W649" s="6"/>
      <c r="X649" s="6"/>
      <c r="Y649" s="6"/>
      <c r="Z649" s="6"/>
    </row>
    <row r="650" spans="1:26" s="93" customFormat="1" ht="15.75">
      <c r="A650" s="894">
        <v>114</v>
      </c>
      <c r="B650" s="908" t="s">
        <v>1126</v>
      </c>
      <c r="C650" s="886">
        <f>cходова!R650</f>
        <v>0.27219174279680192</v>
      </c>
      <c r="D650" s="886">
        <f>прибуд.!O650</f>
        <v>0.41393692406546989</v>
      </c>
      <c r="E650" s="886">
        <f>гар.вода!M650+хол.вода!Q650+ц.о.!M650+каналізація!Q650+аварійні!I650+зварювальн!M650</f>
        <v>0.21026985922833435</v>
      </c>
      <c r="F650" s="886">
        <f>дератизац.!I650</f>
        <v>1.3009503695881734E-3</v>
      </c>
      <c r="G650" s="886">
        <f>димоканал!R650</f>
        <v>3.7372980926689725E-2</v>
      </c>
      <c r="H650" s="886">
        <f>'підготовка до зими'!M650+майстерні!M650+маляри!M650+покрівлі!O650</f>
        <v>0.17531052513060277</v>
      </c>
      <c r="I650" s="886">
        <f>електрики!R650</f>
        <v>2.1215203111969637E-2</v>
      </c>
      <c r="J650" s="989">
        <f t="shared" si="72"/>
        <v>1.1315981856294566</v>
      </c>
      <c r="K650" s="989">
        <v>2.8719339098146824E-2</v>
      </c>
      <c r="L650" s="994">
        <f t="shared" si="76"/>
        <v>1.1603175247276034</v>
      </c>
      <c r="M650" s="994">
        <f t="shared" si="73"/>
        <v>1.392381029673124</v>
      </c>
      <c r="N650" s="995">
        <v>3</v>
      </c>
      <c r="O650" s="1009">
        <v>1.1832367708436493</v>
      </c>
      <c r="P650" s="22">
        <f t="shared" si="74"/>
        <v>0.20914425882947474</v>
      </c>
      <c r="Q650" s="982">
        <f t="shared" si="75"/>
        <v>17.675605084547414</v>
      </c>
      <c r="R650" s="6"/>
      <c r="S650" s="6"/>
      <c r="T650" s="6"/>
      <c r="U650" s="6"/>
      <c r="V650" s="6"/>
      <c r="W650" s="6"/>
      <c r="X650" s="6"/>
      <c r="Y650" s="6"/>
      <c r="Z650" s="6"/>
    </row>
    <row r="651" spans="1:26" s="93" customFormat="1" ht="15.75">
      <c r="A651" s="894">
        <v>115</v>
      </c>
      <c r="B651" s="908" t="s">
        <v>1127</v>
      </c>
      <c r="C651" s="886">
        <f>cходова!R651</f>
        <v>0</v>
      </c>
      <c r="D651" s="886">
        <f>прибуд.!O651</f>
        <v>0.5833441095457772</v>
      </c>
      <c r="E651" s="886">
        <f>гар.вода!M651+хол.вода!Q651+ц.о.!M651+каналізація!Q651+аварійні!I651+зварювальн!M651</f>
        <v>0.22550417191206229</v>
      </c>
      <c r="F651" s="886">
        <f>дератизац.!I651</f>
        <v>3.8750887154009937E-3</v>
      </c>
      <c r="G651" s="886">
        <f>димоканал!R651</f>
        <v>1.7126369251681647E-2</v>
      </c>
      <c r="H651" s="886">
        <f>'підготовка до зими'!M651+майстерні!M651+маляри!M651+покрівлі!O651</f>
        <v>0.21812634603540165</v>
      </c>
      <c r="I651" s="886">
        <f>електрики!R651</f>
        <v>2.3764841905648502E-2</v>
      </c>
      <c r="J651" s="989">
        <f t="shared" si="72"/>
        <v>1.0717409273659722</v>
      </c>
      <c r="K651" s="989">
        <v>2.7227293798396369E-2</v>
      </c>
      <c r="L651" s="994">
        <f t="shared" si="76"/>
        <v>1.0989682211643685</v>
      </c>
      <c r="M651" s="994">
        <f t="shared" si="73"/>
        <v>1.3187618653972422</v>
      </c>
      <c r="N651" s="995">
        <v>2</v>
      </c>
      <c r="O651" s="1009">
        <v>1.1217645044939304</v>
      </c>
      <c r="P651" s="22">
        <f t="shared" si="74"/>
        <v>0.19699736090331177</v>
      </c>
      <c r="Q651" s="982">
        <f t="shared" si="75"/>
        <v>17.561382992073234</v>
      </c>
      <c r="R651" s="6"/>
      <c r="S651" s="6"/>
      <c r="T651" s="6"/>
      <c r="U651" s="6"/>
      <c r="V651" s="6"/>
      <c r="W651" s="6"/>
      <c r="X651" s="6"/>
      <c r="Y651" s="6"/>
      <c r="Z651" s="6"/>
    </row>
    <row r="652" spans="1:26" s="93" customFormat="1" ht="15.75">
      <c r="A652" s="894">
        <v>116</v>
      </c>
      <c r="B652" s="908" t="s">
        <v>1128</v>
      </c>
      <c r="C652" s="886">
        <f>cходова!R652</f>
        <v>0</v>
      </c>
      <c r="D652" s="886">
        <f>прибуд.!O652</f>
        <v>0.42734387935113216</v>
      </c>
      <c r="E652" s="886">
        <f>гар.вода!M652+хол.вода!Q652+ц.о.!M652+каналізація!Q652+аварійні!I652+зварювальн!M652</f>
        <v>0.21873784021575562</v>
      </c>
      <c r="F652" s="886">
        <f>дератизац.!I652</f>
        <v>3.2527881040892198E-3</v>
      </c>
      <c r="G652" s="886">
        <f>димоканал!R652</f>
        <v>7.0677865401160903E-2</v>
      </c>
      <c r="H652" s="886">
        <f>'підготовка до зими'!M652+майстерні!M652+маляри!M652+покрівлі!O652</f>
        <v>0.21298925269223451</v>
      </c>
      <c r="I652" s="886">
        <f>електрики!R652</f>
        <v>2.2632417874321558E-2</v>
      </c>
      <c r="J652" s="989">
        <f t="shared" si="72"/>
        <v>0.95563404363869398</v>
      </c>
      <c r="K652" s="989">
        <v>2.442033746827009E-2</v>
      </c>
      <c r="L652" s="994">
        <f t="shared" si="76"/>
        <v>0.98005438110696408</v>
      </c>
      <c r="M652" s="994">
        <f t="shared" si="73"/>
        <v>1.1760652573283568</v>
      </c>
      <c r="N652" s="995">
        <v>2</v>
      </c>
      <c r="O652" s="1009">
        <v>1.0061179036927277</v>
      </c>
      <c r="P652" s="22">
        <f t="shared" si="74"/>
        <v>0.16994735363562907</v>
      </c>
      <c r="Q652" s="982">
        <f t="shared" si="75"/>
        <v>16.891395433067615</v>
      </c>
      <c r="R652" s="6"/>
      <c r="S652" s="6"/>
      <c r="T652" s="6"/>
      <c r="U652" s="6"/>
      <c r="V652" s="6"/>
      <c r="W652" s="6"/>
      <c r="X652" s="6"/>
      <c r="Y652" s="6"/>
      <c r="Z652" s="6"/>
    </row>
    <row r="653" spans="1:26" s="93" customFormat="1" ht="15.75">
      <c r="A653" s="894">
        <v>117</v>
      </c>
      <c r="B653" s="908" t="s">
        <v>1129</v>
      </c>
      <c r="C653" s="886">
        <f>cходова!R653</f>
        <v>0.40103106327650967</v>
      </c>
      <c r="D653" s="886">
        <f>прибуд.!O653</f>
        <v>0.62111179321005483</v>
      </c>
      <c r="E653" s="886">
        <f>гар.вода!M653+хол.вода!Q653+ц.о.!M653+каналізація!Q653+аварійні!I653+зварювальн!M653</f>
        <v>0.24247939708317354</v>
      </c>
      <c r="F653" s="886">
        <f>дератизац.!I653</f>
        <v>1.7697197341808727E-3</v>
      </c>
      <c r="G653" s="886">
        <f>димоканал!R653</f>
        <v>4.6481853559894891E-2</v>
      </c>
      <c r="H653" s="886">
        <f>'підготовка до зими'!M653+майстерні!M653+маляри!M653+покрівлі!O653</f>
        <v>0.11675418273080455</v>
      </c>
      <c r="I653" s="886">
        <f>електрики!R653</f>
        <v>2.6605842581309311E-2</v>
      </c>
      <c r="J653" s="989">
        <f t="shared" si="72"/>
        <v>1.4562338521759277</v>
      </c>
      <c r="K653" s="989">
        <v>3.6802991262881744E-2</v>
      </c>
      <c r="L653" s="994">
        <f t="shared" si="76"/>
        <v>1.4930368434388095</v>
      </c>
      <c r="M653" s="994">
        <f t="shared" si="73"/>
        <v>1.7916442121265714</v>
      </c>
      <c r="N653" s="995">
        <v>3</v>
      </c>
      <c r="O653" s="1009">
        <v>1.516283240030728</v>
      </c>
      <c r="P653" s="22">
        <f t="shared" si="74"/>
        <v>0.27536097209584343</v>
      </c>
      <c r="Q653" s="982">
        <f t="shared" si="75"/>
        <v>18.160259562735988</v>
      </c>
      <c r="R653" s="6"/>
      <c r="S653" s="6"/>
      <c r="T653" s="6"/>
      <c r="U653" s="6"/>
      <c r="V653" s="6"/>
      <c r="W653" s="6"/>
      <c r="X653" s="6"/>
      <c r="Y653" s="6"/>
      <c r="Z653" s="6"/>
    </row>
    <row r="654" spans="1:26" s="93" customFormat="1" ht="15.75">
      <c r="A654" s="894">
        <v>118</v>
      </c>
      <c r="B654" s="908" t="s">
        <v>1130</v>
      </c>
      <c r="C654" s="886">
        <f>cходова!R654</f>
        <v>0.71368765836830561</v>
      </c>
      <c r="D654" s="886">
        <f>прибуд.!O654</f>
        <v>0.3377406657495256</v>
      </c>
      <c r="E654" s="886">
        <f>гар.вода!M654+хол.вода!Q654+ц.о.!M654+каналізація!Q654+аварійні!I654+зварювальн!M654</f>
        <v>0.24136519720317434</v>
      </c>
      <c r="F654" s="886">
        <f>дератизац.!I654</f>
        <v>1.2255785993387437E-3</v>
      </c>
      <c r="G654" s="886">
        <f>димоканал!R654</f>
        <v>4.8353981115358047E-2</v>
      </c>
      <c r="H654" s="886">
        <f>'підготовка до зими'!M654+майстерні!M654+маляри!M654+покрівлі!O654</f>
        <v>0.17920904329192322</v>
      </c>
      <c r="I654" s="886">
        <f>електрики!R654</f>
        <v>2.7797988106666418E-2</v>
      </c>
      <c r="J654" s="989">
        <f t="shared" si="72"/>
        <v>1.5493801124342921</v>
      </c>
      <c r="K654" s="989">
        <v>3.8901712757723771E-2</v>
      </c>
      <c r="L654" s="994">
        <f t="shared" si="76"/>
        <v>1.5882818251920159</v>
      </c>
      <c r="M654" s="994">
        <f t="shared" si="73"/>
        <v>1.9059381902304189</v>
      </c>
      <c r="N654" s="995">
        <v>3</v>
      </c>
      <c r="O654" s="1009">
        <v>1.6027505656182195</v>
      </c>
      <c r="P654" s="22">
        <f t="shared" si="74"/>
        <v>0.30318762461219939</v>
      </c>
      <c r="Q654" s="982">
        <f t="shared" si="75"/>
        <v>18.916706761245322</v>
      </c>
      <c r="R654" s="6"/>
      <c r="S654" s="6"/>
      <c r="T654" s="6"/>
      <c r="U654" s="6"/>
      <c r="V654" s="6"/>
      <c r="W654" s="6"/>
      <c r="X654" s="6"/>
      <c r="Y654" s="6"/>
      <c r="Z654" s="6"/>
    </row>
    <row r="655" spans="1:26" s="93" customFormat="1" ht="15.75">
      <c r="A655" s="894">
        <v>119</v>
      </c>
      <c r="B655" s="908" t="s">
        <v>1131</v>
      </c>
      <c r="C655" s="886">
        <f>cходова!R655</f>
        <v>0.71579943580522387</v>
      </c>
      <c r="D655" s="886">
        <f>прибуд.!O655</f>
        <v>0.18259640523693776</v>
      </c>
      <c r="E655" s="886">
        <f>гар.вода!M655+хол.вода!Q655+ц.о.!M655+каналізація!Q655+аварійні!I655+зварювальн!M655</f>
        <v>0.22796129292712491</v>
      </c>
      <c r="F655" s="886">
        <f>дератизац.!I655</f>
        <v>1.2298139635628506E-3</v>
      </c>
      <c r="G655" s="886">
        <f>димоканал!R655</f>
        <v>5.4204031970136637E-2</v>
      </c>
      <c r="H655" s="886">
        <f>'підготовка до зими'!M655+майстерні!M655+маляри!M655+покрівлі!O655</f>
        <v>0.17637144317566816</v>
      </c>
      <c r="I655" s="886">
        <f>електрики!R655</f>
        <v>2.4176069585611953E-2</v>
      </c>
      <c r="J655" s="989">
        <f t="shared" si="72"/>
        <v>1.3823384926642661</v>
      </c>
      <c r="K655" s="989">
        <v>3.5015170512353484E-2</v>
      </c>
      <c r="L655" s="994">
        <f t="shared" si="76"/>
        <v>1.4173536631766197</v>
      </c>
      <c r="M655" s="994">
        <f t="shared" si="73"/>
        <v>1.7008243958119436</v>
      </c>
      <c r="N655" s="995">
        <v>3</v>
      </c>
      <c r="O655" s="1009">
        <v>1.4426250251089636</v>
      </c>
      <c r="P655" s="22">
        <f t="shared" si="74"/>
        <v>0.25819937070297994</v>
      </c>
      <c r="Q655" s="982">
        <f t="shared" si="75"/>
        <v>17.897885189082842</v>
      </c>
      <c r="R655" s="6"/>
      <c r="S655" s="6"/>
      <c r="T655" s="6"/>
      <c r="U655" s="6"/>
      <c r="V655" s="6"/>
      <c r="W655" s="6"/>
      <c r="X655" s="6"/>
      <c r="Y655" s="6"/>
      <c r="Z655" s="6"/>
    </row>
    <row r="656" spans="1:26" s="93" customFormat="1" ht="15.75">
      <c r="A656" s="894">
        <v>120</v>
      </c>
      <c r="B656" s="908" t="s">
        <v>1132</v>
      </c>
      <c r="C656" s="886">
        <f>cходова!R656</f>
        <v>0.5620843572329608</v>
      </c>
      <c r="D656" s="886">
        <f>прибуд.!O656</f>
        <v>0.52997609087770547</v>
      </c>
      <c r="E656" s="886">
        <f>гар.вода!M656+хол.вода!Q656+ц.о.!M656+каналізація!Q656+аварійні!I656+зварювальн!M656</f>
        <v>0.24975169381657197</v>
      </c>
      <c r="F656" s="886">
        <f>дератизац.!I656</f>
        <v>4.7377326565143834E-3</v>
      </c>
      <c r="G656" s="886">
        <f>димоканал!R656</f>
        <v>1.0693803764072748E-2</v>
      </c>
      <c r="H656" s="886">
        <f>'підготовка до зими'!M656+майстерні!M656+маляри!M656+покрівлі!O656</f>
        <v>0.14959050247294059</v>
      </c>
      <c r="I656" s="886">
        <f>електрики!R656</f>
        <v>3.0567926295947265E-2</v>
      </c>
      <c r="J656" s="989">
        <f t="shared" ref="J656:J717" si="77">I656+H656+G656+F656+E656+D656+C656</f>
        <v>1.5374021071167132</v>
      </c>
      <c r="K656" s="989">
        <v>3.8295719386773064E-2</v>
      </c>
      <c r="L656" s="994">
        <f t="shared" si="76"/>
        <v>1.5756978265034862</v>
      </c>
      <c r="M656" s="994">
        <f t="shared" ref="M656:M717" si="78">L656*1.2</f>
        <v>1.8908373918041834</v>
      </c>
      <c r="N656" s="995">
        <v>4</v>
      </c>
      <c r="O656" s="1009">
        <v>1.5777836387350501</v>
      </c>
      <c r="P656" s="22">
        <f t="shared" si="74"/>
        <v>0.3130537530691333</v>
      </c>
      <c r="Q656" s="982">
        <f t="shared" si="75"/>
        <v>19.841361349146496</v>
      </c>
      <c r="R656" s="6"/>
      <c r="S656" s="6"/>
      <c r="T656" s="6"/>
      <c r="U656" s="6"/>
      <c r="V656" s="6"/>
      <c r="W656" s="6"/>
      <c r="X656" s="6"/>
      <c r="Y656" s="6"/>
      <c r="Z656" s="6"/>
    </row>
    <row r="657" spans="1:26" s="93" customFormat="1" ht="15.75">
      <c r="A657" s="894">
        <v>121</v>
      </c>
      <c r="B657" s="908" t="s">
        <v>1133</v>
      </c>
      <c r="C657" s="886">
        <f>cходова!R657</f>
        <v>0.37436118990477368</v>
      </c>
      <c r="D657" s="886">
        <f>прибуд.!O657</f>
        <v>0.64712329265733182</v>
      </c>
      <c r="E657" s="886">
        <f>гар.вода!M657+хол.вода!Q657+ц.о.!M657+каналізація!Q657+аварійні!I657+зварювальн!M657</f>
        <v>0.34678892400097588</v>
      </c>
      <c r="F657" s="886">
        <f>дератизац.!I657</f>
        <v>3.5207550684591268E-3</v>
      </c>
      <c r="G657" s="886">
        <f>димоканал!R657</f>
        <v>3.0765958440175416E-2</v>
      </c>
      <c r="H657" s="886">
        <f>'підготовка до зими'!M657+майстерні!M657+маляри!M657+покрівлі!O657</f>
        <v>0.12689422928220939</v>
      </c>
      <c r="I657" s="886">
        <f>електрики!R657</f>
        <v>1.8712903859513099E-2</v>
      </c>
      <c r="J657" s="989">
        <f t="shared" si="77"/>
        <v>1.5481672532134383</v>
      </c>
      <c r="K657" s="989">
        <v>3.8634110081809059E-2</v>
      </c>
      <c r="L657" s="994">
        <f t="shared" si="76"/>
        <v>1.5868013632952473</v>
      </c>
      <c r="M657" s="994">
        <f t="shared" si="78"/>
        <v>1.9041616359542968</v>
      </c>
      <c r="N657" s="995">
        <v>5</v>
      </c>
      <c r="O657" s="1009">
        <v>1.5917253353705334</v>
      </c>
      <c r="P657" s="22">
        <f t="shared" si="74"/>
        <v>0.31243630058376337</v>
      </c>
      <c r="Q657" s="982">
        <f t="shared" si="75"/>
        <v>19.628782280520298</v>
      </c>
      <c r="R657" s="6"/>
      <c r="S657" s="6"/>
      <c r="T657" s="6"/>
      <c r="U657" s="6"/>
      <c r="V657" s="6"/>
      <c r="W657" s="6"/>
      <c r="X657" s="6"/>
      <c r="Y657" s="6"/>
      <c r="Z657" s="6"/>
    </row>
    <row r="658" spans="1:26" s="93" customFormat="1" ht="15.75">
      <c r="A658" s="894">
        <v>122</v>
      </c>
      <c r="B658" s="908" t="s">
        <v>1134</v>
      </c>
      <c r="C658" s="886">
        <f>cходова!R658</f>
        <v>0.33316775308174734</v>
      </c>
      <c r="D658" s="886">
        <f>прибуд.!O658</f>
        <v>0.69572714269076985</v>
      </c>
      <c r="E658" s="886">
        <f>гар.вода!M658+хол.вода!Q658+ц.о.!M658+каналізація!Q658+аварійні!I658+зварювальн!M658</f>
        <v>0.34631837250384984</v>
      </c>
      <c r="F658" s="886">
        <f>дератизац.!I658</f>
        <v>2.8927471218627128E-3</v>
      </c>
      <c r="G658" s="886">
        <f>димоканал!R658</f>
        <v>2.7576152170453908E-2</v>
      </c>
      <c r="H658" s="886">
        <f>'підготовка до зими'!M658+майстерні!M658+маляри!M658+покрівлі!O658</f>
        <v>0.12300585580867777</v>
      </c>
      <c r="I658" s="886">
        <f>електрики!R658</f>
        <v>1.863639448502909E-2</v>
      </c>
      <c r="J658" s="989">
        <f t="shared" si="77"/>
        <v>1.5473244178623906</v>
      </c>
      <c r="K658" s="989">
        <v>3.8574491751274385E-2</v>
      </c>
      <c r="L658" s="994">
        <f t="shared" si="76"/>
        <v>1.5858989096136651</v>
      </c>
      <c r="M658" s="994">
        <f t="shared" si="78"/>
        <v>1.903078691536398</v>
      </c>
      <c r="N658" s="995">
        <v>5</v>
      </c>
      <c r="O658" s="1009">
        <v>1.5892690601525048</v>
      </c>
      <c r="P658" s="22">
        <f t="shared" si="74"/>
        <v>0.31380963138389317</v>
      </c>
      <c r="Q658" s="982">
        <f t="shared" si="75"/>
        <v>19.745532034316483</v>
      </c>
      <c r="R658" s="6"/>
      <c r="S658" s="6"/>
      <c r="T658" s="6"/>
      <c r="U658" s="6"/>
      <c r="V658" s="6"/>
      <c r="W658" s="6"/>
      <c r="X658" s="6"/>
      <c r="Y658" s="6"/>
      <c r="Z658" s="6"/>
    </row>
    <row r="659" spans="1:26" s="93" customFormat="1" ht="15.75">
      <c r="A659" s="894">
        <v>123</v>
      </c>
      <c r="B659" s="908" t="s">
        <v>1135</v>
      </c>
      <c r="C659" s="886">
        <f>cходова!R659</f>
        <v>0.35799884827761375</v>
      </c>
      <c r="D659" s="886">
        <f>прибуд.!O659</f>
        <v>0.47272770345015119</v>
      </c>
      <c r="E659" s="886">
        <f>гар.вода!M659+хол.вода!Q659+ц.о.!M659+каналізація!Q659+аварійні!I659+зварювальн!M659</f>
        <v>0.34811577476157179</v>
      </c>
      <c r="F659" s="886">
        <f>дератизац.!I659</f>
        <v>2.1563444826864938E-3</v>
      </c>
      <c r="G659" s="886">
        <f>димоканал!R659</f>
        <v>2.2423310938134135E-2</v>
      </c>
      <c r="H659" s="886">
        <f>'підготовка до зими'!M659+майстерні!M659+маляри!M659+покрівлі!O659</f>
        <v>0.12410703851112559</v>
      </c>
      <c r="I659" s="886">
        <f>електрики!R659</f>
        <v>1.8942529840660548E-2</v>
      </c>
      <c r="J659" s="989">
        <f t="shared" si="77"/>
        <v>1.3464715502619435</v>
      </c>
      <c r="K659" s="989">
        <v>3.4127802837381392E-2</v>
      </c>
      <c r="L659" s="994">
        <f t="shared" si="76"/>
        <v>1.380599353099325</v>
      </c>
      <c r="M659" s="994">
        <f t="shared" si="78"/>
        <v>1.6567192237191899</v>
      </c>
      <c r="N659" s="995">
        <v>5</v>
      </c>
      <c r="O659" s="1009">
        <v>1.4060654769001135</v>
      </c>
      <c r="P659" s="22">
        <f t="shared" si="74"/>
        <v>0.25065374681907637</v>
      </c>
      <c r="Q659" s="982">
        <f t="shared" si="75"/>
        <v>17.826605583950524</v>
      </c>
      <c r="R659" s="6"/>
      <c r="S659" s="6"/>
      <c r="T659" s="6"/>
      <c r="U659" s="6"/>
      <c r="V659" s="6"/>
      <c r="W659" s="6"/>
      <c r="X659" s="6"/>
      <c r="Y659" s="6"/>
      <c r="Z659" s="6"/>
    </row>
    <row r="660" spans="1:26" s="93" customFormat="1" ht="15.75">
      <c r="A660" s="894">
        <v>124</v>
      </c>
      <c r="B660" s="908" t="s">
        <v>1136</v>
      </c>
      <c r="C660" s="886">
        <f>cходова!R660</f>
        <v>0.35974889258002907</v>
      </c>
      <c r="D660" s="886">
        <f>прибуд.!O660</f>
        <v>0.66480263092589376</v>
      </c>
      <c r="E660" s="886">
        <f>гар.вода!M660+хол.вода!Q660+ц.о.!M660+каналізація!Q660+аварійні!I660+зварювальн!M660</f>
        <v>0.35519804109470204</v>
      </c>
      <c r="F660" s="886">
        <f>дератизац.!I660</f>
        <v>2.411891184444237E-3</v>
      </c>
      <c r="G660" s="886">
        <f>димоканал!R660</f>
        <v>3.1496667928939646E-2</v>
      </c>
      <c r="H660" s="886">
        <f>'підготовка до зими'!M660+майстерні!M660+маляри!M660+покрівлі!O660</f>
        <v>0.12249552193985959</v>
      </c>
      <c r="I660" s="886">
        <f>електрики!R660</f>
        <v>2.0123262877811448E-2</v>
      </c>
      <c r="J660" s="989">
        <f t="shared" si="77"/>
        <v>1.5562769085316797</v>
      </c>
      <c r="K660" s="989">
        <v>3.8823695575244135E-2</v>
      </c>
      <c r="L660" s="994">
        <f t="shared" si="76"/>
        <v>1.5951006041069238</v>
      </c>
      <c r="M660" s="994">
        <f t="shared" si="78"/>
        <v>1.9141207249283085</v>
      </c>
      <c r="N660" s="995">
        <v>5</v>
      </c>
      <c r="O660" s="1009">
        <v>1.5995362577000585</v>
      </c>
      <c r="P660" s="22">
        <f t="shared" si="74"/>
        <v>0.31458446722825006</v>
      </c>
      <c r="Q660" s="982">
        <f t="shared" si="75"/>
        <v>19.667229530675655</v>
      </c>
      <c r="R660" s="6"/>
      <c r="S660" s="6"/>
      <c r="T660" s="6"/>
      <c r="U660" s="6"/>
      <c r="V660" s="6"/>
      <c r="W660" s="6"/>
      <c r="X660" s="6"/>
      <c r="Y660" s="6"/>
      <c r="Z660" s="6"/>
    </row>
    <row r="661" spans="1:26" s="93" customFormat="1" ht="15.75">
      <c r="A661" s="894">
        <v>125</v>
      </c>
      <c r="B661" s="908" t="s">
        <v>1137</v>
      </c>
      <c r="C661" s="886">
        <f>cходова!R661</f>
        <v>0.41815087781029486</v>
      </c>
      <c r="D661" s="886">
        <f>прибуд.!O661</f>
        <v>0.68562318888927243</v>
      </c>
      <c r="E661" s="886">
        <f>гар.вода!M661+хол.вода!Q661+ц.о.!M661+каналізація!Q661+аварійні!I661+зварювальн!M661</f>
        <v>0.28172515260151942</v>
      </c>
      <c r="F661" s="886">
        <f>дератизац.!I661</f>
        <v>2.4610980138562331E-3</v>
      </c>
      <c r="G661" s="886">
        <f>димоканал!R661</f>
        <v>2.3330379384214051E-2</v>
      </c>
      <c r="H661" s="886">
        <f>'підготовка до зими'!M661+майстерні!M661+маляри!M661+покрівлі!O661</f>
        <v>0.11206675481453574</v>
      </c>
      <c r="I661" s="886">
        <f>електрики!R661</f>
        <v>2.0887277437122185E-2</v>
      </c>
      <c r="J661" s="989">
        <f t="shared" si="77"/>
        <v>1.544244728950815</v>
      </c>
      <c r="K661" s="989">
        <v>3.8511748723038502E-2</v>
      </c>
      <c r="L661" s="994">
        <f t="shared" si="76"/>
        <v>1.5827564776738534</v>
      </c>
      <c r="M661" s="994">
        <f t="shared" si="78"/>
        <v>1.8993077732086241</v>
      </c>
      <c r="N661" s="995">
        <v>5</v>
      </c>
      <c r="O661" s="1009">
        <v>1.5866840473891866</v>
      </c>
      <c r="P661" s="22">
        <f t="shared" si="74"/>
        <v>0.31262372581943754</v>
      </c>
      <c r="Q661" s="982">
        <f t="shared" si="75"/>
        <v>19.702960166130424</v>
      </c>
      <c r="R661" s="6"/>
      <c r="S661" s="6"/>
      <c r="T661" s="6"/>
      <c r="U661" s="6"/>
      <c r="V661" s="6"/>
      <c r="W661" s="6"/>
      <c r="X661" s="6"/>
      <c r="Y661" s="6"/>
      <c r="Z661" s="6"/>
    </row>
    <row r="662" spans="1:26" s="93" customFormat="1" ht="15.75">
      <c r="A662" s="894">
        <v>126</v>
      </c>
      <c r="B662" s="908" t="s">
        <v>1138</v>
      </c>
      <c r="C662" s="886">
        <f>cходова!R662</f>
        <v>0.32695693320420877</v>
      </c>
      <c r="D662" s="886">
        <f>прибуд.!O662</f>
        <v>0.60236852352510095</v>
      </c>
      <c r="E662" s="886">
        <f>гар.вода!M662+хол.вода!Q662+ц.о.!M662+каналізація!Q662+аварійні!I662+зварювальн!M662</f>
        <v>0.24846356052422422</v>
      </c>
      <c r="F662" s="886">
        <f>дератизац.!I662</f>
        <v>1.5775009160864789E-3</v>
      </c>
      <c r="G662" s="886">
        <f>димоканал!R662</f>
        <v>9.4319498817615977E-2</v>
      </c>
      <c r="H662" s="886">
        <f>'підготовка до зими'!M662+майстерні!M662+маляри!M662+покрівлі!O662</f>
        <v>0.15714669599337849</v>
      </c>
      <c r="I662" s="886">
        <f>електрики!R662</f>
        <v>2.7607361689769946E-2</v>
      </c>
      <c r="J662" s="989">
        <f t="shared" si="77"/>
        <v>1.4584400746703849</v>
      </c>
      <c r="K662" s="989">
        <v>3.6964743813881734E-2</v>
      </c>
      <c r="L662" s="994">
        <f t="shared" si="76"/>
        <v>1.4954048184842668</v>
      </c>
      <c r="M662" s="994">
        <f t="shared" si="78"/>
        <v>1.79448578218112</v>
      </c>
      <c r="N662" s="995">
        <v>2</v>
      </c>
      <c r="O662" s="1009">
        <v>1.5229474451319274</v>
      </c>
      <c r="P662" s="22">
        <f t="shared" si="74"/>
        <v>0.27153833704919261</v>
      </c>
      <c r="Q662" s="982">
        <f t="shared" si="75"/>
        <v>17.829790378989088</v>
      </c>
      <c r="R662" s="6"/>
      <c r="S662" s="6"/>
      <c r="T662" s="6"/>
      <c r="U662" s="6"/>
      <c r="V662" s="6"/>
      <c r="W662" s="6"/>
      <c r="X662" s="6"/>
      <c r="Y662" s="6"/>
      <c r="Z662" s="6"/>
    </row>
    <row r="663" spans="1:26" s="93" customFormat="1" ht="15.75">
      <c r="A663" s="894">
        <v>127</v>
      </c>
      <c r="B663" s="908" t="s">
        <v>1139</v>
      </c>
      <c r="C663" s="886">
        <f>cходова!R663</f>
        <v>0.34463710726700875</v>
      </c>
      <c r="D663" s="886">
        <f>прибуд.!O663</f>
        <v>0.24071960268995196</v>
      </c>
      <c r="E663" s="886">
        <f>гар.вода!M663+хол.вода!Q663+ц.о.!M663+каналізація!Q663+аварійні!I663+зварювальн!M663</f>
        <v>0.24082390999637959</v>
      </c>
      <c r="F663" s="886">
        <f>дератизац.!I663</f>
        <v>1.3557358053302433E-3</v>
      </c>
      <c r="G663" s="886">
        <f>димоканал!R663</f>
        <v>5.3260617503988153E-2</v>
      </c>
      <c r="H663" s="886">
        <f>'підготовка до зими'!M663+майстерні!M663+маляри!M663+покрівлі!O663</f>
        <v>0.17481004455209714</v>
      </c>
      <c r="I663" s="886">
        <f>електрики!R663</f>
        <v>2.6328777630198481E-2</v>
      </c>
      <c r="J663" s="989">
        <f t="shared" si="77"/>
        <v>1.0819357954449542</v>
      </c>
      <c r="K663" s="989">
        <v>2.7520773999549795E-2</v>
      </c>
      <c r="L663" s="994">
        <f t="shared" si="76"/>
        <v>1.109456569444504</v>
      </c>
      <c r="M663" s="994">
        <f t="shared" si="78"/>
        <v>1.3313478833334047</v>
      </c>
      <c r="N663" s="995">
        <v>3</v>
      </c>
      <c r="O663" s="1009">
        <v>1.1338558887814516</v>
      </c>
      <c r="P663" s="22">
        <f t="shared" si="74"/>
        <v>0.1974919945519531</v>
      </c>
      <c r="Q663" s="982">
        <f t="shared" si="75"/>
        <v>17.417733285682061</v>
      </c>
      <c r="R663" s="6"/>
      <c r="S663" s="6"/>
      <c r="T663" s="6"/>
      <c r="U663" s="6"/>
      <c r="V663" s="6"/>
      <c r="W663" s="6"/>
      <c r="X663" s="6"/>
      <c r="Y663" s="6"/>
      <c r="Z663" s="6"/>
    </row>
    <row r="664" spans="1:26" s="93" customFormat="1" ht="15.75">
      <c r="A664" s="894">
        <v>128</v>
      </c>
      <c r="B664" s="908" t="s">
        <v>1140</v>
      </c>
      <c r="C664" s="886">
        <f>cходова!R664</f>
        <v>0.31994602363535773</v>
      </c>
      <c r="D664" s="886">
        <f>прибуд.!O664</f>
        <v>0.54410952624784847</v>
      </c>
      <c r="E664" s="886">
        <f>гар.вода!M664+хол.вода!Q664+ц.о.!M664+каналізація!Q664+аварійні!I664+зварювальн!M664</f>
        <v>0.21264256853651542</v>
      </c>
      <c r="F664" s="886">
        <f>дератизац.!I664</f>
        <v>1.1295180722891566E-3</v>
      </c>
      <c r="G664" s="886">
        <f>димоканал!R664</f>
        <v>5.1917070300386045E-2</v>
      </c>
      <c r="H664" s="886">
        <f>'підготовка до зими'!M664+майстерні!M664+маляри!M664+покрівлі!O664</f>
        <v>0.19075214324289658</v>
      </c>
      <c r="I664" s="886">
        <f>електрики!R664</f>
        <v>2.1612303514452716E-2</v>
      </c>
      <c r="J664" s="989">
        <f t="shared" si="77"/>
        <v>1.3421091535497462</v>
      </c>
      <c r="K664" s="989">
        <v>3.4000150206427444E-2</v>
      </c>
      <c r="L664" s="994">
        <f t="shared" si="76"/>
        <v>1.3761093037561738</v>
      </c>
      <c r="M664" s="994">
        <f t="shared" si="78"/>
        <v>1.6513311645074085</v>
      </c>
      <c r="N664" s="995">
        <v>3</v>
      </c>
      <c r="O664" s="1009">
        <v>1.4008061885048109</v>
      </c>
      <c r="P664" s="22">
        <f t="shared" si="74"/>
        <v>0.2505249760025976</v>
      </c>
      <c r="Q664" s="982">
        <f t="shared" si="75"/>
        <v>17.884342463535404</v>
      </c>
      <c r="R664" s="6"/>
      <c r="S664" s="6"/>
      <c r="T664" s="6"/>
      <c r="U664" s="6"/>
      <c r="V664" s="6"/>
      <c r="W664" s="6"/>
      <c r="X664" s="6"/>
      <c r="Y664" s="6"/>
      <c r="Z664" s="6"/>
    </row>
    <row r="665" spans="1:26" s="6" customFormat="1" ht="15" customHeight="1">
      <c r="A665" s="894">
        <v>129</v>
      </c>
      <c r="B665" s="908" t="s">
        <v>1381</v>
      </c>
      <c r="C665" s="886">
        <f>cходова!R665</f>
        <v>0</v>
      </c>
      <c r="D665" s="886">
        <f>прибуд.!O665</f>
        <v>0.30327630147499701</v>
      </c>
      <c r="E665" s="886">
        <f>гар.вода!M665+хол.вода!Q665+ц.о.!M665+каналізація!Q665+аварійні!I665+зварювальн!M665</f>
        <v>0.46777895128982677</v>
      </c>
      <c r="F665" s="886">
        <f>дератизац.!I665</f>
        <v>0</v>
      </c>
      <c r="G665" s="886">
        <f>димоканал!R665</f>
        <v>0</v>
      </c>
      <c r="H665" s="886">
        <f>'підготовка до зими'!M665+майстерні!M665+маляри!M665+покрівлі!O665</f>
        <v>9.0464850822012693E-2</v>
      </c>
      <c r="I665" s="886">
        <f>електрики!R665</f>
        <v>1.0038572444255529E-2</v>
      </c>
      <c r="J665" s="989">
        <f t="shared" si="77"/>
        <v>0.87155867603109205</v>
      </c>
      <c r="K665" s="989">
        <v>2.2141275308644452E-2</v>
      </c>
      <c r="L665" s="994">
        <f t="shared" si="76"/>
        <v>0.89369995133973645</v>
      </c>
      <c r="M665" s="994">
        <f t="shared" si="78"/>
        <v>1.0724399416076837</v>
      </c>
      <c r="N665" s="995">
        <v>5</v>
      </c>
      <c r="O665" s="1009">
        <v>0.91222054271615161</v>
      </c>
      <c r="P665" s="22">
        <f t="shared" ref="P665:P728" si="79">M665-O665</f>
        <v>0.16021939889153214</v>
      </c>
      <c r="Q665" s="982">
        <f t="shared" ref="Q665:Q728" si="80">M665/O665*100-100</f>
        <v>17.563669243237626</v>
      </c>
    </row>
    <row r="666" spans="1:26" s="93" customFormat="1" ht="15.75">
      <c r="A666" s="894">
        <v>130</v>
      </c>
      <c r="B666" s="908" t="s">
        <v>1141</v>
      </c>
      <c r="C666" s="886">
        <f>cходова!R666</f>
        <v>0.32398891456582629</v>
      </c>
      <c r="D666" s="886">
        <f>прибуд.!O666</f>
        <v>0.3409219590441176</v>
      </c>
      <c r="E666" s="886">
        <f>гар.вода!M666+хол.вода!Q666+ц.о.!M666+каналізація!Q666+аварійні!I666+зварювальн!M666</f>
        <v>0.21631758156148168</v>
      </c>
      <c r="F666" s="886">
        <f>дератизац.!I666</f>
        <v>7.2201797385620914E-4</v>
      </c>
      <c r="G666" s="886">
        <f>димоканал!R666</f>
        <v>6.5716378746240284E-2</v>
      </c>
      <c r="H666" s="886">
        <f>'підготовка до зими'!M666+майстерні!M666+маляри!M666+покрівлі!O666</f>
        <v>0.18681586357070157</v>
      </c>
      <c r="I666" s="886">
        <f>електрики!R666</f>
        <v>2.2227359537671756E-2</v>
      </c>
      <c r="J666" s="989">
        <f t="shared" si="77"/>
        <v>1.1567100749998953</v>
      </c>
      <c r="K666" s="989">
        <v>2.9402073185933214E-2</v>
      </c>
      <c r="L666" s="994">
        <f t="shared" si="76"/>
        <v>1.1861121481858286</v>
      </c>
      <c r="M666" s="994">
        <f t="shared" si="78"/>
        <v>1.4233345778229942</v>
      </c>
      <c r="N666" s="995">
        <v>3</v>
      </c>
      <c r="O666" s="1009">
        <v>1.2113654152604487</v>
      </c>
      <c r="P666" s="22">
        <f t="shared" si="79"/>
        <v>0.2119691625625455</v>
      </c>
      <c r="Q666" s="982">
        <f t="shared" si="80"/>
        <v>17.498366710178132</v>
      </c>
      <c r="R666" s="6"/>
      <c r="S666" s="6"/>
      <c r="T666" s="6"/>
      <c r="U666" s="6"/>
      <c r="V666" s="6"/>
      <c r="W666" s="6"/>
      <c r="X666" s="6"/>
      <c r="Y666" s="6"/>
      <c r="Z666" s="6"/>
    </row>
    <row r="667" spans="1:26" s="93" customFormat="1" ht="15.75">
      <c r="A667" s="894">
        <v>131</v>
      </c>
      <c r="B667" s="908" t="s">
        <v>1142</v>
      </c>
      <c r="C667" s="886">
        <f>cходова!R667</f>
        <v>0</v>
      </c>
      <c r="D667" s="886">
        <f>прибуд.!O667</f>
        <v>0.52391384120544093</v>
      </c>
      <c r="E667" s="886">
        <f>гар.вода!M667+хол.вода!Q667+ц.о.!M667+каналізація!Q667+аварійні!I667+зварювальн!M667</f>
        <v>0.20081121516820483</v>
      </c>
      <c r="F667" s="886">
        <f>дератизац.!I667</f>
        <v>7.0864602876798003E-3</v>
      </c>
      <c r="G667" s="886">
        <f>димоканал!R667</f>
        <v>7.545670505196822E-2</v>
      </c>
      <c r="H667" s="886">
        <f>'підготовка до зими'!M667+майстерні!M667+маляри!M667+покрівлі!O667</f>
        <v>0.22177871680026154</v>
      </c>
      <c r="I667" s="886">
        <f>електрики!R667</f>
        <v>1.9632189402590726E-2</v>
      </c>
      <c r="J667" s="989">
        <f t="shared" si="77"/>
        <v>1.048679127916146</v>
      </c>
      <c r="K667" s="989">
        <v>2.6766638666308802E-2</v>
      </c>
      <c r="L667" s="994">
        <f t="shared" si="76"/>
        <v>1.0754457665824548</v>
      </c>
      <c r="M667" s="994">
        <f t="shared" si="78"/>
        <v>1.2905349198989458</v>
      </c>
      <c r="N667" s="995">
        <v>2</v>
      </c>
      <c r="O667" s="1009">
        <v>1.1027855130519226</v>
      </c>
      <c r="P667" s="22">
        <f t="shared" si="79"/>
        <v>0.18774940684702313</v>
      </c>
      <c r="Q667" s="982">
        <f t="shared" si="80"/>
        <v>17.025015710211193</v>
      </c>
      <c r="R667" s="6"/>
      <c r="S667" s="6"/>
      <c r="T667" s="6"/>
      <c r="U667" s="6"/>
      <c r="V667" s="6"/>
      <c r="W667" s="6"/>
      <c r="X667" s="6"/>
      <c r="Y667" s="6"/>
      <c r="Z667" s="6"/>
    </row>
    <row r="668" spans="1:26" s="93" customFormat="1" ht="15.75">
      <c r="A668" s="894">
        <v>132</v>
      </c>
      <c r="B668" s="908" t="s">
        <v>1143</v>
      </c>
      <c r="C668" s="886">
        <f>cходова!R668</f>
        <v>0</v>
      </c>
      <c r="D668" s="886">
        <f>прибуд.!O668</f>
        <v>0.58768886398140985</v>
      </c>
      <c r="E668" s="886">
        <f>гар.вода!M668+хол.вода!Q668+ц.о.!M668+каналізація!Q668+аварійні!I668+зварювальн!M668</f>
        <v>0.23848298270662938</v>
      </c>
      <c r="F668" s="886">
        <f>дератизац.!I668</f>
        <v>2.2230828814872191E-3</v>
      </c>
      <c r="G668" s="886">
        <f>димоканал!R668</f>
        <v>0.14953403114249073</v>
      </c>
      <c r="H668" s="886">
        <f>'підготовка до зими'!M668+майстерні!M668+маляри!M668+покрівлі!O668</f>
        <v>0.23358984469909522</v>
      </c>
      <c r="I668" s="886">
        <f>електрики!R668</f>
        <v>2.5936996316854175E-2</v>
      </c>
      <c r="J668" s="989">
        <f t="shared" si="77"/>
        <v>1.2374558017279664</v>
      </c>
      <c r="K668" s="989">
        <v>3.1592592765603222E-2</v>
      </c>
      <c r="L668" s="994">
        <f t="shared" si="76"/>
        <v>1.2690483944935695</v>
      </c>
      <c r="M668" s="994">
        <f t="shared" si="78"/>
        <v>1.5228580733922834</v>
      </c>
      <c r="N668" s="995">
        <v>2</v>
      </c>
      <c r="O668" s="1009">
        <v>1.3016148219428529</v>
      </c>
      <c r="P668" s="22">
        <f t="shared" si="79"/>
        <v>0.22124325144943047</v>
      </c>
      <c r="Q668" s="982">
        <f t="shared" si="80"/>
        <v>16.997597731653997</v>
      </c>
      <c r="R668" s="6"/>
      <c r="S668" s="6"/>
      <c r="T668" s="6"/>
      <c r="U668" s="6"/>
      <c r="V668" s="6"/>
      <c r="W668" s="6"/>
      <c r="X668" s="6"/>
      <c r="Y668" s="6"/>
      <c r="Z668" s="6"/>
    </row>
    <row r="669" spans="1:26" s="93" customFormat="1" ht="15.75">
      <c r="A669" s="894">
        <v>133</v>
      </c>
      <c r="B669" s="908" t="s">
        <v>1144</v>
      </c>
      <c r="C669" s="886">
        <f>cходова!R669</f>
        <v>0</v>
      </c>
      <c r="D669" s="886">
        <f>прибуд.!O669</f>
        <v>0.60258933310117313</v>
      </c>
      <c r="E669" s="886">
        <f>гар.вода!M669+хол.вода!Q669+ц.о.!M669+каналізація!Q669+аварійні!I669+зварювальн!M669</f>
        <v>0.230188823318136</v>
      </c>
      <c r="F669" s="886">
        <f>дератизац.!I669</f>
        <v>3.7206744868035196E-3</v>
      </c>
      <c r="G669" s="886">
        <f>димоканал!R669</f>
        <v>9.4354073413956741E-2</v>
      </c>
      <c r="H669" s="886">
        <f>'підготовка до зими'!M669+майстерні!M669+маляри!M669+покрівлі!O669</f>
        <v>0.19308991030354733</v>
      </c>
      <c r="I669" s="886">
        <f>електрики!R669</f>
        <v>2.4548872613679426E-2</v>
      </c>
      <c r="J669" s="989">
        <f t="shared" si="77"/>
        <v>1.1484916872372961</v>
      </c>
      <c r="K669" s="989">
        <v>2.9260068414873226E-2</v>
      </c>
      <c r="L669" s="994">
        <f t="shared" si="76"/>
        <v>1.1777517556521693</v>
      </c>
      <c r="M669" s="994">
        <f t="shared" si="78"/>
        <v>1.413302106782603</v>
      </c>
      <c r="N669" s="995">
        <v>2</v>
      </c>
      <c r="O669" s="1009">
        <v>1.2055148186927769</v>
      </c>
      <c r="P669" s="22">
        <f t="shared" si="79"/>
        <v>0.20778728808982616</v>
      </c>
      <c r="Q669" s="982">
        <f t="shared" si="80"/>
        <v>17.236394349357269</v>
      </c>
      <c r="R669" s="6"/>
      <c r="S669" s="6"/>
      <c r="T669" s="6"/>
      <c r="U669" s="6"/>
      <c r="V669" s="6"/>
      <c r="W669" s="6"/>
      <c r="X669" s="6"/>
      <c r="Y669" s="6"/>
      <c r="Z669" s="6"/>
    </row>
    <row r="670" spans="1:26" s="93" customFormat="1" ht="15.75">
      <c r="A670" s="894">
        <v>134</v>
      </c>
      <c r="B670" s="908" t="s">
        <v>1145</v>
      </c>
      <c r="C670" s="886">
        <f>cходова!R670</f>
        <v>0</v>
      </c>
      <c r="D670" s="886">
        <f>прибуд.!O670</f>
        <v>0.51915388697947218</v>
      </c>
      <c r="E670" s="886">
        <f>гар.вода!M670+хол.вода!Q670+ц.о.!M670+каналізація!Q670+аварійні!I670+зварювальн!M670</f>
        <v>0.230188823318136</v>
      </c>
      <c r="F670" s="886">
        <f>дератизац.!I670</f>
        <v>4.3108504398826986E-3</v>
      </c>
      <c r="G670" s="886">
        <f>димоканал!R670</f>
        <v>9.4354073413956741E-2</v>
      </c>
      <c r="H670" s="886">
        <f>'підготовка до зими'!M670+майстерні!M670+маляри!M670+покрівлі!O670</f>
        <v>0.25466494599246814</v>
      </c>
      <c r="I670" s="886">
        <f>електрики!R670</f>
        <v>2.4548872613679426E-2</v>
      </c>
      <c r="J670" s="989">
        <f t="shared" si="77"/>
        <v>1.1272214527575952</v>
      </c>
      <c r="K670" s="989">
        <v>2.8770679337874198E-2</v>
      </c>
      <c r="L670" s="994">
        <f t="shared" si="76"/>
        <v>1.1559921320954694</v>
      </c>
      <c r="M670" s="994">
        <f t="shared" si="78"/>
        <v>1.3871905585145632</v>
      </c>
      <c r="N670" s="995">
        <v>1</v>
      </c>
      <c r="O670" s="1009">
        <v>1.1853519887204171</v>
      </c>
      <c r="P670" s="22">
        <f t="shared" si="79"/>
        <v>0.20183856979414605</v>
      </c>
      <c r="Q670" s="982">
        <f t="shared" si="80"/>
        <v>17.027732835039998</v>
      </c>
      <c r="R670" s="6"/>
      <c r="S670" s="6"/>
      <c r="T670" s="6"/>
      <c r="U670" s="6"/>
      <c r="V670" s="6"/>
      <c r="W670" s="6"/>
      <c r="X670" s="6"/>
      <c r="Y670" s="6"/>
      <c r="Z670" s="6"/>
    </row>
    <row r="671" spans="1:26" s="93" customFormat="1" ht="15.75">
      <c r="A671" s="894">
        <v>135</v>
      </c>
      <c r="B671" s="908" t="s">
        <v>1146</v>
      </c>
      <c r="C671" s="886">
        <f>cходова!R671</f>
        <v>0</v>
      </c>
      <c r="D671" s="886">
        <f>прибуд.!O671</f>
        <v>0.6263160654312554</v>
      </c>
      <c r="E671" s="886">
        <f>гар.вода!M671+хол.вода!Q671+ц.о.!M671+каналізація!Q671+аварійні!I671+зварювальн!M671</f>
        <v>0.25436436273199808</v>
      </c>
      <c r="F671" s="886">
        <f>дератизац.!I671</f>
        <v>5.5593509820666114E-3</v>
      </c>
      <c r="G671" s="886">
        <f>димоканал!R671</f>
        <v>0.10990517176484799</v>
      </c>
      <c r="H671" s="886">
        <f>'підготовка до зими'!M671+майстерні!M671+маляри!M671+покрівлі!O671</f>
        <v>0.18370554534258857</v>
      </c>
      <c r="I671" s="886">
        <f>електрики!R671</f>
        <v>2.8594929329682956E-2</v>
      </c>
      <c r="J671" s="989">
        <f t="shared" si="77"/>
        <v>1.2084454255824397</v>
      </c>
      <c r="K671" s="989">
        <v>3.0791388293843185E-2</v>
      </c>
      <c r="L671" s="994">
        <f t="shared" ref="L671:L734" si="81">J671+K671</f>
        <v>1.2392368138762828</v>
      </c>
      <c r="M671" s="994">
        <f t="shared" si="78"/>
        <v>1.4870841766515392</v>
      </c>
      <c r="N671" s="995">
        <v>2</v>
      </c>
      <c r="O671" s="1009">
        <v>1.2686051977063393</v>
      </c>
      <c r="P671" s="22">
        <f t="shared" si="79"/>
        <v>0.21847897894519996</v>
      </c>
      <c r="Q671" s="982">
        <f t="shared" si="80"/>
        <v>17.221983587976283</v>
      </c>
      <c r="R671" s="6"/>
      <c r="S671" s="6"/>
      <c r="T671" s="6"/>
      <c r="U671" s="6"/>
      <c r="V671" s="6"/>
      <c r="W671" s="6"/>
      <c r="X671" s="6"/>
      <c r="Y671" s="6"/>
      <c r="Z671" s="6"/>
    </row>
    <row r="672" spans="1:26" s="93" customFormat="1" ht="15.75">
      <c r="A672" s="894">
        <v>136</v>
      </c>
      <c r="B672" s="908" t="s">
        <v>1147</v>
      </c>
      <c r="C672" s="886">
        <f>cходова!R672</f>
        <v>0.58055617666035375</v>
      </c>
      <c r="D672" s="886">
        <f>прибуд.!O672</f>
        <v>0.14158209771740624</v>
      </c>
      <c r="E672" s="886">
        <f>гар.вода!M672+хол.вода!Q672+ц.о.!M672+каналізація!Q672+аварійні!I672+зварювальн!M672</f>
        <v>0.27247642092673519</v>
      </c>
      <c r="F672" s="886">
        <f>дератизац.!I672</f>
        <v>1.3824014287676879E-3</v>
      </c>
      <c r="G672" s="886">
        <f>димоканал!R672</f>
        <v>9.9454819105451703E-2</v>
      </c>
      <c r="H672" s="886">
        <f>'підготовка до зими'!M672+майстерні!M672+маляри!M672+покрівлі!O672</f>
        <v>0.20488777399006308</v>
      </c>
      <c r="I672" s="886">
        <f>електрики!R672</f>
        <v>3.1626192187770137E-2</v>
      </c>
      <c r="J672" s="989">
        <f t="shared" si="77"/>
        <v>1.3319658820165476</v>
      </c>
      <c r="K672" s="989">
        <v>3.3865795773160068E-2</v>
      </c>
      <c r="L672" s="994">
        <f t="shared" si="81"/>
        <v>1.3658316777897077</v>
      </c>
      <c r="M672" s="994">
        <f t="shared" si="78"/>
        <v>1.6389980133476492</v>
      </c>
      <c r="N672" s="995">
        <v>3</v>
      </c>
      <c r="O672" s="1009">
        <v>1.3952707858541948</v>
      </c>
      <c r="P672" s="22">
        <f t="shared" si="79"/>
        <v>0.24372722749345432</v>
      </c>
      <c r="Q672" s="982">
        <f t="shared" si="80"/>
        <v>17.468095079783581</v>
      </c>
      <c r="R672" s="6"/>
      <c r="S672" s="6"/>
      <c r="T672" s="6"/>
      <c r="U672" s="6"/>
      <c r="V672" s="6"/>
      <c r="W672" s="6"/>
      <c r="X672" s="6"/>
      <c r="Y672" s="6"/>
      <c r="Z672" s="6"/>
    </row>
    <row r="673" spans="1:26" s="93" customFormat="1" ht="15.75">
      <c r="A673" s="894">
        <v>137</v>
      </c>
      <c r="B673" s="908" t="s">
        <v>1148</v>
      </c>
      <c r="C673" s="886">
        <f>cходова!R673</f>
        <v>0.70259099468488984</v>
      </c>
      <c r="D673" s="886">
        <f>прибуд.!O673</f>
        <v>0.19971009271981774</v>
      </c>
      <c r="E673" s="886">
        <f>гар.вода!M673+хол.вода!Q673+ц.о.!M673+каналізація!Q673+аварійні!I673+зварювальн!M673</f>
        <v>0.19338951890892758</v>
      </c>
      <c r="F673" s="886">
        <f>дератизац.!I673</f>
        <v>7.688927943760984E-4</v>
      </c>
      <c r="G673" s="886">
        <f>димоканал!R673</f>
        <v>3.5341321434709187E-2</v>
      </c>
      <c r="H673" s="886">
        <f>'підготовка до зими'!M673+майстерні!M673+маляри!M673+покрівлі!O673</f>
        <v>0.17090759849613446</v>
      </c>
      <c r="I673" s="886">
        <f>електрики!R673</f>
        <v>2.1187460291735474E-2</v>
      </c>
      <c r="J673" s="989">
        <f t="shared" si="77"/>
        <v>1.3238958793305904</v>
      </c>
      <c r="K673" s="989">
        <v>3.3507406169655037E-2</v>
      </c>
      <c r="L673" s="994">
        <f t="shared" si="81"/>
        <v>1.3574032855002454</v>
      </c>
      <c r="M673" s="994">
        <f t="shared" si="78"/>
        <v>1.6288839426002943</v>
      </c>
      <c r="N673" s="995">
        <v>2</v>
      </c>
      <c r="O673" s="1009">
        <v>1.3805051341897874</v>
      </c>
      <c r="P673" s="22">
        <f t="shared" si="79"/>
        <v>0.24837880841050697</v>
      </c>
      <c r="Q673" s="982">
        <f t="shared" si="80"/>
        <v>17.991878643485066</v>
      </c>
      <c r="R673" s="6"/>
      <c r="S673" s="6"/>
      <c r="T673" s="6"/>
      <c r="U673" s="6"/>
      <c r="V673" s="6"/>
      <c r="W673" s="6"/>
      <c r="X673" s="6"/>
      <c r="Y673" s="6"/>
      <c r="Z673" s="6"/>
    </row>
    <row r="674" spans="1:26" s="93" customFormat="1" ht="15.75">
      <c r="A674" s="894">
        <v>138</v>
      </c>
      <c r="B674" s="908" t="s">
        <v>1149</v>
      </c>
      <c r="C674" s="886">
        <f>cходова!R674</f>
        <v>0</v>
      </c>
      <c r="D674" s="886">
        <f>прибуд.!O674</f>
        <v>0.63225526950000011</v>
      </c>
      <c r="E674" s="886">
        <f>гар.вода!M674+хол.вода!Q674+ц.о.!M674+каналізація!Q674+аварійні!I674+зварювальн!M674</f>
        <v>0.25023531421276352</v>
      </c>
      <c r="F674" s="886">
        <f>дератизац.!I674</f>
        <v>4.4916666666666672E-3</v>
      </c>
      <c r="G674" s="886">
        <f>димоканал!R674</f>
        <v>0.16087369517079625</v>
      </c>
      <c r="H674" s="886">
        <f>'підготовка до зими'!M674+майстерні!M674+маляри!M674+покрівлі!O674</f>
        <v>0.15462261717455211</v>
      </c>
      <c r="I674" s="886">
        <f>електрики!R674</f>
        <v>2.7903885204215616E-2</v>
      </c>
      <c r="J674" s="989">
        <f t="shared" si="77"/>
        <v>1.2303824479289942</v>
      </c>
      <c r="K674" s="989">
        <v>3.1402949554037912E-2</v>
      </c>
      <c r="L674" s="994">
        <f t="shared" si="81"/>
        <v>1.2617853974830322</v>
      </c>
      <c r="M674" s="994">
        <f t="shared" si="78"/>
        <v>1.5141424769796386</v>
      </c>
      <c r="N674" s="995">
        <v>2</v>
      </c>
      <c r="O674" s="1009">
        <v>1.2938015216263621</v>
      </c>
      <c r="P674" s="22">
        <f t="shared" si="79"/>
        <v>0.22034095535327647</v>
      </c>
      <c r="Q674" s="982">
        <f t="shared" si="80"/>
        <v>17.030506740809727</v>
      </c>
      <c r="R674" s="6"/>
      <c r="S674" s="6"/>
      <c r="T674" s="6"/>
      <c r="U674" s="6"/>
      <c r="V674" s="6"/>
      <c r="W674" s="6"/>
      <c r="X674" s="6"/>
      <c r="Y674" s="6"/>
      <c r="Z674" s="6"/>
    </row>
    <row r="675" spans="1:26" s="93" customFormat="1" ht="15.75">
      <c r="A675" s="894">
        <v>139</v>
      </c>
      <c r="B675" s="908" t="s">
        <v>1150</v>
      </c>
      <c r="C675" s="886">
        <f>cходова!R675</f>
        <v>0</v>
      </c>
      <c r="D675" s="886">
        <f>прибуд.!O675</f>
        <v>0.22649881711873082</v>
      </c>
      <c r="E675" s="886">
        <f>гар.вода!M675+хол.вода!Q675+ц.о.!M675+каналізація!Q675+аварійні!I675+зварювальн!M675</f>
        <v>0.1603011019851672</v>
      </c>
      <c r="F675" s="886">
        <f>дератизац.!I675</f>
        <v>1.8807574206755376E-3</v>
      </c>
      <c r="G675" s="886">
        <f>димоканал!R675</f>
        <v>8.2330447886794375E-2</v>
      </c>
      <c r="H675" s="886">
        <f>'підготовка до зими'!M675+майстерні!M675+маляри!M675+покрівлі!O675</f>
        <v>0.16532652292221223</v>
      </c>
      <c r="I675" s="886">
        <f>електрики!R675</f>
        <v>1.285235244820576E-2</v>
      </c>
      <c r="J675" s="989">
        <f t="shared" si="77"/>
        <v>0.64918999978178604</v>
      </c>
      <c r="K675" s="989">
        <v>1.6753767968243644E-2</v>
      </c>
      <c r="L675" s="994">
        <f t="shared" si="81"/>
        <v>0.66594376775002972</v>
      </c>
      <c r="M675" s="994">
        <f t="shared" si="78"/>
        <v>0.79913252130003565</v>
      </c>
      <c r="N675" s="995">
        <v>2</v>
      </c>
      <c r="O675" s="1009">
        <v>0.69025524029163821</v>
      </c>
      <c r="P675" s="22">
        <f t="shared" si="79"/>
        <v>0.10887728100839744</v>
      </c>
      <c r="Q675" s="982">
        <f t="shared" si="80"/>
        <v>15.773481265045646</v>
      </c>
      <c r="R675" s="6"/>
      <c r="S675" s="6"/>
      <c r="T675" s="6"/>
      <c r="U675" s="6"/>
      <c r="V675" s="6"/>
      <c r="W675" s="6"/>
      <c r="X675" s="6"/>
      <c r="Y675" s="6"/>
      <c r="Z675" s="6"/>
    </row>
    <row r="676" spans="1:26" s="93" customFormat="1" ht="15.75">
      <c r="A676" s="894">
        <v>140</v>
      </c>
      <c r="B676" s="908" t="s">
        <v>1151</v>
      </c>
      <c r="C676" s="886">
        <f>cходова!R676</f>
        <v>0</v>
      </c>
      <c r="D676" s="886">
        <f>прибуд.!O676</f>
        <v>0.58954344824928651</v>
      </c>
      <c r="E676" s="886">
        <f>гар.вода!M676+хол.вода!Q676+ц.о.!M676+каналізація!Q676+аварійні!I676+зварювальн!M676</f>
        <v>0.22628103460321014</v>
      </c>
      <c r="F676" s="886">
        <f>дератизац.!I676</f>
        <v>3.196955280685062E-3</v>
      </c>
      <c r="G676" s="886">
        <f>димоканал!R676</f>
        <v>0.18368071760699858</v>
      </c>
      <c r="H676" s="886">
        <f>'підготовка до зими'!M676+майстерні!M676+маляри!M676+покрівлі!O676</f>
        <v>0.16771388703231876</v>
      </c>
      <c r="I676" s="886">
        <f>електрики!R676</f>
        <v>2.3894858880869702E-2</v>
      </c>
      <c r="J676" s="989">
        <f t="shared" si="77"/>
        <v>1.1943109016533688</v>
      </c>
      <c r="K676" s="989">
        <v>3.0538945919891543E-2</v>
      </c>
      <c r="L676" s="994">
        <f t="shared" si="81"/>
        <v>1.2248498475732603</v>
      </c>
      <c r="M676" s="994">
        <f t="shared" si="78"/>
        <v>1.4698198170879124</v>
      </c>
      <c r="N676" s="995">
        <v>1</v>
      </c>
      <c r="O676" s="1009">
        <v>1.2582045718995314</v>
      </c>
      <c r="P676" s="22">
        <f t="shared" si="79"/>
        <v>0.21161524518838104</v>
      </c>
      <c r="Q676" s="982">
        <f t="shared" si="80"/>
        <v>16.818826597403174</v>
      </c>
      <c r="R676" s="6"/>
      <c r="S676" s="6"/>
      <c r="T676" s="6"/>
      <c r="U676" s="6"/>
      <c r="V676" s="6"/>
      <c r="W676" s="6"/>
      <c r="X676" s="6"/>
      <c r="Y676" s="6"/>
      <c r="Z676" s="6"/>
    </row>
    <row r="677" spans="1:26" s="93" customFormat="1" ht="15.75">
      <c r="A677" s="894">
        <v>141</v>
      </c>
      <c r="B677" s="908" t="s">
        <v>1152</v>
      </c>
      <c r="C677" s="886">
        <f>cходова!R677</f>
        <v>0</v>
      </c>
      <c r="D677" s="886">
        <f>прибуд.!O677</f>
        <v>0.47278435582789324</v>
      </c>
      <c r="E677" s="886">
        <f>гар.вода!M677+хол.вода!Q677+ц.о.!M677+каналізація!Q677+аварійні!I677+зварювальн!M677</f>
        <v>0.20224531788059344</v>
      </c>
      <c r="F677" s="886">
        <f>дератизац.!I677</f>
        <v>5.4213649851632051E-3</v>
      </c>
      <c r="G677" s="886">
        <f>димоканал!R677</f>
        <v>7.6379202454977438E-2</v>
      </c>
      <c r="H677" s="886">
        <f>'підготовка до зими'!M677+майстерні!M677+маляри!M677+покрівлі!O677</f>
        <v>0.22587633286740477</v>
      </c>
      <c r="I677" s="886">
        <f>електрики!R677</f>
        <v>1.9872203112794504E-2</v>
      </c>
      <c r="J677" s="989">
        <f t="shared" si="77"/>
        <v>1.0025787771288266</v>
      </c>
      <c r="K677" s="989">
        <v>2.5614160711187672E-2</v>
      </c>
      <c r="L677" s="994">
        <f t="shared" si="81"/>
        <v>1.0281929378400143</v>
      </c>
      <c r="M677" s="994">
        <f t="shared" si="78"/>
        <v>1.2338315254080172</v>
      </c>
      <c r="N677" s="995">
        <v>2</v>
      </c>
      <c r="O677" s="1009">
        <v>1.055303421300932</v>
      </c>
      <c r="P677" s="22">
        <f t="shared" si="79"/>
        <v>0.17852810410708519</v>
      </c>
      <c r="Q677" s="982">
        <f t="shared" si="80"/>
        <v>16.917229727825926</v>
      </c>
      <c r="R677" s="6"/>
      <c r="S677" s="6"/>
      <c r="T677" s="6"/>
      <c r="U677" s="6"/>
      <c r="V677" s="6"/>
      <c r="W677" s="6"/>
      <c r="X677" s="6"/>
      <c r="Y677" s="6"/>
      <c r="Z677" s="6"/>
    </row>
    <row r="678" spans="1:26" s="93" customFormat="1" ht="15.75">
      <c r="A678" s="894">
        <v>142</v>
      </c>
      <c r="B678" s="908" t="s">
        <v>1153</v>
      </c>
      <c r="C678" s="886">
        <f>cходова!R678</f>
        <v>0</v>
      </c>
      <c r="D678" s="886">
        <f>прибуд.!O678</f>
        <v>0.56928851005457015</v>
      </c>
      <c r="E678" s="886">
        <f>гар.вода!M678+хол.вода!Q678+ц.о.!M678+каналізація!Q678+аварійні!I678+зварювальн!M678</f>
        <v>0.15174516281142472</v>
      </c>
      <c r="F678" s="886">
        <f>дератизац.!I678</f>
        <v>4.1064120054570257E-3</v>
      </c>
      <c r="G678" s="886">
        <f>димоканал!R678</f>
        <v>0.13168378868005151</v>
      </c>
      <c r="H678" s="886">
        <f>'підготовка до зими'!M678+майстерні!M678+маляри!M678+покрівлі!O678</f>
        <v>0.19549802902535146</v>
      </c>
      <c r="I678" s="886">
        <f>електрики!R678</f>
        <v>1.142041686393545E-2</v>
      </c>
      <c r="J678" s="989">
        <f t="shared" si="77"/>
        <v>1.0637423194407902</v>
      </c>
      <c r="K678" s="989">
        <v>2.7195570437910894E-2</v>
      </c>
      <c r="L678" s="994">
        <f t="shared" si="81"/>
        <v>1.0909378898787012</v>
      </c>
      <c r="M678" s="994">
        <f t="shared" si="78"/>
        <v>1.3091254678544415</v>
      </c>
      <c r="N678" s="995">
        <v>1</v>
      </c>
      <c r="O678" s="1009">
        <v>1.1204575020419287</v>
      </c>
      <c r="P678" s="22">
        <f t="shared" si="79"/>
        <v>0.18866796581251277</v>
      </c>
      <c r="Q678" s="982">
        <f t="shared" si="80"/>
        <v>16.838475843009036</v>
      </c>
      <c r="R678" s="6"/>
      <c r="S678" s="6"/>
      <c r="T678" s="6"/>
      <c r="U678" s="6"/>
      <c r="V678" s="6"/>
      <c r="W678" s="6"/>
      <c r="X678" s="6"/>
      <c r="Y678" s="6"/>
      <c r="Z678" s="6"/>
    </row>
    <row r="679" spans="1:26" s="93" customFormat="1" ht="15.75">
      <c r="A679" s="894">
        <v>143</v>
      </c>
      <c r="B679" s="908" t="s">
        <v>1154</v>
      </c>
      <c r="C679" s="886">
        <f>cходова!R679</f>
        <v>0</v>
      </c>
      <c r="D679" s="886">
        <f>прибуд.!O679</f>
        <v>0.14484656804123713</v>
      </c>
      <c r="E679" s="886">
        <f>гар.вода!M679+хол.вода!Q679+ц.о.!M679+каналізація!Q679+аварійні!I679+зварювальн!M679</f>
        <v>0.19809696378520622</v>
      </c>
      <c r="F679" s="886">
        <f>дератизац.!I679</f>
        <v>3.5280641466208483E-3</v>
      </c>
      <c r="G679" s="886">
        <f>димоканал!R679</f>
        <v>3.6855371173149194E-2</v>
      </c>
      <c r="H679" s="886">
        <f>'підготовка до зими'!M679+майстерні!M679+маляри!M679+покрівлі!O679</f>
        <v>0.20430930970436945</v>
      </c>
      <c r="I679" s="886">
        <f>електрики!R679</f>
        <v>1.9177927975405924E-2</v>
      </c>
      <c r="J679" s="989">
        <f t="shared" si="77"/>
        <v>0.6068142048259888</v>
      </c>
      <c r="K679" s="989">
        <v>1.5661037114129528E-2</v>
      </c>
      <c r="L679" s="994">
        <f t="shared" si="81"/>
        <v>0.62247524194011827</v>
      </c>
      <c r="M679" s="994">
        <f t="shared" si="78"/>
        <v>0.74697029032814188</v>
      </c>
      <c r="N679" s="995">
        <v>1</v>
      </c>
      <c r="O679" s="1009">
        <v>0.64523472910213664</v>
      </c>
      <c r="P679" s="22">
        <f t="shared" si="79"/>
        <v>0.10173556122600524</v>
      </c>
      <c r="Q679" s="982">
        <f t="shared" si="80"/>
        <v>15.767217205988487</v>
      </c>
      <c r="R679" s="6"/>
      <c r="S679" s="6"/>
      <c r="T679" s="6"/>
      <c r="U679" s="6"/>
      <c r="V679" s="6"/>
      <c r="W679" s="6"/>
      <c r="X679" s="6"/>
      <c r="Y679" s="6"/>
      <c r="Z679" s="6"/>
    </row>
    <row r="680" spans="1:26" s="93" customFormat="1" ht="15.75">
      <c r="A680" s="894">
        <v>144</v>
      </c>
      <c r="B680" s="908" t="s">
        <v>1155</v>
      </c>
      <c r="C680" s="886">
        <f>cходова!R680</f>
        <v>0</v>
      </c>
      <c r="D680" s="886">
        <f>прибуд.!O680</f>
        <v>0.58413377296524438</v>
      </c>
      <c r="E680" s="886">
        <f>гар.вода!M680+хол.вода!Q680+ц.о.!M680+каналізація!Q680+аварійні!I680+зварювальн!M680</f>
        <v>0.19792795826390014</v>
      </c>
      <c r="F680" s="886">
        <f>дератизац.!I680</f>
        <v>2.6022877254729434E-3</v>
      </c>
      <c r="G680" s="886">
        <f>димоканал!R680</f>
        <v>8.4931119315862516E-2</v>
      </c>
      <c r="H680" s="886">
        <f>'підготовка до зими'!M680+майстерні!M680+маляри!M680+покрівлі!O680</f>
        <v>0.19362474441469252</v>
      </c>
      <c r="I680" s="886">
        <f>електрики!R680</f>
        <v>1.9147354558317807E-2</v>
      </c>
      <c r="J680" s="989">
        <f t="shared" si="77"/>
        <v>1.0823672372434903</v>
      </c>
      <c r="K680" s="989">
        <v>2.7627317120423569E-2</v>
      </c>
      <c r="L680" s="994">
        <f t="shared" si="81"/>
        <v>1.1099945543639138</v>
      </c>
      <c r="M680" s="994">
        <f t="shared" si="78"/>
        <v>1.3319934652366965</v>
      </c>
      <c r="N680" s="995">
        <v>1</v>
      </c>
      <c r="O680" s="1009">
        <v>1.1382454653614509</v>
      </c>
      <c r="P680" s="22">
        <f t="shared" si="79"/>
        <v>0.1937479998752456</v>
      </c>
      <c r="Q680" s="982">
        <f t="shared" si="80"/>
        <v>17.021635997796025</v>
      </c>
      <c r="R680" s="6"/>
      <c r="S680" s="6"/>
      <c r="T680" s="6"/>
      <c r="U680" s="6"/>
      <c r="V680" s="6"/>
      <c r="W680" s="6"/>
      <c r="X680" s="6"/>
      <c r="Y680" s="6"/>
      <c r="Z680" s="6"/>
    </row>
    <row r="681" spans="1:26" s="93" customFormat="1" ht="15.75">
      <c r="A681" s="894">
        <v>145</v>
      </c>
      <c r="B681" s="908" t="s">
        <v>1156</v>
      </c>
      <c r="C681" s="886">
        <f>cходова!R681</f>
        <v>0</v>
      </c>
      <c r="D681" s="886">
        <f>прибуд.!O681</f>
        <v>0.16544997706542058</v>
      </c>
      <c r="E681" s="886">
        <f>гар.вода!M681+хол.вода!Q681+ц.о.!M681+каналізація!Q681+аварійні!I681+зварювальн!M681</f>
        <v>0.27049200309716825</v>
      </c>
      <c r="F681" s="886">
        <f>дератизац.!I681</f>
        <v>4.9719626168224298E-3</v>
      </c>
      <c r="G681" s="886">
        <f>димоканал!R681</f>
        <v>0.12027939825853924</v>
      </c>
      <c r="H681" s="886">
        <f>'підготовка до зими'!M681+майстерні!M681+маляри!M681+покрівлі!O681</f>
        <v>0.23960304006631844</v>
      </c>
      <c r="I681" s="886">
        <f>електрики!R681</f>
        <v>3.129407686454088E-2</v>
      </c>
      <c r="J681" s="989">
        <f t="shared" si="77"/>
        <v>0.83209045796880976</v>
      </c>
      <c r="K681" s="989">
        <v>2.1468820350571707E-2</v>
      </c>
      <c r="L681" s="994">
        <f t="shared" si="81"/>
        <v>0.8535592783193815</v>
      </c>
      <c r="M681" s="994">
        <f t="shared" si="78"/>
        <v>1.0242711339832578</v>
      </c>
      <c r="N681" s="995">
        <v>1</v>
      </c>
      <c r="O681" s="1009">
        <v>0.88451539844355431</v>
      </c>
      <c r="P681" s="22">
        <f t="shared" si="79"/>
        <v>0.13975573553970344</v>
      </c>
      <c r="Q681" s="982">
        <f t="shared" si="80"/>
        <v>15.800260321711292</v>
      </c>
      <c r="R681" s="6"/>
      <c r="S681" s="6"/>
      <c r="T681" s="6"/>
      <c r="U681" s="6"/>
      <c r="V681" s="6"/>
      <c r="W681" s="6"/>
      <c r="X681" s="6"/>
      <c r="Y681" s="6"/>
      <c r="Z681" s="6"/>
    </row>
    <row r="682" spans="1:26" s="93" customFormat="1" ht="15.75">
      <c r="A682" s="894">
        <v>146</v>
      </c>
      <c r="B682" s="908" t="s">
        <v>1157</v>
      </c>
      <c r="C682" s="886">
        <f>cходова!R682</f>
        <v>0.29150814322242058</v>
      </c>
      <c r="D682" s="886">
        <f>прибуд.!O682</f>
        <v>0.59271157447916101</v>
      </c>
      <c r="E682" s="886">
        <f>гар.вода!M682+хол.вода!Q682+ц.о.!M682+каналізація!Q682+аварійні!I682+зварювальн!M682</f>
        <v>0.26673570865515189</v>
      </c>
      <c r="F682" s="886">
        <f>дератизац.!I682</f>
        <v>1.292782235854457E-3</v>
      </c>
      <c r="G682" s="886">
        <f>димоканал!R682</f>
        <v>6.2548768521224138E-2</v>
      </c>
      <c r="H682" s="886">
        <f>'підготовка до зими'!M682+майстерні!M682+маляри!M682+покрівлі!O682</f>
        <v>0.12691683319428307</v>
      </c>
      <c r="I682" s="886">
        <f>електрики!R682</f>
        <v>1.8082028623224042E-2</v>
      </c>
      <c r="J682" s="989">
        <f t="shared" si="77"/>
        <v>1.3597958389313192</v>
      </c>
      <c r="K682" s="989">
        <v>3.4478054019441186E-2</v>
      </c>
      <c r="L682" s="994">
        <f t="shared" si="81"/>
        <v>1.3942738929507603</v>
      </c>
      <c r="M682" s="994">
        <f t="shared" si="78"/>
        <v>1.6731286715409124</v>
      </c>
      <c r="N682" s="995">
        <v>5</v>
      </c>
      <c r="O682" s="1009">
        <v>1.4204958256009768</v>
      </c>
      <c r="P682" s="22">
        <f t="shared" si="79"/>
        <v>0.25263284593993562</v>
      </c>
      <c r="Q682" s="982">
        <f t="shared" si="80"/>
        <v>17.784835505099281</v>
      </c>
      <c r="R682" s="6"/>
      <c r="S682" s="6"/>
      <c r="T682" s="6"/>
      <c r="U682" s="6"/>
      <c r="V682" s="6"/>
      <c r="W682" s="6"/>
      <c r="X682" s="6"/>
      <c r="Y682" s="6"/>
      <c r="Z682" s="6"/>
    </row>
    <row r="683" spans="1:26" s="93" customFormat="1" ht="15.75">
      <c r="A683" s="894">
        <v>147</v>
      </c>
      <c r="B683" s="908" t="s">
        <v>1158</v>
      </c>
      <c r="C683" s="886">
        <f>cходова!R683</f>
        <v>0.35853153122727793</v>
      </c>
      <c r="D683" s="886">
        <f>прибуд.!O683</f>
        <v>0.54875624783819987</v>
      </c>
      <c r="E683" s="886">
        <f>гар.вода!M683+хол.вода!Q683+ц.о.!M683+каналізація!Q683+аварійні!I683+зварювальн!M683</f>
        <v>0.28757940454100051</v>
      </c>
      <c r="F683" s="886">
        <f>дератизац.!I683</f>
        <v>0</v>
      </c>
      <c r="G683" s="886">
        <f>димоканал!R683</f>
        <v>7.9294829658254781E-2</v>
      </c>
      <c r="H683" s="886">
        <f>'підготовка до зими'!M683+майстерні!M683+маляри!M683+покрівлі!O683</f>
        <v>0.13423831279872578</v>
      </c>
      <c r="I683" s="886">
        <f>електрики!R683</f>
        <v>2.1527776423289843E-2</v>
      </c>
      <c r="J683" s="989">
        <f t="shared" si="77"/>
        <v>1.4299281024867487</v>
      </c>
      <c r="K683" s="989">
        <v>3.6254101087092261E-2</v>
      </c>
      <c r="L683" s="994">
        <f t="shared" si="81"/>
        <v>1.466182203573841</v>
      </c>
      <c r="M683" s="994">
        <f t="shared" si="78"/>
        <v>1.7594186442886091</v>
      </c>
      <c r="N683" s="995">
        <v>3</v>
      </c>
      <c r="O683" s="1009">
        <v>1.4936689647882011</v>
      </c>
      <c r="P683" s="22">
        <f t="shared" si="79"/>
        <v>0.26574967950040795</v>
      </c>
      <c r="Q683" s="982">
        <f t="shared" si="80"/>
        <v>17.791738716221545</v>
      </c>
      <c r="R683" s="6"/>
      <c r="S683" s="6"/>
      <c r="T683" s="6"/>
      <c r="U683" s="6"/>
      <c r="V683" s="6"/>
      <c r="W683" s="6"/>
      <c r="X683" s="6"/>
      <c r="Y683" s="6"/>
      <c r="Z683" s="6"/>
    </row>
    <row r="684" spans="1:26" s="93" customFormat="1" ht="15.75">
      <c r="A684" s="894">
        <v>148</v>
      </c>
      <c r="B684" s="908" t="s">
        <v>1159</v>
      </c>
      <c r="C684" s="886">
        <f>cходова!R684</f>
        <v>0.34658563817128057</v>
      </c>
      <c r="D684" s="886">
        <f>прибуд.!O684</f>
        <v>0.60251171128873537</v>
      </c>
      <c r="E684" s="886">
        <f>гар.вода!M684+хол.вода!Q684+ц.о.!M684+каналізація!Q684+аварійні!I684+зварювальн!M684</f>
        <v>0.27549630919135215</v>
      </c>
      <c r="F684" s="886">
        <f>дератизац.!I684</f>
        <v>0</v>
      </c>
      <c r="G684" s="886">
        <f>димоканал!R684</f>
        <v>6.6654616902876315E-2</v>
      </c>
      <c r="H684" s="886">
        <f>'підготовка до зими'!M684+майстерні!M684+маляри!M684+покрівлі!O684</f>
        <v>0.15632988379742568</v>
      </c>
      <c r="I684" s="886">
        <f>електрики!R684</f>
        <v>1.9509837734496892E-2</v>
      </c>
      <c r="J684" s="989">
        <f t="shared" si="77"/>
        <v>1.467087997086167</v>
      </c>
      <c r="K684" s="989">
        <v>3.7168076098006736E-2</v>
      </c>
      <c r="L684" s="994">
        <f t="shared" si="81"/>
        <v>1.5042560731841736</v>
      </c>
      <c r="M684" s="994">
        <f t="shared" si="78"/>
        <v>1.8051072878210084</v>
      </c>
      <c r="N684" s="995">
        <v>3</v>
      </c>
      <c r="O684" s="1009">
        <v>1.5313247352378778</v>
      </c>
      <c r="P684" s="22">
        <f t="shared" si="79"/>
        <v>0.27378255258313056</v>
      </c>
      <c r="Q684" s="982">
        <f t="shared" si="80"/>
        <v>17.878804298201374</v>
      </c>
      <c r="R684" s="6"/>
      <c r="S684" s="6"/>
      <c r="T684" s="6"/>
      <c r="U684" s="6"/>
      <c r="V684" s="6"/>
      <c r="W684" s="6"/>
      <c r="X684" s="6"/>
      <c r="Y684" s="6"/>
      <c r="Z684" s="6"/>
    </row>
    <row r="685" spans="1:26" s="93" customFormat="1" ht="15.75">
      <c r="A685" s="894">
        <v>149</v>
      </c>
      <c r="B685" s="908" t="s">
        <v>1160</v>
      </c>
      <c r="C685" s="886">
        <f>cходова!R685</f>
        <v>0.61812501556672828</v>
      </c>
      <c r="D685" s="886">
        <f>прибуд.!O685</f>
        <v>0.42968008989751499</v>
      </c>
      <c r="E685" s="886">
        <f>гар.вода!M685+хол.вода!Q685+ц.о.!M685+каналізація!Q685+аварійні!I685+зварювальн!M685</f>
        <v>0.32902042688558142</v>
      </c>
      <c r="F685" s="886">
        <f>дератизац.!I685</f>
        <v>2.8264007521883652E-3</v>
      </c>
      <c r="G685" s="886">
        <f>димоканал!R685</f>
        <v>6.1355825101888833E-2</v>
      </c>
      <c r="H685" s="886">
        <f>'підготовка до зими'!M685+майстерні!M685+маляри!M685+покрівлі!O685</f>
        <v>0.11386939226618682</v>
      </c>
      <c r="I685" s="886">
        <f>електрики!R685</f>
        <v>1.6221639346874074E-2</v>
      </c>
      <c r="J685" s="989">
        <f t="shared" si="77"/>
        <v>1.5710987898169626</v>
      </c>
      <c r="K685" s="989">
        <v>3.8728632757409197E-2</v>
      </c>
      <c r="L685" s="994">
        <f t="shared" si="81"/>
        <v>1.6098274225743718</v>
      </c>
      <c r="M685" s="994">
        <f t="shared" si="78"/>
        <v>1.9317929070892461</v>
      </c>
      <c r="N685" s="995">
        <v>9</v>
      </c>
      <c r="O685" s="1009">
        <v>1.5956196696052591</v>
      </c>
      <c r="P685" s="22">
        <f t="shared" si="79"/>
        <v>0.33617323748398698</v>
      </c>
      <c r="Q685" s="982">
        <f t="shared" si="80"/>
        <v>21.068506730501312</v>
      </c>
      <c r="R685" s="6"/>
      <c r="S685" s="6"/>
      <c r="T685" s="6"/>
      <c r="U685" s="6"/>
      <c r="V685" s="6"/>
      <c r="W685" s="6"/>
      <c r="X685" s="6"/>
      <c r="Y685" s="6"/>
      <c r="Z685" s="6"/>
    </row>
    <row r="686" spans="1:26" s="93" customFormat="1" ht="15.75">
      <c r="A686" s="894">
        <v>150</v>
      </c>
      <c r="B686" s="908" t="s">
        <v>1161</v>
      </c>
      <c r="C686" s="886">
        <f>cходова!R686</f>
        <v>0</v>
      </c>
      <c r="D686" s="886">
        <f>прибуд.!O686</f>
        <v>0.31891816872635564</v>
      </c>
      <c r="E686" s="886">
        <f>гар.вода!M686+хол.вода!Q686+ц.о.!M686+каналізація!Q686+аварійні!I686+зварювальн!M686</f>
        <v>0.20965709303206287</v>
      </c>
      <c r="F686" s="886">
        <f>дератизац.!I686</f>
        <v>3.928121059268601E-3</v>
      </c>
      <c r="G686" s="886">
        <f>димоканал!R686</f>
        <v>0.18258048632246734</v>
      </c>
      <c r="H686" s="886">
        <f>'підготовка до зими'!M686+майстерні!M686+маляри!M686+покрівлі!O686</f>
        <v>0.15913123929699929</v>
      </c>
      <c r="I686" s="886">
        <f>електрики!R686</f>
        <v>2.1112649587048386E-2</v>
      </c>
      <c r="J686" s="989">
        <f t="shared" si="77"/>
        <v>0.89532775802420206</v>
      </c>
      <c r="K686" s="989">
        <v>2.3082116454331933E-2</v>
      </c>
      <c r="L686" s="994">
        <f t="shared" si="81"/>
        <v>0.91840987447853395</v>
      </c>
      <c r="M686" s="994">
        <f t="shared" si="78"/>
        <v>1.1020918493742407</v>
      </c>
      <c r="N686" s="995">
        <v>1</v>
      </c>
      <c r="O686" s="1009">
        <v>0.95098319791847574</v>
      </c>
      <c r="P686" s="22">
        <f t="shared" si="79"/>
        <v>0.15110865145576491</v>
      </c>
      <c r="Q686" s="982">
        <f t="shared" si="80"/>
        <v>15.889728839217511</v>
      </c>
      <c r="R686" s="6"/>
      <c r="S686" s="6"/>
      <c r="T686" s="6"/>
      <c r="U686" s="6"/>
      <c r="V686" s="6"/>
      <c r="W686" s="6"/>
      <c r="X686" s="6"/>
      <c r="Y686" s="6"/>
      <c r="Z686" s="6"/>
    </row>
    <row r="687" spans="1:26" s="93" customFormat="1" ht="15.75">
      <c r="A687" s="894">
        <v>151</v>
      </c>
      <c r="B687" s="908" t="s">
        <v>1162</v>
      </c>
      <c r="C687" s="886">
        <f>cходова!R687</f>
        <v>0</v>
      </c>
      <c r="D687" s="886">
        <f>прибуд.!O687</f>
        <v>0.27103824731145804</v>
      </c>
      <c r="E687" s="886">
        <f>гар.вода!M687+хол.вода!Q687+ц.о.!M687+каналізація!Q687+аварійні!I687+зварювальн!M687</f>
        <v>0.18939432626396596</v>
      </c>
      <c r="F687" s="886">
        <f>дератизац.!I687</f>
        <v>2.0375760783276002E-3</v>
      </c>
      <c r="G687" s="886">
        <f>димоканал!R687</f>
        <v>1.7028176255178221E-2</v>
      </c>
      <c r="H687" s="886">
        <f>'підготовка до зими'!M687+майстерні!M687+маляри!M687+покрівлі!O687</f>
        <v>0.15295419730813495</v>
      </c>
      <c r="I687" s="886">
        <f>електрики!R687</f>
        <v>1.7721440722444425E-2</v>
      </c>
      <c r="J687" s="989">
        <f t="shared" si="77"/>
        <v>0.65017396393950921</v>
      </c>
      <c r="K687" s="989">
        <v>1.6665213620263415E-2</v>
      </c>
      <c r="L687" s="994">
        <f t="shared" si="81"/>
        <v>0.66683917755977262</v>
      </c>
      <c r="M687" s="994">
        <f t="shared" si="78"/>
        <v>0.80020701307172715</v>
      </c>
      <c r="N687" s="995">
        <v>2</v>
      </c>
      <c r="O687" s="1009">
        <v>0.68660680115485262</v>
      </c>
      <c r="P687" s="22">
        <f t="shared" si="79"/>
        <v>0.11360021191687453</v>
      </c>
      <c r="Q687" s="982">
        <f t="shared" si="80"/>
        <v>16.545162635412609</v>
      </c>
      <c r="R687" s="6"/>
      <c r="S687" s="6"/>
      <c r="T687" s="6"/>
      <c r="U687" s="6"/>
      <c r="V687" s="6"/>
      <c r="W687" s="6"/>
      <c r="X687" s="6"/>
      <c r="Y687" s="6"/>
      <c r="Z687" s="6"/>
    </row>
    <row r="688" spans="1:26" s="93" customFormat="1" ht="15.75">
      <c r="A688" s="894">
        <v>152</v>
      </c>
      <c r="B688" s="908" t="s">
        <v>1163</v>
      </c>
      <c r="C688" s="886">
        <f>cходова!R688</f>
        <v>0</v>
      </c>
      <c r="D688" s="886">
        <f>прибуд.!O688</f>
        <v>0.22029800331010457</v>
      </c>
      <c r="E688" s="886">
        <f>гар.вода!M688+хол.вода!Q688+ц.о.!M688+каналізація!Q688+аварійні!I688+зварювальн!M688</f>
        <v>0.19969403390589566</v>
      </c>
      <c r="F688" s="886">
        <f>дератизац.!I688</f>
        <v>4.2276422764227651E-3</v>
      </c>
      <c r="G688" s="886">
        <f>димоканал!R688</f>
        <v>0.149476139531518</v>
      </c>
      <c r="H688" s="886">
        <f>'підготовка до зими'!M688+майстерні!M688+маляри!M688+покрівлі!O688</f>
        <v>0.21239915494467235</v>
      </c>
      <c r="I688" s="886">
        <f>електрики!R688</f>
        <v>1.94452161701851E-2</v>
      </c>
      <c r="J688" s="989">
        <f t="shared" si="77"/>
        <v>0.80554019013879841</v>
      </c>
      <c r="K688" s="989">
        <v>2.0818358322623992E-2</v>
      </c>
      <c r="L688" s="994">
        <f t="shared" si="81"/>
        <v>0.82635854846142243</v>
      </c>
      <c r="M688" s="994">
        <f t="shared" si="78"/>
        <v>0.99163025815370687</v>
      </c>
      <c r="N688" s="995">
        <v>1</v>
      </c>
      <c r="O688" s="1009">
        <v>0.85771636289210862</v>
      </c>
      <c r="P688" s="22">
        <f t="shared" si="79"/>
        <v>0.13391389526159825</v>
      </c>
      <c r="Q688" s="982">
        <f t="shared" si="80"/>
        <v>15.612841383841385</v>
      </c>
      <c r="R688" s="6"/>
      <c r="S688" s="6"/>
      <c r="T688" s="6"/>
      <c r="U688" s="6"/>
      <c r="V688" s="6"/>
      <c r="W688" s="6"/>
      <c r="X688" s="6"/>
      <c r="Y688" s="6"/>
      <c r="Z688" s="6"/>
    </row>
    <row r="689" spans="1:26" s="93" customFormat="1" ht="15.75">
      <c r="A689" s="894">
        <v>153</v>
      </c>
      <c r="B689" s="908" t="s">
        <v>1164</v>
      </c>
      <c r="C689" s="886">
        <f>cходова!R689</f>
        <v>0</v>
      </c>
      <c r="D689" s="886">
        <f>прибуд.!O689</f>
        <v>0</v>
      </c>
      <c r="E689" s="886">
        <v>0</v>
      </c>
      <c r="F689" s="886">
        <f>дератизац.!I689</f>
        <v>4.9832495812395317E-3</v>
      </c>
      <c r="G689" s="886">
        <f>димоканал!R689</f>
        <v>0.21557614093239025</v>
      </c>
      <c r="H689" s="886">
        <f>'підготовка до зими'!M689+майстерні!M689+маляри!M689+покрівлі!O689</f>
        <v>0.21450124515912861</v>
      </c>
      <c r="I689" s="886">
        <f>електрики!R689</f>
        <v>2.8044105732880017E-2</v>
      </c>
      <c r="J689" s="989">
        <f t="shared" si="77"/>
        <v>0.4631047414056384</v>
      </c>
      <c r="K689" s="989">
        <v>1.2047608094172262E-2</v>
      </c>
      <c r="L689" s="994">
        <f t="shared" si="81"/>
        <v>0.47515234949981067</v>
      </c>
      <c r="M689" s="994">
        <f t="shared" si="78"/>
        <v>0.57018281939977278</v>
      </c>
      <c r="N689" s="995">
        <v>1</v>
      </c>
      <c r="O689" s="1009">
        <v>0.49636145347989719</v>
      </c>
      <c r="P689" s="22">
        <f t="shared" si="79"/>
        <v>7.3821365919875592E-2</v>
      </c>
      <c r="Q689" s="982">
        <f t="shared" si="80"/>
        <v>14.87250176304542</v>
      </c>
      <c r="R689" s="6"/>
      <c r="S689" s="6"/>
      <c r="T689" s="6"/>
      <c r="U689" s="6"/>
      <c r="V689" s="6"/>
      <c r="W689" s="6"/>
      <c r="X689" s="6"/>
      <c r="Y689" s="6"/>
      <c r="Z689" s="6"/>
    </row>
    <row r="690" spans="1:26" s="93" customFormat="1" ht="15.75">
      <c r="A690" s="894">
        <v>154</v>
      </c>
      <c r="B690" s="908" t="s">
        <v>1165</v>
      </c>
      <c r="C690" s="886">
        <f>cходова!R690</f>
        <v>0</v>
      </c>
      <c r="D690" s="886">
        <f>прибуд.!O690</f>
        <v>0.22956318408472018</v>
      </c>
      <c r="E690" s="886">
        <f>гар.вода!M690+хол.вода!Q690+ц.о.!M690+каналізація!Q690+аварійні!I690+зварювальн!M690</f>
        <v>0.23484890570019401</v>
      </c>
      <c r="F690" s="886">
        <f>дератизац.!I690</f>
        <v>5.1361573373676257E-3</v>
      </c>
      <c r="G690" s="886">
        <f>димоканал!R690</f>
        <v>0.19470341321730258</v>
      </c>
      <c r="H690" s="886">
        <f>'підготовка до зими'!M690+майстерні!M690+маляри!M690+покрівлі!O690</f>
        <v>0.27851743182948352</v>
      </c>
      <c r="I690" s="886">
        <f>електрики!R690</f>
        <v>2.5328791410785735E-2</v>
      </c>
      <c r="J690" s="989">
        <f t="shared" si="77"/>
        <v>0.96809788357985371</v>
      </c>
      <c r="K690" s="989">
        <v>2.5002284043838436E-2</v>
      </c>
      <c r="L690" s="994">
        <f t="shared" si="81"/>
        <v>0.99310016762369213</v>
      </c>
      <c r="M690" s="994">
        <f t="shared" si="78"/>
        <v>1.1917202011484305</v>
      </c>
      <c r="N690" s="995">
        <v>1</v>
      </c>
      <c r="O690" s="1009">
        <v>1.0300941026061436</v>
      </c>
      <c r="P690" s="22">
        <f t="shared" si="79"/>
        <v>0.16162609854228682</v>
      </c>
      <c r="Q690" s="982">
        <f t="shared" si="80"/>
        <v>15.690420723055482</v>
      </c>
      <c r="R690" s="6"/>
      <c r="S690" s="6"/>
      <c r="T690" s="6"/>
      <c r="U690" s="6"/>
      <c r="V690" s="6"/>
      <c r="W690" s="6"/>
      <c r="X690" s="6"/>
      <c r="Y690" s="6"/>
      <c r="Z690" s="6"/>
    </row>
    <row r="691" spans="1:26" s="93" customFormat="1" ht="15.75">
      <c r="A691" s="894">
        <v>155</v>
      </c>
      <c r="B691" s="908" t="s">
        <v>1166</v>
      </c>
      <c r="C691" s="886">
        <f>cходова!R691</f>
        <v>0</v>
      </c>
      <c r="D691" s="886">
        <f>прибуд.!O691</f>
        <v>0.16996109395161293</v>
      </c>
      <c r="E691" s="886">
        <f>гар.вода!M691+хол.вода!Q691+ц.о.!M691+каналізація!Q691+аварійні!I691+зварювальн!M691</f>
        <v>0.17314596304887075</v>
      </c>
      <c r="F691" s="886">
        <f>дератизац.!I691</f>
        <v>3.8261648745519716E-3</v>
      </c>
      <c r="G691" s="886">
        <f>димоканал!R691</f>
        <v>0.11532164528372491</v>
      </c>
      <c r="H691" s="886">
        <f>'підготовка до зими'!M691+майстерні!M691+маляри!M691+покрівлі!O691</f>
        <v>0.20335241625170083</v>
      </c>
      <c r="I691" s="886">
        <f>електрики!R691</f>
        <v>1.5002088819470762E-2</v>
      </c>
      <c r="J691" s="989">
        <f t="shared" si="77"/>
        <v>0.68060937222993223</v>
      </c>
      <c r="K691" s="989">
        <v>1.7631031308616384E-2</v>
      </c>
      <c r="L691" s="994">
        <f t="shared" si="81"/>
        <v>0.69824040353854866</v>
      </c>
      <c r="M691" s="994">
        <f t="shared" si="78"/>
        <v>0.83788848424625839</v>
      </c>
      <c r="N691" s="995">
        <v>1</v>
      </c>
      <c r="O691" s="1009">
        <v>0.72639848991499512</v>
      </c>
      <c r="P691" s="22">
        <f t="shared" si="79"/>
        <v>0.11148999433126328</v>
      </c>
      <c r="Q691" s="982">
        <f t="shared" si="80"/>
        <v>15.348324078194338</v>
      </c>
      <c r="R691" s="6"/>
      <c r="S691" s="6"/>
      <c r="T691" s="6"/>
      <c r="U691" s="6"/>
      <c r="V691" s="6"/>
      <c r="W691" s="6"/>
      <c r="X691" s="6"/>
      <c r="Y691" s="6"/>
      <c r="Z691" s="6"/>
    </row>
    <row r="692" spans="1:26" s="93" customFormat="1" ht="15.75">
      <c r="A692" s="894">
        <v>156</v>
      </c>
      <c r="B692" s="908" t="s">
        <v>1167</v>
      </c>
      <c r="C692" s="886">
        <f>cходова!R692</f>
        <v>0</v>
      </c>
      <c r="D692" s="886">
        <f>прибуд.!O692</f>
        <v>0.18034126814597318</v>
      </c>
      <c r="E692" s="886">
        <f>гар.вода!M692+хол.вода!Q692+ц.о.!M692+каналізація!Q692+аварійні!I692+зварювальн!M692</f>
        <v>0.25135429496166972</v>
      </c>
      <c r="F692" s="886">
        <f>дератизац.!I692</f>
        <v>3.2298657718120806E-3</v>
      </c>
      <c r="G692" s="886">
        <f>димоканал!R692</f>
        <v>0.13496115366677536</v>
      </c>
      <c r="H692" s="886">
        <f>'підготовка до зими'!M692+майстерні!M692+маляри!M692+покрівлі!O692</f>
        <v>0.20390548955883953</v>
      </c>
      <c r="I692" s="886">
        <f>електрики!R692</f>
        <v>2.8091159601559345E-2</v>
      </c>
      <c r="J692" s="989">
        <f t="shared" si="77"/>
        <v>0.80188323170662923</v>
      </c>
      <c r="K692" s="989">
        <v>2.0706013510262827E-2</v>
      </c>
      <c r="L692" s="994">
        <f t="shared" si="81"/>
        <v>0.82258924521689203</v>
      </c>
      <c r="M692" s="994">
        <f t="shared" si="78"/>
        <v>0.98710709426027043</v>
      </c>
      <c r="N692" s="995">
        <v>2</v>
      </c>
      <c r="O692" s="1009">
        <v>0.85308775662282854</v>
      </c>
      <c r="P692" s="22">
        <f t="shared" si="79"/>
        <v>0.13401933763744189</v>
      </c>
      <c r="Q692" s="982">
        <f t="shared" si="80"/>
        <v>15.709912209734739</v>
      </c>
      <c r="R692" s="6"/>
      <c r="S692" s="6"/>
      <c r="T692" s="6"/>
      <c r="U692" s="6"/>
      <c r="V692" s="6"/>
      <c r="W692" s="6"/>
      <c r="X692" s="6"/>
      <c r="Y692" s="6"/>
      <c r="Z692" s="6"/>
    </row>
    <row r="693" spans="1:26" s="93" customFormat="1" ht="15.75">
      <c r="A693" s="894">
        <v>157</v>
      </c>
      <c r="B693" s="908" t="s">
        <v>1168</v>
      </c>
      <c r="C693" s="886">
        <f>cходова!R693</f>
        <v>0</v>
      </c>
      <c r="D693" s="886">
        <f>прибуд.!O693</f>
        <v>0</v>
      </c>
      <c r="E693" s="886">
        <f>гар.вода!M693+хол.вода!Q693+ц.о.!M693+каналізація!Q693+аварійні!I693+зварювальн!M693</f>
        <v>0.22682649344553094</v>
      </c>
      <c r="F693" s="886">
        <f>дератизац.!I693</f>
        <v>4.5128939828080238E-3</v>
      </c>
      <c r="G693" s="886">
        <f>димоканал!R693</f>
        <v>4.6095614662119269E-2</v>
      </c>
      <c r="H693" s="886">
        <f>'підготовка до зими'!M693+майстерні!M693+маляри!M693+покрівлі!O693</f>
        <v>0.25270595416935648</v>
      </c>
      <c r="I693" s="886">
        <f>електрики!R693</f>
        <v>2.3986147740013425E-2</v>
      </c>
      <c r="J693" s="989">
        <f t="shared" si="77"/>
        <v>0.55412710399982812</v>
      </c>
      <c r="K693" s="989">
        <v>1.4407155228555521E-2</v>
      </c>
      <c r="L693" s="994">
        <f t="shared" si="81"/>
        <v>0.56853425922838363</v>
      </c>
      <c r="M693" s="994">
        <f t="shared" si="78"/>
        <v>0.68224111107406038</v>
      </c>
      <c r="N693" s="995">
        <v>1</v>
      </c>
      <c r="O693" s="1009">
        <v>0.5935747954164875</v>
      </c>
      <c r="P693" s="22">
        <f t="shared" si="79"/>
        <v>8.8666315657572881E-2</v>
      </c>
      <c r="Q693" s="982">
        <f t="shared" si="80"/>
        <v>14.937682048200742</v>
      </c>
      <c r="R693" s="6"/>
      <c r="S693" s="6"/>
      <c r="T693" s="6"/>
      <c r="U693" s="6"/>
      <c r="V693" s="6"/>
      <c r="W693" s="6"/>
      <c r="X693" s="6"/>
      <c r="Y693" s="6"/>
      <c r="Z693" s="6"/>
    </row>
    <row r="694" spans="1:26" s="93" customFormat="1" ht="15.75">
      <c r="A694" s="894">
        <v>158</v>
      </c>
      <c r="B694" s="908" t="s">
        <v>1169</v>
      </c>
      <c r="C694" s="886">
        <f>cходова!R694</f>
        <v>0</v>
      </c>
      <c r="D694" s="886">
        <f>прибуд.!O694</f>
        <v>0.32325833327819553</v>
      </c>
      <c r="E694" s="886">
        <f>гар.вода!M694+хол.вода!Q694+ц.о.!M694+каналізація!Q694+аварійні!I694+зварювальн!M694</f>
        <v>0.23393857954636266</v>
      </c>
      <c r="F694" s="886">
        <f>дератизац.!I694</f>
        <v>5.3157894736842112E-3</v>
      </c>
      <c r="G694" s="886">
        <f>димоканал!R694</f>
        <v>0.1935322648671233</v>
      </c>
      <c r="H694" s="886">
        <f>'підготовка до зими'!M694+майстерні!M694+маляри!M694+покрівлі!O694</f>
        <v>0.22055206757401058</v>
      </c>
      <c r="I694" s="886">
        <f>електрики!R694</f>
        <v>2.5176437778239656E-2</v>
      </c>
      <c r="J694" s="989">
        <f t="shared" si="77"/>
        <v>1.0017734725176159</v>
      </c>
      <c r="K694" s="989">
        <v>2.5804542559500643E-2</v>
      </c>
      <c r="L694" s="994">
        <f t="shared" si="81"/>
        <v>1.0275780150771165</v>
      </c>
      <c r="M694" s="994">
        <f t="shared" si="78"/>
        <v>1.2330936180925398</v>
      </c>
      <c r="N694" s="995">
        <v>1</v>
      </c>
      <c r="O694" s="1009">
        <v>1.0631471534514265</v>
      </c>
      <c r="P694" s="22">
        <f t="shared" si="79"/>
        <v>0.16994646464111329</v>
      </c>
      <c r="Q694" s="982">
        <f t="shared" si="80"/>
        <v>15.985225007600775</v>
      </c>
      <c r="R694" s="6"/>
      <c r="S694" s="6"/>
      <c r="T694" s="6"/>
      <c r="U694" s="6"/>
      <c r="V694" s="6"/>
      <c r="W694" s="6"/>
      <c r="X694" s="6"/>
      <c r="Y694" s="6"/>
      <c r="Z694" s="6"/>
    </row>
    <row r="695" spans="1:26" s="93" customFormat="1" ht="15.75">
      <c r="A695" s="894">
        <v>159</v>
      </c>
      <c r="B695" s="908" t="s">
        <v>1170</v>
      </c>
      <c r="C695" s="886">
        <f>cходова!R695</f>
        <v>0</v>
      </c>
      <c r="D695" s="886">
        <f>прибуд.!O695</f>
        <v>0.37746583253731347</v>
      </c>
      <c r="E695" s="886">
        <f>гар.вода!M695+хол.вода!Q695+ц.о.!M695+каналізація!Q695+аварійні!I695+зварювальн!M695</f>
        <v>0.2328159571812834</v>
      </c>
      <c r="F695" s="886">
        <f>дератизац.!I695</f>
        <v>6.6865671641791052E-3</v>
      </c>
      <c r="G695" s="886">
        <f>димоканал!R695</f>
        <v>0.16807699495456324</v>
      </c>
      <c r="H695" s="886">
        <f>'підготовка до зими'!M695+майстерні!M695+маляри!M695+покрівлі!O695</f>
        <v>0.2116420703101197</v>
      </c>
      <c r="I695" s="886">
        <f>електрики!R695</f>
        <v>2.4988553914222941E-2</v>
      </c>
      <c r="J695" s="989">
        <f t="shared" si="77"/>
        <v>1.0216759760616818</v>
      </c>
      <c r="K695" s="989">
        <v>2.6256992593350573E-2</v>
      </c>
      <c r="L695" s="994">
        <f t="shared" si="81"/>
        <v>1.0479329686550325</v>
      </c>
      <c r="M695" s="994">
        <f t="shared" si="78"/>
        <v>1.2575195623860389</v>
      </c>
      <c r="N695" s="995">
        <v>1</v>
      </c>
      <c r="O695" s="1009">
        <v>1.0817880948460437</v>
      </c>
      <c r="P695" s="22">
        <f t="shared" si="79"/>
        <v>0.17573146753999525</v>
      </c>
      <c r="Q695" s="982">
        <f t="shared" si="80"/>
        <v>16.244537019517182</v>
      </c>
      <c r="R695" s="6"/>
      <c r="S695" s="6"/>
      <c r="T695" s="6"/>
      <c r="U695" s="6"/>
      <c r="V695" s="6"/>
      <c r="W695" s="6"/>
      <c r="X695" s="6"/>
      <c r="Y695" s="6"/>
      <c r="Z695" s="6"/>
    </row>
    <row r="696" spans="1:26" s="93" customFormat="1" ht="15.75">
      <c r="A696" s="894">
        <v>160</v>
      </c>
      <c r="B696" s="908" t="s">
        <v>1171</v>
      </c>
      <c r="C696" s="886">
        <f>cходова!R696</f>
        <v>0</v>
      </c>
      <c r="D696" s="886">
        <f>прибуд.!O696</f>
        <v>0.16685341702167772</v>
      </c>
      <c r="E696" s="886">
        <f>гар.вода!M696+хол.вода!Q696+ц.о.!M696+каналізація!Q696+аварійні!I696+зварювальн!M696</f>
        <v>0.22493538095592014</v>
      </c>
      <c r="F696" s="886">
        <f>дератизац.!I696</f>
        <v>4.123468426013196E-3</v>
      </c>
      <c r="G696" s="886">
        <f>димоканал!R696</f>
        <v>0.14404336513879024</v>
      </c>
      <c r="H696" s="886">
        <f>'підготовка до зими'!M696+майстерні!M696+маляри!M696+покрівлі!O696</f>
        <v>0.11355307108425805</v>
      </c>
      <c r="I696" s="886">
        <f>електрики!R696</f>
        <v>2.3669648146837002E-2</v>
      </c>
      <c r="J696" s="989">
        <f t="shared" si="77"/>
        <v>0.67717835077349631</v>
      </c>
      <c r="K696" s="989">
        <v>1.7557177077890812E-2</v>
      </c>
      <c r="L696" s="994">
        <f t="shared" si="81"/>
        <v>0.69473552785138715</v>
      </c>
      <c r="M696" s="994">
        <f t="shared" si="78"/>
        <v>0.8336826334216646</v>
      </c>
      <c r="N696" s="995">
        <v>2</v>
      </c>
      <c r="O696" s="1009">
        <v>0.72335569560910151</v>
      </c>
      <c r="P696" s="22">
        <f t="shared" si="79"/>
        <v>0.11032693781256309</v>
      </c>
      <c r="Q696" s="982">
        <f t="shared" si="80"/>
        <v>15.252100520154514</v>
      </c>
      <c r="R696" s="6"/>
      <c r="S696" s="6"/>
      <c r="T696" s="6"/>
      <c r="U696" s="6"/>
      <c r="V696" s="6"/>
      <c r="W696" s="6"/>
      <c r="X696" s="6"/>
      <c r="Y696" s="6"/>
      <c r="Z696" s="6"/>
    </row>
    <row r="697" spans="1:26" s="93" customFormat="1" ht="15.75">
      <c r="A697" s="894">
        <v>161</v>
      </c>
      <c r="B697" s="908" t="s">
        <v>1172</v>
      </c>
      <c r="C697" s="886">
        <f>cходова!R697</f>
        <v>0</v>
      </c>
      <c r="D697" s="886">
        <f>прибуд.!O697</f>
        <v>0.75992219891826918</v>
      </c>
      <c r="E697" s="886">
        <f>гар.вода!M697+хол.вода!Q697+ц.о.!M697+каналізація!Q697+аварійні!I697+зварювальн!M697</f>
        <v>0.20374381598176647</v>
      </c>
      <c r="F697" s="886">
        <f>дератизац.!I697</f>
        <v>5.3846153846153853E-3</v>
      </c>
      <c r="G697" s="886">
        <f>димоканал!R697</f>
        <v>0.15468624535653483</v>
      </c>
      <c r="H697" s="886">
        <f>'підготовка до зими'!M697+майстерні!M697+маляри!M697+покрівлі!O697</f>
        <v>0.12411402897893896</v>
      </c>
      <c r="I697" s="886">
        <f>електрики!R697</f>
        <v>2.0122994137655493E-2</v>
      </c>
      <c r="J697" s="989">
        <f t="shared" si="77"/>
        <v>1.2679738987577802</v>
      </c>
      <c r="K697" s="989">
        <v>3.2301578174789257E-2</v>
      </c>
      <c r="L697" s="994">
        <f t="shared" si="81"/>
        <v>1.3002754769325695</v>
      </c>
      <c r="M697" s="994">
        <f t="shared" si="78"/>
        <v>1.5603305723190835</v>
      </c>
      <c r="N697" s="995">
        <v>1</v>
      </c>
      <c r="O697" s="1009">
        <v>1.3308250208013175</v>
      </c>
      <c r="P697" s="22">
        <f t="shared" si="79"/>
        <v>0.22950555151776597</v>
      </c>
      <c r="Q697" s="982">
        <f t="shared" si="80"/>
        <v>17.245358926267841</v>
      </c>
      <c r="R697" s="6"/>
      <c r="S697" s="6"/>
      <c r="T697" s="6"/>
      <c r="U697" s="6"/>
      <c r="V697" s="6"/>
      <c r="W697" s="6"/>
      <c r="X697" s="6"/>
      <c r="Y697" s="6"/>
      <c r="Z697" s="6"/>
    </row>
    <row r="698" spans="1:26" s="93" customFormat="1" ht="15.75">
      <c r="A698" s="894">
        <v>162</v>
      </c>
      <c r="B698" s="908" t="s">
        <v>1173</v>
      </c>
      <c r="C698" s="886">
        <f>cходова!R698</f>
        <v>0.74334217544987158</v>
      </c>
      <c r="D698" s="886">
        <f>прибуд.!O698</f>
        <v>0.23838244951156812</v>
      </c>
      <c r="E698" s="886">
        <f>гар.вода!M698+хол.вода!Q698+ц.о.!M698+каналізація!Q698+аварійні!I698+зварювальн!M698</f>
        <v>0.21208928924812309</v>
      </c>
      <c r="F698" s="886">
        <f>дератизац.!I698</f>
        <v>6.0207797772065131E-3</v>
      </c>
      <c r="G698" s="886">
        <f>димоканал!R698</f>
        <v>6.8926176165722455E-2</v>
      </c>
      <c r="H698" s="886">
        <f>'підготовка до зими'!M698+майстерні!M698+маляри!M698+покрівлі!O698</f>
        <v>0.10180003926850015</v>
      </c>
      <c r="I698" s="886">
        <f>електрики!R698</f>
        <v>2.1519705813019756E-2</v>
      </c>
      <c r="J698" s="989">
        <f t="shared" si="77"/>
        <v>1.3920806152340117</v>
      </c>
      <c r="K698" s="989">
        <v>3.5259052999352246E-2</v>
      </c>
      <c r="L698" s="994">
        <f t="shared" si="81"/>
        <v>1.4273396682333639</v>
      </c>
      <c r="M698" s="994">
        <f t="shared" si="78"/>
        <v>1.7128076018800367</v>
      </c>
      <c r="N698" s="995">
        <v>3</v>
      </c>
      <c r="O698" s="1009">
        <v>1.4526729835733125</v>
      </c>
      <c r="P698" s="22">
        <f t="shared" si="79"/>
        <v>0.26013461830672413</v>
      </c>
      <c r="Q698" s="982">
        <f t="shared" si="80"/>
        <v>17.907307511621795</v>
      </c>
      <c r="R698" s="6"/>
      <c r="S698" s="6"/>
      <c r="T698" s="6"/>
      <c r="U698" s="6"/>
      <c r="V698" s="6"/>
      <c r="W698" s="6"/>
      <c r="X698" s="6"/>
      <c r="Y698" s="6"/>
      <c r="Z698" s="6"/>
    </row>
    <row r="699" spans="1:26" s="93" customFormat="1" ht="15.75">
      <c r="A699" s="894">
        <v>163</v>
      </c>
      <c r="B699" s="908" t="s">
        <v>1174</v>
      </c>
      <c r="C699" s="886">
        <f>cходова!R699</f>
        <v>0.65476801596387069</v>
      </c>
      <c r="D699" s="886">
        <f>прибуд.!O699</f>
        <v>4.6396564921627331E-2</v>
      </c>
      <c r="E699" s="886">
        <f>гар.вода!M699+хол.вода!Q699+ц.о.!M699+каналізація!Q699+аварійні!I699+зварювальн!M699</f>
        <v>0.20096271738236088</v>
      </c>
      <c r="F699" s="886">
        <f>дератизац.!I699</f>
        <v>4.6282435129740519E-3</v>
      </c>
      <c r="G699" s="886">
        <f>димоканал!R699</f>
        <v>4.9582417497163335E-2</v>
      </c>
      <c r="H699" s="886">
        <f>'підготовка до зими'!M699+майстерні!M699+маляри!M699+покрівлі!O699</f>
        <v>0.10065481915620833</v>
      </c>
      <c r="I699" s="886">
        <f>електрики!R699</f>
        <v>1.9657545054044111E-2</v>
      </c>
      <c r="J699" s="989">
        <f t="shared" si="77"/>
        <v>1.0766503234882487</v>
      </c>
      <c r="K699" s="989">
        <v>2.7352909935916925E-2</v>
      </c>
      <c r="L699" s="994">
        <f t="shared" si="81"/>
        <v>1.1040032334241656</v>
      </c>
      <c r="M699" s="994">
        <f t="shared" si="78"/>
        <v>1.3248038801089987</v>
      </c>
      <c r="N699" s="995">
        <v>4</v>
      </c>
      <c r="O699" s="1009">
        <v>1.1269398893597775</v>
      </c>
      <c r="P699" s="22">
        <f t="shared" si="79"/>
        <v>0.19786399074922123</v>
      </c>
      <c r="Q699" s="982">
        <f t="shared" si="80"/>
        <v>17.557634849683865</v>
      </c>
      <c r="R699" s="6"/>
      <c r="S699" s="6"/>
      <c r="T699" s="6"/>
      <c r="U699" s="6"/>
      <c r="V699" s="6"/>
      <c r="W699" s="6"/>
      <c r="X699" s="6"/>
      <c r="Y699" s="6"/>
      <c r="Z699" s="6"/>
    </row>
    <row r="700" spans="1:26" s="93" customFormat="1" ht="15.75">
      <c r="A700" s="894">
        <v>164</v>
      </c>
      <c r="B700" s="908" t="s">
        <v>1175</v>
      </c>
      <c r="C700" s="886">
        <f>cходова!R700</f>
        <v>0</v>
      </c>
      <c r="D700" s="886">
        <f>прибуд.!O700</f>
        <v>0.63008257097938147</v>
      </c>
      <c r="E700" s="886">
        <f>гар.вода!M700+хол.вода!Q700+ц.о.!M700+каналізація!Q700+аварійні!I700+зварювальн!M700</f>
        <v>0.2553918543649395</v>
      </c>
      <c r="F700" s="886">
        <f>дератизац.!I700</f>
        <v>5.1718213058419239E-3</v>
      </c>
      <c r="G700" s="886">
        <f>димоканал!R700</f>
        <v>0.22113222703889515</v>
      </c>
      <c r="H700" s="886">
        <f>'підготовка до зими'!M700+майстерні!M700+маляри!M700+покрівлі!O700</f>
        <v>0.12413715556186468</v>
      </c>
      <c r="I700" s="886">
        <f>електрики!R700</f>
        <v>2.8766891963108884E-2</v>
      </c>
      <c r="J700" s="989">
        <f t="shared" si="77"/>
        <v>1.2646825212140316</v>
      </c>
      <c r="K700" s="989">
        <v>3.2349437121919997E-2</v>
      </c>
      <c r="L700" s="994">
        <f t="shared" si="81"/>
        <v>1.2970319583359515</v>
      </c>
      <c r="M700" s="994">
        <f t="shared" si="78"/>
        <v>1.5564383500031418</v>
      </c>
      <c r="N700" s="995">
        <v>1</v>
      </c>
      <c r="O700" s="1009">
        <v>1.3327968094231037</v>
      </c>
      <c r="P700" s="22">
        <f t="shared" si="79"/>
        <v>0.22364154058003805</v>
      </c>
      <c r="Q700" s="982">
        <f t="shared" si="80"/>
        <v>16.779867643653844</v>
      </c>
      <c r="R700" s="6"/>
      <c r="S700" s="6"/>
      <c r="T700" s="6"/>
      <c r="U700" s="6"/>
      <c r="V700" s="6"/>
      <c r="W700" s="6"/>
      <c r="X700" s="6"/>
      <c r="Y700" s="6"/>
      <c r="Z700" s="6"/>
    </row>
    <row r="701" spans="1:26" s="93" customFormat="1" ht="15.75">
      <c r="A701" s="894">
        <v>165</v>
      </c>
      <c r="B701" s="908" t="s">
        <v>1176</v>
      </c>
      <c r="C701" s="886">
        <f>cходова!R701</f>
        <v>0.88483287456791537</v>
      </c>
      <c r="D701" s="886">
        <f>прибуд.!O701</f>
        <v>0.22571588359777867</v>
      </c>
      <c r="E701" s="886">
        <f>гар.вода!M701+хол.вода!Q701+ц.о.!M701+каналізація!Q701+аварійні!I701+зварювальн!M701</f>
        <v>0.20255146539315055</v>
      </c>
      <c r="F701" s="886">
        <f>дератизац.!I701</f>
        <v>2.0477984926616428E-3</v>
      </c>
      <c r="G701" s="886">
        <f>димоканал!R701</f>
        <v>6.0622772872771291E-2</v>
      </c>
      <c r="H701" s="886">
        <f>'підготовка до зими'!M701+майстерні!M701+маляри!M701+покрівлі!O701</f>
        <v>0.11931051202728699</v>
      </c>
      <c r="I701" s="886">
        <f>електрики!R701</f>
        <v>1.9923440447278111E-2</v>
      </c>
      <c r="J701" s="989">
        <f t="shared" si="77"/>
        <v>1.5150047473988426</v>
      </c>
      <c r="K701" s="989">
        <v>3.8299318028791871E-2</v>
      </c>
      <c r="L701" s="994">
        <f t="shared" si="81"/>
        <v>1.5533040654276344</v>
      </c>
      <c r="M701" s="994">
        <f t="shared" si="78"/>
        <v>1.8639648785131613</v>
      </c>
      <c r="N701" s="995">
        <v>3</v>
      </c>
      <c r="O701" s="1009">
        <v>1.5779319027862251</v>
      </c>
      <c r="P701" s="22">
        <f t="shared" si="79"/>
        <v>0.2860329757269362</v>
      </c>
      <c r="Q701" s="982">
        <f t="shared" si="80"/>
        <v>18.127079832905025</v>
      </c>
      <c r="R701" s="6"/>
      <c r="S701" s="6"/>
      <c r="T701" s="6"/>
      <c r="U701" s="6"/>
      <c r="V701" s="6"/>
      <c r="W701" s="6"/>
      <c r="X701" s="6"/>
      <c r="Y701" s="6"/>
      <c r="Z701" s="6"/>
    </row>
    <row r="702" spans="1:26" s="93" customFormat="1" ht="15.75">
      <c r="A702" s="894">
        <v>166</v>
      </c>
      <c r="B702" s="908" t="s">
        <v>1177</v>
      </c>
      <c r="C702" s="886">
        <f>cходова!R702</f>
        <v>0</v>
      </c>
      <c r="D702" s="886">
        <f>прибуд.!O702</f>
        <v>0.1442118862004802</v>
      </c>
      <c r="E702" s="886">
        <f>гар.вода!M702+хол.вода!Q702+ц.о.!M702+каналізація!Q702+аварійні!I702+зварювальн!M702</f>
        <v>0.20359947428506056</v>
      </c>
      <c r="F702" s="886">
        <f>дератизац.!I702</f>
        <v>2.5210084033613447E-3</v>
      </c>
      <c r="G702" s="886">
        <f>димоканал!R702</f>
        <v>0.11587541068724821</v>
      </c>
      <c r="H702" s="886">
        <f>'підготовка до зими'!M702+майстерні!M702+маляри!M702+покрівлі!O702</f>
        <v>0.15751437287722578</v>
      </c>
      <c r="I702" s="886">
        <f>електрики!R702</f>
        <v>2.009883688178796E-2</v>
      </c>
      <c r="J702" s="989">
        <f t="shared" si="77"/>
        <v>0.64382098933516407</v>
      </c>
      <c r="K702" s="989">
        <v>1.6689420701837824E-2</v>
      </c>
      <c r="L702" s="994">
        <f t="shared" si="81"/>
        <v>0.66051041003700195</v>
      </c>
      <c r="M702" s="994">
        <f t="shared" si="78"/>
        <v>0.79261249204440232</v>
      </c>
      <c r="N702" s="995">
        <v>2</v>
      </c>
      <c r="O702" s="1009">
        <v>0.68760413291571842</v>
      </c>
      <c r="P702" s="22">
        <f t="shared" si="79"/>
        <v>0.10500835912868389</v>
      </c>
      <c r="Q702" s="982">
        <f t="shared" si="80"/>
        <v>15.27163001237443</v>
      </c>
      <c r="R702" s="6"/>
      <c r="S702" s="6"/>
      <c r="T702" s="6"/>
      <c r="U702" s="6"/>
      <c r="V702" s="6"/>
      <c r="W702" s="6"/>
      <c r="X702" s="6"/>
      <c r="Y702" s="6"/>
      <c r="Z702" s="6"/>
    </row>
    <row r="703" spans="1:26" s="93" customFormat="1" ht="15.75">
      <c r="A703" s="894">
        <v>167</v>
      </c>
      <c r="B703" s="908" t="s">
        <v>1178</v>
      </c>
      <c r="C703" s="886">
        <f>cходова!R703</f>
        <v>0</v>
      </c>
      <c r="D703" s="886">
        <f>прибуд.!O703</f>
        <v>0.73595851476190477</v>
      </c>
      <c r="E703" s="886">
        <f>гар.вода!M703+хол.вода!Q703+ц.о.!M703+каналізація!Q703+аварійні!I703+зварювальн!M703</f>
        <v>0.34815501054165054</v>
      </c>
      <c r="F703" s="886">
        <f>дератизац.!I703</f>
        <v>4.2592592592592595E-3</v>
      </c>
      <c r="G703" s="886">
        <f>димоканал!R703</f>
        <v>0.17023671446645106</v>
      </c>
      <c r="H703" s="886">
        <f>'підготовка до зими'!M703+майстерні!M703+маляри!M703+покрівлі!O703</f>
        <v>0.12157164662930453</v>
      </c>
      <c r="I703" s="886">
        <f>електрики!R703</f>
        <v>4.4291881276532725E-2</v>
      </c>
      <c r="J703" s="989">
        <f t="shared" si="77"/>
        <v>1.4244730269351029</v>
      </c>
      <c r="K703" s="989">
        <v>3.6260930102467649E-2</v>
      </c>
      <c r="L703" s="994">
        <f t="shared" si="81"/>
        <v>1.4607339570375706</v>
      </c>
      <c r="M703" s="994">
        <f t="shared" si="78"/>
        <v>1.7528807484450846</v>
      </c>
      <c r="N703" s="995">
        <v>1</v>
      </c>
      <c r="O703" s="1009">
        <v>1.4939503202216671</v>
      </c>
      <c r="P703" s="22">
        <f t="shared" si="79"/>
        <v>0.2589304282234175</v>
      </c>
      <c r="Q703" s="982">
        <f t="shared" si="80"/>
        <v>17.331930300399705</v>
      </c>
      <c r="R703" s="6"/>
      <c r="S703" s="6"/>
      <c r="T703" s="6"/>
      <c r="U703" s="6"/>
      <c r="V703" s="6"/>
      <c r="W703" s="6"/>
      <c r="X703" s="6"/>
      <c r="Y703" s="6"/>
      <c r="Z703" s="6"/>
    </row>
    <row r="704" spans="1:26" s="93" customFormat="1" ht="15.75">
      <c r="A704" s="894">
        <v>168</v>
      </c>
      <c r="B704" s="908" t="s">
        <v>1179</v>
      </c>
      <c r="C704" s="886">
        <f>cходова!R704</f>
        <v>0</v>
      </c>
      <c r="D704" s="886">
        <f>прибуд.!O704</f>
        <v>0</v>
      </c>
      <c r="E704" s="886">
        <v>0</v>
      </c>
      <c r="F704" s="886">
        <f>дератизац.!I704</f>
        <v>5.3603603603603611E-3</v>
      </c>
      <c r="G704" s="886">
        <f>димоканал!R704</f>
        <v>0.23189001105700358</v>
      </c>
      <c r="H704" s="886">
        <f>'підготовка до зими'!M704+майстерні!M704+маляри!M704+покрівлі!O704</f>
        <v>0.23044543195482597</v>
      </c>
      <c r="I704" s="886">
        <f>електрики!R704</f>
        <v>1.5083181191467902E-2</v>
      </c>
      <c r="J704" s="989">
        <f t="shared" si="77"/>
        <v>0.48277898456365781</v>
      </c>
      <c r="K704" s="989">
        <v>1.2574722062135141E-2</v>
      </c>
      <c r="L704" s="994">
        <f t="shared" si="81"/>
        <v>0.49535370662579292</v>
      </c>
      <c r="M704" s="994">
        <f t="shared" si="78"/>
        <v>0.59442444795095151</v>
      </c>
      <c r="N704" s="995">
        <v>1</v>
      </c>
      <c r="O704" s="1009">
        <v>0.51807854895996786</v>
      </c>
      <c r="P704" s="22">
        <f t="shared" si="79"/>
        <v>7.6345898990983652E-2</v>
      </c>
      <c r="Q704" s="982">
        <f t="shared" si="80"/>
        <v>14.736355933718244</v>
      </c>
      <c r="R704" s="6"/>
      <c r="S704" s="6"/>
      <c r="T704" s="6"/>
      <c r="U704" s="6"/>
      <c r="V704" s="6"/>
      <c r="W704" s="6"/>
      <c r="X704" s="6"/>
      <c r="Y704" s="6"/>
      <c r="Z704" s="6"/>
    </row>
    <row r="705" spans="1:26" s="93" customFormat="1" ht="15.75">
      <c r="A705" s="894">
        <v>169</v>
      </c>
      <c r="B705" s="908" t="s">
        <v>1180</v>
      </c>
      <c r="C705" s="886">
        <f>cходова!R705</f>
        <v>0</v>
      </c>
      <c r="D705" s="886">
        <f>прибуд.!O705</f>
        <v>0.30272140126538993</v>
      </c>
      <c r="E705" s="886">
        <v>0</v>
      </c>
      <c r="F705" s="886">
        <f>дератизац.!I705</f>
        <v>3.0164158686730507E-3</v>
      </c>
      <c r="G705" s="886">
        <f>димоканал!R705</f>
        <v>0.13204407264360843</v>
      </c>
      <c r="H705" s="886">
        <f>'підготовка до зими'!M705+майстерні!M705+маляри!M705+покрівлі!O705</f>
        <v>0.18735975376757155</v>
      </c>
      <c r="I705" s="886">
        <f>електрики!R705</f>
        <v>2.290332574901419E-2</v>
      </c>
      <c r="J705" s="989">
        <f t="shared" si="77"/>
        <v>0.64804496929425714</v>
      </c>
      <c r="K705" s="989">
        <v>1.6480862467273736E-2</v>
      </c>
      <c r="L705" s="994">
        <f t="shared" si="81"/>
        <v>0.66452583176153091</v>
      </c>
      <c r="M705" s="994">
        <f t="shared" si="78"/>
        <v>0.79743099811383711</v>
      </c>
      <c r="N705" s="995">
        <v>2</v>
      </c>
      <c r="O705" s="1009">
        <v>0.67901153365167788</v>
      </c>
      <c r="P705" s="22">
        <f t="shared" si="79"/>
        <v>0.11841946446215923</v>
      </c>
      <c r="Q705" s="982">
        <f t="shared" si="80"/>
        <v>17.439978349897459</v>
      </c>
      <c r="R705" s="6"/>
      <c r="S705" s="6"/>
      <c r="T705" s="6"/>
      <c r="U705" s="6"/>
      <c r="V705" s="6"/>
      <c r="W705" s="6"/>
      <c r="X705" s="6"/>
      <c r="Y705" s="6"/>
      <c r="Z705" s="6"/>
    </row>
    <row r="706" spans="1:26" s="93" customFormat="1" ht="15.75">
      <c r="A706" s="894">
        <v>170</v>
      </c>
      <c r="B706" s="908" t="s">
        <v>1181</v>
      </c>
      <c r="C706" s="886">
        <f>cходова!R706</f>
        <v>0</v>
      </c>
      <c r="D706" s="886">
        <f>прибуд.!O706</f>
        <v>0.52797934822546977</v>
      </c>
      <c r="E706" s="886">
        <f>гар.вода!M706+хол.вода!Q706+ц.о.!M706+каналізація!Q706+аварійні!I706+зварювальн!M706</f>
        <v>0.2923524413986297</v>
      </c>
      <c r="F706" s="886">
        <f>дератизац.!I706</f>
        <v>4.2379958246346562E-3</v>
      </c>
      <c r="G706" s="886">
        <f>димоканал!R706</f>
        <v>0.2015119354957782</v>
      </c>
      <c r="H706" s="886">
        <f>'підготовка до зими'!M706+майстерні!M706+маляри!M706+покрівлі!O706</f>
        <v>0.16410807930942178</v>
      </c>
      <c r="I706" s="886">
        <f>електрики!R706</f>
        <v>3.4952674577305574E-2</v>
      </c>
      <c r="J706" s="989">
        <f t="shared" si="77"/>
        <v>1.2251424748312396</v>
      </c>
      <c r="K706" s="989">
        <v>3.1359915277475711E-2</v>
      </c>
      <c r="L706" s="994">
        <f t="shared" si="81"/>
        <v>1.2565023901087153</v>
      </c>
      <c r="M706" s="994">
        <f t="shared" si="78"/>
        <v>1.5078028681304583</v>
      </c>
      <c r="N706" s="995">
        <v>1</v>
      </c>
      <c r="O706" s="1009">
        <v>1.2920285094319994</v>
      </c>
      <c r="P706" s="22">
        <f t="shared" si="79"/>
        <v>0.21577435869845885</v>
      </c>
      <c r="Q706" s="982">
        <f t="shared" si="80"/>
        <v>16.700433243018551</v>
      </c>
      <c r="R706" s="6"/>
      <c r="S706" s="6"/>
      <c r="T706" s="6"/>
      <c r="U706" s="6"/>
      <c r="V706" s="6"/>
      <c r="W706" s="6"/>
      <c r="X706" s="6"/>
      <c r="Y706" s="6"/>
      <c r="Z706" s="6"/>
    </row>
    <row r="707" spans="1:26" s="93" customFormat="1" ht="15.75">
      <c r="A707" s="894">
        <v>171</v>
      </c>
      <c r="B707" s="908" t="s">
        <v>1182</v>
      </c>
      <c r="C707" s="886">
        <f>cходова!R707</f>
        <v>0</v>
      </c>
      <c r="D707" s="886">
        <f>прибуд.!O707</f>
        <v>0.2969154580524862</v>
      </c>
      <c r="E707" s="886">
        <f>гар.вода!M707+хол.вода!Q707+ц.о.!M707+каналізація!Q707+аварійні!I707+зварювальн!M707</f>
        <v>0.22167966736636713</v>
      </c>
      <c r="F707" s="886">
        <f>дератизац.!I707</f>
        <v>5.8011049723756909E-3</v>
      </c>
      <c r="G707" s="886">
        <f>димоканал!R707</f>
        <v>0.17776098913900135</v>
      </c>
      <c r="H707" s="886">
        <f>'підготовка до зими'!M707+майстерні!M707+маляри!M707+покрівлі!O707</f>
        <v>0.23044543195482595</v>
      </c>
      <c r="I707" s="886">
        <f>електрики!R707</f>
        <v>2.3124766743825097E-2</v>
      </c>
      <c r="J707" s="989">
        <f t="shared" si="77"/>
        <v>0.95572741822888141</v>
      </c>
      <c r="K707" s="989">
        <v>2.4634792827296463E-2</v>
      </c>
      <c r="L707" s="994">
        <f t="shared" si="81"/>
        <v>0.98036221105617782</v>
      </c>
      <c r="M707" s="994">
        <f t="shared" si="78"/>
        <v>1.1764346532674133</v>
      </c>
      <c r="N707" s="995">
        <v>1</v>
      </c>
      <c r="O707" s="1009">
        <v>1.0149534644846143</v>
      </c>
      <c r="P707" s="22">
        <f t="shared" si="79"/>
        <v>0.16148118878279893</v>
      </c>
      <c r="Q707" s="982">
        <f t="shared" si="80"/>
        <v>15.910206175294732</v>
      </c>
      <c r="R707" s="6"/>
      <c r="S707" s="6"/>
      <c r="T707" s="6"/>
      <c r="U707" s="6"/>
      <c r="V707" s="6"/>
      <c r="W707" s="6"/>
      <c r="X707" s="6"/>
      <c r="Y707" s="6"/>
      <c r="Z707" s="6"/>
    </row>
    <row r="708" spans="1:26" s="93" customFormat="1" ht="15.75">
      <c r="A708" s="894">
        <v>172</v>
      </c>
      <c r="B708" s="908" t="s">
        <v>1183</v>
      </c>
      <c r="C708" s="886">
        <f>cходова!R708</f>
        <v>0</v>
      </c>
      <c r="D708" s="886">
        <f>прибуд.!O708</f>
        <v>0</v>
      </c>
      <c r="E708" s="886">
        <f>гар.вода!M708+хол.вода!Q708+ц.о.!M708+каналізація!Q708+аварійні!I708+зварювальн!M708</f>
        <v>0.22054400310822503</v>
      </c>
      <c r="F708" s="886">
        <f>дератизац.!I708</f>
        <v>6.1369863013698636E-3</v>
      </c>
      <c r="G708" s="886">
        <f>димоканал!R708</f>
        <v>0.16819560628388006</v>
      </c>
      <c r="H708" s="886">
        <f>'підготовка до зими'!M708+майстерні!M708+маляри!M708+покрівлі!O708</f>
        <v>0.20954422189526889</v>
      </c>
      <c r="I708" s="886">
        <f>електрики!R708</f>
        <v>2.7432241193935274E-2</v>
      </c>
      <c r="J708" s="989">
        <f t="shared" si="77"/>
        <v>0.63185305878267917</v>
      </c>
      <c r="K708" s="989">
        <v>1.6607028539779051E-2</v>
      </c>
      <c r="L708" s="994">
        <f t="shared" si="81"/>
        <v>0.64846008732245819</v>
      </c>
      <c r="M708" s="994">
        <f t="shared" si="78"/>
        <v>0.77815210478694985</v>
      </c>
      <c r="N708" s="995">
        <v>1</v>
      </c>
      <c r="O708" s="1009">
        <v>0.68420957583889674</v>
      </c>
      <c r="P708" s="22">
        <f t="shared" si="79"/>
        <v>9.3942528948053106E-2</v>
      </c>
      <c r="Q708" s="982">
        <f t="shared" si="80"/>
        <v>13.7300809964362</v>
      </c>
      <c r="R708" s="6"/>
      <c r="S708" s="6"/>
      <c r="T708" s="6"/>
      <c r="U708" s="6"/>
      <c r="V708" s="6"/>
      <c r="W708" s="6"/>
      <c r="X708" s="6"/>
      <c r="Y708" s="6"/>
      <c r="Z708" s="6"/>
    </row>
    <row r="709" spans="1:26" s="93" customFormat="1" ht="15.75">
      <c r="A709" s="894">
        <v>173</v>
      </c>
      <c r="B709" s="908" t="s">
        <v>1184</v>
      </c>
      <c r="C709" s="886">
        <f>cходова!R709</f>
        <v>0</v>
      </c>
      <c r="D709" s="886">
        <f>прибуд.!O709</f>
        <v>0</v>
      </c>
      <c r="E709" s="886">
        <f>гар.вода!M709+хол.вода!Q709+ц.о.!M709+каналізація!Q709+аварійні!I709+зварювальн!M709</f>
        <v>0.26539241708431116</v>
      </c>
      <c r="F709" s="886">
        <f>дератизац.!I709</f>
        <v>2.8000000000000004E-3</v>
      </c>
      <c r="G709" s="886">
        <f>димоканал!R709</f>
        <v>8.7749288274979784E-2</v>
      </c>
      <c r="H709" s="886">
        <f>'підготовка до зими'!M709+майстерні!M709+маляри!M709+покрівлі!O709</f>
        <v>0.18234301407464104</v>
      </c>
      <c r="I709" s="886">
        <f>електрики!R709</f>
        <v>2.55937391908303E-2</v>
      </c>
      <c r="J709" s="989">
        <f t="shared" si="77"/>
        <v>0.56387845862476227</v>
      </c>
      <c r="K709" s="989">
        <v>1.4657655993327339E-2</v>
      </c>
      <c r="L709" s="994">
        <f t="shared" si="81"/>
        <v>0.57853611461808963</v>
      </c>
      <c r="M709" s="994">
        <f t="shared" si="78"/>
        <v>0.69424333754170753</v>
      </c>
      <c r="N709" s="995">
        <v>2</v>
      </c>
      <c r="O709" s="1009">
        <v>0.60389542692508635</v>
      </c>
      <c r="P709" s="22">
        <f t="shared" si="79"/>
        <v>9.0347910616621174E-2</v>
      </c>
      <c r="Q709" s="982">
        <f t="shared" si="80"/>
        <v>14.960853582987781</v>
      </c>
      <c r="R709" s="6"/>
      <c r="S709" s="6"/>
      <c r="T709" s="6"/>
      <c r="U709" s="6"/>
      <c r="V709" s="6"/>
      <c r="W709" s="6"/>
      <c r="X709" s="6"/>
      <c r="Y709" s="6"/>
      <c r="Z709" s="6"/>
    </row>
    <row r="710" spans="1:26" s="93" customFormat="1" ht="15.75">
      <c r="A710" s="894">
        <v>174</v>
      </c>
      <c r="B710" s="908" t="s">
        <v>1185</v>
      </c>
      <c r="C710" s="886">
        <f>cходова!R710</f>
        <v>0</v>
      </c>
      <c r="D710" s="886">
        <f>прибуд.!O710</f>
        <v>0.61239384742146608</v>
      </c>
      <c r="E710" s="886">
        <f>гар.вода!M710+хол.вода!Q710+ц.о.!M710+каналізація!Q710+аварійні!I710+зварювальн!M710</f>
        <v>0.21444550586162225</v>
      </c>
      <c r="F710" s="886">
        <f>дератизац.!I710</f>
        <v>1.9057591623036652E-3</v>
      </c>
      <c r="G710" s="886">
        <f>димоканал!R710</f>
        <v>4.2113532767224141E-2</v>
      </c>
      <c r="H710" s="886">
        <f>'підготовка до зими'!M710+майстерні!M710+маляри!M710+покрівлі!O710</f>
        <v>0.16595176106640938</v>
      </c>
      <c r="I710" s="886">
        <f>електрики!R710</f>
        <v>2.1914045971897084E-2</v>
      </c>
      <c r="J710" s="989">
        <f t="shared" si="77"/>
        <v>1.0587244522509227</v>
      </c>
      <c r="K710" s="989">
        <v>2.6901897607663507E-2</v>
      </c>
      <c r="L710" s="994">
        <f t="shared" si="81"/>
        <v>1.0856263498585863</v>
      </c>
      <c r="M710" s="994">
        <f t="shared" si="78"/>
        <v>1.3027516198303035</v>
      </c>
      <c r="N710" s="995">
        <v>1</v>
      </c>
      <c r="O710" s="1009">
        <v>1.1083581814357364</v>
      </c>
      <c r="P710" s="22">
        <f t="shared" si="79"/>
        <v>0.19439343839456713</v>
      </c>
      <c r="Q710" s="982">
        <f t="shared" si="80"/>
        <v>17.538864389736844</v>
      </c>
      <c r="R710" s="6"/>
      <c r="S710" s="6"/>
      <c r="T710" s="6"/>
      <c r="U710" s="6"/>
      <c r="V710" s="6"/>
      <c r="W710" s="6"/>
      <c r="X710" s="6"/>
      <c r="Y710" s="6"/>
      <c r="Z710" s="6"/>
    </row>
    <row r="711" spans="1:26" s="93" customFormat="1" ht="15.75">
      <c r="A711" s="894">
        <v>175</v>
      </c>
      <c r="B711" s="908" t="s">
        <v>1186</v>
      </c>
      <c r="C711" s="886">
        <f>cходова!R711</f>
        <v>0</v>
      </c>
      <c r="D711" s="886">
        <f>прибуд.!O711</f>
        <v>0.64646638397531953</v>
      </c>
      <c r="E711" s="886">
        <f>гар.вода!M711+хол.вода!Q711+ц.о.!M711+каналізація!Q711+аварійні!I711+зварювальн!M711</f>
        <v>0.28190557631677726</v>
      </c>
      <c r="F711" s="886">
        <f>дератизац.!I711</f>
        <v>4.3190832966064352E-3</v>
      </c>
      <c r="G711" s="886">
        <f>димоканал!R711</f>
        <v>6.3810632725304808E-2</v>
      </c>
      <c r="H711" s="886">
        <f>'підготовка до зими'!M711+майстерні!M711+маляри!M711+покрівлі!O711</f>
        <v>0.18362072455958345</v>
      </c>
      <c r="I711" s="886">
        <f>електрики!R711</f>
        <v>3.3204270626435509E-2</v>
      </c>
      <c r="J711" s="989">
        <f t="shared" si="77"/>
        <v>1.213326671500027</v>
      </c>
      <c r="K711" s="989">
        <v>3.0833546254823856E-2</v>
      </c>
      <c r="L711" s="994">
        <f t="shared" si="81"/>
        <v>1.244160217754851</v>
      </c>
      <c r="M711" s="994">
        <f t="shared" si="78"/>
        <v>1.4929922613058211</v>
      </c>
      <c r="N711" s="995">
        <v>2</v>
      </c>
      <c r="O711" s="1009">
        <v>1.270342105698743</v>
      </c>
      <c r="P711" s="22">
        <f t="shared" si="79"/>
        <v>0.22265015560707813</v>
      </c>
      <c r="Q711" s="982">
        <f t="shared" si="80"/>
        <v>17.526787044865429</v>
      </c>
      <c r="R711" s="6"/>
      <c r="S711" s="6"/>
      <c r="T711" s="6"/>
      <c r="U711" s="6"/>
      <c r="V711" s="6"/>
      <c r="W711" s="6"/>
      <c r="X711" s="6"/>
      <c r="Y711" s="6"/>
      <c r="Z711" s="6"/>
    </row>
    <row r="712" spans="1:26" s="93" customFormat="1" ht="15.75">
      <c r="A712" s="894">
        <v>176</v>
      </c>
      <c r="B712" s="908" t="s">
        <v>1187</v>
      </c>
      <c r="C712" s="886">
        <f>cходова!R712</f>
        <v>0</v>
      </c>
      <c r="D712" s="886">
        <f>прибуд.!O712</f>
        <v>0.48771444351332399</v>
      </c>
      <c r="E712" s="886">
        <f>гар.вода!M712+хол.вода!Q712+ц.о.!M712+каналізація!Q712+аварійні!I712+зварювальн!M712</f>
        <v>0.1536592716525379</v>
      </c>
      <c r="F712" s="886">
        <f>дератизац.!I712</f>
        <v>6.0133239831697063E-3</v>
      </c>
      <c r="G712" s="886">
        <f>димоканал!R712</f>
        <v>0.11281465299494826</v>
      </c>
      <c r="H712" s="886">
        <f>'підготовка до зими'!M712+майстерні!M712+маляри!M712+покрівлі!O712</f>
        <v>0.2278931913451113</v>
      </c>
      <c r="I712" s="886">
        <f>електрики!R712</f>
        <v>1.1740765163064075E-2</v>
      </c>
      <c r="J712" s="989">
        <f t="shared" si="77"/>
        <v>0.99983564865215535</v>
      </c>
      <c r="K712" s="989">
        <v>2.5600329730570779E-2</v>
      </c>
      <c r="L712" s="994">
        <f t="shared" si="81"/>
        <v>1.025435978382726</v>
      </c>
      <c r="M712" s="994">
        <f t="shared" si="78"/>
        <v>1.2305231740592713</v>
      </c>
      <c r="N712" s="995">
        <v>1</v>
      </c>
      <c r="O712" s="1009">
        <v>1.0547335848995161</v>
      </c>
      <c r="P712" s="22">
        <f t="shared" si="79"/>
        <v>0.17578958915975518</v>
      </c>
      <c r="Q712" s="982">
        <f t="shared" si="80"/>
        <v>16.666729084624961</v>
      </c>
      <c r="R712" s="6"/>
      <c r="S712" s="6"/>
      <c r="T712" s="6"/>
      <c r="U712" s="6"/>
      <c r="V712" s="6"/>
      <c r="W712" s="6"/>
      <c r="X712" s="6"/>
      <c r="Y712" s="6"/>
      <c r="Z712" s="6"/>
    </row>
    <row r="713" spans="1:26" s="93" customFormat="1" ht="15.75">
      <c r="A713" s="894">
        <v>177</v>
      </c>
      <c r="B713" s="908" t="s">
        <v>1188</v>
      </c>
      <c r="C713" s="886">
        <f>cходова!R713</f>
        <v>0</v>
      </c>
      <c r="D713" s="886">
        <f>прибуд.!O713</f>
        <v>0.90593613460655453</v>
      </c>
      <c r="E713" s="886">
        <f>гар.вода!M713+хол.вода!Q713+ц.о.!M713+каналізація!Q713+аварійні!I713+зварювальн!M713</f>
        <v>0.2756777231865159</v>
      </c>
      <c r="F713" s="886">
        <f>дератизац.!I713</f>
        <v>4.1838855034904629E-3</v>
      </c>
      <c r="G713" s="886">
        <f>димоканал!R713</f>
        <v>0.18028851458518877</v>
      </c>
      <c r="H713" s="886">
        <f>'підготовка до зими'!M713+майстерні!M713+маляри!M713+покрівлі!O713</f>
        <v>0.13677953341415605</v>
      </c>
      <c r="I713" s="886">
        <f>електрики!R713</f>
        <v>1.9544641874494374E-2</v>
      </c>
      <c r="J713" s="989">
        <f t="shared" si="77"/>
        <v>1.5224104331704003</v>
      </c>
      <c r="K713" s="989">
        <v>3.8547096204744752E-2</v>
      </c>
      <c r="L713" s="994">
        <f t="shared" si="81"/>
        <v>1.560957529375145</v>
      </c>
      <c r="M713" s="994">
        <f t="shared" si="78"/>
        <v>1.8731490352501738</v>
      </c>
      <c r="N713" s="995">
        <v>2</v>
      </c>
      <c r="O713" s="1009">
        <v>1.5881403636354838</v>
      </c>
      <c r="P713" s="22">
        <f t="shared" si="79"/>
        <v>0.28500867161469001</v>
      </c>
      <c r="Q713" s="982">
        <f t="shared" si="80"/>
        <v>17.946063089931414</v>
      </c>
      <c r="R713" s="6"/>
      <c r="S713" s="6"/>
      <c r="T713" s="6"/>
      <c r="U713" s="6"/>
      <c r="V713" s="6"/>
      <c r="W713" s="6"/>
      <c r="X713" s="6"/>
      <c r="Y713" s="6"/>
      <c r="Z713" s="6"/>
    </row>
    <row r="714" spans="1:26" s="93" customFormat="1" ht="15.75">
      <c r="A714" s="894">
        <v>178</v>
      </c>
      <c r="B714" s="908" t="s">
        <v>1189</v>
      </c>
      <c r="C714" s="886">
        <f>cходова!R714</f>
        <v>0</v>
      </c>
      <c r="D714" s="886">
        <f>прибуд.!O714</f>
        <v>0.25483888331318028</v>
      </c>
      <c r="E714" s="886">
        <f>гар.вода!M714+хол.вода!Q714+ц.о.!M714+каналізація!Q714+аварійні!I714+зварювальн!M714</f>
        <v>0.25300612130415873</v>
      </c>
      <c r="F714" s="886">
        <f>дератизац.!I714</f>
        <v>4.0252586322719339E-3</v>
      </c>
      <c r="G714" s="886">
        <f>димоканал!R714</f>
        <v>9.9424828400599588E-2</v>
      </c>
      <c r="H714" s="886">
        <f>'підготовка до зими'!M714+майстерні!M714+маляри!M714+покрівлі!O714</f>
        <v>0.20486557560962676</v>
      </c>
      <c r="I714" s="886">
        <f>електрики!R714</f>
        <v>1.5745844129746823E-2</v>
      </c>
      <c r="J714" s="989">
        <f t="shared" si="77"/>
        <v>0.83190651138958405</v>
      </c>
      <c r="K714" s="989">
        <v>2.143350285297935E-2</v>
      </c>
      <c r="L714" s="994">
        <f t="shared" si="81"/>
        <v>0.85334001424256345</v>
      </c>
      <c r="M714" s="994">
        <f t="shared" si="78"/>
        <v>1.0240080170910761</v>
      </c>
      <c r="N714" s="995">
        <v>2</v>
      </c>
      <c r="O714" s="1009">
        <v>0.88306031754274927</v>
      </c>
      <c r="P714" s="22">
        <f t="shared" si="79"/>
        <v>0.14094769954832687</v>
      </c>
      <c r="Q714" s="982">
        <f t="shared" si="80"/>
        <v>15.9612765683476</v>
      </c>
      <c r="R714" s="6"/>
      <c r="S714" s="6"/>
      <c r="T714" s="6"/>
      <c r="U714" s="6"/>
      <c r="V714" s="6"/>
      <c r="W714" s="6"/>
      <c r="X714" s="6"/>
      <c r="Y714" s="6"/>
      <c r="Z714" s="6"/>
    </row>
    <row r="715" spans="1:26" s="93" customFormat="1" ht="15.75">
      <c r="A715" s="894">
        <v>179</v>
      </c>
      <c r="B715" s="908" t="s">
        <v>1190</v>
      </c>
      <c r="C715" s="886">
        <f>cходова!R715</f>
        <v>0.37020391283473808</v>
      </c>
      <c r="D715" s="886">
        <f>прибуд.!O715</f>
        <v>0.58294403369015013</v>
      </c>
      <c r="E715" s="886">
        <f>гар.вода!M715+хол.вода!Q715+ц.о.!M715+каналізація!Q715+аварійні!I715+зварювальн!M715</f>
        <v>0.28344024032322834</v>
      </c>
      <c r="F715" s="886">
        <f>дератизац.!I715</f>
        <v>3.1818475184170981E-3</v>
      </c>
      <c r="G715" s="886">
        <f>димоканал!R715</f>
        <v>7.119683353339254E-2</v>
      </c>
      <c r="H715" s="886">
        <f>'підготовка до зими'!M715+майстерні!M715+маляри!M715+покрівлі!O715</f>
        <v>0.11494502942154092</v>
      </c>
      <c r="I715" s="886">
        <f>електрики!R715</f>
        <v>2.0839346679772681E-2</v>
      </c>
      <c r="J715" s="989">
        <f t="shared" si="77"/>
        <v>1.4467512440012398</v>
      </c>
      <c r="K715" s="989">
        <v>3.6663321862506294E-2</v>
      </c>
      <c r="L715" s="994">
        <f t="shared" si="81"/>
        <v>1.4834145658637461</v>
      </c>
      <c r="M715" s="994">
        <f t="shared" si="78"/>
        <v>1.7800974790364952</v>
      </c>
      <c r="N715" s="995">
        <v>3</v>
      </c>
      <c r="O715" s="1009">
        <v>1.5105288607352592</v>
      </c>
      <c r="P715" s="22">
        <f t="shared" si="79"/>
        <v>0.26956861830123602</v>
      </c>
      <c r="Q715" s="982">
        <f t="shared" si="80"/>
        <v>17.845976022597924</v>
      </c>
      <c r="R715" s="6"/>
      <c r="S715" s="6"/>
      <c r="T715" s="6"/>
      <c r="U715" s="6"/>
      <c r="V715" s="6"/>
      <c r="W715" s="6"/>
      <c r="X715" s="6"/>
      <c r="Y715" s="6"/>
      <c r="Z715" s="6"/>
    </row>
    <row r="716" spans="1:26" s="93" customFormat="1" ht="15.75">
      <c r="A716" s="894">
        <v>180</v>
      </c>
      <c r="B716" s="908" t="s">
        <v>1191</v>
      </c>
      <c r="C716" s="886">
        <f>cходова!R716</f>
        <v>0.375353564817968</v>
      </c>
      <c r="D716" s="886">
        <f>прибуд.!O716</f>
        <v>0.59105296715932343</v>
      </c>
      <c r="E716" s="886">
        <f>гар.вода!M716+хол.вода!Q716+ц.о.!M716+каналізація!Q716+аварійні!I716+зварювальн!M716</f>
        <v>0.27114464586940956</v>
      </c>
      <c r="F716" s="886">
        <f>дератизац.!I716</f>
        <v>2.8269344027820626E-3</v>
      </c>
      <c r="G716" s="886">
        <f>димоканал!R716</f>
        <v>7.2187203711269604E-2</v>
      </c>
      <c r="H716" s="886">
        <f>'підготовка до зими'!M716+майстерні!M716+маляри!M716+покрівлі!O716</f>
        <v>0.11870281991448645</v>
      </c>
      <c r="I716" s="886">
        <f>електрики!R716</f>
        <v>1.878153644168536E-2</v>
      </c>
      <c r="J716" s="989">
        <f t="shared" si="77"/>
        <v>1.4500496723169245</v>
      </c>
      <c r="K716" s="989">
        <v>3.6744442822371215E-2</v>
      </c>
      <c r="L716" s="994">
        <f t="shared" si="81"/>
        <v>1.4867941151392956</v>
      </c>
      <c r="M716" s="994">
        <f t="shared" si="78"/>
        <v>1.7841529381671546</v>
      </c>
      <c r="N716" s="995">
        <v>3</v>
      </c>
      <c r="O716" s="1009">
        <v>1.5138710442816941</v>
      </c>
      <c r="P716" s="22">
        <f t="shared" si="79"/>
        <v>0.27028189388546053</v>
      </c>
      <c r="Q716" s="982">
        <f t="shared" si="80"/>
        <v>17.853693345043453</v>
      </c>
      <c r="R716" s="6"/>
      <c r="S716" s="6"/>
      <c r="T716" s="6"/>
      <c r="U716" s="6"/>
      <c r="V716" s="6"/>
      <c r="W716" s="6"/>
      <c r="X716" s="6"/>
      <c r="Y716" s="6"/>
      <c r="Z716" s="6"/>
    </row>
    <row r="717" spans="1:26" s="93" customFormat="1" ht="15.75">
      <c r="A717" s="894">
        <v>181</v>
      </c>
      <c r="B717" s="908" t="s">
        <v>1192</v>
      </c>
      <c r="C717" s="886">
        <f>cходова!R717</f>
        <v>0</v>
      </c>
      <c r="D717" s="886">
        <f>прибуд.!O717</f>
        <v>1.0152066319207316</v>
      </c>
      <c r="E717" s="886">
        <f>гар.вода!M717+хол.вода!Q717+ц.о.!M717+каналізація!Q717+аварійні!I717+зварювальн!M717</f>
        <v>0.21058655121341027</v>
      </c>
      <c r="F717" s="886">
        <f>дератизац.!I717</f>
        <v>7.2916666666666668E-3</v>
      </c>
      <c r="G717" s="886">
        <f>димоканал!R717</f>
        <v>6.5395811045039123E-2</v>
      </c>
      <c r="H717" s="886">
        <f>'підготовка до зими'!M717+майстерні!M717+маляри!M717+покрівлі!O717</f>
        <v>0.10788389896377312</v>
      </c>
      <c r="I717" s="886">
        <f>електрики!R717</f>
        <v>2.1268205186139953E-2</v>
      </c>
      <c r="J717" s="989">
        <f t="shared" si="77"/>
        <v>1.4276327649957608</v>
      </c>
      <c r="K717" s="989">
        <v>3.6119681097383921E-2</v>
      </c>
      <c r="L717" s="994">
        <f t="shared" si="81"/>
        <v>1.4637524460931446</v>
      </c>
      <c r="M717" s="994">
        <f t="shared" si="78"/>
        <v>1.7565029353117734</v>
      </c>
      <c r="N717" s="995">
        <v>2</v>
      </c>
      <c r="O717" s="1009">
        <v>1.4881308612122177</v>
      </c>
      <c r="P717" s="22">
        <f t="shared" si="79"/>
        <v>0.26837207409955566</v>
      </c>
      <c r="Q717" s="982">
        <f t="shared" si="80"/>
        <v>18.034171664240745</v>
      </c>
      <c r="R717" s="6"/>
      <c r="S717" s="6"/>
      <c r="T717" s="6"/>
      <c r="U717" s="6"/>
      <c r="V717" s="6"/>
      <c r="W717" s="6"/>
      <c r="X717" s="6"/>
      <c r="Y717" s="6"/>
      <c r="Z717" s="6"/>
    </row>
    <row r="718" spans="1:26" s="93" customFormat="1" ht="15.75">
      <c r="A718" s="894">
        <v>182</v>
      </c>
      <c r="B718" s="908" t="s">
        <v>1193</v>
      </c>
      <c r="C718" s="886">
        <f>cходова!R718</f>
        <v>0</v>
      </c>
      <c r="D718" s="886">
        <f>прибуд.!O718</f>
        <v>0.7273107429940886</v>
      </c>
      <c r="E718" s="886">
        <f>гар.вода!M718+хол.вода!Q718+ц.о.!M718+каналізація!Q718+аварійні!I718+зварювальн!M718</f>
        <v>0.41915728801792851</v>
      </c>
      <c r="F718" s="886">
        <f>дератизац.!I718</f>
        <v>0</v>
      </c>
      <c r="G718" s="886">
        <f>димоканал!R718</f>
        <v>1.5421667535145832E-2</v>
      </c>
      <c r="H718" s="886">
        <f>'підготовка до зими'!M718+майстерні!M718+маляри!M718+покрівлі!O718</f>
        <v>9.5205348341170948E-2</v>
      </c>
      <c r="I718" s="886">
        <f>електрики!R718</f>
        <v>4.279873749168716E-2</v>
      </c>
      <c r="J718" s="989">
        <f t="shared" ref="J718:J746" si="82">I718+H718+G718+F718+E718+D718+C718</f>
        <v>1.2998937843800211</v>
      </c>
      <c r="K718" s="989">
        <v>3.279111413690413E-2</v>
      </c>
      <c r="L718" s="994">
        <f t="shared" si="81"/>
        <v>1.3326848985169253</v>
      </c>
      <c r="M718" s="994">
        <f t="shared" ref="M718:M746" si="83">L718*1.2</f>
        <v>1.5992218782203103</v>
      </c>
      <c r="N718" s="995">
        <v>2</v>
      </c>
      <c r="O718" s="1009">
        <v>1.3509939024404503</v>
      </c>
      <c r="P718" s="22">
        <f t="shared" si="79"/>
        <v>0.24822797577986</v>
      </c>
      <c r="Q718" s="982">
        <f t="shared" si="80"/>
        <v>18.373730283420116</v>
      </c>
      <c r="R718" s="6"/>
      <c r="S718" s="6"/>
      <c r="T718" s="6"/>
      <c r="U718" s="6"/>
      <c r="V718" s="6"/>
      <c r="W718" s="6"/>
      <c r="X718" s="6"/>
      <c r="Y718" s="6"/>
      <c r="Z718" s="6"/>
    </row>
    <row r="719" spans="1:26" s="93" customFormat="1" ht="15.75">
      <c r="A719" s="894">
        <v>183</v>
      </c>
      <c r="B719" s="908" t="s">
        <v>1194</v>
      </c>
      <c r="C719" s="886">
        <f>cходова!R719</f>
        <v>0</v>
      </c>
      <c r="D719" s="886">
        <f>прибуд.!O719</f>
        <v>0</v>
      </c>
      <c r="E719" s="886">
        <f>гар.вода!M719+хол.вода!Q719+ц.о.!M719+каналізація!Q719+аварійні!I719+зварювальн!M719</f>
        <v>0.24042777706058566</v>
      </c>
      <c r="F719" s="886">
        <f>дератизац.!I719</f>
        <v>0</v>
      </c>
      <c r="G719" s="886">
        <f>димоканал!R719</f>
        <v>0.13783357372689442</v>
      </c>
      <c r="H719" s="886">
        <f>'підготовка до зими'!M719+майстерні!M719+маляри!M719+покрівлі!O719</f>
        <v>0.22660282776686638</v>
      </c>
      <c r="I719" s="886">
        <f>електрики!R719</f>
        <v>2.6262480192202935E-2</v>
      </c>
      <c r="J719" s="989">
        <f t="shared" si="82"/>
        <v>0.63112665874654938</v>
      </c>
      <c r="K719" s="989">
        <v>1.645768898252296E-2</v>
      </c>
      <c r="L719" s="994">
        <f t="shared" si="81"/>
        <v>0.64758434772907236</v>
      </c>
      <c r="M719" s="994">
        <f t="shared" si="83"/>
        <v>0.77710121727488679</v>
      </c>
      <c r="N719" s="995">
        <v>1</v>
      </c>
      <c r="O719" s="1009">
        <v>0.67805678607994591</v>
      </c>
      <c r="P719" s="22">
        <f t="shared" si="79"/>
        <v>9.9044431194940885E-2</v>
      </c>
      <c r="Q719" s="982">
        <f t="shared" si="80"/>
        <v>14.607099763361589</v>
      </c>
      <c r="R719" s="6"/>
      <c r="S719" s="6"/>
      <c r="T719" s="6"/>
      <c r="U719" s="6"/>
      <c r="V719" s="6"/>
      <c r="W719" s="6"/>
      <c r="X719" s="6"/>
      <c r="Y719" s="6"/>
      <c r="Z719" s="6"/>
    </row>
    <row r="720" spans="1:26" s="93" customFormat="1" ht="15.75">
      <c r="A720" s="894">
        <v>184</v>
      </c>
      <c r="B720" s="908" t="s">
        <v>1195</v>
      </c>
      <c r="C720" s="886">
        <f>cходова!R720</f>
        <v>0</v>
      </c>
      <c r="D720" s="886">
        <f>прибуд.!O720</f>
        <v>0.30415843699777284</v>
      </c>
      <c r="E720" s="886">
        <f>гар.вода!M720+хол.вода!Q720+ц.о.!M720+каналізація!Q720+аварійні!I720+зварювальн!M720</f>
        <v>0.19045083941207119</v>
      </c>
      <c r="F720" s="886">
        <f>дератизац.!I720</f>
        <v>2.2449888641425395E-3</v>
      </c>
      <c r="G720" s="886">
        <f>димоканал!R720</f>
        <v>9.1287181857350019E-2</v>
      </c>
      <c r="H720" s="886">
        <f>'підготовка до зими'!M720+майстерні!M720+маляри!M720+покрівлі!O720</f>
        <v>0.11490689438729679</v>
      </c>
      <c r="I720" s="886">
        <f>електрики!R720</f>
        <v>1.7898260442793093E-2</v>
      </c>
      <c r="J720" s="989">
        <f t="shared" si="82"/>
        <v>0.72094660196142646</v>
      </c>
      <c r="K720" s="989">
        <v>1.8539674048462296E-2</v>
      </c>
      <c r="L720" s="994">
        <f t="shared" si="81"/>
        <v>0.73948627600988881</v>
      </c>
      <c r="M720" s="994">
        <f t="shared" si="83"/>
        <v>0.88738353121186653</v>
      </c>
      <c r="N720" s="995">
        <v>2</v>
      </c>
      <c r="O720" s="1009">
        <v>0.76383457079664663</v>
      </c>
      <c r="P720" s="22">
        <f t="shared" si="79"/>
        <v>0.1235489604152199</v>
      </c>
      <c r="Q720" s="982">
        <f t="shared" si="80"/>
        <v>16.174832239703903</v>
      </c>
      <c r="R720" s="6"/>
      <c r="S720" s="6"/>
      <c r="T720" s="6"/>
      <c r="U720" s="6"/>
      <c r="V720" s="6"/>
      <c r="W720" s="6"/>
      <c r="X720" s="6"/>
      <c r="Y720" s="6"/>
      <c r="Z720" s="6"/>
    </row>
    <row r="721" spans="1:26" s="93" customFormat="1" ht="15.75">
      <c r="A721" s="894">
        <v>185</v>
      </c>
      <c r="B721" s="908" t="s">
        <v>1196</v>
      </c>
      <c r="C721" s="886">
        <f>cходова!R721</f>
        <v>0</v>
      </c>
      <c r="D721" s="886">
        <f>прибуд.!O721</f>
        <v>0</v>
      </c>
      <c r="E721" s="886">
        <f>гар.вода!M721+хол.вода!Q721+ц.о.!M721+каналізація!Q721+аварійні!I721+зварювальн!M721</f>
        <v>0.24630112721843991</v>
      </c>
      <c r="F721" s="886">
        <f>дератизац.!I721</f>
        <v>0</v>
      </c>
      <c r="G721" s="886">
        <f>димоканал!R721</f>
        <v>7.3512005809108383E-2</v>
      </c>
      <c r="H721" s="886">
        <f>'підготовка до зими'!M721+майстерні!M721+маляри!M721+покрівлі!O721</f>
        <v>0.12691219497376227</v>
      </c>
      <c r="I721" s="886">
        <f>електрики!R721</f>
        <v>2.7245453413391976E-2</v>
      </c>
      <c r="J721" s="989">
        <f t="shared" si="82"/>
        <v>0.4739707814147025</v>
      </c>
      <c r="K721" s="989">
        <v>1.2368525545823532E-2</v>
      </c>
      <c r="L721" s="994">
        <f t="shared" si="81"/>
        <v>0.48633930696052602</v>
      </c>
      <c r="M721" s="994">
        <f t="shared" si="83"/>
        <v>0.58360716835263116</v>
      </c>
      <c r="N721" s="995">
        <v>1</v>
      </c>
      <c r="O721" s="1009">
        <v>0.50958325248792957</v>
      </c>
      <c r="P721" s="22">
        <f t="shared" si="79"/>
        <v>7.4023915864701584E-2</v>
      </c>
      <c r="Q721" s="982">
        <f t="shared" si="80"/>
        <v>14.526363553608917</v>
      </c>
      <c r="R721" s="6"/>
      <c r="S721" s="6"/>
      <c r="T721" s="6"/>
      <c r="U721" s="6"/>
      <c r="V721" s="6"/>
      <c r="W721" s="6"/>
      <c r="X721" s="6"/>
      <c r="Y721" s="6"/>
      <c r="Z721" s="6"/>
    </row>
    <row r="722" spans="1:26" s="93" customFormat="1" ht="15.75">
      <c r="A722" s="894">
        <v>186</v>
      </c>
      <c r="B722" s="908" t="s">
        <v>1197</v>
      </c>
      <c r="C722" s="886">
        <f>cходова!R722</f>
        <v>0</v>
      </c>
      <c r="D722" s="886">
        <f>прибуд.!O722</f>
        <v>0</v>
      </c>
      <c r="E722" s="886">
        <f>гар.вода!M722+хол.вода!Q722+ц.о.!M722+каналізація!Q722+аварійні!I722+зварювальн!M722</f>
        <v>0.21309346926137751</v>
      </c>
      <c r="F722" s="886">
        <f>дератизац.!I722</f>
        <v>0</v>
      </c>
      <c r="G722" s="886">
        <f>димоканал!R722</f>
        <v>2.6649025451088465E-2</v>
      </c>
      <c r="H722" s="886">
        <f>'підготовка до зими'!M722+майстерні!M722+маляри!M722+покрівлі!O722</f>
        <v>0.3378416375272133</v>
      </c>
      <c r="I722" s="886">
        <f>електрики!R722</f>
        <v>2.5714756252236654E-2</v>
      </c>
      <c r="J722" s="989">
        <f t="shared" si="82"/>
        <v>0.60329888849191593</v>
      </c>
      <c r="K722" s="989">
        <v>1.5740266076358929E-2</v>
      </c>
      <c r="L722" s="994">
        <f t="shared" si="81"/>
        <v>0.61903915456827485</v>
      </c>
      <c r="M722" s="994">
        <f t="shared" si="83"/>
        <v>0.74284698548192984</v>
      </c>
      <c r="N722" s="995">
        <v>1</v>
      </c>
      <c r="O722" s="1009">
        <v>0.64849896234598792</v>
      </c>
      <c r="P722" s="22">
        <f t="shared" si="79"/>
        <v>9.4348023135941927E-2</v>
      </c>
      <c r="Q722" s="982">
        <f t="shared" si="80"/>
        <v>14.548677579164007</v>
      </c>
      <c r="R722" s="6"/>
      <c r="S722" s="6"/>
      <c r="T722" s="6"/>
      <c r="U722" s="6"/>
      <c r="V722" s="6"/>
      <c r="W722" s="6"/>
      <c r="X722" s="6"/>
      <c r="Y722" s="6"/>
      <c r="Z722" s="6"/>
    </row>
    <row r="723" spans="1:26" s="93" customFormat="1" ht="15.75">
      <c r="A723" s="894">
        <v>187</v>
      </c>
      <c r="B723" s="908" t="s">
        <v>1198</v>
      </c>
      <c r="C723" s="886">
        <f>cходова!R723</f>
        <v>0</v>
      </c>
      <c r="D723" s="886">
        <f>прибуд.!O723</f>
        <v>0.26632488184498732</v>
      </c>
      <c r="E723" s="886">
        <f>гар.вода!M723+хол.вода!Q723+ц.о.!M723+каналізація!Q723+аварійні!I723+зварювальн!M723</f>
        <v>0.20992278366055134</v>
      </c>
      <c r="F723" s="886">
        <f>дератизац.!I723</f>
        <v>0</v>
      </c>
      <c r="G723" s="886">
        <f>димоканал!R723</f>
        <v>0.10739317434755816</v>
      </c>
      <c r="H723" s="886">
        <f>'підготовка до зими'!M723+майстерні!M723+маляри!M723+покрівлі!O723</f>
        <v>0.17537303819827685</v>
      </c>
      <c r="I723" s="886">
        <f>електрики!R723</f>
        <v>2.1157115993086822E-2</v>
      </c>
      <c r="J723" s="989">
        <f t="shared" si="82"/>
        <v>0.78017099404446033</v>
      </c>
      <c r="K723" s="989">
        <v>2.0078275631229554E-2</v>
      </c>
      <c r="L723" s="994">
        <f t="shared" si="81"/>
        <v>0.80024926967568988</v>
      </c>
      <c r="M723" s="994">
        <f t="shared" si="83"/>
        <v>0.96029912361082781</v>
      </c>
      <c r="N723" s="995">
        <v>2</v>
      </c>
      <c r="O723" s="1009">
        <v>0.82722495600665757</v>
      </c>
      <c r="P723" s="22">
        <f t="shared" si="79"/>
        <v>0.13307416760417023</v>
      </c>
      <c r="Q723" s="982">
        <f t="shared" si="80"/>
        <v>16.086817332805325</v>
      </c>
      <c r="R723" s="6"/>
      <c r="S723" s="6"/>
      <c r="T723" s="6"/>
      <c r="U723" s="6"/>
      <c r="V723" s="6"/>
      <c r="W723" s="6"/>
      <c r="X723" s="6"/>
      <c r="Y723" s="6"/>
      <c r="Z723" s="6"/>
    </row>
    <row r="724" spans="1:26" s="93" customFormat="1" ht="15.75">
      <c r="A724" s="894">
        <v>188</v>
      </c>
      <c r="B724" s="908" t="s">
        <v>1199</v>
      </c>
      <c r="C724" s="886">
        <f>cходова!R724</f>
        <v>0</v>
      </c>
      <c r="D724" s="886">
        <f>прибуд.!O724</f>
        <v>0.31112737339191571</v>
      </c>
      <c r="E724" s="886">
        <f>гар.вода!M724+хол.вода!Q724+ц.о.!M724+каналізація!Q724+аварійні!I724+зварювальн!M724</f>
        <v>0.21536598616556518</v>
      </c>
      <c r="F724" s="886">
        <f>дератизац.!I724</f>
        <v>0</v>
      </c>
      <c r="G724" s="886">
        <f>димоканал!R724</f>
        <v>0.11201730927113492</v>
      </c>
      <c r="H724" s="886">
        <f>'підготовка до зими'!M724+майстерні!M724+маляри!M724+покрівлі!O724</f>
        <v>0.25037236881204544</v>
      </c>
      <c r="I724" s="886">
        <f>електрики!R724</f>
        <v>2.2068099019151192E-2</v>
      </c>
      <c r="J724" s="989">
        <f t="shared" si="82"/>
        <v>0.91095113665981242</v>
      </c>
      <c r="K724" s="989">
        <v>2.3392110656887288E-2</v>
      </c>
      <c r="L724" s="994">
        <f t="shared" si="81"/>
        <v>0.93434324731669971</v>
      </c>
      <c r="M724" s="994">
        <f t="shared" si="83"/>
        <v>1.1212118967800395</v>
      </c>
      <c r="N724" s="995">
        <v>1</v>
      </c>
      <c r="O724" s="1009">
        <v>0.96375495906375619</v>
      </c>
      <c r="P724" s="22">
        <f t="shared" si="79"/>
        <v>0.15745693771628333</v>
      </c>
      <c r="Q724" s="982">
        <f t="shared" si="80"/>
        <v>16.337860182763222</v>
      </c>
      <c r="R724" s="6"/>
      <c r="S724" s="6"/>
      <c r="T724" s="6"/>
      <c r="U724" s="6"/>
      <c r="V724" s="6"/>
      <c r="W724" s="6"/>
      <c r="X724" s="6"/>
      <c r="Y724" s="6"/>
      <c r="Z724" s="6"/>
    </row>
    <row r="725" spans="1:26" s="93" customFormat="1" ht="15.75">
      <c r="A725" s="894">
        <v>189</v>
      </c>
      <c r="B725" s="908" t="s">
        <v>1200</v>
      </c>
      <c r="C725" s="886">
        <f>cходова!R725</f>
        <v>0</v>
      </c>
      <c r="D725" s="886">
        <f>прибуд.!O725</f>
        <v>0</v>
      </c>
      <c r="E725" s="886">
        <f>гар.вода!M725+хол.вода!Q725+ц.о.!M725+каналізація!Q725+аварійні!I725+зварювальн!M725</f>
        <v>0.18558563053616245</v>
      </c>
      <c r="F725" s="886">
        <f>дератизац.!I725</f>
        <v>0</v>
      </c>
      <c r="G725" s="886">
        <f>димоканал!R725</f>
        <v>1.4314335574202499E-2</v>
      </c>
      <c r="H725" s="886">
        <f>'підготовка до зими'!M725+майстерні!M725+маляри!M725+покрівлі!O725</f>
        <v>0.14950427959911761</v>
      </c>
      <c r="I725" s="886">
        <f>електрики!R725</f>
        <v>1.7084011349519767E-2</v>
      </c>
      <c r="J725" s="989">
        <f t="shared" si="82"/>
        <v>0.36648825705900234</v>
      </c>
      <c r="K725" s="989">
        <v>9.5811656822200834E-3</v>
      </c>
      <c r="L725" s="994">
        <f t="shared" si="81"/>
        <v>0.3760694227412224</v>
      </c>
      <c r="M725" s="994">
        <f t="shared" si="83"/>
        <v>0.45128330728946686</v>
      </c>
      <c r="N725" s="995">
        <v>2</v>
      </c>
      <c r="O725" s="1009">
        <v>0.3947440261074675</v>
      </c>
      <c r="P725" s="22">
        <f t="shared" si="79"/>
        <v>5.6539281181999357E-2</v>
      </c>
      <c r="Q725" s="982">
        <f t="shared" si="80"/>
        <v>14.32302389463058</v>
      </c>
      <c r="R725" s="6"/>
      <c r="S725" s="6"/>
      <c r="T725" s="6"/>
      <c r="U725" s="6"/>
      <c r="V725" s="6"/>
      <c r="W725" s="6"/>
      <c r="X725" s="6"/>
      <c r="Y725" s="6"/>
      <c r="Z725" s="6"/>
    </row>
    <row r="726" spans="1:26" s="93" customFormat="1" ht="15.75">
      <c r="A726" s="894">
        <v>190</v>
      </c>
      <c r="B726" s="908" t="s">
        <v>1201</v>
      </c>
      <c r="C726" s="886">
        <f>cходова!R726</f>
        <v>0</v>
      </c>
      <c r="D726" s="886">
        <f>прибуд.!O726</f>
        <v>6.5518680777202076E-2</v>
      </c>
      <c r="E726" s="886">
        <f>гар.вода!M726+хол.вода!Q726+ц.о.!M726+каналізація!Q726+аварійні!I726+зварювальн!M726</f>
        <v>0.47225153088563987</v>
      </c>
      <c r="F726" s="886">
        <f>дератизац.!I726</f>
        <v>0</v>
      </c>
      <c r="G726" s="886">
        <f>димоканал!R726</f>
        <v>0.19238053270029687</v>
      </c>
      <c r="H726" s="886">
        <f>'підготовка до зими'!M726+майстерні!M726+маляри!M726+покрівлі!O726</f>
        <v>0.43860308369118561</v>
      </c>
      <c r="I726" s="886">
        <f>електрики!R726</f>
        <v>6.5060872237808431E-2</v>
      </c>
      <c r="J726" s="989">
        <f t="shared" si="82"/>
        <v>1.2338147002921329</v>
      </c>
      <c r="K726" s="989">
        <v>3.1770247372240323E-2</v>
      </c>
      <c r="L726" s="994">
        <f t="shared" si="81"/>
        <v>1.2655849476643732</v>
      </c>
      <c r="M726" s="994">
        <f t="shared" si="83"/>
        <v>1.5187019371972479</v>
      </c>
      <c r="N726" s="995">
        <v>1</v>
      </c>
      <c r="O726" s="1009">
        <v>1.3089341917363013</v>
      </c>
      <c r="P726" s="22">
        <f t="shared" si="79"/>
        <v>0.20976774546094656</v>
      </c>
      <c r="Q726" s="982">
        <f t="shared" si="80"/>
        <v>16.025843528671956</v>
      </c>
      <c r="R726" s="6"/>
      <c r="S726" s="6"/>
      <c r="T726" s="6"/>
      <c r="U726" s="6"/>
      <c r="V726" s="6"/>
      <c r="W726" s="6"/>
      <c r="X726" s="6"/>
      <c r="Y726" s="6"/>
      <c r="Z726" s="6"/>
    </row>
    <row r="727" spans="1:26" s="93" customFormat="1" ht="15.75">
      <c r="A727" s="894">
        <v>191</v>
      </c>
      <c r="B727" s="908" t="s">
        <v>1202</v>
      </c>
      <c r="C727" s="886">
        <f>cходова!R727</f>
        <v>0</v>
      </c>
      <c r="D727" s="886">
        <f>прибуд.!O727</f>
        <v>6.4123252484787022E-2</v>
      </c>
      <c r="E727" s="886">
        <f>гар.вода!M727+хол.вода!Q727+ц.о.!M727+каналізація!Q727+аварійні!I727+зварювальн!M727</f>
        <v>0.25260265076673749</v>
      </c>
      <c r="F727" s="886">
        <f>дератизац.!I727</f>
        <v>0</v>
      </c>
      <c r="G727" s="886">
        <f>димоканал!R727</f>
        <v>7.9076850103794907E-2</v>
      </c>
      <c r="H727" s="886">
        <f>'підготовка до зими'!M727+майстерні!M727+маляри!M727+покрівлі!O727</f>
        <v>0.16807409796799436</v>
      </c>
      <c r="I727" s="886">
        <f>електрики!R727</f>
        <v>2.8300086414011782E-2</v>
      </c>
      <c r="J727" s="989">
        <f t="shared" si="82"/>
        <v>0.5921769377373256</v>
      </c>
      <c r="K727" s="989">
        <v>1.5350239281967675E-2</v>
      </c>
      <c r="L727" s="994">
        <f t="shared" si="81"/>
        <v>0.60752717701929326</v>
      </c>
      <c r="M727" s="994">
        <f t="shared" si="83"/>
        <v>0.72903261242315187</v>
      </c>
      <c r="N727" s="995">
        <v>2</v>
      </c>
      <c r="O727" s="1009">
        <v>0.63242985841706811</v>
      </c>
      <c r="P727" s="22">
        <f t="shared" si="79"/>
        <v>9.6602754006083758E-2</v>
      </c>
      <c r="Q727" s="982">
        <f t="shared" si="80"/>
        <v>15.274856605896872</v>
      </c>
      <c r="R727" s="6"/>
      <c r="S727" s="6"/>
      <c r="T727" s="6"/>
      <c r="U727" s="6"/>
      <c r="V727" s="6"/>
      <c r="W727" s="6"/>
      <c r="X727" s="6"/>
      <c r="Y727" s="6"/>
      <c r="Z727" s="6"/>
    </row>
    <row r="728" spans="1:26" s="93" customFormat="1" ht="15.75">
      <c r="A728" s="894">
        <v>192</v>
      </c>
      <c r="B728" s="908" t="s">
        <v>1353</v>
      </c>
      <c r="C728" s="886">
        <f>cходова!R728</f>
        <v>0.37458053946680303</v>
      </c>
      <c r="D728" s="886">
        <f>прибуд.!O728</f>
        <v>0.5932409054781167</v>
      </c>
      <c r="E728" s="886">
        <f>гар.вода!M728+хол.вода!Q728+ц.о.!M728+каналізація!Q728+аварійні!I728+зварювальн!M728</f>
        <v>0.37726299682648062</v>
      </c>
      <c r="F728" s="886">
        <f>дератизац.!I728</f>
        <v>0</v>
      </c>
      <c r="G728" s="886">
        <f>димоканал!R728</f>
        <v>1.7599280419101457E-2</v>
      </c>
      <c r="H728" s="886">
        <f>'підготовка до зими'!M728+майстерні!M728+маляри!M728+покрівлі!O728</f>
        <v>0.12331913204929533</v>
      </c>
      <c r="I728" s="886">
        <f>електрики!R728</f>
        <v>2.8053299516859764E-2</v>
      </c>
      <c r="J728" s="989">
        <f t="shared" si="82"/>
        <v>1.5140561537566568</v>
      </c>
      <c r="K728" s="989">
        <v>3.8621555821026464E-2</v>
      </c>
      <c r="L728" s="994">
        <f t="shared" si="81"/>
        <v>1.5526777095776834</v>
      </c>
      <c r="M728" s="994">
        <f t="shared" si="83"/>
        <v>1.86321325149322</v>
      </c>
      <c r="N728" s="995">
        <v>5</v>
      </c>
      <c r="O728" s="1009">
        <v>1.5912080998262905</v>
      </c>
      <c r="P728" s="22">
        <f t="shared" si="79"/>
        <v>0.27200515166692951</v>
      </c>
      <c r="Q728" s="982">
        <f t="shared" si="80"/>
        <v>17.094253837485113</v>
      </c>
      <c r="R728" s="6"/>
      <c r="S728" s="6"/>
      <c r="T728" s="6"/>
      <c r="U728" s="6"/>
      <c r="V728" s="6"/>
      <c r="W728" s="6"/>
      <c r="X728" s="6"/>
      <c r="Y728" s="6"/>
      <c r="Z728" s="6"/>
    </row>
    <row r="729" spans="1:26" s="93" customFormat="1" ht="15.75">
      <c r="A729" s="894">
        <v>193</v>
      </c>
      <c r="B729" s="908" t="s">
        <v>771</v>
      </c>
      <c r="C729" s="886">
        <f>cходова!R729</f>
        <v>0</v>
      </c>
      <c r="D729" s="886">
        <f>прибуд.!O729</f>
        <v>0.5885550565510822</v>
      </c>
      <c r="E729" s="886">
        <f>гар.вода!M729+хол.вода!Q729+ц.о.!M729+каналізація!Q729+аварійні!I729+зварювальн!M729</f>
        <v>0.21653936980246002</v>
      </c>
      <c r="F729" s="886">
        <f>дератизац.!I729</f>
        <v>6.6907144519432167E-3</v>
      </c>
      <c r="G729" s="886">
        <f>димоканал!R729</f>
        <v>8.3326957921964095E-2</v>
      </c>
      <c r="H729" s="886">
        <f>'підготовка до зими'!M729+майстерні!M729+маляри!M729+покрівлі!O729</f>
        <v>0.22077025564660036</v>
      </c>
      <c r="I729" s="886">
        <f>електрики!R729</f>
        <v>2.2264478370330621E-2</v>
      </c>
      <c r="J729" s="989">
        <f t="shared" si="82"/>
        <v>1.1381468327443804</v>
      </c>
      <c r="K729" s="989">
        <v>2.9020281242537659E-2</v>
      </c>
      <c r="L729" s="994">
        <f t="shared" si="81"/>
        <v>1.1671671139869182</v>
      </c>
      <c r="M729" s="994">
        <f t="shared" si="83"/>
        <v>1.4006005367843017</v>
      </c>
      <c r="N729" s="995">
        <v>2</v>
      </c>
      <c r="O729" s="1009">
        <v>1.1956355871925515</v>
      </c>
      <c r="P729" s="22">
        <f t="shared" ref="P729:P792" si="84">M729-O729</f>
        <v>0.20496494959175027</v>
      </c>
      <c r="Q729" s="982">
        <f t="shared" ref="Q729:Q747" si="85">M729/O729*100-100</f>
        <v>17.142760870226724</v>
      </c>
      <c r="R729" s="6"/>
      <c r="S729" s="6"/>
      <c r="T729" s="6"/>
      <c r="U729" s="6"/>
      <c r="V729" s="6"/>
      <c r="W729" s="6"/>
      <c r="X729" s="6"/>
      <c r="Y729" s="6"/>
      <c r="Z729" s="6"/>
    </row>
    <row r="730" spans="1:26" s="93" customFormat="1" ht="15.75">
      <c r="A730" s="894">
        <v>194</v>
      </c>
      <c r="B730" s="908" t="s">
        <v>772</v>
      </c>
      <c r="C730" s="886">
        <f>cходова!R730</f>
        <v>0</v>
      </c>
      <c r="D730" s="886">
        <f>прибуд.!O730</f>
        <v>0.4415843181234228</v>
      </c>
      <c r="E730" s="886">
        <f>гар.вода!M730+хол.вода!Q730+ц.о.!M730+каналізація!Q730+аварійні!I730+зварювальн!M730</f>
        <v>0.19825469232086962</v>
      </c>
      <c r="F730" s="886">
        <f>дератизац.!I730</f>
        <v>4.4607580739721145E-3</v>
      </c>
      <c r="G730" s="886">
        <f>димоканал!R730</f>
        <v>8.4243381698697287E-2</v>
      </c>
      <c r="H730" s="886">
        <f>'підготовка до зими'!M730+майстерні!M730+маляри!M730+покрівлі!O730</f>
        <v>0.22284178640936381</v>
      </c>
      <c r="I730" s="886">
        <f>електрики!R730</f>
        <v>1.9204325673926787E-2</v>
      </c>
      <c r="J730" s="989">
        <f t="shared" si="82"/>
        <v>0.97058926230025244</v>
      </c>
      <c r="K730" s="989">
        <v>2.4835697182664901E-2</v>
      </c>
      <c r="L730" s="994">
        <f t="shared" si="81"/>
        <v>0.99542495948291732</v>
      </c>
      <c r="M730" s="994">
        <f t="shared" si="83"/>
        <v>1.1945099513795008</v>
      </c>
      <c r="N730" s="995">
        <v>2</v>
      </c>
      <c r="O730" s="1009">
        <v>1.0232307239257938</v>
      </c>
      <c r="P730" s="22">
        <f t="shared" si="84"/>
        <v>0.17127922745370694</v>
      </c>
      <c r="Q730" s="982">
        <f t="shared" si="85"/>
        <v>16.739062212339164</v>
      </c>
      <c r="R730" s="6"/>
      <c r="S730" s="6"/>
      <c r="T730" s="6"/>
      <c r="U730" s="6"/>
      <c r="V730" s="6"/>
      <c r="W730" s="6"/>
      <c r="X730" s="6"/>
      <c r="Y730" s="6"/>
      <c r="Z730" s="6"/>
    </row>
    <row r="731" spans="1:26" s="93" customFormat="1" ht="15.75">
      <c r="A731" s="894">
        <v>195</v>
      </c>
      <c r="B731" s="908" t="s">
        <v>773</v>
      </c>
      <c r="C731" s="886">
        <f>cходова!R731</f>
        <v>0.51147630867584681</v>
      </c>
      <c r="D731" s="886">
        <f>прибуд.!O731</f>
        <v>0.23569627940354151</v>
      </c>
      <c r="E731" s="886">
        <f>гар.вода!M731+хол.вода!Q731+ц.о.!M731+каналізація!Q731+аварійні!I731+зварювальн!M731</f>
        <v>0.22501854447732761</v>
      </c>
      <c r="F731" s="886">
        <f>дератизац.!I731</f>
        <v>5.999534016775397E-3</v>
      </c>
      <c r="G731" s="886">
        <f>димоканал!R731</f>
        <v>9.3512239705824368E-2</v>
      </c>
      <c r="H731" s="886">
        <f>'підготовка до зими'!M731+майстерні!M731+маляри!M731+покрівлі!O731</f>
        <v>0.1906373476385313</v>
      </c>
      <c r="I731" s="886">
        <f>електрики!R731</f>
        <v>2.3683566526011796E-2</v>
      </c>
      <c r="J731" s="989">
        <f t="shared" si="82"/>
        <v>1.2860238204438588</v>
      </c>
      <c r="K731" s="989">
        <v>3.2717395291361966E-2</v>
      </c>
      <c r="L731" s="994">
        <f t="shared" si="81"/>
        <v>1.3187412157352207</v>
      </c>
      <c r="M731" s="994">
        <f t="shared" si="83"/>
        <v>1.5824894588822649</v>
      </c>
      <c r="N731" s="1011">
        <v>3</v>
      </c>
      <c r="O731" s="1009">
        <v>1.3479566860041128</v>
      </c>
      <c r="P731" s="22">
        <f t="shared" si="84"/>
        <v>0.23453277287815211</v>
      </c>
      <c r="Q731" s="982">
        <f t="shared" si="85"/>
        <v>17.399132725354988</v>
      </c>
      <c r="R731" s="6"/>
      <c r="S731" s="6"/>
      <c r="T731" s="6"/>
      <c r="U731" s="6"/>
      <c r="V731" s="6"/>
      <c r="W731" s="6"/>
      <c r="X731" s="6"/>
      <c r="Y731" s="6"/>
      <c r="Z731" s="6"/>
    </row>
    <row r="732" spans="1:26" s="93" customFormat="1" ht="15.75">
      <c r="A732" s="894">
        <v>196</v>
      </c>
      <c r="B732" s="908" t="s">
        <v>774</v>
      </c>
      <c r="C732" s="886">
        <f>cходова!R732</f>
        <v>0</v>
      </c>
      <c r="D732" s="886">
        <f>прибуд.!O732</f>
        <v>0.3703415180930687</v>
      </c>
      <c r="E732" s="886">
        <f>гар.вода!M732+хол.вода!Q732+ц.о.!M732+каналізація!Q732+аварійні!I732+зварювальн!M732</f>
        <v>0.19744440238908167</v>
      </c>
      <c r="F732" s="886">
        <f>дератизац.!I732</f>
        <v>6.0364464692482921E-3</v>
      </c>
      <c r="G732" s="886">
        <f>димоканал!R732</f>
        <v>5.8800035886361346E-2</v>
      </c>
      <c r="H732" s="886">
        <f>'підготовка до зими'!M732+майстерні!M732+маляри!M732+покрівлі!O732</f>
        <v>0.22028738783096741</v>
      </c>
      <c r="I732" s="886">
        <f>електрики!R732</f>
        <v>1.9068714262561924E-2</v>
      </c>
      <c r="J732" s="989">
        <f t="shared" si="82"/>
        <v>0.87197850493128937</v>
      </c>
      <c r="K732" s="989">
        <v>2.233157432564261E-2</v>
      </c>
      <c r="L732" s="994">
        <f t="shared" si="81"/>
        <v>0.89431007925693196</v>
      </c>
      <c r="M732" s="994">
        <f t="shared" si="83"/>
        <v>1.0731720951083183</v>
      </c>
      <c r="N732" s="995">
        <v>2</v>
      </c>
      <c r="O732" s="1009">
        <v>0.92006086221647543</v>
      </c>
      <c r="P732" s="22">
        <f t="shared" si="84"/>
        <v>0.15311123289184292</v>
      </c>
      <c r="Q732" s="982">
        <f t="shared" si="85"/>
        <v>16.641424407836453</v>
      </c>
      <c r="R732" s="6"/>
      <c r="S732" s="6"/>
      <c r="T732" s="6"/>
      <c r="U732" s="6"/>
      <c r="V732" s="6"/>
      <c r="W732" s="6"/>
      <c r="X732" s="6"/>
      <c r="Y732" s="6"/>
      <c r="Z732" s="6"/>
    </row>
    <row r="733" spans="1:26" s="93" customFormat="1" ht="15.75">
      <c r="A733" s="894">
        <v>197</v>
      </c>
      <c r="B733" s="908" t="s">
        <v>775</v>
      </c>
      <c r="C733" s="886">
        <f>cходова!R733</f>
        <v>0.64967632933907515</v>
      </c>
      <c r="D733" s="886">
        <f>прибуд.!O733</f>
        <v>0.24030672104193973</v>
      </c>
      <c r="E733" s="886">
        <f>гар.вода!M733+хол.вода!Q733+ц.о.!M733+каналізація!Q733+аварійні!I733+зварювальн!M733</f>
        <v>0.22729222298950225</v>
      </c>
      <c r="F733" s="886">
        <f>дератизац.!I733</f>
        <v>4.9431321084864397E-3</v>
      </c>
      <c r="G733" s="886">
        <f>димоканал!R733</f>
        <v>6.2651957688657861E-2</v>
      </c>
      <c r="H733" s="886">
        <f>'підготовка до зими'!M733+майстерні!M733+маляри!M733+покрівлі!O733</f>
        <v>0.19263728754727252</v>
      </c>
      <c r="I733" s="886">
        <f>електрики!R733</f>
        <v>2.5234181901584243E-2</v>
      </c>
      <c r="J733" s="989">
        <f t="shared" si="82"/>
        <v>1.4027418326165182</v>
      </c>
      <c r="K733" s="989">
        <v>3.5570777880585193E-2</v>
      </c>
      <c r="L733" s="994">
        <f t="shared" si="81"/>
        <v>1.4383126104971033</v>
      </c>
      <c r="M733" s="994">
        <f t="shared" si="83"/>
        <v>1.725975132596524</v>
      </c>
      <c r="N733" s="995">
        <v>3</v>
      </c>
      <c r="O733" s="1009">
        <v>1.4655160486801098</v>
      </c>
      <c r="P733" s="22">
        <f t="shared" si="84"/>
        <v>0.26045908391641426</v>
      </c>
      <c r="Q733" s="982">
        <f t="shared" si="85"/>
        <v>17.772516660666525</v>
      </c>
      <c r="R733" s="6"/>
      <c r="S733" s="6"/>
      <c r="T733" s="6"/>
      <c r="U733" s="6"/>
      <c r="V733" s="6"/>
      <c r="W733" s="6"/>
      <c r="X733" s="6"/>
      <c r="Y733" s="6"/>
      <c r="Z733" s="6"/>
    </row>
    <row r="734" spans="1:26" s="93" customFormat="1" ht="15.75">
      <c r="A734" s="894">
        <v>198</v>
      </c>
      <c r="B734" s="908" t="s">
        <v>776</v>
      </c>
      <c r="C734" s="886">
        <f>cходова!R734</f>
        <v>0</v>
      </c>
      <c r="D734" s="886">
        <f>прибуд.!O734</f>
        <v>0.25663498023985237</v>
      </c>
      <c r="E734" s="886">
        <f>гар.вода!M734+хол.вода!Q734+ц.о.!M734+каналізація!Q734+аварійні!I734+зварювальн!M734</f>
        <v>0.20655377420287904</v>
      </c>
      <c r="F734" s="886">
        <f>дератизац.!I734</f>
        <v>4.8431734317343177E-3</v>
      </c>
      <c r="G734" s="886">
        <f>димоканал!R734</f>
        <v>9.1339342708874047E-2</v>
      </c>
      <c r="H734" s="886">
        <f>'підготовка до зими'!M734+майстерні!M734+маляри!M734+покрівлі!O734</f>
        <v>0.19721510949648285</v>
      </c>
      <c r="I734" s="886">
        <f>електрики!R734</f>
        <v>2.0593273213443262E-2</v>
      </c>
      <c r="J734" s="989">
        <f t="shared" si="82"/>
        <v>0.77717965329326577</v>
      </c>
      <c r="K734" s="989">
        <v>2.0012428471665244E-2</v>
      </c>
      <c r="L734" s="994">
        <f t="shared" si="81"/>
        <v>0.79719208176493106</v>
      </c>
      <c r="M734" s="994">
        <f t="shared" si="83"/>
        <v>0.95663049811791723</v>
      </c>
      <c r="N734" s="995">
        <v>2</v>
      </c>
      <c r="O734" s="1009">
        <v>0.82451205303260811</v>
      </c>
      <c r="P734" s="22">
        <f t="shared" si="84"/>
        <v>0.13211844508530912</v>
      </c>
      <c r="Q734" s="982">
        <f t="shared" si="85"/>
        <v>16.023834290762522</v>
      </c>
      <c r="R734" s="6"/>
      <c r="S734" s="6"/>
      <c r="T734" s="6"/>
      <c r="U734" s="6"/>
      <c r="V734" s="6"/>
      <c r="W734" s="6"/>
      <c r="X734" s="6"/>
      <c r="Y734" s="6"/>
      <c r="Z734" s="6"/>
    </row>
    <row r="735" spans="1:26" s="93" customFormat="1" ht="15.75">
      <c r="A735" s="894">
        <v>199</v>
      </c>
      <c r="B735" s="908" t="s">
        <v>777</v>
      </c>
      <c r="C735" s="886">
        <f>cходова!R735</f>
        <v>0</v>
      </c>
      <c r="D735" s="886">
        <f>прибуд.!O735</f>
        <v>0.60403806284973383</v>
      </c>
      <c r="E735" s="886">
        <f>гар.вода!M735+хол.вода!Q735+ц.о.!M735+каналізація!Q735+аварійні!I735+зварювальн!M735</f>
        <v>0.26203819800744277</v>
      </c>
      <c r="F735" s="886">
        <f>дератизац.!I735</f>
        <v>5.6632956573468181E-3</v>
      </c>
      <c r="G735" s="886">
        <f>димоканал!R735</f>
        <v>6.6852628904742112E-2</v>
      </c>
      <c r="H735" s="886">
        <f>'підготовка до зими'!M735+майстерні!M735+маляри!M735+покрівлі!O735</f>
        <v>0.17299775500482684</v>
      </c>
      <c r="I735" s="886">
        <f>електрики!R735</f>
        <v>3.4275278673118685E-2</v>
      </c>
      <c r="J735" s="989">
        <f t="shared" si="82"/>
        <v>1.1458652190972112</v>
      </c>
      <c r="K735" s="989">
        <v>2.9155804648304341E-2</v>
      </c>
      <c r="L735" s="994">
        <f t="shared" ref="L735:L746" si="86">J735+K735</f>
        <v>1.1750210237455154</v>
      </c>
      <c r="M735" s="994">
        <f t="shared" si="83"/>
        <v>1.4100252284946184</v>
      </c>
      <c r="N735" s="995">
        <v>2</v>
      </c>
      <c r="O735" s="1009">
        <v>1.2012191515101389</v>
      </c>
      <c r="P735" s="22">
        <f t="shared" si="84"/>
        <v>0.20880607698447951</v>
      </c>
      <c r="Q735" s="982">
        <f t="shared" si="85"/>
        <v>17.382846146098686</v>
      </c>
      <c r="R735" s="6"/>
      <c r="S735" s="6"/>
      <c r="T735" s="6"/>
      <c r="U735" s="6"/>
      <c r="V735" s="6"/>
      <c r="W735" s="6"/>
      <c r="X735" s="6"/>
      <c r="Y735" s="6"/>
      <c r="Z735" s="6"/>
    </row>
    <row r="736" spans="1:26" s="93" customFormat="1" ht="15.75">
      <c r="A736" s="894">
        <v>200</v>
      </c>
      <c r="B736" s="908" t="s">
        <v>778</v>
      </c>
      <c r="C736" s="886">
        <f>cходова!R736</f>
        <v>0.50789245828454332</v>
      </c>
      <c r="D736" s="886">
        <f>прибуд.!O736</f>
        <v>0.44536423952996934</v>
      </c>
      <c r="E736" s="886">
        <f>гар.вода!M736+хол.вода!Q736+ц.о.!M736+каналізація!Q736+аварійні!I736+зварювальн!M736</f>
        <v>0.26501193653067084</v>
      </c>
      <c r="F736" s="886">
        <f>дератизац.!I736</f>
        <v>4.557291666666667E-3</v>
      </c>
      <c r="G736" s="886">
        <f>димоканал!R736</f>
        <v>7.027200339895355E-2</v>
      </c>
      <c r="H736" s="886">
        <f>'підготовка до зими'!M736+майстерні!M736+маляри!M736+покрівлі!O736</f>
        <v>0.21356935779502983</v>
      </c>
      <c r="I736" s="886">
        <f>електрики!R736</f>
        <v>3.0376924210531862E-2</v>
      </c>
      <c r="J736" s="989">
        <f t="shared" si="82"/>
        <v>1.5370442114163656</v>
      </c>
      <c r="K736" s="989">
        <v>3.8945570526558698E-2</v>
      </c>
      <c r="L736" s="994">
        <f t="shared" si="86"/>
        <v>1.5759897819429243</v>
      </c>
      <c r="M736" s="994">
        <f t="shared" si="83"/>
        <v>1.891187738331509</v>
      </c>
      <c r="N736" s="995">
        <v>3</v>
      </c>
      <c r="O736" s="1009">
        <v>1.6045575056942183</v>
      </c>
      <c r="P736" s="22">
        <f t="shared" si="84"/>
        <v>0.28663023263729071</v>
      </c>
      <c r="Q736" s="982">
        <f t="shared" si="85"/>
        <v>17.863506394760151</v>
      </c>
      <c r="R736" s="6"/>
      <c r="S736" s="6"/>
      <c r="T736" s="6"/>
      <c r="U736" s="6"/>
      <c r="V736" s="6"/>
      <c r="W736" s="6"/>
      <c r="X736" s="6"/>
      <c r="Y736" s="6"/>
      <c r="Z736" s="6"/>
    </row>
    <row r="737" spans="1:26" s="93" customFormat="1" ht="15.75">
      <c r="A737" s="894">
        <v>201</v>
      </c>
      <c r="B737" s="908" t="s">
        <v>779</v>
      </c>
      <c r="C737" s="886">
        <f>cходова!R737</f>
        <v>0.52206482702762347</v>
      </c>
      <c r="D737" s="886">
        <f>прибуд.!O737</f>
        <v>0.17122602536159201</v>
      </c>
      <c r="E737" s="886">
        <f>гар.вода!M737+хол.вода!Q737+ц.о.!M737+каналізація!Q737+аварійні!I737+зварювальн!M737</f>
        <v>0.24924737268768837</v>
      </c>
      <c r="F737" s="886">
        <f>дератизац.!I737</f>
        <v>5.0824497115234688E-3</v>
      </c>
      <c r="G737" s="886">
        <f>димоканал!R737</f>
        <v>5.2102627441772589E-2</v>
      </c>
      <c r="H737" s="886">
        <f>'підготовка до зими'!M737+майстерні!M737+маляри!M737+покрівлі!O737</f>
        <v>0.16746097315590253</v>
      </c>
      <c r="I737" s="886">
        <f>електрики!R737</f>
        <v>2.8548178407089345E-2</v>
      </c>
      <c r="J737" s="989">
        <f t="shared" si="82"/>
        <v>1.1957324537931919</v>
      </c>
      <c r="K737" s="989">
        <v>3.0376940166065496E-2</v>
      </c>
      <c r="L737" s="994">
        <f t="shared" si="86"/>
        <v>1.2261093939592573</v>
      </c>
      <c r="M737" s="994">
        <f t="shared" si="83"/>
        <v>1.4713312727511088</v>
      </c>
      <c r="N737" s="995">
        <v>3</v>
      </c>
      <c r="O737" s="1009">
        <v>1.2515299348418987</v>
      </c>
      <c r="P737" s="22">
        <f t="shared" si="84"/>
        <v>0.21980133790921008</v>
      </c>
      <c r="Q737" s="982">
        <f t="shared" si="85"/>
        <v>17.562611311968084</v>
      </c>
      <c r="R737" s="6"/>
      <c r="S737" s="6"/>
      <c r="T737" s="6"/>
      <c r="U737" s="6"/>
      <c r="V737" s="6"/>
      <c r="W737" s="6"/>
      <c r="X737" s="6"/>
      <c r="Y737" s="6"/>
      <c r="Z737" s="6"/>
    </row>
    <row r="738" spans="1:26" s="93" customFormat="1" ht="15.75">
      <c r="A738" s="894">
        <v>202</v>
      </c>
      <c r="B738" s="908" t="s">
        <v>791</v>
      </c>
      <c r="C738" s="886">
        <f>cходова!R738</f>
        <v>0.48898176269306071</v>
      </c>
      <c r="D738" s="886">
        <f>прибуд.!O738</f>
        <v>0.39688884483284315</v>
      </c>
      <c r="E738" s="886">
        <f>гар.вода!M738+хол.вода!Q738+ц.о.!M738+каналізація!Q738+аварійні!I738+зварювальн!M738</f>
        <v>0.19626835437265194</v>
      </c>
      <c r="F738" s="886">
        <f>дератизац.!I738</f>
        <v>2.8461699489541231E-3</v>
      </c>
      <c r="G738" s="886">
        <f>димоканал!R738</f>
        <v>7.5627370331102381E-2</v>
      </c>
      <c r="H738" s="886">
        <f>'підготовка до зими'!M738+майстерні!M738+маляри!M738+покрівлі!O738</f>
        <v>0.15816035466012723</v>
      </c>
      <c r="I738" s="886">
        <f>електрики!R738</f>
        <v>2.1019498862491142E-2</v>
      </c>
      <c r="J738" s="989">
        <f t="shared" si="82"/>
        <v>1.3397923557012308</v>
      </c>
      <c r="K738" s="989">
        <v>3.3973974051223869E-2</v>
      </c>
      <c r="L738" s="994">
        <f t="shared" si="86"/>
        <v>1.3737663297524547</v>
      </c>
      <c r="M738" s="994">
        <f t="shared" si="83"/>
        <v>1.6485195957029457</v>
      </c>
      <c r="N738" s="995">
        <v>3</v>
      </c>
      <c r="O738" s="1009">
        <v>1.3997277309104237</v>
      </c>
      <c r="P738" s="22">
        <f t="shared" si="84"/>
        <v>0.24879186479252202</v>
      </c>
      <c r="Q738" s="982">
        <f t="shared" si="85"/>
        <v>17.774304194909433</v>
      </c>
      <c r="R738" s="6"/>
      <c r="S738" s="6"/>
      <c r="T738" s="6"/>
      <c r="U738" s="6"/>
      <c r="V738" s="6"/>
      <c r="W738" s="6"/>
      <c r="X738" s="6"/>
      <c r="Y738" s="6"/>
      <c r="Z738" s="6"/>
    </row>
    <row r="739" spans="1:26" s="93" customFormat="1" ht="15.75">
      <c r="A739" s="894">
        <v>203</v>
      </c>
      <c r="B739" s="908" t="s">
        <v>858</v>
      </c>
      <c r="C739" s="886">
        <f>cходова!R739</f>
        <v>0.60610106155850274</v>
      </c>
      <c r="D739" s="886">
        <f>прибуд.!O739</f>
        <v>0.32599119696679529</v>
      </c>
      <c r="E739" s="886">
        <f>гар.вода!M739+хол.вода!Q739+ц.о.!M739+каналізація!Q739+аварійні!I739+зварювальн!M739</f>
        <v>0.24075603106698484</v>
      </c>
      <c r="F739" s="886">
        <f>дератизац.!I739</f>
        <v>3.3010084399409936E-3</v>
      </c>
      <c r="G739" s="886">
        <f>димоканал!R739</f>
        <v>4.9532916871274667E-2</v>
      </c>
      <c r="H739" s="886">
        <f>'підготовка до зими'!M739+майстерні!M739+маляри!M739+покрівлі!O739</f>
        <v>0.16710610588065619</v>
      </c>
      <c r="I739" s="886">
        <f>електрики!R739</f>
        <v>3.2063036532936837E-2</v>
      </c>
      <c r="J739" s="989">
        <f t="shared" si="82"/>
        <v>1.4248513573170916</v>
      </c>
      <c r="K739" s="989">
        <v>3.6069982745300662E-2</v>
      </c>
      <c r="L739" s="994">
        <f t="shared" si="86"/>
        <v>1.4609213400623922</v>
      </c>
      <c r="M739" s="994">
        <f t="shared" si="83"/>
        <v>1.7531056080748706</v>
      </c>
      <c r="N739" s="995">
        <v>3</v>
      </c>
      <c r="O739" s="1009">
        <v>1.4860832891063871</v>
      </c>
      <c r="P739" s="22">
        <f t="shared" si="84"/>
        <v>0.2670223189684835</v>
      </c>
      <c r="Q739" s="982">
        <f t="shared" si="85"/>
        <v>17.96819336613693</v>
      </c>
      <c r="R739" s="6"/>
      <c r="S739" s="6"/>
      <c r="T739" s="6"/>
      <c r="U739" s="6"/>
      <c r="V739" s="6"/>
      <c r="W739" s="6"/>
      <c r="X739" s="6"/>
      <c r="Y739" s="6"/>
      <c r="Z739" s="6"/>
    </row>
    <row r="740" spans="1:26" s="93" customFormat="1" ht="15.75">
      <c r="A740" s="894">
        <v>204</v>
      </c>
      <c r="B740" s="908" t="s">
        <v>859</v>
      </c>
      <c r="C740" s="886">
        <f>cходова!R740</f>
        <v>0</v>
      </c>
      <c r="D740" s="886">
        <f>прибуд.!O740</f>
        <v>0.24646293921954826</v>
      </c>
      <c r="E740" s="886">
        <f>гар.вода!M740+хол.вода!Q740+ц.о.!M740+каналізація!Q740+аварійні!I740+зварювальн!M740</f>
        <v>0.20665222965253144</v>
      </c>
      <c r="F740" s="886">
        <f>дератизац.!I740</f>
        <v>6.8217722246158262E-3</v>
      </c>
      <c r="G740" s="886">
        <f>димоканал!R740</f>
        <v>7.3892977651564676E-2</v>
      </c>
      <c r="H740" s="886">
        <f>'підготовка до зими'!M740+майстерні!M740+маляри!M740+покрівлі!O740</f>
        <v>0.1995980668628593</v>
      </c>
      <c r="I740" s="886">
        <f>електрики!R740</f>
        <v>2.0609750874043663E-2</v>
      </c>
      <c r="J740" s="989">
        <f t="shared" si="82"/>
        <v>0.75403773648516315</v>
      </c>
      <c r="K740" s="989">
        <v>1.9416285986536656E-2</v>
      </c>
      <c r="L740" s="994">
        <f t="shared" si="86"/>
        <v>0.77345402247169981</v>
      </c>
      <c r="M740" s="994">
        <f t="shared" si="83"/>
        <v>0.92814482696603973</v>
      </c>
      <c r="N740" s="995">
        <v>2</v>
      </c>
      <c r="O740" s="1009">
        <v>0.79995098264531017</v>
      </c>
      <c r="P740" s="22">
        <f t="shared" si="84"/>
        <v>0.12819384432072956</v>
      </c>
      <c r="Q740" s="982">
        <f t="shared" si="85"/>
        <v>16.025212431993396</v>
      </c>
      <c r="R740" s="6"/>
      <c r="S740" s="6"/>
      <c r="T740" s="6"/>
      <c r="U740" s="6"/>
      <c r="V740" s="6"/>
      <c r="W740" s="6"/>
      <c r="X740" s="6"/>
      <c r="Y740" s="6"/>
      <c r="Z740" s="6"/>
    </row>
    <row r="741" spans="1:26" s="6" customFormat="1" ht="15" customHeight="1">
      <c r="A741" s="894">
        <v>205</v>
      </c>
      <c r="B741" s="908" t="s">
        <v>860</v>
      </c>
      <c r="C741" s="886">
        <f>cходова!R741</f>
        <v>0</v>
      </c>
      <c r="D741" s="886">
        <f>прибуд.!O741</f>
        <v>0.99953940261168372</v>
      </c>
      <c r="E741" s="886">
        <f>гар.вода!M741+хол.вода!Q741+ц.о.!M741+каналізація!Q741+аварійні!I741+зварювальн!M741</f>
        <v>0.16382876426620369</v>
      </c>
      <c r="F741" s="886">
        <f>дератизац.!I741</f>
        <v>6.2335766423357673E-3</v>
      </c>
      <c r="G741" s="886">
        <f>димоканал!R741</f>
        <v>3.9746280818141327E-2</v>
      </c>
      <c r="H741" s="886">
        <f>'підготовка до зими'!M741+майстерні!M741+маляри!M741+покрівлі!O741</f>
        <v>0.28693705753006193</v>
      </c>
      <c r="I741" s="886">
        <f>електрики!R741</f>
        <v>2.1095720772946514E-2</v>
      </c>
      <c r="J741" s="989">
        <f t="shared" si="82"/>
        <v>1.5173808026413731</v>
      </c>
      <c r="K741" s="989">
        <v>3.8190640624833967E-2</v>
      </c>
      <c r="L741" s="994">
        <f t="shared" si="86"/>
        <v>1.5555714432662071</v>
      </c>
      <c r="M741" s="994">
        <f t="shared" si="83"/>
        <v>1.8666857319194485</v>
      </c>
      <c r="N741" s="995">
        <v>2</v>
      </c>
      <c r="O741" s="1009">
        <v>1.5734543937431595</v>
      </c>
      <c r="P741" s="22">
        <f t="shared" si="84"/>
        <v>0.29323133817628899</v>
      </c>
      <c r="Q741" s="982">
        <f t="shared" si="85"/>
        <v>18.636151091656885</v>
      </c>
    </row>
    <row r="742" spans="1:26" s="93" customFormat="1" ht="15.75">
      <c r="A742" s="894">
        <v>206</v>
      </c>
      <c r="B742" s="908" t="s">
        <v>861</v>
      </c>
      <c r="C742" s="886">
        <f>cходова!R742</f>
        <v>0.63076451838228698</v>
      </c>
      <c r="D742" s="886">
        <f>прибуд.!O742</f>
        <v>0.17878275183800429</v>
      </c>
      <c r="E742" s="886">
        <f>гар.вода!M742+хол.вода!Q742+ц.о.!M742+каналізація!Q742+аварійні!I742+зварювальн!M742</f>
        <v>0.19351380457268891</v>
      </c>
      <c r="F742" s="886">
        <f>дератизац.!I742</f>
        <v>3.6838632650496423E-3</v>
      </c>
      <c r="G742" s="886">
        <f>димоканал!R742</f>
        <v>4.413537969275147E-2</v>
      </c>
      <c r="H742" s="886">
        <f>'підготовка до зими'!M742+майстерні!M742+маляри!M742+покрівлі!O742</f>
        <v>0.18172402697212817</v>
      </c>
      <c r="I742" s="886">
        <f>електрики!R742</f>
        <v>1.8410883162263667E-2</v>
      </c>
      <c r="J742" s="989">
        <f t="shared" si="82"/>
        <v>1.2510152278851732</v>
      </c>
      <c r="K742" s="989">
        <v>3.1732605999079698E-2</v>
      </c>
      <c r="L742" s="994">
        <f t="shared" si="86"/>
        <v>1.2827478338842528</v>
      </c>
      <c r="M742" s="994">
        <f t="shared" si="83"/>
        <v>1.5392974006611033</v>
      </c>
      <c r="N742" s="995">
        <v>3</v>
      </c>
      <c r="O742" s="1009">
        <v>1.3073833671620836</v>
      </c>
      <c r="P742" s="22">
        <f t="shared" si="84"/>
        <v>0.23191403349901973</v>
      </c>
      <c r="Q742" s="982">
        <f t="shared" si="85"/>
        <v>17.73879332750208</v>
      </c>
      <c r="R742" s="6"/>
      <c r="S742" s="6"/>
      <c r="T742" s="6"/>
      <c r="U742" s="6"/>
      <c r="V742" s="6"/>
      <c r="W742" s="6"/>
      <c r="X742" s="6"/>
      <c r="Y742" s="6"/>
      <c r="Z742" s="6"/>
    </row>
    <row r="743" spans="1:26" s="93" customFormat="1" ht="15.75">
      <c r="A743" s="894">
        <v>207</v>
      </c>
      <c r="B743" s="908" t="s">
        <v>862</v>
      </c>
      <c r="C743" s="886">
        <f>cходова!R743</f>
        <v>0.50071014069264075</v>
      </c>
      <c r="D743" s="886">
        <f>прибуд.!O743</f>
        <v>0.23757470732727273</v>
      </c>
      <c r="E743" s="886">
        <f>гар.вода!M743+хол.вода!Q743+ц.о.!M743+каналізація!Q743+аварійні!I743+зварювальн!M743</f>
        <v>0.25185275203651408</v>
      </c>
      <c r="F743" s="886">
        <f>дератизац.!I743</f>
        <v>4.3654721837259949E-3</v>
      </c>
      <c r="G743" s="886">
        <f>димоканал!R743</f>
        <v>4.3863274337924828E-2</v>
      </c>
      <c r="H743" s="886">
        <f>'підготовка до зими'!M743+майстерні!M743+маляри!M743+покрівлі!O743</f>
        <v>0.17313328775449821</v>
      </c>
      <c r="I743" s="886">
        <f>електрики!R743</f>
        <v>2.8749457483131246E-2</v>
      </c>
      <c r="J743" s="989">
        <f t="shared" si="82"/>
        <v>1.2402490918157079</v>
      </c>
      <c r="K743" s="989">
        <v>3.1475383885303014E-2</v>
      </c>
      <c r="L743" s="994">
        <f t="shared" si="86"/>
        <v>1.2717244757010109</v>
      </c>
      <c r="M743" s="994">
        <f t="shared" si="83"/>
        <v>1.526069370841213</v>
      </c>
      <c r="N743" s="995">
        <v>3</v>
      </c>
      <c r="O743" s="1009">
        <v>1.2967858160744843</v>
      </c>
      <c r="P743" s="22">
        <f t="shared" si="84"/>
        <v>0.22928355476672868</v>
      </c>
      <c r="Q743" s="982">
        <f t="shared" si="85"/>
        <v>17.680911675977114</v>
      </c>
      <c r="R743" s="6"/>
      <c r="S743" s="6"/>
      <c r="T743" s="6"/>
      <c r="U743" s="6"/>
      <c r="V743" s="6"/>
      <c r="W743" s="6"/>
      <c r="X743" s="6"/>
      <c r="Y743" s="6"/>
      <c r="Z743" s="6"/>
    </row>
    <row r="744" spans="1:26" s="93" customFormat="1" ht="15.75">
      <c r="A744" s="894">
        <v>208</v>
      </c>
      <c r="B744" s="909" t="s">
        <v>863</v>
      </c>
      <c r="C744" s="886">
        <f>cходова!R744</f>
        <v>0.79641920891251761</v>
      </c>
      <c r="D744" s="886">
        <f>прибуд.!O744</f>
        <v>0.27022422895557041</v>
      </c>
      <c r="E744" s="886">
        <f>гар.вода!M744+хол.вода!Q744+ц.о.!M744+каналізація!Q744+аварійні!I744+зварювальн!M744</f>
        <v>0.20462171719387276</v>
      </c>
      <c r="F744" s="886">
        <f>дератизац.!I744</f>
        <v>5.2153181344061997E-3</v>
      </c>
      <c r="G744" s="886">
        <f>димоканал!R744</f>
        <v>3.5273927068748892E-2</v>
      </c>
      <c r="H744" s="886">
        <f>'підготовка до зими'!M744+майстерні!M744+маляри!M744+покрівлі!O744</f>
        <v>0.17937369109598328</v>
      </c>
      <c r="I744" s="886">
        <f>електрики!R744</f>
        <v>2.0269921080398025E-2</v>
      </c>
      <c r="J744" s="989">
        <f t="shared" si="82"/>
        <v>1.5113980124414972</v>
      </c>
      <c r="K744" s="989">
        <v>3.792240383963618E-2</v>
      </c>
      <c r="L744" s="994">
        <f t="shared" si="86"/>
        <v>1.5493204162811334</v>
      </c>
      <c r="M744" s="994">
        <f t="shared" si="83"/>
        <v>1.8591844995373599</v>
      </c>
      <c r="N744" s="995">
        <v>3</v>
      </c>
      <c r="O744" s="1009">
        <v>1.5624030381930105</v>
      </c>
      <c r="P744" s="22">
        <f t="shared" si="84"/>
        <v>0.29678146134434935</v>
      </c>
      <c r="Q744" s="982">
        <f t="shared" si="85"/>
        <v>18.995192283265808</v>
      </c>
      <c r="R744" s="6"/>
      <c r="S744" s="6"/>
      <c r="T744" s="6"/>
      <c r="U744" s="6"/>
      <c r="V744" s="6"/>
      <c r="W744" s="6"/>
      <c r="X744" s="6"/>
      <c r="Y744" s="6"/>
      <c r="Z744" s="6"/>
    </row>
    <row r="745" spans="1:26" s="93" customFormat="1" ht="15.75">
      <c r="A745" s="894">
        <v>209</v>
      </c>
      <c r="B745" s="337" t="s">
        <v>1349</v>
      </c>
      <c r="C745" s="886">
        <f>cходова!R745</f>
        <v>0</v>
      </c>
      <c r="D745" s="886">
        <f>прибуд.!O745</f>
        <v>0</v>
      </c>
      <c r="E745" s="886">
        <f>гар.вода!M745+хол.вода!Q745+ц.о.!M745+каналізація!Q745+аварійні!I745+зварювальн!M745</f>
        <v>0.11431963084967643</v>
      </c>
      <c r="F745" s="886">
        <f>дератизац.!I745</f>
        <v>0</v>
      </c>
      <c r="G745" s="886">
        <f>димоканал!R745</f>
        <v>0</v>
      </c>
      <c r="H745" s="886">
        <v>0</v>
      </c>
      <c r="I745" s="886">
        <f>електрики!R745</f>
        <v>0</v>
      </c>
      <c r="J745" s="989">
        <f t="shared" si="82"/>
        <v>0.11431963084967643</v>
      </c>
      <c r="K745" s="989">
        <v>0.01</v>
      </c>
      <c r="L745" s="994">
        <f t="shared" si="86"/>
        <v>0.12431963084967643</v>
      </c>
      <c r="M745" s="994">
        <f t="shared" si="83"/>
        <v>0.1491835570196117</v>
      </c>
      <c r="N745" s="995">
        <v>1</v>
      </c>
      <c r="O745" s="1014">
        <v>0.14099999999999999</v>
      </c>
      <c r="P745" s="22">
        <f t="shared" si="84"/>
        <v>8.1835570196117091E-3</v>
      </c>
      <c r="Q745" s="982">
        <f t="shared" si="85"/>
        <v>5.8039411486607833</v>
      </c>
      <c r="R745" s="6"/>
      <c r="S745" s="6"/>
      <c r="T745" s="6"/>
      <c r="U745" s="6"/>
      <c r="V745" s="6"/>
      <c r="W745" s="6"/>
      <c r="X745" s="6"/>
      <c r="Y745" s="6"/>
      <c r="Z745" s="6"/>
    </row>
    <row r="746" spans="1:26" s="93" customFormat="1" ht="15.75">
      <c r="A746" s="941">
        <v>210</v>
      </c>
      <c r="B746" s="942" t="s">
        <v>894</v>
      </c>
      <c r="C746" s="886">
        <f>cходова!R746</f>
        <v>0</v>
      </c>
      <c r="D746" s="886">
        <f>прибуд.!O746</f>
        <v>0</v>
      </c>
      <c r="E746" s="886">
        <f>гар.вода!M746+хол.вода!Q746+ц.о.!M746+каналізація!Q746+аварійні!I746+зварювальн!M746</f>
        <v>0.19331228501980938</v>
      </c>
      <c r="F746" s="886">
        <f>дератизац.!I746</f>
        <v>4.6028406102051556E-4</v>
      </c>
      <c r="G746" s="886">
        <f>димоканал!R746</f>
        <v>3.9539672745960812E-2</v>
      </c>
      <c r="H746" s="886">
        <v>0</v>
      </c>
      <c r="I746" s="886">
        <f>електрики!R746</f>
        <v>1.7801701397581821E-2</v>
      </c>
      <c r="J746" s="989">
        <f t="shared" si="82"/>
        <v>0.25111394322437253</v>
      </c>
      <c r="K746" s="989">
        <v>0.01</v>
      </c>
      <c r="L746" s="994">
        <f t="shared" si="86"/>
        <v>0.26111394322437254</v>
      </c>
      <c r="M746" s="994">
        <f t="shared" si="83"/>
        <v>0.31333673186924704</v>
      </c>
      <c r="N746" s="529">
        <v>2</v>
      </c>
      <c r="O746" s="1014">
        <v>0.28999999999999998</v>
      </c>
      <c r="P746" s="22">
        <f t="shared" si="84"/>
        <v>2.3336731869247063E-2</v>
      </c>
      <c r="Q746" s="982">
        <f t="shared" si="85"/>
        <v>8.0471489204300184</v>
      </c>
      <c r="R746" s="6"/>
      <c r="S746" s="6"/>
      <c r="T746" s="6"/>
      <c r="U746" s="6"/>
      <c r="V746" s="6"/>
      <c r="W746" s="6"/>
      <c r="X746" s="6"/>
      <c r="Y746" s="6"/>
      <c r="Z746" s="6"/>
    </row>
    <row r="747" spans="1:26" s="93" customFormat="1" ht="16.5" thickBot="1">
      <c r="A747" s="902"/>
      <c r="B747" s="903" t="s">
        <v>1409</v>
      </c>
      <c r="C747" s="904">
        <f>SUM(C537:C746)/210</f>
        <v>0.1892090674649469</v>
      </c>
      <c r="D747" s="904">
        <f t="shared" ref="D747:J747" si="87">SUM(D537:D746)/210</f>
        <v>0.26984439318684988</v>
      </c>
      <c r="E747" s="904">
        <f t="shared" si="87"/>
        <v>0.21847161666318554</v>
      </c>
      <c r="F747" s="904">
        <f t="shared" si="87"/>
        <v>1.9872660619721996E-3</v>
      </c>
      <c r="G747" s="904">
        <f t="shared" si="87"/>
        <v>7.2614827022902631E-2</v>
      </c>
      <c r="H747" s="904">
        <f t="shared" si="87"/>
        <v>0.18821928668179153</v>
      </c>
      <c r="I747" s="904">
        <f t="shared" si="87"/>
        <v>2.1459807545321431E-2</v>
      </c>
      <c r="J747" s="998">
        <f t="shared" si="87"/>
        <v>0.96180626462696961</v>
      </c>
      <c r="K747" s="998">
        <f>SUM(K537:K746)/210</f>
        <v>2.4567661220066317E-2</v>
      </c>
      <c r="L747" s="998">
        <f>SUM(L537:L746)/210</f>
        <v>0.98637392584703676</v>
      </c>
      <c r="M747" s="998">
        <f>SUM(M537:M746)/210</f>
        <v>1.1836487110164433</v>
      </c>
      <c r="N747" s="528"/>
      <c r="O747" s="1015">
        <f>SUM(O537:O745)/209</f>
        <v>1.0137627027560476</v>
      </c>
      <c r="P747" s="22">
        <f>AVERAGE(P537:P746)</f>
        <v>0.17333249732113942</v>
      </c>
      <c r="Q747" s="982">
        <f t="shared" si="85"/>
        <v>16.757965922255579</v>
      </c>
      <c r="R747" s="6"/>
      <c r="S747" s="6"/>
      <c r="T747" s="6"/>
      <c r="U747" s="6"/>
      <c r="V747" s="6"/>
      <c r="W747" s="6"/>
      <c r="X747" s="6"/>
      <c r="Y747" s="6"/>
      <c r="Z747" s="6"/>
    </row>
    <row r="748" spans="1:26" s="269" customFormat="1" ht="21" thickBot="1">
      <c r="A748" s="1029" t="s">
        <v>593</v>
      </c>
      <c r="B748" s="1030"/>
      <c r="C748" s="1030"/>
      <c r="D748" s="1030"/>
      <c r="E748" s="1030"/>
      <c r="F748" s="1030"/>
      <c r="G748" s="1030"/>
      <c r="H748" s="1030"/>
      <c r="I748" s="1030"/>
      <c r="J748" s="1030"/>
      <c r="K748" s="1030"/>
      <c r="L748" s="1030"/>
      <c r="M748" s="1031"/>
      <c r="N748" s="990"/>
      <c r="O748" s="991"/>
      <c r="P748" s="22"/>
      <c r="Q748" s="982"/>
      <c r="R748" s="893"/>
      <c r="S748" s="893"/>
      <c r="T748" s="893"/>
      <c r="U748" s="893"/>
      <c r="V748" s="893"/>
      <c r="W748" s="893"/>
      <c r="X748" s="893"/>
      <c r="Y748" s="893"/>
      <c r="Z748" s="893"/>
    </row>
    <row r="749" spans="1:26" s="93" customFormat="1" ht="15.75">
      <c r="A749" s="894">
        <v>1</v>
      </c>
      <c r="B749" s="234" t="s">
        <v>336</v>
      </c>
      <c r="C749" s="886">
        <f>cходова!R749</f>
        <v>0.62724110652398812</v>
      </c>
      <c r="D749" s="886">
        <f>прибуд.!O749</f>
        <v>0.50199190029816199</v>
      </c>
      <c r="E749" s="886">
        <f>гар.вода!M749+хол.вода!Q749+ц.о.!M749+каналізація!Q749+аварійні!I749+зварювальн!M749</f>
        <v>0.26527581855791788</v>
      </c>
      <c r="F749" s="886">
        <f>дератизац.!I749</f>
        <v>2.8662621518193818E-3</v>
      </c>
      <c r="G749" s="886">
        <f>димоканал!R749</f>
        <v>1.7314748272794347E-2</v>
      </c>
      <c r="H749" s="886">
        <f>'підготовка до зими'!M749+майстерні!M749+маляри!M749+покрівлі!O749</f>
        <v>0.12333486461229699</v>
      </c>
      <c r="I749" s="886">
        <f>електрики!R749</f>
        <v>1.3814693988020864E-2</v>
      </c>
      <c r="J749" s="994">
        <f t="shared" ref="J749:J780" si="88">I749+H749+G749+F749+E749+D749+C749</f>
        <v>1.5518393944049995</v>
      </c>
      <c r="K749" s="994">
        <v>3.8402792941777564E-2</v>
      </c>
      <c r="L749" s="994">
        <f>J749+K749</f>
        <v>1.5902421873467771</v>
      </c>
      <c r="M749" s="994">
        <f t="shared" ref="M749:M780" si="89">L749*1.2</f>
        <v>1.9082906248161324</v>
      </c>
      <c r="N749" s="1016">
        <v>9</v>
      </c>
      <c r="O749" s="1003">
        <v>1.5821950692012356</v>
      </c>
      <c r="P749" s="22">
        <f t="shared" ref="P749:P780" si="90">M749-O749</f>
        <v>0.32609555561489678</v>
      </c>
      <c r="Q749" s="982">
        <f t="shared" ref="Q749:Q780" si="91">M749/O749*100-100</f>
        <v>20.610325614244559</v>
      </c>
      <c r="R749" s="6"/>
      <c r="S749" s="6"/>
      <c r="T749" s="6"/>
      <c r="U749" s="6"/>
      <c r="V749" s="6"/>
      <c r="W749" s="6"/>
      <c r="X749" s="6"/>
      <c r="Y749" s="6"/>
      <c r="Z749" s="6"/>
    </row>
    <row r="750" spans="1:26" s="93" customFormat="1" ht="15.75">
      <c r="A750" s="236">
        <v>2</v>
      </c>
      <c r="B750" s="233" t="s">
        <v>337</v>
      </c>
      <c r="C750" s="886">
        <f>cходова!R750</f>
        <v>0.52530536708298892</v>
      </c>
      <c r="D750" s="886">
        <f>прибуд.!O750</f>
        <v>0.63963145820371736</v>
      </c>
      <c r="E750" s="886">
        <f>гар.вода!M750+хол.вода!Q750+ц.о.!M750+каналізація!Q750+аварійні!I750+зварювальн!M750</f>
        <v>0.26317013051351201</v>
      </c>
      <c r="F750" s="886">
        <f>дератизац.!I750</f>
        <v>5.2051521398387996E-3</v>
      </c>
      <c r="G750" s="886">
        <f>димоканал!R750</f>
        <v>1.6855983896934625E-2</v>
      </c>
      <c r="H750" s="886">
        <f>'підготовка до зими'!M750+майстерні!M750+маляри!M750+покрівлі!O750</f>
        <v>0.12042240888598232</v>
      </c>
      <c r="I750" s="886">
        <f>електрики!R750</f>
        <v>1.3448665596198069E-2</v>
      </c>
      <c r="J750" s="989">
        <f t="shared" si="88"/>
        <v>1.584039166319172</v>
      </c>
      <c r="K750" s="989">
        <v>3.889206730426506E-2</v>
      </c>
      <c r="L750" s="994">
        <f t="shared" ref="L750:L813" si="92">J750+K750</f>
        <v>1.6229312336234369</v>
      </c>
      <c r="M750" s="994">
        <f t="shared" si="89"/>
        <v>1.9475174803481243</v>
      </c>
      <c r="N750" s="753">
        <v>5</v>
      </c>
      <c r="O750" s="1003">
        <v>1.6023531729357205</v>
      </c>
      <c r="P750" s="22">
        <f t="shared" si="90"/>
        <v>0.34516430741240378</v>
      </c>
      <c r="Q750" s="982">
        <f t="shared" si="91"/>
        <v>21.541088022437506</v>
      </c>
      <c r="R750" s="6"/>
      <c r="S750" s="6"/>
      <c r="T750" s="6"/>
      <c r="U750" s="6"/>
      <c r="V750" s="6"/>
      <c r="W750" s="6"/>
      <c r="X750" s="6"/>
      <c r="Y750" s="6"/>
      <c r="Z750" s="6"/>
    </row>
    <row r="751" spans="1:26" s="93" customFormat="1" ht="15.75">
      <c r="A751" s="236">
        <v>3</v>
      </c>
      <c r="B751" s="233" t="s">
        <v>338</v>
      </c>
      <c r="C751" s="886">
        <f>cходова!R751</f>
        <v>0.66490610571748521</v>
      </c>
      <c r="D751" s="886">
        <f>прибуд.!O751</f>
        <v>0.42962545131633417</v>
      </c>
      <c r="E751" s="886">
        <f>гар.вода!M751+хол.вода!Q751+ц.о.!M751+каналізація!Q751+аварійні!I751+зварювальн!M751</f>
        <v>0.26548373103101047</v>
      </c>
      <c r="F751" s="886">
        <f>дератизац.!I751</f>
        <v>1.6014587498607504E-3</v>
      </c>
      <c r="G751" s="886">
        <f>димоканал!R751</f>
        <v>1.7360045977839116E-2</v>
      </c>
      <c r="H751" s="886">
        <f>'підготовка до зими'!M751+майстерні!M751+маляри!M751+покрівлі!O751</f>
        <v>0.12445161891499887</v>
      </c>
      <c r="I751" s="886">
        <f>електрики!R751</f>
        <v>1.3850835081364759E-2</v>
      </c>
      <c r="J751" s="989">
        <f t="shared" si="88"/>
        <v>1.5172792467888934</v>
      </c>
      <c r="K751" s="989">
        <v>3.7751527317484192E-2</v>
      </c>
      <c r="L751" s="994">
        <f t="shared" si="92"/>
        <v>1.5550307741063776</v>
      </c>
      <c r="M751" s="994">
        <f t="shared" si="89"/>
        <v>1.866036928927653</v>
      </c>
      <c r="N751" s="753">
        <v>9</v>
      </c>
      <c r="O751" s="1003">
        <v>1.5553629254803487</v>
      </c>
      <c r="P751" s="22">
        <f t="shared" si="90"/>
        <v>0.31067400344730434</v>
      </c>
      <c r="Q751" s="982">
        <f t="shared" si="91"/>
        <v>19.974373720612988</v>
      </c>
      <c r="R751" s="6"/>
      <c r="S751" s="6"/>
      <c r="T751" s="6"/>
      <c r="U751" s="6"/>
      <c r="V751" s="6"/>
      <c r="W751" s="6"/>
      <c r="X751" s="6"/>
      <c r="Y751" s="6"/>
      <c r="Z751" s="6"/>
    </row>
    <row r="752" spans="1:26" s="93" customFormat="1" ht="15.75">
      <c r="A752" s="236">
        <v>4</v>
      </c>
      <c r="B752" s="233" t="s">
        <v>339</v>
      </c>
      <c r="C752" s="886">
        <f>cходова!R752</f>
        <v>0.54842391061754248</v>
      </c>
      <c r="D752" s="886">
        <f>прибуд.!O752</f>
        <v>0.60424262312799637</v>
      </c>
      <c r="E752" s="886">
        <f>гар.вода!M752+хол.вода!Q752+ц.о.!M752+каналізація!Q752+аварійні!I752+зварювальн!M752</f>
        <v>0.2685661632191732</v>
      </c>
      <c r="F752" s="886">
        <f>дератизац.!I752</f>
        <v>5.799684296683167E-3</v>
      </c>
      <c r="G752" s="886">
        <f>димоканал!R752</f>
        <v>1.8031612728996387E-2</v>
      </c>
      <c r="H752" s="886">
        <f>'підготовка до зими'!M752+майстерні!M752+маляри!M752+покрівлі!O752</f>
        <v>0.12460536963494331</v>
      </c>
      <c r="I752" s="886">
        <f>електрики!R752</f>
        <v>1.4386649348693395E-2</v>
      </c>
      <c r="J752" s="989">
        <f t="shared" si="88"/>
        <v>1.5840560129740284</v>
      </c>
      <c r="K752" s="989">
        <v>3.8813168074110657E-2</v>
      </c>
      <c r="L752" s="994">
        <f t="shared" si="92"/>
        <v>1.622869181048139</v>
      </c>
      <c r="M752" s="994">
        <f t="shared" si="89"/>
        <v>1.9474430172577668</v>
      </c>
      <c r="N752" s="753">
        <v>5</v>
      </c>
      <c r="O752" s="1003">
        <v>1.599102524653359</v>
      </c>
      <c r="P752" s="22">
        <f t="shared" si="90"/>
        <v>0.3483404926044078</v>
      </c>
      <c r="Q752" s="982">
        <f t="shared" si="91"/>
        <v>21.783499633953625</v>
      </c>
      <c r="R752" s="6"/>
      <c r="S752" s="6"/>
      <c r="T752" s="6"/>
      <c r="U752" s="6"/>
      <c r="V752" s="6"/>
      <c r="W752" s="6"/>
      <c r="X752" s="6"/>
      <c r="Y752" s="6"/>
      <c r="Z752" s="6"/>
    </row>
    <row r="753" spans="1:26" s="93" customFormat="1" ht="15.75">
      <c r="A753" s="236">
        <v>5</v>
      </c>
      <c r="B753" s="233" t="s">
        <v>340</v>
      </c>
      <c r="C753" s="886">
        <f>cходова!R753</f>
        <v>0.68769452342658677</v>
      </c>
      <c r="D753" s="886">
        <f>прибуд.!O753</f>
        <v>0.41333318189581564</v>
      </c>
      <c r="E753" s="886">
        <f>гар.вода!M753+хол.вода!Q753+ц.о.!M753+каналізація!Q753+аварійні!I753+зварювальн!M753</f>
        <v>0.26499665334329109</v>
      </c>
      <c r="F753" s="886">
        <f>дератизац.!I753</f>
        <v>2.7762432548978479E-3</v>
      </c>
      <c r="G753" s="886">
        <f>димоканал!R753</f>
        <v>1.7253926796512397E-2</v>
      </c>
      <c r="H753" s="886">
        <f>'підготовка до зими'!M753+майстерні!M753+маляри!M753+покрівлі!O753</f>
        <v>0.11885888713411352</v>
      </c>
      <c r="I753" s="886">
        <f>електрики!R753</f>
        <v>1.3766167144344192E-2</v>
      </c>
      <c r="J753" s="989">
        <f t="shared" si="88"/>
        <v>1.5186795829955615</v>
      </c>
      <c r="K753" s="989">
        <v>3.7952956776325798E-2</v>
      </c>
      <c r="L753" s="994">
        <f t="shared" si="92"/>
        <v>1.5566325397718872</v>
      </c>
      <c r="M753" s="994">
        <f t="shared" si="89"/>
        <v>1.8679590477262646</v>
      </c>
      <c r="N753" s="753">
        <v>9</v>
      </c>
      <c r="O753" s="1003">
        <v>1.563661819184623</v>
      </c>
      <c r="P753" s="22">
        <f t="shared" si="90"/>
        <v>0.30429722854164165</v>
      </c>
      <c r="Q753" s="982">
        <f t="shared" si="91"/>
        <v>19.460552455026274</v>
      </c>
      <c r="R753" s="6"/>
      <c r="S753" s="6"/>
      <c r="T753" s="6"/>
      <c r="U753" s="6"/>
      <c r="V753" s="6"/>
      <c r="W753" s="6"/>
      <c r="X753" s="6"/>
      <c r="Y753" s="6"/>
      <c r="Z753" s="6"/>
    </row>
    <row r="754" spans="1:26" s="93" customFormat="1" ht="15.75">
      <c r="A754" s="236">
        <v>6</v>
      </c>
      <c r="B754" s="233" t="s">
        <v>341</v>
      </c>
      <c r="C754" s="886">
        <f>cходова!R754</f>
        <v>0.52883270803068594</v>
      </c>
      <c r="D754" s="886">
        <f>прибуд.!O754</f>
        <v>0.62997200016977184</v>
      </c>
      <c r="E754" s="886">
        <f>гар.вода!M754+хол.вода!Q754+ц.о.!M754+каналізація!Q754+аварійні!I754+зварювальн!M754</f>
        <v>0.26770443400264515</v>
      </c>
      <c r="F754" s="886">
        <f>дератизац.!I754</f>
        <v>6.6687365849048968E-3</v>
      </c>
      <c r="G754" s="886">
        <f>димоканал!R754</f>
        <v>1.7843868553295325E-2</v>
      </c>
      <c r="H754" s="886">
        <f>'підготовка до зими'!M754+майстерні!M754+маляри!M754+покрівлі!O754</f>
        <v>0.11194738635946833</v>
      </c>
      <c r="I754" s="886">
        <f>електрики!R754</f>
        <v>1.4236856334409808E-2</v>
      </c>
      <c r="J754" s="989">
        <f t="shared" si="88"/>
        <v>1.5772059900351811</v>
      </c>
      <c r="K754" s="989">
        <v>3.8730816884662081E-2</v>
      </c>
      <c r="L754" s="994">
        <f t="shared" si="92"/>
        <v>1.6159368069198432</v>
      </c>
      <c r="M754" s="994">
        <f t="shared" si="89"/>
        <v>1.9391241683038118</v>
      </c>
      <c r="N754" s="753">
        <v>5</v>
      </c>
      <c r="O754" s="1003">
        <v>1.5957096556480779</v>
      </c>
      <c r="P754" s="22">
        <f t="shared" si="90"/>
        <v>0.34341451265573397</v>
      </c>
      <c r="Q754" s="982">
        <f t="shared" si="91"/>
        <v>21.52111516278697</v>
      </c>
      <c r="R754" s="6"/>
      <c r="S754" s="6"/>
      <c r="T754" s="6"/>
      <c r="U754" s="6"/>
      <c r="V754" s="6"/>
      <c r="W754" s="6"/>
      <c r="X754" s="6"/>
      <c r="Y754" s="6"/>
      <c r="Z754" s="6"/>
    </row>
    <row r="755" spans="1:26" s="93" customFormat="1" ht="15.75">
      <c r="A755" s="236">
        <v>7</v>
      </c>
      <c r="B755" s="233" t="s">
        <v>342</v>
      </c>
      <c r="C755" s="886">
        <f>cходова!R755</f>
        <v>0.61882888433991612</v>
      </c>
      <c r="D755" s="886">
        <f>прибуд.!O755</f>
        <v>0.48662816593867403</v>
      </c>
      <c r="E755" s="886">
        <f>гар.вода!M755+хол.вода!Q755+ц.о.!M755+каналізація!Q755+аварійні!I755+зварювальн!M755</f>
        <v>0.26581295370097668</v>
      </c>
      <c r="F755" s="886">
        <f>дератизац.!I755</f>
        <v>2.8864585835464561E-3</v>
      </c>
      <c r="G755" s="886">
        <f>димоканал!R755</f>
        <v>1.7431773427262199E-2</v>
      </c>
      <c r="H755" s="886">
        <f>'підготовка до зими'!M755+майстерні!M755+маляри!M755+покрівлі!O755</f>
        <v>0.11927152777488409</v>
      </c>
      <c r="I755" s="886">
        <f>електрики!R755</f>
        <v>1.3908063332605239E-2</v>
      </c>
      <c r="J755" s="989">
        <f t="shared" si="88"/>
        <v>1.5247678270978648</v>
      </c>
      <c r="K755" s="989">
        <v>3.7691111755846864E-2</v>
      </c>
      <c r="L755" s="994">
        <f t="shared" si="92"/>
        <v>1.5624589388537118</v>
      </c>
      <c r="M755" s="994">
        <f t="shared" si="89"/>
        <v>1.8749507266244541</v>
      </c>
      <c r="N755" s="753">
        <v>9</v>
      </c>
      <c r="O755" s="1003">
        <v>1.5528738043408907</v>
      </c>
      <c r="P755" s="22">
        <f t="shared" si="90"/>
        <v>0.32207692228356333</v>
      </c>
      <c r="Q755" s="982">
        <f t="shared" si="91"/>
        <v>20.740701619360962</v>
      </c>
      <c r="R755" s="6"/>
      <c r="S755" s="6"/>
      <c r="T755" s="6"/>
      <c r="U755" s="6"/>
      <c r="V755" s="6"/>
      <c r="W755" s="6"/>
      <c r="X755" s="6"/>
      <c r="Y755" s="6"/>
      <c r="Z755" s="6"/>
    </row>
    <row r="756" spans="1:26" s="93" customFormat="1" ht="15.75">
      <c r="A756" s="236">
        <v>8</v>
      </c>
      <c r="B756" s="233" t="s">
        <v>343</v>
      </c>
      <c r="C756" s="886">
        <f>cходова!R756</f>
        <v>0.73839456036381124</v>
      </c>
      <c r="D756" s="886">
        <f>прибуд.!O756</f>
        <v>0.39507472020756779</v>
      </c>
      <c r="E756" s="886">
        <f>гар.вода!M756+хол.вода!Q756+ц.о.!M756+каналізація!Q756+аварійні!I756+зварювальн!M756</f>
        <v>0.26858092994241939</v>
      </c>
      <c r="F756" s="886">
        <f>дератизац.!I756</f>
        <v>7.265395531686166E-4</v>
      </c>
      <c r="G756" s="886">
        <f>димоканал!R756</f>
        <v>1.8497261478787087E-2</v>
      </c>
      <c r="H756" s="886">
        <f>'підготовка до зими'!M756+майстерні!M756+маляри!M756+покрівлі!O756</f>
        <v>0.11745193462750877</v>
      </c>
      <c r="I756" s="886">
        <f>електрики!R756</f>
        <v>1.4389216224625783E-2</v>
      </c>
      <c r="J756" s="989">
        <f t="shared" si="88"/>
        <v>1.5531151623978885</v>
      </c>
      <c r="K756" s="989">
        <v>3.7963494449742612E-2</v>
      </c>
      <c r="L756" s="994">
        <f t="shared" si="92"/>
        <v>1.5910786568476312</v>
      </c>
      <c r="M756" s="994">
        <f t="shared" si="89"/>
        <v>1.9092943882171574</v>
      </c>
      <c r="N756" s="753">
        <v>14</v>
      </c>
      <c r="O756" s="1003">
        <v>1.5640959713293956</v>
      </c>
      <c r="P756" s="22">
        <f t="shared" si="90"/>
        <v>0.34519841688776176</v>
      </c>
      <c r="Q756" s="982">
        <f t="shared" si="91"/>
        <v>22.070155745901076</v>
      </c>
      <c r="R756" s="6"/>
      <c r="S756" s="6"/>
      <c r="T756" s="6"/>
      <c r="U756" s="6"/>
      <c r="V756" s="6"/>
      <c r="W756" s="6"/>
      <c r="X756" s="6"/>
      <c r="Y756" s="6"/>
      <c r="Z756" s="6"/>
    </row>
    <row r="757" spans="1:26" s="93" customFormat="1" ht="15.75">
      <c r="A757" s="236">
        <v>9</v>
      </c>
      <c r="B757" s="233" t="s">
        <v>344</v>
      </c>
      <c r="C757" s="886">
        <f>cходова!R757</f>
        <v>0.84771634040067501</v>
      </c>
      <c r="D757" s="886">
        <f>прибуд.!O757</f>
        <v>0.27312153544651585</v>
      </c>
      <c r="E757" s="886">
        <f>гар.вода!M757+хол.вода!Q757+ц.о.!M757+каналізація!Q757+аварійні!I757+зварювальн!M757</f>
        <v>0.28275648290455452</v>
      </c>
      <c r="F757" s="886">
        <f>дератизац.!I757</f>
        <v>2.9999246637262694E-3</v>
      </c>
      <c r="G757" s="886">
        <f>димоканал!R757</f>
        <v>2.1123245020402907E-2</v>
      </c>
      <c r="H757" s="886">
        <f>'підготовка до зими'!M757+майстерні!M757+маляри!M757+покрівлі!O757</f>
        <v>0.1074279714707716</v>
      </c>
      <c r="I757" s="886">
        <f>електрики!R757</f>
        <v>1.685332997011325E-2</v>
      </c>
      <c r="J757" s="989">
        <f t="shared" si="88"/>
        <v>1.5519988298767595</v>
      </c>
      <c r="K757" s="989">
        <v>3.8407036662581003E-2</v>
      </c>
      <c r="L757" s="994">
        <f t="shared" si="92"/>
        <v>1.5904058665393406</v>
      </c>
      <c r="M757" s="994">
        <f t="shared" si="89"/>
        <v>1.9084870398472087</v>
      </c>
      <c r="N757" s="753">
        <v>10</v>
      </c>
      <c r="O757" s="1003">
        <v>1.5823699104983373</v>
      </c>
      <c r="P757" s="22">
        <f t="shared" si="90"/>
        <v>0.32611712934887138</v>
      </c>
      <c r="Q757" s="982">
        <f t="shared" si="91"/>
        <v>20.609411692248813</v>
      </c>
      <c r="R757" s="6"/>
      <c r="S757" s="6"/>
      <c r="T757" s="6"/>
      <c r="U757" s="6"/>
      <c r="V757" s="6"/>
      <c r="W757" s="6"/>
      <c r="X757" s="6"/>
      <c r="Y757" s="6"/>
      <c r="Z757" s="6"/>
    </row>
    <row r="758" spans="1:26" s="93" customFormat="1" ht="15.75">
      <c r="A758" s="894">
        <v>10</v>
      </c>
      <c r="B758" s="233" t="s">
        <v>345</v>
      </c>
      <c r="C758" s="886">
        <f>cходова!R758</f>
        <v>0.61505859206929014</v>
      </c>
      <c r="D758" s="886">
        <f>прибуд.!O758</f>
        <v>0.50932384676267062</v>
      </c>
      <c r="E758" s="886">
        <f>гар.вода!M758+хол.вода!Q758+ц.о.!M758+каналізація!Q758+аварійні!I758+зварювальн!M758</f>
        <v>0.26520319859669839</v>
      </c>
      <c r="F758" s="886">
        <f>дератизац.!I758</f>
        <v>3.1924589681209827E-3</v>
      </c>
      <c r="G758" s="886">
        <f>димоканал!R758</f>
        <v>1.729892662662396E-2</v>
      </c>
      <c r="H758" s="886">
        <f>'підготовка до зими'!M758+майстерні!M758+маляри!M758+покрівлі!O758</f>
        <v>0.11896329596465204</v>
      </c>
      <c r="I758" s="886">
        <f>електрики!R758</f>
        <v>1.3802070576072446E-2</v>
      </c>
      <c r="J758" s="989">
        <f t="shared" si="88"/>
        <v>1.5428423895641286</v>
      </c>
      <c r="K758" s="989">
        <v>3.8450511445973175E-2</v>
      </c>
      <c r="L758" s="994">
        <f t="shared" si="92"/>
        <v>1.5812929010101018</v>
      </c>
      <c r="M758" s="994">
        <f t="shared" si="89"/>
        <v>1.8975514812121221</v>
      </c>
      <c r="N758" s="753">
        <v>10</v>
      </c>
      <c r="O758" s="1003">
        <v>1.5841610715740948</v>
      </c>
      <c r="P758" s="22">
        <f t="shared" si="90"/>
        <v>0.31339040963802733</v>
      </c>
      <c r="Q758" s="982">
        <f t="shared" si="91"/>
        <v>19.782736444004925</v>
      </c>
      <c r="R758" s="6"/>
      <c r="S758" s="6"/>
      <c r="T758" s="6"/>
      <c r="U758" s="6"/>
      <c r="V758" s="6"/>
      <c r="W758" s="6"/>
      <c r="X758" s="6"/>
      <c r="Y758" s="6"/>
      <c r="Z758" s="6"/>
    </row>
    <row r="759" spans="1:26" s="93" customFormat="1" ht="15.75">
      <c r="A759" s="236">
        <v>11</v>
      </c>
      <c r="B759" s="233" t="s">
        <v>346</v>
      </c>
      <c r="C759" s="886">
        <f>cходова!R759</f>
        <v>0.65063909810686171</v>
      </c>
      <c r="D759" s="886">
        <f>прибуд.!O759</f>
        <v>0.37320375547175472</v>
      </c>
      <c r="E759" s="886">
        <f>гар.вода!M759+хол.вода!Q759+ц.о.!M759+каналізація!Q759+аварійні!I759+зварювальн!M759</f>
        <v>0.26485403415492287</v>
      </c>
      <c r="F759" s="886">
        <f>дератизац.!I759</f>
        <v>2.5265304602956336E-3</v>
      </c>
      <c r="G759" s="886">
        <f>димоканал!R759</f>
        <v>1.722285448116579E-2</v>
      </c>
      <c r="H759" s="886">
        <f>'підготовка до зими'!M759+майстерні!M759+маляри!M759+покрівлі!O759</f>
        <v>0.12176257885251454</v>
      </c>
      <c r="I759" s="886">
        <f>електрики!R759</f>
        <v>1.3741375878467859E-2</v>
      </c>
      <c r="J759" s="989">
        <f t="shared" si="88"/>
        <v>1.443950227405983</v>
      </c>
      <c r="K759" s="989">
        <v>3.6232569515496339E-2</v>
      </c>
      <c r="L759" s="994">
        <f t="shared" si="92"/>
        <v>1.4801827969214794</v>
      </c>
      <c r="M759" s="994">
        <f t="shared" si="89"/>
        <v>1.7762193563057751</v>
      </c>
      <c r="N759" s="753">
        <v>10</v>
      </c>
      <c r="O759" s="1003">
        <v>1.4927818640384494</v>
      </c>
      <c r="P759" s="22">
        <f t="shared" si="90"/>
        <v>0.28343749226732573</v>
      </c>
      <c r="Q759" s="982">
        <f t="shared" si="91"/>
        <v>18.987200949811722</v>
      </c>
      <c r="R759" s="6"/>
      <c r="S759" s="6"/>
      <c r="T759" s="6"/>
      <c r="U759" s="6"/>
      <c r="V759" s="6"/>
      <c r="W759" s="6"/>
      <c r="X759" s="6"/>
      <c r="Y759" s="6"/>
      <c r="Z759" s="6"/>
    </row>
    <row r="760" spans="1:26" s="93" customFormat="1" ht="15.75">
      <c r="A760" s="236">
        <v>12</v>
      </c>
      <c r="B760" s="233" t="s">
        <v>347</v>
      </c>
      <c r="C760" s="886">
        <f>cходова!R760</f>
        <v>0.58126703395674784</v>
      </c>
      <c r="D760" s="886">
        <f>прибуд.!O760</f>
        <v>0.4747594921285922</v>
      </c>
      <c r="E760" s="886">
        <f>гар.вода!M760+хол.вода!Q760+ц.о.!M760+каналізація!Q760+аварійні!I760+зварювальн!M760</f>
        <v>0.26938424121018517</v>
      </c>
      <c r="F760" s="886">
        <f>дератизац.!I760</f>
        <v>2.6370499933578355E-3</v>
      </c>
      <c r="G760" s="886">
        <f>димоканал!R760</f>
        <v>1.6388861986019937E-2</v>
      </c>
      <c r="H760" s="886">
        <f>'підготовка до зими'!M760+майстерні!M760+маляри!M760+покрівлі!O760</f>
        <v>0.11685175944097292</v>
      </c>
      <c r="I760" s="886">
        <f>електрики!R760</f>
        <v>1.4528854540118234E-2</v>
      </c>
      <c r="J760" s="989">
        <f t="shared" si="88"/>
        <v>1.4758172932559941</v>
      </c>
      <c r="K760" s="989">
        <v>3.7096528373919177E-2</v>
      </c>
      <c r="L760" s="994">
        <f t="shared" si="92"/>
        <v>1.5129138216299132</v>
      </c>
      <c r="M760" s="994">
        <f t="shared" si="89"/>
        <v>1.8154965859558958</v>
      </c>
      <c r="N760" s="753">
        <v>10</v>
      </c>
      <c r="O760" s="1003">
        <v>1.52837696900547</v>
      </c>
      <c r="P760" s="22">
        <f t="shared" si="90"/>
        <v>0.28711961695042576</v>
      </c>
      <c r="Q760" s="982">
        <f t="shared" si="91"/>
        <v>18.785916221785087</v>
      </c>
      <c r="R760" s="6"/>
      <c r="S760" s="6"/>
      <c r="T760" s="6"/>
      <c r="U760" s="6"/>
      <c r="V760" s="6"/>
      <c r="W760" s="6"/>
      <c r="X760" s="6"/>
      <c r="Y760" s="6"/>
      <c r="Z760" s="6"/>
    </row>
    <row r="761" spans="1:26" s="93" customFormat="1" ht="15.75">
      <c r="A761" s="236">
        <v>13</v>
      </c>
      <c r="B761" s="233" t="s">
        <v>348</v>
      </c>
      <c r="C761" s="886">
        <f>cходова!R761</f>
        <v>0.40761635045823974</v>
      </c>
      <c r="D761" s="886">
        <f>прибуд.!O761</f>
        <v>0.58194861450064606</v>
      </c>
      <c r="E761" s="886">
        <f>гар.вода!M761+хол.вода!Q761+ц.о.!M761+каналізація!Q761+аварійні!I761+зварювальн!M761</f>
        <v>0.23425800529173924</v>
      </c>
      <c r="F761" s="886">
        <f>дератизац.!I761</f>
        <v>5.3635418067545194E-3</v>
      </c>
      <c r="G761" s="886">
        <f>димоканал!R761</f>
        <v>3.123998159593493E-2</v>
      </c>
      <c r="H761" s="886">
        <f>'підготовка до зими'!M761+майстерні!M761+маляри!M761+покрівлі!O761</f>
        <v>0.1414488707633807</v>
      </c>
      <c r="I761" s="886">
        <f>електрики!R761</f>
        <v>1.6616693050334308E-2</v>
      </c>
      <c r="J761" s="989">
        <f t="shared" si="88"/>
        <v>1.4184920574670294</v>
      </c>
      <c r="K761" s="989">
        <v>3.5682962685413121E-2</v>
      </c>
      <c r="L761" s="994">
        <f t="shared" si="92"/>
        <v>1.4541750201524426</v>
      </c>
      <c r="M761" s="994">
        <f t="shared" si="89"/>
        <v>1.7450100241829312</v>
      </c>
      <c r="N761" s="753">
        <v>5</v>
      </c>
      <c r="O761" s="1003">
        <v>1.4701380626390206</v>
      </c>
      <c r="P761" s="22">
        <f t="shared" si="90"/>
        <v>0.27487196154391058</v>
      </c>
      <c r="Q761" s="982">
        <f t="shared" si="91"/>
        <v>18.697016867279288</v>
      </c>
      <c r="R761" s="6"/>
      <c r="S761" s="6"/>
      <c r="T761" s="6"/>
      <c r="U761" s="6"/>
      <c r="V761" s="6"/>
      <c r="W761" s="6"/>
      <c r="X761" s="6"/>
      <c r="Y761" s="6"/>
      <c r="Z761" s="6"/>
    </row>
    <row r="762" spans="1:26" s="93" customFormat="1" ht="15.75">
      <c r="A762" s="236">
        <v>14</v>
      </c>
      <c r="B762" s="233" t="s">
        <v>349</v>
      </c>
      <c r="C762" s="886">
        <f>cходова!R762</f>
        <v>0.41205941392256568</v>
      </c>
      <c r="D762" s="886">
        <f>прибуд.!O762</f>
        <v>0.59745469578485444</v>
      </c>
      <c r="E762" s="886">
        <f>гар.вода!M762+хол.вода!Q762+ц.о.!M762+каналізація!Q762+аварійні!I762+зварювальн!M762</f>
        <v>0.23529997423707422</v>
      </c>
      <c r="F762" s="886">
        <f>дератизац.!I762</f>
        <v>5.4220050077870242E-3</v>
      </c>
      <c r="G762" s="886">
        <f>димоканал!R762</f>
        <v>3.1580500862885517E-2</v>
      </c>
      <c r="H762" s="886">
        <f>'підготовка до зими'!M762+майстерні!M762+маляри!M762+покрівлі!O762</f>
        <v>0.1421314643894217</v>
      </c>
      <c r="I762" s="886">
        <f>електрики!R762</f>
        <v>1.6797816848991703E-2</v>
      </c>
      <c r="J762" s="989">
        <f t="shared" si="88"/>
        <v>1.4407458710535803</v>
      </c>
      <c r="K762" s="989">
        <v>3.623534098839596E-2</v>
      </c>
      <c r="L762" s="994">
        <f t="shared" si="92"/>
        <v>1.4769812120419763</v>
      </c>
      <c r="M762" s="994">
        <f t="shared" si="89"/>
        <v>1.7723774544503714</v>
      </c>
      <c r="N762" s="753">
        <v>5</v>
      </c>
      <c r="O762" s="1003">
        <v>1.4928960487219134</v>
      </c>
      <c r="P762" s="22">
        <f t="shared" si="90"/>
        <v>0.27948140572845803</v>
      </c>
      <c r="Q762" s="982">
        <f t="shared" si="91"/>
        <v>18.72075460094662</v>
      </c>
      <c r="R762" s="6"/>
      <c r="S762" s="6"/>
      <c r="T762" s="6"/>
      <c r="U762" s="6"/>
      <c r="V762" s="6"/>
      <c r="W762" s="6"/>
      <c r="X762" s="6"/>
      <c r="Y762" s="6"/>
      <c r="Z762" s="6"/>
    </row>
    <row r="763" spans="1:26" s="93" customFormat="1" ht="15.75">
      <c r="A763" s="236">
        <v>15</v>
      </c>
      <c r="B763" s="233" t="s">
        <v>350</v>
      </c>
      <c r="C763" s="886">
        <f>cходова!R763</f>
        <v>0.51678497894412923</v>
      </c>
      <c r="D763" s="886">
        <f>прибуд.!O763</f>
        <v>0.60913204128762999</v>
      </c>
      <c r="E763" s="886">
        <f>гар.вода!M763+хол.вода!Q763+ц.о.!M763+каналізація!Q763+аварійні!I763+зварювальн!M763</f>
        <v>0.28463957414520114</v>
      </c>
      <c r="F763" s="886">
        <f>дератизац.!I763</f>
        <v>7.3308610509698795E-4</v>
      </c>
      <c r="G763" s="886">
        <f>димоканал!R763</f>
        <v>2.1760180981080911E-2</v>
      </c>
      <c r="H763" s="886">
        <f>'підготовка до зими'!M763+майстерні!M763+маляри!M763+покрівлі!O763</f>
        <v>0.1169432815704631</v>
      </c>
      <c r="I763" s="886">
        <f>електрики!R763</f>
        <v>1.8058167716565762E-2</v>
      </c>
      <c r="J763" s="989">
        <f t="shared" si="88"/>
        <v>1.568051310750167</v>
      </c>
      <c r="K763" s="989">
        <v>3.8608977987071545E-2</v>
      </c>
      <c r="L763" s="994">
        <f t="shared" si="92"/>
        <v>1.6066602887372385</v>
      </c>
      <c r="M763" s="994">
        <f t="shared" si="89"/>
        <v>1.9279923464846862</v>
      </c>
      <c r="N763" s="753">
        <v>12</v>
      </c>
      <c r="O763" s="1003">
        <v>1.5906898930673476</v>
      </c>
      <c r="P763" s="22">
        <f t="shared" si="90"/>
        <v>0.33730245341733855</v>
      </c>
      <c r="Q763" s="982">
        <f t="shared" si="91"/>
        <v>21.20479012832061</v>
      </c>
      <c r="R763" s="6"/>
      <c r="S763" s="6"/>
      <c r="T763" s="6"/>
      <c r="U763" s="6"/>
      <c r="V763" s="6"/>
      <c r="W763" s="6"/>
      <c r="X763" s="6"/>
      <c r="Y763" s="6"/>
      <c r="Z763" s="6"/>
    </row>
    <row r="764" spans="1:26" s="93" customFormat="1" ht="15.75">
      <c r="A764" s="236">
        <v>16</v>
      </c>
      <c r="B764" s="233" t="s">
        <v>351</v>
      </c>
      <c r="C764" s="886">
        <f>cходова!R764</f>
        <v>0.37292805107236604</v>
      </c>
      <c r="D764" s="886">
        <f>прибуд.!O764</f>
        <v>0.69354464266623639</v>
      </c>
      <c r="E764" s="886">
        <f>гар.вода!M764+хол.вода!Q764+ц.о.!M764+каналізація!Q764+аварійні!I764+зварювальн!M764</f>
        <v>0.2239635057182871</v>
      </c>
      <c r="F764" s="886">
        <f>дератизац.!I764</f>
        <v>4.5200487769887386E-3</v>
      </c>
      <c r="G764" s="886">
        <f>димоканал!R764</f>
        <v>2.8096937163311221E-2</v>
      </c>
      <c r="H764" s="886">
        <f>'підготовка до зими'!M764+майстерні!M764+маляри!M764+покрівлі!O764</f>
        <v>0.15123847752756964</v>
      </c>
      <c r="I764" s="886">
        <f>електрики!R764</f>
        <v>1.7170002567538194E-2</v>
      </c>
      <c r="J764" s="989">
        <f t="shared" si="88"/>
        <v>1.4914616654922972</v>
      </c>
      <c r="K764" s="989">
        <v>3.7475341551783094E-2</v>
      </c>
      <c r="L764" s="994">
        <f t="shared" si="92"/>
        <v>1.5289370070440802</v>
      </c>
      <c r="M764" s="994">
        <f t="shared" si="89"/>
        <v>1.8347244084528962</v>
      </c>
      <c r="N764" s="753">
        <v>5</v>
      </c>
      <c r="O764" s="1003">
        <v>1.5439840719334634</v>
      </c>
      <c r="P764" s="22">
        <f t="shared" si="90"/>
        <v>0.29074033651943276</v>
      </c>
      <c r="Q764" s="982">
        <f t="shared" si="91"/>
        <v>18.830526933827201</v>
      </c>
      <c r="R764" s="6"/>
      <c r="S764" s="6"/>
      <c r="T764" s="6"/>
      <c r="U764" s="6"/>
      <c r="V764" s="6"/>
      <c r="W764" s="6"/>
      <c r="X764" s="6"/>
      <c r="Y764" s="6"/>
      <c r="Z764" s="6"/>
    </row>
    <row r="765" spans="1:26" s="93" customFormat="1" ht="15.75">
      <c r="A765" s="236">
        <v>17</v>
      </c>
      <c r="B765" s="233" t="s">
        <v>352</v>
      </c>
      <c r="C765" s="886">
        <f>cходова!R765</f>
        <v>0.47704393346359431</v>
      </c>
      <c r="D765" s="886">
        <f>прибуд.!O765</f>
        <v>0.52276740185354742</v>
      </c>
      <c r="E765" s="886">
        <f>гар.вода!M765+хол.вода!Q765+ц.о.!M765+каналізація!Q765+аварійні!I765+зварювальн!M765</f>
        <v>0.26306884806652725</v>
      </c>
      <c r="F765" s="886">
        <f>дератизац.!I765</f>
        <v>2.6854195520320933E-3</v>
      </c>
      <c r="G765" s="886">
        <f>димоканал!R765</f>
        <v>1.6833917580558869E-2</v>
      </c>
      <c r="H765" s="886">
        <f>'підготовка до зими'!M765+майстерні!M765+маляри!M765+покрівлі!O765</f>
        <v>0.11456190397462758</v>
      </c>
      <c r="I765" s="886">
        <f>електрики!R765</f>
        <v>1.3557782776367849E-2</v>
      </c>
      <c r="J765" s="989">
        <f t="shared" si="88"/>
        <v>1.4105192072672552</v>
      </c>
      <c r="K765" s="989">
        <v>3.5479369078122096E-2</v>
      </c>
      <c r="L765" s="994">
        <f t="shared" si="92"/>
        <v>1.4459985763453773</v>
      </c>
      <c r="M765" s="994">
        <f t="shared" si="89"/>
        <v>1.7351982916144528</v>
      </c>
      <c r="N765" s="753">
        <v>10</v>
      </c>
      <c r="O765" s="1003">
        <v>1.4617500060186306</v>
      </c>
      <c r="P765" s="22">
        <f t="shared" si="90"/>
        <v>0.27344828559582224</v>
      </c>
      <c r="Q765" s="982">
        <f t="shared" si="91"/>
        <v>18.706911884379849</v>
      </c>
      <c r="R765" s="6"/>
      <c r="S765" s="6"/>
      <c r="T765" s="6"/>
      <c r="U765" s="6"/>
      <c r="V765" s="6"/>
      <c r="W765" s="6"/>
      <c r="X765" s="6"/>
      <c r="Y765" s="6"/>
      <c r="Z765" s="6"/>
    </row>
    <row r="766" spans="1:26" s="93" customFormat="1" ht="15.75">
      <c r="A766" s="236">
        <v>18</v>
      </c>
      <c r="B766" s="233" t="s">
        <v>353</v>
      </c>
      <c r="C766" s="886">
        <f>cходова!R766</f>
        <v>0.4212394391307227</v>
      </c>
      <c r="D766" s="886">
        <f>прибуд.!O766</f>
        <v>0.61434522464073704</v>
      </c>
      <c r="E766" s="886">
        <f>гар.вода!M766+хол.вода!Q766+ц.о.!M766+каналізація!Q766+аварійні!I766+зварювальн!M766</f>
        <v>0.26233634466597627</v>
      </c>
      <c r="F766" s="886">
        <f>дератизац.!I766</f>
        <v>3.1076718281412576E-3</v>
      </c>
      <c r="G766" s="886">
        <f>димоканал!R766</f>
        <v>1.6831632696581816E-2</v>
      </c>
      <c r="H766" s="886">
        <f>'підготовка до зими'!M766+майстерні!M766+маляри!M766+покрівлі!O766</f>
        <v>0.11990717119258687</v>
      </c>
      <c r="I766" s="886">
        <f>електрики!R766</f>
        <v>1.3661595335155695E-2</v>
      </c>
      <c r="J766" s="989">
        <f t="shared" si="88"/>
        <v>1.4514290794899019</v>
      </c>
      <c r="K766" s="989">
        <v>3.6497491341655315E-2</v>
      </c>
      <c r="L766" s="994">
        <f t="shared" si="92"/>
        <v>1.4879265708315572</v>
      </c>
      <c r="M766" s="994">
        <f t="shared" si="89"/>
        <v>1.7855118849978686</v>
      </c>
      <c r="N766" s="753">
        <v>9</v>
      </c>
      <c r="O766" s="1003">
        <v>1.5036966432761991</v>
      </c>
      <c r="P766" s="22">
        <f t="shared" si="90"/>
        <v>0.2818152417216695</v>
      </c>
      <c r="Q766" s="982">
        <f t="shared" si="91"/>
        <v>18.741495698737538</v>
      </c>
      <c r="R766" s="6"/>
      <c r="S766" s="6"/>
      <c r="T766" s="6"/>
      <c r="U766" s="6"/>
      <c r="V766" s="6"/>
      <c r="W766" s="6"/>
      <c r="X766" s="6"/>
      <c r="Y766" s="6"/>
      <c r="Z766" s="6"/>
    </row>
    <row r="767" spans="1:26" s="93" customFormat="1" ht="15.75">
      <c r="A767" s="894">
        <v>19</v>
      </c>
      <c r="B767" s="233" t="s">
        <v>354</v>
      </c>
      <c r="C767" s="886">
        <f>cходова!R767</f>
        <v>0.34786829754026244</v>
      </c>
      <c r="D767" s="886">
        <f>прибуд.!O767</f>
        <v>0.60000047111368049</v>
      </c>
      <c r="E767" s="886">
        <f>гар.вода!M767+хол.вода!Q767+ц.о.!M767+каналізація!Q767+аварійні!I767+зварювальн!M767</f>
        <v>0.2779407854356053</v>
      </c>
      <c r="F767" s="886">
        <f>дератизац.!I767</f>
        <v>4.1611486910985299E-3</v>
      </c>
      <c r="G767" s="886">
        <f>димоканал!R767</f>
        <v>2.0074053308676648E-2</v>
      </c>
      <c r="H767" s="886">
        <f>'підготовка до зими'!M767+майстерні!M767+маляри!M767+покрівлі!O767</f>
        <v>0.12070209666696838</v>
      </c>
      <c r="I767" s="886">
        <f>електрики!R767</f>
        <v>1.6016224965529385E-2</v>
      </c>
      <c r="J767" s="989">
        <f t="shared" si="88"/>
        <v>1.3867630777218212</v>
      </c>
      <c r="K767" s="989">
        <v>3.4906973926141963E-2</v>
      </c>
      <c r="L767" s="994">
        <f t="shared" si="92"/>
        <v>1.4216700516479632</v>
      </c>
      <c r="M767" s="994">
        <f t="shared" si="89"/>
        <v>1.7060040619775558</v>
      </c>
      <c r="N767" s="753">
        <v>9</v>
      </c>
      <c r="O767" s="1003">
        <v>1.4381673257570491</v>
      </c>
      <c r="P767" s="22">
        <f t="shared" si="90"/>
        <v>0.26783673622050674</v>
      </c>
      <c r="Q767" s="982">
        <f t="shared" si="91"/>
        <v>18.623475267700002</v>
      </c>
      <c r="R767" s="6"/>
      <c r="S767" s="6"/>
      <c r="T767" s="6"/>
      <c r="U767" s="6"/>
      <c r="V767" s="6"/>
      <c r="W767" s="6"/>
      <c r="X767" s="6"/>
      <c r="Y767" s="6"/>
      <c r="Z767" s="6"/>
    </row>
    <row r="768" spans="1:26" s="93" customFormat="1" ht="15.75">
      <c r="A768" s="236">
        <v>20</v>
      </c>
      <c r="B768" s="233" t="s">
        <v>355</v>
      </c>
      <c r="C768" s="886">
        <f>cходова!R768</f>
        <v>0.56890446148857299</v>
      </c>
      <c r="D768" s="886">
        <f>прибуд.!O768</f>
        <v>0.54941503322806939</v>
      </c>
      <c r="E768" s="886">
        <f>гар.вода!M768+хол.вода!Q768+ц.о.!M768+каналізація!Q768+аварійні!I768+зварювальн!M768</f>
        <v>0.26581125795667487</v>
      </c>
      <c r="F768" s="886">
        <f>дератизац.!I768</f>
        <v>3.0108537208552045E-3</v>
      </c>
      <c r="G768" s="886">
        <f>димоканал!R768</f>
        <v>1.7431403976963841E-2</v>
      </c>
      <c r="H768" s="886">
        <f>'підготовка до зими'!M768+майстерні!M768+маляри!M768+покрівлі!O768</f>
        <v>0.12412646086890833</v>
      </c>
      <c r="I768" s="886">
        <f>електрики!R768</f>
        <v>1.3907768564079867E-2</v>
      </c>
      <c r="J768" s="989">
        <f t="shared" si="88"/>
        <v>1.5426072398041244</v>
      </c>
      <c r="K768" s="989">
        <v>3.8756509140468971E-2</v>
      </c>
      <c r="L768" s="994">
        <f t="shared" si="92"/>
        <v>1.5813637489445933</v>
      </c>
      <c r="M768" s="994">
        <f t="shared" si="89"/>
        <v>1.8976364987335119</v>
      </c>
      <c r="N768" s="753">
        <v>9</v>
      </c>
      <c r="O768" s="1003">
        <v>1.5967681765873216</v>
      </c>
      <c r="P768" s="22">
        <f t="shared" si="90"/>
        <v>0.3008683221461903</v>
      </c>
      <c r="Q768" s="982">
        <f t="shared" si="91"/>
        <v>18.842329560275829</v>
      </c>
      <c r="R768" s="6"/>
      <c r="S768" s="6"/>
      <c r="T768" s="6"/>
      <c r="U768" s="6"/>
      <c r="V768" s="6"/>
      <c r="W768" s="6"/>
      <c r="X768" s="6"/>
      <c r="Y768" s="6"/>
      <c r="Z768" s="6"/>
    </row>
    <row r="769" spans="1:26" s="93" customFormat="1" ht="15.75">
      <c r="A769" s="236">
        <v>21</v>
      </c>
      <c r="B769" s="233" t="s">
        <v>365</v>
      </c>
      <c r="C769" s="886">
        <f>cходова!R769</f>
        <v>0.32816382393806831</v>
      </c>
      <c r="D769" s="886">
        <f>прибуд.!O769</f>
        <v>0.77023867720797201</v>
      </c>
      <c r="E769" s="886">
        <f>гар.вода!M769+хол.вода!Q769+ц.о.!M769+каналізація!Q769+аварійні!I769+зварювальн!M769</f>
        <v>0.2482248765564195</v>
      </c>
      <c r="F769" s="886">
        <f>дератизац.!I769</f>
        <v>8.0385773287895649E-3</v>
      </c>
      <c r="G769" s="886">
        <f>димоканал!R769</f>
        <v>3.5804406270907606E-2</v>
      </c>
      <c r="H769" s="886">
        <f>'підготовка до зими'!M769+майстерні!M769+маляри!M769+покрівлі!O769</f>
        <v>0.14351863660854022</v>
      </c>
      <c r="I769" s="886">
        <f>електрики!R769</f>
        <v>1.9044531989434777E-2</v>
      </c>
      <c r="J769" s="989">
        <f t="shared" si="88"/>
        <v>1.5530335299001319</v>
      </c>
      <c r="K769" s="989">
        <v>3.8785590432222336E-2</v>
      </c>
      <c r="L769" s="994">
        <f t="shared" si="92"/>
        <v>1.5918191203323542</v>
      </c>
      <c r="M769" s="994">
        <f t="shared" si="89"/>
        <v>1.910182944398825</v>
      </c>
      <c r="N769" s="753">
        <v>5</v>
      </c>
      <c r="O769" s="1003">
        <v>1.5979663258075603</v>
      </c>
      <c r="P769" s="22">
        <f t="shared" si="90"/>
        <v>0.31221661859126471</v>
      </c>
      <c r="Q769" s="982">
        <f t="shared" si="91"/>
        <v>19.538372839833201</v>
      </c>
      <c r="R769" s="6"/>
      <c r="S769" s="6"/>
      <c r="T769" s="6"/>
      <c r="U769" s="6"/>
      <c r="V769" s="6"/>
      <c r="W769" s="6"/>
      <c r="X769" s="6"/>
      <c r="Y769" s="6"/>
      <c r="Z769" s="6"/>
    </row>
    <row r="770" spans="1:26" s="93" customFormat="1" ht="15.75">
      <c r="A770" s="236">
        <v>22</v>
      </c>
      <c r="B770" s="233" t="s">
        <v>366</v>
      </c>
      <c r="C770" s="886">
        <f>cходова!R770</f>
        <v>0.40253905022434555</v>
      </c>
      <c r="D770" s="886">
        <f>прибуд.!O770</f>
        <v>0.71102525891616453</v>
      </c>
      <c r="E770" s="886">
        <f>гар.вода!M770+хол.вода!Q770+ц.о.!M770+каналізація!Q770+аварійні!I770+зварювальн!M770</f>
        <v>0.23559733754547058</v>
      </c>
      <c r="F770" s="886">
        <f>дератизац.!I770</f>
        <v>5.2250270376560807E-3</v>
      </c>
      <c r="G770" s="886">
        <f>димоканал!R770</f>
        <v>3.1677680280992444E-2</v>
      </c>
      <c r="H770" s="886">
        <f>'підготовка до зими'!M770+майстерні!M770+маляри!M770+покрівлі!O770</f>
        <v>0.14843590377290439</v>
      </c>
      <c r="I770" s="886">
        <f>електрики!R770</f>
        <v>1.6986995360473173E-2</v>
      </c>
      <c r="J770" s="989">
        <f t="shared" si="88"/>
        <v>1.5514872531380068</v>
      </c>
      <c r="K770" s="989">
        <v>3.8453394126089599E-2</v>
      </c>
      <c r="L770" s="994">
        <f t="shared" si="92"/>
        <v>1.5899406472640965</v>
      </c>
      <c r="M770" s="994">
        <f t="shared" si="89"/>
        <v>1.9079287767169157</v>
      </c>
      <c r="N770" s="753">
        <v>5</v>
      </c>
      <c r="O770" s="1003">
        <v>1.5842798379948915</v>
      </c>
      <c r="P770" s="22">
        <f t="shared" si="90"/>
        <v>0.32364893872202427</v>
      </c>
      <c r="Q770" s="982">
        <f t="shared" si="91"/>
        <v>20.428773437629772</v>
      </c>
      <c r="R770" s="6"/>
      <c r="S770" s="6"/>
      <c r="T770" s="6"/>
      <c r="U770" s="6"/>
      <c r="V770" s="6"/>
      <c r="W770" s="6"/>
      <c r="X770" s="6"/>
      <c r="Y770" s="6"/>
      <c r="Z770" s="6"/>
    </row>
    <row r="771" spans="1:26" s="93" customFormat="1" ht="15.75">
      <c r="A771" s="236">
        <v>23</v>
      </c>
      <c r="B771" s="233" t="s">
        <v>367</v>
      </c>
      <c r="C771" s="886">
        <f>cходова!R771</f>
        <v>0.38967329815008617</v>
      </c>
      <c r="D771" s="886">
        <f>прибуд.!O771</f>
        <v>0.72762231491178275</v>
      </c>
      <c r="E771" s="886">
        <f>гар.вода!M771+хол.вода!Q771+ц.о.!M771+каналізація!Q771+аварійні!I771+зварювальн!M771</f>
        <v>0.23522934957651395</v>
      </c>
      <c r="F771" s="886">
        <f>дератизац.!I771</f>
        <v>5.3704945659650578E-3</v>
      </c>
      <c r="G771" s="886">
        <f>димоканал!R771</f>
        <v>3.1557420465192013E-2</v>
      </c>
      <c r="H771" s="886">
        <f>'підготовка до зими'!M771+майстерні!M771+маляри!M771+покрівлі!O771</f>
        <v>0.14208519818988136</v>
      </c>
      <c r="I771" s="886">
        <f>електрики!R771</f>
        <v>1.6785540276972131E-2</v>
      </c>
      <c r="J771" s="989">
        <f t="shared" si="88"/>
        <v>1.5483236161363934</v>
      </c>
      <c r="K771" s="989">
        <v>3.844531066250842E-2</v>
      </c>
      <c r="L771" s="994">
        <f t="shared" si="92"/>
        <v>1.5867689267989018</v>
      </c>
      <c r="M771" s="994">
        <f t="shared" si="89"/>
        <v>1.9041227121586821</v>
      </c>
      <c r="N771" s="753">
        <v>5</v>
      </c>
      <c r="O771" s="1003">
        <v>1.5839467992953469</v>
      </c>
      <c r="P771" s="22">
        <f t="shared" si="90"/>
        <v>0.32017591286333524</v>
      </c>
      <c r="Q771" s="982">
        <f t="shared" si="91"/>
        <v>20.213804719058274</v>
      </c>
      <c r="R771" s="6"/>
      <c r="S771" s="6"/>
      <c r="T771" s="6"/>
      <c r="U771" s="6"/>
      <c r="V771" s="6"/>
      <c r="W771" s="6"/>
      <c r="X771" s="6"/>
      <c r="Y771" s="6"/>
      <c r="Z771" s="6"/>
    </row>
    <row r="772" spans="1:26" s="93" customFormat="1" ht="15.75">
      <c r="A772" s="236">
        <v>24</v>
      </c>
      <c r="B772" s="233" t="s">
        <v>368</v>
      </c>
      <c r="C772" s="886">
        <f>cходова!R772</f>
        <v>0.34934608525847327</v>
      </c>
      <c r="D772" s="886">
        <f>прибуд.!O772</f>
        <v>0.75917262341360425</v>
      </c>
      <c r="E772" s="886">
        <f>гар.вода!M772+хол.вода!Q772+ц.о.!M772+каналізація!Q772+аварійні!I772+зварювальн!M772</f>
        <v>0.23734871732354085</v>
      </c>
      <c r="F772" s="886">
        <f>дератизац.!I772</f>
        <v>5.660587911730644E-3</v>
      </c>
      <c r="G772" s="886">
        <f>димоканал!R772</f>
        <v>3.2250037605892228E-2</v>
      </c>
      <c r="H772" s="886">
        <f>'підготовка до зими'!M772+майстерні!M772+маляри!M772+покрівлі!O772</f>
        <v>0.14347359553304062</v>
      </c>
      <c r="I772" s="886">
        <f>електрики!R772</f>
        <v>1.7153946589667051E-2</v>
      </c>
      <c r="J772" s="989">
        <f t="shared" si="88"/>
        <v>1.5444055936359491</v>
      </c>
      <c r="K772" s="989">
        <v>3.8543420050466855E-2</v>
      </c>
      <c r="L772" s="994">
        <f t="shared" si="92"/>
        <v>1.5829490136864159</v>
      </c>
      <c r="M772" s="994">
        <f t="shared" si="89"/>
        <v>1.899538816423699</v>
      </c>
      <c r="N772" s="753">
        <v>5</v>
      </c>
      <c r="O772" s="1003">
        <v>1.5879889060792343</v>
      </c>
      <c r="P772" s="22">
        <f t="shared" si="90"/>
        <v>0.31154991034446478</v>
      </c>
      <c r="Q772" s="982">
        <f t="shared" si="91"/>
        <v>19.619149047689859</v>
      </c>
      <c r="R772" s="6"/>
      <c r="S772" s="6"/>
      <c r="T772" s="6"/>
      <c r="U772" s="6"/>
      <c r="V772" s="6"/>
      <c r="W772" s="6"/>
      <c r="X772" s="6"/>
      <c r="Y772" s="6"/>
      <c r="Z772" s="6"/>
    </row>
    <row r="773" spans="1:26" s="93" customFormat="1" ht="15.75">
      <c r="A773" s="236">
        <v>25</v>
      </c>
      <c r="B773" s="233" t="s">
        <v>369</v>
      </c>
      <c r="C773" s="886">
        <f>cходова!R773</f>
        <v>0.32163791894827581</v>
      </c>
      <c r="D773" s="886">
        <f>прибуд.!O773</f>
        <v>0.7733700525624817</v>
      </c>
      <c r="E773" s="886">
        <f>гар.вода!M773+хол.вода!Q773+ц.о.!M773+каналізація!Q773+аварійні!I773+зварювальн!M773</f>
        <v>0.24604616566191084</v>
      </c>
      <c r="F773" s="886">
        <f>дератизац.!I773</f>
        <v>8.2327017309646987E-3</v>
      </c>
      <c r="G773" s="886">
        <f>димоканал!R773</f>
        <v>3.5092395572300039E-2</v>
      </c>
      <c r="H773" s="886">
        <f>'підготовка до зими'!M773+майстерні!M773+маляри!M773+покрівлі!O773</f>
        <v>0.14223215588489385</v>
      </c>
      <c r="I773" s="886">
        <f>електрики!R773</f>
        <v>1.8665810152132045E-2</v>
      </c>
      <c r="J773" s="989">
        <f t="shared" si="88"/>
        <v>1.5452772005129589</v>
      </c>
      <c r="K773" s="989">
        <v>3.8592599285800486E-2</v>
      </c>
      <c r="L773" s="994">
        <f t="shared" si="92"/>
        <v>1.5838697997987594</v>
      </c>
      <c r="M773" s="994">
        <f t="shared" si="89"/>
        <v>1.9006437597585113</v>
      </c>
      <c r="N773" s="753">
        <v>5</v>
      </c>
      <c r="O773" s="1003">
        <v>1.5900150905749799</v>
      </c>
      <c r="P773" s="22">
        <f t="shared" si="90"/>
        <v>0.31062866918353138</v>
      </c>
      <c r="Q773" s="982">
        <f t="shared" si="91"/>
        <v>19.536208871527251</v>
      </c>
      <c r="R773" s="6"/>
      <c r="S773" s="6"/>
      <c r="T773" s="6"/>
      <c r="U773" s="6"/>
      <c r="V773" s="6"/>
      <c r="W773" s="6"/>
      <c r="X773" s="6"/>
      <c r="Y773" s="6"/>
      <c r="Z773" s="6"/>
    </row>
    <row r="774" spans="1:26" s="93" customFormat="1" ht="15.75">
      <c r="A774" s="236">
        <v>26</v>
      </c>
      <c r="B774" s="233" t="s">
        <v>370</v>
      </c>
      <c r="C774" s="886">
        <f>cходова!R774</f>
        <v>0.34668293692363444</v>
      </c>
      <c r="D774" s="886">
        <f>прибуд.!O774</f>
        <v>0.75986017264849814</v>
      </c>
      <c r="E774" s="886">
        <f>гар.вода!M774+хол.вода!Q774+ц.о.!M774+каналізація!Q774+аварійні!I774+зварювальн!M774</f>
        <v>0.24983074485293083</v>
      </c>
      <c r="F774" s="886">
        <f>дератизац.!I774</f>
        <v>8.0167312375328727E-3</v>
      </c>
      <c r="G774" s="886">
        <f>димоканал!R774</f>
        <v>3.5539444477938303E-2</v>
      </c>
      <c r="H774" s="886">
        <f>'підготовка до зими'!M774+майстерні!M774+маляри!M774+покрівлі!O774</f>
        <v>0.14303989627524971</v>
      </c>
      <c r="I774" s="886">
        <f>електрики!R774</f>
        <v>1.9323677512254653E-2</v>
      </c>
      <c r="J774" s="989">
        <f t="shared" si="88"/>
        <v>1.5622936039280388</v>
      </c>
      <c r="K774" s="989">
        <v>3.8916624741814079E-2</v>
      </c>
      <c r="L774" s="994">
        <f t="shared" si="92"/>
        <v>1.6012102286698529</v>
      </c>
      <c r="M774" s="994">
        <f t="shared" si="89"/>
        <v>1.9214522744038234</v>
      </c>
      <c r="N774" s="753">
        <v>5</v>
      </c>
      <c r="O774" s="1003">
        <v>1.6033649393627398</v>
      </c>
      <c r="P774" s="22">
        <f t="shared" si="90"/>
        <v>0.31808733504108355</v>
      </c>
      <c r="Q774" s="982">
        <f t="shared" si="91"/>
        <v>19.838735850586062</v>
      </c>
      <c r="R774" s="6"/>
      <c r="S774" s="6"/>
      <c r="T774" s="6"/>
      <c r="U774" s="6"/>
      <c r="V774" s="6"/>
      <c r="W774" s="6"/>
      <c r="X774" s="6"/>
      <c r="Y774" s="6"/>
      <c r="Z774" s="6"/>
    </row>
    <row r="775" spans="1:26" s="93" customFormat="1" ht="15.75">
      <c r="A775" s="236">
        <v>27</v>
      </c>
      <c r="B775" s="233" t="s">
        <v>371</v>
      </c>
      <c r="C775" s="886">
        <f>cходова!R775</f>
        <v>0.3998801068147616</v>
      </c>
      <c r="D775" s="886">
        <f>прибуд.!O775</f>
        <v>0.64747631504320602</v>
      </c>
      <c r="E775" s="886">
        <f>гар.вода!M775+хол.вода!Q775+ц.о.!M775+каналізація!Q775+аварійні!I775+зварювальн!M775</f>
        <v>0.25475032031878064</v>
      </c>
      <c r="F775" s="886">
        <f>дератизац.!I775</f>
        <v>3.0489147546853747E-3</v>
      </c>
      <c r="G775" s="886">
        <f>димоканал!R775</f>
        <v>1.5233138731961313E-2</v>
      </c>
      <c r="H775" s="886">
        <f>'підготовка до зими'!M775+майстерні!M775+маляри!M775+покрівлі!O775</f>
        <v>0.1650474389158329</v>
      </c>
      <c r="I775" s="886">
        <f>електрики!R775</f>
        <v>1.396553597793603E-2</v>
      </c>
      <c r="J775" s="989">
        <f t="shared" si="88"/>
        <v>1.4994017705571641</v>
      </c>
      <c r="K775" s="989">
        <v>3.7677454785587046E-2</v>
      </c>
      <c r="L775" s="994">
        <f t="shared" si="92"/>
        <v>1.5370792253427512</v>
      </c>
      <c r="M775" s="994">
        <f t="shared" si="89"/>
        <v>1.8444950704113015</v>
      </c>
      <c r="N775" s="753">
        <v>9</v>
      </c>
      <c r="O775" s="1003">
        <v>1.5523111371661866</v>
      </c>
      <c r="P775" s="22">
        <f t="shared" si="90"/>
        <v>0.29218393324511482</v>
      </c>
      <c r="Q775" s="982">
        <f t="shared" si="91"/>
        <v>18.822510916111156</v>
      </c>
      <c r="R775" s="6"/>
      <c r="S775" s="6"/>
      <c r="T775" s="6"/>
      <c r="U775" s="6"/>
      <c r="V775" s="6"/>
      <c r="W775" s="6"/>
      <c r="X775" s="6"/>
      <c r="Y775" s="6"/>
      <c r="Z775" s="6"/>
    </row>
    <row r="776" spans="1:26" s="93" customFormat="1" ht="15.75">
      <c r="A776" s="894">
        <v>28</v>
      </c>
      <c r="B776" s="233" t="s">
        <v>372</v>
      </c>
      <c r="C776" s="886">
        <f>cходова!R776</f>
        <v>0.39070317259957887</v>
      </c>
      <c r="D776" s="886">
        <f>прибуд.!O776</f>
        <v>0.65471337018060261</v>
      </c>
      <c r="E776" s="886">
        <f>гар.вода!M776+хол.вода!Q776+ц.о.!M776+каналізація!Q776+аварійні!I776+зварювальн!M776</f>
        <v>0.25534509972476915</v>
      </c>
      <c r="F776" s="886">
        <f>дератизац.!I776</f>
        <v>2.9676465956854059E-3</v>
      </c>
      <c r="G776" s="886">
        <f>димоканал!R776</f>
        <v>1.494360139985256E-2</v>
      </c>
      <c r="H776" s="886">
        <f>'підготовка до зими'!M776+майстерні!M776+маляри!M776+покрівлі!O776</f>
        <v>0.16331330589240706</v>
      </c>
      <c r="I776" s="886">
        <f>електрики!R776</f>
        <v>1.402940516656208E-2</v>
      </c>
      <c r="J776" s="989">
        <f t="shared" si="88"/>
        <v>1.4960156015594577</v>
      </c>
      <c r="K776" s="989">
        <v>3.7592569046939181E-2</v>
      </c>
      <c r="L776" s="994">
        <f t="shared" si="92"/>
        <v>1.5336081706063969</v>
      </c>
      <c r="M776" s="994">
        <f t="shared" si="89"/>
        <v>1.8403298047276762</v>
      </c>
      <c r="N776" s="753">
        <v>9</v>
      </c>
      <c r="O776" s="1003">
        <v>1.5488138447338942</v>
      </c>
      <c r="P776" s="22">
        <f t="shared" si="90"/>
        <v>0.29151595999378199</v>
      </c>
      <c r="Q776" s="982">
        <f t="shared" si="91"/>
        <v>18.821884953118314</v>
      </c>
      <c r="R776" s="6"/>
      <c r="S776" s="6"/>
      <c r="T776" s="6"/>
      <c r="U776" s="6"/>
      <c r="V776" s="6"/>
      <c r="W776" s="6"/>
      <c r="X776" s="6"/>
      <c r="Y776" s="6"/>
      <c r="Z776" s="6"/>
    </row>
    <row r="777" spans="1:26" s="93" customFormat="1" ht="15.75">
      <c r="A777" s="236">
        <v>29</v>
      </c>
      <c r="B777" s="233" t="s">
        <v>373</v>
      </c>
      <c r="C777" s="886">
        <f>cходова!R777</f>
        <v>0.36374140774377961</v>
      </c>
      <c r="D777" s="886">
        <f>прибуд.!O777</f>
        <v>0.70299870433772038</v>
      </c>
      <c r="E777" s="886">
        <f>гар.вода!M777+хол.вода!Q777+ц.о.!M777+каналізація!Q777+аварійні!I777+зварювальн!M777</f>
        <v>0.27903719843045299</v>
      </c>
      <c r="F777" s="886">
        <f>дератизац.!I777</f>
        <v>4.2106649689359187E-3</v>
      </c>
      <c r="G777" s="886">
        <f>димоканал!R777</f>
        <v>2.0312927829810996E-2</v>
      </c>
      <c r="H777" s="886">
        <f>'підготовка до зими'!M777+майстерні!M777+маляри!M777+покрівлі!O777</f>
        <v>0.12120040535678096</v>
      </c>
      <c r="I777" s="886">
        <f>електрики!R777</f>
        <v>1.620681268641419E-2</v>
      </c>
      <c r="J777" s="989">
        <f t="shared" si="88"/>
        <v>1.507708121353895</v>
      </c>
      <c r="K777" s="989">
        <v>3.7901039034834903E-2</v>
      </c>
      <c r="L777" s="994">
        <f t="shared" si="92"/>
        <v>1.5456091603887299</v>
      </c>
      <c r="M777" s="994">
        <f t="shared" si="89"/>
        <v>1.8547309924664757</v>
      </c>
      <c r="N777" s="753">
        <v>9</v>
      </c>
      <c r="O777" s="1003">
        <v>1.5615228082351982</v>
      </c>
      <c r="P777" s="22">
        <f t="shared" si="90"/>
        <v>0.29320818423127748</v>
      </c>
      <c r="Q777" s="982">
        <f t="shared" si="91"/>
        <v>18.777067019767429</v>
      </c>
      <c r="R777" s="6"/>
      <c r="S777" s="6"/>
      <c r="T777" s="6"/>
      <c r="U777" s="6"/>
      <c r="V777" s="6"/>
      <c r="W777" s="6"/>
      <c r="X777" s="6"/>
      <c r="Y777" s="6"/>
      <c r="Z777" s="6"/>
    </row>
    <row r="778" spans="1:26" s="93" customFormat="1" ht="15.75">
      <c r="A778" s="236">
        <v>30</v>
      </c>
      <c r="B778" s="233" t="s">
        <v>374</v>
      </c>
      <c r="C778" s="886">
        <f>cходова!R778</f>
        <v>0.46903438665045455</v>
      </c>
      <c r="D778" s="886">
        <f>прибуд.!O778</f>
        <v>0.44803525485563578</v>
      </c>
      <c r="E778" s="886">
        <f>гар.вода!M778+хол.вода!Q778+ц.о.!M778+каналізація!Q778+аварійні!I778+зварювальн!M778</f>
        <v>0.26589987196957682</v>
      </c>
      <c r="F778" s="886">
        <f>дератизац.!I778</f>
        <v>3.1412579459716367E-3</v>
      </c>
      <c r="G778" s="886">
        <f>димоканал!R778</f>
        <v>1.7450710232906824E-2</v>
      </c>
      <c r="H778" s="886">
        <f>'підготовка до зими'!M778+майстерні!M778+маляри!M778+покрівлі!O778</f>
        <v>0.16267216406228602</v>
      </c>
      <c r="I778" s="886">
        <f>електрики!R778</f>
        <v>1.3923172196503778E-2</v>
      </c>
      <c r="J778" s="989">
        <f t="shared" si="88"/>
        <v>1.3801568179133354</v>
      </c>
      <c r="K778" s="989">
        <v>3.4762223535998601E-2</v>
      </c>
      <c r="L778" s="994">
        <f t="shared" si="92"/>
        <v>1.414919041449334</v>
      </c>
      <c r="M778" s="994">
        <f t="shared" si="89"/>
        <v>1.6979028497392008</v>
      </c>
      <c r="N778" s="753">
        <v>10</v>
      </c>
      <c r="O778" s="1003">
        <v>1.4322036096831423</v>
      </c>
      <c r="P778" s="22">
        <f t="shared" si="90"/>
        <v>0.26569924005605849</v>
      </c>
      <c r="Q778" s="982">
        <f t="shared" si="91"/>
        <v>18.55177841053208</v>
      </c>
      <c r="R778" s="6"/>
      <c r="S778" s="6"/>
      <c r="T778" s="6"/>
      <c r="U778" s="6"/>
      <c r="V778" s="6"/>
      <c r="W778" s="6"/>
      <c r="X778" s="6"/>
      <c r="Y778" s="6"/>
      <c r="Z778" s="6"/>
    </row>
    <row r="779" spans="1:26" s="93" customFormat="1" ht="15.75">
      <c r="A779" s="236">
        <v>31</v>
      </c>
      <c r="B779" s="233" t="s">
        <v>375</v>
      </c>
      <c r="C779" s="886">
        <f>cходова!R779</f>
        <v>0.55994580140875228</v>
      </c>
      <c r="D779" s="886">
        <f>прибуд.!O779</f>
        <v>0.48650980024122437</v>
      </c>
      <c r="E779" s="886">
        <f>гар.вода!M779+хол.вода!Q779+ц.о.!M779+каналізація!Q779+аварійні!I779+зварювальн!M779</f>
        <v>0.26631841701535119</v>
      </c>
      <c r="F779" s="886">
        <f>дератизац.!I779</f>
        <v>3.1397566000793422E-3</v>
      </c>
      <c r="G779" s="886">
        <f>димоканал!R779</f>
        <v>1.7541898268667377E-2</v>
      </c>
      <c r="H779" s="886">
        <f>'підготовка до зими'!M779+майстерні!M779+маляри!M779+покрівлі!O779</f>
        <v>0.11545695998572136</v>
      </c>
      <c r="I779" s="886">
        <f>електрики!R779</f>
        <v>1.3995927213761528E-2</v>
      </c>
      <c r="J779" s="989">
        <f t="shared" si="88"/>
        <v>1.4629085607335575</v>
      </c>
      <c r="K779" s="989">
        <v>3.6780461618757594E-2</v>
      </c>
      <c r="L779" s="994">
        <f t="shared" si="92"/>
        <v>1.4996890223523152</v>
      </c>
      <c r="M779" s="994">
        <f t="shared" si="89"/>
        <v>1.7996268268227782</v>
      </c>
      <c r="N779" s="753">
        <v>10</v>
      </c>
      <c r="O779" s="1003">
        <v>1.5153550186928131</v>
      </c>
      <c r="P779" s="22">
        <f t="shared" si="90"/>
        <v>0.28427180812996511</v>
      </c>
      <c r="Q779" s="982">
        <f t="shared" si="91"/>
        <v>18.75941971507018</v>
      </c>
      <c r="R779" s="6"/>
      <c r="S779" s="6"/>
      <c r="T779" s="6"/>
      <c r="U779" s="6"/>
      <c r="V779" s="6"/>
      <c r="W779" s="6"/>
      <c r="X779" s="6"/>
      <c r="Y779" s="6"/>
      <c r="Z779" s="6"/>
    </row>
    <row r="780" spans="1:26" s="93" customFormat="1" ht="15.75">
      <c r="A780" s="236">
        <v>32</v>
      </c>
      <c r="B780" s="233" t="s">
        <v>376</v>
      </c>
      <c r="C780" s="886">
        <f>cходова!R780</f>
        <v>0.63478050702735556</v>
      </c>
      <c r="D780" s="886">
        <f>прибуд.!O780</f>
        <v>0.41641318143584105</v>
      </c>
      <c r="E780" s="886">
        <f>гар.вода!M780+хол.вода!Q780+ц.о.!M780+каналізація!Q780+аварійні!I780+зварювальн!M780</f>
        <v>0.26679067355262193</v>
      </c>
      <c r="F780" s="886">
        <f>дератизац.!I780</f>
        <v>3.9090456616694283E-3</v>
      </c>
      <c r="G780" s="886">
        <f>димоканал!R780</f>
        <v>1.7644788379167022E-2</v>
      </c>
      <c r="H780" s="886">
        <f>'підготовка до зими'!M780+майстерні!M780+маляри!M780+покрівлі!O780</f>
        <v>0.11567181351908254</v>
      </c>
      <c r="I780" s="886">
        <f>електрики!R780</f>
        <v>1.4078018813855975E-2</v>
      </c>
      <c r="J780" s="989">
        <f t="shared" si="88"/>
        <v>1.4692880283895935</v>
      </c>
      <c r="K780" s="989">
        <v>3.6941491818946286E-2</v>
      </c>
      <c r="L780" s="994">
        <f t="shared" si="92"/>
        <v>1.5062295202085398</v>
      </c>
      <c r="M780" s="994">
        <f t="shared" si="89"/>
        <v>1.8074754242502478</v>
      </c>
      <c r="N780" s="753">
        <v>10</v>
      </c>
      <c r="O780" s="1003">
        <v>1.5219894629405872</v>
      </c>
      <c r="P780" s="22">
        <f t="shared" si="90"/>
        <v>0.28548596130966053</v>
      </c>
      <c r="Q780" s="982">
        <f t="shared" si="91"/>
        <v>18.75742035415162</v>
      </c>
      <c r="R780" s="6"/>
      <c r="S780" s="6"/>
      <c r="T780" s="6"/>
      <c r="U780" s="6"/>
      <c r="V780" s="6"/>
      <c r="W780" s="6"/>
      <c r="X780" s="6"/>
      <c r="Y780" s="6"/>
      <c r="Z780" s="6"/>
    </row>
    <row r="781" spans="1:26" s="93" customFormat="1" ht="15.75">
      <c r="A781" s="236">
        <v>33</v>
      </c>
      <c r="B781" s="233" t="s">
        <v>377</v>
      </c>
      <c r="C781" s="886">
        <f>cходова!R781</f>
        <v>0.62770020807027804</v>
      </c>
      <c r="D781" s="886">
        <f>прибуд.!O781</f>
        <v>0.48912472160743864</v>
      </c>
      <c r="E781" s="886">
        <f>гар.вода!M781+хол.вода!Q781+ц.о.!M781+каналізація!Q781+аварійні!I781+зварювальн!M781</f>
        <v>0.26766315162832938</v>
      </c>
      <c r="F781" s="886">
        <f>дератизац.!I781</f>
        <v>3.9511575258697716E-3</v>
      </c>
      <c r="G781" s="886">
        <f>димоканал!R781</f>
        <v>1.7834874399228998E-2</v>
      </c>
      <c r="H781" s="886">
        <f>'підготовка до зими'!M781+майстерні!M781+маляри!M781+покрівлі!O781</f>
        <v>0.11606874819875734</v>
      </c>
      <c r="I781" s="886">
        <f>електрики!R781</f>
        <v>1.4229680285174217E-2</v>
      </c>
      <c r="J781" s="989">
        <f t="shared" ref="J781:J811" si="93">I781+H781+G781+F781+E781+D781+C781</f>
        <v>1.5365725417150764</v>
      </c>
      <c r="K781" s="989">
        <v>3.8534560065669098E-2</v>
      </c>
      <c r="L781" s="994">
        <f t="shared" si="92"/>
        <v>1.5751071017807454</v>
      </c>
      <c r="M781" s="994">
        <f t="shared" ref="M781:M811" si="94">L781*1.2</f>
        <v>1.8901285221368944</v>
      </c>
      <c r="N781" s="753">
        <v>10</v>
      </c>
      <c r="O781" s="1003">
        <v>1.5876238747055671</v>
      </c>
      <c r="P781" s="22">
        <f t="shared" ref="P781:P812" si="95">M781-O781</f>
        <v>0.30250464743132732</v>
      </c>
      <c r="Q781" s="982">
        <f t="shared" ref="Q781:Q812" si="96">M781/O781*100-100</f>
        <v>19.053924059149608</v>
      </c>
      <c r="R781" s="6"/>
      <c r="S781" s="6"/>
      <c r="T781" s="6"/>
      <c r="U781" s="6"/>
      <c r="V781" s="6"/>
      <c r="W781" s="6"/>
      <c r="X781" s="6"/>
      <c r="Y781" s="6"/>
      <c r="Z781" s="6"/>
    </row>
    <row r="782" spans="1:26" s="93" customFormat="1" ht="15.75">
      <c r="A782" s="236">
        <v>34</v>
      </c>
      <c r="B782" s="233" t="s">
        <v>378</v>
      </c>
      <c r="C782" s="886">
        <f>cходова!R782</f>
        <v>0.68676642022693424</v>
      </c>
      <c r="D782" s="886">
        <f>прибуд.!O782</f>
        <v>0.40783291450014886</v>
      </c>
      <c r="E782" s="886">
        <f>гар.вода!M782+хол.вода!Q782+ц.о.!M782+каналізація!Q782+аварійні!I782+зварювальн!M782</f>
        <v>0.27096200654922192</v>
      </c>
      <c r="F782" s="886">
        <f>дератизац.!I782</f>
        <v>4.1103832236990528E-3</v>
      </c>
      <c r="G782" s="886">
        <f>димоканал!R782</f>
        <v>1.8553592978106638E-2</v>
      </c>
      <c r="H782" s="886">
        <f>'підготовка до зими'!M782+майстерні!M782+маляри!M782+покрівлі!O782</f>
        <v>0.11756956519092798</v>
      </c>
      <c r="I782" s="886">
        <f>електрики!R782</f>
        <v>1.480311497069607E-2</v>
      </c>
      <c r="J782" s="989">
        <f t="shared" si="93"/>
        <v>1.5205979976397348</v>
      </c>
      <c r="K782" s="989">
        <v>3.8216443207633802E-2</v>
      </c>
      <c r="L782" s="994">
        <f t="shared" si="92"/>
        <v>1.5588144408473685</v>
      </c>
      <c r="M782" s="994">
        <f t="shared" si="94"/>
        <v>1.8705773290168421</v>
      </c>
      <c r="N782" s="753">
        <v>10</v>
      </c>
      <c r="O782" s="1003">
        <v>1.5745174601545124</v>
      </c>
      <c r="P782" s="22">
        <f t="shared" si="95"/>
        <v>0.29605986886232971</v>
      </c>
      <c r="Q782" s="982">
        <f t="shared" si="96"/>
        <v>18.80321281627937</v>
      </c>
      <c r="R782" s="6"/>
      <c r="S782" s="6"/>
      <c r="T782" s="6"/>
      <c r="U782" s="6"/>
      <c r="V782" s="6"/>
      <c r="W782" s="6"/>
      <c r="X782" s="6"/>
      <c r="Y782" s="6"/>
      <c r="Z782" s="6"/>
    </row>
    <row r="783" spans="1:26" s="93" customFormat="1" ht="15.75">
      <c r="A783" s="236">
        <v>35</v>
      </c>
      <c r="B783" s="233" t="s">
        <v>379</v>
      </c>
      <c r="C783" s="886">
        <f>cходова!R783</f>
        <v>0.36143267717382266</v>
      </c>
      <c r="D783" s="886">
        <f>прибуд.!O783</f>
        <v>0.72377294574892193</v>
      </c>
      <c r="E783" s="886">
        <f>гар.вода!M783+хол.вода!Q783+ц.о.!M783+каналізація!Q783+аварійні!I783+зварювальн!M783</f>
        <v>0.23701144132780105</v>
      </c>
      <c r="F783" s="886">
        <f>дератизац.!I783</f>
        <v>5.6818938906038332E-3</v>
      </c>
      <c r="G783" s="886">
        <f>димоканал!R783</f>
        <v>3.2930137884635342E-2</v>
      </c>
      <c r="H783" s="886">
        <f>'підготовка до зими'!M783+майстерні!M783+маляри!M783+покрівлі!O783</f>
        <v>0.15993293755756133</v>
      </c>
      <c r="I783" s="886">
        <f>електрики!R783</f>
        <v>1.7452795796598895E-2</v>
      </c>
      <c r="J783" s="989">
        <f t="shared" si="93"/>
        <v>1.5382148293799451</v>
      </c>
      <c r="K783" s="989">
        <v>3.8030319647348598E-2</v>
      </c>
      <c r="L783" s="994">
        <f t="shared" si="92"/>
        <v>1.5762451490272937</v>
      </c>
      <c r="M783" s="994">
        <f t="shared" si="94"/>
        <v>1.8914941788327524</v>
      </c>
      <c r="N783" s="753">
        <v>5</v>
      </c>
      <c r="O783" s="1003">
        <v>1.5668491694707622</v>
      </c>
      <c r="P783" s="22">
        <f t="shared" si="95"/>
        <v>0.32464500936199014</v>
      </c>
      <c r="Q783" s="982">
        <f t="shared" si="96"/>
        <v>20.719608223148001</v>
      </c>
      <c r="R783" s="6"/>
      <c r="S783" s="6"/>
      <c r="T783" s="6"/>
      <c r="U783" s="6"/>
      <c r="V783" s="6"/>
      <c r="W783" s="6"/>
      <c r="X783" s="6"/>
      <c r="Y783" s="6"/>
      <c r="Z783" s="6"/>
    </row>
    <row r="784" spans="1:26" s="93" customFormat="1" ht="15.75">
      <c r="A784" s="236">
        <v>36</v>
      </c>
      <c r="B784" s="233" t="s">
        <v>380</v>
      </c>
      <c r="C784" s="886">
        <f>cходова!R784</f>
        <v>0.55270710118362976</v>
      </c>
      <c r="D784" s="886">
        <f>прибуд.!O784</f>
        <v>0.52453751622145539</v>
      </c>
      <c r="E784" s="886">
        <f>гар.вода!M784+хол.вода!Q784+ц.о.!M784+каналізація!Q784+аварійні!I784+зварювальн!M784</f>
        <v>0.26451808344162198</v>
      </c>
      <c r="F784" s="886">
        <f>дератизац.!I784</f>
        <v>5.7981362889823621E-3</v>
      </c>
      <c r="G784" s="886">
        <f>димоканал!R784</f>
        <v>1.7225608762587576E-2</v>
      </c>
      <c r="H784" s="886">
        <f>'підготовка до зими'!M784+майстерні!M784+маляри!M784+покрівлі!O784</f>
        <v>0.17080985775890206</v>
      </c>
      <c r="I784" s="886">
        <f>електрики!R784</f>
        <v>1.5279974797221891E-2</v>
      </c>
      <c r="J784" s="989">
        <f t="shared" si="93"/>
        <v>1.550876278454401</v>
      </c>
      <c r="K784" s="989">
        <v>3.8819873595657341E-2</v>
      </c>
      <c r="L784" s="994">
        <f t="shared" si="92"/>
        <v>1.5896961520500583</v>
      </c>
      <c r="M784" s="994">
        <f t="shared" si="94"/>
        <v>1.9076353824600698</v>
      </c>
      <c r="N784" s="753">
        <v>5</v>
      </c>
      <c r="O784" s="1003">
        <v>1.5993787921410825</v>
      </c>
      <c r="P784" s="22">
        <f t="shared" si="95"/>
        <v>0.30825659031898733</v>
      </c>
      <c r="Q784" s="982">
        <f t="shared" si="96"/>
        <v>19.273519933719115</v>
      </c>
      <c r="R784" s="6"/>
      <c r="S784" s="6"/>
      <c r="T784" s="6"/>
      <c r="U784" s="6"/>
      <c r="V784" s="6"/>
      <c r="W784" s="6"/>
      <c r="X784" s="6"/>
      <c r="Y784" s="6"/>
      <c r="Z784" s="6"/>
    </row>
    <row r="785" spans="1:26" s="93" customFormat="1" ht="15.75">
      <c r="A785" s="894">
        <v>37</v>
      </c>
      <c r="B785" s="233" t="s">
        <v>381</v>
      </c>
      <c r="C785" s="886">
        <f>cходова!R785</f>
        <v>0.5609406234632528</v>
      </c>
      <c r="D785" s="886">
        <f>прибуд.!O785</f>
        <v>0.42135100353948107</v>
      </c>
      <c r="E785" s="886">
        <f>гар.вода!M785+хол.вода!Q785+ц.о.!M785+каналізація!Q785+аварійні!I785+зварювальн!M785</f>
        <v>0.2830494063553271</v>
      </c>
      <c r="F785" s="886">
        <f>дератизац.!I785</f>
        <v>6.7846493685478205E-4</v>
      </c>
      <c r="G785" s="886">
        <f>димоканал!R785</f>
        <v>2.1187063991320927E-2</v>
      </c>
      <c r="H785" s="886">
        <f>'підготовка до зими'!M785+майстерні!M785+маляри!M785+покрівлі!O785</f>
        <v>0.11562523956200185</v>
      </c>
      <c r="I785" s="886">
        <f>електрики!R785</f>
        <v>1.7659008949808964E-2</v>
      </c>
      <c r="J785" s="989">
        <f t="shared" si="93"/>
        <v>1.4204908107980474</v>
      </c>
      <c r="K785" s="989">
        <v>3.5722623902318423E-2</v>
      </c>
      <c r="L785" s="994">
        <f t="shared" si="92"/>
        <v>1.4562134347003659</v>
      </c>
      <c r="M785" s="994">
        <f t="shared" si="94"/>
        <v>1.747456121640439</v>
      </c>
      <c r="N785" s="753">
        <v>12</v>
      </c>
      <c r="O785" s="1003">
        <v>1.4717721047755192</v>
      </c>
      <c r="P785" s="22">
        <f t="shared" si="95"/>
        <v>0.27568401686491972</v>
      </c>
      <c r="Q785" s="982">
        <f t="shared" si="96"/>
        <v>18.731433757332169</v>
      </c>
      <c r="R785" s="6"/>
      <c r="S785" s="6"/>
      <c r="T785" s="6"/>
      <c r="U785" s="6"/>
      <c r="V785" s="6"/>
      <c r="W785" s="6"/>
      <c r="X785" s="6"/>
      <c r="Y785" s="6"/>
      <c r="Z785" s="6"/>
    </row>
    <row r="786" spans="1:26" s="93" customFormat="1" ht="15.75">
      <c r="A786" s="236">
        <v>38</v>
      </c>
      <c r="B786" s="233" t="s">
        <v>382</v>
      </c>
      <c r="C786" s="886">
        <f>cходова!R786</f>
        <v>0.58277203485846496</v>
      </c>
      <c r="D786" s="886">
        <f>прибуд.!O786</f>
        <v>0.39090701501678243</v>
      </c>
      <c r="E786" s="886">
        <f>гар.вода!M786+хол.вода!Q786+ц.о.!M786+каналізація!Q786+аварійні!I786+зварювальн!M786</f>
        <v>0.2693285769850382</v>
      </c>
      <c r="F786" s="886">
        <f>дератизац.!I786</f>
        <v>3.2935363892017239E-3</v>
      </c>
      <c r="G786" s="886">
        <f>димоканал!R786</f>
        <v>1.8197719136055654E-2</v>
      </c>
      <c r="H786" s="886">
        <f>'підготовка до зими'!M786+майстерні!M786+маляри!M786+покрівлі!O786</f>
        <v>0.11682643495203363</v>
      </c>
      <c r="I786" s="886">
        <f>електрики!R786</f>
        <v>1.4519178516707863E-2</v>
      </c>
      <c r="J786" s="989">
        <f t="shared" si="93"/>
        <v>1.3958444958542846</v>
      </c>
      <c r="K786" s="989">
        <v>3.512500315849789E-2</v>
      </c>
      <c r="L786" s="994">
        <f t="shared" si="92"/>
        <v>1.4309694990127826</v>
      </c>
      <c r="M786" s="994">
        <f t="shared" si="94"/>
        <v>1.717163398815339</v>
      </c>
      <c r="N786" s="753">
        <v>10</v>
      </c>
      <c r="O786" s="1003">
        <v>1.4471501301301133</v>
      </c>
      <c r="P786" s="22">
        <f t="shared" si="95"/>
        <v>0.27001326868522568</v>
      </c>
      <c r="Q786" s="982">
        <f t="shared" si="96"/>
        <v>18.658276226043597</v>
      </c>
      <c r="R786" s="6"/>
      <c r="S786" s="6"/>
      <c r="T786" s="6"/>
      <c r="U786" s="6"/>
      <c r="V786" s="6"/>
      <c r="W786" s="6"/>
      <c r="X786" s="6"/>
      <c r="Y786" s="6"/>
      <c r="Z786" s="6"/>
    </row>
    <row r="787" spans="1:26" s="93" customFormat="1" ht="15.75">
      <c r="A787" s="236">
        <v>39</v>
      </c>
      <c r="B787" s="233" t="s">
        <v>383</v>
      </c>
      <c r="C787" s="886">
        <f>cходова!R787</f>
        <v>0.5514293554834433</v>
      </c>
      <c r="D787" s="886">
        <f>прибуд.!O787</f>
        <v>0.34167752367591336</v>
      </c>
      <c r="E787" s="886">
        <f>гар.вода!M787+хол.вода!Q787+ц.о.!M787+каналізація!Q787+аварійні!I787+зварювальн!M787</f>
        <v>0.26483638075261917</v>
      </c>
      <c r="F787" s="886">
        <f>дератизац.!I787</f>
        <v>2.0824871768030987E-3</v>
      </c>
      <c r="G787" s="886">
        <f>димоканал!R787</f>
        <v>1.7219008350153567E-2</v>
      </c>
      <c r="H787" s="886">
        <f>'підготовка до зими'!M787+майстерні!M787+маляри!M787+покрівлі!O787</f>
        <v>0.11358051438402482</v>
      </c>
      <c r="I787" s="886">
        <f>електрики!R787</f>
        <v>1.3738307215722396E-2</v>
      </c>
      <c r="J787" s="989">
        <f t="shared" si="93"/>
        <v>1.3045635770386796</v>
      </c>
      <c r="K787" s="989">
        <v>3.2854104241200874E-2</v>
      </c>
      <c r="L787" s="994">
        <f t="shared" si="92"/>
        <v>1.3374176812798806</v>
      </c>
      <c r="M787" s="994">
        <f t="shared" si="94"/>
        <v>1.6049012175358566</v>
      </c>
      <c r="N787" s="753">
        <v>10</v>
      </c>
      <c r="O787" s="1003">
        <v>1.3535890947374762</v>
      </c>
      <c r="P787" s="22">
        <f t="shared" si="95"/>
        <v>0.25131212279838033</v>
      </c>
      <c r="Q787" s="982">
        <f t="shared" si="96"/>
        <v>18.566352505013455</v>
      </c>
      <c r="R787" s="6"/>
      <c r="S787" s="6"/>
      <c r="T787" s="6"/>
      <c r="U787" s="6"/>
      <c r="V787" s="6"/>
      <c r="W787" s="6"/>
      <c r="X787" s="6"/>
      <c r="Y787" s="6"/>
      <c r="Z787" s="6"/>
    </row>
    <row r="788" spans="1:26" s="93" customFormat="1" ht="15.75">
      <c r="A788" s="236">
        <v>40</v>
      </c>
      <c r="B788" s="233" t="s">
        <v>384</v>
      </c>
      <c r="C788" s="886">
        <f>cходова!R788</f>
        <v>0.59556864137177312</v>
      </c>
      <c r="D788" s="886">
        <f>прибуд.!O788</f>
        <v>0.43068372008275857</v>
      </c>
      <c r="E788" s="886">
        <f>гар.вода!M788+хол.вода!Q788+ц.о.!M788+каналізація!Q788+аварійні!I788+зварювальн!M788</f>
        <v>0.27116265335352646</v>
      </c>
      <c r="F788" s="886">
        <f>дератизац.!I788</f>
        <v>3.3262860373092147E-3</v>
      </c>
      <c r="G788" s="886">
        <f>димоканал!R788</f>
        <v>1.8597307718373882E-2</v>
      </c>
      <c r="H788" s="886">
        <f>'підготовка до зими'!M788+майстерні!M788+маляри!M788+покрівлі!O788</f>
        <v>0.11766084963372596</v>
      </c>
      <c r="I788" s="886">
        <f>електрики!R788</f>
        <v>1.4837993084431435E-2</v>
      </c>
      <c r="J788" s="989">
        <f t="shared" si="93"/>
        <v>1.4518374512818988</v>
      </c>
      <c r="K788" s="989">
        <v>3.6512810974965684E-2</v>
      </c>
      <c r="L788" s="994">
        <f t="shared" si="92"/>
        <v>1.4883502622568645</v>
      </c>
      <c r="M788" s="994">
        <f t="shared" si="94"/>
        <v>1.7860203147082374</v>
      </c>
      <c r="N788" s="753">
        <v>10</v>
      </c>
      <c r="O788" s="1003">
        <v>1.5043278121685861</v>
      </c>
      <c r="P788" s="22">
        <f t="shared" si="95"/>
        <v>0.28169250253965128</v>
      </c>
      <c r="Q788" s="982">
        <f t="shared" si="96"/>
        <v>18.725473281888824</v>
      </c>
      <c r="R788" s="6"/>
      <c r="S788" s="6"/>
      <c r="T788" s="6"/>
      <c r="U788" s="6"/>
      <c r="V788" s="6"/>
      <c r="W788" s="6"/>
      <c r="X788" s="6"/>
      <c r="Y788" s="6"/>
      <c r="Z788" s="6"/>
    </row>
    <row r="789" spans="1:26" s="93" customFormat="1" ht="15.75">
      <c r="A789" s="236">
        <v>41</v>
      </c>
      <c r="B789" s="233" t="s">
        <v>385</v>
      </c>
      <c r="C789" s="886">
        <f>cходова!R789</f>
        <v>0.58215569517397714</v>
      </c>
      <c r="D789" s="886">
        <f>прибуд.!O789</f>
        <v>0.39718012587649831</v>
      </c>
      <c r="E789" s="886">
        <f>гар.вода!M789+хол.вода!Q789+ц.о.!M789+каналізація!Q789+аварійні!I789+зварювальн!M789</f>
        <v>0.26924023996779028</v>
      </c>
      <c r="F789" s="886">
        <f>дератизац.!I789</f>
        <v>1.6256869703021068E-3</v>
      </c>
      <c r="G789" s="886">
        <f>димоканал!R789</f>
        <v>1.8178473228908722E-2</v>
      </c>
      <c r="H789" s="886">
        <f>'підготовка до зими'!M789+майстерні!M789+маляри!M789+покрівлі!O789</f>
        <v>0.12483399796347877</v>
      </c>
      <c r="I789" s="886">
        <f>електрики!R789</f>
        <v>1.4503823033996372E-2</v>
      </c>
      <c r="J789" s="989">
        <f t="shared" si="93"/>
        <v>1.4077180422149516</v>
      </c>
      <c r="K789" s="989">
        <v>3.5414764428544687E-2</v>
      </c>
      <c r="L789" s="994">
        <f t="shared" si="92"/>
        <v>1.4431328066434963</v>
      </c>
      <c r="M789" s="994">
        <f t="shared" si="94"/>
        <v>1.7317593679721954</v>
      </c>
      <c r="N789" s="753">
        <v>10</v>
      </c>
      <c r="O789" s="1003">
        <v>1.459088294456041</v>
      </c>
      <c r="P789" s="22">
        <f t="shared" si="95"/>
        <v>0.27267107351615438</v>
      </c>
      <c r="Q789" s="982">
        <f t="shared" si="96"/>
        <v>18.687770613484929</v>
      </c>
      <c r="R789" s="6"/>
      <c r="S789" s="6"/>
      <c r="T789" s="6"/>
      <c r="U789" s="6"/>
      <c r="V789" s="6"/>
      <c r="W789" s="6"/>
      <c r="X789" s="6"/>
      <c r="Y789" s="6"/>
      <c r="Z789" s="6"/>
    </row>
    <row r="790" spans="1:26" s="93" customFormat="1" ht="15.75">
      <c r="A790" s="236">
        <v>42</v>
      </c>
      <c r="B790" s="233" t="s">
        <v>386</v>
      </c>
      <c r="C790" s="886">
        <f>cходова!R790</f>
        <v>0.56254223798682246</v>
      </c>
      <c r="D790" s="886">
        <f>прибуд.!O790</f>
        <v>0.51933166271095466</v>
      </c>
      <c r="E790" s="886">
        <f>гар.вода!M790+хол.вода!Q790+ц.о.!M790+каналізація!Q790+аварійні!I790+зварювальн!M790</f>
        <v>0.26816735314824658</v>
      </c>
      <c r="F790" s="886">
        <f>дератизац.!I790</f>
        <v>3.857893714831793E-3</v>
      </c>
      <c r="G790" s="886">
        <f>димоканал!R790</f>
        <v>1.794472433460137E-2</v>
      </c>
      <c r="H790" s="886">
        <f>'підготовка до зими'!M790+майстерні!M790+маляри!M790+покрівлі!O790</f>
        <v>0.11629813513050069</v>
      </c>
      <c r="I790" s="886">
        <f>електрики!R790</f>
        <v>1.431732483061399E-2</v>
      </c>
      <c r="J790" s="989">
        <f t="shared" si="93"/>
        <v>1.5024593318565715</v>
      </c>
      <c r="K790" s="989">
        <v>3.7765210329378074E-2</v>
      </c>
      <c r="L790" s="994">
        <f t="shared" si="92"/>
        <v>1.5402245421859497</v>
      </c>
      <c r="M790" s="994">
        <f t="shared" si="94"/>
        <v>1.8482694506231396</v>
      </c>
      <c r="N790" s="753">
        <v>10</v>
      </c>
      <c r="O790" s="1003">
        <v>1.555926665570377</v>
      </c>
      <c r="P790" s="22">
        <f t="shared" si="95"/>
        <v>0.29234278505276268</v>
      </c>
      <c r="Q790" s="982">
        <f t="shared" si="96"/>
        <v>18.788982252296236</v>
      </c>
      <c r="R790" s="6"/>
      <c r="S790" s="6"/>
      <c r="T790" s="6"/>
      <c r="U790" s="6"/>
      <c r="V790" s="6"/>
      <c r="W790" s="6"/>
      <c r="X790" s="6"/>
      <c r="Y790" s="6"/>
      <c r="Z790" s="6"/>
    </row>
    <row r="791" spans="1:26" s="93" customFormat="1" ht="15.75">
      <c r="A791" s="236">
        <v>43</v>
      </c>
      <c r="B791" s="233" t="s">
        <v>387</v>
      </c>
      <c r="C791" s="886">
        <f>cходова!R791</f>
        <v>0.44333115416483426</v>
      </c>
      <c r="D791" s="886">
        <f>прибуд.!O791</f>
        <v>0.64483653384214368</v>
      </c>
      <c r="E791" s="886">
        <f>гар.вода!M791+хол.вода!Q791+ц.о.!M791+каналізація!Q791+аварійні!I791+зварювальн!M791</f>
        <v>0.26467469196267285</v>
      </c>
      <c r="F791" s="886">
        <f>дератизац.!I791</f>
        <v>6.7291273275932179E-3</v>
      </c>
      <c r="G791" s="886">
        <f>димоканал!R791</f>
        <v>1.6719354834540456E-2</v>
      </c>
      <c r="H791" s="886">
        <f>'підготовка до зими'!M791+майстерні!M791+маляри!M791+покрівлі!O791</f>
        <v>0.16000767148078748</v>
      </c>
      <c r="I791" s="886">
        <f>електрики!R791</f>
        <v>1.4507793548802481E-2</v>
      </c>
      <c r="J791" s="989">
        <f t="shared" si="93"/>
        <v>1.5508063271613746</v>
      </c>
      <c r="K791" s="989">
        <v>3.8792448336626255E-2</v>
      </c>
      <c r="L791" s="994">
        <f t="shared" si="92"/>
        <v>1.5895987754980008</v>
      </c>
      <c r="M791" s="994">
        <f t="shared" si="94"/>
        <v>1.9075185305976008</v>
      </c>
      <c r="N791" s="753">
        <v>5</v>
      </c>
      <c r="O791" s="1003">
        <v>1.5982488714690015</v>
      </c>
      <c r="P791" s="22">
        <f t="shared" si="95"/>
        <v>0.30926965912859927</v>
      </c>
      <c r="Q791" s="982">
        <f t="shared" si="96"/>
        <v>19.350531988446804</v>
      </c>
      <c r="R791" s="6"/>
      <c r="S791" s="6"/>
      <c r="T791" s="6"/>
      <c r="U791" s="6"/>
      <c r="V791" s="6"/>
      <c r="W791" s="6"/>
      <c r="X791" s="6"/>
      <c r="Y791" s="6"/>
      <c r="Z791" s="6"/>
    </row>
    <row r="792" spans="1:26" s="6" customFormat="1" ht="15.75">
      <c r="A792" s="236">
        <v>44</v>
      </c>
      <c r="B792" s="233" t="s">
        <v>388</v>
      </c>
      <c r="C792" s="886">
        <f>cходова!R792</f>
        <v>0</v>
      </c>
      <c r="D792" s="886">
        <f>прибуд.!O792</f>
        <v>0</v>
      </c>
      <c r="E792" s="886">
        <f>гар.вода!M792+хол.вода!Q792+ц.о.!M792+каналізація!Q792+аварійні!I792+зварювальн!M792</f>
        <v>8.1231898431441588E-2</v>
      </c>
      <c r="F792" s="886">
        <f>дератизац.!I792</f>
        <v>0</v>
      </c>
      <c r="G792" s="886">
        <f>димоканал!R792</f>
        <v>0.2430466487533457</v>
      </c>
      <c r="H792" s="886">
        <f>'підготовка до зими'!M792+майстерні!M792+маляри!M792+покрівлі!O792</f>
        <v>7.8826240020671984E-2</v>
      </c>
      <c r="I792" s="886">
        <f>електрики!R792</f>
        <v>1.9909291388318574E-2</v>
      </c>
      <c r="J792" s="989">
        <f t="shared" si="93"/>
        <v>0.42301407859377782</v>
      </c>
      <c r="K792" s="989">
        <v>1.1375733387298224E-2</v>
      </c>
      <c r="L792" s="994">
        <f t="shared" si="92"/>
        <v>0.43438981198107607</v>
      </c>
      <c r="M792" s="994">
        <f t="shared" si="94"/>
        <v>0.52126777437729122</v>
      </c>
      <c r="N792" s="753">
        <v>1</v>
      </c>
      <c r="O792" s="1003">
        <v>0.46868021555668682</v>
      </c>
      <c r="P792" s="22">
        <f t="shared" si="95"/>
        <v>5.2587558820604396E-2</v>
      </c>
      <c r="Q792" s="982">
        <f t="shared" si="96"/>
        <v>11.220349627547677</v>
      </c>
    </row>
    <row r="793" spans="1:26" s="892" customFormat="1" ht="15.75">
      <c r="A793" s="236">
        <v>45</v>
      </c>
      <c r="B793" s="233" t="s">
        <v>389</v>
      </c>
      <c r="C793" s="886">
        <f>cходова!R793</f>
        <v>0</v>
      </c>
      <c r="D793" s="886">
        <f>прибуд.!O793</f>
        <v>0</v>
      </c>
      <c r="E793" s="886">
        <f>гар.вода!M793+хол.вода!Q793+ц.о.!M793+каналізація!Q793+аварійні!I793+зварювальн!M793</f>
        <v>8.1231898431441588E-2</v>
      </c>
      <c r="F793" s="886">
        <f>дератизац.!I793</f>
        <v>0</v>
      </c>
      <c r="G793" s="886">
        <f>димоканал!R793</f>
        <v>0.11494939774524339</v>
      </c>
      <c r="H793" s="886">
        <f>'підготовка до зими'!M793+майстерні!M793+маляри!M793+покрівлі!O793</f>
        <v>7.8826240020671998E-2</v>
      </c>
      <c r="I793" s="886">
        <f>електрики!R793</f>
        <v>3.9060133580891679E-2</v>
      </c>
      <c r="J793" s="989">
        <f t="shared" si="93"/>
        <v>0.31406766977824863</v>
      </c>
      <c r="K793" s="989">
        <v>8.4025479594433752E-3</v>
      </c>
      <c r="L793" s="994">
        <f t="shared" si="92"/>
        <v>0.32247021773769202</v>
      </c>
      <c r="M793" s="994">
        <f t="shared" si="94"/>
        <v>0.38696426128523043</v>
      </c>
      <c r="N793" s="753">
        <v>1</v>
      </c>
      <c r="O793" s="1003">
        <v>0.34618497592906711</v>
      </c>
      <c r="P793" s="22">
        <f t="shared" si="95"/>
        <v>4.077928535616332E-2</v>
      </c>
      <c r="Q793" s="982">
        <f t="shared" si="96"/>
        <v>11.779623089281316</v>
      </c>
      <c r="R793" s="6"/>
      <c r="S793" s="6"/>
      <c r="T793" s="6"/>
      <c r="U793" s="6"/>
      <c r="V793" s="6"/>
      <c r="W793" s="6"/>
      <c r="X793" s="6"/>
      <c r="Y793" s="6"/>
      <c r="Z793" s="6"/>
    </row>
    <row r="794" spans="1:26" s="6" customFormat="1" ht="15.75">
      <c r="A794" s="894">
        <v>46</v>
      </c>
      <c r="B794" s="233" t="s">
        <v>390</v>
      </c>
      <c r="C794" s="886">
        <f>cходова!R794</f>
        <v>0</v>
      </c>
      <c r="D794" s="886">
        <f>прибуд.!O794</f>
        <v>0</v>
      </c>
      <c r="E794" s="886">
        <f>гар.вода!M794+хол.вода!Q794+ц.о.!M794+каналізація!Q794+аварійні!I794+зварювальн!M794</f>
        <v>0.14478423323370537</v>
      </c>
      <c r="F794" s="886">
        <f>дератизац.!I794</f>
        <v>0</v>
      </c>
      <c r="G794" s="886">
        <f>димоканал!R794</f>
        <v>6.3973604752211422E-2</v>
      </c>
      <c r="H794" s="886">
        <f>'підготовка до зими'!M794+майстерні!M794+маляри!M794+покрівлі!O794</f>
        <v>7.8826240020671998E-2</v>
      </c>
      <c r="I794" s="886">
        <f>електрики!R794</f>
        <v>2.1738413565337244E-2</v>
      </c>
      <c r="J794" s="989">
        <f t="shared" si="93"/>
        <v>0.30932249157192604</v>
      </c>
      <c r="K794" s="989">
        <v>8.2002981548243356E-3</v>
      </c>
      <c r="L794" s="994">
        <f t="shared" si="92"/>
        <v>0.31752278972675035</v>
      </c>
      <c r="M794" s="994">
        <f t="shared" si="94"/>
        <v>0.38102734767210039</v>
      </c>
      <c r="N794" s="753">
        <v>2</v>
      </c>
      <c r="O794" s="1003">
        <v>0.33785228397876266</v>
      </c>
      <c r="P794" s="22">
        <f t="shared" si="95"/>
        <v>4.3175063693337734E-2</v>
      </c>
      <c r="Q794" s="982">
        <f t="shared" si="96"/>
        <v>12.779272404164573</v>
      </c>
    </row>
    <row r="795" spans="1:26" s="93" customFormat="1" ht="15.75">
      <c r="A795" s="236">
        <v>47</v>
      </c>
      <c r="B795" s="233" t="s">
        <v>391</v>
      </c>
      <c r="C795" s="886">
        <f>cходова!R795</f>
        <v>0</v>
      </c>
      <c r="D795" s="886">
        <f>прибуд.!O795</f>
        <v>0</v>
      </c>
      <c r="E795" s="886">
        <f>гар.вода!M795+хол.вода!Q795+ц.о.!M795+каналізація!Q795+аварійні!I795+зварювальн!M795</f>
        <v>0.20774148739602233</v>
      </c>
      <c r="F795" s="886">
        <f>дератизац.!I795</f>
        <v>0</v>
      </c>
      <c r="G795" s="886">
        <f>димоканал!R795</f>
        <v>4.5092297917541255E-2</v>
      </c>
      <c r="H795" s="886">
        <f>'підготовка до зими'!M795+майстерні!M795+маляри!M795+покрівлі!O795</f>
        <v>0.34123802029622141</v>
      </c>
      <c r="I795" s="886">
        <f>електрики!R795</f>
        <v>2.1990959924898804E-2</v>
      </c>
      <c r="J795" s="989">
        <f t="shared" si="93"/>
        <v>0.61606276553468375</v>
      </c>
      <c r="K795" s="989">
        <v>1.592625490140746E-2</v>
      </c>
      <c r="L795" s="994">
        <f t="shared" si="92"/>
        <v>0.63198902043609118</v>
      </c>
      <c r="M795" s="994">
        <f t="shared" si="94"/>
        <v>0.75838682452330941</v>
      </c>
      <c r="N795" s="753">
        <v>2</v>
      </c>
      <c r="O795" s="1003">
        <v>0.65616170193798729</v>
      </c>
      <c r="P795" s="22">
        <f t="shared" si="95"/>
        <v>0.10222512258532213</v>
      </c>
      <c r="Q795" s="982">
        <f t="shared" si="96"/>
        <v>15.579257717022827</v>
      </c>
      <c r="R795" s="6"/>
      <c r="S795" s="6"/>
      <c r="T795" s="6"/>
      <c r="U795" s="6"/>
      <c r="V795" s="6"/>
      <c r="W795" s="6"/>
      <c r="X795" s="6"/>
      <c r="Y795" s="6"/>
      <c r="Z795" s="6"/>
    </row>
    <row r="796" spans="1:26" s="93" customFormat="1" ht="15.75">
      <c r="A796" s="236">
        <v>48</v>
      </c>
      <c r="B796" s="233" t="s">
        <v>808</v>
      </c>
      <c r="C796" s="886">
        <f>cходова!R796</f>
        <v>0</v>
      </c>
      <c r="D796" s="886">
        <f>прибуд.!O796</f>
        <v>0</v>
      </c>
      <c r="E796" s="886">
        <f>гар.вода!M796+хол.вода!Q796+ц.о.!M796+каналізація!Q796+аварійні!I796+зварювальн!M796</f>
        <v>0.17078591257585796</v>
      </c>
      <c r="F796" s="886">
        <f>дератизац.!I796</f>
        <v>4.5985401459854016E-3</v>
      </c>
      <c r="G796" s="886">
        <f>димоканал!R796</f>
        <v>4.7835095649336058E-2</v>
      </c>
      <c r="H796" s="886">
        <f>'підготовка до зими'!M796+майстерні!M796+маляри!M796+покрівлі!O796</f>
        <v>0.27650669903452713</v>
      </c>
      <c r="I796" s="886">
        <f>електрики!R796</f>
        <v>1.7369956780556164E-2</v>
      </c>
      <c r="J796" s="989">
        <f t="shared" si="93"/>
        <v>0.51709620418626268</v>
      </c>
      <c r="K796" s="989">
        <v>1.3448824626662701E-2</v>
      </c>
      <c r="L796" s="994">
        <f t="shared" si="92"/>
        <v>0.53054502881292542</v>
      </c>
      <c r="M796" s="994">
        <f t="shared" si="94"/>
        <v>0.63665403457551051</v>
      </c>
      <c r="N796" s="753">
        <v>3</v>
      </c>
      <c r="O796" s="1003">
        <v>0.55409157461850334</v>
      </c>
      <c r="P796" s="22">
        <f t="shared" si="95"/>
        <v>8.2562459957007173E-2</v>
      </c>
      <c r="Q796" s="982">
        <f t="shared" si="96"/>
        <v>14.900508099920515</v>
      </c>
      <c r="R796" s="6"/>
      <c r="S796" s="6"/>
      <c r="T796" s="6"/>
      <c r="U796" s="6"/>
      <c r="V796" s="6"/>
      <c r="W796" s="6"/>
      <c r="X796" s="6"/>
      <c r="Y796" s="6"/>
      <c r="Z796" s="6"/>
    </row>
    <row r="797" spans="1:26" s="93" customFormat="1" ht="15.75">
      <c r="A797" s="236">
        <v>49</v>
      </c>
      <c r="B797" s="233" t="s">
        <v>809</v>
      </c>
      <c r="C797" s="886">
        <f>cходова!R797</f>
        <v>0.7581905219983196</v>
      </c>
      <c r="D797" s="886">
        <f>прибуд.!O797</f>
        <v>0.17007874259336334</v>
      </c>
      <c r="E797" s="886">
        <f>гар.вода!M797+хол.вода!Q797+ц.о.!M797+каналізація!Q797+аварійні!I797+зварювальн!M797</f>
        <v>0.17942583193358208</v>
      </c>
      <c r="F797" s="886">
        <f>дератизац.!I797</f>
        <v>4.8068919593807222E-3</v>
      </c>
      <c r="G797" s="886">
        <f>димоканал!R797</f>
        <v>6.209227143018959E-2</v>
      </c>
      <c r="H797" s="886">
        <f>'підготовка до зими'!M797+майстерні!M797+маляри!M797+покрівлі!O797</f>
        <v>0.20940724609350833</v>
      </c>
      <c r="I797" s="886">
        <f>електрики!R797</f>
        <v>1.8181195256643436E-2</v>
      </c>
      <c r="J797" s="989">
        <f t="shared" si="93"/>
        <v>1.4021827012649872</v>
      </c>
      <c r="K797" s="989">
        <v>3.648442834620981E-2</v>
      </c>
      <c r="L797" s="994">
        <f t="shared" si="92"/>
        <v>1.438667129611197</v>
      </c>
      <c r="M797" s="994">
        <f t="shared" si="94"/>
        <v>1.7264005555334363</v>
      </c>
      <c r="N797" s="753">
        <v>3</v>
      </c>
      <c r="O797" s="1003">
        <v>1.5031584478638442</v>
      </c>
      <c r="P797" s="22">
        <f t="shared" si="95"/>
        <v>0.22324210766959207</v>
      </c>
      <c r="Q797" s="982">
        <f t="shared" si="96"/>
        <v>14.851535311320248</v>
      </c>
      <c r="R797" s="6"/>
      <c r="S797" s="6"/>
      <c r="T797" s="6"/>
      <c r="U797" s="6"/>
      <c r="V797" s="6"/>
      <c r="W797" s="6"/>
      <c r="X797" s="6"/>
      <c r="Y797" s="6"/>
      <c r="Z797" s="6"/>
    </row>
    <row r="798" spans="1:26" s="93" customFormat="1" ht="15.75">
      <c r="A798" s="236">
        <v>50</v>
      </c>
      <c r="B798" s="233" t="s">
        <v>810</v>
      </c>
      <c r="C798" s="886">
        <f>cходова!R798</f>
        <v>0.65613867192617836</v>
      </c>
      <c r="D798" s="886">
        <f>прибуд.!O798</f>
        <v>0</v>
      </c>
      <c r="E798" s="886">
        <f>гар.вода!M798+хол.вода!Q798+ц.о.!M798+каналізація!Q798+аварійні!I798+зварювальн!M798</f>
        <v>0.1913793279098332</v>
      </c>
      <c r="F798" s="886">
        <f>дератизац.!I798</f>
        <v>1.0484545507595948E-2</v>
      </c>
      <c r="G798" s="886">
        <f>димоканал!R798</f>
        <v>6.4433879355429186E-2</v>
      </c>
      <c r="H798" s="886">
        <f>'підготовка до зими'!M798+майстерні!M798+маляри!M798+покрівлі!O798</f>
        <v>0.25141145544786991</v>
      </c>
      <c r="I798" s="886">
        <f>електрики!R798</f>
        <v>1.9146751857427112E-2</v>
      </c>
      <c r="J798" s="989">
        <f t="shared" si="93"/>
        <v>1.1929946320043336</v>
      </c>
      <c r="K798" s="989">
        <v>3.0231254687137651E-2</v>
      </c>
      <c r="L798" s="994">
        <f t="shared" si="92"/>
        <v>1.2232258866914714</v>
      </c>
      <c r="M798" s="994">
        <f t="shared" si="94"/>
        <v>1.4678710640297656</v>
      </c>
      <c r="N798" s="753">
        <v>3</v>
      </c>
      <c r="O798" s="1003">
        <v>1.2455276931100714</v>
      </c>
      <c r="P798" s="22">
        <f t="shared" si="95"/>
        <v>0.22234337091969425</v>
      </c>
      <c r="Q798" s="982">
        <f t="shared" si="96"/>
        <v>17.85133900672291</v>
      </c>
      <c r="R798" s="6"/>
      <c r="S798" s="6"/>
      <c r="T798" s="6"/>
      <c r="U798" s="6"/>
      <c r="V798" s="6"/>
      <c r="W798" s="6"/>
      <c r="X798" s="6"/>
      <c r="Y798" s="6"/>
      <c r="Z798" s="6"/>
    </row>
    <row r="799" spans="1:26" s="93" customFormat="1" ht="15.75">
      <c r="A799" s="236">
        <v>51</v>
      </c>
      <c r="B799" s="233" t="s">
        <v>811</v>
      </c>
      <c r="C799" s="886">
        <f>cходова!R799</f>
        <v>0.34016615326795302</v>
      </c>
      <c r="D799" s="886">
        <f>прибуд.!O799</f>
        <v>0.59604171306126175</v>
      </c>
      <c r="E799" s="886">
        <f>гар.вода!M799+хол.вода!Q799+ц.о.!M799+каналізація!Q799+аварійні!I799+зварювальн!M799</f>
        <v>0.1670128049644149</v>
      </c>
      <c r="F799" s="886">
        <f>дератизац.!I799</f>
        <v>2.0359934557353213E-3</v>
      </c>
      <c r="G799" s="886">
        <f>димоканал!R799</f>
        <v>6.8341965506445057E-2</v>
      </c>
      <c r="H799" s="886">
        <f>'підготовка до зими'!M799+майстерні!M799+маляри!M799+покрівлі!O799</f>
        <v>0.19749591425585469</v>
      </c>
      <c r="I799" s="886">
        <f>електрики!R799</f>
        <v>1.5704821083643985E-2</v>
      </c>
      <c r="J799" s="989">
        <f t="shared" si="93"/>
        <v>1.3867993655953086</v>
      </c>
      <c r="K799" s="989">
        <v>3.8858952140739041E-2</v>
      </c>
      <c r="L799" s="994">
        <f t="shared" si="92"/>
        <v>1.4256583177360476</v>
      </c>
      <c r="M799" s="994">
        <f t="shared" si="94"/>
        <v>1.710789981283257</v>
      </c>
      <c r="N799" s="753">
        <v>3</v>
      </c>
      <c r="O799" s="1003">
        <v>1.6009888281984483</v>
      </c>
      <c r="P799" s="22">
        <f t="shared" si="95"/>
        <v>0.10980115308480864</v>
      </c>
      <c r="Q799" s="982">
        <f t="shared" si="96"/>
        <v>6.8583334968280241</v>
      </c>
      <c r="R799" s="6"/>
      <c r="S799" s="6"/>
      <c r="T799" s="6"/>
      <c r="U799" s="6"/>
      <c r="V799" s="6"/>
      <c r="W799" s="6"/>
      <c r="X799" s="6"/>
      <c r="Y799" s="6"/>
      <c r="Z799" s="6"/>
    </row>
    <row r="800" spans="1:26" s="93" customFormat="1" ht="15.75">
      <c r="A800" s="236">
        <v>52</v>
      </c>
      <c r="B800" s="233" t="s">
        <v>812</v>
      </c>
      <c r="C800" s="886">
        <f>cходова!R800</f>
        <v>0.32237701872327879</v>
      </c>
      <c r="D800" s="886">
        <f>прибуд.!O800</f>
        <v>0.62478592612425188</v>
      </c>
      <c r="E800" s="886">
        <f>гар.вода!M800+хол.вода!Q800+ц.о.!M800+каналізація!Q800+аварійні!I800+зварювальн!M800</f>
        <v>0.21368965754383068</v>
      </c>
      <c r="F800" s="886">
        <f>дератизац.!I800</f>
        <v>5.605779153766771E-3</v>
      </c>
      <c r="G800" s="886">
        <f>димоканал!R800</f>
        <v>8.5991396228682904E-2</v>
      </c>
      <c r="H800" s="886">
        <f>'підготовка до зими'!M800+майстерні!M800+маляри!M800+покрівлі!O800</f>
        <v>0.27460604870200156</v>
      </c>
      <c r="I800" s="886">
        <f>електрики!R800</f>
        <v>2.3024920847683521E-2</v>
      </c>
      <c r="J800" s="989">
        <f t="shared" si="93"/>
        <v>1.5500807473234961</v>
      </c>
      <c r="K800" s="989">
        <v>3.859616719626708E-2</v>
      </c>
      <c r="L800" s="994">
        <f t="shared" si="92"/>
        <v>1.5886769145197632</v>
      </c>
      <c r="M800" s="994">
        <f t="shared" si="94"/>
        <v>1.9064122974237159</v>
      </c>
      <c r="N800" s="753">
        <v>3</v>
      </c>
      <c r="O800" s="1003">
        <v>1.5901620884862038</v>
      </c>
      <c r="P800" s="22">
        <f t="shared" si="95"/>
        <v>0.3162502089375121</v>
      </c>
      <c r="Q800" s="982">
        <f t="shared" si="96"/>
        <v>19.887922824180436</v>
      </c>
      <c r="R800" s="6"/>
      <c r="S800" s="6"/>
      <c r="T800" s="6"/>
      <c r="U800" s="6"/>
      <c r="V800" s="6"/>
      <c r="W800" s="6"/>
      <c r="X800" s="6"/>
      <c r="Y800" s="6"/>
      <c r="Z800" s="6"/>
    </row>
    <row r="801" spans="1:26" s="93" customFormat="1" ht="15.75">
      <c r="A801" s="236">
        <v>53</v>
      </c>
      <c r="B801" s="233" t="s">
        <v>813</v>
      </c>
      <c r="C801" s="886">
        <f>cходова!R801</f>
        <v>0.52758534749947839</v>
      </c>
      <c r="D801" s="886">
        <f>прибуд.!O801</f>
        <v>0.39814208539289203</v>
      </c>
      <c r="E801" s="886">
        <f>гар.вода!M801+хол.вода!Q801+ц.о.!M801+каналізація!Q801+аварійні!I801+зварювальн!M801</f>
        <v>0.1931282180420498</v>
      </c>
      <c r="F801" s="886">
        <f>дератизац.!I801</f>
        <v>2.8010789341079527E-3</v>
      </c>
      <c r="G801" s="886">
        <f>димоканал!R801</f>
        <v>7.7183121411204439E-2</v>
      </c>
      <c r="H801" s="886">
        <f>'підготовка до зими'!M801+майстерні!M801+маляри!M801+покрівлі!O801</f>
        <v>0.23706822296923855</v>
      </c>
      <c r="I801" s="886">
        <f>електрики!R801</f>
        <v>2.1432872069731854E-2</v>
      </c>
      <c r="J801" s="989">
        <f t="shared" si="93"/>
        <v>1.4573409463187028</v>
      </c>
      <c r="K801" s="989">
        <v>3.6754206980317179E-2</v>
      </c>
      <c r="L801" s="994">
        <f t="shared" si="92"/>
        <v>1.4940951532990201</v>
      </c>
      <c r="M801" s="994">
        <f t="shared" si="94"/>
        <v>1.7929141839588241</v>
      </c>
      <c r="N801" s="753">
        <v>3</v>
      </c>
      <c r="O801" s="1003">
        <v>1.5142733275890679</v>
      </c>
      <c r="P801" s="22">
        <f t="shared" si="95"/>
        <v>0.27864085636975622</v>
      </c>
      <c r="Q801" s="982">
        <f t="shared" si="96"/>
        <v>18.40096178761803</v>
      </c>
      <c r="R801" s="6"/>
      <c r="S801" s="6"/>
      <c r="T801" s="6"/>
      <c r="U801" s="6"/>
      <c r="V801" s="6"/>
      <c r="W801" s="6"/>
      <c r="X801" s="6"/>
      <c r="Y801" s="6"/>
      <c r="Z801" s="6"/>
    </row>
    <row r="802" spans="1:26" s="93" customFormat="1" ht="15.75">
      <c r="A802" s="236">
        <v>54</v>
      </c>
      <c r="B802" s="233" t="s">
        <v>814</v>
      </c>
      <c r="C802" s="886">
        <f>cходова!R802</f>
        <v>0.70272968642626643</v>
      </c>
      <c r="D802" s="886">
        <v>0</v>
      </c>
      <c r="E802" s="886">
        <f>гар.вода!M802+хол.вода!Q802+ц.о.!M802+каналізація!Q802+аварійні!I802+зварювальн!M802</f>
        <v>0.18008407851311709</v>
      </c>
      <c r="F802" s="886">
        <f>дератизац.!I802</f>
        <v>6.7454332160214519E-3</v>
      </c>
      <c r="G802" s="886">
        <f>димоканал!R802</f>
        <v>9.4675925509223963E-2</v>
      </c>
      <c r="H802" s="886">
        <f>'підготовка до зими'!M802+майстерні!M802+маляри!M802+покрівлі!O802</f>
        <v>0.27769123631655357</v>
      </c>
      <c r="I802" s="886">
        <f>електрики!R802</f>
        <v>1.9569205200847532E-2</v>
      </c>
      <c r="J802" s="989">
        <f t="shared" si="93"/>
        <v>1.2814955651820301</v>
      </c>
      <c r="K802" s="989">
        <v>3.2470874759347068E-2</v>
      </c>
      <c r="L802" s="994">
        <f t="shared" si="92"/>
        <v>1.3139664399413773</v>
      </c>
      <c r="M802" s="994">
        <f t="shared" si="94"/>
        <v>1.5767597279296528</v>
      </c>
      <c r="N802" s="753">
        <v>3</v>
      </c>
      <c r="O802" s="1003">
        <v>1.3378000400850991</v>
      </c>
      <c r="P802" s="22">
        <f t="shared" si="95"/>
        <v>0.23895968784455368</v>
      </c>
      <c r="Q802" s="982">
        <f t="shared" si="96"/>
        <v>17.862137889407819</v>
      </c>
      <c r="R802" s="6"/>
      <c r="S802" s="6"/>
      <c r="T802" s="6"/>
      <c r="U802" s="6"/>
      <c r="V802" s="6"/>
      <c r="W802" s="6"/>
      <c r="X802" s="6"/>
      <c r="Y802" s="6"/>
      <c r="Z802" s="6"/>
    </row>
    <row r="803" spans="1:26" s="892" customFormat="1" ht="15.75">
      <c r="A803" s="894">
        <v>55</v>
      </c>
      <c r="B803" s="233" t="s">
        <v>815</v>
      </c>
      <c r="C803" s="886">
        <f>cходова!R803</f>
        <v>0</v>
      </c>
      <c r="D803" s="886">
        <f>прибуд.!O803</f>
        <v>0.31343419392124328</v>
      </c>
      <c r="E803" s="886">
        <f>гар.вода!M803+хол.вода!Q803+ц.о.!M803+каналізація!Q803+аварійні!I803+зварювальн!M803</f>
        <v>0.15125615997199696</v>
      </c>
      <c r="F803" s="886">
        <f>дератизац.!I803</f>
        <v>3.5412197984540051E-3</v>
      </c>
      <c r="G803" s="886">
        <f>димоканал!R803</f>
        <v>5.0506086222941234E-2</v>
      </c>
      <c r="H803" s="886">
        <f>'підготовка до зими'!M803+майстерні!M803+маляри!M803+покрівлі!O803</f>
        <v>0.27229821833748569</v>
      </c>
      <c r="I803" s="886">
        <f>електрики!R803</f>
        <v>1.9248012580126671E-2</v>
      </c>
      <c r="J803" s="989">
        <f t="shared" si="93"/>
        <v>0.81028389083224783</v>
      </c>
      <c r="K803" s="989">
        <v>2.068926162451221E-2</v>
      </c>
      <c r="L803" s="994">
        <f t="shared" si="92"/>
        <v>0.83097315245676007</v>
      </c>
      <c r="M803" s="994">
        <f t="shared" si="94"/>
        <v>0.99716778294811204</v>
      </c>
      <c r="N803" s="753">
        <v>2</v>
      </c>
      <c r="O803" s="1003">
        <v>0.85239757892990309</v>
      </c>
      <c r="P803" s="22">
        <f t="shared" si="95"/>
        <v>0.14477020401820895</v>
      </c>
      <c r="Q803" s="982">
        <f t="shared" si="96"/>
        <v>16.98388259149597</v>
      </c>
      <c r="R803" s="6"/>
      <c r="S803" s="6"/>
      <c r="T803" s="6"/>
      <c r="U803" s="6"/>
      <c r="V803" s="6"/>
      <c r="W803" s="6"/>
      <c r="X803" s="6"/>
      <c r="Y803" s="6"/>
      <c r="Z803" s="6"/>
    </row>
    <row r="804" spans="1:26" s="93" customFormat="1" ht="15.75">
      <c r="A804" s="236">
        <v>56</v>
      </c>
      <c r="B804" s="233" t="s">
        <v>816</v>
      </c>
      <c r="C804" s="886">
        <f>cходова!R804</f>
        <v>0.47572490529700973</v>
      </c>
      <c r="D804" s="886">
        <f>прибуд.!O804</f>
        <v>0.39588904874591063</v>
      </c>
      <c r="E804" s="886">
        <f>гар.вода!M804+хол.вода!Q804+ц.о.!M804+каналізація!Q804+аварійні!I804+зварювальн!M804</f>
        <v>0.2163122706178594</v>
      </c>
      <c r="F804" s="886">
        <f>дератизац.!I804</f>
        <v>3.1011450381679393E-3</v>
      </c>
      <c r="G804" s="886">
        <f>димоканал!R804</f>
        <v>7.9948257224205913E-2</v>
      </c>
      <c r="H804" s="886">
        <f>'підготовка до зими'!M804+майстерні!M804+маляри!M804+покрівлі!O804</f>
        <v>0.32053217564738484</v>
      </c>
      <c r="I804" s="886">
        <f>електрики!R804</f>
        <v>2.8747528219581493E-2</v>
      </c>
      <c r="J804" s="989">
        <f t="shared" si="93"/>
        <v>1.5202553307901199</v>
      </c>
      <c r="K804" s="989">
        <v>3.8378927002900902E-2</v>
      </c>
      <c r="L804" s="994">
        <f t="shared" si="92"/>
        <v>1.5586342577930208</v>
      </c>
      <c r="M804" s="994">
        <f t="shared" si="94"/>
        <v>1.8703611093516248</v>
      </c>
      <c r="N804" s="753">
        <v>3</v>
      </c>
      <c r="O804" s="1003">
        <v>1.5812117925195173</v>
      </c>
      <c r="P804" s="22">
        <f t="shared" si="95"/>
        <v>0.28914931683210754</v>
      </c>
      <c r="Q804" s="982">
        <f t="shared" si="96"/>
        <v>18.286564658828809</v>
      </c>
      <c r="R804" s="6"/>
      <c r="S804" s="6"/>
      <c r="T804" s="6"/>
      <c r="U804" s="6"/>
      <c r="V804" s="6"/>
      <c r="W804" s="6"/>
      <c r="X804" s="6"/>
      <c r="Y804" s="6"/>
      <c r="Z804" s="6"/>
    </row>
    <row r="805" spans="1:26" s="93" customFormat="1" ht="15.75">
      <c r="A805" s="236">
        <v>57</v>
      </c>
      <c r="B805" s="233" t="s">
        <v>817</v>
      </c>
      <c r="C805" s="886">
        <f>cходова!R805</f>
        <v>0.53865148007174657</v>
      </c>
      <c r="D805" s="886">
        <f>прибуд.!O805</f>
        <v>0.2853752592653061</v>
      </c>
      <c r="E805" s="886">
        <f>гар.вода!M805+хол.вода!Q805+ц.о.!M805+каналізація!Q805+аварійні!I805+зварювальн!M805</f>
        <v>0.23103531647521505</v>
      </c>
      <c r="F805" s="886">
        <f>дератизац.!I805</f>
        <v>7.9365079365079378E-3</v>
      </c>
      <c r="G805" s="886">
        <f>димоканал!R805</f>
        <v>0.11576067329634861</v>
      </c>
      <c r="H805" s="886">
        <f>'підготовка до зими'!M805+майстерні!M805+маляри!M805+покрівлі!O805</f>
        <v>0.29287432257564733</v>
      </c>
      <c r="I805" s="886">
        <f>електрики!R805</f>
        <v>2.6040089053927788E-2</v>
      </c>
      <c r="J805" s="989">
        <f t="shared" si="93"/>
        <v>1.4976736486746993</v>
      </c>
      <c r="K805" s="989">
        <v>3.7917724223106034E-2</v>
      </c>
      <c r="L805" s="994">
        <f t="shared" si="92"/>
        <v>1.5355913728978055</v>
      </c>
      <c r="M805" s="994">
        <f t="shared" si="94"/>
        <v>1.8427096474773665</v>
      </c>
      <c r="N805" s="753">
        <v>3</v>
      </c>
      <c r="O805" s="1003">
        <v>1.5622102379919687</v>
      </c>
      <c r="P805" s="22">
        <f t="shared" si="95"/>
        <v>0.28049940948539787</v>
      </c>
      <c r="Q805" s="982">
        <f t="shared" si="96"/>
        <v>17.955291974398136</v>
      </c>
      <c r="R805" s="6"/>
      <c r="S805" s="6"/>
      <c r="T805" s="6"/>
      <c r="U805" s="6"/>
      <c r="V805" s="6"/>
      <c r="W805" s="6"/>
      <c r="X805" s="6"/>
      <c r="Y805" s="6"/>
      <c r="Z805" s="6"/>
    </row>
    <row r="806" spans="1:26" s="93" customFormat="1" ht="15.75">
      <c r="A806" s="236">
        <v>58</v>
      </c>
      <c r="B806" s="233" t="s">
        <v>818</v>
      </c>
      <c r="C806" s="886">
        <f>cходова!R806</f>
        <v>0.27303231913863246</v>
      </c>
      <c r="D806" s="886">
        <f>прибуд.!O806</f>
        <v>0.49412787261425839</v>
      </c>
      <c r="E806" s="886">
        <f>гар.вода!M806+хол.вода!Q806+ц.о.!M806+каналізація!Q806+аварійні!I806+зварювальн!M806</f>
        <v>0.25250830271608615</v>
      </c>
      <c r="F806" s="886">
        <f>дератизац.!I806</f>
        <v>6.7753546474698285E-3</v>
      </c>
      <c r="G806" s="886">
        <f>димоканал!R806</f>
        <v>0.10019301605466439</v>
      </c>
      <c r="H806" s="886">
        <f>'підготовка до зими'!M806+майстерні!M806+маляри!M806+покрівлі!O806</f>
        <v>0.27875378616557012</v>
      </c>
      <c r="I806" s="886">
        <f>електрики!R806</f>
        <v>2.9772703978659762E-2</v>
      </c>
      <c r="J806" s="989">
        <f t="shared" si="93"/>
        <v>1.4351633553153413</v>
      </c>
      <c r="K806" s="989">
        <v>3.633699342185262E-2</v>
      </c>
      <c r="L806" s="994">
        <f t="shared" si="92"/>
        <v>1.471500348737194</v>
      </c>
      <c r="M806" s="994">
        <f t="shared" si="94"/>
        <v>1.7658004184846328</v>
      </c>
      <c r="N806" s="753">
        <v>3</v>
      </c>
      <c r="O806" s="1003">
        <v>1.4970841289803281</v>
      </c>
      <c r="P806" s="22">
        <f t="shared" si="95"/>
        <v>0.26871628950430471</v>
      </c>
      <c r="Q806" s="982">
        <f t="shared" si="96"/>
        <v>17.949311217889189</v>
      </c>
      <c r="R806" s="6"/>
      <c r="S806" s="6"/>
      <c r="T806" s="6"/>
      <c r="U806" s="6"/>
      <c r="V806" s="6"/>
      <c r="W806" s="6"/>
      <c r="X806" s="6"/>
      <c r="Y806" s="6"/>
      <c r="Z806" s="6"/>
    </row>
    <row r="807" spans="1:26" s="93" customFormat="1" ht="15.75">
      <c r="A807" s="236">
        <v>59</v>
      </c>
      <c r="B807" s="233" t="s">
        <v>819</v>
      </c>
      <c r="C807" s="886">
        <f>cходова!R807</f>
        <v>0</v>
      </c>
      <c r="D807" s="886">
        <f>прибуд.!O807</f>
        <v>0.24376971521060239</v>
      </c>
      <c r="E807" s="886">
        <f>гар.вода!M807+хол.вода!Q807+ц.о.!M807+каналізація!Q807+аварійні!I807+зварювальн!M807</f>
        <v>0.20403460401816859</v>
      </c>
      <c r="F807" s="886">
        <f>дератизац.!I807</f>
        <v>3.2048192771084341E-3</v>
      </c>
      <c r="G807" s="886">
        <f>димоканал!R807</f>
        <v>0.13335441857728864</v>
      </c>
      <c r="H807" s="886">
        <f>'підготовка до зими'!M807+майстерні!M807+маляри!M807+покрівлі!O807</f>
        <v>0.32264644701416356</v>
      </c>
      <c r="I807" s="886">
        <f>електрики!R807</f>
        <v>2.3337297935053302E-2</v>
      </c>
      <c r="J807" s="989">
        <f t="shared" si="93"/>
        <v>0.93034730203238492</v>
      </c>
      <c r="K807" s="989">
        <v>2.3906628679080683E-2</v>
      </c>
      <c r="L807" s="994">
        <f t="shared" si="92"/>
        <v>0.95425393071146558</v>
      </c>
      <c r="M807" s="994">
        <f t="shared" si="94"/>
        <v>1.1451047168537587</v>
      </c>
      <c r="N807" s="753">
        <v>2</v>
      </c>
      <c r="O807" s="1003">
        <v>0.9849531015781241</v>
      </c>
      <c r="P807" s="22">
        <f t="shared" si="95"/>
        <v>0.1601516152756346</v>
      </c>
      <c r="Q807" s="982">
        <f t="shared" si="96"/>
        <v>16.259821408657359</v>
      </c>
      <c r="R807" s="6"/>
      <c r="S807" s="6"/>
      <c r="T807" s="6"/>
      <c r="U807" s="6"/>
      <c r="V807" s="6"/>
      <c r="W807" s="6"/>
      <c r="X807" s="6"/>
      <c r="Y807" s="6"/>
      <c r="Z807" s="6"/>
    </row>
    <row r="808" spans="1:26" s="93" customFormat="1" ht="15.75">
      <c r="A808" s="236">
        <v>60</v>
      </c>
      <c r="B808" s="233" t="s">
        <v>820</v>
      </c>
      <c r="C808" s="886">
        <f>cходова!R808</f>
        <v>0</v>
      </c>
      <c r="D808" s="886">
        <f>прибуд.!O808</f>
        <v>0.67929184436332013</v>
      </c>
      <c r="E808" s="886">
        <f>гар.вода!M808+хол.вода!Q808+ц.о.!M808+каналізація!Q808+аварійні!I808+зварювальн!M808</f>
        <v>0.20427773072293731</v>
      </c>
      <c r="F808" s="886">
        <f>дератизац.!I808</f>
        <v>5.1716644936983924E-3</v>
      </c>
      <c r="G808" s="886">
        <f>димоканал!R808</f>
        <v>8.3247414735267741E-2</v>
      </c>
      <c r="H808" s="886">
        <f>'підготовка до зими'!M808+майстерні!M808+маляри!M808+покрівлі!O808</f>
        <v>0.53896653239116588</v>
      </c>
      <c r="I808" s="886">
        <f>електрики!R808</f>
        <v>2.3236906662853409E-2</v>
      </c>
      <c r="J808" s="989">
        <f t="shared" si="93"/>
        <v>1.534192093369243</v>
      </c>
      <c r="K808" s="989">
        <v>3.8799197084126547E-2</v>
      </c>
      <c r="L808" s="994">
        <f t="shared" si="92"/>
        <v>1.5729912904533696</v>
      </c>
      <c r="M808" s="994">
        <f t="shared" si="94"/>
        <v>1.8875895485440435</v>
      </c>
      <c r="N808" s="753">
        <v>2</v>
      </c>
      <c r="O808" s="1003">
        <v>1.5985269198660139</v>
      </c>
      <c r="P808" s="22">
        <f t="shared" si="95"/>
        <v>0.28906262867802957</v>
      </c>
      <c r="Q808" s="982">
        <f t="shared" si="96"/>
        <v>18.083062917843023</v>
      </c>
      <c r="R808" s="6"/>
      <c r="S808" s="6"/>
      <c r="T808" s="6"/>
      <c r="U808" s="6"/>
      <c r="V808" s="6"/>
      <c r="W808" s="6"/>
      <c r="X808" s="6"/>
      <c r="Y808" s="6"/>
      <c r="Z808" s="6"/>
    </row>
    <row r="809" spans="1:26" s="892" customFormat="1" ht="15.75">
      <c r="A809" s="236">
        <v>61</v>
      </c>
      <c r="B809" s="233" t="s">
        <v>821</v>
      </c>
      <c r="C809" s="886">
        <f>cходова!R809</f>
        <v>0</v>
      </c>
      <c r="D809" s="886">
        <f>прибуд.!O809</f>
        <v>0.70601407708763531</v>
      </c>
      <c r="E809" s="886">
        <f>гар.вода!M809+хол.вода!Q809+ц.о.!M809+каналізація!Q809+аварійні!I809+зварювальн!M809</f>
        <v>0.19461622559613484</v>
      </c>
      <c r="F809" s="886">
        <f>дератизац.!I809</f>
        <v>3.2851017818392066E-3</v>
      </c>
      <c r="G809" s="886">
        <f>димоканал!R809</f>
        <v>0.11934608038675724</v>
      </c>
      <c r="H809" s="886">
        <f>'підготовка до зими'!M809+майстерні!M809+маляри!M809+покрівлі!O809</f>
        <v>0.28108378521878796</v>
      </c>
      <c r="I809" s="886">
        <f>електрики!R809</f>
        <v>1.9709416615751377E-2</v>
      </c>
      <c r="J809" s="989">
        <f t="shared" si="93"/>
        <v>1.3240546866869058</v>
      </c>
      <c r="K809" s="989">
        <v>3.3590396205997963E-2</v>
      </c>
      <c r="L809" s="994">
        <f t="shared" si="92"/>
        <v>1.3576450828929039</v>
      </c>
      <c r="M809" s="994">
        <f t="shared" si="94"/>
        <v>1.6291740994714845</v>
      </c>
      <c r="N809" s="753">
        <v>2</v>
      </c>
      <c r="O809" s="1003">
        <v>1.3839243236871159</v>
      </c>
      <c r="P809" s="22">
        <f t="shared" si="95"/>
        <v>0.24524977578436857</v>
      </c>
      <c r="Q809" s="982">
        <f t="shared" si="96"/>
        <v>17.721328513900431</v>
      </c>
      <c r="R809" s="6"/>
      <c r="S809" s="6"/>
      <c r="T809" s="6"/>
      <c r="U809" s="6"/>
      <c r="V809" s="6"/>
      <c r="W809" s="6"/>
      <c r="X809" s="6"/>
      <c r="Y809" s="6"/>
      <c r="Z809" s="6"/>
    </row>
    <row r="810" spans="1:26" s="93" customFormat="1" ht="15.75">
      <c r="A810" s="236">
        <v>62</v>
      </c>
      <c r="B810" s="233" t="s">
        <v>822</v>
      </c>
      <c r="C810" s="886">
        <f>cходова!R810</f>
        <v>0.55962315579927646</v>
      </c>
      <c r="D810" s="886">
        <f>прибуд.!O810</f>
        <v>0.25257037285733969</v>
      </c>
      <c r="E810" s="886">
        <f>гар.вода!M810+хол.вода!Q810+ц.о.!M810+каналізація!Q810+аварійні!I810+зварювальн!M810</f>
        <v>0.16899645518988293</v>
      </c>
      <c r="F810" s="886">
        <f>дератизац.!I810</f>
        <v>2.1698698078115317E-3</v>
      </c>
      <c r="G810" s="886">
        <f>димоканал!R810</f>
        <v>5.9539118704661199E-2</v>
      </c>
      <c r="H810" s="886">
        <f>'підготовка до зими'!M810+майстерні!M810+маляри!M810+покрівлі!O810</f>
        <v>0.27128759636804656</v>
      </c>
      <c r="I810" s="886">
        <f>електрики!R810</f>
        <v>1.5255972818327196E-2</v>
      </c>
      <c r="J810" s="989">
        <f t="shared" si="93"/>
        <v>1.3294425415453457</v>
      </c>
      <c r="K810" s="989">
        <v>3.3556332638188385E-2</v>
      </c>
      <c r="L810" s="994">
        <f t="shared" si="92"/>
        <v>1.3629988741835342</v>
      </c>
      <c r="M810" s="994">
        <f t="shared" si="94"/>
        <v>1.635598649020241</v>
      </c>
      <c r="N810" s="753">
        <v>3</v>
      </c>
      <c r="O810" s="1003">
        <v>1.3825209046933618</v>
      </c>
      <c r="P810" s="22">
        <f t="shared" si="95"/>
        <v>0.25307774432687924</v>
      </c>
      <c r="Q810" s="982">
        <f t="shared" si="96"/>
        <v>18.305527494574193</v>
      </c>
      <c r="R810" s="6"/>
      <c r="S810" s="6"/>
      <c r="T810" s="6"/>
      <c r="U810" s="6"/>
      <c r="V810" s="6"/>
      <c r="W810" s="6"/>
      <c r="X810" s="6"/>
      <c r="Y810" s="6"/>
      <c r="Z810" s="6"/>
    </row>
    <row r="811" spans="1:26" s="892" customFormat="1" ht="15.75">
      <c r="A811" s="236">
        <v>63</v>
      </c>
      <c r="B811" s="233" t="s">
        <v>823</v>
      </c>
      <c r="C811" s="886">
        <f>cходова!R811</f>
        <v>0</v>
      </c>
      <c r="D811" s="886">
        <f>прибуд.!O811</f>
        <v>0.4076757358896565</v>
      </c>
      <c r="E811" s="886">
        <f>гар.вода!M811+хол.вода!Q811+ц.о.!M811+каналізація!Q811+аварійні!I811+зварювальн!M811</f>
        <v>0.2088055512263042</v>
      </c>
      <c r="F811" s="886">
        <f>дератизац.!I811</f>
        <v>3.4169420246320222E-3</v>
      </c>
      <c r="G811" s="886">
        <f>димоканал!R811</f>
        <v>0.11454362872379552</v>
      </c>
      <c r="H811" s="886">
        <f>'підготовка до зими'!M811+майстерні!M811+маляри!M811+покрівлі!O811</f>
        <v>0.33462130563037162</v>
      </c>
      <c r="I811" s="886">
        <f>електрики!R811</f>
        <v>2.2175924442140373E-2</v>
      </c>
      <c r="J811" s="989">
        <f t="shared" si="93"/>
        <v>1.0912390879369003</v>
      </c>
      <c r="K811" s="989">
        <v>2.9373592423893386E-2</v>
      </c>
      <c r="L811" s="994">
        <f t="shared" si="92"/>
        <v>1.1206126803607936</v>
      </c>
      <c r="M811" s="994">
        <f t="shared" si="94"/>
        <v>1.3447352164329522</v>
      </c>
      <c r="N811" s="753">
        <v>2</v>
      </c>
      <c r="O811" s="1003">
        <v>1.2101920078644077</v>
      </c>
      <c r="P811" s="22">
        <f t="shared" si="95"/>
        <v>0.13454320856854451</v>
      </c>
      <c r="Q811" s="982">
        <f t="shared" si="96"/>
        <v>11.117509262515227</v>
      </c>
      <c r="R811" s="6"/>
      <c r="S811" s="6"/>
      <c r="T811" s="6"/>
      <c r="U811" s="6"/>
      <c r="V811" s="6"/>
      <c r="W811" s="6"/>
      <c r="X811" s="6"/>
      <c r="Y811" s="6"/>
      <c r="Z811" s="6"/>
    </row>
    <row r="812" spans="1:26" s="93" customFormat="1" ht="15.75">
      <c r="A812" s="894">
        <v>64</v>
      </c>
      <c r="B812" s="233" t="s">
        <v>824</v>
      </c>
      <c r="C812" s="886">
        <f>cходова!R812</f>
        <v>0</v>
      </c>
      <c r="D812" s="886">
        <f>прибуд.!O812</f>
        <v>0</v>
      </c>
      <c r="E812" s="886">
        <f>гар.вода!M812+хол.вода!Q812+ц.о.!M812+каналізація!Q812+аварійні!I812+зварювальн!M812</f>
        <v>0.16094148742432776</v>
      </c>
      <c r="F812" s="886">
        <f>дератизац.!I812</f>
        <v>0</v>
      </c>
      <c r="G812" s="886">
        <f>димоканал!R812</f>
        <v>4.0775968794765388E-2</v>
      </c>
      <c r="H812" s="886">
        <f>'підготовка до зими'!M812+майстерні!M812+маляри!M812+покрівлі!O812</f>
        <v>0.34434254080737203</v>
      </c>
      <c r="I812" s="886">
        <f>електрики!R812</f>
        <v>1.3855790628356845E-2</v>
      </c>
      <c r="J812" s="989">
        <f t="shared" ref="J812:J841" si="97">I812+H812+G812+F812+E812+D812+C812</f>
        <v>0.55991578765482208</v>
      </c>
      <c r="K812" s="989">
        <v>1.451131806937951E-2</v>
      </c>
      <c r="L812" s="994">
        <f t="shared" si="92"/>
        <v>0.57442710572420164</v>
      </c>
      <c r="M812" s="994">
        <f t="shared" ref="M812:M841" si="98">L812*1.2</f>
        <v>0.68931252686904199</v>
      </c>
      <c r="N812" s="753">
        <v>1</v>
      </c>
      <c r="O812" s="1003">
        <v>0.5978663044584358</v>
      </c>
      <c r="P812" s="22">
        <f t="shared" si="95"/>
        <v>9.1446222410606182E-2</v>
      </c>
      <c r="Q812" s="982">
        <f t="shared" si="96"/>
        <v>15.29543005328604</v>
      </c>
      <c r="R812" s="6"/>
      <c r="S812" s="6"/>
      <c r="T812" s="6"/>
      <c r="U812" s="6"/>
      <c r="V812" s="6"/>
      <c r="W812" s="6"/>
      <c r="X812" s="6"/>
      <c r="Y812" s="6"/>
      <c r="Z812" s="6"/>
    </row>
    <row r="813" spans="1:26" s="93" customFormat="1" ht="15.75">
      <c r="A813" s="236">
        <v>65</v>
      </c>
      <c r="B813" s="233" t="s">
        <v>825</v>
      </c>
      <c r="C813" s="886">
        <f>cходова!R813</f>
        <v>0</v>
      </c>
      <c r="D813" s="886">
        <f>прибуд.!O813</f>
        <v>0</v>
      </c>
      <c r="E813" s="886">
        <f>гар.вода!M813+хол.вода!Q813+ц.о.!M813+каналізація!Q813+аварійні!I813+зварювальн!M813</f>
        <v>0.18192246938172318</v>
      </c>
      <c r="F813" s="886">
        <f>дератизац.!I813</f>
        <v>0</v>
      </c>
      <c r="G813" s="886">
        <f>димоканал!R813</f>
        <v>0.10301785847527622</v>
      </c>
      <c r="H813" s="886">
        <f>'підготовка до зими'!M813+майстерні!M813+маляри!M813+покрівлі!O813</f>
        <v>0.2445250613322375</v>
      </c>
      <c r="I813" s="886">
        <f>електрики!R813</f>
        <v>2.0293488500710676E-2</v>
      </c>
      <c r="J813" s="989">
        <f t="shared" si="97"/>
        <v>0.54975887768994758</v>
      </c>
      <c r="K813" s="989">
        <v>1.4346421737225267E-2</v>
      </c>
      <c r="L813" s="994">
        <f t="shared" si="92"/>
        <v>0.5641052994271728</v>
      </c>
      <c r="M813" s="994">
        <f t="shared" si="98"/>
        <v>0.67692635931260736</v>
      </c>
      <c r="N813" s="753">
        <v>3</v>
      </c>
      <c r="O813" s="1003">
        <v>0.59107257557368098</v>
      </c>
      <c r="P813" s="22">
        <f t="shared" ref="P813:P844" si="99">M813-O813</f>
        <v>8.5853783738926381E-2</v>
      </c>
      <c r="Q813" s="982">
        <f t="shared" ref="Q813:Q844" si="100">M813/O813*100-100</f>
        <v>14.525083261661862</v>
      </c>
      <c r="R813" s="6"/>
      <c r="S813" s="6"/>
      <c r="T813" s="6"/>
      <c r="U813" s="6"/>
      <c r="V813" s="6"/>
      <c r="W813" s="6"/>
      <c r="X813" s="6"/>
      <c r="Y813" s="6"/>
      <c r="Z813" s="6"/>
    </row>
    <row r="814" spans="1:26" s="93" customFormat="1" ht="15.75">
      <c r="A814" s="236">
        <v>66</v>
      </c>
      <c r="B814" s="233" t="s">
        <v>826</v>
      </c>
      <c r="C814" s="886">
        <f>cходова!R814</f>
        <v>0</v>
      </c>
      <c r="D814" s="886">
        <f>прибуд.!O814</f>
        <v>0</v>
      </c>
      <c r="E814" s="886">
        <f>гар.вода!M814+хол.вода!Q814+ц.о.!M814+каналізація!Q814+аварійні!I814+зварювальн!M814</f>
        <v>0.21998341450019732</v>
      </c>
      <c r="F814" s="886">
        <f>дератизац.!I814</f>
        <v>5.2681091251175916E-3</v>
      </c>
      <c r="G814" s="886">
        <f>димоканал!R814</f>
        <v>8.5999136424715586E-2</v>
      </c>
      <c r="H814" s="886">
        <f>'підготовка до зими'!M814+майстерні!M814+маляри!M814+покрівлі!O814</f>
        <v>0.31107839185412789</v>
      </c>
      <c r="I814" s="886">
        <f>електрики!R814</f>
        <v>2.8140026755735677E-2</v>
      </c>
      <c r="J814" s="989">
        <f t="shared" si="97"/>
        <v>0.65046907865989412</v>
      </c>
      <c r="K814" s="989">
        <v>1.6921930258505521E-2</v>
      </c>
      <c r="L814" s="994">
        <f t="shared" ref="L814:L877" si="101">J814+K814</f>
        <v>0.66739100891839964</v>
      </c>
      <c r="M814" s="994">
        <f t="shared" si="98"/>
        <v>0.8008692107020795</v>
      </c>
      <c r="N814" s="753">
        <v>2</v>
      </c>
      <c r="O814" s="1003">
        <v>0.69718352665042749</v>
      </c>
      <c r="P814" s="22">
        <f t="shared" si="99"/>
        <v>0.10368568405165202</v>
      </c>
      <c r="Q814" s="982">
        <f t="shared" si="100"/>
        <v>14.872078884279304</v>
      </c>
      <c r="R814" s="6"/>
      <c r="S814" s="6"/>
      <c r="T814" s="6"/>
      <c r="U814" s="6"/>
      <c r="V814" s="6"/>
      <c r="W814" s="6"/>
      <c r="X814" s="6"/>
      <c r="Y814" s="6"/>
      <c r="Z814" s="6"/>
    </row>
    <row r="815" spans="1:26" s="892" customFormat="1" ht="15.75">
      <c r="A815" s="236">
        <v>67</v>
      </c>
      <c r="B815" s="233" t="s">
        <v>827</v>
      </c>
      <c r="C815" s="886">
        <f>cходова!R815</f>
        <v>0</v>
      </c>
      <c r="D815" s="886">
        <f>прибуд.!O815</f>
        <v>0.62988426002599107</v>
      </c>
      <c r="E815" s="886">
        <f>гар.вода!M815+хол.вода!Q815+ц.о.!M815+каналізація!Q815+аварійні!I815+зварювальн!M815</f>
        <v>0.19621259210539049</v>
      </c>
      <c r="F815" s="886">
        <f>дератизац.!I815</f>
        <v>5.4580896686159848E-3</v>
      </c>
      <c r="G815" s="886">
        <f>димоканал!R815</f>
        <v>0.11437165510347054</v>
      </c>
      <c r="H815" s="886">
        <f>'підготовка до зими'!M815+майстерні!M815+маляри!M815+покрівлі!O815</f>
        <v>0.30621723311601651</v>
      </c>
      <c r="I815" s="886">
        <f>електрики!R815</f>
        <v>1.9986910458058608E-2</v>
      </c>
      <c r="J815" s="989">
        <f t="shared" si="97"/>
        <v>1.2721307404775433</v>
      </c>
      <c r="K815" s="989">
        <v>3.6581241429463E-2</v>
      </c>
      <c r="L815" s="994">
        <f t="shared" si="101"/>
        <v>1.3087119819070063</v>
      </c>
      <c r="M815" s="994">
        <f t="shared" si="98"/>
        <v>1.5704543782884075</v>
      </c>
      <c r="N815" s="753">
        <v>2</v>
      </c>
      <c r="O815" s="1003">
        <v>1.5071471468938757</v>
      </c>
      <c r="P815" s="22">
        <f t="shared" si="99"/>
        <v>6.330723139453176E-2</v>
      </c>
      <c r="Q815" s="982">
        <f t="shared" si="100"/>
        <v>4.2004678524590844</v>
      </c>
      <c r="R815" s="6"/>
      <c r="S815" s="6"/>
      <c r="T815" s="6"/>
      <c r="U815" s="6"/>
      <c r="V815" s="6"/>
      <c r="W815" s="6"/>
      <c r="X815" s="6"/>
      <c r="Y815" s="6"/>
      <c r="Z815" s="6"/>
    </row>
    <row r="816" spans="1:26" s="93" customFormat="1" ht="15.75">
      <c r="A816" s="236">
        <v>68</v>
      </c>
      <c r="B816" s="233" t="s">
        <v>828</v>
      </c>
      <c r="C816" s="886">
        <f>cходова!R816</f>
        <v>0</v>
      </c>
      <c r="D816" s="886">
        <f>прибуд.!O816</f>
        <v>0.59002261316990701</v>
      </c>
      <c r="E816" s="886">
        <f>гар.вода!M816+хол.вода!Q816+ц.о.!M816+каналізація!Q816+аварійні!I816+зварювальн!M816</f>
        <v>0.21419351207976117</v>
      </c>
      <c r="F816" s="886">
        <f>дератизац.!I816</f>
        <v>1.124260355029586E-2</v>
      </c>
      <c r="G816" s="886">
        <f>димоканал!R816</f>
        <v>0.16525793603741185</v>
      </c>
      <c r="H816" s="886">
        <f>'підготовка до зими'!M816+майстерні!M816+маляри!M816+покрівлі!O816</f>
        <v>0.58726563066551263</v>
      </c>
      <c r="I816" s="886">
        <f>електрики!R816</f>
        <v>2.3112505077450701E-2</v>
      </c>
      <c r="J816" s="989">
        <f t="shared" si="97"/>
        <v>1.5910948005803394</v>
      </c>
      <c r="K816" s="989">
        <v>3.8252941003624481E-2</v>
      </c>
      <c r="L816" s="994">
        <f t="shared" si="101"/>
        <v>1.6293477415839639</v>
      </c>
      <c r="M816" s="994">
        <f t="shared" si="98"/>
        <v>1.9552172899007565</v>
      </c>
      <c r="N816" s="753">
        <v>2</v>
      </c>
      <c r="O816" s="1003">
        <v>1.5760211693493289</v>
      </c>
      <c r="P816" s="22">
        <f t="shared" si="99"/>
        <v>0.3791961205514276</v>
      </c>
      <c r="Q816" s="982">
        <f t="shared" si="100"/>
        <v>24.060344361236048</v>
      </c>
      <c r="R816" s="6"/>
      <c r="S816" s="6"/>
      <c r="T816" s="6"/>
      <c r="U816" s="6"/>
      <c r="V816" s="6"/>
      <c r="W816" s="6"/>
      <c r="X816" s="6"/>
      <c r="Y816" s="6"/>
      <c r="Z816" s="6"/>
    </row>
    <row r="817" spans="1:26" s="93" customFormat="1" ht="15.75">
      <c r="A817" s="236">
        <v>69</v>
      </c>
      <c r="B817" s="233" t="s">
        <v>829</v>
      </c>
      <c r="C817" s="886">
        <f>cходова!R817</f>
        <v>0</v>
      </c>
      <c r="D817" s="886">
        <f>прибуд.!O817</f>
        <v>0</v>
      </c>
      <c r="E817" s="886">
        <f>гар.вода!M817+хол.вода!Q817+ц.о.!M817+каналізація!Q817+аварійні!I817+зварювальн!M817</f>
        <v>0.2463901668247018</v>
      </c>
      <c r="F817" s="886">
        <f>дератизац.!I817</f>
        <v>3.1500000000000005E-3</v>
      </c>
      <c r="G817" s="886">
        <f>димоканал!R817</f>
        <v>9.5776150652925551E-2</v>
      </c>
      <c r="H817" s="886">
        <f>'підготовка до зими'!M817+майстерні!M817+маляри!M817+покрівлі!O817</f>
        <v>0.39693298214711437</v>
      </c>
      <c r="I817" s="886">
        <f>електрики!R817</f>
        <v>2.8709198181955387E-2</v>
      </c>
      <c r="J817" s="989">
        <f t="shared" si="97"/>
        <v>0.77095849780669712</v>
      </c>
      <c r="K817" s="989">
        <v>1.9944431649053435E-2</v>
      </c>
      <c r="L817" s="994">
        <f t="shared" si="101"/>
        <v>0.79090292945575058</v>
      </c>
      <c r="M817" s="994">
        <f t="shared" si="98"/>
        <v>0.94908351534690061</v>
      </c>
      <c r="N817" s="753">
        <v>2</v>
      </c>
      <c r="O817" s="1003">
        <v>0.8217105839410016</v>
      </c>
      <c r="P817" s="22">
        <f t="shared" si="99"/>
        <v>0.127372931405899</v>
      </c>
      <c r="Q817" s="982">
        <f t="shared" si="100"/>
        <v>15.500948131275891</v>
      </c>
      <c r="R817" s="6"/>
      <c r="S817" s="6"/>
      <c r="T817" s="6"/>
      <c r="U817" s="6"/>
      <c r="V817" s="6"/>
      <c r="W817" s="6"/>
      <c r="X817" s="6"/>
      <c r="Y817" s="6"/>
      <c r="Z817" s="6"/>
    </row>
    <row r="818" spans="1:26" s="93" customFormat="1" ht="15.75">
      <c r="A818" s="236">
        <v>70</v>
      </c>
      <c r="B818" s="233" t="s">
        <v>830</v>
      </c>
      <c r="C818" s="886">
        <f>cходова!R818</f>
        <v>0.16984335476139065</v>
      </c>
      <c r="D818" s="886">
        <f>прибуд.!O818</f>
        <v>0.43822355690607045</v>
      </c>
      <c r="E818" s="886">
        <f>гар.вода!M818+хол.вода!Q818+ц.о.!M818+каналізація!Q818+аварійні!I818+зварювальн!M818</f>
        <v>0.16826586627199014</v>
      </c>
      <c r="F818" s="886">
        <f>дератизац.!I818</f>
        <v>6.2617580877199451E-3</v>
      </c>
      <c r="G818" s="886">
        <f>димоканал!R818</f>
        <v>4.6790659506490619E-2</v>
      </c>
      <c r="H818" s="886">
        <f>'підготовка до зими'!M818+майстерні!M818+маляри!M818+покрівлі!O818</f>
        <v>0.34205877236018101</v>
      </c>
      <c r="I818" s="886">
        <f>електрики!R818</f>
        <v>2.0436065703291775E-2</v>
      </c>
      <c r="J818" s="989">
        <f t="shared" si="97"/>
        <v>1.1918800335971347</v>
      </c>
      <c r="K818" s="989">
        <v>3.3111775952143013E-2</v>
      </c>
      <c r="L818" s="994">
        <f t="shared" si="101"/>
        <v>1.2249918095492778</v>
      </c>
      <c r="M818" s="994">
        <f t="shared" si="98"/>
        <v>1.4699901714591332</v>
      </c>
      <c r="N818" s="753">
        <v>3</v>
      </c>
      <c r="O818" s="1003">
        <v>1.3642051692282924</v>
      </c>
      <c r="P818" s="22">
        <f t="shared" si="99"/>
        <v>0.10578500223084086</v>
      </c>
      <c r="Q818" s="982">
        <f t="shared" si="100"/>
        <v>7.7543323113693958</v>
      </c>
      <c r="R818" s="6"/>
      <c r="S818" s="6"/>
      <c r="T818" s="6"/>
      <c r="U818" s="6"/>
      <c r="V818" s="6"/>
      <c r="W818" s="6"/>
      <c r="X818" s="6"/>
      <c r="Y818" s="6"/>
      <c r="Z818" s="6"/>
    </row>
    <row r="819" spans="1:26" s="93" customFormat="1" ht="15.75">
      <c r="A819" s="236">
        <v>71</v>
      </c>
      <c r="B819" s="233" t="s">
        <v>831</v>
      </c>
      <c r="C819" s="886">
        <f>cходова!R819</f>
        <v>0</v>
      </c>
      <c r="D819" s="886">
        <f>прибуд.!O819</f>
        <v>0.73639319705008977</v>
      </c>
      <c r="E819" s="886">
        <f>гар.вода!M819+хол.вода!Q819+ц.о.!M819+каналізація!Q819+аварійні!I819+зварювальн!M819</f>
        <v>0.19671911498501141</v>
      </c>
      <c r="F819" s="886">
        <f>дератизац.!I819</f>
        <v>2.0558002936857563E-3</v>
      </c>
      <c r="G819" s="886">
        <f>димоканал!R819</f>
        <v>5.9078251410918034E-2</v>
      </c>
      <c r="H819" s="886">
        <f>'підготовка до зими'!M819+майстерні!M819+маляри!M819+покрівлі!O819</f>
        <v>0.52185027694012898</v>
      </c>
      <c r="I819" s="886">
        <f>електрики!R819</f>
        <v>2.0074958521750494E-2</v>
      </c>
      <c r="J819" s="989">
        <f t="shared" si="97"/>
        <v>1.5361715992015843</v>
      </c>
      <c r="K819" s="989">
        <v>3.8480934214663615E-2</v>
      </c>
      <c r="L819" s="994">
        <f t="shared" si="101"/>
        <v>1.574652533416248</v>
      </c>
      <c r="M819" s="994">
        <f t="shared" si="98"/>
        <v>1.8895830400994975</v>
      </c>
      <c r="N819" s="753">
        <v>2</v>
      </c>
      <c r="O819" s="1003">
        <v>1.5854144896441409</v>
      </c>
      <c r="P819" s="22">
        <f t="shared" si="99"/>
        <v>0.30416855045535662</v>
      </c>
      <c r="Q819" s="982">
        <f t="shared" si="100"/>
        <v>19.185427687344387</v>
      </c>
      <c r="R819" s="6"/>
      <c r="S819" s="6"/>
      <c r="T819" s="6"/>
      <c r="U819" s="6"/>
      <c r="V819" s="6"/>
      <c r="W819" s="6"/>
      <c r="X819" s="6"/>
      <c r="Y819" s="6"/>
      <c r="Z819" s="6"/>
    </row>
    <row r="820" spans="1:26" s="892" customFormat="1" ht="15.75">
      <c r="A820" s="236">
        <v>72</v>
      </c>
      <c r="B820" s="233" t="s">
        <v>832</v>
      </c>
      <c r="C820" s="886">
        <f>cходова!R820</f>
        <v>0</v>
      </c>
      <c r="D820" s="886">
        <f>прибуд.!O820</f>
        <v>0.67929943781984348</v>
      </c>
      <c r="E820" s="886">
        <f>гар.вода!M820+хол.вода!Q820+ц.о.!M820+каналізація!Q820+аварійні!I820+зварювальн!M820</f>
        <v>0.17363674833442194</v>
      </c>
      <c r="F820" s="886">
        <f>дератизац.!I820</f>
        <v>6.2826370757180167E-3</v>
      </c>
      <c r="G820" s="886">
        <f>димоканал!R820</f>
        <v>5.3981034433790397E-2</v>
      </c>
      <c r="H820" s="886">
        <f>'підготовка до зими'!M820+майстерні!M820+маляри!M820+покрівлі!O820</f>
        <v>0.28254760033955717</v>
      </c>
      <c r="I820" s="886">
        <f>електрики!R820</f>
        <v>1.6062587569165641E-2</v>
      </c>
      <c r="J820" s="989">
        <f t="shared" si="97"/>
        <v>1.2118100455724967</v>
      </c>
      <c r="K820" s="989">
        <v>3.0675020822028779E-2</v>
      </c>
      <c r="L820" s="994">
        <f t="shared" si="101"/>
        <v>1.2424850663945255</v>
      </c>
      <c r="M820" s="994">
        <f t="shared" si="98"/>
        <v>1.4909820796734305</v>
      </c>
      <c r="N820" s="753">
        <v>2</v>
      </c>
      <c r="O820" s="1003">
        <v>1.2638108578675857</v>
      </c>
      <c r="P820" s="22">
        <f t="shared" si="99"/>
        <v>0.22717122180584481</v>
      </c>
      <c r="Q820" s="982">
        <f t="shared" si="100"/>
        <v>17.975096541673039</v>
      </c>
      <c r="R820" s="6"/>
      <c r="S820" s="6"/>
      <c r="T820" s="6"/>
      <c r="U820" s="6"/>
      <c r="V820" s="6"/>
      <c r="W820" s="6"/>
      <c r="X820" s="6"/>
      <c r="Y820" s="6"/>
      <c r="Z820" s="6"/>
    </row>
    <row r="821" spans="1:26" s="93" customFormat="1" ht="15.75">
      <c r="A821" s="894">
        <v>73</v>
      </c>
      <c r="B821" s="233" t="s">
        <v>878</v>
      </c>
      <c r="C821" s="886">
        <f>cходова!R821</f>
        <v>0.88415889051084118</v>
      </c>
      <c r="D821" s="886">
        <f>прибуд.!O821</f>
        <v>0</v>
      </c>
      <c r="E821" s="886">
        <f>гар.вода!M821+хол.вода!Q821+ц.о.!M821+каналізація!Q821+аварійні!I821+зварювальн!M821</f>
        <v>0.17516344249047275</v>
      </c>
      <c r="F821" s="886">
        <f>дератизац.!I821</f>
        <v>4.6446818392940088E-3</v>
      </c>
      <c r="G821" s="886">
        <f>димоканал!R821</f>
        <v>0.11790442037848418</v>
      </c>
      <c r="H821" s="886">
        <f>'підготовка до зими'!M821+майстерні!M821+маляри!M821+покрівлі!O821</f>
        <v>0.33092629009138597</v>
      </c>
      <c r="I821" s="886">
        <f>електрики!R821</f>
        <v>1.6327970377520908E-2</v>
      </c>
      <c r="J821" s="989">
        <f t="shared" si="97"/>
        <v>1.5291256956879991</v>
      </c>
      <c r="K821" s="989">
        <v>3.8347810315596233E-2</v>
      </c>
      <c r="L821" s="994">
        <f t="shared" si="101"/>
        <v>1.5674735060035954</v>
      </c>
      <c r="M821" s="994">
        <f t="shared" si="98"/>
        <v>1.8809682072043143</v>
      </c>
      <c r="N821" s="753">
        <v>3</v>
      </c>
      <c r="O821" s="1003">
        <v>1.5799297850025649</v>
      </c>
      <c r="P821" s="22">
        <f t="shared" si="99"/>
        <v>0.30103842220174948</v>
      </c>
      <c r="Q821" s="982">
        <f t="shared" si="100"/>
        <v>19.053911449695264</v>
      </c>
      <c r="R821" s="6"/>
      <c r="S821" s="6"/>
      <c r="T821" s="6"/>
      <c r="U821" s="6"/>
      <c r="V821" s="6"/>
      <c r="W821" s="6"/>
      <c r="X821" s="6"/>
      <c r="Y821" s="6"/>
      <c r="Z821" s="6"/>
    </row>
    <row r="822" spans="1:26" s="93" customFormat="1" ht="15.75">
      <c r="A822" s="236">
        <v>74</v>
      </c>
      <c r="B822" s="233" t="s">
        <v>879</v>
      </c>
      <c r="C822" s="886">
        <f>cходова!R822</f>
        <v>0.60180711063954251</v>
      </c>
      <c r="D822" s="886">
        <f>прибуд.!O822</f>
        <v>0.28511192715595862</v>
      </c>
      <c r="E822" s="886">
        <f>гар.вода!M822+хол.вода!Q822+ц.о.!M822+каналізація!Q822+аварійні!I822+зварювальн!M822</f>
        <v>0.22468977241944915</v>
      </c>
      <c r="F822" s="886">
        <f>дератизац.!I822</f>
        <v>2.9261248479935144E-3</v>
      </c>
      <c r="G822" s="886">
        <f>димоканал!R822</f>
        <v>4.5413568823107854E-2</v>
      </c>
      <c r="H822" s="886">
        <f>'підготовка до зими'!M822+майстерні!M822+маляри!M822+покрівлі!O822</f>
        <v>0.23519902097271544</v>
      </c>
      <c r="I822" s="886">
        <f>електрики!R822</f>
        <v>2.49370532589803E-2</v>
      </c>
      <c r="J822" s="989">
        <f t="shared" si="97"/>
        <v>1.4200845781177476</v>
      </c>
      <c r="K822" s="989">
        <v>3.5776574568707427E-2</v>
      </c>
      <c r="L822" s="994">
        <f t="shared" si="101"/>
        <v>1.4558611526864551</v>
      </c>
      <c r="M822" s="994">
        <f t="shared" si="98"/>
        <v>1.7470333832237461</v>
      </c>
      <c r="N822" s="753">
        <v>3</v>
      </c>
      <c r="O822" s="1003">
        <v>1.4739948722307461</v>
      </c>
      <c r="P822" s="22">
        <f t="shared" si="99"/>
        <v>0.27303851099300003</v>
      </c>
      <c r="Q822" s="982">
        <f t="shared" si="100"/>
        <v>18.523708334194083</v>
      </c>
      <c r="R822" s="6"/>
      <c r="S822" s="6"/>
      <c r="T822" s="6"/>
      <c r="U822" s="6"/>
      <c r="V822" s="6"/>
      <c r="W822" s="6"/>
      <c r="X822" s="6"/>
      <c r="Y822" s="6"/>
      <c r="Z822" s="6"/>
    </row>
    <row r="823" spans="1:26" s="93" customFormat="1" ht="15.75">
      <c r="A823" s="236">
        <v>75</v>
      </c>
      <c r="B823" s="233" t="s">
        <v>880</v>
      </c>
      <c r="C823" s="886">
        <f>cходова!R823</f>
        <v>0.5581995393361987</v>
      </c>
      <c r="D823" s="886">
        <f>прибуд.!O823</f>
        <v>0.19727297412063621</v>
      </c>
      <c r="E823" s="886">
        <f>гар.вода!M823+хол.вода!Q823+ц.о.!M823+каналізація!Q823+аварійні!I823+зварювальн!M823</f>
        <v>0.21983894709947499</v>
      </c>
      <c r="F823" s="886">
        <f>дератизац.!I823</f>
        <v>2.6215688290325899E-3</v>
      </c>
      <c r="G823" s="886">
        <f>димоканал!R823</f>
        <v>3.6962587119516326E-2</v>
      </c>
      <c r="H823" s="886">
        <f>'підготовка до зими'!M823+майстерні!M823+маляри!M823+покрівлі!O823</f>
        <v>0.18560488806885134</v>
      </c>
      <c r="I823" s="886">
        <f>електрики!R823</f>
        <v>2.4093842036121114E-2</v>
      </c>
      <c r="J823" s="989">
        <f t="shared" si="97"/>
        <v>1.2245943466098312</v>
      </c>
      <c r="K823" s="989">
        <v>3.0887478545139509E-2</v>
      </c>
      <c r="L823" s="994">
        <f t="shared" si="101"/>
        <v>1.2554818251549706</v>
      </c>
      <c r="M823" s="994">
        <f t="shared" si="98"/>
        <v>1.5065781901859647</v>
      </c>
      <c r="N823" s="753">
        <v>3</v>
      </c>
      <c r="O823" s="1003">
        <v>1.2725641160597478</v>
      </c>
      <c r="P823" s="22">
        <f t="shared" si="99"/>
        <v>0.23401407412621689</v>
      </c>
      <c r="Q823" s="982">
        <f t="shared" si="100"/>
        <v>18.389177501782527</v>
      </c>
      <c r="R823" s="6"/>
      <c r="S823" s="6"/>
      <c r="T823" s="6"/>
      <c r="U823" s="6"/>
      <c r="V823" s="6"/>
      <c r="W823" s="6"/>
      <c r="X823" s="6"/>
      <c r="Y823" s="6"/>
      <c r="Z823" s="6"/>
    </row>
    <row r="824" spans="1:26" s="93" customFormat="1" ht="15.75">
      <c r="A824" s="236">
        <v>76</v>
      </c>
      <c r="B824" s="233" t="s">
        <v>881</v>
      </c>
      <c r="C824" s="886">
        <f>cходова!R824</f>
        <v>0.44898421420461909</v>
      </c>
      <c r="D824" s="886">
        <f>прибуд.!O824</f>
        <v>0.13515336581153992</v>
      </c>
      <c r="E824" s="886">
        <f>гар.вода!M824+хол.вода!Q824+ц.о.!M824+каналізація!Q824+аварійні!I824+зварювальн!M824</f>
        <v>0.2028548322533649</v>
      </c>
      <c r="F824" s="886">
        <f>дератизац.!I824</f>
        <v>2.4055809477988937E-3</v>
      </c>
      <c r="G824" s="886">
        <f>димоканал!R824</f>
        <v>5.154013995172977E-2</v>
      </c>
      <c r="H824" s="886">
        <f>'підготовка до зими'!M824+майстерні!M824+маляри!M824+покрівлі!O824</f>
        <v>0.25875063527028441</v>
      </c>
      <c r="I824" s="886">
        <f>електрики!R824</f>
        <v>2.1141520461151378E-2</v>
      </c>
      <c r="J824" s="989">
        <f t="shared" si="97"/>
        <v>1.1208302889004884</v>
      </c>
      <c r="K824" s="989">
        <v>2.8388642033764556E-2</v>
      </c>
      <c r="L824" s="994">
        <f t="shared" si="101"/>
        <v>1.1492189309342529</v>
      </c>
      <c r="M824" s="994">
        <f t="shared" si="98"/>
        <v>1.3790627171211034</v>
      </c>
      <c r="N824" s="753">
        <v>3</v>
      </c>
      <c r="O824" s="1003">
        <v>1.1696120517910997</v>
      </c>
      <c r="P824" s="22">
        <f t="shared" si="99"/>
        <v>0.20945066533000367</v>
      </c>
      <c r="Q824" s="982">
        <f t="shared" si="100"/>
        <v>17.907704098060435</v>
      </c>
      <c r="R824" s="6"/>
      <c r="S824" s="6"/>
      <c r="T824" s="6"/>
      <c r="U824" s="6"/>
      <c r="V824" s="6"/>
      <c r="W824" s="6"/>
      <c r="X824" s="6"/>
      <c r="Y824" s="6"/>
      <c r="Z824" s="6"/>
    </row>
    <row r="825" spans="1:26" s="93" customFormat="1" ht="15.75">
      <c r="A825" s="236">
        <v>77</v>
      </c>
      <c r="B825" s="233" t="s">
        <v>882</v>
      </c>
      <c r="C825" s="886">
        <f>cходова!R825</f>
        <v>0.3031506247002983</v>
      </c>
      <c r="D825" s="886">
        <f>прибуд.!O825</f>
        <v>0.72051274638248852</v>
      </c>
      <c r="E825" s="886">
        <f>гар.вода!M825+хол.вода!Q825+ц.о.!M825+каналізація!Q825+аварійні!I825+зварювальн!M825</f>
        <v>0.17183880450630457</v>
      </c>
      <c r="F825" s="886">
        <f>дератизац.!I825</f>
        <v>6.1827956989247319E-3</v>
      </c>
      <c r="G825" s="886">
        <f>димоканал!R825</f>
        <v>9.9397085176199176E-2</v>
      </c>
      <c r="H825" s="886">
        <f>'підготовка до зими'!M825+майстерні!M825+маляри!M825+покрівлі!O825</f>
        <v>0.23717223482399585</v>
      </c>
      <c r="I825" s="886">
        <f>електрики!R825</f>
        <v>1.5750053863262774E-2</v>
      </c>
      <c r="J825" s="989">
        <f t="shared" si="97"/>
        <v>1.554004345151474</v>
      </c>
      <c r="K825" s="989">
        <v>3.8713365807173938E-2</v>
      </c>
      <c r="L825" s="994">
        <f t="shared" si="101"/>
        <v>1.5927177109586479</v>
      </c>
      <c r="M825" s="994">
        <f t="shared" si="98"/>
        <v>1.9112612531503774</v>
      </c>
      <c r="N825" s="753">
        <v>3</v>
      </c>
      <c r="O825" s="1003">
        <v>1.5949906712555662</v>
      </c>
      <c r="P825" s="22">
        <f t="shared" si="99"/>
        <v>0.31627058189481128</v>
      </c>
      <c r="Q825" s="982">
        <f t="shared" si="100"/>
        <v>19.828992582498614</v>
      </c>
      <c r="R825" s="6"/>
      <c r="S825" s="6"/>
      <c r="T825" s="6"/>
      <c r="U825" s="6"/>
      <c r="V825" s="6"/>
      <c r="W825" s="6"/>
      <c r="X825" s="6"/>
      <c r="Y825" s="6"/>
      <c r="Z825" s="6"/>
    </row>
    <row r="826" spans="1:26" s="93" customFormat="1" ht="15.75">
      <c r="A826" s="236">
        <v>78</v>
      </c>
      <c r="B826" s="233" t="s">
        <v>883</v>
      </c>
      <c r="C826" s="886">
        <f>cходова!R826</f>
        <v>0</v>
      </c>
      <c r="D826" s="886">
        <f>прибуд.!O826</f>
        <v>0</v>
      </c>
      <c r="E826" s="886">
        <f>гар.вода!M826+хол.вода!Q826+ц.о.!M826+каналізація!Q826+аварійні!I826+зварювальн!M826</f>
        <v>0.18554567785179815</v>
      </c>
      <c r="F826" s="886">
        <f>дератизац.!I826</f>
        <v>2.8369316925797657E-3</v>
      </c>
      <c r="G826" s="886">
        <f>димоканал!R826</f>
        <v>8.5149550914430591E-2</v>
      </c>
      <c r="H826" s="886">
        <f>'підготовка до зими'!M826+майстерні!M826+маляри!M826+покрівлі!O826</f>
        <v>0.42215208159833328</v>
      </c>
      <c r="I826" s="886">
        <f>електрики!R826</f>
        <v>1.8132697779059584E-2</v>
      </c>
      <c r="J826" s="989">
        <f t="shared" si="97"/>
        <v>0.71381693983620131</v>
      </c>
      <c r="K826" s="989">
        <v>1.8491386226429658E-2</v>
      </c>
      <c r="L826" s="994">
        <f t="shared" si="101"/>
        <v>0.73230832606263097</v>
      </c>
      <c r="M826" s="994">
        <f t="shared" si="98"/>
        <v>0.87876999127515709</v>
      </c>
      <c r="N826" s="753">
        <v>2</v>
      </c>
      <c r="O826" s="1003">
        <v>0.76184511252890197</v>
      </c>
      <c r="P826" s="22">
        <f t="shared" si="99"/>
        <v>0.11692487874625512</v>
      </c>
      <c r="Q826" s="982">
        <f t="shared" si="100"/>
        <v>15.347591895435215</v>
      </c>
      <c r="R826" s="6"/>
      <c r="S826" s="6"/>
      <c r="T826" s="6"/>
      <c r="U826" s="6"/>
      <c r="V826" s="6"/>
      <c r="W826" s="6"/>
      <c r="X826" s="6"/>
      <c r="Y826" s="6"/>
      <c r="Z826" s="6"/>
    </row>
    <row r="827" spans="1:26" s="93" customFormat="1" ht="15.75">
      <c r="A827" s="236">
        <v>79</v>
      </c>
      <c r="B827" s="233" t="s">
        <v>884</v>
      </c>
      <c r="C827" s="886">
        <f>cходова!R827</f>
        <v>0</v>
      </c>
      <c r="D827" s="886">
        <f>прибуд.!O827</f>
        <v>0</v>
      </c>
      <c r="E827" s="886">
        <f>гар.вода!M827+хол.вода!Q827+ц.о.!M827+каналізація!Q827+аварійні!I827+зварювальн!M827</f>
        <v>0.17476624270059643</v>
      </c>
      <c r="F827" s="886">
        <f>дератизац.!I827</f>
        <v>2.0812685827552033E-3</v>
      </c>
      <c r="G827" s="886">
        <f>димоканал!R827</f>
        <v>5.72628620148532E-2</v>
      </c>
      <c r="H827" s="886">
        <f>'підготовка до зими'!M827+майстерні!M827+маляри!M827+покрівлі!O827</f>
        <v>0.43290688567023083</v>
      </c>
      <c r="I827" s="886">
        <f>електрики!R827</f>
        <v>1.625892577202627E-2</v>
      </c>
      <c r="J827" s="989">
        <f t="shared" si="97"/>
        <v>0.68327618474046203</v>
      </c>
      <c r="K827" s="989">
        <v>1.767093019213584E-2</v>
      </c>
      <c r="L827" s="994">
        <f t="shared" si="101"/>
        <v>0.70094711493259787</v>
      </c>
      <c r="M827" s="994">
        <f t="shared" si="98"/>
        <v>0.84113653791911747</v>
      </c>
      <c r="N827" s="753">
        <v>2</v>
      </c>
      <c r="O827" s="1003">
        <v>0.72804232391599655</v>
      </c>
      <c r="P827" s="22">
        <f t="shared" si="99"/>
        <v>0.11309421400312092</v>
      </c>
      <c r="Q827" s="982">
        <f t="shared" si="100"/>
        <v>15.534016400970941</v>
      </c>
      <c r="R827" s="6"/>
      <c r="S827" s="6"/>
      <c r="T827" s="6"/>
      <c r="U827" s="6"/>
      <c r="V827" s="6"/>
      <c r="W827" s="6"/>
      <c r="X827" s="6"/>
      <c r="Y827" s="6"/>
      <c r="Z827" s="6"/>
    </row>
    <row r="828" spans="1:26" s="93" customFormat="1" ht="15.75">
      <c r="A828" s="236">
        <v>80</v>
      </c>
      <c r="B828" s="233" t="s">
        <v>885</v>
      </c>
      <c r="C828" s="886">
        <f>cходова!R828</f>
        <v>0.27670366483841469</v>
      </c>
      <c r="D828" s="886">
        <f>прибуд.!O828</f>
        <v>0.30313569636072646</v>
      </c>
      <c r="E828" s="886">
        <f>гар.вода!M828+хол.вода!Q828+ц.о.!M828+каналізація!Q828+аварійні!I828+зварювальн!M828</f>
        <v>0.18630589842317741</v>
      </c>
      <c r="F828" s="886">
        <f>дератизац.!I828</f>
        <v>0</v>
      </c>
      <c r="G828" s="886">
        <f>димоканал!R828</f>
        <v>5.3654012454231945E-3</v>
      </c>
      <c r="H828" s="886">
        <f>'підготовка до зими'!M828+майстерні!M828+маляри!M828+покрівлі!O828</f>
        <v>0.17327086489436777</v>
      </c>
      <c r="I828" s="886">
        <f>електрики!R828</f>
        <v>1.826484570757721E-2</v>
      </c>
      <c r="J828" s="989">
        <f t="shared" si="97"/>
        <v>0.96304637146968675</v>
      </c>
      <c r="K828" s="989">
        <v>2.4308887409925581E-2</v>
      </c>
      <c r="L828" s="994">
        <f t="shared" si="101"/>
        <v>0.98735525887961229</v>
      </c>
      <c r="M828" s="994">
        <f t="shared" si="98"/>
        <v>1.1848263106555348</v>
      </c>
      <c r="N828" s="753">
        <v>4</v>
      </c>
      <c r="O828" s="1003">
        <v>1.0015261612889339</v>
      </c>
      <c r="P828" s="22">
        <f t="shared" si="99"/>
        <v>0.18330014936660088</v>
      </c>
      <c r="Q828" s="982">
        <f t="shared" si="100"/>
        <v>18.302083006069367</v>
      </c>
      <c r="R828" s="6"/>
      <c r="S828" s="6"/>
      <c r="T828" s="6"/>
      <c r="U828" s="6"/>
      <c r="V828" s="6"/>
      <c r="W828" s="6"/>
      <c r="X828" s="6"/>
      <c r="Y828" s="6"/>
      <c r="Z828" s="6"/>
    </row>
    <row r="829" spans="1:26" s="93" customFormat="1" ht="15.75">
      <c r="A829" s="236">
        <v>81</v>
      </c>
      <c r="B829" s="233" t="s">
        <v>886</v>
      </c>
      <c r="C829" s="886">
        <f>cходова!R829</f>
        <v>0</v>
      </c>
      <c r="D829" s="886">
        <f>прибуд.!O829</f>
        <v>0</v>
      </c>
      <c r="E829" s="886">
        <f>гар.вода!M829+хол.вода!Q829+ц.о.!M829+каналізація!Q829+аварійні!I829+зварювальн!M829</f>
        <v>0.14742671281999759</v>
      </c>
      <c r="F829" s="886">
        <f>дератизац.!I829</f>
        <v>4.9097540447021418E-3</v>
      </c>
      <c r="G829" s="886">
        <f>димоканал!R829</f>
        <v>7.6608623678563553E-2</v>
      </c>
      <c r="H829" s="886">
        <f>'підготовка до зими'!M829+майстерні!M829+маляри!M829+покрівлі!O829</f>
        <v>0.33386001647066788</v>
      </c>
      <c r="I829" s="886">
        <f>електрики!R829</f>
        <v>1.2437018172425837E-2</v>
      </c>
      <c r="J829" s="989">
        <f t="shared" si="97"/>
        <v>0.57524212518635698</v>
      </c>
      <c r="K829" s="989">
        <v>1.4981813006316548E-2</v>
      </c>
      <c r="L829" s="994">
        <f t="shared" si="101"/>
        <v>0.59022393819267349</v>
      </c>
      <c r="M829" s="994">
        <f t="shared" si="98"/>
        <v>0.70826872583120815</v>
      </c>
      <c r="N829" s="753">
        <v>2</v>
      </c>
      <c r="O829" s="1003">
        <v>0.61725069586024173</v>
      </c>
      <c r="P829" s="22">
        <f t="shared" si="99"/>
        <v>9.1018029970966419E-2</v>
      </c>
      <c r="Q829" s="982">
        <f t="shared" si="100"/>
        <v>14.745715246884842</v>
      </c>
      <c r="R829" s="6"/>
      <c r="S829" s="6"/>
      <c r="T829" s="6"/>
      <c r="U829" s="6"/>
      <c r="V829" s="6"/>
      <c r="W829" s="6"/>
      <c r="X829" s="6"/>
      <c r="Y829" s="6"/>
      <c r="Z829" s="6"/>
    </row>
    <row r="830" spans="1:26" s="93" customFormat="1" ht="15.75">
      <c r="A830" s="894">
        <v>82</v>
      </c>
      <c r="B830" s="233" t="s">
        <v>887</v>
      </c>
      <c r="C830" s="886">
        <f>cходова!R830</f>
        <v>0.38208799853087472</v>
      </c>
      <c r="D830" s="886">
        <f>прибуд.!O830</f>
        <v>0.2919643179371183</v>
      </c>
      <c r="E830" s="886">
        <f>гар.вода!M830+хол.вода!Q830+ц.о.!M830+каналізація!Q830+аварійні!I830+зварювальн!M830</f>
        <v>0.24726599669303168</v>
      </c>
      <c r="F830" s="886">
        <f>дератизац.!I830</f>
        <v>2.638920304606801E-3</v>
      </c>
      <c r="G830" s="886">
        <f>димоканал!R830</f>
        <v>0.10055254612517411</v>
      </c>
      <c r="H830" s="886">
        <f>'підготовка до зими'!M830+майстерні!M830+маляри!M830+покрівлі!O830</f>
        <v>0.25495268893977208</v>
      </c>
      <c r="I830" s="886">
        <f>електрики!R830</f>
        <v>2.8861442290035323E-2</v>
      </c>
      <c r="J830" s="989">
        <f t="shared" si="97"/>
        <v>1.3083239108206131</v>
      </c>
      <c r="K830" s="989">
        <v>3.3158749270753761E-2</v>
      </c>
      <c r="L830" s="994">
        <f t="shared" si="101"/>
        <v>1.3414826600913667</v>
      </c>
      <c r="M830" s="994">
        <f t="shared" si="98"/>
        <v>1.60977919210964</v>
      </c>
      <c r="N830" s="753">
        <v>3</v>
      </c>
      <c r="O830" s="1003">
        <v>1.3661404699550548</v>
      </c>
      <c r="P830" s="22">
        <f t="shared" si="99"/>
        <v>0.24363872215458526</v>
      </c>
      <c r="Q830" s="982">
        <f t="shared" si="100"/>
        <v>17.834090089037531</v>
      </c>
      <c r="R830" s="6"/>
      <c r="S830" s="6"/>
      <c r="T830" s="6"/>
      <c r="U830" s="6"/>
      <c r="V830" s="6"/>
      <c r="W830" s="6"/>
      <c r="X830" s="6"/>
      <c r="Y830" s="6"/>
      <c r="Z830" s="6"/>
    </row>
    <row r="831" spans="1:26" s="93" customFormat="1" ht="15.75">
      <c r="A831" s="236">
        <v>83</v>
      </c>
      <c r="B831" s="233" t="s">
        <v>888</v>
      </c>
      <c r="C831" s="886">
        <f>cходова!R831</f>
        <v>0.61598906451204349</v>
      </c>
      <c r="D831" s="886">
        <f>прибуд.!O831</f>
        <v>0.40546299049322759</v>
      </c>
      <c r="E831" s="886">
        <f>гар.вода!M831+хол.вода!Q831+ц.о.!M831+каналізація!Q831+аварійні!I831+зварювальн!M831</f>
        <v>0.22862345464624545</v>
      </c>
      <c r="F831" s="886">
        <f>дератизац.!I831</f>
        <v>3.0808984297356393E-3</v>
      </c>
      <c r="G831" s="886">
        <f>димоканал!R831</f>
        <v>5.8770916763337712E-2</v>
      </c>
      <c r="H831" s="886">
        <f>'підготовка до зими'!M831+майстерні!M831+маляри!M831+покрівлі!O831</f>
        <v>0.19616429622346598</v>
      </c>
      <c r="I831" s="886">
        <f>електрики!R831</f>
        <v>2.5620838961825196E-2</v>
      </c>
      <c r="J831" s="989">
        <f t="shared" si="97"/>
        <v>1.5337124600298813</v>
      </c>
      <c r="K831" s="989">
        <v>3.8288353086134444E-2</v>
      </c>
      <c r="L831" s="994">
        <f t="shared" si="101"/>
        <v>1.5720008131160157</v>
      </c>
      <c r="M831" s="994">
        <f t="shared" si="98"/>
        <v>1.8864009757392188</v>
      </c>
      <c r="N831" s="753">
        <v>3</v>
      </c>
      <c r="O831" s="1003">
        <v>1.577480147148739</v>
      </c>
      <c r="P831" s="22">
        <f t="shared" si="99"/>
        <v>0.30892082859047987</v>
      </c>
      <c r="Q831" s="982">
        <f t="shared" si="100"/>
        <v>19.583183290696084</v>
      </c>
      <c r="R831" s="6"/>
      <c r="S831" s="6"/>
      <c r="T831" s="6"/>
      <c r="U831" s="6"/>
      <c r="V831" s="6"/>
      <c r="W831" s="6"/>
      <c r="X831" s="6"/>
      <c r="Y831" s="6"/>
      <c r="Z831" s="6"/>
    </row>
    <row r="832" spans="1:26" s="93" customFormat="1" ht="15.75">
      <c r="A832" s="236">
        <v>84</v>
      </c>
      <c r="B832" s="233" t="s">
        <v>889</v>
      </c>
      <c r="C832" s="886">
        <f>cходова!R832</f>
        <v>0.54560453560485145</v>
      </c>
      <c r="D832" s="886">
        <f>прибуд.!O832</f>
        <v>0.24644129151086408</v>
      </c>
      <c r="E832" s="886">
        <f>гар.вода!M832+хол.вода!Q832+ц.о.!M832+каналізація!Q832+аварійні!I832+зварювальн!M832</f>
        <v>0.26187132714424655</v>
      </c>
      <c r="F832" s="886">
        <f>дератизац.!I832</f>
        <v>3.376360880150673E-3</v>
      </c>
      <c r="G832" s="886">
        <f>димоканал!R832</f>
        <v>5.7566440389384625E-2</v>
      </c>
      <c r="H832" s="886">
        <f>'підготовка до зими'!M832+майстерні!M832+маляри!M832+покрівлі!O832</f>
        <v>0.24326797957343321</v>
      </c>
      <c r="I832" s="886">
        <f>електрики!R832</f>
        <v>3.140026357047198E-2</v>
      </c>
      <c r="J832" s="989">
        <f t="shared" si="97"/>
        <v>1.3895281986734025</v>
      </c>
      <c r="K832" s="989">
        <v>3.5073381788403184E-2</v>
      </c>
      <c r="L832" s="994">
        <f t="shared" si="101"/>
        <v>1.4246015804618057</v>
      </c>
      <c r="M832" s="994">
        <f t="shared" si="98"/>
        <v>1.7095218965541668</v>
      </c>
      <c r="N832" s="753">
        <v>3</v>
      </c>
      <c r="O832" s="1003">
        <v>1.4450233296822113</v>
      </c>
      <c r="P832" s="22">
        <f t="shared" si="99"/>
        <v>0.2644985668719555</v>
      </c>
      <c r="Q832" s="982">
        <f t="shared" si="100"/>
        <v>18.304103569741258</v>
      </c>
      <c r="R832" s="6"/>
      <c r="S832" s="6"/>
      <c r="T832" s="6"/>
      <c r="U832" s="6"/>
      <c r="V832" s="6"/>
      <c r="W832" s="6"/>
      <c r="X832" s="6"/>
      <c r="Y832" s="6"/>
      <c r="Z832" s="6"/>
    </row>
    <row r="833" spans="1:26" s="93" customFormat="1" ht="15.75">
      <c r="A833" s="236">
        <v>85</v>
      </c>
      <c r="B833" s="233" t="s">
        <v>916</v>
      </c>
      <c r="C833" s="886">
        <f>cходова!R833</f>
        <v>0.28254047746727229</v>
      </c>
      <c r="D833" s="886">
        <f>прибуд.!O833</f>
        <v>0.38887807193856372</v>
      </c>
      <c r="E833" s="886">
        <f>гар.вода!M833+хол.вода!Q833+ц.о.!M833+каналізація!Q833+аварійні!I833+зварювальн!M833</f>
        <v>0.2131527166695982</v>
      </c>
      <c r="F833" s="886">
        <f>дератизац.!I833</f>
        <v>5.8708414872798431E-3</v>
      </c>
      <c r="G833" s="886">
        <f>димоканал!R833</f>
        <v>7.7795317994946697E-2</v>
      </c>
      <c r="H833" s="886">
        <f>'підготовка до зими'!M833+майстерні!M833+маляри!M833+покрівлі!O833</f>
        <v>0.22839573265547919</v>
      </c>
      <c r="I833" s="886">
        <f>електрики!R833</f>
        <v>2.2931585272539148E-2</v>
      </c>
      <c r="J833" s="989">
        <f t="shared" si="97"/>
        <v>1.2195647434856791</v>
      </c>
      <c r="K833" s="989">
        <v>3.352823641312988E-2</v>
      </c>
      <c r="L833" s="994">
        <f t="shared" si="101"/>
        <v>1.2530929798988091</v>
      </c>
      <c r="M833" s="994">
        <f t="shared" si="98"/>
        <v>1.5037115758785708</v>
      </c>
      <c r="N833" s="753">
        <v>3</v>
      </c>
      <c r="O833" s="1003">
        <v>1.3813633402209513</v>
      </c>
      <c r="P833" s="22">
        <f t="shared" si="99"/>
        <v>0.12234823565761954</v>
      </c>
      <c r="Q833" s="982">
        <f t="shared" si="100"/>
        <v>8.8570640392157571</v>
      </c>
      <c r="R833" s="6"/>
      <c r="S833" s="6"/>
      <c r="T833" s="6"/>
      <c r="U833" s="6"/>
      <c r="V833" s="6"/>
      <c r="W833" s="6"/>
      <c r="X833" s="6"/>
      <c r="Y833" s="6"/>
      <c r="Z833" s="6"/>
    </row>
    <row r="834" spans="1:26" s="93" customFormat="1" ht="15.75">
      <c r="A834" s="236">
        <v>86</v>
      </c>
      <c r="B834" s="233" t="s">
        <v>918</v>
      </c>
      <c r="C834" s="886">
        <f>cходова!R834</f>
        <v>0.40233379308624168</v>
      </c>
      <c r="D834" s="886">
        <f>прибуд.!O834</f>
        <v>0.25473982555597441</v>
      </c>
      <c r="E834" s="886">
        <f>гар.вода!M834+хол.вода!Q834+ц.о.!M834+каналізація!Q834+аварійні!I834+зварювальн!M834</f>
        <v>0.22336399998482437</v>
      </c>
      <c r="F834" s="886">
        <f>дератизац.!I834</f>
        <v>1.5181974284876659E-3</v>
      </c>
      <c r="G834" s="886">
        <f>димоканал!R834</f>
        <v>4.6132967947622467E-3</v>
      </c>
      <c r="H834" s="886">
        <f>'підготовка до зими'!M834+майстерні!M834+маляри!M834+покрівлі!O834</f>
        <v>0.18086525804466613</v>
      </c>
      <c r="I834" s="886">
        <f>електрики!R834</f>
        <v>1.5035612080825201E-2</v>
      </c>
      <c r="J834" s="989">
        <f t="shared" si="97"/>
        <v>1.0824699829757818</v>
      </c>
      <c r="K834" s="989">
        <v>2.8259149928706997E-2</v>
      </c>
      <c r="L834" s="994">
        <f t="shared" si="101"/>
        <v>1.1107291329044888</v>
      </c>
      <c r="M834" s="994">
        <f t="shared" si="98"/>
        <v>1.3328749594853866</v>
      </c>
      <c r="N834" s="753">
        <v>5</v>
      </c>
      <c r="O834" s="1003">
        <v>1.1642769770627284</v>
      </c>
      <c r="P834" s="22">
        <f t="shared" si="99"/>
        <v>0.16859798242265822</v>
      </c>
      <c r="Q834" s="982">
        <f t="shared" si="100"/>
        <v>14.480916976302495</v>
      </c>
      <c r="R834" s="6"/>
      <c r="S834" s="6"/>
      <c r="T834" s="6"/>
      <c r="U834" s="6"/>
      <c r="V834" s="6"/>
      <c r="W834" s="6"/>
      <c r="X834" s="6"/>
      <c r="Y834" s="6"/>
      <c r="Z834" s="6"/>
    </row>
    <row r="835" spans="1:26" s="93" customFormat="1" ht="15.75">
      <c r="A835" s="236">
        <v>87</v>
      </c>
      <c r="B835" s="233" t="s">
        <v>921</v>
      </c>
      <c r="C835" s="886">
        <f>cходова!R835</f>
        <v>0</v>
      </c>
      <c r="D835" s="886">
        <f>прибуд.!O835</f>
        <v>0</v>
      </c>
      <c r="E835" s="886">
        <f>гар.вода!M835+хол.вода!Q835+ц.о.!M835+каналізація!Q835+аварійні!I835+зварювальн!M835</f>
        <v>0.18249386556403518</v>
      </c>
      <c r="F835" s="886">
        <f>дератизац.!I835</f>
        <v>0</v>
      </c>
      <c r="G835" s="886">
        <f>димоканал!R835</f>
        <v>1.7267076914521538E-2</v>
      </c>
      <c r="H835" s="886">
        <f>'підготовка до зими'!M835+майстерні!M835+маляри!M835+покрівлі!O835</f>
        <v>0.45321118154113471</v>
      </c>
      <c r="I835" s="886">
        <f>електрики!R835</f>
        <v>1.760220612014432E-2</v>
      </c>
      <c r="J835" s="989">
        <f t="shared" si="97"/>
        <v>0.67057433013983569</v>
      </c>
      <c r="K835" s="989">
        <v>1.7272651320183002E-2</v>
      </c>
      <c r="L835" s="994">
        <f t="shared" si="101"/>
        <v>0.68784698146001866</v>
      </c>
      <c r="M835" s="994">
        <f t="shared" si="98"/>
        <v>0.82541637775202237</v>
      </c>
      <c r="N835" s="753">
        <v>1</v>
      </c>
      <c r="O835" s="1003">
        <v>0.71163323439153969</v>
      </c>
      <c r="P835" s="22">
        <f t="shared" si="99"/>
        <v>0.11378314336048267</v>
      </c>
      <c r="Q835" s="982">
        <f t="shared" si="100"/>
        <v>15.98901482696624</v>
      </c>
      <c r="R835" s="6"/>
      <c r="S835" s="6"/>
      <c r="T835" s="6"/>
      <c r="U835" s="6"/>
      <c r="V835" s="6"/>
      <c r="W835" s="6"/>
      <c r="X835" s="6"/>
      <c r="Y835" s="6"/>
      <c r="Z835" s="6"/>
    </row>
    <row r="836" spans="1:26" s="93" customFormat="1" ht="15.75">
      <c r="A836" s="236">
        <v>88</v>
      </c>
      <c r="B836" s="233" t="s">
        <v>922</v>
      </c>
      <c r="C836" s="886">
        <f>cходова!R836</f>
        <v>0.42955840536237783</v>
      </c>
      <c r="D836" s="886">
        <f>прибуд.!O836</f>
        <v>0.5813328998999564</v>
      </c>
      <c r="E836" s="886">
        <f>гар.вода!M836+хол.вода!Q836+ц.о.!M836+каналізація!Q836+аварійні!I836+зварювальн!M836</f>
        <v>0.17906065435420049</v>
      </c>
      <c r="F836" s="886">
        <f>дератизац.!I836</f>
        <v>2.3442732752846623E-3</v>
      </c>
      <c r="G836" s="886">
        <f>димоканал!R836</f>
        <v>3.8496114449177291E-2</v>
      </c>
      <c r="H836" s="886">
        <f>'підготовка до зими'!M836+майстерні!M836+маляри!M836+покрівлі!O836</f>
        <v>0.15930870046755891</v>
      </c>
      <c r="I836" s="886">
        <f>електрики!R836</f>
        <v>1.8534112816045174E-2</v>
      </c>
      <c r="J836" s="989">
        <f t="shared" si="97"/>
        <v>1.4086351606246008</v>
      </c>
      <c r="K836" s="989">
        <v>3.7226886278017179E-2</v>
      </c>
      <c r="L836" s="994">
        <f t="shared" si="101"/>
        <v>1.445862046902618</v>
      </c>
      <c r="M836" s="994">
        <f t="shared" si="98"/>
        <v>1.7350344562831415</v>
      </c>
      <c r="N836" s="753">
        <v>5</v>
      </c>
      <c r="O836" s="1003">
        <v>1.5337477146543077</v>
      </c>
      <c r="P836" s="22">
        <f t="shared" si="99"/>
        <v>0.20128674162883375</v>
      </c>
      <c r="Q836" s="982">
        <f t="shared" si="100"/>
        <v>13.123849490083956</v>
      </c>
      <c r="R836" s="6"/>
      <c r="S836" s="6"/>
      <c r="T836" s="6"/>
      <c r="U836" s="6"/>
      <c r="V836" s="6"/>
      <c r="W836" s="6"/>
      <c r="X836" s="6"/>
      <c r="Y836" s="6"/>
      <c r="Z836" s="6"/>
    </row>
    <row r="837" spans="1:26" s="93" customFormat="1" ht="15.75">
      <c r="A837" s="236">
        <v>89</v>
      </c>
      <c r="B837" s="233" t="s">
        <v>923</v>
      </c>
      <c r="C837" s="886">
        <f>cходова!R837</f>
        <v>0</v>
      </c>
      <c r="D837" s="886">
        <f>прибуд.!O837</f>
        <v>0.27212736092841644</v>
      </c>
      <c r="E837" s="886">
        <f>гар.вода!M837+хол.вода!Q837+ц.о.!M837+каналізація!Q837+аварійні!I837+зварювальн!M837</f>
        <v>0.22453625278568035</v>
      </c>
      <c r="F837" s="886">
        <f>дератизац.!I837</f>
        <v>7.136659436008678E-3</v>
      </c>
      <c r="G837" s="886">
        <f>димоканал!R837</f>
        <v>0.11675090410927817</v>
      </c>
      <c r="H837" s="886">
        <f>'підготовка до зими'!M837+майстерні!M837+маляри!M837+покрівлі!O837</f>
        <v>0.38327938035193498</v>
      </c>
      <c r="I837" s="886">
        <f>електрики!R837</f>
        <v>2.4910367186078426E-2</v>
      </c>
      <c r="J837" s="989">
        <f t="shared" si="97"/>
        <v>1.0287409247973971</v>
      </c>
      <c r="K837" s="989">
        <v>2.8212920262408885E-2</v>
      </c>
      <c r="L837" s="994">
        <f t="shared" si="101"/>
        <v>1.0569538450598059</v>
      </c>
      <c r="M837" s="994">
        <f t="shared" si="98"/>
        <v>1.2683446140717671</v>
      </c>
      <c r="N837" s="753">
        <v>2</v>
      </c>
      <c r="O837" s="1003">
        <v>1.1623723148112461</v>
      </c>
      <c r="P837" s="22">
        <f t="shared" si="99"/>
        <v>0.10597229926052099</v>
      </c>
      <c r="Q837" s="982">
        <f t="shared" si="100"/>
        <v>9.116898080777986</v>
      </c>
      <c r="R837" s="6"/>
      <c r="S837" s="6"/>
      <c r="T837" s="6"/>
      <c r="U837" s="6"/>
      <c r="V837" s="6"/>
      <c r="W837" s="6"/>
      <c r="X837" s="6"/>
      <c r="Y837" s="6"/>
      <c r="Z837" s="6"/>
    </row>
    <row r="838" spans="1:26" s="93" customFormat="1" ht="15.75">
      <c r="A838" s="236">
        <v>90</v>
      </c>
      <c r="B838" s="233" t="s">
        <v>924</v>
      </c>
      <c r="C838" s="886">
        <f>cходова!R838</f>
        <v>0</v>
      </c>
      <c r="D838" s="886">
        <f>прибуд.!O838</f>
        <v>0</v>
      </c>
      <c r="E838" s="886">
        <f>гар.вода!M838+хол.вода!Q838+ц.о.!M838+каналізація!Q838+аварійні!I838+зварювальн!M838</f>
        <v>0.22444305680409291</v>
      </c>
      <c r="F838" s="886">
        <f>дератизац.!I838</f>
        <v>0</v>
      </c>
      <c r="G838" s="886">
        <f>димоканал!R838</f>
        <v>7.3260617682856174E-2</v>
      </c>
      <c r="H838" s="886">
        <f>'підготовка до зими'!M838+майстерні!M838+маляри!M838+покрівлі!O838</f>
        <v>0.39270093981085907</v>
      </c>
      <c r="I838" s="886">
        <f>електрики!R838</f>
        <v>2.4894167077351297E-2</v>
      </c>
      <c r="J838" s="989">
        <f t="shared" si="97"/>
        <v>0.71529878137515945</v>
      </c>
      <c r="K838" s="989">
        <v>1.8487976660924704E-2</v>
      </c>
      <c r="L838" s="994">
        <f t="shared" si="101"/>
        <v>0.73378675803608417</v>
      </c>
      <c r="M838" s="994">
        <f t="shared" si="98"/>
        <v>0.88054410964330099</v>
      </c>
      <c r="N838" s="753">
        <v>1</v>
      </c>
      <c r="O838" s="1003">
        <v>0.76170463843009772</v>
      </c>
      <c r="P838" s="22">
        <f t="shared" si="99"/>
        <v>0.11883947121320326</v>
      </c>
      <c r="Q838" s="982">
        <f t="shared" si="100"/>
        <v>15.601778592045321</v>
      </c>
      <c r="R838" s="6"/>
      <c r="S838" s="6"/>
      <c r="T838" s="6"/>
      <c r="U838" s="6"/>
      <c r="V838" s="6"/>
      <c r="W838" s="6"/>
      <c r="X838" s="6"/>
      <c r="Y838" s="6"/>
      <c r="Z838" s="6"/>
    </row>
    <row r="839" spans="1:26" s="93" customFormat="1" ht="15.75">
      <c r="A839" s="894">
        <v>91</v>
      </c>
      <c r="B839" s="233" t="s">
        <v>16</v>
      </c>
      <c r="C839" s="886">
        <f>cходова!R839</f>
        <v>0</v>
      </c>
      <c r="D839" s="886">
        <f>прибуд.!O839</f>
        <v>0</v>
      </c>
      <c r="E839" s="886">
        <f>гар.вода!M839+хол.вода!Q839+ц.о.!M839+каналізація!Q839+аварійні!I839+зварювальн!M839</f>
        <v>0.20557465649149065</v>
      </c>
      <c r="F839" s="886">
        <f>дератизац.!I839</f>
        <v>0</v>
      </c>
      <c r="G839" s="886">
        <f>димоканал!R839</f>
        <v>0.12044411333263856</v>
      </c>
      <c r="H839" s="886">
        <f>'підготовка до зими'!M839+майстерні!M839+маляри!M839+покрівлі!O839</f>
        <v>0.26550351302374198</v>
      </c>
      <c r="I839" s="886">
        <f>електрики!R839</f>
        <v>2.1614303167291838E-2</v>
      </c>
      <c r="J839" s="989">
        <f t="shared" si="97"/>
        <v>0.61313658601516297</v>
      </c>
      <c r="K839" s="989">
        <v>1.5979600329257996E-2</v>
      </c>
      <c r="L839" s="994">
        <f t="shared" si="101"/>
        <v>0.62911618634442101</v>
      </c>
      <c r="M839" s="994">
        <f t="shared" si="98"/>
        <v>0.75493942361330524</v>
      </c>
      <c r="N839" s="753">
        <v>2</v>
      </c>
      <c r="O839" s="1003">
        <v>0.65835953356542953</v>
      </c>
      <c r="P839" s="22">
        <f t="shared" si="99"/>
        <v>9.6579890047875705E-2</v>
      </c>
      <c r="Q839" s="982">
        <f t="shared" si="100"/>
        <v>14.669779220000805</v>
      </c>
      <c r="R839" s="6"/>
      <c r="S839" s="6"/>
      <c r="T839" s="6"/>
      <c r="U839" s="6"/>
      <c r="V839" s="6"/>
      <c r="W839" s="6"/>
      <c r="X839" s="6"/>
      <c r="Y839" s="6"/>
      <c r="Z839" s="6"/>
    </row>
    <row r="840" spans="1:26" s="93" customFormat="1" ht="15.75">
      <c r="A840" s="236">
        <v>92</v>
      </c>
      <c r="B840" s="233" t="s">
        <v>17</v>
      </c>
      <c r="C840" s="886">
        <f>cходова!R840</f>
        <v>0</v>
      </c>
      <c r="D840" s="886">
        <f>прибуд.!O840</f>
        <v>0</v>
      </c>
      <c r="E840" s="886">
        <f>гар.вода!M840+хол.вода!Q840+ц.о.!M840+каналізація!Q840+аварійні!I840+зварювальн!M840</f>
        <v>0.20348080175731886</v>
      </c>
      <c r="F840" s="886">
        <f>дератизац.!I840</f>
        <v>3.0224525043177895E-3</v>
      </c>
      <c r="G840" s="886">
        <f>димоканал!R840</f>
        <v>0.10422872852547975</v>
      </c>
      <c r="H840" s="886">
        <f>'підготовка до зими'!M840+майстерні!M840+маляри!M840+покрівлі!O840</f>
        <v>0.30294828593981915</v>
      </c>
      <c r="I840" s="886">
        <f>електрики!R840</f>
        <v>2.125033174089962E-2</v>
      </c>
      <c r="J840" s="989">
        <f t="shared" si="97"/>
        <v>0.63493060046783523</v>
      </c>
      <c r="K840" s="989">
        <v>1.6520361510718638E-2</v>
      </c>
      <c r="L840" s="994">
        <f t="shared" si="101"/>
        <v>0.6514509619785539</v>
      </c>
      <c r="M840" s="994">
        <f t="shared" si="98"/>
        <v>0.78174115437426461</v>
      </c>
      <c r="N840" s="753">
        <v>2</v>
      </c>
      <c r="O840" s="1003">
        <v>0.68063889424160795</v>
      </c>
      <c r="P840" s="22">
        <f t="shared" si="99"/>
        <v>0.10110226013265666</v>
      </c>
      <c r="Q840" s="982">
        <f t="shared" si="100"/>
        <v>14.854023328377124</v>
      </c>
      <c r="R840" s="6"/>
      <c r="S840" s="6"/>
      <c r="T840" s="6"/>
      <c r="U840" s="6"/>
      <c r="V840" s="6"/>
      <c r="W840" s="6"/>
      <c r="X840" s="6"/>
      <c r="Y840" s="6"/>
      <c r="Z840" s="6"/>
    </row>
    <row r="841" spans="1:26" s="93" customFormat="1" ht="15.75">
      <c r="A841" s="236">
        <v>93</v>
      </c>
      <c r="B841" s="233" t="s">
        <v>18</v>
      </c>
      <c r="C841" s="886">
        <f>cходова!R841</f>
        <v>0</v>
      </c>
      <c r="D841" s="886">
        <f>прибуд.!O841</f>
        <v>0</v>
      </c>
      <c r="E841" s="886">
        <f>гар.вода!M841+хол.вода!Q841+ц.о.!M841+каналізація!Q841+аварійні!I841+зварювальн!M841</f>
        <v>0.18946143210985583</v>
      </c>
      <c r="F841" s="886">
        <f>дератизац.!I841</f>
        <v>0</v>
      </c>
      <c r="G841" s="886">
        <f>димоканал!R841</f>
        <v>0.19788227048839652</v>
      </c>
      <c r="H841" s="886">
        <f>'підготовка до зими'!M841+майстерні!M841+маляри!M841+покрівлі!O841</f>
        <v>0.42103470970774015</v>
      </c>
      <c r="I841" s="886">
        <f>електрики!R841</f>
        <v>1.8813367091713884E-2</v>
      </c>
      <c r="J841" s="989">
        <f t="shared" si="97"/>
        <v>0.82719177939770638</v>
      </c>
      <c r="K841" s="989">
        <v>2.1533102185683401E-2</v>
      </c>
      <c r="L841" s="994">
        <f t="shared" si="101"/>
        <v>0.84872488158338977</v>
      </c>
      <c r="M841" s="994">
        <f t="shared" si="98"/>
        <v>1.0184698579000677</v>
      </c>
      <c r="N841" s="753">
        <v>1</v>
      </c>
      <c r="O841" s="1003">
        <v>0.8871638100501561</v>
      </c>
      <c r="P841" s="22">
        <f t="shared" si="99"/>
        <v>0.13130604784991162</v>
      </c>
      <c r="Q841" s="982">
        <f t="shared" si="100"/>
        <v>14.8006542154248</v>
      </c>
      <c r="R841" s="6"/>
      <c r="S841" s="6"/>
      <c r="T841" s="6"/>
      <c r="U841" s="6"/>
      <c r="V841" s="6"/>
      <c r="W841" s="6"/>
      <c r="X841" s="6"/>
      <c r="Y841" s="6"/>
      <c r="Z841" s="6"/>
    </row>
    <row r="842" spans="1:26" s="93" customFormat="1" ht="15.75">
      <c r="A842" s="236">
        <v>94</v>
      </c>
      <c r="B842" s="233" t="s">
        <v>19</v>
      </c>
      <c r="C842" s="886">
        <f>cходова!R842</f>
        <v>0</v>
      </c>
      <c r="D842" s="886">
        <f>прибуд.!O842</f>
        <v>0</v>
      </c>
      <c r="E842" s="886">
        <f>гар.вода!M842+хол.вода!Q842+ц.о.!M842+каналізація!Q842+аварійні!I842+зварювальн!M842</f>
        <v>0.24543573204184127</v>
      </c>
      <c r="F842" s="886">
        <f>дератизац.!I842</f>
        <v>5.0239234449760764E-3</v>
      </c>
      <c r="G842" s="886">
        <f>димоканал!R842</f>
        <v>8.5555769200688497E-2</v>
      </c>
      <c r="H842" s="886">
        <f>'підготовка до зими'!M842+майстерні!M842+маляри!M842+покрівлі!O842</f>
        <v>0.31935762078359875</v>
      </c>
      <c r="I842" s="886">
        <f>електрики!R842</f>
        <v>2.8543290307045683E-2</v>
      </c>
      <c r="J842" s="989">
        <f t="shared" ref="J842:J873" si="102">I842+H842+G842+F842+E842+D842+C842</f>
        <v>0.68391633577815025</v>
      </c>
      <c r="K842" s="989">
        <v>1.7731057349598536E-2</v>
      </c>
      <c r="L842" s="994">
        <f t="shared" si="101"/>
        <v>0.70164739312774882</v>
      </c>
      <c r="M842" s="994">
        <f t="shared" ref="M842:M873" si="103">L842*1.2</f>
        <v>0.84197687175329861</v>
      </c>
      <c r="N842" s="753">
        <v>2</v>
      </c>
      <c r="O842" s="1003">
        <v>0.73051956280345964</v>
      </c>
      <c r="P842" s="22">
        <f t="shared" si="99"/>
        <v>0.11145730894983896</v>
      </c>
      <c r="Q842" s="982">
        <f t="shared" si="100"/>
        <v>15.257265462146918</v>
      </c>
      <c r="R842" s="6"/>
      <c r="S842" s="6"/>
      <c r="T842" s="6"/>
      <c r="U842" s="6"/>
      <c r="V842" s="6"/>
      <c r="W842" s="6"/>
      <c r="X842" s="6"/>
      <c r="Y842" s="6"/>
      <c r="Z842" s="6"/>
    </row>
    <row r="843" spans="1:26" s="93" customFormat="1" ht="15.75">
      <c r="A843" s="236">
        <v>95</v>
      </c>
      <c r="B843" s="233" t="s">
        <v>20</v>
      </c>
      <c r="C843" s="886">
        <f>cходова!R843</f>
        <v>0</v>
      </c>
      <c r="D843" s="886">
        <f>прибуд.!O843</f>
        <v>0</v>
      </c>
      <c r="E843" s="886">
        <f>гар.вода!M843+хол.вода!Q843+ц.о.!M843+каналізація!Q843+аварійні!I843+зварювальн!M843</f>
        <v>0.16724734991483314</v>
      </c>
      <c r="F843" s="886">
        <f>дератизац.!I843</f>
        <v>0</v>
      </c>
      <c r="G843" s="886">
        <f>димоканал!R843</f>
        <v>7.0402839304414461E-2</v>
      </c>
      <c r="H843" s="886">
        <f>'підготовка до зими'!M843+майстерні!M843+маляри!M843+покрівлі!O843</f>
        <v>0.43187941093329119</v>
      </c>
      <c r="I843" s="886">
        <f>електрики!R843</f>
        <v>1.4951928640151754E-2</v>
      </c>
      <c r="J843" s="989">
        <f t="shared" si="102"/>
        <v>0.68448152879269053</v>
      </c>
      <c r="K843" s="989">
        <v>1.7714942248331367E-2</v>
      </c>
      <c r="L843" s="994">
        <f t="shared" si="101"/>
        <v>0.7021964710410219</v>
      </c>
      <c r="M843" s="994">
        <f t="shared" si="103"/>
        <v>0.84263576524922623</v>
      </c>
      <c r="N843" s="753">
        <v>1</v>
      </c>
      <c r="O843" s="1003">
        <v>0.72985562063125231</v>
      </c>
      <c r="P843" s="22">
        <f t="shared" si="99"/>
        <v>0.11278014461797392</v>
      </c>
      <c r="Q843" s="982">
        <f t="shared" si="100"/>
        <v>15.452391052415322</v>
      </c>
      <c r="R843" s="6"/>
      <c r="S843" s="6"/>
      <c r="T843" s="6"/>
      <c r="U843" s="6"/>
      <c r="V843" s="6"/>
      <c r="W843" s="6"/>
      <c r="X843" s="6"/>
      <c r="Y843" s="6"/>
      <c r="Z843" s="6"/>
    </row>
    <row r="844" spans="1:26" s="93" customFormat="1" ht="15.75">
      <c r="A844" s="236">
        <v>96</v>
      </c>
      <c r="B844" s="233" t="s">
        <v>21</v>
      </c>
      <c r="C844" s="886">
        <f>cходова!R844</f>
        <v>0</v>
      </c>
      <c r="D844" s="886">
        <f>прибуд.!O844</f>
        <v>0</v>
      </c>
      <c r="E844" s="886">
        <f>гар.вода!M844+хол.вода!Q844+ц.о.!M844+каналізація!Q844+аварійні!I844+зварювальн!M844</f>
        <v>0.2318321431669372</v>
      </c>
      <c r="F844" s="886">
        <f>дератизац.!I844</f>
        <v>1.3652482269503547E-3</v>
      </c>
      <c r="G844" s="886">
        <f>димоканал!R844</f>
        <v>7.7040553807982276E-2</v>
      </c>
      <c r="H844" s="886">
        <f>'підготовка до зими'!M844+майстерні!M844+маляри!M844+покрівлі!O844</f>
        <v>0.26676931963897116</v>
      </c>
      <c r="I844" s="886">
        <f>електрики!R844</f>
        <v>2.617860016591677E-2</v>
      </c>
      <c r="J844" s="989">
        <f t="shared" si="102"/>
        <v>0.60318586500675775</v>
      </c>
      <c r="K844" s="989">
        <v>1.5657656215565093E-2</v>
      </c>
      <c r="L844" s="994">
        <f t="shared" si="101"/>
        <v>0.61884352122232289</v>
      </c>
      <c r="M844" s="994">
        <f t="shared" si="103"/>
        <v>0.7426122254667874</v>
      </c>
      <c r="N844" s="753">
        <v>2</v>
      </c>
      <c r="O844" s="1003">
        <v>0.64509543608128195</v>
      </c>
      <c r="P844" s="22">
        <f t="shared" si="99"/>
        <v>9.7516789385505454E-2</v>
      </c>
      <c r="Q844" s="982">
        <f t="shared" si="100"/>
        <v>15.116645372331902</v>
      </c>
      <c r="R844" s="6"/>
      <c r="S844" s="6"/>
      <c r="T844" s="6"/>
      <c r="U844" s="6"/>
      <c r="V844" s="6"/>
      <c r="W844" s="6"/>
      <c r="X844" s="6"/>
      <c r="Y844" s="6"/>
      <c r="Z844" s="6"/>
    </row>
    <row r="845" spans="1:26" s="93" customFormat="1" ht="15.75">
      <c r="A845" s="236">
        <v>97</v>
      </c>
      <c r="B845" s="233" t="s">
        <v>22</v>
      </c>
      <c r="C845" s="886">
        <f>cходова!R845</f>
        <v>0</v>
      </c>
      <c r="D845" s="886">
        <f>прибуд.!O845</f>
        <v>0.11538880922369389</v>
      </c>
      <c r="E845" s="886">
        <f>гар.вода!M845+хол.вода!Q845+ц.о.!M845+каналізація!Q845+аварійні!I845+зварювальн!M845</f>
        <v>0.2114418230555824</v>
      </c>
      <c r="F845" s="886">
        <f>дератизац.!I845</f>
        <v>0</v>
      </c>
      <c r="G845" s="886">
        <f>димоканал!R845</f>
        <v>0.10657560055850381</v>
      </c>
      <c r="H845" s="886">
        <f>'підготовка до зими'!M845+майстерні!M845+маляри!M845+покрівлі!O845</f>
        <v>0.30451563123325598</v>
      </c>
      <c r="I845" s="886">
        <f>електрики!R845</f>
        <v>2.2634183366410741E-2</v>
      </c>
      <c r="J845" s="989">
        <f t="shared" si="102"/>
        <v>0.76055604743744687</v>
      </c>
      <c r="K845" s="989">
        <v>2.0403497821890156E-2</v>
      </c>
      <c r="L845" s="994">
        <f t="shared" si="101"/>
        <v>0.78095954525933697</v>
      </c>
      <c r="M845" s="994">
        <f t="shared" si="103"/>
        <v>0.93715145431120428</v>
      </c>
      <c r="N845" s="753">
        <v>2</v>
      </c>
      <c r="O845" s="1003">
        <v>0.84062411026187445</v>
      </c>
      <c r="P845" s="22">
        <f t="shared" ref="P845:P876" si="104">M845-O845</f>
        <v>9.6527344049329833E-2</v>
      </c>
      <c r="Q845" s="982">
        <f t="shared" ref="Q845:Q879" si="105">M845/O845*100-100</f>
        <v>11.482818880755062</v>
      </c>
      <c r="R845" s="6"/>
      <c r="S845" s="6"/>
      <c r="T845" s="6"/>
      <c r="U845" s="6"/>
      <c r="V845" s="6"/>
      <c r="W845" s="6"/>
      <c r="X845" s="6"/>
      <c r="Y845" s="6"/>
      <c r="Z845" s="6"/>
    </row>
    <row r="846" spans="1:26" s="93" customFormat="1" ht="15.75">
      <c r="A846" s="236">
        <v>98</v>
      </c>
      <c r="B846" s="233" t="s">
        <v>23</v>
      </c>
      <c r="C846" s="886">
        <f>cходова!R846</f>
        <v>0</v>
      </c>
      <c r="D846" s="886">
        <f>прибуд.!O846</f>
        <v>0.12227165047563351</v>
      </c>
      <c r="E846" s="886">
        <f>гар.вода!M846+хол.вода!Q846+ц.о.!M846+каналізація!Q846+аварійні!I846+зварювальн!M846</f>
        <v>0.19161336435843249</v>
      </c>
      <c r="F846" s="886">
        <f>дератизац.!I846</f>
        <v>0</v>
      </c>
      <c r="G846" s="886">
        <f>димоканал!R846</f>
        <v>0.11293274164444965</v>
      </c>
      <c r="H846" s="886">
        <f>'підготовка до зими'!M846+майстерні!M846+маляри!M846+покрівлі!O846</f>
        <v>0.30723482473699404</v>
      </c>
      <c r="I846" s="886">
        <f>електрики!R846</f>
        <v>1.9187434039736263E-2</v>
      </c>
      <c r="J846" s="989">
        <f t="shared" si="102"/>
        <v>0.75324001525524598</v>
      </c>
      <c r="K846" s="989">
        <v>2.0275248495982515E-2</v>
      </c>
      <c r="L846" s="994">
        <f t="shared" si="101"/>
        <v>0.77351526375122848</v>
      </c>
      <c r="M846" s="994">
        <f t="shared" si="103"/>
        <v>0.92821831650147413</v>
      </c>
      <c r="N846" s="753">
        <v>2</v>
      </c>
      <c r="O846" s="1003">
        <v>0.83534023803447965</v>
      </c>
      <c r="P846" s="22">
        <f t="shared" si="104"/>
        <v>9.2878078466994474E-2</v>
      </c>
      <c r="Q846" s="982">
        <f t="shared" si="105"/>
        <v>11.118592668962378</v>
      </c>
      <c r="R846" s="6"/>
      <c r="S846" s="6"/>
      <c r="T846" s="6"/>
      <c r="U846" s="6"/>
      <c r="V846" s="6"/>
      <c r="W846" s="6"/>
      <c r="X846" s="6"/>
      <c r="Y846" s="6"/>
      <c r="Z846" s="6"/>
    </row>
    <row r="847" spans="1:26" s="93" customFormat="1" ht="15.75">
      <c r="A847" s="236">
        <v>99</v>
      </c>
      <c r="B847" s="233" t="s">
        <v>24</v>
      </c>
      <c r="C847" s="886">
        <f>cходова!R847</f>
        <v>0</v>
      </c>
      <c r="D847" s="886">
        <f>прибуд.!O847</f>
        <v>0.16587052272897193</v>
      </c>
      <c r="E847" s="886">
        <f>гар.вода!M847+хол.вода!Q847+ц.о.!M847+каналізація!Q847+аварійні!I847+зварювальн!M847</f>
        <v>0.19883458175552537</v>
      </c>
      <c r="F847" s="886">
        <f>дератизац.!I847</f>
        <v>0</v>
      </c>
      <c r="G847" s="886">
        <f>димоканал!R847</f>
        <v>9.0240648697200415E-2</v>
      </c>
      <c r="H847" s="886">
        <f>'підготовка до зими'!M847+майстерні!M847+маляри!M847+покрівлі!O847</f>
        <v>0.31235606854911013</v>
      </c>
      <c r="I847" s="886">
        <f>електрики!R847</f>
        <v>2.0442686733924617E-2</v>
      </c>
      <c r="J847" s="989">
        <f t="shared" si="102"/>
        <v>0.78774450846473254</v>
      </c>
      <c r="K847" s="989">
        <v>2.0258286917295514E-2</v>
      </c>
      <c r="L847" s="994">
        <f t="shared" si="101"/>
        <v>0.80800279538202802</v>
      </c>
      <c r="M847" s="994">
        <f t="shared" si="103"/>
        <v>0.9696033544584336</v>
      </c>
      <c r="N847" s="753">
        <v>2</v>
      </c>
      <c r="O847" s="1003">
        <v>0.83464142099257532</v>
      </c>
      <c r="P847" s="22">
        <f t="shared" si="104"/>
        <v>0.13496193346585827</v>
      </c>
      <c r="Q847" s="982">
        <f t="shared" si="105"/>
        <v>16.170049804784227</v>
      </c>
      <c r="R847" s="6"/>
      <c r="S847" s="6"/>
      <c r="T847" s="6"/>
      <c r="U847" s="6"/>
      <c r="V847" s="6"/>
      <c r="W847" s="6"/>
      <c r="X847" s="6"/>
      <c r="Y847" s="6"/>
      <c r="Z847" s="6"/>
    </row>
    <row r="848" spans="1:26" s="93" customFormat="1" ht="15.75">
      <c r="A848" s="894">
        <v>100</v>
      </c>
      <c r="B848" s="233" t="s">
        <v>25</v>
      </c>
      <c r="C848" s="886">
        <f>cходова!R848</f>
        <v>0</v>
      </c>
      <c r="D848" s="886">
        <f>прибуд.!O848</f>
        <v>0.16076219141304346</v>
      </c>
      <c r="E848" s="886">
        <f>гар.вода!M848+хол.вода!Q848+ц.о.!M848+каналізація!Q848+аварійні!I848+зварювальн!M848</f>
        <v>0.19521275998648657</v>
      </c>
      <c r="F848" s="886">
        <f>дератизац.!I848</f>
        <v>0</v>
      </c>
      <c r="G848" s="886">
        <f>димоканал!R848</f>
        <v>0.10203841466516173</v>
      </c>
      <c r="H848" s="886">
        <f>'підготовка до зими'!M848+майстерні!M848+маляри!M848+покрівлі!O848</f>
        <v>0.30361795017112814</v>
      </c>
      <c r="I848" s="886">
        <f>електрики!R848</f>
        <v>1.9813111236684187E-2</v>
      </c>
      <c r="J848" s="989">
        <f t="shared" si="102"/>
        <v>0.78144442747250409</v>
      </c>
      <c r="K848" s="989">
        <v>2.0121675907055884E-2</v>
      </c>
      <c r="L848" s="994">
        <f t="shared" si="101"/>
        <v>0.80156610337956002</v>
      </c>
      <c r="M848" s="994">
        <f t="shared" si="103"/>
        <v>0.96187932405547194</v>
      </c>
      <c r="N848" s="753">
        <v>2</v>
      </c>
      <c r="O848" s="1003">
        <v>0.82901304737070247</v>
      </c>
      <c r="P848" s="22">
        <f t="shared" si="104"/>
        <v>0.13286627668476947</v>
      </c>
      <c r="Q848" s="982">
        <f t="shared" si="105"/>
        <v>16.027042892288378</v>
      </c>
      <c r="R848" s="6"/>
      <c r="S848" s="6"/>
      <c r="T848" s="6"/>
      <c r="U848" s="6"/>
      <c r="V848" s="6"/>
      <c r="W848" s="6"/>
      <c r="X848" s="6"/>
      <c r="Y848" s="6"/>
      <c r="Z848" s="6"/>
    </row>
    <row r="849" spans="1:26" s="93" customFormat="1" ht="15.75">
      <c r="A849" s="236">
        <v>101</v>
      </c>
      <c r="B849" s="233" t="s">
        <v>26</v>
      </c>
      <c r="C849" s="886">
        <f>cходова!R849</f>
        <v>0</v>
      </c>
      <c r="D849" s="886">
        <f>прибуд.!O849</f>
        <v>0.1678576223076923</v>
      </c>
      <c r="E849" s="886">
        <f>гар.вода!M849+хол.вода!Q849+ц.о.!M849+каналізація!Q849+аварійні!I849+зварювальн!M849</f>
        <v>0.20024344113960957</v>
      </c>
      <c r="F849" s="886">
        <f>дератизац.!I849</f>
        <v>0</v>
      </c>
      <c r="G849" s="886">
        <f>димоканал!R849</f>
        <v>9.1321715737078604E-2</v>
      </c>
      <c r="H849" s="886">
        <f>'підготовка до зими'!M849+майстерні!M849+маляри!M849+покрівлі!O849</f>
        <v>0.30526765203212824</v>
      </c>
      <c r="I849" s="886">
        <f>електрики!R849</f>
        <v>2.0687586511947676E-2</v>
      </c>
      <c r="J849" s="989">
        <f t="shared" si="102"/>
        <v>0.78537801772845639</v>
      </c>
      <c r="K849" s="989">
        <v>2.0198578871872035E-2</v>
      </c>
      <c r="L849" s="994">
        <f t="shared" si="101"/>
        <v>0.80557659660032843</v>
      </c>
      <c r="M849" s="994">
        <f t="shared" si="103"/>
        <v>0.96669191592039405</v>
      </c>
      <c r="N849" s="753">
        <v>2</v>
      </c>
      <c r="O849" s="1003">
        <v>0.83218144952112783</v>
      </c>
      <c r="P849" s="22">
        <f t="shared" si="104"/>
        <v>0.13451046639926623</v>
      </c>
      <c r="Q849" s="982">
        <f t="shared" si="105"/>
        <v>16.163598272548512</v>
      </c>
      <c r="R849" s="6"/>
      <c r="S849" s="6"/>
      <c r="T849" s="6"/>
      <c r="U849" s="6"/>
      <c r="V849" s="6"/>
      <c r="W849" s="6"/>
      <c r="X849" s="6"/>
      <c r="Y849" s="6"/>
      <c r="Z849" s="6"/>
    </row>
    <row r="850" spans="1:26" s="93" customFormat="1" ht="15.75">
      <c r="A850" s="236">
        <v>102</v>
      </c>
      <c r="B850" s="233" t="s">
        <v>27</v>
      </c>
      <c r="C850" s="886">
        <f>cходова!R850</f>
        <v>0.45834939381421619</v>
      </c>
      <c r="D850" s="886">
        <v>0</v>
      </c>
      <c r="E850" s="886">
        <f>гар.вода!M850+хол.вода!Q850+ц.о.!M850+каналізація!Q850+аварійні!I850+зварювальн!M850</f>
        <v>0.21780769742458295</v>
      </c>
      <c r="F850" s="886">
        <f>дератизац.!I850</f>
        <v>2.785750464291744E-3</v>
      </c>
      <c r="G850" s="886">
        <f>димоканал!R850</f>
        <v>0.11865559421263028</v>
      </c>
      <c r="H850" s="886">
        <f>'підготовка до зими'!M850+майстерні!M850+маляри!M850+покрівлі!O850</f>
        <v>0.43234370292646984</v>
      </c>
      <c r="I850" s="886">
        <f>електрики!R850</f>
        <v>2.3740753147258157E-2</v>
      </c>
      <c r="J850" s="989">
        <f t="shared" si="102"/>
        <v>1.2536828919894492</v>
      </c>
      <c r="K850" s="989">
        <v>3.1936960855725005E-2</v>
      </c>
      <c r="L850" s="994">
        <f t="shared" si="101"/>
        <v>1.2856198528451741</v>
      </c>
      <c r="M850" s="994">
        <f t="shared" si="103"/>
        <v>1.5427438234142088</v>
      </c>
      <c r="N850" s="753">
        <v>3</v>
      </c>
      <c r="O850" s="1003">
        <v>1.3158027872558702</v>
      </c>
      <c r="P850" s="22">
        <f t="shared" si="104"/>
        <v>0.2269410361583386</v>
      </c>
      <c r="Q850" s="982">
        <f t="shared" si="105"/>
        <v>17.247344233981153</v>
      </c>
      <c r="R850" s="6"/>
      <c r="S850" s="6"/>
      <c r="T850" s="6"/>
      <c r="U850" s="6"/>
      <c r="V850" s="6"/>
      <c r="W850" s="6"/>
      <c r="X850" s="6"/>
      <c r="Y850" s="6"/>
      <c r="Z850" s="6"/>
    </row>
    <row r="851" spans="1:26" s="892" customFormat="1" ht="15.75">
      <c r="A851" s="236">
        <v>103</v>
      </c>
      <c r="B851" s="233" t="s">
        <v>28</v>
      </c>
      <c r="C851" s="886">
        <f>cходова!R851</f>
        <v>0</v>
      </c>
      <c r="D851" s="886">
        <f>прибуд.!O851</f>
        <v>0.19259275680396129</v>
      </c>
      <c r="E851" s="886">
        <f>гар.вода!M851+хол.вода!Q851+ц.о.!M851+каналізація!Q851+аварійні!I851+зварювальн!M851</f>
        <v>0.17681881946544958</v>
      </c>
      <c r="F851" s="886">
        <f>дератизац.!I851</f>
        <v>0</v>
      </c>
      <c r="G851" s="886">
        <f>димоканал!R851</f>
        <v>0.12345318301076662</v>
      </c>
      <c r="H851" s="886">
        <f>'підготовка до зими'!M851+майстерні!M851+маляри!M851+покрівлі!O851</f>
        <v>0.33182708030905261</v>
      </c>
      <c r="I851" s="886">
        <f>електрики!R851</f>
        <v>1.661572191489653E-2</v>
      </c>
      <c r="J851" s="989">
        <f t="shared" si="102"/>
        <v>0.84130756150412667</v>
      </c>
      <c r="K851" s="989">
        <v>2.1745154992492598E-2</v>
      </c>
      <c r="L851" s="994">
        <f t="shared" si="101"/>
        <v>0.8630527164966193</v>
      </c>
      <c r="M851" s="994">
        <f t="shared" si="103"/>
        <v>1.0356632597959432</v>
      </c>
      <c r="N851" s="753">
        <v>2</v>
      </c>
      <c r="O851" s="1003">
        <v>0.89590038569069497</v>
      </c>
      <c r="P851" s="22">
        <f t="shared" si="104"/>
        <v>0.13976287410524824</v>
      </c>
      <c r="Q851" s="982">
        <f t="shared" si="105"/>
        <v>15.600269442623144</v>
      </c>
      <c r="R851" s="6"/>
      <c r="S851" s="6"/>
      <c r="T851" s="6"/>
      <c r="U851" s="6"/>
      <c r="V851" s="6"/>
      <c r="W851" s="6"/>
      <c r="X851" s="6"/>
      <c r="Y851" s="6"/>
      <c r="Z851" s="6"/>
    </row>
    <row r="852" spans="1:26" s="93" customFormat="1" ht="15.75">
      <c r="A852" s="236">
        <v>104</v>
      </c>
      <c r="B852" s="233" t="s">
        <v>29</v>
      </c>
      <c r="C852" s="886">
        <f>cходова!R852</f>
        <v>0</v>
      </c>
      <c r="D852" s="886">
        <f>прибуд.!O852</f>
        <v>0</v>
      </c>
      <c r="E852" s="886">
        <f>гар.вода!M852+хол.вода!Q852+ц.о.!M852+каналізація!Q852+аварійні!I852+зварювальн!M852</f>
        <v>0.25097318146665243</v>
      </c>
      <c r="F852" s="886">
        <f>дератизац.!I852</f>
        <v>0</v>
      </c>
      <c r="G852" s="886">
        <f>димоканал!R852</f>
        <v>0.17366455774461231</v>
      </c>
      <c r="H852" s="886">
        <f>'підготовка до зими'!M852+майстерні!M852+маляри!M852+покрівлі!O852</f>
        <v>0.6055831709636802</v>
      </c>
      <c r="I852" s="886">
        <f>електрики!R852</f>
        <v>2.9505856302112419E-2</v>
      </c>
      <c r="J852" s="989">
        <f t="shared" si="102"/>
        <v>1.0597267664770573</v>
      </c>
      <c r="K852" s="989">
        <v>2.7374178178952609E-2</v>
      </c>
      <c r="L852" s="994">
        <f t="shared" si="101"/>
        <v>1.08710094465601</v>
      </c>
      <c r="M852" s="994">
        <f t="shared" si="103"/>
        <v>1.304521133587212</v>
      </c>
      <c r="N852" s="753">
        <v>1</v>
      </c>
      <c r="O852" s="1003">
        <v>1.1278161409728473</v>
      </c>
      <c r="P852" s="22">
        <f t="shared" si="104"/>
        <v>0.17670499261436468</v>
      </c>
      <c r="Q852" s="982">
        <f t="shared" si="105"/>
        <v>15.667890021678545</v>
      </c>
      <c r="R852" s="6"/>
      <c r="S852" s="6"/>
      <c r="T852" s="6"/>
      <c r="U852" s="6"/>
      <c r="V852" s="6"/>
      <c r="W852" s="6"/>
      <c r="X852" s="6"/>
      <c r="Y852" s="6"/>
      <c r="Z852" s="6"/>
    </row>
    <row r="853" spans="1:26" s="93" customFormat="1" ht="15.75">
      <c r="A853" s="236">
        <v>105</v>
      </c>
      <c r="B853" s="233" t="s">
        <v>30</v>
      </c>
      <c r="C853" s="886">
        <f>cходова!R853</f>
        <v>0</v>
      </c>
      <c r="D853" s="886">
        <f>прибуд.!O853</f>
        <v>0</v>
      </c>
      <c r="E853" s="886">
        <f>гар.вода!M853+хол.вода!Q853+ц.о.!M853+каналізація!Q853+аварійні!I853+зварювальн!M853</f>
        <v>0.21519379107527015</v>
      </c>
      <c r="F853" s="886">
        <f>дератизац.!I853</f>
        <v>0</v>
      </c>
      <c r="G853" s="886">
        <f>димоканал!R853</f>
        <v>0.11009018121509599</v>
      </c>
      <c r="H853" s="886">
        <f>'підготовка до зими'!M853+майстерні!M853+маляри!M853+покрівлі!O853</f>
        <v>0.34655798823933415</v>
      </c>
      <c r="I853" s="886">
        <f>електрики!R853</f>
        <v>2.3286381978672114E-2</v>
      </c>
      <c r="J853" s="989">
        <f t="shared" si="102"/>
        <v>0.69512834250837241</v>
      </c>
      <c r="K853" s="989">
        <v>1.8039125976120292E-2</v>
      </c>
      <c r="L853" s="994">
        <f t="shared" si="101"/>
        <v>0.71316746848449275</v>
      </c>
      <c r="M853" s="994">
        <f t="shared" si="103"/>
        <v>0.85580096218139123</v>
      </c>
      <c r="N853" s="753">
        <v>1</v>
      </c>
      <c r="O853" s="1003">
        <v>0.74321199021615614</v>
      </c>
      <c r="P853" s="22">
        <f t="shared" si="104"/>
        <v>0.1125889719652351</v>
      </c>
      <c r="Q853" s="982">
        <f t="shared" si="105"/>
        <v>15.148971416955973</v>
      </c>
      <c r="R853" s="6"/>
      <c r="S853" s="6"/>
      <c r="T853" s="6"/>
      <c r="U853" s="6"/>
      <c r="V853" s="6"/>
      <c r="W853" s="6"/>
      <c r="X853" s="6"/>
      <c r="Y853" s="6"/>
      <c r="Z853" s="6"/>
    </row>
    <row r="854" spans="1:26" s="93" customFormat="1" ht="15.75">
      <c r="A854" s="236">
        <v>106</v>
      </c>
      <c r="B854" s="233" t="s">
        <v>31</v>
      </c>
      <c r="C854" s="886">
        <f>cходова!R854</f>
        <v>0</v>
      </c>
      <c r="D854" s="886">
        <f>прибуд.!O854</f>
        <v>0</v>
      </c>
      <c r="E854" s="886">
        <f>гар.вода!M854+хол.вода!Q854+ц.о.!M854+каналізація!Q854+аварійні!I854+зварювальн!M854</f>
        <v>0.22293783441879478</v>
      </c>
      <c r="F854" s="886">
        <f>дератизац.!I854</f>
        <v>0</v>
      </c>
      <c r="G854" s="886">
        <f>димоканал!R854</f>
        <v>0.1396092626510968</v>
      </c>
      <c r="H854" s="886">
        <f>'підготовка до зими'!M854+майстерні!M854+маляри!M854+покрівлі!O854</f>
        <v>0.45995607531235744</v>
      </c>
      <c r="I854" s="886">
        <f>електрики!R854</f>
        <v>2.4632516672634396E-2</v>
      </c>
      <c r="J854" s="989">
        <f t="shared" si="102"/>
        <v>0.84713568905488346</v>
      </c>
      <c r="K854" s="989">
        <v>2.1938755906176222E-2</v>
      </c>
      <c r="L854" s="994">
        <f t="shared" si="101"/>
        <v>0.86907444496105968</v>
      </c>
      <c r="M854" s="994">
        <f t="shared" si="103"/>
        <v>1.0428893339532717</v>
      </c>
      <c r="N854" s="753">
        <v>2</v>
      </c>
      <c r="O854" s="1003">
        <v>0.90387674333446033</v>
      </c>
      <c r="P854" s="22">
        <f t="shared" si="104"/>
        <v>0.13901259061881133</v>
      </c>
      <c r="Q854" s="982">
        <f t="shared" si="105"/>
        <v>15.379595906626037</v>
      </c>
      <c r="R854" s="6"/>
      <c r="S854" s="6"/>
      <c r="T854" s="6"/>
      <c r="U854" s="6"/>
      <c r="V854" s="6"/>
      <c r="W854" s="6"/>
      <c r="X854" s="6"/>
      <c r="Y854" s="6"/>
      <c r="Z854" s="6"/>
    </row>
    <row r="855" spans="1:26" s="93" customFormat="1" ht="15.75">
      <c r="A855" s="236">
        <v>107</v>
      </c>
      <c r="B855" s="233" t="s">
        <v>32</v>
      </c>
      <c r="C855" s="886">
        <f>cходова!R855</f>
        <v>0</v>
      </c>
      <c r="D855" s="886">
        <f>прибуд.!O855</f>
        <v>0</v>
      </c>
      <c r="E855" s="886">
        <f>гар.вода!M855+хол.вода!Q855+ц.о.!M855+каналізація!Q855+аварійні!I855+зварювальн!M855</f>
        <v>0.27482400790339484</v>
      </c>
      <c r="F855" s="886">
        <f>дератизац.!I855</f>
        <v>0</v>
      </c>
      <c r="G855" s="886">
        <f>димоканал!R855</f>
        <v>0.19806665457641937</v>
      </c>
      <c r="H855" s="886">
        <f>'підготовка до зими'!M855+майстерні!M855+маляри!M855+покрівлі!O855</f>
        <v>0.40640304201518507</v>
      </c>
      <c r="I855" s="886">
        <f>електрики!R855</f>
        <v>3.365180739276822E-2</v>
      </c>
      <c r="J855" s="989">
        <f t="shared" si="102"/>
        <v>0.9129455118877674</v>
      </c>
      <c r="K855" s="989">
        <v>2.3688863306283947E-2</v>
      </c>
      <c r="L855" s="994">
        <f t="shared" si="101"/>
        <v>0.93663437519405135</v>
      </c>
      <c r="M855" s="994">
        <f t="shared" si="103"/>
        <v>1.1239612502328615</v>
      </c>
      <c r="N855" s="753">
        <v>2</v>
      </c>
      <c r="O855" s="1003">
        <v>0.97598116821889869</v>
      </c>
      <c r="P855" s="22">
        <f t="shared" si="104"/>
        <v>0.14798008201396284</v>
      </c>
      <c r="Q855" s="982">
        <f t="shared" si="105"/>
        <v>15.162186201196562</v>
      </c>
      <c r="R855" s="6"/>
      <c r="S855" s="6"/>
      <c r="T855" s="6"/>
      <c r="U855" s="6"/>
      <c r="V855" s="6"/>
      <c r="W855" s="6"/>
      <c r="X855" s="6"/>
      <c r="Y855" s="6"/>
      <c r="Z855" s="6"/>
    </row>
    <row r="856" spans="1:26" s="93" customFormat="1" ht="15.75">
      <c r="A856" s="236">
        <v>108</v>
      </c>
      <c r="B856" s="233" t="s">
        <v>33</v>
      </c>
      <c r="C856" s="886">
        <f>cходова!R856</f>
        <v>0</v>
      </c>
      <c r="D856" s="886">
        <f>прибуд.!O856</f>
        <v>0</v>
      </c>
      <c r="E856" s="886">
        <f>гар.вода!M856+хол.вода!Q856+ц.о.!M856+каналізація!Q856+аварійні!I856+зварювальн!M856</f>
        <v>0.15346776017470776</v>
      </c>
      <c r="F856" s="886">
        <f>дератизац.!I856</f>
        <v>0</v>
      </c>
      <c r="G856" s="886">
        <f>димоканал!R856</f>
        <v>7.3905468125529616E-2</v>
      </c>
      <c r="H856" s="886">
        <f>'підготовка до зими'!M856+майстерні!M856+маляри!M856+покрівлі!O856</f>
        <v>0.31604265852637392</v>
      </c>
      <c r="I856" s="886">
        <f>електрики!R856</f>
        <v>1.2556644549540379E-2</v>
      </c>
      <c r="J856" s="989">
        <f t="shared" si="102"/>
        <v>0.55597253137615166</v>
      </c>
      <c r="K856" s="989">
        <v>1.446695933615851E-2</v>
      </c>
      <c r="L856" s="994">
        <f t="shared" si="101"/>
        <v>0.57043949071231015</v>
      </c>
      <c r="M856" s="994">
        <f t="shared" si="103"/>
        <v>0.68452738885477216</v>
      </c>
      <c r="N856" s="753">
        <v>2</v>
      </c>
      <c r="O856" s="1003">
        <v>0.59603872464973073</v>
      </c>
      <c r="P856" s="22">
        <f t="shared" si="104"/>
        <v>8.8488664205041423E-2</v>
      </c>
      <c r="Q856" s="982">
        <f t="shared" si="105"/>
        <v>14.846126693704818</v>
      </c>
      <c r="R856" s="6"/>
      <c r="S856" s="6"/>
      <c r="T856" s="6"/>
      <c r="U856" s="6"/>
      <c r="V856" s="6"/>
      <c r="W856" s="6"/>
      <c r="X856" s="6"/>
      <c r="Y856" s="6"/>
      <c r="Z856" s="6"/>
    </row>
    <row r="857" spans="1:26" s="93" customFormat="1" ht="15.75">
      <c r="A857" s="894">
        <v>109</v>
      </c>
      <c r="B857" s="233" t="s">
        <v>34</v>
      </c>
      <c r="C857" s="886">
        <f>cходова!R857</f>
        <v>0</v>
      </c>
      <c r="D857" s="886">
        <f>прибуд.!O857</f>
        <v>0</v>
      </c>
      <c r="E857" s="886">
        <f>гар.вода!M857+хол.вода!Q857+ц.о.!M857+каналізація!Q857+аварійні!I857+зварювальн!M857</f>
        <v>0.21267500897124275</v>
      </c>
      <c r="F857" s="886">
        <f>дератизац.!I857</f>
        <v>0</v>
      </c>
      <c r="G857" s="886">
        <f>димоканал!R857</f>
        <v>0.17308439110428905</v>
      </c>
      <c r="H857" s="886">
        <f>'підготовка до зими'!M857+майстерні!M857+маляри!M857+покрівлі!O857</f>
        <v>0.76610037266968989</v>
      </c>
      <c r="I857" s="886">
        <f>електрики!R857</f>
        <v>2.2848546105814077E-2</v>
      </c>
      <c r="J857" s="989">
        <f t="shared" si="102"/>
        <v>1.1747083188510359</v>
      </c>
      <c r="K857" s="989">
        <v>3.007858025385924E-2</v>
      </c>
      <c r="L857" s="994">
        <f t="shared" si="101"/>
        <v>1.2047868991048951</v>
      </c>
      <c r="M857" s="994">
        <f t="shared" si="103"/>
        <v>1.4457442789258741</v>
      </c>
      <c r="N857" s="753">
        <v>1</v>
      </c>
      <c r="O857" s="1003">
        <v>1.2392375064590007</v>
      </c>
      <c r="P857" s="22">
        <f t="shared" si="104"/>
        <v>0.20650677246687343</v>
      </c>
      <c r="Q857" s="982">
        <f t="shared" si="105"/>
        <v>16.664018914093901</v>
      </c>
      <c r="R857" s="6"/>
      <c r="S857" s="6"/>
      <c r="T857" s="6"/>
      <c r="U857" s="6"/>
      <c r="V857" s="6"/>
      <c r="W857" s="6"/>
      <c r="X857" s="6"/>
      <c r="Y857" s="6"/>
      <c r="Z857" s="6"/>
    </row>
    <row r="858" spans="1:26" s="892" customFormat="1" ht="15.75">
      <c r="A858" s="236">
        <v>110</v>
      </c>
      <c r="B858" s="233" t="s">
        <v>35</v>
      </c>
      <c r="C858" s="886">
        <f>cходова!R858</f>
        <v>0</v>
      </c>
      <c r="D858" s="886">
        <f>прибуд.!O858</f>
        <v>0.71704449550586258</v>
      </c>
      <c r="E858" s="886">
        <f>гар.вода!M858+хол.вода!Q858+ц.о.!M858+каналізація!Q858+аварійні!I858+зварювальн!M858</f>
        <v>0.2472201078719041</v>
      </c>
      <c r="F858" s="886">
        <f>дератизац.!I858</f>
        <v>4.5728643216080408E-3</v>
      </c>
      <c r="G858" s="886">
        <f>димоканал!R858</f>
        <v>0.11355401960071144</v>
      </c>
      <c r="H858" s="886">
        <f>'підготовка до зими'!M858+майстерні!M858+маляри!M858+покрівлі!O858</f>
        <v>0.20571855511158102</v>
      </c>
      <c r="I858" s="886">
        <f>електрики!R858</f>
        <v>2.88534655095029E-2</v>
      </c>
      <c r="J858" s="989">
        <f t="shared" si="102"/>
        <v>1.3169635079211701</v>
      </c>
      <c r="K858" s="989">
        <v>3.3853368599654939E-2</v>
      </c>
      <c r="L858" s="994">
        <f t="shared" si="101"/>
        <v>1.350816876520825</v>
      </c>
      <c r="M858" s="994">
        <f t="shared" si="103"/>
        <v>1.6209802518249901</v>
      </c>
      <c r="N858" s="753">
        <v>2</v>
      </c>
      <c r="O858" s="1003">
        <v>1.3947587863057835</v>
      </c>
      <c r="P858" s="22">
        <f t="shared" si="104"/>
        <v>0.22622146551920652</v>
      </c>
      <c r="Q858" s="982">
        <f t="shared" si="105"/>
        <v>16.21939705562896</v>
      </c>
      <c r="R858" s="6"/>
      <c r="S858" s="6"/>
      <c r="T858" s="6"/>
      <c r="U858" s="6"/>
      <c r="V858" s="6"/>
      <c r="W858" s="6"/>
      <c r="X858" s="6"/>
      <c r="Y858" s="6"/>
      <c r="Z858" s="6"/>
    </row>
    <row r="859" spans="1:26" s="93" customFormat="1" ht="15.75">
      <c r="A859" s="236">
        <v>111</v>
      </c>
      <c r="B859" s="233" t="s">
        <v>36</v>
      </c>
      <c r="C859" s="886">
        <f>cходова!R859</f>
        <v>0</v>
      </c>
      <c r="D859" s="886">
        <f>прибуд.!O859</f>
        <v>0</v>
      </c>
      <c r="E859" s="886">
        <f>гар.вода!M859+хол.вода!Q859+ц.о.!M859+каналізація!Q859+аварійні!I859+зварювальн!M859</f>
        <v>0.19139861442472239</v>
      </c>
      <c r="F859" s="886">
        <f>дератизац.!I859</f>
        <v>0</v>
      </c>
      <c r="G859" s="886">
        <f>димоканал!R859</f>
        <v>9.6711745379672795E-2</v>
      </c>
      <c r="H859" s="886">
        <f>'підготовка до зими'!M859+майстерні!M859+маляри!M859+покрівлі!O859</f>
        <v>0.34792463132444928</v>
      </c>
      <c r="I859" s="886">
        <f>електрики!R859</f>
        <v>1.9150104401526664E-2</v>
      </c>
      <c r="J859" s="989">
        <f t="shared" si="102"/>
        <v>0.65518509553037108</v>
      </c>
      <c r="K859" s="989">
        <v>1.700928444686332E-2</v>
      </c>
      <c r="L859" s="994">
        <f t="shared" si="101"/>
        <v>0.67219437997723441</v>
      </c>
      <c r="M859" s="994">
        <f t="shared" si="103"/>
        <v>0.80663325597268132</v>
      </c>
      <c r="N859" s="753">
        <v>1</v>
      </c>
      <c r="O859" s="1003">
        <v>0.70078251921076884</v>
      </c>
      <c r="P859" s="22">
        <f t="shared" si="104"/>
        <v>0.10585073676191248</v>
      </c>
      <c r="Q859" s="982">
        <f t="shared" si="105"/>
        <v>15.10464856930551</v>
      </c>
      <c r="R859" s="6"/>
      <c r="S859" s="6"/>
      <c r="T859" s="6"/>
      <c r="U859" s="6"/>
      <c r="V859" s="6"/>
      <c r="W859" s="6"/>
      <c r="X859" s="6"/>
      <c r="Y859" s="6"/>
      <c r="Z859" s="6"/>
    </row>
    <row r="860" spans="1:26" s="93" customFormat="1" ht="15.75">
      <c r="A860" s="236">
        <v>112</v>
      </c>
      <c r="B860" s="233" t="s">
        <v>37</v>
      </c>
      <c r="C860" s="886">
        <f>cходова!R860</f>
        <v>0</v>
      </c>
      <c r="D860" s="886">
        <f>прибуд.!O860</f>
        <v>0</v>
      </c>
      <c r="E860" s="886">
        <f>гар.вода!M860+хол.вода!Q860+ц.о.!M860+каналізація!Q860+аварійні!I860+зварювальн!M860</f>
        <v>0.1899601857212771</v>
      </c>
      <c r="F860" s="886">
        <f>дератизац.!I860</f>
        <v>0</v>
      </c>
      <c r="G860" s="886">
        <f>димоканал!R860</f>
        <v>0.2224827053133743</v>
      </c>
      <c r="H860" s="886">
        <f>'підготовка до зими'!M860+майстерні!M860+маляри!M860+покрівлі!O860</f>
        <v>0.74867442780220861</v>
      </c>
      <c r="I860" s="886">
        <f>електрики!R860</f>
        <v>1.8900064635915328E-2</v>
      </c>
      <c r="J860" s="989">
        <f t="shared" si="102"/>
        <v>1.1800173834727754</v>
      </c>
      <c r="K860" s="989">
        <v>3.0305304216191289E-2</v>
      </c>
      <c r="L860" s="994">
        <f t="shared" si="101"/>
        <v>1.2103226876889668</v>
      </c>
      <c r="M860" s="994">
        <f t="shared" si="103"/>
        <v>1.45238722522676</v>
      </c>
      <c r="N860" s="753">
        <v>1</v>
      </c>
      <c r="O860" s="1003">
        <v>1.2485785337070812</v>
      </c>
      <c r="P860" s="22">
        <f t="shared" si="104"/>
        <v>0.20380869151967884</v>
      </c>
      <c r="Q860" s="982">
        <f t="shared" si="105"/>
        <v>16.323257690051946</v>
      </c>
      <c r="R860" s="6"/>
      <c r="S860" s="6"/>
      <c r="T860" s="6"/>
      <c r="U860" s="6"/>
      <c r="V860" s="6"/>
      <c r="W860" s="6"/>
      <c r="X860" s="6"/>
      <c r="Y860" s="6"/>
      <c r="Z860" s="6"/>
    </row>
    <row r="861" spans="1:26" s="93" customFormat="1" ht="15.75">
      <c r="A861" s="236">
        <v>113</v>
      </c>
      <c r="B861" s="233" t="s">
        <v>38</v>
      </c>
      <c r="C861" s="886">
        <f>cходова!R861</f>
        <v>0</v>
      </c>
      <c r="D861" s="886">
        <f>прибуд.!O861</f>
        <v>0</v>
      </c>
      <c r="E861" s="886">
        <f>гар.вода!M861+хол.вода!Q861+ц.о.!M861+каналізація!Q861+аварійні!I861+зварювальн!M861</f>
        <v>0.21453155008056196</v>
      </c>
      <c r="F861" s="886">
        <f>дератизац.!I861</f>
        <v>0</v>
      </c>
      <c r="G861" s="886">
        <f>димоканал!R861</f>
        <v>6.8190320696330825E-2</v>
      </c>
      <c r="H861" s="886">
        <f>'підготовка до зими'!M861+майстерні!M861+маляри!M861+покрівлі!O861</f>
        <v>0.57380933480189766</v>
      </c>
      <c r="I861" s="886">
        <f>електрики!R861</f>
        <v>2.3171265683579811E-2</v>
      </c>
      <c r="J861" s="989">
        <f t="shared" si="102"/>
        <v>0.87970247126237022</v>
      </c>
      <c r="K861" s="989">
        <v>2.2648282137140791E-2</v>
      </c>
      <c r="L861" s="994">
        <f t="shared" si="101"/>
        <v>0.90235075339951099</v>
      </c>
      <c r="M861" s="994">
        <f t="shared" si="103"/>
        <v>1.0828209040794132</v>
      </c>
      <c r="N861" s="753">
        <v>1</v>
      </c>
      <c r="O861" s="1003">
        <v>0.93310922405020047</v>
      </c>
      <c r="P861" s="22">
        <f t="shared" si="104"/>
        <v>0.14971168002921276</v>
      </c>
      <c r="Q861" s="982">
        <f t="shared" si="105"/>
        <v>16.044389678132504</v>
      </c>
      <c r="R861" s="6"/>
      <c r="S861" s="6"/>
      <c r="T861" s="6"/>
      <c r="U861" s="6"/>
      <c r="V861" s="6"/>
      <c r="W861" s="6"/>
      <c r="X861" s="6"/>
      <c r="Y861" s="6"/>
      <c r="Z861" s="6"/>
    </row>
    <row r="862" spans="1:26" s="93" customFormat="1" ht="15.75">
      <c r="A862" s="236">
        <v>114</v>
      </c>
      <c r="B862" s="233" t="s">
        <v>39</v>
      </c>
      <c r="C862" s="886">
        <f>cходова!R862</f>
        <v>0</v>
      </c>
      <c r="D862" s="886">
        <f>прибуд.!O862</f>
        <v>0</v>
      </c>
      <c r="E862" s="886">
        <f>гар.вода!M862+хол.вода!Q862+ц.о.!M862+каналізація!Q862+аварійні!I862+зварювальн!M862</f>
        <v>0.17395298048437396</v>
      </c>
      <c r="F862" s="886">
        <f>дератизац.!I862</f>
        <v>0</v>
      </c>
      <c r="G862" s="886">
        <f>димоканал!R862</f>
        <v>4.7432084347401114E-2</v>
      </c>
      <c r="H862" s="886">
        <f>'підготовка до зими'!M862+майстерні!M862+маляри!M862+покрівлі!O862</f>
        <v>0.27212926347057331</v>
      </c>
      <c r="I862" s="886">
        <f>електрики!R862</f>
        <v>1.6117557699046527E-2</v>
      </c>
      <c r="J862" s="989">
        <f t="shared" si="102"/>
        <v>0.50963188600139486</v>
      </c>
      <c r="K862" s="989">
        <v>1.3244974322363429E-2</v>
      </c>
      <c r="L862" s="994">
        <f t="shared" si="101"/>
        <v>0.52287686032375824</v>
      </c>
      <c r="M862" s="994">
        <f t="shared" si="103"/>
        <v>0.62745223238850989</v>
      </c>
      <c r="N862" s="753">
        <v>2</v>
      </c>
      <c r="O862" s="1003">
        <v>0.54569294208137331</v>
      </c>
      <c r="P862" s="22">
        <f t="shared" si="104"/>
        <v>8.1759290307136578E-2</v>
      </c>
      <c r="Q862" s="982">
        <f t="shared" si="105"/>
        <v>14.982654896596543</v>
      </c>
      <c r="R862" s="6"/>
      <c r="S862" s="6"/>
      <c r="T862" s="6"/>
      <c r="U862" s="6"/>
      <c r="V862" s="6"/>
      <c r="W862" s="6"/>
      <c r="X862" s="6"/>
      <c r="Y862" s="6"/>
      <c r="Z862" s="6"/>
    </row>
    <row r="863" spans="1:26" s="93" customFormat="1" ht="15.75">
      <c r="A863" s="236">
        <v>115</v>
      </c>
      <c r="B863" s="233" t="s">
        <v>40</v>
      </c>
      <c r="C863" s="886">
        <f>cходова!R863</f>
        <v>0</v>
      </c>
      <c r="D863" s="886">
        <f>прибуд.!O863</f>
        <v>0</v>
      </c>
      <c r="E863" s="886">
        <f>гар.вода!M863+хол.вода!Q863+ц.о.!M863+каналізація!Q863+аварійні!I863+зварювальн!M863</f>
        <v>0.17224072520827594</v>
      </c>
      <c r="F863" s="886">
        <f>дератизац.!I863</f>
        <v>3.8813886210221794E-3</v>
      </c>
      <c r="G863" s="886">
        <f>димоканал!R863</f>
        <v>0.25950900093720941</v>
      </c>
      <c r="H863" s="886">
        <f>'підготовка до зими'!M863+майстерні!M863+маляри!M863+покрівлі!O863</f>
        <v>0.43847470531983213</v>
      </c>
      <c r="I863" s="886">
        <f>електрики!R863</f>
        <v>1.5819919097371751E-2</v>
      </c>
      <c r="J863" s="989">
        <f t="shared" si="102"/>
        <v>0.88992573918371143</v>
      </c>
      <c r="K863" s="989">
        <v>2.3245281199560968E-2</v>
      </c>
      <c r="L863" s="994">
        <f t="shared" si="101"/>
        <v>0.91317102038327236</v>
      </c>
      <c r="M863" s="994">
        <f t="shared" si="103"/>
        <v>1.0958052244599268</v>
      </c>
      <c r="N863" s="753">
        <v>3</v>
      </c>
      <c r="O863" s="1003">
        <v>0.95770558542191186</v>
      </c>
      <c r="P863" s="22">
        <f t="shared" si="104"/>
        <v>0.13809963903801492</v>
      </c>
      <c r="Q863" s="982">
        <f t="shared" si="105"/>
        <v>14.419842709508245</v>
      </c>
      <c r="R863" s="6"/>
      <c r="S863" s="6"/>
      <c r="T863" s="6"/>
      <c r="U863" s="6"/>
      <c r="V863" s="6"/>
      <c r="W863" s="6"/>
      <c r="X863" s="6"/>
      <c r="Y863" s="6"/>
      <c r="Z863" s="6"/>
    </row>
    <row r="864" spans="1:26" s="892" customFormat="1" ht="15.75">
      <c r="A864" s="236">
        <v>116</v>
      </c>
      <c r="B864" s="233" t="s">
        <v>41</v>
      </c>
      <c r="C864" s="886">
        <f>cходова!R864</f>
        <v>0</v>
      </c>
      <c r="D864" s="886">
        <f>прибуд.!O864</f>
        <v>0.35757864879218482</v>
      </c>
      <c r="E864" s="886">
        <f>гар.вода!M864+хол.вода!Q864+ц.о.!M864+каналізація!Q864+аварійні!I864+зварювальн!M864</f>
        <v>0.15742772708280381</v>
      </c>
      <c r="F864" s="886">
        <f>дератизац.!I864</f>
        <v>2.1475859841756824E-3</v>
      </c>
      <c r="G864" s="886">
        <f>димоканал!R864</f>
        <v>7.7452300454982526E-2</v>
      </c>
      <c r="H864" s="886">
        <f>'підготовка до зими'!M864+майстерні!M864+маляри!M864+покрівлі!O864</f>
        <v>0.32236602412918308</v>
      </c>
      <c r="I864" s="886">
        <f>електрики!R864</f>
        <v>2.1113585719400908E-2</v>
      </c>
      <c r="J864" s="989">
        <f t="shared" si="102"/>
        <v>0.93808587216273087</v>
      </c>
      <c r="K864" s="989">
        <v>2.3937081524907478E-2</v>
      </c>
      <c r="L864" s="994">
        <f t="shared" si="101"/>
        <v>0.96202295368763835</v>
      </c>
      <c r="M864" s="994">
        <f t="shared" si="103"/>
        <v>1.1544275444251659</v>
      </c>
      <c r="N864" s="753">
        <v>2</v>
      </c>
      <c r="O864" s="1003">
        <v>0.98620775882618816</v>
      </c>
      <c r="P864" s="22">
        <f t="shared" si="104"/>
        <v>0.16821978559897777</v>
      </c>
      <c r="Q864" s="982">
        <f t="shared" si="105"/>
        <v>17.057236073583269</v>
      </c>
      <c r="R864" s="6"/>
      <c r="S864" s="6"/>
      <c r="T864" s="6"/>
      <c r="U864" s="6"/>
      <c r="V864" s="6"/>
      <c r="W864" s="6"/>
      <c r="X864" s="6"/>
      <c r="Y864" s="6"/>
      <c r="Z864" s="6"/>
    </row>
    <row r="865" spans="1:26" s="93" customFormat="1" ht="15.75">
      <c r="A865" s="236">
        <v>117</v>
      </c>
      <c r="B865" s="233" t="s">
        <v>42</v>
      </c>
      <c r="C865" s="886">
        <f>cходова!R865</f>
        <v>0.29084212147124605</v>
      </c>
      <c r="D865" s="886">
        <f>прибуд.!O865</f>
        <v>0.59953521153045608</v>
      </c>
      <c r="E865" s="886">
        <f>гар.вода!M865+хол.вода!Q865+ц.о.!M865+каналізація!Q865+аварійні!I865+зварювальн!M865</f>
        <v>0.24011431150817097</v>
      </c>
      <c r="F865" s="886">
        <f>дератизац.!I865</f>
        <v>2.1426385062748702E-3</v>
      </c>
      <c r="G865" s="886">
        <f>димоканал!R865</f>
        <v>0.13299930317631467</v>
      </c>
      <c r="H865" s="886">
        <f>'підготовка до зими'!M865+майстерні!M865+маляри!M865+покрівлі!O865</f>
        <v>0.24757956718819746</v>
      </c>
      <c r="I865" s="886">
        <f>електрики!R865</f>
        <v>2.7618276269317354E-2</v>
      </c>
      <c r="J865" s="989">
        <f t="shared" si="102"/>
        <v>1.5408314296499772</v>
      </c>
      <c r="K865" s="989">
        <v>3.875924216151503E-2</v>
      </c>
      <c r="L865" s="994">
        <f t="shared" si="101"/>
        <v>1.5795906718114923</v>
      </c>
      <c r="M865" s="994">
        <f t="shared" si="103"/>
        <v>1.8955088061737906</v>
      </c>
      <c r="N865" s="753">
        <v>3</v>
      </c>
      <c r="O865" s="1003">
        <v>1.5968807770544191</v>
      </c>
      <c r="P865" s="22">
        <f t="shared" si="104"/>
        <v>0.29862802911937147</v>
      </c>
      <c r="Q865" s="982">
        <f t="shared" si="105"/>
        <v>18.700709120577926</v>
      </c>
      <c r="R865" s="6"/>
      <c r="S865" s="6"/>
      <c r="T865" s="6"/>
      <c r="U865" s="6"/>
      <c r="V865" s="6"/>
      <c r="W865" s="6"/>
      <c r="X865" s="6"/>
      <c r="Y865" s="6"/>
      <c r="Z865" s="6"/>
    </row>
    <row r="866" spans="1:26" s="93" customFormat="1" ht="15.75">
      <c r="A866" s="894">
        <v>118</v>
      </c>
      <c r="B866" s="233" t="s">
        <v>43</v>
      </c>
      <c r="C866" s="886">
        <f>cходова!R866</f>
        <v>0.53629881050483641</v>
      </c>
      <c r="D866" s="886">
        <f>прибуд.!O866</f>
        <v>0.40818402415533583</v>
      </c>
      <c r="E866" s="886">
        <f>гар.вода!M866+хол.вода!Q866+ц.о.!M866+каналізація!Q866+аварійні!I866+зварювальн!M866</f>
        <v>0.22705413787454612</v>
      </c>
      <c r="F866" s="886">
        <f>дератизац.!I866</f>
        <v>4.3263288009888759E-3</v>
      </c>
      <c r="G866" s="886">
        <f>димоканал!R866</f>
        <v>0.10664606913836944</v>
      </c>
      <c r="H866" s="886">
        <f>'підготовка до зими'!M866+майстерні!M866+маляри!M866+покрівлі!O866</f>
        <v>0.24273410689755182</v>
      </c>
      <c r="I866" s="886">
        <f>електрики!R866</f>
        <v>2.5348047132222662E-2</v>
      </c>
      <c r="J866" s="989">
        <f t="shared" si="102"/>
        <v>1.5505915245038513</v>
      </c>
      <c r="K866" s="989">
        <v>3.8739546791216953E-2</v>
      </c>
      <c r="L866" s="994">
        <f t="shared" si="101"/>
        <v>1.5893310712950683</v>
      </c>
      <c r="M866" s="994">
        <f t="shared" si="103"/>
        <v>1.907197285554082</v>
      </c>
      <c r="N866" s="753">
        <v>3</v>
      </c>
      <c r="O866" s="1003">
        <v>1.5960693277981386</v>
      </c>
      <c r="P866" s="22">
        <f t="shared" si="104"/>
        <v>0.31112795775594337</v>
      </c>
      <c r="Q866" s="982">
        <f t="shared" si="105"/>
        <v>19.493386179230754</v>
      </c>
      <c r="R866" s="6"/>
      <c r="S866" s="6"/>
      <c r="T866" s="6"/>
      <c r="U866" s="6"/>
      <c r="V866" s="6"/>
      <c r="W866" s="6"/>
      <c r="X866" s="6"/>
      <c r="Y866" s="6"/>
      <c r="Z866" s="6"/>
    </row>
    <row r="867" spans="1:26" s="93" customFormat="1" ht="15.75">
      <c r="A867" s="236">
        <v>119</v>
      </c>
      <c r="B867" s="233" t="s">
        <v>44</v>
      </c>
      <c r="C867" s="886">
        <f>cходова!R867</f>
        <v>0</v>
      </c>
      <c r="D867" s="886">
        <f>прибуд.!O867</f>
        <v>0</v>
      </c>
      <c r="E867" s="886">
        <f>гар.вода!M867+хол.вода!Q867+ц.о.!M867+каналізація!Q867+аварійні!I867+зварювальн!M867</f>
        <v>0.1871931484698891</v>
      </c>
      <c r="F867" s="886">
        <f>дератизац.!I867</f>
        <v>0</v>
      </c>
      <c r="G867" s="886">
        <f>димоканал!R867</f>
        <v>5.0357566237254153E-2</v>
      </c>
      <c r="H867" s="886">
        <f>'підготовка до зими'!M867+майстерні!M867+маляри!M867+покрівлі!O867</f>
        <v>0.32987471496299503</v>
      </c>
      <c r="I867" s="886">
        <f>електрики!R867</f>
        <v>1.8419074967037246E-2</v>
      </c>
      <c r="J867" s="989">
        <f t="shared" si="102"/>
        <v>0.58584450463717552</v>
      </c>
      <c r="K867" s="989">
        <v>1.5178052871143993E-2</v>
      </c>
      <c r="L867" s="994">
        <f t="shared" si="101"/>
        <v>0.60102255750831957</v>
      </c>
      <c r="M867" s="994">
        <f t="shared" si="103"/>
        <v>0.72122706900998346</v>
      </c>
      <c r="N867" s="753">
        <v>1</v>
      </c>
      <c r="O867" s="1003">
        <v>0.62533577829113252</v>
      </c>
      <c r="P867" s="22">
        <f t="shared" si="104"/>
        <v>9.5891290718850941E-2</v>
      </c>
      <c r="Q867" s="982">
        <f t="shared" si="105"/>
        <v>15.334368198297383</v>
      </c>
      <c r="R867" s="6"/>
      <c r="S867" s="6"/>
      <c r="T867" s="6"/>
      <c r="U867" s="6"/>
      <c r="V867" s="6"/>
      <c r="W867" s="6"/>
      <c r="X867" s="6"/>
      <c r="Y867" s="6"/>
      <c r="Z867" s="6"/>
    </row>
    <row r="868" spans="1:26" s="93" customFormat="1" ht="15.75">
      <c r="A868" s="236">
        <v>120</v>
      </c>
      <c r="B868" s="233" t="s">
        <v>45</v>
      </c>
      <c r="C868" s="886">
        <f>cходова!R868</f>
        <v>0.33797439384170197</v>
      </c>
      <c r="D868" s="886">
        <f>прибуд.!O868</f>
        <v>0.41751363492565979</v>
      </c>
      <c r="E868" s="886">
        <f>гар.вода!M868+хол.вода!Q868+ц.о.!M868+каналізація!Q868+аварійні!I868+зварювальн!M868</f>
        <v>0.18193918309485901</v>
      </c>
      <c r="F868" s="886">
        <f>дератизац.!I868</f>
        <v>3.0500818097744897E-3</v>
      </c>
      <c r="G868" s="886">
        <f>димоканал!R868</f>
        <v>5.5891052004797048E-2</v>
      </c>
      <c r="H868" s="886">
        <f>'підготовка до зими'!M868+майстерні!M868+маляри!M868+покрівлі!O868</f>
        <v>0.20281698102412415</v>
      </c>
      <c r="I868" s="886">
        <f>електрики!R868</f>
        <v>1.750578655186865E-2</v>
      </c>
      <c r="J868" s="989">
        <f t="shared" si="102"/>
        <v>1.2166911132527851</v>
      </c>
      <c r="K868" s="989">
        <v>3.0732007109106063E-2</v>
      </c>
      <c r="L868" s="994">
        <f t="shared" si="101"/>
        <v>1.2474231203618911</v>
      </c>
      <c r="M868" s="994">
        <f t="shared" si="103"/>
        <v>1.4969077444342693</v>
      </c>
      <c r="N868" s="753">
        <v>3</v>
      </c>
      <c r="O868" s="1003">
        <v>1.2661586928951698</v>
      </c>
      <c r="P868" s="22">
        <f t="shared" si="104"/>
        <v>0.23074905153909953</v>
      </c>
      <c r="Q868" s="982">
        <f t="shared" si="105"/>
        <v>18.224338926384817</v>
      </c>
      <c r="R868" s="6"/>
      <c r="S868" s="6"/>
      <c r="T868" s="6"/>
      <c r="U868" s="6"/>
      <c r="V868" s="6"/>
      <c r="W868" s="6"/>
      <c r="X868" s="6"/>
      <c r="Y868" s="6"/>
      <c r="Z868" s="6"/>
    </row>
    <row r="869" spans="1:26" s="93" customFormat="1" ht="15.75">
      <c r="A869" s="236">
        <v>121</v>
      </c>
      <c r="B869" s="233" t="s">
        <v>46</v>
      </c>
      <c r="C869" s="886">
        <f>cходова!R869</f>
        <v>0</v>
      </c>
      <c r="D869" s="886">
        <f>прибуд.!O869</f>
        <v>0</v>
      </c>
      <c r="E869" s="886">
        <f>гар.вода!M869+хол.вода!Q869+ц.о.!M869+каналізація!Q869+аварійні!I869+зварювальн!M869</f>
        <v>0.23172327706324611</v>
      </c>
      <c r="F869" s="886">
        <f>дератизац.!I869</f>
        <v>3.348641408342901E-3</v>
      </c>
      <c r="G869" s="886">
        <f>димоканал!R869</f>
        <v>0.14085475629473404</v>
      </c>
      <c r="H869" s="886">
        <f>'підготовка до зими'!M869+майстерні!M869+маляри!M869+покрівлі!O869</f>
        <v>0.32286846684504378</v>
      </c>
      <c r="I869" s="886">
        <f>електрики!R869</f>
        <v>2.6159676144875788E-2</v>
      </c>
      <c r="J869" s="989">
        <f t="shared" si="102"/>
        <v>0.7249548177562426</v>
      </c>
      <c r="K869" s="989">
        <v>1.8856110929903976E-2</v>
      </c>
      <c r="L869" s="994">
        <f t="shared" si="101"/>
        <v>0.74381092868614662</v>
      </c>
      <c r="M869" s="994">
        <f t="shared" si="103"/>
        <v>0.89257311442337595</v>
      </c>
      <c r="N869" s="753">
        <v>2</v>
      </c>
      <c r="O869" s="1003">
        <v>0.77687177031204391</v>
      </c>
      <c r="P869" s="22">
        <f t="shared" si="104"/>
        <v>0.11570134411133204</v>
      </c>
      <c r="Q869" s="982">
        <f t="shared" si="105"/>
        <v>14.8932357350118</v>
      </c>
      <c r="R869" s="6"/>
      <c r="S869" s="6"/>
      <c r="T869" s="6"/>
      <c r="U869" s="6"/>
      <c r="V869" s="6"/>
      <c r="W869" s="6"/>
      <c r="X869" s="6"/>
      <c r="Y869" s="6"/>
      <c r="Z869" s="6"/>
    </row>
    <row r="870" spans="1:26" s="93" customFormat="1" ht="15.75">
      <c r="A870" s="236">
        <v>122</v>
      </c>
      <c r="B870" s="233" t="s">
        <v>47</v>
      </c>
      <c r="C870" s="886">
        <f>cходова!R870</f>
        <v>0</v>
      </c>
      <c r="D870" s="886">
        <f>прибуд.!O870</f>
        <v>0.71257852961959722</v>
      </c>
      <c r="E870" s="886">
        <f>гар.вода!M870+хол.вода!Q870+ц.о.!M870+каналізація!Q870+аварійні!I870+зварювальн!M870</f>
        <v>0.22016746751573268</v>
      </c>
      <c r="F870" s="886">
        <f>дератизац.!I870</f>
        <v>3.7098103874690859E-3</v>
      </c>
      <c r="G870" s="886">
        <f>димоканал!R870</f>
        <v>0.13003891586319868</v>
      </c>
      <c r="H870" s="886">
        <f>'підготовка до зими'!M870+майстерні!M870+маляри!M870+покрівлі!O870</f>
        <v>0.28729723156345716</v>
      </c>
      <c r="I870" s="886">
        <f>електрики!R870</f>
        <v>2.4150948215720329E-2</v>
      </c>
      <c r="J870" s="989">
        <f t="shared" si="102"/>
        <v>1.3779429031651751</v>
      </c>
      <c r="K870" s="989">
        <v>3.4966092966919014E-2</v>
      </c>
      <c r="L870" s="994">
        <f t="shared" si="101"/>
        <v>1.4129089961320942</v>
      </c>
      <c r="M870" s="994">
        <f t="shared" si="103"/>
        <v>1.695490795358513</v>
      </c>
      <c r="N870" s="753">
        <v>2</v>
      </c>
      <c r="O870" s="1003">
        <v>1.4406030302370636</v>
      </c>
      <c r="P870" s="22">
        <f t="shared" si="104"/>
        <v>0.25488776512144939</v>
      </c>
      <c r="Q870" s="982">
        <f t="shared" si="105"/>
        <v>17.693129874890332</v>
      </c>
      <c r="R870" s="6"/>
      <c r="S870" s="6"/>
      <c r="T870" s="6"/>
      <c r="U870" s="6"/>
      <c r="V870" s="6"/>
      <c r="W870" s="6"/>
      <c r="X870" s="6"/>
      <c r="Y870" s="6"/>
      <c r="Z870" s="6"/>
    </row>
    <row r="871" spans="1:26" s="93" customFormat="1" ht="15.75">
      <c r="A871" s="236">
        <v>123</v>
      </c>
      <c r="B871" s="233" t="s">
        <v>48</v>
      </c>
      <c r="C871" s="886">
        <f>cходова!R871</f>
        <v>0.57934907152264803</v>
      </c>
      <c r="D871" s="886">
        <f>прибуд.!O871</f>
        <v>0.41837003977432469</v>
      </c>
      <c r="E871" s="886">
        <f>гар.вода!M871+хол.вода!Q871+ц.о.!M871+каналізація!Q871+аварійні!I871+зварювальн!M871</f>
        <v>0.18879941490221847</v>
      </c>
      <c r="F871" s="886">
        <f>дератизац.!I871</f>
        <v>1.0637893697047986E-3</v>
      </c>
      <c r="G871" s="886">
        <f>димоканал!R871</f>
        <v>8.7805520721837144E-2</v>
      </c>
      <c r="H871" s="886">
        <f>'підготовка до зими'!M871+майстерні!M871+маляри!M871+покрівлі!O871</f>
        <v>0.25732327714135272</v>
      </c>
      <c r="I871" s="886">
        <f>електрики!R871</f>
        <v>1.8698289697170901E-2</v>
      </c>
      <c r="J871" s="989">
        <f t="shared" si="102"/>
        <v>1.5514094031292567</v>
      </c>
      <c r="K871" s="989">
        <v>3.8645267574030348E-2</v>
      </c>
      <c r="L871" s="994">
        <f t="shared" si="101"/>
        <v>1.590054670703287</v>
      </c>
      <c r="M871" s="994">
        <f t="shared" si="103"/>
        <v>1.9080656048439444</v>
      </c>
      <c r="N871" s="753">
        <v>3</v>
      </c>
      <c r="O871" s="1003">
        <v>1.5921850240500501</v>
      </c>
      <c r="P871" s="22">
        <f t="shared" si="104"/>
        <v>0.31588058079389425</v>
      </c>
      <c r="Q871" s="982">
        <f t="shared" si="105"/>
        <v>19.839439262554222</v>
      </c>
      <c r="R871" s="6"/>
      <c r="S871" s="6"/>
      <c r="T871" s="6"/>
      <c r="U871" s="6"/>
      <c r="V871" s="6"/>
      <c r="W871" s="6"/>
      <c r="X871" s="6"/>
      <c r="Y871" s="6"/>
      <c r="Z871" s="6"/>
    </row>
    <row r="872" spans="1:26" s="93" customFormat="1" ht="15.75">
      <c r="A872" s="236">
        <v>124</v>
      </c>
      <c r="B872" s="233" t="s">
        <v>49</v>
      </c>
      <c r="C872" s="886">
        <f>cходова!R872</f>
        <v>0</v>
      </c>
      <c r="D872" s="886">
        <f>прибуд.!O872</f>
        <v>0</v>
      </c>
      <c r="E872" s="886">
        <f>гар.вода!M872+хол.вода!Q872+ц.о.!M872+каналізація!Q872+аварійні!I872+зварювальн!M872</f>
        <v>0.1377445651186136</v>
      </c>
      <c r="F872" s="886">
        <f>дератизац.!I872</f>
        <v>0</v>
      </c>
      <c r="G872" s="886">
        <f>димоканал!R872</f>
        <v>5.7818858746110445E-2</v>
      </c>
      <c r="H872" s="886">
        <f>'підготовка до зими'!M872+майстерні!M872+маляри!M872+покрівлі!O872</f>
        <v>0.41642292366523043</v>
      </c>
      <c r="I872" s="886">
        <f>електрики!R872</f>
        <v>9.8235066490865303E-3</v>
      </c>
      <c r="J872" s="989">
        <f t="shared" si="102"/>
        <v>0.621809854179041</v>
      </c>
      <c r="K872" s="989">
        <v>1.61081892134858E-2</v>
      </c>
      <c r="L872" s="994">
        <f t="shared" si="101"/>
        <v>0.63791804339252678</v>
      </c>
      <c r="M872" s="994">
        <f t="shared" si="103"/>
        <v>0.76550165207103216</v>
      </c>
      <c r="N872" s="753">
        <v>1</v>
      </c>
      <c r="O872" s="1003">
        <v>0.66365739559561499</v>
      </c>
      <c r="P872" s="22">
        <f t="shared" si="104"/>
        <v>0.10184425647541717</v>
      </c>
      <c r="Q872" s="982">
        <f t="shared" si="105"/>
        <v>15.345908468934439</v>
      </c>
      <c r="R872" s="6"/>
      <c r="S872" s="6"/>
      <c r="T872" s="6"/>
      <c r="U872" s="6"/>
      <c r="V872" s="6"/>
      <c r="W872" s="6"/>
      <c r="X872" s="6"/>
      <c r="Y872" s="6"/>
      <c r="Z872" s="6"/>
    </row>
    <row r="873" spans="1:26" s="93" customFormat="1" ht="15.75">
      <c r="A873" s="236">
        <v>125</v>
      </c>
      <c r="B873" s="233" t="s">
        <v>1372</v>
      </c>
      <c r="C873" s="886">
        <f>cходова!R873</f>
        <v>0.59621353973671531</v>
      </c>
      <c r="D873" s="886">
        <f>прибуд.!O873</f>
        <v>0.35729920661997294</v>
      </c>
      <c r="E873" s="886">
        <f>гар.вода!M873+хол.вода!Q873+ц.о.!M873+каналізація!Q873+аварійні!I873+зварювальн!M873</f>
        <v>0.33140889583725669</v>
      </c>
      <c r="F873" s="886">
        <f>дератизац.!I873</f>
        <v>8.560212381382739E-3</v>
      </c>
      <c r="G873" s="886">
        <f>димоканал!R873</f>
        <v>3.7745908904718226E-2</v>
      </c>
      <c r="H873" s="886">
        <f>'підготовка до зими'!M873+майстерні!M873+маляри!M873+покрівлі!O873</f>
        <v>0.21661504973442719</v>
      </c>
      <c r="I873" s="886">
        <f>електрики!R873</f>
        <v>2.7799236506960867E-2</v>
      </c>
      <c r="J873" s="989">
        <f t="shared" si="102"/>
        <v>1.5756420497214338</v>
      </c>
      <c r="K873" s="989">
        <v>3.868595792791521E-2</v>
      </c>
      <c r="L873" s="994">
        <f t="shared" si="101"/>
        <v>1.6143280076493491</v>
      </c>
      <c r="M873" s="994">
        <f t="shared" si="103"/>
        <v>1.9371936091792188</v>
      </c>
      <c r="N873" s="753">
        <v>5</v>
      </c>
      <c r="O873" s="1003">
        <v>1.5938614666301067</v>
      </c>
      <c r="P873" s="22">
        <f t="shared" si="104"/>
        <v>0.34333214254911204</v>
      </c>
      <c r="Q873" s="982">
        <f t="shared" si="105"/>
        <v>21.540902376855712</v>
      </c>
      <c r="R873" s="6"/>
      <c r="S873" s="6"/>
      <c r="T873" s="6"/>
      <c r="U873" s="6"/>
      <c r="V873" s="6"/>
      <c r="W873" s="6"/>
      <c r="X873" s="6"/>
      <c r="Y873" s="6"/>
      <c r="Z873" s="6"/>
    </row>
    <row r="874" spans="1:26" s="93" customFormat="1" ht="15.75">
      <c r="A874" s="236">
        <v>126</v>
      </c>
      <c r="B874" s="233" t="s">
        <v>1373</v>
      </c>
      <c r="C874" s="886">
        <f>cходова!R874</f>
        <v>0.47431508491762137</v>
      </c>
      <c r="D874" s="886">
        <f>прибуд.!O874</f>
        <v>0.6154455242519743</v>
      </c>
      <c r="E874" s="886">
        <f>гар.вода!M874+хол.вода!Q874+ц.о.!M874+каналізація!Q874+аварійні!I874+зварювальн!M874</f>
        <v>0.25764901642512822</v>
      </c>
      <c r="F874" s="886">
        <f>дератизац.!I874</f>
        <v>2.6309543812484248E-3</v>
      </c>
      <c r="G874" s="886">
        <f>димоканал!R874</f>
        <v>1.5546907091921712E-2</v>
      </c>
      <c r="H874" s="886">
        <f>'підготовка до зими'!M874+майстерні!M874+маляри!M874+покрівлі!O874</f>
        <v>0.16420994747117315</v>
      </c>
      <c r="I874" s="886">
        <f>електрики!R874</f>
        <v>1.3971829187203274E-2</v>
      </c>
      <c r="J874" s="989">
        <f>I874+H874+G874+F874+E874+D874+C874</f>
        <v>1.5437692637262705</v>
      </c>
      <c r="K874" s="989">
        <v>3.8773624572328302E-2</v>
      </c>
      <c r="L874" s="994">
        <f t="shared" si="101"/>
        <v>1.5825428882985988</v>
      </c>
      <c r="M874" s="994">
        <f>L874*1.2</f>
        <v>1.8990514659583184</v>
      </c>
      <c r="N874" s="753">
        <v>9</v>
      </c>
      <c r="O874" s="1003">
        <v>1.5974733323799259</v>
      </c>
      <c r="P874" s="22">
        <f t="shared" si="104"/>
        <v>0.30157813357839247</v>
      </c>
      <c r="Q874" s="982">
        <f t="shared" si="105"/>
        <v>18.878445571864376</v>
      </c>
      <c r="R874" s="6"/>
      <c r="S874" s="6"/>
      <c r="T874" s="6"/>
      <c r="U874" s="6"/>
      <c r="V874" s="6"/>
      <c r="W874" s="6"/>
      <c r="X874" s="6"/>
      <c r="Y874" s="6"/>
      <c r="Z874" s="6"/>
    </row>
    <row r="875" spans="1:26" s="93" customFormat="1" ht="18">
      <c r="A875" s="894">
        <v>127</v>
      </c>
      <c r="B875" s="810" t="s">
        <v>1382</v>
      </c>
      <c r="C875" s="886">
        <f>cходова!R875</f>
        <v>0.44712643828960152</v>
      </c>
      <c r="D875" s="886">
        <f>прибуд.!O875</f>
        <v>0.56066449065637058</v>
      </c>
      <c r="E875" s="886">
        <f>гар.вода!M875+хол.вода!Q875+ц.о.!M875+каналізація!Q875+аварійні!I875+зварювальн!M875</f>
        <v>0.17883547679007775</v>
      </c>
      <c r="F875" s="886">
        <f>дератизац.!I875</f>
        <v>6.8291505791505799E-3</v>
      </c>
      <c r="G875" s="886">
        <f>димоканал!R875</f>
        <v>1.9909526998200259E-2</v>
      </c>
      <c r="H875" s="886">
        <f>'підготовка до зими'!M875+майстерні!M875+маляри!M875+покрівлі!O875</f>
        <v>0.31765460349176255</v>
      </c>
      <c r="I875" s="886">
        <f>електрики!R875</f>
        <v>1.6966274238804299E-2</v>
      </c>
      <c r="J875" s="989">
        <f>I875+H875+G875+F875+E875+D875+C875</f>
        <v>1.5479859610439677</v>
      </c>
      <c r="K875" s="989">
        <v>3.8726851525795025E-2</v>
      </c>
      <c r="L875" s="994">
        <f t="shared" si="101"/>
        <v>1.5867128125697627</v>
      </c>
      <c r="M875" s="994">
        <f>L875*1.2</f>
        <v>1.9040553750837153</v>
      </c>
      <c r="N875" s="753">
        <v>2</v>
      </c>
      <c r="O875" s="1003">
        <v>1.5955462828627551</v>
      </c>
      <c r="P875" s="22">
        <f t="shared" si="104"/>
        <v>0.30850909222096012</v>
      </c>
      <c r="Q875" s="982">
        <f t="shared" si="105"/>
        <v>19.335640434536813</v>
      </c>
      <c r="R875" s="6"/>
      <c r="S875" s="6"/>
      <c r="T875" s="6"/>
      <c r="U875" s="6"/>
      <c r="V875" s="6"/>
      <c r="W875" s="6"/>
      <c r="X875" s="6"/>
      <c r="Y875" s="6"/>
      <c r="Z875" s="6"/>
    </row>
    <row r="876" spans="1:26" s="93" customFormat="1" ht="18">
      <c r="A876" s="236">
        <v>128</v>
      </c>
      <c r="B876" s="810" t="s">
        <v>142</v>
      </c>
      <c r="C876" s="886">
        <f>cходова!R876</f>
        <v>0.62148380118503144</v>
      </c>
      <c r="D876" s="886">
        <f>прибуд.!O876</f>
        <v>0.60144983342972247</v>
      </c>
      <c r="E876" s="886">
        <f>гар.вода!M876+хол.вода!Q876+ц.о.!M876+каналізація!Q876+аварійні!I876+зварювальн!M876</f>
        <v>0.27936664239477271</v>
      </c>
      <c r="F876" s="886">
        <f>дератизац.!I876</f>
        <v>1.7008321284699209E-3</v>
      </c>
      <c r="G876" s="886">
        <f>димоканал!R876</f>
        <v>2.2686057746106377E-2</v>
      </c>
      <c r="H876" s="886">
        <f>'підготовка до зими'!M876+майстерні!M876+маляри!M876+покрівлі!O876</f>
        <v>0.10910980565778455</v>
      </c>
      <c r="I876" s="886">
        <f>електрики!R876</f>
        <v>1.9859663663154063E-2</v>
      </c>
      <c r="J876" s="989">
        <f>I876+H876+G876+F876+E876+D876+C876</f>
        <v>1.6556566362050416</v>
      </c>
      <c r="K876" s="998">
        <v>0.04</v>
      </c>
      <c r="L876" s="994">
        <f t="shared" si="101"/>
        <v>1.6956566362050416</v>
      </c>
      <c r="M876" s="994">
        <f>L876*1.2</f>
        <v>2.0347879634460497</v>
      </c>
      <c r="N876" s="528"/>
      <c r="O876" s="1003">
        <v>1.7</v>
      </c>
      <c r="P876" s="22">
        <f t="shared" si="104"/>
        <v>0.33478796344604977</v>
      </c>
      <c r="Q876" s="982">
        <f t="shared" si="105"/>
        <v>19.693409614473524</v>
      </c>
      <c r="R876" s="6"/>
      <c r="S876" s="6"/>
      <c r="T876" s="6"/>
      <c r="U876" s="6"/>
      <c r="V876" s="6"/>
      <c r="W876" s="6"/>
      <c r="X876" s="6"/>
      <c r="Y876" s="6"/>
      <c r="Z876" s="6"/>
    </row>
    <row r="877" spans="1:26" s="363" customFormat="1" ht="18">
      <c r="A877" s="236">
        <v>129</v>
      </c>
      <c r="B877" s="810" t="s">
        <v>143</v>
      </c>
      <c r="C877" s="886">
        <f>cходова!R877</f>
        <v>0.60235771096147284</v>
      </c>
      <c r="D877" s="886">
        <f>прибуд.!O877</f>
        <v>0.41956255826014321</v>
      </c>
      <c r="E877" s="886">
        <f>гар.вода!M877+хол.вода!Q877+ц.о.!M877+каналізація!Q877+аварійні!I877+зварювальн!M877</f>
        <v>0.30985491504037604</v>
      </c>
      <c r="F877" s="886">
        <f>дератизац.!I877</f>
        <v>1.6885441527446303E-3</v>
      </c>
      <c r="G877" s="886">
        <f>димоканал!R877</f>
        <v>2.3113670171318126E-2</v>
      </c>
      <c r="H877" s="886">
        <f>'підготовка до зими'!M877+майстерні!M877+маляри!M877+покрівлі!O877</f>
        <v>0.12662328750934682</v>
      </c>
      <c r="I877" s="886">
        <f>електрики!R877</f>
        <v>1.9028278783021359E-2</v>
      </c>
      <c r="J877" s="989">
        <f>I877+H877+G877+F877+E877+D877+C877</f>
        <v>1.5022289648784231</v>
      </c>
      <c r="K877" s="998">
        <v>0.03</v>
      </c>
      <c r="L877" s="994">
        <f t="shared" si="101"/>
        <v>1.5322289648784231</v>
      </c>
      <c r="M877" s="994">
        <f>L877*1.2</f>
        <v>1.8386747578541076</v>
      </c>
      <c r="N877" s="528"/>
      <c r="O877" s="1003">
        <v>1.5383813472135632</v>
      </c>
      <c r="P877" s="22">
        <f t="shared" ref="P877:P908" si="106">M877-O877</f>
        <v>0.30029341064054438</v>
      </c>
      <c r="Q877" s="982">
        <f t="shared" si="105"/>
        <v>19.520089162837252</v>
      </c>
      <c r="R877" s="6"/>
      <c r="S877" s="6"/>
      <c r="T877" s="6"/>
      <c r="U877" s="6"/>
      <c r="V877" s="6"/>
      <c r="W877" s="6"/>
      <c r="X877" s="6"/>
      <c r="Y877" s="6"/>
      <c r="Z877" s="6"/>
    </row>
    <row r="878" spans="1:26" s="93" customFormat="1" ht="18">
      <c r="A878" s="236">
        <v>130</v>
      </c>
      <c r="B878" s="810" t="s">
        <v>144</v>
      </c>
      <c r="C878" s="886">
        <f>cходова!R878</f>
        <v>0.61448679986989962</v>
      </c>
      <c r="D878" s="886">
        <f>прибуд.!O878</f>
        <v>0.43805613122643527</v>
      </c>
      <c r="E878" s="886">
        <f>гар.вода!M878+хол.вода!Q878+ц.о.!M878+каналізація!Q878+аварійні!I878+зварювальн!M878</f>
        <v>0.27358068174641992</v>
      </c>
      <c r="F878" s="886">
        <f>дератизац.!I878</f>
        <v>1.5869989457392164E-3</v>
      </c>
      <c r="G878" s="886">
        <f>димоканал!R878</f>
        <v>1.8430199718508518E-2</v>
      </c>
      <c r="H878" s="886">
        <f>'підготовка до зими'!M878+майстерні!M878+маляри!M878+покрівлі!O878</f>
        <v>0.1211745855175542</v>
      </c>
      <c r="I878" s="886">
        <f>електрики!R878</f>
        <v>1.6436119718669331E-2</v>
      </c>
      <c r="J878" s="989">
        <f>I878+H878+G878+F878+E878+D878+C878</f>
        <v>1.4837515167432263</v>
      </c>
      <c r="K878" s="998">
        <v>0.02</v>
      </c>
      <c r="L878" s="994">
        <f>J878+K878</f>
        <v>1.5037515167432263</v>
      </c>
      <c r="M878" s="994">
        <f>L878*1.2</f>
        <v>1.8045018200918714</v>
      </c>
      <c r="N878" s="528"/>
      <c r="O878" s="1003">
        <v>1.45</v>
      </c>
      <c r="P878" s="22">
        <f t="shared" si="106"/>
        <v>0.35450182009187148</v>
      </c>
      <c r="Q878" s="982">
        <f t="shared" si="105"/>
        <v>24.448401385646306</v>
      </c>
      <c r="R878" s="6"/>
      <c r="S878" s="6"/>
      <c r="T878" s="6"/>
      <c r="U878" s="6"/>
      <c r="V878" s="6"/>
      <c r="W878" s="6"/>
      <c r="X878" s="6"/>
      <c r="Y878" s="6"/>
      <c r="Z878" s="6"/>
    </row>
    <row r="879" spans="1:26" s="93" customFormat="1" ht="15.75" customHeight="1" thickBot="1">
      <c r="A879" s="902"/>
      <c r="B879" s="903" t="s">
        <v>1409</v>
      </c>
      <c r="C879" s="773">
        <f>SUM(C749:C878)/130</f>
        <v>0.29874004539476862</v>
      </c>
      <c r="D879" s="773">
        <f t="shared" ref="D879:M879" si="107">SUM(D749:D878)/130</f>
        <v>0.33784128205012043</v>
      </c>
      <c r="E879" s="773">
        <f t="shared" si="107"/>
        <v>0.22200941560504722</v>
      </c>
      <c r="F879" s="773">
        <f t="shared" si="107"/>
        <v>3.1107590294876556E-3</v>
      </c>
      <c r="G879" s="773">
        <f t="shared" si="107"/>
        <v>6.6771212540327154E-2</v>
      </c>
      <c r="H879" s="773">
        <f t="shared" si="107"/>
        <v>0.25170958940258298</v>
      </c>
      <c r="I879" s="773">
        <f t="shared" si="107"/>
        <v>1.9344966526188712E-2</v>
      </c>
      <c r="J879" s="998">
        <f t="shared" si="107"/>
        <v>1.1995272705485232</v>
      </c>
      <c r="K879" s="998">
        <f t="shared" si="107"/>
        <v>3.0234498466702731E-2</v>
      </c>
      <c r="L879" s="998">
        <f t="shared" si="107"/>
        <v>1.2297617690152265</v>
      </c>
      <c r="M879" s="998">
        <f t="shared" si="107"/>
        <v>1.4757141228182711</v>
      </c>
      <c r="N879" s="528"/>
      <c r="O879" s="1003">
        <f>AVERAGE(O749:O878)</f>
        <v>1.2532027318067189</v>
      </c>
      <c r="P879" s="22">
        <f>AVERAGE(P749:P878)</f>
        <v>0.22251139101155268</v>
      </c>
      <c r="Q879" s="982">
        <f t="shared" si="105"/>
        <v>17.755418605795853</v>
      </c>
      <c r="R879" s="6"/>
      <c r="S879" s="6"/>
      <c r="T879" s="6"/>
      <c r="U879" s="6"/>
      <c r="V879" s="6"/>
      <c r="W879" s="6"/>
      <c r="X879" s="6"/>
      <c r="Y879" s="6"/>
      <c r="Z879" s="6"/>
    </row>
    <row r="880" spans="1:26" s="271" customFormat="1" ht="24" thickBot="1">
      <c r="A880" s="1035" t="s">
        <v>392</v>
      </c>
      <c r="B880" s="1030"/>
      <c r="C880" s="1030"/>
      <c r="D880" s="1030"/>
      <c r="E880" s="1030"/>
      <c r="F880" s="1030"/>
      <c r="G880" s="1030"/>
      <c r="H880" s="1030"/>
      <c r="I880" s="1030"/>
      <c r="J880" s="1030"/>
      <c r="K880" s="1030"/>
      <c r="L880" s="1030"/>
      <c r="M880" s="1031"/>
      <c r="N880" s="990"/>
      <c r="O880" s="1017"/>
      <c r="P880" s="22"/>
      <c r="Q880" s="982"/>
      <c r="R880" s="910"/>
      <c r="S880" s="910"/>
      <c r="T880" s="910"/>
      <c r="U880" s="910"/>
      <c r="V880" s="910"/>
      <c r="W880" s="910"/>
      <c r="X880" s="910"/>
      <c r="Y880" s="910"/>
      <c r="Z880" s="910"/>
    </row>
    <row r="881" spans="1:26" s="93" customFormat="1" ht="18">
      <c r="A881" s="333">
        <v>1</v>
      </c>
      <c r="B881" s="334" t="s">
        <v>393</v>
      </c>
      <c r="C881" s="886">
        <f>cходова!R881</f>
        <v>0.32174536243564844</v>
      </c>
      <c r="D881" s="886">
        <f>прибуд.!O881</f>
        <v>0.53153973585862491</v>
      </c>
      <c r="E881" s="886">
        <f>гар.вода!M881+хол.вода!Q881+ц.о.!M881+каналізація!Q881+аварійні!I881+зварювальн!M881</f>
        <v>0.29526898874294388</v>
      </c>
      <c r="F881" s="886">
        <f>дератизац.!I881</f>
        <v>3.8175910884195876E-3</v>
      </c>
      <c r="G881" s="886">
        <f>димоканал!R881</f>
        <v>2.3143611802915298E-2</v>
      </c>
      <c r="H881" s="886">
        <f>'підготовка до зими'!M881+майстерні!M881+маляри!M881+покрівлі!O881</f>
        <v>0.14418299605482632</v>
      </c>
      <c r="I881" s="886">
        <f>електрики!R881</f>
        <v>1.9556489903438543E-2</v>
      </c>
      <c r="J881" s="994">
        <f t="shared" ref="J881:J943" si="108">I881+H881+G881+F881+E881+D881+C881</f>
        <v>1.339254775886817</v>
      </c>
      <c r="K881" s="994">
        <v>3.3887654930392905E-2</v>
      </c>
      <c r="L881" s="994">
        <f t="shared" ref="L881:L944" si="109">J881+K881</f>
        <v>1.3731424308172098</v>
      </c>
      <c r="M881" s="994">
        <f t="shared" ref="M881:M943" si="110">L881*1.2</f>
        <v>1.6477709169806516</v>
      </c>
      <c r="N881" s="1016">
        <v>14</v>
      </c>
      <c r="O881" s="994">
        <v>1.3961713831321878</v>
      </c>
      <c r="P881" s="22">
        <f t="shared" ref="P881:P944" si="111">M881-O881</f>
        <v>0.25159953384846379</v>
      </c>
      <c r="Q881" s="982">
        <f t="shared" ref="Q881:Q944" si="112">M881/O881*100-100</f>
        <v>18.020676894553048</v>
      </c>
      <c r="R881" s="6"/>
      <c r="S881" s="6"/>
      <c r="T881" s="6"/>
      <c r="U881" s="6"/>
      <c r="V881" s="6"/>
      <c r="W881" s="6"/>
      <c r="X881" s="6"/>
      <c r="Y881" s="6"/>
      <c r="Z881" s="6"/>
    </row>
    <row r="882" spans="1:26" s="93" customFormat="1" ht="18">
      <c r="A882" s="333">
        <v>2</v>
      </c>
      <c r="B882" s="333" t="s">
        <v>394</v>
      </c>
      <c r="C882" s="886">
        <f>cходова!R882</f>
        <v>0.31204858871496149</v>
      </c>
      <c r="D882" s="886">
        <f>прибуд.!O882</f>
        <v>0.46704657248204984</v>
      </c>
      <c r="E882" s="886">
        <f>гар.вода!M882+хол.вода!Q882+ц.о.!M882+каналізація!Q882+аварійні!I882+зварювальн!M882</f>
        <v>0.30787764480916746</v>
      </c>
      <c r="F882" s="886">
        <f>дератизац.!I882</f>
        <v>4.5370692285314927E-3</v>
      </c>
      <c r="G882" s="886">
        <f>димоканал!R882</f>
        <v>2.1444050340965515E-2</v>
      </c>
      <c r="H882" s="886">
        <f>'підготовка до зими'!M882+майстерні!M882+маляри!M882+покрівлі!O882</f>
        <v>0.18570527461999534</v>
      </c>
      <c r="I882" s="886">
        <f>електрики!R882</f>
        <v>1.8120350339141694E-2</v>
      </c>
      <c r="J882" s="989">
        <f t="shared" si="108"/>
        <v>1.3167795505348128</v>
      </c>
      <c r="K882" s="989">
        <v>3.3582562756831823E-2</v>
      </c>
      <c r="L882" s="994">
        <f t="shared" si="109"/>
        <v>1.3503621132916446</v>
      </c>
      <c r="M882" s="994">
        <f t="shared" si="110"/>
        <v>1.6204345359499734</v>
      </c>
      <c r="N882" s="753">
        <v>9</v>
      </c>
      <c r="O882" s="994">
        <v>1.3836015855814712</v>
      </c>
      <c r="P882" s="22">
        <f t="shared" si="111"/>
        <v>0.23683295036850227</v>
      </c>
      <c r="Q882" s="982">
        <f t="shared" si="112"/>
        <v>17.117134935124483</v>
      </c>
      <c r="R882" s="6"/>
      <c r="S882" s="6"/>
      <c r="T882" s="6"/>
      <c r="U882" s="6"/>
      <c r="V882" s="6"/>
      <c r="W882" s="6"/>
      <c r="X882" s="6"/>
      <c r="Y882" s="6"/>
      <c r="Z882" s="6"/>
    </row>
    <row r="883" spans="1:26" s="93" customFormat="1" ht="18">
      <c r="A883" s="333">
        <v>3</v>
      </c>
      <c r="B883" s="333" t="s">
        <v>395</v>
      </c>
      <c r="C883" s="886">
        <f>cходова!R883</f>
        <v>0.2895797166500434</v>
      </c>
      <c r="D883" s="886">
        <f>прибуд.!O883</f>
        <v>0.58813568483595891</v>
      </c>
      <c r="E883" s="886">
        <f>гар.вода!M883+хол.вода!Q883+ц.о.!M883+каналізація!Q883+аварійні!I883+зварювальн!M883</f>
        <v>0.30075336812074188</v>
      </c>
      <c r="F883" s="886">
        <f>дератизац.!I883</f>
        <v>3.7835479918824034E-3</v>
      </c>
      <c r="G883" s="886">
        <f>димоканал!R883</f>
        <v>2.3216648369819657E-2</v>
      </c>
      <c r="H883" s="886">
        <f>'підготовка до зими'!M883+майстерні!M883+маляри!M883+покрівлі!O883</f>
        <v>0.1371777091882776</v>
      </c>
      <c r="I883" s="886">
        <f>електрики!R883</f>
        <v>1.9851756312010839E-2</v>
      </c>
      <c r="J883" s="989">
        <f t="shared" si="108"/>
        <v>1.3624984314687347</v>
      </c>
      <c r="K883" s="989">
        <v>3.4451296327234697E-2</v>
      </c>
      <c r="L883" s="994">
        <f t="shared" si="109"/>
        <v>1.3969497277959695</v>
      </c>
      <c r="M883" s="994">
        <f t="shared" si="110"/>
        <v>1.6763396733551634</v>
      </c>
      <c r="N883" s="753">
        <v>14</v>
      </c>
      <c r="O883" s="994">
        <v>1.4193934086820696</v>
      </c>
      <c r="P883" s="22">
        <f t="shared" si="111"/>
        <v>0.25694626467309378</v>
      </c>
      <c r="Q883" s="982">
        <f t="shared" si="112"/>
        <v>18.10254035994663</v>
      </c>
      <c r="R883" s="6"/>
      <c r="S883" s="6"/>
      <c r="T883" s="6"/>
      <c r="U883" s="6"/>
      <c r="V883" s="6"/>
      <c r="W883" s="6"/>
      <c r="X883" s="6"/>
      <c r="Y883" s="6"/>
      <c r="Z883" s="6"/>
    </row>
    <row r="884" spans="1:26" s="93" customFormat="1" ht="18">
      <c r="A884" s="333">
        <v>4</v>
      </c>
      <c r="B884" s="333" t="s">
        <v>396</v>
      </c>
      <c r="C884" s="886">
        <f>cходова!R884</f>
        <v>0.29348979712896578</v>
      </c>
      <c r="D884" s="886">
        <f>прибуд.!O884</f>
        <v>0.52538534379582047</v>
      </c>
      <c r="E884" s="886">
        <f>гар.вода!M884+хол.вода!Q884+ц.о.!M884+каналізація!Q884+аварійні!I884+зварювальн!M884</f>
        <v>0.2751521547717814</v>
      </c>
      <c r="F884" s="886">
        <f>дератизац.!I884</f>
        <v>3.656848083611984E-3</v>
      </c>
      <c r="G884" s="886">
        <f>димоканал!R884</f>
        <v>2.1427989933651793E-2</v>
      </c>
      <c r="H884" s="886">
        <f>'підготовка до зими'!M884+майстерні!M884+маляри!M884+покрівлі!O884</f>
        <v>0.14506099527589411</v>
      </c>
      <c r="I884" s="886">
        <f>електрики!R884</f>
        <v>1.8212254121921515E-2</v>
      </c>
      <c r="J884" s="989">
        <f t="shared" si="108"/>
        <v>1.2823853831116472</v>
      </c>
      <c r="K884" s="989">
        <v>3.2376203945376526E-2</v>
      </c>
      <c r="L884" s="994">
        <f t="shared" si="109"/>
        <v>1.3147615870570237</v>
      </c>
      <c r="M884" s="994">
        <f t="shared" si="110"/>
        <v>1.5777139044684285</v>
      </c>
      <c r="N884" s="753">
        <v>9</v>
      </c>
      <c r="O884" s="994">
        <v>1.3338996025495129</v>
      </c>
      <c r="P884" s="22">
        <f t="shared" si="111"/>
        <v>0.24381430191891562</v>
      </c>
      <c r="Q884" s="982">
        <f t="shared" si="112"/>
        <v>18.278309810791441</v>
      </c>
      <c r="R884" s="6"/>
      <c r="S884" s="6"/>
      <c r="T884" s="6"/>
      <c r="U884" s="6"/>
      <c r="V884" s="6"/>
      <c r="W884" s="6"/>
      <c r="X884" s="6"/>
      <c r="Y884" s="6"/>
      <c r="Z884" s="6"/>
    </row>
    <row r="885" spans="1:26" s="93" customFormat="1" ht="18">
      <c r="A885" s="333">
        <v>5</v>
      </c>
      <c r="B885" s="333" t="s">
        <v>397</v>
      </c>
      <c r="C885" s="886">
        <f>cходова!R885</f>
        <v>0.26577211518660915</v>
      </c>
      <c r="D885" s="886">
        <f>прибуд.!O885</f>
        <v>0.588729822616882</v>
      </c>
      <c r="E885" s="886">
        <f>гар.вода!M885+хол.вода!Q885+ц.о.!M885+каналізація!Q885+аварійні!I885+зварювальн!M885</f>
        <v>0.30695086008173916</v>
      </c>
      <c r="F885" s="886">
        <f>дератизац.!I885</f>
        <v>4.0348545129051559E-3</v>
      </c>
      <c r="G885" s="886">
        <f>димоканал!R885</f>
        <v>2.2983810070881024E-2</v>
      </c>
      <c r="H885" s="886">
        <f>'підготовка до зими'!M885+майстерні!M885+маляри!M885+покрівлі!O885</f>
        <v>0.14401591987794821</v>
      </c>
      <c r="I885" s="886">
        <f>електрики!R885</f>
        <v>1.9421456487492349E-2</v>
      </c>
      <c r="J885" s="989">
        <f t="shared" si="108"/>
        <v>1.3519088388344569</v>
      </c>
      <c r="K885" s="989">
        <v>3.4212293723233304E-2</v>
      </c>
      <c r="L885" s="994">
        <f t="shared" si="109"/>
        <v>1.3861211325576901</v>
      </c>
      <c r="M885" s="994">
        <f t="shared" si="110"/>
        <v>1.663345359069228</v>
      </c>
      <c r="N885" s="753">
        <v>14</v>
      </c>
      <c r="O885" s="994">
        <v>1.4095465013972122</v>
      </c>
      <c r="P885" s="22">
        <f t="shared" si="111"/>
        <v>0.25379885767201582</v>
      </c>
      <c r="Q885" s="982">
        <f t="shared" si="112"/>
        <v>18.00571016425765</v>
      </c>
      <c r="R885" s="6"/>
      <c r="S885" s="6"/>
      <c r="T885" s="6"/>
      <c r="U885" s="6"/>
      <c r="V885" s="6"/>
      <c r="W885" s="6"/>
      <c r="X885" s="6"/>
      <c r="Y885" s="6"/>
      <c r="Z885" s="6"/>
    </row>
    <row r="886" spans="1:26" s="93" customFormat="1" ht="18">
      <c r="A886" s="333">
        <v>6</v>
      </c>
      <c r="B886" s="333" t="s">
        <v>403</v>
      </c>
      <c r="C886" s="886">
        <f>cходова!R886</f>
        <v>0.3169717962663946</v>
      </c>
      <c r="D886" s="886">
        <f>прибуд.!O886</f>
        <v>0.66922581135944181</v>
      </c>
      <c r="E886" s="886">
        <f>гар.вода!M886+хол.вода!Q886+ц.о.!M886+каналізація!Q886+аварійні!I886+зварювальн!M886</f>
        <v>0.27345229874797955</v>
      </c>
      <c r="F886" s="886">
        <f>дератизац.!I886</f>
        <v>4.2523274220617789E-3</v>
      </c>
      <c r="G886" s="886">
        <f>димоканал!R886</f>
        <v>2.1229522149870547E-2</v>
      </c>
      <c r="H886" s="886">
        <f>'підготовка до зими'!M886+майстерні!M886+маляри!M886+покрівлі!O886</f>
        <v>0.14888514193062419</v>
      </c>
      <c r="I886" s="886">
        <f>електрики!R886</f>
        <v>1.7939072739133595E-2</v>
      </c>
      <c r="J886" s="989">
        <f t="shared" si="108"/>
        <v>1.4519559706155061</v>
      </c>
      <c r="K886" s="989">
        <v>3.6570695369223853E-2</v>
      </c>
      <c r="L886" s="994">
        <f t="shared" si="109"/>
        <v>1.4885266659847298</v>
      </c>
      <c r="M886" s="994">
        <f t="shared" si="110"/>
        <v>1.7862319991816757</v>
      </c>
      <c r="N886" s="753">
        <v>9</v>
      </c>
      <c r="O886" s="994">
        <v>1.5067126492120229</v>
      </c>
      <c r="P886" s="22">
        <f t="shared" si="111"/>
        <v>0.27951934996965289</v>
      </c>
      <c r="Q886" s="982">
        <f t="shared" si="112"/>
        <v>18.551603062192072</v>
      </c>
      <c r="R886" s="6"/>
      <c r="S886" s="6"/>
      <c r="T886" s="6"/>
      <c r="U886" s="6"/>
      <c r="V886" s="6"/>
      <c r="W886" s="6"/>
      <c r="X886" s="6"/>
      <c r="Y886" s="6"/>
      <c r="Z886" s="6"/>
    </row>
    <row r="887" spans="1:26" s="93" customFormat="1" ht="18">
      <c r="A887" s="333">
        <v>7</v>
      </c>
      <c r="B887" s="333" t="s">
        <v>398</v>
      </c>
      <c r="C887" s="886">
        <f>cходова!R887</f>
        <v>0.3125715092449261</v>
      </c>
      <c r="D887" s="886">
        <f>прибуд.!O887</f>
        <v>0.56405762248352509</v>
      </c>
      <c r="E887" s="886">
        <f>гар.вода!M887+хол.вода!Q887+ц.о.!M887+каналізація!Q887+аварійні!I887+зварювальн!M887</f>
        <v>0.28670033004004791</v>
      </c>
      <c r="F887" s="886">
        <f>дератизац.!I887</f>
        <v>4.8976535956157885E-3</v>
      </c>
      <c r="G887" s="886">
        <f>димоканал!R887</f>
        <v>2.1589695770104361E-2</v>
      </c>
      <c r="H887" s="886">
        <f>'підготовка до зими'!M887+майстерні!M887+маляри!M887+покрівлі!O887</f>
        <v>0.15260237351803996</v>
      </c>
      <c r="I887" s="886">
        <f>електрики!R887</f>
        <v>1.8402809087983467E-2</v>
      </c>
      <c r="J887" s="989">
        <f t="shared" si="108"/>
        <v>1.3608219937402428</v>
      </c>
      <c r="K887" s="989">
        <v>3.4444329460499135E-2</v>
      </c>
      <c r="L887" s="994">
        <f t="shared" si="109"/>
        <v>1.3952663232007421</v>
      </c>
      <c r="M887" s="994">
        <f t="shared" si="110"/>
        <v>1.6743195878408905</v>
      </c>
      <c r="N887" s="753">
        <v>9</v>
      </c>
      <c r="O887" s="994">
        <v>1.4191063737725647</v>
      </c>
      <c r="P887" s="22">
        <f t="shared" si="111"/>
        <v>0.25521321406832587</v>
      </c>
      <c r="Q887" s="982">
        <f t="shared" si="112"/>
        <v>17.984079191319879</v>
      </c>
      <c r="R887" s="6"/>
      <c r="S887" s="6"/>
      <c r="T887" s="6"/>
      <c r="U887" s="6"/>
      <c r="V887" s="6"/>
      <c r="W887" s="6"/>
      <c r="X887" s="6"/>
      <c r="Y887" s="6"/>
      <c r="Z887" s="6"/>
    </row>
    <row r="888" spans="1:26" s="93" customFormat="1" ht="18">
      <c r="A888" s="333">
        <v>8</v>
      </c>
      <c r="B888" s="333" t="s">
        <v>404</v>
      </c>
      <c r="C888" s="886">
        <f>cходова!R888</f>
        <v>0.34371592364705705</v>
      </c>
      <c r="D888" s="886">
        <f>прибуд.!O888</f>
        <v>0.58016342332444026</v>
      </c>
      <c r="E888" s="886">
        <f>гар.вода!M888+хол.вода!Q888+ц.о.!M888+каналізація!Q888+аварійні!I888+зварювальн!M888</f>
        <v>0.27258141489431192</v>
      </c>
      <c r="F888" s="886">
        <f>дератизац.!I888</f>
        <v>3.9310770486621826E-3</v>
      </c>
      <c r="G888" s="886">
        <f>димоканал!R888</f>
        <v>2.1060768447889549E-2</v>
      </c>
      <c r="H888" s="886">
        <f>'підготовка до зими'!M888+майстерні!M888+маляри!M888+покрівлі!O888</f>
        <v>0.14714017696354176</v>
      </c>
      <c r="I888" s="886">
        <f>електрики!R888</f>
        <v>1.7796474855230979E-2</v>
      </c>
      <c r="J888" s="989">
        <f t="shared" si="108"/>
        <v>1.3863892591811338</v>
      </c>
      <c r="K888" s="989">
        <v>3.4954686613872757E-2</v>
      </c>
      <c r="L888" s="994">
        <f t="shared" si="109"/>
        <v>1.4213439457950066</v>
      </c>
      <c r="M888" s="994">
        <f t="shared" si="110"/>
        <v>1.7056127349540078</v>
      </c>
      <c r="N888" s="753">
        <v>9</v>
      </c>
      <c r="O888" s="994">
        <v>1.4401330884915577</v>
      </c>
      <c r="P888" s="22">
        <f t="shared" si="111"/>
        <v>0.26547964646245004</v>
      </c>
      <c r="Q888" s="982">
        <f t="shared" si="112"/>
        <v>18.434382806975293</v>
      </c>
      <c r="R888" s="6"/>
      <c r="S888" s="6"/>
      <c r="T888" s="6"/>
      <c r="U888" s="6"/>
      <c r="V888" s="6"/>
      <c r="W888" s="6"/>
      <c r="X888" s="6"/>
      <c r="Y888" s="6"/>
      <c r="Z888" s="6"/>
    </row>
    <row r="889" spans="1:26" s="93" customFormat="1" ht="18">
      <c r="A889" s="333">
        <v>9</v>
      </c>
      <c r="B889" s="333" t="s">
        <v>405</v>
      </c>
      <c r="C889" s="886">
        <f>cходова!R889</f>
        <v>0.36943096876805587</v>
      </c>
      <c r="D889" s="886">
        <f>прибуд.!O889</f>
        <v>0.58608199419908746</v>
      </c>
      <c r="E889" s="886">
        <f>гар.вода!M889+хол.вода!Q889+ц.о.!M889+каналізація!Q889+аварійні!I889+зварювальн!M889</f>
        <v>0.27333770462341439</v>
      </c>
      <c r="F889" s="886">
        <f>дератизац.!I889</f>
        <v>4.096868308686343E-3</v>
      </c>
      <c r="G889" s="886">
        <f>димоканал!R889</f>
        <v>2.1192943816919264E-2</v>
      </c>
      <c r="H889" s="886">
        <f>'підготовка до зими'!M889+майстерні!M889+маляри!M889+покрівлі!O889</f>
        <v>0.14725503624777705</v>
      </c>
      <c r="I889" s="886">
        <f>електрики!R889</f>
        <v>1.7908163829792302E-2</v>
      </c>
      <c r="J889" s="989">
        <f t="shared" si="108"/>
        <v>1.4193036797937326</v>
      </c>
      <c r="K889" s="989">
        <v>3.5766712014771815E-2</v>
      </c>
      <c r="L889" s="994">
        <f t="shared" si="109"/>
        <v>1.4550703918085044</v>
      </c>
      <c r="M889" s="994">
        <f t="shared" si="110"/>
        <v>1.7460844701702052</v>
      </c>
      <c r="N889" s="753">
        <v>14</v>
      </c>
      <c r="O889" s="994">
        <v>1.4735885350085987</v>
      </c>
      <c r="P889" s="22">
        <f t="shared" si="111"/>
        <v>0.27249593516160653</v>
      </c>
      <c r="Q889" s="982">
        <f t="shared" si="112"/>
        <v>18.491996150066157</v>
      </c>
      <c r="R889" s="6"/>
      <c r="S889" s="6"/>
      <c r="T889" s="6"/>
      <c r="U889" s="6"/>
      <c r="V889" s="6"/>
      <c r="W889" s="6"/>
      <c r="X889" s="6"/>
      <c r="Y889" s="6"/>
      <c r="Z889" s="6"/>
    </row>
    <row r="890" spans="1:26" s="93" customFormat="1" ht="18">
      <c r="A890" s="333">
        <v>10</v>
      </c>
      <c r="B890" s="333" t="s">
        <v>399</v>
      </c>
      <c r="C890" s="886">
        <f>cходова!R890</f>
        <v>0.31770900616330472</v>
      </c>
      <c r="D890" s="886">
        <f>прибуд.!O890</f>
        <v>0.65066032346179703</v>
      </c>
      <c r="E890" s="886">
        <f>гар.вода!M890+хол.вода!Q890+ц.о.!M890+каналізація!Q890+аварійні!I890+зварювальн!M890</f>
        <v>0.27214376482314256</v>
      </c>
      <c r="F890" s="886">
        <f>дератизац.!I890</f>
        <v>4.511602483623289E-3</v>
      </c>
      <c r="G890" s="886">
        <f>димоканал!R890</f>
        <v>2.0649964631464388E-2</v>
      </c>
      <c r="H890" s="886">
        <f>'підготовка до зими'!M890+майстерні!M890+маляри!M890+покрівлі!O890</f>
        <v>0.14591210052705716</v>
      </c>
      <c r="I890" s="886">
        <f>електрики!R890</f>
        <v>1.7691695170706418E-2</v>
      </c>
      <c r="J890" s="989">
        <f t="shared" si="108"/>
        <v>1.4292784572610957</v>
      </c>
      <c r="K890" s="989">
        <v>3.6010876083315491E-2</v>
      </c>
      <c r="L890" s="994">
        <f t="shared" si="109"/>
        <v>1.4652893333444112</v>
      </c>
      <c r="M890" s="994">
        <f t="shared" si="110"/>
        <v>1.7583472000132934</v>
      </c>
      <c r="N890" s="753">
        <v>9</v>
      </c>
      <c r="O890" s="994">
        <v>1.4836480946325983</v>
      </c>
      <c r="P890" s="22">
        <f t="shared" si="111"/>
        <v>0.27469910538069509</v>
      </c>
      <c r="Q890" s="982">
        <f t="shared" si="112"/>
        <v>18.515111930819401</v>
      </c>
      <c r="R890" s="6"/>
      <c r="S890" s="6"/>
      <c r="T890" s="6"/>
      <c r="U890" s="6"/>
      <c r="V890" s="6"/>
      <c r="W890" s="6"/>
      <c r="X890" s="6"/>
      <c r="Y890" s="6"/>
      <c r="Z890" s="6"/>
    </row>
    <row r="891" spans="1:26" s="93" customFormat="1" ht="18">
      <c r="A891" s="333">
        <v>11</v>
      </c>
      <c r="B891" s="333" t="s">
        <v>401</v>
      </c>
      <c r="C891" s="886">
        <f>cходова!R891</f>
        <v>0.47477191794212936</v>
      </c>
      <c r="D891" s="886">
        <f>прибуд.!O891</f>
        <v>0.45105710611133137</v>
      </c>
      <c r="E891" s="886">
        <f>гар.вода!M891+хол.вода!Q891+ц.о.!M891+каналізація!Q891+аварійні!I891+зварювальн!M891</f>
        <v>0.27485204566424376</v>
      </c>
      <c r="F891" s="886">
        <f>дератизац.!I891</f>
        <v>4.0516917197711182E-3</v>
      </c>
      <c r="G891" s="886">
        <f>димоканал!R891</f>
        <v>2.1502089700315447E-2</v>
      </c>
      <c r="H891" s="886">
        <f>'підготовка до зими'!M891+майстерні!M891+маляри!M891+покрівлі!O891</f>
        <v>0.15054630181807804</v>
      </c>
      <c r="I891" s="886">
        <f>електрики!R891</f>
        <v>1.8169393943692047E-2</v>
      </c>
      <c r="J891" s="989">
        <f t="shared" si="108"/>
        <v>1.3949505468995613</v>
      </c>
      <c r="K891" s="989">
        <v>3.5169292729474458E-2</v>
      </c>
      <c r="L891" s="994">
        <f t="shared" si="109"/>
        <v>1.4301198396290358</v>
      </c>
      <c r="M891" s="994">
        <f t="shared" si="110"/>
        <v>1.716143807554843</v>
      </c>
      <c r="N891" s="753">
        <v>9</v>
      </c>
      <c r="O891" s="994">
        <v>1.4489748604543475</v>
      </c>
      <c r="P891" s="22">
        <f t="shared" si="111"/>
        <v>0.26716894710049544</v>
      </c>
      <c r="Q891" s="982">
        <f t="shared" si="112"/>
        <v>18.438480500394647</v>
      </c>
      <c r="R891" s="6"/>
      <c r="S891" s="6"/>
      <c r="T891" s="6"/>
      <c r="U891" s="6"/>
      <c r="V891" s="6"/>
      <c r="W891" s="6"/>
      <c r="X891" s="6"/>
      <c r="Y891" s="6"/>
      <c r="Z891" s="6"/>
    </row>
    <row r="892" spans="1:26" s="93" customFormat="1" ht="18">
      <c r="A892" s="333">
        <v>12</v>
      </c>
      <c r="B892" s="333" t="s">
        <v>400</v>
      </c>
      <c r="C892" s="886">
        <f>cходова!R892</f>
        <v>0.29409341073084272</v>
      </c>
      <c r="D892" s="886">
        <f>прибуд.!O892</f>
        <v>0.6297219477156607</v>
      </c>
      <c r="E892" s="886">
        <f>гар.вода!M892+хол.вода!Q892+ц.о.!M892+каналізація!Q892+аварійні!I892+зварювальн!M892</f>
        <v>0.27204980190247224</v>
      </c>
      <c r="F892" s="886">
        <f>дератизац.!I892</f>
        <v>4.3762716791008634E-3</v>
      </c>
      <c r="G892" s="886">
        <f>димоканал!R892</f>
        <v>2.092517546698542E-2</v>
      </c>
      <c r="H892" s="886">
        <f>'підготовка до зими'!M892+майстерні!M892+маляри!M892+покрівлі!O892</f>
        <v>0.14963461064202416</v>
      </c>
      <c r="I892" s="886">
        <f>електрики!R892</f>
        <v>1.8333425108945936E-2</v>
      </c>
      <c r="J892" s="989">
        <f t="shared" si="108"/>
        <v>1.3891346432460319</v>
      </c>
      <c r="K892" s="989">
        <v>3.5005168406021844E-2</v>
      </c>
      <c r="L892" s="994">
        <f t="shared" si="109"/>
        <v>1.4241398116520536</v>
      </c>
      <c r="M892" s="994">
        <f t="shared" si="110"/>
        <v>1.7089677739824642</v>
      </c>
      <c r="N892" s="753">
        <v>9</v>
      </c>
      <c r="O892" s="994">
        <v>1.4422129383280999</v>
      </c>
      <c r="P892" s="22">
        <f t="shared" si="111"/>
        <v>0.26675483565436431</v>
      </c>
      <c r="Q892" s="982">
        <f t="shared" si="112"/>
        <v>18.496217067890314</v>
      </c>
      <c r="R892" s="6"/>
      <c r="S892" s="6"/>
      <c r="T892" s="6"/>
      <c r="U892" s="6"/>
      <c r="V892" s="6"/>
      <c r="W892" s="6"/>
      <c r="X892" s="6"/>
      <c r="Y892" s="6"/>
      <c r="Z892" s="6"/>
    </row>
    <row r="893" spans="1:26" s="93" customFormat="1" ht="18">
      <c r="A893" s="333">
        <v>13</v>
      </c>
      <c r="B893" s="333" t="s">
        <v>402</v>
      </c>
      <c r="C893" s="886">
        <f>cходова!R893</f>
        <v>0.36392190404573971</v>
      </c>
      <c r="D893" s="886">
        <f>прибуд.!O893</f>
        <v>0.62626502728127897</v>
      </c>
      <c r="E893" s="886">
        <f>гар.вода!M893+хол.вода!Q893+ц.о.!M893+каналізація!Q893+аварійні!I893+зварювальн!M893</f>
        <v>0.27381346882387503</v>
      </c>
      <c r="F893" s="886">
        <f>дератизац.!I893</f>
        <v>4.3311010377450384E-3</v>
      </c>
      <c r="G893" s="886">
        <f>димоканал!R893</f>
        <v>2.1280288000022546E-2</v>
      </c>
      <c r="H893" s="886">
        <f>'підготовка до зими'!M893+майстерні!M893+маляри!M893+покрівлі!O893</f>
        <v>0.14692858401881539</v>
      </c>
      <c r="I893" s="886">
        <f>електрики!R893</f>
        <v>1.8267850868044395E-2</v>
      </c>
      <c r="J893" s="989">
        <f t="shared" si="108"/>
        <v>1.4548082240755211</v>
      </c>
      <c r="K893" s="989">
        <v>3.6651793092486971E-2</v>
      </c>
      <c r="L893" s="994">
        <f t="shared" si="109"/>
        <v>1.4914600171680081</v>
      </c>
      <c r="M893" s="994">
        <f t="shared" si="110"/>
        <v>1.7897520206016098</v>
      </c>
      <c r="N893" s="753">
        <v>9</v>
      </c>
      <c r="O893" s="994">
        <v>1.5100538754104631</v>
      </c>
      <c r="P893" s="22">
        <f t="shared" si="111"/>
        <v>0.27969814519114666</v>
      </c>
      <c r="Q893" s="982">
        <f t="shared" si="112"/>
        <v>18.522395110910807</v>
      </c>
      <c r="R893" s="6"/>
      <c r="S893" s="6"/>
      <c r="T893" s="6"/>
      <c r="U893" s="6"/>
      <c r="V893" s="6"/>
      <c r="W893" s="6"/>
      <c r="X893" s="6"/>
      <c r="Y893" s="6"/>
      <c r="Z893" s="6"/>
    </row>
    <row r="894" spans="1:26" s="93" customFormat="1" ht="18">
      <c r="A894" s="333">
        <v>14</v>
      </c>
      <c r="B894" s="333" t="s">
        <v>406</v>
      </c>
      <c r="C894" s="886">
        <f>cходова!R894</f>
        <v>0.39932280130836378</v>
      </c>
      <c r="D894" s="886">
        <f>прибуд.!O894</f>
        <v>0.34199355238738605</v>
      </c>
      <c r="E894" s="886">
        <f>гар.вода!M894+хол.вода!Q894+ц.о.!M894+каналізація!Q894+аварійні!I894+зварювальн!M894</f>
        <v>0.27821330687463958</v>
      </c>
      <c r="F894" s="886">
        <f>дератизац.!I894</f>
        <v>8.2283721943778622E-3</v>
      </c>
      <c r="G894" s="886">
        <f>димоканал!R894</f>
        <v>2.0123806397580397E-2</v>
      </c>
      <c r="H894" s="886">
        <f>'підготовка до зими'!M894+майстерні!M894+маляри!M894+покрівлі!O894</f>
        <v>0.19121703475027052</v>
      </c>
      <c r="I894" s="886">
        <f>електрики!R894</f>
        <v>1.7004736338666861E-2</v>
      </c>
      <c r="J894" s="989">
        <f t="shared" si="108"/>
        <v>1.256103610251285</v>
      </c>
      <c r="K894" s="989">
        <v>3.1963990255881071E-2</v>
      </c>
      <c r="L894" s="994">
        <f t="shared" si="109"/>
        <v>1.2880676005071661</v>
      </c>
      <c r="M894" s="994">
        <f t="shared" si="110"/>
        <v>1.5456811206085992</v>
      </c>
      <c r="N894" s="753">
        <v>5</v>
      </c>
      <c r="O894" s="994">
        <v>1.3169163985423</v>
      </c>
      <c r="P894" s="22">
        <f t="shared" si="111"/>
        <v>0.22876472206629916</v>
      </c>
      <c r="Q894" s="982">
        <f t="shared" si="112"/>
        <v>17.371241053685708</v>
      </c>
      <c r="R894" s="6"/>
      <c r="S894" s="6"/>
      <c r="T894" s="6"/>
      <c r="U894" s="6"/>
      <c r="V894" s="6"/>
      <c r="W894" s="6"/>
      <c r="X894" s="6"/>
      <c r="Y894" s="6"/>
      <c r="Z894" s="6"/>
    </row>
    <row r="895" spans="1:26" s="93" customFormat="1" ht="18">
      <c r="A895" s="333">
        <v>15</v>
      </c>
      <c r="B895" s="333" t="s">
        <v>407</v>
      </c>
      <c r="C895" s="886">
        <f>cходова!R895</f>
        <v>0.26197163280034141</v>
      </c>
      <c r="D895" s="886">
        <f>прибуд.!O895</f>
        <v>0.24502985423995388</v>
      </c>
      <c r="E895" s="886">
        <f>гар.вода!M895+хол.вода!Q895+ц.о.!M895+каналізація!Q895+аварійні!I895+зварювальн!M895</f>
        <v>0.39278607502240809</v>
      </c>
      <c r="F895" s="886">
        <f>дератизац.!I895</f>
        <v>4.5884240758942143E-3</v>
      </c>
      <c r="G895" s="886">
        <f>димоканал!R895</f>
        <v>4.6377139396749714E-2</v>
      </c>
      <c r="H895" s="886">
        <f>'підготовка до зими'!M895+майстерні!M895+маляри!M895+покрівлі!O895</f>
        <v>0.16783301634720038</v>
      </c>
      <c r="I895" s="886">
        <f>електрики!R895</f>
        <v>4.0732061354956405E-2</v>
      </c>
      <c r="J895" s="989">
        <f t="shared" si="108"/>
        <v>1.159318203237504</v>
      </c>
      <c r="K895" s="989">
        <v>2.9522287003785768E-2</v>
      </c>
      <c r="L895" s="994">
        <f t="shared" si="109"/>
        <v>1.1888404902412897</v>
      </c>
      <c r="M895" s="994">
        <f t="shared" si="110"/>
        <v>1.4266085882895476</v>
      </c>
      <c r="N895" s="753">
        <v>9</v>
      </c>
      <c r="O895" s="994">
        <v>1.2163182245559738</v>
      </c>
      <c r="P895" s="22">
        <f t="shared" si="111"/>
        <v>0.21029036373357379</v>
      </c>
      <c r="Q895" s="982">
        <f t="shared" si="112"/>
        <v>17.28909092111499</v>
      </c>
      <c r="R895" s="6"/>
      <c r="S895" s="6"/>
      <c r="T895" s="6"/>
      <c r="U895" s="6"/>
      <c r="V895" s="6"/>
      <c r="W895" s="6"/>
      <c r="X895" s="6"/>
      <c r="Y895" s="6"/>
      <c r="Z895" s="6"/>
    </row>
    <row r="896" spans="1:26" s="93" customFormat="1" ht="18">
      <c r="A896" s="333">
        <v>16</v>
      </c>
      <c r="B896" s="333" t="s">
        <v>408</v>
      </c>
      <c r="C896" s="886">
        <f>cходова!R896</f>
        <v>0.3930295625599442</v>
      </c>
      <c r="D896" s="886">
        <f>прибуд.!O896</f>
        <v>0.45584292500228868</v>
      </c>
      <c r="E896" s="886">
        <f>гар.вода!M896+хол.вода!Q896+ц.о.!M896+каналізація!Q896+аварійні!I896+зварювальн!M896</f>
        <v>0.26021365066521973</v>
      </c>
      <c r="F896" s="886">
        <f>дератизац.!I896</f>
        <v>4.9530005508802181E-3</v>
      </c>
      <c r="G896" s="886">
        <f>димоканал!R896</f>
        <v>1.8659123573949069E-2</v>
      </c>
      <c r="H896" s="886">
        <f>'підготовка до зими'!M896+майстерні!M896+маляри!M896+покрівлі!O896</f>
        <v>0.12887929908495691</v>
      </c>
      <c r="I896" s="886">
        <f>електрики!R896</f>
        <v>1.592474132980105E-2</v>
      </c>
      <c r="J896" s="989">
        <f t="shared" si="108"/>
        <v>1.2775023027670398</v>
      </c>
      <c r="K896" s="989">
        <v>3.2303388626584779E-2</v>
      </c>
      <c r="L896" s="994">
        <f t="shared" si="109"/>
        <v>1.3098056913936247</v>
      </c>
      <c r="M896" s="994">
        <f t="shared" si="110"/>
        <v>1.5717668296723495</v>
      </c>
      <c r="N896" s="753">
        <v>10</v>
      </c>
      <c r="O896" s="994">
        <v>1.3308996114152929</v>
      </c>
      <c r="P896" s="22">
        <f t="shared" si="111"/>
        <v>0.24086721825705659</v>
      </c>
      <c r="Q896" s="982">
        <f t="shared" si="112"/>
        <v>18.0980756317838</v>
      </c>
      <c r="R896" s="6"/>
      <c r="S896" s="6"/>
      <c r="T896" s="6"/>
      <c r="U896" s="6"/>
      <c r="V896" s="6"/>
      <c r="W896" s="6"/>
      <c r="X896" s="6"/>
      <c r="Y896" s="6"/>
      <c r="Z896" s="6"/>
    </row>
    <row r="897" spans="1:26" s="6" customFormat="1" ht="18">
      <c r="A897" s="333">
        <v>17</v>
      </c>
      <c r="B897" s="333" t="s">
        <v>409</v>
      </c>
      <c r="C897" s="886">
        <f>cходова!R897</f>
        <v>0</v>
      </c>
      <c r="D897" s="886">
        <f>прибуд.!O897</f>
        <v>0</v>
      </c>
      <c r="E897" s="886">
        <f>гар.вода!M897+хол.вода!Q897+ц.о.!M897+каналізація!Q897+аварійні!I897+зварювальн!M897</f>
        <v>0.24321420891709392</v>
      </c>
      <c r="F897" s="886">
        <f>дератизац.!I897</f>
        <v>3.5794107687097871E-3</v>
      </c>
      <c r="G897" s="886">
        <f>димоканал!R897</f>
        <v>7.2060133313634422E-2</v>
      </c>
      <c r="H897" s="886">
        <f>'підготовка до зими'!M897+майстерні!M897+маляри!M897+покрівлі!O897</f>
        <v>0.27468819235286412</v>
      </c>
      <c r="I897" s="886">
        <f>електрики!R897</f>
        <v>2.0179533124661971E-2</v>
      </c>
      <c r="J897" s="989">
        <f t="shared" si="108"/>
        <v>0.61372147847696423</v>
      </c>
      <c r="K897" s="989">
        <v>1.517252411912335E-2</v>
      </c>
      <c r="L897" s="994">
        <f t="shared" si="109"/>
        <v>0.62889400259608763</v>
      </c>
      <c r="M897" s="994">
        <f t="shared" si="110"/>
        <v>0.75467280311530516</v>
      </c>
      <c r="N897" s="753">
        <v>2</v>
      </c>
      <c r="O897" s="994">
        <v>0.62510799370788206</v>
      </c>
      <c r="P897" s="22">
        <f t="shared" si="111"/>
        <v>0.1295648094074231</v>
      </c>
      <c r="Q897" s="982">
        <f t="shared" si="112"/>
        <v>20.726788124864342</v>
      </c>
    </row>
    <row r="898" spans="1:26" s="93" customFormat="1" ht="18">
      <c r="A898" s="333">
        <v>18</v>
      </c>
      <c r="B898" s="333" t="s">
        <v>410</v>
      </c>
      <c r="C898" s="886">
        <f>cходова!R898</f>
        <v>0.26369692526142108</v>
      </c>
      <c r="D898" s="886">
        <f>прибуд.!O898</f>
        <v>0.32424177803764637</v>
      </c>
      <c r="E898" s="886">
        <f>гар.вода!M898+хол.вода!Q898+ц.о.!M898+каналізація!Q898+аварійні!I898+зварювальн!M898</f>
        <v>0.42914165442148189</v>
      </c>
      <c r="F898" s="886">
        <f>дератизац.!I898</f>
        <v>4.7338935574229701E-3</v>
      </c>
      <c r="G898" s="886">
        <f>димоканал!R898</f>
        <v>4.7585737893202085E-2</v>
      </c>
      <c r="H898" s="886">
        <f>'підготовка до зими'!M898+майстерні!M898+маляри!M898+покрівлі!O898</f>
        <v>0.14801095995885555</v>
      </c>
      <c r="I898" s="886">
        <f>електрики!R898</f>
        <v>3.9976451699223543E-2</v>
      </c>
      <c r="J898" s="989">
        <f t="shared" si="108"/>
        <v>1.2573874008292534</v>
      </c>
      <c r="K898" s="989">
        <v>3.2010482554146784E-2</v>
      </c>
      <c r="L898" s="994">
        <f t="shared" si="109"/>
        <v>1.2893978833834001</v>
      </c>
      <c r="M898" s="994">
        <f t="shared" si="110"/>
        <v>1.54727746006008</v>
      </c>
      <c r="N898" s="753">
        <v>9</v>
      </c>
      <c r="O898" s="994">
        <v>1.3188318812308475</v>
      </c>
      <c r="P898" s="22">
        <f t="shared" si="111"/>
        <v>0.22844557882923255</v>
      </c>
      <c r="Q898" s="982">
        <f t="shared" si="112"/>
        <v>17.321811982284459</v>
      </c>
      <c r="R898" s="6"/>
      <c r="S898" s="6"/>
      <c r="T898" s="6"/>
      <c r="U898" s="6"/>
      <c r="V898" s="6"/>
      <c r="W898" s="6"/>
      <c r="X898" s="6"/>
      <c r="Y898" s="6"/>
      <c r="Z898" s="6"/>
    </row>
    <row r="899" spans="1:26" s="93" customFormat="1" ht="18">
      <c r="A899" s="333">
        <v>19</v>
      </c>
      <c r="B899" s="333" t="s">
        <v>411</v>
      </c>
      <c r="C899" s="886">
        <f>cходова!R899</f>
        <v>0.31293065894353589</v>
      </c>
      <c r="D899" s="886">
        <f>прибуд.!O899</f>
        <v>0.39207270612332651</v>
      </c>
      <c r="E899" s="886">
        <f>гар.вода!M899+хол.вода!Q899+ц.о.!M899+каналізація!Q899+аварійні!I899+зварювальн!M899</f>
        <v>0.34635480324554241</v>
      </c>
      <c r="F899" s="886">
        <f>дератизац.!I899</f>
        <v>4.2963233116385634E-3</v>
      </c>
      <c r="G899" s="886">
        <f>димоканал!R899</f>
        <v>3.1070287252684323E-2</v>
      </c>
      <c r="H899" s="886">
        <f>'підготовка до зими'!M899+майстерні!M899+маляри!M899+покрівлі!O899</f>
        <v>0.18078853888493179</v>
      </c>
      <c r="I899" s="886">
        <f>електрики!R899</f>
        <v>2.6254577899440759E-2</v>
      </c>
      <c r="J899" s="989">
        <f t="shared" si="108"/>
        <v>1.2937678956611003</v>
      </c>
      <c r="K899" s="989">
        <v>3.3036221358376479E-2</v>
      </c>
      <c r="L899" s="994">
        <f t="shared" si="109"/>
        <v>1.3268041170194769</v>
      </c>
      <c r="M899" s="994">
        <f t="shared" si="110"/>
        <v>1.5921649404233722</v>
      </c>
      <c r="N899" s="753">
        <v>9</v>
      </c>
      <c r="O899" s="994">
        <v>1.361092319965111</v>
      </c>
      <c r="P899" s="22">
        <f t="shared" si="111"/>
        <v>0.23107262045826116</v>
      </c>
      <c r="Q899" s="982">
        <f t="shared" si="112"/>
        <v>16.976998332059082</v>
      </c>
      <c r="R899" s="6"/>
      <c r="S899" s="6"/>
      <c r="T899" s="6"/>
      <c r="U899" s="6"/>
      <c r="V899" s="6"/>
      <c r="W899" s="6"/>
      <c r="X899" s="6"/>
      <c r="Y899" s="6"/>
      <c r="Z899" s="6"/>
    </row>
    <row r="900" spans="1:26" s="93" customFormat="1" ht="18">
      <c r="A900" s="333">
        <v>20</v>
      </c>
      <c r="B900" s="333" t="s">
        <v>412</v>
      </c>
      <c r="C900" s="886">
        <f>cходова!R900</f>
        <v>0.40339411996660102</v>
      </c>
      <c r="D900" s="886">
        <f>прибуд.!O900</f>
        <v>0.47013054463234127</v>
      </c>
      <c r="E900" s="886">
        <f>гар.вода!M900+хол.вода!Q900+ц.о.!M900+каналізація!Q900+аварійні!I900+зварювальн!M900</f>
        <v>0.31858580491281174</v>
      </c>
      <c r="F900" s="886">
        <f>дератизац.!I900</f>
        <v>4.1708628488520954E-3</v>
      </c>
      <c r="G900" s="886">
        <f>димоканал!R900</f>
        <v>1.6336308272624233E-2</v>
      </c>
      <c r="H900" s="886">
        <f>'підготовка до зими'!M900+майстерні!M900+маляри!M900+покрівлі!O900</f>
        <v>0.15499376279973703</v>
      </c>
      <c r="I900" s="886">
        <f>електрики!R900</f>
        <v>2.6878737626128461E-2</v>
      </c>
      <c r="J900" s="989">
        <f t="shared" si="108"/>
        <v>1.3944901410590957</v>
      </c>
      <c r="K900" s="989">
        <v>3.5165292132972752E-2</v>
      </c>
      <c r="L900" s="994">
        <f t="shared" si="109"/>
        <v>1.4296554331920686</v>
      </c>
      <c r="M900" s="994">
        <f t="shared" si="110"/>
        <v>1.7155865198304823</v>
      </c>
      <c r="N900" s="753">
        <v>9</v>
      </c>
      <c r="O900" s="994">
        <v>1.4488100358784777</v>
      </c>
      <c r="P900" s="22">
        <f t="shared" si="111"/>
        <v>0.26677648395200459</v>
      </c>
      <c r="Q900" s="982">
        <f t="shared" si="112"/>
        <v>18.413489508322328</v>
      </c>
      <c r="R900" s="6"/>
      <c r="S900" s="6"/>
      <c r="T900" s="6"/>
      <c r="U900" s="6"/>
      <c r="V900" s="6"/>
      <c r="W900" s="6"/>
      <c r="X900" s="6"/>
      <c r="Y900" s="6"/>
      <c r="Z900" s="6"/>
    </row>
    <row r="901" spans="1:26" s="93" customFormat="1" ht="18">
      <c r="A901" s="333">
        <v>21</v>
      </c>
      <c r="B901" s="333" t="s">
        <v>413</v>
      </c>
      <c r="C901" s="886">
        <f>cходова!R901</f>
        <v>0.377656556599482</v>
      </c>
      <c r="D901" s="886">
        <f>прибуд.!O901</f>
        <v>0.4431312710092804</v>
      </c>
      <c r="E901" s="886">
        <f>гар.вода!M901+хол.вода!Q901+ц.о.!M901+каналізація!Q901+аварійні!I901+зварювальн!M901</f>
        <v>0.30582537022490691</v>
      </c>
      <c r="F901" s="886">
        <f>дератизац.!I901</f>
        <v>3.8485888672358027E-3</v>
      </c>
      <c r="G901" s="886">
        <f>димоканал!R901</f>
        <v>1.9931631275445987E-2</v>
      </c>
      <c r="H901" s="886">
        <f>'підготовка до зими'!M901+майстерні!M901+маляри!M901+покрівлі!O901</f>
        <v>0.17743258226089995</v>
      </c>
      <c r="I901" s="886">
        <f>електрики!R901</f>
        <v>1.6842347215148972E-2</v>
      </c>
      <c r="J901" s="989">
        <f t="shared" si="108"/>
        <v>1.3446683474523999</v>
      </c>
      <c r="K901" s="989">
        <v>3.4247252854691934E-2</v>
      </c>
      <c r="L901" s="994">
        <f t="shared" si="109"/>
        <v>1.3789156003070919</v>
      </c>
      <c r="M901" s="994">
        <f t="shared" si="110"/>
        <v>1.6546987203685102</v>
      </c>
      <c r="N901" s="753">
        <v>10</v>
      </c>
      <c r="O901" s="994">
        <v>1.4109868176133078</v>
      </c>
      <c r="P901" s="22">
        <f t="shared" si="111"/>
        <v>0.24371190275520238</v>
      </c>
      <c r="Q901" s="982">
        <f t="shared" si="112"/>
        <v>17.272443633983954</v>
      </c>
      <c r="R901" s="6"/>
      <c r="S901" s="6"/>
      <c r="T901" s="6"/>
      <c r="U901" s="6"/>
      <c r="V901" s="6"/>
      <c r="W901" s="6"/>
      <c r="X901" s="6"/>
      <c r="Y901" s="6"/>
      <c r="Z901" s="6"/>
    </row>
    <row r="902" spans="1:26" s="93" customFormat="1" ht="18">
      <c r="A902" s="333">
        <v>22</v>
      </c>
      <c r="B902" s="333" t="s">
        <v>414</v>
      </c>
      <c r="C902" s="886">
        <f>cходова!R902</f>
        <v>0.47149591681147868</v>
      </c>
      <c r="D902" s="886">
        <f>прибуд.!O902</f>
        <v>0.21041461673525749</v>
      </c>
      <c r="E902" s="886">
        <f>гар.вода!M902+хол.вода!Q902+ц.о.!M902+каналізація!Q902+аварійні!I902+зварювальн!M902</f>
        <v>0.35960175612329698</v>
      </c>
      <c r="F902" s="886">
        <f>дератизац.!I902</f>
        <v>4.24885668292827E-3</v>
      </c>
      <c r="G902" s="886">
        <f>димоканал!R902</f>
        <v>3.1244117630521328E-2</v>
      </c>
      <c r="H902" s="886">
        <f>'підготовка до зими'!M902+майстерні!M902+маляри!M902+покрівлі!O902</f>
        <v>0.17567291529479201</v>
      </c>
      <c r="I902" s="886">
        <f>електрики!R902</f>
        <v>2.6401465604697381E-2</v>
      </c>
      <c r="J902" s="989">
        <f t="shared" si="108"/>
        <v>1.2790796448829722</v>
      </c>
      <c r="K902" s="989">
        <v>3.2634806143916166E-2</v>
      </c>
      <c r="L902" s="994">
        <f t="shared" si="109"/>
        <v>1.3117144510268883</v>
      </c>
      <c r="M902" s="994">
        <f t="shared" si="110"/>
        <v>1.574057341232266</v>
      </c>
      <c r="N902" s="753">
        <v>9</v>
      </c>
      <c r="O902" s="994">
        <v>1.3445540131293459</v>
      </c>
      <c r="P902" s="22">
        <f t="shared" si="111"/>
        <v>0.22950332810292018</v>
      </c>
      <c r="Q902" s="982">
        <f t="shared" si="112"/>
        <v>17.069104391631612</v>
      </c>
      <c r="R902" s="6"/>
      <c r="S902" s="6"/>
      <c r="T902" s="6"/>
      <c r="U902" s="6"/>
      <c r="V902" s="6"/>
      <c r="W902" s="6"/>
      <c r="X902" s="6"/>
      <c r="Y902" s="6"/>
      <c r="Z902" s="6"/>
    </row>
    <row r="903" spans="1:26" s="93" customFormat="1" ht="18">
      <c r="A903" s="333">
        <v>23</v>
      </c>
      <c r="B903" s="333" t="s">
        <v>415</v>
      </c>
      <c r="C903" s="886">
        <f>cходова!R903</f>
        <v>0.44104895460108146</v>
      </c>
      <c r="D903" s="886">
        <f>прибуд.!O903</f>
        <v>0.29063991319505844</v>
      </c>
      <c r="E903" s="886">
        <f>гар.вода!M903+хол.вода!Q903+ц.о.!M903+каналізація!Q903+аварійні!I903+зварювальн!M903</f>
        <v>0.32360969882589707</v>
      </c>
      <c r="F903" s="886">
        <f>дератизац.!I903</f>
        <v>4.0244831543106534E-3</v>
      </c>
      <c r="G903" s="886">
        <f>димоканал!R903</f>
        <v>1.9898908065461511E-2</v>
      </c>
      <c r="H903" s="886">
        <f>'підготовка до зими'!M903+майстерні!M903+маляри!M903+покрівлі!O903</f>
        <v>0.19644520118257536</v>
      </c>
      <c r="I903" s="886">
        <f>електрики!R903</f>
        <v>1.6814695907690174E-2</v>
      </c>
      <c r="J903" s="989">
        <f t="shared" si="108"/>
        <v>1.2924818549320747</v>
      </c>
      <c r="K903" s="989">
        <v>3.3086668094581773E-2</v>
      </c>
      <c r="L903" s="994">
        <f t="shared" si="109"/>
        <v>1.3255685230266565</v>
      </c>
      <c r="M903" s="994">
        <f t="shared" si="110"/>
        <v>1.5906822276319879</v>
      </c>
      <c r="N903" s="753">
        <v>9</v>
      </c>
      <c r="O903" s="994">
        <v>1.3631707254967693</v>
      </c>
      <c r="P903" s="22">
        <f t="shared" si="111"/>
        <v>0.22751150213521854</v>
      </c>
      <c r="Q903" s="982">
        <f t="shared" si="112"/>
        <v>16.689875881269998</v>
      </c>
      <c r="R903" s="6"/>
      <c r="S903" s="6"/>
      <c r="T903" s="6"/>
      <c r="U903" s="6"/>
      <c r="V903" s="6"/>
      <c r="W903" s="6"/>
      <c r="X903" s="6"/>
      <c r="Y903" s="6"/>
      <c r="Z903" s="6"/>
    </row>
    <row r="904" spans="1:26" s="93" customFormat="1" ht="18">
      <c r="A904" s="333">
        <v>24</v>
      </c>
      <c r="B904" s="333" t="s">
        <v>416</v>
      </c>
      <c r="C904" s="886">
        <f>cходова!R904</f>
        <v>0.44932713339231117</v>
      </c>
      <c r="D904" s="886">
        <f>прибуд.!O904</f>
        <v>0.36362076423436679</v>
      </c>
      <c r="E904" s="886">
        <f>гар.вода!M904+хол.вода!Q904+ц.о.!M904+каналізація!Q904+аварійні!I904+зварювальн!M904</f>
        <v>0.30799628969658471</v>
      </c>
      <c r="F904" s="886">
        <f>дератизац.!I904</f>
        <v>4.2326871848758869E-3</v>
      </c>
      <c r="G904" s="886">
        <f>димоканал!R904</f>
        <v>1.9410425086461382E-2</v>
      </c>
      <c r="H904" s="886">
        <f>'підготовка до зими'!M904+майстерні!M904+маляри!M904+покрівлі!O904</f>
        <v>0.18383847081712837</v>
      </c>
      <c r="I904" s="886">
        <f>електрики!R904</f>
        <v>1.6527470264875829E-2</v>
      </c>
      <c r="J904" s="989">
        <f t="shared" si="108"/>
        <v>1.3449532406766043</v>
      </c>
      <c r="K904" s="989">
        <v>3.4265114297471651E-2</v>
      </c>
      <c r="L904" s="994">
        <f t="shared" si="109"/>
        <v>1.379218354974076</v>
      </c>
      <c r="M904" s="994">
        <f t="shared" si="110"/>
        <v>1.6550620259688911</v>
      </c>
      <c r="N904" s="753">
        <v>9</v>
      </c>
      <c r="O904" s="994">
        <v>1.411722709055832</v>
      </c>
      <c r="P904" s="22">
        <f t="shared" si="111"/>
        <v>0.2433393169130591</v>
      </c>
      <c r="Q904" s="982">
        <f t="shared" si="112"/>
        <v>17.237047711430932</v>
      </c>
      <c r="R904" s="6"/>
      <c r="S904" s="6"/>
      <c r="T904" s="6"/>
      <c r="U904" s="6"/>
      <c r="V904" s="6"/>
      <c r="W904" s="6"/>
      <c r="X904" s="6"/>
      <c r="Y904" s="6"/>
      <c r="Z904" s="6"/>
    </row>
    <row r="905" spans="1:26" s="892" customFormat="1" ht="18">
      <c r="A905" s="333">
        <v>25</v>
      </c>
      <c r="B905" s="333" t="s">
        <v>417</v>
      </c>
      <c r="C905" s="886">
        <f>cходова!R905</f>
        <v>0.32700489948773886</v>
      </c>
      <c r="D905" s="886">
        <f>прибуд.!O905</f>
        <v>0.20315979161207329</v>
      </c>
      <c r="E905" s="886">
        <f>гар.вода!M905+хол.вода!Q905+ц.о.!M905+каналізація!Q905+аварійні!I905+зварювальн!M905</f>
        <v>0.47539842532161558</v>
      </c>
      <c r="F905" s="886">
        <f>дератизац.!I905</f>
        <v>4.7349162274096385E-3</v>
      </c>
      <c r="G905" s="886">
        <f>димоканал!R905</f>
        <v>4.7294604252601416E-2</v>
      </c>
      <c r="H905" s="886">
        <f>'підготовка до зими'!M905+майстерні!M905+маляри!M905+покрівлі!O905</f>
        <v>0.18575351779751753</v>
      </c>
      <c r="I905" s="886">
        <f>електрики!R905</f>
        <v>3.9964222457128051E-2</v>
      </c>
      <c r="J905" s="989">
        <f t="shared" si="108"/>
        <v>1.2833103771560843</v>
      </c>
      <c r="K905" s="989">
        <v>3.3061018601373893E-2</v>
      </c>
      <c r="L905" s="994">
        <f t="shared" si="109"/>
        <v>1.3163713957574581</v>
      </c>
      <c r="M905" s="994">
        <f t="shared" si="110"/>
        <v>1.5796456749089496</v>
      </c>
      <c r="N905" s="753">
        <v>9</v>
      </c>
      <c r="O905" s="994">
        <v>1.3621139663766044</v>
      </c>
      <c r="P905" s="22">
        <f t="shared" si="111"/>
        <v>0.21753170853234516</v>
      </c>
      <c r="Q905" s="982">
        <f t="shared" si="112"/>
        <v>15.970154766932396</v>
      </c>
      <c r="R905" s="6"/>
      <c r="S905" s="6"/>
      <c r="T905" s="6"/>
      <c r="U905" s="6"/>
      <c r="V905" s="6"/>
      <c r="W905" s="6"/>
      <c r="X905" s="6"/>
      <c r="Y905" s="6"/>
      <c r="Z905" s="6"/>
    </row>
    <row r="906" spans="1:26" s="93" customFormat="1" ht="18">
      <c r="A906" s="333">
        <v>26</v>
      </c>
      <c r="B906" s="333" t="s">
        <v>418</v>
      </c>
      <c r="C906" s="886">
        <f>cходова!R906</f>
        <v>0.30155135452794124</v>
      </c>
      <c r="D906" s="886">
        <f>прибуд.!O906</f>
        <v>0.45867754189391347</v>
      </c>
      <c r="E906" s="886">
        <f>гар.вода!M906+хол.вода!Q906+ц.о.!M906+каналізація!Q906+аварійні!I906+зварювальн!M906</f>
        <v>0.37240587123878727</v>
      </c>
      <c r="F906" s="886">
        <f>дератизац.!I906</f>
        <v>8.3089345757109481E-3</v>
      </c>
      <c r="G906" s="886">
        <f>димоканал!R906</f>
        <v>3.7677596378721027E-2</v>
      </c>
      <c r="H906" s="886">
        <f>'підготовка до зими'!M906+майстерні!M906+маляри!M906+покрівлі!O906</f>
        <v>0.14888849377418439</v>
      </c>
      <c r="I906" s="886">
        <f>електрики!R906</f>
        <v>3.1837793488805138E-2</v>
      </c>
      <c r="J906" s="989">
        <f t="shared" si="108"/>
        <v>1.3593475858780635</v>
      </c>
      <c r="K906" s="989">
        <v>3.4477221591817181E-2</v>
      </c>
      <c r="L906" s="994">
        <f t="shared" si="109"/>
        <v>1.3938248074698807</v>
      </c>
      <c r="M906" s="994">
        <f t="shared" si="110"/>
        <v>1.6725897689638567</v>
      </c>
      <c r="N906" s="753">
        <v>5</v>
      </c>
      <c r="O906" s="994">
        <v>1.420461529582868</v>
      </c>
      <c r="P906" s="22">
        <f t="shared" si="111"/>
        <v>0.25212823938098872</v>
      </c>
      <c r="Q906" s="982">
        <f t="shared" si="112"/>
        <v>17.749740780028617</v>
      </c>
      <c r="R906" s="6"/>
      <c r="S906" s="6"/>
      <c r="T906" s="6"/>
      <c r="U906" s="6"/>
      <c r="V906" s="6"/>
      <c r="W906" s="6"/>
      <c r="X906" s="6"/>
      <c r="Y906" s="6"/>
      <c r="Z906" s="6"/>
    </row>
    <row r="907" spans="1:26" s="93" customFormat="1" ht="18">
      <c r="A907" s="333">
        <v>27</v>
      </c>
      <c r="B907" s="333" t="s">
        <v>419</v>
      </c>
      <c r="C907" s="886">
        <f>cходова!R907</f>
        <v>0.48760097625244059</v>
      </c>
      <c r="D907" s="886">
        <f>прибуд.!O907</f>
        <v>0.38843920705814627</v>
      </c>
      <c r="E907" s="886">
        <f>гар.вода!M907+хол.вода!Q907+ц.о.!M907+каналізація!Q907+аварійні!I907+зварювальн!M907</f>
        <v>0.29586278249627812</v>
      </c>
      <c r="F907" s="886">
        <f>дератизац.!I907</f>
        <v>3.4671256535831738E-3</v>
      </c>
      <c r="G907" s="886">
        <f>димоканал!R907</f>
        <v>1.9465257574107143E-2</v>
      </c>
      <c r="H907" s="886">
        <f>'підготовка до зими'!M907+майстерні!M907+маляри!M907+покрівлі!O907</f>
        <v>0.15520013290987578</v>
      </c>
      <c r="I907" s="886">
        <f>електрики!R907</f>
        <v>1.6213283534363885E-2</v>
      </c>
      <c r="J907" s="989">
        <f t="shared" si="108"/>
        <v>1.3662487654787949</v>
      </c>
      <c r="K907" s="989">
        <v>3.4676946929479924E-2</v>
      </c>
      <c r="L907" s="994">
        <f t="shared" si="109"/>
        <v>1.4009257124082748</v>
      </c>
      <c r="M907" s="994">
        <f t="shared" si="110"/>
        <v>1.6811108548899296</v>
      </c>
      <c r="N907" s="753">
        <v>10</v>
      </c>
      <c r="O907" s="994">
        <v>1.4286902134945729</v>
      </c>
      <c r="P907" s="22">
        <f t="shared" si="111"/>
        <v>0.25242064139535669</v>
      </c>
      <c r="Q907" s="982">
        <f t="shared" si="112"/>
        <v>17.667975815270438</v>
      </c>
      <c r="R907" s="6"/>
      <c r="S907" s="6"/>
      <c r="T907" s="6"/>
      <c r="U907" s="6"/>
      <c r="V907" s="6"/>
      <c r="W907" s="6"/>
      <c r="X907" s="6"/>
      <c r="Y907" s="6"/>
      <c r="Z907" s="6"/>
    </row>
    <row r="908" spans="1:26" s="93" customFormat="1" ht="18">
      <c r="A908" s="333">
        <v>28</v>
      </c>
      <c r="B908" s="333" t="s">
        <v>420</v>
      </c>
      <c r="C908" s="886">
        <f>cходова!R908</f>
        <v>0.34501712983242294</v>
      </c>
      <c r="D908" s="886">
        <f>прибуд.!O908</f>
        <v>0.32802984270035279</v>
      </c>
      <c r="E908" s="886">
        <f>гар.вода!M908+хол.вода!Q908+ц.о.!M908+каналізація!Q908+аварійні!I908+зварювальн!M908</f>
        <v>0.4205865689151399</v>
      </c>
      <c r="F908" s="886">
        <f>дератизац.!I908</f>
        <v>7.5806479012010134E-3</v>
      </c>
      <c r="G908" s="886">
        <f>димоканал!R908</f>
        <v>2.6954135267260142E-2</v>
      </c>
      <c r="H908" s="886">
        <f>'підготовка до зими'!M908+майстерні!M908+маляри!M908+покрівлі!O908</f>
        <v>0.15867268627073139</v>
      </c>
      <c r="I908" s="886">
        <f>електрики!R908</f>
        <v>3.3531929495809625E-2</v>
      </c>
      <c r="J908" s="989">
        <f t="shared" si="108"/>
        <v>1.3203729403829179</v>
      </c>
      <c r="K908" s="989">
        <v>3.3643282309329184E-2</v>
      </c>
      <c r="L908" s="994">
        <f t="shared" si="109"/>
        <v>1.354016222692247</v>
      </c>
      <c r="M908" s="994">
        <f t="shared" si="110"/>
        <v>1.6248194672306964</v>
      </c>
      <c r="N908" s="753">
        <v>9</v>
      </c>
      <c r="O908" s="994">
        <v>1.3861032311443624</v>
      </c>
      <c r="P908" s="22">
        <f t="shared" si="111"/>
        <v>0.23871623608633397</v>
      </c>
      <c r="Q908" s="982">
        <f t="shared" si="112"/>
        <v>17.222110931034379</v>
      </c>
      <c r="R908" s="6"/>
      <c r="S908" s="6"/>
      <c r="T908" s="6"/>
      <c r="U908" s="6"/>
      <c r="V908" s="6"/>
      <c r="W908" s="6"/>
      <c r="X908" s="6"/>
      <c r="Y908" s="6"/>
      <c r="Z908" s="6"/>
    </row>
    <row r="909" spans="1:26" s="93" customFormat="1" ht="18">
      <c r="A909" s="333">
        <v>29</v>
      </c>
      <c r="B909" s="333" t="s">
        <v>1358</v>
      </c>
      <c r="C909" s="886">
        <f>cходова!R909</f>
        <v>0.39053526771478442</v>
      </c>
      <c r="D909" s="886">
        <f>прибуд.!O909</f>
        <v>0.3166244353390722</v>
      </c>
      <c r="E909" s="886">
        <f>гар.вода!M909+хол.вода!Q909+ц.о.!M909+каналізація!Q909+аварійні!I909+зварювальн!M909</f>
        <v>0.37425628776947112</v>
      </c>
      <c r="F909" s="886">
        <f>дератизац.!I909</f>
        <v>6.2425111951654282E-3</v>
      </c>
      <c r="G909" s="886">
        <f>димоканал!R909</f>
        <v>2.2467074897294506E-2</v>
      </c>
      <c r="H909" s="886">
        <f>'підготовка до зими'!M909+майстерні!M909+маляри!M909+покрівлі!O909</f>
        <v>0.20003774264776508</v>
      </c>
      <c r="I909" s="886">
        <f>електрики!R909</f>
        <v>3.4381644071040281E-2</v>
      </c>
      <c r="J909" s="989">
        <f t="shared" si="108"/>
        <v>1.344544963634593</v>
      </c>
      <c r="K909" s="989">
        <v>3.4171874997384839E-2</v>
      </c>
      <c r="L909" s="994">
        <f t="shared" si="109"/>
        <v>1.3787168386319779</v>
      </c>
      <c r="M909" s="994">
        <f t="shared" si="110"/>
        <v>1.6544602063583735</v>
      </c>
      <c r="N909" s="753">
        <v>9</v>
      </c>
      <c r="O909" s="994">
        <v>1.4078812498922555</v>
      </c>
      <c r="P909" s="22">
        <f t="shared" si="111"/>
        <v>0.24657895646611805</v>
      </c>
      <c r="Q909" s="982">
        <f t="shared" si="112"/>
        <v>17.514187115212223</v>
      </c>
      <c r="R909" s="6"/>
      <c r="S909" s="6"/>
      <c r="T909" s="6"/>
      <c r="U909" s="6"/>
      <c r="V909" s="6"/>
      <c r="W909" s="6"/>
      <c r="X909" s="6"/>
      <c r="Y909" s="6"/>
      <c r="Z909" s="6"/>
    </row>
    <row r="910" spans="1:26" s="93" customFormat="1" ht="18">
      <c r="A910" s="333">
        <v>30</v>
      </c>
      <c r="B910" s="333" t="s">
        <v>421</v>
      </c>
      <c r="C910" s="886">
        <f>cходова!R910</f>
        <v>0.44260111758869036</v>
      </c>
      <c r="D910" s="886">
        <f>прибуд.!O910</f>
        <v>0.41202018059737316</v>
      </c>
      <c r="E910" s="886">
        <f>гар.вода!M910+хол.вода!Q910+ц.о.!M910+каналізація!Q910+аварійні!I910+зварювальн!M910</f>
        <v>0.31090295537182738</v>
      </c>
      <c r="F910" s="886">
        <f>дератизац.!I910</f>
        <v>4.1801683206192765E-3</v>
      </c>
      <c r="G910" s="886">
        <f>димоканал!R910</f>
        <v>2.3803552146805025E-2</v>
      </c>
      <c r="H910" s="886">
        <f>'підготовка до зими'!M910+майстерні!M910+маляри!M910+покрівлі!O910</f>
        <v>0.15470155325484669</v>
      </c>
      <c r="I910" s="886">
        <f>електрики!R910</f>
        <v>2.0114143427100117E-2</v>
      </c>
      <c r="J910" s="989">
        <f t="shared" si="108"/>
        <v>1.3683236707072619</v>
      </c>
      <c r="K910" s="989">
        <v>3.4643179443976942E-2</v>
      </c>
      <c r="L910" s="994">
        <f t="shared" si="109"/>
        <v>1.4029668501512389</v>
      </c>
      <c r="M910" s="994">
        <f t="shared" si="110"/>
        <v>1.6835602201814865</v>
      </c>
      <c r="N910" s="753">
        <v>9</v>
      </c>
      <c r="O910" s="994">
        <v>1.4272989930918503</v>
      </c>
      <c r="P910" s="22">
        <f t="shared" si="111"/>
        <v>0.25626122708963628</v>
      </c>
      <c r="Q910" s="982">
        <f t="shared" si="112"/>
        <v>17.954277858384586</v>
      </c>
      <c r="R910" s="6"/>
      <c r="S910" s="6"/>
      <c r="T910" s="6"/>
      <c r="U910" s="6"/>
      <c r="V910" s="6"/>
      <c r="W910" s="6"/>
      <c r="X910" s="6"/>
      <c r="Y910" s="6"/>
      <c r="Z910" s="6"/>
    </row>
    <row r="911" spans="1:26" s="892" customFormat="1" ht="18">
      <c r="A911" s="333">
        <v>31</v>
      </c>
      <c r="B911" s="333" t="s">
        <v>422</v>
      </c>
      <c r="C911" s="886">
        <f>cходова!R911</f>
        <v>0</v>
      </c>
      <c r="D911" s="886">
        <f>прибуд.!O911</f>
        <v>0</v>
      </c>
      <c r="E911" s="886">
        <f>гар.вода!M911+хол.вода!Q911+ц.о.!M911+каналізація!Q911+аварійні!I911+зварювальн!M911</f>
        <v>0.27640531334500718</v>
      </c>
      <c r="F911" s="886">
        <f>дератизац.!I911</f>
        <v>2.2883829538820782E-3</v>
      </c>
      <c r="G911" s="886">
        <f>димоканал!R911</f>
        <v>4.6673459130930836E-2</v>
      </c>
      <c r="H911" s="886">
        <f>'підготовка до зими'!M911+майстерні!M911+маляри!M911+покрівлі!O911</f>
        <v>0.332496126694792</v>
      </c>
      <c r="I911" s="886">
        <f>електрики!R911</f>
        <v>2.319134513217622E-2</v>
      </c>
      <c r="J911" s="989">
        <f t="shared" si="108"/>
        <v>0.68105462725678834</v>
      </c>
      <c r="K911" s="989">
        <v>1.8140852361493692E-2</v>
      </c>
      <c r="L911" s="994">
        <f t="shared" si="109"/>
        <v>0.69919547961828199</v>
      </c>
      <c r="M911" s="994">
        <f t="shared" si="110"/>
        <v>0.83903457554193839</v>
      </c>
      <c r="N911" s="753">
        <v>2</v>
      </c>
      <c r="O911" s="994">
        <v>0.74740311729354025</v>
      </c>
      <c r="P911" s="22">
        <f t="shared" si="111"/>
        <v>9.1631458248398134E-2</v>
      </c>
      <c r="Q911" s="982">
        <f t="shared" si="112"/>
        <v>12.259978066482972</v>
      </c>
    </row>
    <row r="912" spans="1:26" s="892" customFormat="1" ht="18">
      <c r="A912" s="333">
        <v>32</v>
      </c>
      <c r="B912" s="333" t="s">
        <v>423</v>
      </c>
      <c r="C912" s="886">
        <f>cходова!R912</f>
        <v>0</v>
      </c>
      <c r="D912" s="886">
        <f>прибуд.!O912</f>
        <v>0</v>
      </c>
      <c r="E912" s="886">
        <f>гар.вода!M912+хол.вода!Q912+ц.о.!M912+каналізація!Q912+аварійні!I912+зварювальн!M912</f>
        <v>0.23839185446172909</v>
      </c>
      <c r="F912" s="886">
        <f>дератизац.!I912</f>
        <v>3.0102323008849561E-3</v>
      </c>
      <c r="G912" s="886">
        <f>димоканал!R912</f>
        <v>5.1149410933523459E-2</v>
      </c>
      <c r="H912" s="886">
        <f>'підготовка до зими'!M912+майстерні!M912+маляри!M912+покрівлі!O912</f>
        <v>0.25393171977480217</v>
      </c>
      <c r="I912" s="886">
        <f>електрики!R912</f>
        <v>2.1972773347023154E-2</v>
      </c>
      <c r="J912" s="989">
        <f t="shared" si="108"/>
        <v>0.56845599081796272</v>
      </c>
      <c r="K912" s="989">
        <v>1.5095706670759735E-2</v>
      </c>
      <c r="L912" s="994">
        <f t="shared" si="109"/>
        <v>0.58355169748872249</v>
      </c>
      <c r="M912" s="994">
        <f t="shared" si="110"/>
        <v>0.70026203698646694</v>
      </c>
      <c r="N912" s="753">
        <v>2</v>
      </c>
      <c r="O912" s="994">
        <v>0.62194311483530107</v>
      </c>
      <c r="P912" s="22">
        <f t="shared" si="111"/>
        <v>7.8318922151165871E-2</v>
      </c>
      <c r="Q912" s="982">
        <f t="shared" si="112"/>
        <v>12.592618244822248</v>
      </c>
    </row>
    <row r="913" spans="1:26" s="892" customFormat="1" ht="18">
      <c r="A913" s="333">
        <v>33</v>
      </c>
      <c r="B913" s="333" t="s">
        <v>424</v>
      </c>
      <c r="C913" s="886">
        <f>cходова!R913</f>
        <v>0.39300028721379487</v>
      </c>
      <c r="D913" s="886">
        <f>прибуд.!O913</f>
        <v>0.29370907443623728</v>
      </c>
      <c r="E913" s="886">
        <f>гар.вода!M913+хол.вода!Q913+ц.о.!M913+каналізація!Q913+аварійні!I913+зварювальн!M913</f>
        <v>0.38487304061219824</v>
      </c>
      <c r="F913" s="886">
        <f>дератизац.!I913</f>
        <v>3.7955504532179423E-3</v>
      </c>
      <c r="G913" s="886">
        <f>димоканал!R913</f>
        <v>1.6458749489599071E-2</v>
      </c>
      <c r="H913" s="886">
        <f>'підготовка до зими'!M913+майстерні!M913+маляри!M913+покрівлі!O913</f>
        <v>0.18288072573137293</v>
      </c>
      <c r="I913" s="886">
        <f>електрики!R913</f>
        <v>3.4328129436061262E-2</v>
      </c>
      <c r="J913" s="989">
        <f t="shared" si="108"/>
        <v>1.3090455573724817</v>
      </c>
      <c r="K913" s="989">
        <v>3.3587773784042332E-2</v>
      </c>
      <c r="L913" s="994">
        <f t="shared" si="109"/>
        <v>1.3426333311565242</v>
      </c>
      <c r="M913" s="994">
        <f t="shared" si="110"/>
        <v>1.611159997387829</v>
      </c>
      <c r="N913" s="753">
        <v>9</v>
      </c>
      <c r="O913" s="994">
        <v>1.3838162799025442</v>
      </c>
      <c r="P913" s="22">
        <f t="shared" si="111"/>
        <v>0.22734371748528481</v>
      </c>
      <c r="Q913" s="982">
        <f t="shared" si="112"/>
        <v>16.428750028963066</v>
      </c>
      <c r="R913" s="6"/>
      <c r="S913" s="6"/>
      <c r="T913" s="6"/>
      <c r="U913" s="6"/>
      <c r="V913" s="6"/>
      <c r="W913" s="6"/>
      <c r="X913" s="6"/>
      <c r="Y913" s="6"/>
      <c r="Z913" s="6"/>
    </row>
    <row r="914" spans="1:26" s="93" customFormat="1" ht="18">
      <c r="A914" s="333">
        <v>34</v>
      </c>
      <c r="B914" s="333" t="s">
        <v>425</v>
      </c>
      <c r="C914" s="886">
        <f>cходова!R914</f>
        <v>0.49440611306637539</v>
      </c>
      <c r="D914" s="886">
        <f>прибуд.!O914</f>
        <v>0.30875763237664217</v>
      </c>
      <c r="E914" s="886">
        <f>гар.вода!M914+хол.вода!Q914+ц.о.!M914+каналізація!Q914+аварійні!I914+зварювальн!M914</f>
        <v>0.33990131047167221</v>
      </c>
      <c r="F914" s="886">
        <f>дератизац.!I914</f>
        <v>4.2706701479547438E-3</v>
      </c>
      <c r="G914" s="886">
        <f>димоканал!R914</f>
        <v>3.1564522308149746E-2</v>
      </c>
      <c r="H914" s="886">
        <f>'підготовка до зими'!M914+майстерні!M914+маляри!M914+покрівлі!O914</f>
        <v>0.15272148292785265</v>
      </c>
      <c r="I914" s="886">
        <f>електрики!R914</f>
        <v>2.6672209466822888E-2</v>
      </c>
      <c r="J914" s="989">
        <f t="shared" si="108"/>
        <v>1.3582939407654697</v>
      </c>
      <c r="K914" s="989">
        <v>3.4393864476110717E-2</v>
      </c>
      <c r="L914" s="994">
        <f t="shared" si="109"/>
        <v>1.3926878052415805</v>
      </c>
      <c r="M914" s="994">
        <f t="shared" si="110"/>
        <v>1.6712253662898966</v>
      </c>
      <c r="N914" s="753">
        <v>9</v>
      </c>
      <c r="O914" s="994">
        <v>1.4170272164157616</v>
      </c>
      <c r="P914" s="22">
        <f t="shared" si="111"/>
        <v>0.25419814987413503</v>
      </c>
      <c r="Q914" s="982">
        <f t="shared" si="112"/>
        <v>17.938833279229854</v>
      </c>
      <c r="R914" s="6"/>
      <c r="S914" s="6"/>
      <c r="T914" s="6"/>
      <c r="U914" s="6"/>
      <c r="V914" s="6"/>
      <c r="W914" s="6"/>
      <c r="X914" s="6"/>
      <c r="Y914" s="6"/>
      <c r="Z914" s="6"/>
    </row>
    <row r="915" spans="1:26" s="93" customFormat="1" ht="18">
      <c r="A915" s="333">
        <v>35</v>
      </c>
      <c r="B915" s="333" t="s">
        <v>426</v>
      </c>
      <c r="C915" s="886">
        <f>cходова!R915</f>
        <v>0.49796027474979049</v>
      </c>
      <c r="D915" s="886">
        <f>прибуд.!O915</f>
        <v>0.31026335621476903</v>
      </c>
      <c r="E915" s="886">
        <f>гар.вода!M915+хол.вода!Q915+ц.о.!M915+каналізація!Q915+аварійні!I915+зварювальн!M915</f>
        <v>0.33517689528814137</v>
      </c>
      <c r="F915" s="886">
        <f>дератизац.!I915</f>
        <v>4.3348627732393927E-3</v>
      </c>
      <c r="G915" s="886">
        <f>димоканал!R915</f>
        <v>3.067015718733445E-2</v>
      </c>
      <c r="H915" s="886">
        <f>'підготовка до зими'!M915+майстерні!M915+маляри!M915+покрівлі!O915</f>
        <v>0.15867492809303335</v>
      </c>
      <c r="I915" s="886">
        <f>електрики!R915</f>
        <v>2.5916465609547818E-2</v>
      </c>
      <c r="J915" s="989">
        <f t="shared" si="108"/>
        <v>1.3629969399158559</v>
      </c>
      <c r="K915" s="989">
        <v>3.4539829022255546E-2</v>
      </c>
      <c r="L915" s="994">
        <f t="shared" si="109"/>
        <v>1.3975367689381115</v>
      </c>
      <c r="M915" s="994">
        <f t="shared" si="110"/>
        <v>1.6770441227257338</v>
      </c>
      <c r="N915" s="753">
        <v>9</v>
      </c>
      <c r="O915" s="994">
        <v>1.4230409557169288</v>
      </c>
      <c r="P915" s="22">
        <f t="shared" si="111"/>
        <v>0.25400316700880499</v>
      </c>
      <c r="Q915" s="982">
        <f t="shared" si="112"/>
        <v>17.849322325430748</v>
      </c>
      <c r="R915" s="6"/>
      <c r="S915" s="6"/>
      <c r="T915" s="6"/>
      <c r="U915" s="6"/>
      <c r="V915" s="6"/>
      <c r="W915" s="6"/>
      <c r="X915" s="6"/>
      <c r="Y915" s="6"/>
      <c r="Z915" s="6"/>
    </row>
    <row r="916" spans="1:26" s="892" customFormat="1" ht="18">
      <c r="A916" s="333">
        <v>36</v>
      </c>
      <c r="B916" s="333" t="s">
        <v>427</v>
      </c>
      <c r="C916" s="886">
        <f>cходова!R916</f>
        <v>0</v>
      </c>
      <c r="D916" s="886">
        <f>прибуд.!O916</f>
        <v>0</v>
      </c>
      <c r="E916" s="886">
        <f>гар.вода!M916+хол.вода!Q916+ц.о.!M916+каналізація!Q916+аварійні!I916+зварювальн!M916</f>
        <v>0.26065210021612761</v>
      </c>
      <c r="F916" s="886">
        <f>дератизац.!I916</f>
        <v>3.0594744121715078E-3</v>
      </c>
      <c r="G916" s="886">
        <f>димоканал!R916</f>
        <v>4.0981983508773155E-2</v>
      </c>
      <c r="H916" s="886">
        <f>'підготовка до зими'!M916+майстерні!M916+маляри!M916+покрівлі!O916</f>
        <v>0.23360374147867857</v>
      </c>
      <c r="I916" s="886">
        <f>електрики!R916</f>
        <v>2.1978851569249166E-2</v>
      </c>
      <c r="J916" s="989">
        <f t="shared" si="108"/>
        <v>0.56027615118500007</v>
      </c>
      <c r="K916" s="989">
        <v>1.4924222851774905E-2</v>
      </c>
      <c r="L916" s="994">
        <f t="shared" si="109"/>
        <v>0.57520037403677493</v>
      </c>
      <c r="M916" s="994">
        <f t="shared" si="110"/>
        <v>0.69024044884412994</v>
      </c>
      <c r="N916" s="753">
        <v>2</v>
      </c>
      <c r="O916" s="994">
        <v>0.61487798149312611</v>
      </c>
      <c r="P916" s="22">
        <f t="shared" si="111"/>
        <v>7.5362467351003826E-2</v>
      </c>
      <c r="Q916" s="982">
        <f t="shared" si="112"/>
        <v>12.256491469738265</v>
      </c>
    </row>
    <row r="917" spans="1:26" s="93" customFormat="1" ht="18">
      <c r="A917" s="333">
        <v>37</v>
      </c>
      <c r="B917" s="333" t="s">
        <v>428</v>
      </c>
      <c r="C917" s="886">
        <f>cходова!R917</f>
        <v>0.48737012640650607</v>
      </c>
      <c r="D917" s="886">
        <f>прибуд.!O917</f>
        <v>0.42448205376595455</v>
      </c>
      <c r="E917" s="886">
        <f>гар.вода!M917+хол.вода!Q917+ц.о.!M917+каналізація!Q917+аварійні!I917+зварювальн!M917</f>
        <v>0.28017881361378943</v>
      </c>
      <c r="F917" s="886">
        <f>дератизац.!I917</f>
        <v>3.6142523906311811E-3</v>
      </c>
      <c r="G917" s="886">
        <f>димоканал!R917</f>
        <v>1.9840988228222667E-2</v>
      </c>
      <c r="H917" s="886">
        <f>'підготовка до зими'!M917+майстерні!M917+маляри!M917+покрівлі!O917</f>
        <v>0.15051977655446797</v>
      </c>
      <c r="I917" s="886">
        <f>електрики!R917</f>
        <v>1.7295114945710198E-2</v>
      </c>
      <c r="J917" s="989">
        <f t="shared" si="108"/>
        <v>1.3833011259052821</v>
      </c>
      <c r="K917" s="989">
        <v>3.4935586769795607E-2</v>
      </c>
      <c r="L917" s="994">
        <f t="shared" si="109"/>
        <v>1.4182367126750777</v>
      </c>
      <c r="M917" s="994">
        <f t="shared" si="110"/>
        <v>1.7018840552100931</v>
      </c>
      <c r="N917" s="753">
        <v>5</v>
      </c>
      <c r="O917" s="994">
        <v>1.4393461749155789</v>
      </c>
      <c r="P917" s="22">
        <f t="shared" si="111"/>
        <v>0.26253788029451419</v>
      </c>
      <c r="Q917" s="982">
        <f t="shared" si="112"/>
        <v>18.240079062975425</v>
      </c>
      <c r="R917" s="6"/>
      <c r="S917" s="6"/>
      <c r="T917" s="6"/>
      <c r="U917" s="6"/>
      <c r="V917" s="6"/>
      <c r="W917" s="6"/>
      <c r="X917" s="6"/>
      <c r="Y917" s="6"/>
      <c r="Z917" s="6"/>
    </row>
    <row r="918" spans="1:26" s="892" customFormat="1" ht="18">
      <c r="A918" s="333">
        <v>38</v>
      </c>
      <c r="B918" s="333" t="s">
        <v>429</v>
      </c>
      <c r="C918" s="886">
        <f>cходова!R918</f>
        <v>0</v>
      </c>
      <c r="D918" s="886">
        <f>прибуд.!O918</f>
        <v>0</v>
      </c>
      <c r="E918" s="886">
        <f>гар.вода!M918+хол.вода!Q918+ц.о.!M918+каналізація!Q918+аварійні!I918+зварювальн!M918</f>
        <v>0.32344358463694473</v>
      </c>
      <c r="F918" s="886">
        <f>дератизац.!I918</f>
        <v>3.1289250092353164E-3</v>
      </c>
      <c r="G918" s="886">
        <f>димоканал!R918</f>
        <v>1.7367418689847203E-2</v>
      </c>
      <c r="H918" s="886">
        <f>'підготовка до зими'!M918+майстерні!M918+маляри!M918+покрівлі!O918</f>
        <v>0.27020527791056914</v>
      </c>
      <c r="I918" s="886">
        <f>електрики!R918</f>
        <v>3.6688930745675898E-2</v>
      </c>
      <c r="J918" s="989">
        <f t="shared" si="108"/>
        <v>0.65083413699227233</v>
      </c>
      <c r="K918" s="989">
        <v>1.5804208896545314E-2</v>
      </c>
      <c r="L918" s="994">
        <f t="shared" si="109"/>
        <v>0.66663834588881765</v>
      </c>
      <c r="M918" s="994">
        <f t="shared" si="110"/>
        <v>0.79996601506658116</v>
      </c>
      <c r="N918" s="753">
        <v>2</v>
      </c>
      <c r="O918" s="994">
        <v>0.65113340653766694</v>
      </c>
      <c r="P918" s="22">
        <f t="shared" si="111"/>
        <v>0.14883260852891422</v>
      </c>
      <c r="Q918" s="982">
        <f t="shared" si="112"/>
        <v>22.857467768443328</v>
      </c>
      <c r="R918" s="6"/>
      <c r="S918" s="6"/>
      <c r="T918" s="6"/>
      <c r="U918" s="6"/>
      <c r="V918" s="6"/>
      <c r="W918" s="6"/>
      <c r="X918" s="6"/>
      <c r="Y918" s="6"/>
      <c r="Z918" s="6"/>
    </row>
    <row r="919" spans="1:26" s="892" customFormat="1" ht="18">
      <c r="A919" s="333">
        <v>39</v>
      </c>
      <c r="B919" s="333" t="s">
        <v>430</v>
      </c>
      <c r="C919" s="886">
        <f>cходова!R919</f>
        <v>0</v>
      </c>
      <c r="D919" s="886">
        <f>прибуд.!O919</f>
        <v>0</v>
      </c>
      <c r="E919" s="886">
        <f>гар.вода!M919+хол.вода!Q919+ц.о.!M919+каналізація!Q919+аварійні!I919+зварювальн!M919</f>
        <v>0.2308840566089044</v>
      </c>
      <c r="F919" s="886">
        <f>дератизац.!I919</f>
        <v>3.3689839572192521E-3</v>
      </c>
      <c r="G919" s="886">
        <f>димоканал!R919</f>
        <v>3.1426204808433403E-2</v>
      </c>
      <c r="H919" s="886">
        <f>'підготовка до зими'!M919+майстерні!M919+маляри!M919+покрівлі!O919</f>
        <v>0.31136464885085369</v>
      </c>
      <c r="I919" s="886">
        <f>електрики!R919</f>
        <v>2.6555330355225847E-2</v>
      </c>
      <c r="J919" s="989">
        <f t="shared" si="108"/>
        <v>0.60359922458063653</v>
      </c>
      <c r="K919" s="989">
        <v>1.5527903335051199E-2</v>
      </c>
      <c r="L919" s="994">
        <f t="shared" si="109"/>
        <v>0.61912712791568769</v>
      </c>
      <c r="M919" s="994">
        <f t="shared" si="110"/>
        <v>0.74295255349882516</v>
      </c>
      <c r="N919" s="753">
        <v>1</v>
      </c>
      <c r="O919" s="994">
        <v>0.63974961740410941</v>
      </c>
      <c r="P919" s="22">
        <f t="shared" si="111"/>
        <v>0.10320293609471576</v>
      </c>
      <c r="Q919" s="982">
        <f t="shared" si="112"/>
        <v>16.131769881079222</v>
      </c>
      <c r="R919" s="6"/>
      <c r="S919" s="6"/>
      <c r="T919" s="6"/>
      <c r="U919" s="6"/>
      <c r="V919" s="6"/>
      <c r="W919" s="6"/>
      <c r="X919" s="6"/>
      <c r="Y919" s="6"/>
      <c r="Z919" s="6"/>
    </row>
    <row r="920" spans="1:26" s="892" customFormat="1" ht="18">
      <c r="A920" s="333">
        <v>40</v>
      </c>
      <c r="B920" s="333" t="s">
        <v>431</v>
      </c>
      <c r="C920" s="886">
        <f>cходова!R920</f>
        <v>0</v>
      </c>
      <c r="D920" s="886">
        <f>прибуд.!O920</f>
        <v>0</v>
      </c>
      <c r="E920" s="886">
        <f>гар.вода!M920+хол.вода!Q920+ц.о.!M920+каналізація!Q920+аварійні!I920+зварювальн!M920</f>
        <v>0.27066741971902342</v>
      </c>
      <c r="F920" s="886">
        <f>дератизац.!I920</f>
        <v>3.4571549176867877E-3</v>
      </c>
      <c r="G920" s="886">
        <f>димоканал!R920</f>
        <v>6.3582137798441407E-2</v>
      </c>
      <c r="H920" s="886">
        <f>'підготовка до зими'!M920+майстерні!M920+маляри!M920+покрівлі!O920</f>
        <v>0.2517496857396796</v>
      </c>
      <c r="I920" s="886">
        <f>електрики!R920</f>
        <v>2.8322320017645817E-2</v>
      </c>
      <c r="J920" s="989">
        <f t="shared" si="108"/>
        <v>0.61777871819247698</v>
      </c>
      <c r="K920" s="989">
        <v>1.6395202665779568E-2</v>
      </c>
      <c r="L920" s="994">
        <f t="shared" si="109"/>
        <v>0.63417392085825652</v>
      </c>
      <c r="M920" s="994">
        <f t="shared" si="110"/>
        <v>0.76100870502990781</v>
      </c>
      <c r="N920" s="753">
        <v>2</v>
      </c>
      <c r="O920" s="994">
        <v>0.67548234983011812</v>
      </c>
      <c r="P920" s="22">
        <f t="shared" si="111"/>
        <v>8.5526355199789683E-2</v>
      </c>
      <c r="Q920" s="982">
        <f t="shared" si="112"/>
        <v>12.661523313125684</v>
      </c>
    </row>
    <row r="921" spans="1:26" s="6" customFormat="1" ht="18">
      <c r="A921" s="333">
        <v>41</v>
      </c>
      <c r="B921" s="333" t="s">
        <v>432</v>
      </c>
      <c r="C921" s="886">
        <f>cходова!R921</f>
        <v>0</v>
      </c>
      <c r="D921" s="886">
        <f>прибуд.!O921</f>
        <v>0</v>
      </c>
      <c r="E921" s="886">
        <f>гар.вода!M921+хол.вода!Q921+ц.о.!M921+каналізація!Q921+аварійні!I921+зварювальн!M921</f>
        <v>0.22080256830687126</v>
      </c>
      <c r="F921" s="886">
        <f>дератизац.!I921</f>
        <v>3.0791505791505792E-3</v>
      </c>
      <c r="G921" s="886">
        <f>димоканал!R921</f>
        <v>5.9879778328184217E-2</v>
      </c>
      <c r="H921" s="886">
        <f>'підготовка до зими'!M921+майстерні!M921+маляри!M921+покрівлі!O921</f>
        <v>0.31243895976974334</v>
      </c>
      <c r="I921" s="886">
        <f>електрики!R921</f>
        <v>2.3392279565942552E-2</v>
      </c>
      <c r="J921" s="989">
        <f t="shared" si="108"/>
        <v>0.61959273654989189</v>
      </c>
      <c r="K921" s="989">
        <v>1.6220840139873734E-2</v>
      </c>
      <c r="L921" s="994">
        <f t="shared" si="109"/>
        <v>0.63581357668976557</v>
      </c>
      <c r="M921" s="994">
        <f t="shared" si="110"/>
        <v>0.76297629202771866</v>
      </c>
      <c r="N921" s="753">
        <v>2</v>
      </c>
      <c r="O921" s="994">
        <v>0.66829861376279798</v>
      </c>
      <c r="P921" s="22">
        <f t="shared" si="111"/>
        <v>9.4677678264920684E-2</v>
      </c>
      <c r="Q921" s="982">
        <f t="shared" si="112"/>
        <v>14.166972116229019</v>
      </c>
    </row>
    <row r="922" spans="1:26" s="892" customFormat="1" ht="18">
      <c r="A922" s="333">
        <v>42</v>
      </c>
      <c r="B922" s="333" t="s">
        <v>433</v>
      </c>
      <c r="C922" s="886">
        <f>cходова!R922</f>
        <v>0</v>
      </c>
      <c r="D922" s="886">
        <f>прибуд.!O922</f>
        <v>0</v>
      </c>
      <c r="E922" s="886">
        <f>гар.вода!M922+хол.вода!Q922+ц.о.!M922+каналізація!Q922+аварійні!I922+зварювальн!M922</f>
        <v>0.27770050183543316</v>
      </c>
      <c r="F922" s="886">
        <f>дератизац.!I922</f>
        <v>2.8005657708628008E-3</v>
      </c>
      <c r="G922" s="886">
        <f>димоканал!R922</f>
        <v>7.6432704431341966E-2</v>
      </c>
      <c r="H922" s="886">
        <f>'підготовка до зими'!M922+майстерні!M922+маляри!M922+покрівлі!O922</f>
        <v>0.21594906351684043</v>
      </c>
      <c r="I922" s="886">
        <f>електрики!R922</f>
        <v>2.608850599860741E-2</v>
      </c>
      <c r="J922" s="989">
        <f t="shared" si="108"/>
        <v>0.59897134155308573</v>
      </c>
      <c r="K922" s="989">
        <v>1.6028781100374583E-2</v>
      </c>
      <c r="L922" s="994">
        <f t="shared" si="109"/>
        <v>0.61500012265346027</v>
      </c>
      <c r="M922" s="994">
        <f t="shared" si="110"/>
        <v>0.7380001471841523</v>
      </c>
      <c r="N922" s="753">
        <v>2</v>
      </c>
      <c r="O922" s="994">
        <v>0.66038578133543291</v>
      </c>
      <c r="P922" s="22">
        <f t="shared" si="111"/>
        <v>7.7614365848719391E-2</v>
      </c>
      <c r="Q922" s="982">
        <f t="shared" si="112"/>
        <v>11.752882639563737</v>
      </c>
    </row>
    <row r="923" spans="1:26" s="892" customFormat="1" ht="18">
      <c r="A923" s="333">
        <v>43</v>
      </c>
      <c r="B923" s="333" t="s">
        <v>434</v>
      </c>
      <c r="C923" s="886">
        <f>cходова!R923</f>
        <v>0</v>
      </c>
      <c r="D923" s="886">
        <f>прибуд.!O923</f>
        <v>0</v>
      </c>
      <c r="E923" s="886">
        <f>гар.вода!M923+хол.вода!Q923+ц.о.!M923+каналізація!Q923+аварійні!I923+зварювальн!M923</f>
        <v>0.27961643737627712</v>
      </c>
      <c r="F923" s="886">
        <f>дератизац.!I923</f>
        <v>2.7272727272727279E-3</v>
      </c>
      <c r="G923" s="886">
        <f>димоканал!R923</f>
        <v>6.9289710413039052E-2</v>
      </c>
      <c r="H923" s="886">
        <f>'підготовка до зими'!M923+майстерні!M923+маляри!M923+покрівлі!O923</f>
        <v>0.19840534548593702</v>
      </c>
      <c r="I923" s="886">
        <f>електрики!R923</f>
        <v>2.5080034224379967E-2</v>
      </c>
      <c r="J923" s="989">
        <f t="shared" si="108"/>
        <v>0.57511880022690587</v>
      </c>
      <c r="K923" s="989">
        <v>1.5447816891677039E-2</v>
      </c>
      <c r="L923" s="994">
        <f t="shared" si="109"/>
        <v>0.59056661711858294</v>
      </c>
      <c r="M923" s="994">
        <f t="shared" si="110"/>
        <v>0.70867994054229955</v>
      </c>
      <c r="N923" s="753">
        <v>2</v>
      </c>
      <c r="O923" s="994">
        <v>0.63645005593709403</v>
      </c>
      <c r="P923" s="22">
        <f t="shared" si="111"/>
        <v>7.2229884605205519E-2</v>
      </c>
      <c r="Q923" s="982">
        <f t="shared" si="112"/>
        <v>11.348869236700111</v>
      </c>
    </row>
    <row r="924" spans="1:26" s="93" customFormat="1" ht="18">
      <c r="A924" s="333">
        <v>44</v>
      </c>
      <c r="B924" s="333" t="s">
        <v>435</v>
      </c>
      <c r="C924" s="886">
        <f>cходова!R924</f>
        <v>0.4499267047454294</v>
      </c>
      <c r="D924" s="886">
        <f>прибуд.!O924</f>
        <v>0.35436975124638959</v>
      </c>
      <c r="E924" s="886">
        <f>гар.вода!M924+хол.вода!Q924+ц.о.!M924+каналізація!Q924+аварійні!I924+зварювальн!M924</f>
        <v>0.27557222305368162</v>
      </c>
      <c r="F924" s="886">
        <f>дератизац.!I924</f>
        <v>3.7437986845354344E-3</v>
      </c>
      <c r="G924" s="886">
        <f>димоканал!R924</f>
        <v>1.9788202233069728E-2</v>
      </c>
      <c r="H924" s="886">
        <f>'підготовка до зими'!M924+майстерні!M924+маляри!M924+покрівлі!O924</f>
        <v>0.1630607741502596</v>
      </c>
      <c r="I924" s="886">
        <f>електрики!R924</f>
        <v>1.6721148819540822E-2</v>
      </c>
      <c r="J924" s="989">
        <f t="shared" si="108"/>
        <v>1.2831826029329063</v>
      </c>
      <c r="K924" s="989">
        <v>3.2568836148087255E-2</v>
      </c>
      <c r="L924" s="994">
        <f t="shared" si="109"/>
        <v>1.3157514390809935</v>
      </c>
      <c r="M924" s="994">
        <f t="shared" si="110"/>
        <v>1.5789017268971921</v>
      </c>
      <c r="N924" s="753">
        <v>10</v>
      </c>
      <c r="O924" s="994">
        <v>1.3418360493011952</v>
      </c>
      <c r="P924" s="22">
        <f t="shared" si="111"/>
        <v>0.23706567759599695</v>
      </c>
      <c r="Q924" s="982">
        <f t="shared" si="112"/>
        <v>17.667261042767237</v>
      </c>
      <c r="R924" s="6"/>
      <c r="S924" s="6"/>
      <c r="T924" s="6"/>
      <c r="U924" s="6"/>
      <c r="V924" s="6"/>
      <c r="W924" s="6"/>
      <c r="X924" s="6"/>
      <c r="Y924" s="6"/>
      <c r="Z924" s="6"/>
    </row>
    <row r="925" spans="1:26" s="892" customFormat="1" ht="18">
      <c r="A925" s="333">
        <v>45</v>
      </c>
      <c r="B925" s="333" t="s">
        <v>436</v>
      </c>
      <c r="C925" s="886">
        <f>cходова!R925</f>
        <v>0</v>
      </c>
      <c r="D925" s="886">
        <f>прибуд.!O925</f>
        <v>0</v>
      </c>
      <c r="E925" s="886">
        <f>гар.вода!M925+хол.вода!Q925+ц.о.!M925+каналізація!Q925+аварійні!I925+зварювальн!M925</f>
        <v>0.29279817756973442</v>
      </c>
      <c r="F925" s="886">
        <f>дератизац.!I925</f>
        <v>3.3742911153119091E-3</v>
      </c>
      <c r="G925" s="886">
        <f>димоканал!R925</f>
        <v>3.9172961077917318E-2</v>
      </c>
      <c r="H925" s="886">
        <f>'підготовка до зими'!M925+майстерні!M925+маляри!M925+покрівлі!O925</f>
        <v>0.35991787389550051</v>
      </c>
      <c r="I925" s="886">
        <f>електрики!R925</f>
        <v>3.7548935927616135E-2</v>
      </c>
      <c r="J925" s="989">
        <f t="shared" si="108"/>
        <v>0.73281223958608033</v>
      </c>
      <c r="K925" s="989">
        <v>1.8987572296754848E-2</v>
      </c>
      <c r="L925" s="994">
        <f t="shared" si="109"/>
        <v>0.75179981188283518</v>
      </c>
      <c r="M925" s="994">
        <f t="shared" si="110"/>
        <v>0.90215977425940219</v>
      </c>
      <c r="N925" s="753">
        <v>1</v>
      </c>
      <c r="O925" s="994">
        <v>0.78228797862629962</v>
      </c>
      <c r="P925" s="22">
        <f t="shared" si="111"/>
        <v>0.11987179563310257</v>
      </c>
      <c r="Q925" s="982">
        <f t="shared" si="112"/>
        <v>15.323231202350556</v>
      </c>
      <c r="R925" s="6"/>
      <c r="S925" s="6"/>
      <c r="T925" s="6"/>
      <c r="U925" s="6"/>
      <c r="V925" s="6"/>
      <c r="W925" s="6"/>
      <c r="X925" s="6"/>
      <c r="Y925" s="6"/>
      <c r="Z925" s="6"/>
    </row>
    <row r="926" spans="1:26" s="892" customFormat="1" ht="18">
      <c r="A926" s="333">
        <v>46</v>
      </c>
      <c r="B926" s="333" t="s">
        <v>437</v>
      </c>
      <c r="C926" s="886">
        <f>cходова!R926</f>
        <v>0</v>
      </c>
      <c r="D926" s="886">
        <f>прибуд.!O926</f>
        <v>0</v>
      </c>
      <c r="E926" s="886">
        <f>гар.вода!M926+хол.вода!Q926+ц.о.!M926+каналізація!Q926+аварійні!I926+зварювальн!M926</f>
        <v>0.30142178107371848</v>
      </c>
      <c r="F926" s="886">
        <f>дератизац.!I926</f>
        <v>5.5170975813177642E-3</v>
      </c>
      <c r="G926" s="886">
        <f>димоканал!R926</f>
        <v>5.6750783594521965E-2</v>
      </c>
      <c r="H926" s="886">
        <f>'підготовка до зими'!M926+майстерні!M926+маляри!M926+покрівлі!O926</f>
        <v>0.36469161096202235</v>
      </c>
      <c r="I926" s="886">
        <f>електрики!R926</f>
        <v>3.3133256223034084E-2</v>
      </c>
      <c r="J926" s="989">
        <f t="shared" si="108"/>
        <v>0.76151452943461462</v>
      </c>
      <c r="K926" s="989">
        <v>1.9942460260234985E-2</v>
      </c>
      <c r="L926" s="994">
        <f t="shared" si="109"/>
        <v>0.78145698969484956</v>
      </c>
      <c r="M926" s="994">
        <f t="shared" si="110"/>
        <v>0.9377483876338194</v>
      </c>
      <c r="N926" s="753">
        <v>2</v>
      </c>
      <c r="O926" s="994">
        <v>0.82162936272168152</v>
      </c>
      <c r="P926" s="22">
        <f t="shared" si="111"/>
        <v>0.11611902491213788</v>
      </c>
      <c r="Q926" s="982">
        <f t="shared" si="112"/>
        <v>14.132774482095996</v>
      </c>
    </row>
    <row r="927" spans="1:26" s="892" customFormat="1" ht="18">
      <c r="A927" s="333">
        <v>47</v>
      </c>
      <c r="B927" s="333" t="s">
        <v>438</v>
      </c>
      <c r="C927" s="886">
        <f>cходова!R927</f>
        <v>0</v>
      </c>
      <c r="D927" s="886">
        <f>прибуд.!O927</f>
        <v>0</v>
      </c>
      <c r="E927" s="886">
        <f>гар.вода!M927+хол.вода!Q927+ц.о.!M927+каналізація!Q927+аварійні!I927+зварювальн!M927</f>
        <v>0.17727494272529229</v>
      </c>
      <c r="F927" s="886">
        <f>дератизац.!I927</f>
        <v>3.2071713147410366E-3</v>
      </c>
      <c r="G927" s="886">
        <f>димоканал!R927</f>
        <v>4.518206476084452E-2</v>
      </c>
      <c r="H927" s="886">
        <f>'підготовка до зими'!M927+майстерні!M927+маляри!M927+покрівлі!O927</f>
        <v>0.26229644800138818</v>
      </c>
      <c r="I927" s="886">
        <f>електрики!R927</f>
        <v>1.3189500070191856E-2</v>
      </c>
      <c r="J927" s="989">
        <f t="shared" si="108"/>
        <v>0.50115012687245786</v>
      </c>
      <c r="K927" s="989">
        <v>1.3306347748920581E-2</v>
      </c>
      <c r="L927" s="994">
        <f t="shared" si="109"/>
        <v>0.51445647462137845</v>
      </c>
      <c r="M927" s="994">
        <f t="shared" si="110"/>
        <v>0.61734776954565407</v>
      </c>
      <c r="N927" s="753">
        <v>1</v>
      </c>
      <c r="O927" s="994">
        <v>0.54822152725552797</v>
      </c>
      <c r="P927" s="22">
        <f t="shared" si="111"/>
        <v>6.9126242290126094E-2</v>
      </c>
      <c r="Q927" s="982">
        <f t="shared" si="112"/>
        <v>12.609180569063312</v>
      </c>
    </row>
    <row r="928" spans="1:26" s="892" customFormat="1" ht="18">
      <c r="A928" s="333">
        <v>48</v>
      </c>
      <c r="B928" s="333" t="s">
        <v>439</v>
      </c>
      <c r="C928" s="886">
        <f>cходова!R928</f>
        <v>0</v>
      </c>
      <c r="D928" s="886">
        <f>прибуд.!O928</f>
        <v>0</v>
      </c>
      <c r="E928" s="886">
        <f>гар.вода!M928+хол.вода!Q928+ц.о.!M928+каналізація!Q928+аварійні!I928+зварювальн!M928</f>
        <v>0.26075113993493043</v>
      </c>
      <c r="F928" s="886">
        <f>дератизац.!I928</f>
        <v>9.7350993377483454E-3</v>
      </c>
      <c r="G928" s="886">
        <f>димоканал!R928</f>
        <v>5.9912824563464667E-2</v>
      </c>
      <c r="H928" s="886">
        <f>'підготовка до зими'!M928+майстерні!M928+маляри!M928+покрівлі!O928</f>
        <v>0.32627781000625755</v>
      </c>
      <c r="I928" s="886">
        <f>електрики!R928</f>
        <v>2.4664801869671689E-2</v>
      </c>
      <c r="J928" s="989">
        <f t="shared" si="108"/>
        <v>0.68134167571207271</v>
      </c>
      <c r="K928" s="989">
        <v>1.7965816592339208E-2</v>
      </c>
      <c r="L928" s="994">
        <f t="shared" si="109"/>
        <v>0.69930749230441192</v>
      </c>
      <c r="M928" s="994">
        <f t="shared" si="110"/>
        <v>0.83916899076529428</v>
      </c>
      <c r="N928" s="753">
        <v>2</v>
      </c>
      <c r="O928" s="994">
        <v>0.74019164360437528</v>
      </c>
      <c r="P928" s="22">
        <f t="shared" si="111"/>
        <v>9.8977347160918994E-2</v>
      </c>
      <c r="Q928" s="982">
        <f t="shared" si="112"/>
        <v>13.371854169948108</v>
      </c>
    </row>
    <row r="929" spans="1:17" s="892" customFormat="1" ht="18">
      <c r="A929" s="333">
        <v>49</v>
      </c>
      <c r="B929" s="333" t="s">
        <v>440</v>
      </c>
      <c r="C929" s="886">
        <f>cходова!R929</f>
        <v>0</v>
      </c>
      <c r="D929" s="886">
        <f>прибуд.!O929</f>
        <v>0</v>
      </c>
      <c r="E929" s="886">
        <f>гар.вода!M929+хол.вода!Q929+ц.о.!M929+каналізація!Q929+аварійні!I929+зварювальн!M929</f>
        <v>0.22213638325419599</v>
      </c>
      <c r="F929" s="886">
        <f>дератизац.!I929</f>
        <v>3.4128461717477312E-3</v>
      </c>
      <c r="G929" s="886">
        <f>димоканал!R929</f>
        <v>4.9881259351060289E-2</v>
      </c>
      <c r="H929" s="886">
        <f>'підготовка до зими'!M929+майстерні!M929+маляри!M929+покрівлі!O929</f>
        <v>0.33355466101681597</v>
      </c>
      <c r="I929" s="886">
        <f>електрики!R929</f>
        <v>2.0801778444424063E-2</v>
      </c>
      <c r="J929" s="989">
        <f t="shared" si="108"/>
        <v>0.629786928238244</v>
      </c>
      <c r="K929" s="989">
        <v>1.6544941319418333E-2</v>
      </c>
      <c r="L929" s="994">
        <f t="shared" si="109"/>
        <v>0.64633186955766231</v>
      </c>
      <c r="M929" s="994">
        <f t="shared" si="110"/>
        <v>0.7755982434691947</v>
      </c>
      <c r="N929" s="753">
        <v>2</v>
      </c>
      <c r="O929" s="994">
        <v>0.6816515823600352</v>
      </c>
      <c r="P929" s="22">
        <f t="shared" si="111"/>
        <v>9.3946661109159502E-2</v>
      </c>
      <c r="Q929" s="982">
        <f t="shared" si="112"/>
        <v>13.782211255770065</v>
      </c>
    </row>
    <row r="930" spans="1:17" s="892" customFormat="1" ht="18">
      <c r="A930" s="333">
        <v>50</v>
      </c>
      <c r="B930" s="333" t="s">
        <v>441</v>
      </c>
      <c r="C930" s="886">
        <f>cходова!R930</f>
        <v>0</v>
      </c>
      <c r="D930" s="886">
        <f>прибуд.!O930</f>
        <v>0</v>
      </c>
      <c r="E930" s="886">
        <f>гар.вода!M930+хол.вода!Q930+ц.о.!M930+каналізація!Q930+аварійні!I930+зварювальн!M930</f>
        <v>0.25534902640338414</v>
      </c>
      <c r="F930" s="886">
        <f>дератизац.!I930</f>
        <v>3.147330389401847E-3</v>
      </c>
      <c r="G930" s="886">
        <f>димоканал!R930</f>
        <v>6.76693199792196E-2</v>
      </c>
      <c r="H930" s="886">
        <f>'підготовка до зими'!M930+майстерні!M930+маляри!M930+покрівлі!O930</f>
        <v>0.19905184576068649</v>
      </c>
      <c r="I930" s="886">
        <f>електрики!R930</f>
        <v>2.3922184390657086E-2</v>
      </c>
      <c r="J930" s="989">
        <f t="shared" si="108"/>
        <v>0.54913970692334924</v>
      </c>
      <c r="K930" s="989">
        <v>1.4608128389194834E-2</v>
      </c>
      <c r="L930" s="994">
        <f t="shared" si="109"/>
        <v>0.56374783531254402</v>
      </c>
      <c r="M930" s="994">
        <f t="shared" si="110"/>
        <v>0.67649740237505285</v>
      </c>
      <c r="N930" s="753">
        <v>1</v>
      </c>
      <c r="O930" s="994">
        <v>0.60185488963482725</v>
      </c>
      <c r="P930" s="22">
        <f t="shared" si="111"/>
        <v>7.4642512740225597E-2</v>
      </c>
      <c r="Q930" s="982">
        <f t="shared" si="112"/>
        <v>12.402077980211246</v>
      </c>
    </row>
    <row r="931" spans="1:17" s="892" customFormat="1" ht="18">
      <c r="A931" s="333">
        <v>51</v>
      </c>
      <c r="B931" s="333" t="s">
        <v>442</v>
      </c>
      <c r="C931" s="886">
        <f>cходова!R931</f>
        <v>0</v>
      </c>
      <c r="D931" s="886">
        <f>прибуд.!O931</f>
        <v>0</v>
      </c>
      <c r="E931" s="886">
        <f>гар.вода!M931+хол.вода!Q931+ц.о.!M931+каналізація!Q931+аварійні!I931+зварювальн!M931</f>
        <v>0.25816557857709221</v>
      </c>
      <c r="F931" s="886">
        <f>дератизац.!I931</f>
        <v>3.3300970873786414E-3</v>
      </c>
      <c r="G931" s="886">
        <f>димоканал!R931</f>
        <v>1.7116602813137032E-2</v>
      </c>
      <c r="H931" s="886">
        <f>'підготовка до зими'!M931+майстерні!M931+маляри!M931+покрівлі!O931</f>
        <v>0.36102168474239005</v>
      </c>
      <c r="I931" s="886">
        <f>електрики!R931</f>
        <v>3.9101155719899479E-2</v>
      </c>
      <c r="J931" s="989">
        <f t="shared" si="108"/>
        <v>0.67873511893989735</v>
      </c>
      <c r="K931" s="989">
        <v>1.8249772306103973E-2</v>
      </c>
      <c r="L931" s="994">
        <f t="shared" si="109"/>
        <v>0.69698489124600127</v>
      </c>
      <c r="M931" s="994">
        <f t="shared" si="110"/>
        <v>0.83638186949520155</v>
      </c>
      <c r="N931" s="753">
        <v>2</v>
      </c>
      <c r="O931" s="994">
        <v>0.7518906190114838</v>
      </c>
      <c r="P931" s="22">
        <f t="shared" si="111"/>
        <v>8.449125048371775E-2</v>
      </c>
      <c r="Q931" s="982">
        <f t="shared" si="112"/>
        <v>11.237173113663658</v>
      </c>
    </row>
    <row r="932" spans="1:17" s="892" customFormat="1" ht="18">
      <c r="A932" s="333">
        <v>52</v>
      </c>
      <c r="B932" s="333" t="s">
        <v>443</v>
      </c>
      <c r="C932" s="886">
        <f>cходова!R932</f>
        <v>0</v>
      </c>
      <c r="D932" s="886">
        <f>прибуд.!O932</f>
        <v>0</v>
      </c>
      <c r="E932" s="886">
        <f>гар.вода!M932+хол.вода!Q932+ц.о.!M932+каналізація!Q932+аварійні!I932+зварювальн!M932</f>
        <v>0.21479383990348797</v>
      </c>
      <c r="F932" s="886">
        <f>дератизац.!I932</f>
        <v>3.4305949008498586E-3</v>
      </c>
      <c r="G932" s="886">
        <f>димоканал!R932</f>
        <v>4.1005491259300461E-2</v>
      </c>
      <c r="H932" s="886">
        <f>'підготовка до зими'!M932+майстерні!M932+маляри!M932+покрівлі!O932</f>
        <v>0.44766913206305337</v>
      </c>
      <c r="I932" s="886">
        <f>електрики!R932</f>
        <v>4.1729804843926327E-2</v>
      </c>
      <c r="J932" s="989">
        <f t="shared" si="108"/>
        <v>0.74862886297061793</v>
      </c>
      <c r="K932" s="989">
        <v>2.0005852534779236E-2</v>
      </c>
      <c r="L932" s="994">
        <f t="shared" si="109"/>
        <v>0.76863471550539719</v>
      </c>
      <c r="M932" s="994">
        <f t="shared" si="110"/>
        <v>0.92236165860647656</v>
      </c>
      <c r="N932" s="753">
        <v>2</v>
      </c>
      <c r="O932" s="994">
        <v>0.82424112443290454</v>
      </c>
      <c r="P932" s="22">
        <f t="shared" si="111"/>
        <v>9.8120534173572027E-2</v>
      </c>
      <c r="Q932" s="982">
        <f t="shared" si="112"/>
        <v>11.904348286562509</v>
      </c>
    </row>
    <row r="933" spans="1:17" s="6" customFormat="1" ht="18">
      <c r="A933" s="333">
        <v>53</v>
      </c>
      <c r="B933" s="333" t="s">
        <v>444</v>
      </c>
      <c r="C933" s="886">
        <f>cходова!R933</f>
        <v>0</v>
      </c>
      <c r="D933" s="886">
        <f>прибуд.!O933</f>
        <v>0</v>
      </c>
      <c r="E933" s="886">
        <f>гар.вода!M933+хол.вода!Q933+ц.о.!M933+каналізація!Q933+аварійні!I933+зварювальн!M933</f>
        <v>0.19495108401944553</v>
      </c>
      <c r="F933" s="886">
        <f>дератизац.!I933</f>
        <v>3.1324200913242016E-3</v>
      </c>
      <c r="G933" s="886">
        <f>димоканал!R933</f>
        <v>2.8246300686966937E-2</v>
      </c>
      <c r="H933" s="886">
        <f>'підготовка до зими'!M933+майстерні!M933+маляри!M933+покрівлі!O933</f>
        <v>0.32250265170792491</v>
      </c>
      <c r="I933" s="886">
        <f>електрики!R933</f>
        <v>1.8140079548592633E-2</v>
      </c>
      <c r="J933" s="989">
        <f t="shared" si="108"/>
        <v>0.56697253605425424</v>
      </c>
      <c r="K933" s="989">
        <v>1.4699502400702245E-2</v>
      </c>
      <c r="L933" s="994">
        <f t="shared" si="109"/>
        <v>0.58167203845495652</v>
      </c>
      <c r="M933" s="994">
        <f t="shared" si="110"/>
        <v>0.69800644614594776</v>
      </c>
      <c r="N933" s="753">
        <v>1</v>
      </c>
      <c r="O933" s="994">
        <v>0.60561949890893263</v>
      </c>
      <c r="P933" s="22">
        <f t="shared" si="111"/>
        <v>9.2386947237015127E-2</v>
      </c>
      <c r="Q933" s="982">
        <f t="shared" si="112"/>
        <v>15.254949255011923</v>
      </c>
    </row>
    <row r="934" spans="1:17" s="6" customFormat="1" ht="18">
      <c r="A934" s="333">
        <v>54</v>
      </c>
      <c r="B934" s="333" t="s">
        <v>445</v>
      </c>
      <c r="C934" s="886">
        <f>cходова!R934</f>
        <v>0</v>
      </c>
      <c r="D934" s="886">
        <f>прибуд.!O934</f>
        <v>0</v>
      </c>
      <c r="E934" s="886">
        <f>гар.вода!M934+хол.вода!Q934+ц.о.!M934+каналізація!Q934+аварійні!I934+зварювальн!M934</f>
        <v>0.24885530465610237</v>
      </c>
      <c r="F934" s="886">
        <f>дератизац.!I934</f>
        <v>3.3303411131059245E-3</v>
      </c>
      <c r="G934" s="886">
        <f>димоканал!R934</f>
        <v>3.8315170422426298E-2</v>
      </c>
      <c r="H934" s="886">
        <f>'підготовка до зими'!M934+майстерні!M934+маляри!M934+покрівлі!O934</f>
        <v>0.20524773570363952</v>
      </c>
      <c r="I934" s="886">
        <f>електрики!R934</f>
        <v>2.6746032907148474E-2</v>
      </c>
      <c r="J934" s="989">
        <f t="shared" si="108"/>
        <v>0.52249458480242261</v>
      </c>
      <c r="K934" s="989">
        <v>1.3608763390198531E-2</v>
      </c>
      <c r="L934" s="994">
        <f t="shared" si="109"/>
        <v>0.53610334819262118</v>
      </c>
      <c r="M934" s="994">
        <f t="shared" si="110"/>
        <v>0.64332401783114534</v>
      </c>
      <c r="N934" s="753">
        <v>1</v>
      </c>
      <c r="O934" s="994">
        <v>0.56068105167617954</v>
      </c>
      <c r="P934" s="22">
        <f t="shared" si="111"/>
        <v>8.2642966154965802E-2</v>
      </c>
      <c r="Q934" s="982">
        <f t="shared" si="112"/>
        <v>14.739746582821226</v>
      </c>
    </row>
    <row r="935" spans="1:17" s="6" customFormat="1" ht="18">
      <c r="A935" s="333">
        <v>55</v>
      </c>
      <c r="B935" s="333" t="s">
        <v>446</v>
      </c>
      <c r="C935" s="886">
        <f>cходова!R935</f>
        <v>0</v>
      </c>
      <c r="D935" s="886">
        <f>прибуд.!O935</f>
        <v>0</v>
      </c>
      <c r="E935" s="886">
        <f>гар.вода!M935+хол.вода!Q935+ц.о.!M935+каналізація!Q935+аварійні!I935+зварювальн!M935</f>
        <v>0.20174576204225927</v>
      </c>
      <c r="F935" s="886">
        <f>дератизац.!I935</f>
        <v>3.1646932185145321E-3</v>
      </c>
      <c r="G935" s="886">
        <f>димоканал!R935</f>
        <v>1.8977503657191756E-2</v>
      </c>
      <c r="H935" s="886">
        <f>'підготовка до зими'!M935+майстерні!M935+маляри!M935+покрівлі!O935</f>
        <v>0.29222329529973512</v>
      </c>
      <c r="I935" s="886">
        <f>електрики!R935</f>
        <v>2.1381471588491855E-2</v>
      </c>
      <c r="J935" s="989">
        <f t="shared" si="108"/>
        <v>0.53749272580619256</v>
      </c>
      <c r="K935" s="989">
        <v>1.3846256931884987E-2</v>
      </c>
      <c r="L935" s="994">
        <f t="shared" si="109"/>
        <v>0.55133898273807758</v>
      </c>
      <c r="M935" s="994">
        <f t="shared" si="110"/>
        <v>0.66160677928569311</v>
      </c>
      <c r="N935" s="753">
        <v>1</v>
      </c>
      <c r="O935" s="994">
        <v>0.57046578559366157</v>
      </c>
      <c r="P935" s="22">
        <f t="shared" si="111"/>
        <v>9.1140993692031547E-2</v>
      </c>
      <c r="Q935" s="982">
        <f t="shared" si="112"/>
        <v>15.97659246070026</v>
      </c>
    </row>
    <row r="936" spans="1:17" s="6" customFormat="1" ht="18">
      <c r="A936" s="333">
        <v>56</v>
      </c>
      <c r="B936" s="333" t="s">
        <v>447</v>
      </c>
      <c r="C936" s="886">
        <f>cходова!R936</f>
        <v>0</v>
      </c>
      <c r="D936" s="886">
        <f>прибуд.!O936</f>
        <v>0</v>
      </c>
      <c r="E936" s="886">
        <f>гар.вода!M936+хол.вода!Q936+ц.о.!M936+каналізація!Q936+аварійні!I936+зварювальн!M936</f>
        <v>0.27574788659456606</v>
      </c>
      <c r="F936" s="886">
        <f>дератизац.!I936</f>
        <v>3.7819253438113949E-3</v>
      </c>
      <c r="G936" s="886">
        <f>димоканал!R936</f>
        <v>3.7674457080303939E-2</v>
      </c>
      <c r="H936" s="886">
        <f>'підготовка до зими'!M936+майстерні!M936+маляри!M936+покрівлі!O936</f>
        <v>0.31122025404736398</v>
      </c>
      <c r="I936" s="886">
        <f>електрики!R936</f>
        <v>2.9268252120396267E-2</v>
      </c>
      <c r="J936" s="989">
        <f t="shared" si="108"/>
        <v>0.65769277518644165</v>
      </c>
      <c r="K936" s="989">
        <v>1.7161315014129746E-2</v>
      </c>
      <c r="L936" s="994">
        <f t="shared" si="109"/>
        <v>0.67485409020057141</v>
      </c>
      <c r="M936" s="994">
        <f t="shared" si="110"/>
        <v>0.80982490824068565</v>
      </c>
      <c r="N936" s="753">
        <v>1</v>
      </c>
      <c r="O936" s="994">
        <v>0.70704617858214558</v>
      </c>
      <c r="P936" s="22">
        <f t="shared" si="111"/>
        <v>0.10277872965854007</v>
      </c>
      <c r="Q936" s="982">
        <f t="shared" si="112"/>
        <v>14.536353179172039</v>
      </c>
    </row>
    <row r="937" spans="1:17" s="6" customFormat="1" ht="18">
      <c r="A937" s="333">
        <v>57</v>
      </c>
      <c r="B937" s="333" t="s">
        <v>448</v>
      </c>
      <c r="C937" s="886">
        <f>cходова!R937</f>
        <v>0</v>
      </c>
      <c r="D937" s="886">
        <f>прибуд.!O937</f>
        <v>0</v>
      </c>
      <c r="E937" s="886">
        <f>гар.вода!M937+хол.вода!Q937+ц.о.!M937+каналізація!Q937+аварійні!I937+зварювальн!M937</f>
        <v>0.29690164416350151</v>
      </c>
      <c r="F937" s="886">
        <f>дератизац.!I937</f>
        <v>3.2227722772277235E-3</v>
      </c>
      <c r="G937" s="886">
        <f>димоканал!R937</f>
        <v>2.3274060590800186E-2</v>
      </c>
      <c r="H937" s="886">
        <f>'підготовка до зими'!M937+майстерні!M937+маляри!M937+покрівлі!O937</f>
        <v>0.27906875304997159</v>
      </c>
      <c r="I937" s="886">
        <f>електрики!R937</f>
        <v>3.4416759836624386E-2</v>
      </c>
      <c r="J937" s="989">
        <f t="shared" si="108"/>
        <v>0.63688398991812534</v>
      </c>
      <c r="K937" s="989">
        <v>1.6493687389549334E-2</v>
      </c>
      <c r="L937" s="994">
        <f t="shared" si="109"/>
        <v>0.65337767730767471</v>
      </c>
      <c r="M937" s="994">
        <f t="shared" si="110"/>
        <v>0.78405321276920958</v>
      </c>
      <c r="N937" s="753">
        <v>2</v>
      </c>
      <c r="O937" s="994">
        <v>0.67953992044943257</v>
      </c>
      <c r="P937" s="22">
        <f t="shared" si="111"/>
        <v>0.10451329231977702</v>
      </c>
      <c r="Q937" s="982">
        <f t="shared" si="112"/>
        <v>15.380007733858264</v>
      </c>
    </row>
    <row r="938" spans="1:17" s="6" customFormat="1" ht="18">
      <c r="A938" s="333">
        <v>58</v>
      </c>
      <c r="B938" s="333" t="s">
        <v>449</v>
      </c>
      <c r="C938" s="886">
        <f>cходова!R938</f>
        <v>0</v>
      </c>
      <c r="D938" s="886">
        <f>прибуд.!O938</f>
        <v>0</v>
      </c>
      <c r="E938" s="886">
        <f>гар.вода!M938+хол.вода!Q938+ц.о.!M938+каналізація!Q938+аварійні!I938+зварювальн!M938</f>
        <v>0.18582891947877062</v>
      </c>
      <c r="F938" s="886">
        <f>дератизац.!I938</f>
        <v>3.4329752452125183E-3</v>
      </c>
      <c r="G938" s="886">
        <f>димоканал!R938</f>
        <v>4.4783509233710189E-2</v>
      </c>
      <c r="H938" s="886">
        <f>'підготовка до зими'!M938+майстерні!M938+маляри!M938+покрівлі!O938</f>
        <v>0.2098945433753471</v>
      </c>
      <c r="I938" s="886">
        <f>електрики!R938</f>
        <v>1.8555242508835997E-2</v>
      </c>
      <c r="J938" s="989">
        <f t="shared" si="108"/>
        <v>0.46249518984187643</v>
      </c>
      <c r="K938" s="989">
        <v>1.2030676533706207E-2</v>
      </c>
      <c r="L938" s="994">
        <f t="shared" si="109"/>
        <v>0.47452586637558264</v>
      </c>
      <c r="M938" s="994">
        <f t="shared" si="110"/>
        <v>0.56943103965069919</v>
      </c>
      <c r="N938" s="753">
        <v>2</v>
      </c>
      <c r="O938" s="994">
        <v>0.4956638731886957</v>
      </c>
      <c r="P938" s="22">
        <f t="shared" si="111"/>
        <v>7.3767166462003486E-2</v>
      </c>
      <c r="Q938" s="982">
        <f t="shared" si="112"/>
        <v>14.882498090378448</v>
      </c>
    </row>
    <row r="939" spans="1:17" s="6" customFormat="1" ht="18">
      <c r="A939" s="333">
        <v>59</v>
      </c>
      <c r="B939" s="333" t="s">
        <v>450</v>
      </c>
      <c r="C939" s="886">
        <f>cходова!R939</f>
        <v>0</v>
      </c>
      <c r="D939" s="886">
        <f>прибуд.!O939</f>
        <v>0</v>
      </c>
      <c r="E939" s="886">
        <f>гар.вода!M939+хол.вода!Q939+ц.о.!M939+каналізація!Q939+аварійні!I939+зварювальн!M939</f>
        <v>0.19710088260264916</v>
      </c>
      <c r="F939" s="886">
        <f>дератизац.!I939</f>
        <v>3.2133995037220853E-3</v>
      </c>
      <c r="G939" s="886">
        <f>димоканал!R939</f>
        <v>5.4875059065665574E-2</v>
      </c>
      <c r="H939" s="886">
        <f>'підготовка до зими'!M939+майстерні!M939+маляри!M939+покрівлі!O939</f>
        <v>0.27991952340853204</v>
      </c>
      <c r="I939" s="886">
        <f>електрики!R939</f>
        <v>1.8483300656677047E-2</v>
      </c>
      <c r="J939" s="989">
        <f t="shared" si="108"/>
        <v>0.55359216523724586</v>
      </c>
      <c r="K939" s="989">
        <v>1.4522711115967507E-2</v>
      </c>
      <c r="L939" s="994">
        <f t="shared" si="109"/>
        <v>0.56811487635321334</v>
      </c>
      <c r="M939" s="994">
        <f t="shared" si="110"/>
        <v>0.68173785162385603</v>
      </c>
      <c r="N939" s="753">
        <v>2</v>
      </c>
      <c r="O939" s="994">
        <v>0.59833569797786135</v>
      </c>
      <c r="P939" s="22">
        <f t="shared" si="111"/>
        <v>8.3402153645994681E-2</v>
      </c>
      <c r="Q939" s="982">
        <f t="shared" si="112"/>
        <v>13.939023516039754</v>
      </c>
    </row>
    <row r="940" spans="1:17" s="892" customFormat="1" ht="18">
      <c r="A940" s="333">
        <v>60</v>
      </c>
      <c r="B940" s="333" t="s">
        <v>451</v>
      </c>
      <c r="C940" s="886">
        <f>cходова!R940</f>
        <v>0</v>
      </c>
      <c r="D940" s="886">
        <f>прибуд.!O940</f>
        <v>0</v>
      </c>
      <c r="E940" s="886">
        <f>гар.вода!M940+хол.вода!Q940+ц.о.!M940+каналізація!Q940+аварійні!I940+зварювальн!M940</f>
        <v>0.27322790885124337</v>
      </c>
      <c r="F940" s="886">
        <f>дератизац.!I940</f>
        <v>3.2690882134914752E-3</v>
      </c>
      <c r="G940" s="886">
        <f>димоканал!R940</f>
        <v>7.8870857551950502E-2</v>
      </c>
      <c r="H940" s="886">
        <f>'підготовка до зими'!M940+майстерні!M940+маляри!M940+покрівлі!O940</f>
        <v>0.30929096715803328</v>
      </c>
      <c r="I940" s="886">
        <f>електрики!R940</f>
        <v>2.9449054270880553E-2</v>
      </c>
      <c r="J940" s="989">
        <f t="shared" si="108"/>
        <v>0.6941078760455992</v>
      </c>
      <c r="K940" s="989">
        <v>1.8228062228146873E-2</v>
      </c>
      <c r="L940" s="994">
        <f t="shared" si="109"/>
        <v>0.71233593827374608</v>
      </c>
      <c r="M940" s="994">
        <f t="shared" si="110"/>
        <v>0.85480312592849528</v>
      </c>
      <c r="N940" s="753">
        <v>2</v>
      </c>
      <c r="O940" s="994">
        <v>0.75099616379965117</v>
      </c>
      <c r="P940" s="22">
        <f t="shared" si="111"/>
        <v>0.1038069621288441</v>
      </c>
      <c r="Q940" s="982">
        <f t="shared" si="112"/>
        <v>13.822568893512681</v>
      </c>
    </row>
    <row r="941" spans="1:17" s="892" customFormat="1" ht="18">
      <c r="A941" s="333">
        <v>61</v>
      </c>
      <c r="B941" s="333" t="s">
        <v>452</v>
      </c>
      <c r="C941" s="886">
        <f>cходова!R941</f>
        <v>0</v>
      </c>
      <c r="D941" s="886">
        <f>прибуд.!O941</f>
        <v>0</v>
      </c>
      <c r="E941" s="886">
        <f>гар.вода!M941+хол.вода!Q941+ц.о.!M941+каналізація!Q941+аварійні!I941+зварювальн!M941</f>
        <v>0.23569152930114107</v>
      </c>
      <c r="F941" s="886">
        <f>дератизац.!I941</f>
        <v>3.5173697270471471E-3</v>
      </c>
      <c r="G941" s="886">
        <f>димоканал!R941</f>
        <v>5.8711778064036692E-2</v>
      </c>
      <c r="H941" s="886">
        <f>'підготовка до зими'!M941+майстерні!M941+маляри!M941+покрівлі!O941</f>
        <v>0.37887015644189043</v>
      </c>
      <c r="I941" s="886">
        <f>електрики!R941</f>
        <v>2.4644400875569399E-2</v>
      </c>
      <c r="J941" s="989">
        <f t="shared" si="108"/>
        <v>0.7014352344096848</v>
      </c>
      <c r="K941" s="989">
        <v>1.840946326077407E-2</v>
      </c>
      <c r="L941" s="994">
        <f t="shared" si="109"/>
        <v>0.71984469767045889</v>
      </c>
      <c r="M941" s="994">
        <f t="shared" si="110"/>
        <v>0.86381363720455062</v>
      </c>
      <c r="N941" s="753">
        <v>1</v>
      </c>
      <c r="O941" s="994">
        <v>0.75846988634389167</v>
      </c>
      <c r="P941" s="22">
        <f t="shared" si="111"/>
        <v>0.10534375086065895</v>
      </c>
      <c r="Q941" s="982">
        <f t="shared" si="112"/>
        <v>13.888982642205505</v>
      </c>
    </row>
    <row r="942" spans="1:17" s="892" customFormat="1" ht="18">
      <c r="A942" s="333">
        <v>62</v>
      </c>
      <c r="B942" s="333" t="s">
        <v>453</v>
      </c>
      <c r="C942" s="886">
        <f>cходова!R942</f>
        <v>0</v>
      </c>
      <c r="D942" s="886">
        <f>прибуд.!O942</f>
        <v>0</v>
      </c>
      <c r="E942" s="886">
        <f>гар.вода!M942+хол.вода!Q942+ц.о.!M942+каналізація!Q942+аварійні!I942+зварювальн!M942</f>
        <v>0.23623460811940425</v>
      </c>
      <c r="F942" s="886">
        <f>дератизац.!I942</f>
        <v>3.3400160384923819E-3</v>
      </c>
      <c r="G942" s="886">
        <f>димоканал!R942</f>
        <v>5.803904737182463E-2</v>
      </c>
      <c r="H942" s="886">
        <f>'підготовка до зими'!M942+майстерні!M942+маляри!M942+покрівлі!O942</f>
        <v>0.34720199461203971</v>
      </c>
      <c r="I942" s="886">
        <f>електрики!R942</f>
        <v>2.1557611319158485E-2</v>
      </c>
      <c r="J942" s="989">
        <f t="shared" si="108"/>
        <v>0.66637327746091946</v>
      </c>
      <c r="K942" s="989">
        <v>1.7831049576674998E-2</v>
      </c>
      <c r="L942" s="994">
        <f t="shared" si="109"/>
        <v>0.68420432703759448</v>
      </c>
      <c r="M942" s="994">
        <f t="shared" si="110"/>
        <v>0.82104519244511331</v>
      </c>
      <c r="N942" s="753">
        <v>2</v>
      </c>
      <c r="O942" s="994">
        <v>0.73463924255900992</v>
      </c>
      <c r="P942" s="22">
        <f t="shared" si="111"/>
        <v>8.6405949886103395E-2</v>
      </c>
      <c r="Q942" s="982">
        <f t="shared" si="112"/>
        <v>11.761684494980244</v>
      </c>
    </row>
    <row r="943" spans="1:17" s="6" customFormat="1" ht="18">
      <c r="A943" s="333">
        <v>63</v>
      </c>
      <c r="B943" s="333" t="s">
        <v>454</v>
      </c>
      <c r="C943" s="886">
        <f>cходова!R943</f>
        <v>0</v>
      </c>
      <c r="D943" s="886">
        <f>прибуд.!O943</f>
        <v>0</v>
      </c>
      <c r="E943" s="886">
        <f>гар.вода!M943+хол.вода!Q943+ц.о.!M943+каналізація!Q943+аварійні!I943+зварювальн!M943</f>
        <v>0.18256625051449901</v>
      </c>
      <c r="F943" s="886">
        <f>дератизац.!I943</f>
        <v>3.1357466063348417E-3</v>
      </c>
      <c r="G943" s="886">
        <f>димоканал!R943</f>
        <v>2.4071671230222001E-2</v>
      </c>
      <c r="H943" s="886">
        <f>'підготовка до зими'!M943+майстерні!M943+маляри!M943+покрівлі!O943</f>
        <v>0.3125965947286673</v>
      </c>
      <c r="I943" s="886">
        <f>електрики!R943</f>
        <v>1.7975915932768267E-2</v>
      </c>
      <c r="J943" s="989">
        <f t="shared" si="108"/>
        <v>0.54034617901249149</v>
      </c>
      <c r="K943" s="989">
        <v>1.3919258941918387E-2</v>
      </c>
      <c r="L943" s="994">
        <f t="shared" si="109"/>
        <v>0.55426543795440986</v>
      </c>
      <c r="M943" s="994">
        <f t="shared" si="110"/>
        <v>0.66511852554529183</v>
      </c>
      <c r="N943" s="753">
        <v>1</v>
      </c>
      <c r="O943" s="994">
        <v>0.57347346840703761</v>
      </c>
      <c r="P943" s="22">
        <f t="shared" si="111"/>
        <v>9.1645057138254216E-2</v>
      </c>
      <c r="Q943" s="982">
        <f t="shared" si="112"/>
        <v>15.98069696106792</v>
      </c>
    </row>
    <row r="944" spans="1:17" s="6" customFormat="1" ht="18">
      <c r="A944" s="333">
        <v>64</v>
      </c>
      <c r="B944" s="333" t="s">
        <v>455</v>
      </c>
      <c r="C944" s="886">
        <f>cходова!R944</f>
        <v>0</v>
      </c>
      <c r="D944" s="886">
        <f>прибуд.!O944</f>
        <v>0</v>
      </c>
      <c r="E944" s="886">
        <f>гар.вода!M944+хол.вода!Q944+ц.о.!M944+каналізація!Q944+аварійні!I944+зварювальн!M944</f>
        <v>0.22900401070413237</v>
      </c>
      <c r="F944" s="886">
        <f>дератизац.!I944</f>
        <v>3.3649851632047479E-3</v>
      </c>
      <c r="G944" s="886">
        <f>димоканал!R944</f>
        <v>6.3143493672155035E-2</v>
      </c>
      <c r="H944" s="886">
        <f>'підготовка до зими'!M944+майстерні!M944+маляри!M944+покрівлі!O944</f>
        <v>0.2571333507811443</v>
      </c>
      <c r="I944" s="886">
        <f>електрики!R944</f>
        <v>2.3576720600247993E-2</v>
      </c>
      <c r="J944" s="989">
        <f t="shared" ref="J944:J1002" si="113">I944+H944+G944+F944+E944+D944+C944</f>
        <v>0.57622256092088453</v>
      </c>
      <c r="K944" s="989">
        <v>1.5083858784154429E-2</v>
      </c>
      <c r="L944" s="994">
        <f t="shared" si="109"/>
        <v>0.59130641970503894</v>
      </c>
      <c r="M944" s="994">
        <f t="shared" ref="M944:M1002" si="114">L944*1.2</f>
        <v>0.70956770364604671</v>
      </c>
      <c r="N944" s="753">
        <v>2</v>
      </c>
      <c r="O944" s="994">
        <v>0.62145498190716253</v>
      </c>
      <c r="P944" s="22">
        <f t="shared" si="111"/>
        <v>8.8112721738884181E-2</v>
      </c>
      <c r="Q944" s="982">
        <f t="shared" si="112"/>
        <v>14.178456091618742</v>
      </c>
    </row>
    <row r="945" spans="1:26" s="6" customFormat="1" ht="18">
      <c r="A945" s="333">
        <v>65</v>
      </c>
      <c r="B945" s="333" t="s">
        <v>456</v>
      </c>
      <c r="C945" s="886">
        <f>cходова!R945</f>
        <v>0</v>
      </c>
      <c r="D945" s="886">
        <f>прибуд.!O945</f>
        <v>0</v>
      </c>
      <c r="E945" s="886">
        <f>гар.вода!M945+хол.вода!Q945+ц.о.!M945+каналізація!Q945+аварійні!I945+зварювальн!M945</f>
        <v>0.27273855013169329</v>
      </c>
      <c r="F945" s="886">
        <f>дератизац.!I945</f>
        <v>3.1230769230769233E-3</v>
      </c>
      <c r="G945" s="886">
        <f>димоканал!R945</f>
        <v>9.9925836949453409E-2</v>
      </c>
      <c r="H945" s="886">
        <f>'підготовка до зими'!M945+майстерні!M945+маляри!M945+покрівлі!O945</f>
        <v>0.28867019041964204</v>
      </c>
      <c r="I945" s="886">
        <f>електрики!R945</f>
        <v>3.0559057085706054E-2</v>
      </c>
      <c r="J945" s="989">
        <f t="shared" si="113"/>
        <v>0.69501671150957178</v>
      </c>
      <c r="K945" s="989">
        <v>1.8150296090034893E-2</v>
      </c>
      <c r="L945" s="994">
        <f t="shared" ref="L945:L1008" si="115">J945+K945</f>
        <v>0.71316700759960672</v>
      </c>
      <c r="M945" s="994">
        <f t="shared" si="114"/>
        <v>0.85580040911952804</v>
      </c>
      <c r="N945" s="753">
        <v>2</v>
      </c>
      <c r="O945" s="994">
        <v>0.7477921989094376</v>
      </c>
      <c r="P945" s="22">
        <f t="shared" ref="P945:P1008" si="116">M945-O945</f>
        <v>0.10800821021009044</v>
      </c>
      <c r="Q945" s="982">
        <f t="shared" ref="Q945:Q1008" si="117">M945/O945*100-100</f>
        <v>14.443612860311589</v>
      </c>
    </row>
    <row r="946" spans="1:26" s="6" customFormat="1" ht="18">
      <c r="A946" s="333">
        <v>66</v>
      </c>
      <c r="B946" s="333" t="s">
        <v>457</v>
      </c>
      <c r="C946" s="886">
        <f>cходова!R946</f>
        <v>0</v>
      </c>
      <c r="D946" s="886">
        <f>прибуд.!O946</f>
        <v>0</v>
      </c>
      <c r="E946" s="886">
        <f>гар.вода!M946+хол.вода!Q946+ц.о.!M946+каналізація!Q946+аварійні!I946+зварювальн!M946</f>
        <v>0.22287188329891167</v>
      </c>
      <c r="F946" s="886">
        <f>дератизац.!I946</f>
        <v>3.3646188850967006E-3</v>
      </c>
      <c r="G946" s="886">
        <f>димоканал!R946</f>
        <v>6.052149421932948E-2</v>
      </c>
      <c r="H946" s="886">
        <f>'підготовка до зими'!M946+майстерні!M946+маляри!M946+покрівлі!O946</f>
        <v>0.24979405229970716</v>
      </c>
      <c r="I946" s="886">
        <f>електрики!R946</f>
        <v>2.2597710017871368E-2</v>
      </c>
      <c r="J946" s="989">
        <f t="shared" si="113"/>
        <v>0.55914975872091643</v>
      </c>
      <c r="K946" s="989">
        <v>1.4649039121328694E-2</v>
      </c>
      <c r="L946" s="994">
        <f t="shared" si="115"/>
        <v>0.57379879784224508</v>
      </c>
      <c r="M946" s="994">
        <f t="shared" si="114"/>
        <v>0.68855855741069405</v>
      </c>
      <c r="N946" s="753">
        <v>2</v>
      </c>
      <c r="O946" s="994">
        <v>0.60354041179874229</v>
      </c>
      <c r="P946" s="22">
        <f t="shared" si="116"/>
        <v>8.5018145611951756E-2</v>
      </c>
      <c r="Q946" s="982">
        <f t="shared" si="117"/>
        <v>14.086570501314185</v>
      </c>
    </row>
    <row r="947" spans="1:26" s="6" customFormat="1" ht="18">
      <c r="A947" s="333">
        <v>67</v>
      </c>
      <c r="B947" s="333" t="s">
        <v>458</v>
      </c>
      <c r="C947" s="886">
        <f>cходова!R947</f>
        <v>0</v>
      </c>
      <c r="D947" s="886">
        <f>прибуд.!O947</f>
        <v>0</v>
      </c>
      <c r="E947" s="886">
        <f>гар.вода!M947+хол.вода!Q947+ц.о.!M947+каналізація!Q947+аварійні!I947+зварювальн!M947</f>
        <v>0.27303348018966633</v>
      </c>
      <c r="F947" s="886">
        <f>дератизац.!I947</f>
        <v>2.9121725731895225E-3</v>
      </c>
      <c r="G947" s="886">
        <f>димоканал!R947</f>
        <v>8.1969789551295247E-2</v>
      </c>
      <c r="H947" s="886">
        <f>'підготовка до зими'!M947+майстерні!M947+маляри!M947+покрівлі!O947</f>
        <v>0.29352141232267115</v>
      </c>
      <c r="I947" s="886">
        <f>електрики!R947</f>
        <v>3.0606143460260297E-2</v>
      </c>
      <c r="J947" s="989">
        <f t="shared" si="113"/>
        <v>0.68204299809708258</v>
      </c>
      <c r="K947" s="989">
        <v>1.7786617326725127E-2</v>
      </c>
      <c r="L947" s="994">
        <f t="shared" si="115"/>
        <v>0.69982961542380773</v>
      </c>
      <c r="M947" s="994">
        <f t="shared" si="114"/>
        <v>0.83979553850856925</v>
      </c>
      <c r="N947" s="753">
        <v>2</v>
      </c>
      <c r="O947" s="994">
        <v>0.73280863386107531</v>
      </c>
      <c r="P947" s="22">
        <f t="shared" si="116"/>
        <v>0.10698690464749394</v>
      </c>
      <c r="Q947" s="982">
        <f t="shared" si="117"/>
        <v>14.599569342379823</v>
      </c>
    </row>
    <row r="948" spans="1:26" s="6" customFormat="1" ht="18">
      <c r="A948" s="333">
        <v>68</v>
      </c>
      <c r="B948" s="333" t="s">
        <v>459</v>
      </c>
      <c r="C948" s="886">
        <f>cходова!R948</f>
        <v>0</v>
      </c>
      <c r="D948" s="886">
        <f>прибуд.!O948</f>
        <v>0</v>
      </c>
      <c r="E948" s="886">
        <f>гар.вода!M948+хол.вода!Q948+ц.о.!M948+каналізація!Q948+аварійні!I948+зварювальн!M948</f>
        <v>0.16302050190043538</v>
      </c>
      <c r="F948" s="886">
        <f>дератизац.!I948</f>
        <v>3.0794484569927776E-3</v>
      </c>
      <c r="G948" s="886">
        <f>димоканал!R948</f>
        <v>7.7172689417952019E-3</v>
      </c>
      <c r="H948" s="886">
        <f>'підготовка до зими'!M948+майстерні!M948+маляри!M948+покрівлі!O948</f>
        <v>0.21544139936519213</v>
      </c>
      <c r="I948" s="886">
        <f>електрики!R948</f>
        <v>1.304227649751079E-2</v>
      </c>
      <c r="J948" s="989">
        <f t="shared" si="113"/>
        <v>0.4023008951619263</v>
      </c>
      <c r="K948" s="989">
        <v>1.057536826830718E-2</v>
      </c>
      <c r="L948" s="994">
        <f t="shared" si="115"/>
        <v>0.41287626343023348</v>
      </c>
      <c r="M948" s="994">
        <f t="shared" si="114"/>
        <v>0.49545151611628013</v>
      </c>
      <c r="N948" s="753">
        <v>1</v>
      </c>
      <c r="O948" s="994">
        <v>0.43570517265425585</v>
      </c>
      <c r="P948" s="22">
        <f t="shared" si="116"/>
        <v>5.9746343462024287E-2</v>
      </c>
      <c r="Q948" s="982">
        <f t="shared" si="117"/>
        <v>13.71256234991607</v>
      </c>
    </row>
    <row r="949" spans="1:26" s="892" customFormat="1" ht="18">
      <c r="A949" s="333">
        <v>69</v>
      </c>
      <c r="B949" s="333" t="s">
        <v>460</v>
      </c>
      <c r="C949" s="886">
        <f>cходова!R949</f>
        <v>0</v>
      </c>
      <c r="D949" s="886">
        <f>прибуд.!O949</f>
        <v>0</v>
      </c>
      <c r="E949" s="886">
        <f>гар.вода!M949+хол.вода!Q949+ц.о.!M949+каналізація!Q949+аварійні!I949+зварювальн!M949</f>
        <v>0.22435866740669416</v>
      </c>
      <c r="F949" s="886">
        <f>дератизац.!I949</f>
        <v>3.6403508771929824E-3</v>
      </c>
      <c r="G949" s="886">
        <f>димоканал!R949</f>
        <v>2.5968040614308598E-2</v>
      </c>
      <c r="H949" s="886">
        <f>'підготовка до зими'!M949+майстерні!M949+маляри!M949+покрівлі!O949</f>
        <v>0.18042904243107755</v>
      </c>
      <c r="I949" s="886">
        <f>електрики!R949</f>
        <v>2.0742885448735308E-2</v>
      </c>
      <c r="J949" s="989">
        <f t="shared" si="113"/>
        <v>0.45513898677800857</v>
      </c>
      <c r="K949" s="989">
        <v>1.2028827662349263E-2</v>
      </c>
      <c r="L949" s="994">
        <f t="shared" si="115"/>
        <v>0.46716781444035782</v>
      </c>
      <c r="M949" s="994">
        <f t="shared" si="114"/>
        <v>0.56060137732842941</v>
      </c>
      <c r="N949" s="753">
        <v>2</v>
      </c>
      <c r="O949" s="994">
        <v>0.49558769968878963</v>
      </c>
      <c r="P949" s="22">
        <f t="shared" si="116"/>
        <v>6.5013677639639778E-2</v>
      </c>
      <c r="Q949" s="982">
        <f t="shared" si="117"/>
        <v>13.11850106055212</v>
      </c>
    </row>
    <row r="950" spans="1:26" s="892" customFormat="1" ht="18">
      <c r="A950" s="333">
        <v>70</v>
      </c>
      <c r="B950" s="333" t="s">
        <v>461</v>
      </c>
      <c r="C950" s="886">
        <f>cходова!R950</f>
        <v>0</v>
      </c>
      <c r="D950" s="886">
        <f>прибуд.!O950</f>
        <v>0</v>
      </c>
      <c r="E950" s="886">
        <f>гар.вода!M950+хол.вода!Q950+ц.о.!M950+каналізація!Q950+аварійні!I950+зварювальн!M950</f>
        <v>0.2529378217571579</v>
      </c>
      <c r="F950" s="886">
        <f>дератизац.!I950</f>
        <v>2.45249406175772E-3</v>
      </c>
      <c r="G950" s="886">
        <f>димоканал!R950</f>
        <v>2.9754155526189725E-2</v>
      </c>
      <c r="H950" s="886">
        <f>'підготовка до зими'!M950+майстерні!M950+маляри!M950+покрівлі!O950</f>
        <v>0.30928127883273182</v>
      </c>
      <c r="I950" s="886">
        <f>електрики!R950</f>
        <v>2.3590721028157877E-2</v>
      </c>
      <c r="J950" s="989">
        <f t="shared" si="113"/>
        <v>0.61801647120599501</v>
      </c>
      <c r="K950" s="989">
        <v>1.623718398013043E-2</v>
      </c>
      <c r="L950" s="994">
        <f t="shared" si="115"/>
        <v>0.63425365518612542</v>
      </c>
      <c r="M950" s="994">
        <f t="shared" si="114"/>
        <v>0.76110438622335053</v>
      </c>
      <c r="N950" s="753">
        <v>1</v>
      </c>
      <c r="O950" s="994">
        <v>0.6689719799813737</v>
      </c>
      <c r="P950" s="22">
        <f t="shared" si="116"/>
        <v>9.2132406241976827E-2</v>
      </c>
      <c r="Q950" s="982">
        <f t="shared" si="117"/>
        <v>13.772236954459899</v>
      </c>
    </row>
    <row r="951" spans="1:26" s="892" customFormat="1" ht="18">
      <c r="A951" s="333">
        <v>71</v>
      </c>
      <c r="B951" s="333" t="s">
        <v>462</v>
      </c>
      <c r="C951" s="886">
        <f>cходова!R951</f>
        <v>0</v>
      </c>
      <c r="D951" s="886">
        <f>прибуд.!O951</f>
        <v>0</v>
      </c>
      <c r="E951" s="886">
        <f>гар.вода!M951+хол.вода!Q951+ц.о.!M951+каналізація!Q951+аварійні!I951+зварювальн!M951</f>
        <v>0.23036935130396244</v>
      </c>
      <c r="F951" s="886">
        <f>дератизац.!I951</f>
        <v>3.3393501805054153E-3</v>
      </c>
      <c r="G951" s="886">
        <f>димоканал!R951</f>
        <v>7.5448984993127494E-2</v>
      </c>
      <c r="H951" s="886">
        <f>'підготовка до зими'!M951+майстерні!M951+маляри!M951+покрівлі!O951</f>
        <v>0.36666189808093941</v>
      </c>
      <c r="I951" s="886">
        <f>електрики!R951</f>
        <v>2.0488279634563109E-2</v>
      </c>
      <c r="J951" s="989">
        <f t="shared" si="113"/>
        <v>0.69630786419309787</v>
      </c>
      <c r="K951" s="989">
        <v>1.8331522225616261E-2</v>
      </c>
      <c r="L951" s="994">
        <f t="shared" si="115"/>
        <v>0.71463938641871416</v>
      </c>
      <c r="M951" s="994">
        <f t="shared" si="114"/>
        <v>0.85756726370245695</v>
      </c>
      <c r="N951" s="753">
        <v>2</v>
      </c>
      <c r="O951" s="994">
        <v>0.75525871569538994</v>
      </c>
      <c r="P951" s="22">
        <f t="shared" si="116"/>
        <v>0.10230854800706701</v>
      </c>
      <c r="Q951" s="982">
        <f t="shared" si="117"/>
        <v>13.546159200939286</v>
      </c>
    </row>
    <row r="952" spans="1:26" s="892" customFormat="1" ht="18">
      <c r="A952" s="333">
        <v>72</v>
      </c>
      <c r="B952" s="333" t="s">
        <v>463</v>
      </c>
      <c r="C952" s="886">
        <f>cходова!R952</f>
        <v>0</v>
      </c>
      <c r="D952" s="886">
        <f>прибуд.!O952</f>
        <v>0</v>
      </c>
      <c r="E952" s="886">
        <f>гар.вода!M952+хол.вода!Q952+ц.о.!M952+каналізація!Q952+аварійні!I952+зварювальн!M952</f>
        <v>0.23645385879811306</v>
      </c>
      <c r="F952" s="886">
        <f>дератизац.!I952</f>
        <v>4.160063391442155E-3</v>
      </c>
      <c r="G952" s="886">
        <f>димоканал!R952</f>
        <v>1.8626625353968453E-2</v>
      </c>
      <c r="H952" s="886">
        <f>'підготовка до зими'!M952+майстерні!M952+маляри!M952+покрівлі!O952</f>
        <v>0.15652090576472175</v>
      </c>
      <c r="I952" s="886">
        <f>електрики!R952</f>
        <v>2.7544316509501291E-2</v>
      </c>
      <c r="J952" s="989">
        <f t="shared" si="113"/>
        <v>0.44330576981774672</v>
      </c>
      <c r="K952" s="989">
        <v>1.1553481662278571E-2</v>
      </c>
      <c r="L952" s="994">
        <f t="shared" si="115"/>
        <v>0.45485925148002532</v>
      </c>
      <c r="M952" s="994">
        <f t="shared" si="114"/>
        <v>0.54583110177603034</v>
      </c>
      <c r="N952" s="753">
        <v>3</v>
      </c>
      <c r="O952" s="994">
        <v>0.47600344448587717</v>
      </c>
      <c r="P952" s="22">
        <f t="shared" si="116"/>
        <v>6.9827657290153167E-2</v>
      </c>
      <c r="Q952" s="982">
        <f t="shared" si="117"/>
        <v>14.669569747666998</v>
      </c>
    </row>
    <row r="953" spans="1:26" s="892" customFormat="1" ht="18">
      <c r="A953" s="333">
        <v>73</v>
      </c>
      <c r="B953" s="333" t="s">
        <v>464</v>
      </c>
      <c r="C953" s="886">
        <f>cходова!R953</f>
        <v>0</v>
      </c>
      <c r="D953" s="886">
        <f>прибуд.!O953</f>
        <v>0</v>
      </c>
      <c r="E953" s="886">
        <f>гар.вода!M953+хол.вода!Q953+ц.о.!M953+каналізація!Q953+аварійні!I953+зварювальн!M953</f>
        <v>0.16007340134004558</v>
      </c>
      <c r="F953" s="886">
        <f>дератизац.!I953</f>
        <v>0</v>
      </c>
      <c r="G953" s="886">
        <f>димоканал!R953</f>
        <v>5.0504803878598681E-2</v>
      </c>
      <c r="H953" s="886">
        <f>'підготовка до зими'!M953+майстерні!M953+маляри!M953+покрівлі!O953</f>
        <v>0.38069852558281309</v>
      </c>
      <c r="I953" s="886">
        <f>електрики!R953</f>
        <v>1.2571763990955021E-2</v>
      </c>
      <c r="J953" s="989">
        <f t="shared" si="113"/>
        <v>0.60384849479241232</v>
      </c>
      <c r="K953" s="989">
        <v>1.5891722685400921E-2</v>
      </c>
      <c r="L953" s="994">
        <f t="shared" si="115"/>
        <v>0.61974021747781327</v>
      </c>
      <c r="M953" s="994">
        <f t="shared" si="114"/>
        <v>0.74368826097337593</v>
      </c>
      <c r="N953" s="753">
        <v>1</v>
      </c>
      <c r="O953" s="994">
        <v>0.65473897463851793</v>
      </c>
      <c r="P953" s="22">
        <f t="shared" si="116"/>
        <v>8.8949286334857991E-2</v>
      </c>
      <c r="Q953" s="982">
        <f t="shared" si="117"/>
        <v>13.58545768318848</v>
      </c>
    </row>
    <row r="954" spans="1:26" s="892" customFormat="1" ht="18">
      <c r="A954" s="333">
        <v>74</v>
      </c>
      <c r="B954" s="333" t="s">
        <v>465</v>
      </c>
      <c r="C954" s="886">
        <f>cходова!R954</f>
        <v>0</v>
      </c>
      <c r="D954" s="886">
        <f>прибуд.!O954</f>
        <v>0</v>
      </c>
      <c r="E954" s="886">
        <f>гар.вода!M954+хол.вода!Q954+ц.о.!M954+каналізація!Q954+аварійні!I954+зварювальн!M954</f>
        <v>0.2171322988963432</v>
      </c>
      <c r="F954" s="886">
        <f>дератизац.!I954</f>
        <v>6.1634739580490819E-3</v>
      </c>
      <c r="G954" s="886">
        <f>димоканал!R954</f>
        <v>3.9836701540966121E-2</v>
      </c>
      <c r="H954" s="886">
        <f>'підготовка до зими'!M954+майстерні!M954+маляри!M954+покрівлі!O954</f>
        <v>0.25260051576425879</v>
      </c>
      <c r="I954" s="886">
        <f>електрики!R954</f>
        <v>2.1681369978397567E-2</v>
      </c>
      <c r="J954" s="989">
        <f t="shared" si="113"/>
        <v>0.5374143601380148</v>
      </c>
      <c r="K954" s="989">
        <v>1.4177934230596091E-2</v>
      </c>
      <c r="L954" s="994">
        <f t="shared" si="115"/>
        <v>0.5515922943686109</v>
      </c>
      <c r="M954" s="994">
        <f t="shared" si="114"/>
        <v>0.66191075324233306</v>
      </c>
      <c r="N954" s="753">
        <v>3</v>
      </c>
      <c r="O954" s="994">
        <v>0.58413089030055898</v>
      </c>
      <c r="P954" s="22">
        <f t="shared" si="116"/>
        <v>7.7779862941774081E-2</v>
      </c>
      <c r="Q954" s="982">
        <f t="shared" si="117"/>
        <v>13.315485319010122</v>
      </c>
    </row>
    <row r="955" spans="1:26" s="892" customFormat="1" ht="18">
      <c r="A955" s="333">
        <v>75</v>
      </c>
      <c r="B955" s="333" t="s">
        <v>466</v>
      </c>
      <c r="C955" s="886">
        <f>cходова!R955</f>
        <v>0</v>
      </c>
      <c r="D955" s="886">
        <f>прибуд.!O955</f>
        <v>0</v>
      </c>
      <c r="E955" s="886">
        <f>гар.вода!M955+хол.вода!Q955+ц.о.!M955+каналізація!Q955+аварійні!I955+зварювальн!M955</f>
        <v>0.21086173267472982</v>
      </c>
      <c r="F955" s="886">
        <f>дератизац.!I955</f>
        <v>3.3342009370119735E-3</v>
      </c>
      <c r="G955" s="886">
        <f>димоканал!R955</f>
        <v>2.7693073096715575E-2</v>
      </c>
      <c r="H955" s="886">
        <f>'підготовка до зими'!M955+майстерні!M955+маляри!M955+покрівлі!O955</f>
        <v>0.28595740499114986</v>
      </c>
      <c r="I955" s="886">
        <f>електрики!R955</f>
        <v>2.0680257267786502E-2</v>
      </c>
      <c r="J955" s="989">
        <f t="shared" si="113"/>
        <v>0.54852666896739377</v>
      </c>
      <c r="K955" s="989">
        <v>1.4440435030681976E-2</v>
      </c>
      <c r="L955" s="994">
        <f t="shared" si="115"/>
        <v>0.5629671039980757</v>
      </c>
      <c r="M955" s="994">
        <f t="shared" si="114"/>
        <v>0.6755605247976908</v>
      </c>
      <c r="N955" s="753">
        <v>2</v>
      </c>
      <c r="O955" s="994">
        <v>0.59494592326409745</v>
      </c>
      <c r="P955" s="22">
        <f t="shared" si="116"/>
        <v>8.0614601533593344E-2</v>
      </c>
      <c r="Q955" s="982">
        <f t="shared" si="117"/>
        <v>13.549904013344815</v>
      </c>
    </row>
    <row r="956" spans="1:26" s="892" customFormat="1" ht="18">
      <c r="A956" s="333">
        <v>76</v>
      </c>
      <c r="B956" s="333" t="s">
        <v>467</v>
      </c>
      <c r="C956" s="886">
        <f>cходова!R956</f>
        <v>0</v>
      </c>
      <c r="D956" s="886">
        <f>прибуд.!O956</f>
        <v>0</v>
      </c>
      <c r="E956" s="886">
        <f>гар.вода!M956+хол.вода!Q956+ц.о.!M956+каналізація!Q956+аварійні!I956+зварювальн!M956</f>
        <v>0.23050909233443709</v>
      </c>
      <c r="F956" s="886">
        <f>дератизац.!I956</f>
        <v>3.5251798561151083E-3</v>
      </c>
      <c r="G956" s="886">
        <f>димоканал!R956</f>
        <v>5.7667616304298973E-2</v>
      </c>
      <c r="H956" s="886">
        <f>'підготовка до зими'!M956+майстерні!M956+маляри!M956+покрівлі!O956</f>
        <v>0.26466650762358612</v>
      </c>
      <c r="I956" s="886">
        <f>електрики!R956</f>
        <v>2.3817010918116225E-2</v>
      </c>
      <c r="J956" s="989">
        <f t="shared" si="113"/>
        <v>0.58018540703655352</v>
      </c>
      <c r="K956" s="989">
        <v>1.5285550882433954E-2</v>
      </c>
      <c r="L956" s="994">
        <f t="shared" si="115"/>
        <v>0.59547095791898752</v>
      </c>
      <c r="M956" s="994">
        <f t="shared" si="114"/>
        <v>0.71456514950278505</v>
      </c>
      <c r="N956" s="753">
        <v>2</v>
      </c>
      <c r="O956" s="994">
        <v>0.62976469635627896</v>
      </c>
      <c r="P956" s="22">
        <f t="shared" si="116"/>
        <v>8.4800453146506083E-2</v>
      </c>
      <c r="Q956" s="982">
        <f t="shared" si="117"/>
        <v>13.465418693227548</v>
      </c>
    </row>
    <row r="957" spans="1:26" s="892" customFormat="1" ht="18">
      <c r="A957" s="333">
        <v>77</v>
      </c>
      <c r="B957" s="333" t="s">
        <v>468</v>
      </c>
      <c r="C957" s="886">
        <f>cходова!R957</f>
        <v>0</v>
      </c>
      <c r="D957" s="886">
        <f>прибуд.!O957</f>
        <v>0</v>
      </c>
      <c r="E957" s="886">
        <f>гар.вода!M957+хол.вода!Q957+ц.о.!M957+каналізація!Q957+аварійні!I957+зварювальн!M957</f>
        <v>0.2369789570475461</v>
      </c>
      <c r="F957" s="886">
        <f>дератизац.!I957</f>
        <v>5.2251876563803173E-3</v>
      </c>
      <c r="G957" s="886">
        <f>димоканал!R957</f>
        <v>7.8935267922624799E-2</v>
      </c>
      <c r="H957" s="886">
        <f>'підготовка до зими'!M957+майстерні!M957+маляри!M957+покрівлі!O957</f>
        <v>0.37475797786250076</v>
      </c>
      <c r="I957" s="886">
        <f>електрики!R957</f>
        <v>2.4849942167275561E-2</v>
      </c>
      <c r="J957" s="989">
        <f t="shared" si="113"/>
        <v>0.72074733265632751</v>
      </c>
      <c r="K957" s="989">
        <v>1.8937731688104743E-2</v>
      </c>
      <c r="L957" s="994">
        <f t="shared" si="115"/>
        <v>0.73968506434443226</v>
      </c>
      <c r="M957" s="994">
        <f t="shared" si="114"/>
        <v>0.88762207721331865</v>
      </c>
      <c r="N957" s="753">
        <v>2</v>
      </c>
      <c r="O957" s="994">
        <v>0.78023454554991545</v>
      </c>
      <c r="P957" s="22">
        <f t="shared" si="116"/>
        <v>0.1073875316634032</v>
      </c>
      <c r="Q957" s="982">
        <f t="shared" si="117"/>
        <v>13.763493589958344</v>
      </c>
    </row>
    <row r="958" spans="1:26" s="892" customFormat="1" ht="18">
      <c r="A958" s="333">
        <v>78</v>
      </c>
      <c r="B958" s="333" t="s">
        <v>469</v>
      </c>
      <c r="C958" s="886">
        <f>cходова!R958</f>
        <v>0</v>
      </c>
      <c r="D958" s="886">
        <f>прибуд.!O958</f>
        <v>0</v>
      </c>
      <c r="E958" s="886">
        <f>гар.вода!M958+хол.вода!Q958+ц.о.!M958+каналізація!Q958+аварійні!I958+зварювальн!M958</f>
        <v>0.21319565682189301</v>
      </c>
      <c r="F958" s="886">
        <f>дератизац.!I958</f>
        <v>3.5612082670906206E-3</v>
      </c>
      <c r="G958" s="886">
        <f>димоканал!R958</f>
        <v>5.6384094773492974E-2</v>
      </c>
      <c r="H958" s="886">
        <f>'підготовка до зими'!M958+майстерні!M958+маляри!M958+покрівлі!O958</f>
        <v>0.32381883687462815</v>
      </c>
      <c r="I958" s="886">
        <f>електрики!R958</f>
        <v>2.1052874515854726E-2</v>
      </c>
      <c r="J958" s="989">
        <f t="shared" si="113"/>
        <v>0.61801267125295944</v>
      </c>
      <c r="K958" s="989">
        <v>1.6265023215409468E-2</v>
      </c>
      <c r="L958" s="994">
        <f t="shared" si="115"/>
        <v>0.6342776944683689</v>
      </c>
      <c r="M958" s="994">
        <f t="shared" si="114"/>
        <v>0.76113323336204264</v>
      </c>
      <c r="N958" s="753">
        <v>2</v>
      </c>
      <c r="O958" s="994">
        <v>0.67011895647487008</v>
      </c>
      <c r="P958" s="22">
        <f t="shared" si="116"/>
        <v>9.1014276887172563E-2</v>
      </c>
      <c r="Q958" s="982">
        <f t="shared" si="117"/>
        <v>13.581809021781595</v>
      </c>
    </row>
    <row r="959" spans="1:26" s="93" customFormat="1" ht="18">
      <c r="A959" s="333">
        <v>79</v>
      </c>
      <c r="B959" s="333" t="s">
        <v>470</v>
      </c>
      <c r="C959" s="886">
        <f>cходова!R959</f>
        <v>0.38743791900713603</v>
      </c>
      <c r="D959" s="886">
        <f>прибуд.!O959</f>
        <v>0.43257493090526977</v>
      </c>
      <c r="E959" s="886">
        <f>гар.вода!M959+хол.вода!Q959+ц.о.!M959+каналізація!Q959+аварійні!I959+зварювальн!M959</f>
        <v>0.29000111115220367</v>
      </c>
      <c r="F959" s="886">
        <f>дератизац.!I959</f>
        <v>4.5818988277537233E-3</v>
      </c>
      <c r="G959" s="886">
        <f>димоканал!R959</f>
        <v>1.9860007347519856E-2</v>
      </c>
      <c r="H959" s="886">
        <f>'підготовка до зими'!M959+майстерні!M959+маляри!M959+покрівлі!O959</f>
        <v>0.17056668928598362</v>
      </c>
      <c r="I959" s="886">
        <f>електрики!R959</f>
        <v>1.6781824569191198E-2</v>
      </c>
      <c r="J959" s="989">
        <f t="shared" si="113"/>
        <v>1.3218043810950579</v>
      </c>
      <c r="K959" s="989">
        <v>3.35696773496943E-2</v>
      </c>
      <c r="L959" s="994">
        <f t="shared" si="115"/>
        <v>1.3553740584447522</v>
      </c>
      <c r="M959" s="994">
        <f t="shared" si="114"/>
        <v>1.6264488701337025</v>
      </c>
      <c r="N959" s="753">
        <v>10</v>
      </c>
      <c r="O959" s="994">
        <v>1.3830707068074051</v>
      </c>
      <c r="P959" s="22">
        <f t="shared" si="116"/>
        <v>0.24337816332629747</v>
      </c>
      <c r="Q959" s="982">
        <f t="shared" si="117"/>
        <v>17.596942956596664</v>
      </c>
      <c r="R959" s="6"/>
      <c r="S959" s="6"/>
      <c r="T959" s="6"/>
      <c r="U959" s="6"/>
      <c r="V959" s="6"/>
      <c r="W959" s="6"/>
      <c r="X959" s="6"/>
      <c r="Y959" s="6"/>
      <c r="Z959" s="6"/>
    </row>
    <row r="960" spans="1:26" s="892" customFormat="1" ht="18">
      <c r="A960" s="333">
        <v>80</v>
      </c>
      <c r="B960" s="333" t="s">
        <v>471</v>
      </c>
      <c r="C960" s="886">
        <f>cходова!R960</f>
        <v>0</v>
      </c>
      <c r="D960" s="886">
        <f>прибуд.!O960</f>
        <v>0</v>
      </c>
      <c r="E960" s="886">
        <f>гар.вода!M960+хол.вода!Q960+ц.о.!M960+каналізація!Q960+аварійні!I960+зварювальн!M960</f>
        <v>0.33442221252548737</v>
      </c>
      <c r="F960" s="886">
        <f>дератизац.!I960</f>
        <v>3.1146304675716448E-3</v>
      </c>
      <c r="G960" s="886">
        <f>димоканал!R960</f>
        <v>4.8983253406594811E-2</v>
      </c>
      <c r="H960" s="886">
        <f>'підготовка до зими'!M960+майстерні!M960+маляри!M960+покрівлі!O960</f>
        <v>0.2594497777724894</v>
      </c>
      <c r="I960" s="886">
        <f>електрики!R960</f>
        <v>4.4939789831920665E-2</v>
      </c>
      <c r="J960" s="989">
        <f t="shared" si="113"/>
        <v>0.69090966400406395</v>
      </c>
      <c r="K960" s="989">
        <v>1.7797281603476513E-2</v>
      </c>
      <c r="L960" s="994">
        <f t="shared" si="115"/>
        <v>0.70870694560754044</v>
      </c>
      <c r="M960" s="994">
        <f t="shared" si="114"/>
        <v>0.85044833472904846</v>
      </c>
      <c r="N960" s="753">
        <v>1</v>
      </c>
      <c r="O960" s="994">
        <v>0.73324800206323237</v>
      </c>
      <c r="P960" s="22">
        <f t="shared" si="116"/>
        <v>0.11720033266581609</v>
      </c>
      <c r="Q960" s="982">
        <f t="shared" si="117"/>
        <v>15.983723424548685</v>
      </c>
      <c r="R960" s="6"/>
      <c r="S960" s="6"/>
      <c r="T960" s="6"/>
      <c r="U960" s="6"/>
      <c r="V960" s="6"/>
      <c r="W960" s="6"/>
      <c r="X960" s="6"/>
      <c r="Y960" s="6"/>
      <c r="Z960" s="6"/>
    </row>
    <row r="961" spans="1:26" s="892" customFormat="1" ht="18">
      <c r="A961" s="333">
        <v>81</v>
      </c>
      <c r="B961" s="333" t="s">
        <v>472</v>
      </c>
      <c r="C961" s="886">
        <f>cходова!R961</f>
        <v>0</v>
      </c>
      <c r="D961" s="886">
        <f>прибуд.!O961</f>
        <v>0</v>
      </c>
      <c r="E961" s="886">
        <f>гар.вода!M961+хол.вода!Q961+ц.о.!M961+каналізація!Q961+аварійні!I961+зварювальн!M961</f>
        <v>0.36382193581044292</v>
      </c>
      <c r="F961" s="886">
        <f>дератизац.!I961</f>
        <v>4.5959595959595961E-3</v>
      </c>
      <c r="G961" s="886">
        <f>димоканал!R961</f>
        <v>0.13433937732017834</v>
      </c>
      <c r="H961" s="886">
        <f>'підготовка до зими'!M961+майстерні!M961+маляри!M961+покрівлі!O961</f>
        <v>0.32259841091671826</v>
      </c>
      <c r="I961" s="886">
        <f>електрики!R961</f>
        <v>5.0160068448759934E-2</v>
      </c>
      <c r="J961" s="989">
        <f t="shared" si="113"/>
        <v>0.87551575209205912</v>
      </c>
      <c r="K961" s="989">
        <v>2.2581867427116861E-2</v>
      </c>
      <c r="L961" s="994">
        <f t="shared" si="115"/>
        <v>0.89809761951917599</v>
      </c>
      <c r="M961" s="994">
        <f t="shared" si="114"/>
        <v>1.0777171434230111</v>
      </c>
      <c r="N961" s="753">
        <v>1</v>
      </c>
      <c r="O961" s="994">
        <v>0.93037293799721477</v>
      </c>
      <c r="P961" s="22">
        <f t="shared" si="116"/>
        <v>0.14734420542579629</v>
      </c>
      <c r="Q961" s="982">
        <f t="shared" si="117"/>
        <v>15.837112130860078</v>
      </c>
      <c r="R961" s="6"/>
      <c r="S961" s="6"/>
      <c r="T961" s="6"/>
      <c r="U961" s="6"/>
      <c r="V961" s="6"/>
      <c r="W961" s="6"/>
      <c r="X961" s="6"/>
      <c r="Y961" s="6"/>
      <c r="Z961" s="6"/>
    </row>
    <row r="962" spans="1:26" s="892" customFormat="1" ht="18">
      <c r="A962" s="333">
        <v>82</v>
      </c>
      <c r="B962" s="333" t="s">
        <v>473</v>
      </c>
      <c r="C962" s="886">
        <f>cходова!R962</f>
        <v>0</v>
      </c>
      <c r="D962" s="886">
        <f>прибуд.!O962</f>
        <v>0</v>
      </c>
      <c r="E962" s="886">
        <f>гар.вода!M962+хол.вода!Q962+ц.о.!M962+каналізація!Q962+аварійні!I962+зварювальн!M962</f>
        <v>0.26411852640928901</v>
      </c>
      <c r="F962" s="886">
        <f>дератизац.!I962</f>
        <v>3.3169934640522878E-3</v>
      </c>
      <c r="G962" s="886">
        <f>димоканал!R962</f>
        <v>1.9204902938487079E-2</v>
      </c>
      <c r="H962" s="886">
        <f>'підготовка до зими'!M962+майстерні!M962+маляри!M962+покрівлі!O962</f>
        <v>0.31284754666674047</v>
      </c>
      <c r="I962" s="886">
        <f>електрики!R962</f>
        <v>3.2456514878609365E-2</v>
      </c>
      <c r="J962" s="989">
        <f t="shared" si="113"/>
        <v>0.6319444843571782</v>
      </c>
      <c r="K962" s="989">
        <v>1.6215117293275159E-2</v>
      </c>
      <c r="L962" s="994">
        <f t="shared" si="115"/>
        <v>0.64815960165045339</v>
      </c>
      <c r="M962" s="994">
        <f t="shared" si="114"/>
        <v>0.77779152198054402</v>
      </c>
      <c r="N962" s="753">
        <v>2</v>
      </c>
      <c r="O962" s="994">
        <v>0.66806283248293652</v>
      </c>
      <c r="P962" s="22">
        <f t="shared" si="116"/>
        <v>0.1097286894976075</v>
      </c>
      <c r="Q962" s="982">
        <f t="shared" si="117"/>
        <v>16.424905587066945</v>
      </c>
      <c r="R962" s="6"/>
      <c r="S962" s="6"/>
      <c r="T962" s="6"/>
      <c r="U962" s="6"/>
      <c r="V962" s="6"/>
      <c r="W962" s="6"/>
      <c r="X962" s="6"/>
      <c r="Y962" s="6"/>
      <c r="Z962" s="6"/>
    </row>
    <row r="963" spans="1:26" s="892" customFormat="1" ht="18">
      <c r="A963" s="333">
        <v>83</v>
      </c>
      <c r="B963" s="333" t="s">
        <v>474</v>
      </c>
      <c r="C963" s="886">
        <f>cходова!R963</f>
        <v>0</v>
      </c>
      <c r="D963" s="886">
        <f>прибуд.!O963</f>
        <v>0</v>
      </c>
      <c r="E963" s="886">
        <f>гар.вода!M963+хол.вода!Q963+ц.о.!M963+каналізація!Q963+аварійні!I963+зварювальн!M963</f>
        <v>0.20008395880026766</v>
      </c>
      <c r="F963" s="886">
        <f>дератизац.!I963</f>
        <v>3.4182590233545647E-3</v>
      </c>
      <c r="G963" s="886">
        <f>димоканал!R963</f>
        <v>4.3996807665006923E-2</v>
      </c>
      <c r="H963" s="886">
        <f>'підготовка до зими'!M963+майстерні!M963+маляри!M963+покрівлі!O963</f>
        <v>0.29818940122486276</v>
      </c>
      <c r="I963" s="886">
        <f>електрики!R963</f>
        <v>2.1086398201389526E-2</v>
      </c>
      <c r="J963" s="989">
        <f t="shared" si="113"/>
        <v>0.5667748249148814</v>
      </c>
      <c r="K963" s="989">
        <v>1.4712911069591442E-2</v>
      </c>
      <c r="L963" s="994">
        <f t="shared" si="115"/>
        <v>0.5814877359844729</v>
      </c>
      <c r="M963" s="994">
        <f t="shared" si="114"/>
        <v>0.69778528318136746</v>
      </c>
      <c r="N963" s="753">
        <v>1</v>
      </c>
      <c r="O963" s="994">
        <v>0.60617193606716746</v>
      </c>
      <c r="P963" s="22">
        <f t="shared" si="116"/>
        <v>9.1613347114199994E-2</v>
      </c>
      <c r="Q963" s="982">
        <f t="shared" si="117"/>
        <v>15.113426020443256</v>
      </c>
      <c r="R963" s="6"/>
      <c r="S963" s="6"/>
      <c r="T963" s="6"/>
      <c r="U963" s="6"/>
      <c r="V963" s="6"/>
      <c r="W963" s="6"/>
      <c r="X963" s="6"/>
      <c r="Y963" s="6"/>
      <c r="Z963" s="6"/>
    </row>
    <row r="964" spans="1:26" s="892" customFormat="1" ht="18">
      <c r="A964" s="333">
        <v>84</v>
      </c>
      <c r="B964" s="333" t="s">
        <v>475</v>
      </c>
      <c r="C964" s="886">
        <f>cходова!R964</f>
        <v>0</v>
      </c>
      <c r="D964" s="886">
        <f>прибуд.!O964</f>
        <v>0</v>
      </c>
      <c r="E964" s="886">
        <f>гар.вода!M964+хол.вода!Q964+ц.о.!M964+каналізація!Q964+аварійні!I964+зварювальн!M964</f>
        <v>0.3766915295746302</v>
      </c>
      <c r="F964" s="886">
        <f>дератизац.!I964</f>
        <v>1.4975247524752476E-3</v>
      </c>
      <c r="G964" s="886">
        <f>димоканал!R964</f>
        <v>3.6747020076834697E-2</v>
      </c>
      <c r="H964" s="886">
        <f>'підготовка до зими'!M964+майстерні!M964+маляри!M964+покрівлі!O964</f>
        <v>0.27710852786757784</v>
      </c>
      <c r="I964" s="886">
        <f>електрики!R964</f>
        <v>3.1607228421389744E-2</v>
      </c>
      <c r="J964" s="989">
        <f t="shared" si="113"/>
        <v>0.72365183069290762</v>
      </c>
      <c r="K964" s="989">
        <v>1.9396501990229964E-2</v>
      </c>
      <c r="L964" s="994">
        <f t="shared" si="115"/>
        <v>0.74304833268313764</v>
      </c>
      <c r="M964" s="994">
        <f t="shared" si="114"/>
        <v>0.89165799921976518</v>
      </c>
      <c r="N964" s="753">
        <v>3</v>
      </c>
      <c r="O964" s="994">
        <v>0.79913588199747465</v>
      </c>
      <c r="P964" s="22">
        <f t="shared" si="116"/>
        <v>9.2522117222290534E-2</v>
      </c>
      <c r="Q964" s="982">
        <f t="shared" si="117"/>
        <v>11.577770352524723</v>
      </c>
    </row>
    <row r="965" spans="1:26" s="892" customFormat="1" ht="18">
      <c r="A965" s="333">
        <v>85</v>
      </c>
      <c r="B965" s="393" t="s">
        <v>476</v>
      </c>
      <c r="C965" s="886">
        <f>cходова!R965</f>
        <v>0</v>
      </c>
      <c r="D965" s="886">
        <f>прибуд.!O965</f>
        <v>0</v>
      </c>
      <c r="E965" s="886">
        <f>гар.вода!M965+хол.вода!Q965+ц.о.!M965+каналізація!Q965+аварійні!I965+зварювальн!M965</f>
        <v>0.23684696456244816</v>
      </c>
      <c r="F965" s="886">
        <f>дератизац.!I965</f>
        <v>3.6802575107296146E-3</v>
      </c>
      <c r="G965" s="886">
        <f>димоканал!R965</f>
        <v>2.8539910632398399E-2</v>
      </c>
      <c r="H965" s="886">
        <f>'підготовка до зими'!M965+майстерні!M965+маляри!M965+покрівлі!O965</f>
        <v>0.29379135507734783</v>
      </c>
      <c r="I965" s="886">
        <f>електрики!R965</f>
        <v>2.1312647109129758E-2</v>
      </c>
      <c r="J965" s="989">
        <f t="shared" si="113"/>
        <v>0.58417113489205374</v>
      </c>
      <c r="K965" s="989">
        <v>1.4144244120799031E-2</v>
      </c>
      <c r="L965" s="994">
        <f t="shared" si="115"/>
        <v>0.59831537901285281</v>
      </c>
      <c r="M965" s="994">
        <f t="shared" si="114"/>
        <v>0.71797845481542333</v>
      </c>
      <c r="N965" s="753">
        <v>1</v>
      </c>
      <c r="O965" s="994">
        <v>0.58274285777692014</v>
      </c>
      <c r="P965" s="22">
        <f t="shared" si="116"/>
        <v>0.13523559703850319</v>
      </c>
      <c r="Q965" s="982">
        <f t="shared" si="117"/>
        <v>23.206736081572487</v>
      </c>
      <c r="R965" s="6"/>
      <c r="S965" s="6"/>
      <c r="T965" s="6"/>
      <c r="U965" s="6"/>
      <c r="V965" s="6"/>
      <c r="W965" s="6"/>
      <c r="X965" s="6"/>
      <c r="Y965" s="6"/>
      <c r="Z965" s="6"/>
    </row>
    <row r="966" spans="1:26" s="93" customFormat="1" ht="18">
      <c r="A966" s="333">
        <v>86</v>
      </c>
      <c r="B966" s="333" t="s">
        <v>477</v>
      </c>
      <c r="C966" s="886">
        <f>cходова!R966</f>
        <v>0.40841109462216513</v>
      </c>
      <c r="D966" s="886">
        <f>прибуд.!O966</f>
        <v>0.37455963217488919</v>
      </c>
      <c r="E966" s="886">
        <f>гар.вода!M966+хол.вода!Q966+ц.о.!M966+каналізація!Q966+аварійні!I966+зварювальн!M966</f>
        <v>0.31115287856496393</v>
      </c>
      <c r="F966" s="886">
        <f>дератизац.!I966</f>
        <v>5.9446800042859986E-3</v>
      </c>
      <c r="G966" s="886">
        <f>димоканал!R966</f>
        <v>2.1589310594108152E-2</v>
      </c>
      <c r="H966" s="886">
        <f>'підготовка до зими'!M966+майстерні!M966+маляри!M966+покрівлі!O966</f>
        <v>0.18700232316483151</v>
      </c>
      <c r="I966" s="886">
        <f>електрики!R966</f>
        <v>1.8243096118760981E-2</v>
      </c>
      <c r="J966" s="989">
        <f t="shared" si="113"/>
        <v>1.3269030152440049</v>
      </c>
      <c r="K966" s="989">
        <v>3.3767330745360702E-2</v>
      </c>
      <c r="L966" s="994">
        <f t="shared" si="115"/>
        <v>1.3606703459893656</v>
      </c>
      <c r="M966" s="994">
        <f t="shared" si="114"/>
        <v>1.6328044151872387</v>
      </c>
      <c r="N966" s="753">
        <v>5</v>
      </c>
      <c r="O966" s="994">
        <v>1.3912140267088611</v>
      </c>
      <c r="P966" s="22">
        <f t="shared" si="116"/>
        <v>0.24159038847837766</v>
      </c>
      <c r="Q966" s="982">
        <f t="shared" si="117"/>
        <v>17.365436506552356</v>
      </c>
      <c r="R966" s="6"/>
      <c r="S966" s="6"/>
      <c r="T966" s="6"/>
      <c r="U966" s="6"/>
      <c r="V966" s="6"/>
      <c r="W966" s="6"/>
      <c r="X966" s="6"/>
      <c r="Y966" s="6"/>
      <c r="Z966" s="6"/>
    </row>
    <row r="967" spans="1:26" s="93" customFormat="1" ht="18">
      <c r="A967" s="333">
        <v>87</v>
      </c>
      <c r="B967" s="393" t="s">
        <v>478</v>
      </c>
      <c r="C967" s="886">
        <f>cходова!R967</f>
        <v>0.40953697809298978</v>
      </c>
      <c r="D967" s="886">
        <f>прибуд.!O967</f>
        <v>0.3000270663328698</v>
      </c>
      <c r="E967" s="886">
        <f>гар.вода!M967+хол.вода!Q967+ц.о.!M967+каналізація!Q967+аварійні!I967+зварювальн!M967</f>
        <v>0.28678181231921057</v>
      </c>
      <c r="F967" s="886">
        <f>дератизац.!I967</f>
        <v>5.9288343407613887E-3</v>
      </c>
      <c r="G967" s="886">
        <f>димоканал!R967</f>
        <v>2.1648826724459343E-2</v>
      </c>
      <c r="H967" s="886">
        <f>'підготовка до зими'!M967+майстерні!M967+маляри!M967+покрівлі!O967</f>
        <v>0.18361696271510256</v>
      </c>
      <c r="I967" s="886">
        <f>електрики!R967</f>
        <v>1.8293387603608571E-2</v>
      </c>
      <c r="J967" s="989">
        <f t="shared" si="113"/>
        <v>1.225833868129002</v>
      </c>
      <c r="K967" s="989">
        <v>3.119576606208508E-2</v>
      </c>
      <c r="L967" s="994">
        <f t="shared" si="115"/>
        <v>1.2570296341910872</v>
      </c>
      <c r="M967" s="994">
        <f t="shared" si="114"/>
        <v>1.5084355610293045</v>
      </c>
      <c r="N967" s="753">
        <v>5</v>
      </c>
      <c r="O967" s="994">
        <v>1.2852655617579054</v>
      </c>
      <c r="P967" s="22">
        <f t="shared" si="116"/>
        <v>0.22316999927139913</v>
      </c>
      <c r="Q967" s="982">
        <f t="shared" si="117"/>
        <v>17.363726681212981</v>
      </c>
      <c r="R967" s="6"/>
      <c r="S967" s="6"/>
      <c r="T967" s="6"/>
      <c r="U967" s="6"/>
      <c r="V967" s="6"/>
      <c r="W967" s="6"/>
      <c r="X967" s="6"/>
      <c r="Y967" s="6"/>
      <c r="Z967" s="6"/>
    </row>
    <row r="968" spans="1:26" s="892" customFormat="1" ht="18">
      <c r="A968" s="333">
        <v>88</v>
      </c>
      <c r="B968" s="333" t="s">
        <v>479</v>
      </c>
      <c r="C968" s="886">
        <f>cходова!R968</f>
        <v>0</v>
      </c>
      <c r="D968" s="886">
        <f>прибуд.!O968</f>
        <v>0</v>
      </c>
      <c r="E968" s="886">
        <f>гар.вода!M968+хол.вода!Q968+ц.о.!M968+каналізація!Q968+аварійні!I968+зварювальн!M968</f>
        <v>0.33732944653173697</v>
      </c>
      <c r="F968" s="886">
        <f>дератизац.!I968</f>
        <v>2.8806584362139919E-3</v>
      </c>
      <c r="G968" s="886">
        <f>димоканал!R968</f>
        <v>8.5277763005013413E-2</v>
      </c>
      <c r="H968" s="886">
        <f>'підготовка до зими'!M968+майстерні!M968+маляри!M968+покрівлі!O968</f>
        <v>0.27590029830860224</v>
      </c>
      <c r="I968" s="886">
        <f>електрики!R968</f>
        <v>4.0871166884174762E-2</v>
      </c>
      <c r="J968" s="989">
        <f t="shared" si="113"/>
        <v>0.74225933316574144</v>
      </c>
      <c r="K968" s="989">
        <v>1.9301570947066311E-2</v>
      </c>
      <c r="L968" s="994">
        <f t="shared" si="115"/>
        <v>0.76156090411280775</v>
      </c>
      <c r="M968" s="994">
        <f t="shared" si="114"/>
        <v>0.91387308493536923</v>
      </c>
      <c r="N968" s="753">
        <v>1</v>
      </c>
      <c r="O968" s="994">
        <v>0.79522472301913194</v>
      </c>
      <c r="P968" s="22">
        <f t="shared" si="116"/>
        <v>0.11864836191623729</v>
      </c>
      <c r="Q968" s="982">
        <f t="shared" si="117"/>
        <v>14.920104780668737</v>
      </c>
      <c r="R968" s="6"/>
      <c r="S968" s="6"/>
      <c r="T968" s="6"/>
      <c r="U968" s="6"/>
      <c r="V968" s="6"/>
      <c r="W968" s="6"/>
      <c r="X968" s="6"/>
      <c r="Y968" s="6"/>
      <c r="Z968" s="6"/>
    </row>
    <row r="969" spans="1:26" s="892" customFormat="1" ht="18">
      <c r="A969" s="333">
        <v>89</v>
      </c>
      <c r="B969" s="393" t="s">
        <v>643</v>
      </c>
      <c r="C969" s="886">
        <f>cходова!R969</f>
        <v>0.31031354682503798</v>
      </c>
      <c r="D969" s="886">
        <f>прибуд.!O969</f>
        <v>0.14293887758164928</v>
      </c>
      <c r="E969" s="886">
        <f>гар.вода!M969+хол.вода!Q969+ц.о.!M969+каналізація!Q969+аварійні!I969+зварювальн!M969</f>
        <v>0.40308151063245723</v>
      </c>
      <c r="F969" s="886">
        <f>дератизац.!I969</f>
        <v>7.5612369871402322E-3</v>
      </c>
      <c r="G969" s="886">
        <f>димоканал!R969</f>
        <v>1.5770004504683976E-2</v>
      </c>
      <c r="H969" s="886">
        <f>'підготовка до зими'!M969+майстерні!M969+маляри!M969+покрівлі!O969</f>
        <v>0.24090490403531317</v>
      </c>
      <c r="I969" s="886">
        <f>електрики!R969</f>
        <v>3.2139873487560255E-2</v>
      </c>
      <c r="J969" s="989">
        <f t="shared" si="113"/>
        <v>1.1527099540538419</v>
      </c>
      <c r="K969" s="989">
        <v>3.0127316010646603E-2</v>
      </c>
      <c r="L969" s="994">
        <f t="shared" si="115"/>
        <v>1.1828372700644885</v>
      </c>
      <c r="M969" s="994">
        <f t="shared" si="114"/>
        <v>1.4194047240773862</v>
      </c>
      <c r="N969" s="753">
        <v>5</v>
      </c>
      <c r="O969" s="994">
        <v>1.24124541963864</v>
      </c>
      <c r="P969" s="22">
        <f t="shared" si="116"/>
        <v>0.17815930443874617</v>
      </c>
      <c r="Q969" s="982">
        <f t="shared" si="117"/>
        <v>14.35326983849923</v>
      </c>
    </row>
    <row r="970" spans="1:26" s="892" customFormat="1" ht="18">
      <c r="A970" s="333">
        <v>90</v>
      </c>
      <c r="B970" s="333" t="s">
        <v>925</v>
      </c>
      <c r="C970" s="886">
        <f>cходова!R970</f>
        <v>0</v>
      </c>
      <c r="D970" s="886">
        <f>прибуд.!O970</f>
        <v>0</v>
      </c>
      <c r="E970" s="886">
        <f>гар.вода!M970+хол.вода!Q970+ц.о.!M970+каналізація!Q970+аварійні!I970+зварювальн!M970</f>
        <v>0.1211960933796235</v>
      </c>
      <c r="F970" s="886">
        <f>дератизац.!I970</f>
        <v>2.7940128296507481E-3</v>
      </c>
      <c r="G970" s="886">
        <f>димоканал!R970</f>
        <v>6.1820871748042155E-2</v>
      </c>
      <c r="H970" s="886">
        <f>'підготовка до зими'!M970+майстерні!M970+маляри!M970+покрівлі!O970</f>
        <v>0.31180879075462042</v>
      </c>
      <c r="I970" s="886">
        <f>електрики!R970</f>
        <v>7.0788977568456641E-3</v>
      </c>
      <c r="J970" s="989">
        <f t="shared" si="113"/>
        <v>0.50469866646878248</v>
      </c>
      <c r="K970" s="989">
        <v>1.319044377506761E-2</v>
      </c>
      <c r="L970" s="994">
        <f t="shared" si="115"/>
        <v>0.51788911024385009</v>
      </c>
      <c r="M970" s="994">
        <f t="shared" si="114"/>
        <v>0.62146693229262007</v>
      </c>
      <c r="N970" s="753"/>
      <c r="O970" s="994">
        <v>0.54344628353278557</v>
      </c>
      <c r="P970" s="22">
        <f t="shared" si="116"/>
        <v>7.8020648759834499E-2</v>
      </c>
      <c r="Q970" s="982">
        <f t="shared" si="117"/>
        <v>14.356644092336964</v>
      </c>
      <c r="R970" s="6"/>
      <c r="S970" s="6"/>
      <c r="T970" s="6"/>
      <c r="U970" s="6"/>
      <c r="V970" s="6"/>
      <c r="W970" s="6"/>
      <c r="X970" s="6"/>
      <c r="Y970" s="6"/>
      <c r="Z970" s="6"/>
    </row>
    <row r="971" spans="1:26" s="892" customFormat="1" ht="18">
      <c r="A971" s="333">
        <v>91</v>
      </c>
      <c r="B971" s="394" t="s">
        <v>926</v>
      </c>
      <c r="C971" s="886">
        <f>cходова!R971</f>
        <v>0</v>
      </c>
      <c r="D971" s="886">
        <f>прибуд.!O971</f>
        <v>0</v>
      </c>
      <c r="E971" s="886">
        <f>гар.вода!M971+хол.вода!Q971+ц.о.!M971+каналізація!Q971+аварійні!I971+зварювальн!M971</f>
        <v>0.19911146802575708</v>
      </c>
      <c r="F971" s="886">
        <f>дератизац.!I971</f>
        <v>1.9489939167056623E-3</v>
      </c>
      <c r="G971" s="886">
        <f>димоканал!R971</f>
        <v>8.6621579456583733E-2</v>
      </c>
      <c r="H971" s="886">
        <f>'підготовка до зими'!M971+майстерні!M971+маляри!M971+покрівлі!O971</f>
        <v>0.31611602831970748</v>
      </c>
      <c r="I971" s="886">
        <f>електрики!R971</f>
        <v>1.992277675667832E-2</v>
      </c>
      <c r="J971" s="989">
        <f t="shared" si="113"/>
        <v>0.62372084647543224</v>
      </c>
      <c r="K971" s="989">
        <v>1.6045266477742182E-2</v>
      </c>
      <c r="L971" s="994">
        <f t="shared" si="115"/>
        <v>0.63976611295317443</v>
      </c>
      <c r="M971" s="994">
        <f t="shared" si="114"/>
        <v>0.76771933554380933</v>
      </c>
      <c r="N971" s="753">
        <v>2</v>
      </c>
      <c r="O971" s="994">
        <v>0.66106497888297799</v>
      </c>
      <c r="P971" s="22">
        <f t="shared" si="116"/>
        <v>0.10665435666083134</v>
      </c>
      <c r="Q971" s="982">
        <f t="shared" si="117"/>
        <v>16.133717572068093</v>
      </c>
      <c r="R971" s="6"/>
      <c r="S971" s="6"/>
      <c r="T971" s="6"/>
      <c r="U971" s="6"/>
      <c r="V971" s="6"/>
      <c r="W971" s="6"/>
      <c r="X971" s="6"/>
      <c r="Y971" s="6"/>
      <c r="Z971" s="6"/>
    </row>
    <row r="972" spans="1:26" s="892" customFormat="1" ht="18">
      <c r="A972" s="333">
        <v>92</v>
      </c>
      <c r="B972" s="335" t="s">
        <v>927</v>
      </c>
      <c r="C972" s="886">
        <f>cходова!R972</f>
        <v>0.17927947374463413</v>
      </c>
      <c r="D972" s="886">
        <f>прибуд.!O972</f>
        <v>0</v>
      </c>
      <c r="E972" s="886">
        <f>гар.вода!M972+хол.вода!Q972+ц.о.!M972+каналізація!Q972+аварійні!I972+зварювальн!M972</f>
        <v>0.22600592375827475</v>
      </c>
      <c r="F972" s="886">
        <f>дератизац.!I972</f>
        <v>9.7589098532494781E-4</v>
      </c>
      <c r="G972" s="886">
        <f>димоканал!R972</f>
        <v>5.3559051053615379E-2</v>
      </c>
      <c r="H972" s="886">
        <f>'підготовка до зими'!M972+майстерні!M972+маляри!M972+покрівлі!O972</f>
        <v>0.24569186104991625</v>
      </c>
      <c r="I972" s="886">
        <f>електрики!R972</f>
        <v>1.7851142108604431E-2</v>
      </c>
      <c r="J972" s="989">
        <f t="shared" si="113"/>
        <v>0.72336334270036995</v>
      </c>
      <c r="K972" s="989">
        <v>1.8651176928786543E-2</v>
      </c>
      <c r="L972" s="994">
        <f t="shared" si="115"/>
        <v>0.74201451962915654</v>
      </c>
      <c r="M972" s="994">
        <f t="shared" si="114"/>
        <v>0.89041742355498787</v>
      </c>
      <c r="N972" s="753">
        <v>3</v>
      </c>
      <c r="O972" s="994">
        <v>0.76842848946600562</v>
      </c>
      <c r="P972" s="22">
        <f t="shared" si="116"/>
        <v>0.12198893408898226</v>
      </c>
      <c r="Q972" s="982">
        <f t="shared" si="117"/>
        <v>15.875118603912568</v>
      </c>
      <c r="R972" s="6"/>
      <c r="S972" s="6"/>
      <c r="T972" s="6"/>
      <c r="U972" s="6"/>
      <c r="V972" s="6"/>
      <c r="W972" s="6"/>
      <c r="X972" s="6"/>
      <c r="Y972" s="6"/>
      <c r="Z972" s="6"/>
    </row>
    <row r="973" spans="1:26" s="93" customFormat="1" ht="18">
      <c r="A973" s="333">
        <v>93</v>
      </c>
      <c r="B973" s="394" t="s">
        <v>928</v>
      </c>
      <c r="C973" s="886">
        <f>cходова!R973</f>
        <v>0</v>
      </c>
      <c r="D973" s="886">
        <f>прибуд.!O973</f>
        <v>0.57484667527901234</v>
      </c>
      <c r="E973" s="886">
        <f>гар.вода!M973+хол.вода!Q973+ц.о.!M973+каналізація!Q973+аварійні!I973+зварювальн!M973</f>
        <v>0.27467970236807798</v>
      </c>
      <c r="F973" s="886">
        <f>дератизац.!I973</f>
        <v>2.9037037037037039E-3</v>
      </c>
      <c r="G973" s="886">
        <f>димоканал!R973</f>
        <v>2.0466663121203221E-2</v>
      </c>
      <c r="H973" s="886">
        <f>'підготовка до зими'!M973+майстерні!M973+маляри!M973+покрівлі!O973</f>
        <v>0.3179368519708643</v>
      </c>
      <c r="I973" s="886">
        <f>електрики!R973</f>
        <v>3.4331780182706793E-2</v>
      </c>
      <c r="J973" s="989">
        <f t="shared" si="113"/>
        <v>1.2251653766255681</v>
      </c>
      <c r="K973" s="989">
        <v>3.0868276886149605E-2</v>
      </c>
      <c r="L973" s="994">
        <f t="shared" si="115"/>
        <v>1.2560336535117178</v>
      </c>
      <c r="M973" s="994">
        <f t="shared" si="114"/>
        <v>1.5072403842140614</v>
      </c>
      <c r="N973" s="753">
        <v>2</v>
      </c>
      <c r="O973" s="994">
        <v>1.2717730077093639</v>
      </c>
      <c r="P973" s="22">
        <f t="shared" si="116"/>
        <v>0.23546737650469751</v>
      </c>
      <c r="Q973" s="982">
        <f t="shared" si="117"/>
        <v>18.514890241994223</v>
      </c>
      <c r="R973" s="6"/>
      <c r="S973" s="6"/>
      <c r="T973" s="6"/>
      <c r="U973" s="6"/>
      <c r="V973" s="6"/>
      <c r="W973" s="6"/>
      <c r="X973" s="6"/>
      <c r="Y973" s="6"/>
      <c r="Z973" s="6"/>
    </row>
    <row r="974" spans="1:26" s="892" customFormat="1" ht="18">
      <c r="A974" s="333">
        <v>94</v>
      </c>
      <c r="B974" s="335" t="s">
        <v>929</v>
      </c>
      <c r="C974" s="886">
        <f>cходова!R974</f>
        <v>0</v>
      </c>
      <c r="D974" s="886">
        <f>прибуд.!O974</f>
        <v>7.0818331284879951E-2</v>
      </c>
      <c r="E974" s="886">
        <f>гар.вода!M974+хол.вода!Q974+ц.о.!M974+каналізація!Q974+аварійні!I974+зварювальн!M974</f>
        <v>0.22651677553520036</v>
      </c>
      <c r="F974" s="886">
        <f>дератизац.!I974</f>
        <v>2.8163530175210907E-3</v>
      </c>
      <c r="G974" s="886">
        <f>димоканал!R974</f>
        <v>3.6528740383827217E-2</v>
      </c>
      <c r="H974" s="886">
        <f>'підготовка до зими'!M974+майстерні!M974+маляри!M974+покрівлі!O974</f>
        <v>0.22267600437046953</v>
      </c>
      <c r="I974" s="886">
        <f>електрики!R974</f>
        <v>2.5779866457766299E-2</v>
      </c>
      <c r="J974" s="989">
        <f t="shared" si="113"/>
        <v>0.58513607104966436</v>
      </c>
      <c r="K974" s="989">
        <v>1.5055824951583125E-2</v>
      </c>
      <c r="L974" s="994">
        <f t="shared" si="115"/>
        <v>0.60019189600124745</v>
      </c>
      <c r="M974" s="994">
        <f t="shared" si="114"/>
        <v>0.72023027520149696</v>
      </c>
      <c r="N974" s="753">
        <v>2</v>
      </c>
      <c r="O974" s="994">
        <v>0.62029998800522468</v>
      </c>
      <c r="P974" s="22">
        <f t="shared" si="116"/>
        <v>9.9930287196272283E-2</v>
      </c>
      <c r="Q974" s="982">
        <f t="shared" si="117"/>
        <v>16.109993411031724</v>
      </c>
      <c r="R974" s="6"/>
      <c r="S974" s="6"/>
      <c r="T974" s="6"/>
      <c r="U974" s="6"/>
      <c r="V974" s="6"/>
      <c r="W974" s="6"/>
      <c r="X974" s="6"/>
      <c r="Y974" s="6"/>
      <c r="Z974" s="6"/>
    </row>
    <row r="975" spans="1:26" s="6" customFormat="1" ht="18">
      <c r="A975" s="333">
        <v>95</v>
      </c>
      <c r="B975" s="394" t="s">
        <v>930</v>
      </c>
      <c r="C975" s="886">
        <f>cходова!R975</f>
        <v>0</v>
      </c>
      <c r="D975" s="886">
        <f>прибуд.!O975</f>
        <v>0</v>
      </c>
      <c r="E975" s="886">
        <f>гар.вода!M975+хол.вода!Q975+ц.о.!M975+каналізація!Q975+аварійні!I975+зварювальн!M975</f>
        <v>0.44881942726787022</v>
      </c>
      <c r="F975" s="886">
        <f>дератизац.!I975</f>
        <v>3.8888888888888896E-3</v>
      </c>
      <c r="G975" s="886">
        <f>димоканал!R975</f>
        <v>0.12764351231627605</v>
      </c>
      <c r="H975" s="886">
        <f>'підготовка до зими'!M975+майстерні!M975+маляри!M975+покрівлі!O975</f>
        <v>0.49530472258230429</v>
      </c>
      <c r="I975" s="886">
        <f>електрики!R975</f>
        <v>4.5041694117253818E-2</v>
      </c>
      <c r="J975" s="989">
        <f t="shared" si="113"/>
        <v>1.1206982451725933</v>
      </c>
      <c r="K975" s="989">
        <v>2.9320247045894109E-2</v>
      </c>
      <c r="L975" s="994">
        <f t="shared" si="115"/>
        <v>1.1500184922184875</v>
      </c>
      <c r="M975" s="994">
        <f t="shared" si="114"/>
        <v>1.380022190662185</v>
      </c>
      <c r="N975" s="753">
        <v>1</v>
      </c>
      <c r="O975" s="994">
        <v>1.2079941782908374</v>
      </c>
      <c r="P975" s="22">
        <f t="shared" si="116"/>
        <v>0.17202801237134757</v>
      </c>
      <c r="Q975" s="982">
        <f t="shared" si="117"/>
        <v>14.240798131556048</v>
      </c>
    </row>
    <row r="976" spans="1:26" s="93" customFormat="1" ht="18">
      <c r="A976" s="333">
        <v>96</v>
      </c>
      <c r="B976" s="335" t="s">
        <v>931</v>
      </c>
      <c r="C976" s="886">
        <f>cходова!R976</f>
        <v>0</v>
      </c>
      <c r="D976" s="886">
        <f>прибуд.!O976</f>
        <v>0.55305231729380466</v>
      </c>
      <c r="E976" s="886">
        <f>гар.вода!M976+хол.вода!Q976+ц.о.!M976+каналізація!Q976+аварійні!I976+зварювальн!M976</f>
        <v>0.19943699748003418</v>
      </c>
      <c r="F976" s="886">
        <f>дератизац.!I976</f>
        <v>3.5474471050297735E-3</v>
      </c>
      <c r="G976" s="886">
        <f>димоканал!R976</f>
        <v>1.4368045426291618E-2</v>
      </c>
      <c r="H976" s="886">
        <f>'підготовка до зими'!M976+майстерні!M976+маляри!M976+покрівлі!O976</f>
        <v>0.36595445173118829</v>
      </c>
      <c r="I976" s="886">
        <f>електрики!R976</f>
        <v>2.0971522346497878E-2</v>
      </c>
      <c r="J976" s="989">
        <f t="shared" si="113"/>
        <v>1.1573307813828464</v>
      </c>
      <c r="K976" s="989">
        <v>2.9153850831162318E-2</v>
      </c>
      <c r="L976" s="994">
        <f t="shared" si="115"/>
        <v>1.1864846322140088</v>
      </c>
      <c r="M976" s="994">
        <f t="shared" si="114"/>
        <v>1.4237815586568106</v>
      </c>
      <c r="N976" s="753">
        <v>2</v>
      </c>
      <c r="O976" s="994">
        <v>1.2011386542438875</v>
      </c>
      <c r="P976" s="22">
        <f t="shared" si="116"/>
        <v>0.222642904412923</v>
      </c>
      <c r="Q976" s="982">
        <f t="shared" si="117"/>
        <v>18.535986967555871</v>
      </c>
      <c r="R976" s="6"/>
      <c r="S976" s="6"/>
      <c r="T976" s="6"/>
      <c r="U976" s="6"/>
      <c r="V976" s="6"/>
      <c r="W976" s="6"/>
      <c r="X976" s="6"/>
      <c r="Y976" s="6"/>
      <c r="Z976" s="6"/>
    </row>
    <row r="977" spans="1:26" s="93" customFormat="1" ht="18">
      <c r="A977" s="333">
        <v>97</v>
      </c>
      <c r="B977" s="394" t="s">
        <v>932</v>
      </c>
      <c r="C977" s="886">
        <f>cходова!R977</f>
        <v>0.4639491736545161</v>
      </c>
      <c r="D977" s="886">
        <f>прибуд.!O977</f>
        <v>0.4749256923839692</v>
      </c>
      <c r="E977" s="886">
        <f>гар.вода!M977+хол.вода!Q977+ц.о.!M977+каналізація!Q977+аварійні!I977+зварювальн!M977</f>
        <v>0.23795088909183532</v>
      </c>
      <c r="F977" s="886">
        <f>дератизац.!I977</f>
        <v>1.4945747287364369E-3</v>
      </c>
      <c r="G977" s="886">
        <f>димоканал!R977</f>
        <v>1.4235874673526338E-2</v>
      </c>
      <c r="H977" s="886">
        <f>'підготовка до зими'!M977+майстерні!M977+маляри!M977+покрівлі!O977</f>
        <v>0.24288764154690126</v>
      </c>
      <c r="I977" s="886">
        <f>електрики!R977</f>
        <v>2.7810132454615239E-2</v>
      </c>
      <c r="J977" s="989">
        <f t="shared" si="113"/>
        <v>1.4632539785340999</v>
      </c>
      <c r="K977" s="989">
        <v>3.6704919678422508E-2</v>
      </c>
      <c r="L977" s="994">
        <f t="shared" si="115"/>
        <v>1.4999588982125225</v>
      </c>
      <c r="M977" s="994">
        <f t="shared" si="114"/>
        <v>1.7999506778550269</v>
      </c>
      <c r="N977" s="753">
        <v>3</v>
      </c>
      <c r="O977" s="994">
        <v>1.5122426907510076</v>
      </c>
      <c r="P977" s="22">
        <f t="shared" si="116"/>
        <v>0.28770798710401935</v>
      </c>
      <c r="Q977" s="982">
        <f t="shared" si="117"/>
        <v>19.02525228679653</v>
      </c>
      <c r="R977" s="6"/>
      <c r="S977" s="6"/>
      <c r="T977" s="6"/>
      <c r="U977" s="6"/>
      <c r="V977" s="6"/>
      <c r="W977" s="6"/>
      <c r="X977" s="6"/>
      <c r="Y977" s="6"/>
      <c r="Z977" s="6"/>
    </row>
    <row r="978" spans="1:26" s="93" customFormat="1" ht="18">
      <c r="A978" s="333">
        <v>98</v>
      </c>
      <c r="B978" s="335" t="s">
        <v>933</v>
      </c>
      <c r="C978" s="886">
        <f>cходова!R978</f>
        <v>0.45744625006368123</v>
      </c>
      <c r="D978" s="886">
        <f>прибуд.!O978</f>
        <v>0.23091223265484742</v>
      </c>
      <c r="E978" s="886">
        <f>гар.вода!M978+хол.вода!Q978+ц.о.!M978+каналізація!Q978+аварійні!I978+зварювальн!M978</f>
        <v>0.19246098664023414</v>
      </c>
      <c r="F978" s="886">
        <f>дератизац.!I978</f>
        <v>1.2196240256762956E-3</v>
      </c>
      <c r="G978" s="886">
        <f>димоканал!R978</f>
        <v>9.5013738698845763E-3</v>
      </c>
      <c r="H978" s="886">
        <f>'підготовка до зими'!M978+майстерні!M978+маляри!M978+покрівлі!O978</f>
        <v>0.28790308858171709</v>
      </c>
      <c r="I978" s="886">
        <f>електрики!R978</f>
        <v>1.9732846735000472E-2</v>
      </c>
      <c r="J978" s="989">
        <f t="shared" si="113"/>
        <v>1.1991764025710412</v>
      </c>
      <c r="K978" s="989">
        <v>3.0405901514887916E-2</v>
      </c>
      <c r="L978" s="994">
        <f t="shared" si="115"/>
        <v>1.2295823040859291</v>
      </c>
      <c r="M978" s="994">
        <f t="shared" si="114"/>
        <v>1.4754987649031148</v>
      </c>
      <c r="N978" s="753">
        <v>3</v>
      </c>
      <c r="O978" s="994">
        <v>1.252723142413382</v>
      </c>
      <c r="P978" s="22">
        <f t="shared" si="116"/>
        <v>0.22277562248973282</v>
      </c>
      <c r="Q978" s="982">
        <f t="shared" si="117"/>
        <v>17.783308613629799</v>
      </c>
      <c r="R978" s="6"/>
      <c r="S978" s="6"/>
      <c r="T978" s="6"/>
      <c r="U978" s="6"/>
      <c r="V978" s="6"/>
      <c r="W978" s="6"/>
      <c r="X978" s="6"/>
      <c r="Y978" s="6"/>
      <c r="Z978" s="6"/>
    </row>
    <row r="979" spans="1:26" s="93" customFormat="1" ht="18">
      <c r="A979" s="333">
        <v>99</v>
      </c>
      <c r="B979" s="394" t="s">
        <v>934</v>
      </c>
      <c r="C979" s="886">
        <f>cходова!R979</f>
        <v>0.47356298289780369</v>
      </c>
      <c r="D979" s="886">
        <f>прибуд.!O979</f>
        <v>0.21444114569667741</v>
      </c>
      <c r="E979" s="886">
        <f>гар.вода!M979+хол.вода!Q979+ц.о.!M979+каналізація!Q979+аварійні!I979+зварювальн!M979</f>
        <v>0.22121293276023943</v>
      </c>
      <c r="F979" s="886">
        <f>дератизац.!I979</f>
        <v>1.1254019292604505E-3</v>
      </c>
      <c r="G979" s="886">
        <f>димоканал!R979</f>
        <v>1.6906642772280663E-2</v>
      </c>
      <c r="H979" s="886">
        <f>'підготовка до зими'!M979+майстерні!M979+маляри!M979+покрівлі!O979</f>
        <v>0.33389796382645071</v>
      </c>
      <c r="I979" s="886">
        <f>електрики!R979</f>
        <v>2.4838104633791092E-2</v>
      </c>
      <c r="J979" s="989">
        <f t="shared" si="113"/>
        <v>1.2859851745165034</v>
      </c>
      <c r="K979" s="989">
        <v>3.2635670074997916E-2</v>
      </c>
      <c r="L979" s="994">
        <f t="shared" si="115"/>
        <v>1.3186208445915013</v>
      </c>
      <c r="M979" s="994">
        <f t="shared" si="114"/>
        <v>1.5823450135098016</v>
      </c>
      <c r="N979" s="753">
        <v>3</v>
      </c>
      <c r="O979" s="994">
        <v>1.3445896070899142</v>
      </c>
      <c r="P979" s="22">
        <f t="shared" si="116"/>
        <v>0.23775540641988746</v>
      </c>
      <c r="Q979" s="982">
        <f t="shared" si="117"/>
        <v>17.682377222479047</v>
      </c>
      <c r="R979" s="6"/>
      <c r="S979" s="6"/>
      <c r="T979" s="6"/>
      <c r="U979" s="6"/>
      <c r="V979" s="6"/>
      <c r="W979" s="6"/>
      <c r="X979" s="6"/>
      <c r="Y979" s="6"/>
      <c r="Z979" s="6"/>
    </row>
    <row r="980" spans="1:26" s="93" customFormat="1" ht="18">
      <c r="A980" s="333">
        <v>100</v>
      </c>
      <c r="B980" s="335" t="s">
        <v>935</v>
      </c>
      <c r="C980" s="886">
        <f>cходова!R980</f>
        <v>0.64568823340789183</v>
      </c>
      <c r="D980" s="886">
        <f>прибуд.!O980</f>
        <v>0.19443808936681353</v>
      </c>
      <c r="E980" s="886">
        <f>гар.вода!M980+хол.вода!Q980+ц.о.!M980+каналізація!Q980+аварійні!I980+зварювальн!M980</f>
        <v>0.22095763787557365</v>
      </c>
      <c r="F980" s="886">
        <f>дератизац.!I980</f>
        <v>1.1563876651982381E-3</v>
      </c>
      <c r="G980" s="886">
        <f>димоканал!R980</f>
        <v>1.389770723042983E-2</v>
      </c>
      <c r="H980" s="886">
        <f>'підготовка до зими'!M980+майстерні!M980+маляри!M980+покрівлі!O980</f>
        <v>0.24517527181904847</v>
      </c>
      <c r="I980" s="886">
        <f>електрики!R980</f>
        <v>2.6838148211496732E-2</v>
      </c>
      <c r="J980" s="989">
        <f t="shared" si="113"/>
        <v>1.3481514755764521</v>
      </c>
      <c r="K980" s="989">
        <v>3.3899569807441368E-2</v>
      </c>
      <c r="L980" s="994">
        <f t="shared" si="115"/>
        <v>1.3820510453838935</v>
      </c>
      <c r="M980" s="994">
        <f t="shared" si="114"/>
        <v>1.6584612544606721</v>
      </c>
      <c r="N980" s="753">
        <v>3</v>
      </c>
      <c r="O980" s="994">
        <v>1.3966622760665843</v>
      </c>
      <c r="P980" s="22">
        <f t="shared" si="116"/>
        <v>0.26179897839408772</v>
      </c>
      <c r="Q980" s="982">
        <f t="shared" si="117"/>
        <v>18.744615851685452</v>
      </c>
      <c r="R980" s="6"/>
      <c r="S980" s="6"/>
      <c r="T980" s="6"/>
      <c r="U980" s="6"/>
      <c r="V980" s="6"/>
      <c r="W980" s="6"/>
      <c r="X980" s="6"/>
      <c r="Y980" s="6"/>
      <c r="Z980" s="6"/>
    </row>
    <row r="981" spans="1:26" s="93" customFormat="1" ht="18">
      <c r="A981" s="333">
        <v>101</v>
      </c>
      <c r="B981" s="394" t="s">
        <v>936</v>
      </c>
      <c r="C981" s="886">
        <f>cходова!R981</f>
        <v>0</v>
      </c>
      <c r="D981" s="886">
        <f>прибуд.!O981</f>
        <v>0.64964757871238499</v>
      </c>
      <c r="E981" s="886">
        <f>гар.вода!M981+хол.вода!Q981+ц.о.!M981+каналізація!Q981+аварійні!I981+зварювальн!M981</f>
        <v>0.20119738649120211</v>
      </c>
      <c r="F981" s="886">
        <f>дератизац.!I981</f>
        <v>2.6908652558264136E-3</v>
      </c>
      <c r="G981" s="886">
        <f>димоканал!R981</f>
        <v>1.4665039157550006E-2</v>
      </c>
      <c r="H981" s="886">
        <f>'підготовка до зими'!M981+майстерні!M981+маляри!M981+покрівлі!O981</f>
        <v>0.25177441626118602</v>
      </c>
      <c r="I981" s="886">
        <f>електрики!R981</f>
        <v>2.1284100836548549E-2</v>
      </c>
      <c r="J981" s="989">
        <f t="shared" si="113"/>
        <v>1.1412593867146981</v>
      </c>
      <c r="K981" s="989">
        <v>2.8776458121774137E-2</v>
      </c>
      <c r="L981" s="994">
        <f t="shared" si="115"/>
        <v>1.1700358448364723</v>
      </c>
      <c r="M981" s="994">
        <f t="shared" si="114"/>
        <v>1.4040430138037667</v>
      </c>
      <c r="N981" s="753">
        <v>2</v>
      </c>
      <c r="O981" s="994">
        <v>1.1855900746170944</v>
      </c>
      <c r="P981" s="22">
        <f t="shared" si="116"/>
        <v>0.2184529391866723</v>
      </c>
      <c r="Q981" s="982">
        <f t="shared" si="117"/>
        <v>18.425672065214044</v>
      </c>
      <c r="R981" s="6"/>
      <c r="S981" s="6"/>
      <c r="T981" s="6"/>
      <c r="U981" s="6"/>
      <c r="V981" s="6"/>
      <c r="W981" s="6"/>
      <c r="X981" s="6"/>
      <c r="Y981" s="6"/>
      <c r="Z981" s="6"/>
    </row>
    <row r="982" spans="1:26" s="93" customFormat="1" ht="18">
      <c r="A982" s="333">
        <v>102</v>
      </c>
      <c r="B982" s="335" t="s">
        <v>937</v>
      </c>
      <c r="C982" s="886">
        <f>cходова!R982</f>
        <v>0.23790576599344851</v>
      </c>
      <c r="D982" s="886">
        <f>прибуд.!O982</f>
        <v>0.30666848904063393</v>
      </c>
      <c r="E982" s="886">
        <f>гар.вода!M982+хол.вода!Q982+ц.о.!M982+каналізація!Q982+аварійні!I982+зварювальн!M982</f>
        <v>0.23693585687604576</v>
      </c>
      <c r="F982" s="886">
        <f>дератизац.!I982</f>
        <v>1.8765806777946384E-3</v>
      </c>
      <c r="G982" s="886">
        <f>димоканал!R982</f>
        <v>1.5722683164050275E-2</v>
      </c>
      <c r="H982" s="886">
        <f>'підготовка до зими'!M982+майстерні!M982+маляри!M982+покрівлі!O982</f>
        <v>0.25447374612241325</v>
      </c>
      <c r="I982" s="886">
        <f>електрики!R982</f>
        <v>2.7629901133383702E-2</v>
      </c>
      <c r="J982" s="989">
        <f t="shared" si="113"/>
        <v>1.0812130230077701</v>
      </c>
      <c r="K982" s="989">
        <v>2.7313633925167839E-2</v>
      </c>
      <c r="L982" s="994">
        <f t="shared" si="115"/>
        <v>1.1085266569329379</v>
      </c>
      <c r="M982" s="994">
        <f t="shared" si="114"/>
        <v>1.3302319883195255</v>
      </c>
      <c r="N982" s="753">
        <v>3</v>
      </c>
      <c r="O982" s="994">
        <v>1.1253217177169148</v>
      </c>
      <c r="P982" s="22">
        <f t="shared" si="116"/>
        <v>0.20491027060261069</v>
      </c>
      <c r="Q982" s="982">
        <f t="shared" si="117"/>
        <v>18.20903901315782</v>
      </c>
      <c r="R982" s="6"/>
      <c r="S982" s="6"/>
      <c r="T982" s="6"/>
      <c r="U982" s="6"/>
      <c r="V982" s="6"/>
      <c r="W982" s="6"/>
      <c r="X982" s="6"/>
      <c r="Y982" s="6"/>
      <c r="Z982" s="6"/>
    </row>
    <row r="983" spans="1:26" s="93" customFormat="1" ht="18">
      <c r="A983" s="333">
        <v>103</v>
      </c>
      <c r="B983" s="394" t="s">
        <v>938</v>
      </c>
      <c r="C983" s="886">
        <f>cходова!R983</f>
        <v>0.80877733106828276</v>
      </c>
      <c r="D983" s="886">
        <f>прибуд.!O983</f>
        <v>9.9164049642837274E-2</v>
      </c>
      <c r="E983" s="886">
        <f>гар.вода!M983+хол.вода!Q983+ц.о.!M983+каналізація!Q983+аварійні!I983+зварювальн!M983</f>
        <v>0.25546715711088225</v>
      </c>
      <c r="F983" s="886">
        <f>дератизац.!I983</f>
        <v>1.8595271210013911E-3</v>
      </c>
      <c r="G983" s="886">
        <f>димоканал!R983</f>
        <v>1.9357548619242111E-2</v>
      </c>
      <c r="H983" s="886">
        <f>'підготовка до зими'!M983+майстерні!M983+маляри!M983+покрівлі!O983</f>
        <v>0.2573017355075507</v>
      </c>
      <c r="I983" s="886">
        <f>електрики!R983</f>
        <v>3.3151689188943977E-2</v>
      </c>
      <c r="J983" s="989">
        <f t="shared" si="113"/>
        <v>1.4750790382587404</v>
      </c>
      <c r="K983" s="989">
        <v>3.6973109084287629E-2</v>
      </c>
      <c r="L983" s="994">
        <f t="shared" si="115"/>
        <v>1.512052147343028</v>
      </c>
      <c r="M983" s="994">
        <f t="shared" si="114"/>
        <v>1.8144625768116334</v>
      </c>
      <c r="N983" s="753">
        <v>3</v>
      </c>
      <c r="O983" s="994">
        <v>1.5232920942726504</v>
      </c>
      <c r="P983" s="22">
        <f t="shared" si="116"/>
        <v>0.29117048253898292</v>
      </c>
      <c r="Q983" s="982">
        <f t="shared" si="117"/>
        <v>19.114553514308923</v>
      </c>
      <c r="R983" s="6"/>
      <c r="S983" s="6"/>
      <c r="T983" s="6"/>
      <c r="U983" s="6"/>
      <c r="V983" s="6"/>
      <c r="W983" s="6"/>
      <c r="X983" s="6"/>
      <c r="Y983" s="6"/>
      <c r="Z983" s="6"/>
    </row>
    <row r="984" spans="1:26" s="93" customFormat="1" ht="18">
      <c r="A984" s="333">
        <v>104</v>
      </c>
      <c r="B984" s="335" t="s">
        <v>939</v>
      </c>
      <c r="C984" s="886">
        <f>cходова!R984</f>
        <v>0.26891921061695118</v>
      </c>
      <c r="D984" s="886">
        <f>прибуд.!O984</f>
        <v>0.24013708456730276</v>
      </c>
      <c r="E984" s="886">
        <f>гар.вода!M984+хол.вода!Q984+ц.о.!M984+каналізація!Q984+аварійні!I984+зварювальн!M984</f>
        <v>0.23517762787501903</v>
      </c>
      <c r="F984" s="886">
        <f>дератизац.!I984</f>
        <v>1.125150421179302E-3</v>
      </c>
      <c r="G984" s="886">
        <f>димоканал!R984</f>
        <v>1.3239347660597556E-2</v>
      </c>
      <c r="H984" s="886">
        <f>'підготовка до зими'!M984+майстерні!M984+маляри!M984+покрівлі!O984</f>
        <v>0.44460053315268955</v>
      </c>
      <c r="I984" s="886">
        <f>електрики!R984</f>
        <v>3.3313856781063203E-2</v>
      </c>
      <c r="J984" s="989">
        <f t="shared" si="113"/>
        <v>1.2365128110748025</v>
      </c>
      <c r="K984" s="989">
        <v>3.1406321941125123E-2</v>
      </c>
      <c r="L984" s="994">
        <f t="shared" si="115"/>
        <v>1.2679191330159276</v>
      </c>
      <c r="M984" s="994">
        <f t="shared" si="114"/>
        <v>1.5215029596191132</v>
      </c>
      <c r="N984" s="753">
        <v>3</v>
      </c>
      <c r="O984" s="994">
        <v>1.293940463974355</v>
      </c>
      <c r="P984" s="22">
        <f t="shared" si="116"/>
        <v>0.22756249564475817</v>
      </c>
      <c r="Q984" s="982">
        <f t="shared" si="117"/>
        <v>17.586782543749877</v>
      </c>
      <c r="R984" s="6"/>
      <c r="S984" s="6"/>
      <c r="T984" s="6"/>
      <c r="U984" s="6"/>
      <c r="V984" s="6"/>
      <c r="W984" s="6"/>
      <c r="X984" s="6"/>
      <c r="Y984" s="6"/>
      <c r="Z984" s="6"/>
    </row>
    <row r="985" spans="1:26" s="93" customFormat="1" ht="18">
      <c r="A985" s="333">
        <v>105</v>
      </c>
      <c r="B985" s="394" t="s">
        <v>940</v>
      </c>
      <c r="C985" s="886">
        <f>cходова!R985</f>
        <v>0</v>
      </c>
      <c r="D985" s="886">
        <f>прибуд.!O985</f>
        <v>0.41599912698186392</v>
      </c>
      <c r="E985" s="886">
        <f>гар.вода!M985+хол.вода!Q985+ц.о.!M985+каналізація!Q985+аварійні!I985+зварювальн!M985</f>
        <v>0.20813058332995088</v>
      </c>
      <c r="F985" s="886">
        <f>дератизац.!I985</f>
        <v>1.8778337531486148E-3</v>
      </c>
      <c r="G985" s="886">
        <f>димоканал!R985</f>
        <v>5.0093715300431448E-2</v>
      </c>
      <c r="H985" s="886">
        <f>'підготовка до зими'!M985+майстерні!M985+маляри!M985+покрівлі!O985</f>
        <v>0.35978364440272537</v>
      </c>
      <c r="I985" s="886">
        <f>електрики!R985</f>
        <v>2.2515174301181412E-2</v>
      </c>
      <c r="J985" s="989">
        <f t="shared" si="113"/>
        <v>1.0584000780693017</v>
      </c>
      <c r="K985" s="989">
        <v>2.6857041783079103E-2</v>
      </c>
      <c r="L985" s="994">
        <f t="shared" si="115"/>
        <v>1.0852571198523808</v>
      </c>
      <c r="M985" s="994">
        <f t="shared" si="114"/>
        <v>1.302308543822857</v>
      </c>
      <c r="N985" s="753">
        <v>2</v>
      </c>
      <c r="O985" s="994">
        <v>1.106510121462859</v>
      </c>
      <c r="P985" s="22">
        <f t="shared" si="116"/>
        <v>0.195798422359998</v>
      </c>
      <c r="Q985" s="982">
        <f t="shared" si="117"/>
        <v>17.695131618059051</v>
      </c>
      <c r="R985" s="6"/>
      <c r="S985" s="6"/>
      <c r="T985" s="6"/>
      <c r="U985" s="6"/>
      <c r="V985" s="6"/>
      <c r="W985" s="6"/>
      <c r="X985" s="6"/>
      <c r="Y985" s="6"/>
      <c r="Z985" s="6"/>
    </row>
    <row r="986" spans="1:26" s="93" customFormat="1" ht="18">
      <c r="A986" s="333">
        <v>106</v>
      </c>
      <c r="B986" s="335" t="s">
        <v>941</v>
      </c>
      <c r="C986" s="886">
        <f>cходова!R986</f>
        <v>0</v>
      </c>
      <c r="D986" s="886">
        <f>прибуд.!O986</f>
        <v>0.44661775531000608</v>
      </c>
      <c r="E986" s="886">
        <f>гар.вода!M986+хол.вода!Q986+ц.о.!M986+каналізація!Q986+аварійні!I986+зварювальн!M986</f>
        <v>0.17624875063111872</v>
      </c>
      <c r="F986" s="886">
        <f>дератизац.!I986</f>
        <v>2.3591160220994478E-3</v>
      </c>
      <c r="G986" s="886">
        <f>димоканал!R986</f>
        <v>4.3631041680343464E-2</v>
      </c>
      <c r="H986" s="886">
        <f>'підготовка до зими'!M986+майстерні!M986+маляри!M986+покрівлі!O986</f>
        <v>0.38740633800063479</v>
      </c>
      <c r="I986" s="886">
        <f>електрики!R986</f>
        <v>1.8290411699547818E-2</v>
      </c>
      <c r="J986" s="989">
        <f t="shared" si="113"/>
        <v>1.0745534133437504</v>
      </c>
      <c r="K986" s="989">
        <v>2.7122052311471263E-2</v>
      </c>
      <c r="L986" s="994">
        <f t="shared" si="115"/>
        <v>1.1016754656552217</v>
      </c>
      <c r="M986" s="994">
        <f t="shared" si="114"/>
        <v>1.3220105587862661</v>
      </c>
      <c r="N986" s="753">
        <v>2</v>
      </c>
      <c r="O986" s="994">
        <v>1.117428555232616</v>
      </c>
      <c r="P986" s="22">
        <f t="shared" si="116"/>
        <v>0.20458200355365008</v>
      </c>
      <c r="Q986" s="982">
        <f t="shared" si="117"/>
        <v>18.308284909638999</v>
      </c>
      <c r="R986" s="6"/>
      <c r="S986" s="6"/>
      <c r="T986" s="6"/>
      <c r="U986" s="6"/>
      <c r="V986" s="6"/>
      <c r="W986" s="6"/>
      <c r="X986" s="6"/>
      <c r="Y986" s="6"/>
      <c r="Z986" s="6"/>
    </row>
    <row r="987" spans="1:26" s="93" customFormat="1" ht="18">
      <c r="A987" s="333">
        <v>107</v>
      </c>
      <c r="B987" s="394" t="s">
        <v>942</v>
      </c>
      <c r="C987" s="886">
        <f>cходова!R987</f>
        <v>0</v>
      </c>
      <c r="D987" s="886">
        <f>прибуд.!O987</f>
        <v>0.21100357407192574</v>
      </c>
      <c r="E987" s="886">
        <f>гар.вода!M987+хол.вода!Q987+ц.о.!M987+каналізація!Q987+аварійні!I987+зварювальн!M987</f>
        <v>0.22084564423923683</v>
      </c>
      <c r="F987" s="886">
        <f>дератизац.!I987</f>
        <v>2.0030935808197994E-3</v>
      </c>
      <c r="G987" s="886">
        <f>димоканал!R987</f>
        <v>2.9780852800346477E-2</v>
      </c>
      <c r="H987" s="886">
        <f>'підготовка до зими'!M987+майстерні!M987+маляри!M987+покрівлі!O987</f>
        <v>0.24277838847726801</v>
      </c>
      <c r="I987" s="886">
        <f>електрики!R987</f>
        <v>2.6883934597827244E-2</v>
      </c>
      <c r="J987" s="989">
        <f t="shared" si="113"/>
        <v>0.73329548776742404</v>
      </c>
      <c r="K987" s="989">
        <v>1.8640931981631158E-2</v>
      </c>
      <c r="L987" s="994">
        <f t="shared" si="115"/>
        <v>0.75193641974905523</v>
      </c>
      <c r="M987" s="994">
        <f t="shared" si="114"/>
        <v>0.90232370369886628</v>
      </c>
      <c r="N987" s="753">
        <v>1</v>
      </c>
      <c r="O987" s="994">
        <v>0.76800639764320378</v>
      </c>
      <c r="P987" s="22">
        <f t="shared" si="116"/>
        <v>0.1343173060556625</v>
      </c>
      <c r="Q987" s="982">
        <f t="shared" si="117"/>
        <v>17.489086870610009</v>
      </c>
      <c r="R987" s="6"/>
      <c r="S987" s="6"/>
      <c r="T987" s="6"/>
      <c r="U987" s="6"/>
      <c r="V987" s="6"/>
      <c r="W987" s="6"/>
      <c r="X987" s="6"/>
      <c r="Y987" s="6"/>
      <c r="Z987" s="6"/>
    </row>
    <row r="988" spans="1:26" s="93" customFormat="1" ht="18">
      <c r="A988" s="333">
        <v>108</v>
      </c>
      <c r="B988" s="335" t="s">
        <v>943</v>
      </c>
      <c r="C988" s="886">
        <f>cходова!R988</f>
        <v>0</v>
      </c>
      <c r="D988" s="886">
        <f>прибуд.!O988</f>
        <v>0.32394323232483502</v>
      </c>
      <c r="E988" s="886">
        <f>гар.вода!M988+хол.вода!Q988+ц.о.!M988+каналізація!Q988+аварійні!I988+зварювальн!M988</f>
        <v>0.23303388602235484</v>
      </c>
      <c r="F988" s="886">
        <f>дератизац.!I988</f>
        <v>2.3162462706807704E-3</v>
      </c>
      <c r="G988" s="886">
        <f>димоканал!R988</f>
        <v>1.5267368844989896E-2</v>
      </c>
      <c r="H988" s="886">
        <f>'підготовка до зими'!M988+майстерні!M988+маляри!M988+покрівлі!O988</f>
        <v>0.26479498394849194</v>
      </c>
      <c r="I988" s="886">
        <f>електрики!R988</f>
        <v>2.6937058727568391E-2</v>
      </c>
      <c r="J988" s="989">
        <f t="shared" si="113"/>
        <v>0.86629277613892086</v>
      </c>
      <c r="K988" s="989">
        <v>2.2007184884475312E-2</v>
      </c>
      <c r="L988" s="994">
        <f t="shared" si="115"/>
        <v>0.88829996102339615</v>
      </c>
      <c r="M988" s="994">
        <f t="shared" si="114"/>
        <v>1.0659599532280752</v>
      </c>
      <c r="N988" s="753">
        <v>2</v>
      </c>
      <c r="O988" s="994">
        <v>0.90669601724038285</v>
      </c>
      <c r="P988" s="22">
        <f t="shared" si="116"/>
        <v>0.1592639359876924</v>
      </c>
      <c r="Q988" s="982">
        <f t="shared" si="117"/>
        <v>17.565306669420224</v>
      </c>
      <c r="R988" s="6"/>
      <c r="S988" s="6"/>
      <c r="T988" s="6"/>
      <c r="U988" s="6"/>
      <c r="V988" s="6"/>
      <c r="W988" s="6"/>
      <c r="X988" s="6"/>
      <c r="Y988" s="6"/>
      <c r="Z988" s="6"/>
    </row>
    <row r="989" spans="1:26" s="93" customFormat="1" ht="18">
      <c r="A989" s="333">
        <v>109</v>
      </c>
      <c r="B989" s="394" t="s">
        <v>944</v>
      </c>
      <c r="C989" s="886">
        <f>cходова!R989</f>
        <v>0</v>
      </c>
      <c r="D989" s="886">
        <f>прибуд.!O989</f>
        <v>0.15368405648500214</v>
      </c>
      <c r="E989" s="886">
        <f>гар.вода!M989+хол.вода!Q989+ц.о.!M989+каналізація!Q989+аварійні!I989+зварювальн!M989</f>
        <v>0.1876666091878719</v>
      </c>
      <c r="F989" s="886">
        <f>дератизац.!I989</f>
        <v>2.6763836079425436E-3</v>
      </c>
      <c r="G989" s="886">
        <f>димоканал!R989</f>
        <v>4.3773756675577237E-2</v>
      </c>
      <c r="H989" s="886">
        <f>'підготовка до зими'!M989+майстерні!M989+маляри!M989+покрівлі!O989</f>
        <v>0.25871383823252303</v>
      </c>
      <c r="I989" s="886">
        <f>електрики!R989</f>
        <v>1.8881546678430547E-2</v>
      </c>
      <c r="J989" s="989">
        <f t="shared" si="113"/>
        <v>0.66539619086734747</v>
      </c>
      <c r="K989" s="989">
        <v>1.7085702773035439E-2</v>
      </c>
      <c r="L989" s="994">
        <f t="shared" si="115"/>
        <v>0.68248189364038292</v>
      </c>
      <c r="M989" s="994">
        <f t="shared" si="114"/>
        <v>0.81897827236845944</v>
      </c>
      <c r="N989" s="753">
        <v>2</v>
      </c>
      <c r="O989" s="994">
        <v>0.70393095424906005</v>
      </c>
      <c r="P989" s="22">
        <f t="shared" si="116"/>
        <v>0.11504731811939939</v>
      </c>
      <c r="Q989" s="982">
        <f t="shared" si="117"/>
        <v>16.343551512396502</v>
      </c>
      <c r="R989" s="6"/>
      <c r="S989" s="6"/>
      <c r="T989" s="6"/>
      <c r="U989" s="6"/>
      <c r="V989" s="6"/>
      <c r="W989" s="6"/>
      <c r="X989" s="6"/>
      <c r="Y989" s="6"/>
      <c r="Z989" s="6"/>
    </row>
    <row r="990" spans="1:26" s="93" customFormat="1" ht="18">
      <c r="A990" s="333">
        <v>110</v>
      </c>
      <c r="B990" s="335" t="s">
        <v>945</v>
      </c>
      <c r="C990" s="886">
        <f>cходова!R990</f>
        <v>0</v>
      </c>
      <c r="D990" s="886">
        <f>прибуд.!O990</f>
        <v>0.52950532998544386</v>
      </c>
      <c r="E990" s="886">
        <f>гар.вода!M990+хол.вода!Q990+ц.о.!M990+каналізація!Q990+аварійні!I990+зварювальн!M990</f>
        <v>0.22090127606686746</v>
      </c>
      <c r="F990" s="886">
        <f>дератизац.!I990</f>
        <v>3.2641921397379911E-3</v>
      </c>
      <c r="G990" s="886">
        <f>димоканал!R990</f>
        <v>5.0262438556679806E-2</v>
      </c>
      <c r="H990" s="886">
        <f>'підготовка до зими'!M990+майстерні!M990+маляри!M990+покрівлі!O990</f>
        <v>0.31909702990658451</v>
      </c>
      <c r="I990" s="886">
        <f>електрики!R990</f>
        <v>2.4782766195519567E-2</v>
      </c>
      <c r="J990" s="989">
        <f t="shared" si="113"/>
        <v>1.1478130328508331</v>
      </c>
      <c r="K990" s="989">
        <v>2.9064450388574897E-2</v>
      </c>
      <c r="L990" s="994">
        <f t="shared" si="115"/>
        <v>1.176877483239408</v>
      </c>
      <c r="M990" s="994">
        <f t="shared" si="114"/>
        <v>1.4122529798872896</v>
      </c>
      <c r="N990" s="753">
        <v>2</v>
      </c>
      <c r="O990" s="994">
        <v>1.1974553560092858</v>
      </c>
      <c r="P990" s="22">
        <f t="shared" si="116"/>
        <v>0.21479762387800383</v>
      </c>
      <c r="Q990" s="982">
        <f t="shared" si="117"/>
        <v>17.937839836789564</v>
      </c>
      <c r="R990" s="6"/>
      <c r="S990" s="6"/>
      <c r="T990" s="6"/>
      <c r="U990" s="6"/>
      <c r="V990" s="6"/>
      <c r="W990" s="6"/>
      <c r="X990" s="6"/>
      <c r="Y990" s="6"/>
      <c r="Z990" s="6"/>
    </row>
    <row r="991" spans="1:26" s="93" customFormat="1" ht="18">
      <c r="A991" s="333">
        <v>111</v>
      </c>
      <c r="B991" s="394" t="s">
        <v>946</v>
      </c>
      <c r="C991" s="886">
        <f>cходова!R991</f>
        <v>0</v>
      </c>
      <c r="D991" s="886">
        <f>прибуд.!O991</f>
        <v>0.41517656969288241</v>
      </c>
      <c r="E991" s="886">
        <f>гар.вода!M991+хол.вода!Q991+ц.о.!M991+каналізація!Q991+аварійні!I991+зварювальн!M991</f>
        <v>0.20900475479489314</v>
      </c>
      <c r="F991" s="886">
        <f>дератизац.!I991</f>
        <v>9.0060178460261476E-4</v>
      </c>
      <c r="G991" s="886">
        <f>димоканал!R991</f>
        <v>1.3863059244591299E-2</v>
      </c>
      <c r="H991" s="886">
        <f>'підготовка до зими'!M991+майстерні!M991+маляри!M991+покрівлі!O991</f>
        <v>0.20960660706860051</v>
      </c>
      <c r="I991" s="886">
        <f>електрики!R991</f>
        <v>2.267039408205004E-2</v>
      </c>
      <c r="J991" s="989">
        <f t="shared" si="113"/>
        <v>0.87122198666762007</v>
      </c>
      <c r="K991" s="989">
        <v>2.2078653946729535E-2</v>
      </c>
      <c r="L991" s="994">
        <f t="shared" si="115"/>
        <v>0.89330064061434966</v>
      </c>
      <c r="M991" s="994">
        <f t="shared" si="114"/>
        <v>1.0719607687372195</v>
      </c>
      <c r="N991" s="753">
        <v>3</v>
      </c>
      <c r="O991" s="994">
        <v>0.90964054260525695</v>
      </c>
      <c r="P991" s="22">
        <f t="shared" si="116"/>
        <v>0.16232022613196251</v>
      </c>
      <c r="Q991" s="982">
        <f t="shared" si="117"/>
        <v>17.844436184327179</v>
      </c>
      <c r="R991" s="6"/>
      <c r="S991" s="6"/>
      <c r="T991" s="6"/>
      <c r="U991" s="6"/>
      <c r="V991" s="6"/>
      <c r="W991" s="6"/>
      <c r="X991" s="6"/>
      <c r="Y991" s="6"/>
      <c r="Z991" s="6"/>
    </row>
    <row r="992" spans="1:26" s="93" customFormat="1" ht="18">
      <c r="A992" s="333">
        <v>112</v>
      </c>
      <c r="B992" s="335" t="s">
        <v>947</v>
      </c>
      <c r="C992" s="886">
        <f>cходова!R992</f>
        <v>0</v>
      </c>
      <c r="D992" s="886">
        <f>прибуд.!O992</f>
        <v>0.32065103559730929</v>
      </c>
      <c r="E992" s="886">
        <f>гар.вода!M992+хол.вода!Q992+ц.о.!M992+каналізація!Q992+аварійні!I992+зварювальн!M992</f>
        <v>0.19810057648222018</v>
      </c>
      <c r="F992" s="886">
        <f>дератизац.!I992</f>
        <v>3.0201809324982608E-3</v>
      </c>
      <c r="G992" s="886">
        <f>димоканал!R992</f>
        <v>4.3261996681040214E-2</v>
      </c>
      <c r="H992" s="886">
        <f>'підготовка до зими'!M992+майстерні!M992+маляри!M992+покрівлі!O992</f>
        <v>0.37760247937245295</v>
      </c>
      <c r="I992" s="886">
        <f>електрики!R992</f>
        <v>2.0734224536230621E-2</v>
      </c>
      <c r="J992" s="989">
        <f t="shared" si="113"/>
        <v>0.96337049360175153</v>
      </c>
      <c r="K992" s="989">
        <v>2.4714450609178748E-2</v>
      </c>
      <c r="L992" s="994">
        <f t="shared" si="115"/>
        <v>0.98808494421093029</v>
      </c>
      <c r="M992" s="994">
        <f t="shared" si="114"/>
        <v>1.1857019330531162</v>
      </c>
      <c r="N992" s="753">
        <v>1</v>
      </c>
      <c r="O992" s="994">
        <v>1.0182353650981644</v>
      </c>
      <c r="P992" s="22">
        <f t="shared" si="116"/>
        <v>0.16746656795495185</v>
      </c>
      <c r="Q992" s="982">
        <f t="shared" si="117"/>
        <v>16.446744406565287</v>
      </c>
      <c r="R992" s="6"/>
      <c r="S992" s="6"/>
      <c r="T992" s="6"/>
      <c r="U992" s="6"/>
      <c r="V992" s="6"/>
      <c r="W992" s="6"/>
      <c r="X992" s="6"/>
      <c r="Y992" s="6"/>
      <c r="Z992" s="6"/>
    </row>
    <row r="993" spans="1:26" s="892" customFormat="1" ht="18">
      <c r="A993" s="333">
        <v>113</v>
      </c>
      <c r="B993" s="394" t="s">
        <v>948</v>
      </c>
      <c r="C993" s="886">
        <f>cходова!R993</f>
        <v>0</v>
      </c>
      <c r="D993" s="886">
        <f>прибуд.!O993</f>
        <v>0.39887079133771924</v>
      </c>
      <c r="E993" s="886">
        <f>гар.вода!M993+хол.вода!Q993+ц.о.!M993+каналізація!Q993+аварійні!I993+зварювальн!M993</f>
        <v>0.20399037380990892</v>
      </c>
      <c r="F993" s="886">
        <f>дератизац.!I993</f>
        <v>4.0423976608187136E-3</v>
      </c>
      <c r="G993" s="886">
        <f>димоканал!R993</f>
        <v>3.0296047383360027E-2</v>
      </c>
      <c r="H993" s="886">
        <f>'підготовка до зими'!M993+майстерні!M993+маляри!M993+покрівлі!O993</f>
        <v>0.3974786701695453</v>
      </c>
      <c r="I993" s="886">
        <f>електрики!R993</f>
        <v>2.1780029721172073E-2</v>
      </c>
      <c r="J993" s="989">
        <f t="shared" si="113"/>
        <v>1.0564583100825242</v>
      </c>
      <c r="K993" s="989">
        <v>2.7073263098012092E-2</v>
      </c>
      <c r="L993" s="994">
        <f t="shared" si="115"/>
        <v>1.0835315731805364</v>
      </c>
      <c r="M993" s="994">
        <f t="shared" si="114"/>
        <v>1.3002378878166436</v>
      </c>
      <c r="N993" s="753">
        <v>1</v>
      </c>
      <c r="O993" s="994">
        <v>1.1154184396380982</v>
      </c>
      <c r="P993" s="22">
        <f t="shared" si="116"/>
        <v>0.18481944817854545</v>
      </c>
      <c r="Q993" s="982">
        <f t="shared" si="117"/>
        <v>16.569517018071792</v>
      </c>
      <c r="R993" s="6"/>
      <c r="S993" s="6"/>
      <c r="T993" s="6"/>
      <c r="U993" s="6"/>
      <c r="V993" s="6"/>
      <c r="W993" s="6"/>
      <c r="X993" s="6"/>
      <c r="Y993" s="6"/>
      <c r="Z993" s="6"/>
    </row>
    <row r="994" spans="1:26" s="93" customFormat="1" ht="18">
      <c r="A994" s="333">
        <v>114</v>
      </c>
      <c r="B994" s="335" t="s">
        <v>949</v>
      </c>
      <c r="C994" s="886">
        <f>cходова!R994</f>
        <v>0</v>
      </c>
      <c r="D994" s="886">
        <f>прибуд.!O994</f>
        <v>0.42596037669789227</v>
      </c>
      <c r="E994" s="886">
        <f>гар.вода!M994+хол.вода!Q994+ц.о.!M994+каналізація!Q994+аварійні!I994+зварювальн!M994</f>
        <v>0.21232100965950923</v>
      </c>
      <c r="F994" s="886">
        <f>дератизац.!I994</f>
        <v>3.0327868852459017E-3</v>
      </c>
      <c r="G994" s="886">
        <f>димоканал!R994</f>
        <v>6.9535344782394454E-2</v>
      </c>
      <c r="H994" s="886">
        <f>'підготовка до зими'!M994+майстерні!M994+маляри!M994+покрівлі!O994</f>
        <v>0.31731993579288864</v>
      </c>
      <c r="I994" s="886">
        <f>електрики!R994</f>
        <v>2.325923548677861E-2</v>
      </c>
      <c r="J994" s="989">
        <f t="shared" si="113"/>
        <v>1.0514286893047091</v>
      </c>
      <c r="K994" s="989">
        <v>2.6713796261180398E-2</v>
      </c>
      <c r="L994" s="994">
        <f t="shared" si="115"/>
        <v>1.0781424855658894</v>
      </c>
      <c r="M994" s="994">
        <f t="shared" si="114"/>
        <v>1.2937709826790673</v>
      </c>
      <c r="N994" s="753">
        <v>1</v>
      </c>
      <c r="O994" s="994">
        <v>1.1006084059606325</v>
      </c>
      <c r="P994" s="22">
        <f t="shared" si="116"/>
        <v>0.19316257671843484</v>
      </c>
      <c r="Q994" s="982">
        <f t="shared" si="117"/>
        <v>17.550527115031329</v>
      </c>
      <c r="R994" s="6"/>
      <c r="S994" s="6"/>
      <c r="T994" s="6"/>
      <c r="U994" s="6"/>
      <c r="V994" s="6"/>
      <c r="W994" s="6"/>
      <c r="X994" s="6"/>
      <c r="Y994" s="6"/>
      <c r="Z994" s="6"/>
    </row>
    <row r="995" spans="1:26" s="93" customFormat="1" ht="18">
      <c r="A995" s="333">
        <v>115</v>
      </c>
      <c r="B995" s="394" t="s">
        <v>950</v>
      </c>
      <c r="C995" s="886">
        <f>cходова!R995</f>
        <v>0</v>
      </c>
      <c r="D995" s="886">
        <f>прибуд.!O995</f>
        <v>0.23415090868045982</v>
      </c>
      <c r="E995" s="886">
        <f>гар.вода!M995+хол.вода!Q995+ц.о.!M995+каналізація!Q995+аварійні!I995+зварювальн!M995</f>
        <v>0.27024654880204385</v>
      </c>
      <c r="F995" s="886">
        <f>дератизац.!I995</f>
        <v>3.5241379310344827E-3</v>
      </c>
      <c r="G995" s="886">
        <f>димоканал!R995</f>
        <v>2.8582753669266568E-2</v>
      </c>
      <c r="H995" s="886">
        <f>'підготовка до зими'!M995+майстерні!M995+маляри!M995+покрівлі!O995</f>
        <v>0.36551802664552735</v>
      </c>
      <c r="I995" s="886">
        <f>електрики!R995</f>
        <v>2.7397775318219218E-2</v>
      </c>
      <c r="J995" s="989">
        <f t="shared" si="113"/>
        <v>0.9294201510465514</v>
      </c>
      <c r="K995" s="989">
        <v>2.3864750889157051E-2</v>
      </c>
      <c r="L995" s="994">
        <f t="shared" si="115"/>
        <v>0.95328490193570847</v>
      </c>
      <c r="M995" s="994">
        <f t="shared" si="114"/>
        <v>1.1439418823228502</v>
      </c>
      <c r="N995" s="753">
        <v>1</v>
      </c>
      <c r="O995" s="994">
        <v>0.98322773663327057</v>
      </c>
      <c r="P995" s="22">
        <f t="shared" si="116"/>
        <v>0.16071414568957965</v>
      </c>
      <c r="Q995" s="982">
        <f t="shared" si="117"/>
        <v>16.345566718844879</v>
      </c>
      <c r="R995" s="6"/>
      <c r="S995" s="6"/>
      <c r="T995" s="6"/>
      <c r="U995" s="6"/>
      <c r="V995" s="6"/>
      <c r="W995" s="6"/>
      <c r="X995" s="6"/>
      <c r="Y995" s="6"/>
      <c r="Z995" s="6"/>
    </row>
    <row r="996" spans="1:26" s="892" customFormat="1" ht="18">
      <c r="A996" s="333">
        <v>116</v>
      </c>
      <c r="B996" s="335" t="s">
        <v>951</v>
      </c>
      <c r="C996" s="886">
        <f>cходова!R996</f>
        <v>0</v>
      </c>
      <c r="D996" s="886">
        <f>прибуд.!O996</f>
        <v>0.10206794660493829</v>
      </c>
      <c r="E996" s="886">
        <f>гар.вода!M996+хол.вода!Q996+ц.о.!M996+каналізація!Q996+аварійні!I996+зварювальн!M996</f>
        <v>0.22257543915880823</v>
      </c>
      <c r="F996" s="886">
        <f>дератизац.!I996</f>
        <v>3.4469696969696975E-3</v>
      </c>
      <c r="G996" s="886">
        <f>димоканал!R996</f>
        <v>5.2980293020897788E-2</v>
      </c>
      <c r="H996" s="886">
        <f>'підготовка до зими'!M996+майстерні!M996+маляри!M996+покрівлі!O996</f>
        <v>0.32245825084385255</v>
      </c>
      <c r="I996" s="886">
        <f>електрики!R996</f>
        <v>2.5080034224379967E-2</v>
      </c>
      <c r="J996" s="989">
        <f t="shared" si="113"/>
        <v>0.72860893354984646</v>
      </c>
      <c r="K996" s="989">
        <v>1.8719133403602407E-2</v>
      </c>
      <c r="L996" s="994">
        <f t="shared" si="115"/>
        <v>0.74732806695344889</v>
      </c>
      <c r="M996" s="994">
        <f t="shared" si="114"/>
        <v>0.89679368034413864</v>
      </c>
      <c r="N996" s="753">
        <v>1</v>
      </c>
      <c r="O996" s="994">
        <v>0.77122829622841926</v>
      </c>
      <c r="P996" s="22">
        <f t="shared" si="116"/>
        <v>0.12556538411571938</v>
      </c>
      <c r="Q996" s="982">
        <f t="shared" si="117"/>
        <v>16.28122110272389</v>
      </c>
      <c r="R996" s="6"/>
      <c r="S996" s="6"/>
      <c r="T996" s="6"/>
      <c r="U996" s="6"/>
      <c r="V996" s="6"/>
      <c r="W996" s="6"/>
      <c r="X996" s="6"/>
      <c r="Y996" s="6"/>
      <c r="Z996" s="6"/>
    </row>
    <row r="997" spans="1:26" s="93" customFormat="1" ht="18">
      <c r="A997" s="333">
        <v>117</v>
      </c>
      <c r="B997" s="394" t="s">
        <v>952</v>
      </c>
      <c r="C997" s="886">
        <f>cходова!R997</f>
        <v>0</v>
      </c>
      <c r="D997" s="886">
        <f>прибуд.!O997</f>
        <v>0.25071878312656637</v>
      </c>
      <c r="E997" s="886">
        <f>гар.вода!M997+хол.вода!Q997+ц.о.!M997+каналізація!Q997+аварійні!I997+зварювальн!M997</f>
        <v>0.18646731219523244</v>
      </c>
      <c r="F997" s="886">
        <f>дератизац.!I997</f>
        <v>3.9802631578947367E-3</v>
      </c>
      <c r="G997" s="886">
        <f>димоканал!R997</f>
        <v>2.6452438407649312E-2</v>
      </c>
      <c r="H997" s="886">
        <f>'підготовка до зими'!M997+майстерні!M997+маляри!M997+покрівлі!O997</f>
        <v>0.43659704184364623</v>
      </c>
      <c r="I997" s="886">
        <f>електрики!R997</f>
        <v>1.866859690386178E-2</v>
      </c>
      <c r="J997" s="989">
        <f t="shared" si="113"/>
        <v>0.9228844356348509</v>
      </c>
      <c r="K997" s="989">
        <v>2.339836536838227E-2</v>
      </c>
      <c r="L997" s="994">
        <f t="shared" si="115"/>
        <v>0.94628280100323314</v>
      </c>
      <c r="M997" s="994">
        <f t="shared" si="114"/>
        <v>1.1355393612038798</v>
      </c>
      <c r="N997" s="753">
        <v>1</v>
      </c>
      <c r="O997" s="994">
        <v>0.96401265317734941</v>
      </c>
      <c r="P997" s="22">
        <f t="shared" si="116"/>
        <v>0.17152670802653036</v>
      </c>
      <c r="Q997" s="982">
        <f t="shared" si="117"/>
        <v>17.792993428165587</v>
      </c>
      <c r="R997" s="6"/>
      <c r="S997" s="6"/>
      <c r="T997" s="6"/>
      <c r="U997" s="6"/>
      <c r="V997" s="6"/>
      <c r="W997" s="6"/>
      <c r="X997" s="6"/>
      <c r="Y997" s="6"/>
      <c r="Z997" s="6"/>
    </row>
    <row r="998" spans="1:26" s="93" customFormat="1" ht="18">
      <c r="A998" s="333">
        <v>118</v>
      </c>
      <c r="B998" s="335" t="s">
        <v>953</v>
      </c>
      <c r="C998" s="886">
        <f>cходова!R998</f>
        <v>0</v>
      </c>
      <c r="D998" s="886">
        <f>прибуд.!O998</f>
        <v>0.27825533949094527</v>
      </c>
      <c r="E998" s="886">
        <f>гар.вода!M998+хол.вода!Q998+ц.о.!M998+каналізація!Q998+аварійні!I998+зварювальн!M998</f>
        <v>0.20968328287559149</v>
      </c>
      <c r="F998" s="886">
        <f>дератизац.!I998</f>
        <v>2.3191440536974358E-3</v>
      </c>
      <c r="G998" s="886">
        <f>димоканал!R998</f>
        <v>6.1038831299168858E-2</v>
      </c>
      <c r="H998" s="886">
        <f>'підготовка до зими'!M998+майстерні!M998+маляри!M998+покрівлі!O998</f>
        <v>0.27763706489281181</v>
      </c>
      <c r="I998" s="886">
        <f>електрики!R998</f>
        <v>2.279087499937919E-2</v>
      </c>
      <c r="J998" s="989">
        <f t="shared" si="113"/>
        <v>0.85172453761159406</v>
      </c>
      <c r="K998" s="989">
        <v>2.1695735004027883E-2</v>
      </c>
      <c r="L998" s="994">
        <f t="shared" si="115"/>
        <v>0.87342027261562194</v>
      </c>
      <c r="M998" s="994">
        <f t="shared" si="114"/>
        <v>1.0481043271387462</v>
      </c>
      <c r="N998" s="753">
        <v>2</v>
      </c>
      <c r="O998" s="994">
        <v>0.89386428216594871</v>
      </c>
      <c r="P998" s="22">
        <f t="shared" si="116"/>
        <v>0.15424004497279753</v>
      </c>
      <c r="Q998" s="982">
        <f t="shared" si="117"/>
        <v>17.255420990651288</v>
      </c>
      <c r="R998" s="6"/>
      <c r="S998" s="6"/>
      <c r="T998" s="6"/>
      <c r="U998" s="6"/>
      <c r="V998" s="6"/>
      <c r="W998" s="6"/>
      <c r="X998" s="6"/>
      <c r="Y998" s="6"/>
      <c r="Z998" s="6"/>
    </row>
    <row r="999" spans="1:26" s="93" customFormat="1" ht="18">
      <c r="A999" s="333">
        <v>119</v>
      </c>
      <c r="B999" s="394" t="s">
        <v>954</v>
      </c>
      <c r="C999" s="886">
        <f>cходова!R999</f>
        <v>0</v>
      </c>
      <c r="D999" s="886">
        <f>прибуд.!O999</f>
        <v>0.45456118173108961</v>
      </c>
      <c r="E999" s="886">
        <f>гар.вода!M999+хол.вода!Q999+ц.о.!M999+каналізація!Q999+аварійні!I999+зварювальн!M999</f>
        <v>0.20558444106109408</v>
      </c>
      <c r="F999" s="886">
        <f>дератизац.!I999</f>
        <v>2.2645229367988452E-3</v>
      </c>
      <c r="G999" s="886">
        <f>димоканал!R999</f>
        <v>5.3764654843187772E-2</v>
      </c>
      <c r="H999" s="886">
        <f>'підготовка до зими'!M999+майстерні!M999+маляри!M999+покрівлі!O999</f>
        <v>0.28707972749428734</v>
      </c>
      <c r="I999" s="886">
        <f>електрики!R999</f>
        <v>2.2063075758868081E-2</v>
      </c>
      <c r="J999" s="989">
        <f t="shared" si="113"/>
        <v>1.0253176038253256</v>
      </c>
      <c r="K999" s="989">
        <v>2.6019011093968404E-2</v>
      </c>
      <c r="L999" s="994">
        <f t="shared" si="115"/>
        <v>1.051336614919294</v>
      </c>
      <c r="M999" s="994">
        <f t="shared" si="114"/>
        <v>1.2616039379031527</v>
      </c>
      <c r="N999" s="753">
        <v>2</v>
      </c>
      <c r="O999" s="994">
        <v>1.0719832570714982</v>
      </c>
      <c r="P999" s="22">
        <f t="shared" si="116"/>
        <v>0.18962068083165451</v>
      </c>
      <c r="Q999" s="982">
        <f t="shared" si="117"/>
        <v>17.688772616623737</v>
      </c>
      <c r="R999" s="6"/>
      <c r="S999" s="6"/>
      <c r="T999" s="6"/>
      <c r="U999" s="6"/>
      <c r="V999" s="6"/>
      <c r="W999" s="6"/>
      <c r="X999" s="6"/>
      <c r="Y999" s="6"/>
      <c r="Z999" s="6"/>
    </row>
    <row r="1000" spans="1:26" s="93" customFormat="1" ht="18">
      <c r="A1000" s="333">
        <v>120</v>
      </c>
      <c r="B1000" s="335" t="s">
        <v>955</v>
      </c>
      <c r="C1000" s="886">
        <f>cходова!R1000</f>
        <v>0</v>
      </c>
      <c r="D1000" s="886">
        <f>прибуд.!O1000</f>
        <v>0.48230986999900566</v>
      </c>
      <c r="E1000" s="886">
        <f>гар.вода!M1000+хол.вода!Q1000+ц.о.!M1000+каналізація!Q1000+аварійні!I1000+зварювальн!M1000</f>
        <v>0.26690788191574538</v>
      </c>
      <c r="F1000" s="886">
        <f>дератизац.!I1000</f>
        <v>2.7843150253571551E-3</v>
      </c>
      <c r="G1000" s="886">
        <f>димоканал!R1000</f>
        <v>9.2267409972057929E-2</v>
      </c>
      <c r="H1000" s="886">
        <f>'підготовка до зими'!M1000+майстерні!M1000+маляри!M1000+покрівлі!O1000</f>
        <v>0.24556433436237118</v>
      </c>
      <c r="I1000" s="886">
        <f>електрики!R1000</f>
        <v>2.9628175271202293E-2</v>
      </c>
      <c r="J1000" s="989">
        <f t="shared" si="113"/>
        <v>1.1194619865457396</v>
      </c>
      <c r="K1000" s="989">
        <v>2.8527449795417992E-2</v>
      </c>
      <c r="L1000" s="994">
        <f t="shared" si="115"/>
        <v>1.1479894363411576</v>
      </c>
      <c r="M1000" s="994">
        <f t="shared" si="114"/>
        <v>1.377587323609389</v>
      </c>
      <c r="N1000" s="753">
        <v>2</v>
      </c>
      <c r="O1000" s="994">
        <v>1.1753309315712213</v>
      </c>
      <c r="P1000" s="22">
        <f t="shared" si="116"/>
        <v>0.2022563920381677</v>
      </c>
      <c r="Q1000" s="982">
        <f t="shared" si="117"/>
        <v>17.208463302142874</v>
      </c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s="93" customFormat="1" ht="18">
      <c r="A1001" s="333">
        <v>121</v>
      </c>
      <c r="B1001" s="335" t="s">
        <v>956</v>
      </c>
      <c r="C1001" s="886">
        <f>cходова!R1001</f>
        <v>0</v>
      </c>
      <c r="D1001" s="886">
        <f>прибуд.!O1001</f>
        <v>0.57910998066372776</v>
      </c>
      <c r="E1001" s="886">
        <f>гар.вода!M1001+хол.вода!Q1001+ц.о.!M1001+каналізація!Q1001+аварійні!I1001+зварювальн!M1001</f>
        <v>0.32791356854999804</v>
      </c>
      <c r="F1001" s="886">
        <f>дератизац.!I1001</f>
        <v>3.3431300514327705E-3</v>
      </c>
      <c r="G1001" s="886">
        <f>димоканал!R1001</f>
        <v>3.0451868347124558E-2</v>
      </c>
      <c r="H1001" s="886">
        <f>'підготовка до зими'!M1001+майстерні!M1001+маляри!M1001+покрівлі!O1001</f>
        <v>0.3060183718464497</v>
      </c>
      <c r="I1001" s="886">
        <f>електрики!R1001</f>
        <v>4.3784100894288615E-2</v>
      </c>
      <c r="J1001" s="989">
        <f t="shared" si="113"/>
        <v>1.2906210203530213</v>
      </c>
      <c r="K1001" s="989">
        <v>3.2533883610492427E-2</v>
      </c>
      <c r="L1001" s="994">
        <f t="shared" si="115"/>
        <v>1.3231549039635138</v>
      </c>
      <c r="M1001" s="994">
        <f t="shared" si="114"/>
        <v>1.5877858847562165</v>
      </c>
      <c r="N1001" s="753">
        <v>2</v>
      </c>
      <c r="O1001" s="994">
        <v>1.340396004752288</v>
      </c>
      <c r="P1001" s="22">
        <f t="shared" si="116"/>
        <v>0.24738988000392848</v>
      </c>
      <c r="Q1001" s="982">
        <f t="shared" si="117"/>
        <v>18.456476975970062</v>
      </c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s="93" customFormat="1" ht="18">
      <c r="A1002" s="333">
        <v>122</v>
      </c>
      <c r="B1002" s="394" t="s">
        <v>957</v>
      </c>
      <c r="C1002" s="886">
        <f>cходова!R1002</f>
        <v>0</v>
      </c>
      <c r="D1002" s="886">
        <f>прибуд.!O1002</f>
        <v>0.26614732345624814</v>
      </c>
      <c r="E1002" s="886">
        <f>гар.вода!M1002+хол.вода!Q1002+ц.о.!M1002+каналізація!Q1002+аварійні!I1002+зварювальн!M1002</f>
        <v>0.42508248835294299</v>
      </c>
      <c r="F1002" s="886">
        <f>дератизац.!I1002</f>
        <v>4.3020193151887621E-3</v>
      </c>
      <c r="G1002" s="886">
        <f>димоканал!R1002</f>
        <v>3.6387175434974994E-2</v>
      </c>
      <c r="H1002" s="886">
        <f>'підготовка до зими'!M1002+майстерні!M1002+маляри!M1002+покрівлі!O1002</f>
        <v>0.48712252653500282</v>
      </c>
      <c r="I1002" s="886">
        <f>електрики!R1002</f>
        <v>6.1037624995593731E-2</v>
      </c>
      <c r="J1002" s="989">
        <f t="shared" si="113"/>
        <v>1.2800791580899513</v>
      </c>
      <c r="K1002" s="989">
        <v>3.2488174271031782E-2</v>
      </c>
      <c r="L1002" s="994">
        <f t="shared" si="115"/>
        <v>1.312567332360983</v>
      </c>
      <c r="M1002" s="994">
        <f t="shared" si="114"/>
        <v>1.5750807988331796</v>
      </c>
      <c r="N1002" s="753">
        <v>2</v>
      </c>
      <c r="O1002" s="994">
        <v>1.3385127799665095</v>
      </c>
      <c r="P1002" s="22">
        <f t="shared" si="116"/>
        <v>0.23656801886667012</v>
      </c>
      <c r="Q1002" s="982">
        <f t="shared" si="117"/>
        <v>17.673945471972942</v>
      </c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s="93" customFormat="1" ht="18">
      <c r="A1003" s="333">
        <v>123</v>
      </c>
      <c r="B1003" s="335" t="s">
        <v>958</v>
      </c>
      <c r="C1003" s="886">
        <f>cходова!R1003</f>
        <v>0</v>
      </c>
      <c r="D1003" s="886">
        <f>прибуд.!O1003</f>
        <v>0.57797359966457751</v>
      </c>
      <c r="E1003" s="886">
        <f>гар.вода!M1003+хол.вода!Q1003+ц.о.!M1003+каналізація!Q1003+аварійні!I1003+зварювальн!M1003</f>
        <v>0.25906837725566895</v>
      </c>
      <c r="F1003" s="886">
        <f>дератизац.!I1003</f>
        <v>7.1056580457233651E-4</v>
      </c>
      <c r="G1003" s="886">
        <f>димоканал!R1003</f>
        <v>1.2012391125400625E-2</v>
      </c>
      <c r="H1003" s="886">
        <f>'підготовка до зими'!M1003+майстерні!M1003+маляри!M1003+покрівлі!O1003</f>
        <v>0.29536537386152478</v>
      </c>
      <c r="I1003" s="886">
        <f>електрики!R1003</f>
        <v>3.155979944414871E-2</v>
      </c>
      <c r="J1003" s="989">
        <f t="shared" ref="J1003:J1064" si="118">I1003+H1003+G1003+F1003+E1003+D1003+C1003</f>
        <v>1.1766901071558928</v>
      </c>
      <c r="K1003" s="989">
        <v>2.9629113318747801E-2</v>
      </c>
      <c r="L1003" s="994">
        <f t="shared" si="115"/>
        <v>1.2063192204746407</v>
      </c>
      <c r="M1003" s="994">
        <f t="shared" ref="M1003:M1064" si="119">L1003*1.2</f>
        <v>1.4475830645695689</v>
      </c>
      <c r="N1003" s="753">
        <v>2</v>
      </c>
      <c r="O1003" s="994">
        <v>1.2207194687324094</v>
      </c>
      <c r="P1003" s="22">
        <f t="shared" si="116"/>
        <v>0.22686359583715943</v>
      </c>
      <c r="Q1003" s="982">
        <f t="shared" si="117"/>
        <v>18.584416948206268</v>
      </c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s="892" customFormat="1" ht="18">
      <c r="A1004" s="333">
        <v>124</v>
      </c>
      <c r="B1004" s="394" t="s">
        <v>959</v>
      </c>
      <c r="C1004" s="886">
        <f>cходова!R1004</f>
        <v>0</v>
      </c>
      <c r="D1004" s="886">
        <f>прибуд.!O1004</f>
        <v>0.22004638619501607</v>
      </c>
      <c r="E1004" s="886">
        <f>гар.вода!M1004+хол.вода!Q1004+ц.о.!M1004+каналізація!Q1004+аварійні!I1004+зварювальн!M1004</f>
        <v>0.24990210291819981</v>
      </c>
      <c r="F1004" s="886">
        <f>дератизац.!I1004</f>
        <v>3.6175948451574722E-3</v>
      </c>
      <c r="G1004" s="886">
        <f>димоканал!R1004</f>
        <v>2.0498502092962424E-2</v>
      </c>
      <c r="H1004" s="886">
        <f>'підготовка до зими'!M1004+майстерні!M1004+маляри!M1004+покрівлі!O1004</f>
        <v>0.28943863898035266</v>
      </c>
      <c r="I1004" s="886">
        <f>електрики!R1004</f>
        <v>2.2202484107900052E-2</v>
      </c>
      <c r="J1004" s="989">
        <f t="shared" si="118"/>
        <v>0.80570570913958839</v>
      </c>
      <c r="K1004" s="989">
        <v>2.0624884110608994E-2</v>
      </c>
      <c r="L1004" s="994">
        <f t="shared" si="115"/>
        <v>0.82633059325019742</v>
      </c>
      <c r="M1004" s="994">
        <f t="shared" si="119"/>
        <v>0.9915967119002369</v>
      </c>
      <c r="N1004" s="753">
        <v>2</v>
      </c>
      <c r="O1004" s="994">
        <v>0.84974522535709052</v>
      </c>
      <c r="P1004" s="22">
        <f t="shared" si="116"/>
        <v>0.14185148654314639</v>
      </c>
      <c r="Q1004" s="982">
        <f t="shared" si="117"/>
        <v>16.693413779822748</v>
      </c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s="93" customFormat="1" ht="18">
      <c r="A1005" s="333">
        <v>125</v>
      </c>
      <c r="B1005" s="335" t="s">
        <v>960</v>
      </c>
      <c r="C1005" s="886">
        <f>cходова!R1005</f>
        <v>0</v>
      </c>
      <c r="D1005" s="886">
        <f>прибуд.!O1005</f>
        <v>0.59901612775396551</v>
      </c>
      <c r="E1005" s="886">
        <f>гар.вода!M1005+хол.вода!Q1005+ц.о.!M1005+каналізація!Q1005+аварійні!I1005+зварювальн!M1005</f>
        <v>0.18291559829004192</v>
      </c>
      <c r="F1005" s="886">
        <f>дератизац.!I1005</f>
        <v>3.3817653468942977E-3</v>
      </c>
      <c r="G1005" s="886">
        <f>димоканал!R1005</f>
        <v>2.954732578442771E-2</v>
      </c>
      <c r="H1005" s="886">
        <f>'підготовка до зими'!M1005+майстерні!M1005+маляри!M1005+покрівлі!O1005</f>
        <v>0.2659517168199042</v>
      </c>
      <c r="I1005" s="886">
        <f>електрики!R1005</f>
        <v>1.8037946881319405E-2</v>
      </c>
      <c r="J1005" s="989">
        <f t="shared" si="118"/>
        <v>1.0988504808765529</v>
      </c>
      <c r="K1005" s="989">
        <v>2.7764033407743836E-2</v>
      </c>
      <c r="L1005" s="994">
        <f t="shared" si="115"/>
        <v>1.1266145142842967</v>
      </c>
      <c r="M1005" s="994">
        <f t="shared" si="119"/>
        <v>1.351937417141156</v>
      </c>
      <c r="N1005" s="753">
        <v>1</v>
      </c>
      <c r="O1005" s="994">
        <v>1.1438781763990462</v>
      </c>
      <c r="P1005" s="22">
        <f t="shared" si="116"/>
        <v>0.2080592407421098</v>
      </c>
      <c r="Q1005" s="982">
        <f t="shared" si="117"/>
        <v>18.188933492645589</v>
      </c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s="93" customFormat="1" ht="18">
      <c r="A1006" s="333">
        <v>126</v>
      </c>
      <c r="B1006" s="394" t="s">
        <v>961</v>
      </c>
      <c r="C1006" s="886">
        <f>cходова!R1006</f>
        <v>0</v>
      </c>
      <c r="D1006" s="886">
        <f>прибуд.!O1006</f>
        <v>0.47316618327263282</v>
      </c>
      <c r="E1006" s="886">
        <f>гар.вода!M1006+хол.вода!Q1006+ц.о.!M1006+каналізація!Q1006+аварійні!I1006+зварювальн!M1006</f>
        <v>0.19773604484650203</v>
      </c>
      <c r="F1006" s="886">
        <f>дератизац.!I1006</f>
        <v>1.8028095733610824E-3</v>
      </c>
      <c r="G1006" s="886">
        <f>димоканал!R1006</f>
        <v>2.7034488235506901E-2</v>
      </c>
      <c r="H1006" s="886">
        <f>'підготовка до зими'!M1006+майстерні!M1006+маляри!M1006+покрівлі!O1006</f>
        <v>0.21611063513036638</v>
      </c>
      <c r="I1006" s="886">
        <f>електрики!R1006</f>
        <v>2.0669497508542075E-2</v>
      </c>
      <c r="J1006" s="989">
        <f t="shared" si="118"/>
        <v>0.93651965856691133</v>
      </c>
      <c r="K1006" s="989">
        <v>2.3721780632127865E-2</v>
      </c>
      <c r="L1006" s="994">
        <f t="shared" si="115"/>
        <v>0.96024143919903915</v>
      </c>
      <c r="M1006" s="994">
        <f t="shared" si="119"/>
        <v>1.152289727038847</v>
      </c>
      <c r="N1006" s="753">
        <v>1</v>
      </c>
      <c r="O1006" s="994">
        <v>0.97733736204366806</v>
      </c>
      <c r="P1006" s="22">
        <f t="shared" si="116"/>
        <v>0.17495236499517897</v>
      </c>
      <c r="Q1006" s="982">
        <f t="shared" si="117"/>
        <v>17.900918535370792</v>
      </c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s="93" customFormat="1" ht="18">
      <c r="A1007" s="333">
        <v>127</v>
      </c>
      <c r="B1007" s="335" t="s">
        <v>962</v>
      </c>
      <c r="C1007" s="886">
        <f>cходова!R1007</f>
        <v>0</v>
      </c>
      <c r="D1007" s="886">
        <f>прибуд.!O1007</f>
        <v>0.58521583285070788</v>
      </c>
      <c r="E1007" s="886">
        <f>гар.вода!M1007+хол.вода!Q1007+ц.о.!M1007+каналізація!Q1007+аварійні!I1007+зварювальн!M1007</f>
        <v>0.243298863377967</v>
      </c>
      <c r="F1007" s="886">
        <f>дератизац.!I1007</f>
        <v>2.6351351351351355E-3</v>
      </c>
      <c r="G1007" s="886">
        <f>димоканал!R1007</f>
        <v>2.358488941889823E-2</v>
      </c>
      <c r="H1007" s="886">
        <f>'підготовка до зими'!M1007+майстерні!M1007+маляри!M1007+покрівлі!O1007</f>
        <v>0.24170338051586709</v>
      </c>
      <c r="I1007" s="886">
        <f>електрики!R1007</f>
        <v>2.875973036540869E-2</v>
      </c>
      <c r="J1007" s="989">
        <f t="shared" si="118"/>
        <v>1.1251978316639839</v>
      </c>
      <c r="K1007" s="989">
        <v>2.8415148048567367E-2</v>
      </c>
      <c r="L1007" s="994">
        <f t="shared" si="115"/>
        <v>1.1536129797125512</v>
      </c>
      <c r="M1007" s="1018">
        <f t="shared" si="119"/>
        <v>1.3843355756550613</v>
      </c>
      <c r="N1007" s="753">
        <v>2</v>
      </c>
      <c r="O1007" s="994">
        <v>1.1707040996009754</v>
      </c>
      <c r="P1007" s="22">
        <f t="shared" si="116"/>
        <v>0.21363147605408583</v>
      </c>
      <c r="Q1007" s="982">
        <f t="shared" si="117"/>
        <v>18.248118899293189</v>
      </c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s="93" customFormat="1" ht="18">
      <c r="A1008" s="333">
        <v>128</v>
      </c>
      <c r="B1008" s="394" t="s">
        <v>963</v>
      </c>
      <c r="C1008" s="886">
        <f>cходова!R1008</f>
        <v>0.41079558726346266</v>
      </c>
      <c r="D1008" s="886">
        <f>прибуд.!O1008</f>
        <v>0.25649301335702057</v>
      </c>
      <c r="E1008" s="886">
        <f>гар.вода!M1008+хол.вода!Q1008+ц.о.!M1008+каналізація!Q1008+аварійні!I1008+зварювальн!M1008</f>
        <v>0.29686149399896072</v>
      </c>
      <c r="F1008" s="886">
        <f>дератизац.!I1008</f>
        <v>1.350836508199437E-3</v>
      </c>
      <c r="G1008" s="886">
        <f>димоканал!R1008</f>
        <v>4.7338818486039783E-2</v>
      </c>
      <c r="H1008" s="886">
        <f>'підготовка до зими'!M1008+майстерні!M1008+маляри!M1008+покрівлі!O1008</f>
        <v>0.26886287490294813</v>
      </c>
      <c r="I1008" s="886">
        <f>електрики!R1008</f>
        <v>3.1257607670073684E-2</v>
      </c>
      <c r="J1008" s="989">
        <f t="shared" si="118"/>
        <v>1.3129602321867049</v>
      </c>
      <c r="K1008" s="989">
        <v>3.3434198199930959E-2</v>
      </c>
      <c r="L1008" s="994">
        <f t="shared" si="115"/>
        <v>1.3463944303866358</v>
      </c>
      <c r="M1008" s="994">
        <f t="shared" si="119"/>
        <v>1.6156733164639629</v>
      </c>
      <c r="N1008" s="753">
        <v>3</v>
      </c>
      <c r="O1008" s="994">
        <v>1.3774889658371559</v>
      </c>
      <c r="P1008" s="22">
        <f t="shared" si="116"/>
        <v>0.2381843506268071</v>
      </c>
      <c r="Q1008" s="982">
        <f t="shared" si="117"/>
        <v>17.291198443978303</v>
      </c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s="93" customFormat="1" ht="18">
      <c r="A1009" s="333">
        <v>129</v>
      </c>
      <c r="B1009" s="335" t="s">
        <v>964</v>
      </c>
      <c r="C1009" s="886">
        <f>cходова!R1009</f>
        <v>0.37585652752197585</v>
      </c>
      <c r="D1009" s="886">
        <f>прибуд.!O1009</f>
        <v>0.27915946551555743</v>
      </c>
      <c r="E1009" s="886">
        <f>гар.вода!M1009+хол.вода!Q1009+ц.о.!M1009+каналізація!Q1009+аварійні!I1009+зварювальн!M1009</f>
        <v>0.25332383312724172</v>
      </c>
      <c r="F1009" s="886">
        <f>дератизац.!I1009</f>
        <v>1.4650481372959399E-3</v>
      </c>
      <c r="G1009" s="886">
        <f>димоканал!R1009</f>
        <v>3.5343735201848719E-2</v>
      </c>
      <c r="H1009" s="886">
        <f>'підготовка до зими'!M1009+майстерні!M1009+маляри!M1009+покрівлі!O1009</f>
        <v>0.26248291811533631</v>
      </c>
      <c r="I1009" s="886">
        <f>електрики!R1009</f>
        <v>2.4943558525377479E-2</v>
      </c>
      <c r="J1009" s="989">
        <f t="shared" si="118"/>
        <v>1.2325750861446334</v>
      </c>
      <c r="K1009" s="989">
        <v>3.1355104778134635E-2</v>
      </c>
      <c r="L1009" s="994">
        <f t="shared" ref="L1009:L1072" si="120">J1009+K1009</f>
        <v>1.263930190922768</v>
      </c>
      <c r="M1009" s="994">
        <f t="shared" si="119"/>
        <v>1.5167162291073215</v>
      </c>
      <c r="N1009" s="753">
        <v>3</v>
      </c>
      <c r="O1009" s="994">
        <v>1.2918303168591472</v>
      </c>
      <c r="P1009" s="22">
        <f t="shared" ref="P1009:P1072" si="121">M1009-O1009</f>
        <v>0.22488591224817434</v>
      </c>
      <c r="Q1009" s="982">
        <f t="shared" ref="Q1009:Q1072" si="122">M1009/O1009*100-100</f>
        <v>17.408316658409433</v>
      </c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s="93" customFormat="1" ht="18">
      <c r="A1010" s="333">
        <v>130</v>
      </c>
      <c r="B1010" s="394" t="s">
        <v>965</v>
      </c>
      <c r="C1010" s="886">
        <f>cходова!R1010</f>
        <v>0.33744753282401224</v>
      </c>
      <c r="D1010" s="886">
        <f>прибуд.!O1010</f>
        <v>0.35105268633423337</v>
      </c>
      <c r="E1010" s="886">
        <f>гар.вода!M1010+хол.вода!Q1010+ц.о.!M1010+каналізація!Q1010+аварійні!I1010+зварювальн!M1010</f>
        <v>0.25200216937792863</v>
      </c>
      <c r="F1010" s="886">
        <f>дератизац.!I1010</f>
        <v>1.81723779854621E-3</v>
      </c>
      <c r="G1010" s="886">
        <f>димоканал!R1010</f>
        <v>4.6956006652099716E-2</v>
      </c>
      <c r="H1010" s="886">
        <f>'підготовка до зими'!M1010+майстерні!M1010+маляри!M1010+покрівлі!O1010</f>
        <v>0.26527089440112728</v>
      </c>
      <c r="I1010" s="886">
        <f>електрики!R1010</f>
        <v>2.4751884243874062E-2</v>
      </c>
      <c r="J1010" s="989">
        <f t="shared" si="118"/>
        <v>1.2792984116318216</v>
      </c>
      <c r="K1010" s="989">
        <v>3.2544838098468254E-2</v>
      </c>
      <c r="L1010" s="994">
        <f t="shared" si="120"/>
        <v>1.3118432497302899</v>
      </c>
      <c r="M1010" s="994">
        <f t="shared" si="119"/>
        <v>1.5742118996763479</v>
      </c>
      <c r="N1010" s="753">
        <v>3</v>
      </c>
      <c r="O1010" s="994">
        <v>1.3408473296568919</v>
      </c>
      <c r="P1010" s="22">
        <f t="shared" si="121"/>
        <v>0.23336457001945599</v>
      </c>
      <c r="Q1010" s="982">
        <f t="shared" si="122"/>
        <v>17.404261086097804</v>
      </c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s="93" customFormat="1" ht="18">
      <c r="A1011" s="333">
        <v>131</v>
      </c>
      <c r="B1011" s="335" t="s">
        <v>966</v>
      </c>
      <c r="C1011" s="886">
        <f>cходова!R1011</f>
        <v>0.42805716395201021</v>
      </c>
      <c r="D1011" s="886">
        <f>прибуд.!O1011</f>
        <v>0.44735052637683853</v>
      </c>
      <c r="E1011" s="886">
        <f>гар.вода!M1011+хол.вода!Q1011+ц.о.!M1011+каналізація!Q1011+аварійні!I1011+зварювальн!M1011</f>
        <v>0.21613371906679821</v>
      </c>
      <c r="F1011" s="886">
        <f>дератизац.!I1011</f>
        <v>1.3172043010752691E-3</v>
      </c>
      <c r="G1011" s="886">
        <f>димоканал!R1011</f>
        <v>4.0367122297069034E-2</v>
      </c>
      <c r="H1011" s="886">
        <f>'підготовка до зими'!M1011+майстерні!M1011+маляри!M1011+покрівлі!O1011</f>
        <v>0.21232287994791382</v>
      </c>
      <c r="I1011" s="886">
        <f>електрики!R1011</f>
        <v>2.3936228436616254E-2</v>
      </c>
      <c r="J1011" s="989">
        <f t="shared" si="118"/>
        <v>1.3694848443783214</v>
      </c>
      <c r="K1011" s="989">
        <v>3.4458660167273156E-2</v>
      </c>
      <c r="L1011" s="994">
        <f t="shared" si="120"/>
        <v>1.4039435045455946</v>
      </c>
      <c r="M1011" s="994">
        <f t="shared" si="119"/>
        <v>1.6847322054547134</v>
      </c>
      <c r="N1011" s="753">
        <v>3</v>
      </c>
      <c r="O1011" s="994">
        <v>1.419696798891654</v>
      </c>
      <c r="P1011" s="22">
        <f t="shared" si="121"/>
        <v>0.26503540656305935</v>
      </c>
      <c r="Q1011" s="982">
        <f t="shared" si="122"/>
        <v>18.668451374263185</v>
      </c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s="93" customFormat="1" ht="18">
      <c r="A1012" s="333">
        <v>132</v>
      </c>
      <c r="B1012" s="394" t="s">
        <v>967</v>
      </c>
      <c r="C1012" s="886">
        <f>cходова!R1012</f>
        <v>0</v>
      </c>
      <c r="D1012" s="886">
        <f>прибуд.!O1012</f>
        <v>0.4625049043173024</v>
      </c>
      <c r="E1012" s="886">
        <f>гар.вода!M1012+хол.вода!Q1012+ц.о.!M1012+каналізація!Q1012+аварійні!I1012+зварювальн!M1012</f>
        <v>0.26684672915409674</v>
      </c>
      <c r="F1012" s="886">
        <f>дератизац.!I1012</f>
        <v>4.3532338308457713E-3</v>
      </c>
      <c r="G1012" s="886">
        <f>димоканал!R1012</f>
        <v>2.2055718664506892E-2</v>
      </c>
      <c r="H1012" s="886">
        <f>'підготовка до зими'!M1012+майстерні!M1012+маляри!M1012+покрівлі!O1012</f>
        <v>0.31580144865842474</v>
      </c>
      <c r="I1012" s="886">
        <f>електрики!R1012</f>
        <v>3.2940940473812498E-2</v>
      </c>
      <c r="J1012" s="989">
        <f t="shared" si="118"/>
        <v>1.1045029750989892</v>
      </c>
      <c r="K1012" s="989">
        <v>2.7958830254007763E-2</v>
      </c>
      <c r="L1012" s="994">
        <f t="shared" si="120"/>
        <v>1.1324618053529969</v>
      </c>
      <c r="M1012" s="994">
        <f t="shared" si="119"/>
        <v>1.3589541664235962</v>
      </c>
      <c r="N1012" s="753">
        <v>2</v>
      </c>
      <c r="O1012" s="994">
        <v>1.1519038064651199</v>
      </c>
      <c r="P1012" s="22">
        <f t="shared" si="121"/>
        <v>0.20705035995847632</v>
      </c>
      <c r="Q1012" s="982">
        <f t="shared" si="122"/>
        <v>17.974622429094794</v>
      </c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s="93" customFormat="1" ht="18">
      <c r="A1013" s="333">
        <v>133</v>
      </c>
      <c r="B1013" s="335" t="s">
        <v>968</v>
      </c>
      <c r="C1013" s="886">
        <f>cходова!R1013</f>
        <v>0</v>
      </c>
      <c r="D1013" s="886">
        <f>прибуд.!O1013</f>
        <v>0.43261826909616036</v>
      </c>
      <c r="E1013" s="886">
        <f>гар.вода!M1013+хол.вода!Q1013+ц.о.!M1013+каналізація!Q1013+аварійні!I1013+зварювальн!M1013</f>
        <v>0.25237974579172201</v>
      </c>
      <c r="F1013" s="886">
        <f>дератизац.!I1013</f>
        <v>5.3516819571865449E-3</v>
      </c>
      <c r="G1013" s="886">
        <f>димоканал!R1013</f>
        <v>2.7114369734347922E-2</v>
      </c>
      <c r="H1013" s="886">
        <f>'підготовка до зими'!M1013+майстерні!M1013+маляри!M1013+покрівлі!O1013</f>
        <v>0.30114131445811088</v>
      </c>
      <c r="I1013" s="886">
        <f>електрики!R1013</f>
        <v>3.0372151537781247E-2</v>
      </c>
      <c r="J1013" s="989">
        <f t="shared" si="118"/>
        <v>1.048977532575309</v>
      </c>
      <c r="K1013" s="989">
        <v>2.6589945347384063E-2</v>
      </c>
      <c r="L1013" s="994">
        <f t="shared" si="120"/>
        <v>1.0755674779226931</v>
      </c>
      <c r="M1013" s="1018">
        <f t="shared" si="119"/>
        <v>1.2906809735072318</v>
      </c>
      <c r="N1013" s="753">
        <v>1</v>
      </c>
      <c r="O1013" s="994">
        <v>1.0955057483122235</v>
      </c>
      <c r="P1013" s="22">
        <f t="shared" si="121"/>
        <v>0.1951752251950083</v>
      </c>
      <c r="Q1013" s="982">
        <f t="shared" si="122"/>
        <v>17.815992795629086</v>
      </c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s="93" customFormat="1" ht="18">
      <c r="A1014" s="333">
        <v>134</v>
      </c>
      <c r="B1014" s="394" t="s">
        <v>969</v>
      </c>
      <c r="C1014" s="886">
        <f>cходова!R1014</f>
        <v>0</v>
      </c>
      <c r="D1014" s="886">
        <f>прибуд.!O1014</f>
        <v>0.50948201918767511</v>
      </c>
      <c r="E1014" s="886">
        <f>гар.вода!M1014+хол.вода!Q1014+ц.о.!M1014+каналізація!Q1014+аварійні!I1014+зварювальн!M1014</f>
        <v>0.31634412180989346</v>
      </c>
      <c r="F1014" s="886">
        <f>дератизац.!I1014</f>
        <v>3.6764705882352945E-3</v>
      </c>
      <c r="G1014" s="886">
        <f>димоканал!R1014</f>
        <v>2.7940332677936247E-2</v>
      </c>
      <c r="H1014" s="886">
        <f>'підготовка до зими'!M1014+майстерні!M1014+маляри!M1014+покрівлі!O1014</f>
        <v>0.27767179009817228</v>
      </c>
      <c r="I1014" s="886">
        <f>електрики!R1014</f>
        <v>4.1729804843926334E-2</v>
      </c>
      <c r="J1014" s="989">
        <f t="shared" si="118"/>
        <v>1.1768445392058386</v>
      </c>
      <c r="K1014" s="989">
        <v>2.9761396959867667E-2</v>
      </c>
      <c r="L1014" s="994">
        <f t="shared" si="120"/>
        <v>1.2066059361657062</v>
      </c>
      <c r="M1014" s="994">
        <f t="shared" si="119"/>
        <v>1.4479271233988473</v>
      </c>
      <c r="N1014" s="753">
        <v>2</v>
      </c>
      <c r="O1014" s="994">
        <v>1.2261695547465481</v>
      </c>
      <c r="P1014" s="22">
        <f t="shared" si="121"/>
        <v>0.22175756865229923</v>
      </c>
      <c r="Q1014" s="982">
        <f t="shared" si="122"/>
        <v>18.085391844371543</v>
      </c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s="93" customFormat="1" ht="18">
      <c r="A1015" s="333">
        <v>135</v>
      </c>
      <c r="B1015" s="335" t="s">
        <v>970</v>
      </c>
      <c r="C1015" s="886">
        <f>cходова!R1015</f>
        <v>0.54706117387609199</v>
      </c>
      <c r="D1015" s="886">
        <f>прибуд.!O1015</f>
        <v>0.29518178468331935</v>
      </c>
      <c r="E1015" s="886">
        <f>гар.вода!M1015+хол.вода!Q1015+ц.о.!M1015+каналізація!Q1015+аварійні!I1015+зварювальн!M1015</f>
        <v>0.21904042980867483</v>
      </c>
      <c r="F1015" s="886">
        <f>дератизац.!I1015</f>
        <v>3.3810472445001639E-3</v>
      </c>
      <c r="G1015" s="886">
        <f>димоканал!R1015</f>
        <v>5.1390366137267895E-3</v>
      </c>
      <c r="H1015" s="886">
        <f>'підготовка до зими'!M1015+майстерні!M1015+маляри!M1015+покрівлі!O1015</f>
        <v>0.19952841029632506</v>
      </c>
      <c r="I1015" s="886">
        <f>електрики!R1015</f>
        <v>1.7056266727669144E-2</v>
      </c>
      <c r="J1015" s="989">
        <f t="shared" si="118"/>
        <v>1.2863881492503073</v>
      </c>
      <c r="K1015" s="989">
        <v>3.2599568554928737E-2</v>
      </c>
      <c r="L1015" s="994">
        <f t="shared" si="120"/>
        <v>1.318987717805236</v>
      </c>
      <c r="M1015" s="994">
        <f t="shared" si="119"/>
        <v>1.5827852613662832</v>
      </c>
      <c r="N1015" s="753">
        <v>4</v>
      </c>
      <c r="O1015" s="994">
        <v>1.3431022244630639</v>
      </c>
      <c r="P1015" s="22">
        <f t="shared" si="121"/>
        <v>0.23968303690321924</v>
      </c>
      <c r="Q1015" s="982">
        <f t="shared" si="122"/>
        <v>17.845479855342944</v>
      </c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s="892" customFormat="1" ht="18">
      <c r="A1016" s="333">
        <v>136</v>
      </c>
      <c r="B1016" s="394" t="s">
        <v>971</v>
      </c>
      <c r="C1016" s="886">
        <f>cходова!R1016</f>
        <v>0</v>
      </c>
      <c r="D1016" s="886">
        <f>прибуд.!O1016</f>
        <v>0.21284424354787232</v>
      </c>
      <c r="E1016" s="886">
        <f>гар.вода!M1016+хол.вода!Q1016+ц.о.!M1016+каналізація!Q1016+аварійні!I1016+зварювальн!M1016</f>
        <v>0.20033662904769978</v>
      </c>
      <c r="F1016" s="886">
        <f>дератизац.!I1016</f>
        <v>2.4388297872340427E-3</v>
      </c>
      <c r="G1016" s="886">
        <f>димоканал!R1016</f>
        <v>2.5171113361496581E-2</v>
      </c>
      <c r="H1016" s="886">
        <f>'підготовка до зими'!M1016+майстерні!M1016+маляри!M1016+покрівлі!O1016</f>
        <v>0.27006123527250792</v>
      </c>
      <c r="I1016" s="886">
        <f>електрики!R1016</f>
        <v>2.113126287841376E-2</v>
      </c>
      <c r="J1016" s="989">
        <f t="shared" si="118"/>
        <v>0.73198331389522442</v>
      </c>
      <c r="K1016" s="989">
        <v>1.8766242060317934E-2</v>
      </c>
      <c r="L1016" s="994">
        <f t="shared" si="120"/>
        <v>0.75074955595554238</v>
      </c>
      <c r="M1016" s="994">
        <f t="shared" si="119"/>
        <v>0.90089946714665081</v>
      </c>
      <c r="N1016" s="753">
        <v>1</v>
      </c>
      <c r="O1016" s="994">
        <v>0.7731691728850989</v>
      </c>
      <c r="P1016" s="22">
        <f t="shared" si="121"/>
        <v>0.12773029426155191</v>
      </c>
      <c r="Q1016" s="982">
        <f t="shared" si="122"/>
        <v>16.5203552781241</v>
      </c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s="93" customFormat="1" ht="18">
      <c r="A1017" s="333">
        <v>137</v>
      </c>
      <c r="B1017" s="335" t="s">
        <v>972</v>
      </c>
      <c r="C1017" s="886">
        <f>cходова!R1017</f>
        <v>0</v>
      </c>
      <c r="D1017" s="886">
        <f>прибуд.!O1017</f>
        <v>0.36343976191643956</v>
      </c>
      <c r="E1017" s="886">
        <f>гар.вода!M1017+хол.вода!Q1017+ц.о.!M1017+каналізація!Q1017+аварійні!I1017+зварювальн!M1017</f>
        <v>0.23373660646915539</v>
      </c>
      <c r="F1017" s="886">
        <f>дератизац.!I1017</f>
        <v>2.797456857402362E-3</v>
      </c>
      <c r="G1017" s="886">
        <f>димоканал!R1017</f>
        <v>1.8821522625084706E-2</v>
      </c>
      <c r="H1017" s="886">
        <f>'підготовка до зими'!M1017+майстерні!M1017+маляри!M1017+покрівлі!O1017</f>
        <v>0.34922511998284866</v>
      </c>
      <c r="I1017" s="886">
        <f>електрики!R1017</f>
        <v>2.706183529388138E-2</v>
      </c>
      <c r="J1017" s="989">
        <f t="shared" si="118"/>
        <v>0.99508230314481205</v>
      </c>
      <c r="K1017" s="989">
        <v>2.5306110666882424E-2</v>
      </c>
      <c r="L1017" s="994">
        <f t="shared" si="120"/>
        <v>1.0203884138116945</v>
      </c>
      <c r="M1017" s="994">
        <f t="shared" si="119"/>
        <v>1.2244660965740335</v>
      </c>
      <c r="N1017" s="753">
        <v>2</v>
      </c>
      <c r="O1017" s="994">
        <v>1.042611759475556</v>
      </c>
      <c r="P1017" s="22">
        <f t="shared" si="121"/>
        <v>0.18185433709847754</v>
      </c>
      <c r="Q1017" s="982">
        <f t="shared" si="122"/>
        <v>17.442191251511701</v>
      </c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s="93" customFormat="1" ht="18">
      <c r="A1018" s="333">
        <v>138</v>
      </c>
      <c r="B1018" s="394" t="s">
        <v>973</v>
      </c>
      <c r="C1018" s="886">
        <f>cходова!R1018</f>
        <v>0</v>
      </c>
      <c r="D1018" s="886">
        <f>прибуд.!O1018</f>
        <v>0.18542501291473584</v>
      </c>
      <c r="E1018" s="886">
        <f>гар.вода!M1018+хол.вода!Q1018+ц.о.!M1018+каналізація!Q1018+аварійні!I1018+зварювальн!M1018</f>
        <v>0.18500570371949482</v>
      </c>
      <c r="F1018" s="886">
        <f>дератизац.!I1018</f>
        <v>2.4003707136237263E-3</v>
      </c>
      <c r="G1018" s="886">
        <f>димоканал!R1018</f>
        <v>1.5765567546300239E-2</v>
      </c>
      <c r="H1018" s="886">
        <f>'підготовка до зими'!M1018+майстерні!M1018+маляри!M1018+покрівлі!O1018</f>
        <v>0.26531913981326899</v>
      </c>
      <c r="I1018" s="886">
        <f>електрики!R1018</f>
        <v>1.8409070533557861E-2</v>
      </c>
      <c r="J1018" s="989">
        <f t="shared" si="118"/>
        <v>0.67232486524098145</v>
      </c>
      <c r="K1018" s="989">
        <v>1.7195269919462793E-2</v>
      </c>
      <c r="L1018" s="994">
        <f t="shared" si="120"/>
        <v>0.68952013516044419</v>
      </c>
      <c r="M1018" s="994">
        <f t="shared" si="119"/>
        <v>0.82742416219253301</v>
      </c>
      <c r="N1018" s="753">
        <v>2</v>
      </c>
      <c r="O1018" s="994">
        <v>0.70844512068186705</v>
      </c>
      <c r="P1018" s="22">
        <f t="shared" si="121"/>
        <v>0.11897904151066596</v>
      </c>
      <c r="Q1018" s="982">
        <f t="shared" si="122"/>
        <v>16.794390706813061</v>
      </c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s="93" customFormat="1" ht="18">
      <c r="A1019" s="333">
        <v>139</v>
      </c>
      <c r="B1019" s="335" t="s">
        <v>974</v>
      </c>
      <c r="C1019" s="886">
        <f>cходова!R1019</f>
        <v>5.1957522499541914E-2</v>
      </c>
      <c r="D1019" s="886">
        <f>прибуд.!O1019</f>
        <v>0.59429135982852899</v>
      </c>
      <c r="E1019" s="886">
        <f>гар.вода!M1019+хол.вода!Q1019+ц.о.!M1019+каналізація!Q1019+аварійні!I1019+зварювальн!M1019</f>
        <v>0.24596128718095372</v>
      </c>
      <c r="F1019" s="886">
        <f>дератизац.!I1019</f>
        <v>3.3079052183892532E-3</v>
      </c>
      <c r="G1019" s="886">
        <f>димоканал!R1019</f>
        <v>5.491378376056808E-3</v>
      </c>
      <c r="H1019" s="886">
        <f>'підготовка до зими'!M1019+майстерні!M1019+маляри!M1019+покрівлі!O1019</f>
        <v>0.1842005500926765</v>
      </c>
      <c r="I1019" s="886">
        <f>електрики!R1019</f>
        <v>2.1455086322240125E-2</v>
      </c>
      <c r="J1019" s="989">
        <f t="shared" si="118"/>
        <v>1.1066650895183872</v>
      </c>
      <c r="K1019" s="989">
        <v>2.7943856173470991E-2</v>
      </c>
      <c r="L1019" s="994">
        <f t="shared" si="120"/>
        <v>1.1346089456918582</v>
      </c>
      <c r="M1019" s="994">
        <f t="shared" si="119"/>
        <v>1.3615307348302299</v>
      </c>
      <c r="N1019" s="753">
        <v>4</v>
      </c>
      <c r="O1019" s="994">
        <v>1.1512868743470048</v>
      </c>
      <c r="P1019" s="22">
        <f t="shared" si="121"/>
        <v>0.21024386048322508</v>
      </c>
      <c r="Q1019" s="982">
        <f t="shared" si="122"/>
        <v>18.261639663222311</v>
      </c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s="93" customFormat="1" ht="18">
      <c r="A1020" s="333">
        <v>140</v>
      </c>
      <c r="B1020" s="394" t="s">
        <v>975</v>
      </c>
      <c r="C1020" s="886">
        <f>cходова!R1020</f>
        <v>0</v>
      </c>
      <c r="D1020" s="886">
        <f>прибуд.!O1020</f>
        <v>0.39730249202708606</v>
      </c>
      <c r="E1020" s="886">
        <f>гар.вода!M1020+хол.вода!Q1020+ц.о.!M1020+каналізація!Q1020+аварійні!I1020+зварювальн!M1020</f>
        <v>0.32592182249918761</v>
      </c>
      <c r="F1020" s="886">
        <f>дератизац.!I1020</f>
        <v>2.7293577981651381E-3</v>
      </c>
      <c r="G1020" s="886">
        <f>димоканал!R1020</f>
        <v>1.7430666257795092E-2</v>
      </c>
      <c r="H1020" s="886">
        <f>'підготовка до зими'!M1020+майстерні!M1020+маляри!M1020+покрівлі!O1020</f>
        <v>0.31265302579247206</v>
      </c>
      <c r="I1020" s="886">
        <f>електрики!R1020</f>
        <v>3.9049909120004458E-2</v>
      </c>
      <c r="J1020" s="989">
        <f t="shared" si="118"/>
        <v>1.0950872734947104</v>
      </c>
      <c r="K1020" s="989">
        <v>2.7850474510343663E-2</v>
      </c>
      <c r="L1020" s="994">
        <f t="shared" si="120"/>
        <v>1.122937748005054</v>
      </c>
      <c r="M1020" s="994">
        <f t="shared" si="119"/>
        <v>1.3475252976060648</v>
      </c>
      <c r="N1020" s="753">
        <v>1</v>
      </c>
      <c r="O1020" s="994">
        <v>1.1474395498261589</v>
      </c>
      <c r="P1020" s="22">
        <f t="shared" si="121"/>
        <v>0.20008574777990584</v>
      </c>
      <c r="Q1020" s="982">
        <f t="shared" si="122"/>
        <v>17.437585083259449</v>
      </c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s="93" customFormat="1" ht="18">
      <c r="A1021" s="333">
        <v>141</v>
      </c>
      <c r="B1021" s="335" t="s">
        <v>976</v>
      </c>
      <c r="C1021" s="886">
        <f>cходова!R1021</f>
        <v>0</v>
      </c>
      <c r="D1021" s="886">
        <f>прибуд.!O1021</f>
        <v>0.38268577275323107</v>
      </c>
      <c r="E1021" s="886">
        <f>гар.вода!M1021+хол.вода!Q1021+ц.о.!M1021+каналізація!Q1021+аварійні!I1021+зварювальн!M1021</f>
        <v>0.18220110242430129</v>
      </c>
      <c r="F1021" s="886">
        <f>дератизац.!I1021</f>
        <v>4.0712353471596035E-3</v>
      </c>
      <c r="G1021" s="886">
        <f>димоканал!R1021</f>
        <v>1.8685749693614299E-2</v>
      </c>
      <c r="H1021" s="886">
        <f>'підготовка до зими'!M1021+майстерні!M1021+маляри!M1021+покрівлі!O1021</f>
        <v>0.37602233790840528</v>
      </c>
      <c r="I1021" s="886">
        <f>електрики!R1021</f>
        <v>1.7911079446085602E-2</v>
      </c>
      <c r="J1021" s="989">
        <f t="shared" si="118"/>
        <v>0.98157727757279711</v>
      </c>
      <c r="K1021" s="989">
        <v>2.5105079705338582E-2</v>
      </c>
      <c r="L1021" s="994">
        <f t="shared" si="120"/>
        <v>1.0066823572781356</v>
      </c>
      <c r="M1021" s="994">
        <f t="shared" si="119"/>
        <v>1.2080188287337628</v>
      </c>
      <c r="N1021" s="753">
        <v>1</v>
      </c>
      <c r="O1021" s="994">
        <v>1.0343292838599496</v>
      </c>
      <c r="P1021" s="22">
        <f t="shared" si="121"/>
        <v>0.17368954487381316</v>
      </c>
      <c r="Q1021" s="982">
        <f t="shared" si="122"/>
        <v>16.792480652353944</v>
      </c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s="93" customFormat="1" ht="18">
      <c r="A1022" s="333">
        <v>142</v>
      </c>
      <c r="B1022" s="394" t="s">
        <v>977</v>
      </c>
      <c r="C1022" s="886">
        <f>cходова!R1022</f>
        <v>0</v>
      </c>
      <c r="D1022" s="886">
        <f>прибуд.!O1022</f>
        <v>0.22417208844257699</v>
      </c>
      <c r="E1022" s="886">
        <f>гар.вода!M1022+хол.вода!Q1022+ц.о.!M1022+каналізація!Q1022+аварійні!I1022+зварювальн!M1022</f>
        <v>0.26934108594934952</v>
      </c>
      <c r="F1022" s="886">
        <f>дератизац.!I1022</f>
        <v>5.9411764705882362E-3</v>
      </c>
      <c r="G1022" s="886">
        <f>димоканал!R1022</f>
        <v>4.9901835667365432E-2</v>
      </c>
      <c r="H1022" s="886">
        <f>'підготовка до зими'!M1022+майстерні!M1022+маляри!M1022+покрівлі!O1022</f>
        <v>0.50882796028057553</v>
      </c>
      <c r="I1022" s="886">
        <f>електрики!R1022</f>
        <v>3.3383843875141067E-2</v>
      </c>
      <c r="J1022" s="989">
        <f t="shared" si="118"/>
        <v>1.0915679906855968</v>
      </c>
      <c r="K1022" s="989">
        <v>2.7800085596391754E-2</v>
      </c>
      <c r="L1022" s="994">
        <f t="shared" si="120"/>
        <v>1.1193680762819886</v>
      </c>
      <c r="M1022" s="994">
        <f t="shared" si="119"/>
        <v>1.3432416915383862</v>
      </c>
      <c r="N1022" s="753">
        <v>2</v>
      </c>
      <c r="O1022" s="994">
        <v>1.1453635265713402</v>
      </c>
      <c r="P1022" s="22">
        <f t="shared" si="121"/>
        <v>0.19787816496704602</v>
      </c>
      <c r="Q1022" s="982">
        <f t="shared" si="122"/>
        <v>17.276450696784167</v>
      </c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s="93" customFormat="1" ht="18">
      <c r="A1023" s="333">
        <v>143</v>
      </c>
      <c r="B1023" s="335" t="s">
        <v>978</v>
      </c>
      <c r="C1023" s="886">
        <f>cходова!R1023</f>
        <v>0</v>
      </c>
      <c r="D1023" s="886">
        <f>прибуд.!O1023</f>
        <v>0.25065988747631346</v>
      </c>
      <c r="E1023" s="886">
        <f>гар.вода!M1023+хол.вода!Q1023+ц.о.!M1023+каналізація!Q1023+аварійні!I1023+зварювальн!M1023</f>
        <v>0.22586024140652064</v>
      </c>
      <c r="F1023" s="886">
        <f>дератизац.!I1023</f>
        <v>3.8888888888888883E-3</v>
      </c>
      <c r="G1023" s="886">
        <f>димоканал!R1023</f>
        <v>9.5903075652721034E-2</v>
      </c>
      <c r="H1023" s="886">
        <f>'підготовка до зими'!M1023+майстерні!M1023+маляри!M1023+покрівлі!O1023</f>
        <v>0.34019141255462065</v>
      </c>
      <c r="I1023" s="886">
        <f>електрики!R1023</f>
        <v>2.5663290834249265E-2</v>
      </c>
      <c r="J1023" s="989">
        <f t="shared" si="118"/>
        <v>0.94216679681331406</v>
      </c>
      <c r="K1023" s="989">
        <v>2.409454438549662E-2</v>
      </c>
      <c r="L1023" s="994">
        <f t="shared" si="120"/>
        <v>0.96626134119881069</v>
      </c>
      <c r="M1023" s="994">
        <f t="shared" si="119"/>
        <v>1.1595136094385727</v>
      </c>
      <c r="N1023" s="753">
        <v>1</v>
      </c>
      <c r="O1023" s="994">
        <v>0.99269522868246063</v>
      </c>
      <c r="P1023" s="22">
        <f t="shared" si="121"/>
        <v>0.16681838075611211</v>
      </c>
      <c r="Q1023" s="982">
        <f t="shared" si="122"/>
        <v>16.804591775616686</v>
      </c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s="93" customFormat="1" ht="18">
      <c r="A1024" s="333">
        <v>144</v>
      </c>
      <c r="B1024" s="394" t="s">
        <v>979</v>
      </c>
      <c r="C1024" s="886">
        <f>cходова!R1024</f>
        <v>0</v>
      </c>
      <c r="D1024" s="886">
        <f>прибуд.!O1024</f>
        <v>8.3856653227293687E-2</v>
      </c>
      <c r="E1024" s="886">
        <f>гар.вода!M1024+хол.вода!Q1024+ц.о.!M1024+каналізація!Q1024+аварійні!I1024+зварювальн!M1024</f>
        <v>0.23605539527078997</v>
      </c>
      <c r="F1024" s="886">
        <f>дератизац.!I1024</f>
        <v>3.2918395573997236E-3</v>
      </c>
      <c r="G1024" s="886">
        <f>димоканал!R1024</f>
        <v>4.1067209159173487E-2</v>
      </c>
      <c r="H1024" s="886">
        <f>'підготовка до зими'!M1024+майстерні!M1024+маляри!M1024+покрівлі!O1024</f>
        <v>0.41821426975210446</v>
      </c>
      <c r="I1024" s="886">
        <f>електрики!R1024</f>
        <v>2.7473564461561458E-2</v>
      </c>
      <c r="J1024" s="989">
        <f t="shared" si="118"/>
        <v>0.80995893142832287</v>
      </c>
      <c r="K1024" s="989">
        <v>2.0751782623124802E-2</v>
      </c>
      <c r="L1024" s="994">
        <f t="shared" si="120"/>
        <v>0.8307107140514477</v>
      </c>
      <c r="M1024" s="994">
        <f t="shared" si="119"/>
        <v>0.99685285686173719</v>
      </c>
      <c r="N1024" s="753">
        <v>1</v>
      </c>
      <c r="O1024" s="994">
        <v>0.85497344407274189</v>
      </c>
      <c r="P1024" s="22">
        <f t="shared" si="121"/>
        <v>0.1418794127889953</v>
      </c>
      <c r="Q1024" s="982">
        <f t="shared" si="122"/>
        <v>16.594598788137802</v>
      </c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s="93" customFormat="1" ht="18">
      <c r="A1025" s="333">
        <v>145</v>
      </c>
      <c r="B1025" s="335" t="s">
        <v>980</v>
      </c>
      <c r="C1025" s="886">
        <f>cходова!R1025</f>
        <v>0</v>
      </c>
      <c r="D1025" s="886">
        <f>прибуд.!O1025</f>
        <v>0.26921463845662186</v>
      </c>
      <c r="E1025" s="886">
        <f>гар.вода!M1025+хол.вода!Q1025+ц.о.!M1025+каналізація!Q1025+аварійні!I1025+зварювальн!M1025</f>
        <v>0.19422350840493785</v>
      </c>
      <c r="F1025" s="886">
        <f>дератизац.!I1025</f>
        <v>3.8147138964577661E-3</v>
      </c>
      <c r="G1025" s="886">
        <f>димоканал!R1025</f>
        <v>4.4946400578386961E-2</v>
      </c>
      <c r="H1025" s="886">
        <f>'підготовка до зими'!M1025+майстерні!M1025+маляри!M1025+покрівлі!O1025</f>
        <v>0.30358229348224641</v>
      </c>
      <c r="I1025" s="886">
        <f>електрики!R1025</f>
        <v>2.0045803921393615E-2</v>
      </c>
      <c r="J1025" s="989">
        <f t="shared" si="118"/>
        <v>0.83582735874004443</v>
      </c>
      <c r="K1025" s="989">
        <v>2.1324988403513098E-2</v>
      </c>
      <c r="L1025" s="994">
        <f t="shared" si="120"/>
        <v>0.85715234714355748</v>
      </c>
      <c r="M1025" s="1018">
        <f t="shared" si="119"/>
        <v>1.028582816572269</v>
      </c>
      <c r="N1025" s="753">
        <v>1</v>
      </c>
      <c r="O1025" s="994">
        <v>0.87858952222473974</v>
      </c>
      <c r="P1025" s="22">
        <f t="shared" si="121"/>
        <v>0.14999329434752928</v>
      </c>
      <c r="Q1025" s="982">
        <f t="shared" si="122"/>
        <v>17.072055897926091</v>
      </c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s="93" customFormat="1" ht="18">
      <c r="A1026" s="333">
        <v>146</v>
      </c>
      <c r="B1026" s="394" t="s">
        <v>981</v>
      </c>
      <c r="C1026" s="886">
        <f>cходова!R1026</f>
        <v>0</v>
      </c>
      <c r="D1026" s="886">
        <f>прибуд.!O1026</f>
        <v>0.16948207448962302</v>
      </c>
      <c r="E1026" s="886">
        <f>гар.вода!M1026+хол.вода!Q1026+ц.о.!M1026+каналізація!Q1026+аварійні!I1026+зварювальн!M1026</f>
        <v>0.29454474685551157</v>
      </c>
      <c r="F1026" s="886">
        <f>дератизац.!I1026</f>
        <v>3.6467598475222358E-3</v>
      </c>
      <c r="G1026" s="886">
        <f>димоканал!R1026</f>
        <v>7.5455126358532229E-2</v>
      </c>
      <c r="H1026" s="886">
        <f>'підготовка до зими'!M1026+майстерні!M1026+маляри!M1026+покрівлі!O1026</f>
        <v>0.36360002779702072</v>
      </c>
      <c r="I1026" s="886">
        <f>електрики!R1026</f>
        <v>3.7859060557259717E-2</v>
      </c>
      <c r="J1026" s="989">
        <f t="shared" si="118"/>
        <v>0.9445877959054696</v>
      </c>
      <c r="K1026" s="989">
        <v>2.4155031047877213E-2</v>
      </c>
      <c r="L1026" s="994">
        <f t="shared" si="120"/>
        <v>0.96874282695334679</v>
      </c>
      <c r="M1026" s="994">
        <f t="shared" si="119"/>
        <v>1.1624913923440161</v>
      </c>
      <c r="N1026" s="753">
        <v>1</v>
      </c>
      <c r="O1026" s="994">
        <v>0.99518727917254113</v>
      </c>
      <c r="P1026" s="22">
        <f t="shared" si="121"/>
        <v>0.16730411317147498</v>
      </c>
      <c r="Q1026" s="982">
        <f t="shared" si="122"/>
        <v>16.811319504664652</v>
      </c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s="93" customFormat="1" ht="18">
      <c r="A1027" s="333">
        <v>147</v>
      </c>
      <c r="B1027" s="335" t="s">
        <v>982</v>
      </c>
      <c r="C1027" s="886">
        <f>cходова!R1027</f>
        <v>0.38320625997575952</v>
      </c>
      <c r="D1027" s="886">
        <f>прибуд.!O1027</f>
        <v>6.7376919476011238E-2</v>
      </c>
      <c r="E1027" s="886">
        <f>гар.вода!M1027+хол.вода!Q1027+ц.о.!M1027+каналізація!Q1027+аварійні!I1027+зварювальн!M1027</f>
        <v>0.20163784232588083</v>
      </c>
      <c r="F1027" s="886">
        <f>дератизац.!I1027</f>
        <v>1.1292346298619827E-3</v>
      </c>
      <c r="G1027" s="886">
        <f>димоканал!R1027</f>
        <v>4.4350573560220971E-2</v>
      </c>
      <c r="H1027" s="886">
        <f>'підготовка до зими'!M1027+майстерні!M1027+маляри!M1027+покрівлі!O1027</f>
        <v>0.22434438919552901</v>
      </c>
      <c r="I1027" s="886">
        <f>електрики!R1027</f>
        <v>2.1362309129638574E-2</v>
      </c>
      <c r="J1027" s="989">
        <f t="shared" si="118"/>
        <v>0.94340752829290209</v>
      </c>
      <c r="K1027" s="989">
        <v>2.3941054493782081E-2</v>
      </c>
      <c r="L1027" s="994">
        <f t="shared" si="120"/>
        <v>0.96734858278668412</v>
      </c>
      <c r="M1027" s="994">
        <f t="shared" si="119"/>
        <v>1.1608182993440208</v>
      </c>
      <c r="N1027" s="753">
        <v>3</v>
      </c>
      <c r="O1027" s="994">
        <v>0.9863714451438218</v>
      </c>
      <c r="P1027" s="22">
        <f t="shared" si="121"/>
        <v>0.17444685420019901</v>
      </c>
      <c r="Q1027" s="982">
        <f t="shared" si="122"/>
        <v>17.685716173055184</v>
      </c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s="93" customFormat="1" ht="18">
      <c r="A1028" s="333">
        <v>148</v>
      </c>
      <c r="B1028" s="394" t="s">
        <v>983</v>
      </c>
      <c r="C1028" s="886">
        <f>cходова!R1028</f>
        <v>0</v>
      </c>
      <c r="D1028" s="886">
        <f>прибуд.!O1028</f>
        <v>0</v>
      </c>
      <c r="E1028" s="886">
        <f>гар.вода!M1028+хол.вода!Q1028+ц.о.!M1028+каналізація!Q1028+аварійні!I1028+зварювальн!M1028</f>
        <v>0.26396931042243016</v>
      </c>
      <c r="F1028" s="886">
        <f>дератизац.!I1028</f>
        <v>3.4285714285714288E-3</v>
      </c>
      <c r="G1028" s="886">
        <f>димоканал!R1028</f>
        <v>7.7511409767693357E-2</v>
      </c>
      <c r="H1028" s="886">
        <f>'підготовка до зими'!M1028+майстерні!M1028+маляри!M1028+покрівлі!O1028</f>
        <v>0.35995091815498598</v>
      </c>
      <c r="I1028" s="886">
        <f>електрики!R1028</f>
        <v>3.2430019764422752E-2</v>
      </c>
      <c r="J1028" s="989">
        <f t="shared" si="118"/>
        <v>0.73729022953810364</v>
      </c>
      <c r="K1028" s="989">
        <v>1.8946841569153539E-2</v>
      </c>
      <c r="L1028" s="994">
        <f t="shared" si="120"/>
        <v>0.75623707110725713</v>
      </c>
      <c r="M1028" s="994">
        <f t="shared" si="119"/>
        <v>0.90748448532870851</v>
      </c>
      <c r="N1028" s="753">
        <v>1</v>
      </c>
      <c r="O1028" s="994">
        <v>0.78060987264912585</v>
      </c>
      <c r="P1028" s="22">
        <f t="shared" si="121"/>
        <v>0.12687461267958267</v>
      </c>
      <c r="Q1028" s="982">
        <f t="shared" si="122"/>
        <v>16.253267749357718</v>
      </c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s="93" customFormat="1" ht="18">
      <c r="A1029" s="333">
        <v>149</v>
      </c>
      <c r="B1029" s="335" t="s">
        <v>985</v>
      </c>
      <c r="C1029" s="886">
        <f>cходова!R1029</f>
        <v>0</v>
      </c>
      <c r="D1029" s="886">
        <f>прибуд.!O1029</f>
        <v>0.37892111608590434</v>
      </c>
      <c r="E1029" s="886">
        <f>гар.вода!M1029+хол.вода!Q1029+ц.о.!M1029+каналізація!Q1029+аварійні!I1029+зварювальн!M1029</f>
        <v>0.20314443290437281</v>
      </c>
      <c r="F1029" s="886">
        <f>дератизац.!I1029</f>
        <v>3.2014519056261345E-3</v>
      </c>
      <c r="G1029" s="886">
        <f>димоканал!R1029</f>
        <v>4.0303223269187637E-2</v>
      </c>
      <c r="H1029" s="886">
        <f>'підготовка до зими'!M1029+майстерні!M1029+маляри!M1029+покрівлі!O1029</f>
        <v>0.2700553268772457</v>
      </c>
      <c r="I1029" s="886">
        <f>електрики!R1029</f>
        <v>2.4263094998830132E-2</v>
      </c>
      <c r="J1029" s="989">
        <f t="shared" si="118"/>
        <v>0.91988864604116682</v>
      </c>
      <c r="K1029" s="989">
        <v>2.3406548144206712E-2</v>
      </c>
      <c r="L1029" s="994">
        <f t="shared" si="120"/>
        <v>0.94329519418537355</v>
      </c>
      <c r="M1029" s="994">
        <f t="shared" si="119"/>
        <v>1.1319542330224481</v>
      </c>
      <c r="N1029" s="753">
        <v>2</v>
      </c>
      <c r="O1029" s="994">
        <v>0.96434978354131651</v>
      </c>
      <c r="P1029" s="22">
        <f t="shared" si="121"/>
        <v>0.16760444948113162</v>
      </c>
      <c r="Q1029" s="982">
        <f t="shared" si="122"/>
        <v>17.380047399984804</v>
      </c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s="93" customFormat="1" ht="18">
      <c r="A1030" s="333">
        <v>150</v>
      </c>
      <c r="B1030" s="335" t="s">
        <v>986</v>
      </c>
      <c r="C1030" s="886">
        <f>cходова!R1030</f>
        <v>0</v>
      </c>
      <c r="D1030" s="886">
        <f>прибуд.!O1030</f>
        <v>0.32061533729948877</v>
      </c>
      <c r="E1030" s="886">
        <f>гар.вода!M1030+хол.вода!Q1030+ц.о.!M1030+каналізація!Q1030+аварійні!I1030+зварювальн!M1030</f>
        <v>0.25880206574582193</v>
      </c>
      <c r="F1030" s="886">
        <f>дератизац.!I1030</f>
        <v>2.6652564780539406E-3</v>
      </c>
      <c r="G1030" s="886">
        <f>димоканал!R1030</f>
        <v>5.4955353134473049E-2</v>
      </c>
      <c r="H1030" s="886">
        <f>'підготовка до зими'!M1030+майстерні!M1030+маляри!M1030+покрівлі!O1030</f>
        <v>0.26298041998687366</v>
      </c>
      <c r="I1030" s="886">
        <f>електрики!R1030</f>
        <v>3.1512512594990376E-2</v>
      </c>
      <c r="J1030" s="989">
        <f t="shared" si="118"/>
        <v>0.9315309452397017</v>
      </c>
      <c r="K1030" s="989">
        <v>2.3716521514142188E-2</v>
      </c>
      <c r="L1030" s="994">
        <f t="shared" si="120"/>
        <v>0.95524746675384387</v>
      </c>
      <c r="M1030" s="994">
        <f t="shared" si="119"/>
        <v>1.1462969601046127</v>
      </c>
      <c r="N1030" s="753">
        <v>2</v>
      </c>
      <c r="O1030" s="994">
        <v>0.97712068638265814</v>
      </c>
      <c r="P1030" s="22">
        <f t="shared" si="121"/>
        <v>0.16917627372195454</v>
      </c>
      <c r="Q1030" s="982">
        <f t="shared" si="122"/>
        <v>17.313754184066269</v>
      </c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s="892" customFormat="1" ht="18">
      <c r="A1031" s="333">
        <v>151</v>
      </c>
      <c r="B1031" s="394" t="s">
        <v>987</v>
      </c>
      <c r="C1031" s="886">
        <f>cходова!R1031</f>
        <v>0.30417386322831991</v>
      </c>
      <c r="D1031" s="886">
        <f>прибуд.!O1031</f>
        <v>0.31833996761235323</v>
      </c>
      <c r="E1031" s="886">
        <f>гар.вода!M1031+хол.вода!Q1031+ц.о.!M1031+каналізація!Q1031+аварійні!I1031+зварювальн!M1031</f>
        <v>0.255319370052627</v>
      </c>
      <c r="F1031" s="886">
        <f>дератизац.!I1031</f>
        <v>2.4779810298102985E-3</v>
      </c>
      <c r="G1031" s="886">
        <f>димоканал!R1031</f>
        <v>4.5261573509271999E-2</v>
      </c>
      <c r="H1031" s="886">
        <f>'підготовка до зими'!M1031+майстерні!M1031+маляри!M1031+покрівлі!O1031</f>
        <v>0.33729509790659518</v>
      </c>
      <c r="I1031" s="886">
        <f>електрики!R1031</f>
        <v>2.5232961262333507E-2</v>
      </c>
      <c r="J1031" s="989">
        <f t="shared" si="118"/>
        <v>1.2881008146013111</v>
      </c>
      <c r="K1031" s="989">
        <v>3.2946855255058381E-2</v>
      </c>
      <c r="L1031" s="994">
        <f t="shared" si="120"/>
        <v>1.3210476698563696</v>
      </c>
      <c r="M1031" s="994">
        <f t="shared" si="119"/>
        <v>1.5852572038276433</v>
      </c>
      <c r="N1031" s="753">
        <v>3</v>
      </c>
      <c r="O1031" s="994">
        <v>1.3574104365084054</v>
      </c>
      <c r="P1031" s="22">
        <f t="shared" si="121"/>
        <v>0.22784676731923792</v>
      </c>
      <c r="Q1031" s="982">
        <f t="shared" si="122"/>
        <v>16.785399698658281</v>
      </c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s="93" customFormat="1" ht="18">
      <c r="A1032" s="333">
        <v>152</v>
      </c>
      <c r="B1032" s="335" t="s">
        <v>988</v>
      </c>
      <c r="C1032" s="886">
        <f>cходова!R1032</f>
        <v>0.38186951736150204</v>
      </c>
      <c r="D1032" s="886">
        <f>прибуд.!O1032</f>
        <v>0.33443539951405316</v>
      </c>
      <c r="E1032" s="886">
        <f>гар.вода!M1032+хол.вода!Q1032+ц.о.!M1032+каналізація!Q1032+аварійні!I1032+зварювальн!M1032</f>
        <v>0.27920363520504471</v>
      </c>
      <c r="F1032" s="886">
        <f>дератизац.!I1032</f>
        <v>1.0664565274494354E-3</v>
      </c>
      <c r="G1032" s="886">
        <f>димоканал!R1032</f>
        <v>3.4121543465093419E-2</v>
      </c>
      <c r="H1032" s="886">
        <f>'підготовка до зими'!M1032+майстерні!M1032+маляри!M1032+покрівлі!O1032</f>
        <v>0.29489681545287427</v>
      </c>
      <c r="I1032" s="886">
        <f>електрики!R1032</f>
        <v>2.8696776748463132E-2</v>
      </c>
      <c r="J1032" s="989">
        <f t="shared" si="118"/>
        <v>1.3542901442744804</v>
      </c>
      <c r="K1032" s="989">
        <v>3.447592009424106E-2</v>
      </c>
      <c r="L1032" s="994">
        <f t="shared" si="120"/>
        <v>1.3887660643687214</v>
      </c>
      <c r="M1032" s="994">
        <f t="shared" si="119"/>
        <v>1.6665192772424657</v>
      </c>
      <c r="N1032" s="753">
        <v>3</v>
      </c>
      <c r="O1032" s="994">
        <v>1.4204079078827319</v>
      </c>
      <c r="P1032" s="22">
        <f t="shared" si="121"/>
        <v>0.24611136935973388</v>
      </c>
      <c r="Q1032" s="982">
        <f t="shared" si="122"/>
        <v>17.326809291465352</v>
      </c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s="93" customFormat="1" ht="18">
      <c r="A1033" s="333">
        <v>153</v>
      </c>
      <c r="B1033" s="394" t="s">
        <v>989</v>
      </c>
      <c r="C1033" s="886">
        <f>cходова!R1033</f>
        <v>0.43645345325808949</v>
      </c>
      <c r="D1033" s="886">
        <f>прибуд.!O1033</f>
        <v>0.35718121874711201</v>
      </c>
      <c r="E1033" s="886">
        <f>гар.вода!M1033+хол.вода!Q1033+ц.о.!M1033+каналізація!Q1033+аварійні!I1033+зварювальн!M1033</f>
        <v>0.27535205808165381</v>
      </c>
      <c r="F1033" s="886">
        <f>дератизац.!I1033</f>
        <v>1.4676323814804548E-3</v>
      </c>
      <c r="G1033" s="886">
        <f>димоканал!R1033</f>
        <v>4.4642197937081247E-2</v>
      </c>
      <c r="H1033" s="886">
        <f>'підготовка до зими'!M1033+майстерні!M1033+маляри!M1033+покрівлі!O1033</f>
        <v>0.23014608796119873</v>
      </c>
      <c r="I1033" s="886">
        <f>електрики!R1033</f>
        <v>3.3178145568349429E-2</v>
      </c>
      <c r="J1033" s="989">
        <f t="shared" si="118"/>
        <v>1.3784207939349651</v>
      </c>
      <c r="K1033" s="989">
        <v>3.4821123264114885E-2</v>
      </c>
      <c r="L1033" s="994">
        <f t="shared" si="120"/>
        <v>1.41324191719908</v>
      </c>
      <c r="M1033" s="994">
        <f t="shared" si="119"/>
        <v>1.6958903006388959</v>
      </c>
      <c r="N1033" s="753">
        <v>3</v>
      </c>
      <c r="O1033" s="994">
        <v>1.4346302784815332</v>
      </c>
      <c r="P1033" s="22">
        <f t="shared" si="121"/>
        <v>0.26126002215736266</v>
      </c>
      <c r="Q1033" s="982">
        <f t="shared" si="122"/>
        <v>18.210965297197703</v>
      </c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s="93" customFormat="1" ht="18">
      <c r="A1034" s="333">
        <v>154</v>
      </c>
      <c r="B1034" s="335" t="s">
        <v>990</v>
      </c>
      <c r="C1034" s="886">
        <f>cходова!R1034</f>
        <v>0</v>
      </c>
      <c r="D1034" s="886">
        <f>прибуд.!O1034</f>
        <v>0.51410013105750496</v>
      </c>
      <c r="E1034" s="886">
        <f>гар.вода!M1034+хол.вода!Q1034+ц.о.!M1034+каналізація!Q1034+аварійні!I1034+зварювальн!M1034</f>
        <v>0.26322403747199491</v>
      </c>
      <c r="F1034" s="886">
        <f>дератизац.!I1034</f>
        <v>2.2002923976608183E-3</v>
      </c>
      <c r="G1034" s="886">
        <f>димоканал!R1034</f>
        <v>2.4869952313535029E-2</v>
      </c>
      <c r="H1034" s="886">
        <f>'підготовка до зими'!M1034+майстерні!M1034+маляри!M1034+покрівлі!O1034</f>
        <v>0.32127818104468342</v>
      </c>
      <c r="I1034" s="886">
        <f>електрики!R1034</f>
        <v>3.8644721995542676E-2</v>
      </c>
      <c r="J1034" s="989">
        <f t="shared" si="118"/>
        <v>1.1643173162809219</v>
      </c>
      <c r="K1034" s="989">
        <v>2.9523556684431736E-2</v>
      </c>
      <c r="L1034" s="994">
        <f t="shared" si="120"/>
        <v>1.1938408729653536</v>
      </c>
      <c r="M1034" s="994">
        <f t="shared" si="119"/>
        <v>1.4326090475584243</v>
      </c>
      <c r="N1034" s="753">
        <v>2</v>
      </c>
      <c r="O1034" s="994">
        <v>1.2163705353985876</v>
      </c>
      <c r="P1034" s="22">
        <f t="shared" si="121"/>
        <v>0.21623851215983669</v>
      </c>
      <c r="Q1034" s="982">
        <f t="shared" si="122"/>
        <v>17.777355326103674</v>
      </c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s="93" customFormat="1" ht="18">
      <c r="A1035" s="333">
        <v>155</v>
      </c>
      <c r="B1035" s="394" t="s">
        <v>991</v>
      </c>
      <c r="C1035" s="886">
        <f>cходова!R1035</f>
        <v>0.35508501997034109</v>
      </c>
      <c r="D1035" s="886">
        <f>прибуд.!O1035</f>
        <v>0.26433125936678203</v>
      </c>
      <c r="E1035" s="886">
        <f>гар.вода!M1035+хол.вода!Q1035+ц.о.!M1035+каналізація!Q1035+аварійні!I1035+зварювальн!M1035</f>
        <v>0.23616247240073018</v>
      </c>
      <c r="F1035" s="886">
        <f>дератизац.!I1035</f>
        <v>2.2344290657439446E-3</v>
      </c>
      <c r="G1035" s="886">
        <f>димоканал!R1035</f>
        <v>2.1832053104472376E-2</v>
      </c>
      <c r="H1035" s="886">
        <f>'підготовка до зими'!M1035+майстерні!M1035+маляри!M1035+покрівлі!O1035</f>
        <v>0.2522579708853917</v>
      </c>
      <c r="I1035" s="886">
        <f>електрики!R1035</f>
        <v>2.7492577308939701E-2</v>
      </c>
      <c r="J1035" s="989">
        <f t="shared" si="118"/>
        <v>1.159395782102401</v>
      </c>
      <c r="K1035" s="989">
        <v>2.9260375500153937E-2</v>
      </c>
      <c r="L1035" s="994">
        <f t="shared" si="120"/>
        <v>1.1886561576025549</v>
      </c>
      <c r="M1035" s="994">
        <f t="shared" si="119"/>
        <v>1.4263873891230658</v>
      </c>
      <c r="N1035" s="753">
        <v>3</v>
      </c>
      <c r="O1035" s="994">
        <v>1.2055274706063421</v>
      </c>
      <c r="P1035" s="22">
        <f t="shared" si="121"/>
        <v>0.22085991851672371</v>
      </c>
      <c r="Q1035" s="982">
        <f t="shared" si="122"/>
        <v>18.320604374584534</v>
      </c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s="93" customFormat="1" ht="18">
      <c r="A1036" s="333">
        <v>156</v>
      </c>
      <c r="B1036" s="335" t="s">
        <v>992</v>
      </c>
      <c r="C1036" s="886">
        <f>cходова!R1036</f>
        <v>0</v>
      </c>
      <c r="D1036" s="886">
        <f>прибуд.!O1036</f>
        <v>0.27646532289199999</v>
      </c>
      <c r="E1036" s="886">
        <f>гар.вода!M1036+хол.вода!Q1036+ц.о.!M1036+каналізація!Q1036+аварійні!I1036+зварювальн!M1036</f>
        <v>0.28868935076706992</v>
      </c>
      <c r="F1036" s="886">
        <f>дератизац.!I1036</f>
        <v>3.4066666666666668E-3</v>
      </c>
      <c r="G1036" s="886">
        <f>димоканал!R1036</f>
        <v>4.5362793019887895E-2</v>
      </c>
      <c r="H1036" s="886">
        <f>'підготовка до зими'!M1036+майстерні!M1036+маляри!M1036+покрівлі!O1036</f>
        <v>0.44567404048109782</v>
      </c>
      <c r="I1036" s="886">
        <f>електрики!R1036</f>
        <v>3.3105645176181552E-2</v>
      </c>
      <c r="J1036" s="989">
        <f t="shared" si="118"/>
        <v>1.0927038190029039</v>
      </c>
      <c r="K1036" s="989">
        <v>2.79188270502112E-2</v>
      </c>
      <c r="L1036" s="994">
        <f t="shared" si="120"/>
        <v>1.120622646053115</v>
      </c>
      <c r="M1036" s="994">
        <f t="shared" si="119"/>
        <v>1.3447471752637379</v>
      </c>
      <c r="N1036" s="753">
        <v>1</v>
      </c>
      <c r="O1036" s="994">
        <v>1.1502556744687016</v>
      </c>
      <c r="P1036" s="22">
        <f t="shared" si="121"/>
        <v>0.1944915007950363</v>
      </c>
      <c r="Q1036" s="982">
        <f t="shared" si="122"/>
        <v>16.908545214077833</v>
      </c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s="93" customFormat="1" ht="18">
      <c r="A1037" s="333">
        <v>157</v>
      </c>
      <c r="B1037" s="394" t="s">
        <v>993</v>
      </c>
      <c r="C1037" s="886">
        <f>cходова!R1037</f>
        <v>0</v>
      </c>
      <c r="D1037" s="886">
        <f>прибуд.!O1037</f>
        <v>0.24698946948092562</v>
      </c>
      <c r="E1037" s="886">
        <f>гар.вода!M1037+хол.вода!Q1037+ц.о.!M1037+каналізація!Q1037+аварійні!I1037+зварювальн!M1037</f>
        <v>0.25639870557838063</v>
      </c>
      <c r="F1037" s="886">
        <f>дератизац.!I1037</f>
        <v>4.662288930581614E-3</v>
      </c>
      <c r="G1037" s="886">
        <f>димоканал!R1037</f>
        <v>3.1915661130315125E-2</v>
      </c>
      <c r="H1037" s="886">
        <f>'підготовка до зими'!M1037+майстерні!M1037+маляри!M1037+покрівлі!O1037</f>
        <v>0.4625790418433815</v>
      </c>
      <c r="I1037" s="886">
        <f>електрики!R1037</f>
        <v>2.7950357090584806E-2</v>
      </c>
      <c r="J1037" s="989">
        <f t="shared" si="118"/>
        <v>1.0304955240541693</v>
      </c>
      <c r="K1037" s="989">
        <v>2.6406199689623447E-2</v>
      </c>
      <c r="L1037" s="994">
        <f t="shared" si="120"/>
        <v>1.0569017237437928</v>
      </c>
      <c r="M1037" s="994">
        <f t="shared" si="119"/>
        <v>1.2682820684925513</v>
      </c>
      <c r="N1037" s="753">
        <v>1</v>
      </c>
      <c r="O1037" s="994">
        <v>1.0879354272124859</v>
      </c>
      <c r="P1037" s="22">
        <f t="shared" si="121"/>
        <v>0.18034664128006539</v>
      </c>
      <c r="Q1037" s="982">
        <f t="shared" si="122"/>
        <v>16.576961901328133</v>
      </c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s="93" customFormat="1" ht="18">
      <c r="A1038" s="333">
        <v>158</v>
      </c>
      <c r="B1038" s="335" t="s">
        <v>994</v>
      </c>
      <c r="C1038" s="886">
        <f>cходова!R1038</f>
        <v>0</v>
      </c>
      <c r="D1038" s="886">
        <f>прибуд.!O1038</f>
        <v>0.28331009478193148</v>
      </c>
      <c r="E1038" s="886">
        <f>гар.вода!M1038+хол.вода!Q1038+ц.о.!M1038+каналізація!Q1038+аварійні!I1038+зварювальн!M1038</f>
        <v>0.25557695706806871</v>
      </c>
      <c r="F1038" s="886">
        <f>дератизац.!I1038</f>
        <v>3.2982866043613709E-3</v>
      </c>
      <c r="G1038" s="886">
        <f>димоканал!R1038</f>
        <v>4.8417047687425843E-2</v>
      </c>
      <c r="H1038" s="886">
        <f>'підготовка до зими'!M1038+майстерні!M1038+маляри!M1038+покрівлі!O1038</f>
        <v>0.45828024499706288</v>
      </c>
      <c r="I1038" s="886">
        <f>електрики!R1038</f>
        <v>3.0939855304842574E-2</v>
      </c>
      <c r="J1038" s="989">
        <f t="shared" si="118"/>
        <v>1.0798224864436929</v>
      </c>
      <c r="K1038" s="989">
        <v>2.7464968525906706E-2</v>
      </c>
      <c r="L1038" s="994">
        <f t="shared" si="120"/>
        <v>1.1072874549695997</v>
      </c>
      <c r="M1038" s="994">
        <f t="shared" si="119"/>
        <v>1.3287449459635197</v>
      </c>
      <c r="N1038" s="753">
        <v>1</v>
      </c>
      <c r="O1038" s="994">
        <v>1.1315567032673564</v>
      </c>
      <c r="P1038" s="22">
        <f t="shared" si="121"/>
        <v>0.19718824269616331</v>
      </c>
      <c r="Q1038" s="982">
        <f t="shared" si="122"/>
        <v>17.426280285096169</v>
      </c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s="892" customFormat="1" ht="18">
      <c r="A1039" s="333">
        <v>159</v>
      </c>
      <c r="B1039" s="394" t="s">
        <v>995</v>
      </c>
      <c r="C1039" s="886">
        <f>cходова!R1039</f>
        <v>0</v>
      </c>
      <c r="D1039" s="886">
        <f>прибуд.!O1039</f>
        <v>0.42030059121894858</v>
      </c>
      <c r="E1039" s="886">
        <f>гар.вода!M1039+хол.вода!Q1039+ц.о.!M1039+каналізація!Q1039+аварійні!I1039+зварювальн!M1039</f>
        <v>0.17826761265283617</v>
      </c>
      <c r="F1039" s="886">
        <f>дератизац.!I1039</f>
        <v>3.8821490467937612E-3</v>
      </c>
      <c r="G1039" s="886">
        <f>димоканал!R1039</f>
        <v>3.5914205217016049E-2</v>
      </c>
      <c r="H1039" s="886">
        <f>'підготовка до зими'!M1039+майстерні!M1039+маляри!M1039+покрівлі!O1039</f>
        <v>0.4422853467434737</v>
      </c>
      <c r="I1039" s="886">
        <f>електрики!R1039</f>
        <v>1.7212640472884691E-2</v>
      </c>
      <c r="J1039" s="989">
        <f t="shared" si="118"/>
        <v>1.097862545351953</v>
      </c>
      <c r="K1039" s="989">
        <v>2.8096165520512618E-2</v>
      </c>
      <c r="L1039" s="994">
        <f t="shared" si="120"/>
        <v>1.1259587108724656</v>
      </c>
      <c r="M1039" s="994">
        <f t="shared" si="119"/>
        <v>1.3511504530469587</v>
      </c>
      <c r="N1039" s="753">
        <v>1</v>
      </c>
      <c r="O1039" s="994">
        <v>1.1575620194451199</v>
      </c>
      <c r="P1039" s="22">
        <f t="shared" si="121"/>
        <v>0.19358843360183875</v>
      </c>
      <c r="Q1039" s="982">
        <f t="shared" si="122"/>
        <v>16.723806616826948</v>
      </c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s="93" customFormat="1" ht="18">
      <c r="A1040" s="333">
        <v>160</v>
      </c>
      <c r="B1040" s="335" t="s">
        <v>996</v>
      </c>
      <c r="C1040" s="886">
        <f>cходова!R1040</f>
        <v>0</v>
      </c>
      <c r="D1040" s="886">
        <f>прибуд.!O1040</f>
        <v>0.42546217742690057</v>
      </c>
      <c r="E1040" s="886">
        <f>гар.вода!M1040+хол.вода!Q1040+ц.о.!M1040+каналізація!Q1040+аварійні!I1040+зварювальн!M1040</f>
        <v>0.21216780256342463</v>
      </c>
      <c r="F1040" s="886">
        <f>дератизац.!I1040</f>
        <v>2.0058479532163746E-3</v>
      </c>
      <c r="G1040" s="886">
        <f>димоканал!R1040</f>
        <v>5.1850285983226718E-2</v>
      </c>
      <c r="H1040" s="886">
        <f>'підготовка до зими'!M1040+майстерні!M1040+маляри!M1040+покрівлі!O1040</f>
        <v>0.32496644812478587</v>
      </c>
      <c r="I1040" s="886">
        <f>електрики!R1040</f>
        <v>2.6866619169128404E-2</v>
      </c>
      <c r="J1040" s="989">
        <f t="shared" si="118"/>
        <v>1.0433191812206826</v>
      </c>
      <c r="K1040" s="989">
        <v>2.6482865633116168E-2</v>
      </c>
      <c r="L1040" s="994">
        <f t="shared" si="120"/>
        <v>1.0698020468537988</v>
      </c>
      <c r="M1040" s="994">
        <f t="shared" si="119"/>
        <v>1.2837624562245584</v>
      </c>
      <c r="N1040" s="753">
        <v>2</v>
      </c>
      <c r="O1040" s="994">
        <v>1.091094064084386</v>
      </c>
      <c r="P1040" s="22">
        <f t="shared" si="121"/>
        <v>0.1926683921401724</v>
      </c>
      <c r="Q1040" s="982">
        <f t="shared" si="122"/>
        <v>17.658275164557338</v>
      </c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s="93" customFormat="1" ht="18">
      <c r="A1041" s="333">
        <v>161</v>
      </c>
      <c r="B1041" s="394" t="s">
        <v>997</v>
      </c>
      <c r="C1041" s="886">
        <f>cходова!R1041</f>
        <v>0</v>
      </c>
      <c r="D1041" s="886">
        <f>прибуд.!O1041</f>
        <v>0.30697903940928273</v>
      </c>
      <c r="E1041" s="886">
        <f>гар.вода!M1041+хол.вода!Q1041+ц.о.!M1041+каналізація!Q1041+аварійні!I1041+зварювальн!M1041</f>
        <v>0.22293302522628072</v>
      </c>
      <c r="F1041" s="886">
        <f>дератизац.!I1041</f>
        <v>2.3924050632911395E-3</v>
      </c>
      <c r="G1041" s="886">
        <f>димоканал!R1041</f>
        <v>2.8710628493599934E-2</v>
      </c>
      <c r="H1041" s="886">
        <f>'підготовка до зими'!M1041+майстерні!M1041+маляри!M1041+покрівлі!O1041</f>
        <v>0.4540862043519811</v>
      </c>
      <c r="I1041" s="886">
        <f>електрики!R1041</f>
        <v>3.285014405574796E-2</v>
      </c>
      <c r="J1041" s="989">
        <f t="shared" si="118"/>
        <v>1.0479514466001838</v>
      </c>
      <c r="K1041" s="989">
        <v>2.6617417457220439E-2</v>
      </c>
      <c r="L1041" s="994">
        <f t="shared" si="120"/>
        <v>1.0745688640574043</v>
      </c>
      <c r="M1041" s="994">
        <f t="shared" si="119"/>
        <v>1.289482636868885</v>
      </c>
      <c r="N1041" s="753">
        <v>1</v>
      </c>
      <c r="O1041" s="994">
        <v>1.0966375992374822</v>
      </c>
      <c r="P1041" s="22">
        <f t="shared" si="121"/>
        <v>0.19284503763140282</v>
      </c>
      <c r="Q1041" s="982">
        <f t="shared" si="122"/>
        <v>17.585119985443924</v>
      </c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s="93" customFormat="1" ht="18">
      <c r="A1042" s="333">
        <v>162</v>
      </c>
      <c r="B1042" s="335" t="s">
        <v>998</v>
      </c>
      <c r="C1042" s="886">
        <f>cходова!R1042</f>
        <v>0</v>
      </c>
      <c r="D1042" s="886">
        <f>прибуд.!O1042</f>
        <v>0.38399383712174529</v>
      </c>
      <c r="E1042" s="886">
        <f>гар.вода!M1042+хол.вода!Q1042+ц.о.!M1042+каналізація!Q1042+аварійні!I1042+зварювальн!M1042</f>
        <v>0.23877753553756717</v>
      </c>
      <c r="F1042" s="886">
        <f>дератизац.!I1042</f>
        <v>1.7487684729064041E-3</v>
      </c>
      <c r="G1042" s="886">
        <f>димоканал!R1042</f>
        <v>3.3301684109509906E-2</v>
      </c>
      <c r="H1042" s="886">
        <f>'підготовка до зими'!M1042+майстерні!M1042+маляри!M1042+покрівлі!O1042</f>
        <v>0.35139987364814823</v>
      </c>
      <c r="I1042" s="886">
        <f>електрики!R1042</f>
        <v>2.7956913590019613E-2</v>
      </c>
      <c r="J1042" s="989">
        <f t="shared" si="118"/>
        <v>1.0371786124798965</v>
      </c>
      <c r="K1042" s="989">
        <v>2.6310446696791653E-2</v>
      </c>
      <c r="L1042" s="994">
        <f t="shared" si="120"/>
        <v>1.0634890591766881</v>
      </c>
      <c r="M1042" s="994">
        <f t="shared" si="119"/>
        <v>1.2761868710120257</v>
      </c>
      <c r="N1042" s="753">
        <v>1</v>
      </c>
      <c r="O1042" s="994">
        <v>1.0839904039078161</v>
      </c>
      <c r="P1042" s="22">
        <f t="shared" si="121"/>
        <v>0.19219646710420957</v>
      </c>
      <c r="Q1042" s="982">
        <f t="shared" si="122"/>
        <v>17.730458351968423</v>
      </c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s="93" customFormat="1" ht="18">
      <c r="A1043" s="333">
        <v>163</v>
      </c>
      <c r="B1043" s="394" t="s">
        <v>999</v>
      </c>
      <c r="C1043" s="886">
        <f>cходова!R1043</f>
        <v>0</v>
      </c>
      <c r="D1043" s="886">
        <f>прибуд.!O1043</f>
        <v>0.29415376956873324</v>
      </c>
      <c r="E1043" s="886">
        <f>гар.вода!M1043+хол.вода!Q1043+ц.о.!M1043+каналізація!Q1043+аварійні!I1043+зварювальн!M1043</f>
        <v>0.25363117638949112</v>
      </c>
      <c r="F1043" s="886">
        <f>дератизац.!I1043</f>
        <v>2.8032345013477094E-3</v>
      </c>
      <c r="G1043" s="886">
        <f>димоканал!R1043</f>
        <v>4.3827371926492824E-2</v>
      </c>
      <c r="H1043" s="886">
        <f>'підготовка до зими'!M1043+майстерні!M1043+маляри!M1043+покрівлі!O1043</f>
        <v>0.31293228563616271</v>
      </c>
      <c r="I1043" s="886">
        <f>електрики!R1043</f>
        <v>3.0594358268323348E-2</v>
      </c>
      <c r="J1043" s="989">
        <f t="shared" si="118"/>
        <v>0.93794219629055098</v>
      </c>
      <c r="K1043" s="989">
        <v>2.3878183328230936E-2</v>
      </c>
      <c r="L1043" s="994">
        <f t="shared" si="120"/>
        <v>0.96182037961878186</v>
      </c>
      <c r="M1043" s="994">
        <f t="shared" si="119"/>
        <v>1.1541844555425382</v>
      </c>
      <c r="N1043" s="753">
        <v>2</v>
      </c>
      <c r="O1043" s="994">
        <v>0.98378115312311465</v>
      </c>
      <c r="P1043" s="22">
        <f t="shared" si="121"/>
        <v>0.17040330241942359</v>
      </c>
      <c r="Q1043" s="982">
        <f t="shared" si="122"/>
        <v>17.321261123824215</v>
      </c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s="93" customFormat="1" ht="18">
      <c r="A1044" s="333">
        <v>164</v>
      </c>
      <c r="B1044" s="335" t="s">
        <v>1000</v>
      </c>
      <c r="C1044" s="886">
        <f>cходова!R1044</f>
        <v>0</v>
      </c>
      <c r="D1044" s="886">
        <f>прибуд.!O1044</f>
        <v>0.48988655691122601</v>
      </c>
      <c r="E1044" s="886">
        <f>гар.вода!M1044+хол.вода!Q1044+ц.о.!M1044+каналізація!Q1044+аварійні!I1044+зварювальн!M1044</f>
        <v>0.17171939608514272</v>
      </c>
      <c r="F1044" s="886">
        <f>дератизац.!I1044</f>
        <v>2.5339366515837107E-3</v>
      </c>
      <c r="G1044" s="886">
        <f>димоканал!R1044</f>
        <v>2.1592140432994657E-2</v>
      </c>
      <c r="H1044" s="886">
        <f>'підготовка до зими'!M1044+майстерні!M1044+маляри!M1044+покрівлі!O1044</f>
        <v>0.31864740328029684</v>
      </c>
      <c r="I1044" s="886">
        <f>електрики!R1044</f>
        <v>2.4306641098518024E-2</v>
      </c>
      <c r="J1044" s="989">
        <f t="shared" si="118"/>
        <v>1.0286860744597619</v>
      </c>
      <c r="K1044" s="989">
        <v>2.5988324983252251E-2</v>
      </c>
      <c r="L1044" s="994">
        <f t="shared" si="120"/>
        <v>1.0546743994430141</v>
      </c>
      <c r="M1044" s="994">
        <f t="shared" si="119"/>
        <v>1.2656092793316169</v>
      </c>
      <c r="N1044" s="753">
        <v>2</v>
      </c>
      <c r="O1044" s="994">
        <v>1.0707189893099929</v>
      </c>
      <c r="P1044" s="22">
        <f t="shared" si="121"/>
        <v>0.19489029002162406</v>
      </c>
      <c r="Q1044" s="982">
        <f t="shared" si="122"/>
        <v>18.201815038997097</v>
      </c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s="93" customFormat="1" ht="18">
      <c r="A1045" s="333">
        <v>165</v>
      </c>
      <c r="B1045" s="394" t="s">
        <v>1001</v>
      </c>
      <c r="C1045" s="886">
        <f>cходова!R1045</f>
        <v>0</v>
      </c>
      <c r="D1045" s="886">
        <f>прибуд.!O1045</f>
        <v>0.24133482917688806</v>
      </c>
      <c r="E1045" s="886">
        <f>гар.вода!M1045+хол.вода!Q1045+ц.о.!M1045+каналізація!Q1045+аварійні!I1045+зварювальн!M1045</f>
        <v>0.23666413160427327</v>
      </c>
      <c r="F1045" s="886">
        <f>дератизац.!I1045</f>
        <v>1.4741957880120343E-3</v>
      </c>
      <c r="G1045" s="886">
        <f>димоканал!R1045</f>
        <v>2.9776783384434867E-2</v>
      </c>
      <c r="H1045" s="886">
        <f>'підготовка до зими'!M1045+майстерні!M1045+маляри!M1045+покрівлі!O1045</f>
        <v>0.32645545802096659</v>
      </c>
      <c r="I1045" s="886">
        <f>електрики!R1045</f>
        <v>2.7581653004918674E-2</v>
      </c>
      <c r="J1045" s="989">
        <f t="shared" si="118"/>
        <v>0.86328705097949354</v>
      </c>
      <c r="K1045" s="989">
        <v>2.1993463663761037E-2</v>
      </c>
      <c r="L1045" s="994">
        <f t="shared" si="120"/>
        <v>0.88528051464325452</v>
      </c>
      <c r="M1045" s="994">
        <f t="shared" si="119"/>
        <v>1.0623366175719053</v>
      </c>
      <c r="N1045" s="753">
        <v>2</v>
      </c>
      <c r="O1045" s="994">
        <v>0.90613070294695475</v>
      </c>
      <c r="P1045" s="22">
        <f t="shared" si="121"/>
        <v>0.15620591462495059</v>
      </c>
      <c r="Q1045" s="982">
        <f t="shared" si="122"/>
        <v>17.23878399848185</v>
      </c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s="93" customFormat="1" ht="18">
      <c r="A1046" s="333">
        <v>166</v>
      </c>
      <c r="B1046" s="335" t="s">
        <v>1002</v>
      </c>
      <c r="C1046" s="886">
        <f>cходова!R1046</f>
        <v>0</v>
      </c>
      <c r="D1046" s="886">
        <f>прибуд.!O1046</f>
        <v>0.27569738037067665</v>
      </c>
      <c r="E1046" s="886">
        <f>гар.вода!M1046+хол.вода!Q1046+ц.о.!M1046+каналізація!Q1046+аварійні!I1046+зварювальн!M1046</f>
        <v>0.19694203195332347</v>
      </c>
      <c r="F1046" s="886">
        <f>дератизац.!I1046</f>
        <v>2.546506821000414E-3</v>
      </c>
      <c r="G1046" s="886">
        <f>димоканал!R1046</f>
        <v>3.9125004646228666E-2</v>
      </c>
      <c r="H1046" s="886">
        <f>'підготовка до зими'!M1046+майстерні!M1046+маляри!M1046+покрівлі!O1046</f>
        <v>0.37852096946075625</v>
      </c>
      <c r="I1046" s="886">
        <f>електрики!R1046</f>
        <v>3.0242672207230408E-2</v>
      </c>
      <c r="J1046" s="989">
        <f t="shared" si="118"/>
        <v>0.92307456545921585</v>
      </c>
      <c r="K1046" s="989">
        <v>2.3510966530881128E-2</v>
      </c>
      <c r="L1046" s="994">
        <f t="shared" si="120"/>
        <v>0.94658553199009698</v>
      </c>
      <c r="M1046" s="994">
        <f t="shared" si="119"/>
        <v>1.1359026383881163</v>
      </c>
      <c r="N1046" s="753">
        <v>2</v>
      </c>
      <c r="O1046" s="994">
        <v>0.96865182107230252</v>
      </c>
      <c r="P1046" s="22">
        <f t="shared" si="121"/>
        <v>0.16725081731581382</v>
      </c>
      <c r="Q1046" s="982">
        <f t="shared" si="122"/>
        <v>17.2663503724864</v>
      </c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s="93" customFormat="1" ht="18">
      <c r="A1047" s="333">
        <v>167</v>
      </c>
      <c r="B1047" s="394" t="s">
        <v>1003</v>
      </c>
      <c r="C1047" s="886">
        <f>cходова!R1047</f>
        <v>0</v>
      </c>
      <c r="D1047" s="886">
        <f>прибуд.!O1047</f>
        <v>0.39213456166007904</v>
      </c>
      <c r="E1047" s="886">
        <f>гар.вода!M1047+хол.вода!Q1047+ц.о.!M1047+каналізація!Q1047+аварійні!I1047+зварювальн!M1047</f>
        <v>0.18182052115260533</v>
      </c>
      <c r="F1047" s="886">
        <f>дератизац.!I1047</f>
        <v>1.6097736255839025E-3</v>
      </c>
      <c r="G1047" s="886">
        <f>димоканал!R1047</f>
        <v>1.0113328949241419E-2</v>
      </c>
      <c r="H1047" s="886">
        <f>'підготовка до зими'!M1047+майстерні!M1047+маляри!M1047+покрівлі!O1047</f>
        <v>0.32572808769446587</v>
      </c>
      <c r="I1047" s="886">
        <f>електрики!R1047</f>
        <v>1.7843502610230804E-2</v>
      </c>
      <c r="J1047" s="989">
        <f t="shared" si="118"/>
        <v>0.92924977569220646</v>
      </c>
      <c r="K1047" s="989">
        <v>2.3550766460995302E-2</v>
      </c>
      <c r="L1047" s="994">
        <f t="shared" si="120"/>
        <v>0.95280054215320176</v>
      </c>
      <c r="M1047" s="994">
        <f t="shared" si="119"/>
        <v>1.1433606505838421</v>
      </c>
      <c r="N1047" s="753">
        <v>1</v>
      </c>
      <c r="O1047" s="994">
        <v>0.97029157819300638</v>
      </c>
      <c r="P1047" s="22">
        <f t="shared" si="121"/>
        <v>0.17306907239083569</v>
      </c>
      <c r="Q1047" s="982">
        <f t="shared" si="122"/>
        <v>17.836810736123837</v>
      </c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s="93" customFormat="1" ht="18">
      <c r="A1048" s="333">
        <v>168</v>
      </c>
      <c r="B1048" s="335" t="s">
        <v>1004</v>
      </c>
      <c r="C1048" s="886">
        <f>cходова!R1048</f>
        <v>0</v>
      </c>
      <c r="D1048" s="886">
        <f>прибуд.!O1048</f>
        <v>0.32335125484444449</v>
      </c>
      <c r="E1048" s="886">
        <f>гар.вода!M1048+хол.вода!Q1048+ц.о.!M1048+каналізація!Q1048+аварійні!I1048+зварювальн!M1048</f>
        <v>0.24721726911509065</v>
      </c>
      <c r="F1048" s="886">
        <f>дератизац.!I1048</f>
        <v>6.8366666666666671E-3</v>
      </c>
      <c r="G1048" s="886">
        <f>димоканал!R1048</f>
        <v>0.1039205727772885</v>
      </c>
      <c r="H1048" s="886">
        <f>'підготовка до зими'!M1048+майстерні!M1048+маляри!M1048+покрівлі!O1048</f>
        <v>0.3873161187431382</v>
      </c>
      <c r="I1048" s="886">
        <f>електрики!R1048</f>
        <v>2.6484516140945245E-2</v>
      </c>
      <c r="J1048" s="989">
        <f t="shared" si="118"/>
        <v>1.0951263982875739</v>
      </c>
      <c r="K1048" s="989">
        <v>2.8016538081570012E-2</v>
      </c>
      <c r="L1048" s="994">
        <f t="shared" si="120"/>
        <v>1.1231429363691439</v>
      </c>
      <c r="M1048" s="994">
        <f t="shared" si="119"/>
        <v>1.3477715236429726</v>
      </c>
      <c r="N1048" s="753">
        <v>2</v>
      </c>
      <c r="O1048" s="994">
        <v>1.1542813689606846</v>
      </c>
      <c r="P1048" s="22">
        <f t="shared" si="121"/>
        <v>0.19349015468228803</v>
      </c>
      <c r="Q1048" s="982">
        <f t="shared" si="122"/>
        <v>16.762824029335817</v>
      </c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s="93" customFormat="1" ht="18">
      <c r="A1049" s="333">
        <v>169</v>
      </c>
      <c r="B1049" s="394" t="s">
        <v>1005</v>
      </c>
      <c r="C1049" s="886">
        <f>cходова!R1049</f>
        <v>0</v>
      </c>
      <c r="D1049" s="886">
        <f>прибуд.!O1049</f>
        <v>0.34496933304883837</v>
      </c>
      <c r="E1049" s="886">
        <f>гар.вода!M1049+хол.вода!Q1049+ц.о.!M1049+каналізація!Q1049+аварійні!I1049+зварювальн!M1049</f>
        <v>0.24045728581883027</v>
      </c>
      <c r="F1049" s="886">
        <f>дератизац.!I1049</f>
        <v>4.9288762446657187E-3</v>
      </c>
      <c r="G1049" s="886">
        <f>димоканал!R1049</f>
        <v>3.167666311032976E-2</v>
      </c>
      <c r="H1049" s="886">
        <f>'підготовка до зими'!M1049+майстерні!M1049+маляри!M1049+покрівлі!O1049</f>
        <v>0.35238570527283308</v>
      </c>
      <c r="I1049" s="886">
        <f>електрики!R1049</f>
        <v>2.8255173692331343E-2</v>
      </c>
      <c r="J1049" s="989">
        <f t="shared" si="118"/>
        <v>1.0026730371878285</v>
      </c>
      <c r="K1049" s="989">
        <v>2.5569077074385899E-2</v>
      </c>
      <c r="L1049" s="994">
        <f t="shared" si="120"/>
        <v>1.0282421142622145</v>
      </c>
      <c r="M1049" s="994">
        <f t="shared" si="119"/>
        <v>1.2338905371146573</v>
      </c>
      <c r="N1049" s="753">
        <v>2</v>
      </c>
      <c r="O1049" s="994">
        <v>1.0534459754646992</v>
      </c>
      <c r="P1049" s="22">
        <f t="shared" si="121"/>
        <v>0.18044456164995815</v>
      </c>
      <c r="Q1049" s="982">
        <f t="shared" si="122"/>
        <v>17.128981063348775</v>
      </c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s="93" customFormat="1" ht="18">
      <c r="A1050" s="333">
        <v>170</v>
      </c>
      <c r="B1050" s="335" t="s">
        <v>1006</v>
      </c>
      <c r="C1050" s="886">
        <f>cходова!R1050</f>
        <v>0</v>
      </c>
      <c r="D1050" s="886">
        <f>прибуд.!O1050</f>
        <v>0.40592876325522076</v>
      </c>
      <c r="E1050" s="886">
        <f>гар.вода!M1050+хол.вода!Q1050+ц.о.!M1050+каналізація!Q1050+аварійні!I1050+зварювальн!M1050</f>
        <v>0.34908269779254913</v>
      </c>
      <c r="F1050" s="886">
        <f>дератизац.!I1050</f>
        <v>2.8622668579626979E-3</v>
      </c>
      <c r="G1050" s="886">
        <f>димоканал!R1050</f>
        <v>6.3456668015676412E-2</v>
      </c>
      <c r="H1050" s="886">
        <f>'підготовка до зими'!M1050+майстерні!M1050+маляри!M1050+покрівлі!O1050</f>
        <v>0.30484207537568009</v>
      </c>
      <c r="I1050" s="886">
        <f>електрики!R1050</f>
        <v>4.2747604962070876E-2</v>
      </c>
      <c r="J1050" s="989">
        <f t="shared" si="118"/>
        <v>1.1689200762591598</v>
      </c>
      <c r="K1050" s="989">
        <v>2.9834277894502888E-2</v>
      </c>
      <c r="L1050" s="994">
        <f t="shared" si="120"/>
        <v>1.1987543541536627</v>
      </c>
      <c r="M1050" s="994">
        <f t="shared" si="119"/>
        <v>1.4385052249843953</v>
      </c>
      <c r="N1050" s="753">
        <v>2</v>
      </c>
      <c r="O1050" s="994">
        <v>1.2291722492535189</v>
      </c>
      <c r="P1050" s="22">
        <f t="shared" si="121"/>
        <v>0.20933297573087639</v>
      </c>
      <c r="Q1050" s="982">
        <f t="shared" si="122"/>
        <v>17.030402033401359</v>
      </c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s="892" customFormat="1" ht="18">
      <c r="A1051" s="333">
        <v>171</v>
      </c>
      <c r="B1051" s="394" t="s">
        <v>1007</v>
      </c>
      <c r="C1051" s="886">
        <f>cходова!R1051</f>
        <v>0</v>
      </c>
      <c r="D1051" s="886">
        <f>прибуд.!O1051</f>
        <v>0.32439769903487958</v>
      </c>
      <c r="E1051" s="886">
        <f>гар.вода!M1051+хол.вода!Q1051+ц.о.!M1051+каналізація!Q1051+аварійні!I1051+зварювальн!M1051</f>
        <v>0.24235361112603132</v>
      </c>
      <c r="F1051" s="886">
        <f>дератизац.!I1051</f>
        <v>1.1779935275080906E-3</v>
      </c>
      <c r="G1051" s="886">
        <f>димоканал!R1051</f>
        <v>7.8341222738613367E-2</v>
      </c>
      <c r="H1051" s="886">
        <f>'підготовка до зими'!M1051+майстерні!M1051+маляри!M1051+покрівлі!O1051</f>
        <v>0.19241704654197522</v>
      </c>
      <c r="I1051" s="886">
        <f>електрики!R1051</f>
        <v>1.7142081644624753E-2</v>
      </c>
      <c r="J1051" s="989">
        <f t="shared" si="118"/>
        <v>0.85582965461363236</v>
      </c>
      <c r="K1051" s="989">
        <v>2.2266962461539985E-2</v>
      </c>
      <c r="L1051" s="994">
        <f t="shared" si="120"/>
        <v>0.87809661707517239</v>
      </c>
      <c r="M1051" s="994">
        <f t="shared" si="119"/>
        <v>1.0537159404902068</v>
      </c>
      <c r="N1051" s="753">
        <v>2</v>
      </c>
      <c r="O1051" s="994">
        <v>0.91739885341544736</v>
      </c>
      <c r="P1051" s="22">
        <f t="shared" si="121"/>
        <v>0.13631708707475942</v>
      </c>
      <c r="Q1051" s="982">
        <f t="shared" si="122"/>
        <v>14.859086270628666</v>
      </c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s="892" customFormat="1" ht="18">
      <c r="A1052" s="333">
        <v>172</v>
      </c>
      <c r="B1052" s="335" t="s">
        <v>1008</v>
      </c>
      <c r="C1052" s="886">
        <f>cходова!R1052</f>
        <v>0</v>
      </c>
      <c r="D1052" s="886">
        <f>прибуд.!O1052</f>
        <v>0.10585904176455026</v>
      </c>
      <c r="E1052" s="886">
        <f>гар.вода!M1052+хол.вода!Q1052+ц.о.!M1052+каналізація!Q1052+аварійні!I1052+зварювальн!M1052</f>
        <v>0.27881504561183679</v>
      </c>
      <c r="F1052" s="886">
        <f>дератизац.!I1052</f>
        <v>4.000000000000001E-3</v>
      </c>
      <c r="G1052" s="886">
        <f>димоканал!R1052</f>
        <v>0.2670733100667283</v>
      </c>
      <c r="H1052" s="886">
        <f>'підготовка до зими'!M1052+майстерні!M1052+маляри!M1052+покрівлі!O1052</f>
        <v>0.4154267585476073</v>
      </c>
      <c r="I1052" s="886">
        <f>електрики!R1052</f>
        <v>3.1529185882077676E-2</v>
      </c>
      <c r="J1052" s="989">
        <f t="shared" si="118"/>
        <v>1.1027033418728003</v>
      </c>
      <c r="K1052" s="989">
        <v>2.8869636517731421E-2</v>
      </c>
      <c r="L1052" s="994">
        <f t="shared" si="120"/>
        <v>1.1315729783905317</v>
      </c>
      <c r="M1052" s="994">
        <f t="shared" si="119"/>
        <v>1.357887574068638</v>
      </c>
      <c r="N1052" s="753">
        <v>2</v>
      </c>
      <c r="O1052" s="994">
        <v>1.1894290245305346</v>
      </c>
      <c r="P1052" s="22">
        <f t="shared" si="121"/>
        <v>0.16845854953810346</v>
      </c>
      <c r="Q1052" s="982">
        <f t="shared" si="122"/>
        <v>14.162976189738913</v>
      </c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s="892" customFormat="1" ht="15" customHeight="1">
      <c r="A1053" s="333">
        <v>173</v>
      </c>
      <c r="B1053" s="394" t="s">
        <v>1009</v>
      </c>
      <c r="C1053" s="886">
        <f>cходова!R1053</f>
        <v>0</v>
      </c>
      <c r="D1053" s="886">
        <f>прибуд.!O1053</f>
        <v>0.23411861645750007</v>
      </c>
      <c r="E1053" s="886">
        <f>гар.вода!M1053+хол.вода!Q1053+ц.о.!M1053+каналізація!Q1053+аварійні!I1053+зварювальн!M1053</f>
        <v>0.27130135636293701</v>
      </c>
      <c r="F1053" s="886">
        <f>дератизац.!I1053</f>
        <v>2.4327678940835747E-3</v>
      </c>
      <c r="G1053" s="886">
        <f>димоканал!R1053</f>
        <v>1.126077487391073E-2</v>
      </c>
      <c r="H1053" s="886">
        <f>'підготовка до зими'!M1053+майстерні!M1053+маляри!M1053+покрівлі!O1053</f>
        <v>0.24938192927792757</v>
      </c>
      <c r="I1053" s="886">
        <f>електрики!R1053</f>
        <v>2.6024296994102171E-2</v>
      </c>
      <c r="J1053" s="989">
        <f t="shared" si="118"/>
        <v>0.79451974186046115</v>
      </c>
      <c r="K1053" s="989">
        <v>2.0316938726133191E-2</v>
      </c>
      <c r="L1053" s="994">
        <f t="shared" si="120"/>
        <v>0.81483668058659431</v>
      </c>
      <c r="M1053" s="994">
        <f t="shared" si="119"/>
        <v>0.97780401670391315</v>
      </c>
      <c r="N1053" s="753">
        <v>2</v>
      </c>
      <c r="O1053" s="994">
        <v>0.83705787551668753</v>
      </c>
      <c r="P1053" s="22">
        <f t="shared" si="121"/>
        <v>0.14074614118722562</v>
      </c>
      <c r="Q1053" s="982">
        <f t="shared" si="122"/>
        <v>16.814385875092299</v>
      </c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s="93" customFormat="1" ht="18">
      <c r="A1054" s="333">
        <v>174</v>
      </c>
      <c r="B1054" s="335" t="s">
        <v>1359</v>
      </c>
      <c r="C1054" s="886">
        <f>cходова!R1054</f>
        <v>0</v>
      </c>
      <c r="D1054" s="886">
        <f>прибуд.!O1054</f>
        <v>0.84823605502641664</v>
      </c>
      <c r="E1054" s="886">
        <f>гар.вода!M1054+хол.вода!Q1054+ц.о.!M1054+каналізація!Q1054+аварійні!I1054+зварювальн!M1054</f>
        <v>0.2370728091886796</v>
      </c>
      <c r="F1054" s="886">
        <f>дератизац.!I1054</f>
        <v>3.2085332419465387E-3</v>
      </c>
      <c r="G1054" s="886">
        <f>димоканал!R1054</f>
        <v>1.2719153624949638E-2</v>
      </c>
      <c r="H1054" s="886">
        <f>'підготовка до зими'!M1054+майстерні!M1054+маляри!M1054+покрівлі!O1054</f>
        <v>0.36081730028267878</v>
      </c>
      <c r="I1054" s="886">
        <f>електрики!R1054</f>
        <v>2.7654218682982366E-2</v>
      </c>
      <c r="J1054" s="989">
        <f t="shared" si="118"/>
        <v>1.4897080700476535</v>
      </c>
      <c r="K1054" s="989">
        <v>3.7449977216553687E-2</v>
      </c>
      <c r="L1054" s="994">
        <f t="shared" si="120"/>
        <v>1.5271580472642072</v>
      </c>
      <c r="M1054" s="1018">
        <f t="shared" si="119"/>
        <v>1.8325896567170485</v>
      </c>
      <c r="N1054" s="753">
        <v>2</v>
      </c>
      <c r="O1054" s="994">
        <v>1.542939061322012</v>
      </c>
      <c r="P1054" s="22">
        <f t="shared" si="121"/>
        <v>0.28965059539503657</v>
      </c>
      <c r="Q1054" s="982">
        <f t="shared" si="122"/>
        <v>18.77265296186485</v>
      </c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s="93" customFormat="1" ht="18">
      <c r="A1055" s="333">
        <v>175</v>
      </c>
      <c r="B1055" s="394" t="s">
        <v>1010</v>
      </c>
      <c r="C1055" s="886">
        <f>cходова!R1055</f>
        <v>0</v>
      </c>
      <c r="D1055" s="886">
        <f>прибуд.!O1055</f>
        <v>0.43901781523050926</v>
      </c>
      <c r="E1055" s="886">
        <f>гар.вода!M1055+хол.вода!Q1055+ц.о.!M1055+каналізація!Q1055+аварійні!I1055+зварювальн!M1055</f>
        <v>0.24333795821766549</v>
      </c>
      <c r="F1055" s="886">
        <f>дератизац.!I1055</f>
        <v>2.1795800144822591E-3</v>
      </c>
      <c r="G1055" s="886">
        <f>димоканал!R1055</f>
        <v>4.1657419233616294E-2</v>
      </c>
      <c r="H1055" s="886">
        <f>'підготовка до зими'!M1055+майстерні!M1055+маляри!M1055+покрівлі!O1055</f>
        <v>0.32424494084202254</v>
      </c>
      <c r="I1055" s="886">
        <f>електрики!R1055</f>
        <v>2.8766672129918805E-2</v>
      </c>
      <c r="J1055" s="989">
        <f t="shared" si="118"/>
        <v>1.0792043856682145</v>
      </c>
      <c r="K1055" s="989">
        <v>2.7361082647766793E-2</v>
      </c>
      <c r="L1055" s="994">
        <f t="shared" si="120"/>
        <v>1.1065654683159813</v>
      </c>
      <c r="M1055" s="994">
        <f t="shared" si="119"/>
        <v>1.3278785619791775</v>
      </c>
      <c r="N1055" s="753">
        <v>2</v>
      </c>
      <c r="O1055" s="994">
        <v>1.1272766050879919</v>
      </c>
      <c r="P1055" s="22">
        <f t="shared" si="121"/>
        <v>0.20060195689118565</v>
      </c>
      <c r="Q1055" s="982">
        <f t="shared" si="122"/>
        <v>17.795273669813042</v>
      </c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s="892" customFormat="1" ht="18">
      <c r="A1056" s="333">
        <v>176</v>
      </c>
      <c r="B1056" s="335" t="s">
        <v>1011</v>
      </c>
      <c r="C1056" s="886">
        <f>cходова!R1056</f>
        <v>0</v>
      </c>
      <c r="D1056" s="886">
        <f>прибуд.!O1056</f>
        <v>0</v>
      </c>
      <c r="E1056" s="886">
        <f>гар.вода!M1056+хол.вода!Q1056+ц.о.!M1056+каналізація!Q1056+аварійні!I1056+зварювальн!M1056</f>
        <v>0.17064426551933276</v>
      </c>
      <c r="F1056" s="886">
        <f>дератизац.!I1056</f>
        <v>3.5678391959798991E-3</v>
      </c>
      <c r="G1056" s="886">
        <f>димоканал!R1056</f>
        <v>2.3313637479233564E-2</v>
      </c>
      <c r="H1056" s="886">
        <f>'підготовка до зими'!M1056+майстерні!M1056+маляри!M1056+покрівлі!O1056</f>
        <v>0.28963662224252285</v>
      </c>
      <c r="I1056" s="886">
        <f>електрики!R1056</f>
        <v>1.425943080093965E-2</v>
      </c>
      <c r="J1056" s="989">
        <f t="shared" si="118"/>
        <v>0.50142179523800867</v>
      </c>
      <c r="K1056" s="989">
        <v>1.3078768864656384E-2</v>
      </c>
      <c r="L1056" s="994">
        <f t="shared" si="120"/>
        <v>0.51450056410266509</v>
      </c>
      <c r="M1056" s="994">
        <f t="shared" si="119"/>
        <v>0.61740067692319811</v>
      </c>
      <c r="N1056" s="753">
        <v>1</v>
      </c>
      <c r="O1056" s="994">
        <v>0.53884527722384301</v>
      </c>
      <c r="P1056" s="22">
        <f t="shared" si="121"/>
        <v>7.85553996993551E-2</v>
      </c>
      <c r="Q1056" s="982">
        <f t="shared" si="122"/>
        <v>14.57847048489991</v>
      </c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s="93" customFormat="1" ht="18">
      <c r="A1057" s="333">
        <v>177</v>
      </c>
      <c r="B1057" s="394" t="s">
        <v>1012</v>
      </c>
      <c r="C1057" s="886">
        <f>cходова!R1057</f>
        <v>0.47685674150292084</v>
      </c>
      <c r="D1057" s="886">
        <f>прибуд.!O1057</f>
        <v>0.24040985490293268</v>
      </c>
      <c r="E1057" s="886">
        <f>гар.вода!M1057+хол.вода!Q1057+ц.о.!M1057+каналізація!Q1057+аварійні!I1057+зварювальн!M1057</f>
        <v>0.24852914572174198</v>
      </c>
      <c r="F1057" s="886">
        <f>дератизац.!I1057</f>
        <v>1.019206939281289E-3</v>
      </c>
      <c r="G1057" s="886">
        <f>димоканал!R1057</f>
        <v>2.1961001382144119E-2</v>
      </c>
      <c r="H1057" s="886">
        <f>'підготовка до зими'!M1057+майстерні!M1057+маляри!M1057+покрівлі!O1057</f>
        <v>0.35225125003177582</v>
      </c>
      <c r="I1057" s="886">
        <f>електрики!R1057</f>
        <v>1.9691090067617281E-2</v>
      </c>
      <c r="J1057" s="989">
        <f t="shared" si="118"/>
        <v>1.3607182905484141</v>
      </c>
      <c r="K1057" s="989">
        <v>3.4655783171020048E-2</v>
      </c>
      <c r="L1057" s="994">
        <f t="shared" si="120"/>
        <v>1.3953740737194342</v>
      </c>
      <c r="M1057" s="994">
        <f t="shared" si="119"/>
        <v>1.6744488884633211</v>
      </c>
      <c r="N1057" s="753">
        <v>3</v>
      </c>
      <c r="O1057" s="994">
        <v>1.4278182666460262</v>
      </c>
      <c r="P1057" s="22">
        <f t="shared" si="121"/>
        <v>0.24663062181729489</v>
      </c>
      <c r="Q1057" s="982">
        <f t="shared" si="122"/>
        <v>17.273250215283724</v>
      </c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s="93" customFormat="1" ht="18">
      <c r="A1058" s="333">
        <v>178</v>
      </c>
      <c r="B1058" s="335" t="s">
        <v>1013</v>
      </c>
      <c r="C1058" s="886">
        <f>cходова!R1058</f>
        <v>0.48113921266825271</v>
      </c>
      <c r="D1058" s="886">
        <f>прибуд.!O1058</f>
        <v>0.42103027974537033</v>
      </c>
      <c r="E1058" s="886">
        <f>гар.вода!M1058+хол.вода!Q1058+ц.о.!M1058+каналізація!Q1058+аварійні!I1058+зварювальн!M1058</f>
        <v>0.23965214422311112</v>
      </c>
      <c r="F1058" s="886">
        <f>дератизац.!I1058</f>
        <v>2.2145061728395064E-3</v>
      </c>
      <c r="G1058" s="886">
        <f>димоканал!R1058</f>
        <v>4.4548063101148845E-2</v>
      </c>
      <c r="H1058" s="886">
        <f>'підготовка до зими'!M1058+майстерні!M1058+маляри!M1058+покрівлі!O1058</f>
        <v>0.18720281195025279</v>
      </c>
      <c r="I1058" s="886">
        <f>електрики!R1058</f>
        <v>2.0435583442087381E-2</v>
      </c>
      <c r="J1058" s="989">
        <f t="shared" si="118"/>
        <v>1.3962226013030627</v>
      </c>
      <c r="K1058" s="989">
        <v>3.5222949088156624E-2</v>
      </c>
      <c r="L1058" s="994">
        <f t="shared" si="120"/>
        <v>1.4314455503912193</v>
      </c>
      <c r="M1058" s="994">
        <f t="shared" si="119"/>
        <v>1.7177346604694632</v>
      </c>
      <c r="N1058" s="753">
        <v>4</v>
      </c>
      <c r="O1058" s="994">
        <v>1.4511855024320528</v>
      </c>
      <c r="P1058" s="22">
        <f t="shared" si="121"/>
        <v>0.26654915803741042</v>
      </c>
      <c r="Q1058" s="982">
        <f t="shared" si="122"/>
        <v>18.367683358929554</v>
      </c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s="93" customFormat="1" ht="18">
      <c r="A1059" s="333">
        <v>179</v>
      </c>
      <c r="B1059" s="394" t="s">
        <v>1014</v>
      </c>
      <c r="C1059" s="886">
        <f>cходова!R1059</f>
        <v>0.3670712595557275</v>
      </c>
      <c r="D1059" s="886">
        <f>прибуд.!O1059</f>
        <v>0.51327714378414679</v>
      </c>
      <c r="E1059" s="886">
        <f>гар.вода!M1059+хол.вода!Q1059+ц.о.!M1059+каналізація!Q1059+аварійні!I1059+зварювальн!M1059</f>
        <v>0.24307698430513641</v>
      </c>
      <c r="F1059" s="886">
        <f>дератизац.!I1059</f>
        <v>1.3035726078055869E-3</v>
      </c>
      <c r="G1059" s="886">
        <f>димоканал!R1059</f>
        <v>4.7712016745106604E-2</v>
      </c>
      <c r="H1059" s="886">
        <f>'підготовка до зими'!M1059+майстерні!M1059+маляри!M1059+покрівлі!O1059</f>
        <v>0.18697594802756207</v>
      </c>
      <c r="I1059" s="886">
        <f>електрики!R1059</f>
        <v>2.0987531776487021E-2</v>
      </c>
      <c r="J1059" s="989">
        <f t="shared" si="118"/>
        <v>1.380404456801972</v>
      </c>
      <c r="K1059" s="989">
        <v>3.4820096403672569E-2</v>
      </c>
      <c r="L1059" s="994">
        <f t="shared" si="120"/>
        <v>1.4152245532056447</v>
      </c>
      <c r="M1059" s="994">
        <f t="shared" si="119"/>
        <v>1.6982694638467735</v>
      </c>
      <c r="N1059" s="753">
        <v>4</v>
      </c>
      <c r="O1059" s="994">
        <v>1.4345879718313101</v>
      </c>
      <c r="P1059" s="22">
        <f t="shared" si="121"/>
        <v>0.26368149201546331</v>
      </c>
      <c r="Q1059" s="982">
        <f t="shared" si="122"/>
        <v>18.38029435579773</v>
      </c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s="93" customFormat="1" ht="18">
      <c r="A1060" s="333">
        <v>180</v>
      </c>
      <c r="B1060" s="335" t="s">
        <v>1015</v>
      </c>
      <c r="C1060" s="886">
        <f>cходова!R1060</f>
        <v>0.23875111643098867</v>
      </c>
      <c r="D1060" s="886">
        <f>прибуд.!O1060</f>
        <v>0.43393902537817258</v>
      </c>
      <c r="E1060" s="886">
        <f>гар.вода!M1060+хол.вода!Q1060+ц.о.!M1060+каналізація!Q1060+аварійні!I1060+зварювальн!M1060</f>
        <v>0.25168512324031267</v>
      </c>
      <c r="F1060" s="886">
        <f>дератизац.!I1060</f>
        <v>7.5507614213197983E-4</v>
      </c>
      <c r="G1060" s="886">
        <f>димоканал!R1060</f>
        <v>2.9280680875493757E-2</v>
      </c>
      <c r="H1060" s="886">
        <f>'підготовка до зими'!M1060+майстерні!M1060+маляри!M1060+покрівлі!O1060</f>
        <v>0.25172321446250484</v>
      </c>
      <c r="I1060" s="886">
        <f>електрики!R1060</f>
        <v>3.02488128513334E-2</v>
      </c>
      <c r="J1060" s="989">
        <f t="shared" si="118"/>
        <v>1.236383049380938</v>
      </c>
      <c r="K1060" s="989">
        <v>3.1176488580214368E-2</v>
      </c>
      <c r="L1060" s="994">
        <f t="shared" si="120"/>
        <v>1.2675595379611524</v>
      </c>
      <c r="M1060" s="994">
        <f t="shared" si="119"/>
        <v>1.5210714455533829</v>
      </c>
      <c r="N1060" s="753">
        <v>3</v>
      </c>
      <c r="O1060" s="994">
        <v>1.284471329504832</v>
      </c>
      <c r="P1060" s="22">
        <f t="shared" si="121"/>
        <v>0.23660011604855091</v>
      </c>
      <c r="Q1060" s="982">
        <f t="shared" si="122"/>
        <v>18.420038704932466</v>
      </c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s="93" customFormat="1" ht="18">
      <c r="A1061" s="333">
        <v>181</v>
      </c>
      <c r="B1061" s="394" t="s">
        <v>1360</v>
      </c>
      <c r="C1061" s="886">
        <f>cходова!R1061</f>
        <v>0.79167936694115193</v>
      </c>
      <c r="D1061" s="886">
        <f>прибуд.!O1061</f>
        <v>5.3797741526521101E-2</v>
      </c>
      <c r="E1061" s="886">
        <f>гар.вода!M1061+хол.вода!Q1061+ц.о.!M1061+каналізація!Q1061+аварійні!I1061+зварювальн!M1061</f>
        <v>0.19856970269731644</v>
      </c>
      <c r="F1061" s="886">
        <f>дератизац.!I1061</f>
        <v>1.4917030567685589E-3</v>
      </c>
      <c r="G1061" s="886">
        <f>димоканал!R1061</f>
        <v>1.6045254402224842E-2</v>
      </c>
      <c r="H1061" s="886">
        <f>'підготовка до зими'!M1061+майстерні!M1061+маляри!M1061+покрівлі!O1061</f>
        <v>0.22784664703156804</v>
      </c>
      <c r="I1061" s="886">
        <f>електрики!R1061</f>
        <v>2.0817523604236436E-2</v>
      </c>
      <c r="J1061" s="989">
        <f t="shared" si="118"/>
        <v>1.3102479392597872</v>
      </c>
      <c r="K1061" s="989">
        <v>3.2952907832348E-2</v>
      </c>
      <c r="L1061" s="994">
        <f t="shared" si="120"/>
        <v>1.3432008470921353</v>
      </c>
      <c r="M1061" s="994">
        <f t="shared" si="119"/>
        <v>1.6118410165105623</v>
      </c>
      <c r="N1061" s="753">
        <v>3</v>
      </c>
      <c r="O1061" s="994">
        <v>1.3576598026927376</v>
      </c>
      <c r="P1061" s="22">
        <f t="shared" si="121"/>
        <v>0.25418121381782477</v>
      </c>
      <c r="Q1061" s="982">
        <f t="shared" si="122"/>
        <v>18.722010721219704</v>
      </c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s="93" customFormat="1" ht="18">
      <c r="A1062" s="333">
        <v>182</v>
      </c>
      <c r="B1062" s="335" t="s">
        <v>1016</v>
      </c>
      <c r="C1062" s="886">
        <f>cходова!R1062</f>
        <v>0.47387553993626436</v>
      </c>
      <c r="D1062" s="886">
        <f>прибуд.!O1062</f>
        <v>0.27566176883584353</v>
      </c>
      <c r="E1062" s="886">
        <f>гар.вода!M1062+хол.вода!Q1062+ц.о.!M1062+каналізація!Q1062+аварійні!I1062+зварювальн!M1062</f>
        <v>0.22438166034361176</v>
      </c>
      <c r="F1062" s="886">
        <f>дератизац.!I1062</f>
        <v>1.7206592782040354E-3</v>
      </c>
      <c r="G1062" s="886">
        <f>димоканал!R1062</f>
        <v>4.5000589152095913E-2</v>
      </c>
      <c r="H1062" s="886">
        <f>'підготовка до зими'!M1062+майстерні!M1062+маляри!M1062+покрівлі!O1062</f>
        <v>0.24343842840535557</v>
      </c>
      <c r="I1062" s="886">
        <f>електрики!R1062</f>
        <v>2.5400750774563854E-2</v>
      </c>
      <c r="J1062" s="989">
        <f t="shared" si="118"/>
        <v>1.289479396725939</v>
      </c>
      <c r="K1062" s="989">
        <v>3.2516861226889598E-2</v>
      </c>
      <c r="L1062" s="994">
        <f t="shared" si="120"/>
        <v>1.3219962579528286</v>
      </c>
      <c r="M1062" s="994">
        <f t="shared" si="119"/>
        <v>1.5863955095433944</v>
      </c>
      <c r="N1062" s="753">
        <v>3</v>
      </c>
      <c r="O1062" s="994">
        <v>1.3396946825478515</v>
      </c>
      <c r="P1062" s="22">
        <f t="shared" si="121"/>
        <v>0.24670082699554285</v>
      </c>
      <c r="Q1062" s="982">
        <f t="shared" si="122"/>
        <v>18.4147052465987</v>
      </c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s="93" customFormat="1" ht="18">
      <c r="A1063" s="333">
        <v>183</v>
      </c>
      <c r="B1063" s="394" t="s">
        <v>1017</v>
      </c>
      <c r="C1063" s="886">
        <f>cходова!R1063</f>
        <v>0.43766691287324899</v>
      </c>
      <c r="D1063" s="886">
        <f>прибуд.!O1063</f>
        <v>0.38314317580032636</v>
      </c>
      <c r="E1063" s="886">
        <f>гар.вода!M1063+хол.вода!Q1063+ц.о.!M1063+каналізація!Q1063+аварійні!I1063+зварювальн!M1063</f>
        <v>0.20579181005067007</v>
      </c>
      <c r="F1063" s="886">
        <f>дератизац.!I1063</f>
        <v>1.7289719626168226E-3</v>
      </c>
      <c r="G1063" s="886">
        <f>димоканал!R1063</f>
        <v>2.6703265669442838E-2</v>
      </c>
      <c r="H1063" s="886">
        <f>'підготовка до зими'!M1063+майстерні!M1063+маляри!M1063+покрівлі!O1063</f>
        <v>0.24934807409700982</v>
      </c>
      <c r="I1063" s="886">
        <f>електрики!R1063</f>
        <v>2.2099896646316123E-2</v>
      </c>
      <c r="J1063" s="989">
        <f t="shared" si="118"/>
        <v>1.3264821070996309</v>
      </c>
      <c r="K1063" s="989">
        <v>3.3381718794294329E-2</v>
      </c>
      <c r="L1063" s="994">
        <f t="shared" si="120"/>
        <v>1.3598638258939253</v>
      </c>
      <c r="M1063" s="994">
        <f t="shared" si="119"/>
        <v>1.6318365910727104</v>
      </c>
      <c r="N1063" s="753">
        <v>3</v>
      </c>
      <c r="O1063" s="994">
        <v>1.3753268143249266</v>
      </c>
      <c r="P1063" s="22">
        <f t="shared" si="121"/>
        <v>0.25650977674778375</v>
      </c>
      <c r="Q1063" s="982">
        <f t="shared" si="122"/>
        <v>18.65082350435307</v>
      </c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s="93" customFormat="1" ht="18">
      <c r="A1064" s="333">
        <v>184</v>
      </c>
      <c r="B1064" s="335" t="s">
        <v>1018</v>
      </c>
      <c r="C1064" s="886">
        <f>cходова!R1064</f>
        <v>0.38639657645413467</v>
      </c>
      <c r="D1064" s="886">
        <f>прибуд.!O1064</f>
        <v>9.8271601692844698E-2</v>
      </c>
      <c r="E1064" s="886">
        <f>гар.вода!M1064+хол.вода!Q1064+ц.о.!M1064+каналізація!Q1064+аварійні!I1064+зварювальн!M1064</f>
        <v>0.20568826208656588</v>
      </c>
      <c r="F1064" s="886">
        <f>дератизац.!I1064</f>
        <v>2.7110377967438861E-3</v>
      </c>
      <c r="G1064" s="886">
        <f>димоканал!R1064</f>
        <v>2.4422938992710062E-2</v>
      </c>
      <c r="H1064" s="886">
        <f>'підготовка до зими'!M1064+майстерні!M1064+маляри!M1064+покрівлі!O1064</f>
        <v>0.2253763625829428</v>
      </c>
      <c r="I1064" s="886">
        <f>електрики!R1064</f>
        <v>2.2081510445276373E-2</v>
      </c>
      <c r="J1064" s="989">
        <f t="shared" si="118"/>
        <v>0.96494829005121829</v>
      </c>
      <c r="K1064" s="989">
        <v>2.4440718729935852E-2</v>
      </c>
      <c r="L1064" s="994">
        <f t="shared" si="120"/>
        <v>0.9893890087811541</v>
      </c>
      <c r="M1064" s="994">
        <f t="shared" si="119"/>
        <v>1.1872668105373849</v>
      </c>
      <c r="N1064" s="753">
        <v>3</v>
      </c>
      <c r="O1064" s="994">
        <v>1.0069576116733572</v>
      </c>
      <c r="P1064" s="22">
        <f t="shared" si="121"/>
        <v>0.18030919886402774</v>
      </c>
      <c r="Q1064" s="982">
        <f t="shared" si="122"/>
        <v>17.906334564013164</v>
      </c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s="93" customFormat="1" ht="18">
      <c r="A1065" s="333">
        <v>185</v>
      </c>
      <c r="B1065" s="394" t="s">
        <v>1019</v>
      </c>
      <c r="C1065" s="886">
        <f>cходова!R1065</f>
        <v>0.51477085914937837</v>
      </c>
      <c r="D1065" s="886">
        <f>прибуд.!O1065</f>
        <v>0.13381729884457819</v>
      </c>
      <c r="E1065" s="886">
        <f>гар.вода!M1065+хол.вода!Q1065+ц.о.!M1065+каналізація!Q1065+аварійні!I1065+зварювальн!M1065</f>
        <v>0.2075899191980253</v>
      </c>
      <c r="F1065" s="886">
        <f>дератизац.!I1065</f>
        <v>2.0278404815650868E-3</v>
      </c>
      <c r="G1065" s="886">
        <f>димоканал!R1065</f>
        <v>3.1185096177905585E-2</v>
      </c>
      <c r="H1065" s="886">
        <f>'підготовка до зими'!M1065+майстерні!M1065+маляри!M1065+покрівлі!O1065</f>
        <v>0.24579981720224636</v>
      </c>
      <c r="I1065" s="886">
        <f>електрики!R1065</f>
        <v>2.2419172805540559E-2</v>
      </c>
      <c r="J1065" s="989">
        <f t="shared" ref="J1065:J1127" si="123">I1065+H1065+G1065+F1065+E1065+D1065+C1065</f>
        <v>1.1576100038592394</v>
      </c>
      <c r="K1065" s="989">
        <v>2.9225016100285574E-2</v>
      </c>
      <c r="L1065" s="994">
        <f t="shared" si="120"/>
        <v>1.186835019959525</v>
      </c>
      <c r="M1065" s="994">
        <f t="shared" ref="M1065:M1127" si="124">L1065*1.2</f>
        <v>1.4242020239514299</v>
      </c>
      <c r="N1065" s="753">
        <v>3</v>
      </c>
      <c r="O1065" s="994">
        <v>1.2040706633317657</v>
      </c>
      <c r="P1065" s="22">
        <f t="shared" si="121"/>
        <v>0.22013136061966421</v>
      </c>
      <c r="Q1065" s="982">
        <f t="shared" si="122"/>
        <v>18.282262604965567</v>
      </c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s="93" customFormat="1" ht="18">
      <c r="A1066" s="333">
        <v>186</v>
      </c>
      <c r="B1066" s="335" t="s">
        <v>1020</v>
      </c>
      <c r="C1066" s="886">
        <f>cходова!R1066</f>
        <v>0</v>
      </c>
      <c r="D1066" s="886">
        <f>прибуд.!O1066</f>
        <v>0.62416508917176783</v>
      </c>
      <c r="E1066" s="886">
        <f>гар.вода!M1066+хол.вода!Q1066+ц.о.!M1066+каналізація!Q1066+аварійні!I1066+зварювальн!M1066</f>
        <v>0.20583336693465787</v>
      </c>
      <c r="F1066" s="886">
        <f>дератизац.!I1066</f>
        <v>1.5094602114635507E-3</v>
      </c>
      <c r="G1066" s="886">
        <f>димоканал!R1066</f>
        <v>3.0894652227771824E-2</v>
      </c>
      <c r="H1066" s="886">
        <f>'підготовка до зими'!M1066+майстерні!M1066+маляри!M1066+покрівлі!O1066</f>
        <v>0.25939143224529582</v>
      </c>
      <c r="I1066" s="886">
        <f>електрики!R1066</f>
        <v>2.2107275576748953E-2</v>
      </c>
      <c r="J1066" s="989">
        <f t="shared" si="123"/>
        <v>1.1439012763677059</v>
      </c>
      <c r="K1066" s="989">
        <v>2.8832123503423478E-2</v>
      </c>
      <c r="L1066" s="994">
        <f t="shared" si="120"/>
        <v>1.1727333998711293</v>
      </c>
      <c r="M1066" s="994">
        <f t="shared" si="124"/>
        <v>1.4072800798453551</v>
      </c>
      <c r="N1066" s="753">
        <v>2</v>
      </c>
      <c r="O1066" s="994">
        <v>1.1878834883410474</v>
      </c>
      <c r="P1066" s="22">
        <f t="shared" si="121"/>
        <v>0.21939659150430768</v>
      </c>
      <c r="Q1066" s="982">
        <f t="shared" si="122"/>
        <v>18.469537935131044</v>
      </c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s="93" customFormat="1" ht="18">
      <c r="A1067" s="333">
        <v>187</v>
      </c>
      <c r="B1067" s="394" t="s">
        <v>1021</v>
      </c>
      <c r="C1067" s="886">
        <f>cходова!R1067</f>
        <v>0.30765688939484276</v>
      </c>
      <c r="D1067" s="886">
        <f>прибуд.!O1067</f>
        <v>0.37516469883196629</v>
      </c>
      <c r="E1067" s="886">
        <f>гар.вода!M1067+хол.вода!Q1067+ц.о.!M1067+каналізація!Q1067+аварійні!I1067+зварювальн!M1067</f>
        <v>0.23426298205342475</v>
      </c>
      <c r="F1067" s="886">
        <f>дератизац.!I1067</f>
        <v>3.0824579076126069E-3</v>
      </c>
      <c r="G1067" s="886">
        <f>димоканал!R1067</f>
        <v>2.8129452223892435E-2</v>
      </c>
      <c r="H1067" s="886">
        <f>'підготовка до зими'!M1067+майстерні!M1067+маляри!M1067+покрівлі!O1067</f>
        <v>0.26140542372176778</v>
      </c>
      <c r="I1067" s="886">
        <f>електрики!R1067</f>
        <v>2.7155299684017104E-2</v>
      </c>
      <c r="J1067" s="989">
        <f t="shared" si="123"/>
        <v>1.2368572038175238</v>
      </c>
      <c r="K1067" s="989">
        <v>3.1195177378458554E-2</v>
      </c>
      <c r="L1067" s="994">
        <f t="shared" si="120"/>
        <v>1.2680523811959823</v>
      </c>
      <c r="M1067" s="994">
        <f t="shared" si="124"/>
        <v>1.5216628574351787</v>
      </c>
      <c r="N1067" s="753">
        <v>3</v>
      </c>
      <c r="O1067" s="994">
        <v>1.2852413079924927</v>
      </c>
      <c r="P1067" s="22">
        <f t="shared" si="121"/>
        <v>0.23642154944268601</v>
      </c>
      <c r="Q1067" s="982">
        <f t="shared" si="122"/>
        <v>18.395109772185066</v>
      </c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s="6" customFormat="1" ht="18">
      <c r="A1068" s="333">
        <v>188</v>
      </c>
      <c r="B1068" s="335" t="s">
        <v>1022</v>
      </c>
      <c r="C1068" s="886">
        <f>cходова!R1068</f>
        <v>0</v>
      </c>
      <c r="D1068" s="886">
        <f>прибуд.!O1068</f>
        <v>0.1906673338008259</v>
      </c>
      <c r="E1068" s="886">
        <f>гар.вода!M1068+хол.вода!Q1068+ц.о.!M1068+каналізація!Q1068+аварійні!I1068+зварювальн!M1068</f>
        <v>0.25536358617144417</v>
      </c>
      <c r="F1068" s="886">
        <f>дератизац.!I1068</f>
        <v>2.1180114358322747E-3</v>
      </c>
      <c r="G1068" s="886">
        <f>димоканал!R1068</f>
        <v>2.2106222136650377E-2</v>
      </c>
      <c r="H1068" s="886">
        <f>'підготовка до зими'!M1068+майстерні!M1068+маляри!M1068+покрівлі!O1068</f>
        <v>0.23397547278625733</v>
      </c>
      <c r="I1068" s="886">
        <f>електрики!R1068</f>
        <v>2.5239373704839814E-2</v>
      </c>
      <c r="J1068" s="989">
        <f t="shared" si="123"/>
        <v>0.72947000003584994</v>
      </c>
      <c r="K1068" s="989">
        <v>1.8936697798378102E-2</v>
      </c>
      <c r="L1068" s="994">
        <f t="shared" si="120"/>
        <v>0.74840669783422809</v>
      </c>
      <c r="M1068" s="994">
        <f t="shared" si="124"/>
        <v>0.89808803740107368</v>
      </c>
      <c r="N1068" s="753">
        <v>2</v>
      </c>
      <c r="O1068" s="994">
        <v>0.78019194929317781</v>
      </c>
      <c r="P1068" s="22">
        <f t="shared" si="121"/>
        <v>0.11789608810789587</v>
      </c>
      <c r="Q1068" s="982">
        <f t="shared" si="122"/>
        <v>15.111164401876337</v>
      </c>
    </row>
    <row r="1069" spans="1:26" s="93" customFormat="1" ht="18">
      <c r="A1069" s="333">
        <v>189</v>
      </c>
      <c r="B1069" s="394" t="s">
        <v>1023</v>
      </c>
      <c r="C1069" s="886">
        <f>cходова!R1069</f>
        <v>0.55594822515401354</v>
      </c>
      <c r="D1069" s="886">
        <f>прибуд.!O1069</f>
        <v>6.5065985630209017E-2</v>
      </c>
      <c r="E1069" s="886">
        <f>гар.вода!M1069+хол.вода!Q1069+ц.о.!M1069+каналізація!Q1069+аварійні!I1069+зварювальн!M1069</f>
        <v>0.21985419911166401</v>
      </c>
      <c r="F1069" s="886">
        <f>дератизац.!I1069</f>
        <v>1.7480677350449401E-3</v>
      </c>
      <c r="G1069" s="886">
        <f>димоканал!R1069</f>
        <v>3.9480734804869091E-2</v>
      </c>
      <c r="H1069" s="886">
        <f>'підготовка до зими'!M1069+майстерні!M1069+маляри!M1069+покрівлі!O1069</f>
        <v>0.24918143539303445</v>
      </c>
      <c r="I1069" s="886">
        <f>електрики!R1069</f>
        <v>2.4596844940871887E-2</v>
      </c>
      <c r="J1069" s="989">
        <f t="shared" si="123"/>
        <v>1.1558754927697068</v>
      </c>
      <c r="K1069" s="989">
        <v>2.92433205359744E-2</v>
      </c>
      <c r="L1069" s="994">
        <f t="shared" si="120"/>
        <v>1.1851188133056811</v>
      </c>
      <c r="M1069" s="994">
        <f t="shared" si="124"/>
        <v>1.4221425759668174</v>
      </c>
      <c r="N1069" s="753">
        <v>3</v>
      </c>
      <c r="O1069" s="994">
        <v>1.2048248060821451</v>
      </c>
      <c r="P1069" s="22">
        <f t="shared" si="121"/>
        <v>0.21731776988467222</v>
      </c>
      <c r="Q1069" s="982">
        <f t="shared" si="122"/>
        <v>18.037292126425172</v>
      </c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s="93" customFormat="1" ht="18">
      <c r="A1070" s="333">
        <v>190</v>
      </c>
      <c r="B1070" s="335" t="s">
        <v>1024</v>
      </c>
      <c r="C1070" s="886">
        <f>cходова!R1070</f>
        <v>0</v>
      </c>
      <c r="D1070" s="886">
        <f>прибуд.!O1070</f>
        <v>0.53772381626016252</v>
      </c>
      <c r="E1070" s="886">
        <f>гар.вода!M1070+хол.вода!Q1070+ц.о.!M1070+каналізація!Q1070+аварійні!I1070+зварювальн!M1070</f>
        <v>0.25850224841166308</v>
      </c>
      <c r="F1070" s="886">
        <f>дератизац.!I1070</f>
        <v>1.8181818181818182E-3</v>
      </c>
      <c r="G1070" s="886">
        <f>димоканал!R1070</f>
        <v>4.5947885610240054E-2</v>
      </c>
      <c r="H1070" s="886">
        <f>'підготовка до зими'!M1070+майстерні!M1070+маляри!M1070+покрівлі!O1070</f>
        <v>0.2877683580119797</v>
      </c>
      <c r="I1070" s="886">
        <f>електрики!R1070</f>
        <v>3.1459276379013197E-2</v>
      </c>
      <c r="J1070" s="989">
        <f t="shared" si="123"/>
        <v>1.1632197664912405</v>
      </c>
      <c r="K1070" s="989">
        <v>2.9429760522244743E-2</v>
      </c>
      <c r="L1070" s="994">
        <f t="shared" si="120"/>
        <v>1.1926495270134851</v>
      </c>
      <c r="M1070" s="994">
        <f t="shared" si="124"/>
        <v>1.4311794324161822</v>
      </c>
      <c r="N1070" s="753">
        <v>2</v>
      </c>
      <c r="O1070" s="994">
        <v>1.2125061335164833</v>
      </c>
      <c r="P1070" s="22">
        <f t="shared" si="121"/>
        <v>0.21867329889969889</v>
      </c>
      <c r="Q1070" s="982">
        <f t="shared" si="122"/>
        <v>18.034820019054877</v>
      </c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s="93" customFormat="1" ht="18">
      <c r="A1071" s="333">
        <v>191</v>
      </c>
      <c r="B1071" s="394" t="s">
        <v>1025</v>
      </c>
      <c r="C1071" s="886">
        <f>cходова!R1071</f>
        <v>0.50496787113191899</v>
      </c>
      <c r="D1071" s="886">
        <f>прибуд.!O1071</f>
        <v>0.41170720003444539</v>
      </c>
      <c r="E1071" s="886">
        <f>гар.вода!M1071+хол.вода!Q1071+ц.о.!M1071+каналізація!Q1071+аварійні!I1071+зварювальн!M1071</f>
        <v>0.20518548075794268</v>
      </c>
      <c r="F1071" s="886">
        <f>дератизац.!I1071</f>
        <v>1.1832004723944494E-3</v>
      </c>
      <c r="G1071" s="886">
        <f>димоканал!R1071</f>
        <v>3.0636707237729526E-2</v>
      </c>
      <c r="H1071" s="886">
        <f>'підготовка до зими'!M1071+майстерні!M1071+маляри!M1071+покрівлі!O1071</f>
        <v>0.22297837719625058</v>
      </c>
      <c r="I1071" s="886">
        <f>електрики!R1071</f>
        <v>2.1992235502334961E-2</v>
      </c>
      <c r="J1071" s="989">
        <f t="shared" si="123"/>
        <v>1.3986510723330166</v>
      </c>
      <c r="K1071" s="989">
        <v>3.5158235263075654E-2</v>
      </c>
      <c r="L1071" s="994">
        <f t="shared" si="120"/>
        <v>1.4338093075960923</v>
      </c>
      <c r="M1071" s="994">
        <f t="shared" si="124"/>
        <v>1.7205711691153107</v>
      </c>
      <c r="N1071" s="753">
        <v>3</v>
      </c>
      <c r="O1071" s="994">
        <v>1.4485192928387172</v>
      </c>
      <c r="P1071" s="22">
        <f t="shared" si="121"/>
        <v>0.27205187627659355</v>
      </c>
      <c r="Q1071" s="982">
        <f t="shared" si="122"/>
        <v>18.781377481237655</v>
      </c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s="93" customFormat="1" ht="18">
      <c r="A1072" s="333">
        <v>192</v>
      </c>
      <c r="B1072" s="335" t="s">
        <v>1026</v>
      </c>
      <c r="C1072" s="886">
        <f>cходова!R1072</f>
        <v>0</v>
      </c>
      <c r="D1072" s="886">
        <f>прибуд.!O1072</f>
        <v>0.33182058012770388</v>
      </c>
      <c r="E1072" s="886">
        <f>гар.вода!M1072+хол.вода!Q1072+ц.о.!M1072+каналізація!Q1072+аварійні!I1072+зварювальн!M1072</f>
        <v>0.23439199517266665</v>
      </c>
      <c r="F1072" s="886">
        <f>дератизац.!I1072</f>
        <v>3.5574667709147778E-3</v>
      </c>
      <c r="G1072" s="886">
        <f>димоканал!R1072</f>
        <v>3.6998978201417961E-2</v>
      </c>
      <c r="H1072" s="886">
        <f>'підготовка до зими'!M1072+майстерні!M1072+маляри!M1072+покрівлі!O1072</f>
        <v>0.38481394465973967</v>
      </c>
      <c r="I1072" s="886">
        <f>електрики!R1072</f>
        <v>2.7178207533221758E-2</v>
      </c>
      <c r="J1072" s="989">
        <f t="shared" si="123"/>
        <v>1.0187611724656647</v>
      </c>
      <c r="K1072" s="989">
        <v>2.6099540293204989E-2</v>
      </c>
      <c r="L1072" s="994">
        <f t="shared" si="120"/>
        <v>1.0448607127588696</v>
      </c>
      <c r="M1072" s="994">
        <f t="shared" si="124"/>
        <v>1.2538328553106435</v>
      </c>
      <c r="N1072" s="753">
        <v>2</v>
      </c>
      <c r="O1072" s="994">
        <v>1.0753010600800457</v>
      </c>
      <c r="P1072" s="22">
        <f t="shared" si="121"/>
        <v>0.17853179523059781</v>
      </c>
      <c r="Q1072" s="982">
        <f t="shared" si="122"/>
        <v>16.602959102198582</v>
      </c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s="892" customFormat="1" ht="18">
      <c r="A1073" s="333">
        <v>193</v>
      </c>
      <c r="B1073" s="394" t="s">
        <v>1027</v>
      </c>
      <c r="C1073" s="886">
        <f>cходова!R1073</f>
        <v>0</v>
      </c>
      <c r="D1073" s="886">
        <f>прибуд.!O1073</f>
        <v>0.37838976630732862</v>
      </c>
      <c r="E1073" s="886">
        <f>гар.вода!M1073+хол.вода!Q1073+ц.о.!M1073+каналізація!Q1073+аварійні!I1073+зварювальн!M1073</f>
        <v>0.20516746973221633</v>
      </c>
      <c r="F1073" s="886">
        <f>дератизац.!I1073</f>
        <v>1.419858156028369E-3</v>
      </c>
      <c r="G1073" s="886">
        <f>димоканал!R1073</f>
        <v>3.6149609638013253E-2</v>
      </c>
      <c r="H1073" s="886">
        <f>'підготовка до зими'!M1073+майстерні!M1073+маляри!M1073+покрівлі!O1073</f>
        <v>0.41751783219487804</v>
      </c>
      <c r="I1073" s="886">
        <f>електрики!R1073</f>
        <v>2.9593842529363722E-2</v>
      </c>
      <c r="J1073" s="989">
        <f t="shared" si="123"/>
        <v>1.0682383785578282</v>
      </c>
      <c r="K1073" s="989">
        <v>2.7882639154149166E-2</v>
      </c>
      <c r="L1073" s="994">
        <f t="shared" ref="L1073:L1136" si="125">J1073+K1073</f>
        <v>1.0961210177119773</v>
      </c>
      <c r="M1073" s="994">
        <f t="shared" si="124"/>
        <v>1.3153452212543728</v>
      </c>
      <c r="N1073" s="753">
        <v>2</v>
      </c>
      <c r="O1073" s="994">
        <v>1.1487647331509456</v>
      </c>
      <c r="P1073" s="22">
        <f t="shared" ref="P1073:P1136" si="126">M1073-O1073</f>
        <v>0.16658048810342718</v>
      </c>
      <c r="Q1073" s="982">
        <f t="shared" ref="Q1073:Q1136" si="127">M1073/O1073*100-100</f>
        <v>14.500835836639396</v>
      </c>
    </row>
    <row r="1074" spans="1:26" s="93" customFormat="1" ht="18">
      <c r="A1074" s="333">
        <v>194</v>
      </c>
      <c r="B1074" s="335" t="s">
        <v>1030</v>
      </c>
      <c r="C1074" s="886">
        <f>cходова!R1074</f>
        <v>0.26603300350347014</v>
      </c>
      <c r="D1074" s="886">
        <f>прибуд.!O1074</f>
        <v>0.2263307896717997</v>
      </c>
      <c r="E1074" s="886">
        <f>гар.вода!M1074+хол.вода!Q1074+ц.о.!M1074+каналізація!Q1074+аварійні!I1074+зварювальн!M1074</f>
        <v>0.29437181785914274</v>
      </c>
      <c r="F1074" s="886">
        <f>дератизац.!I1074</f>
        <v>1.1650334422149634E-3</v>
      </c>
      <c r="G1074" s="886">
        <f>димоканал!R1074</f>
        <v>1.3855152693458904E-2</v>
      </c>
      <c r="H1074" s="886">
        <f>'підготовка до зими'!M1074+майстерні!M1074+маляри!M1074+покрівлі!O1074</f>
        <v>0.23686107509217053</v>
      </c>
      <c r="I1074" s="886">
        <f>електрики!R1074</f>
        <v>3.0896542394943119E-2</v>
      </c>
      <c r="J1074" s="989">
        <f t="shared" si="123"/>
        <v>1.0695134146572001</v>
      </c>
      <c r="K1074" s="989">
        <v>2.7219051477860252E-2</v>
      </c>
      <c r="L1074" s="994">
        <f t="shared" si="125"/>
        <v>1.0967324661350604</v>
      </c>
      <c r="M1074" s="994">
        <f t="shared" si="124"/>
        <v>1.3160789593620723</v>
      </c>
      <c r="N1074" s="753">
        <v>3</v>
      </c>
      <c r="O1074" s="994">
        <v>1.1214249208878424</v>
      </c>
      <c r="P1074" s="22">
        <f t="shared" si="126"/>
        <v>0.19465403847422991</v>
      </c>
      <c r="Q1074" s="982">
        <f t="shared" si="127"/>
        <v>17.357741463433911</v>
      </c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s="93" customFormat="1" ht="18">
      <c r="A1075" s="333">
        <v>195</v>
      </c>
      <c r="B1075" s="394" t="s">
        <v>1031</v>
      </c>
      <c r="C1075" s="886">
        <f>cходова!R1075</f>
        <v>0</v>
      </c>
      <c r="D1075" s="886">
        <f>прибуд.!O1075</f>
        <v>0.53526394528812171</v>
      </c>
      <c r="E1075" s="886">
        <f>гар.вода!M1075+хол.вода!Q1075+ц.о.!M1075+каналізація!Q1075+аварійні!I1075+зварювальн!M1075</f>
        <v>0.23650850911211377</v>
      </c>
      <c r="F1075" s="886">
        <f>дератизац.!I1075</f>
        <v>2.7836004932182499E-3</v>
      </c>
      <c r="G1075" s="886">
        <f>димоканал!R1075</f>
        <v>5.0150300791941736E-2</v>
      </c>
      <c r="H1075" s="886">
        <f>'підготовка до зими'!M1075+майстерні!M1075+маляри!M1075+покрівлі!O1075</f>
        <v>0.23897742107442665</v>
      </c>
      <c r="I1075" s="886">
        <f>електрики!R1075</f>
        <v>2.7554020337759003E-2</v>
      </c>
      <c r="J1075" s="989">
        <f t="shared" si="123"/>
        <v>1.0912377970975811</v>
      </c>
      <c r="K1075" s="989">
        <v>2.7632840781311674E-2</v>
      </c>
      <c r="L1075" s="994">
        <f t="shared" si="125"/>
        <v>1.1188706378788926</v>
      </c>
      <c r="M1075" s="994">
        <f t="shared" si="124"/>
        <v>1.3426447654546712</v>
      </c>
      <c r="N1075" s="753">
        <v>2</v>
      </c>
      <c r="O1075" s="994">
        <v>1.1384730401900409</v>
      </c>
      <c r="P1075" s="22">
        <f t="shared" si="126"/>
        <v>0.20417172526463023</v>
      </c>
      <c r="Q1075" s="982">
        <f t="shared" si="127"/>
        <v>17.933821711803446</v>
      </c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s="93" customFormat="1" ht="18">
      <c r="A1076" s="333">
        <v>196</v>
      </c>
      <c r="B1076" s="335" t="s">
        <v>1032</v>
      </c>
      <c r="C1076" s="886">
        <f>cходова!R1076</f>
        <v>0</v>
      </c>
      <c r="D1076" s="886">
        <f>прибуд.!O1076</f>
        <v>0.59355764998178218</v>
      </c>
      <c r="E1076" s="886">
        <f>гар.вода!M1076+хол.вода!Q1076+ц.о.!M1076+каналізація!Q1076+аварійні!I1076+зварювальн!M1076</f>
        <v>0.21424049737619691</v>
      </c>
      <c r="F1076" s="886">
        <f>дератизац.!I1076</f>
        <v>1.7118811881188119E-3</v>
      </c>
      <c r="G1076" s="886">
        <f>димоканал!R1076</f>
        <v>4.1647001903934597E-2</v>
      </c>
      <c r="H1076" s="886">
        <f>'підготовка до зими'!M1076+майстерні!M1076+маляри!M1076+покрівлі!O1076</f>
        <v>0.234823160271531</v>
      </c>
      <c r="I1076" s="886">
        <f>електрики!R1076</f>
        <v>2.360006388797101E-2</v>
      </c>
      <c r="J1076" s="989">
        <f t="shared" si="123"/>
        <v>1.1095802546095346</v>
      </c>
      <c r="K1076" s="989">
        <v>2.8008879514202101E-2</v>
      </c>
      <c r="L1076" s="994">
        <f t="shared" si="125"/>
        <v>1.1375891341237367</v>
      </c>
      <c r="M1076" s="994">
        <f t="shared" si="124"/>
        <v>1.365106960948484</v>
      </c>
      <c r="N1076" s="753">
        <v>2</v>
      </c>
      <c r="O1076" s="994">
        <v>1.1539658359851268</v>
      </c>
      <c r="P1076" s="22">
        <f t="shared" si="126"/>
        <v>0.21114112496335724</v>
      </c>
      <c r="Q1076" s="982">
        <f t="shared" si="127"/>
        <v>18.296999649310123</v>
      </c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s="93" customFormat="1" ht="18">
      <c r="A1077" s="333">
        <v>197</v>
      </c>
      <c r="B1077" s="394" t="s">
        <v>1033</v>
      </c>
      <c r="C1077" s="886">
        <f>cходова!R1077</f>
        <v>0.40521670008765309</v>
      </c>
      <c r="D1077" s="886">
        <f>прибуд.!O1077</f>
        <v>0.44197820509082064</v>
      </c>
      <c r="E1077" s="886">
        <f>гар.вода!M1077+хол.вода!Q1077+ц.о.!M1077+каналізація!Q1077+аварійні!I1077+зварювальн!M1077</f>
        <v>0.22404273464070054</v>
      </c>
      <c r="F1077" s="886">
        <f>дератизац.!I1077</f>
        <v>1.6648441771459814E-3</v>
      </c>
      <c r="G1077" s="886">
        <f>димоканал!R1077</f>
        <v>3.320064974469307E-2</v>
      </c>
      <c r="H1077" s="886">
        <f>'підготовка до зими'!M1077+майстерні!M1077+маляри!M1077+покрівлі!O1077</f>
        <v>0.24840738302187329</v>
      </c>
      <c r="I1077" s="886">
        <f>електрики!R1077</f>
        <v>2.5340570391828417E-2</v>
      </c>
      <c r="J1077" s="989">
        <f t="shared" si="123"/>
        <v>1.3798510871547149</v>
      </c>
      <c r="K1077" s="989">
        <v>3.4721614338270021E-2</v>
      </c>
      <c r="L1077" s="994">
        <f t="shared" si="125"/>
        <v>1.414572701492985</v>
      </c>
      <c r="M1077" s="994">
        <f t="shared" si="124"/>
        <v>1.6974872417915818</v>
      </c>
      <c r="N1077" s="753">
        <v>3</v>
      </c>
      <c r="O1077" s="994">
        <v>1.4305305107367248</v>
      </c>
      <c r="P1077" s="22">
        <f t="shared" si="126"/>
        <v>0.26695673105485707</v>
      </c>
      <c r="Q1077" s="982">
        <f t="shared" si="127"/>
        <v>18.661379750465727</v>
      </c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s="93" customFormat="1" ht="18">
      <c r="A1078" s="333">
        <v>198</v>
      </c>
      <c r="B1078" s="335" t="s">
        <v>1034</v>
      </c>
      <c r="C1078" s="886">
        <f>cходова!R1078</f>
        <v>0</v>
      </c>
      <c r="D1078" s="886">
        <f>прибуд.!O1078</f>
        <v>0.39813523147423502</v>
      </c>
      <c r="E1078" s="886">
        <f>гар.вода!M1078+хол.вода!Q1078+ц.о.!M1078+каналізація!Q1078+аварійні!I1078+зварювальн!M1078</f>
        <v>0.25743441127806882</v>
      </c>
      <c r="F1078" s="886">
        <f>дератизац.!I1078</f>
        <v>3.4790626546125133E-3</v>
      </c>
      <c r="G1078" s="886">
        <f>димоканал!R1078</f>
        <v>3.1300493539412312E-2</v>
      </c>
      <c r="H1078" s="886">
        <f>'підготовка до зими'!M1078+майстерні!M1078+маляри!M1078+покрівлі!O1078</f>
        <v>0.35696656736355842</v>
      </c>
      <c r="I1078" s="886">
        <f>електрики!R1078</f>
        <v>3.1269668902074062E-2</v>
      </c>
      <c r="J1078" s="989">
        <f t="shared" si="123"/>
        <v>1.078585435211961</v>
      </c>
      <c r="K1078" s="989">
        <v>2.7348787677607383E-2</v>
      </c>
      <c r="L1078" s="994">
        <f t="shared" si="125"/>
        <v>1.1059342228895683</v>
      </c>
      <c r="M1078" s="994">
        <f t="shared" si="124"/>
        <v>1.327121067467482</v>
      </c>
      <c r="N1078" s="753">
        <v>2</v>
      </c>
      <c r="O1078" s="994">
        <v>1.1267700523174242</v>
      </c>
      <c r="P1078" s="22">
        <f t="shared" si="126"/>
        <v>0.20035101515005782</v>
      </c>
      <c r="Q1078" s="982">
        <f t="shared" si="127"/>
        <v>17.781002853066298</v>
      </c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s="892" customFormat="1" ht="18">
      <c r="A1079" s="333">
        <v>199</v>
      </c>
      <c r="B1079" s="394" t="s">
        <v>1035</v>
      </c>
      <c r="C1079" s="886">
        <f>cходова!R1079</f>
        <v>0</v>
      </c>
      <c r="D1079" s="886">
        <f>прибуд.!O1079</f>
        <v>0.37596945015250083</v>
      </c>
      <c r="E1079" s="886">
        <f>гар.вода!M1079+хол.вода!Q1079+ц.о.!M1079+каналізація!Q1079+аварійні!I1079+зварювальн!M1079</f>
        <v>0.27436324859229416</v>
      </c>
      <c r="F1079" s="886">
        <f>дератизац.!I1079</f>
        <v>1.9503469210754556E-3</v>
      </c>
      <c r="G1079" s="886">
        <f>димоканал!R1079</f>
        <v>3.2726403983240435E-2</v>
      </c>
      <c r="H1079" s="886">
        <f>'підготовка до зими'!M1079+майстерні!M1079+маляри!M1079+покрівлі!O1079</f>
        <v>0.37173716761368103</v>
      </c>
      <c r="I1079" s="886">
        <f>електрики!R1079</f>
        <v>2.7994799693648757E-2</v>
      </c>
      <c r="J1079" s="989">
        <f t="shared" si="123"/>
        <v>1.0847414169564407</v>
      </c>
      <c r="K1079" s="989">
        <v>2.793401816790923E-2</v>
      </c>
      <c r="L1079" s="994">
        <f t="shared" si="125"/>
        <v>1.11267543512435</v>
      </c>
      <c r="M1079" s="994">
        <f t="shared" si="124"/>
        <v>1.3352105221492199</v>
      </c>
      <c r="N1079" s="753">
        <v>2</v>
      </c>
      <c r="O1079" s="994">
        <v>1.1508815485178603</v>
      </c>
      <c r="P1079" s="22">
        <f t="shared" si="126"/>
        <v>0.18432897363135958</v>
      </c>
      <c r="Q1079" s="982">
        <f t="shared" si="127"/>
        <v>16.016328862752545</v>
      </c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s="93" customFormat="1" ht="18">
      <c r="A1080" s="333">
        <v>200</v>
      </c>
      <c r="B1080" s="335" t="s">
        <v>1036</v>
      </c>
      <c r="C1080" s="886">
        <f>cходова!R1080</f>
        <v>0.42135695352210317</v>
      </c>
      <c r="D1080" s="886">
        <f>прибуд.!O1080</f>
        <v>0.35304308339678991</v>
      </c>
      <c r="E1080" s="886">
        <f>гар.вода!M1080+хол.вода!Q1080+ц.о.!M1080+каналізація!Q1080+аварійні!I1080+зварювальн!M1080</f>
        <v>0.29031479629654283</v>
      </c>
      <c r="F1080" s="886">
        <f>дератизац.!I1080</f>
        <v>2.0459126539753643E-3</v>
      </c>
      <c r="G1080" s="886">
        <f>димоканал!R1080</f>
        <v>2.9162750002348626E-2</v>
      </c>
      <c r="H1080" s="886">
        <f>'підготовка до зими'!M1080+майстерні!M1080+маляри!M1080+покрівлі!O1080</f>
        <v>0.21721763420466428</v>
      </c>
      <c r="I1080" s="886">
        <f>електрики!R1080</f>
        <v>3.3365151913284888E-2</v>
      </c>
      <c r="J1080" s="989">
        <f t="shared" si="123"/>
        <v>1.3465062819897091</v>
      </c>
      <c r="K1080" s="989">
        <v>3.4008922035096242E-2</v>
      </c>
      <c r="L1080" s="994">
        <f t="shared" si="125"/>
        <v>1.3805152040248054</v>
      </c>
      <c r="M1080" s="994">
        <f t="shared" si="124"/>
        <v>1.6566182448297664</v>
      </c>
      <c r="N1080" s="753">
        <v>3</v>
      </c>
      <c r="O1080" s="994">
        <v>1.4011675878459653</v>
      </c>
      <c r="P1080" s="22">
        <f t="shared" si="126"/>
        <v>0.25545065698380109</v>
      </c>
      <c r="Q1080" s="982">
        <f t="shared" si="127"/>
        <v>18.231270777288614</v>
      </c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s="93" customFormat="1" ht="18">
      <c r="A1081" s="333">
        <v>201</v>
      </c>
      <c r="B1081" s="394" t="s">
        <v>1037</v>
      </c>
      <c r="C1081" s="886">
        <f>cходова!R1081</f>
        <v>0</v>
      </c>
      <c r="D1081" s="886">
        <f>прибуд.!O1081</f>
        <v>0.3743775249056604</v>
      </c>
      <c r="E1081" s="886">
        <f>гар.вода!M1081+хол.вода!Q1081+ц.о.!M1081+каналізація!Q1081+аварійні!I1081+зварювальн!M1081</f>
        <v>0.23071379922956889</v>
      </c>
      <c r="F1081" s="886">
        <f>дератизац.!I1081</f>
        <v>8.8850771869639815E-4</v>
      </c>
      <c r="G1081" s="886">
        <f>димоканал!R1081</f>
        <v>6.8437041276317265E-2</v>
      </c>
      <c r="H1081" s="886">
        <f>'підготовка до зими'!M1081+майстерні!M1081+маляри!M1081+покрівлі!O1081</f>
        <v>0.34235075313860486</v>
      </c>
      <c r="I1081" s="886">
        <f>електрики!R1081</f>
        <v>2.3849692922806608E-2</v>
      </c>
      <c r="J1081" s="989">
        <f t="shared" si="123"/>
        <v>1.0406173191916543</v>
      </c>
      <c r="K1081" s="989">
        <v>2.6586845810858E-2</v>
      </c>
      <c r="L1081" s="994">
        <f t="shared" si="125"/>
        <v>1.0672041650025124</v>
      </c>
      <c r="M1081" s="994">
        <f t="shared" si="124"/>
        <v>1.2806449980030148</v>
      </c>
      <c r="N1081" s="753">
        <v>2</v>
      </c>
      <c r="O1081" s="994">
        <v>1.0953780474073496</v>
      </c>
      <c r="P1081" s="22">
        <f t="shared" si="126"/>
        <v>0.18526695059566523</v>
      </c>
      <c r="Q1081" s="982">
        <f t="shared" si="127"/>
        <v>16.913516847829271</v>
      </c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s="93" customFormat="1" ht="18">
      <c r="A1082" s="333">
        <v>202</v>
      </c>
      <c r="B1082" s="335" t="s">
        <v>1038</v>
      </c>
      <c r="C1082" s="886">
        <f>cходова!R1082</f>
        <v>0.26021560131067645</v>
      </c>
      <c r="D1082" s="886">
        <f>прибуд.!O1082</f>
        <v>0.20125596774550486</v>
      </c>
      <c r="E1082" s="886">
        <f>гар.вода!M1082+хол.вода!Q1082+ц.о.!M1082+каналізація!Q1082+аварійні!I1082+зварювальн!M1082</f>
        <v>0.21393708247210672</v>
      </c>
      <c r="F1082" s="886">
        <f>дератизац.!I1082</f>
        <v>1.2005532503457817E-3</v>
      </c>
      <c r="G1082" s="886">
        <f>димоканал!R1082</f>
        <v>3.2768541676938455E-2</v>
      </c>
      <c r="H1082" s="886">
        <f>'підготовка до зими'!M1082+майстерні!M1082+маляри!M1082+покрівлі!O1082</f>
        <v>0.29305564737378198</v>
      </c>
      <c r="I1082" s="886">
        <f>електрики!R1082</f>
        <v>1.923149512309302E-2</v>
      </c>
      <c r="J1082" s="989">
        <f t="shared" si="123"/>
        <v>1.0216648889524473</v>
      </c>
      <c r="K1082" s="989">
        <v>2.6166820752667543E-2</v>
      </c>
      <c r="L1082" s="994">
        <f t="shared" si="125"/>
        <v>1.0478317097051149</v>
      </c>
      <c r="M1082" s="994">
        <f t="shared" si="124"/>
        <v>1.2573980516461378</v>
      </c>
      <c r="N1082" s="753">
        <v>3</v>
      </c>
      <c r="O1082" s="994">
        <v>1.0780730150099027</v>
      </c>
      <c r="P1082" s="22">
        <f t="shared" si="126"/>
        <v>0.17932503663623511</v>
      </c>
      <c r="Q1082" s="982">
        <f t="shared" si="127"/>
        <v>16.633848926697041</v>
      </c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s="93" customFormat="1" ht="18">
      <c r="A1083" s="333">
        <v>203</v>
      </c>
      <c r="B1083" s="394" t="s">
        <v>1039</v>
      </c>
      <c r="C1083" s="886">
        <f>cходова!R1083</f>
        <v>0.23424189142235066</v>
      </c>
      <c r="D1083" s="886">
        <f>прибуд.!O1083</f>
        <v>0.3743261593949373</v>
      </c>
      <c r="E1083" s="886">
        <f>гар.вода!M1083+хол.вода!Q1083+ц.о.!M1083+каналізація!Q1083+аварійні!I1083+зварювальн!M1083</f>
        <v>0.21946505118973539</v>
      </c>
      <c r="F1083" s="886">
        <f>дератизац.!I1083</f>
        <v>1.1020786169993826E-3</v>
      </c>
      <c r="G1083" s="886">
        <f>димоканал!R1083</f>
        <v>4.443012331505445E-2</v>
      </c>
      <c r="H1083" s="886">
        <f>'підготовка до зими'!M1083+майстерні!M1083+маляри!M1083+покрівлі!O1083</f>
        <v>0.24317592110079975</v>
      </c>
      <c r="I1083" s="886">
        <f>електрики!R1083</f>
        <v>2.5111740968026462E-2</v>
      </c>
      <c r="J1083" s="989">
        <f t="shared" si="123"/>
        <v>1.1418529660079035</v>
      </c>
      <c r="K1083" s="989">
        <v>2.8857967501445099E-2</v>
      </c>
      <c r="L1083" s="994">
        <f t="shared" si="125"/>
        <v>1.1707109335093486</v>
      </c>
      <c r="M1083" s="994">
        <f t="shared" si="124"/>
        <v>1.4048531202112182</v>
      </c>
      <c r="N1083" s="753">
        <v>3</v>
      </c>
      <c r="O1083" s="994">
        <v>1.1889482610595381</v>
      </c>
      <c r="P1083" s="22">
        <f t="shared" si="126"/>
        <v>0.21590485915168012</v>
      </c>
      <c r="Q1083" s="982">
        <f t="shared" si="127"/>
        <v>18.159314935981755</v>
      </c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s="93" customFormat="1" ht="18">
      <c r="A1084" s="333">
        <v>204</v>
      </c>
      <c r="B1084" s="335" t="s">
        <v>1040</v>
      </c>
      <c r="C1084" s="886">
        <f>cходова!R1084</f>
        <v>0</v>
      </c>
      <c r="D1084" s="886">
        <f>прибуд.!O1084</f>
        <v>0.38926083118033289</v>
      </c>
      <c r="E1084" s="886">
        <f>гар.вода!M1084+хол.вода!Q1084+ц.о.!M1084+каналізація!Q1084+аварійні!I1084+зварювальн!M1084</f>
        <v>0.25023416080278693</v>
      </c>
      <c r="F1084" s="886">
        <f>дератизац.!I1084</f>
        <v>1.7804878048780488E-3</v>
      </c>
      <c r="G1084" s="886">
        <f>димоканал!R1084</f>
        <v>1.788926488773426E-2</v>
      </c>
      <c r="H1084" s="886">
        <f>'підготовка до зими'!M1084+майстерні!M1084+маляри!M1084+покрівлі!O1084</f>
        <v>0.32996476840825634</v>
      </c>
      <c r="I1084" s="886">
        <f>електрики!R1084</f>
        <v>3.2334589578539463E-2</v>
      </c>
      <c r="J1084" s="989">
        <f t="shared" si="123"/>
        <v>1.021464102662528</v>
      </c>
      <c r="K1084" s="989">
        <v>2.5884211072701287E-2</v>
      </c>
      <c r="L1084" s="994">
        <f t="shared" si="125"/>
        <v>1.0473483137352293</v>
      </c>
      <c r="M1084" s="994">
        <f t="shared" si="124"/>
        <v>1.2568179764822751</v>
      </c>
      <c r="N1084" s="753">
        <v>2</v>
      </c>
      <c r="O1084" s="994">
        <v>1.0664294961952931</v>
      </c>
      <c r="P1084" s="22">
        <f t="shared" si="126"/>
        <v>0.19038848028698196</v>
      </c>
      <c r="Q1084" s="982">
        <f t="shared" si="127"/>
        <v>17.852889568999373</v>
      </c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s="93" customFormat="1" ht="18">
      <c r="A1085" s="333">
        <v>205</v>
      </c>
      <c r="B1085" s="394" t="s">
        <v>1041</v>
      </c>
      <c r="C1085" s="886">
        <f>cходова!R1085</f>
        <v>0</v>
      </c>
      <c r="D1085" s="886">
        <f>прибуд.!O1085</f>
        <v>0.50313991936376212</v>
      </c>
      <c r="E1085" s="886">
        <f>гар.вода!M1085+хол.вода!Q1085+ц.о.!M1085+каналізація!Q1085+аварійні!I1085+зварювальн!M1085</f>
        <v>0.19737378207988585</v>
      </c>
      <c r="F1085" s="886">
        <f>дератизац.!I1085</f>
        <v>3.9211618257261414E-3</v>
      </c>
      <c r="G1085" s="886">
        <f>димоканал!R1085</f>
        <v>6.2885157131028255E-2</v>
      </c>
      <c r="H1085" s="886">
        <f>'підготовка до зими'!M1085+майстерні!M1085+маляри!M1085+покрівлі!O1085</f>
        <v>0.23130646071259497</v>
      </c>
      <c r="I1085" s="886">
        <f>електрики!R1085</f>
        <v>2.0605173346171093E-2</v>
      </c>
      <c r="J1085" s="989">
        <f t="shared" si="123"/>
        <v>1.0192316544591684</v>
      </c>
      <c r="K1085" s="989">
        <v>2.5866245917295326E-2</v>
      </c>
      <c r="L1085" s="994">
        <f t="shared" si="125"/>
        <v>1.0450979003764638</v>
      </c>
      <c r="M1085" s="994">
        <f t="shared" si="124"/>
        <v>1.2541174804517565</v>
      </c>
      <c r="N1085" s="753">
        <v>1</v>
      </c>
      <c r="O1085" s="994">
        <v>1.0656893317925675</v>
      </c>
      <c r="P1085" s="22">
        <f t="shared" si="126"/>
        <v>0.188428148659189</v>
      </c>
      <c r="Q1085" s="982">
        <f t="shared" si="127"/>
        <v>17.681339489646476</v>
      </c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s="892" customFormat="1" ht="18">
      <c r="A1086" s="333">
        <v>206</v>
      </c>
      <c r="B1086" s="335" t="s">
        <v>1042</v>
      </c>
      <c r="C1086" s="886">
        <f>cходова!R1086</f>
        <v>0</v>
      </c>
      <c r="D1086" s="886">
        <f>прибуд.!O1086</f>
        <v>0</v>
      </c>
      <c r="E1086" s="886">
        <f>гар.вода!M1086+хол.вода!Q1086+ц.о.!M1086+каналізація!Q1086+аварійні!I1086+зварювальн!M1086</f>
        <v>0.22813632485375449</v>
      </c>
      <c r="F1086" s="886">
        <f>дератизац.!I1086</f>
        <v>3.8582677165354333E-3</v>
      </c>
      <c r="G1086" s="886">
        <f>димоканал!R1086</f>
        <v>7.9555500622455685E-2</v>
      </c>
      <c r="H1086" s="886">
        <f>'підготовка до зими'!M1086+майстерні!M1086+маляри!M1086+покрівлі!O1086</f>
        <v>0.31571775251715506</v>
      </c>
      <c r="I1086" s="886">
        <f>електрики!R1086</f>
        <v>2.6067437146599651E-2</v>
      </c>
      <c r="J1086" s="989">
        <f t="shared" si="123"/>
        <v>0.65333528285650033</v>
      </c>
      <c r="K1086" s="989">
        <v>1.6923822271935063E-2</v>
      </c>
      <c r="L1086" s="994">
        <f t="shared" si="125"/>
        <v>0.67025910512843545</v>
      </c>
      <c r="M1086" s="994">
        <f t="shared" si="124"/>
        <v>0.80431092615412247</v>
      </c>
      <c r="N1086" s="753">
        <v>2</v>
      </c>
      <c r="O1086" s="994">
        <v>0.69726147760372459</v>
      </c>
      <c r="P1086" s="22">
        <f t="shared" si="126"/>
        <v>0.10704944855039789</v>
      </c>
      <c r="Q1086" s="982">
        <f t="shared" si="127"/>
        <v>15.352841364231722</v>
      </c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s="93" customFormat="1" ht="18">
      <c r="A1087" s="333">
        <v>207</v>
      </c>
      <c r="B1087" s="394" t="s">
        <v>1043</v>
      </c>
      <c r="C1087" s="886">
        <f>cходова!R1087</f>
        <v>0</v>
      </c>
      <c r="D1087" s="886">
        <f>прибуд.!O1087</f>
        <v>0.50343834161723999</v>
      </c>
      <c r="E1087" s="886">
        <f>гар.вода!M1087+хол.вода!Q1087+ц.о.!M1087+каналізація!Q1087+аварійні!I1087+зварювальн!M1087</f>
        <v>0.34673161237216693</v>
      </c>
      <c r="F1087" s="886">
        <f>дератизац.!I1087</f>
        <v>7.680901542111508E-3</v>
      </c>
      <c r="G1087" s="886">
        <f>димоканал!R1087</f>
        <v>3.155302100758637E-2</v>
      </c>
      <c r="H1087" s="886">
        <f>'підготовка до зими'!M1087+майстерні!M1087+маляри!M1087+покрівлі!O1087</f>
        <v>0.36728410677243867</v>
      </c>
      <c r="I1087" s="886">
        <f>електрики!R1087</f>
        <v>4.7125473560400796E-2</v>
      </c>
      <c r="J1087" s="989">
        <f t="shared" si="123"/>
        <v>1.3038134568719442</v>
      </c>
      <c r="K1087" s="989">
        <v>3.2985218780564554E-2</v>
      </c>
      <c r="L1087" s="994">
        <f t="shared" si="125"/>
        <v>1.3367986756525088</v>
      </c>
      <c r="M1087" s="994">
        <f t="shared" si="124"/>
        <v>1.6041584107830105</v>
      </c>
      <c r="N1087" s="753">
        <v>1</v>
      </c>
      <c r="O1087" s="994">
        <v>1.3589910137592598</v>
      </c>
      <c r="P1087" s="22">
        <f t="shared" si="126"/>
        <v>0.24516739702375068</v>
      </c>
      <c r="Q1087" s="982">
        <f t="shared" si="127"/>
        <v>18.040398688550937</v>
      </c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s="892" customFormat="1" ht="18">
      <c r="A1088" s="333">
        <v>208</v>
      </c>
      <c r="B1088" s="335" t="s">
        <v>1044</v>
      </c>
      <c r="C1088" s="886">
        <f>cходова!R1088</f>
        <v>0</v>
      </c>
      <c r="D1088" s="886">
        <f>прибуд.!O1088</f>
        <v>0.2615944479230119</v>
      </c>
      <c r="E1088" s="886">
        <f>гар.вода!M1088+хол.вода!Q1088+ц.о.!M1088+каналізація!Q1088+аварійні!I1088+зварювальн!M1088</f>
        <v>0.1996318457940757</v>
      </c>
      <c r="F1088" s="886">
        <f>дератизац.!I1088</f>
        <v>3.9530456852791881E-3</v>
      </c>
      <c r="G1088" s="886">
        <f>димоканал!R1088</f>
        <v>8.7658614256422417E-3</v>
      </c>
      <c r="H1088" s="886">
        <f>'підготовка до зими'!M1088+майстерні!M1088+маляри!M1088+покрівлі!O1088</f>
        <v>0.20060454396520894</v>
      </c>
      <c r="I1088" s="886">
        <f>електрики!R1088</f>
        <v>2.1006120035648192E-2</v>
      </c>
      <c r="J1088" s="989">
        <f t="shared" si="123"/>
        <v>0.69555586482886611</v>
      </c>
      <c r="K1088" s="989">
        <v>1.7737288141022062E-2</v>
      </c>
      <c r="L1088" s="994">
        <f t="shared" si="125"/>
        <v>0.71329315296988816</v>
      </c>
      <c r="M1088" s="994">
        <f t="shared" si="124"/>
        <v>0.85595178356386581</v>
      </c>
      <c r="N1088" s="753">
        <v>1</v>
      </c>
      <c r="O1088" s="994">
        <v>0.73077627141010904</v>
      </c>
      <c r="P1088" s="22">
        <f t="shared" si="126"/>
        <v>0.12517551215375677</v>
      </c>
      <c r="Q1088" s="982">
        <f t="shared" si="127"/>
        <v>17.129115579001692</v>
      </c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s="892" customFormat="1" ht="18">
      <c r="A1089" s="333">
        <v>209</v>
      </c>
      <c r="B1089" s="394" t="s">
        <v>1045</v>
      </c>
      <c r="C1089" s="886">
        <f>cходова!R1089</f>
        <v>0</v>
      </c>
      <c r="D1089" s="886">
        <f>прибуд.!O1089</f>
        <v>0</v>
      </c>
      <c r="E1089" s="886">
        <f>гар.вода!M1089+хол.вода!Q1089+ц.о.!M1089+каналізація!Q1089+аварійні!I1089+зварювальн!M1089</f>
        <v>0.14767960997342186</v>
      </c>
      <c r="F1089" s="886">
        <f>дератизац.!I1089</f>
        <v>3.8612099644128122E-3</v>
      </c>
      <c r="G1089" s="886">
        <f>димоканал!R1089</f>
        <v>3.155302100758637E-2</v>
      </c>
      <c r="H1089" s="886">
        <f>'підготовка до зими'!M1089+майстерні!M1089+маляри!M1089+покрівлі!O1089</f>
        <v>0.37488735018237024</v>
      </c>
      <c r="I1089" s="886">
        <f>електрики!R1089</f>
        <v>1.1781368390100199E-2</v>
      </c>
      <c r="J1089" s="989">
        <f t="shared" si="123"/>
        <v>0.56976255951789145</v>
      </c>
      <c r="K1089" s="989">
        <v>1.4740828880017414E-2</v>
      </c>
      <c r="L1089" s="994">
        <f t="shared" si="125"/>
        <v>0.58450338839790883</v>
      </c>
      <c r="M1089" s="994">
        <f t="shared" si="124"/>
        <v>0.70140406607749062</v>
      </c>
      <c r="N1089" s="753">
        <v>1</v>
      </c>
      <c r="O1089" s="994">
        <v>0.6073221498567174</v>
      </c>
      <c r="P1089" s="22">
        <f t="shared" si="126"/>
        <v>9.4081916220773221E-2</v>
      </c>
      <c r="Q1089" s="982">
        <f t="shared" si="127"/>
        <v>15.491270364989902</v>
      </c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s="93" customFormat="1" ht="18">
      <c r="A1090" s="333">
        <v>210</v>
      </c>
      <c r="B1090" s="335" t="s">
        <v>1046</v>
      </c>
      <c r="C1090" s="886">
        <f>cходова!R1090</f>
        <v>0</v>
      </c>
      <c r="D1090" s="886">
        <f>прибуд.!O1090</f>
        <v>0.34521486282325031</v>
      </c>
      <c r="E1090" s="886">
        <f>гар.вода!M1090+хол.вода!Q1090+ц.о.!M1090+каналізація!Q1090+аварійні!I1090+зварювальн!M1090</f>
        <v>0.28038094490591858</v>
      </c>
      <c r="F1090" s="886">
        <f>дератизац.!I1090</f>
        <v>4.1933570581257421E-3</v>
      </c>
      <c r="G1090" s="886">
        <f>димоканал!R1090</f>
        <v>3.155302100758637E-2</v>
      </c>
      <c r="H1090" s="886">
        <f>'підготовка до зими'!M1090+майстерні!M1090+маляри!M1090+покрівлі!O1090</f>
        <v>0.47372951451147999</v>
      </c>
      <c r="I1090" s="886">
        <f>електрики!R1090</f>
        <v>3.5344105170300594E-2</v>
      </c>
      <c r="J1090" s="989">
        <f t="shared" si="123"/>
        <v>1.1704158054766616</v>
      </c>
      <c r="K1090" s="989">
        <v>2.9690808754299056E-2</v>
      </c>
      <c r="L1090" s="994">
        <f t="shared" si="125"/>
        <v>1.2001066142309607</v>
      </c>
      <c r="M1090" s="994">
        <f t="shared" si="124"/>
        <v>1.4401279370771527</v>
      </c>
      <c r="N1090" s="753">
        <v>2</v>
      </c>
      <c r="O1090" s="994">
        <v>1.2232613206771212</v>
      </c>
      <c r="P1090" s="22">
        <f t="shared" si="126"/>
        <v>0.21686661640003146</v>
      </c>
      <c r="Q1090" s="982">
        <f t="shared" si="127"/>
        <v>17.728559935172925</v>
      </c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s="93" customFormat="1" ht="18">
      <c r="A1091" s="333">
        <v>211</v>
      </c>
      <c r="B1091" s="394" t="s">
        <v>1047</v>
      </c>
      <c r="C1091" s="886">
        <f>cходова!R1091</f>
        <v>0</v>
      </c>
      <c r="D1091" s="886">
        <f>прибуд.!O1091</f>
        <v>0.30897805353907137</v>
      </c>
      <c r="E1091" s="886">
        <f>гар.вода!M1091+хол.вода!Q1091+ц.о.!M1091+каналізація!Q1091+аварійні!I1091+зварювальн!M1091</f>
        <v>0.20801889193876436</v>
      </c>
      <c r="F1091" s="886">
        <f>дератизац.!I1091</f>
        <v>5.826727066817668E-3</v>
      </c>
      <c r="G1091" s="886">
        <f>димоканал!R1091</f>
        <v>8.6342227025508755E-2</v>
      </c>
      <c r="H1091" s="886">
        <f>'підготовка до зими'!M1091+майстерні!M1091+маляри!M1091+покрівлі!O1091</f>
        <v>0.4019656554360731</v>
      </c>
      <c r="I1091" s="886">
        <f>електрики!R1091</f>
        <v>2.2495342135570709E-2</v>
      </c>
      <c r="J1091" s="989">
        <f t="shared" si="123"/>
        <v>1.0336268971418059</v>
      </c>
      <c r="K1091" s="989">
        <v>2.6595623175245095E-2</v>
      </c>
      <c r="L1091" s="994">
        <f t="shared" si="125"/>
        <v>1.060222520317051</v>
      </c>
      <c r="M1091" s="994">
        <f t="shared" si="124"/>
        <v>1.2722670243804612</v>
      </c>
      <c r="N1091" s="753">
        <v>2</v>
      </c>
      <c r="O1091" s="994">
        <v>1.0957396748200978</v>
      </c>
      <c r="P1091" s="22">
        <f t="shared" si="126"/>
        <v>0.17652734956036342</v>
      </c>
      <c r="Q1091" s="982">
        <f t="shared" si="127"/>
        <v>16.110336571443966</v>
      </c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s="892" customFormat="1" ht="18">
      <c r="A1092" s="333">
        <v>212</v>
      </c>
      <c r="B1092" s="335" t="s">
        <v>1048</v>
      </c>
      <c r="C1092" s="886">
        <f>cходова!R1092</f>
        <v>0</v>
      </c>
      <c r="D1092" s="886">
        <f>прибуд.!O1092</f>
        <v>0</v>
      </c>
      <c r="E1092" s="886">
        <f>гар.вода!M1092+хол.вода!Q1092+ц.о.!M1092+каналізація!Q1092+аварійні!I1092+зварювальн!M1092</f>
        <v>0.23182296763913948</v>
      </c>
      <c r="F1092" s="886">
        <f>дератизац.!I1092</f>
        <v>3.7040358744394627E-3</v>
      </c>
      <c r="G1092" s="886">
        <f>димоканал!R1092</f>
        <v>1.8585198574186782E-2</v>
      </c>
      <c r="H1092" s="886">
        <f>'підготовка до зими'!M1092+майстерні!M1092+маляри!M1092+покрівлі!O1092</f>
        <v>0.43384033107324727</v>
      </c>
      <c r="I1092" s="886">
        <f>електрики!R1092</f>
        <v>2.6722045433689147E-2</v>
      </c>
      <c r="J1092" s="989">
        <f t="shared" si="123"/>
        <v>0.71467457859470218</v>
      </c>
      <c r="K1092" s="989">
        <v>1.8359476598399347E-2</v>
      </c>
      <c r="L1092" s="994">
        <f t="shared" si="125"/>
        <v>0.7330340551931015</v>
      </c>
      <c r="M1092" s="994">
        <f t="shared" si="124"/>
        <v>0.87964086623172177</v>
      </c>
      <c r="N1092" s="753">
        <v>1</v>
      </c>
      <c r="O1092" s="994">
        <v>0.7564104358540531</v>
      </c>
      <c r="P1092" s="22">
        <f t="shared" si="126"/>
        <v>0.12323043037766868</v>
      </c>
      <c r="Q1092" s="982">
        <f t="shared" si="127"/>
        <v>16.291476761360485</v>
      </c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s="892" customFormat="1" ht="18">
      <c r="A1093" s="333">
        <v>213</v>
      </c>
      <c r="B1093" s="394" t="s">
        <v>1049</v>
      </c>
      <c r="C1093" s="886">
        <f>cходова!R1093</f>
        <v>0</v>
      </c>
      <c r="D1093" s="886">
        <f>прибуд.!O1093</f>
        <v>6.4361316648973821E-2</v>
      </c>
      <c r="E1093" s="886">
        <f>гар.вода!M1093+хол.вода!Q1093+ц.о.!M1093+каналізація!Q1093+аварійні!I1093+зварювальн!M1093</f>
        <v>0.20008395880026766</v>
      </c>
      <c r="F1093" s="886">
        <f>дератизац.!I1093</f>
        <v>2.4522292993630576E-3</v>
      </c>
      <c r="G1093" s="886">
        <f>димоканал!R1093</f>
        <v>2.987833807403277E-2</v>
      </c>
      <c r="H1093" s="886">
        <f>'підготовка до зими'!M1093+майстерні!M1093+маляри!M1093+покрівлі!O1093</f>
        <v>0.51069060752302275</v>
      </c>
      <c r="I1093" s="886">
        <f>електрики!R1093</f>
        <v>2.1086398201389526E-2</v>
      </c>
      <c r="J1093" s="989">
        <f t="shared" si="123"/>
        <v>0.82855284854704958</v>
      </c>
      <c r="K1093" s="989">
        <v>2.1521521120925084E-2</v>
      </c>
      <c r="L1093" s="994">
        <f t="shared" si="125"/>
        <v>0.85007436966797467</v>
      </c>
      <c r="M1093" s="994">
        <f t="shared" si="124"/>
        <v>1.0200892436015696</v>
      </c>
      <c r="N1093" s="753">
        <v>1</v>
      </c>
      <c r="O1093" s="994">
        <v>0.88668667018211356</v>
      </c>
      <c r="P1093" s="22">
        <f t="shared" si="126"/>
        <v>0.13340257341945605</v>
      </c>
      <c r="Q1093" s="982">
        <f t="shared" si="127"/>
        <v>15.045063595244642</v>
      </c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s="892" customFormat="1" ht="18">
      <c r="A1094" s="333">
        <v>214</v>
      </c>
      <c r="B1094" s="335" t="s">
        <v>1050</v>
      </c>
      <c r="C1094" s="886">
        <f>cходова!R1094</f>
        <v>0</v>
      </c>
      <c r="D1094" s="886">
        <f>прибуд.!O1094</f>
        <v>0.32298213240740736</v>
      </c>
      <c r="E1094" s="886">
        <f>гар.вода!M1094+хол.вода!Q1094+ц.о.!M1094+каналізація!Q1094+аварійні!I1094+зварювальн!M1094</f>
        <v>0.2233566193975135</v>
      </c>
      <c r="F1094" s="886">
        <f>дератизац.!I1094</f>
        <v>1.8911719939117199E-3</v>
      </c>
      <c r="G1094" s="886">
        <f>димоканал!R1094</f>
        <v>4.8488346261033759E-2</v>
      </c>
      <c r="H1094" s="886">
        <f>'підготовка до зими'!M1094+майстерні!M1094+маляри!M1094+покрівлі!O1094</f>
        <v>0.3605182315874676</v>
      </c>
      <c r="I1094" s="886">
        <f>електрики!R1094</f>
        <v>2.2675099435740791E-2</v>
      </c>
      <c r="J1094" s="989">
        <f t="shared" si="123"/>
        <v>0.97991160108307473</v>
      </c>
      <c r="K1094" s="989">
        <v>2.5058400874205383E-2</v>
      </c>
      <c r="L1094" s="994">
        <f t="shared" si="125"/>
        <v>1.00497000195728</v>
      </c>
      <c r="M1094" s="994">
        <f t="shared" si="124"/>
        <v>1.2059640023487359</v>
      </c>
      <c r="N1094" s="753">
        <v>1</v>
      </c>
      <c r="O1094" s="994">
        <v>1.032406116017262</v>
      </c>
      <c r="P1094" s="22">
        <f t="shared" si="126"/>
        <v>0.17355788633147395</v>
      </c>
      <c r="Q1094" s="982">
        <f t="shared" si="127"/>
        <v>16.811009121198595</v>
      </c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s="93" customFormat="1" ht="18">
      <c r="A1095" s="333">
        <v>215</v>
      </c>
      <c r="B1095" s="394" t="s">
        <v>1051</v>
      </c>
      <c r="C1095" s="886">
        <f>cходова!R1095</f>
        <v>0</v>
      </c>
      <c r="D1095" s="886">
        <f>прибуд.!O1095</f>
        <v>0</v>
      </c>
      <c r="E1095" s="886">
        <f>гар.вода!M1095+хол.вода!Q1095+ц.о.!M1095+каналізація!Q1095+аварійні!I1095+зварювальн!M1095</f>
        <v>0.20859541047997748</v>
      </c>
      <c r="F1095" s="886">
        <f>дератизац.!I1095</f>
        <v>4.8179749715585897E-3</v>
      </c>
      <c r="G1095" s="886">
        <f>димоканал!R1095</f>
        <v>6.2280536035419984E-2</v>
      </c>
      <c r="H1095" s="886">
        <f>'підготовка до зими'!M1095+майстерні!M1095+маляри!M1095+покрівлі!O1095</f>
        <v>0.41523903449105115</v>
      </c>
      <c r="I1095" s="886">
        <f>електрики!R1095</f>
        <v>2.2597710017871368E-2</v>
      </c>
      <c r="J1095" s="989">
        <f t="shared" si="123"/>
        <v>0.71353066599587844</v>
      </c>
      <c r="K1095" s="989">
        <v>1.8414118700903762E-2</v>
      </c>
      <c r="L1095" s="994">
        <f t="shared" si="125"/>
        <v>0.73194478469678226</v>
      </c>
      <c r="M1095" s="994">
        <f t="shared" si="124"/>
        <v>0.87833374163613864</v>
      </c>
      <c r="N1095" s="753">
        <v>1</v>
      </c>
      <c r="O1095" s="994">
        <v>0.75866169047723508</v>
      </c>
      <c r="P1095" s="22">
        <f t="shared" si="126"/>
        <v>0.11967205115890356</v>
      </c>
      <c r="Q1095" s="982">
        <f t="shared" si="127"/>
        <v>15.77409966273953</v>
      </c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s="93" customFormat="1" ht="18">
      <c r="A1096" s="333">
        <v>216</v>
      </c>
      <c r="B1096" s="335" t="s">
        <v>1052</v>
      </c>
      <c r="C1096" s="886">
        <f>cходова!R1096</f>
        <v>0</v>
      </c>
      <c r="D1096" s="886">
        <f>прибуд.!O1096</f>
        <v>0.26132913915229888</v>
      </c>
      <c r="E1096" s="886">
        <f>гар.вода!M1096+хол.вода!Q1096+ц.о.!M1096+каналізація!Q1096+аварійні!I1096+зварювальн!M1096</f>
        <v>0.26008791514501528</v>
      </c>
      <c r="F1096" s="886">
        <f>дератизац.!I1096</f>
        <v>2.2629310344827592E-3</v>
      </c>
      <c r="G1096" s="886">
        <f>димоканал!R1096</f>
        <v>4.8882320064534371E-2</v>
      </c>
      <c r="H1096" s="886">
        <f>'підготовка до зими'!M1096+майстерні!M1096+маляри!M1096+покрівлі!O1096</f>
        <v>0.45646388660646553</v>
      </c>
      <c r="I1096" s="886">
        <f>електрики!R1096</f>
        <v>2.8539349289811691E-2</v>
      </c>
      <c r="J1096" s="989">
        <f t="shared" si="123"/>
        <v>1.0575655412926084</v>
      </c>
      <c r="K1096" s="989">
        <v>2.7063412028909887E-2</v>
      </c>
      <c r="L1096" s="994">
        <f t="shared" si="125"/>
        <v>1.0846289533215183</v>
      </c>
      <c r="M1096" s="994">
        <f t="shared" si="124"/>
        <v>1.3015547439858219</v>
      </c>
      <c r="N1096" s="753">
        <v>1</v>
      </c>
      <c r="O1096" s="994">
        <v>1.1150125755910874</v>
      </c>
      <c r="P1096" s="22">
        <f t="shared" si="126"/>
        <v>0.18654216839473459</v>
      </c>
      <c r="Q1096" s="982">
        <f t="shared" si="127"/>
        <v>16.73005062708333</v>
      </c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s="93" customFormat="1" ht="18">
      <c r="A1097" s="333">
        <v>217</v>
      </c>
      <c r="B1097" s="394" t="s">
        <v>1053</v>
      </c>
      <c r="C1097" s="886">
        <f>cходова!R1097</f>
        <v>0</v>
      </c>
      <c r="D1097" s="886">
        <f>прибуд.!O1097</f>
        <v>0.16725064905747131</v>
      </c>
      <c r="E1097" s="886">
        <f>гар.вода!M1097+хол.вода!Q1097+ц.о.!M1097+каналізація!Q1097+аварійні!I1097+зварювальн!M1097</f>
        <v>0.24664996518908686</v>
      </c>
      <c r="F1097" s="886">
        <f>дератизац.!I1097</f>
        <v>2.8620689655172418E-3</v>
      </c>
      <c r="G1097" s="886">
        <f>димоканал!R1097</f>
        <v>5.5458905351209599E-2</v>
      </c>
      <c r="H1097" s="886">
        <f>'підготовка до зими'!M1097+майстерні!M1097+маляри!M1097+покрівлі!O1097</f>
        <v>0.34685922310449158</v>
      </c>
      <c r="I1097" s="886">
        <f>електрики!R1097</f>
        <v>2.9354759269520591E-2</v>
      </c>
      <c r="J1097" s="989">
        <f t="shared" si="123"/>
        <v>0.84843557093729716</v>
      </c>
      <c r="K1097" s="989">
        <v>2.1704291673978936E-2</v>
      </c>
      <c r="L1097" s="994">
        <f t="shared" si="125"/>
        <v>0.87013986261127607</v>
      </c>
      <c r="M1097" s="994">
        <f t="shared" si="124"/>
        <v>1.0441678351335313</v>
      </c>
      <c r="N1097" s="753">
        <v>1</v>
      </c>
      <c r="O1097" s="994">
        <v>0.8942168169679322</v>
      </c>
      <c r="P1097" s="22">
        <f t="shared" si="126"/>
        <v>0.14995101816559908</v>
      </c>
      <c r="Q1097" s="982">
        <f t="shared" si="127"/>
        <v>16.768977648401417</v>
      </c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s="892" customFormat="1" ht="18">
      <c r="A1098" s="333">
        <v>218</v>
      </c>
      <c r="B1098" s="335" t="s">
        <v>1054</v>
      </c>
      <c r="C1098" s="886">
        <f>cходова!R1098</f>
        <v>0</v>
      </c>
      <c r="D1098" s="886">
        <f>прибуд.!O1098</f>
        <v>0.20396420616764788</v>
      </c>
      <c r="E1098" s="886">
        <f>гар.вода!M1098+хол.вода!Q1098+ц.о.!M1098+каналізація!Q1098+аварійні!I1098+зварювальн!M1098</f>
        <v>0.19893536108170537</v>
      </c>
      <c r="F1098" s="886">
        <f>дератизац.!I1098</f>
        <v>3.0908326324642558E-3</v>
      </c>
      <c r="G1098" s="886">
        <f>димоканал!R1098</f>
        <v>3.7328295180845288E-2</v>
      </c>
      <c r="H1098" s="886">
        <f>'підготовка до зими'!M1098+майстерні!M1098+маляри!M1098+покрівлі!O1098</f>
        <v>0.23603170525577388</v>
      </c>
      <c r="I1098" s="886">
        <f>електрики!R1098</f>
        <v>2.0882450699862207E-2</v>
      </c>
      <c r="J1098" s="989">
        <f t="shared" si="123"/>
        <v>0.70023285101829891</v>
      </c>
      <c r="K1098" s="989">
        <v>1.792899951670552E-2</v>
      </c>
      <c r="L1098" s="994">
        <f t="shared" si="125"/>
        <v>0.71816185053500448</v>
      </c>
      <c r="M1098" s="994">
        <f t="shared" si="124"/>
        <v>0.86179422064200539</v>
      </c>
      <c r="N1098" s="753">
        <v>2</v>
      </c>
      <c r="O1098" s="994">
        <v>0.73867478008826748</v>
      </c>
      <c r="P1098" s="22">
        <f t="shared" si="126"/>
        <v>0.12311944055373791</v>
      </c>
      <c r="Q1098" s="982">
        <f t="shared" si="127"/>
        <v>16.667611223849519</v>
      </c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s="892" customFormat="1" ht="18">
      <c r="A1099" s="333">
        <v>219</v>
      </c>
      <c r="B1099" s="394" t="s">
        <v>1055</v>
      </c>
      <c r="C1099" s="886">
        <f>cходова!R1099</f>
        <v>0</v>
      </c>
      <c r="D1099" s="886">
        <f>прибуд.!O1099</f>
        <v>0</v>
      </c>
      <c r="E1099" s="886">
        <f>гар.вода!M1099+хол.вода!Q1099+ц.о.!M1099+каналізація!Q1099+аварійні!I1099+зварювальн!M1099</f>
        <v>0.2550358141657057</v>
      </c>
      <c r="F1099" s="886">
        <f>дератизац.!I1099</f>
        <v>3.1159420289855072E-3</v>
      </c>
      <c r="G1099" s="886">
        <f>димоканал!R1099</f>
        <v>6.9157435299881442E-2</v>
      </c>
      <c r="H1099" s="886">
        <f>'підготовка до зими'!M1099+майстерні!M1099+маляри!M1099+покрівлі!O1099</f>
        <v>0.44781079758714815</v>
      </c>
      <c r="I1099" s="886">
        <f>електрики!R1099</f>
        <v>3.0843768797684679E-2</v>
      </c>
      <c r="J1099" s="989">
        <f t="shared" si="123"/>
        <v>0.80596375787940544</v>
      </c>
      <c r="K1099" s="989">
        <v>2.0736387550160284E-2</v>
      </c>
      <c r="L1099" s="994">
        <f t="shared" si="125"/>
        <v>0.82670014542956571</v>
      </c>
      <c r="M1099" s="994">
        <f t="shared" si="124"/>
        <v>0.99204017451547877</v>
      </c>
      <c r="N1099" s="753">
        <v>2</v>
      </c>
      <c r="O1099" s="994">
        <v>0.85433916706660373</v>
      </c>
      <c r="P1099" s="22">
        <f t="shared" si="126"/>
        <v>0.13770100744887503</v>
      </c>
      <c r="Q1099" s="982">
        <f t="shared" si="127"/>
        <v>16.117838530296467</v>
      </c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s="892" customFormat="1" ht="18">
      <c r="A1100" s="333">
        <v>220</v>
      </c>
      <c r="B1100" s="335" t="s">
        <v>1056</v>
      </c>
      <c r="C1100" s="886">
        <f>cходова!R1100</f>
        <v>0</v>
      </c>
      <c r="D1100" s="886">
        <f>прибуд.!O1100</f>
        <v>0.20175827049362174</v>
      </c>
      <c r="E1100" s="886">
        <f>гар.вода!M1100+хол.вода!Q1100+ц.о.!M1100+каналізація!Q1100+аварійні!I1100+зварювальн!M1100</f>
        <v>0.22093030525437987</v>
      </c>
      <c r="F1100" s="886">
        <f>дератизац.!I1100</f>
        <v>3.5815307820299502E-3</v>
      </c>
      <c r="G1100" s="886">
        <f>димоканал!R1100</f>
        <v>6.1754559530121531E-2</v>
      </c>
      <c r="H1100" s="886">
        <f>'підготовка до зими'!M1100+майстерні!M1100+маляри!M1100+покрівлі!O1100</f>
        <v>0.26670454017772061</v>
      </c>
      <c r="I1100" s="886">
        <f>електрики!R1100</f>
        <v>2.4787920681001163E-2</v>
      </c>
      <c r="J1100" s="989">
        <f t="shared" si="123"/>
        <v>0.77951712691887487</v>
      </c>
      <c r="K1100" s="989">
        <v>1.9964684642862343E-2</v>
      </c>
      <c r="L1100" s="994">
        <f t="shared" si="125"/>
        <v>0.79948181156173725</v>
      </c>
      <c r="M1100" s="994">
        <f t="shared" si="124"/>
        <v>0.95937817387408464</v>
      </c>
      <c r="N1100" s="753">
        <v>1</v>
      </c>
      <c r="O1100" s="994">
        <v>0.8225450072859285</v>
      </c>
      <c r="P1100" s="22">
        <f t="shared" si="126"/>
        <v>0.13683316658815614</v>
      </c>
      <c r="Q1100" s="982">
        <f t="shared" si="127"/>
        <v>16.635340969322911</v>
      </c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s="93" customFormat="1" ht="18">
      <c r="A1101" s="333">
        <v>221</v>
      </c>
      <c r="B1101" s="394" t="s">
        <v>1057</v>
      </c>
      <c r="C1101" s="886">
        <f>cходова!R1101</f>
        <v>0</v>
      </c>
      <c r="D1101" s="886">
        <f>прибуд.!O1101</f>
        <v>0.32924246195592127</v>
      </c>
      <c r="E1101" s="886">
        <f>гар.вода!M1101+хол.вода!Q1101+ц.о.!M1101+каналізація!Q1101+аварійні!I1101+зварювальн!M1101</f>
        <v>0.22925797984670515</v>
      </c>
      <c r="F1101" s="886">
        <f>дератизац.!I1101</f>
        <v>1.8101674992653544E-3</v>
      </c>
      <c r="G1101" s="886">
        <f>димоканал!R1101</f>
        <v>4.8170932353571942E-2</v>
      </c>
      <c r="H1101" s="886">
        <f>'підготовка до зими'!M1101+майстерні!M1101+маляри!M1101+покрівлі!O1101</f>
        <v>0.29716952673672581</v>
      </c>
      <c r="I1101" s="886">
        <f>електрики!R1101</f>
        <v>2.6266600639344755E-2</v>
      </c>
      <c r="J1101" s="989">
        <f t="shared" si="123"/>
        <v>0.93191766903153428</v>
      </c>
      <c r="K1101" s="989">
        <v>2.3715165407042552E-2</v>
      </c>
      <c r="L1101" s="994">
        <f t="shared" si="125"/>
        <v>0.95563283443857683</v>
      </c>
      <c r="M1101" s="994">
        <f t="shared" si="124"/>
        <v>1.1467594013262921</v>
      </c>
      <c r="N1101" s="753">
        <v>2</v>
      </c>
      <c r="O1101" s="994">
        <v>0.97706481477015306</v>
      </c>
      <c r="P1101" s="22">
        <f t="shared" si="126"/>
        <v>0.169694586556139</v>
      </c>
      <c r="Q1101" s="982">
        <f t="shared" si="127"/>
        <v>17.367792186443467</v>
      </c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s="93" customFormat="1" ht="18">
      <c r="A1102" s="333">
        <v>222</v>
      </c>
      <c r="B1102" s="335" t="s">
        <v>1058</v>
      </c>
      <c r="C1102" s="886">
        <f>cходова!R1102</f>
        <v>0</v>
      </c>
      <c r="D1102" s="886">
        <f>прибуд.!O1102</f>
        <v>0.45774526450232794</v>
      </c>
      <c r="E1102" s="886">
        <f>гар.вода!M1102+хол.вода!Q1102+ц.о.!M1102+каналізація!Q1102+аварійні!I1102+зварювальн!M1102</f>
        <v>0.20801889193876436</v>
      </c>
      <c r="F1102" s="886">
        <f>дератизац.!I1102</f>
        <v>2.6425066062665164E-3</v>
      </c>
      <c r="G1102" s="886">
        <f>димоканал!R1102</f>
        <v>3.5727967625227314E-2</v>
      </c>
      <c r="H1102" s="886">
        <f>'підготовка до зими'!M1102+майстерні!M1102+маляри!M1102+покрівлі!O1102</f>
        <v>0.28805423471213309</v>
      </c>
      <c r="I1102" s="886">
        <f>електрики!R1102</f>
        <v>2.2495342135570709E-2</v>
      </c>
      <c r="J1102" s="989">
        <f t="shared" si="123"/>
        <v>1.01468420752029</v>
      </c>
      <c r="K1102" s="989">
        <v>2.5718880417803833E-2</v>
      </c>
      <c r="L1102" s="994">
        <f t="shared" si="125"/>
        <v>1.0404030879380939</v>
      </c>
      <c r="M1102" s="994">
        <f t="shared" si="124"/>
        <v>1.2484837055257125</v>
      </c>
      <c r="N1102" s="753">
        <v>2</v>
      </c>
      <c r="O1102" s="994">
        <v>1.059617873213518</v>
      </c>
      <c r="P1102" s="22">
        <f t="shared" si="126"/>
        <v>0.18886583231219456</v>
      </c>
      <c r="Q1102" s="982">
        <f t="shared" si="127"/>
        <v>17.82395683260971</v>
      </c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s="892" customFormat="1" ht="18">
      <c r="A1103" s="333">
        <v>223</v>
      </c>
      <c r="B1103" s="394" t="s">
        <v>1059</v>
      </c>
      <c r="C1103" s="886">
        <f>cходова!R1103</f>
        <v>0</v>
      </c>
      <c r="D1103" s="886">
        <f>прибуд.!O1103</f>
        <v>0.40459366221777332</v>
      </c>
      <c r="E1103" s="886">
        <f>гар.вода!M1103+хол.вода!Q1103+ц.о.!M1103+каналізація!Q1103+аварійні!I1103+зварювальн!M1103</f>
        <v>0.24929774933614454</v>
      </c>
      <c r="F1103" s="886">
        <f>дератизац.!I1103</f>
        <v>2.0670670670670673E-3</v>
      </c>
      <c r="G1103" s="886">
        <f>димоканал!R1103</f>
        <v>5.2838529605013514E-2</v>
      </c>
      <c r="H1103" s="886">
        <f>'підготовка до зими'!M1103+майстерні!M1103+маляри!M1103+покрівлі!O1103</f>
        <v>0.35465048881796413</v>
      </c>
      <c r="I1103" s="886">
        <f>електрики!R1103</f>
        <v>2.9824905564127528E-2</v>
      </c>
      <c r="J1103" s="989">
        <f t="shared" si="123"/>
        <v>1.09327240260809</v>
      </c>
      <c r="K1103" s="989">
        <v>2.7935458827825308E-2</v>
      </c>
      <c r="L1103" s="994">
        <f t="shared" si="125"/>
        <v>1.1212078614359153</v>
      </c>
      <c r="M1103" s="994">
        <f t="shared" si="124"/>
        <v>1.3454494337230984</v>
      </c>
      <c r="N1103" s="753">
        <v>2</v>
      </c>
      <c r="O1103" s="994">
        <v>1.1509409037064027</v>
      </c>
      <c r="P1103" s="22">
        <f t="shared" si="126"/>
        <v>0.19450853001669577</v>
      </c>
      <c r="Q1103" s="982">
        <f t="shared" si="127"/>
        <v>16.899958059559367</v>
      </c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s="93" customFormat="1" ht="18">
      <c r="A1104" s="333">
        <v>224</v>
      </c>
      <c r="B1104" s="335" t="s">
        <v>1060</v>
      </c>
      <c r="C1104" s="886">
        <f>cходова!R1104</f>
        <v>0</v>
      </c>
      <c r="D1104" s="886">
        <f>прибуд.!O1104</f>
        <v>0.36452959836325682</v>
      </c>
      <c r="E1104" s="886">
        <f>гар.вода!M1104+хол.вода!Q1104+ц.о.!M1104+каналізація!Q1104+аварійні!I1104+зварювальн!M1104</f>
        <v>0.19810057648222018</v>
      </c>
      <c r="F1104" s="886">
        <f>дератизац.!I1104</f>
        <v>3.921363952679194E-3</v>
      </c>
      <c r="G1104" s="886">
        <f>димоканал!R1104</f>
        <v>4.6275568387952867E-2</v>
      </c>
      <c r="H1104" s="886">
        <f>'підготовка до зими'!M1104+майстерні!M1104+маляри!M1104+покрівлі!O1104</f>
        <v>0.30266447436778066</v>
      </c>
      <c r="I1104" s="886">
        <f>електрики!R1104</f>
        <v>2.0734224536230621E-2</v>
      </c>
      <c r="J1104" s="989">
        <f t="shared" si="123"/>
        <v>0.93622580609012029</v>
      </c>
      <c r="K1104" s="989">
        <v>2.3814728989382618E-2</v>
      </c>
      <c r="L1104" s="994">
        <f t="shared" si="125"/>
        <v>0.96004053507950293</v>
      </c>
      <c r="M1104" s="994">
        <f t="shared" si="124"/>
        <v>1.1520486420954035</v>
      </c>
      <c r="N1104" s="753">
        <v>2</v>
      </c>
      <c r="O1104" s="994">
        <v>0.9811668343625638</v>
      </c>
      <c r="P1104" s="22">
        <f t="shared" si="126"/>
        <v>0.17088180773283967</v>
      </c>
      <c r="Q1104" s="982">
        <f t="shared" si="127"/>
        <v>17.41618262544074</v>
      </c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s="93" customFormat="1" ht="18">
      <c r="A1105" s="333">
        <v>225</v>
      </c>
      <c r="B1105" s="394" t="s">
        <v>1061</v>
      </c>
      <c r="C1105" s="886">
        <f>cходова!R1105</f>
        <v>0</v>
      </c>
      <c r="D1105" s="886">
        <f>прибуд.!O1105</f>
        <v>0.41090044244888735</v>
      </c>
      <c r="E1105" s="886">
        <f>гар.вода!M1105+хол.вода!Q1105+ц.о.!M1105+каналізація!Q1105+аварійні!I1105+зварювальн!M1105</f>
        <v>0.25191603639616916</v>
      </c>
      <c r="F1105" s="886">
        <f>дератизац.!I1105</f>
        <v>2.4669603524229075E-3</v>
      </c>
      <c r="G1105" s="886">
        <f>димоканал!R1105</f>
        <v>2.9032290893718386E-2</v>
      </c>
      <c r="H1105" s="886">
        <f>'підготовка до зими'!M1105+майстерні!M1105+маляри!M1105+покрівлі!O1105</f>
        <v>0.3443576162915376</v>
      </c>
      <c r="I1105" s="886">
        <f>електрики!R1105</f>
        <v>3.0289814291999388E-2</v>
      </c>
      <c r="J1105" s="989">
        <f t="shared" si="123"/>
        <v>1.0689631606747347</v>
      </c>
      <c r="K1105" s="989">
        <v>2.721006240644188E-2</v>
      </c>
      <c r="L1105" s="994">
        <f t="shared" si="125"/>
        <v>1.0961732230811767</v>
      </c>
      <c r="M1105" s="994">
        <f t="shared" si="124"/>
        <v>1.3154078676974119</v>
      </c>
      <c r="N1105" s="753">
        <v>2</v>
      </c>
      <c r="O1105" s="994">
        <v>1.1210545711454054</v>
      </c>
      <c r="P1105" s="22">
        <f t="shared" si="126"/>
        <v>0.1943532965520065</v>
      </c>
      <c r="Q1105" s="982">
        <f t="shared" si="127"/>
        <v>17.336649040504028</v>
      </c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s="93" customFormat="1" ht="18">
      <c r="A1106" s="333">
        <v>226</v>
      </c>
      <c r="B1106" s="335" t="s">
        <v>1062</v>
      </c>
      <c r="C1106" s="886">
        <f>cходова!R1106</f>
        <v>0</v>
      </c>
      <c r="D1106" s="886">
        <f>прибуд.!O1106</f>
        <v>0.47295829138309808</v>
      </c>
      <c r="E1106" s="886">
        <f>гар.вода!M1106+хол.вода!Q1106+ц.о.!M1106+каналізація!Q1106+аварійні!I1106+зварювальн!M1106</f>
        <v>0.23178923214818858</v>
      </c>
      <c r="F1106" s="886">
        <f>дератизац.!I1106</f>
        <v>3.7659717552118365E-3</v>
      </c>
      <c r="G1106" s="886">
        <f>димоканал!R1106</f>
        <v>1.39357743175644E-2</v>
      </c>
      <c r="H1106" s="886">
        <f>'підготовка до зими'!M1106+майстерні!M1106+маляри!M1106+покрівлі!O1106</f>
        <v>0.29056821591289428</v>
      </c>
      <c r="I1106" s="886">
        <f>електрики!R1106</f>
        <v>2.6716055286763869E-2</v>
      </c>
      <c r="J1106" s="989">
        <f t="shared" si="123"/>
        <v>1.0397335408037209</v>
      </c>
      <c r="K1106" s="989">
        <v>2.6307361269838327E-2</v>
      </c>
      <c r="L1106" s="994">
        <f t="shared" si="125"/>
        <v>1.0660409020735593</v>
      </c>
      <c r="M1106" s="994">
        <f t="shared" si="124"/>
        <v>1.2792490824882712</v>
      </c>
      <c r="N1106" s="753">
        <v>2</v>
      </c>
      <c r="O1106" s="994">
        <v>1.083863284317339</v>
      </c>
      <c r="P1106" s="22">
        <f t="shared" si="126"/>
        <v>0.19538579817093216</v>
      </c>
      <c r="Q1106" s="982">
        <f t="shared" si="127"/>
        <v>18.026793692342295</v>
      </c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s="892" customFormat="1" ht="18">
      <c r="A1107" s="333">
        <v>227</v>
      </c>
      <c r="B1107" s="394" t="s">
        <v>1063</v>
      </c>
      <c r="C1107" s="886">
        <f>cходова!R1107</f>
        <v>0</v>
      </c>
      <c r="D1107" s="886">
        <f>прибуд.!O1107</f>
        <v>0.37479998997644987</v>
      </c>
      <c r="E1107" s="886">
        <f>гар.вода!M1107+хол.вода!Q1107+ц.о.!M1107+каналізація!Q1107+аварійні!I1107+зварювальн!M1107</f>
        <v>0.2130536706179709</v>
      </c>
      <c r="F1107" s="886">
        <f>дератизац.!I1107</f>
        <v>1.8854871945834563E-3</v>
      </c>
      <c r="G1107" s="886">
        <f>димоканал!R1107</f>
        <v>1.6115569966186096E-2</v>
      </c>
      <c r="H1107" s="886">
        <f>'підготовка до зими'!M1107+майстерні!M1107+маляри!M1107+покрівлі!O1107</f>
        <v>0.37979036452862425</v>
      </c>
      <c r="I1107" s="886">
        <f>електрики!R1107</f>
        <v>2.3389328355265158E-2</v>
      </c>
      <c r="J1107" s="989">
        <f t="shared" si="123"/>
        <v>1.0090344106390796</v>
      </c>
      <c r="K1107" s="989">
        <v>2.5786283857689097E-2</v>
      </c>
      <c r="L1107" s="994">
        <f t="shared" si="125"/>
        <v>1.0348206944967686</v>
      </c>
      <c r="M1107" s="994">
        <f t="shared" si="124"/>
        <v>1.2417848333961223</v>
      </c>
      <c r="N1107" s="753">
        <v>2</v>
      </c>
      <c r="O1107" s="994">
        <v>1.0623948949367907</v>
      </c>
      <c r="P1107" s="22">
        <f t="shared" si="126"/>
        <v>0.1793899384593316</v>
      </c>
      <c r="Q1107" s="982">
        <f t="shared" si="127"/>
        <v>16.885429261216927</v>
      </c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s="892" customFormat="1" ht="18">
      <c r="A1108" s="333">
        <v>228</v>
      </c>
      <c r="B1108" s="335" t="s">
        <v>1064</v>
      </c>
      <c r="C1108" s="886">
        <f>cходова!R1108</f>
        <v>0</v>
      </c>
      <c r="D1108" s="886">
        <f>прибуд.!O1108</f>
        <v>0.14727536910931174</v>
      </c>
      <c r="E1108" s="886">
        <f>гар.вода!M1108+хол.вода!Q1108+ц.о.!M1108+каналізація!Q1108+аварійні!I1108+зварювальн!M1108</f>
        <v>0.25116784738788411</v>
      </c>
      <c r="F1108" s="886">
        <f>дератизац.!I1108</f>
        <v>3.2059716599190289E-3</v>
      </c>
      <c r="G1108" s="886">
        <f>димоканал!R1108</f>
        <v>9.0156656544784705E-2</v>
      </c>
      <c r="H1108" s="886">
        <f>'підготовка до зими'!M1108+майстерні!M1108+маляри!M1108+покрівлі!O1108</f>
        <v>0.32035767852696562</v>
      </c>
      <c r="I1108" s="886">
        <f>електрики!R1108</f>
        <v>3.0156964229315183E-2</v>
      </c>
      <c r="J1108" s="989">
        <f t="shared" si="123"/>
        <v>0.84232048745818033</v>
      </c>
      <c r="K1108" s="989">
        <v>2.1615881934281895E-2</v>
      </c>
      <c r="L1108" s="994">
        <f t="shared" si="125"/>
        <v>0.86393636939246221</v>
      </c>
      <c r="M1108" s="994">
        <f t="shared" si="124"/>
        <v>1.0367236432709546</v>
      </c>
      <c r="N1108" s="753">
        <v>2</v>
      </c>
      <c r="O1108" s="994">
        <v>0.89057433569241407</v>
      </c>
      <c r="P1108" s="22">
        <f t="shared" si="126"/>
        <v>0.1461493075785405</v>
      </c>
      <c r="Q1108" s="982">
        <f t="shared" si="127"/>
        <v>16.410680357739096</v>
      </c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s="93" customFormat="1" ht="18">
      <c r="A1109" s="333">
        <v>229</v>
      </c>
      <c r="B1109" s="394" t="s">
        <v>1065</v>
      </c>
      <c r="C1109" s="886">
        <f>cходова!R1109</f>
        <v>0</v>
      </c>
      <c r="D1109" s="886">
        <f>прибуд.!O1109</f>
        <v>0.41063032861221771</v>
      </c>
      <c r="E1109" s="886">
        <f>гар.вода!M1109+хол.вода!Q1109+ц.о.!M1109+каналізація!Q1109+аварійні!I1109+зварювальн!M1109</f>
        <v>0.27960184283536132</v>
      </c>
      <c r="F1109" s="886">
        <f>дератизац.!I1109</f>
        <v>3.2071713147410362E-3</v>
      </c>
      <c r="G1109" s="886">
        <f>димоканал!R1109</f>
        <v>8.2559746654256028E-2</v>
      </c>
      <c r="H1109" s="886">
        <f>'підготовка до зими'!M1109+майстерні!M1109+маляри!M1109+покрівлі!O1109</f>
        <v>0.2644699678746405</v>
      </c>
      <c r="I1109" s="886">
        <f>електрики!R1109</f>
        <v>3.1654800168460451E-2</v>
      </c>
      <c r="J1109" s="989">
        <f t="shared" si="123"/>
        <v>1.072123857459677</v>
      </c>
      <c r="K1109" s="989">
        <v>2.7460711870336219E-2</v>
      </c>
      <c r="L1109" s="994">
        <f t="shared" si="125"/>
        <v>1.0995845693300133</v>
      </c>
      <c r="M1109" s="994">
        <f t="shared" si="124"/>
        <v>1.3195014831960159</v>
      </c>
      <c r="N1109" s="753">
        <v>2</v>
      </c>
      <c r="O1109" s="994">
        <v>1.1313813290578523</v>
      </c>
      <c r="P1109" s="22">
        <f t="shared" si="126"/>
        <v>0.18812015413816363</v>
      </c>
      <c r="Q1109" s="982">
        <f t="shared" si="127"/>
        <v>16.627475574024103</v>
      </c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s="892" customFormat="1" ht="18">
      <c r="A1110" s="333">
        <v>230</v>
      </c>
      <c r="B1110" s="335" t="s">
        <v>1066</v>
      </c>
      <c r="C1110" s="886">
        <f>cходова!R1110</f>
        <v>0</v>
      </c>
      <c r="D1110" s="886">
        <f>прибуд.!O1110</f>
        <v>0</v>
      </c>
      <c r="E1110" s="886">
        <f>гар.вода!M1110+хол.вода!Q1110+ц.о.!M1110+каналізація!Q1110+аварійні!I1110+зварювальн!M1110</f>
        <v>0.24326760108866555</v>
      </c>
      <c r="F1110" s="886">
        <f>дератизац.!I1110</f>
        <v>2.8778228141285466E-3</v>
      </c>
      <c r="G1110" s="886">
        <f>димоканал!R1110</f>
        <v>8.2203288569102903E-2</v>
      </c>
      <c r="H1110" s="886">
        <f>'підготовка до зими'!M1110+майстерні!M1110+маляри!M1110+покрівлі!O1110</f>
        <v>0.4157006685521068</v>
      </c>
      <c r="I1110" s="886">
        <f>електрики!R1110</f>
        <v>2.8754179365531169E-2</v>
      </c>
      <c r="J1110" s="989">
        <f t="shared" si="123"/>
        <v>0.7728035603895349</v>
      </c>
      <c r="K1110" s="989">
        <v>1.9930798495763829E-2</v>
      </c>
      <c r="L1110" s="994">
        <f t="shared" si="125"/>
        <v>0.79273435888529875</v>
      </c>
      <c r="M1110" s="994">
        <f t="shared" si="124"/>
        <v>0.95128123066235848</v>
      </c>
      <c r="N1110" s="753">
        <v>2</v>
      </c>
      <c r="O1110" s="994">
        <v>0.82114889802546975</v>
      </c>
      <c r="P1110" s="22">
        <f t="shared" si="126"/>
        <v>0.13013233263688873</v>
      </c>
      <c r="Q1110" s="982">
        <f t="shared" si="127"/>
        <v>15.847592677747514</v>
      </c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s="892" customFormat="1" ht="18">
      <c r="A1111" s="333">
        <v>231</v>
      </c>
      <c r="B1111" s="394" t="s">
        <v>1067</v>
      </c>
      <c r="C1111" s="886">
        <f>cходова!R1111</f>
        <v>0</v>
      </c>
      <c r="D1111" s="886">
        <f>прибуд.!O1111</f>
        <v>0.13189038266938591</v>
      </c>
      <c r="E1111" s="886">
        <f>гар.вода!M1111+хол.вода!Q1111+ц.о.!M1111+каналізація!Q1111+аварійні!I1111+зварювальн!M1111</f>
        <v>0.25243788678536055</v>
      </c>
      <c r="F1111" s="886">
        <f>дератизац.!I1111</f>
        <v>2.1770904146838888E-3</v>
      </c>
      <c r="G1111" s="886">
        <f>димоканал!R1111</f>
        <v>4.9831295930615707E-2</v>
      </c>
      <c r="H1111" s="886">
        <f>'підготовка до зими'!M1111+майстерні!M1111+маляри!M1111+покрівлі!O1111</f>
        <v>0.27397427396084995</v>
      </c>
      <c r="I1111" s="886">
        <f>електрики!R1111</f>
        <v>3.0382475178684636E-2</v>
      </c>
      <c r="J1111" s="989">
        <f t="shared" si="123"/>
        <v>0.74069340493958069</v>
      </c>
      <c r="K1111" s="989">
        <v>1.9061629582188735E-2</v>
      </c>
      <c r="L1111" s="994">
        <f t="shared" si="125"/>
        <v>0.7597550345217694</v>
      </c>
      <c r="M1111" s="994">
        <f t="shared" si="124"/>
        <v>0.91170604142612321</v>
      </c>
      <c r="N1111" s="753">
        <v>2</v>
      </c>
      <c r="O1111" s="994">
        <v>0.78533913878617578</v>
      </c>
      <c r="P1111" s="22">
        <f t="shared" si="126"/>
        <v>0.12636690263994743</v>
      </c>
      <c r="Q1111" s="982">
        <f t="shared" si="127"/>
        <v>16.090743017756722</v>
      </c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s="93" customFormat="1" ht="18">
      <c r="A1112" s="333">
        <v>232</v>
      </c>
      <c r="B1112" s="335" t="s">
        <v>1068</v>
      </c>
      <c r="C1112" s="886">
        <f>cходова!R1112</f>
        <v>0</v>
      </c>
      <c r="D1112" s="886">
        <f>прибуд.!O1112</f>
        <v>0.24142701954537915</v>
      </c>
      <c r="E1112" s="886">
        <f>гар.вода!M1112+хол.вода!Q1112+ц.о.!M1112+каналізація!Q1112+аварійні!I1112+зварювальн!M1112</f>
        <v>0.30406109850138896</v>
      </c>
      <c r="F1112" s="886">
        <f>дератизац.!I1112</f>
        <v>2.0905923344947735E-3</v>
      </c>
      <c r="G1112" s="886">
        <f>димоканал!R1112</f>
        <v>4.9418606027007372E-2</v>
      </c>
      <c r="H1112" s="886">
        <f>'підготовка до зими'!M1112+майстерні!M1112+маляри!M1112+покрівлі!O1112</f>
        <v>0.47116860790418591</v>
      </c>
      <c r="I1112" s="886">
        <f>електрики!R1112</f>
        <v>3.9548804590759448E-2</v>
      </c>
      <c r="J1112" s="989">
        <f t="shared" si="123"/>
        <v>1.1077147289032157</v>
      </c>
      <c r="K1112" s="989">
        <v>2.817882649288583E-2</v>
      </c>
      <c r="L1112" s="994">
        <f t="shared" si="125"/>
        <v>1.1358935553961014</v>
      </c>
      <c r="M1112" s="994">
        <f t="shared" si="124"/>
        <v>1.3630722664753216</v>
      </c>
      <c r="N1112" s="753">
        <v>2</v>
      </c>
      <c r="O1112" s="994">
        <v>1.1609676515068963</v>
      </c>
      <c r="P1112" s="22">
        <f t="shared" si="126"/>
        <v>0.20210461496842536</v>
      </c>
      <c r="Q1112" s="982">
        <f t="shared" si="127"/>
        <v>17.408289947278078</v>
      </c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s="93" customFormat="1" ht="18">
      <c r="A1113" s="333">
        <v>233</v>
      </c>
      <c r="B1113" s="394" t="s">
        <v>1069</v>
      </c>
      <c r="C1113" s="886">
        <f>cходова!R1113</f>
        <v>0</v>
      </c>
      <c r="D1113" s="886">
        <f>прибуд.!O1113</f>
        <v>0.46825127149653001</v>
      </c>
      <c r="E1113" s="886">
        <f>гар.вода!M1113+хол.вода!Q1113+ц.о.!M1113+каналізація!Q1113+аварійні!I1113+зварювальн!M1113</f>
        <v>0.28793395910036385</v>
      </c>
      <c r="F1113" s="886">
        <f>дератизац.!I1113</f>
        <v>3.3260577568838151E-3</v>
      </c>
      <c r="G1113" s="886">
        <f>димоканал!R1113</f>
        <v>4.6736324570970711E-2</v>
      </c>
      <c r="H1113" s="886">
        <f>'підготовка до зими'!M1113+майстерні!M1113+маляри!M1113+покрівлі!O1113</f>
        <v>0.27424314548315165</v>
      </c>
      <c r="I1113" s="886">
        <f>електрики!R1113</f>
        <v>3.6685234748622945E-2</v>
      </c>
      <c r="J1113" s="989">
        <f t="shared" si="123"/>
        <v>1.1171759931565228</v>
      </c>
      <c r="K1113" s="989">
        <v>2.8435741734582933E-2</v>
      </c>
      <c r="L1113" s="994">
        <f t="shared" si="125"/>
        <v>1.1456117348911057</v>
      </c>
      <c r="M1113" s="994">
        <f t="shared" si="124"/>
        <v>1.3747340818693268</v>
      </c>
      <c r="N1113" s="753">
        <v>2</v>
      </c>
      <c r="O1113" s="994">
        <v>1.1715525594648168</v>
      </c>
      <c r="P1113" s="22">
        <f t="shared" si="126"/>
        <v>0.20318152240450993</v>
      </c>
      <c r="Q1113" s="982">
        <f t="shared" si="127"/>
        <v>17.342928472396181</v>
      </c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s="93" customFormat="1" ht="18">
      <c r="A1114" s="333">
        <v>234</v>
      </c>
      <c r="B1114" s="335" t="s">
        <v>1070</v>
      </c>
      <c r="C1114" s="886">
        <f>cходова!R1114</f>
        <v>0</v>
      </c>
      <c r="D1114" s="886">
        <f>прибуд.!O1114</f>
        <v>0.45738891385500263</v>
      </c>
      <c r="E1114" s="886">
        <f>гар.вода!M1114+хол.вода!Q1114+ц.о.!M1114+каналізація!Q1114+аварійні!I1114+зварювальн!M1114</f>
        <v>0.33096025261138268</v>
      </c>
      <c r="F1114" s="886">
        <f>дератизац.!I1114</f>
        <v>2.4157303370786515E-3</v>
      </c>
      <c r="G1114" s="886">
        <f>димоканал!R1114</f>
        <v>4.3936269000910251E-2</v>
      </c>
      <c r="H1114" s="886">
        <f>'підготовка до зими'!M1114+майстерні!M1114+маляри!M1114+покрівлі!O1114</f>
        <v>0.34748706285370956</v>
      </c>
      <c r="I1114" s="886">
        <f>електрики!R1114</f>
        <v>3.9854307997008287E-2</v>
      </c>
      <c r="J1114" s="989">
        <f t="shared" si="123"/>
        <v>1.222042536655092</v>
      </c>
      <c r="K1114" s="989">
        <v>3.1130716365670604E-2</v>
      </c>
      <c r="L1114" s="994">
        <f t="shared" si="125"/>
        <v>1.2531732530207627</v>
      </c>
      <c r="M1114" s="994">
        <f t="shared" si="124"/>
        <v>1.5038079036249152</v>
      </c>
      <c r="N1114" s="753">
        <v>2</v>
      </c>
      <c r="O1114" s="994">
        <v>1.2825855142656291</v>
      </c>
      <c r="P1114" s="22">
        <f t="shared" si="126"/>
        <v>0.22122238935928618</v>
      </c>
      <c r="Q1114" s="982">
        <f t="shared" si="127"/>
        <v>17.248159042709261</v>
      </c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s="93" customFormat="1" ht="18">
      <c r="A1115" s="333">
        <v>235</v>
      </c>
      <c r="B1115" s="394" t="s">
        <v>1071</v>
      </c>
      <c r="C1115" s="886">
        <f>cходова!R1115</f>
        <v>0</v>
      </c>
      <c r="D1115" s="886">
        <f>прибуд.!O1115</f>
        <v>0</v>
      </c>
      <c r="E1115" s="886">
        <f>гар.вода!M1115+хол.вода!Q1115+ц.о.!M1115+каналізація!Q1115+аварійні!I1115+зварювальн!M1115</f>
        <v>0.29287815836968245</v>
      </c>
      <c r="F1115" s="886">
        <f>дератизац.!I1115</f>
        <v>2.0121028744326782E-3</v>
      </c>
      <c r="G1115" s="886">
        <f>димоканал!R1115</f>
        <v>4.7025332247091364E-2</v>
      </c>
      <c r="H1115" s="886">
        <f>'підготовка до зими'!M1115+майстерні!M1115+маляри!M1115+покрівлі!O1115</f>
        <v>0.39475241256721566</v>
      </c>
      <c r="I1115" s="886">
        <f>електрики!R1115</f>
        <v>3.7563137491885272E-2</v>
      </c>
      <c r="J1115" s="989">
        <f t="shared" si="123"/>
        <v>0.77423114355030742</v>
      </c>
      <c r="K1115" s="989">
        <v>1.9809097849213395E-2</v>
      </c>
      <c r="L1115" s="994">
        <f t="shared" si="125"/>
        <v>0.79404024139952079</v>
      </c>
      <c r="M1115" s="994">
        <f t="shared" si="124"/>
        <v>0.95284828967942492</v>
      </c>
      <c r="N1115" s="753">
        <v>2</v>
      </c>
      <c r="O1115" s="994">
        <v>0.8161348313875918</v>
      </c>
      <c r="P1115" s="22">
        <f t="shared" si="126"/>
        <v>0.13671345829183312</v>
      </c>
      <c r="Q1115" s="982">
        <f t="shared" si="127"/>
        <v>16.751332382100756</v>
      </c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s="892" customFormat="1" ht="18">
      <c r="A1116" s="333">
        <v>236</v>
      </c>
      <c r="B1116" s="335" t="s">
        <v>1072</v>
      </c>
      <c r="C1116" s="886">
        <f>cходова!R1116</f>
        <v>0</v>
      </c>
      <c r="D1116" s="886">
        <f>прибуд.!O1116</f>
        <v>0.15600909034753033</v>
      </c>
      <c r="E1116" s="886">
        <f>гар.вода!M1116+хол.вода!Q1116+ц.о.!M1116+каналізація!Q1116+аварійні!I1116+зварювальн!M1116</f>
        <v>0.20540527940612505</v>
      </c>
      <c r="F1116" s="886">
        <f>дератизац.!I1116</f>
        <v>1.8788819875776399E-3</v>
      </c>
      <c r="G1116" s="886">
        <f>димоканал!R1116</f>
        <v>6.5041558397458468E-2</v>
      </c>
      <c r="H1116" s="886">
        <f>'підготовка до зими'!M1116+майстерні!M1116+маляри!M1116+покрівлі!O1116</f>
        <v>0.2844602514669734</v>
      </c>
      <c r="I1116" s="886">
        <f>електрики!R1116</f>
        <v>2.2031263426917625E-2</v>
      </c>
      <c r="J1116" s="989">
        <f t="shared" si="123"/>
        <v>0.73482632503258249</v>
      </c>
      <c r="K1116" s="989">
        <v>1.8864016852113391E-2</v>
      </c>
      <c r="L1116" s="994">
        <f t="shared" si="125"/>
        <v>0.75369034188469586</v>
      </c>
      <c r="M1116" s="994">
        <f t="shared" si="124"/>
        <v>0.90442841026163501</v>
      </c>
      <c r="N1116" s="753">
        <v>2</v>
      </c>
      <c r="O1116" s="994">
        <v>0.77719749430707175</v>
      </c>
      <c r="P1116" s="22">
        <f t="shared" si="126"/>
        <v>0.12723091595456326</v>
      </c>
      <c r="Q1116" s="982">
        <f t="shared" si="127"/>
        <v>16.370474285689625</v>
      </c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s="892" customFormat="1" ht="18">
      <c r="A1117" s="333">
        <v>237</v>
      </c>
      <c r="B1117" s="394" t="s">
        <v>1073</v>
      </c>
      <c r="C1117" s="886">
        <f>cходова!R1117</f>
        <v>0</v>
      </c>
      <c r="D1117" s="886">
        <f>прибуд.!O1117</f>
        <v>0.22465754291706769</v>
      </c>
      <c r="E1117" s="886">
        <f>гар.вода!M1117+хол.вода!Q1117+ц.о.!M1117+каналізація!Q1117+аварійні!I1117+зварювальн!M1117</f>
        <v>0.18899710934845809</v>
      </c>
      <c r="F1117" s="886">
        <f>дератизац.!I1117</f>
        <v>1.9874879692011551E-3</v>
      </c>
      <c r="G1117" s="886">
        <f>димоканал!R1117</f>
        <v>6.772231584633992E-2</v>
      </c>
      <c r="H1117" s="886">
        <f>'підготовка до зими'!M1117+майстерні!M1117+маляри!M1117+покрівлі!O1117</f>
        <v>0.26806629294537276</v>
      </c>
      <c r="I1117" s="886">
        <f>електрики!R1117</f>
        <v>1.9117793172000897E-2</v>
      </c>
      <c r="J1117" s="989">
        <f t="shared" si="123"/>
        <v>0.7705485421984406</v>
      </c>
      <c r="K1117" s="989">
        <v>1.9735924234641537E-2</v>
      </c>
      <c r="L1117" s="994">
        <f t="shared" si="125"/>
        <v>0.79028446643308214</v>
      </c>
      <c r="M1117" s="994">
        <f t="shared" si="124"/>
        <v>0.94834135971969857</v>
      </c>
      <c r="N1117" s="753">
        <v>2</v>
      </c>
      <c r="O1117" s="994">
        <v>0.81312007846723133</v>
      </c>
      <c r="P1117" s="22">
        <f t="shared" si="126"/>
        <v>0.13522128125246724</v>
      </c>
      <c r="Q1117" s="982">
        <f t="shared" si="127"/>
        <v>16.629927710968047</v>
      </c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s="93" customFormat="1" ht="18">
      <c r="A1118" s="333">
        <v>238</v>
      </c>
      <c r="B1118" s="335" t="s">
        <v>1074</v>
      </c>
      <c r="C1118" s="886">
        <f>cходова!R1118</f>
        <v>0.17732478784360567</v>
      </c>
      <c r="D1118" s="886">
        <f>прибуд.!O1118</f>
        <v>0.48664904575250845</v>
      </c>
      <c r="E1118" s="886">
        <f>гар.вода!M1118+хол.вода!Q1118+ц.о.!M1118+каналізація!Q1118+аварійні!I1118+зварювальн!M1118</f>
        <v>0.24485489757993986</v>
      </c>
      <c r="F1118" s="886">
        <f>дератизац.!I1118</f>
        <v>1.9501672240802676E-3</v>
      </c>
      <c r="G1118" s="886">
        <f>димоканал!R1118</f>
        <v>4.1832438630257165E-2</v>
      </c>
      <c r="H1118" s="886">
        <f>'підготовка до зими'!M1118+майстерні!M1118+маляри!M1118+покрівлі!O1118</f>
        <v>0.19777606789839969</v>
      </c>
      <c r="I1118" s="886">
        <f>електрики!R1118</f>
        <v>2.1258474494404211E-2</v>
      </c>
      <c r="J1118" s="989">
        <f t="shared" si="123"/>
        <v>1.1716458794231952</v>
      </c>
      <c r="K1118" s="989">
        <v>2.9695889432198284E-2</v>
      </c>
      <c r="L1118" s="994">
        <f t="shared" si="125"/>
        <v>1.2013417688553936</v>
      </c>
      <c r="M1118" s="994">
        <f t="shared" si="124"/>
        <v>1.4416101226264721</v>
      </c>
      <c r="N1118" s="753">
        <v>3</v>
      </c>
      <c r="O1118" s="994">
        <v>1.2234706446065695</v>
      </c>
      <c r="P1118" s="22">
        <f t="shared" si="126"/>
        <v>0.21813947801990263</v>
      </c>
      <c r="Q1118" s="982">
        <f t="shared" si="127"/>
        <v>17.829563707272243</v>
      </c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s="93" customFormat="1" ht="18">
      <c r="A1119" s="333">
        <v>239</v>
      </c>
      <c r="B1119" s="394" t="s">
        <v>1075</v>
      </c>
      <c r="C1119" s="886">
        <f>cходова!R1119</f>
        <v>0</v>
      </c>
      <c r="D1119" s="886">
        <f>прибуд.!O1119</f>
        <v>0.42015495691845683</v>
      </c>
      <c r="E1119" s="886">
        <f>гар.вода!M1119+хол.вода!Q1119+ц.о.!M1119+каналізація!Q1119+аварійні!I1119+зварювальн!M1119</f>
        <v>0.21699605571518857</v>
      </c>
      <c r="F1119" s="886">
        <f>дератизац.!I1119</f>
        <v>1.2491337491337491E-3</v>
      </c>
      <c r="G1119" s="886">
        <f>димоканал!R1119</f>
        <v>3.3329724184189426E-2</v>
      </c>
      <c r="H1119" s="886">
        <f>'підготовка до зими'!M1119+майстерні!M1119+маляри!M1119+покрівлі!O1119</f>
        <v>0.2892942195014051</v>
      </c>
      <c r="I1119" s="886">
        <f>електрики!R1119</f>
        <v>2.4089346801795308E-2</v>
      </c>
      <c r="J1119" s="989">
        <f t="shared" si="123"/>
        <v>0.98511343687016906</v>
      </c>
      <c r="K1119" s="989">
        <v>2.4980354003166286E-2</v>
      </c>
      <c r="L1119" s="994">
        <f t="shared" si="125"/>
        <v>1.0100937908733354</v>
      </c>
      <c r="M1119" s="994">
        <f t="shared" si="124"/>
        <v>1.2121125490480025</v>
      </c>
      <c r="N1119" s="753">
        <v>2</v>
      </c>
      <c r="O1119" s="994">
        <v>1.029190584930451</v>
      </c>
      <c r="P1119" s="22">
        <f t="shared" si="126"/>
        <v>0.18292196411755146</v>
      </c>
      <c r="Q1119" s="982">
        <f t="shared" si="127"/>
        <v>17.773381023487758</v>
      </c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s="93" customFormat="1" ht="18">
      <c r="A1120" s="333">
        <v>240</v>
      </c>
      <c r="B1120" s="335" t="s">
        <v>1076</v>
      </c>
      <c r="C1120" s="886">
        <f>cходова!R1120</f>
        <v>0</v>
      </c>
      <c r="D1120" s="886">
        <f>прибуд.!O1120</f>
        <v>0.44563293115276242</v>
      </c>
      <c r="E1120" s="886">
        <f>гар.вода!M1120+хол.вода!Q1120+ц.о.!M1120+каналізація!Q1120+аварійні!I1120+зварювальн!M1120</f>
        <v>0.20466656692624152</v>
      </c>
      <c r="F1120" s="886">
        <f>дератизац.!I1120</f>
        <v>2.7655273796398385E-3</v>
      </c>
      <c r="G1120" s="886">
        <f>димоканал!R1120</f>
        <v>5.8198115849402973E-2</v>
      </c>
      <c r="H1120" s="886">
        <f>'підготовка до зими'!M1120+майстерні!M1120+маляри!M1120+покрівлі!O1120</f>
        <v>0.29679273540075823</v>
      </c>
      <c r="I1120" s="886">
        <f>електрики!R1120</f>
        <v>2.1900096037165306E-2</v>
      </c>
      <c r="J1120" s="989">
        <f t="shared" si="123"/>
        <v>1.0299559727459704</v>
      </c>
      <c r="K1120" s="989">
        <v>2.6148517475106305E-2</v>
      </c>
      <c r="L1120" s="994">
        <f t="shared" si="125"/>
        <v>1.0561044902210768</v>
      </c>
      <c r="M1120" s="994">
        <f t="shared" si="124"/>
        <v>1.2673253882652922</v>
      </c>
      <c r="N1120" s="753">
        <v>2</v>
      </c>
      <c r="O1120" s="994">
        <v>1.0773189199743798</v>
      </c>
      <c r="P1120" s="22">
        <f t="shared" si="126"/>
        <v>0.19000646829091239</v>
      </c>
      <c r="Q1120" s="982">
        <f t="shared" si="127"/>
        <v>17.636974972595027</v>
      </c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s="93" customFormat="1" ht="18">
      <c r="A1121" s="333">
        <v>241</v>
      </c>
      <c r="B1121" s="394" t="s">
        <v>1077</v>
      </c>
      <c r="C1121" s="886">
        <f>cходова!R1121</f>
        <v>0</v>
      </c>
      <c r="D1121" s="886">
        <f>прибуд.!O1121</f>
        <v>0.38653720295399002</v>
      </c>
      <c r="E1121" s="886">
        <f>гар.вода!M1121+хол.вода!Q1121+ц.о.!M1121+каналізація!Q1121+аварійні!I1121+зварювальн!M1121</f>
        <v>0.25963182001449692</v>
      </c>
      <c r="F1121" s="886">
        <f>дератизац.!I1121</f>
        <v>2.7892891297417919E-3</v>
      </c>
      <c r="G1121" s="886">
        <f>димоканал!R1121</f>
        <v>3.7761644297778937E-2</v>
      </c>
      <c r="H1121" s="886">
        <f>'підготовка до зими'!M1121+майстерні!M1121+маляри!M1121+покрівлі!O1121</f>
        <v>0.30149819153980018</v>
      </c>
      <c r="I1121" s="886">
        <f>електрики!R1121</f>
        <v>3.449702519226977E-2</v>
      </c>
      <c r="J1121" s="989">
        <f t="shared" si="123"/>
        <v>1.0227151731280777</v>
      </c>
      <c r="K1121" s="989">
        <v>2.5900249274165222E-2</v>
      </c>
      <c r="L1121" s="994">
        <f t="shared" si="125"/>
        <v>1.0486154224022428</v>
      </c>
      <c r="M1121" s="994">
        <f t="shared" si="124"/>
        <v>1.2583385068826913</v>
      </c>
      <c r="N1121" s="753">
        <v>2</v>
      </c>
      <c r="O1121" s="994">
        <v>1.0670902700956071</v>
      </c>
      <c r="P1121" s="22">
        <f t="shared" si="126"/>
        <v>0.19124823678708425</v>
      </c>
      <c r="Q1121" s="982">
        <f t="shared" si="127"/>
        <v>17.922404706206279</v>
      </c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s="93" customFormat="1" ht="15" customHeight="1">
      <c r="A1122" s="333">
        <v>242</v>
      </c>
      <c r="B1122" s="335" t="s">
        <v>1078</v>
      </c>
      <c r="C1122" s="886">
        <f>cходова!R1122</f>
        <v>0.44411306953509422</v>
      </c>
      <c r="D1122" s="886">
        <f>прибуд.!O1122</f>
        <v>0.2973601892070834</v>
      </c>
      <c r="E1122" s="886">
        <f>гар.вода!M1122+хол.вода!Q1122+ц.о.!M1122+каналізація!Q1122+аварійні!I1122+зварювальн!M1122</f>
        <v>0.15933865323677546</v>
      </c>
      <c r="F1122" s="886">
        <f>дератизац.!I1122</f>
        <v>1.033228344626399E-3</v>
      </c>
      <c r="G1122" s="886">
        <f>димоканал!R1122</f>
        <v>2.908103749130795E-2</v>
      </c>
      <c r="H1122" s="886">
        <f>'підготовка до зими'!M1122+майстерні!M1122+маляри!M1122+покрівлі!O1122</f>
        <v>0.22656402717796226</v>
      </c>
      <c r="I1122" s="886">
        <f>електрики!R1122</f>
        <v>1.628791770431641E-2</v>
      </c>
      <c r="J1122" s="989">
        <f t="shared" si="123"/>
        <v>1.1737781226971662</v>
      </c>
      <c r="K1122" s="989">
        <v>2.9550806078584142E-2</v>
      </c>
      <c r="L1122" s="994">
        <f t="shared" si="125"/>
        <v>1.2033289287757503</v>
      </c>
      <c r="M1122" s="994">
        <f t="shared" si="124"/>
        <v>1.4439947145309002</v>
      </c>
      <c r="N1122" s="753">
        <v>3</v>
      </c>
      <c r="O1122" s="994">
        <v>1.2174932104376666</v>
      </c>
      <c r="P1122" s="22">
        <f t="shared" si="126"/>
        <v>0.22650150409323366</v>
      </c>
      <c r="Q1122" s="982">
        <f t="shared" si="127"/>
        <v>18.603923385479135</v>
      </c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s="93" customFormat="1" ht="18">
      <c r="A1123" s="333">
        <v>243</v>
      </c>
      <c r="B1123" s="394" t="s">
        <v>1079</v>
      </c>
      <c r="C1123" s="886">
        <f>cходова!R1123</f>
        <v>0</v>
      </c>
      <c r="D1123" s="886">
        <f>прибуд.!O1123</f>
        <v>0.56421494467755107</v>
      </c>
      <c r="E1123" s="886">
        <f>гар.вода!M1123+хол.вода!Q1123+ц.о.!M1123+каналізація!Q1123+аварійні!I1123+зварювальн!M1123</f>
        <v>0.21450421077871482</v>
      </c>
      <c r="F1123" s="886">
        <f>дератизац.!I1123</f>
        <v>1.2976190476190479E-3</v>
      </c>
      <c r="G1123" s="886">
        <f>димоканал!R1123</f>
        <v>4.9339277167186342E-2</v>
      </c>
      <c r="H1123" s="886">
        <f>'підготовка до зими'!M1123+майстерні!M1123+маляри!M1123+покрівлі!O1123</f>
        <v>0.31010448833955706</v>
      </c>
      <c r="I1123" s="886">
        <f>електрики!R1123</f>
        <v>2.3646889411558254E-2</v>
      </c>
      <c r="J1123" s="989">
        <f t="shared" si="123"/>
        <v>1.1631074294221866</v>
      </c>
      <c r="K1123" s="989">
        <v>2.935973055625854E-2</v>
      </c>
      <c r="L1123" s="994">
        <f t="shared" si="125"/>
        <v>1.1924671599784451</v>
      </c>
      <c r="M1123" s="994">
        <f t="shared" si="124"/>
        <v>1.4309605919741342</v>
      </c>
      <c r="N1123" s="753">
        <v>2</v>
      </c>
      <c r="O1123" s="994">
        <v>1.2096208989178521</v>
      </c>
      <c r="P1123" s="22">
        <f t="shared" si="126"/>
        <v>0.22133969305628209</v>
      </c>
      <c r="Q1123" s="982">
        <f t="shared" si="127"/>
        <v>18.298269586305622</v>
      </c>
      <c r="R1123" s="6"/>
      <c r="S1123" s="6"/>
      <c r="T1123" s="6"/>
      <c r="U1123" s="6"/>
      <c r="V1123" s="6"/>
      <c r="W1123" s="6"/>
      <c r="X1123" s="6"/>
      <c r="Y1123" s="6"/>
      <c r="Z1123" s="6"/>
    </row>
    <row r="1124" spans="1:26" s="892" customFormat="1" ht="18">
      <c r="A1124" s="333">
        <v>244</v>
      </c>
      <c r="B1124" s="335" t="s">
        <v>1080</v>
      </c>
      <c r="C1124" s="886">
        <f>cходова!R1124</f>
        <v>0.35901053306545117</v>
      </c>
      <c r="D1124" s="886">
        <f>прибуд.!O1124</f>
        <v>0.12282287468299481</v>
      </c>
      <c r="E1124" s="886">
        <f>гар.вода!M1124+хол.вода!Q1124+ц.о.!M1124+каналізація!Q1124+аварійні!I1124+зварювальн!M1124</f>
        <v>0.22024341291012681</v>
      </c>
      <c r="F1124" s="886">
        <f>дератизац.!I1124</f>
        <v>7.7531843435696814E-4</v>
      </c>
      <c r="G1124" s="886">
        <f>димоканал!R1124</f>
        <v>4.9230441852584392E-2</v>
      </c>
      <c r="H1124" s="886">
        <f>'підготовка до зими'!M1124+майстерні!M1124+маляри!M1124+покрівлі!O1124</f>
        <v>0.22897186773424208</v>
      </c>
      <c r="I1124" s="886">
        <f>електрики!R1124</f>
        <v>2.2178067672558525E-2</v>
      </c>
      <c r="J1124" s="989">
        <f t="shared" si="123"/>
        <v>1.0032325163523148</v>
      </c>
      <c r="K1124" s="989">
        <v>2.5621948662508203E-2</v>
      </c>
      <c r="L1124" s="994">
        <f t="shared" si="125"/>
        <v>1.028854465014823</v>
      </c>
      <c r="M1124" s="994">
        <f t="shared" si="124"/>
        <v>1.2346253580177875</v>
      </c>
      <c r="N1124" s="753">
        <v>4</v>
      </c>
      <c r="O1124" s="994">
        <v>1.0556242848953381</v>
      </c>
      <c r="P1124" s="22">
        <f t="shared" si="126"/>
        <v>0.17900107312244939</v>
      </c>
      <c r="Q1124" s="982">
        <f t="shared" si="127"/>
        <v>16.956892303798867</v>
      </c>
      <c r="R1124" s="6"/>
      <c r="S1124" s="6"/>
      <c r="T1124" s="6"/>
      <c r="U1124" s="6"/>
      <c r="V1124" s="6"/>
      <c r="W1124" s="6"/>
      <c r="X1124" s="6"/>
      <c r="Y1124" s="6"/>
      <c r="Z1124" s="6"/>
    </row>
    <row r="1125" spans="1:26" s="93" customFormat="1" ht="18">
      <c r="A1125" s="333">
        <v>245</v>
      </c>
      <c r="B1125" s="394" t="s">
        <v>1081</v>
      </c>
      <c r="C1125" s="886">
        <f>cходова!R1125</f>
        <v>0.3151745438255647</v>
      </c>
      <c r="D1125" s="886">
        <f>прибуд.!O1125</f>
        <v>0.35975255244966159</v>
      </c>
      <c r="E1125" s="886">
        <f>гар.вода!M1125+хол.вода!Q1125+ц.о.!M1125+каналізація!Q1125+аварійні!I1125+зварювальн!M1125</f>
        <v>0.2359384936277113</v>
      </c>
      <c r="F1125" s="886">
        <f>дератизац.!I1125</f>
        <v>7.7396528212877319E-4</v>
      </c>
      <c r="G1125" s="886">
        <f>димоканал!R1125</f>
        <v>3.7388873615035047E-2</v>
      </c>
      <c r="H1125" s="886">
        <f>'підготовка до зими'!M1125+майстерні!M1125+маляри!M1125+покрівлі!O1125</f>
        <v>0.2896803796470937</v>
      </c>
      <c r="I1125" s="886">
        <f>електрики!R1125</f>
        <v>2.7452807152326876E-2</v>
      </c>
      <c r="J1125" s="989">
        <f t="shared" si="123"/>
        <v>1.2661616155995219</v>
      </c>
      <c r="K1125" s="989">
        <v>3.1941816711040572E-2</v>
      </c>
      <c r="L1125" s="994">
        <f t="shared" si="125"/>
        <v>1.2981034323105625</v>
      </c>
      <c r="M1125" s="994">
        <f t="shared" si="124"/>
        <v>1.5577241187726749</v>
      </c>
      <c r="N1125" s="753">
        <v>3</v>
      </c>
      <c r="O1125" s="994">
        <v>1.3160028484948716</v>
      </c>
      <c r="P1125" s="22">
        <f t="shared" si="126"/>
        <v>0.24172127027780332</v>
      </c>
      <c r="Q1125" s="982">
        <f t="shared" si="127"/>
        <v>18.367837923319314</v>
      </c>
      <c r="R1125" s="6"/>
      <c r="S1125" s="6"/>
      <c r="T1125" s="6"/>
      <c r="U1125" s="6"/>
      <c r="V1125" s="6"/>
      <c r="W1125" s="6"/>
      <c r="X1125" s="6"/>
      <c r="Y1125" s="6"/>
      <c r="Z1125" s="6"/>
    </row>
    <row r="1126" spans="1:26" s="93" customFormat="1" ht="18">
      <c r="A1126" s="333">
        <v>246</v>
      </c>
      <c r="B1126" s="335" t="s">
        <v>1082</v>
      </c>
      <c r="C1126" s="886">
        <f>cходова!R1126</f>
        <v>0.25264804117286238</v>
      </c>
      <c r="D1126" s="886">
        <f>прибуд.!O1126</f>
        <v>0.42511022336852333</v>
      </c>
      <c r="E1126" s="886">
        <f>гар.вода!M1126+хол.вода!Q1126+ц.о.!M1126+каналізація!Q1126+аварійні!I1126+зварювальн!M1126</f>
        <v>0.23556170415466876</v>
      </c>
      <c r="F1126" s="886">
        <f>дератизац.!I1126</f>
        <v>1.6682423382966991E-3</v>
      </c>
      <c r="G1126" s="886">
        <f>димоканал!R1126</f>
        <v>3.7646943386314316E-2</v>
      </c>
      <c r="H1126" s="886">
        <f>'підготовка до зими'!M1126+майстерні!M1126+маляри!M1126+покрівлі!O1126</f>
        <v>0.22946719851665476</v>
      </c>
      <c r="I1126" s="886">
        <f>електрики!R1126</f>
        <v>2.7385903596463115E-2</v>
      </c>
      <c r="J1126" s="989">
        <f t="shared" si="123"/>
        <v>1.2094882565337834</v>
      </c>
      <c r="K1126" s="989">
        <v>3.0515688226783726E-2</v>
      </c>
      <c r="L1126" s="994">
        <f t="shared" si="125"/>
        <v>1.2400039447605671</v>
      </c>
      <c r="M1126" s="994">
        <f t="shared" si="124"/>
        <v>1.4880047337126805</v>
      </c>
      <c r="N1126" s="753">
        <v>3</v>
      </c>
      <c r="O1126" s="994">
        <v>1.2572463549434896</v>
      </c>
      <c r="P1126" s="22">
        <f t="shared" si="126"/>
        <v>0.23075837876919092</v>
      </c>
      <c r="Q1126" s="982">
        <f t="shared" si="127"/>
        <v>18.354269062849099</v>
      </c>
      <c r="R1126" s="6"/>
      <c r="S1126" s="6"/>
      <c r="T1126" s="6"/>
      <c r="U1126" s="6"/>
      <c r="V1126" s="6"/>
      <c r="W1126" s="6"/>
      <c r="X1126" s="6"/>
      <c r="Y1126" s="6"/>
      <c r="Z1126" s="6"/>
    </row>
    <row r="1127" spans="1:26" s="93" customFormat="1" ht="18">
      <c r="A1127" s="333">
        <v>247</v>
      </c>
      <c r="B1127" s="394" t="s">
        <v>1083</v>
      </c>
      <c r="C1127" s="886">
        <f>cходова!R1127</f>
        <v>0</v>
      </c>
      <c r="D1127" s="886">
        <f>прибуд.!O1127</f>
        <v>0.37664795704324061</v>
      </c>
      <c r="E1127" s="886">
        <f>гар.вода!M1127+хол.вода!Q1127+ц.о.!M1127+каналізація!Q1127+аварійні!I1127+зварювальн!M1127</f>
        <v>0.20032972377992767</v>
      </c>
      <c r="F1127" s="886">
        <f>дератизац.!I1127</f>
        <v>3.8044214068816131E-3</v>
      </c>
      <c r="G1127" s="886">
        <f>димоканал!R1127</f>
        <v>9.6911200329001232E-2</v>
      </c>
      <c r="H1127" s="886">
        <f>'підготовка до зими'!M1127+майстерні!M1127+маляри!M1127+покрівлі!O1127</f>
        <v>0.29881427914874897</v>
      </c>
      <c r="I1127" s="886">
        <f>електрики!R1127</f>
        <v>2.1130036764094761E-2</v>
      </c>
      <c r="J1127" s="989">
        <f t="shared" si="123"/>
        <v>0.9976376184718948</v>
      </c>
      <c r="K1127" s="989">
        <v>2.5393975347571002E-2</v>
      </c>
      <c r="L1127" s="994">
        <f t="shared" si="125"/>
        <v>1.0230315938194658</v>
      </c>
      <c r="M1127" s="994">
        <f t="shared" si="124"/>
        <v>1.227637912583359</v>
      </c>
      <c r="N1127" s="753">
        <v>2</v>
      </c>
      <c r="O1127" s="994">
        <v>1.0462317843199254</v>
      </c>
      <c r="P1127" s="22">
        <f t="shared" si="126"/>
        <v>0.18140612826343361</v>
      </c>
      <c r="Q1127" s="982">
        <f t="shared" si="127"/>
        <v>17.338999921642767</v>
      </c>
      <c r="R1127" s="6"/>
      <c r="S1127" s="6"/>
      <c r="T1127" s="6"/>
      <c r="U1127" s="6"/>
      <c r="V1127" s="6"/>
      <c r="W1127" s="6"/>
      <c r="X1127" s="6"/>
      <c r="Y1127" s="6"/>
      <c r="Z1127" s="6"/>
    </row>
    <row r="1128" spans="1:26" s="93" customFormat="1" ht="18">
      <c r="A1128" s="333">
        <v>248</v>
      </c>
      <c r="B1128" s="335" t="s">
        <v>1084</v>
      </c>
      <c r="C1128" s="886">
        <f>cходова!R1128</f>
        <v>0.34357007282372981</v>
      </c>
      <c r="D1128" s="886">
        <f>прибуд.!O1128</f>
        <v>0.4384445813061208</v>
      </c>
      <c r="E1128" s="886">
        <f>гар.вода!M1128+хол.вода!Q1128+ц.о.!M1128+каналізація!Q1128+аварійні!I1128+зварювальн!M1128</f>
        <v>0.2498679815201926</v>
      </c>
      <c r="F1128" s="886">
        <f>дератизац.!I1128</f>
        <v>3.2763504148168986E-3</v>
      </c>
      <c r="G1128" s="886">
        <f>димоканал!R1128</f>
        <v>4.6100652511750356E-2</v>
      </c>
      <c r="H1128" s="886">
        <f>'підготовка до зими'!M1128+майстерні!M1128+маляри!M1128+покрівлі!O1128</f>
        <v>0.23362669617449783</v>
      </c>
      <c r="I1128" s="886">
        <f>електрики!R1128</f>
        <v>2.9926157227218621E-2</v>
      </c>
      <c r="J1128" s="989">
        <f t="shared" ref="J1128:J1145" si="128">I1128+H1128+G1128+F1128+E1128+D1128+C1128</f>
        <v>1.3448124919783271</v>
      </c>
      <c r="K1128" s="989">
        <v>3.3860175417583509E-2</v>
      </c>
      <c r="L1128" s="994">
        <f t="shared" si="125"/>
        <v>1.3786726673959107</v>
      </c>
      <c r="M1128" s="994">
        <f t="shared" ref="M1128:M1145" si="129">L1128*1.2</f>
        <v>1.6544072008750927</v>
      </c>
      <c r="N1128" s="753">
        <v>3</v>
      </c>
      <c r="O1128" s="994">
        <v>1.3950392272044407</v>
      </c>
      <c r="P1128" s="22">
        <f t="shared" si="126"/>
        <v>0.25936797367065201</v>
      </c>
      <c r="Q1128" s="982">
        <f t="shared" si="127"/>
        <v>18.592163475603968</v>
      </c>
      <c r="R1128" s="6"/>
      <c r="S1128" s="6"/>
      <c r="T1128" s="6"/>
      <c r="U1128" s="6"/>
      <c r="V1128" s="6"/>
      <c r="W1128" s="6"/>
      <c r="X1128" s="6"/>
      <c r="Y1128" s="6"/>
      <c r="Z1128" s="6"/>
    </row>
    <row r="1129" spans="1:26" s="93" customFormat="1" ht="18">
      <c r="A1129" s="333">
        <v>249</v>
      </c>
      <c r="B1129" s="394" t="s">
        <v>1085</v>
      </c>
      <c r="C1129" s="886">
        <f>cходова!R1129</f>
        <v>0</v>
      </c>
      <c r="D1129" s="886">
        <f>прибуд.!O1129</f>
        <v>0.45878745916362429</v>
      </c>
      <c r="E1129" s="886">
        <f>гар.вода!M1129+хол.вода!Q1129+ц.о.!M1129+каналізація!Q1129+аварійні!I1129+зварювальн!M1129</f>
        <v>0.19271350143325519</v>
      </c>
      <c r="F1129" s="886">
        <f>дератизац.!I1129</f>
        <v>2.7995353468304018E-3</v>
      </c>
      <c r="G1129" s="886">
        <f>димоканал!R1129</f>
        <v>5.0607491844357269E-2</v>
      </c>
      <c r="H1129" s="886">
        <f>'підготовка до зими'!M1129+майстерні!M1129+маляри!M1129+покрівлі!O1129</f>
        <v>0.32657197257167692</v>
      </c>
      <c r="I1129" s="886">
        <f>електрики!R1129</f>
        <v>1.977768380920239E-2</v>
      </c>
      <c r="J1129" s="989">
        <f t="shared" si="128"/>
        <v>1.0512576441689465</v>
      </c>
      <c r="K1129" s="989">
        <v>2.6665982914019962E-2</v>
      </c>
      <c r="L1129" s="994">
        <f t="shared" si="125"/>
        <v>1.0779236270829664</v>
      </c>
      <c r="M1129" s="994">
        <f t="shared" si="129"/>
        <v>1.2935083524995596</v>
      </c>
      <c r="N1129" s="753">
        <v>2</v>
      </c>
      <c r="O1129" s="994">
        <v>1.0986384960576225</v>
      </c>
      <c r="P1129" s="22">
        <f t="shared" si="126"/>
        <v>0.19486985644193711</v>
      </c>
      <c r="Q1129" s="982">
        <f t="shared" si="127"/>
        <v>17.737395616593815</v>
      </c>
      <c r="R1129" s="6"/>
      <c r="S1129" s="6"/>
      <c r="T1129" s="6"/>
      <c r="U1129" s="6"/>
      <c r="V1129" s="6"/>
      <c r="W1129" s="6"/>
      <c r="X1129" s="6"/>
      <c r="Y1129" s="6"/>
      <c r="Z1129" s="6"/>
    </row>
    <row r="1130" spans="1:26" s="93" customFormat="1" ht="18">
      <c r="A1130" s="333">
        <v>250</v>
      </c>
      <c r="B1130" s="335" t="s">
        <v>1086</v>
      </c>
      <c r="C1130" s="886">
        <f>cходова!R1130</f>
        <v>0.22527092536787768</v>
      </c>
      <c r="D1130" s="886">
        <f>прибуд.!O1130</f>
        <v>0.41770298878081724</v>
      </c>
      <c r="E1130" s="886">
        <f>гар.вода!M1130+хол.вода!Q1130+ц.о.!M1130+каналізація!Q1130+аварійні!I1130+зварювальн!M1130</f>
        <v>0.20600366174010579</v>
      </c>
      <c r="F1130" s="886">
        <f>дератизац.!I1130</f>
        <v>1.3404255319148935E-3</v>
      </c>
      <c r="G1130" s="886">
        <f>димоканал!R1130</f>
        <v>4.0800053455522914E-2</v>
      </c>
      <c r="H1130" s="886">
        <f>'підготовка до зими'!M1130+майстерні!M1130+маляри!M1130+покрівлі!O1130</f>
        <v>0.2830607349444238</v>
      </c>
      <c r="I1130" s="886">
        <f>електрики!R1130</f>
        <v>2.2137513491671559E-2</v>
      </c>
      <c r="J1130" s="989">
        <f t="shared" si="128"/>
        <v>1.1963163033123339</v>
      </c>
      <c r="K1130" s="989">
        <v>3.0367492254487365E-2</v>
      </c>
      <c r="L1130" s="994">
        <f t="shared" si="125"/>
        <v>1.2266837955668213</v>
      </c>
      <c r="M1130" s="994">
        <f t="shared" si="129"/>
        <v>1.4720205546801854</v>
      </c>
      <c r="N1130" s="753">
        <v>3</v>
      </c>
      <c r="O1130" s="994">
        <v>1.2511406808848795</v>
      </c>
      <c r="P1130" s="22">
        <f t="shared" si="126"/>
        <v>0.22087987379530594</v>
      </c>
      <c r="Q1130" s="982">
        <f t="shared" si="127"/>
        <v>17.654279584218031</v>
      </c>
      <c r="R1130" s="6"/>
      <c r="S1130" s="6"/>
      <c r="T1130" s="6"/>
      <c r="U1130" s="6"/>
      <c r="V1130" s="6"/>
      <c r="W1130" s="6"/>
      <c r="X1130" s="6"/>
      <c r="Y1130" s="6"/>
      <c r="Z1130" s="6"/>
    </row>
    <row r="1131" spans="1:26" s="93" customFormat="1" ht="18">
      <c r="A1131" s="333">
        <v>251</v>
      </c>
      <c r="B1131" s="394" t="s">
        <v>1087</v>
      </c>
      <c r="C1131" s="886">
        <f>cходова!R1131</f>
        <v>0</v>
      </c>
      <c r="D1131" s="886">
        <f>прибуд.!O1131</f>
        <v>0.39655709973841891</v>
      </c>
      <c r="E1131" s="886">
        <f>гар.вода!M1131+хол.вода!Q1131+ц.о.!M1131+каналізація!Q1131+аварійні!I1131+зварювальн!M1131</f>
        <v>0.25031266659795098</v>
      </c>
      <c r="F1131" s="886">
        <f>дератизац.!I1131</f>
        <v>2.8153323262839879E-3</v>
      </c>
      <c r="G1131" s="886">
        <f>димоканал!R1131</f>
        <v>5.4663664707451147E-2</v>
      </c>
      <c r="H1131" s="886">
        <f>'підготовка до зими'!M1131+майстерні!M1131+маляри!M1131+покрівлі!O1131</f>
        <v>0.33070261744613177</v>
      </c>
      <c r="I1131" s="886">
        <f>електрики!R1131</f>
        <v>3.0005116473880565E-2</v>
      </c>
      <c r="J1131" s="989">
        <f t="shared" si="128"/>
        <v>1.0650564972901173</v>
      </c>
      <c r="K1131" s="989">
        <v>2.7083024600725331E-2</v>
      </c>
      <c r="L1131" s="994">
        <f t="shared" si="125"/>
        <v>1.0921395218908427</v>
      </c>
      <c r="M1131" s="994">
        <f t="shared" si="129"/>
        <v>1.3105674262690112</v>
      </c>
      <c r="N1131" s="753">
        <v>2</v>
      </c>
      <c r="O1131" s="994">
        <v>1.1158206135498836</v>
      </c>
      <c r="P1131" s="22">
        <f t="shared" si="126"/>
        <v>0.19474681271912764</v>
      </c>
      <c r="Q1131" s="982">
        <f t="shared" si="127"/>
        <v>17.453236690040882</v>
      </c>
      <c r="R1131" s="6"/>
      <c r="S1131" s="6"/>
      <c r="T1131" s="6"/>
      <c r="U1131" s="6"/>
      <c r="V1131" s="6"/>
      <c r="W1131" s="6"/>
      <c r="X1131" s="6"/>
      <c r="Y1131" s="6"/>
      <c r="Z1131" s="6"/>
    </row>
    <row r="1132" spans="1:26" s="93" customFormat="1" ht="18">
      <c r="A1132" s="333">
        <v>252</v>
      </c>
      <c r="B1132" s="335" t="s">
        <v>1088</v>
      </c>
      <c r="C1132" s="886">
        <f>cходова!R1132</f>
        <v>0.91826433096680304</v>
      </c>
      <c r="D1132" s="886">
        <f>прибуд.!O1132</f>
        <v>0</v>
      </c>
      <c r="E1132" s="886">
        <f>гар.вода!M1132+хол.вода!Q1132+ц.о.!M1132+каналізація!Q1132+аварійні!I1132+зварювальн!M1132</f>
        <v>0.21479754837402662</v>
      </c>
      <c r="F1132" s="886">
        <f>дератизац.!I1132</f>
        <v>1.0921439060205583E-3</v>
      </c>
      <c r="G1132" s="886">
        <f>димоканал!R1132</f>
        <v>3.07133203080194E-2</v>
      </c>
      <c r="H1132" s="886">
        <f>'підготовка до зими'!M1132+майстерні!M1132+маляри!M1132+покрівлі!O1132</f>
        <v>0.23975526490091484</v>
      </c>
      <c r="I1132" s="886">
        <f>електрики!R1132</f>
        <v>2.3698975071055083E-2</v>
      </c>
      <c r="J1132" s="989">
        <f t="shared" si="128"/>
        <v>1.4283215835268397</v>
      </c>
      <c r="K1132" s="989">
        <v>3.5870831879525215E-2</v>
      </c>
      <c r="L1132" s="994">
        <f t="shared" si="125"/>
        <v>1.4641924154063648</v>
      </c>
      <c r="M1132" s="994">
        <f t="shared" si="129"/>
        <v>1.7570308984876377</v>
      </c>
      <c r="N1132" s="753">
        <v>3</v>
      </c>
      <c r="O1132" s="994">
        <v>1.4778782734364391</v>
      </c>
      <c r="P1132" s="22">
        <f t="shared" si="126"/>
        <v>0.27915262505119864</v>
      </c>
      <c r="Q1132" s="982">
        <f t="shared" si="127"/>
        <v>18.888742738067222</v>
      </c>
      <c r="R1132" s="6"/>
      <c r="S1132" s="6"/>
      <c r="T1132" s="6"/>
      <c r="U1132" s="6"/>
      <c r="V1132" s="6"/>
      <c r="W1132" s="6"/>
      <c r="X1132" s="6"/>
      <c r="Y1132" s="6"/>
      <c r="Z1132" s="6"/>
    </row>
    <row r="1133" spans="1:26" s="892" customFormat="1" ht="18">
      <c r="A1133" s="333">
        <v>253</v>
      </c>
      <c r="B1133" s="394" t="s">
        <v>1089</v>
      </c>
      <c r="C1133" s="886">
        <f>cходова!R1133</f>
        <v>0</v>
      </c>
      <c r="D1133" s="886">
        <f>прибуд.!O1133</f>
        <v>0.39038749060487798</v>
      </c>
      <c r="E1133" s="886">
        <f>гар.вода!M1133+хол.вода!Q1133+ц.о.!M1133+каналізація!Q1133+аварійні!I1133+зварювальн!M1133</f>
        <v>0.27232176627221327</v>
      </c>
      <c r="F1133" s="886">
        <f>дератизац.!I1133</f>
        <v>3.4487804878048783E-3</v>
      </c>
      <c r="G1133" s="886">
        <f>димоканал!R1133</f>
        <v>4.0434139337011239E-2</v>
      </c>
      <c r="H1133" s="886">
        <f>'підготовка до зими'!M1133+майстерні!M1133+маляри!M1133+покрівлі!O1133</f>
        <v>0.38104554524337947</v>
      </c>
      <c r="I1133" s="886">
        <f>електрики!R1133</f>
        <v>3.3913099936576228E-2</v>
      </c>
      <c r="J1133" s="989">
        <f t="shared" si="128"/>
        <v>1.1215508218818631</v>
      </c>
      <c r="K1133" s="989">
        <v>2.8658446082053361E-2</v>
      </c>
      <c r="L1133" s="994">
        <f t="shared" si="125"/>
        <v>1.1502092679639164</v>
      </c>
      <c r="M1133" s="994">
        <f t="shared" si="129"/>
        <v>1.3802511215566997</v>
      </c>
      <c r="N1133" s="753">
        <v>2</v>
      </c>
      <c r="O1133" s="994">
        <v>1.1807279785805986</v>
      </c>
      <c r="P1133" s="22">
        <f t="shared" si="126"/>
        <v>0.19952314297610108</v>
      </c>
      <c r="Q1133" s="982">
        <f t="shared" si="127"/>
        <v>16.898315835282915</v>
      </c>
      <c r="R1133" s="6"/>
      <c r="S1133" s="6"/>
      <c r="T1133" s="6"/>
      <c r="U1133" s="6"/>
      <c r="V1133" s="6"/>
      <c r="W1133" s="6"/>
      <c r="X1133" s="6"/>
      <c r="Y1133" s="6"/>
      <c r="Z1133" s="6"/>
    </row>
    <row r="1134" spans="1:26" s="93" customFormat="1" ht="18">
      <c r="A1134" s="333">
        <v>254</v>
      </c>
      <c r="B1134" s="335" t="s">
        <v>1090</v>
      </c>
      <c r="C1134" s="886">
        <f>cходова!R1134</f>
        <v>0.51844225285225976</v>
      </c>
      <c r="D1134" s="886">
        <f>прибуд.!O1134</f>
        <v>0.16382637366105449</v>
      </c>
      <c r="E1134" s="886">
        <f>гар.вода!M1134+хол.вода!Q1134+ц.о.!M1134+каналізація!Q1134+аварійні!I1134+зварювальн!M1134</f>
        <v>0.21696785635679985</v>
      </c>
      <c r="F1134" s="886">
        <f>дератизац.!I1134</f>
        <v>1.8854361532598908E-3</v>
      </c>
      <c r="G1134" s="886">
        <f>димоканал!R1134</f>
        <v>3.948372835037775E-2</v>
      </c>
      <c r="H1134" s="886">
        <f>'підготовка до зими'!M1134+майстерні!M1134+маляри!M1134+покрівлі!O1134</f>
        <v>0.26714173147174936</v>
      </c>
      <c r="I1134" s="886">
        <f>електрики!R1134</f>
        <v>2.408433966257232E-2</v>
      </c>
      <c r="J1134" s="989">
        <f t="shared" si="128"/>
        <v>1.2318317185080734</v>
      </c>
      <c r="K1134" s="989">
        <v>3.1211510333625191E-2</v>
      </c>
      <c r="L1134" s="994">
        <f t="shared" si="125"/>
        <v>1.2630432288416986</v>
      </c>
      <c r="M1134" s="994">
        <f t="shared" si="129"/>
        <v>1.5156518746100383</v>
      </c>
      <c r="N1134" s="753">
        <v>3</v>
      </c>
      <c r="O1134" s="994">
        <v>1.285914225745358</v>
      </c>
      <c r="P1134" s="22">
        <f t="shared" si="126"/>
        <v>0.22973764886468029</v>
      </c>
      <c r="Q1134" s="982">
        <f t="shared" si="127"/>
        <v>17.865705524139202</v>
      </c>
      <c r="R1134" s="6"/>
      <c r="S1134" s="6"/>
      <c r="T1134" s="6"/>
      <c r="U1134" s="6"/>
      <c r="V1134" s="6"/>
      <c r="W1134" s="6"/>
      <c r="X1134" s="6"/>
      <c r="Y1134" s="6"/>
      <c r="Z1134" s="6"/>
    </row>
    <row r="1135" spans="1:26" s="93" customFormat="1" ht="18">
      <c r="A1135" s="333">
        <v>255</v>
      </c>
      <c r="B1135" s="394" t="s">
        <v>1091</v>
      </c>
      <c r="C1135" s="886">
        <f>cходова!R1135</f>
        <v>0</v>
      </c>
      <c r="D1135" s="886">
        <f>прибуд.!O1135</f>
        <v>0.46372966788951836</v>
      </c>
      <c r="E1135" s="886">
        <f>гар.вода!M1135+хол.вода!Q1135+ц.о.!M1135+каналізація!Q1135+аварійні!I1135+зварювальн!M1135</f>
        <v>0.19224545489196995</v>
      </c>
      <c r="F1135" s="886">
        <f>дератизац.!I1135</f>
        <v>1.992917847025496E-3</v>
      </c>
      <c r="G1135" s="886">
        <f>димоканал!R1135</f>
        <v>4.9854723547806422E-2</v>
      </c>
      <c r="H1135" s="886">
        <f>'підготовка до зими'!M1135+майстерні!M1135+маляри!M1135+покрівлі!O1135</f>
        <v>0.3226518474165942</v>
      </c>
      <c r="I1135" s="886">
        <f>електрики!R1135</f>
        <v>1.969457645041962E-2</v>
      </c>
      <c r="J1135" s="989">
        <f t="shared" si="128"/>
        <v>1.0501691880433339</v>
      </c>
      <c r="K1135" s="989">
        <v>2.6632301720736645E-2</v>
      </c>
      <c r="L1135" s="994">
        <f t="shared" si="125"/>
        <v>1.0768014897640705</v>
      </c>
      <c r="M1135" s="994">
        <f t="shared" si="129"/>
        <v>1.2921617877168845</v>
      </c>
      <c r="N1135" s="753">
        <v>2</v>
      </c>
      <c r="O1135" s="994">
        <v>1.0972508308943498</v>
      </c>
      <c r="P1135" s="22">
        <f t="shared" si="126"/>
        <v>0.19491095682253468</v>
      </c>
      <c r="Q1135" s="982">
        <f t="shared" si="127"/>
        <v>17.76357340861307</v>
      </c>
      <c r="R1135" s="6"/>
      <c r="S1135" s="6"/>
      <c r="T1135" s="6"/>
      <c r="U1135" s="6"/>
      <c r="V1135" s="6"/>
      <c r="W1135" s="6"/>
      <c r="X1135" s="6"/>
      <c r="Y1135" s="6"/>
      <c r="Z1135" s="6"/>
    </row>
    <row r="1136" spans="1:26" s="93" customFormat="1" ht="18">
      <c r="A1136" s="333">
        <v>256</v>
      </c>
      <c r="B1136" s="335" t="s">
        <v>1092</v>
      </c>
      <c r="C1136" s="886">
        <f>cходова!R1136</f>
        <v>0.61739674377163023</v>
      </c>
      <c r="D1136" s="886">
        <f>прибуд.!O1136</f>
        <v>0</v>
      </c>
      <c r="E1136" s="886">
        <f>гар.вода!M1136+хол.вода!Q1136+ц.о.!M1136+каналізація!Q1136+аварійні!I1136+зварювальн!M1136</f>
        <v>0.23533326861695267</v>
      </c>
      <c r="F1136" s="886">
        <f>дератизац.!I1136</f>
        <v>1.8250038681726756E-3</v>
      </c>
      <c r="G1136" s="886">
        <f>димоканал!R1136</f>
        <v>2.2922771218352928E-2</v>
      </c>
      <c r="H1136" s="886">
        <f>'підготовка до зими'!M1136+майстерні!M1136+маляри!M1136+покрівлі!O1136</f>
        <v>0.23769904147862642</v>
      </c>
      <c r="I1136" s="886">
        <f>електрики!R1136</f>
        <v>2.5494480482219074E-2</v>
      </c>
      <c r="J1136" s="989">
        <f t="shared" si="128"/>
        <v>1.140671309435954</v>
      </c>
      <c r="K1136" s="989">
        <v>2.897596925198374E-2</v>
      </c>
      <c r="L1136" s="994">
        <f t="shared" si="125"/>
        <v>1.1696472786879377</v>
      </c>
      <c r="M1136" s="994">
        <f t="shared" si="129"/>
        <v>1.4035767344255252</v>
      </c>
      <c r="N1136" s="753">
        <v>3</v>
      </c>
      <c r="O1136" s="994">
        <v>1.19380993318173</v>
      </c>
      <c r="P1136" s="22">
        <f t="shared" si="126"/>
        <v>0.20976680124379521</v>
      </c>
      <c r="Q1136" s="982">
        <f t="shared" si="127"/>
        <v>17.57120588574152</v>
      </c>
      <c r="R1136" s="6"/>
      <c r="S1136" s="6"/>
      <c r="T1136" s="6"/>
      <c r="U1136" s="6"/>
      <c r="V1136" s="6"/>
      <c r="W1136" s="6"/>
      <c r="X1136" s="6"/>
      <c r="Y1136" s="6"/>
      <c r="Z1136" s="6"/>
    </row>
    <row r="1137" spans="1:26" s="93" customFormat="1" ht="18">
      <c r="A1137" s="333">
        <v>257</v>
      </c>
      <c r="B1137" s="394" t="s">
        <v>1093</v>
      </c>
      <c r="C1137" s="886">
        <f>cходова!R1137</f>
        <v>0</v>
      </c>
      <c r="D1137" s="886">
        <f>прибуд.!O1137</f>
        <v>0.43014090303890268</v>
      </c>
      <c r="E1137" s="886">
        <f>гар.вода!M1137+хол.вода!Q1137+ц.о.!M1137+каналізація!Q1137+аварійні!I1137+зварювальн!M1137</f>
        <v>0.20037884532529487</v>
      </c>
      <c r="F1137" s="886">
        <f>дератизац.!I1137</f>
        <v>2.4583185526782553E-3</v>
      </c>
      <c r="G1137" s="886">
        <f>димоканал!R1137</f>
        <v>2.413770469309395E-2</v>
      </c>
      <c r="H1137" s="886">
        <f>'підготовка до зими'!M1137+майстерні!M1137+маляри!M1137+покрівлі!O1137</f>
        <v>0.34500121828773345</v>
      </c>
      <c r="I1137" s="886">
        <f>електрики!R1137</f>
        <v>2.1138758892205324E-2</v>
      </c>
      <c r="J1137" s="989">
        <f t="shared" si="128"/>
        <v>1.0232557487899085</v>
      </c>
      <c r="K1137" s="989">
        <v>2.5927242099422449E-2</v>
      </c>
      <c r="L1137" s="994">
        <f t="shared" ref="L1137:L1145" si="130">J1137+K1137</f>
        <v>1.0491829908893311</v>
      </c>
      <c r="M1137" s="994">
        <f t="shared" si="129"/>
        <v>1.2590195890671974</v>
      </c>
      <c r="N1137" s="753">
        <v>2</v>
      </c>
      <c r="O1137" s="994">
        <v>1.068202374496205</v>
      </c>
      <c r="P1137" s="22">
        <f t="shared" ref="P1137:P1200" si="131">M1137-O1137</f>
        <v>0.19081721457099232</v>
      </c>
      <c r="Q1137" s="982">
        <f t="shared" ref="Q1137:Q1146" si="132">M1137/O1137*100-100</f>
        <v>17.863395469513648</v>
      </c>
      <c r="R1137" s="6"/>
      <c r="S1137" s="6"/>
      <c r="T1137" s="6"/>
      <c r="U1137" s="6"/>
      <c r="V1137" s="6"/>
      <c r="W1137" s="6"/>
      <c r="X1137" s="6"/>
      <c r="Y1137" s="6"/>
      <c r="Z1137" s="6"/>
    </row>
    <row r="1138" spans="1:26" s="93" customFormat="1" ht="18">
      <c r="A1138" s="333">
        <v>258</v>
      </c>
      <c r="B1138" s="335" t="s">
        <v>1094</v>
      </c>
      <c r="C1138" s="886">
        <f>cходова!R1138</f>
        <v>0</v>
      </c>
      <c r="D1138" s="886">
        <f>прибуд.!O1138</f>
        <v>0.39902244329378339</v>
      </c>
      <c r="E1138" s="886">
        <f>гар.вода!M1138+хол.вода!Q1138+ц.о.!M1138+каналізація!Q1138+аварійні!I1138+зварювальн!M1138</f>
        <v>0.26465772872168469</v>
      </c>
      <c r="F1138" s="886">
        <f>дератизац.!I1138</f>
        <v>3.3841363487381189E-3</v>
      </c>
      <c r="G1138" s="886">
        <f>димоканал!R1138</f>
        <v>5.4336273773105889E-2</v>
      </c>
      <c r="H1138" s="886">
        <f>'підготовка до зими'!M1138+майстерні!M1138+маляри!M1138+покрівлі!O1138</f>
        <v>0.31691978382431807</v>
      </c>
      <c r="I1138" s="886">
        <f>електрики!R1138</f>
        <v>3.2552256810404669E-2</v>
      </c>
      <c r="J1138" s="989">
        <f t="shared" si="128"/>
        <v>1.0708726227720349</v>
      </c>
      <c r="K1138" s="989">
        <v>2.7193385882245995E-2</v>
      </c>
      <c r="L1138" s="994">
        <f t="shared" si="130"/>
        <v>1.0980660086542808</v>
      </c>
      <c r="M1138" s="994">
        <f t="shared" si="129"/>
        <v>1.3176792103851369</v>
      </c>
      <c r="N1138" s="753">
        <v>2</v>
      </c>
      <c r="O1138" s="994">
        <v>1.120367498348535</v>
      </c>
      <c r="P1138" s="22">
        <f t="shared" si="131"/>
        <v>0.19731171203660192</v>
      </c>
      <c r="Q1138" s="982">
        <f t="shared" si="132"/>
        <v>17.611338451664025</v>
      </c>
      <c r="R1138" s="6"/>
      <c r="S1138" s="6"/>
      <c r="T1138" s="6"/>
      <c r="U1138" s="6"/>
      <c r="V1138" s="6"/>
      <c r="W1138" s="6"/>
      <c r="X1138" s="6"/>
      <c r="Y1138" s="6"/>
      <c r="Z1138" s="6"/>
    </row>
    <row r="1139" spans="1:26" s="93" customFormat="1" ht="18">
      <c r="A1139" s="333">
        <v>259</v>
      </c>
      <c r="B1139" s="394" t="s">
        <v>1095</v>
      </c>
      <c r="C1139" s="886">
        <f>cходова!R1139</f>
        <v>0</v>
      </c>
      <c r="D1139" s="886">
        <f>прибуд.!O1139</f>
        <v>0.49822087378589802</v>
      </c>
      <c r="E1139" s="886">
        <f>гар.вода!M1139+хол.вода!Q1139+ц.о.!M1139+каналізація!Q1139+аварійні!I1139+зварювальн!M1139</f>
        <v>0.21758622064127181</v>
      </c>
      <c r="F1139" s="886">
        <f>дератизац.!I1139</f>
        <v>3.1831100284206259E-3</v>
      </c>
      <c r="G1139" s="886">
        <f>димоканал!R1139</f>
        <v>3.2481926084308055E-2</v>
      </c>
      <c r="H1139" s="886">
        <f>'підготовка до зими'!M1139+майстерні!M1139+маляри!M1139+покрівлі!O1139</f>
        <v>0.328390157062249</v>
      </c>
      <c r="I1139" s="886">
        <f>електрики!R1139</f>
        <v>2.4194137765784329E-2</v>
      </c>
      <c r="J1139" s="989">
        <f t="shared" si="128"/>
        <v>1.1040564253679319</v>
      </c>
      <c r="K1139" s="989">
        <v>2.7944462256362695E-2</v>
      </c>
      <c r="L1139" s="994">
        <f t="shared" si="130"/>
        <v>1.1320008876242946</v>
      </c>
      <c r="M1139" s="994">
        <f t="shared" si="129"/>
        <v>1.3584010651491536</v>
      </c>
      <c r="N1139" s="753">
        <v>2</v>
      </c>
      <c r="O1139" s="994">
        <v>1.1513118449621429</v>
      </c>
      <c r="P1139" s="22">
        <f t="shared" si="131"/>
        <v>0.2070892201870107</v>
      </c>
      <c r="Q1139" s="982">
        <f t="shared" si="132"/>
        <v>17.987239607859678</v>
      </c>
      <c r="R1139" s="6"/>
      <c r="S1139" s="6"/>
      <c r="T1139" s="6"/>
      <c r="U1139" s="6"/>
      <c r="V1139" s="6"/>
      <c r="W1139" s="6"/>
      <c r="X1139" s="6"/>
      <c r="Y1139" s="6"/>
      <c r="Z1139" s="6"/>
    </row>
    <row r="1140" spans="1:26" s="93" customFormat="1" ht="18">
      <c r="A1140" s="333">
        <v>260</v>
      </c>
      <c r="B1140" s="335" t="s">
        <v>1096</v>
      </c>
      <c r="C1140" s="886">
        <f>cходова!R1140</f>
        <v>0.3019710321156116</v>
      </c>
      <c r="D1140" s="886">
        <f>прибуд.!O1140</f>
        <v>0.39071045006142735</v>
      </c>
      <c r="E1140" s="886">
        <f>гар.вода!M1140+хол.вода!Q1140+ц.о.!M1140+каналізація!Q1140+аварійні!I1140+зварювальн!M1140</f>
        <v>0.22946148252804441</v>
      </c>
      <c r="F1140" s="886">
        <f>дератизац.!I1140</f>
        <v>2.9043720067974668E-3</v>
      </c>
      <c r="G1140" s="886">
        <f>димоканал!R1140</f>
        <v>3.7179099482803235E-2</v>
      </c>
      <c r="H1140" s="886">
        <f>'підготовка до зими'!M1140+майстерні!M1140+маляри!M1140+покрівлі!O1140</f>
        <v>0.27416457763092084</v>
      </c>
      <c r="I1140" s="886">
        <f>електрики!R1140</f>
        <v>2.6302735016718589E-2</v>
      </c>
      <c r="J1140" s="989">
        <f t="shared" si="128"/>
        <v>1.2626937488423233</v>
      </c>
      <c r="K1140" s="989">
        <v>3.189317727991068E-2</v>
      </c>
      <c r="L1140" s="994">
        <f t="shared" si="130"/>
        <v>1.294586926122234</v>
      </c>
      <c r="M1140" s="994">
        <f t="shared" si="129"/>
        <v>1.5535043113466809</v>
      </c>
      <c r="N1140" s="753">
        <v>3</v>
      </c>
      <c r="O1140" s="994">
        <v>1.3139989039323201</v>
      </c>
      <c r="P1140" s="22">
        <f t="shared" si="131"/>
        <v>0.23950540741436077</v>
      </c>
      <c r="Q1140" s="982">
        <f t="shared" si="132"/>
        <v>18.227215159587146</v>
      </c>
      <c r="R1140" s="6"/>
      <c r="S1140" s="6"/>
      <c r="T1140" s="6"/>
      <c r="U1140" s="6"/>
      <c r="V1140" s="6"/>
      <c r="W1140" s="6"/>
      <c r="X1140" s="6"/>
      <c r="Y1140" s="6"/>
      <c r="Z1140" s="6"/>
    </row>
    <row r="1141" spans="1:26" s="892" customFormat="1" ht="18">
      <c r="A1141" s="333">
        <v>261</v>
      </c>
      <c r="B1141" s="394" t="s">
        <v>1097</v>
      </c>
      <c r="C1141" s="886">
        <f>cходова!R1141</f>
        <v>0</v>
      </c>
      <c r="D1141" s="886">
        <f>прибуд.!O1141</f>
        <v>0.39088243255372657</v>
      </c>
      <c r="E1141" s="886">
        <f>гар.вода!M1141+хол.вода!Q1141+ц.о.!M1141+каналізація!Q1141+аварійні!I1141+зварювальн!M1141</f>
        <v>0.20265215375583692</v>
      </c>
      <c r="F1141" s="886">
        <f>дератизац.!I1141</f>
        <v>8.978052126200276E-4</v>
      </c>
      <c r="G1141" s="886">
        <f>димоканал!R1141</f>
        <v>1.9232246192375752E-2</v>
      </c>
      <c r="H1141" s="886">
        <f>'підготовка до зими'!M1141+майстерні!M1141+маляри!M1141+покрівлі!O1141</f>
        <v>0.45179982654330497</v>
      </c>
      <c r="I1141" s="886">
        <f>електрики!R1141</f>
        <v>3.8487890066241981E-2</v>
      </c>
      <c r="J1141" s="989">
        <f t="shared" si="128"/>
        <v>1.1039523543241061</v>
      </c>
      <c r="K1141" s="989">
        <v>2.8791073885143303E-2</v>
      </c>
      <c r="L1141" s="994">
        <f t="shared" si="130"/>
        <v>1.1327434282092494</v>
      </c>
      <c r="M1141" s="994">
        <f t="shared" si="129"/>
        <v>1.3592921138510994</v>
      </c>
      <c r="N1141" s="753">
        <v>2</v>
      </c>
      <c r="O1141" s="994">
        <v>1.186192244067904</v>
      </c>
      <c r="P1141" s="22">
        <f t="shared" si="131"/>
        <v>0.17309986978319536</v>
      </c>
      <c r="Q1141" s="982">
        <f t="shared" si="132"/>
        <v>14.592901837696232</v>
      </c>
    </row>
    <row r="1142" spans="1:26" s="93" customFormat="1" ht="18">
      <c r="A1142" s="333">
        <v>262</v>
      </c>
      <c r="B1142" s="335" t="s">
        <v>1098</v>
      </c>
      <c r="C1142" s="886">
        <f>cходова!R1142</f>
        <v>0.404561968853205</v>
      </c>
      <c r="D1142" s="886">
        <f>прибуд.!O1142</f>
        <v>0.45891463929100834</v>
      </c>
      <c r="E1142" s="886">
        <f>гар.вода!M1142+хол.вода!Q1142+ц.о.!M1142+каналізація!Q1142+аварійні!I1142+зварювальн!M1142</f>
        <v>0.21363477246754667</v>
      </c>
      <c r="F1142" s="886">
        <f>дератизац.!I1142</f>
        <v>3.5268237297757595E-3</v>
      </c>
      <c r="G1142" s="886">
        <f>димоканал!R1142</f>
        <v>4.0123844304599338E-2</v>
      </c>
      <c r="H1142" s="886">
        <f>'підготовка до зими'!M1142+майстерні!M1142+маляри!M1142+покрівлі!O1142</f>
        <v>0.28119313333647439</v>
      </c>
      <c r="I1142" s="886">
        <f>електрики!R1142</f>
        <v>2.3492510059737123E-2</v>
      </c>
      <c r="J1142" s="989">
        <f t="shared" si="128"/>
        <v>1.4254476920423467</v>
      </c>
      <c r="K1142" s="989">
        <v>3.5925638099870545E-2</v>
      </c>
      <c r="L1142" s="994">
        <f t="shared" si="130"/>
        <v>1.4613733301422172</v>
      </c>
      <c r="M1142" s="994">
        <f t="shared" si="129"/>
        <v>1.7536479961706606</v>
      </c>
      <c r="N1142" s="753">
        <v>3</v>
      </c>
      <c r="O1142" s="994">
        <v>1.4801362897146666</v>
      </c>
      <c r="P1142" s="22">
        <f t="shared" si="131"/>
        <v>0.27351170645599399</v>
      </c>
      <c r="Q1142" s="982">
        <f t="shared" si="132"/>
        <v>18.478819035557876</v>
      </c>
      <c r="R1142" s="6"/>
      <c r="S1142" s="6"/>
      <c r="T1142" s="6"/>
      <c r="U1142" s="6"/>
      <c r="V1142" s="6"/>
      <c r="W1142" s="6"/>
      <c r="X1142" s="6"/>
      <c r="Y1142" s="6"/>
      <c r="Z1142" s="6"/>
    </row>
    <row r="1143" spans="1:26" s="93" customFormat="1" ht="18">
      <c r="A1143" s="333">
        <v>263</v>
      </c>
      <c r="B1143" s="394" t="s">
        <v>1099</v>
      </c>
      <c r="C1143" s="886">
        <f>cходова!R1143</f>
        <v>0</v>
      </c>
      <c r="D1143" s="886">
        <f>прибуд.!O1143</f>
        <v>0.31846807765375357</v>
      </c>
      <c r="E1143" s="886">
        <f>гар.вода!M1143+хол.вода!Q1143+ц.о.!M1143+каналізація!Q1143+аварійні!I1143+зварювальн!M1143</f>
        <v>0.22823271840749484</v>
      </c>
      <c r="F1143" s="886">
        <f>дератизац.!I1143</f>
        <v>2.137229152987525E-3</v>
      </c>
      <c r="G1143" s="886">
        <f>димоканал!R1143</f>
        <v>1.7789754700273202E-2</v>
      </c>
      <c r="H1143" s="886">
        <f>'підготовка до зими'!M1143+майстерні!M1143+маляри!M1143+покрівлі!O1143</f>
        <v>0.42386827960410894</v>
      </c>
      <c r="I1143" s="886">
        <f>електрики!R1143</f>
        <v>2.6084552995021579E-2</v>
      </c>
      <c r="J1143" s="989">
        <f t="shared" si="128"/>
        <v>1.0165806125136396</v>
      </c>
      <c r="K1143" s="989">
        <v>2.5816742122336537E-2</v>
      </c>
      <c r="L1143" s="994">
        <f t="shared" si="130"/>
        <v>1.0423973546359762</v>
      </c>
      <c r="M1143" s="994">
        <f t="shared" si="129"/>
        <v>1.2508768255631713</v>
      </c>
      <c r="N1143" s="753">
        <v>1</v>
      </c>
      <c r="O1143" s="994">
        <v>1.0636497754402654</v>
      </c>
      <c r="P1143" s="22">
        <f t="shared" si="131"/>
        <v>0.18722705012290586</v>
      </c>
      <c r="Q1143" s="982">
        <f t="shared" si="132"/>
        <v>17.602321219445471</v>
      </c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s="93" customFormat="1" ht="18">
      <c r="A1144" s="333">
        <v>264</v>
      </c>
      <c r="B1144" s="335" t="s">
        <v>1100</v>
      </c>
      <c r="C1144" s="886">
        <f>cходова!R1144</f>
        <v>0</v>
      </c>
      <c r="D1144" s="886">
        <f>прибуд.!O1144</f>
        <v>0.27842002347057276</v>
      </c>
      <c r="E1144" s="886">
        <f>гар.вода!M1144+хол.вода!Q1144+ц.о.!M1144+каналізація!Q1144+аварійні!I1144+зварювальн!M1144</f>
        <v>0.28061734870924249</v>
      </c>
      <c r="F1144" s="886">
        <f>дератизац.!I1144</f>
        <v>2.2723673792557401E-3</v>
      </c>
      <c r="G1144" s="886">
        <f>димоканал!R1144</f>
        <v>1.5858282404978989E-2</v>
      </c>
      <c r="H1144" s="886">
        <f>'підготовка до зими'!M1144+майстерні!M1144+маляри!M1144+покрівлі!O1144</f>
        <v>0.30837853530277914</v>
      </c>
      <c r="I1144" s="886">
        <f>електрики!R1144</f>
        <v>3.5386081542236818E-2</v>
      </c>
      <c r="J1144" s="989">
        <f t="shared" si="128"/>
        <v>0.92093263880906595</v>
      </c>
      <c r="K1144" s="989">
        <v>2.3417793779730394E-2</v>
      </c>
      <c r="L1144" s="994">
        <f t="shared" si="130"/>
        <v>0.94435043258879636</v>
      </c>
      <c r="M1144" s="994">
        <f t="shared" si="129"/>
        <v>1.1332205191065556</v>
      </c>
      <c r="N1144" s="753">
        <v>2</v>
      </c>
      <c r="O1144" s="994">
        <v>0.96481310372489226</v>
      </c>
      <c r="P1144" s="22">
        <f t="shared" si="131"/>
        <v>0.16840741538166337</v>
      </c>
      <c r="Q1144" s="982">
        <f t="shared" si="132"/>
        <v>17.454926216433648</v>
      </c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s="892" customFormat="1" ht="18">
      <c r="A1145" s="333">
        <v>265</v>
      </c>
      <c r="B1145" s="393" t="s">
        <v>1101</v>
      </c>
      <c r="C1145" s="886">
        <f>cходова!R1145</f>
        <v>0</v>
      </c>
      <c r="D1145" s="886">
        <f>прибуд.!O1145</f>
        <v>0</v>
      </c>
      <c r="E1145" s="886">
        <f>гар.вода!M1145+хол.вода!Q1145+ц.о.!M1145+каналізація!Q1145+аварійні!I1145+зварювальн!M1145</f>
        <v>0.15917669849053795</v>
      </c>
      <c r="F1145" s="886">
        <f>дератизац.!I1145</f>
        <v>3.7021572720946421E-3</v>
      </c>
      <c r="G1145" s="886">
        <f>димоканал!R1145</f>
        <v>1.3127114935208101E-2</v>
      </c>
      <c r="H1145" s="886">
        <f>'підготовка до зими'!M1145+майстерні!M1145+маляри!M1145+покрівлі!O1145</f>
        <v>0.32496626349294511</v>
      </c>
      <c r="I1145" s="886">
        <f>електрики!R1145</f>
        <v>1.3886978787385972E-2</v>
      </c>
      <c r="J1145" s="989">
        <f t="shared" si="128"/>
        <v>0.51485921297817183</v>
      </c>
      <c r="K1145" s="989">
        <v>1.3328799358284911E-2</v>
      </c>
      <c r="L1145" s="994">
        <f t="shared" si="130"/>
        <v>0.52818801233645674</v>
      </c>
      <c r="M1145" s="994">
        <f t="shared" si="129"/>
        <v>0.63382561480374811</v>
      </c>
      <c r="N1145" s="753">
        <v>1</v>
      </c>
      <c r="O1145" s="994">
        <v>0.54914653356133836</v>
      </c>
      <c r="P1145" s="22">
        <f t="shared" si="131"/>
        <v>8.4679081242409748E-2</v>
      </c>
      <c r="Q1145" s="982">
        <f t="shared" si="132"/>
        <v>15.420124878736274</v>
      </c>
      <c r="R1145" s="6"/>
      <c r="S1145" s="6"/>
      <c r="T1145" s="6"/>
      <c r="U1145" s="6"/>
      <c r="V1145" s="6"/>
      <c r="W1145" s="6"/>
      <c r="X1145" s="6"/>
      <c r="Y1145" s="6"/>
      <c r="Z1145" s="6"/>
    </row>
    <row r="1146" spans="1:26" s="93" customFormat="1" ht="16.5" thickBot="1">
      <c r="A1146" s="252"/>
      <c r="B1146" s="903" t="s">
        <v>1409</v>
      </c>
      <c r="C1146" s="773">
        <f>SUM(C881:C1145)/265</f>
        <v>0.12728850994608898</v>
      </c>
      <c r="D1146" s="773">
        <f t="shared" ref="D1146:M1146" si="133">SUM(D881:D1145)/265</f>
        <v>0.27127958292489612</v>
      </c>
      <c r="E1146" s="773">
        <f t="shared" si="133"/>
        <v>0.24949020225841895</v>
      </c>
      <c r="F1146" s="773">
        <f t="shared" si="133"/>
        <v>3.0731372395051935E-3</v>
      </c>
      <c r="G1146" s="773">
        <f t="shared" si="133"/>
        <v>4.0221722479167228E-2</v>
      </c>
      <c r="H1146" s="773">
        <f t="shared" si="133"/>
        <v>0.28675257271809224</v>
      </c>
      <c r="I1146" s="773">
        <f t="shared" si="133"/>
        <v>2.5881224760601979E-2</v>
      </c>
      <c r="J1146" s="998">
        <f t="shared" si="133"/>
        <v>1.0039869523267704</v>
      </c>
      <c r="K1146" s="998">
        <f t="shared" si="133"/>
        <v>2.5606543820091848E-2</v>
      </c>
      <c r="L1146" s="998">
        <f t="shared" si="133"/>
        <v>1.0295934961468629</v>
      </c>
      <c r="M1146" s="998">
        <f t="shared" si="133"/>
        <v>1.2355121953762347</v>
      </c>
      <c r="N1146" s="753"/>
      <c r="O1146" s="998">
        <f>AVERAGE(O881:O1145)</f>
        <v>1.0549896053877841</v>
      </c>
      <c r="P1146" s="22">
        <f>AVERAGE(P881:P1145)</f>
        <v>0.18052258998845142</v>
      </c>
      <c r="Q1146" s="982">
        <f t="shared" si="132"/>
        <v>17.111314563340713</v>
      </c>
      <c r="R1146" s="6"/>
      <c r="S1146" s="6"/>
      <c r="T1146" s="6"/>
      <c r="U1146" s="6"/>
      <c r="V1146" s="6"/>
      <c r="W1146" s="6"/>
      <c r="X1146" s="6"/>
      <c r="Y1146" s="6"/>
      <c r="Z1146" s="6"/>
    </row>
    <row r="1147" spans="1:26" s="270" customFormat="1" ht="21" thickBot="1">
      <c r="A1147" s="1029" t="s">
        <v>1392</v>
      </c>
      <c r="B1147" s="1030"/>
      <c r="C1147" s="1030"/>
      <c r="D1147" s="1030"/>
      <c r="E1147" s="1030"/>
      <c r="F1147" s="1030"/>
      <c r="G1147" s="1030"/>
      <c r="H1147" s="1030"/>
      <c r="I1147" s="1030"/>
      <c r="J1147" s="1030"/>
      <c r="K1147" s="1030"/>
      <c r="L1147" s="1030"/>
      <c r="M1147" s="1031"/>
      <c r="N1147" s="753"/>
      <c r="O1147" s="991"/>
      <c r="P1147" s="22"/>
      <c r="Q1147" s="982"/>
      <c r="R1147" s="911"/>
      <c r="S1147" s="911"/>
      <c r="T1147" s="911"/>
      <c r="U1147" s="911"/>
      <c r="V1147" s="911"/>
      <c r="W1147" s="911"/>
      <c r="X1147" s="911"/>
      <c r="Y1147" s="911"/>
      <c r="Z1147" s="911"/>
    </row>
    <row r="1148" spans="1:26" s="93" customFormat="1" ht="15.75">
      <c r="A1148" s="894">
        <v>1</v>
      </c>
      <c r="B1148" s="234" t="s">
        <v>480</v>
      </c>
      <c r="C1148" s="886">
        <f>cходова!R1148</f>
        <v>0</v>
      </c>
      <c r="D1148" s="886">
        <f>прибуд.!O1148</f>
        <v>0.33745852343633043</v>
      </c>
      <c r="E1148" s="886">
        <f>гар.вода!M1148+хол.вода!Q1148+ц.о.!M1148+каналізація!Q1148+аварійні!I1148+зварювальн!M1148</f>
        <v>0.22171849569322244</v>
      </c>
      <c r="F1148" s="886">
        <f>дератизац.!I1148</f>
        <v>0</v>
      </c>
      <c r="G1148" s="886">
        <f>димоканал!R1148</f>
        <v>0.20957685808421475</v>
      </c>
      <c r="H1148" s="886">
        <f>'підготовка до зими'!M1148+майстерні!M1148+маляри!M1148+покрівлі!O1148</f>
        <v>0.25463325968468037</v>
      </c>
      <c r="I1148" s="886">
        <f>електрики!R1148</f>
        <v>2.6008365034693885E-2</v>
      </c>
      <c r="J1148" s="994">
        <f t="shared" ref="J1148:J1177" si="134">I1148+H1148+G1148+F1148+E1148+D1148+C1148</f>
        <v>1.0493955019331418</v>
      </c>
      <c r="K1148" s="994">
        <v>2.6157339556296136E-2</v>
      </c>
      <c r="L1148" s="994">
        <f>J1148+K1148</f>
        <v>1.075552841489438</v>
      </c>
      <c r="M1148" s="994">
        <f t="shared" ref="M1148:M1177" si="135">L1148*1.2</f>
        <v>1.2906634097873255</v>
      </c>
      <c r="N1148" s="753">
        <v>2</v>
      </c>
      <c r="O1148" s="1003">
        <v>1.0776823897194008</v>
      </c>
      <c r="P1148" s="22">
        <f t="shared" ref="P1148:P1179" si="136">M1148-O1148</f>
        <v>0.21298102006792474</v>
      </c>
      <c r="Q1148" s="982">
        <f t="shared" ref="Q1148:Q1179" si="137">M1148/O1148*100-100</f>
        <v>19.762874674362934</v>
      </c>
      <c r="R1148" s="6"/>
      <c r="S1148" s="6"/>
      <c r="T1148" s="6"/>
      <c r="U1148" s="6"/>
      <c r="V1148" s="6"/>
      <c r="W1148" s="6"/>
      <c r="X1148" s="6"/>
      <c r="Y1148" s="6"/>
      <c r="Z1148" s="6"/>
    </row>
    <row r="1149" spans="1:26" s="93" customFormat="1" ht="15.75">
      <c r="A1149" s="236">
        <v>2</v>
      </c>
      <c r="B1149" s="233" t="s">
        <v>481</v>
      </c>
      <c r="C1149" s="886">
        <f>cходова!R1149</f>
        <v>0</v>
      </c>
      <c r="D1149" s="886">
        <f>прибуд.!O1149</f>
        <v>0.27890291393775929</v>
      </c>
      <c r="E1149" s="886">
        <f>гар.вода!M1149+хол.вода!Q1149+ц.о.!M1149+каналізація!Q1149+аварійні!I1149+зварювальн!M1149</f>
        <v>0.17705181895410374</v>
      </c>
      <c r="F1149" s="886">
        <f>дератизац.!I1149</f>
        <v>0</v>
      </c>
      <c r="G1149" s="886">
        <f>димоканал!R1149</f>
        <v>0.21282404206847258</v>
      </c>
      <c r="H1149" s="886">
        <f>'підготовка до зими'!M1149+майстерні!M1149+маляри!M1149+покрівлі!O1149</f>
        <v>0.32518960777978667</v>
      </c>
      <c r="I1149" s="886">
        <f>електрики!R1149</f>
        <v>1.7196326757001675E-2</v>
      </c>
      <c r="J1149" s="989">
        <f t="shared" si="134"/>
        <v>1.0111647094971239</v>
      </c>
      <c r="K1149" s="989">
        <v>2.5449604728167201E-2</v>
      </c>
      <c r="L1149" s="994">
        <f t="shared" ref="L1149:L1201" si="138">J1149+K1149</f>
        <v>1.036614314225291</v>
      </c>
      <c r="M1149" s="994">
        <f t="shared" si="135"/>
        <v>1.2439371770703491</v>
      </c>
      <c r="N1149" s="753">
        <v>1</v>
      </c>
      <c r="O1149" s="1003">
        <v>1.0485237148004889</v>
      </c>
      <c r="P1149" s="22">
        <f t="shared" si="136"/>
        <v>0.19541346226986023</v>
      </c>
      <c r="Q1149" s="982">
        <f t="shared" si="137"/>
        <v>18.637009302840909</v>
      </c>
      <c r="R1149" s="6"/>
      <c r="S1149" s="6"/>
      <c r="T1149" s="6"/>
      <c r="U1149" s="6"/>
      <c r="V1149" s="6"/>
      <c r="W1149" s="6"/>
      <c r="X1149" s="6"/>
      <c r="Y1149" s="6"/>
      <c r="Z1149" s="6"/>
    </row>
    <row r="1150" spans="1:26" s="93" customFormat="1" ht="15.75">
      <c r="A1150" s="236">
        <v>3</v>
      </c>
      <c r="B1150" s="233" t="s">
        <v>482</v>
      </c>
      <c r="C1150" s="886">
        <f>cходова!R1150</f>
        <v>0</v>
      </c>
      <c r="D1150" s="886">
        <f>прибуд.!O1150</f>
        <v>0.20963187548880069</v>
      </c>
      <c r="E1150" s="886">
        <f>гар.вода!M1150+хол.вода!Q1150+ц.о.!M1150+каналізація!Q1150+аварійні!I1150+зварювальн!M1150</f>
        <v>0.220918608704818</v>
      </c>
      <c r="F1150" s="886">
        <f>дератизац.!I1150</f>
        <v>0</v>
      </c>
      <c r="G1150" s="886">
        <f>димоканал!R1150</f>
        <v>0.22772899615723452</v>
      </c>
      <c r="H1150" s="886">
        <f>'підготовка до зими'!M1150+майстерні!M1150+маляри!M1150+покрівлі!O1150</f>
        <v>0.22952245440374919</v>
      </c>
      <c r="I1150" s="886">
        <f>електрики!R1150</f>
        <v>3.3695600056971753E-2</v>
      </c>
      <c r="J1150" s="989">
        <f t="shared" si="134"/>
        <v>0.92149753481157415</v>
      </c>
      <c r="K1150" s="989">
        <v>2.3774204357411993E-2</v>
      </c>
      <c r="L1150" s="994">
        <f t="shared" si="138"/>
        <v>0.9452717391689861</v>
      </c>
      <c r="M1150" s="994">
        <f t="shared" si="135"/>
        <v>1.1343260870027834</v>
      </c>
      <c r="N1150" s="753">
        <v>2</v>
      </c>
      <c r="O1150" s="1003">
        <v>0.97949721952537416</v>
      </c>
      <c r="P1150" s="22">
        <f t="shared" si="136"/>
        <v>0.1548288674774092</v>
      </c>
      <c r="Q1150" s="982">
        <f t="shared" si="137"/>
        <v>15.806973658632046</v>
      </c>
      <c r="R1150" s="6"/>
      <c r="S1150" s="6"/>
      <c r="T1150" s="6"/>
      <c r="U1150" s="6"/>
      <c r="V1150" s="6"/>
      <c r="W1150" s="6"/>
      <c r="X1150" s="6"/>
      <c r="Y1150" s="6"/>
      <c r="Z1150" s="6"/>
    </row>
    <row r="1151" spans="1:26" s="93" customFormat="1" ht="15.75">
      <c r="A1151" s="236">
        <v>4</v>
      </c>
      <c r="B1151" s="233" t="s">
        <v>483</v>
      </c>
      <c r="C1151" s="886">
        <f>cходова!R1151</f>
        <v>0</v>
      </c>
      <c r="D1151" s="886">
        <f>прибуд.!O1151</f>
        <v>0.21115853915436242</v>
      </c>
      <c r="E1151" s="886">
        <f>гар.вода!M1151+хол.вода!Q1151+ц.о.!M1151+каналізація!Q1151+аварійні!I1151+зварювальн!M1151</f>
        <v>0.22187286112236723</v>
      </c>
      <c r="F1151" s="886">
        <f>дератизац.!I1151</f>
        <v>0</v>
      </c>
      <c r="G1151" s="886">
        <f>димоканал!R1151</f>
        <v>0.24572699760758629</v>
      </c>
      <c r="H1151" s="886">
        <f>'підготовка до зими'!M1151+майстерні!M1151+маляри!M1151+покрівлі!O1151</f>
        <v>0.22082058875726068</v>
      </c>
      <c r="I1151" s="886">
        <f>електрики!R1151</f>
        <v>3.3940991403952417E-2</v>
      </c>
      <c r="J1151" s="989">
        <f t="shared" si="134"/>
        <v>0.93351997804552911</v>
      </c>
      <c r="K1151" s="989">
        <v>2.4106281053364084E-2</v>
      </c>
      <c r="L1151" s="994">
        <f t="shared" si="138"/>
        <v>0.95762625909889321</v>
      </c>
      <c r="M1151" s="994">
        <f t="shared" si="135"/>
        <v>1.1491515109186718</v>
      </c>
      <c r="N1151" s="753">
        <v>2</v>
      </c>
      <c r="O1151" s="1003">
        <v>0.99317877939860022</v>
      </c>
      <c r="P1151" s="22">
        <f t="shared" si="136"/>
        <v>0.15597273152007163</v>
      </c>
      <c r="Q1151" s="982">
        <f t="shared" si="137"/>
        <v>15.704396303605876</v>
      </c>
      <c r="R1151" s="6"/>
      <c r="S1151" s="6"/>
      <c r="T1151" s="6"/>
      <c r="U1151" s="6"/>
      <c r="V1151" s="6"/>
      <c r="W1151" s="6"/>
      <c r="X1151" s="6"/>
      <c r="Y1151" s="6"/>
      <c r="Z1151" s="6"/>
    </row>
    <row r="1152" spans="1:26" s="93" customFormat="1" ht="15.75">
      <c r="A1152" s="236">
        <v>5</v>
      </c>
      <c r="B1152" s="233" t="s">
        <v>484</v>
      </c>
      <c r="C1152" s="886">
        <f>cходова!R1152</f>
        <v>0</v>
      </c>
      <c r="D1152" s="886">
        <f>прибуд.!O1152</f>
        <v>0.21209742537263337</v>
      </c>
      <c r="E1152" s="886">
        <f>гар.вода!M1152+хол.вода!Q1152+ц.о.!M1152+каналізація!Q1152+аварійні!I1152+зварювальн!M1152</f>
        <v>0.22245971889844396</v>
      </c>
      <c r="F1152" s="886">
        <f>дератизац.!I1152</f>
        <v>0</v>
      </c>
      <c r="G1152" s="886">
        <f>димоканал!R1152</f>
        <v>0.20838298555964546</v>
      </c>
      <c r="H1152" s="886">
        <f>'підготовка до зими'!M1152+майстерні!M1152+маляри!M1152+покрівлі!O1152</f>
        <v>0.22378914199880645</v>
      </c>
      <c r="I1152" s="886">
        <f>електрики!R1152</f>
        <v>3.4091905163780654E-2</v>
      </c>
      <c r="J1152" s="989">
        <f t="shared" si="134"/>
        <v>0.90082117699330988</v>
      </c>
      <c r="K1152" s="989">
        <v>2.3227915176519828E-2</v>
      </c>
      <c r="L1152" s="994">
        <f t="shared" si="138"/>
        <v>0.92404909216982967</v>
      </c>
      <c r="M1152" s="994">
        <f t="shared" si="135"/>
        <v>1.1088589106037956</v>
      </c>
      <c r="N1152" s="753">
        <v>2</v>
      </c>
      <c r="O1152" s="1003">
        <v>0.95699010527261708</v>
      </c>
      <c r="P1152" s="22">
        <f t="shared" si="136"/>
        <v>0.15186880533117852</v>
      </c>
      <c r="Q1152" s="982">
        <f t="shared" si="137"/>
        <v>15.869422734304635</v>
      </c>
      <c r="R1152" s="6"/>
      <c r="S1152" s="6"/>
      <c r="T1152" s="6"/>
      <c r="U1152" s="6"/>
      <c r="V1152" s="6"/>
      <c r="W1152" s="6"/>
      <c r="X1152" s="6"/>
      <c r="Y1152" s="6"/>
      <c r="Z1152" s="6"/>
    </row>
    <row r="1153" spans="1:26" s="93" customFormat="1" ht="15.75">
      <c r="A1153" s="236">
        <v>6</v>
      </c>
      <c r="B1153" s="233" t="s">
        <v>485</v>
      </c>
      <c r="C1153" s="886">
        <f>cходова!R1153</f>
        <v>0</v>
      </c>
      <c r="D1153" s="886">
        <f>прибуд.!O1153</f>
        <v>0.17179906239956316</v>
      </c>
      <c r="E1153" s="886">
        <f>гар.вода!M1153+хол.вода!Q1153+ц.о.!M1153+каналізація!Q1153+аварійні!I1153+зварювальн!M1153</f>
        <v>0.19727092901774734</v>
      </c>
      <c r="F1153" s="886">
        <f>дератизац.!I1153</f>
        <v>0</v>
      </c>
      <c r="G1153" s="886">
        <f>димоканал!R1153</f>
        <v>0.18208425316293456</v>
      </c>
      <c r="H1153" s="886">
        <f>'підготовка до зими'!M1153+майстерні!M1153+маляри!M1153+покрівлі!O1153</f>
        <v>0.23337500166411321</v>
      </c>
      <c r="I1153" s="886">
        <f>електрики!R1153</f>
        <v>2.7614466947263838E-2</v>
      </c>
      <c r="J1153" s="989">
        <f t="shared" si="134"/>
        <v>0.81214371319162204</v>
      </c>
      <c r="K1153" s="989">
        <v>2.0963085051406784E-2</v>
      </c>
      <c r="L1153" s="994">
        <f t="shared" si="138"/>
        <v>0.8331067982430288</v>
      </c>
      <c r="M1153" s="994">
        <f t="shared" si="135"/>
        <v>0.99972815789163449</v>
      </c>
      <c r="N1153" s="753">
        <v>2</v>
      </c>
      <c r="O1153" s="1003">
        <v>0.86367910411795956</v>
      </c>
      <c r="P1153" s="22">
        <f t="shared" si="136"/>
        <v>0.13604905377367493</v>
      </c>
      <c r="Q1153" s="982">
        <f t="shared" si="137"/>
        <v>15.75226876799529</v>
      </c>
      <c r="R1153" s="6"/>
      <c r="S1153" s="6"/>
      <c r="T1153" s="6"/>
      <c r="U1153" s="6"/>
      <c r="V1153" s="6"/>
      <c r="W1153" s="6"/>
      <c r="X1153" s="6"/>
      <c r="Y1153" s="6"/>
      <c r="Z1153" s="6"/>
    </row>
    <row r="1154" spans="1:26" s="93" customFormat="1" ht="15.75">
      <c r="A1154" s="236">
        <v>7</v>
      </c>
      <c r="B1154" s="233" t="s">
        <v>486</v>
      </c>
      <c r="C1154" s="886">
        <f>cходова!R1154</f>
        <v>0</v>
      </c>
      <c r="D1154" s="886">
        <f>прибуд.!O1154</f>
        <v>0.15259783846153849</v>
      </c>
      <c r="E1154" s="886">
        <f>гар.вода!M1154+хол.вода!Q1154+ц.о.!M1154+каналізація!Q1154+аварійні!I1154+зварювальн!M1154</f>
        <v>0.10492027247754332</v>
      </c>
      <c r="F1154" s="886">
        <f>дератизац.!I1154</f>
        <v>0</v>
      </c>
      <c r="G1154" s="886">
        <f>димоканал!R1154</f>
        <v>0.19363702846315742</v>
      </c>
      <c r="H1154" s="886">
        <f>'підготовка до зими'!M1154+майстерні!M1154+маляри!M1154+покрівлі!O1154</f>
        <v>0.47108092140467517</v>
      </c>
      <c r="I1154" s="886">
        <f>електрики!R1154</f>
        <v>2.874367101690507E-2</v>
      </c>
      <c r="J1154" s="989">
        <f t="shared" si="134"/>
        <v>0.95097973182381945</v>
      </c>
      <c r="K1154" s="989">
        <v>2.5229795096798398E-2</v>
      </c>
      <c r="L1154" s="994">
        <f t="shared" si="138"/>
        <v>0.9762095269206178</v>
      </c>
      <c r="M1154" s="994">
        <f t="shared" si="135"/>
        <v>1.1714514323047414</v>
      </c>
      <c r="N1154" s="753">
        <v>1</v>
      </c>
      <c r="O1154" s="1003">
        <v>1.0394675579880941</v>
      </c>
      <c r="P1154" s="22">
        <f t="shared" si="136"/>
        <v>0.13198387431664726</v>
      </c>
      <c r="Q1154" s="982">
        <f t="shared" si="137"/>
        <v>12.697257677969674</v>
      </c>
      <c r="R1154" s="6"/>
      <c r="S1154" s="6"/>
      <c r="T1154" s="6"/>
      <c r="U1154" s="6"/>
      <c r="V1154" s="6"/>
      <c r="W1154" s="6"/>
      <c r="X1154" s="6"/>
      <c r="Y1154" s="6"/>
      <c r="Z1154" s="6"/>
    </row>
    <row r="1155" spans="1:26" s="93" customFormat="1" ht="15.75">
      <c r="A1155" s="236">
        <v>8</v>
      </c>
      <c r="B1155" s="233" t="s">
        <v>487</v>
      </c>
      <c r="C1155" s="886">
        <f>cходова!R1155</f>
        <v>0</v>
      </c>
      <c r="D1155" s="886">
        <f>прибуд.!O1155</f>
        <v>0.28813846009299998</v>
      </c>
      <c r="E1155" s="886">
        <f>гар.вода!M1155+хол.вода!Q1155+ц.о.!M1155+каналізація!Q1155+аварійні!I1155+зварювальн!M1155</f>
        <v>9.8389977516614879E-2</v>
      </c>
      <c r="F1155" s="886">
        <f>дератизац.!I1155</f>
        <v>0</v>
      </c>
      <c r="G1155" s="886">
        <f>димоканал!R1155</f>
        <v>0.19114121891874339</v>
      </c>
      <c r="H1155" s="886">
        <f>'підготовка до зими'!M1155+майстерні!M1155+маляри!M1155+покрівлі!O1155</f>
        <v>0.64039604785065862</v>
      </c>
      <c r="I1155" s="886">
        <v>0</v>
      </c>
      <c r="J1155" s="989">
        <f t="shared" si="134"/>
        <v>1.2180657043790168</v>
      </c>
      <c r="K1155" s="989">
        <v>3.2019060278398521E-2</v>
      </c>
      <c r="L1155" s="994">
        <f t="shared" si="138"/>
        <v>1.2500847646574154</v>
      </c>
      <c r="M1155" s="994">
        <f t="shared" si="135"/>
        <v>1.5001017175888984</v>
      </c>
      <c r="N1155" s="753">
        <v>1</v>
      </c>
      <c r="O1155" s="1003">
        <v>1.3191852834700191</v>
      </c>
      <c r="P1155" s="22">
        <f t="shared" si="136"/>
        <v>0.18091643411887937</v>
      </c>
      <c r="Q1155" s="982">
        <f t="shared" si="137"/>
        <v>13.714255031938507</v>
      </c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s="93" customFormat="1" ht="15.75">
      <c r="A1156" s="236">
        <v>9</v>
      </c>
      <c r="B1156" s="233" t="s">
        <v>488</v>
      </c>
      <c r="C1156" s="886">
        <f>cходова!R1156</f>
        <v>0</v>
      </c>
      <c r="D1156" s="886">
        <f>прибуд.!O1156</f>
        <v>7.9323569706258409E-2</v>
      </c>
      <c r="E1156" s="886">
        <f>гар.вода!M1156+хол.вода!Q1156+ц.о.!M1156+каналізація!Q1156+аварійні!I1156+зварювальн!M1156</f>
        <v>0.23125142342191057</v>
      </c>
      <c r="F1156" s="886">
        <f>дератизац.!I1156</f>
        <v>0</v>
      </c>
      <c r="G1156" s="886">
        <f>димоканал!R1156</f>
        <v>0.25742955779376819</v>
      </c>
      <c r="H1156" s="886">
        <f>'підготовка до зими'!M1156+майстерні!M1156+маляри!M1156+покрівлі!O1156</f>
        <v>0.23209702946531857</v>
      </c>
      <c r="I1156" s="886">
        <f>електрики!R1156</f>
        <v>3.6352741160204136E-2</v>
      </c>
      <c r="J1156" s="989">
        <f t="shared" si="134"/>
        <v>0.8364543215474598</v>
      </c>
      <c r="K1156" s="989">
        <v>2.1735414418941928E-2</v>
      </c>
      <c r="L1156" s="994">
        <f t="shared" si="138"/>
        <v>0.85818973596640169</v>
      </c>
      <c r="M1156" s="994">
        <f t="shared" si="135"/>
        <v>1.029827683159682</v>
      </c>
      <c r="N1156" s="753">
        <v>2</v>
      </c>
      <c r="O1156" s="1003">
        <v>0.89549907406040752</v>
      </c>
      <c r="P1156" s="22">
        <f t="shared" si="136"/>
        <v>0.13432860909927447</v>
      </c>
      <c r="Q1156" s="982">
        <f t="shared" si="137"/>
        <v>15.000418536469979</v>
      </c>
      <c r="R1156" s="6"/>
      <c r="S1156" s="6"/>
      <c r="T1156" s="6"/>
      <c r="U1156" s="6"/>
      <c r="V1156" s="6"/>
      <c r="W1156" s="6"/>
      <c r="X1156" s="6"/>
      <c r="Y1156" s="6"/>
      <c r="Z1156" s="6"/>
    </row>
    <row r="1157" spans="1:26" s="93" customFormat="1" ht="15.75">
      <c r="A1157" s="236">
        <v>10</v>
      </c>
      <c r="B1157" s="233" t="s">
        <v>489</v>
      </c>
      <c r="C1157" s="886">
        <f>cходова!R1157</f>
        <v>0</v>
      </c>
      <c r="D1157" s="886">
        <f>прибуд.!O1157</f>
        <v>8.0398268201426135E-2</v>
      </c>
      <c r="E1157" s="886">
        <f>гар.вода!M1157+хол.вода!Q1157+ц.о.!M1157+каналізація!Q1157+аварійні!I1157+зварювальн!M1157</f>
        <v>0.23316667389944856</v>
      </c>
      <c r="F1157" s="886">
        <f>дератизац.!I1157</f>
        <v>0</v>
      </c>
      <c r="G1157" s="886">
        <f>димоканал!R1157</f>
        <v>0.27304822463428197</v>
      </c>
      <c r="H1157" s="886">
        <f>'підготовка до зими'!M1157+майстерні!M1157+маляри!M1157+покрівлі!O1157</f>
        <v>0.23215984724685484</v>
      </c>
      <c r="I1157" s="886">
        <f>електрики!R1157</f>
        <v>3.684525853385192E-2</v>
      </c>
      <c r="J1157" s="989">
        <f t="shared" si="134"/>
        <v>0.85561827251586342</v>
      </c>
      <c r="K1157" s="989">
        <v>2.2233092778692485E-2</v>
      </c>
      <c r="L1157" s="994">
        <f t="shared" si="138"/>
        <v>0.87785136529455587</v>
      </c>
      <c r="M1157" s="994">
        <f t="shared" si="135"/>
        <v>1.0534216383534669</v>
      </c>
      <c r="N1157" s="753">
        <v>1</v>
      </c>
      <c r="O1157" s="1003">
        <v>0.91600342248213029</v>
      </c>
      <c r="P1157" s="22">
        <f t="shared" si="136"/>
        <v>0.13741821587133662</v>
      </c>
      <c r="Q1157" s="982">
        <f t="shared" si="137"/>
        <v>15.001932580008173</v>
      </c>
      <c r="R1157" s="6"/>
      <c r="S1157" s="6"/>
      <c r="T1157" s="6"/>
      <c r="U1157" s="6"/>
      <c r="V1157" s="6"/>
      <c r="W1157" s="6"/>
      <c r="X1157" s="6"/>
      <c r="Y1157" s="6"/>
      <c r="Z1157" s="6"/>
    </row>
    <row r="1158" spans="1:26" s="93" customFormat="1" ht="15.75">
      <c r="A1158" s="236">
        <v>11</v>
      </c>
      <c r="B1158" s="233" t="s">
        <v>490</v>
      </c>
      <c r="C1158" s="886">
        <f>cходова!R1158</f>
        <v>0</v>
      </c>
      <c r="D1158" s="886">
        <f>прибуд.!O1158</f>
        <v>6.2412662836028879E-2</v>
      </c>
      <c r="E1158" s="886">
        <f>гар.вода!M1158+хол.вода!Q1158+ц.о.!M1158+каналізація!Q1158+аварійні!I1158+зварювальн!M1158</f>
        <v>0.22892086104112286</v>
      </c>
      <c r="F1158" s="886">
        <f>дератизац.!I1158</f>
        <v>0</v>
      </c>
      <c r="G1158" s="886">
        <f>димоканал!R1158</f>
        <v>0.23932685357039771</v>
      </c>
      <c r="H1158" s="886">
        <f>'підготовка до зими'!M1158+майстерні!M1158+маляри!M1158+покрівлі!O1158</f>
        <v>0.27047328010229976</v>
      </c>
      <c r="I1158" s="886">
        <f>електрики!R1158</f>
        <v>3.5753424007502824E-2</v>
      </c>
      <c r="J1158" s="989">
        <f t="shared" si="134"/>
        <v>0.83688708155735203</v>
      </c>
      <c r="K1158" s="989">
        <v>2.1774205598026813E-2</v>
      </c>
      <c r="L1158" s="994">
        <f t="shared" si="138"/>
        <v>0.85866128715537882</v>
      </c>
      <c r="M1158" s="994">
        <f t="shared" si="135"/>
        <v>1.0303935445864545</v>
      </c>
      <c r="N1158" s="753">
        <v>2</v>
      </c>
      <c r="O1158" s="1003">
        <v>0.8970972706387047</v>
      </c>
      <c r="P1158" s="22">
        <f t="shared" si="136"/>
        <v>0.13329627394774979</v>
      </c>
      <c r="Q1158" s="982">
        <f t="shared" si="137"/>
        <v>14.85861994127427</v>
      </c>
      <c r="R1158" s="6"/>
      <c r="S1158" s="6"/>
      <c r="T1158" s="6"/>
      <c r="U1158" s="6"/>
      <c r="V1158" s="6"/>
      <c r="W1158" s="6"/>
      <c r="X1158" s="6"/>
      <c r="Y1158" s="6"/>
      <c r="Z1158" s="6"/>
    </row>
    <row r="1159" spans="1:26" s="93" customFormat="1" ht="15.75">
      <c r="A1159" s="236">
        <v>12</v>
      </c>
      <c r="B1159" s="233" t="s">
        <v>491</v>
      </c>
      <c r="C1159" s="886">
        <f>cходова!R1159</f>
        <v>0</v>
      </c>
      <c r="D1159" s="886">
        <f>прибуд.!O1159</f>
        <v>6.9557591889839607E-2</v>
      </c>
      <c r="E1159" s="886">
        <f>гар.вода!M1159+хол.вода!Q1159+ц.о.!M1159+каналізація!Q1159+аварійні!I1159+зварювальн!M1159</f>
        <v>0.21384719911097747</v>
      </c>
      <c r="F1159" s="886">
        <f>дератизац.!I1159</f>
        <v>0</v>
      </c>
      <c r="G1159" s="886">
        <f>димоканал!R1159</f>
        <v>0.20514232834980559</v>
      </c>
      <c r="H1159" s="886">
        <f>'підготовка до зими'!M1159+майстерні!M1159+маляри!M1159+покрівлі!O1159</f>
        <v>0.2133385028951692</v>
      </c>
      <c r="I1159" s="886">
        <f>електрики!R1159</f>
        <v>3.1877147524526417E-2</v>
      </c>
      <c r="J1159" s="989">
        <f t="shared" si="134"/>
        <v>0.73376276977031829</v>
      </c>
      <c r="K1159" s="989">
        <v>1.9111893314945214E-2</v>
      </c>
      <c r="L1159" s="994">
        <f t="shared" si="138"/>
        <v>0.75287466308526352</v>
      </c>
      <c r="M1159" s="994">
        <f t="shared" si="135"/>
        <v>0.9034495957023162</v>
      </c>
      <c r="N1159" s="753">
        <v>2</v>
      </c>
      <c r="O1159" s="1003">
        <v>0.78741000457574273</v>
      </c>
      <c r="P1159" s="22">
        <f t="shared" si="136"/>
        <v>0.11603959112657347</v>
      </c>
      <c r="Q1159" s="982">
        <f t="shared" si="137"/>
        <v>14.736870302923791</v>
      </c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s="93" customFormat="1" ht="15.75">
      <c r="A1160" s="912">
        <v>13</v>
      </c>
      <c r="B1160" s="899" t="s">
        <v>492</v>
      </c>
      <c r="C1160" s="886">
        <f>cходова!R1160</f>
        <v>0</v>
      </c>
      <c r="D1160" s="886">
        <f>прибуд.!O1160</f>
        <v>0</v>
      </c>
      <c r="E1160" s="886">
        <f>гар.вода!M1160+хол.вода!Q1160+ц.о.!M1160+каналізація!Q1160+аварійні!I1160+зварювальн!M1160</f>
        <v>0.14771119528271404</v>
      </c>
      <c r="F1160" s="886">
        <f>дератизац.!I1160</f>
        <v>0</v>
      </c>
      <c r="G1160" s="886">
        <f>димоканал!R1160</f>
        <v>0.13524042094952349</v>
      </c>
      <c r="H1160" s="886">
        <f>'підготовка до зими'!M1160+майстерні!M1160+маляри!M1160+покрівлі!O1160</f>
        <v>0</v>
      </c>
      <c r="I1160" s="886">
        <f>електрики!R1160</f>
        <v>0</v>
      </c>
      <c r="J1160" s="1000">
        <f t="shared" si="134"/>
        <v>0.28295161623223752</v>
      </c>
      <c r="K1160" s="1000">
        <v>7.6190422187105526E-3</v>
      </c>
      <c r="L1160" s="994">
        <f t="shared" si="138"/>
        <v>0.29057065845094809</v>
      </c>
      <c r="M1160" s="1009">
        <f t="shared" si="135"/>
        <v>0.34868479014113768</v>
      </c>
      <c r="N1160" s="753">
        <v>2</v>
      </c>
      <c r="O1160" s="1003">
        <v>0.31390453941087476</v>
      </c>
      <c r="P1160" s="22">
        <f t="shared" si="136"/>
        <v>3.4780250730262918E-2</v>
      </c>
      <c r="Q1160" s="982">
        <f t="shared" si="137"/>
        <v>11.079881417305188</v>
      </c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s="93" customFormat="1" ht="15.75">
      <c r="A1161" s="236">
        <v>15</v>
      </c>
      <c r="B1161" s="233" t="s">
        <v>493</v>
      </c>
      <c r="C1161" s="886">
        <f>cходова!R1161</f>
        <v>0</v>
      </c>
      <c r="D1161" s="886">
        <f>прибуд.!O1161</f>
        <v>6.7041598836565103E-2</v>
      </c>
      <c r="E1161" s="886">
        <f>гар.вода!M1161+хол.вода!Q1161+ц.о.!M1161+каналізація!Q1161+аварійні!I1161+зварювальн!M1161</f>
        <v>9.9793850286922531E-2</v>
      </c>
      <c r="F1161" s="886">
        <f>дератизац.!I1161</f>
        <v>0</v>
      </c>
      <c r="G1161" s="886">
        <f>димоканал!R1161</f>
        <v>0.14325086040570087</v>
      </c>
      <c r="H1161" s="886">
        <f>'підготовка до зими'!M1161+майстерні!M1161+маляри!M1161+покрівлі!O1161</f>
        <v>0.41919630510405598</v>
      </c>
      <c r="I1161" s="886">
        <f>електрики!R1161</f>
        <v>1.8942158822497824E-2</v>
      </c>
      <c r="J1161" s="989">
        <f t="shared" si="134"/>
        <v>0.74822477345574234</v>
      </c>
      <c r="K1161" s="989">
        <v>1.9843729943517092E-2</v>
      </c>
      <c r="L1161" s="994">
        <f t="shared" si="138"/>
        <v>0.76806850339925947</v>
      </c>
      <c r="M1161" s="994">
        <f t="shared" si="135"/>
        <v>0.92168220407911128</v>
      </c>
      <c r="N1161" s="753">
        <v>1</v>
      </c>
      <c r="O1161" s="1003">
        <v>0.81756167367290422</v>
      </c>
      <c r="P1161" s="22">
        <f t="shared" si="136"/>
        <v>0.10412053040620706</v>
      </c>
      <c r="Q1161" s="982">
        <f t="shared" si="137"/>
        <v>12.735495530073536</v>
      </c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s="93" customFormat="1" ht="15.75">
      <c r="A1162" s="236">
        <v>17</v>
      </c>
      <c r="B1162" s="233" t="s">
        <v>494</v>
      </c>
      <c r="C1162" s="886">
        <f>cходова!R1162</f>
        <v>0.43633055616465499</v>
      </c>
      <c r="D1162" s="886">
        <f>прибуд.!O1162</f>
        <v>0.4052834094321987</v>
      </c>
      <c r="E1162" s="886">
        <f>гар.вода!M1162+хол.вода!Q1162+ц.о.!M1162+каналізація!Q1162+аварійні!I1162+зварювальн!M1162</f>
        <v>0.24116280669938042</v>
      </c>
      <c r="F1162" s="886">
        <f>дератизац.!I1162</f>
        <v>3.9432905192572781E-3</v>
      </c>
      <c r="G1162" s="886">
        <f>димоканал!R1162</f>
        <v>4.1428300249865706E-2</v>
      </c>
      <c r="H1162" s="886">
        <f>'підготовка до зими'!M1162+майстерні!M1162+маляри!M1162+покрівлі!O1162</f>
        <v>0.14582124153366866</v>
      </c>
      <c r="I1162" s="886">
        <f>електрики!R1162</f>
        <v>2.3120424032199161E-2</v>
      </c>
      <c r="J1162" s="989">
        <f t="shared" si="134"/>
        <v>1.2970900286312248</v>
      </c>
      <c r="K1162" s="989">
        <v>3.2847234821017389E-2</v>
      </c>
      <c r="L1162" s="994">
        <f t="shared" si="138"/>
        <v>1.3299372634522422</v>
      </c>
      <c r="M1162" s="994">
        <f t="shared" si="135"/>
        <v>1.5959247161426906</v>
      </c>
      <c r="N1162" s="753">
        <v>9</v>
      </c>
      <c r="O1162" s="1003">
        <v>1.3533060746259165</v>
      </c>
      <c r="P1162" s="22">
        <f t="shared" si="136"/>
        <v>0.24261864151677415</v>
      </c>
      <c r="Q1162" s="982">
        <f t="shared" si="137"/>
        <v>17.927846927299072</v>
      </c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s="93" customFormat="1" ht="15.75">
      <c r="A1163" s="236">
        <v>18</v>
      </c>
      <c r="B1163" s="233" t="s">
        <v>495</v>
      </c>
      <c r="C1163" s="886">
        <f>cходова!R1163</f>
        <v>0.45357723237469377</v>
      </c>
      <c r="D1163" s="886">
        <f>прибуд.!O1163</f>
        <v>0.38803614541495246</v>
      </c>
      <c r="E1163" s="886">
        <f>гар.вода!M1163+хол.вода!Q1163+ц.о.!M1163+каналізація!Q1163+аварійні!I1163+зварювальн!M1163</f>
        <v>0.24480027339693705</v>
      </c>
      <c r="F1163" s="886">
        <f>дератизац.!I1163</f>
        <v>3.9871131982390801E-3</v>
      </c>
      <c r="G1163" s="886">
        <f>димоканал!R1163</f>
        <v>4.306582132247213E-2</v>
      </c>
      <c r="H1163" s="886">
        <f>'підготовка до зими'!M1163+майстерні!M1163+маляри!M1163+покрівлі!O1163</f>
        <v>0.1476912275729983</v>
      </c>
      <c r="I1163" s="886">
        <f>електрики!R1163</f>
        <v>2.4034296465583506E-2</v>
      </c>
      <c r="J1163" s="989">
        <f t="shared" si="134"/>
        <v>1.3051921097458763</v>
      </c>
      <c r="K1163" s="989">
        <v>3.3057320243191364E-2</v>
      </c>
      <c r="L1163" s="994">
        <f t="shared" si="138"/>
        <v>1.3382494299890677</v>
      </c>
      <c r="M1163" s="994">
        <f t="shared" si="135"/>
        <v>1.6058993159868813</v>
      </c>
      <c r="N1163" s="753">
        <v>9</v>
      </c>
      <c r="O1163" s="1003">
        <v>1.3619615940194845</v>
      </c>
      <c r="P1163" s="22">
        <f t="shared" si="136"/>
        <v>0.24393772196739683</v>
      </c>
      <c r="Q1163" s="982">
        <f t="shared" si="137"/>
        <v>17.910763639632194</v>
      </c>
      <c r="R1163" s="6"/>
      <c r="S1163" s="6"/>
      <c r="T1163" s="6"/>
      <c r="U1163" s="6"/>
      <c r="V1163" s="6"/>
      <c r="W1163" s="6"/>
      <c r="X1163" s="6"/>
      <c r="Y1163" s="6"/>
      <c r="Z1163" s="6"/>
    </row>
    <row r="1164" spans="1:26" s="93" customFormat="1" ht="15.75">
      <c r="A1164" s="236">
        <v>19</v>
      </c>
      <c r="B1164" s="233" t="s">
        <v>496</v>
      </c>
      <c r="C1164" s="886">
        <f>cходова!R1164</f>
        <v>0.44406060472745085</v>
      </c>
      <c r="D1164" s="886">
        <f>прибуд.!O1164</f>
        <v>0.42893039884782519</v>
      </c>
      <c r="E1164" s="886">
        <f>гар.вода!M1164+хол.вода!Q1164+ц.о.!M1164+каналізація!Q1164+аварійні!I1164+зварювальн!M1164</f>
        <v>0.24312643346392931</v>
      </c>
      <c r="F1164" s="886">
        <f>дератизац.!I1164</f>
        <v>3.9996079903402912E-3</v>
      </c>
      <c r="G1164" s="886">
        <f>димоканал!R1164</f>
        <v>4.2312289155617799E-2</v>
      </c>
      <c r="H1164" s="886">
        <f>'підготовка до зими'!M1164+майстерні!M1164+маляри!M1164+покрівлі!O1164</f>
        <v>0.14686199727804289</v>
      </c>
      <c r="I1164" s="886">
        <f>електрики!R1164</f>
        <v>2.3613763083463142E-2</v>
      </c>
      <c r="J1164" s="989">
        <f t="shared" si="134"/>
        <v>1.3329050945466696</v>
      </c>
      <c r="K1164" s="989">
        <v>3.3738916913537829E-2</v>
      </c>
      <c r="L1164" s="994">
        <f t="shared" si="138"/>
        <v>1.3666440114602074</v>
      </c>
      <c r="M1164" s="994">
        <f t="shared" si="135"/>
        <v>1.6399728137522489</v>
      </c>
      <c r="N1164" s="753">
        <v>9</v>
      </c>
      <c r="O1164" s="1003">
        <v>1.3900433768377585</v>
      </c>
      <c r="P1164" s="22">
        <f t="shared" si="136"/>
        <v>0.24992943691449043</v>
      </c>
      <c r="Q1164" s="982">
        <f t="shared" si="137"/>
        <v>17.979973940314053</v>
      </c>
      <c r="R1164" s="6"/>
      <c r="S1164" s="6"/>
      <c r="T1164" s="6"/>
      <c r="U1164" s="6"/>
      <c r="V1164" s="6"/>
      <c r="W1164" s="6"/>
      <c r="X1164" s="6"/>
      <c r="Y1164" s="6"/>
      <c r="Z1164" s="6"/>
    </row>
    <row r="1165" spans="1:26" s="93" customFormat="1" ht="15.75">
      <c r="A1165" s="236">
        <v>20</v>
      </c>
      <c r="B1165" s="233" t="s">
        <v>497</v>
      </c>
      <c r="C1165" s="886">
        <f>cходова!R1165</f>
        <v>0</v>
      </c>
      <c r="D1165" s="886">
        <f>прибуд.!O1165</f>
        <v>4.5742644154639168E-2</v>
      </c>
      <c r="E1165" s="886">
        <f>гар.вода!M1165+хол.вода!Q1165+ц.о.!M1165+каналізація!Q1165+аварійні!I1165+зварювальн!M1165</f>
        <v>0.22223193012747261</v>
      </c>
      <c r="F1165" s="886">
        <f>дератизац.!I1165</f>
        <v>0</v>
      </c>
      <c r="G1165" s="886">
        <f>димоканал!R1165</f>
        <v>0.21901822123532222</v>
      </c>
      <c r="H1165" s="886">
        <f>'підготовка до зими'!M1165+майстерні!M1165+маляри!M1165+покрівлі!O1165</f>
        <v>0.21711906693494257</v>
      </c>
      <c r="I1165" s="886">
        <f>електрики!R1165</f>
        <v>3.4033328007141858E-2</v>
      </c>
      <c r="J1165" s="989">
        <f t="shared" si="134"/>
        <v>0.73814519045951843</v>
      </c>
      <c r="K1165" s="989">
        <v>1.9219633712605044E-2</v>
      </c>
      <c r="L1165" s="994">
        <f t="shared" si="138"/>
        <v>0.75736482417212347</v>
      </c>
      <c r="M1165" s="994">
        <f t="shared" si="135"/>
        <v>0.9088377890065481</v>
      </c>
      <c r="N1165" s="753">
        <v>2</v>
      </c>
      <c r="O1165" s="1003">
        <v>0.79184890895932791</v>
      </c>
      <c r="P1165" s="22">
        <f t="shared" si="136"/>
        <v>0.11698888004722019</v>
      </c>
      <c r="Q1165" s="982">
        <f t="shared" si="137"/>
        <v>14.774141723699614</v>
      </c>
      <c r="R1165" s="6"/>
      <c r="S1165" s="6"/>
      <c r="T1165" s="6"/>
      <c r="U1165" s="6"/>
      <c r="V1165" s="6"/>
      <c r="W1165" s="6"/>
      <c r="X1165" s="6"/>
      <c r="Y1165" s="6"/>
      <c r="Z1165" s="6"/>
    </row>
    <row r="1166" spans="1:26" s="93" customFormat="1" ht="15.75">
      <c r="A1166" s="236">
        <v>21</v>
      </c>
      <c r="B1166" s="233" t="s">
        <v>498</v>
      </c>
      <c r="C1166" s="886">
        <f>cходова!R1166</f>
        <v>0</v>
      </c>
      <c r="D1166" s="886">
        <f>прибуд.!O1166</f>
        <v>3.6744179290355325E-2</v>
      </c>
      <c r="E1166" s="886">
        <f>гар.вода!M1166+хол.вода!Q1166+ц.о.!M1166+каналізація!Q1166+аварійні!I1166+зварювальн!M1166</f>
        <v>0.19652018062661064</v>
      </c>
      <c r="F1166" s="886">
        <f>дератизац.!I1166</f>
        <v>0</v>
      </c>
      <c r="G1166" s="886">
        <f>димоканал!R1166</f>
        <v>0.17863955109495461</v>
      </c>
      <c r="H1166" s="886">
        <f>'підготовка до зими'!M1166+майстерні!M1166+маляри!M1166+покрівлі!O1166</f>
        <v>0.20382777873440455</v>
      </c>
      <c r="I1166" s="886">
        <f>електрики!R1166</f>
        <v>2.7421407799016931E-2</v>
      </c>
      <c r="J1166" s="989">
        <f t="shared" si="134"/>
        <v>0.64315309754534211</v>
      </c>
      <c r="K1166" s="989">
        <v>1.6765601245202592E-2</v>
      </c>
      <c r="L1166" s="994">
        <f t="shared" si="138"/>
        <v>0.65991869879054466</v>
      </c>
      <c r="M1166" s="994">
        <f t="shared" si="135"/>
        <v>0.79190243854865361</v>
      </c>
      <c r="N1166" s="753">
        <v>2</v>
      </c>
      <c r="O1166" s="1003">
        <v>0.69074277130234696</v>
      </c>
      <c r="P1166" s="22">
        <f t="shared" si="136"/>
        <v>0.10115966724630665</v>
      </c>
      <c r="Q1166" s="982">
        <f t="shared" si="137"/>
        <v>14.645056227744121</v>
      </c>
      <c r="R1166" s="6"/>
      <c r="S1166" s="6"/>
      <c r="T1166" s="6"/>
      <c r="U1166" s="6"/>
      <c r="V1166" s="6"/>
      <c r="W1166" s="6"/>
      <c r="X1166" s="6"/>
      <c r="Y1166" s="6"/>
      <c r="Z1166" s="6"/>
    </row>
    <row r="1167" spans="1:26" s="93" customFormat="1" ht="15.75">
      <c r="A1167" s="236">
        <v>22</v>
      </c>
      <c r="B1167" s="233" t="s">
        <v>499</v>
      </c>
      <c r="C1167" s="886">
        <f>cходова!R1167</f>
        <v>0</v>
      </c>
      <c r="D1167" s="886">
        <f>прибуд.!O1167</f>
        <v>4.4211347319378119E-2</v>
      </c>
      <c r="E1167" s="886">
        <f>гар.вода!M1167+хол.вода!Q1167+ц.о.!M1167+каналізація!Q1167+аварійні!I1167+зварювальн!M1167</f>
        <v>0.2181902920506319</v>
      </c>
      <c r="F1167" s="886">
        <f>дератизац.!I1167</f>
        <v>0</v>
      </c>
      <c r="G1167" s="886">
        <f>димоканал!R1167</f>
        <v>0.22298727635940205</v>
      </c>
      <c r="H1167" s="886">
        <f>'підготовка до зими'!M1167+майстерні!M1167+маляри!M1167+покрівлі!O1167</f>
        <v>0.21271475317252531</v>
      </c>
      <c r="I1167" s="886">
        <f>електрики!R1167</f>
        <v>3.2993998167945411E-2</v>
      </c>
      <c r="J1167" s="989">
        <f t="shared" si="134"/>
        <v>0.73109766706988277</v>
      </c>
      <c r="K1167" s="989">
        <v>1.9046838875192998E-2</v>
      </c>
      <c r="L1167" s="994">
        <f t="shared" si="138"/>
        <v>0.75014450594507576</v>
      </c>
      <c r="M1167" s="994">
        <f t="shared" si="135"/>
        <v>0.90017340713409089</v>
      </c>
      <c r="N1167" s="753">
        <v>2</v>
      </c>
      <c r="O1167" s="1003">
        <v>0.7847297616579515</v>
      </c>
      <c r="P1167" s="22">
        <f t="shared" si="136"/>
        <v>0.11544364547613939</v>
      </c>
      <c r="Q1167" s="982">
        <f t="shared" si="137"/>
        <v>14.711261266838392</v>
      </c>
      <c r="R1167" s="6"/>
      <c r="S1167" s="6"/>
      <c r="T1167" s="6"/>
      <c r="U1167" s="6"/>
      <c r="V1167" s="6"/>
      <c r="W1167" s="6"/>
      <c r="X1167" s="6"/>
      <c r="Y1167" s="6"/>
      <c r="Z1167" s="6"/>
    </row>
    <row r="1168" spans="1:26" s="93" customFormat="1" ht="15.75">
      <c r="A1168" s="236">
        <v>23</v>
      </c>
      <c r="B1168" s="233" t="s">
        <v>500</v>
      </c>
      <c r="C1168" s="886">
        <f>cходова!R1168</f>
        <v>0</v>
      </c>
      <c r="D1168" s="886">
        <f>прибуд.!O1168</f>
        <v>0.3866234191018868</v>
      </c>
      <c r="E1168" s="886">
        <f>гар.вода!M1168+хол.вода!Q1168+ц.о.!M1168+каналізація!Q1168+аварійні!I1168+зварювальн!M1168</f>
        <v>0.10863140151945605</v>
      </c>
      <c r="F1168" s="886">
        <f>дератизац.!I1168</f>
        <v>0</v>
      </c>
      <c r="G1168" s="886">
        <f>димоканал!R1168</f>
        <v>0.27103543294789317</v>
      </c>
      <c r="H1168" s="886">
        <f>'підготовка до зими'!M1168+майстерні!M1168+маляри!M1168+покрівлі!O1168</f>
        <v>0.49668877776126352</v>
      </c>
      <c r="I1168" s="886">
        <f>електрики!R1168</f>
        <v>3.5839199868562453E-2</v>
      </c>
      <c r="J1168" s="989">
        <f t="shared" si="134"/>
        <v>1.2988182311990619</v>
      </c>
      <c r="K1168" s="989">
        <v>3.4195624923412264E-2</v>
      </c>
      <c r="L1168" s="994">
        <f t="shared" si="138"/>
        <v>1.3330138561224742</v>
      </c>
      <c r="M1168" s="994">
        <f t="shared" si="135"/>
        <v>1.599616627346969</v>
      </c>
      <c r="N1168" s="753">
        <v>1</v>
      </c>
      <c r="O1168" s="1003">
        <v>1.4088597468445851</v>
      </c>
      <c r="P1168" s="22">
        <f t="shared" si="136"/>
        <v>0.19075688050238382</v>
      </c>
      <c r="Q1168" s="982">
        <f t="shared" si="137"/>
        <v>13.539806281613266</v>
      </c>
      <c r="R1168" s="6"/>
      <c r="S1168" s="6"/>
      <c r="T1168" s="6"/>
      <c r="U1168" s="6"/>
      <c r="V1168" s="6"/>
      <c r="W1168" s="6"/>
      <c r="X1168" s="6"/>
      <c r="Y1168" s="6"/>
      <c r="Z1168" s="6"/>
    </row>
    <row r="1169" spans="1:26" s="93" customFormat="1" ht="15.75">
      <c r="A1169" s="236">
        <v>24</v>
      </c>
      <c r="B1169" s="233" t="s">
        <v>501</v>
      </c>
      <c r="C1169" s="886">
        <f>cходова!R1169</f>
        <v>0</v>
      </c>
      <c r="D1169" s="886">
        <f>прибуд.!O1169</f>
        <v>4.4583911376130346E-2</v>
      </c>
      <c r="E1169" s="886">
        <f>гар.вода!M1169+хол.вода!Q1169+ц.о.!M1169+каналізація!Q1169+аварійні!I1169+зварювальн!M1169</f>
        <v>0.21927149239205004</v>
      </c>
      <c r="F1169" s="886">
        <f>дератизац.!I1169</f>
        <v>0</v>
      </c>
      <c r="G1169" s="886">
        <f>димоканал!R1169</f>
        <v>0.24636111067840871</v>
      </c>
      <c r="H1169" s="886">
        <f>'підготовка до зими'!M1169+майстерні!M1169+маляри!M1169+покрівлі!O1169</f>
        <v>0.24128527607914277</v>
      </c>
      <c r="I1169" s="886">
        <f>електрики!R1169</f>
        <v>3.3272034883658382E-2</v>
      </c>
      <c r="J1169" s="989">
        <f t="shared" si="134"/>
        <v>0.78477382540939034</v>
      </c>
      <c r="K1169" s="989">
        <v>2.0425551683105898E-2</v>
      </c>
      <c r="L1169" s="994">
        <f t="shared" si="138"/>
        <v>0.80519937709249623</v>
      </c>
      <c r="M1169" s="994">
        <f t="shared" si="135"/>
        <v>0.96623925251099541</v>
      </c>
      <c r="N1169" s="753">
        <v>2</v>
      </c>
      <c r="O1169" s="1003">
        <v>0.84153272934396306</v>
      </c>
      <c r="P1169" s="22">
        <f t="shared" si="136"/>
        <v>0.12470652316703235</v>
      </c>
      <c r="Q1169" s="982">
        <f t="shared" si="137"/>
        <v>14.818974808531848</v>
      </c>
      <c r="R1169" s="6"/>
      <c r="S1169" s="6"/>
      <c r="T1169" s="6"/>
      <c r="U1169" s="6"/>
      <c r="V1169" s="6"/>
      <c r="W1169" s="6"/>
      <c r="X1169" s="6"/>
      <c r="Y1169" s="6"/>
      <c r="Z1169" s="6"/>
    </row>
    <row r="1170" spans="1:26" s="93" customFormat="1" ht="15.75">
      <c r="A1170" s="236">
        <v>25</v>
      </c>
      <c r="B1170" s="233" t="s">
        <v>502</v>
      </c>
      <c r="C1170" s="886">
        <f>cходова!R1170</f>
        <v>0</v>
      </c>
      <c r="D1170" s="886">
        <f>прибуд.!O1170</f>
        <v>5.1974305823890336E-2</v>
      </c>
      <c r="E1170" s="886">
        <f>гар.вода!M1170+хол.вода!Q1170+ц.о.!M1170+каналізація!Q1170+аварійні!I1170+зварювальн!M1170</f>
        <v>0.2407188028754845</v>
      </c>
      <c r="F1170" s="886">
        <f>дератизац.!I1170</f>
        <v>0</v>
      </c>
      <c r="G1170" s="886">
        <f>димоканал!R1170</f>
        <v>0.27466994462773731</v>
      </c>
      <c r="H1170" s="886">
        <f>'підготовка до зими'!M1170+майстерні!M1170+маляри!M1170+покрівлі!O1170</f>
        <v>0.23552605293301421</v>
      </c>
      <c r="I1170" s="886">
        <f>електрики!R1170</f>
        <v>3.8787330744431914E-2</v>
      </c>
      <c r="J1170" s="989">
        <f t="shared" si="134"/>
        <v>0.8416764370045583</v>
      </c>
      <c r="K1170" s="989">
        <v>2.1907091072953837E-2</v>
      </c>
      <c r="L1170" s="994">
        <f t="shared" si="138"/>
        <v>0.86358352807751215</v>
      </c>
      <c r="M1170" s="994">
        <f t="shared" si="135"/>
        <v>1.0363002336930145</v>
      </c>
      <c r="N1170" s="753">
        <v>2</v>
      </c>
      <c r="O1170" s="1003">
        <v>0.90257215220569809</v>
      </c>
      <c r="P1170" s="22">
        <f t="shared" si="136"/>
        <v>0.13372808148731641</v>
      </c>
      <c r="Q1170" s="982">
        <f t="shared" si="137"/>
        <v>14.816331432397163</v>
      </c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s="93" customFormat="1" ht="15.75">
      <c r="A1171" s="236">
        <v>26</v>
      </c>
      <c r="B1171" s="233" t="s">
        <v>503</v>
      </c>
      <c r="C1171" s="886">
        <f>cходова!R1171</f>
        <v>0</v>
      </c>
      <c r="D1171" s="886">
        <f>прибуд.!O1171</f>
        <v>3.9108367643516696E-2</v>
      </c>
      <c r="E1171" s="886">
        <f>гар.вода!M1171+хол.вода!Q1171+ц.о.!M1171+каналізація!Q1171+аварійні!I1171+зварювальн!M1171</f>
        <v>0.20338117864369754</v>
      </c>
      <c r="F1171" s="886">
        <f>дератизац.!I1171</f>
        <v>0</v>
      </c>
      <c r="G1171" s="886">
        <f>димоканал!R1171</f>
        <v>0.19743122956096137</v>
      </c>
      <c r="H1171" s="886">
        <f>'підготовка до зими'!M1171+майстерні!M1171+маляри!M1171+покрівлі!O1171</f>
        <v>0.24035690081032085</v>
      </c>
      <c r="I1171" s="886">
        <f>електрики!R1171</f>
        <v>2.9185751817519492E-2</v>
      </c>
      <c r="J1171" s="989">
        <f t="shared" si="134"/>
        <v>0.70946342847601596</v>
      </c>
      <c r="K1171" s="989">
        <v>1.8450317667666031E-2</v>
      </c>
      <c r="L1171" s="994">
        <f t="shared" si="138"/>
        <v>0.72791374614368198</v>
      </c>
      <c r="M1171" s="994">
        <f t="shared" si="135"/>
        <v>0.87349649537241836</v>
      </c>
      <c r="N1171" s="753">
        <v>2</v>
      </c>
      <c r="O1171" s="1003">
        <v>0.76015308790784053</v>
      </c>
      <c r="P1171" s="22">
        <f t="shared" si="136"/>
        <v>0.11334340746457783</v>
      </c>
      <c r="Q1171" s="982">
        <f t="shared" si="137"/>
        <v>14.91060278088608</v>
      </c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s="93" customFormat="1" ht="15.75">
      <c r="A1172" s="236">
        <v>27</v>
      </c>
      <c r="B1172" s="233" t="s">
        <v>504</v>
      </c>
      <c r="C1172" s="886">
        <f>cходова!R1172</f>
        <v>0</v>
      </c>
      <c r="D1172" s="886">
        <f>прибуд.!O1172</f>
        <v>0.16196378609942644</v>
      </c>
      <c r="E1172" s="886">
        <f>гар.вода!M1172+хол.вода!Q1172+ц.о.!M1172+каналізація!Q1172+аварійні!I1172+зварювальн!M1172</f>
        <v>0.10128403402060034</v>
      </c>
      <c r="F1172" s="886">
        <f>дератизац.!I1172</f>
        <v>0</v>
      </c>
      <c r="G1172" s="886">
        <f>димоканал!R1172</f>
        <v>0.16479783494728498</v>
      </c>
      <c r="H1172" s="886">
        <f>'підготовка до зими'!M1172+майстерні!M1172+маляри!M1172+покрівлі!O1172</f>
        <v>0.49625373044019994</v>
      </c>
      <c r="I1172" s="886">
        <f>електрики!R1172</f>
        <v>2.1791329939202412E-2</v>
      </c>
      <c r="J1172" s="989">
        <f t="shared" si="134"/>
        <v>0.94609071544671408</v>
      </c>
      <c r="K1172" s="989">
        <v>2.4898531247365151E-2</v>
      </c>
      <c r="L1172" s="994">
        <f t="shared" si="138"/>
        <v>0.97098924669407927</v>
      </c>
      <c r="M1172" s="994">
        <f t="shared" si="135"/>
        <v>1.1651870960328952</v>
      </c>
      <c r="N1172" s="753">
        <v>1</v>
      </c>
      <c r="O1172" s="1003">
        <v>1.0258194873914441</v>
      </c>
      <c r="P1172" s="22">
        <f t="shared" si="136"/>
        <v>0.13936760864145104</v>
      </c>
      <c r="Q1172" s="982">
        <f t="shared" si="137"/>
        <v>13.585977879582771</v>
      </c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s="93" customFormat="1" ht="15.75">
      <c r="A1173" s="236">
        <v>28</v>
      </c>
      <c r="B1173" s="233" t="s">
        <v>505</v>
      </c>
      <c r="C1173" s="886">
        <f>cходова!R1173</f>
        <v>0</v>
      </c>
      <c r="D1173" s="886">
        <f>прибуд.!O1173</f>
        <v>0.13031855404615381</v>
      </c>
      <c r="E1173" s="886">
        <f>гар.вода!M1173+хол.вода!Q1173+ц.о.!M1173+каналізація!Q1173+аварійні!I1173+зварювальн!M1173</f>
        <v>9.9642512867049754E-2</v>
      </c>
      <c r="F1173" s="886">
        <f>дератизац.!I1173</f>
        <v>0</v>
      </c>
      <c r="G1173" s="886">
        <f>димоканал!R1173</f>
        <v>0.15646719078431776</v>
      </c>
      <c r="H1173" s="886">
        <f>'підготовка до зими'!M1173+майстерні!M1173+маляри!M1173+покрівлі!O1173</f>
        <v>0.39949521889524209</v>
      </c>
      <c r="I1173" s="886">
        <f>електрики!R1173</f>
        <v>1.8652807787566054E-2</v>
      </c>
      <c r="J1173" s="989">
        <f t="shared" si="134"/>
        <v>0.80457628438032947</v>
      </c>
      <c r="K1173" s="989">
        <v>2.1252359472143767E-2</v>
      </c>
      <c r="L1173" s="994">
        <f t="shared" si="138"/>
        <v>0.82582864385247323</v>
      </c>
      <c r="M1173" s="994">
        <f t="shared" si="135"/>
        <v>0.99099437262296786</v>
      </c>
      <c r="N1173" s="753">
        <v>2</v>
      </c>
      <c r="O1173" s="1003">
        <v>0.87559721025232329</v>
      </c>
      <c r="P1173" s="22">
        <f t="shared" si="136"/>
        <v>0.11539716237064457</v>
      </c>
      <c r="Q1173" s="982">
        <f t="shared" si="137"/>
        <v>13.179251945925017</v>
      </c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s="93" customFormat="1" ht="15.75">
      <c r="A1174" s="236">
        <v>29</v>
      </c>
      <c r="B1174" s="233" t="s">
        <v>506</v>
      </c>
      <c r="C1174" s="886">
        <f>cходова!R1174</f>
        <v>0</v>
      </c>
      <c r="D1174" s="886">
        <f>прибуд.!O1174</f>
        <v>0.20442782162310649</v>
      </c>
      <c r="E1174" s="886">
        <f>гар.вода!M1174+хол.вода!Q1174+ц.о.!M1174+каналізація!Q1174+аварійні!I1174+зварювальн!M1174</f>
        <v>9.7538553615159673E-2</v>
      </c>
      <c r="F1174" s="886">
        <f>дератизац.!I1174</f>
        <v>0</v>
      </c>
      <c r="G1174" s="886">
        <f>димоканал!R1174</f>
        <v>0.17200256028503094</v>
      </c>
      <c r="H1174" s="886">
        <f>'підготовка до зими'!M1174+майстерні!M1174+маляри!M1174+покрівлі!O1174</f>
        <v>0.36167513663606099</v>
      </c>
      <c r="I1174" s="886">
        <f>електрики!R1174</f>
        <v>1.4630122667782875E-2</v>
      </c>
      <c r="J1174" s="989">
        <f t="shared" si="134"/>
        <v>0.85027419482714095</v>
      </c>
      <c r="K1174" s="989">
        <v>2.2280299075403447E-2</v>
      </c>
      <c r="L1174" s="994">
        <f t="shared" si="138"/>
        <v>0.87255449390254436</v>
      </c>
      <c r="M1174" s="994">
        <f t="shared" si="135"/>
        <v>1.0470653926830531</v>
      </c>
      <c r="N1174" s="753">
        <v>2</v>
      </c>
      <c r="O1174" s="1003">
        <v>0.91794832190662201</v>
      </c>
      <c r="P1174" s="22">
        <f t="shared" si="136"/>
        <v>0.12911707077643109</v>
      </c>
      <c r="Q1174" s="982">
        <f t="shared" si="137"/>
        <v>14.065832214633687</v>
      </c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s="93" customFormat="1" ht="15.75">
      <c r="A1175" s="236">
        <v>30</v>
      </c>
      <c r="B1175" s="233" t="s">
        <v>507</v>
      </c>
      <c r="C1175" s="886">
        <f>cходова!R1175</f>
        <v>0</v>
      </c>
      <c r="D1175" s="886">
        <f>прибуд.!O1175</f>
        <v>0.11794930152541548</v>
      </c>
      <c r="E1175" s="886">
        <f>гар.вода!M1175+хол.вода!Q1175+ц.о.!M1175+каналізація!Q1175+аварійні!I1175+зварювальн!M1175</f>
        <v>0.10150677144985248</v>
      </c>
      <c r="F1175" s="886">
        <f>дератизац.!I1175</f>
        <v>0</v>
      </c>
      <c r="G1175" s="886">
        <f>димоканал!R1175</f>
        <v>0.25661474338728413</v>
      </c>
      <c r="H1175" s="886">
        <f>'підготовка до зими'!M1175+майстерні!M1175+маляри!M1175+покрівлі!O1175</f>
        <v>0.23307866012830381</v>
      </c>
      <c r="I1175" s="886">
        <f>електрики!R1175</f>
        <v>2.2217194908529383E-2</v>
      </c>
      <c r="J1175" s="989">
        <f t="shared" si="134"/>
        <v>0.73136667139938527</v>
      </c>
      <c r="K1175" s="989">
        <v>1.9580693692860918E-2</v>
      </c>
      <c r="L1175" s="994">
        <f t="shared" si="138"/>
        <v>0.75094736509224624</v>
      </c>
      <c r="M1175" s="994">
        <f t="shared" si="135"/>
        <v>0.90113683811069545</v>
      </c>
      <c r="N1175" s="753">
        <v>2</v>
      </c>
      <c r="O1175" s="1003">
        <v>0.8067245801458699</v>
      </c>
      <c r="P1175" s="22">
        <f t="shared" si="136"/>
        <v>9.4412257964825552E-2</v>
      </c>
      <c r="Q1175" s="982">
        <f t="shared" si="137"/>
        <v>11.703158709723979</v>
      </c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s="93" customFormat="1" ht="15.75">
      <c r="A1176" s="236">
        <v>31</v>
      </c>
      <c r="B1176" s="233" t="s">
        <v>508</v>
      </c>
      <c r="C1176" s="886">
        <f>cходова!R1176</f>
        <v>0</v>
      </c>
      <c r="D1176" s="886">
        <f>прибуд.!O1176</f>
        <v>8.3715036942234519E-2</v>
      </c>
      <c r="E1176" s="886">
        <f>гар.вода!M1176+хол.вода!Q1176+ц.о.!M1176+каналізація!Q1176+аварійні!I1176+зварювальн!M1176</f>
        <v>9.8134083663572624E-2</v>
      </c>
      <c r="F1176" s="886">
        <f>дератизац.!I1176</f>
        <v>0</v>
      </c>
      <c r="G1176" s="886">
        <f>димоканал!R1176</f>
        <v>0.12225162894356266</v>
      </c>
      <c r="H1176" s="886">
        <f>'підготовка до зими'!M1176+майстерні!M1176+маляри!M1176+покрівлі!O1176</f>
        <v>0.21546210235656152</v>
      </c>
      <c r="I1176" s="886">
        <f>електрики!R1176</f>
        <v>1.5768752069460892E-2</v>
      </c>
      <c r="J1176" s="989">
        <f t="shared" si="134"/>
        <v>0.53533160397539226</v>
      </c>
      <c r="K1176" s="989">
        <v>1.4311380936123391E-2</v>
      </c>
      <c r="L1176" s="994">
        <f t="shared" si="138"/>
        <v>0.54964298491151564</v>
      </c>
      <c r="M1176" s="994">
        <f t="shared" si="135"/>
        <v>0.6595715818938187</v>
      </c>
      <c r="N1176" s="753">
        <v>2</v>
      </c>
      <c r="O1176" s="1003">
        <v>0.58962889456828371</v>
      </c>
      <c r="P1176" s="22">
        <f t="shared" si="136"/>
        <v>6.9942687325534991E-2</v>
      </c>
      <c r="Q1176" s="982">
        <f t="shared" si="137"/>
        <v>11.862153970040069</v>
      </c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s="93" customFormat="1" ht="15.75">
      <c r="A1177" s="236">
        <v>32</v>
      </c>
      <c r="B1177" s="233" t="s">
        <v>509</v>
      </c>
      <c r="C1177" s="886">
        <f>cходова!R1177</f>
        <v>0</v>
      </c>
      <c r="D1177" s="886">
        <f>прибуд.!O1177</f>
        <v>0.20524098694029852</v>
      </c>
      <c r="E1177" s="886">
        <f>гар.вода!M1177+хол.вода!Q1177+ц.о.!M1177+каналізація!Q1177+аварійні!I1177+зварювальн!M1177</f>
        <v>9.9996609501416048E-2</v>
      </c>
      <c r="F1177" s="886">
        <f>дератизац.!I1177</f>
        <v>0</v>
      </c>
      <c r="G1177" s="886">
        <f>димоканал!R1177</f>
        <v>0.17810997194878947</v>
      </c>
      <c r="H1177" s="886">
        <f>'підготовка до зими'!M1177+майстерні!M1177+маляри!M1177+покрівлі!O1177</f>
        <v>0.39763654183338643</v>
      </c>
      <c r="I1177" s="886">
        <f>електрики!R1177</f>
        <v>1.932982625204013E-2</v>
      </c>
      <c r="J1177" s="989">
        <f t="shared" si="134"/>
        <v>0.90031393647593072</v>
      </c>
      <c r="K1177" s="989">
        <v>2.3687400413941254E-2</v>
      </c>
      <c r="L1177" s="994">
        <f t="shared" si="138"/>
        <v>0.92400133688987196</v>
      </c>
      <c r="M1177" s="994">
        <f t="shared" si="135"/>
        <v>1.1088016042678464</v>
      </c>
      <c r="N1177" s="753">
        <v>2</v>
      </c>
      <c r="O1177" s="1003">
        <v>0.97592089705437957</v>
      </c>
      <c r="P1177" s="22">
        <f t="shared" si="136"/>
        <v>0.13288070721346679</v>
      </c>
      <c r="Q1177" s="982">
        <f t="shared" si="137"/>
        <v>13.6159301040218</v>
      </c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s="93" customFormat="1" ht="15.75">
      <c r="A1178" s="236">
        <v>33</v>
      </c>
      <c r="B1178" s="233" t="s">
        <v>510</v>
      </c>
      <c r="C1178" s="886">
        <f>cходова!R1178</f>
        <v>0</v>
      </c>
      <c r="D1178" s="886">
        <f>прибуд.!O1178</f>
        <v>9.9658295985176046E-2</v>
      </c>
      <c r="E1178" s="886">
        <f>гар.вода!M1178+хол.вода!Q1178+ц.о.!M1178+каналізація!Q1178+аварійні!I1178+зварювальн!M1178</f>
        <v>9.9704780031738272E-2</v>
      </c>
      <c r="F1178" s="886">
        <f>дератизац.!I1178</f>
        <v>0</v>
      </c>
      <c r="G1178" s="886">
        <f>димоканал!R1178</f>
        <v>0.18908087134548671</v>
      </c>
      <c r="H1178" s="886">
        <f>'підготовка до зими'!M1178+майстерні!M1178+маляри!M1178+покрівлі!O1178</f>
        <v>0.25745821435948019</v>
      </c>
      <c r="I1178" s="886">
        <f>електрики!R1178</f>
        <v>1.8771860091748586E-2</v>
      </c>
      <c r="J1178" s="989">
        <f t="shared" ref="J1178:J1201" si="139">I1178+H1178+G1178+F1178+E1178+D1178+C1178</f>
        <v>0.66467402181362989</v>
      </c>
      <c r="K1178" s="989">
        <v>1.7723116815469602E-2</v>
      </c>
      <c r="L1178" s="994">
        <f t="shared" si="138"/>
        <v>0.68239713862909945</v>
      </c>
      <c r="M1178" s="994">
        <f t="shared" ref="M1178:M1201" si="140">L1178*1.2</f>
        <v>0.81887656635491934</v>
      </c>
      <c r="N1178" s="753">
        <v>2</v>
      </c>
      <c r="O1178" s="1003">
        <v>0.7301924127973477</v>
      </c>
      <c r="P1178" s="22">
        <f t="shared" si="136"/>
        <v>8.8684153557571643E-2</v>
      </c>
      <c r="Q1178" s="982">
        <f t="shared" si="137"/>
        <v>12.145312934412033</v>
      </c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s="93" customFormat="1" ht="15.75">
      <c r="A1179" s="912">
        <v>34</v>
      </c>
      <c r="B1179" s="899" t="s">
        <v>511</v>
      </c>
      <c r="C1179" s="886">
        <f>cходова!R1179</f>
        <v>0</v>
      </c>
      <c r="D1179" s="886">
        <f>прибуд.!O1179</f>
        <v>0</v>
      </c>
      <c r="E1179" s="886">
        <f>гар.вода!M1179+хол.вода!Q1179+ц.о.!M1179+каналізація!Q1179+аварійні!I1179+зварювальн!M1179</f>
        <v>0.20985523360190217</v>
      </c>
      <c r="F1179" s="886">
        <f>дератизац.!I1179</f>
        <v>0</v>
      </c>
      <c r="G1179" s="886">
        <f>димоканал!R1179</f>
        <v>0.23043216113146675</v>
      </c>
      <c r="H1179" s="886">
        <v>0</v>
      </c>
      <c r="I1179" s="886">
        <v>0</v>
      </c>
      <c r="J1179" s="1000">
        <f t="shared" si="139"/>
        <v>0.44028739473336892</v>
      </c>
      <c r="K1179" s="1000">
        <v>1.1234260006785868E-2</v>
      </c>
      <c r="L1179" s="994">
        <f t="shared" si="138"/>
        <v>0.45152165474015477</v>
      </c>
      <c r="M1179" s="1009">
        <f t="shared" si="140"/>
        <v>0.54182598568818574</v>
      </c>
      <c r="N1179" s="753">
        <v>2</v>
      </c>
      <c r="O1179" s="1003">
        <v>0.46285151227957777</v>
      </c>
      <c r="P1179" s="22">
        <f t="shared" si="136"/>
        <v>7.897447340860797E-2</v>
      </c>
      <c r="Q1179" s="982">
        <f t="shared" si="137"/>
        <v>17.062593793774795</v>
      </c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s="93" customFormat="1" ht="15.75">
      <c r="A1180" s="236">
        <v>35</v>
      </c>
      <c r="B1180" s="233" t="s">
        <v>512</v>
      </c>
      <c r="C1180" s="886">
        <f>cходова!R1180</f>
        <v>0.67395607174190286</v>
      </c>
      <c r="D1180" s="886">
        <f>прибуд.!O1180</f>
        <v>0.38786479284987829</v>
      </c>
      <c r="E1180" s="886">
        <f>гар.вода!M1180+хол.вода!Q1180+ц.о.!M1180+каналізація!Q1180+аварійні!I1180+зварювальн!M1180</f>
        <v>0.24784588467869395</v>
      </c>
      <c r="F1180" s="886">
        <f>дератизац.!I1180</f>
        <v>3.2788178505746561E-3</v>
      </c>
      <c r="G1180" s="886">
        <f>димоканал!R1180</f>
        <v>3.3185011434664534E-2</v>
      </c>
      <c r="H1180" s="886">
        <f>'підготовка до зими'!M1180+майстерні!M1180+маляри!M1180+покрівлі!O1180</f>
        <v>0.14901485370751813</v>
      </c>
      <c r="I1180" s="886">
        <f>електрики!R1180</f>
        <v>2.6005335098673827E-2</v>
      </c>
      <c r="J1180" s="989">
        <f t="shared" si="139"/>
        <v>1.5211507673619062</v>
      </c>
      <c r="K1180" s="989">
        <v>3.8323744967518052E-2</v>
      </c>
      <c r="L1180" s="994">
        <f t="shared" si="138"/>
        <v>1.5594745123294242</v>
      </c>
      <c r="M1180" s="994">
        <f t="shared" si="140"/>
        <v>1.871369414795309</v>
      </c>
      <c r="N1180" s="753">
        <v>9</v>
      </c>
      <c r="O1180" s="1003">
        <v>1.5789382926617435</v>
      </c>
      <c r="P1180" s="22">
        <f t="shared" ref="P1180:P1211" si="141">M1180-O1180</f>
        <v>0.29243112213356559</v>
      </c>
      <c r="Q1180" s="982">
        <f t="shared" ref="Q1180:Q1202" si="142">M1180/O1180*100-100</f>
        <v>18.520744192009616</v>
      </c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s="93" customFormat="1" ht="15.75">
      <c r="A1181" s="236">
        <v>36</v>
      </c>
      <c r="B1181" s="233" t="s">
        <v>513</v>
      </c>
      <c r="C1181" s="886">
        <f>cходова!R1181</f>
        <v>0.50325992515211948</v>
      </c>
      <c r="D1181" s="886">
        <f>прибуд.!O1181</f>
        <v>0.23565273096001263</v>
      </c>
      <c r="E1181" s="886">
        <f>гар.вода!M1181+хол.вода!Q1181+ц.о.!M1181+каналізація!Q1181+аварійні!I1181+зварювальн!M1181</f>
        <v>0.2545819241133277</v>
      </c>
      <c r="F1181" s="886">
        <f>дератизац.!I1181</f>
        <v>3.0094487135800979E-3</v>
      </c>
      <c r="G1181" s="886">
        <f>димоканал!R1181</f>
        <v>3.2371937853012268E-2</v>
      </c>
      <c r="H1181" s="886">
        <f>'підготовка до зими'!M1181+майстерні!M1181+маляри!M1181+покрівлі!O1181</f>
        <v>0.14835504284948947</v>
      </c>
      <c r="I1181" s="886">
        <f>електрики!R1181</f>
        <v>2.5546821516292898E-2</v>
      </c>
      <c r="J1181" s="989">
        <f t="shared" si="139"/>
        <v>1.2027778311578345</v>
      </c>
      <c r="K1181" s="989">
        <v>3.0482510363670629E-2</v>
      </c>
      <c r="L1181" s="994">
        <f t="shared" si="138"/>
        <v>1.2332603415215051</v>
      </c>
      <c r="M1181" s="994">
        <f t="shared" si="140"/>
        <v>1.4799124098258061</v>
      </c>
      <c r="N1181" s="753">
        <v>9</v>
      </c>
      <c r="O1181" s="1003">
        <v>1.2558794269832299</v>
      </c>
      <c r="P1181" s="22">
        <f t="shared" si="141"/>
        <v>0.22403298284257622</v>
      </c>
      <c r="Q1181" s="982">
        <f t="shared" si="142"/>
        <v>17.838733402993128</v>
      </c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s="93" customFormat="1" ht="15.75">
      <c r="A1182" s="236">
        <v>37</v>
      </c>
      <c r="B1182" s="233" t="s">
        <v>514</v>
      </c>
      <c r="C1182" s="886">
        <f>cходова!R1182</f>
        <v>0.75597415330218998</v>
      </c>
      <c r="D1182" s="886">
        <f>прибуд.!O1182</f>
        <v>0.2660834597270389</v>
      </c>
      <c r="E1182" s="886">
        <f>гар.вода!M1182+хол.вода!Q1182+ц.о.!M1182+каналізація!Q1182+аварійні!I1182+зварювальн!M1182</f>
        <v>0.28173873787091369</v>
      </c>
      <c r="F1182" s="886">
        <f>дератизац.!I1182</f>
        <v>3.2329004453314387E-3</v>
      </c>
      <c r="G1182" s="886">
        <f>димоканал!R1182</f>
        <v>4.0523043007687748E-2</v>
      </c>
      <c r="H1182" s="886">
        <f>'підготовка до зими'!M1182+майстерні!M1182+маляри!M1182+покрівлі!O1182</f>
        <v>0.14902192886802185</v>
      </c>
      <c r="I1182" s="886">
        <f>електрики!R1182</f>
        <v>3.1979393748840075E-2</v>
      </c>
      <c r="J1182" s="989">
        <f t="shared" si="139"/>
        <v>1.5285536169700238</v>
      </c>
      <c r="K1182" s="989">
        <v>3.8600941835362737E-2</v>
      </c>
      <c r="L1182" s="994">
        <f t="shared" si="138"/>
        <v>1.5671545588053866</v>
      </c>
      <c r="M1182" s="994">
        <f t="shared" si="140"/>
        <v>1.8805854705664637</v>
      </c>
      <c r="N1182" s="753">
        <v>9</v>
      </c>
      <c r="O1182" s="1003">
        <v>1.5903588036169449</v>
      </c>
      <c r="P1182" s="22">
        <f t="shared" si="141"/>
        <v>0.29022666694951882</v>
      </c>
      <c r="Q1182" s="982">
        <f t="shared" si="142"/>
        <v>18.249131346301084</v>
      </c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s="93" customFormat="1" ht="15.75">
      <c r="A1183" s="236">
        <v>38</v>
      </c>
      <c r="B1183" s="233" t="s">
        <v>515</v>
      </c>
      <c r="C1183" s="886">
        <f>cходова!R1183</f>
        <v>0.5054211909059525</v>
      </c>
      <c r="D1183" s="886">
        <f>прибуд.!O1183</f>
        <v>0.31268053472565499</v>
      </c>
      <c r="E1183" s="886">
        <f>гар.вода!M1183+хол.вода!Q1183+ц.о.!M1183+каналізація!Q1183+аварійні!I1183+зварювальн!M1183</f>
        <v>0.26751994279677344</v>
      </c>
      <c r="F1183" s="886">
        <f>дератизац.!I1183</f>
        <v>3.4588398063049712E-3</v>
      </c>
      <c r="G1183" s="886">
        <f>димоканал!R1183</f>
        <v>3.5528855206498067E-2</v>
      </c>
      <c r="H1183" s="886">
        <f>'підготовка до зими'!M1183+майстерні!M1183+маляри!M1183+покрівлі!O1183</f>
        <v>0.14953884709429568</v>
      </c>
      <c r="I1183" s="886">
        <f>електрики!R1183</f>
        <v>2.8038152265084788E-2</v>
      </c>
      <c r="J1183" s="989">
        <f t="shared" si="139"/>
        <v>1.3021863628005645</v>
      </c>
      <c r="K1183" s="989">
        <v>3.298539146580589E-2</v>
      </c>
      <c r="L1183" s="994">
        <f t="shared" si="138"/>
        <v>1.3351717542663704</v>
      </c>
      <c r="M1183" s="994">
        <f t="shared" si="140"/>
        <v>1.6022061051196443</v>
      </c>
      <c r="N1183" s="753">
        <v>9</v>
      </c>
      <c r="O1183" s="1003">
        <v>1.3589981283912025</v>
      </c>
      <c r="P1183" s="22">
        <f t="shared" si="141"/>
        <v>0.24320797672844185</v>
      </c>
      <c r="Q1183" s="982">
        <f t="shared" si="142"/>
        <v>17.896123007641989</v>
      </c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s="93" customFormat="1" ht="15.75">
      <c r="A1184" s="236">
        <v>39</v>
      </c>
      <c r="B1184" s="233" t="s">
        <v>516</v>
      </c>
      <c r="C1184" s="886">
        <f>cходова!R1184</f>
        <v>0.51375738939958204</v>
      </c>
      <c r="D1184" s="886">
        <f>прибуд.!O1184</f>
        <v>0.3026232179510901</v>
      </c>
      <c r="E1184" s="886">
        <f>гар.вода!M1184+хол.вода!Q1184+ц.о.!M1184+каналізація!Q1184+аварійні!I1184+зварювальн!M1184</f>
        <v>0.27486156762751418</v>
      </c>
      <c r="F1184" s="886">
        <f>дератизац.!I1184</f>
        <v>3.7729377465271826E-3</v>
      </c>
      <c r="G1184" s="886">
        <f>димоканал!R1184</f>
        <v>3.7335704427585166E-2</v>
      </c>
      <c r="H1184" s="886">
        <f>'підготовка до зими'!M1184+майстерні!M1184+маляри!M1184+покрівлі!O1184</f>
        <v>0.14512736524294056</v>
      </c>
      <c r="I1184" s="886">
        <f>електрики!R1184</f>
        <v>3.0113289772091996E-2</v>
      </c>
      <c r="J1184" s="989">
        <f t="shared" si="139"/>
        <v>1.3075914721673314</v>
      </c>
      <c r="K1184" s="989">
        <v>3.3132704407883469E-2</v>
      </c>
      <c r="L1184" s="994">
        <f t="shared" si="138"/>
        <v>1.3407241765752149</v>
      </c>
      <c r="M1184" s="994">
        <f t="shared" si="140"/>
        <v>1.6088690118902578</v>
      </c>
      <c r="N1184" s="753">
        <v>9</v>
      </c>
      <c r="O1184" s="1003">
        <v>1.3650674216047991</v>
      </c>
      <c r="P1184" s="22">
        <f t="shared" si="141"/>
        <v>0.24380159028545867</v>
      </c>
      <c r="Q1184" s="982">
        <f t="shared" si="142"/>
        <v>17.86004020217851</v>
      </c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s="93" customFormat="1" ht="15.75">
      <c r="A1185" s="236">
        <v>40</v>
      </c>
      <c r="B1185" s="233" t="s">
        <v>517</v>
      </c>
      <c r="C1185" s="886">
        <f>cходова!R1185</f>
        <v>0.52012794550900243</v>
      </c>
      <c r="D1185" s="886">
        <f>прибуд.!O1185</f>
        <v>0.44676745874806123</v>
      </c>
      <c r="E1185" s="886">
        <f>гар.вода!M1185+хол.вода!Q1185+ц.о.!M1185+каналізація!Q1185+аварійні!I1185+зварювальн!M1185</f>
        <v>0.25048488816257802</v>
      </c>
      <c r="F1185" s="886">
        <f>дератизац.!I1185</f>
        <v>3.779341590448031E-3</v>
      </c>
      <c r="G1185" s="886">
        <f>димоканал!R1185</f>
        <v>3.114233187927494E-2</v>
      </c>
      <c r="H1185" s="886">
        <f>'підготовка до зими'!M1185+майстерні!M1185+маляри!M1185+покрівлі!O1185</f>
        <v>0.14823134426228859</v>
      </c>
      <c r="I1185" s="886">
        <f>електрики!R1185</f>
        <v>2.4576458713513941E-2</v>
      </c>
      <c r="J1185" s="989">
        <f t="shared" si="139"/>
        <v>1.425109768865167</v>
      </c>
      <c r="K1185" s="989">
        <v>3.5980440599017262E-2</v>
      </c>
      <c r="L1185" s="994">
        <f t="shared" si="138"/>
        <v>1.4610902094641842</v>
      </c>
      <c r="M1185" s="994">
        <f t="shared" si="140"/>
        <v>1.7533082513570211</v>
      </c>
      <c r="N1185" s="753">
        <v>9</v>
      </c>
      <c r="O1185" s="1003">
        <v>1.4823941526795115</v>
      </c>
      <c r="P1185" s="22">
        <f t="shared" si="141"/>
        <v>0.2709140986775096</v>
      </c>
      <c r="Q1185" s="982">
        <f t="shared" si="142"/>
        <v>18.275443018161994</v>
      </c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s="93" customFormat="1" ht="15.75">
      <c r="A1186" s="236">
        <v>41</v>
      </c>
      <c r="B1186" s="233" t="s">
        <v>518</v>
      </c>
      <c r="C1186" s="886">
        <f>cходова!R1186</f>
        <v>0.51469868137483998</v>
      </c>
      <c r="D1186" s="886">
        <f>прибуд.!O1186</f>
        <v>0.32859086767065915</v>
      </c>
      <c r="E1186" s="886">
        <f>гар.вода!M1186+хол.вода!Q1186+ц.о.!M1186+каналізація!Q1186+аварійні!I1186+зварювальн!M1186</f>
        <v>0.27130724862174782</v>
      </c>
      <c r="F1186" s="886">
        <f>дератизац.!I1186</f>
        <v>3.7792760031590644E-3</v>
      </c>
      <c r="G1186" s="886">
        <f>димоканал!R1186</f>
        <v>3.7404781271525939E-2</v>
      </c>
      <c r="H1186" s="886">
        <f>'підготовка до зими'!M1186+майстерні!M1186+маляри!M1186+покрівлі!O1186</f>
        <v>0.14521081472652975</v>
      </c>
      <c r="I1186" s="886">
        <f>електрики!R1186</f>
        <v>2.9836940936674414E-2</v>
      </c>
      <c r="J1186" s="989">
        <f t="shared" si="139"/>
        <v>1.3308286106051361</v>
      </c>
      <c r="K1186" s="989">
        <v>3.3688538039668516E-2</v>
      </c>
      <c r="L1186" s="994">
        <f t="shared" si="138"/>
        <v>1.3645171486448047</v>
      </c>
      <c r="M1186" s="994">
        <f t="shared" si="140"/>
        <v>1.6374205783737656</v>
      </c>
      <c r="N1186" s="753">
        <v>9</v>
      </c>
      <c r="O1186" s="1003">
        <v>1.3879677672343429</v>
      </c>
      <c r="P1186" s="22">
        <f t="shared" si="141"/>
        <v>0.24945281113942275</v>
      </c>
      <c r="Q1186" s="982">
        <f t="shared" si="142"/>
        <v>17.972521915006794</v>
      </c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s="93" customFormat="1" ht="15.75">
      <c r="A1187" s="236">
        <v>42</v>
      </c>
      <c r="B1187" s="233" t="s">
        <v>519</v>
      </c>
      <c r="C1187" s="886">
        <f>cходова!R1187</f>
        <v>0.59946367214107255</v>
      </c>
      <c r="D1187" s="886">
        <f>прибуд.!O1187</f>
        <v>0.42749498570855582</v>
      </c>
      <c r="E1187" s="886">
        <f>гар.вода!M1187+хол.вода!Q1187+ц.о.!M1187+каналізація!Q1187+аварійні!I1187+зварювальн!M1187</f>
        <v>0.2482694984400082</v>
      </c>
      <c r="F1187" s="886">
        <f>дератизац.!I1187</f>
        <v>2.693578248085091E-3</v>
      </c>
      <c r="G1187" s="886">
        <f>димоканал!R1187</f>
        <v>3.2649788817603824E-2</v>
      </c>
      <c r="H1187" s="886">
        <f>'підготовка до зими'!M1187+майстерні!M1187+маляри!M1187+покрівлі!O1187</f>
        <v>0.14676359324760752</v>
      </c>
      <c r="I1187" s="886">
        <f>електрики!R1187</f>
        <v>2.6242803324070856E-2</v>
      </c>
      <c r="J1187" s="989">
        <f t="shared" si="139"/>
        <v>1.4835779199270038</v>
      </c>
      <c r="K1187" s="989">
        <v>3.7389819992934635E-2</v>
      </c>
      <c r="L1187" s="994">
        <f t="shared" si="138"/>
        <v>1.5209677399199384</v>
      </c>
      <c r="M1187" s="994">
        <f t="shared" si="140"/>
        <v>1.8251612879039261</v>
      </c>
      <c r="N1187" s="753">
        <v>9</v>
      </c>
      <c r="O1187" s="1003">
        <v>1.5404605837089071</v>
      </c>
      <c r="P1187" s="22">
        <f t="shared" si="141"/>
        <v>0.28470070419501892</v>
      </c>
      <c r="Q1187" s="982">
        <f t="shared" si="142"/>
        <v>18.481531251488164</v>
      </c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s="93" customFormat="1" ht="15.75">
      <c r="A1188" s="236">
        <v>43</v>
      </c>
      <c r="B1188" s="233" t="s">
        <v>520</v>
      </c>
      <c r="C1188" s="886">
        <f>cходова!R1188</f>
        <v>0.74019011892705</v>
      </c>
      <c r="D1188" s="886">
        <f>прибуд.!O1188</f>
        <v>0.3345022298237959</v>
      </c>
      <c r="E1188" s="886">
        <f>гар.вода!M1188+хол.вода!Q1188+ц.о.!M1188+каналізація!Q1188+аварійні!I1188+зварювальн!M1188</f>
        <v>0.24896429318119853</v>
      </c>
      <c r="F1188" s="886">
        <f>дератизац.!I1188</f>
        <v>4.0434927419919801E-3</v>
      </c>
      <c r="G1188" s="886">
        <f>димоканал!R1188</f>
        <v>3.3317390282164704E-2</v>
      </c>
      <c r="H1188" s="886">
        <f>'підготовка до зими'!M1188+майстерні!M1188+маляри!M1188+покрівлі!O1188</f>
        <v>0.14782529170861713</v>
      </c>
      <c r="I1188" s="886">
        <f>електрики!R1188</f>
        <v>2.6292940101141696E-2</v>
      </c>
      <c r="J1188" s="989">
        <f t="shared" si="139"/>
        <v>1.53513575676596</v>
      </c>
      <c r="K1188" s="989">
        <v>3.86754022753878E-2</v>
      </c>
      <c r="L1188" s="994">
        <f t="shared" si="138"/>
        <v>1.5738111590413479</v>
      </c>
      <c r="M1188" s="994">
        <f t="shared" si="140"/>
        <v>1.8885733908496174</v>
      </c>
      <c r="N1188" s="753">
        <v>9</v>
      </c>
      <c r="O1188" s="1003">
        <v>1.5934265737459776</v>
      </c>
      <c r="P1188" s="22">
        <f t="shared" si="141"/>
        <v>0.29514681710363977</v>
      </c>
      <c r="Q1188" s="982">
        <f t="shared" si="142"/>
        <v>18.522774878153371</v>
      </c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s="93" customFormat="1" ht="15.75">
      <c r="A1189" s="236">
        <v>44</v>
      </c>
      <c r="B1189" s="233" t="s">
        <v>521</v>
      </c>
      <c r="C1189" s="886">
        <f>cходова!R1189</f>
        <v>0.54811518477143806</v>
      </c>
      <c r="D1189" s="886">
        <f>прибуд.!O1189</f>
        <v>0.44253087038859767</v>
      </c>
      <c r="E1189" s="886">
        <f>гар.вода!M1189+хол.вода!Q1189+ц.о.!M1189+каналізація!Q1189+аварійні!I1189+зварювальн!M1189</f>
        <v>0.24385534503375603</v>
      </c>
      <c r="F1189" s="886">
        <f>дератизац.!I1189</f>
        <v>3.308569701941759E-3</v>
      </c>
      <c r="G1189" s="886">
        <f>димоканал!R1189</f>
        <v>3.1071633022202286E-2</v>
      </c>
      <c r="H1189" s="886">
        <f>'підготовка до зими'!M1189+майстерні!M1189+маляри!M1189+покрівлі!O1189</f>
        <v>0.14949812675770663</v>
      </c>
      <c r="I1189" s="886">
        <f>електрики!R1189</f>
        <v>2.6339045341580301E-2</v>
      </c>
      <c r="J1189" s="989">
        <f t="shared" si="139"/>
        <v>1.4447187750172228</v>
      </c>
      <c r="K1189" s="989">
        <v>3.6423999892118385E-2</v>
      </c>
      <c r="L1189" s="994">
        <f t="shared" si="138"/>
        <v>1.4811427749093411</v>
      </c>
      <c r="M1189" s="994">
        <f t="shared" si="140"/>
        <v>1.7773713298912093</v>
      </c>
      <c r="N1189" s="753">
        <v>9</v>
      </c>
      <c r="O1189" s="1003">
        <v>1.5006687955552778</v>
      </c>
      <c r="P1189" s="22">
        <f t="shared" si="141"/>
        <v>0.2767025343359315</v>
      </c>
      <c r="Q1189" s="982">
        <f t="shared" si="142"/>
        <v>18.438614513440712</v>
      </c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s="93" customFormat="1" ht="15.75">
      <c r="A1190" s="236">
        <v>45</v>
      </c>
      <c r="B1190" s="233" t="s">
        <v>522</v>
      </c>
      <c r="C1190" s="886">
        <f>cходова!R1190</f>
        <v>0.5753377182218955</v>
      </c>
      <c r="D1190" s="886">
        <f>прибуд.!O1190</f>
        <v>0.47262788367478925</v>
      </c>
      <c r="E1190" s="886">
        <f>гар.вода!M1190+хол.вода!Q1190+ц.о.!M1190+каналізація!Q1190+аварійні!I1190+зварювальн!M1190</f>
        <v>0.23870982505156574</v>
      </c>
      <c r="F1190" s="886">
        <f>дератизац.!I1190</f>
        <v>3.473865366448487E-3</v>
      </c>
      <c r="G1190" s="886">
        <f>димоканал!R1190</f>
        <v>2.9384876677526837E-2</v>
      </c>
      <c r="H1190" s="886">
        <f>'підготовка до зими'!M1190+майстерні!M1190+маляри!M1190+покрівлі!O1190</f>
        <v>0.15441458767500607</v>
      </c>
      <c r="I1190" s="886">
        <f>електрики!R1190</f>
        <v>2.6593966507622573E-2</v>
      </c>
      <c r="J1190" s="989">
        <f t="shared" si="139"/>
        <v>1.5005427231748545</v>
      </c>
      <c r="K1190" s="989">
        <v>3.7808622384464578E-2</v>
      </c>
      <c r="L1190" s="994">
        <f t="shared" si="138"/>
        <v>1.538351345559319</v>
      </c>
      <c r="M1190" s="994">
        <f t="shared" si="140"/>
        <v>1.8460216146711828</v>
      </c>
      <c r="N1190" s="753">
        <v>9</v>
      </c>
      <c r="O1190" s="1003">
        <v>1.5577152422399407</v>
      </c>
      <c r="P1190" s="22">
        <f t="shared" si="141"/>
        <v>0.28830637243124202</v>
      </c>
      <c r="Q1190" s="982">
        <f t="shared" si="142"/>
        <v>18.508284737373913</v>
      </c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s="93" customFormat="1" ht="15.75">
      <c r="A1191" s="236">
        <v>46</v>
      </c>
      <c r="B1191" s="233" t="s">
        <v>523</v>
      </c>
      <c r="C1191" s="886">
        <f>cходова!R1191</f>
        <v>0.62115079175826315</v>
      </c>
      <c r="D1191" s="886">
        <f>прибуд.!O1191</f>
        <v>0.47334635705634998</v>
      </c>
      <c r="E1191" s="886">
        <f>гар.вода!M1191+хол.вода!Q1191+ц.о.!M1191+каналізація!Q1191+аварійні!I1191+зварювальн!M1191</f>
        <v>0.24672014778739121</v>
      </c>
      <c r="F1191" s="886">
        <f>дератизац.!I1191</f>
        <v>2.7159900472106661E-3</v>
      </c>
      <c r="G1191" s="886">
        <f>димоканал!R1191</f>
        <v>3.3984889293863216E-2</v>
      </c>
      <c r="H1191" s="886">
        <f>'підготовка до зими'!M1191+майстерні!M1191+маляри!M1191+покрівлі!O1191</f>
        <v>0.14352941439915212</v>
      </c>
      <c r="I1191" s="886">
        <f>електрики!R1191</f>
        <v>2.5590730913634986E-2</v>
      </c>
      <c r="J1191" s="989">
        <f t="shared" si="139"/>
        <v>1.5470383212558652</v>
      </c>
      <c r="K1191" s="989">
        <v>3.8742043007052411E-2</v>
      </c>
      <c r="L1191" s="994">
        <f t="shared" si="138"/>
        <v>1.5857803642629176</v>
      </c>
      <c r="M1191" s="994">
        <f t="shared" si="140"/>
        <v>1.9029364371155011</v>
      </c>
      <c r="N1191" s="753">
        <v>9</v>
      </c>
      <c r="O1191" s="1003">
        <v>1.5961721718905593</v>
      </c>
      <c r="P1191" s="22">
        <f t="shared" si="141"/>
        <v>0.30676426522494182</v>
      </c>
      <c r="Q1191" s="982">
        <f t="shared" si="142"/>
        <v>19.218745360132417</v>
      </c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s="93" customFormat="1" ht="15.75">
      <c r="A1192" s="236">
        <v>47</v>
      </c>
      <c r="B1192" s="233" t="s">
        <v>524</v>
      </c>
      <c r="C1192" s="886">
        <f>cходова!R1192</f>
        <v>0.59684082449772846</v>
      </c>
      <c r="D1192" s="886">
        <f>прибуд.!O1192</f>
        <v>0.46123515171194174</v>
      </c>
      <c r="E1192" s="886">
        <f>гар.вода!M1192+хол.вода!Q1192+ц.о.!M1192+каналізація!Q1192+аварійні!I1192+зварювальн!M1192</f>
        <v>0.24693062275740207</v>
      </c>
      <c r="F1192" s="886">
        <f>дератизац.!I1192</f>
        <v>2.6142814460711089E-3</v>
      </c>
      <c r="G1192" s="886">
        <f>димоканал!R1192</f>
        <v>3.2654823298538471E-2</v>
      </c>
      <c r="H1192" s="886">
        <f>'підготовка до зими'!M1192+майстерні!M1192+маляри!M1192+покрівлі!O1192</f>
        <v>0.14875698334961085</v>
      </c>
      <c r="I1192" s="886">
        <f>електрики!R1192</f>
        <v>2.5770064993999694E-2</v>
      </c>
      <c r="J1192" s="989">
        <f t="shared" si="139"/>
        <v>1.5148027520552922</v>
      </c>
      <c r="K1192" s="989">
        <v>3.8147970631618677E-2</v>
      </c>
      <c r="L1192" s="994">
        <f t="shared" si="138"/>
        <v>1.5529507226869108</v>
      </c>
      <c r="M1192" s="994">
        <f t="shared" si="140"/>
        <v>1.8635408672242928</v>
      </c>
      <c r="N1192" s="753">
        <v>9</v>
      </c>
      <c r="O1192" s="1003">
        <v>1.5716963900226897</v>
      </c>
      <c r="P1192" s="22">
        <f t="shared" si="141"/>
        <v>0.29184447720160311</v>
      </c>
      <c r="Q1192" s="982">
        <f t="shared" si="142"/>
        <v>18.568756603009689</v>
      </c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s="93" customFormat="1" ht="15.75">
      <c r="A1193" s="236">
        <v>48</v>
      </c>
      <c r="B1193" s="233" t="s">
        <v>525</v>
      </c>
      <c r="C1193" s="886">
        <f>cходова!R1193</f>
        <v>0.64478907018240794</v>
      </c>
      <c r="D1193" s="886">
        <f>прибуд.!O1193</f>
        <v>0.33679718662666386</v>
      </c>
      <c r="E1193" s="886">
        <f>гар.вода!M1193+хол.вода!Q1193+ц.о.!M1193+каналізація!Q1193+аварійні!I1193+зварювальн!M1193</f>
        <v>0.24759521834861176</v>
      </c>
      <c r="F1193" s="886">
        <f>дератизац.!I1193</f>
        <v>3.4325706789603938E-3</v>
      </c>
      <c r="G1193" s="886">
        <f>димоканал!R1193</f>
        <v>3.28712309964619E-2</v>
      </c>
      <c r="H1193" s="886">
        <f>'підготовка до зими'!M1193+майстерні!M1193+маляри!M1193+покрівлі!O1193</f>
        <v>0.14735570172535625</v>
      </c>
      <c r="I1193" s="886">
        <f>електрики!R1193</f>
        <v>2.5940846516524067E-2</v>
      </c>
      <c r="J1193" s="989">
        <f t="shared" si="139"/>
        <v>1.4387818250749862</v>
      </c>
      <c r="K1193" s="989">
        <v>3.6272575093463252E-2</v>
      </c>
      <c r="L1193" s="994">
        <f t="shared" si="138"/>
        <v>1.4750544001684494</v>
      </c>
      <c r="M1193" s="994">
        <f t="shared" si="140"/>
        <v>1.7700652802021393</v>
      </c>
      <c r="N1193" s="753">
        <v>9</v>
      </c>
      <c r="O1193" s="1003">
        <v>1.494430093850686</v>
      </c>
      <c r="P1193" s="22">
        <f t="shared" si="141"/>
        <v>0.27563518635145323</v>
      </c>
      <c r="Q1193" s="982">
        <f t="shared" si="142"/>
        <v>18.444167277254579</v>
      </c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s="93" customFormat="1" ht="15.75">
      <c r="A1194" s="236">
        <v>49</v>
      </c>
      <c r="B1194" s="233" t="s">
        <v>526</v>
      </c>
      <c r="C1194" s="886">
        <f>cходова!R1194</f>
        <v>0.64268940048341605</v>
      </c>
      <c r="D1194" s="886">
        <f>прибуд.!O1194</f>
        <v>0.41117137733357922</v>
      </c>
      <c r="E1194" s="886">
        <f>гар.вода!M1194+хол.вода!Q1194+ц.о.!M1194+каналізація!Q1194+аварійні!I1194+зварювальн!M1194</f>
        <v>0.24766767339714627</v>
      </c>
      <c r="F1194" s="886">
        <f>дератизац.!I1194</f>
        <v>2.7996470747929957E-3</v>
      </c>
      <c r="G1194" s="886">
        <f>димоканал!R1194</f>
        <v>3.2894724834659016E-2</v>
      </c>
      <c r="H1194" s="886">
        <f>'підготовка до зими'!M1194+майстерні!M1194+маляри!M1194+покрівлі!O1194</f>
        <v>0.14762541820326108</v>
      </c>
      <c r="I1194" s="886">
        <f>електрики!R1194</f>
        <v>2.5959387046716593E-2</v>
      </c>
      <c r="J1194" s="989">
        <f t="shared" si="139"/>
        <v>1.5108076283735712</v>
      </c>
      <c r="K1194" s="989">
        <v>3.805178340963631E-2</v>
      </c>
      <c r="L1194" s="994">
        <f t="shared" si="138"/>
        <v>1.5488594117832075</v>
      </c>
      <c r="M1194" s="994">
        <f t="shared" si="140"/>
        <v>1.8586312941398488</v>
      </c>
      <c r="N1194" s="753">
        <v>9</v>
      </c>
      <c r="O1194" s="1003">
        <v>1.5677334764770159</v>
      </c>
      <c r="P1194" s="22">
        <f t="shared" si="141"/>
        <v>0.29089781766283296</v>
      </c>
      <c r="Q1194" s="982">
        <f t="shared" si="142"/>
        <v>18.555310709862098</v>
      </c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s="93" customFormat="1" ht="15.75">
      <c r="A1195" s="236">
        <v>50</v>
      </c>
      <c r="B1195" s="233" t="s">
        <v>527</v>
      </c>
      <c r="C1195" s="886">
        <f>cходова!R1195</f>
        <v>0.64490706818083254</v>
      </c>
      <c r="D1195" s="886">
        <f>прибуд.!O1195</f>
        <v>0.39788848532526089</v>
      </c>
      <c r="E1195" s="886">
        <f>гар.вода!M1195+хол.вода!Q1195+ц.о.!M1195+каналізація!Q1195+аварійні!I1195+зварювальн!M1195</f>
        <v>0.24761085311199477</v>
      </c>
      <c r="F1195" s="886">
        <f>дератизац.!I1195</f>
        <v>2.3875518753071453E-3</v>
      </c>
      <c r="G1195" s="886">
        <f>димоканал!R1195</f>
        <v>3.2877246513229645E-2</v>
      </c>
      <c r="H1195" s="886">
        <f>'підготовка до зими'!M1195+майстерні!M1195+маляри!M1195+покрівлі!O1195</f>
        <v>0.14583920874849096</v>
      </c>
      <c r="I1195" s="886">
        <f>електрики!R1195</f>
        <v>2.5945593755749952E-2</v>
      </c>
      <c r="J1195" s="989">
        <f t="shared" si="139"/>
        <v>1.4974560075108658</v>
      </c>
      <c r="K1195" s="989">
        <v>3.7719091738576807E-2</v>
      </c>
      <c r="L1195" s="994">
        <f t="shared" si="138"/>
        <v>1.5351750992494426</v>
      </c>
      <c r="M1195" s="994">
        <f t="shared" si="140"/>
        <v>1.842210119099331</v>
      </c>
      <c r="N1195" s="753">
        <v>9</v>
      </c>
      <c r="O1195" s="1003">
        <v>1.5540265796293646</v>
      </c>
      <c r="P1195" s="22">
        <f t="shared" si="141"/>
        <v>0.28818353946996633</v>
      </c>
      <c r="Q1195" s="982">
        <f t="shared" si="142"/>
        <v>18.54431212744754</v>
      </c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s="93" customFormat="1" ht="15.75">
      <c r="A1196" s="236">
        <v>51</v>
      </c>
      <c r="B1196" s="233" t="s">
        <v>528</v>
      </c>
      <c r="C1196" s="886">
        <f>cходова!R1196</f>
        <v>0.61746475314310734</v>
      </c>
      <c r="D1196" s="886">
        <f>прибуд.!O1196</f>
        <v>0.22674805435159931</v>
      </c>
      <c r="E1196" s="886">
        <f>гар.вода!M1196+хол.вода!Q1196+ц.о.!M1196+каналізація!Q1196+аварійні!I1196+зварювальн!M1196</f>
        <v>0.23565789084217847</v>
      </c>
      <c r="F1196" s="886">
        <f>дератизац.!I1196</f>
        <v>3.6308055642922969E-3</v>
      </c>
      <c r="G1196" s="886">
        <f>димоканал!R1196</f>
        <v>2.6164493331586047E-2</v>
      </c>
      <c r="H1196" s="886">
        <f>'підготовка до зими'!M1196+майстерні!M1196+маляри!M1196+покрівлі!O1196</f>
        <v>0.15705185052659038</v>
      </c>
      <c r="I1196" s="886">
        <f>електрики!R1196</f>
        <v>2.7998902255672087E-2</v>
      </c>
      <c r="J1196" s="989">
        <f t="shared" si="139"/>
        <v>1.2947167500150258</v>
      </c>
      <c r="K1196" s="989">
        <v>3.2772421572985176E-2</v>
      </c>
      <c r="L1196" s="994">
        <f t="shared" si="138"/>
        <v>1.3274891715880111</v>
      </c>
      <c r="M1196" s="994">
        <f t="shared" si="140"/>
        <v>1.5929870059056133</v>
      </c>
      <c r="N1196" s="753">
        <v>9</v>
      </c>
      <c r="O1196" s="1003">
        <v>1.3502237688069891</v>
      </c>
      <c r="P1196" s="22">
        <f t="shared" si="141"/>
        <v>0.24276323709862413</v>
      </c>
      <c r="Q1196" s="982">
        <f t="shared" si="142"/>
        <v>17.979481824195801</v>
      </c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s="93" customFormat="1" ht="15.75">
      <c r="A1197" s="236">
        <v>52</v>
      </c>
      <c r="B1197" s="233" t="s">
        <v>529</v>
      </c>
      <c r="C1197" s="886">
        <f>cходова!R1197</f>
        <v>0.59441140973441564</v>
      </c>
      <c r="D1197" s="886">
        <f>прибуд.!O1197</f>
        <v>0.31579854022313042</v>
      </c>
      <c r="E1197" s="886">
        <f>гар.вода!M1197+хол.вода!Q1197+ц.о.!M1197+каналізація!Q1197+аварійні!I1197+зварювальн!M1197</f>
        <v>0.23601659290678534</v>
      </c>
      <c r="F1197" s="886">
        <f>дератизац.!I1197</f>
        <v>0</v>
      </c>
      <c r="G1197" s="886">
        <f>димоканал!R1197</f>
        <v>2.5827031562342815E-2</v>
      </c>
      <c r="H1197" s="886">
        <f>'підготовка до зими'!M1197+майстерні!M1197+маляри!M1197+покрівлі!O1197</f>
        <v>0.13251705491786051</v>
      </c>
      <c r="I1197" s="886">
        <f>електрики!R1197</f>
        <v>2.2162003401409801E-2</v>
      </c>
      <c r="J1197" s="989">
        <f t="shared" si="139"/>
        <v>1.3267326327459443</v>
      </c>
      <c r="K1197" s="989">
        <v>3.3513821232391862E-2</v>
      </c>
      <c r="L1197" s="994">
        <f t="shared" si="138"/>
        <v>1.3602464539783361</v>
      </c>
      <c r="M1197" s="994">
        <f t="shared" si="140"/>
        <v>1.6322957447740032</v>
      </c>
      <c r="N1197" s="753">
        <v>15</v>
      </c>
      <c r="O1197" s="1003">
        <v>1.3807694347745449</v>
      </c>
      <c r="P1197" s="22">
        <f t="shared" si="141"/>
        <v>0.25152630999945824</v>
      </c>
      <c r="Q1197" s="982">
        <f t="shared" si="142"/>
        <v>18.216387447809339</v>
      </c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s="93" customFormat="1" ht="15.75">
      <c r="A1198" s="236">
        <v>53</v>
      </c>
      <c r="B1198" s="233" t="s">
        <v>530</v>
      </c>
      <c r="C1198" s="886">
        <f>cходова!R1198</f>
        <v>0.61906135674820195</v>
      </c>
      <c r="D1198" s="886">
        <f>прибуд.!O1198</f>
        <v>0.31546362169080805</v>
      </c>
      <c r="E1198" s="886">
        <f>гар.вода!M1198+хол.вода!Q1198+ц.о.!M1198+каналізація!Q1198+аварійні!I1198+зварювальн!M1198</f>
        <v>0.24153503810685123</v>
      </c>
      <c r="F1198" s="886">
        <f>дератизац.!I1198</f>
        <v>3.2022099618655465E-3</v>
      </c>
      <c r="G1198" s="886">
        <f>димоканал!R1198</f>
        <v>2.7715429648329848E-2</v>
      </c>
      <c r="H1198" s="886">
        <f>'підготовка до зими'!M1198+майстерні!M1198+маляри!M1198+покрівлі!O1198</f>
        <v>0.15422931570627696</v>
      </c>
      <c r="I1198" s="886">
        <f>електрики!R1198</f>
        <v>2.8245656052091919E-2</v>
      </c>
      <c r="J1198" s="989">
        <f t="shared" si="139"/>
        <v>1.3894526279144255</v>
      </c>
      <c r="K1198" s="989">
        <v>3.5124721576185625E-2</v>
      </c>
      <c r="L1198" s="994">
        <f t="shared" si="138"/>
        <v>1.4245773494906111</v>
      </c>
      <c r="M1198" s="994">
        <f t="shared" si="140"/>
        <v>1.7094928193887333</v>
      </c>
      <c r="N1198" s="753">
        <v>9</v>
      </c>
      <c r="O1198" s="1003">
        <v>1.4471385289388476</v>
      </c>
      <c r="P1198" s="22">
        <f t="shared" si="141"/>
        <v>0.26235429044988567</v>
      </c>
      <c r="Q1198" s="982">
        <f t="shared" si="142"/>
        <v>18.129175970614497</v>
      </c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s="93" customFormat="1" ht="15.75">
      <c r="A1199" s="236">
        <v>54</v>
      </c>
      <c r="B1199" s="233" t="s">
        <v>531</v>
      </c>
      <c r="C1199" s="886">
        <f>cходова!R1199</f>
        <v>0.60644960451799468</v>
      </c>
      <c r="D1199" s="886">
        <f>прибуд.!O1199</f>
        <v>0.28977633875072883</v>
      </c>
      <c r="E1199" s="886">
        <f>гар.вода!M1199+хол.вода!Q1199+ц.о.!M1199+каналізація!Q1199+аварійні!I1199+зварювальн!M1199</f>
        <v>0.22829140464557843</v>
      </c>
      <c r="F1199" s="886">
        <f>дератизац.!I1199</f>
        <v>0</v>
      </c>
      <c r="G1199" s="886">
        <f>димоканал!R1199</f>
        <v>2.3698851304528777E-2</v>
      </c>
      <c r="H1199" s="886">
        <f>'підготовка до зими'!M1199+майстерні!M1199+маляри!M1199+покрівлі!O1199</f>
        <v>0.13830443255262087</v>
      </c>
      <c r="I1199" s="886">
        <f>електрики!R1199</f>
        <v>2.2610834815765916E-2</v>
      </c>
      <c r="J1199" s="989">
        <f t="shared" si="139"/>
        <v>1.3091314665872176</v>
      </c>
      <c r="K1199" s="989">
        <v>3.3087926368182627E-2</v>
      </c>
      <c r="L1199" s="994">
        <f t="shared" si="138"/>
        <v>1.3422193929554003</v>
      </c>
      <c r="M1199" s="994">
        <f t="shared" si="140"/>
        <v>1.6106632715464804</v>
      </c>
      <c r="N1199" s="753">
        <v>15</v>
      </c>
      <c r="O1199" s="1003">
        <v>1.3632225663691244</v>
      </c>
      <c r="P1199" s="22">
        <f t="shared" si="141"/>
        <v>0.24744070517735595</v>
      </c>
      <c r="Q1199" s="982">
        <f t="shared" si="142"/>
        <v>18.151159706547546</v>
      </c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s="93" customFormat="1" ht="15.75">
      <c r="A1200" s="236">
        <v>55</v>
      </c>
      <c r="B1200" s="233" t="s">
        <v>1370</v>
      </c>
      <c r="C1200" s="886">
        <f>cходова!R1200</f>
        <v>0.20985099929381759</v>
      </c>
      <c r="D1200" s="886">
        <f>прибуд.!O1200</f>
        <v>0.55086320161236701</v>
      </c>
      <c r="E1200" s="886">
        <f>гар.вода!M1200+хол.вода!Q1200+ц.о.!M1200+каналізація!Q1200+аварійні!I1200+зварювальн!M1200</f>
        <v>0.23061235398225138</v>
      </c>
      <c r="F1200" s="886">
        <f>дератизац.!I1200</f>
        <v>0</v>
      </c>
      <c r="G1200" s="886">
        <f>димоканал!R1200</f>
        <v>0.15645523715887472</v>
      </c>
      <c r="H1200" s="886">
        <f>'підготовка до зими'!M1200+майстерні!M1200+маляри!M1200+покрівлі!O1200</f>
        <v>0.15524480513577632</v>
      </c>
      <c r="I1200" s="886">
        <f>електрики!R1200</f>
        <v>2.9077328276773739E-2</v>
      </c>
      <c r="J1200" s="989">
        <f t="shared" si="139"/>
        <v>1.3321039254598606</v>
      </c>
      <c r="K1200" s="989">
        <v>3.3194622833241719E-2</v>
      </c>
      <c r="L1200" s="994">
        <f t="shared" si="138"/>
        <v>1.3652985482931024</v>
      </c>
      <c r="M1200" s="994">
        <f t="shared" si="140"/>
        <v>1.6383582579517229</v>
      </c>
      <c r="N1200" s="753">
        <v>5</v>
      </c>
      <c r="O1200" s="1003">
        <v>1.3676184607295589</v>
      </c>
      <c r="P1200" s="22">
        <f t="shared" si="141"/>
        <v>0.2707397972221639</v>
      </c>
      <c r="Q1200" s="982">
        <f t="shared" si="142"/>
        <v>19.796442136188858</v>
      </c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s="93" customFormat="1" ht="15.75">
      <c r="A1201" s="236">
        <v>56</v>
      </c>
      <c r="B1201" s="233" t="s">
        <v>1371</v>
      </c>
      <c r="C1201" s="886">
        <f>cходова!R1201</f>
        <v>0.22391285303262415</v>
      </c>
      <c r="D1201" s="886">
        <f>прибуд.!O1201</f>
        <v>0.44799478609787224</v>
      </c>
      <c r="E1201" s="886">
        <f>гар.вода!M1201+хол.вода!Q1201+ц.о.!M1201+каналізація!Q1201+аварійні!I1201+зварювальн!M1201</f>
        <v>0.21534158746827198</v>
      </c>
      <c r="F1201" s="886">
        <f>дератизац.!I1201</f>
        <v>0</v>
      </c>
      <c r="G1201" s="886">
        <f>димоканал!R1201</f>
        <v>0.16272587841569044</v>
      </c>
      <c r="H1201" s="886">
        <f>'підготовка до зими'!M1201+майстерні!M1201+маляри!M1201+покрівлі!O1201</f>
        <v>0.15525378679627999</v>
      </c>
      <c r="I1201" s="886">
        <f>електрики!R1201</f>
        <v>2.5286038595944551E-2</v>
      </c>
      <c r="J1201" s="989">
        <f t="shared" si="139"/>
        <v>1.2305149304066834</v>
      </c>
      <c r="K1201" s="989">
        <v>3.0673187182100617E-2</v>
      </c>
      <c r="L1201" s="994">
        <f t="shared" si="138"/>
        <v>1.261188117588784</v>
      </c>
      <c r="M1201" s="994">
        <f t="shared" si="140"/>
        <v>1.5134257411065408</v>
      </c>
      <c r="N1201" s="753">
        <v>5</v>
      </c>
      <c r="O1201" s="1003">
        <v>1.2637353119025454</v>
      </c>
      <c r="P1201" s="22">
        <f t="shared" si="141"/>
        <v>0.24969042920399542</v>
      </c>
      <c r="Q1201" s="982">
        <f t="shared" si="142"/>
        <v>19.758127105595236</v>
      </c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s="91" customFormat="1" ht="16.5" thickBot="1">
      <c r="A1202" s="902"/>
      <c r="B1202" s="903" t="s">
        <v>1409</v>
      </c>
      <c r="C1202" s="773">
        <f>SUM(C1148:C1201)/56</f>
        <v>0.2465321174336903</v>
      </c>
      <c r="D1202" s="773">
        <f t="shared" ref="D1202:I1202" si="143">SUM(D1148:D1201)/56</f>
        <v>0.23713450668552011</v>
      </c>
      <c r="E1202" s="773">
        <f t="shared" si="143"/>
        <v>0.19851981776620428</v>
      </c>
      <c r="F1202" s="773">
        <f t="shared" si="143"/>
        <v>1.2597167244773131E-3</v>
      </c>
      <c r="G1202" s="773">
        <f t="shared" si="143"/>
        <v>0.12666128492802095</v>
      </c>
      <c r="H1202" s="773">
        <f t="shared" si="143"/>
        <v>0.21203097203604085</v>
      </c>
      <c r="I1202" s="773">
        <f t="shared" si="143"/>
        <v>2.4654964624372781E-2</v>
      </c>
      <c r="J1202" s="998">
        <f t="shared" ref="J1202:M1202" si="144">SUM(J1148:J1201)/56</f>
        <v>1.0467933801983265</v>
      </c>
      <c r="K1202" s="998">
        <f t="shared" si="144"/>
        <v>2.6761769951043617E-2</v>
      </c>
      <c r="L1202" s="998">
        <f t="shared" si="144"/>
        <v>1.0735551501493701</v>
      </c>
      <c r="M1202" s="998">
        <f t="shared" si="144"/>
        <v>1.2882661801792439</v>
      </c>
      <c r="N1202" s="528"/>
      <c r="O1202" s="1003">
        <f>AVERAGE(O1148:O1201)</f>
        <v>1.1434214005749599</v>
      </c>
      <c r="P1202" s="22">
        <f>AVERAGE(P1148:P1201)</f>
        <v>0.19255834183314494</v>
      </c>
      <c r="Q1202" s="982">
        <f t="shared" si="142"/>
        <v>12.667663866659325</v>
      </c>
      <c r="R1202" s="5"/>
      <c r="S1202" s="5"/>
      <c r="T1202" s="5"/>
      <c r="U1202" s="5"/>
      <c r="V1202" s="5"/>
      <c r="W1202" s="5"/>
      <c r="X1202" s="5"/>
      <c r="Y1202" s="5"/>
      <c r="Z1202" s="5"/>
    </row>
    <row r="1203" spans="1:26" s="270" customFormat="1" ht="21" thickBot="1">
      <c r="A1203" s="1029" t="s">
        <v>661</v>
      </c>
      <c r="B1203" s="1030"/>
      <c r="C1203" s="1030"/>
      <c r="D1203" s="1030"/>
      <c r="E1203" s="1030"/>
      <c r="F1203" s="1030"/>
      <c r="G1203" s="1030"/>
      <c r="H1203" s="1030"/>
      <c r="I1203" s="1030"/>
      <c r="J1203" s="1030"/>
      <c r="K1203" s="1030"/>
      <c r="L1203" s="1030"/>
      <c r="M1203" s="1031"/>
      <c r="N1203" s="990"/>
      <c r="O1203" s="991"/>
      <c r="P1203" s="22"/>
      <c r="Q1203" s="982"/>
      <c r="R1203" s="911"/>
      <c r="S1203" s="911"/>
      <c r="T1203" s="911"/>
      <c r="U1203" s="911"/>
      <c r="V1203" s="911"/>
      <c r="W1203" s="911"/>
      <c r="X1203" s="911"/>
      <c r="Y1203" s="911"/>
      <c r="Z1203" s="911"/>
    </row>
    <row r="1204" spans="1:26" s="93" customFormat="1" ht="15.75">
      <c r="A1204" s="894">
        <v>1</v>
      </c>
      <c r="B1204" s="234" t="s">
        <v>532</v>
      </c>
      <c r="C1204" s="886">
        <f>cходова!R1204</f>
        <v>0.49741386545614802</v>
      </c>
      <c r="D1204" s="886">
        <f>прибуд.!O1204</f>
        <v>0.45421209751608904</v>
      </c>
      <c r="E1204" s="886">
        <f>гар.вода!M1204+хол.вода!Q1204+ц.о.!M1204+каналізація!Q1204+аварійні!I1204+зварювальн!M1204</f>
        <v>0.27038741185215082</v>
      </c>
      <c r="F1204" s="886">
        <f>дератизац.!I1204</f>
        <v>3.7699987943283393E-3</v>
      </c>
      <c r="G1204" s="886">
        <f>димоканал!R1204</f>
        <v>1.9453714572699461E-2</v>
      </c>
      <c r="H1204" s="886">
        <f>'підготовка до зими'!M1204+майстерні!M1204+маляри!M1204+покрівлі!O1204</f>
        <v>0.10957603642219282</v>
      </c>
      <c r="I1204" s="886">
        <f>електрики!R1204</f>
        <v>2.2386527641137067E-2</v>
      </c>
      <c r="J1204" s="994">
        <f t="shared" ref="J1204:J1231" si="145">I1204+H1204+G1204+F1204+E1204+D1204+C1204</f>
        <v>1.3771996522547456</v>
      </c>
      <c r="K1204" s="994">
        <v>3.4565115714719465E-2</v>
      </c>
      <c r="L1204" s="994">
        <f>J1204+K1204</f>
        <v>1.4117647679694652</v>
      </c>
      <c r="M1204" s="994">
        <f>L1204*1.2</f>
        <v>1.694117721563358</v>
      </c>
      <c r="N1204" s="995">
        <v>9</v>
      </c>
      <c r="O1204" s="997">
        <v>1.424082767446442</v>
      </c>
      <c r="P1204" s="22">
        <f t="shared" ref="P1204:P1231" si="146">M1204-O1204</f>
        <v>0.27003495411691603</v>
      </c>
      <c r="Q1204" s="982">
        <f t="shared" ref="Q1204:Q1232" si="147">M1204/O1204*100-100</f>
        <v>18.962026666548496</v>
      </c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s="93" customFormat="1" ht="15.75">
      <c r="A1205" s="236">
        <v>2</v>
      </c>
      <c r="B1205" s="233" t="s">
        <v>533</v>
      </c>
      <c r="C1205" s="886">
        <f>cходова!R1205</f>
        <v>0.48632822754658345</v>
      </c>
      <c r="D1205" s="886">
        <f>прибуд.!O1205</f>
        <v>0.33057342103062531</v>
      </c>
      <c r="E1205" s="886">
        <f>гар.вода!M1205+хол.вода!Q1205+ц.о.!M1205+каналізація!Q1205+аварійні!I1205+зварювальн!M1205</f>
        <v>0.32536083714122788</v>
      </c>
      <c r="F1205" s="886">
        <f>дератизац.!I1205</f>
        <v>4.1186205904045767E-3</v>
      </c>
      <c r="G1205" s="886">
        <f>димоканал!R1205</f>
        <v>3.2965048077208417E-2</v>
      </c>
      <c r="H1205" s="886">
        <f>'підготовка до зими'!M1205+майстерні!M1205+маляри!M1205+покрівлі!O1205</f>
        <v>0.10778530803828185</v>
      </c>
      <c r="I1205" s="886">
        <f>електрики!R1205</f>
        <v>3.6354785073374654E-2</v>
      </c>
      <c r="J1205" s="989">
        <f t="shared" si="145"/>
        <v>1.323486247497706</v>
      </c>
      <c r="K1205" s="989">
        <v>3.3246017527668502E-2</v>
      </c>
      <c r="L1205" s="994">
        <f t="shared" ref="L1205:L1231" si="148">J1205+K1205</f>
        <v>1.3567322650253746</v>
      </c>
      <c r="M1205" s="994">
        <f t="shared" ref="M1205:M1231" si="149">L1205*1.2</f>
        <v>1.6280787180304495</v>
      </c>
      <c r="N1205" s="995">
        <v>9</v>
      </c>
      <c r="O1205" s="997">
        <v>1.3697359221399423</v>
      </c>
      <c r="P1205" s="22">
        <f t="shared" si="146"/>
        <v>0.25834279589050713</v>
      </c>
      <c r="Q1205" s="982">
        <f t="shared" si="147"/>
        <v>18.860773942972699</v>
      </c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s="93" customFormat="1" ht="15.75">
      <c r="A1206" s="236">
        <v>3</v>
      </c>
      <c r="B1206" s="233" t="s">
        <v>534</v>
      </c>
      <c r="C1206" s="886">
        <f>cходова!R1206</f>
        <v>0.44468880861803312</v>
      </c>
      <c r="D1206" s="886">
        <f>прибуд.!O1206</f>
        <v>0.51710133243313372</v>
      </c>
      <c r="E1206" s="886">
        <f>гар.вода!M1206+хол.вода!Q1206+ц.о.!M1206+каналізація!Q1206+аварійні!I1206+зварювальн!M1206</f>
        <v>0.27588562761433327</v>
      </c>
      <c r="F1206" s="886">
        <f>дератизац.!I1206</f>
        <v>3.9083265442214962E-3</v>
      </c>
      <c r="G1206" s="886">
        <f>димоканал!R1206</f>
        <v>2.0735011830226597E-2</v>
      </c>
      <c r="H1206" s="886">
        <f>'підготовка до зими'!M1206+майстерні!M1206+маляри!M1206+покрівлі!O1206</f>
        <v>0.10788435810283906</v>
      </c>
      <c r="I1206" s="886">
        <f>електрики!R1206</f>
        <v>2.3003552561258647E-2</v>
      </c>
      <c r="J1206" s="989">
        <f t="shared" si="145"/>
        <v>1.3932070177040459</v>
      </c>
      <c r="K1206" s="989">
        <v>3.4962016580523669E-2</v>
      </c>
      <c r="L1206" s="994">
        <f t="shared" si="148"/>
        <v>1.4281690342845694</v>
      </c>
      <c r="M1206" s="994">
        <f t="shared" si="149"/>
        <v>1.7138028411414832</v>
      </c>
      <c r="N1206" s="995">
        <v>9</v>
      </c>
      <c r="O1206" s="997">
        <v>1.4404350831175754</v>
      </c>
      <c r="P1206" s="22">
        <f t="shared" si="146"/>
        <v>0.27336775802390778</v>
      </c>
      <c r="Q1206" s="982">
        <f t="shared" si="147"/>
        <v>18.978138010374622</v>
      </c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s="93" customFormat="1" ht="15.75">
      <c r="A1207" s="236">
        <v>4</v>
      </c>
      <c r="B1207" s="233" t="s">
        <v>535</v>
      </c>
      <c r="C1207" s="886">
        <f>cходова!R1207</f>
        <v>0.44685367093495065</v>
      </c>
      <c r="D1207" s="886">
        <f>прибуд.!O1207</f>
        <v>0.38129391063272755</v>
      </c>
      <c r="E1207" s="886">
        <f>гар.вода!M1207+хол.вода!Q1207+ц.о.!M1207+каналізація!Q1207+аварійні!I1207+зварювальн!M1207</f>
        <v>0.33476311487718335</v>
      </c>
      <c r="F1207" s="886">
        <f>дератизац.!I1207</f>
        <v>4.4035972876118957E-3</v>
      </c>
      <c r="G1207" s="886">
        <f>димоканал!R1207</f>
        <v>3.527593391931285E-2</v>
      </c>
      <c r="H1207" s="886">
        <f>'підготовка до зими'!M1207+майстерні!M1207+маляри!M1207+покрівлі!O1207</f>
        <v>0.10500610214246094</v>
      </c>
      <c r="I1207" s="886">
        <f>електрики!R1207</f>
        <v>3.5998967433353589E-2</v>
      </c>
      <c r="J1207" s="989">
        <f t="shared" si="145"/>
        <v>1.3435952972276008</v>
      </c>
      <c r="K1207" s="989">
        <v>3.374533234149385E-2</v>
      </c>
      <c r="L1207" s="994">
        <f t="shared" si="148"/>
        <v>1.3773406295690946</v>
      </c>
      <c r="M1207" s="994">
        <f t="shared" si="149"/>
        <v>1.6528087554829136</v>
      </c>
      <c r="N1207" s="995">
        <v>5</v>
      </c>
      <c r="O1207" s="997">
        <v>1.3903076924695466</v>
      </c>
      <c r="P1207" s="22">
        <f t="shared" si="146"/>
        <v>0.26250106301336706</v>
      </c>
      <c r="Q1207" s="982">
        <f t="shared" si="147"/>
        <v>18.880789082530143</v>
      </c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s="93" customFormat="1" ht="15.75">
      <c r="A1208" s="236">
        <v>5</v>
      </c>
      <c r="B1208" s="233" t="s">
        <v>536</v>
      </c>
      <c r="C1208" s="886">
        <f>cходова!R1208</f>
        <v>0.4930936455721332</v>
      </c>
      <c r="D1208" s="886">
        <f>прибуд.!O1208</f>
        <v>0.42614000287922055</v>
      </c>
      <c r="E1208" s="886">
        <f>гар.вода!M1208+хол.вода!Q1208+ц.о.!M1208+каналізація!Q1208+аварійні!I1208+зварювальн!M1208</f>
        <v>0.28256094517527175</v>
      </c>
      <c r="F1208" s="886">
        <f>дератизац.!I1208</f>
        <v>7.5940320388497781E-3</v>
      </c>
      <c r="G1208" s="886">
        <f>димоканал!R1208</f>
        <v>2.2309683196862395E-2</v>
      </c>
      <c r="H1208" s="886">
        <f>'підготовка до зими'!M1208+майстерні!M1208+маляри!M1208+покрівлі!O1208</f>
        <v>0.13435008058648631</v>
      </c>
      <c r="I1208" s="886">
        <f>електрики!R1208</f>
        <v>2.2905776719240354E-2</v>
      </c>
      <c r="J1208" s="989">
        <f t="shared" si="145"/>
        <v>1.3889541661680642</v>
      </c>
      <c r="K1208" s="989">
        <v>3.4887317261278694E-2</v>
      </c>
      <c r="L1208" s="994">
        <f t="shared" si="148"/>
        <v>1.4238414834293429</v>
      </c>
      <c r="M1208" s="994">
        <f t="shared" si="149"/>
        <v>1.7086097801152114</v>
      </c>
      <c r="N1208" s="995">
        <v>5</v>
      </c>
      <c r="O1208" s="997">
        <v>1.4373574711646822</v>
      </c>
      <c r="P1208" s="22">
        <f t="shared" si="146"/>
        <v>0.27125230895052921</v>
      </c>
      <c r="Q1208" s="982">
        <f t="shared" si="147"/>
        <v>18.871596968201317</v>
      </c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s="93" customFormat="1" ht="15.75">
      <c r="A1209" s="236">
        <v>6</v>
      </c>
      <c r="B1209" s="233" t="s">
        <v>537</v>
      </c>
      <c r="C1209" s="886">
        <f>cходова!R1209</f>
        <v>0.59442656835419727</v>
      </c>
      <c r="D1209" s="886">
        <f>прибуд.!O1209</f>
        <v>0.42379214437386298</v>
      </c>
      <c r="E1209" s="886">
        <f>гар.вода!M1209+хол.вода!Q1209+ц.о.!M1209+каналізація!Q1209+аварійні!I1209+зварювальн!M1209</f>
        <v>0.2802520760153569</v>
      </c>
      <c r="F1209" s="886">
        <f>дератизац.!I1209</f>
        <v>4.3771224984839301E-3</v>
      </c>
      <c r="G1209" s="886">
        <f>димоканал!R1209</f>
        <v>2.187824545681628E-2</v>
      </c>
      <c r="H1209" s="886">
        <f>'підготовка до зими'!M1209+майстерні!M1209+маляри!M1209+покрівлі!O1209</f>
        <v>0.10500988608682939</v>
      </c>
      <c r="I1209" s="886">
        <f>електрики!R1209</f>
        <v>2.2326673122257255E-2</v>
      </c>
      <c r="J1209" s="989">
        <f t="shared" si="145"/>
        <v>1.4520627159078039</v>
      </c>
      <c r="K1209" s="989">
        <v>3.6422006656897175E-2</v>
      </c>
      <c r="L1209" s="994">
        <f t="shared" si="148"/>
        <v>1.4884847225647011</v>
      </c>
      <c r="M1209" s="994">
        <f t="shared" si="149"/>
        <v>1.7861816670776414</v>
      </c>
      <c r="N1209" s="995">
        <v>9</v>
      </c>
      <c r="O1209" s="997">
        <v>1.5005866742641638</v>
      </c>
      <c r="P1209" s="22">
        <f t="shared" si="146"/>
        <v>0.28559499281347756</v>
      </c>
      <c r="Q1209" s="982">
        <f t="shared" si="147"/>
        <v>19.032222377526026</v>
      </c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s="93" customFormat="1" ht="15.75">
      <c r="A1210" s="236">
        <v>7</v>
      </c>
      <c r="B1210" s="233" t="s">
        <v>538</v>
      </c>
      <c r="C1210" s="886">
        <f>cходова!R1210</f>
        <v>0.53649945862335813</v>
      </c>
      <c r="D1210" s="886">
        <f>прибуд.!O1210</f>
        <v>0.47117795233692905</v>
      </c>
      <c r="E1210" s="886">
        <f>гар.вода!M1210+хол.вода!Q1210+ц.о.!M1210+каналізація!Q1210+аварійні!I1210+зварювальн!M1210</f>
        <v>0.28310622847333161</v>
      </c>
      <c r="F1210" s="886">
        <f>дератизац.!I1210</f>
        <v>4.3279304906213038E-3</v>
      </c>
      <c r="G1210" s="886">
        <f>димоканал!R1210</f>
        <v>2.2579737232699352E-2</v>
      </c>
      <c r="H1210" s="886">
        <f>'підготовка до зими'!M1210+майстерні!M1210+маляри!M1210+покрівлі!O1210</f>
        <v>0.10500829693955857</v>
      </c>
      <c r="I1210" s="886">
        <f>електрики!R1210</f>
        <v>2.3042543030975807E-2</v>
      </c>
      <c r="J1210" s="989">
        <f t="shared" si="145"/>
        <v>1.4457421471274738</v>
      </c>
      <c r="K1210" s="989">
        <v>3.6265325167068853E-2</v>
      </c>
      <c r="L1210" s="994">
        <f t="shared" si="148"/>
        <v>1.4820074722945427</v>
      </c>
      <c r="M1210" s="994">
        <f t="shared" si="149"/>
        <v>1.7784089667534511</v>
      </c>
      <c r="N1210" s="995">
        <v>9</v>
      </c>
      <c r="O1210" s="997">
        <v>1.4941313968832366</v>
      </c>
      <c r="P1210" s="22">
        <f t="shared" si="146"/>
        <v>0.28427756987021446</v>
      </c>
      <c r="Q1210" s="982">
        <f t="shared" si="147"/>
        <v>19.026276434804771</v>
      </c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s="93" customFormat="1" ht="15.75">
      <c r="A1211" s="236">
        <v>8</v>
      </c>
      <c r="B1211" s="233" t="s">
        <v>539</v>
      </c>
      <c r="C1211" s="886">
        <f>cходова!R1211</f>
        <v>0.40592520568417612</v>
      </c>
      <c r="D1211" s="886">
        <f>прибуд.!O1211</f>
        <v>0.59756027308164938</v>
      </c>
      <c r="E1211" s="886">
        <f>гар.вода!M1211+хол.вода!Q1211+ц.о.!M1211+каналізація!Q1211+аварійні!I1211+зварювальн!M1211</f>
        <v>0.27856492267226896</v>
      </c>
      <c r="F1211" s="886">
        <f>дератизац.!I1211</f>
        <v>4.2119114166693445E-3</v>
      </c>
      <c r="G1211" s="886">
        <f>димоканал!R1211</f>
        <v>2.1463577981179875E-2</v>
      </c>
      <c r="H1211" s="886">
        <f>'підготовка до зими'!M1211+майстерні!M1211+маляри!M1211+покрівлі!O1211</f>
        <v>0.10501139217750301</v>
      </c>
      <c r="I1211" s="886">
        <f>електрики!R1211</f>
        <v>2.1903506410774865E-2</v>
      </c>
      <c r="J1211" s="989">
        <f t="shared" si="145"/>
        <v>1.4346407894242215</v>
      </c>
      <c r="K1211" s="989">
        <v>3.5988262174550589E-2</v>
      </c>
      <c r="L1211" s="994">
        <f t="shared" si="148"/>
        <v>1.4706290515987721</v>
      </c>
      <c r="M1211" s="994">
        <f t="shared" si="149"/>
        <v>1.7647548619185265</v>
      </c>
      <c r="N1211" s="995">
        <v>9</v>
      </c>
      <c r="O1211" s="997">
        <v>1.4827164015914842</v>
      </c>
      <c r="P1211" s="22">
        <f t="shared" si="146"/>
        <v>0.28203846032704227</v>
      </c>
      <c r="Q1211" s="982">
        <f t="shared" si="147"/>
        <v>19.021740099746268</v>
      </c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s="93" customFormat="1" ht="15.75">
      <c r="A1212" s="236">
        <v>9</v>
      </c>
      <c r="B1212" s="233" t="s">
        <v>540</v>
      </c>
      <c r="C1212" s="886">
        <f>cходова!R1212</f>
        <v>0.63598832720629772</v>
      </c>
      <c r="D1212" s="886">
        <f>прибуд.!O1212</f>
        <v>0.33859011121101645</v>
      </c>
      <c r="E1212" s="886">
        <f>гар.вода!M1212+хол.вода!Q1212+ц.о.!M1212+каналізація!Q1212+аварійні!I1212+зварювальн!M1212</f>
        <v>0.28675692157023425</v>
      </c>
      <c r="F1212" s="886">
        <f>дератизац.!I1212</f>
        <v>4.3154265132214712E-3</v>
      </c>
      <c r="G1212" s="886">
        <f>димоканал!R1212</f>
        <v>2.3477002260219135E-2</v>
      </c>
      <c r="H1212" s="886">
        <f>'підготовка до зими'!M1212+майстерні!M1212+маляри!M1212+покрівлі!O1212</f>
        <v>0.10501577464537959</v>
      </c>
      <c r="I1212" s="886">
        <f>електрики!R1212</f>
        <v>2.3958198859639439E-2</v>
      </c>
      <c r="J1212" s="989">
        <f t="shared" si="145"/>
        <v>1.4181017622660081</v>
      </c>
      <c r="K1212" s="989">
        <v>3.5582628479099446E-2</v>
      </c>
      <c r="L1212" s="994">
        <f t="shared" si="148"/>
        <v>1.4536843907451076</v>
      </c>
      <c r="M1212" s="994">
        <f t="shared" si="149"/>
        <v>1.744421268894129</v>
      </c>
      <c r="N1212" s="995">
        <v>9</v>
      </c>
      <c r="O1212" s="997">
        <v>1.4660042933388973</v>
      </c>
      <c r="P1212" s="22">
        <f t="shared" si="146"/>
        <v>0.2784169755552317</v>
      </c>
      <c r="Q1212" s="982">
        <f t="shared" si="147"/>
        <v>18.991552536392859</v>
      </c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s="93" customFormat="1" ht="15.75">
      <c r="A1213" s="236">
        <v>10</v>
      </c>
      <c r="B1213" s="233" t="s">
        <v>541</v>
      </c>
      <c r="C1213" s="886">
        <f>cходова!R1213</f>
        <v>0.46920322676609311</v>
      </c>
      <c r="D1213" s="886">
        <f>прибуд.!O1213</f>
        <v>0.53904713187102438</v>
      </c>
      <c r="E1213" s="886">
        <f>гар.вода!M1213+хол.вода!Q1213+ц.о.!M1213+каналізація!Q1213+аварійні!I1213+зварювальн!M1213</f>
        <v>0.28257884645634557</v>
      </c>
      <c r="F1213" s="886">
        <f>дератизац.!I1213</f>
        <v>4.1653832152558036E-3</v>
      </c>
      <c r="G1213" s="886">
        <f>димоканал!R1213</f>
        <v>2.2450117615978919E-2</v>
      </c>
      <c r="H1213" s="886">
        <f>'підготовка до зими'!M1213+майстерні!M1213+маляри!M1213+покрівлі!O1213</f>
        <v>0.10500751277244094</v>
      </c>
      <c r="I1213" s="886">
        <f>електрики!R1213</f>
        <v>2.2910266664552297E-2</v>
      </c>
      <c r="J1213" s="989">
        <f t="shared" si="145"/>
        <v>1.4453624853616911</v>
      </c>
      <c r="K1213" s="989">
        <v>3.6254461300098136E-2</v>
      </c>
      <c r="L1213" s="994">
        <f t="shared" si="148"/>
        <v>1.4816169466617892</v>
      </c>
      <c r="M1213" s="994">
        <f t="shared" si="149"/>
        <v>1.777940335994147</v>
      </c>
      <c r="N1213" s="995">
        <v>9</v>
      </c>
      <c r="O1213" s="997">
        <v>1.4936838055640431</v>
      </c>
      <c r="P1213" s="22">
        <f t="shared" si="146"/>
        <v>0.2842565304301039</v>
      </c>
      <c r="Q1213" s="982">
        <f t="shared" si="147"/>
        <v>19.030569212254605</v>
      </c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s="93" customFormat="1" ht="15.75">
      <c r="A1214" s="236">
        <v>11</v>
      </c>
      <c r="B1214" s="233" t="s">
        <v>542</v>
      </c>
      <c r="C1214" s="886">
        <f>cходова!R1214</f>
        <v>0.3584488516451515</v>
      </c>
      <c r="D1214" s="886">
        <f>прибуд.!O1214</f>
        <v>0.66695064129024262</v>
      </c>
      <c r="E1214" s="886">
        <f>гар.вода!M1214+хол.вода!Q1214+ц.о.!M1214+каналізація!Q1214+аварійні!I1214+зварювальн!M1214</f>
        <v>0.26752939096765593</v>
      </c>
      <c r="F1214" s="886">
        <f>дератизац.!I1214</f>
        <v>5.939271366463046E-3</v>
      </c>
      <c r="G1214" s="886">
        <f>димоканал!R1214</f>
        <v>1.8628714683959473E-2</v>
      </c>
      <c r="H1214" s="886">
        <f>'підготовка до зими'!M1214+майстерні!M1214+маляри!M1214+покрівлі!O1214</f>
        <v>0.12334918959142413</v>
      </c>
      <c r="I1214" s="886">
        <f>електрики!R1214</f>
        <v>1.9135607642098755E-2</v>
      </c>
      <c r="J1214" s="989">
        <f t="shared" si="145"/>
        <v>1.4599816671869954</v>
      </c>
      <c r="K1214" s="989">
        <v>3.6628931272979372E-2</v>
      </c>
      <c r="L1214" s="994">
        <f t="shared" si="148"/>
        <v>1.4966105984599747</v>
      </c>
      <c r="M1214" s="994">
        <f t="shared" si="149"/>
        <v>1.7959327181519695</v>
      </c>
      <c r="N1214" s="995">
        <v>5</v>
      </c>
      <c r="O1214" s="997">
        <v>1.5091119684467504</v>
      </c>
      <c r="P1214" s="22">
        <f t="shared" si="146"/>
        <v>0.28682074970521909</v>
      </c>
      <c r="Q1214" s="982">
        <f t="shared" si="147"/>
        <v>19.005929029933327</v>
      </c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s="93" customFormat="1" ht="15.75">
      <c r="A1215" s="236">
        <v>12</v>
      </c>
      <c r="B1215" s="233" t="s">
        <v>543</v>
      </c>
      <c r="C1215" s="886">
        <f>cходова!R1215</f>
        <v>0.5024012946617018</v>
      </c>
      <c r="D1215" s="886">
        <f>прибуд.!O1215</f>
        <v>0.56239657312545588</v>
      </c>
      <c r="E1215" s="886">
        <f>гар.вода!M1215+хол.вода!Q1215+ц.о.!M1215+каналізація!Q1215+аварійні!I1215+зварювальн!M1215</f>
        <v>0.25978879673816702</v>
      </c>
      <c r="F1215" s="886">
        <f>дератизац.!I1215</f>
        <v>6.425193871760923E-3</v>
      </c>
      <c r="G1215" s="886">
        <f>димоканал!R1215</f>
        <v>1.6848793690692542E-2</v>
      </c>
      <c r="H1215" s="886">
        <f>'підготовка до зими'!M1215+майстерні!M1215+маляри!M1215+покрівлі!O1215</f>
        <v>0.1343548893332174</v>
      </c>
      <c r="I1215" s="886">
        <f>електрики!R1215</f>
        <v>1.7194135150323163E-2</v>
      </c>
      <c r="J1215" s="989">
        <f t="shared" si="145"/>
        <v>1.4994096765713187</v>
      </c>
      <c r="K1215" s="989">
        <v>3.7610973969878107E-2</v>
      </c>
      <c r="L1215" s="994">
        <f t="shared" si="148"/>
        <v>1.5370206505411967</v>
      </c>
      <c r="M1215" s="994">
        <f t="shared" si="149"/>
        <v>1.844424780649436</v>
      </c>
      <c r="N1215" s="995">
        <v>5</v>
      </c>
      <c r="O1215" s="997">
        <v>1.5495721275589782</v>
      </c>
      <c r="P1215" s="22">
        <f t="shared" si="146"/>
        <v>0.29485265309045783</v>
      </c>
      <c r="Q1215" s="982">
        <f t="shared" si="147"/>
        <v>19.028004430806035</v>
      </c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s="93" customFormat="1" ht="15.75">
      <c r="A1216" s="236">
        <v>13</v>
      </c>
      <c r="B1216" s="233" t="s">
        <v>545</v>
      </c>
      <c r="C1216" s="886">
        <f>cходова!R1216</f>
        <v>0.48368976309461903</v>
      </c>
      <c r="D1216" s="886">
        <f>прибуд.!O1216</f>
        <v>0.49929869938569515</v>
      </c>
      <c r="E1216" s="886">
        <f>гар.вода!M1216+хол.вода!Q1216+ц.о.!M1216+каналізація!Q1216+аварійні!I1216+зварювальн!M1216</f>
        <v>0.28191775586674001</v>
      </c>
      <c r="F1216" s="886">
        <f>дератизац.!I1216</f>
        <v>4.9008311440905811E-3</v>
      </c>
      <c r="G1216" s="886">
        <f>димоканал!R1216</f>
        <v>2.228763519131859E-2</v>
      </c>
      <c r="H1216" s="886">
        <f>'підготовка до зими'!M1216+майстерні!M1216+маляри!M1216+покрівлі!O1216</f>
        <v>0.11185144196962371</v>
      </c>
      <c r="I1216" s="886">
        <f>електрики!R1216</f>
        <v>2.2744453917334359E-2</v>
      </c>
      <c r="J1216" s="989">
        <f t="shared" si="145"/>
        <v>1.4266905805694214</v>
      </c>
      <c r="K1216" s="989">
        <v>3.5798724517810125E-2</v>
      </c>
      <c r="L1216" s="994">
        <f t="shared" si="148"/>
        <v>1.4624893050872316</v>
      </c>
      <c r="M1216" s="994">
        <f t="shared" si="149"/>
        <v>1.7549871661046779</v>
      </c>
      <c r="N1216" s="995">
        <v>9</v>
      </c>
      <c r="O1216" s="997">
        <v>1.4749074501337773</v>
      </c>
      <c r="P1216" s="22">
        <f t="shared" si="146"/>
        <v>0.28007971597090053</v>
      </c>
      <c r="Q1216" s="982">
        <f t="shared" si="147"/>
        <v>18.989646838213247</v>
      </c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s="93" customFormat="1" ht="15.75">
      <c r="A1217" s="236">
        <v>14</v>
      </c>
      <c r="B1217" s="233" t="s">
        <v>546</v>
      </c>
      <c r="C1217" s="886">
        <f>cходова!R1217</f>
        <v>0.33171624201857464</v>
      </c>
      <c r="D1217" s="886">
        <f>прибуд.!O1217</f>
        <v>0.70606175068974752</v>
      </c>
      <c r="E1217" s="886">
        <f>гар.вода!M1217+хол.вода!Q1217+ц.о.!M1217+каналізація!Q1217+аварійні!I1217+зварювальн!M1217</f>
        <v>0.27639297748653791</v>
      </c>
      <c r="F1217" s="886">
        <f>дератизац.!I1217</f>
        <v>3.9167995544542615E-3</v>
      </c>
      <c r="G1217" s="886">
        <f>димоканал!R1217</f>
        <v>2.0929758674785724E-2</v>
      </c>
      <c r="H1217" s="886">
        <f>'підготовка до зими'!M1217+майстерні!M1217+маляри!M1217+покрівлі!O1217</f>
        <v>0.10500685627934259</v>
      </c>
      <c r="I1217" s="886">
        <f>електрики!R1217</f>
        <v>2.1358745671905873E-2</v>
      </c>
      <c r="J1217" s="989">
        <f t="shared" si="145"/>
        <v>1.4653831303753484</v>
      </c>
      <c r="K1217" s="989">
        <v>3.6746535044624676E-2</v>
      </c>
      <c r="L1217" s="994">
        <f t="shared" si="148"/>
        <v>1.5021296654199732</v>
      </c>
      <c r="M1217" s="994">
        <f t="shared" si="149"/>
        <v>1.8025555985039676</v>
      </c>
      <c r="N1217" s="995">
        <v>9</v>
      </c>
      <c r="O1217" s="997">
        <v>1.5139572438385367</v>
      </c>
      <c r="P1217" s="22">
        <f t="shared" si="146"/>
        <v>0.28859835466543093</v>
      </c>
      <c r="Q1217" s="982">
        <f t="shared" si="147"/>
        <v>19.0625168471541</v>
      </c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s="93" customFormat="1" ht="15.75">
      <c r="A1218" s="236">
        <v>15</v>
      </c>
      <c r="B1218" s="233" t="s">
        <v>567</v>
      </c>
      <c r="C1218" s="886">
        <f>cходова!R1218</f>
        <v>0.42135870793448243</v>
      </c>
      <c r="D1218" s="886">
        <f>прибуд.!O1218</f>
        <v>0.58181683147961327</v>
      </c>
      <c r="E1218" s="886">
        <f>гар.вода!M1218+хол.вода!Q1218+ц.о.!M1218+каналізація!Q1218+аварійні!I1218+зварювальн!M1218</f>
        <v>0.2820386750645954</v>
      </c>
      <c r="F1218" s="886">
        <f>дератизац.!I1218</f>
        <v>4.0382546883037931E-3</v>
      </c>
      <c r="G1218" s="886">
        <f>димоканал!R1218</f>
        <v>2.2218166392041393E-2</v>
      </c>
      <c r="H1218" s="886">
        <f>'підготовка до зими'!M1218+майстерні!M1218+маляри!M1218+покрівлі!O1218</f>
        <v>0.10500663441781265</v>
      </c>
      <c r="I1218" s="886">
        <f>електрики!R1218</f>
        <v>2.2774782505735173E-2</v>
      </c>
      <c r="J1218" s="989">
        <f t="shared" si="145"/>
        <v>1.439252052482584</v>
      </c>
      <c r="K1218" s="989">
        <v>3.6102168031493263E-2</v>
      </c>
      <c r="L1218" s="994">
        <f t="shared" si="148"/>
        <v>1.4753542205140773</v>
      </c>
      <c r="M1218" s="994">
        <f t="shared" si="149"/>
        <v>1.7704250646168926</v>
      </c>
      <c r="N1218" s="995">
        <v>9</v>
      </c>
      <c r="O1218" s="997">
        <v>1.4874093228975225</v>
      </c>
      <c r="P1218" s="22">
        <f t="shared" si="146"/>
        <v>0.28301574171937016</v>
      </c>
      <c r="Q1218" s="982">
        <f t="shared" si="147"/>
        <v>19.027428251427537</v>
      </c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s="93" customFormat="1" ht="15.75">
      <c r="A1219" s="236">
        <v>16</v>
      </c>
      <c r="B1219" s="233" t="s">
        <v>568</v>
      </c>
      <c r="C1219" s="886">
        <f>cходова!R1219</f>
        <v>0.4262697091492561</v>
      </c>
      <c r="D1219" s="886">
        <f>прибуд.!O1219</f>
        <v>0.56816306322069843</v>
      </c>
      <c r="E1219" s="886">
        <f>гар.вода!M1219+хол.вода!Q1219+ц.о.!M1219+каналізація!Q1219+аварійні!I1219+зварювальн!M1219</f>
        <v>0.26140966041286806</v>
      </c>
      <c r="F1219" s="886">
        <f>дератизац.!I1219</f>
        <v>5.2614959087242145E-3</v>
      </c>
      <c r="G1219" s="886">
        <f>димоканал!R1219</f>
        <v>1.7247168533792979E-2</v>
      </c>
      <c r="H1219" s="886">
        <f>'підготовка до зими'!M1219+майстерні!M1219+маляри!M1219+покрівлі!O1219</f>
        <v>0.13435310534838829</v>
      </c>
      <c r="I1219" s="886">
        <f>електрики!R1219</f>
        <v>1.7600675287172341E-2</v>
      </c>
      <c r="J1219" s="989">
        <f t="shared" si="145"/>
        <v>1.4303048778609004</v>
      </c>
      <c r="K1219" s="989">
        <v>3.5894441464817538E-2</v>
      </c>
      <c r="L1219" s="994">
        <f t="shared" si="148"/>
        <v>1.4661993193257179</v>
      </c>
      <c r="M1219" s="994">
        <f t="shared" si="149"/>
        <v>1.7594391831908613</v>
      </c>
      <c r="N1219" s="995">
        <v>5</v>
      </c>
      <c r="O1219" s="997">
        <v>1.4788509883504826</v>
      </c>
      <c r="P1219" s="22">
        <f t="shared" si="146"/>
        <v>0.28058819484037878</v>
      </c>
      <c r="Q1219" s="982">
        <f t="shared" si="147"/>
        <v>18.973391981388744</v>
      </c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s="93" customFormat="1" ht="15.75">
      <c r="A1220" s="236">
        <v>17</v>
      </c>
      <c r="B1220" s="233" t="s">
        <v>569</v>
      </c>
      <c r="C1220" s="886">
        <f>cходова!R1220</f>
        <v>0.42423371206061966</v>
      </c>
      <c r="D1220" s="886">
        <f>прибуд.!O1220</f>
        <v>0.63885608066501454</v>
      </c>
      <c r="E1220" s="886">
        <f>гар.вода!M1220+хол.вода!Q1220+ц.о.!M1220+каналізація!Q1220+аварійні!I1220+зварювальн!M1220</f>
        <v>0.26068953019353469</v>
      </c>
      <c r="F1220" s="886">
        <f>дератизац.!I1220</f>
        <v>5.3913051809930191E-3</v>
      </c>
      <c r="G1220" s="886">
        <f>димоканал!R1220</f>
        <v>1.7070175386487287E-2</v>
      </c>
      <c r="H1220" s="886">
        <f>'підготовка до зими'!M1220+майстерні!M1220+маляри!M1220+покрівлі!O1220</f>
        <v>0.13435184015076432</v>
      </c>
      <c r="I1220" s="886">
        <f>електрики!R1220</f>
        <v>1.7420054398144764E-2</v>
      </c>
      <c r="J1220" s="989">
        <f t="shared" si="145"/>
        <v>1.4980126980355581</v>
      </c>
      <c r="K1220" s="989">
        <v>3.7570493210260403E-2</v>
      </c>
      <c r="L1220" s="994">
        <f t="shared" si="148"/>
        <v>1.5355831912458187</v>
      </c>
      <c r="M1220" s="994">
        <f t="shared" si="149"/>
        <v>1.8426998294949823</v>
      </c>
      <c r="N1220" s="995">
        <v>5</v>
      </c>
      <c r="O1220" s="997">
        <v>1.5479043202627287</v>
      </c>
      <c r="P1220" s="22">
        <f t="shared" si="146"/>
        <v>0.29479550923225362</v>
      </c>
      <c r="Q1220" s="982">
        <f t="shared" si="147"/>
        <v>19.044814680936952</v>
      </c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s="93" customFormat="1" ht="15.75">
      <c r="A1221" s="236">
        <v>18</v>
      </c>
      <c r="B1221" s="233" t="s">
        <v>570</v>
      </c>
      <c r="C1221" s="886">
        <f>cходова!R1221</f>
        <v>0.404722797066638</v>
      </c>
      <c r="D1221" s="886">
        <f>прибуд.!O1221</f>
        <v>0.60881656374660198</v>
      </c>
      <c r="E1221" s="886">
        <f>гар.вода!M1221+хол.вода!Q1221+ц.о.!M1221+каналізація!Q1221+аварійні!I1221+зварювальн!M1221</f>
        <v>0.26851087204300339</v>
      </c>
      <c r="F1221" s="886">
        <f>дератизац.!I1221</f>
        <v>5.1033763895551648E-3</v>
      </c>
      <c r="G1221" s="886">
        <f>димоканал!R1221</f>
        <v>1.8992499811884538E-2</v>
      </c>
      <c r="H1221" s="886">
        <f>'підготовка до зими'!M1221+майстерні!M1221+маляри!M1221+покрівлі!O1221</f>
        <v>0.13435349636932736</v>
      </c>
      <c r="I1221" s="886">
        <f>електрики!R1221</f>
        <v>1.9381779764353405E-2</v>
      </c>
      <c r="J1221" s="989">
        <f t="shared" si="145"/>
        <v>1.4598813851913639</v>
      </c>
      <c r="K1221" s="989">
        <v>3.6626447138186156E-2</v>
      </c>
      <c r="L1221" s="994">
        <f t="shared" si="148"/>
        <v>1.49650783232955</v>
      </c>
      <c r="M1221" s="994">
        <f t="shared" si="149"/>
        <v>1.79580939879546</v>
      </c>
      <c r="N1221" s="995">
        <v>5</v>
      </c>
      <c r="O1221" s="997">
        <v>1.5090096220932698</v>
      </c>
      <c r="P1221" s="22">
        <f t="shared" si="146"/>
        <v>0.28679977670219015</v>
      </c>
      <c r="Q1221" s="982">
        <f t="shared" si="147"/>
        <v>19.005828226883466</v>
      </c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s="892" customFormat="1" ht="15.75">
      <c r="A1222" s="236">
        <v>20</v>
      </c>
      <c r="B1222" s="233" t="s">
        <v>571</v>
      </c>
      <c r="C1222" s="886">
        <f>cходова!R1222</f>
        <v>0</v>
      </c>
      <c r="D1222" s="886">
        <f>прибуд.!O1222</f>
        <v>0</v>
      </c>
      <c r="E1222" s="886">
        <f>гар.вода!M1222+хол.вода!Q1222+ц.о.!M1222+каналізація!Q1222+аварійні!I1222+зварювальн!M1222</f>
        <v>8.8177816905444684E-2</v>
      </c>
      <c r="F1222" s="886">
        <f>дератизац.!I1222</f>
        <v>0</v>
      </c>
      <c r="G1222" s="886">
        <f>димоканал!R1222</f>
        <v>0</v>
      </c>
      <c r="H1222" s="886">
        <f>'підготовка до зими'!M1222+майстерні!M1222+маляри!M1222+покрівлі!O1222</f>
        <v>6.8329610806603394E-2</v>
      </c>
      <c r="I1222" s="886">
        <f>електрики!R1222</f>
        <v>0</v>
      </c>
      <c r="J1222" s="989">
        <f t="shared" si="145"/>
        <v>0.15650742771204806</v>
      </c>
      <c r="K1222" s="989">
        <v>4.2342143954175364E-3</v>
      </c>
      <c r="L1222" s="994">
        <f t="shared" si="148"/>
        <v>0.16074164210746561</v>
      </c>
      <c r="M1222" s="994">
        <f t="shared" si="149"/>
        <v>0.19288997052895873</v>
      </c>
      <c r="N1222" s="995">
        <v>1</v>
      </c>
      <c r="O1222" s="997">
        <v>0.17444963309120251</v>
      </c>
      <c r="P1222" s="22">
        <f t="shared" si="146"/>
        <v>1.8440337437756221E-2</v>
      </c>
      <c r="Q1222" s="982">
        <f t="shared" si="147"/>
        <v>10.570579663022613</v>
      </c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s="93" customFormat="1" ht="15.75">
      <c r="A1223" s="236">
        <v>22</v>
      </c>
      <c r="B1223" s="233" t="s">
        <v>356</v>
      </c>
      <c r="C1223" s="886">
        <f>cходова!R1223</f>
        <v>0</v>
      </c>
      <c r="D1223" s="886">
        <f>прибуд.!O1223</f>
        <v>0.20510184050847455</v>
      </c>
      <c r="E1223" s="886">
        <f>гар.вода!M1223+хол.вода!Q1223+ц.о.!M1223+каналізація!Q1223+аварійні!I1223+зварювальн!M1223</f>
        <v>0.16394941407744631</v>
      </c>
      <c r="F1223" s="886">
        <f>дератизац.!I1223</f>
        <v>1.8937418513689701E-3</v>
      </c>
      <c r="G1223" s="886">
        <f>димоканал!R1223</f>
        <v>0.89391230266983923</v>
      </c>
      <c r="H1223" s="886">
        <f>'підготовка до зими'!M1223+майстерні!M1223+маляри!M1223+покрівлі!O1223</f>
        <v>0.28783405810979956</v>
      </c>
      <c r="I1223" s="886">
        <f>електрики!R1223</f>
        <v>3.5556216117245854E-2</v>
      </c>
      <c r="J1223" s="989">
        <f t="shared" si="145"/>
        <v>1.5882475733341743</v>
      </c>
      <c r="K1223" s="989">
        <v>3.8196465719545117E-2</v>
      </c>
      <c r="L1223" s="994">
        <f t="shared" si="148"/>
        <v>1.6264440390537194</v>
      </c>
      <c r="M1223" s="994">
        <f t="shared" si="149"/>
        <v>1.9517328468644632</v>
      </c>
      <c r="N1223" s="995">
        <v>2</v>
      </c>
      <c r="O1223" s="997">
        <v>1.5736943876452587</v>
      </c>
      <c r="P1223" s="22">
        <f t="shared" si="146"/>
        <v>0.37803845921920454</v>
      </c>
      <c r="Q1223" s="982">
        <f t="shared" si="147"/>
        <v>24.022355432357429</v>
      </c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s="93" customFormat="1" ht="15.75">
      <c r="A1224" s="268">
        <v>23</v>
      </c>
      <c r="B1224" s="122" t="s">
        <v>357</v>
      </c>
      <c r="C1224" s="978">
        <f>cходова!R1224</f>
        <v>0</v>
      </c>
      <c r="D1224" s="978">
        <f>прибуд.!O1224</f>
        <v>0.2983679545828129</v>
      </c>
      <c r="E1224" s="978">
        <f>гар.вода!M1224+хол.вода!Q1224+ц.о.!M1224+каналізація!Q1224+аварійні!I1224+зварювальн!M1224</f>
        <v>0.16517045222785282</v>
      </c>
      <c r="F1224" s="978">
        <f>дератизац.!I1224</f>
        <v>1.9100532579393783E-3</v>
      </c>
      <c r="G1224" s="978">
        <f>димоканал!R1224</f>
        <v>0.8114968080451751</v>
      </c>
      <c r="H1224" s="978">
        <f>'підготовка до зими'!M1224+майстерні!M1224+маляри!M1224+покрівлі!O1224</f>
        <v>0.28972472038849761</v>
      </c>
      <c r="I1224" s="978">
        <f>електрики!R1224</f>
        <v>3.5862473222338834E-2</v>
      </c>
      <c r="J1224" s="1019">
        <f t="shared" si="145"/>
        <v>1.6025324617246166</v>
      </c>
      <c r="K1224" s="1019">
        <v>3.8220715894691719E-2</v>
      </c>
      <c r="L1224" s="1020">
        <f t="shared" si="148"/>
        <v>1.6407531776193083</v>
      </c>
      <c r="M1224" s="1020">
        <f t="shared" si="149"/>
        <v>1.9689038131431698</v>
      </c>
      <c r="N1224" s="1021">
        <v>2</v>
      </c>
      <c r="O1224" s="1022">
        <v>1.5746934948612987</v>
      </c>
      <c r="P1224" s="979">
        <f t="shared" si="146"/>
        <v>0.39421031828187103</v>
      </c>
      <c r="Q1224" s="983">
        <f t="shared" si="147"/>
        <v>25.034098354270128</v>
      </c>
    </row>
    <row r="1225" spans="1:26" s="93" customFormat="1" ht="15.75">
      <c r="A1225" s="236">
        <v>24</v>
      </c>
      <c r="B1225" s="233" t="s">
        <v>358</v>
      </c>
      <c r="C1225" s="886">
        <f>cходова!R1225</f>
        <v>0</v>
      </c>
      <c r="D1225" s="886">
        <f>прибуд.!O1225</f>
        <v>0.37178257799460823</v>
      </c>
      <c r="E1225" s="886">
        <f>гар.вода!M1225+хол.вода!Q1225+ц.о.!M1225+каналізація!Q1225+аварійні!I1225+зварювальн!M1225</f>
        <v>0.11461483580286502</v>
      </c>
      <c r="F1225" s="886">
        <f>дератизац.!I1225</f>
        <v>7.0554233253995247E-4</v>
      </c>
      <c r="G1225" s="886">
        <f>димоканал!R1225</f>
        <v>0.79090969576708503</v>
      </c>
      <c r="H1225" s="886">
        <f>'підготовка до зими'!M1225+майстерні!M1225+маляри!M1225+покрівлі!O1225</f>
        <v>0.15251461744777756</v>
      </c>
      <c r="I1225" s="886">
        <f>електрики!R1225</f>
        <v>2.3182266033600452E-2</v>
      </c>
      <c r="J1225" s="989">
        <f t="shared" si="145"/>
        <v>1.4537095353784761</v>
      </c>
      <c r="K1225" s="989">
        <v>3.53871280632461E-2</v>
      </c>
      <c r="L1225" s="994">
        <f t="shared" si="148"/>
        <v>1.4890966634417222</v>
      </c>
      <c r="M1225" s="994">
        <f t="shared" si="149"/>
        <v>1.7869159961300667</v>
      </c>
      <c r="N1225" s="995">
        <v>2</v>
      </c>
      <c r="O1225" s="997">
        <v>1.4579496762057393</v>
      </c>
      <c r="P1225" s="22">
        <f t="shared" si="146"/>
        <v>0.32896631992432734</v>
      </c>
      <c r="Q1225" s="982">
        <f t="shared" si="147"/>
        <v>22.563626529308607</v>
      </c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s="93" customFormat="1" ht="15.75">
      <c r="A1226" s="236">
        <v>25</v>
      </c>
      <c r="B1226" s="233" t="s">
        <v>359</v>
      </c>
      <c r="C1226" s="886">
        <f>cходова!R1226</f>
        <v>0</v>
      </c>
      <c r="D1226" s="886">
        <f>прибуд.!O1226</f>
        <v>0.30121867873100422</v>
      </c>
      <c r="E1226" s="886">
        <f>гар.вода!M1226+хол.вода!Q1226+ц.о.!M1226+каналізація!Q1226+аварійні!I1226+зварювальн!M1226</f>
        <v>0.11015033482161007</v>
      </c>
      <c r="F1226" s="886">
        <f>дератизац.!I1226</f>
        <v>7.2311349521450715E-4</v>
      </c>
      <c r="G1226" s="886">
        <f>димоканал!R1226</f>
        <v>0.7539775767514767</v>
      </c>
      <c r="H1226" s="886">
        <f>'підготовка до зими'!M1226+майстерні!M1226+маляри!M1226+покрівлі!O1226</f>
        <v>0.16113235762941946</v>
      </c>
      <c r="I1226" s="886">
        <f>електрики!R1226</f>
        <v>2.4168066240272842E-2</v>
      </c>
      <c r="J1226" s="989">
        <f t="shared" si="145"/>
        <v>1.3513701276689978</v>
      </c>
      <c r="K1226" s="989">
        <v>3.2886604518744138E-2</v>
      </c>
      <c r="L1226" s="994">
        <f t="shared" si="148"/>
        <v>1.3842567321877419</v>
      </c>
      <c r="M1226" s="994">
        <f t="shared" si="149"/>
        <v>1.6611080786252903</v>
      </c>
      <c r="N1226" s="995">
        <v>2</v>
      </c>
      <c r="O1226" s="997">
        <v>1.3549281061722585</v>
      </c>
      <c r="P1226" s="22">
        <f t="shared" si="146"/>
        <v>0.30617997245303186</v>
      </c>
      <c r="Q1226" s="982">
        <f t="shared" si="147"/>
        <v>22.59750691259967</v>
      </c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s="93" customFormat="1" ht="15.75">
      <c r="A1227" s="236">
        <v>26</v>
      </c>
      <c r="B1227" s="233" t="s">
        <v>360</v>
      </c>
      <c r="C1227" s="886">
        <f>cходова!R1227</f>
        <v>0.51650835443244514</v>
      </c>
      <c r="D1227" s="886">
        <f>прибуд.!O1227</f>
        <v>0.45934467317123967</v>
      </c>
      <c r="E1227" s="886">
        <f>гар.вода!M1227+хол.вода!Q1227+ц.о.!M1227+каналізація!Q1227+аварійні!I1227+зварювальн!M1227</f>
        <v>0.28863682130491453</v>
      </c>
      <c r="F1227" s="886">
        <f>дератизац.!I1227</f>
        <v>2.3373464835666877E-3</v>
      </c>
      <c r="G1227" s="886">
        <f>димоканал!R1227</f>
        <v>3.1918723761859474E-2</v>
      </c>
      <c r="H1227" s="886">
        <f>'підготовка до зими'!M1227+майстерні!M1227+маляри!M1227+покрівлі!O1227</f>
        <v>0.11697501517683268</v>
      </c>
      <c r="I1227" s="886">
        <f>електрики!R1227</f>
        <v>2.4429709639557814E-2</v>
      </c>
      <c r="J1227" s="989">
        <f t="shared" si="145"/>
        <v>1.4401506439704159</v>
      </c>
      <c r="K1227" s="989">
        <v>3.611774095729544E-2</v>
      </c>
      <c r="L1227" s="994">
        <f t="shared" si="148"/>
        <v>1.4762683849277114</v>
      </c>
      <c r="M1227" s="994">
        <f t="shared" si="149"/>
        <v>1.7715220619132537</v>
      </c>
      <c r="N1227" s="995">
        <v>10</v>
      </c>
      <c r="O1227" s="997">
        <v>1.488050927440572</v>
      </c>
      <c r="P1227" s="22">
        <f t="shared" si="146"/>
        <v>0.28347113447268169</v>
      </c>
      <c r="Q1227" s="982">
        <f t="shared" si="147"/>
        <v>19.049827478703847</v>
      </c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s="93" customFormat="1" ht="15.75">
      <c r="A1228" s="236">
        <v>27</v>
      </c>
      <c r="B1228" s="233" t="s">
        <v>361</v>
      </c>
      <c r="C1228" s="886">
        <f>cходова!R1228</f>
        <v>0.51976289622980465</v>
      </c>
      <c r="D1228" s="886">
        <f>прибуд.!O1228</f>
        <v>0.55795931759289319</v>
      </c>
      <c r="E1228" s="886">
        <f>гар.вода!M1228+хол.вода!Q1228+ц.о.!M1228+каналізація!Q1228+аварійні!I1228+зварювальн!M1228</f>
        <v>0.28925054638102465</v>
      </c>
      <c r="F1228" s="886">
        <f>дератизац.!I1228</f>
        <v>2.3741594100996992E-3</v>
      </c>
      <c r="G1228" s="886">
        <f>димоканал!R1228</f>
        <v>3.2119845040363269E-2</v>
      </c>
      <c r="H1228" s="886">
        <f>'підготовка до зими'!M1228+майстерні!M1228+маляри!M1228+покрівлі!O1228</f>
        <v>0.11728153200354757</v>
      </c>
      <c r="I1228" s="886">
        <f>електрики!R1228</f>
        <v>2.4583642311579473E-2</v>
      </c>
      <c r="J1228" s="989">
        <f t="shared" si="145"/>
        <v>1.5433319389693125</v>
      </c>
      <c r="K1228" s="989">
        <v>3.8671467050779645E-2</v>
      </c>
      <c r="L1228" s="994">
        <f t="shared" si="148"/>
        <v>1.5820034060200923</v>
      </c>
      <c r="M1228" s="994">
        <f t="shared" si="149"/>
        <v>1.8984040872241106</v>
      </c>
      <c r="N1228" s="995">
        <v>10</v>
      </c>
      <c r="O1228" s="997">
        <v>1.5932644424921216</v>
      </c>
      <c r="P1228" s="22">
        <f t="shared" si="146"/>
        <v>0.30513964473198896</v>
      </c>
      <c r="Q1228" s="982">
        <f t="shared" si="147"/>
        <v>19.151851795217453</v>
      </c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s="93" customFormat="1" ht="15.75">
      <c r="A1229" s="236">
        <v>28</v>
      </c>
      <c r="B1229" s="233" t="s">
        <v>362</v>
      </c>
      <c r="C1229" s="886">
        <f>cходова!R1229</f>
        <v>0</v>
      </c>
      <c r="D1229" s="886">
        <f>прибуд.!O1229</f>
        <v>0</v>
      </c>
      <c r="E1229" s="886">
        <f>гар.вода!M1229+хол.вода!Q1229+ц.о.!M1229+каналізація!Q1229+аварійні!I1229+зварювальн!M1229</f>
        <v>0.11219704292442255</v>
      </c>
      <c r="F1229" s="886">
        <f>дератизац.!I1229</f>
        <v>0</v>
      </c>
      <c r="G1229" s="886">
        <f>димоканал!R1229</f>
        <v>0.37665523739876039</v>
      </c>
      <c r="H1229" s="886">
        <f>'підготовка до зими'!M1229+майстерні!M1229+маляри!M1229+покрівлі!O1229</f>
        <v>0.32056340824893553</v>
      </c>
      <c r="I1229" s="886">
        <f>електрики!R1229</f>
        <v>2.2575842518151961E-2</v>
      </c>
      <c r="J1229" s="989">
        <f t="shared" si="145"/>
        <v>0.83199153109027046</v>
      </c>
      <c r="K1229" s="989">
        <v>2.0406568674805281E-2</v>
      </c>
      <c r="L1229" s="994">
        <f t="shared" si="148"/>
        <v>0.85239809976507575</v>
      </c>
      <c r="M1229" s="994">
        <f t="shared" si="149"/>
        <v>1.0228777197180909</v>
      </c>
      <c r="N1229" s="995">
        <v>1</v>
      </c>
      <c r="O1229" s="997">
        <v>0.84075062940197764</v>
      </c>
      <c r="P1229" s="22">
        <f t="shared" si="146"/>
        <v>0.18212709031611329</v>
      </c>
      <c r="Q1229" s="982">
        <f t="shared" si="147"/>
        <v>21.662438771608123</v>
      </c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s="93" customFormat="1" ht="15.75">
      <c r="A1230" s="236">
        <v>30</v>
      </c>
      <c r="B1230" s="233" t="s">
        <v>363</v>
      </c>
      <c r="C1230" s="886">
        <f>cходова!R1230</f>
        <v>0</v>
      </c>
      <c r="D1230" s="886">
        <f>прибуд.!O1230</f>
        <v>0</v>
      </c>
      <c r="E1230" s="886">
        <f>гар.вода!M1230+хол.вода!Q1230+ц.о.!M1230+каналізація!Q1230+аварійні!I1230+зварювальн!M1230</f>
        <v>0.14673666573811966</v>
      </c>
      <c r="F1230" s="886">
        <f>дератизац.!I1230</f>
        <v>0</v>
      </c>
      <c r="G1230" s="886">
        <f>димоканал!R1230</f>
        <v>0.85844740825341936</v>
      </c>
      <c r="H1230" s="886">
        <f>'підготовка до зими'!M1230+майстерні!M1230+маляри!M1230+покрівлі!O1230</f>
        <v>0.12731967465836994</v>
      </c>
      <c r="I1230" s="886">
        <f>електрики!R1230</f>
        <v>3.1238966508508097E-2</v>
      </c>
      <c r="J1230" s="989">
        <f t="shared" si="145"/>
        <v>1.1637427151584172</v>
      </c>
      <c r="K1230" s="989">
        <v>2.8155175253780574E-2</v>
      </c>
      <c r="L1230" s="994">
        <f t="shared" si="148"/>
        <v>1.1918978904121977</v>
      </c>
      <c r="M1230" s="994">
        <f t="shared" si="149"/>
        <v>1.4302774684946373</v>
      </c>
      <c r="N1230" s="995">
        <v>1</v>
      </c>
      <c r="O1230" s="997">
        <v>1.1599932204557597</v>
      </c>
      <c r="P1230" s="22">
        <f t="shared" si="146"/>
        <v>0.27028424803887763</v>
      </c>
      <c r="Q1230" s="982">
        <f t="shared" si="147"/>
        <v>23.300502388512541</v>
      </c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s="93" customFormat="1" ht="15.75">
      <c r="A1231" s="236">
        <v>31</v>
      </c>
      <c r="B1231" s="233" t="s">
        <v>364</v>
      </c>
      <c r="C1231" s="886">
        <f>cходова!R1231</f>
        <v>0</v>
      </c>
      <c r="D1231" s="886">
        <f>прибуд.!O1231</f>
        <v>0</v>
      </c>
      <c r="E1231" s="886">
        <f>гар.вода!M1231+хол.вода!Q1231+ц.о.!M1231+каналізація!Q1231+аварійні!I1231+зварювальн!M1231</f>
        <v>0.17841072643263617</v>
      </c>
      <c r="F1231" s="886">
        <f>дератизац.!I1231</f>
        <v>0</v>
      </c>
      <c r="G1231" s="886">
        <f>димоканал!R1231</f>
        <v>0.53837973233134706</v>
      </c>
      <c r="H1231" s="886">
        <f>'підготовка до зими'!M1231+майстерні!M1231+маляри!M1231+покрівлі!O1231</f>
        <v>0.16864548074616875</v>
      </c>
      <c r="I1231" s="886">
        <f>електрики!R1231</f>
        <v>3.9183358853344209E-2</v>
      </c>
      <c r="J1231" s="989">
        <f t="shared" si="145"/>
        <v>0.92461929836349621</v>
      </c>
      <c r="K1231" s="989">
        <v>2.2526675005648443E-2</v>
      </c>
      <c r="L1231" s="994">
        <f t="shared" si="148"/>
        <v>0.94714597336914463</v>
      </c>
      <c r="M1231" s="994">
        <f t="shared" si="149"/>
        <v>1.1365751680429734</v>
      </c>
      <c r="N1231" s="995">
        <v>1</v>
      </c>
      <c r="O1231" s="997">
        <v>0.92809901023271579</v>
      </c>
      <c r="P1231" s="22">
        <f t="shared" si="146"/>
        <v>0.20847615781025763</v>
      </c>
      <c r="Q1231" s="982">
        <f t="shared" si="147"/>
        <v>22.462706619844724</v>
      </c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s="93" customFormat="1" ht="15.75" customHeight="1">
      <c r="A1232" s="236"/>
      <c r="B1232" s="903" t="s">
        <v>1409</v>
      </c>
      <c r="C1232" s="895">
        <f>SUM(C1204:C1231)/31</f>
        <v>0.30321075267920211</v>
      </c>
      <c r="D1232" s="895">
        <f t="shared" ref="D1232:M1232" si="150">SUM(D1204:D1231)/31</f>
        <v>0.37114914914678648</v>
      </c>
      <c r="E1232" s="895">
        <f t="shared" si="150"/>
        <v>0.21663836281410137</v>
      </c>
      <c r="F1232" s="895">
        <f t="shared" si="150"/>
        <v>3.1004140104755524E-3</v>
      </c>
      <c r="G1232" s="895">
        <f t="shared" si="150"/>
        <v>0.17692349401701585</v>
      </c>
      <c r="H1232" s="895">
        <f t="shared" si="150"/>
        <v>0.12524524763192985</v>
      </c>
      <c r="I1232" s="895">
        <f t="shared" si="150"/>
        <v>2.171553462252359E-2</v>
      </c>
      <c r="J1232" s="989">
        <f t="shared" si="150"/>
        <v>1.2179829549220347</v>
      </c>
      <c r="K1232" s="989">
        <f>SUM(K1204:K1231)/31</f>
        <v>3.0312901722174258E-2</v>
      </c>
      <c r="L1232" s="989">
        <f t="shared" si="150"/>
        <v>1.2482958566442093</v>
      </c>
      <c r="M1232" s="989">
        <f t="shared" si="150"/>
        <v>1.4979550279730507</v>
      </c>
      <c r="N1232" s="523"/>
      <c r="O1232" s="1003">
        <f>AVERAGE(O1204:O1231)</f>
        <v>1.3827013599843203</v>
      </c>
      <c r="P1232" s="22">
        <f>AVERAGE(P1204:P1231)</f>
        <v>0.27574884955727169</v>
      </c>
      <c r="Q1232" s="982">
        <f t="shared" si="147"/>
        <v>8.3353984688376386</v>
      </c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s="235" customFormat="1" ht="18.75" thickBot="1">
      <c r="A1233" s="913"/>
      <c r="B1233" s="913"/>
      <c r="C1233" s="913"/>
      <c r="D1233" s="913"/>
      <c r="E1233" s="913"/>
      <c r="F1233" s="913"/>
      <c r="G1233" s="913"/>
      <c r="H1233" s="913"/>
      <c r="I1233" s="913"/>
      <c r="J1233" s="913"/>
      <c r="K1233" s="913"/>
      <c r="L1233" s="913"/>
      <c r="M1233" s="913"/>
      <c r="N1233" s="523"/>
      <c r="O1233" s="1023"/>
      <c r="P1233" s="22"/>
      <c r="Q1233" s="914"/>
      <c r="R1233" s="914"/>
      <c r="S1233" s="914"/>
      <c r="T1233" s="914"/>
      <c r="U1233" s="914"/>
      <c r="V1233" s="914"/>
      <c r="W1233" s="914"/>
      <c r="X1233" s="914"/>
      <c r="Y1233" s="914"/>
      <c r="Z1233" s="914"/>
    </row>
    <row r="1234" spans="1:26" s="272" customFormat="1" ht="18.75" thickBot="1">
      <c r="A1234" s="915"/>
      <c r="B1234" s="916" t="s">
        <v>1410</v>
      </c>
      <c r="C1234" s="917">
        <f t="shared" ref="C1234:P1234" si="151">(C1232+C1202+C1146+C879+C747+C535+C384+C90+C67)/9</f>
        <v>0.30066580086501671</v>
      </c>
      <c r="D1234" s="917">
        <f t="shared" si="151"/>
        <v>0.29615117112813788</v>
      </c>
      <c r="E1234" s="917">
        <f t="shared" si="151"/>
        <v>0.24360510952300529</v>
      </c>
      <c r="F1234" s="917">
        <f t="shared" si="151"/>
        <v>3.2233138422763257E-3</v>
      </c>
      <c r="G1234" s="917">
        <f t="shared" si="151"/>
        <v>6.7689659164869853E-2</v>
      </c>
      <c r="H1234" s="917">
        <f t="shared" si="151"/>
        <v>0.20367405263065358</v>
      </c>
      <c r="I1234" s="917">
        <f t="shared" si="151"/>
        <v>2.3887971358511201E-2</v>
      </c>
      <c r="J1234" s="1025">
        <f t="shared" si="151"/>
        <v>1.1388970785124706</v>
      </c>
      <c r="K1234" s="1024"/>
      <c r="L1234" s="1025">
        <f t="shared" si="151"/>
        <v>1.1676580228384159</v>
      </c>
      <c r="M1234" s="1025">
        <f t="shared" si="151"/>
        <v>1.4011896274060989</v>
      </c>
      <c r="N1234" s="1024">
        <f t="shared" si="151"/>
        <v>0</v>
      </c>
      <c r="O1234" s="1025">
        <f t="shared" si="151"/>
        <v>1.0013159024602509</v>
      </c>
      <c r="P1234" s="1026">
        <f t="shared" si="151"/>
        <v>0.21253048698329924</v>
      </c>
      <c r="Q1234" s="984"/>
      <c r="R1234" s="918"/>
      <c r="S1234" s="918"/>
      <c r="T1234" s="918"/>
      <c r="U1234" s="918"/>
      <c r="V1234" s="918"/>
      <c r="W1234" s="918"/>
      <c r="X1234" s="918"/>
      <c r="Y1234" s="918"/>
      <c r="Z1234" s="918"/>
    </row>
    <row r="1235" spans="1:26" s="6" customFormat="1" ht="15.75">
      <c r="A1235" s="887"/>
      <c r="B1235" s="123"/>
      <c r="C1235" s="888"/>
      <c r="D1235" s="888"/>
      <c r="E1235" s="888"/>
      <c r="F1235" s="888"/>
      <c r="G1235" s="888"/>
      <c r="H1235" s="888"/>
      <c r="I1235" s="888"/>
      <c r="J1235" s="907"/>
      <c r="K1235" s="907"/>
      <c r="L1235" s="11"/>
      <c r="M1235" s="907"/>
      <c r="N1235" s="523"/>
      <c r="O1235" s="907"/>
      <c r="P1235" s="22"/>
      <c r="Q1235" s="2"/>
    </row>
    <row r="1236" spans="1:26" s="6" customFormat="1" ht="15.75">
      <c r="A1236" s="887"/>
      <c r="B1236" s="889"/>
      <c r="C1236" s="888"/>
      <c r="D1236" s="888"/>
      <c r="E1236" s="888"/>
      <c r="F1236" s="888"/>
      <c r="G1236" s="888"/>
      <c r="H1236" s="888"/>
      <c r="I1236" s="888"/>
      <c r="J1236" s="907"/>
      <c r="K1236" s="907"/>
      <c r="L1236" s="11"/>
      <c r="M1236" s="907"/>
      <c r="N1236" s="523"/>
      <c r="O1236" s="907"/>
      <c r="P1236" s="22"/>
      <c r="Q1236" s="2"/>
    </row>
    <row r="1237" spans="1:26" s="6" customFormat="1" ht="15.75">
      <c r="A1237" s="887"/>
      <c r="B1237" s="123"/>
      <c r="C1237" s="888"/>
      <c r="D1237" s="888"/>
      <c r="E1237" s="888"/>
      <c r="F1237" s="888"/>
      <c r="G1237" s="888"/>
      <c r="H1237" s="888"/>
      <c r="I1237" s="888"/>
      <c r="J1237" s="907"/>
      <c r="K1237" s="907"/>
      <c r="L1237" s="11"/>
      <c r="M1237" s="907"/>
      <c r="N1237" s="523"/>
      <c r="O1237" s="907"/>
      <c r="P1237" s="22"/>
      <c r="Q1237" s="2"/>
    </row>
    <row r="1238" spans="1:26" s="6" customFormat="1" ht="15.75">
      <c r="A1238" s="887"/>
      <c r="B1238" s="123"/>
      <c r="C1238" s="888"/>
      <c r="D1238" s="888"/>
      <c r="E1238" s="888"/>
      <c r="F1238" s="888"/>
      <c r="G1238" s="888"/>
      <c r="H1238" s="888"/>
      <c r="I1238" s="888"/>
      <c r="J1238" s="907"/>
      <c r="K1238" s="907"/>
      <c r="L1238" s="11"/>
      <c r="M1238" s="907"/>
      <c r="N1238" s="523"/>
      <c r="O1238" s="907"/>
      <c r="P1238" s="22"/>
      <c r="Q1238" s="2"/>
    </row>
    <row r="1239" spans="1:26" s="6" customFormat="1" ht="15.75">
      <c r="A1239" s="887"/>
      <c r="B1239" s="123"/>
      <c r="C1239" s="888"/>
      <c r="D1239" s="888"/>
      <c r="E1239" s="888"/>
      <c r="F1239" s="888"/>
      <c r="G1239" s="888"/>
      <c r="H1239" s="888"/>
      <c r="I1239" s="888"/>
      <c r="J1239" s="907"/>
      <c r="K1239" s="907"/>
      <c r="L1239" s="11"/>
      <c r="M1239" s="907"/>
      <c r="N1239" s="523"/>
      <c r="O1239" s="907"/>
      <c r="P1239" s="22"/>
      <c r="Q1239" s="2"/>
    </row>
    <row r="1240" spans="1:26" s="6" customFormat="1" ht="15.75">
      <c r="A1240" s="887"/>
      <c r="B1240" s="123"/>
      <c r="C1240" s="888"/>
      <c r="D1240" s="888"/>
      <c r="E1240" s="888"/>
      <c r="F1240" s="888"/>
      <c r="G1240" s="888"/>
      <c r="H1240" s="888"/>
      <c r="I1240" s="888"/>
      <c r="J1240" s="907"/>
      <c r="K1240" s="907"/>
      <c r="L1240" s="11"/>
      <c r="M1240" s="907"/>
      <c r="N1240" s="523"/>
      <c r="O1240" s="907"/>
      <c r="P1240" s="22"/>
      <c r="Q1240" s="2"/>
    </row>
    <row r="1241" spans="1:26" s="6" customFormat="1" ht="15.75">
      <c r="A1241" s="887"/>
      <c r="B1241" s="123"/>
      <c r="C1241" s="888"/>
      <c r="D1241" s="888"/>
      <c r="E1241" s="888"/>
      <c r="F1241" s="888"/>
      <c r="G1241" s="888"/>
      <c r="H1241" s="888"/>
      <c r="I1241" s="888"/>
      <c r="J1241" s="907"/>
      <c r="K1241" s="907"/>
      <c r="L1241" s="11"/>
      <c r="M1241" s="907"/>
      <c r="N1241" s="523"/>
      <c r="O1241" s="907"/>
      <c r="P1241" s="22"/>
      <c r="Q1241" s="2"/>
    </row>
    <row r="1242" spans="1:26" s="6" customFormat="1" ht="15.75">
      <c r="A1242" s="887"/>
      <c r="B1242" s="123"/>
      <c r="C1242" s="888"/>
      <c r="D1242" s="888"/>
      <c r="E1242" s="888"/>
      <c r="F1242" s="888"/>
      <c r="G1242" s="888"/>
      <c r="H1242" s="888"/>
      <c r="I1242" s="888"/>
      <c r="J1242" s="907"/>
      <c r="K1242" s="907"/>
      <c r="L1242" s="11"/>
      <c r="M1242" s="907"/>
      <c r="N1242" s="523"/>
      <c r="O1242" s="907"/>
      <c r="P1242" s="22"/>
      <c r="Q1242" s="2"/>
    </row>
    <row r="1243" spans="1:26" s="6" customFormat="1" ht="15.75">
      <c r="A1243" s="887"/>
      <c r="B1243" s="123"/>
      <c r="C1243" s="888"/>
      <c r="D1243" s="888"/>
      <c r="E1243" s="888"/>
      <c r="F1243" s="888"/>
      <c r="G1243" s="888"/>
      <c r="H1243" s="888"/>
      <c r="I1243" s="888"/>
      <c r="J1243" s="907"/>
      <c r="K1243" s="907"/>
      <c r="L1243" s="11"/>
      <c r="M1243" s="907"/>
      <c r="N1243" s="523"/>
      <c r="O1243" s="907"/>
      <c r="P1243" s="22"/>
      <c r="Q1243" s="2"/>
    </row>
    <row r="1244" spans="1:26" s="6" customFormat="1" ht="15.75">
      <c r="A1244" s="887"/>
      <c r="B1244" s="123"/>
      <c r="C1244" s="888"/>
      <c r="D1244" s="888"/>
      <c r="E1244" s="888"/>
      <c r="F1244" s="888"/>
      <c r="G1244" s="888"/>
      <c r="H1244" s="888"/>
      <c r="I1244" s="888"/>
      <c r="J1244" s="907"/>
      <c r="K1244" s="907"/>
      <c r="L1244" s="11"/>
      <c r="M1244" s="907"/>
      <c r="N1244" s="523"/>
      <c r="O1244" s="907"/>
      <c r="P1244" s="22"/>
      <c r="Q1244" s="2"/>
    </row>
    <row r="1245" spans="1:26" s="6" customFormat="1" ht="15.75">
      <c r="A1245" s="887"/>
      <c r="B1245" s="123"/>
      <c r="C1245" s="888"/>
      <c r="D1245" s="888"/>
      <c r="E1245" s="888"/>
      <c r="F1245" s="888"/>
      <c r="G1245" s="888"/>
      <c r="H1245" s="888"/>
      <c r="I1245" s="888"/>
      <c r="J1245" s="907"/>
      <c r="K1245" s="907"/>
      <c r="L1245" s="11"/>
      <c r="M1245" s="907"/>
      <c r="N1245" s="523"/>
      <c r="O1245" s="907"/>
      <c r="P1245" s="22"/>
      <c r="Q1245" s="2"/>
    </row>
    <row r="1246" spans="1:26" s="6" customFormat="1" ht="15.75">
      <c r="A1246" s="887"/>
      <c r="B1246" s="123"/>
      <c r="C1246" s="888"/>
      <c r="D1246" s="888"/>
      <c r="E1246" s="888"/>
      <c r="F1246" s="888"/>
      <c r="G1246" s="888"/>
      <c r="H1246" s="888"/>
      <c r="I1246" s="888"/>
      <c r="J1246" s="907"/>
      <c r="K1246" s="907"/>
      <c r="L1246" s="11"/>
      <c r="M1246" s="907"/>
      <c r="N1246" s="523"/>
      <c r="O1246" s="907"/>
      <c r="P1246" s="22"/>
      <c r="Q1246" s="2"/>
    </row>
    <row r="1247" spans="1:26" s="6" customFormat="1" ht="15.75">
      <c r="A1247" s="887"/>
      <c r="B1247" s="123"/>
      <c r="C1247" s="888"/>
      <c r="D1247" s="888"/>
      <c r="E1247" s="888"/>
      <c r="F1247" s="888"/>
      <c r="G1247" s="888"/>
      <c r="H1247" s="888"/>
      <c r="I1247" s="888"/>
      <c r="J1247" s="907"/>
      <c r="K1247" s="907"/>
      <c r="L1247" s="11"/>
      <c r="M1247" s="907"/>
      <c r="N1247" s="523"/>
      <c r="O1247" s="907"/>
      <c r="P1247" s="22"/>
      <c r="Q1247" s="2"/>
    </row>
    <row r="1248" spans="1:26" s="6" customFormat="1" ht="15.75">
      <c r="A1248" s="887"/>
      <c r="B1248" s="123"/>
      <c r="C1248" s="888"/>
      <c r="D1248" s="888"/>
      <c r="E1248" s="888"/>
      <c r="F1248" s="888"/>
      <c r="G1248" s="888"/>
      <c r="H1248" s="888"/>
      <c r="I1248" s="888"/>
      <c r="J1248" s="907"/>
      <c r="K1248" s="907"/>
      <c r="L1248" s="11"/>
      <c r="M1248" s="907"/>
      <c r="N1248" s="523"/>
      <c r="O1248" s="907"/>
      <c r="P1248" s="22"/>
      <c r="Q1248" s="2"/>
    </row>
    <row r="1249" spans="1:17" s="6" customFormat="1" ht="15.75">
      <c r="A1249" s="887"/>
      <c r="B1249" s="123"/>
      <c r="C1249" s="888"/>
      <c r="D1249" s="888"/>
      <c r="E1249" s="888"/>
      <c r="F1249" s="888"/>
      <c r="G1249" s="888"/>
      <c r="H1249" s="888"/>
      <c r="I1249" s="888"/>
      <c r="J1249" s="907"/>
      <c r="K1249" s="907"/>
      <c r="L1249" s="11"/>
      <c r="M1249" s="907"/>
      <c r="N1249" s="523"/>
      <c r="O1249" s="907"/>
      <c r="P1249" s="22"/>
      <c r="Q1249" s="2"/>
    </row>
    <row r="1250" spans="1:17" s="6" customFormat="1" ht="15.75">
      <c r="A1250" s="887"/>
      <c r="B1250" s="123"/>
      <c r="C1250" s="888"/>
      <c r="D1250" s="888"/>
      <c r="E1250" s="888"/>
      <c r="F1250" s="888"/>
      <c r="G1250" s="888"/>
      <c r="H1250" s="888"/>
      <c r="I1250" s="888"/>
      <c r="J1250" s="907"/>
      <c r="K1250" s="907"/>
      <c r="L1250" s="11"/>
      <c r="M1250" s="907"/>
      <c r="N1250" s="523"/>
      <c r="O1250" s="907"/>
      <c r="P1250" s="22"/>
      <c r="Q1250" s="2"/>
    </row>
    <row r="1251" spans="1:17" s="6" customFormat="1" ht="15.75">
      <c r="A1251" s="887"/>
      <c r="B1251" s="123"/>
      <c r="C1251" s="888"/>
      <c r="D1251" s="888"/>
      <c r="E1251" s="888"/>
      <c r="F1251" s="888"/>
      <c r="G1251" s="888"/>
      <c r="H1251" s="888"/>
      <c r="I1251" s="888"/>
      <c r="J1251" s="907"/>
      <c r="K1251" s="907"/>
      <c r="L1251" s="11"/>
      <c r="M1251" s="907"/>
      <c r="N1251" s="523"/>
      <c r="O1251" s="907"/>
      <c r="P1251" s="22"/>
      <c r="Q1251" s="2"/>
    </row>
    <row r="1252" spans="1:17" s="6" customFormat="1" ht="15.75">
      <c r="A1252" s="887"/>
      <c r="B1252" s="123"/>
      <c r="C1252" s="888"/>
      <c r="D1252" s="888"/>
      <c r="E1252" s="888"/>
      <c r="F1252" s="888"/>
      <c r="G1252" s="888"/>
      <c r="H1252" s="888"/>
      <c r="I1252" s="888"/>
      <c r="J1252" s="907"/>
      <c r="K1252" s="907"/>
      <c r="L1252" s="11"/>
      <c r="M1252" s="907"/>
      <c r="N1252" s="523"/>
      <c r="O1252" s="907"/>
      <c r="P1252" s="22"/>
      <c r="Q1252" s="2"/>
    </row>
    <row r="1253" spans="1:17" s="6" customFormat="1" ht="15.75">
      <c r="A1253" s="887"/>
      <c r="B1253" s="123"/>
      <c r="C1253" s="888"/>
      <c r="D1253" s="888"/>
      <c r="E1253" s="888"/>
      <c r="F1253" s="888"/>
      <c r="G1253" s="888"/>
      <c r="H1253" s="888"/>
      <c r="I1253" s="888"/>
      <c r="J1253" s="907"/>
      <c r="K1253" s="907"/>
      <c r="L1253" s="11"/>
      <c r="M1253" s="907"/>
      <c r="N1253" s="523"/>
      <c r="O1253" s="907"/>
      <c r="P1253" s="22"/>
      <c r="Q1253" s="2"/>
    </row>
    <row r="1254" spans="1:17" s="6" customFormat="1" ht="15.75">
      <c r="A1254" s="887"/>
      <c r="B1254" s="123"/>
      <c r="C1254" s="888"/>
      <c r="D1254" s="888"/>
      <c r="E1254" s="888"/>
      <c r="F1254" s="888"/>
      <c r="G1254" s="888"/>
      <c r="H1254" s="888"/>
      <c r="I1254" s="888"/>
      <c r="J1254" s="907"/>
      <c r="K1254" s="907"/>
      <c r="L1254" s="11"/>
      <c r="M1254" s="907"/>
      <c r="N1254" s="523"/>
      <c r="O1254" s="907"/>
      <c r="P1254" s="22"/>
      <c r="Q1254" s="2"/>
    </row>
    <row r="1255" spans="1:17" s="6" customFormat="1" ht="15.75">
      <c r="A1255" s="887"/>
      <c r="B1255" s="123"/>
      <c r="C1255" s="888"/>
      <c r="D1255" s="888"/>
      <c r="E1255" s="888"/>
      <c r="F1255" s="888"/>
      <c r="G1255" s="888"/>
      <c r="H1255" s="888"/>
      <c r="I1255" s="888"/>
      <c r="J1255" s="907"/>
      <c r="K1255" s="907"/>
      <c r="L1255" s="11"/>
      <c r="M1255" s="907"/>
      <c r="N1255" s="523"/>
      <c r="O1255" s="907"/>
      <c r="P1255" s="22"/>
      <c r="Q1255" s="2"/>
    </row>
    <row r="1256" spans="1:17" s="6" customFormat="1" ht="15.75">
      <c r="A1256" s="887"/>
      <c r="B1256" s="123"/>
      <c r="C1256" s="888"/>
      <c r="D1256" s="888"/>
      <c r="E1256" s="888"/>
      <c r="F1256" s="888"/>
      <c r="G1256" s="888"/>
      <c r="H1256" s="888"/>
      <c r="I1256" s="888"/>
      <c r="J1256" s="907"/>
      <c r="K1256" s="907"/>
      <c r="L1256" s="11"/>
      <c r="M1256" s="907"/>
      <c r="N1256" s="523"/>
      <c r="O1256" s="907"/>
      <c r="P1256" s="22"/>
      <c r="Q1256" s="2"/>
    </row>
    <row r="1257" spans="1:17" s="6" customFormat="1" ht="15.75">
      <c r="A1257" s="887"/>
      <c r="B1257" s="123"/>
      <c r="C1257" s="888"/>
      <c r="D1257" s="888"/>
      <c r="E1257" s="888"/>
      <c r="F1257" s="888"/>
      <c r="G1257" s="888"/>
      <c r="H1257" s="888"/>
      <c r="I1257" s="888"/>
      <c r="J1257" s="907"/>
      <c r="K1257" s="907"/>
      <c r="L1257" s="11"/>
      <c r="M1257" s="907"/>
      <c r="N1257" s="523"/>
      <c r="O1257" s="907"/>
      <c r="P1257" s="22"/>
      <c r="Q1257" s="2"/>
    </row>
    <row r="1258" spans="1:17" s="6" customFormat="1" ht="15.75">
      <c r="A1258" s="887"/>
      <c r="B1258" s="123"/>
      <c r="C1258" s="888"/>
      <c r="D1258" s="888"/>
      <c r="E1258" s="888"/>
      <c r="F1258" s="888"/>
      <c r="G1258" s="888"/>
      <c r="H1258" s="888"/>
      <c r="I1258" s="888"/>
      <c r="J1258" s="907"/>
      <c r="K1258" s="907"/>
      <c r="L1258" s="11"/>
      <c r="M1258" s="907"/>
      <c r="N1258" s="523"/>
      <c r="O1258" s="907"/>
      <c r="P1258" s="22"/>
      <c r="Q1258" s="2"/>
    </row>
    <row r="1259" spans="1:17" s="6" customFormat="1" ht="15.75">
      <c r="A1259" s="887"/>
      <c r="B1259" s="123"/>
      <c r="C1259" s="888"/>
      <c r="D1259" s="888"/>
      <c r="E1259" s="888"/>
      <c r="F1259" s="888"/>
      <c r="G1259" s="888"/>
      <c r="H1259" s="888"/>
      <c r="I1259" s="888"/>
      <c r="J1259" s="907"/>
      <c r="K1259" s="907"/>
      <c r="L1259" s="11"/>
      <c r="M1259" s="907"/>
      <c r="N1259" s="523"/>
      <c r="O1259" s="907"/>
      <c r="P1259" s="22"/>
      <c r="Q1259" s="2"/>
    </row>
    <row r="1260" spans="1:17" s="6" customFormat="1" ht="15.75">
      <c r="A1260" s="887"/>
      <c r="B1260" s="123"/>
      <c r="C1260" s="888"/>
      <c r="D1260" s="888"/>
      <c r="E1260" s="888"/>
      <c r="F1260" s="888"/>
      <c r="G1260" s="888"/>
      <c r="H1260" s="888"/>
      <c r="I1260" s="888"/>
      <c r="J1260" s="907"/>
      <c r="K1260" s="907"/>
      <c r="L1260" s="11"/>
      <c r="M1260" s="907"/>
      <c r="N1260" s="523"/>
      <c r="O1260" s="907"/>
      <c r="P1260" s="22"/>
      <c r="Q1260" s="2"/>
    </row>
    <row r="1261" spans="1:17" s="6" customFormat="1" ht="15.75">
      <c r="A1261" s="887"/>
      <c r="B1261" s="123"/>
      <c r="C1261" s="888"/>
      <c r="D1261" s="888"/>
      <c r="E1261" s="888"/>
      <c r="F1261" s="888"/>
      <c r="G1261" s="888"/>
      <c r="H1261" s="888"/>
      <c r="I1261" s="888"/>
      <c r="J1261" s="907"/>
      <c r="K1261" s="907"/>
      <c r="L1261" s="11"/>
      <c r="M1261" s="907"/>
      <c r="N1261" s="523"/>
      <c r="O1261" s="907"/>
      <c r="P1261" s="22"/>
      <c r="Q1261" s="2"/>
    </row>
    <row r="1262" spans="1:17" s="6" customFormat="1" ht="15.75">
      <c r="A1262" s="887"/>
      <c r="B1262" s="123"/>
      <c r="C1262" s="888"/>
      <c r="D1262" s="888"/>
      <c r="E1262" s="888"/>
      <c r="F1262" s="888"/>
      <c r="G1262" s="888"/>
      <c r="H1262" s="888"/>
      <c r="I1262" s="888"/>
      <c r="J1262" s="907"/>
      <c r="K1262" s="907"/>
      <c r="L1262" s="11"/>
      <c r="M1262" s="907"/>
      <c r="N1262" s="523"/>
      <c r="O1262" s="907"/>
      <c r="P1262" s="22"/>
      <c r="Q1262" s="2"/>
    </row>
    <row r="1263" spans="1:17" s="6" customFormat="1" ht="15.75">
      <c r="A1263" s="887"/>
      <c r="B1263" s="123"/>
      <c r="C1263" s="888"/>
      <c r="D1263" s="888"/>
      <c r="E1263" s="888"/>
      <c r="F1263" s="888"/>
      <c r="G1263" s="888"/>
      <c r="H1263" s="888"/>
      <c r="I1263" s="888"/>
      <c r="J1263" s="907"/>
      <c r="K1263" s="907"/>
      <c r="L1263" s="11"/>
      <c r="M1263" s="907"/>
      <c r="N1263" s="523"/>
      <c r="O1263" s="907"/>
      <c r="P1263" s="22"/>
      <c r="Q1263" s="2"/>
    </row>
    <row r="1264" spans="1:17" s="6" customFormat="1" ht="15.75">
      <c r="A1264" s="887"/>
      <c r="B1264" s="123"/>
      <c r="C1264" s="888"/>
      <c r="D1264" s="888"/>
      <c r="E1264" s="888"/>
      <c r="F1264" s="888"/>
      <c r="G1264" s="888"/>
      <c r="H1264" s="888"/>
      <c r="I1264" s="888"/>
      <c r="J1264" s="907"/>
      <c r="K1264" s="907"/>
      <c r="L1264" s="11"/>
      <c r="M1264" s="907"/>
      <c r="N1264" s="523"/>
      <c r="O1264" s="907"/>
      <c r="P1264" s="22"/>
      <c r="Q1264" s="2"/>
    </row>
    <row r="1265" spans="1:17" s="6" customFormat="1" ht="15.75">
      <c r="A1265" s="887"/>
      <c r="B1265" s="123"/>
      <c r="C1265" s="888"/>
      <c r="D1265" s="888"/>
      <c r="E1265" s="888"/>
      <c r="F1265" s="888"/>
      <c r="G1265" s="888"/>
      <c r="H1265" s="888"/>
      <c r="I1265" s="888"/>
      <c r="J1265" s="907"/>
      <c r="K1265" s="907"/>
      <c r="L1265" s="11"/>
      <c r="M1265" s="907"/>
      <c r="N1265" s="523"/>
      <c r="O1265" s="907"/>
      <c r="P1265" s="22"/>
      <c r="Q1265" s="2"/>
    </row>
    <row r="1266" spans="1:17" s="6" customFormat="1" ht="15.75">
      <c r="A1266" s="887"/>
      <c r="B1266" s="123"/>
      <c r="C1266" s="888"/>
      <c r="D1266" s="888"/>
      <c r="E1266" s="888"/>
      <c r="F1266" s="888"/>
      <c r="G1266" s="888"/>
      <c r="H1266" s="888"/>
      <c r="I1266" s="888"/>
      <c r="J1266" s="907"/>
      <c r="K1266" s="907"/>
      <c r="L1266" s="11"/>
      <c r="M1266" s="907"/>
      <c r="N1266" s="523"/>
      <c r="O1266" s="907"/>
      <c r="P1266" s="22"/>
      <c r="Q1266" s="2"/>
    </row>
    <row r="1267" spans="1:17" s="6" customFormat="1" ht="15.75">
      <c r="A1267" s="887"/>
      <c r="B1267" s="123"/>
      <c r="C1267" s="888"/>
      <c r="D1267" s="888"/>
      <c r="E1267" s="888"/>
      <c r="F1267" s="888"/>
      <c r="G1267" s="888"/>
      <c r="H1267" s="888"/>
      <c r="I1267" s="888"/>
      <c r="J1267" s="907"/>
      <c r="K1267" s="907"/>
      <c r="L1267" s="11"/>
      <c r="M1267" s="907"/>
      <c r="N1267" s="523"/>
      <c r="O1267" s="907"/>
      <c r="P1267" s="22"/>
      <c r="Q1267" s="2"/>
    </row>
    <row r="1268" spans="1:17" s="6" customFormat="1" ht="15.75">
      <c r="A1268" s="887"/>
      <c r="B1268" s="123"/>
      <c r="C1268" s="888"/>
      <c r="D1268" s="888"/>
      <c r="E1268" s="888"/>
      <c r="F1268" s="888"/>
      <c r="G1268" s="888"/>
      <c r="H1268" s="888"/>
      <c r="I1268" s="888"/>
      <c r="J1268" s="907"/>
      <c r="K1268" s="907"/>
      <c r="L1268" s="11"/>
      <c r="M1268" s="907"/>
      <c r="N1268" s="523"/>
      <c r="O1268" s="907"/>
      <c r="P1268" s="22"/>
      <c r="Q1268" s="2"/>
    </row>
    <row r="1269" spans="1:17" s="6" customFormat="1" ht="15.75">
      <c r="A1269" s="887"/>
      <c r="B1269" s="123"/>
      <c r="C1269" s="888"/>
      <c r="D1269" s="888"/>
      <c r="E1269" s="888"/>
      <c r="F1269" s="888"/>
      <c r="G1269" s="888"/>
      <c r="H1269" s="888"/>
      <c r="I1269" s="888"/>
      <c r="J1269" s="907"/>
      <c r="K1269" s="907"/>
      <c r="L1269" s="11"/>
      <c r="M1269" s="907"/>
      <c r="N1269" s="523"/>
      <c r="O1269" s="907"/>
      <c r="P1269" s="22"/>
      <c r="Q1269" s="2"/>
    </row>
    <row r="1270" spans="1:17" s="6" customFormat="1" ht="15.75">
      <c r="A1270" s="887"/>
      <c r="B1270" s="123"/>
      <c r="C1270" s="888"/>
      <c r="D1270" s="888"/>
      <c r="E1270" s="888"/>
      <c r="F1270" s="888"/>
      <c r="G1270" s="888"/>
      <c r="H1270" s="888"/>
      <c r="I1270" s="888"/>
      <c r="J1270" s="907"/>
      <c r="K1270" s="907"/>
      <c r="L1270" s="11"/>
      <c r="M1270" s="907"/>
      <c r="N1270" s="523"/>
      <c r="O1270" s="907"/>
      <c r="P1270" s="22"/>
      <c r="Q1270" s="2"/>
    </row>
    <row r="1271" spans="1:17" s="6" customFormat="1" ht="15.75">
      <c r="A1271" s="887"/>
      <c r="B1271" s="123"/>
      <c r="C1271" s="888"/>
      <c r="D1271" s="888"/>
      <c r="E1271" s="888"/>
      <c r="F1271" s="888"/>
      <c r="G1271" s="888"/>
      <c r="H1271" s="888"/>
      <c r="I1271" s="888"/>
      <c r="J1271" s="907"/>
      <c r="K1271" s="907"/>
      <c r="L1271" s="11"/>
      <c r="M1271" s="907"/>
      <c r="N1271" s="523"/>
      <c r="O1271" s="907"/>
      <c r="P1271" s="22"/>
      <c r="Q1271" s="2"/>
    </row>
    <row r="1272" spans="1:17" s="6" customFormat="1" ht="15.75">
      <c r="A1272" s="887"/>
      <c r="B1272" s="123"/>
      <c r="C1272" s="888"/>
      <c r="D1272" s="888"/>
      <c r="E1272" s="888"/>
      <c r="F1272" s="888"/>
      <c r="G1272" s="888"/>
      <c r="H1272" s="888"/>
      <c r="I1272" s="888"/>
      <c r="J1272" s="907"/>
      <c r="K1272" s="907"/>
      <c r="L1272" s="11"/>
      <c r="M1272" s="907"/>
      <c r="N1272" s="523"/>
      <c r="O1272" s="907"/>
      <c r="P1272" s="22"/>
      <c r="Q1272" s="2"/>
    </row>
    <row r="1273" spans="1:17" s="6" customFormat="1" ht="15.75">
      <c r="A1273" s="887"/>
      <c r="B1273" s="123"/>
      <c r="C1273" s="888"/>
      <c r="D1273" s="888"/>
      <c r="E1273" s="888"/>
      <c r="F1273" s="888"/>
      <c r="G1273" s="888"/>
      <c r="H1273" s="888"/>
      <c r="I1273" s="888"/>
      <c r="J1273" s="907"/>
      <c r="K1273" s="907"/>
      <c r="L1273" s="11"/>
      <c r="M1273" s="907"/>
      <c r="N1273" s="523"/>
      <c r="O1273" s="907"/>
      <c r="P1273" s="22"/>
      <c r="Q1273" s="2"/>
    </row>
    <row r="1274" spans="1:17" s="6" customFormat="1" ht="15.75">
      <c r="A1274" s="887"/>
      <c r="B1274" s="123"/>
      <c r="C1274" s="888"/>
      <c r="D1274" s="888"/>
      <c r="E1274" s="888"/>
      <c r="F1274" s="888"/>
      <c r="G1274" s="888"/>
      <c r="H1274" s="888"/>
      <c r="I1274" s="888"/>
      <c r="J1274" s="907"/>
      <c r="K1274" s="907"/>
      <c r="L1274" s="11"/>
      <c r="M1274" s="907"/>
      <c r="N1274" s="523"/>
      <c r="O1274" s="907"/>
      <c r="P1274" s="22"/>
      <c r="Q1274" s="2"/>
    </row>
    <row r="1275" spans="1:17" s="6" customFormat="1" ht="15.75">
      <c r="A1275" s="887"/>
      <c r="B1275" s="123"/>
      <c r="C1275" s="888"/>
      <c r="D1275" s="888"/>
      <c r="E1275" s="888"/>
      <c r="F1275" s="888"/>
      <c r="G1275" s="888"/>
      <c r="H1275" s="888"/>
      <c r="I1275" s="888"/>
      <c r="J1275" s="907"/>
      <c r="K1275" s="907"/>
      <c r="L1275" s="11"/>
      <c r="M1275" s="907"/>
      <c r="N1275" s="523"/>
      <c r="O1275" s="907"/>
      <c r="P1275" s="22"/>
      <c r="Q1275" s="2"/>
    </row>
    <row r="1276" spans="1:17" s="6" customFormat="1" ht="15.75">
      <c r="A1276" s="887"/>
      <c r="B1276" s="123"/>
      <c r="C1276" s="888"/>
      <c r="D1276" s="888"/>
      <c r="E1276" s="888"/>
      <c r="F1276" s="888"/>
      <c r="G1276" s="888"/>
      <c r="H1276" s="888"/>
      <c r="I1276" s="888"/>
      <c r="J1276" s="907"/>
      <c r="K1276" s="907"/>
      <c r="L1276" s="11"/>
      <c r="M1276" s="907"/>
      <c r="N1276" s="523"/>
      <c r="O1276" s="907"/>
      <c r="P1276" s="22"/>
      <c r="Q1276" s="2"/>
    </row>
    <row r="1277" spans="1:17" s="6" customFormat="1" ht="15.75">
      <c r="A1277" s="887"/>
      <c r="B1277" s="123"/>
      <c r="C1277" s="888"/>
      <c r="D1277" s="888"/>
      <c r="E1277" s="888"/>
      <c r="F1277" s="888"/>
      <c r="G1277" s="888"/>
      <c r="H1277" s="888"/>
      <c r="I1277" s="888"/>
      <c r="J1277" s="907"/>
      <c r="K1277" s="907"/>
      <c r="L1277" s="11"/>
      <c r="M1277" s="907"/>
      <c r="N1277" s="523"/>
      <c r="O1277" s="907"/>
      <c r="P1277" s="22"/>
      <c r="Q1277" s="2"/>
    </row>
    <row r="1278" spans="1:17" s="6" customFormat="1" ht="15.75">
      <c r="A1278" s="887"/>
      <c r="B1278" s="123"/>
      <c r="C1278" s="888"/>
      <c r="D1278" s="888"/>
      <c r="E1278" s="888"/>
      <c r="F1278" s="888"/>
      <c r="G1278" s="888"/>
      <c r="H1278" s="888"/>
      <c r="I1278" s="888"/>
      <c r="J1278" s="907"/>
      <c r="K1278" s="907"/>
      <c r="L1278" s="11"/>
      <c r="M1278" s="907"/>
      <c r="N1278" s="523"/>
      <c r="O1278" s="907"/>
      <c r="P1278" s="22"/>
      <c r="Q1278" s="2"/>
    </row>
    <row r="1279" spans="1:17" s="6" customFormat="1" ht="15.75">
      <c r="A1279" s="887"/>
      <c r="B1279" s="123"/>
      <c r="C1279" s="888"/>
      <c r="D1279" s="888"/>
      <c r="E1279" s="888"/>
      <c r="F1279" s="888"/>
      <c r="G1279" s="888"/>
      <c r="H1279" s="888"/>
      <c r="I1279" s="888"/>
      <c r="J1279" s="907"/>
      <c r="K1279" s="907"/>
      <c r="L1279" s="11"/>
      <c r="M1279" s="907"/>
      <c r="N1279" s="523"/>
      <c r="O1279" s="907"/>
      <c r="P1279" s="22"/>
      <c r="Q1279" s="2"/>
    </row>
    <row r="1280" spans="1:17" s="6" customFormat="1" ht="15.75">
      <c r="A1280" s="887"/>
      <c r="B1280" s="123"/>
      <c r="C1280" s="888"/>
      <c r="D1280" s="888"/>
      <c r="E1280" s="888"/>
      <c r="F1280" s="888"/>
      <c r="G1280" s="888"/>
      <c r="H1280" s="888"/>
      <c r="I1280" s="888"/>
      <c r="J1280" s="907"/>
      <c r="K1280" s="907"/>
      <c r="L1280" s="11"/>
      <c r="M1280" s="907"/>
      <c r="N1280" s="523"/>
      <c r="O1280" s="907"/>
      <c r="P1280" s="22"/>
      <c r="Q1280" s="2"/>
    </row>
    <row r="1281" spans="1:17" s="6" customFormat="1" ht="15.75">
      <c r="A1281" s="887"/>
      <c r="B1281" s="123"/>
      <c r="C1281" s="888"/>
      <c r="D1281" s="888"/>
      <c r="E1281" s="888"/>
      <c r="F1281" s="888"/>
      <c r="G1281" s="888"/>
      <c r="H1281" s="888"/>
      <c r="I1281" s="888"/>
      <c r="J1281" s="907"/>
      <c r="K1281" s="907"/>
      <c r="L1281" s="11"/>
      <c r="M1281" s="907"/>
      <c r="N1281" s="523"/>
      <c r="O1281" s="907"/>
      <c r="P1281" s="22"/>
      <c r="Q1281" s="2"/>
    </row>
    <row r="1282" spans="1:17" s="6" customFormat="1" ht="15.75">
      <c r="A1282" s="887"/>
      <c r="B1282" s="123"/>
      <c r="C1282" s="888"/>
      <c r="D1282" s="888"/>
      <c r="E1282" s="888"/>
      <c r="F1282" s="888"/>
      <c r="G1282" s="888"/>
      <c r="H1282" s="888"/>
      <c r="I1282" s="888"/>
      <c r="J1282" s="907"/>
      <c r="K1282" s="907"/>
      <c r="L1282" s="11"/>
      <c r="M1282" s="907"/>
      <c r="N1282" s="523"/>
      <c r="O1282" s="907"/>
      <c r="P1282" s="22"/>
      <c r="Q1282" s="2"/>
    </row>
    <row r="1283" spans="1:17" s="6" customFormat="1" ht="15.75">
      <c r="A1283" s="887"/>
      <c r="B1283" s="123"/>
      <c r="C1283" s="888"/>
      <c r="D1283" s="888"/>
      <c r="E1283" s="888"/>
      <c r="F1283" s="888"/>
      <c r="G1283" s="888"/>
      <c r="H1283" s="888"/>
      <c r="I1283" s="888"/>
      <c r="J1283" s="907"/>
      <c r="K1283" s="907"/>
      <c r="L1283" s="11"/>
      <c r="M1283" s="907"/>
      <c r="N1283" s="523"/>
      <c r="O1283" s="907"/>
      <c r="P1283" s="22"/>
      <c r="Q1283" s="2"/>
    </row>
    <row r="1284" spans="1:17" s="6" customFormat="1" ht="15.75">
      <c r="A1284" s="887"/>
      <c r="B1284" s="123"/>
      <c r="C1284" s="888"/>
      <c r="D1284" s="888"/>
      <c r="E1284" s="888"/>
      <c r="F1284" s="888"/>
      <c r="G1284" s="888"/>
      <c r="H1284" s="888"/>
      <c r="I1284" s="888"/>
      <c r="J1284" s="907"/>
      <c r="K1284" s="907"/>
      <c r="L1284" s="11"/>
      <c r="M1284" s="907"/>
      <c r="N1284" s="523"/>
      <c r="O1284" s="907"/>
      <c r="P1284" s="22"/>
      <c r="Q1284" s="2"/>
    </row>
    <row r="1285" spans="1:17" s="6" customFormat="1" ht="15.75">
      <c r="A1285" s="887"/>
      <c r="B1285" s="123"/>
      <c r="C1285" s="888"/>
      <c r="D1285" s="888"/>
      <c r="E1285" s="888"/>
      <c r="F1285" s="888"/>
      <c r="G1285" s="888"/>
      <c r="H1285" s="888"/>
      <c r="I1285" s="888"/>
      <c r="J1285" s="907"/>
      <c r="K1285" s="907"/>
      <c r="L1285" s="11"/>
      <c r="M1285" s="907"/>
      <c r="N1285" s="523"/>
      <c r="O1285" s="907"/>
      <c r="P1285" s="22"/>
      <c r="Q1285" s="2"/>
    </row>
    <row r="1286" spans="1:17" s="6" customFormat="1" ht="15.75">
      <c r="A1286" s="887"/>
      <c r="B1286" s="123"/>
      <c r="C1286" s="888"/>
      <c r="D1286" s="888"/>
      <c r="E1286" s="888"/>
      <c r="F1286" s="888"/>
      <c r="G1286" s="888"/>
      <c r="H1286" s="888"/>
      <c r="I1286" s="888"/>
      <c r="J1286" s="907"/>
      <c r="K1286" s="907"/>
      <c r="L1286" s="11"/>
      <c r="M1286" s="907"/>
      <c r="N1286" s="523"/>
      <c r="O1286" s="907"/>
      <c r="P1286" s="22"/>
      <c r="Q1286" s="2"/>
    </row>
    <row r="1287" spans="1:17" s="6" customFormat="1" ht="15.75">
      <c r="A1287" s="887"/>
      <c r="B1287" s="123"/>
      <c r="C1287" s="888"/>
      <c r="D1287" s="888"/>
      <c r="E1287" s="888"/>
      <c r="F1287" s="888"/>
      <c r="G1287" s="888"/>
      <c r="H1287" s="888"/>
      <c r="I1287" s="888"/>
      <c r="J1287" s="907"/>
      <c r="K1287" s="907"/>
      <c r="L1287" s="11"/>
      <c r="M1287" s="907"/>
      <c r="N1287" s="523"/>
      <c r="O1287" s="907"/>
      <c r="P1287" s="22"/>
      <c r="Q1287" s="2"/>
    </row>
    <row r="1288" spans="1:17" s="6" customFormat="1" ht="15.75">
      <c r="A1288" s="887"/>
      <c r="B1288" s="123"/>
      <c r="C1288" s="888"/>
      <c r="D1288" s="888"/>
      <c r="E1288" s="888"/>
      <c r="F1288" s="888"/>
      <c r="G1288" s="888"/>
      <c r="H1288" s="888"/>
      <c r="I1288" s="888"/>
      <c r="J1288" s="907"/>
      <c r="K1288" s="907"/>
      <c r="L1288" s="11"/>
      <c r="M1288" s="907"/>
      <c r="N1288" s="523"/>
      <c r="O1288" s="907"/>
      <c r="P1288" s="22"/>
      <c r="Q1288" s="2"/>
    </row>
    <row r="1289" spans="1:17" s="6" customFormat="1" ht="15.75">
      <c r="A1289" s="887"/>
      <c r="B1289" s="123"/>
      <c r="C1289" s="888"/>
      <c r="D1289" s="888"/>
      <c r="E1289" s="888"/>
      <c r="F1289" s="888"/>
      <c r="G1289" s="888"/>
      <c r="H1289" s="888"/>
      <c r="I1289" s="888"/>
      <c r="J1289" s="907"/>
      <c r="K1289" s="907"/>
      <c r="L1289" s="11"/>
      <c r="M1289" s="907"/>
      <c r="N1289" s="523"/>
      <c r="O1289" s="907"/>
      <c r="P1289" s="22"/>
      <c r="Q1289" s="2"/>
    </row>
    <row r="1290" spans="1:17" s="6" customFormat="1" ht="15.75">
      <c r="A1290" s="887"/>
      <c r="B1290" s="123"/>
      <c r="C1290" s="888"/>
      <c r="D1290" s="888"/>
      <c r="E1290" s="888"/>
      <c r="F1290" s="888"/>
      <c r="G1290" s="888"/>
      <c r="H1290" s="888"/>
      <c r="I1290" s="888"/>
      <c r="J1290" s="907"/>
      <c r="K1290" s="907"/>
      <c r="L1290" s="11"/>
      <c r="M1290" s="907"/>
      <c r="N1290" s="523"/>
      <c r="O1290" s="907"/>
      <c r="P1290" s="22"/>
      <c r="Q1290" s="2"/>
    </row>
    <row r="1291" spans="1:17" s="6" customFormat="1" ht="15.75">
      <c r="A1291" s="887"/>
      <c r="B1291" s="123"/>
      <c r="C1291" s="888"/>
      <c r="D1291" s="888"/>
      <c r="E1291" s="888"/>
      <c r="F1291" s="888"/>
      <c r="G1291" s="888"/>
      <c r="H1291" s="888"/>
      <c r="I1291" s="888"/>
      <c r="J1291" s="907"/>
      <c r="K1291" s="907"/>
      <c r="L1291" s="11"/>
      <c r="M1291" s="907"/>
      <c r="N1291" s="523"/>
      <c r="O1291" s="907"/>
      <c r="P1291" s="22"/>
      <c r="Q1291" s="2"/>
    </row>
    <row r="1292" spans="1:17" s="6" customFormat="1" ht="15.75">
      <c r="A1292" s="887"/>
      <c r="B1292" s="123"/>
      <c r="C1292" s="888"/>
      <c r="D1292" s="888"/>
      <c r="E1292" s="888"/>
      <c r="F1292" s="888"/>
      <c r="G1292" s="888"/>
      <c r="H1292" s="888"/>
      <c r="I1292" s="888"/>
      <c r="J1292" s="907"/>
      <c r="K1292" s="907"/>
      <c r="L1292" s="11"/>
      <c r="M1292" s="907"/>
      <c r="N1292" s="523"/>
      <c r="O1292" s="907"/>
      <c r="P1292" s="22"/>
      <c r="Q1292" s="2"/>
    </row>
    <row r="1293" spans="1:17" s="6" customFormat="1" ht="15.75">
      <c r="A1293" s="887"/>
      <c r="B1293" s="123"/>
      <c r="C1293" s="888"/>
      <c r="D1293" s="888"/>
      <c r="E1293" s="888"/>
      <c r="F1293" s="888"/>
      <c r="G1293" s="888"/>
      <c r="H1293" s="888"/>
      <c r="I1293" s="888"/>
      <c r="J1293" s="907"/>
      <c r="K1293" s="907"/>
      <c r="L1293" s="11"/>
      <c r="M1293" s="907"/>
      <c r="N1293" s="523"/>
      <c r="O1293" s="907"/>
      <c r="P1293" s="22"/>
      <c r="Q1293" s="2"/>
    </row>
    <row r="1294" spans="1:17" s="6" customFormat="1" ht="15.75">
      <c r="A1294" s="887"/>
      <c r="B1294" s="123"/>
      <c r="C1294" s="888"/>
      <c r="D1294" s="888"/>
      <c r="E1294" s="888"/>
      <c r="F1294" s="888"/>
      <c r="G1294" s="888"/>
      <c r="H1294" s="888"/>
      <c r="I1294" s="888"/>
      <c r="J1294" s="907"/>
      <c r="K1294" s="907"/>
      <c r="L1294" s="11"/>
      <c r="M1294" s="907"/>
      <c r="N1294" s="523"/>
      <c r="O1294" s="907"/>
      <c r="P1294" s="22"/>
      <c r="Q1294" s="2"/>
    </row>
    <row r="1295" spans="1:17" s="6" customFormat="1" ht="15.75">
      <c r="A1295" s="887"/>
      <c r="B1295" s="123"/>
      <c r="C1295" s="888"/>
      <c r="D1295" s="888"/>
      <c r="E1295" s="888"/>
      <c r="F1295" s="888"/>
      <c r="G1295" s="888"/>
      <c r="H1295" s="888"/>
      <c r="I1295" s="888"/>
      <c r="J1295" s="907"/>
      <c r="K1295" s="907"/>
      <c r="L1295" s="11"/>
      <c r="M1295" s="907"/>
      <c r="N1295" s="523"/>
      <c r="O1295" s="907"/>
      <c r="P1295" s="22"/>
      <c r="Q1295" s="2"/>
    </row>
    <row r="1296" spans="1:17" s="6" customFormat="1" ht="15.75">
      <c r="A1296" s="887"/>
      <c r="B1296" s="123"/>
      <c r="C1296" s="888"/>
      <c r="D1296" s="888"/>
      <c r="E1296" s="888"/>
      <c r="F1296" s="888"/>
      <c r="G1296" s="888"/>
      <c r="H1296" s="888"/>
      <c r="I1296" s="888"/>
      <c r="J1296" s="907"/>
      <c r="K1296" s="907"/>
      <c r="L1296" s="11"/>
      <c r="M1296" s="907"/>
      <c r="N1296" s="523"/>
      <c r="O1296" s="907"/>
      <c r="P1296" s="22"/>
      <c r="Q1296" s="2"/>
    </row>
    <row r="1297" spans="1:17" s="6" customFormat="1" ht="15.75">
      <c r="A1297" s="887"/>
      <c r="B1297" s="123"/>
      <c r="C1297" s="888">
        <v>0.65641983266634019</v>
      </c>
      <c r="D1297" s="888">
        <v>0.22030737082774546</v>
      </c>
      <c r="E1297" s="888">
        <v>0.18205505680224193</v>
      </c>
      <c r="F1297" s="888">
        <v>5.2153181344061997E-3</v>
      </c>
      <c r="G1297" s="888">
        <v>3.1507527958916474E-2</v>
      </c>
      <c r="H1297" s="888">
        <v>0.15157117842268417</v>
      </c>
      <c r="I1297" s="888">
        <v>1.7003843175538057E-2</v>
      </c>
      <c r="J1297" s="907">
        <v>1.2640801279878726</v>
      </c>
      <c r="K1297" s="907"/>
      <c r="L1297" s="11"/>
      <c r="M1297" s="907"/>
      <c r="N1297" s="523"/>
      <c r="O1297" s="907"/>
      <c r="P1297" s="22"/>
      <c r="Q1297" s="2"/>
    </row>
    <row r="1298" spans="1:17" s="6" customFormat="1" ht="15.75">
      <c r="A1298" s="887"/>
      <c r="B1298" s="890">
        <v>0</v>
      </c>
      <c r="C1298" s="890">
        <v>0</v>
      </c>
      <c r="D1298" s="890">
        <v>0.1966561193323374</v>
      </c>
      <c r="E1298" s="890">
        <v>3.4305949008498586E-3</v>
      </c>
      <c r="F1298" s="890">
        <v>3.6864952429647831E-2</v>
      </c>
      <c r="G1298" s="890">
        <v>0.39527635850326481</v>
      </c>
      <c r="H1298" s="890">
        <v>3.4633725993208027E-2</v>
      </c>
      <c r="I1298" s="891">
        <v>0.6668617511593079</v>
      </c>
      <c r="J1298" s="994">
        <v>0.82424112443290454</v>
      </c>
      <c r="K1298" s="994"/>
      <c r="L1298" s="11"/>
      <c r="M1298" s="907"/>
      <c r="N1298" s="523"/>
      <c r="O1298" s="907"/>
      <c r="P1298" s="22"/>
      <c r="Q1298" s="2"/>
    </row>
    <row r="1299" spans="1:17" s="6" customFormat="1" ht="15.75">
      <c r="A1299" s="887"/>
      <c r="B1299" s="890"/>
      <c r="C1299" s="890">
        <v>0</v>
      </c>
      <c r="D1299" s="890">
        <v>0</v>
      </c>
      <c r="E1299" s="890">
        <v>0.1966561193323374</v>
      </c>
      <c r="F1299" s="890">
        <v>3.4305949008498586E-3</v>
      </c>
      <c r="G1299" s="890">
        <v>3.6864952429647831E-2</v>
      </c>
      <c r="H1299" s="890">
        <v>0.39527635850326481</v>
      </c>
      <c r="I1299" s="890">
        <v>3.4633725993208027E-2</v>
      </c>
      <c r="J1299" s="989">
        <v>0.6668617511593079</v>
      </c>
      <c r="K1299" s="994"/>
      <c r="L1299" s="11"/>
      <c r="M1299" s="907"/>
      <c r="N1299" s="523"/>
      <c r="O1299" s="907"/>
      <c r="P1299" s="22"/>
      <c r="Q1299" s="2"/>
    </row>
  </sheetData>
  <mergeCells count="11">
    <mergeCell ref="A1:M1"/>
    <mergeCell ref="A5:M5"/>
    <mergeCell ref="A91:M91"/>
    <mergeCell ref="A1147:M1147"/>
    <mergeCell ref="A68:M68"/>
    <mergeCell ref="A1203:M1203"/>
    <mergeCell ref="A2:M2"/>
    <mergeCell ref="A385:M385"/>
    <mergeCell ref="A536:M536"/>
    <mergeCell ref="A748:M748"/>
    <mergeCell ref="A880:M880"/>
  </mergeCells>
  <phoneticPr fontId="0" type="noConversion"/>
  <printOptions horizontalCentered="1"/>
  <pageMargins left="0.39370078740157483" right="0.39370078740157483" top="0.78740157480314965" bottom="0.39370078740157483" header="0.51181102362204722" footer="0.39370078740157483"/>
  <pageSetup paperSize="9" scale="49" orientation="landscape" verticalDpi="144" r:id="rId1"/>
  <headerFooter alignWithMargins="0"/>
  <rowBreaks count="32" manualBreakCount="32">
    <brk id="46" max="36" man="1"/>
    <brk id="90" max="36" man="1"/>
    <brk id="119" max="36" man="1"/>
    <brk id="165" max="36" man="1"/>
    <brk id="203" max="36" man="1"/>
    <brk id="240" max="36" man="1"/>
    <brk id="278" max="36" man="1"/>
    <brk id="317" max="36" man="1"/>
    <brk id="356" max="36" man="1"/>
    <brk id="398" max="36" man="1"/>
    <brk id="437" max="36" man="1"/>
    <brk id="475" max="36" man="1"/>
    <brk id="512" max="36" man="1"/>
    <brk id="551" max="36" man="1"/>
    <brk id="586" max="36" man="1"/>
    <brk id="622" max="36" man="1"/>
    <brk id="660" max="36" man="1"/>
    <brk id="698" max="36" man="1"/>
    <brk id="736" max="36" man="1"/>
    <brk id="775" max="36" man="1"/>
    <brk id="811" max="36" man="1"/>
    <brk id="846" max="36" man="1"/>
    <brk id="886" max="36" man="1"/>
    <brk id="924" max="36" man="1"/>
    <brk id="960" max="36" man="1"/>
    <brk id="996" max="36" man="1"/>
    <brk id="1033" max="36" man="1"/>
    <brk id="1071" max="36" man="1"/>
    <brk id="1109" max="36" man="1"/>
    <brk id="1146" max="36" man="1"/>
    <brk id="1182" max="36" man="1"/>
    <brk id="1202" max="3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" sqref="H2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1378"/>
  <sheetViews>
    <sheetView zoomScale="75" workbookViewId="0">
      <pane ySplit="2790" topLeftCell="A1202" activePane="bottomLeft"/>
      <selection activeCell="H6" sqref="H6"/>
      <selection pane="bottomLeft" activeCell="Q1224" sqref="Q1224"/>
    </sheetView>
  </sheetViews>
  <sheetFormatPr defaultRowHeight="12.75"/>
  <cols>
    <col min="2" max="2" width="29.7109375" customWidth="1"/>
    <col min="3" max="3" width="11.85546875" bestFit="1" customWidth="1"/>
    <col min="4" max="5" width="11.7109375" customWidth="1"/>
    <col min="6" max="6" width="11.7109375" style="38" customWidth="1"/>
    <col min="7" max="7" width="10.7109375" style="222" bestFit="1" customWidth="1"/>
    <col min="8" max="8" width="10.7109375" style="118" bestFit="1" customWidth="1"/>
    <col min="9" max="9" width="10.7109375" style="38" bestFit="1" customWidth="1"/>
    <col min="10" max="10" width="10.5703125" style="38" bestFit="1" customWidth="1"/>
    <col min="11" max="11" width="10.7109375" style="38" bestFit="1" customWidth="1"/>
    <col min="12" max="12" width="10.7109375" style="38" hidden="1" customWidth="1"/>
    <col min="13" max="13" width="10.7109375" style="38" bestFit="1" customWidth="1"/>
  </cols>
  <sheetData>
    <row r="1" spans="1:14" s="6" customFormat="1" ht="15.75">
      <c r="A1" s="5" t="s">
        <v>637</v>
      </c>
      <c r="F1" s="34"/>
      <c r="G1" s="67"/>
      <c r="H1" s="34"/>
      <c r="I1" s="34"/>
      <c r="J1" s="34"/>
      <c r="K1" s="34"/>
      <c r="L1" s="34"/>
      <c r="M1" s="34"/>
    </row>
    <row r="2" spans="1:14" s="6" customFormat="1" ht="15.75">
      <c r="B2" s="5" t="s">
        <v>672</v>
      </c>
      <c r="F2" s="34"/>
      <c r="G2" s="67"/>
      <c r="H2" s="34"/>
      <c r="I2" s="34"/>
      <c r="J2" s="34"/>
      <c r="K2" s="34"/>
      <c r="L2" s="34"/>
      <c r="M2" s="34"/>
    </row>
    <row r="3" spans="1:14" s="6" customFormat="1" ht="94.5">
      <c r="A3" s="6" t="s">
        <v>574</v>
      </c>
      <c r="B3" s="8" t="s">
        <v>674</v>
      </c>
      <c r="C3" s="15" t="s">
        <v>1331</v>
      </c>
      <c r="D3" s="15" t="s">
        <v>610</v>
      </c>
      <c r="E3" s="15" t="s">
        <v>611</v>
      </c>
      <c r="F3" s="44" t="s">
        <v>575</v>
      </c>
      <c r="G3" s="223" t="s">
        <v>602</v>
      </c>
      <c r="H3" s="44" t="s">
        <v>578</v>
      </c>
      <c r="I3" s="44" t="s">
        <v>579</v>
      </c>
      <c r="J3" s="44" t="s">
        <v>580</v>
      </c>
      <c r="K3" s="44" t="s">
        <v>581</v>
      </c>
      <c r="L3" s="44">
        <v>1.29</v>
      </c>
      <c r="M3" s="44" t="s">
        <v>603</v>
      </c>
    </row>
    <row r="4" spans="1:14" s="2" customFormat="1" ht="14.25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42"/>
      <c r="G4" s="224">
        <v>6</v>
      </c>
      <c r="H4" s="42">
        <v>7</v>
      </c>
      <c r="I4" s="42">
        <v>8</v>
      </c>
      <c r="J4" s="42">
        <v>9</v>
      </c>
      <c r="K4" s="42">
        <v>10</v>
      </c>
      <c r="L4" s="42"/>
      <c r="M4" s="42">
        <v>11</v>
      </c>
    </row>
    <row r="5" spans="1:14" s="6" customFormat="1" ht="15.75">
      <c r="A5" s="1044" t="s">
        <v>682</v>
      </c>
      <c r="B5" s="1045"/>
      <c r="C5" s="8"/>
      <c r="D5" s="8"/>
      <c r="E5" s="8"/>
      <c r="F5" s="40"/>
      <c r="G5" s="225"/>
      <c r="H5" s="37"/>
      <c r="I5" s="37"/>
      <c r="J5" s="37"/>
      <c r="K5" s="37"/>
      <c r="L5" s="37"/>
      <c r="M5" s="41"/>
    </row>
    <row r="6" spans="1:14" s="6" customFormat="1" ht="15.75">
      <c r="A6" s="311">
        <v>1</v>
      </c>
      <c r="B6" s="312" t="s">
        <v>683</v>
      </c>
      <c r="C6" s="386">
        <v>9570.0499999999993</v>
      </c>
      <c r="D6" s="386"/>
      <c r="E6" s="386"/>
      <c r="F6" s="40">
        <f>C6+D6+E6</f>
        <v>9570.0499999999993</v>
      </c>
      <c r="G6" s="70">
        <f t="shared" ref="G6:G66" si="0">1/252216.83*F6</f>
        <v>3.7943740709135074E-2</v>
      </c>
      <c r="H6" s="37">
        <f t="shared" ref="H6:H66" si="1">G6*1218*1.54*1.2</f>
        <v>85.40619998752662</v>
      </c>
      <c r="I6" s="37">
        <f>H6*0.3677</f>
        <v>31.40385973541354</v>
      </c>
      <c r="J6" s="37">
        <v>37.239286469594397</v>
      </c>
      <c r="K6" s="316">
        <f>G6*408.88</f>
        <v>15.514436701151149</v>
      </c>
      <c r="L6" s="316"/>
      <c r="M6" s="45">
        <f>(K6+J6+I6+H6)/F6</f>
        <v>1.7718171053827902E-2</v>
      </c>
      <c r="N6" s="6" t="s">
        <v>1</v>
      </c>
    </row>
    <row r="7" spans="1:14" s="6" customFormat="1" ht="15.75">
      <c r="A7" s="311">
        <v>2</v>
      </c>
      <c r="B7" s="312" t="s">
        <v>684</v>
      </c>
      <c r="C7" s="330">
        <v>4259.1400000000003</v>
      </c>
      <c r="D7" s="330"/>
      <c r="E7" s="330"/>
      <c r="F7" s="40">
        <f t="shared" ref="F7:F79" si="2">C7+D7+E7</f>
        <v>4259.1400000000003</v>
      </c>
      <c r="G7" s="70">
        <f t="shared" si="0"/>
        <v>1.6886819170631874E-2</v>
      </c>
      <c r="H7" s="37">
        <f t="shared" si="1"/>
        <v>38.009933345685141</v>
      </c>
      <c r="I7" s="37">
        <f t="shared" ref="I7:I69" si="3">H7*0.3677</f>
        <v>13.976252491208427</v>
      </c>
      <c r="J7" s="37">
        <v>16.57330260281903</v>
      </c>
      <c r="K7" s="316">
        <f t="shared" ref="K7:K66" si="4">G7*408.88</f>
        <v>6.9046826224879609</v>
      </c>
      <c r="L7" s="316"/>
      <c r="M7" s="45">
        <f t="shared" ref="M7:M70" si="5">(K7+J7+I7+H7)/F7</f>
        <v>1.7718171053827898E-2</v>
      </c>
    </row>
    <row r="8" spans="1:14" s="6" customFormat="1" ht="15.75">
      <c r="A8" s="311">
        <v>3</v>
      </c>
      <c r="B8" s="312" t="s">
        <v>685</v>
      </c>
      <c r="C8" s="330">
        <v>8696.41</v>
      </c>
      <c r="D8" s="330"/>
      <c r="E8" s="330"/>
      <c r="F8" s="40">
        <f t="shared" si="2"/>
        <v>8696.41</v>
      </c>
      <c r="G8" s="70">
        <f t="shared" si="0"/>
        <v>3.4479895730986705E-2</v>
      </c>
      <c r="H8" s="37">
        <f t="shared" si="1"/>
        <v>77.609556024631658</v>
      </c>
      <c r="I8" s="37">
        <f t="shared" si="3"/>
        <v>28.537033750257063</v>
      </c>
      <c r="J8" s="37">
        <v>33.839750392844913</v>
      </c>
      <c r="K8" s="316">
        <f t="shared" si="4"/>
        <v>14.098139766485843</v>
      </c>
      <c r="L8" s="316"/>
      <c r="M8" s="45">
        <f t="shared" si="5"/>
        <v>1.7718171053827898E-2</v>
      </c>
    </row>
    <row r="9" spans="1:14" s="6" customFormat="1" ht="15.75">
      <c r="A9" s="311">
        <v>4</v>
      </c>
      <c r="B9" s="312" t="s">
        <v>686</v>
      </c>
      <c r="C9" s="330">
        <v>2719.72</v>
      </c>
      <c r="D9" s="330"/>
      <c r="E9" s="330"/>
      <c r="F9" s="40">
        <f t="shared" si="2"/>
        <v>2719.72</v>
      </c>
      <c r="G9" s="70">
        <f t="shared" si="0"/>
        <v>1.078326137078164E-2</v>
      </c>
      <c r="H9" s="37">
        <f t="shared" si="1"/>
        <v>24.271654822083047</v>
      </c>
      <c r="I9" s="37">
        <f t="shared" si="3"/>
        <v>8.924687478079937</v>
      </c>
      <c r="J9" s="37">
        <v>10.583061969068632</v>
      </c>
      <c r="K9" s="316">
        <f t="shared" si="4"/>
        <v>4.4090599092851974</v>
      </c>
      <c r="L9" s="316"/>
      <c r="M9" s="45">
        <f t="shared" si="5"/>
        <v>1.7718171053827898E-2</v>
      </c>
    </row>
    <row r="10" spans="1:14" s="6" customFormat="1" ht="15.75">
      <c r="A10" s="311">
        <v>5</v>
      </c>
      <c r="B10" s="312" t="s">
        <v>687</v>
      </c>
      <c r="C10" s="330">
        <v>4138.7</v>
      </c>
      <c r="D10" s="330"/>
      <c r="E10" s="330"/>
      <c r="F10" s="40">
        <f t="shared" si="2"/>
        <v>4138.7</v>
      </c>
      <c r="G10" s="70">
        <f t="shared" si="0"/>
        <v>1.6409293543178702E-2</v>
      </c>
      <c r="H10" s="37">
        <f t="shared" si="1"/>
        <v>36.935088101773381</v>
      </c>
      <c r="I10" s="37">
        <f t="shared" si="3"/>
        <v>13.581031895022074</v>
      </c>
      <c r="J10" s="37">
        <v>16.104642599747159</v>
      </c>
      <c r="K10" s="316">
        <f t="shared" si="4"/>
        <v>6.7094319439349075</v>
      </c>
      <c r="L10" s="316"/>
      <c r="M10" s="45">
        <f t="shared" si="5"/>
        <v>1.7718171053827898E-2</v>
      </c>
    </row>
    <row r="11" spans="1:14" s="6" customFormat="1" ht="15.75">
      <c r="A11" s="311">
        <v>6</v>
      </c>
      <c r="B11" s="312" t="s">
        <v>688</v>
      </c>
      <c r="C11" s="330">
        <v>4166.1899999999996</v>
      </c>
      <c r="D11" s="330"/>
      <c r="E11" s="330"/>
      <c r="F11" s="40">
        <f t="shared" si="2"/>
        <v>4166.1899999999996</v>
      </c>
      <c r="G11" s="70">
        <f t="shared" si="0"/>
        <v>1.6518287062762625E-2</v>
      </c>
      <c r="H11" s="37">
        <f t="shared" si="1"/>
        <v>37.180417691238134</v>
      </c>
      <c r="I11" s="37">
        <f t="shared" si="3"/>
        <v>13.671239585068262</v>
      </c>
      <c r="J11" s="37">
        <v>16.211612572218481</v>
      </c>
      <c r="K11" s="316">
        <f t="shared" si="4"/>
        <v>6.7539972142223821</v>
      </c>
      <c r="L11" s="316"/>
      <c r="M11" s="45">
        <f t="shared" si="5"/>
        <v>1.7718171053827902E-2</v>
      </c>
    </row>
    <row r="12" spans="1:14" s="6" customFormat="1" ht="15.75">
      <c r="A12" s="311">
        <v>7</v>
      </c>
      <c r="B12" s="312" t="s">
        <v>689</v>
      </c>
      <c r="C12" s="330">
        <v>3572.8</v>
      </c>
      <c r="D12" s="330"/>
      <c r="E12" s="330"/>
      <c r="F12" s="40">
        <f t="shared" si="2"/>
        <v>3572.8</v>
      </c>
      <c r="G12" s="70">
        <f t="shared" si="0"/>
        <v>1.4165589187684265E-2</v>
      </c>
      <c r="H12" s="37">
        <f t="shared" si="1"/>
        <v>31.884814741347753</v>
      </c>
      <c r="I12" s="37">
        <f t="shared" si="3"/>
        <v>11.72404638039357</v>
      </c>
      <c r="J12" s="37">
        <v>13.902594312314656</v>
      </c>
      <c r="K12" s="316">
        <f t="shared" si="4"/>
        <v>5.7920261070603418</v>
      </c>
      <c r="L12" s="316"/>
      <c r="M12" s="45">
        <f t="shared" si="5"/>
        <v>1.7718171053827902E-2</v>
      </c>
    </row>
    <row r="13" spans="1:14" s="6" customFormat="1" ht="15.75">
      <c r="A13" s="311">
        <v>8</v>
      </c>
      <c r="B13" s="312" t="s">
        <v>690</v>
      </c>
      <c r="C13" s="330">
        <v>6443.05</v>
      </c>
      <c r="D13" s="330"/>
      <c r="E13" s="330"/>
      <c r="F13" s="40">
        <f t="shared" si="2"/>
        <v>6443.05</v>
      </c>
      <c r="G13" s="70">
        <f t="shared" si="0"/>
        <v>2.5545678295932909E-2</v>
      </c>
      <c r="H13" s="37">
        <f t="shared" si="1"/>
        <v>57.499847631896728</v>
      </c>
      <c r="I13" s="37">
        <f t="shared" si="3"/>
        <v>21.142693974248427</v>
      </c>
      <c r="J13" s="37">
        <v>25.071403460579639</v>
      </c>
      <c r="K13" s="316">
        <f t="shared" si="4"/>
        <v>10.445116941641048</v>
      </c>
      <c r="L13" s="316"/>
      <c r="M13" s="45">
        <f t="shared" si="5"/>
        <v>1.7718171053827898E-2</v>
      </c>
    </row>
    <row r="14" spans="1:14" s="6" customFormat="1" ht="15.75">
      <c r="A14" s="311">
        <v>9</v>
      </c>
      <c r="B14" s="312" t="s">
        <v>691</v>
      </c>
      <c r="C14" s="330">
        <v>6459.7</v>
      </c>
      <c r="D14" s="330"/>
      <c r="E14" s="330"/>
      <c r="F14" s="40">
        <f t="shared" si="2"/>
        <v>6459.7</v>
      </c>
      <c r="G14" s="70">
        <f t="shared" si="0"/>
        <v>2.5611692923109056E-2</v>
      </c>
      <c r="H14" s="37">
        <f t="shared" si="1"/>
        <v>57.648437579680937</v>
      </c>
      <c r="I14" s="37">
        <f t="shared" si="3"/>
        <v>21.197330498048682</v>
      </c>
      <c r="J14" s="37">
        <v>25.136192476281618</v>
      </c>
      <c r="K14" s="316">
        <f t="shared" si="4"/>
        <v>10.472109002400831</v>
      </c>
      <c r="L14" s="316"/>
      <c r="M14" s="45">
        <f t="shared" si="5"/>
        <v>1.7718171053827898E-2</v>
      </c>
    </row>
    <row r="15" spans="1:14" s="6" customFormat="1" ht="15.75">
      <c r="A15" s="311">
        <v>10</v>
      </c>
      <c r="B15" s="312" t="s">
        <v>692</v>
      </c>
      <c r="C15" s="330">
        <v>4374.04</v>
      </c>
      <c r="D15" s="330"/>
      <c r="E15" s="330"/>
      <c r="F15" s="40">
        <f t="shared" si="2"/>
        <v>4374.04</v>
      </c>
      <c r="G15" s="70">
        <f t="shared" si="0"/>
        <v>1.7342379570784393E-2</v>
      </c>
      <c r="H15" s="37">
        <f t="shared" si="1"/>
        <v>39.035337850214042</v>
      </c>
      <c r="I15" s="37">
        <f t="shared" si="3"/>
        <v>14.353293727523704</v>
      </c>
      <c r="J15" s="37">
        <v>17.020405179645316</v>
      </c>
      <c r="K15" s="316">
        <f t="shared" si="4"/>
        <v>7.090952158902323</v>
      </c>
      <c r="L15" s="316"/>
      <c r="M15" s="45">
        <f t="shared" si="5"/>
        <v>1.7718171053827902E-2</v>
      </c>
    </row>
    <row r="16" spans="1:14" s="6" customFormat="1" ht="15.75">
      <c r="A16" s="311">
        <v>11</v>
      </c>
      <c r="B16" s="312" t="s">
        <v>693</v>
      </c>
      <c r="C16" s="330">
        <v>3413.87</v>
      </c>
      <c r="D16" s="330"/>
      <c r="E16" s="330">
        <v>85.7</v>
      </c>
      <c r="F16" s="40">
        <f t="shared" si="2"/>
        <v>3499.5699999999997</v>
      </c>
      <c r="G16" s="70">
        <f t="shared" si="0"/>
        <v>1.3875243773383401E-2</v>
      </c>
      <c r="H16" s="37">
        <f t="shared" si="1"/>
        <v>31.231286700732856</v>
      </c>
      <c r="I16" s="37">
        <f t="shared" si="3"/>
        <v>11.483744119859471</v>
      </c>
      <c r="J16" s="37">
        <v>13.617639380191164</v>
      </c>
      <c r="K16" s="316">
        <f t="shared" si="4"/>
        <v>5.6733096740610049</v>
      </c>
      <c r="L16" s="316"/>
      <c r="M16" s="45">
        <f t="shared" si="5"/>
        <v>1.7718171053827902E-2</v>
      </c>
    </row>
    <row r="17" spans="1:13" s="6" customFormat="1" ht="15.75">
      <c r="A17" s="311">
        <v>12</v>
      </c>
      <c r="B17" s="312" t="s">
        <v>694</v>
      </c>
      <c r="C17" s="330">
        <v>3466.61</v>
      </c>
      <c r="D17" s="330">
        <v>97.8</v>
      </c>
      <c r="E17" s="330"/>
      <c r="F17" s="40">
        <f t="shared" si="2"/>
        <v>3564.4100000000003</v>
      </c>
      <c r="G17" s="70">
        <f t="shared" si="0"/>
        <v>1.4132324159335444E-2</v>
      </c>
      <c r="H17" s="37">
        <f t="shared" si="1"/>
        <v>31.809939686578414</v>
      </c>
      <c r="I17" s="37">
        <f t="shared" si="3"/>
        <v>11.696514822754883</v>
      </c>
      <c r="J17" s="37">
        <v>13.869946874372333</v>
      </c>
      <c r="K17" s="316">
        <f t="shared" si="4"/>
        <v>5.778424702269076</v>
      </c>
      <c r="L17" s="316"/>
      <c r="M17" s="45">
        <f t="shared" si="5"/>
        <v>1.7718171053827898E-2</v>
      </c>
    </row>
    <row r="18" spans="1:13" s="6" customFormat="1" ht="15.75">
      <c r="A18" s="311">
        <v>13</v>
      </c>
      <c r="B18" s="312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2"/>
        <v>6484.8600000000006</v>
      </c>
      <c r="G18" s="70">
        <f t="shared" si="0"/>
        <v>2.5711448359730795E-2</v>
      </c>
      <c r="H18" s="37">
        <f t="shared" si="1"/>
        <v>57.872973500777093</v>
      </c>
      <c r="I18" s="37">
        <f t="shared" si="3"/>
        <v>21.279892356235738</v>
      </c>
      <c r="J18" s="37">
        <v>25.234095877786839</v>
      </c>
      <c r="K18" s="316">
        <f t="shared" si="4"/>
        <v>10.512897005326728</v>
      </c>
      <c r="L18" s="316"/>
      <c r="M18" s="45">
        <f t="shared" si="5"/>
        <v>1.7718171053827898E-2</v>
      </c>
    </row>
    <row r="19" spans="1:13" s="6" customFormat="1" ht="15.75">
      <c r="A19" s="311">
        <v>14</v>
      </c>
      <c r="B19" s="312" t="s">
        <v>696</v>
      </c>
      <c r="C19" s="330">
        <v>5966.95</v>
      </c>
      <c r="D19" s="330"/>
      <c r="E19" s="330">
        <v>49.5</v>
      </c>
      <c r="F19" s="40">
        <f t="shared" si="2"/>
        <v>6016.45</v>
      </c>
      <c r="G19" s="70">
        <f t="shared" si="0"/>
        <v>2.3854276496933214E-2</v>
      </c>
      <c r="H19" s="37">
        <f t="shared" si="1"/>
        <v>53.692732212993086</v>
      </c>
      <c r="I19" s="37">
        <f t="shared" si="3"/>
        <v>19.742817634717561</v>
      </c>
      <c r="J19" s="37">
        <v>23.411403815026169</v>
      </c>
      <c r="K19" s="316">
        <f t="shared" si="4"/>
        <v>9.753536574066052</v>
      </c>
      <c r="L19" s="316"/>
      <c r="M19" s="45">
        <f t="shared" si="5"/>
        <v>1.7718171053827902E-2</v>
      </c>
    </row>
    <row r="20" spans="1:13" s="6" customFormat="1" ht="15.75">
      <c r="A20" s="311">
        <v>15</v>
      </c>
      <c r="B20" s="312" t="s">
        <v>697</v>
      </c>
      <c r="C20" s="330">
        <v>8566.1200000000008</v>
      </c>
      <c r="D20" s="330"/>
      <c r="E20" s="330"/>
      <c r="F20" s="40">
        <f t="shared" si="2"/>
        <v>8566.1200000000008</v>
      </c>
      <c r="G20" s="70">
        <f t="shared" si="0"/>
        <v>3.3963316405174075E-2</v>
      </c>
      <c r="H20" s="37">
        <f t="shared" si="1"/>
        <v>76.446806217015734</v>
      </c>
      <c r="I20" s="37">
        <f t="shared" si="3"/>
        <v>28.109490645996686</v>
      </c>
      <c r="J20" s="37">
        <v>33.332761752856243</v>
      </c>
      <c r="K20" s="316">
        <f t="shared" si="4"/>
        <v>13.886920811747576</v>
      </c>
      <c r="L20" s="316"/>
      <c r="M20" s="45">
        <f t="shared" si="5"/>
        <v>1.7718171053827895E-2</v>
      </c>
    </row>
    <row r="21" spans="1:13" s="6" customFormat="1" ht="15.75">
      <c r="A21" s="311">
        <v>16</v>
      </c>
      <c r="B21" s="312" t="s">
        <v>698</v>
      </c>
      <c r="C21" s="330">
        <v>5774.55</v>
      </c>
      <c r="D21" s="330">
        <v>201.5</v>
      </c>
      <c r="E21" s="330"/>
      <c r="F21" s="40">
        <f t="shared" si="2"/>
        <v>5976.05</v>
      </c>
      <c r="G21" s="70">
        <f t="shared" si="0"/>
        <v>2.3694096861022321E-2</v>
      </c>
      <c r="H21" s="37">
        <f t="shared" si="1"/>
        <v>53.33218963698814</v>
      </c>
      <c r="I21" s="37">
        <f t="shared" si="3"/>
        <v>19.61024612952054</v>
      </c>
      <c r="J21" s="37">
        <v>23.254198035184732</v>
      </c>
      <c r="K21" s="316">
        <f t="shared" si="4"/>
        <v>9.6880423245348055</v>
      </c>
      <c r="L21" s="316"/>
      <c r="M21" s="45">
        <f t="shared" si="5"/>
        <v>1.7718171053827898E-2</v>
      </c>
    </row>
    <row r="22" spans="1:13" s="6" customFormat="1" ht="15.75">
      <c r="A22" s="311">
        <v>17</v>
      </c>
      <c r="B22" s="312" t="s">
        <v>699</v>
      </c>
      <c r="C22" s="330">
        <v>3226.62</v>
      </c>
      <c r="D22" s="330"/>
      <c r="E22" s="330"/>
      <c r="F22" s="40">
        <f t="shared" si="2"/>
        <v>3226.62</v>
      </c>
      <c r="G22" s="70">
        <f t="shared" si="0"/>
        <v>1.2793040020366603E-2</v>
      </c>
      <c r="H22" s="37">
        <f t="shared" si="1"/>
        <v>28.795393232402454</v>
      </c>
      <c r="I22" s="37">
        <f t="shared" si="3"/>
        <v>10.588066091554383</v>
      </c>
      <c r="J22" s="37">
        <v>12.555527558217843</v>
      </c>
      <c r="K22" s="316">
        <f t="shared" si="4"/>
        <v>5.2308182035274964</v>
      </c>
      <c r="L22" s="316"/>
      <c r="M22" s="45">
        <f t="shared" si="5"/>
        <v>1.7718171053827898E-2</v>
      </c>
    </row>
    <row r="23" spans="1:13" s="6" customFormat="1" ht="15.75">
      <c r="A23" s="311">
        <v>18</v>
      </c>
      <c r="B23" s="312" t="s">
        <v>700</v>
      </c>
      <c r="C23" s="330">
        <v>3233.9</v>
      </c>
      <c r="D23" s="330"/>
      <c r="E23" s="330"/>
      <c r="F23" s="40">
        <f t="shared" si="2"/>
        <v>3233.9</v>
      </c>
      <c r="G23" s="70">
        <f t="shared" si="0"/>
        <v>1.282190407357035E-2</v>
      </c>
      <c r="H23" s="37">
        <f t="shared" si="1"/>
        <v>28.860362290652851</v>
      </c>
      <c r="I23" s="37">
        <f t="shared" si="3"/>
        <v>10.611955214273054</v>
      </c>
      <c r="J23" s="37">
        <v>12.583855728446697</v>
      </c>
      <c r="K23" s="316">
        <f t="shared" si="4"/>
        <v>5.2426201376014445</v>
      </c>
      <c r="L23" s="316"/>
      <c r="M23" s="45">
        <f t="shared" si="5"/>
        <v>1.7718171053827898E-2</v>
      </c>
    </row>
    <row r="24" spans="1:13" s="6" customFormat="1" ht="15.75">
      <c r="A24" s="311">
        <v>19</v>
      </c>
      <c r="B24" s="312" t="s">
        <v>701</v>
      </c>
      <c r="C24" s="330">
        <v>6095.4</v>
      </c>
      <c r="D24" s="330"/>
      <c r="E24" s="330"/>
      <c r="F24" s="40">
        <f t="shared" si="2"/>
        <v>6095.4</v>
      </c>
      <c r="G24" s="70">
        <f t="shared" si="0"/>
        <v>2.4167300810179874E-2</v>
      </c>
      <c r="H24" s="37">
        <f t="shared" si="1"/>
        <v>54.397307370804711</v>
      </c>
      <c r="I24" s="37">
        <f t="shared" si="3"/>
        <v>20.001889920244892</v>
      </c>
      <c r="J24" s="37">
        <v>23.718616595186617</v>
      </c>
      <c r="K24" s="316">
        <f t="shared" si="4"/>
        <v>9.8815259552663459</v>
      </c>
      <c r="L24" s="316"/>
      <c r="M24" s="45">
        <f t="shared" si="5"/>
        <v>1.7718171053827898E-2</v>
      </c>
    </row>
    <row r="25" spans="1:13" s="6" customFormat="1" ht="15.75">
      <c r="A25" s="311">
        <v>20</v>
      </c>
      <c r="B25" s="312" t="s">
        <v>702</v>
      </c>
      <c r="C25" s="330">
        <v>6384.91</v>
      </c>
      <c r="D25" s="330"/>
      <c r="E25" s="330"/>
      <c r="F25" s="40">
        <f t="shared" si="2"/>
        <v>6384.91</v>
      </c>
      <c r="G25" s="70">
        <f t="shared" si="0"/>
        <v>2.5315162354550249E-2</v>
      </c>
      <c r="H25" s="37">
        <f t="shared" si="1"/>
        <v>56.980987598012391</v>
      </c>
      <c r="I25" s="37">
        <f t="shared" si="3"/>
        <v>20.951909139789159</v>
      </c>
      <c r="J25" s="37">
        <v>24.845167221966232</v>
      </c>
      <c r="K25" s="316">
        <f t="shared" si="4"/>
        <v>10.350863583528506</v>
      </c>
      <c r="L25" s="316"/>
      <c r="M25" s="45">
        <f t="shared" si="5"/>
        <v>1.7718171053827898E-2</v>
      </c>
    </row>
    <row r="26" spans="1:13" s="6" customFormat="1" ht="15.75">
      <c r="A26" s="311">
        <v>21</v>
      </c>
      <c r="B26" s="312" t="s">
        <v>703</v>
      </c>
      <c r="C26" s="330">
        <v>3929.49</v>
      </c>
      <c r="D26" s="330">
        <v>464.4</v>
      </c>
      <c r="E26" s="330"/>
      <c r="F26" s="40">
        <f t="shared" si="2"/>
        <v>4393.8899999999994</v>
      </c>
      <c r="G26" s="70">
        <f t="shared" si="0"/>
        <v>1.7421081693874272E-2</v>
      </c>
      <c r="H26" s="37">
        <f t="shared" si="1"/>
        <v>39.212485625800618</v>
      </c>
      <c r="I26" s="37">
        <f t="shared" si="3"/>
        <v>14.418430964606888</v>
      </c>
      <c r="J26" s="37">
        <v>17.097646138305038</v>
      </c>
      <c r="K26" s="316">
        <f t="shared" si="4"/>
        <v>7.1231318829913119</v>
      </c>
      <c r="L26" s="316"/>
      <c r="M26" s="45">
        <f t="shared" si="5"/>
        <v>1.7718171053827902E-2</v>
      </c>
    </row>
    <row r="27" spans="1:13" s="6" customFormat="1" ht="15.75">
      <c r="A27" s="311">
        <v>22</v>
      </c>
      <c r="B27" s="312" t="s">
        <v>704</v>
      </c>
      <c r="C27" s="330">
        <v>7174.09</v>
      </c>
      <c r="D27" s="330"/>
      <c r="E27" s="330"/>
      <c r="F27" s="40">
        <f t="shared" si="2"/>
        <v>7174.09</v>
      </c>
      <c r="G27" s="70">
        <f t="shared" si="0"/>
        <v>2.8444136737425494E-2</v>
      </c>
      <c r="H27" s="37">
        <f t="shared" si="1"/>
        <v>64.023883393348498</v>
      </c>
      <c r="I27" s="37">
        <f t="shared" si="3"/>
        <v>23.541581923734245</v>
      </c>
      <c r="J27" s="37">
        <v>27.916049829274922</v>
      </c>
      <c r="K27" s="316">
        <f t="shared" si="4"/>
        <v>11.630238629198535</v>
      </c>
      <c r="L27" s="316"/>
      <c r="M27" s="45">
        <f t="shared" si="5"/>
        <v>1.7718171053827898E-2</v>
      </c>
    </row>
    <row r="28" spans="1:13" s="6" customFormat="1" ht="15.75">
      <c r="A28" s="311">
        <v>23</v>
      </c>
      <c r="B28" s="312" t="s">
        <v>705</v>
      </c>
      <c r="C28" s="330">
        <v>3836.07</v>
      </c>
      <c r="D28" s="330"/>
      <c r="E28" s="330">
        <v>416</v>
      </c>
      <c r="F28" s="40">
        <f t="shared" si="2"/>
        <v>4252.07</v>
      </c>
      <c r="G28" s="70">
        <f t="shared" si="0"/>
        <v>1.6858787734347465E-2</v>
      </c>
      <c r="H28" s="37">
        <f t="shared" si="1"/>
        <v>37.946838394884274</v>
      </c>
      <c r="I28" s="37">
        <f t="shared" si="3"/>
        <v>13.953052477798948</v>
      </c>
      <c r="J28" s="37">
        <v>16.545791591346777</v>
      </c>
      <c r="K28" s="316">
        <f t="shared" si="4"/>
        <v>6.8932211288199916</v>
      </c>
      <c r="L28" s="316"/>
      <c r="M28" s="45">
        <f t="shared" si="5"/>
        <v>1.7718171053827898E-2</v>
      </c>
    </row>
    <row r="29" spans="1:13" s="6" customFormat="1" ht="15.75">
      <c r="A29" s="311">
        <v>24</v>
      </c>
      <c r="B29" s="312" t="s">
        <v>706</v>
      </c>
      <c r="C29" s="330">
        <v>2413.89</v>
      </c>
      <c r="D29" s="330"/>
      <c r="E29" s="330"/>
      <c r="F29" s="40">
        <f t="shared" si="2"/>
        <v>2413.89</v>
      </c>
      <c r="G29" s="70">
        <f t="shared" si="0"/>
        <v>9.5706935972512223E-3</v>
      </c>
      <c r="H29" s="37">
        <f t="shared" si="1"/>
        <v>21.542329673083277</v>
      </c>
      <c r="I29" s="37">
        <f t="shared" si="3"/>
        <v>7.9211146207927214</v>
      </c>
      <c r="J29" s="37">
        <v>9.3930064332045511</v>
      </c>
      <c r="K29" s="316">
        <f t="shared" si="4"/>
        <v>3.9132651980440798</v>
      </c>
      <c r="L29" s="316"/>
      <c r="M29" s="45">
        <f t="shared" si="5"/>
        <v>1.7718171053827902E-2</v>
      </c>
    </row>
    <row r="30" spans="1:13" s="6" customFormat="1" ht="15.75">
      <c r="A30" s="311">
        <v>25</v>
      </c>
      <c r="B30" s="312" t="s">
        <v>707</v>
      </c>
      <c r="C30" s="330">
        <v>6323.28</v>
      </c>
      <c r="D30" s="330"/>
      <c r="E30" s="330"/>
      <c r="F30" s="40">
        <f t="shared" si="2"/>
        <v>6323.28</v>
      </c>
      <c r="G30" s="70">
        <f t="shared" si="0"/>
        <v>2.5070809112936673E-2</v>
      </c>
      <c r="H30" s="37">
        <f t="shared" si="1"/>
        <v>56.430981683181095</v>
      </c>
      <c r="I30" s="37">
        <f t="shared" si="3"/>
        <v>20.749671964905691</v>
      </c>
      <c r="J30" s="37">
        <v>24.605350583064542</v>
      </c>
      <c r="K30" s="316">
        <f t="shared" si="4"/>
        <v>10.250952430097547</v>
      </c>
      <c r="L30" s="316"/>
      <c r="M30" s="45">
        <f t="shared" si="5"/>
        <v>1.7718171053827898E-2</v>
      </c>
    </row>
    <row r="31" spans="1:13" s="6" customFormat="1" ht="15.75">
      <c r="A31" s="311">
        <v>26</v>
      </c>
      <c r="B31" s="312" t="s">
        <v>708</v>
      </c>
      <c r="C31" s="330">
        <v>4396.59</v>
      </c>
      <c r="D31" s="330"/>
      <c r="E31" s="330"/>
      <c r="F31" s="40">
        <f t="shared" si="2"/>
        <v>4396.59</v>
      </c>
      <c r="G31" s="70">
        <f t="shared" si="0"/>
        <v>1.7431786768551491E-2</v>
      </c>
      <c r="H31" s="37">
        <f t="shared" si="1"/>
        <v>39.236581293008889</v>
      </c>
      <c r="I31" s="37">
        <f t="shared" si="3"/>
        <v>14.42729094143937</v>
      </c>
      <c r="J31" s="37">
        <v>17.108152465175628</v>
      </c>
      <c r="K31" s="316">
        <f t="shared" si="4"/>
        <v>7.1275089739253339</v>
      </c>
      <c r="L31" s="316"/>
      <c r="M31" s="45">
        <f t="shared" si="5"/>
        <v>1.7718171053827905E-2</v>
      </c>
    </row>
    <row r="32" spans="1:13" s="6" customFormat="1" ht="15.75">
      <c r="A32" s="311">
        <v>27</v>
      </c>
      <c r="B32" s="312" t="s">
        <v>709</v>
      </c>
      <c r="C32" s="330">
        <v>6702.46</v>
      </c>
      <c r="D32" s="330"/>
      <c r="E32" s="330"/>
      <c r="F32" s="40">
        <f t="shared" si="2"/>
        <v>6702.46</v>
      </c>
      <c r="G32" s="70">
        <f t="shared" si="0"/>
        <v>2.657419808186472E-2</v>
      </c>
      <c r="H32" s="37">
        <f t="shared" si="1"/>
        <v>59.814905791338354</v>
      </c>
      <c r="I32" s="37">
        <f t="shared" si="3"/>
        <v>21.993940859475114</v>
      </c>
      <c r="J32" s="37">
        <v>26.08082799891303</v>
      </c>
      <c r="K32" s="316">
        <f t="shared" si="4"/>
        <v>10.865658111712847</v>
      </c>
      <c r="L32" s="316"/>
      <c r="M32" s="45">
        <f t="shared" si="5"/>
        <v>1.7718171053827902E-2</v>
      </c>
    </row>
    <row r="33" spans="1:13" s="6" customFormat="1" ht="15.75">
      <c r="A33" s="311">
        <v>28</v>
      </c>
      <c r="B33" s="312" t="s">
        <v>710</v>
      </c>
      <c r="C33" s="330">
        <v>6185.24</v>
      </c>
      <c r="D33" s="330"/>
      <c r="E33" s="330"/>
      <c r="F33" s="40">
        <f t="shared" si="2"/>
        <v>6185.24</v>
      </c>
      <c r="G33" s="70">
        <f t="shared" si="0"/>
        <v>2.4523502257957963E-2</v>
      </c>
      <c r="H33" s="37">
        <f t="shared" si="1"/>
        <v>55.199068386356288</v>
      </c>
      <c r="I33" s="37">
        <f t="shared" si="3"/>
        <v>20.296697445663209</v>
      </c>
      <c r="J33" s="37">
        <v>24.068204893725113</v>
      </c>
      <c r="K33" s="316">
        <f t="shared" si="4"/>
        <v>10.027169603233851</v>
      </c>
      <c r="L33" s="316"/>
      <c r="M33" s="45">
        <f t="shared" si="5"/>
        <v>1.7718171053827898E-2</v>
      </c>
    </row>
    <row r="34" spans="1:13" s="6" customFormat="1" ht="15.75">
      <c r="A34" s="311">
        <v>29</v>
      </c>
      <c r="B34" s="312" t="s">
        <v>711</v>
      </c>
      <c r="C34" s="330">
        <v>6856.85</v>
      </c>
      <c r="D34" s="330"/>
      <c r="E34" s="330"/>
      <c r="F34" s="40">
        <f t="shared" si="2"/>
        <v>6856.85</v>
      </c>
      <c r="G34" s="70">
        <f t="shared" si="0"/>
        <v>2.7186330111277669E-2</v>
      </c>
      <c r="H34" s="37">
        <f t="shared" si="1"/>
        <v>61.192731739590911</v>
      </c>
      <c r="I34" s="37">
        <f t="shared" si="3"/>
        <v>22.500567460647581</v>
      </c>
      <c r="J34" s="37">
        <v>26.681595334302155</v>
      </c>
      <c r="K34" s="316">
        <f t="shared" si="4"/>
        <v>11.115946655899213</v>
      </c>
      <c r="L34" s="316"/>
      <c r="M34" s="45">
        <f t="shared" si="5"/>
        <v>1.7718171053827902E-2</v>
      </c>
    </row>
    <row r="35" spans="1:13" s="6" customFormat="1" ht="15.75">
      <c r="A35" s="311">
        <v>30</v>
      </c>
      <c r="B35" s="312" t="s">
        <v>712</v>
      </c>
      <c r="C35" s="330">
        <v>6358.97</v>
      </c>
      <c r="D35" s="330"/>
      <c r="E35" s="330"/>
      <c r="F35" s="40">
        <f t="shared" si="2"/>
        <v>6358.97</v>
      </c>
      <c r="G35" s="70">
        <f t="shared" si="0"/>
        <v>2.5212314340799544E-2</v>
      </c>
      <c r="H35" s="37">
        <f t="shared" si="1"/>
        <v>56.749490706389423</v>
      </c>
      <c r="I35" s="37">
        <f t="shared" si="3"/>
        <v>20.866787732739393</v>
      </c>
      <c r="J35" s="37">
        <v>24.744228659365067</v>
      </c>
      <c r="K35" s="316">
        <f t="shared" si="4"/>
        <v>10.308811087666118</v>
      </c>
      <c r="L35" s="316"/>
      <c r="M35" s="45">
        <f t="shared" si="5"/>
        <v>1.7718171053827898E-2</v>
      </c>
    </row>
    <row r="36" spans="1:13" s="6" customFormat="1" ht="15.75">
      <c r="A36" s="311">
        <v>31</v>
      </c>
      <c r="B36" s="312" t="s">
        <v>713</v>
      </c>
      <c r="C36" s="330">
        <v>4302.43</v>
      </c>
      <c r="D36" s="330"/>
      <c r="E36" s="330"/>
      <c r="F36" s="40">
        <f t="shared" si="2"/>
        <v>4302.43</v>
      </c>
      <c r="G36" s="70">
        <f t="shared" si="0"/>
        <v>1.7058457201289859E-2</v>
      </c>
      <c r="H36" s="37">
        <f t="shared" si="1"/>
        <v>38.396267209924098</v>
      </c>
      <c r="I36" s="37">
        <f t="shared" si="3"/>
        <v>14.118307453089091</v>
      </c>
      <c r="J36" s="37">
        <v>16.741754043644182</v>
      </c>
      <c r="K36" s="316">
        <f t="shared" si="4"/>
        <v>6.9748619804633973</v>
      </c>
      <c r="L36" s="316"/>
      <c r="M36" s="45">
        <f t="shared" si="5"/>
        <v>1.7718171053827898E-2</v>
      </c>
    </row>
    <row r="37" spans="1:13" s="6" customFormat="1" ht="15.75">
      <c r="A37" s="311">
        <v>32</v>
      </c>
      <c r="B37" s="312" t="s">
        <v>714</v>
      </c>
      <c r="C37" s="330">
        <v>4355.7</v>
      </c>
      <c r="D37" s="330"/>
      <c r="E37" s="330"/>
      <c r="F37" s="40">
        <f t="shared" si="2"/>
        <v>4355.7</v>
      </c>
      <c r="G37" s="70">
        <f t="shared" si="0"/>
        <v>1.7269664359828803E-2</v>
      </c>
      <c r="H37" s="37">
        <f t="shared" si="1"/>
        <v>38.871665799621702</v>
      </c>
      <c r="I37" s="37">
        <f t="shared" si="3"/>
        <v>14.2931115145209</v>
      </c>
      <c r="J37" s="37">
        <v>16.949039981568781</v>
      </c>
      <c r="K37" s="316">
        <f t="shared" si="4"/>
        <v>7.0612203634468012</v>
      </c>
      <c r="L37" s="316"/>
      <c r="M37" s="45">
        <f t="shared" si="5"/>
        <v>1.7718171053827902E-2</v>
      </c>
    </row>
    <row r="38" spans="1:13" s="6" customFormat="1" ht="15.75">
      <c r="A38" s="311">
        <v>33</v>
      </c>
      <c r="B38" s="312" t="s">
        <v>715</v>
      </c>
      <c r="C38" s="330">
        <v>61.3</v>
      </c>
      <c r="D38" s="330"/>
      <c r="E38" s="330"/>
      <c r="F38" s="40">
        <f t="shared" si="2"/>
        <v>61.3</v>
      </c>
      <c r="G38" s="70">
        <f t="shared" si="0"/>
        <v>2.4304484359747127E-4</v>
      </c>
      <c r="H38" s="37">
        <f t="shared" si="1"/>
        <v>0.54706088883917858</v>
      </c>
      <c r="I38" s="37">
        <f t="shared" si="3"/>
        <v>0.20115428882616598</v>
      </c>
      <c r="J38" s="37">
        <v>0.23853253228417162</v>
      </c>
      <c r="K38" s="316">
        <f t="shared" si="4"/>
        <v>9.9376175650134055E-2</v>
      </c>
      <c r="L38" s="316"/>
      <c r="M38" s="45">
        <f t="shared" si="5"/>
        <v>1.7718171053827902E-2</v>
      </c>
    </row>
    <row r="39" spans="1:13" s="6" customFormat="1" ht="15.75">
      <c r="A39" s="311">
        <v>34</v>
      </c>
      <c r="B39" s="312" t="s">
        <v>716</v>
      </c>
      <c r="C39" s="330">
        <v>105.7</v>
      </c>
      <c r="D39" s="330"/>
      <c r="E39" s="330"/>
      <c r="F39" s="40">
        <f t="shared" si="2"/>
        <v>105.7</v>
      </c>
      <c r="G39" s="70">
        <f t="shared" si="0"/>
        <v>4.1908384940053369E-4</v>
      </c>
      <c r="H39" s="37">
        <f t="shared" si="1"/>
        <v>0.94330074959708277</v>
      </c>
      <c r="I39" s="37">
        <f t="shared" si="3"/>
        <v>0.34685168562684737</v>
      </c>
      <c r="J39" s="37">
        <v>0.41130324082278852</v>
      </c>
      <c r="K39" s="316">
        <f t="shared" si="4"/>
        <v>0.17135500434289022</v>
      </c>
      <c r="L39" s="316"/>
      <c r="M39" s="45">
        <f t="shared" si="5"/>
        <v>1.7718171053827898E-2</v>
      </c>
    </row>
    <row r="40" spans="1:13" s="6" customFormat="1" ht="15.75">
      <c r="A40" s="311">
        <v>35</v>
      </c>
      <c r="B40" s="312" t="s">
        <v>717</v>
      </c>
      <c r="C40" s="330">
        <v>124.1</v>
      </c>
      <c r="D40" s="330"/>
      <c r="E40" s="330"/>
      <c r="F40" s="40">
        <f t="shared" si="2"/>
        <v>124.1</v>
      </c>
      <c r="G40" s="70">
        <f t="shared" si="0"/>
        <v>4.9203695090450548E-4</v>
      </c>
      <c r="H40" s="37">
        <f t="shared" si="1"/>
        <v>1.1075082594607188</v>
      </c>
      <c r="I40" s="37">
        <f t="shared" si="3"/>
        <v>0.40723078700370635</v>
      </c>
      <c r="J40" s="37">
        <v>0.4829019128297829</v>
      </c>
      <c r="K40" s="316">
        <f t="shared" si="4"/>
        <v>0.2011840684858342</v>
      </c>
      <c r="L40" s="316"/>
      <c r="M40" s="45">
        <f t="shared" si="5"/>
        <v>1.7718171053827902E-2</v>
      </c>
    </row>
    <row r="41" spans="1:13" s="6" customFormat="1" ht="15.75">
      <c r="A41" s="311">
        <v>36</v>
      </c>
      <c r="B41" s="312" t="s">
        <v>718</v>
      </c>
      <c r="C41" s="330">
        <v>2349.19</v>
      </c>
      <c r="D41" s="330"/>
      <c r="E41" s="330"/>
      <c r="F41" s="40">
        <f t="shared" si="2"/>
        <v>2349.19</v>
      </c>
      <c r="G41" s="70">
        <f t="shared" si="0"/>
        <v>9.3141682892454083E-3</v>
      </c>
      <c r="H41" s="37">
        <f t="shared" si="1"/>
        <v>20.964926092204077</v>
      </c>
      <c r="I41" s="37">
        <f t="shared" si="3"/>
        <v>7.7088033241034397</v>
      </c>
      <c r="J41" s="37">
        <v>9.1412437115277836</v>
      </c>
      <c r="K41" s="316">
        <f t="shared" si="4"/>
        <v>3.8083771301066625</v>
      </c>
      <c r="L41" s="316"/>
      <c r="M41" s="45">
        <f t="shared" si="5"/>
        <v>1.7718171053827898E-2</v>
      </c>
    </row>
    <row r="42" spans="1:13" s="6" customFormat="1" ht="15.75">
      <c r="A42" s="311">
        <v>37</v>
      </c>
      <c r="B42" s="312" t="s">
        <v>719</v>
      </c>
      <c r="C42" s="330">
        <v>3321.01</v>
      </c>
      <c r="D42" s="330"/>
      <c r="E42" s="330"/>
      <c r="F42" s="40">
        <f t="shared" si="2"/>
        <v>3321.01</v>
      </c>
      <c r="G42" s="70">
        <f t="shared" si="0"/>
        <v>1.3167281501397033E-2</v>
      </c>
      <c r="H42" s="37">
        <f t="shared" si="1"/>
        <v>29.637759909360526</v>
      </c>
      <c r="I42" s="37">
        <f t="shared" si="3"/>
        <v>10.897804318671866</v>
      </c>
      <c r="J42" s="37">
        <v>12.922820963149377</v>
      </c>
      <c r="K42" s="316">
        <f t="shared" si="4"/>
        <v>5.383838060291219</v>
      </c>
      <c r="L42" s="316"/>
      <c r="M42" s="45">
        <f t="shared" si="5"/>
        <v>1.7718171053827898E-2</v>
      </c>
    </row>
    <row r="43" spans="1:13" s="6" customFormat="1" ht="15.75">
      <c r="A43" s="311">
        <v>38</v>
      </c>
      <c r="B43" s="312" t="s">
        <v>720</v>
      </c>
      <c r="C43" s="330">
        <v>3969.9</v>
      </c>
      <c r="D43" s="330"/>
      <c r="E43" s="330"/>
      <c r="F43" s="40">
        <f t="shared" si="2"/>
        <v>3969.9</v>
      </c>
      <c r="G43" s="70">
        <f t="shared" si="0"/>
        <v>1.5740028133729222E-2</v>
      </c>
      <c r="H43" s="37">
        <f t="shared" si="1"/>
        <v>35.428662685198297</v>
      </c>
      <c r="I43" s="37">
        <f t="shared" si="3"/>
        <v>13.027119269347414</v>
      </c>
      <c r="J43" s="37">
        <v>15.447802608726475</v>
      </c>
      <c r="K43" s="316">
        <f t="shared" si="4"/>
        <v>6.4357827033192043</v>
      </c>
      <c r="L43" s="316"/>
      <c r="M43" s="45">
        <f t="shared" si="5"/>
        <v>1.7718171053827898E-2</v>
      </c>
    </row>
    <row r="44" spans="1:13" s="6" customFormat="1" ht="15.75">
      <c r="A44" s="311">
        <v>39</v>
      </c>
      <c r="B44" s="312" t="s">
        <v>721</v>
      </c>
      <c r="C44" s="330">
        <v>6582.1</v>
      </c>
      <c r="D44" s="330"/>
      <c r="E44" s="330"/>
      <c r="F44" s="40">
        <f t="shared" si="2"/>
        <v>6582.1</v>
      </c>
      <c r="G44" s="70">
        <f t="shared" si="0"/>
        <v>2.6096989641809395E-2</v>
      </c>
      <c r="H44" s="37">
        <f t="shared" si="1"/>
        <v>58.740774493121663</v>
      </c>
      <c r="I44" s="37">
        <f t="shared" si="3"/>
        <v>21.598982781120839</v>
      </c>
      <c r="J44" s="37">
        <v>25.612479294415106</v>
      </c>
      <c r="K44" s="316">
        <f t="shared" si="4"/>
        <v>10.670537124743026</v>
      </c>
      <c r="L44" s="316"/>
      <c r="M44" s="45">
        <f t="shared" si="5"/>
        <v>1.7718171053827902E-2</v>
      </c>
    </row>
    <row r="45" spans="1:13" s="6" customFormat="1" ht="15.75">
      <c r="A45" s="311">
        <v>40</v>
      </c>
      <c r="B45" s="312" t="s">
        <v>722</v>
      </c>
      <c r="C45" s="330">
        <v>8461.27</v>
      </c>
      <c r="D45" s="330">
        <v>287.3</v>
      </c>
      <c r="E45" s="330"/>
      <c r="F45" s="40">
        <f t="shared" si="2"/>
        <v>8748.57</v>
      </c>
      <c r="G45" s="70">
        <f t="shared" si="0"/>
        <v>3.4686701914380579E-2</v>
      </c>
      <c r="H45" s="37">
        <f t="shared" si="1"/>
        <v>78.075048617810324</v>
      </c>
      <c r="I45" s="37">
        <f t="shared" si="3"/>
        <v>28.70819537676886</v>
      </c>
      <c r="J45" s="37">
        <v>34.042717063056031</v>
      </c>
      <c r="K45" s="316">
        <f t="shared" si="4"/>
        <v>14.182698678751931</v>
      </c>
      <c r="L45" s="316"/>
      <c r="M45" s="45">
        <f t="shared" si="5"/>
        <v>1.7718171053827898E-2</v>
      </c>
    </row>
    <row r="46" spans="1:13" s="6" customFormat="1" ht="15.75">
      <c r="A46" s="311">
        <v>41</v>
      </c>
      <c r="B46" s="312" t="s">
        <v>723</v>
      </c>
      <c r="C46" s="330">
        <v>3715.24</v>
      </c>
      <c r="D46" s="330"/>
      <c r="E46" s="330">
        <v>109.3</v>
      </c>
      <c r="F46" s="40">
        <f t="shared" si="2"/>
        <v>3824.54</v>
      </c>
      <c r="G46" s="70">
        <f t="shared" si="0"/>
        <v>1.5163698631847843E-2</v>
      </c>
      <c r="H46" s="37">
        <f t="shared" si="1"/>
        <v>34.131423357275558</v>
      </c>
      <c r="I46" s="37">
        <f t="shared" si="3"/>
        <v>12.550124368470224</v>
      </c>
      <c r="J46" s="37">
        <v>14.882173099871217</v>
      </c>
      <c r="K46" s="316">
        <f t="shared" si="4"/>
        <v>6.2001330965899459</v>
      </c>
      <c r="L46" s="316"/>
      <c r="M46" s="45">
        <f t="shared" si="5"/>
        <v>1.7718171053827898E-2</v>
      </c>
    </row>
    <row r="47" spans="1:13" s="6" customFormat="1" ht="15.75">
      <c r="A47" s="311">
        <v>42</v>
      </c>
      <c r="B47" s="312" t="s">
        <v>724</v>
      </c>
      <c r="C47" s="330">
        <v>355.8</v>
      </c>
      <c r="D47" s="330"/>
      <c r="E47" s="330"/>
      <c r="F47" s="40">
        <f t="shared" si="2"/>
        <v>355.8</v>
      </c>
      <c r="G47" s="70">
        <f t="shared" si="0"/>
        <v>1.4106909519083243E-3</v>
      </c>
      <c r="H47" s="37">
        <f t="shared" si="1"/>
        <v>3.1752734787761785</v>
      </c>
      <c r="I47" s="37">
        <f t="shared" si="3"/>
        <v>1.1675480581460009</v>
      </c>
      <c r="J47" s="37">
        <v>1.3845004076135115</v>
      </c>
      <c r="K47" s="316">
        <f t="shared" si="4"/>
        <v>0.57680331641627569</v>
      </c>
      <c r="L47" s="316"/>
      <c r="M47" s="45">
        <f t="shared" si="5"/>
        <v>1.7718171053827898E-2</v>
      </c>
    </row>
    <row r="48" spans="1:13" s="6" customFormat="1" ht="15.75">
      <c r="A48" s="311">
        <v>43</v>
      </c>
      <c r="B48" s="312" t="s">
        <v>725</v>
      </c>
      <c r="C48" s="330">
        <v>907.4</v>
      </c>
      <c r="D48" s="330"/>
      <c r="E48" s="330"/>
      <c r="F48" s="40">
        <f t="shared" si="2"/>
        <v>907.4</v>
      </c>
      <c r="G48" s="70">
        <f t="shared" si="0"/>
        <v>3.5976980600382616E-3</v>
      </c>
      <c r="H48" s="37">
        <f t="shared" si="1"/>
        <v>8.0979290462099627</v>
      </c>
      <c r="I48" s="37">
        <f t="shared" si="3"/>
        <v>2.9776085102914034</v>
      </c>
      <c r="J48" s="37">
        <v>3.5309040749536269</v>
      </c>
      <c r="K48" s="316">
        <f t="shared" si="4"/>
        <v>1.4710267827884445</v>
      </c>
      <c r="L48" s="316"/>
      <c r="M48" s="45">
        <f t="shared" si="5"/>
        <v>1.7718171053827902E-2</v>
      </c>
    </row>
    <row r="49" spans="1:13" s="6" customFormat="1" ht="15.75">
      <c r="A49" s="311">
        <v>44</v>
      </c>
      <c r="B49" s="312" t="s">
        <v>726</v>
      </c>
      <c r="C49" s="330">
        <v>2273.6</v>
      </c>
      <c r="D49" s="330"/>
      <c r="E49" s="330"/>
      <c r="F49" s="40">
        <f t="shared" si="2"/>
        <v>2273.6</v>
      </c>
      <c r="G49" s="70">
        <f t="shared" si="0"/>
        <v>9.0144658467081681E-3</v>
      </c>
      <c r="H49" s="37">
        <f t="shared" si="1"/>
        <v>20.290336653584934</v>
      </c>
      <c r="I49" s="37">
        <f t="shared" si="3"/>
        <v>7.4607567875231808</v>
      </c>
      <c r="J49" s="37">
        <v>8.8471054714729629</v>
      </c>
      <c r="K49" s="316">
        <f t="shared" si="4"/>
        <v>3.6858347954020356</v>
      </c>
      <c r="L49" s="316"/>
      <c r="M49" s="45">
        <f t="shared" si="5"/>
        <v>1.7718171053827902E-2</v>
      </c>
    </row>
    <row r="50" spans="1:13" s="6" customFormat="1" ht="15.75">
      <c r="A50" s="311">
        <v>45</v>
      </c>
      <c r="B50" s="312" t="s">
        <v>727</v>
      </c>
      <c r="C50" s="330">
        <v>154.1</v>
      </c>
      <c r="D50" s="330"/>
      <c r="E50" s="330"/>
      <c r="F50" s="40">
        <f t="shared" si="2"/>
        <v>154.1</v>
      </c>
      <c r="G50" s="70">
        <f t="shared" si="0"/>
        <v>6.1098222509576379E-4</v>
      </c>
      <c r="H50" s="37">
        <f t="shared" si="1"/>
        <v>1.3752378951079511</v>
      </c>
      <c r="I50" s="37">
        <f t="shared" si="3"/>
        <v>0.50567497403119366</v>
      </c>
      <c r="J50" s="37">
        <v>0.59963887805857807</v>
      </c>
      <c r="K50" s="316">
        <f t="shared" si="4"/>
        <v>0.24981841219715589</v>
      </c>
      <c r="L50" s="316"/>
      <c r="M50" s="45">
        <f t="shared" si="5"/>
        <v>1.7718171053827898E-2</v>
      </c>
    </row>
    <row r="51" spans="1:13" s="6" customFormat="1" ht="15.75">
      <c r="A51" s="311">
        <v>46</v>
      </c>
      <c r="B51" s="312" t="s">
        <v>728</v>
      </c>
      <c r="C51" s="330">
        <v>93.9</v>
      </c>
      <c r="D51" s="330"/>
      <c r="E51" s="330"/>
      <c r="F51" s="40">
        <f t="shared" si="2"/>
        <v>93.9</v>
      </c>
      <c r="G51" s="70">
        <f t="shared" si="0"/>
        <v>3.7229870821863876E-4</v>
      </c>
      <c r="H51" s="37">
        <f t="shared" si="1"/>
        <v>0.8379937595758381</v>
      </c>
      <c r="I51" s="37">
        <f t="shared" si="3"/>
        <v>0.3081303053960357</v>
      </c>
      <c r="J51" s="37">
        <v>0.36538670116612909</v>
      </c>
      <c r="K51" s="316">
        <f t="shared" si="4"/>
        <v>0.15222549581643702</v>
      </c>
      <c r="L51" s="316"/>
      <c r="M51" s="45">
        <f t="shared" si="5"/>
        <v>1.7718171053827902E-2</v>
      </c>
    </row>
    <row r="52" spans="1:13" s="6" customFormat="1" ht="15.75">
      <c r="A52" s="311">
        <v>47</v>
      </c>
      <c r="B52" s="312" t="s">
        <v>729</v>
      </c>
      <c r="C52" s="330">
        <v>296.10000000000002</v>
      </c>
      <c r="D52" s="330"/>
      <c r="E52" s="330"/>
      <c r="F52" s="40">
        <f t="shared" si="2"/>
        <v>296.10000000000002</v>
      </c>
      <c r="G52" s="70">
        <f t="shared" si="0"/>
        <v>1.1739898562677202E-3</v>
      </c>
      <c r="H52" s="37">
        <f t="shared" si="1"/>
        <v>2.642491503838186</v>
      </c>
      <c r="I52" s="37">
        <f t="shared" si="3"/>
        <v>0.97164412596130101</v>
      </c>
      <c r="J52" s="37">
        <v>1.1521938468082091</v>
      </c>
      <c r="K52" s="316">
        <f t="shared" si="4"/>
        <v>0.48002097243074543</v>
      </c>
      <c r="L52" s="316"/>
      <c r="M52" s="45">
        <f t="shared" si="5"/>
        <v>1.7718171053827902E-2</v>
      </c>
    </row>
    <row r="53" spans="1:13" s="6" customFormat="1" ht="15.75">
      <c r="A53" s="311">
        <v>48</v>
      </c>
      <c r="B53" s="312" t="s">
        <v>647</v>
      </c>
      <c r="C53" s="330">
        <v>4177.21</v>
      </c>
      <c r="D53" s="330">
        <v>6.6</v>
      </c>
      <c r="E53" s="330"/>
      <c r="F53" s="40">
        <f t="shared" si="2"/>
        <v>4183.8100000000004</v>
      </c>
      <c r="G53" s="70">
        <f t="shared" si="0"/>
        <v>1.6588147587137624E-2</v>
      </c>
      <c r="H53" s="37">
        <f t="shared" si="1"/>
        <v>37.337664230574944</v>
      </c>
      <c r="I53" s="37">
        <f t="shared" si="3"/>
        <v>13.729059137582407</v>
      </c>
      <c r="J53" s="37">
        <v>16.280176083129525</v>
      </c>
      <c r="K53" s="316">
        <f t="shared" si="4"/>
        <v>6.7825617854288316</v>
      </c>
      <c r="L53" s="316"/>
      <c r="M53" s="45">
        <f t="shared" si="5"/>
        <v>1.7718171053827898E-2</v>
      </c>
    </row>
    <row r="54" spans="1:13" s="6" customFormat="1" ht="15.75">
      <c r="A54" s="311">
        <v>49</v>
      </c>
      <c r="B54" s="312" t="s">
        <v>648</v>
      </c>
      <c r="C54" s="330">
        <v>4140.68</v>
      </c>
      <c r="D54" s="330"/>
      <c r="E54" s="330"/>
      <c r="F54" s="40">
        <f t="shared" si="2"/>
        <v>4140.68</v>
      </c>
      <c r="G54" s="70">
        <f t="shared" si="0"/>
        <v>1.6417143931275326E-2</v>
      </c>
      <c r="H54" s="37">
        <f t="shared" si="1"/>
        <v>36.952758257726103</v>
      </c>
      <c r="I54" s="37">
        <f t="shared" si="3"/>
        <v>13.587529211365888</v>
      </c>
      <c r="J54" s="37">
        <v>16.112347239452262</v>
      </c>
      <c r="K54" s="316">
        <f t="shared" si="4"/>
        <v>6.7126418106198553</v>
      </c>
      <c r="L54" s="316"/>
      <c r="M54" s="45">
        <f t="shared" si="5"/>
        <v>1.7718171053827898E-2</v>
      </c>
    </row>
    <row r="55" spans="1:13" s="6" customFormat="1" ht="15.75">
      <c r="A55" s="311">
        <v>50</v>
      </c>
      <c r="B55" s="312" t="s">
        <v>1354</v>
      </c>
      <c r="C55" s="818">
        <v>7831.81</v>
      </c>
      <c r="D55" s="330"/>
      <c r="E55" s="330"/>
      <c r="F55" s="40">
        <f t="shared" si="2"/>
        <v>7831.81</v>
      </c>
      <c r="G55" s="70">
        <f t="shared" si="0"/>
        <v>3.1051892928794643E-2</v>
      </c>
      <c r="H55" s="37">
        <f t="shared" si="1"/>
        <v>69.893587925278425</v>
      </c>
      <c r="I55" s="37">
        <f t="shared" si="3"/>
        <v>25.699872280124879</v>
      </c>
      <c r="J55" s="37">
        <v>30.475391054951029</v>
      </c>
      <c r="K55" s="316">
        <f t="shared" si="4"/>
        <v>12.696497980725553</v>
      </c>
      <c r="L55" s="316"/>
      <c r="M55" s="45">
        <f t="shared" si="5"/>
        <v>1.7718171053827898E-2</v>
      </c>
    </row>
    <row r="56" spans="1:13" s="6" customFormat="1" ht="15.75">
      <c r="A56" s="311">
        <v>51</v>
      </c>
      <c r="B56" s="305" t="s">
        <v>1374</v>
      </c>
      <c r="C56" s="818">
        <v>996.1</v>
      </c>
      <c r="D56" s="330"/>
      <c r="E56" s="330"/>
      <c r="F56" s="40">
        <f t="shared" ref="F56:F66" si="6">C56+D56+E56</f>
        <v>996.1</v>
      </c>
      <c r="G56" s="70">
        <f t="shared" si="0"/>
        <v>3.9493795873970826E-3</v>
      </c>
      <c r="H56" s="37">
        <f t="shared" si="1"/>
        <v>8.8895163356069471</v>
      </c>
      <c r="I56" s="37">
        <f t="shared" si="3"/>
        <v>3.2686751566026748</v>
      </c>
      <c r="J56" s="37">
        <v>3.8760563688134311</v>
      </c>
      <c r="K56" s="316">
        <f t="shared" si="4"/>
        <v>1.614822325694919</v>
      </c>
      <c r="L56" s="316"/>
      <c r="M56" s="45">
        <f t="shared" si="5"/>
        <v>1.7718171053827898E-2</v>
      </c>
    </row>
    <row r="57" spans="1:13" s="6" customFormat="1" ht="15.75">
      <c r="A57" s="311">
        <v>52</v>
      </c>
      <c r="B57" s="305" t="s">
        <v>1376</v>
      </c>
      <c r="C57" s="818">
        <v>533.79999999999995</v>
      </c>
      <c r="D57" s="330"/>
      <c r="E57" s="330"/>
      <c r="F57" s="40">
        <f t="shared" si="6"/>
        <v>533.79999999999995</v>
      </c>
      <c r="G57" s="70">
        <f t="shared" si="0"/>
        <v>2.1164329121097906E-3</v>
      </c>
      <c r="H57" s="37">
        <f t="shared" si="1"/>
        <v>4.7638026502830924</v>
      </c>
      <c r="I57" s="37">
        <f t="shared" si="3"/>
        <v>1.7516502345090932</v>
      </c>
      <c r="J57" s="37">
        <v>2.0771397346376967</v>
      </c>
      <c r="K57" s="316">
        <f t="shared" si="4"/>
        <v>0.86536708910345117</v>
      </c>
      <c r="L57" s="316"/>
      <c r="M57" s="45">
        <f t="shared" si="5"/>
        <v>1.7718171053827902E-2</v>
      </c>
    </row>
    <row r="58" spans="1:13" s="6" customFormat="1" ht="15.75">
      <c r="A58" s="311">
        <v>53</v>
      </c>
      <c r="B58" s="305" t="s">
        <v>1375</v>
      </c>
      <c r="C58" s="818">
        <v>987.3</v>
      </c>
      <c r="D58" s="330"/>
      <c r="E58" s="330"/>
      <c r="F58" s="40">
        <f t="shared" si="6"/>
        <v>987.3</v>
      </c>
      <c r="G58" s="70">
        <f t="shared" si="0"/>
        <v>3.9144889736343128E-3</v>
      </c>
      <c r="H58" s="37">
        <f t="shared" si="1"/>
        <v>8.8109823091504236</v>
      </c>
      <c r="I58" s="37">
        <f t="shared" si="3"/>
        <v>3.2397981950746111</v>
      </c>
      <c r="J58" s="37">
        <v>3.8418135256796511</v>
      </c>
      <c r="K58" s="316">
        <f t="shared" si="4"/>
        <v>1.6005562515395977</v>
      </c>
      <c r="L58" s="316"/>
      <c r="M58" s="45">
        <f t="shared" si="5"/>
        <v>1.7718171053827898E-2</v>
      </c>
    </row>
    <row r="59" spans="1:13" s="6" customFormat="1" ht="15.75">
      <c r="A59" s="311">
        <v>54</v>
      </c>
      <c r="B59" s="305" t="s">
        <v>1377</v>
      </c>
      <c r="C59" s="818">
        <v>442.6</v>
      </c>
      <c r="D59" s="330"/>
      <c r="E59" s="330"/>
      <c r="F59" s="40">
        <f t="shared" si="6"/>
        <v>442.6</v>
      </c>
      <c r="G59" s="70">
        <f t="shared" si="0"/>
        <v>1.7548392785683654E-3</v>
      </c>
      <c r="H59" s="37">
        <f t="shared" si="1"/>
        <v>3.9499045579155054</v>
      </c>
      <c r="I59" s="37">
        <f t="shared" si="3"/>
        <v>1.4523799059455313</v>
      </c>
      <c r="J59" s="37">
        <v>1.722259360342159</v>
      </c>
      <c r="K59" s="316">
        <f t="shared" si="4"/>
        <v>0.71751868422103326</v>
      </c>
      <c r="L59" s="316"/>
      <c r="M59" s="45">
        <f t="shared" si="5"/>
        <v>1.7718171053827902E-2</v>
      </c>
    </row>
    <row r="60" spans="1:13" s="6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8">
        <f t="shared" si="6"/>
        <v>7013.2</v>
      </c>
      <c r="G60" s="70">
        <f t="shared" si="0"/>
        <v>2.7806233231937774E-2</v>
      </c>
      <c r="H60" s="37">
        <f t="shared" si="1"/>
        <v>62.588049357372384</v>
      </c>
      <c r="I60" s="37">
        <f t="shared" si="3"/>
        <v>23.013625748705827</v>
      </c>
      <c r="J60" s="37">
        <v>27.289989484752894</v>
      </c>
      <c r="K60" s="316">
        <f t="shared" si="4"/>
        <v>11.369412643874718</v>
      </c>
      <c r="L60" s="316"/>
      <c r="M60" s="45">
        <f t="shared" si="5"/>
        <v>1.7718171053827898E-2</v>
      </c>
    </row>
    <row r="61" spans="1:13" s="6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8">
        <f t="shared" si="6"/>
        <v>8402.66</v>
      </c>
      <c r="G61" s="70">
        <f t="shared" si="0"/>
        <v>3.3315223254530638E-2</v>
      </c>
      <c r="H61" s="37">
        <f t="shared" si="1"/>
        <v>74.988036675585846</v>
      </c>
      <c r="I61" s="37">
        <f t="shared" si="3"/>
        <v>27.573101085612919</v>
      </c>
      <c r="J61" s="37">
        <v>32.696700941646284</v>
      </c>
      <c r="K61" s="316">
        <f t="shared" si="4"/>
        <v>13.621928484312487</v>
      </c>
      <c r="L61" s="316"/>
      <c r="M61" s="45">
        <f t="shared" si="5"/>
        <v>1.7718171053827902E-2</v>
      </c>
    </row>
    <row r="62" spans="1:13" s="6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8">
        <f t="shared" si="6"/>
        <v>2601.63</v>
      </c>
      <c r="G62" s="70">
        <f t="shared" si="0"/>
        <v>1.0315053123140117E-2</v>
      </c>
      <c r="H62" s="37">
        <f t="shared" si="1"/>
        <v>23.217781732963655</v>
      </c>
      <c r="I62" s="37">
        <f t="shared" si="3"/>
        <v>8.5371783432107371</v>
      </c>
      <c r="J62" s="37">
        <v>10.123546361606353</v>
      </c>
      <c r="K62" s="316">
        <f t="shared" si="4"/>
        <v>4.2176189209895307</v>
      </c>
      <c r="L62" s="316"/>
      <c r="M62" s="45">
        <f t="shared" si="5"/>
        <v>1.7718171053827898E-2</v>
      </c>
    </row>
    <row r="63" spans="1:13" s="6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8">
        <f t="shared" si="6"/>
        <v>2594.2600000000002</v>
      </c>
      <c r="G63" s="70">
        <f t="shared" si="0"/>
        <v>1.0285832234113799E-2</v>
      </c>
      <c r="H63" s="37">
        <f t="shared" si="1"/>
        <v>23.152009485806325</v>
      </c>
      <c r="I63" s="37">
        <f t="shared" si="3"/>
        <v>8.5129938879309854</v>
      </c>
      <c r="J63" s="37">
        <v>10.094867980481812</v>
      </c>
      <c r="K63" s="316">
        <f t="shared" si="4"/>
        <v>4.2056710838844502</v>
      </c>
      <c r="L63" s="316"/>
      <c r="M63" s="45">
        <f t="shared" si="5"/>
        <v>1.7718171053827898E-2</v>
      </c>
    </row>
    <row r="64" spans="1:13" s="6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8">
        <f t="shared" si="6"/>
        <v>2653.52</v>
      </c>
      <c r="G64" s="70">
        <f t="shared" si="0"/>
        <v>1.0520788799066264E-2</v>
      </c>
      <c r="H64" s="37">
        <f t="shared" si="1"/>
        <v>23.680864759421489</v>
      </c>
      <c r="I64" s="37">
        <f t="shared" si="3"/>
        <v>8.7074539720392821</v>
      </c>
      <c r="J64" s="37">
        <v>10.325462399130425</v>
      </c>
      <c r="K64" s="316">
        <f t="shared" si="4"/>
        <v>4.3017401241622144</v>
      </c>
      <c r="L64" s="316"/>
      <c r="M64" s="45">
        <f t="shared" si="5"/>
        <v>1.7718171053827902E-2</v>
      </c>
    </row>
    <row r="65" spans="1:14" s="6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8">
        <f t="shared" si="6"/>
        <v>2150.9</v>
      </c>
      <c r="G65" s="70">
        <f t="shared" si="0"/>
        <v>8.5279796752659211E-3</v>
      </c>
      <c r="H65" s="37">
        <f t="shared" si="1"/>
        <v>19.195322443787752</v>
      </c>
      <c r="I65" s="37">
        <f t="shared" si="3"/>
        <v>7.0581200625807572</v>
      </c>
      <c r="J65" s="37">
        <v>8.3696512836871886</v>
      </c>
      <c r="K65" s="316">
        <f t="shared" si="4"/>
        <v>3.4869203296227296</v>
      </c>
      <c r="L65" s="316"/>
      <c r="M65" s="45">
        <f t="shared" si="5"/>
        <v>1.7718171053827898E-2</v>
      </c>
    </row>
    <row r="66" spans="1:14" s="6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322">
        <f t="shared" si="6"/>
        <v>3353.7</v>
      </c>
      <c r="G66" s="70">
        <f t="shared" si="0"/>
        <v>1.3296892201840773E-2</v>
      </c>
      <c r="H66" s="37">
        <f t="shared" si="1"/>
        <v>29.929495969004126</v>
      </c>
      <c r="I66" s="37">
        <f t="shared" si="3"/>
        <v>11.005075667802817</v>
      </c>
      <c r="J66" s="37">
        <v>13.050025342927018</v>
      </c>
      <c r="K66" s="316">
        <f t="shared" si="4"/>
        <v>5.4368332834886548</v>
      </c>
      <c r="L66" s="316"/>
      <c r="M66" s="45">
        <f t="shared" si="5"/>
        <v>1.7718171053827898E-2</v>
      </c>
    </row>
    <row r="67" spans="1:14" s="6" customFormat="1" ht="15.75">
      <c r="A67" s="378"/>
      <c r="B67" s="63" t="s">
        <v>749</v>
      </c>
      <c r="C67" s="65">
        <f>SUM(C6:C66)</f>
        <v>249781.08</v>
      </c>
      <c r="D67" s="65">
        <f>SUM(D6:D66)</f>
        <v>1319.2</v>
      </c>
      <c r="E67" s="65">
        <f>SUM(E6:E66)</f>
        <v>1116.55</v>
      </c>
      <c r="F67" s="65">
        <f>SUM(F6:F66)</f>
        <v>252216.83000000002</v>
      </c>
      <c r="G67" s="70">
        <f>1/252216.83*F67</f>
        <v>1</v>
      </c>
      <c r="H67" s="37">
        <f>G67*1218*1.54*1.2</f>
        <v>2250.864</v>
      </c>
      <c r="I67" s="64">
        <f t="shared" si="3"/>
        <v>827.64269280000008</v>
      </c>
      <c r="J67" s="37">
        <f>SUM(J6:J66)</f>
        <v>981.43424379423197</v>
      </c>
      <c r="K67" s="65">
        <f>SUM(K6:K66)</f>
        <v>408.88000000000011</v>
      </c>
      <c r="L67" s="65"/>
      <c r="M67" s="45">
        <f t="shared" si="5"/>
        <v>1.7718171053827898E-2</v>
      </c>
    </row>
    <row r="68" spans="1:14" s="6" customFormat="1" ht="21" thickBot="1">
      <c r="A68" s="774" t="s">
        <v>984</v>
      </c>
      <c r="B68" s="781"/>
      <c r="C68" s="781"/>
      <c r="D68" s="781"/>
      <c r="E68" s="781"/>
      <c r="F68" s="781"/>
      <c r="G68" s="781"/>
      <c r="H68" s="781"/>
      <c r="I68" s="781"/>
      <c r="J68" s="37">
        <v>0</v>
      </c>
      <c r="K68" s="781"/>
      <c r="L68" s="781"/>
      <c r="M68" s="45" t="e">
        <f t="shared" si="5"/>
        <v>#DIV/0!</v>
      </c>
      <c r="N68" s="782"/>
    </row>
    <row r="69" spans="1:14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si="2"/>
        <v>6328.85</v>
      </c>
      <c r="G69" s="70">
        <f t="shared" ref="G69:G89" si="7">0/112000.97*F69</f>
        <v>0</v>
      </c>
      <c r="H69" s="37">
        <f>G69*1218*1.54*1.2</f>
        <v>0</v>
      </c>
      <c r="I69" s="37">
        <f t="shared" si="3"/>
        <v>0</v>
      </c>
      <c r="J69" s="37">
        <v>0</v>
      </c>
      <c r="K69" s="316">
        <f>G69*408.88</f>
        <v>0</v>
      </c>
      <c r="L69" s="316"/>
      <c r="M69" s="45">
        <f t="shared" si="5"/>
        <v>0</v>
      </c>
      <c r="N69" s="6" t="s">
        <v>556</v>
      </c>
    </row>
    <row r="70" spans="1:14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2"/>
        <v>7565.74</v>
      </c>
      <c r="G70" s="70">
        <f t="shared" si="7"/>
        <v>0</v>
      </c>
      <c r="H70" s="37">
        <f t="shared" ref="H70:H90" si="8">G70*1218*1.54*1.2</f>
        <v>0</v>
      </c>
      <c r="I70" s="37">
        <f>G70*H70/F70</f>
        <v>0</v>
      </c>
      <c r="J70" s="37">
        <v>0</v>
      </c>
      <c r="K70" s="316">
        <f t="shared" ref="K70:K89" si="9">G70*408.88</f>
        <v>0</v>
      </c>
      <c r="L70" s="316"/>
      <c r="M70" s="45">
        <f t="shared" si="5"/>
        <v>0</v>
      </c>
    </row>
    <row r="71" spans="1:14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2"/>
        <v>7217.2</v>
      </c>
      <c r="G71" s="70">
        <f t="shared" si="7"/>
        <v>0</v>
      </c>
      <c r="H71" s="37">
        <f t="shared" si="8"/>
        <v>0</v>
      </c>
      <c r="I71" s="37">
        <f t="shared" ref="I71:I87" si="10">H71*0.3677</f>
        <v>0</v>
      </c>
      <c r="J71" s="37">
        <v>0</v>
      </c>
      <c r="K71" s="316">
        <f t="shared" si="9"/>
        <v>0</v>
      </c>
      <c r="L71" s="316"/>
      <c r="M71" s="45">
        <f t="shared" ref="M71:M134" si="11">(K71+J71+I71+H71)/F71</f>
        <v>0</v>
      </c>
    </row>
    <row r="72" spans="1:14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2"/>
        <v>6435.2</v>
      </c>
      <c r="G72" s="70">
        <f t="shared" si="7"/>
        <v>0</v>
      </c>
      <c r="H72" s="37">
        <f t="shared" si="8"/>
        <v>0</v>
      </c>
      <c r="I72" s="37">
        <f t="shared" si="10"/>
        <v>0</v>
      </c>
      <c r="J72" s="37">
        <v>0</v>
      </c>
      <c r="K72" s="316">
        <f t="shared" si="9"/>
        <v>0</v>
      </c>
      <c r="L72" s="316"/>
      <c r="M72" s="45">
        <f t="shared" si="11"/>
        <v>0</v>
      </c>
    </row>
    <row r="73" spans="1:14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2"/>
        <v>8881.51</v>
      </c>
      <c r="G73" s="70">
        <f t="shared" si="7"/>
        <v>0</v>
      </c>
      <c r="H73" s="37">
        <f t="shared" si="8"/>
        <v>0</v>
      </c>
      <c r="I73" s="37">
        <f t="shared" si="10"/>
        <v>0</v>
      </c>
      <c r="J73" s="37">
        <v>0</v>
      </c>
      <c r="K73" s="316">
        <f t="shared" si="9"/>
        <v>0</v>
      </c>
      <c r="L73" s="316"/>
      <c r="M73" s="45">
        <f t="shared" si="11"/>
        <v>0</v>
      </c>
    </row>
    <row r="74" spans="1:14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2"/>
        <v>7938.92</v>
      </c>
      <c r="G74" s="70">
        <f t="shared" si="7"/>
        <v>0</v>
      </c>
      <c r="H74" s="37">
        <f t="shared" si="8"/>
        <v>0</v>
      </c>
      <c r="I74" s="37">
        <f t="shared" si="10"/>
        <v>0</v>
      </c>
      <c r="J74" s="37">
        <v>0</v>
      </c>
      <c r="K74" s="316">
        <f t="shared" si="9"/>
        <v>0</v>
      </c>
      <c r="L74" s="316"/>
      <c r="M74" s="45">
        <f t="shared" si="11"/>
        <v>0</v>
      </c>
    </row>
    <row r="75" spans="1:14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2"/>
        <v>7102.99</v>
      </c>
      <c r="G75" s="70">
        <f t="shared" si="7"/>
        <v>0</v>
      </c>
      <c r="H75" s="37">
        <f t="shared" si="8"/>
        <v>0</v>
      </c>
      <c r="I75" s="37">
        <f t="shared" si="10"/>
        <v>0</v>
      </c>
      <c r="J75" s="37">
        <v>0</v>
      </c>
      <c r="K75" s="316">
        <f t="shared" si="9"/>
        <v>0</v>
      </c>
      <c r="L75" s="316"/>
      <c r="M75" s="45">
        <f t="shared" si="11"/>
        <v>0</v>
      </c>
    </row>
    <row r="76" spans="1:14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2"/>
        <v>2982.2</v>
      </c>
      <c r="G76" s="70">
        <f t="shared" si="7"/>
        <v>0</v>
      </c>
      <c r="H76" s="37">
        <f t="shared" si="8"/>
        <v>0</v>
      </c>
      <c r="I76" s="37">
        <f t="shared" si="10"/>
        <v>0</v>
      </c>
      <c r="J76" s="37">
        <v>0</v>
      </c>
      <c r="K76" s="316">
        <f t="shared" si="9"/>
        <v>0</v>
      </c>
      <c r="L76" s="316"/>
      <c r="M76" s="45">
        <f t="shared" si="11"/>
        <v>0</v>
      </c>
    </row>
    <row r="77" spans="1:14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2"/>
        <v>2528.85</v>
      </c>
      <c r="G77" s="70">
        <f t="shared" si="7"/>
        <v>0</v>
      </c>
      <c r="H77" s="37">
        <f t="shared" si="8"/>
        <v>0</v>
      </c>
      <c r="I77" s="37">
        <f t="shared" si="10"/>
        <v>0</v>
      </c>
      <c r="J77" s="37">
        <v>0</v>
      </c>
      <c r="K77" s="316">
        <f t="shared" si="9"/>
        <v>0</v>
      </c>
      <c r="L77" s="316"/>
      <c r="M77" s="45">
        <f t="shared" si="11"/>
        <v>0</v>
      </c>
    </row>
    <row r="78" spans="1:14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2"/>
        <v>4250.83</v>
      </c>
      <c r="G78" s="70">
        <f t="shared" si="7"/>
        <v>0</v>
      </c>
      <c r="H78" s="37">
        <f t="shared" si="8"/>
        <v>0</v>
      </c>
      <c r="I78" s="37">
        <f t="shared" si="10"/>
        <v>0</v>
      </c>
      <c r="J78" s="37">
        <v>0</v>
      </c>
      <c r="K78" s="316">
        <f t="shared" si="9"/>
        <v>0</v>
      </c>
      <c r="L78" s="316"/>
      <c r="M78" s="45">
        <f t="shared" si="11"/>
        <v>0</v>
      </c>
    </row>
    <row r="79" spans="1:14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2"/>
        <v>2862.08</v>
      </c>
      <c r="G79" s="70">
        <f t="shared" si="7"/>
        <v>0</v>
      </c>
      <c r="H79" s="37">
        <f t="shared" si="8"/>
        <v>0</v>
      </c>
      <c r="I79" s="37">
        <f t="shared" si="10"/>
        <v>0</v>
      </c>
      <c r="J79" s="37">
        <v>0</v>
      </c>
      <c r="K79" s="316">
        <f t="shared" si="9"/>
        <v>0</v>
      </c>
      <c r="L79" s="316"/>
      <c r="M79" s="45">
        <f t="shared" si="11"/>
        <v>0</v>
      </c>
    </row>
    <row r="80" spans="1:14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145" si="12">C80+D80+E80</f>
        <v>6415.24</v>
      </c>
      <c r="G80" s="70">
        <f t="shared" si="7"/>
        <v>0</v>
      </c>
      <c r="H80" s="37">
        <f t="shared" si="8"/>
        <v>0</v>
      </c>
      <c r="I80" s="37">
        <f t="shared" si="10"/>
        <v>0</v>
      </c>
      <c r="J80" s="37">
        <v>0</v>
      </c>
      <c r="K80" s="316">
        <f t="shared" si="9"/>
        <v>0</v>
      </c>
      <c r="L80" s="316"/>
      <c r="M80" s="45">
        <f t="shared" si="11"/>
        <v>0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2"/>
        <v>2523.4899999999998</v>
      </c>
      <c r="G81" s="70">
        <f t="shared" si="7"/>
        <v>0</v>
      </c>
      <c r="H81" s="37">
        <f t="shared" si="8"/>
        <v>0</v>
      </c>
      <c r="I81" s="37">
        <f t="shared" si="10"/>
        <v>0</v>
      </c>
      <c r="J81" s="37">
        <v>0</v>
      </c>
      <c r="K81" s="316">
        <f t="shared" si="9"/>
        <v>0</v>
      </c>
      <c r="L81" s="316"/>
      <c r="M81" s="45">
        <f t="shared" si="11"/>
        <v>0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2"/>
        <v>2727.04</v>
      </c>
      <c r="G82" s="70">
        <f t="shared" si="7"/>
        <v>0</v>
      </c>
      <c r="H82" s="37">
        <f t="shared" si="8"/>
        <v>0</v>
      </c>
      <c r="I82" s="37">
        <f t="shared" si="10"/>
        <v>0</v>
      </c>
      <c r="J82" s="37">
        <v>0</v>
      </c>
      <c r="K82" s="316">
        <f t="shared" si="9"/>
        <v>0</v>
      </c>
      <c r="L82" s="316"/>
      <c r="M82" s="45">
        <f t="shared" si="11"/>
        <v>0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2"/>
        <v>11075.779999999999</v>
      </c>
      <c r="G83" s="70">
        <f t="shared" si="7"/>
        <v>0</v>
      </c>
      <c r="H83" s="37">
        <f t="shared" si="8"/>
        <v>0</v>
      </c>
      <c r="I83" s="37">
        <f t="shared" si="10"/>
        <v>0</v>
      </c>
      <c r="J83" s="37">
        <v>0</v>
      </c>
      <c r="K83" s="316">
        <f t="shared" si="9"/>
        <v>0</v>
      </c>
      <c r="L83" s="316"/>
      <c r="M83" s="45">
        <f t="shared" si="11"/>
        <v>0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2"/>
        <v>6438.12</v>
      </c>
      <c r="G84" s="70">
        <f t="shared" si="7"/>
        <v>0</v>
      </c>
      <c r="H84" s="37">
        <f t="shared" si="8"/>
        <v>0</v>
      </c>
      <c r="I84" s="37">
        <f t="shared" si="10"/>
        <v>0</v>
      </c>
      <c r="J84" s="37">
        <v>0</v>
      </c>
      <c r="K84" s="316">
        <f t="shared" si="9"/>
        <v>0</v>
      </c>
      <c r="L84" s="316"/>
      <c r="M84" s="45">
        <f t="shared" si="11"/>
        <v>0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2"/>
        <v>6322.5</v>
      </c>
      <c r="G85" s="70">
        <f t="shared" si="7"/>
        <v>0</v>
      </c>
      <c r="H85" s="37">
        <f t="shared" si="8"/>
        <v>0</v>
      </c>
      <c r="I85" s="37">
        <f t="shared" si="10"/>
        <v>0</v>
      </c>
      <c r="J85" s="37">
        <v>0</v>
      </c>
      <c r="K85" s="316">
        <f t="shared" si="9"/>
        <v>0</v>
      </c>
      <c r="L85" s="316"/>
      <c r="M85" s="45">
        <f t="shared" si="11"/>
        <v>0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2"/>
        <v>3207.6099999999997</v>
      </c>
      <c r="G86" s="70">
        <f t="shared" si="7"/>
        <v>0</v>
      </c>
      <c r="H86" s="37">
        <f t="shared" si="8"/>
        <v>0</v>
      </c>
      <c r="I86" s="37">
        <f t="shared" si="10"/>
        <v>0</v>
      </c>
      <c r="J86" s="37">
        <v>0</v>
      </c>
      <c r="K86" s="316">
        <f t="shared" si="9"/>
        <v>0</v>
      </c>
      <c r="L86" s="316"/>
      <c r="M86" s="45">
        <f t="shared" si="11"/>
        <v>0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2"/>
        <v>2997.37</v>
      </c>
      <c r="G87" s="70">
        <f t="shared" si="7"/>
        <v>0</v>
      </c>
      <c r="H87" s="37">
        <f t="shared" si="8"/>
        <v>0</v>
      </c>
      <c r="I87" s="37">
        <f t="shared" si="10"/>
        <v>0</v>
      </c>
      <c r="J87" s="37">
        <v>0</v>
      </c>
      <c r="K87" s="316">
        <f t="shared" si="9"/>
        <v>0</v>
      </c>
      <c r="L87" s="316"/>
      <c r="M87" s="45">
        <f t="shared" si="11"/>
        <v>0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12"/>
        <v>6397.6</v>
      </c>
      <c r="G88" s="70">
        <f t="shared" si="7"/>
        <v>0</v>
      </c>
      <c r="H88" s="37">
        <f t="shared" si="8"/>
        <v>0</v>
      </c>
      <c r="I88" s="37">
        <f>H88*0.3677</f>
        <v>0</v>
      </c>
      <c r="J88" s="37">
        <v>0</v>
      </c>
      <c r="K88" s="316">
        <f t="shared" si="9"/>
        <v>0</v>
      </c>
      <c r="L88" s="316"/>
      <c r="M88" s="45">
        <f t="shared" si="11"/>
        <v>0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12"/>
        <v>566.29999999999995</v>
      </c>
      <c r="G89" s="70">
        <f t="shared" si="7"/>
        <v>0</v>
      </c>
      <c r="H89" s="37">
        <f t="shared" si="8"/>
        <v>0</v>
      </c>
      <c r="I89" s="37">
        <f>H89*0.3677</f>
        <v>0</v>
      </c>
      <c r="J89" s="37">
        <v>0</v>
      </c>
      <c r="K89" s="316">
        <f t="shared" si="9"/>
        <v>0</v>
      </c>
      <c r="L89" s="316"/>
      <c r="M89" s="45">
        <f t="shared" si="11"/>
        <v>0</v>
      </c>
      <c r="S89" s="6">
        <v>2</v>
      </c>
    </row>
    <row r="90" spans="1:19" s="69" customFormat="1" ht="15.75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5">
        <f>SUM(F69:F89)</f>
        <v>112765.42</v>
      </c>
      <c r="G90" s="70">
        <f>0/112000.97*F90</f>
        <v>0</v>
      </c>
      <c r="H90" s="37">
        <f t="shared" si="8"/>
        <v>0</v>
      </c>
      <c r="I90" s="64">
        <f>H90*0.3677</f>
        <v>0</v>
      </c>
      <c r="J90" s="37">
        <v>0</v>
      </c>
      <c r="K90" s="65">
        <f>SUM(K69:K89)</f>
        <v>0</v>
      </c>
      <c r="L90" s="65"/>
      <c r="M90" s="45">
        <f t="shared" si="11"/>
        <v>0</v>
      </c>
    </row>
    <row r="91" spans="1:19" s="6" customFormat="1" ht="15.75">
      <c r="A91" s="9" t="s">
        <v>50</v>
      </c>
      <c r="B91" s="8"/>
      <c r="C91" s="8"/>
      <c r="D91" s="8"/>
      <c r="E91" s="8"/>
      <c r="F91" s="40"/>
      <c r="G91" s="61"/>
      <c r="H91" s="37"/>
      <c r="I91" s="37"/>
      <c r="J91" s="37">
        <v>0</v>
      </c>
      <c r="K91" s="37"/>
      <c r="L91" s="37"/>
      <c r="M91" s="45" t="e">
        <f t="shared" si="11"/>
        <v>#DIV/0!</v>
      </c>
    </row>
    <row r="92" spans="1:19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si="12"/>
        <v>689.3</v>
      </c>
      <c r="G92" s="70">
        <f t="shared" ref="G92:G155" si="13">1/232188.71*F92</f>
        <v>2.968705928897232E-3</v>
      </c>
      <c r="H92" s="37">
        <f>G92*1218*1.54*1.2</f>
        <v>6.6821533019413399</v>
      </c>
      <c r="I92" s="96">
        <f t="shared" ref="I92:I155" si="14">H92*0.3677</f>
        <v>2.4570277691238309</v>
      </c>
      <c r="J92" s="37">
        <v>2.6029794887681845</v>
      </c>
      <c r="K92" s="37">
        <f t="shared" ref="K92:K155" si="15">G92*408.88</f>
        <v>1.2138444802075001</v>
      </c>
      <c r="L92" s="37">
        <f>K92*1.219</f>
        <v>1.4796764213729428</v>
      </c>
      <c r="M92" s="45">
        <f t="shared" si="11"/>
        <v>1.8795887189962075E-2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12"/>
        <v>356.29999999999995</v>
      </c>
      <c r="G93" s="70">
        <f t="shared" si="13"/>
        <v>1.534527669325524E-3</v>
      </c>
      <c r="H93" s="37">
        <f t="shared" ref="H93:H156" si="16">G93*1218*1.54*1.2</f>
        <v>3.4540130878887259</v>
      </c>
      <c r="I93" s="96">
        <f t="shared" si="14"/>
        <v>1.2700406124166845</v>
      </c>
      <c r="J93" s="37">
        <v>1.3454832320442536</v>
      </c>
      <c r="K93" s="37">
        <f t="shared" si="15"/>
        <v>0.62743767343382029</v>
      </c>
      <c r="L93" s="37">
        <f t="shared" ref="L93:L156" si="17">K93*1.219</f>
        <v>0.76484652391582697</v>
      </c>
      <c r="M93" s="45">
        <f t="shared" si="11"/>
        <v>1.8795887189962071E-2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12"/>
        <v>425.13</v>
      </c>
      <c r="G94" s="70">
        <f t="shared" si="13"/>
        <v>1.830967578053214E-3</v>
      </c>
      <c r="H94" s="37">
        <f t="shared" si="16"/>
        <v>4.1212590066071693</v>
      </c>
      <c r="I94" s="96">
        <f t="shared" si="14"/>
        <v>1.5153869367294563</v>
      </c>
      <c r="J94" s="37">
        <v>1.6054035544175516</v>
      </c>
      <c r="K94" s="37">
        <f t="shared" si="15"/>
        <v>0.74864602331439811</v>
      </c>
      <c r="L94" s="37">
        <f t="shared" si="17"/>
        <v>0.91259950242025134</v>
      </c>
      <c r="M94" s="45">
        <f t="shared" si="11"/>
        <v>1.8795887189962071E-2</v>
      </c>
    </row>
    <row r="95" spans="1:19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12"/>
        <v>690.66</v>
      </c>
      <c r="G95" s="70">
        <f t="shared" si="13"/>
        <v>2.9745632335008883E-3</v>
      </c>
      <c r="H95" s="37">
        <f t="shared" si="16"/>
        <v>6.6953372980107426</v>
      </c>
      <c r="I95" s="96">
        <f t="shared" si="14"/>
        <v>2.4618755244785504</v>
      </c>
      <c r="J95" s="37">
        <v>2.608115209216066</v>
      </c>
      <c r="K95" s="37">
        <f t="shared" si="15"/>
        <v>1.2162394149138431</v>
      </c>
      <c r="L95" s="37">
        <f t="shared" si="17"/>
        <v>1.4825958467799749</v>
      </c>
      <c r="M95" s="45">
        <f t="shared" si="11"/>
        <v>1.8795887189962068E-2</v>
      </c>
    </row>
    <row r="96" spans="1:19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12"/>
        <v>618.05999999999995</v>
      </c>
      <c r="G96" s="70">
        <f t="shared" si="13"/>
        <v>2.6618865318645338E-3</v>
      </c>
      <c r="H96" s="37">
        <f t="shared" si="16"/>
        <v>5.9915445666587326</v>
      </c>
      <c r="I96" s="96">
        <f t="shared" si="14"/>
        <v>2.2030909371604159</v>
      </c>
      <c r="J96" s="37">
        <v>2.3339583676600375</v>
      </c>
      <c r="K96" s="37">
        <f t="shared" si="15"/>
        <v>1.0883921651487705</v>
      </c>
      <c r="L96" s="37">
        <f t="shared" si="17"/>
        <v>1.3267500493163513</v>
      </c>
      <c r="M96" s="45">
        <f t="shared" si="11"/>
        <v>1.8795887189962071E-2</v>
      </c>
    </row>
    <row r="97" spans="1:13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12"/>
        <v>1327.4</v>
      </c>
      <c r="G97" s="70">
        <f t="shared" si="13"/>
        <v>5.7169015668332894E-3</v>
      </c>
      <c r="H97" s="37">
        <f t="shared" si="16"/>
        <v>12.867967928328644</v>
      </c>
      <c r="I97" s="96">
        <f t="shared" si="14"/>
        <v>4.7315518072464426</v>
      </c>
      <c r="J97" s="37">
        <v>5.0126142077337708</v>
      </c>
      <c r="K97" s="37">
        <f t="shared" si="15"/>
        <v>2.3375267126467953</v>
      </c>
      <c r="L97" s="37">
        <f t="shared" si="17"/>
        <v>2.8494450627164438</v>
      </c>
      <c r="M97" s="45">
        <f t="shared" si="11"/>
        <v>1.8795887189962071E-2</v>
      </c>
    </row>
    <row r="98" spans="1:13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12"/>
        <v>1528.3</v>
      </c>
      <c r="G98" s="70">
        <f t="shared" si="13"/>
        <v>6.582146048358683E-3</v>
      </c>
      <c r="H98" s="37">
        <f t="shared" si="16"/>
        <v>14.815515582992816</v>
      </c>
      <c r="I98" s="96">
        <f t="shared" si="14"/>
        <v>5.447665079866459</v>
      </c>
      <c r="J98" s="37">
        <v>5.7712658533068568</v>
      </c>
      <c r="K98" s="37">
        <f t="shared" si="15"/>
        <v>2.6913078762528984</v>
      </c>
      <c r="L98" s="37">
        <f t="shared" si="17"/>
        <v>3.2807043011522832</v>
      </c>
      <c r="M98" s="45">
        <f t="shared" si="11"/>
        <v>1.8795887189962071E-2</v>
      </c>
    </row>
    <row r="99" spans="1:13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12"/>
        <v>736.94</v>
      </c>
      <c r="G99" s="70">
        <f t="shared" si="13"/>
        <v>3.1738838636900138E-3</v>
      </c>
      <c r="H99" s="37">
        <f t="shared" si="16"/>
        <v>7.143980928960759</v>
      </c>
      <c r="I99" s="96">
        <f t="shared" si="14"/>
        <v>2.6268417875788712</v>
      </c>
      <c r="J99" s="37">
        <v>2.7828807550454462</v>
      </c>
      <c r="K99" s="37">
        <f t="shared" si="15"/>
        <v>1.2977376341855729</v>
      </c>
      <c r="L99" s="37">
        <f t="shared" si="17"/>
        <v>1.5819421760722134</v>
      </c>
      <c r="M99" s="45">
        <f t="shared" si="11"/>
        <v>1.8795887189962071E-2</v>
      </c>
    </row>
    <row r="100" spans="1:13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12"/>
        <v>588.29</v>
      </c>
      <c r="G100" s="70">
        <f t="shared" si="13"/>
        <v>2.5336718568271474E-3</v>
      </c>
      <c r="H100" s="37">
        <f t="shared" si="16"/>
        <v>5.7029507703453808</v>
      </c>
      <c r="I100" s="96">
        <f t="shared" si="14"/>
        <v>2.0969749982559969</v>
      </c>
      <c r="J100" s="37">
        <v>2.2215389575619255</v>
      </c>
      <c r="K100" s="37">
        <f t="shared" si="15"/>
        <v>1.0359677488194841</v>
      </c>
      <c r="L100" s="37">
        <f t="shared" si="17"/>
        <v>1.2628446858109512</v>
      </c>
      <c r="M100" s="45">
        <f t="shared" si="11"/>
        <v>1.8795887189962071E-2</v>
      </c>
    </row>
    <row r="101" spans="1:13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12"/>
        <v>264.32</v>
      </c>
      <c r="G101" s="70">
        <f t="shared" si="13"/>
        <v>1.1383843770870687E-3</v>
      </c>
      <c r="H101" s="37">
        <f t="shared" si="16"/>
        <v>2.5623484125477076</v>
      </c>
      <c r="I101" s="96">
        <f t="shared" si="14"/>
        <v>0.94217551129379218</v>
      </c>
      <c r="J101" s="37">
        <v>0.99814237410591411</v>
      </c>
      <c r="K101" s="37">
        <f t="shared" si="15"/>
        <v>0.46546260410336066</v>
      </c>
      <c r="L101" s="37">
        <f t="shared" si="17"/>
        <v>0.56739891440199663</v>
      </c>
      <c r="M101" s="45">
        <f t="shared" si="11"/>
        <v>1.8795887189962071E-2</v>
      </c>
    </row>
    <row r="102" spans="1:13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12"/>
        <v>202.70000000000002</v>
      </c>
      <c r="G102" s="70">
        <f t="shared" si="13"/>
        <v>8.7299679644199776E-4</v>
      </c>
      <c r="H102" s="37">
        <f t="shared" si="16"/>
        <v>1.9649970612266208</v>
      </c>
      <c r="I102" s="96">
        <f t="shared" si="14"/>
        <v>0.72252941941302851</v>
      </c>
      <c r="J102" s="37">
        <v>0.76544892263645881</v>
      </c>
      <c r="K102" s="37">
        <f t="shared" si="15"/>
        <v>0.35695093012920404</v>
      </c>
      <c r="L102" s="37">
        <f t="shared" si="17"/>
        <v>0.43512318382749976</v>
      </c>
      <c r="M102" s="45">
        <f t="shared" si="11"/>
        <v>1.8795887189962071E-2</v>
      </c>
    </row>
    <row r="103" spans="1:13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12"/>
        <v>366.9</v>
      </c>
      <c r="G103" s="70">
        <f t="shared" si="13"/>
        <v>1.58018019050108E-3</v>
      </c>
      <c r="H103" s="37">
        <f t="shared" si="16"/>
        <v>3.5567707043120231</v>
      </c>
      <c r="I103" s="96">
        <f t="shared" si="14"/>
        <v>1.307824587975531</v>
      </c>
      <c r="J103" s="37">
        <v>1.385511641417448</v>
      </c>
      <c r="K103" s="37">
        <f t="shared" si="15"/>
        <v>0.64610407629208155</v>
      </c>
      <c r="L103" s="37">
        <f t="shared" si="17"/>
        <v>0.78760086900004744</v>
      </c>
      <c r="M103" s="45">
        <f t="shared" si="11"/>
        <v>1.8795887189962071E-2</v>
      </c>
    </row>
    <row r="104" spans="1:13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12"/>
        <v>580.66999999999996</v>
      </c>
      <c r="G104" s="70">
        <f t="shared" si="13"/>
        <v>2.5008537236801912E-3</v>
      </c>
      <c r="H104" s="37">
        <f t="shared" si="16"/>
        <v>5.6290816158976895</v>
      </c>
      <c r="I104" s="96">
        <f t="shared" si="14"/>
        <v>2.0698133101655807</v>
      </c>
      <c r="J104" s="37">
        <v>2.1927638179936482</v>
      </c>
      <c r="K104" s="37">
        <f t="shared" si="15"/>
        <v>1.0225490705383566</v>
      </c>
      <c r="L104" s="37">
        <f t="shared" si="17"/>
        <v>1.2464873169862569</v>
      </c>
      <c r="M104" s="45">
        <f t="shared" si="11"/>
        <v>1.8795887189962071E-2</v>
      </c>
    </row>
    <row r="105" spans="1:13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12"/>
        <v>612.9</v>
      </c>
      <c r="G105" s="70">
        <f t="shared" si="13"/>
        <v>2.6396632291036033E-3</v>
      </c>
      <c r="H105" s="37">
        <f t="shared" si="16"/>
        <v>5.9415229345130536</v>
      </c>
      <c r="I105" s="96">
        <f t="shared" si="14"/>
        <v>2.1846979830204498</v>
      </c>
      <c r="J105" s="37">
        <v>2.3144728400783694</v>
      </c>
      <c r="K105" s="37">
        <f t="shared" si="15"/>
        <v>1.0793055011158812</v>
      </c>
      <c r="L105" s="37">
        <f t="shared" si="17"/>
        <v>1.3156734058602593</v>
      </c>
      <c r="M105" s="45">
        <f t="shared" si="11"/>
        <v>1.8795887189962075E-2</v>
      </c>
    </row>
    <row r="106" spans="1:13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12"/>
        <v>851.5</v>
      </c>
      <c r="G106" s="70">
        <f t="shared" si="13"/>
        <v>3.667275639715644E-3</v>
      </c>
      <c r="H106" s="37">
        <f t="shared" si="16"/>
        <v>8.2545387155129131</v>
      </c>
      <c r="I106" s="96">
        <f t="shared" si="14"/>
        <v>3.0351938856940985</v>
      </c>
      <c r="J106" s="37">
        <v>3.2154896774787596</v>
      </c>
      <c r="K106" s="37">
        <f t="shared" si="15"/>
        <v>1.4994756635669324</v>
      </c>
      <c r="L106" s="37">
        <f t="shared" si="17"/>
        <v>1.8278608338880906</v>
      </c>
      <c r="M106" s="45">
        <f t="shared" si="11"/>
        <v>1.8795887189962071E-2</v>
      </c>
    </row>
    <row r="107" spans="1:13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12"/>
        <v>545.6</v>
      </c>
      <c r="G107" s="70">
        <f t="shared" si="13"/>
        <v>2.3498127880550268E-3</v>
      </c>
      <c r="H107" s="37">
        <f t="shared" si="16"/>
        <v>5.2891090113726902</v>
      </c>
      <c r="I107" s="96">
        <f t="shared" si="14"/>
        <v>1.9448053834817383</v>
      </c>
      <c r="J107" s="37">
        <v>2.060330203208939</v>
      </c>
      <c r="K107" s="37">
        <f t="shared" si="15"/>
        <v>0.96079145277993938</v>
      </c>
      <c r="L107" s="37">
        <f t="shared" si="17"/>
        <v>1.1712047809387462</v>
      </c>
      <c r="M107" s="45">
        <f t="shared" si="11"/>
        <v>1.8795887189962071E-2</v>
      </c>
    </row>
    <row r="108" spans="1:13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12"/>
        <v>564.81000000000006</v>
      </c>
      <c r="G108" s="70">
        <f t="shared" si="13"/>
        <v>2.4325472155816712E-3</v>
      </c>
      <c r="H108" s="37">
        <f t="shared" si="16"/>
        <v>5.4753329558530224</v>
      </c>
      <c r="I108" s="96">
        <f t="shared" si="14"/>
        <v>2.0132799278671563</v>
      </c>
      <c r="J108" s="37">
        <v>2.1328722545352656</v>
      </c>
      <c r="K108" s="37">
        <f t="shared" si="15"/>
        <v>0.99461990550703372</v>
      </c>
      <c r="L108" s="37">
        <f t="shared" si="17"/>
        <v>1.2124416648130742</v>
      </c>
      <c r="M108" s="45">
        <f t="shared" si="11"/>
        <v>1.8795887189962068E-2</v>
      </c>
    </row>
    <row r="109" spans="1:13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12"/>
        <v>536.25</v>
      </c>
      <c r="G109" s="70">
        <f t="shared" si="13"/>
        <v>2.3095438189048904E-3</v>
      </c>
      <c r="H109" s="37">
        <f t="shared" si="16"/>
        <v>5.1984690383955368</v>
      </c>
      <c r="I109" s="96">
        <f t="shared" si="14"/>
        <v>1.9114770654180391</v>
      </c>
      <c r="J109" s="37">
        <v>2.0250221251297531</v>
      </c>
      <c r="K109" s="37">
        <f t="shared" si="15"/>
        <v>0.94432627667383151</v>
      </c>
      <c r="L109" s="37">
        <f t="shared" si="17"/>
        <v>1.1511337312654006</v>
      </c>
      <c r="M109" s="45">
        <f t="shared" si="11"/>
        <v>1.8795887189962068E-2</v>
      </c>
    </row>
    <row r="110" spans="1:13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12"/>
        <v>603.17000000000007</v>
      </c>
      <c r="G110" s="70">
        <f t="shared" si="13"/>
        <v>2.5977576601377396E-3</v>
      </c>
      <c r="H110" s="37">
        <f t="shared" si="16"/>
        <v>5.8471991979282736</v>
      </c>
      <c r="I110" s="96">
        <f t="shared" si="14"/>
        <v>2.1500151450782266</v>
      </c>
      <c r="J110" s="37">
        <v>2.2777297812858062</v>
      </c>
      <c r="K110" s="37">
        <f t="shared" si="15"/>
        <v>1.0621711520771189</v>
      </c>
      <c r="L110" s="37">
        <f t="shared" si="17"/>
        <v>1.294786634382008</v>
      </c>
      <c r="M110" s="45">
        <f t="shared" si="11"/>
        <v>1.8795887189962071E-2</v>
      </c>
    </row>
    <row r="111" spans="1:13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12"/>
        <v>226.9</v>
      </c>
      <c r="G111" s="70">
        <f t="shared" si="13"/>
        <v>9.7722236365411575E-4</v>
      </c>
      <c r="H111" s="37">
        <f t="shared" si="16"/>
        <v>2.1995946383439571</v>
      </c>
      <c r="I111" s="96">
        <f t="shared" si="14"/>
        <v>0.80879094851907307</v>
      </c>
      <c r="J111" s="37">
        <v>0.85683453648846808</v>
      </c>
      <c r="K111" s="37">
        <f t="shared" si="15"/>
        <v>0.39956668005089485</v>
      </c>
      <c r="L111" s="37">
        <f t="shared" si="17"/>
        <v>0.48707178298204085</v>
      </c>
      <c r="M111" s="45">
        <f t="shared" si="11"/>
        <v>1.8795887189962064E-2</v>
      </c>
    </row>
    <row r="112" spans="1:13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12"/>
        <v>385.59999999999997</v>
      </c>
      <c r="G112" s="70">
        <f t="shared" si="13"/>
        <v>1.6607181288013531E-3</v>
      </c>
      <c r="H112" s="37">
        <f t="shared" si="16"/>
        <v>3.7380506502663291</v>
      </c>
      <c r="I112" s="96">
        <f t="shared" si="14"/>
        <v>1.3744812241029294</v>
      </c>
      <c r="J112" s="37">
        <v>1.4561277975758189</v>
      </c>
      <c r="K112" s="37">
        <f t="shared" si="15"/>
        <v>0.67903442850429729</v>
      </c>
      <c r="L112" s="37">
        <f t="shared" si="17"/>
        <v>0.82774296834673844</v>
      </c>
      <c r="M112" s="45">
        <f t="shared" si="11"/>
        <v>1.8795887189962071E-2</v>
      </c>
    </row>
    <row r="113" spans="1:13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12"/>
        <v>340.18</v>
      </c>
      <c r="G113" s="70">
        <f t="shared" si="13"/>
        <v>1.4651013824057166E-3</v>
      </c>
      <c r="H113" s="37">
        <f t="shared" si="16"/>
        <v>3.2977439580072607</v>
      </c>
      <c r="I113" s="96">
        <f t="shared" si="14"/>
        <v>1.2125804533592699</v>
      </c>
      <c r="J113" s="37">
        <v>1.2846098396767172</v>
      </c>
      <c r="K113" s="37">
        <f t="shared" si="15"/>
        <v>0.5990506532380494</v>
      </c>
      <c r="L113" s="37">
        <f t="shared" si="17"/>
        <v>0.73024274629718222</v>
      </c>
      <c r="M113" s="45">
        <f t="shared" si="11"/>
        <v>1.8795887189962071E-2</v>
      </c>
    </row>
    <row r="114" spans="1:13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12"/>
        <v>304.7</v>
      </c>
      <c r="G114" s="70">
        <f t="shared" si="13"/>
        <v>1.3122946417162145E-3</v>
      </c>
      <c r="H114" s="37">
        <f t="shared" si="16"/>
        <v>2.953796766431926</v>
      </c>
      <c r="I114" s="96">
        <f t="shared" si="14"/>
        <v>1.0861110710170192</v>
      </c>
      <c r="J114" s="37">
        <v>1.1506279562275727</v>
      </c>
      <c r="K114" s="37">
        <f t="shared" si="15"/>
        <v>0.53657103310492582</v>
      </c>
      <c r="L114" s="37">
        <f t="shared" si="17"/>
        <v>0.65408008935490458</v>
      </c>
      <c r="M114" s="45">
        <f t="shared" si="11"/>
        <v>1.8795887189962075E-2</v>
      </c>
    </row>
    <row r="115" spans="1:13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12"/>
        <v>979.97</v>
      </c>
      <c r="G115" s="70">
        <f t="shared" si="13"/>
        <v>4.2205755826801401E-3</v>
      </c>
      <c r="H115" s="37">
        <f t="shared" si="16"/>
        <v>9.4999416383337518</v>
      </c>
      <c r="I115" s="96">
        <f t="shared" si="14"/>
        <v>3.4931285404153209</v>
      </c>
      <c r="J115" s="37">
        <v>3.7006264465518033</v>
      </c>
      <c r="K115" s="37">
        <f t="shared" si="15"/>
        <v>1.7257089442462556</v>
      </c>
      <c r="L115" s="37">
        <f t="shared" si="17"/>
        <v>2.1036392030361859</v>
      </c>
      <c r="M115" s="45">
        <f t="shared" si="11"/>
        <v>1.8795887189962071E-2</v>
      </c>
    </row>
    <row r="116" spans="1:13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12"/>
        <v>1330.1</v>
      </c>
      <c r="G116" s="70">
        <f t="shared" si="13"/>
        <v>5.7285300392081948E-3</v>
      </c>
      <c r="H116" s="37">
        <f t="shared" si="16"/>
        <v>12.894142038172314</v>
      </c>
      <c r="I116" s="96">
        <f t="shared" si="14"/>
        <v>4.7411760274359604</v>
      </c>
      <c r="J116" s="37">
        <v>5.0228101233288296</v>
      </c>
      <c r="K116" s="37">
        <f t="shared" si="15"/>
        <v>2.3422813624314465</v>
      </c>
      <c r="L116" s="37">
        <f t="shared" si="17"/>
        <v>2.8552409808039334</v>
      </c>
      <c r="M116" s="45">
        <f t="shared" si="11"/>
        <v>1.8795887189962071E-2</v>
      </c>
    </row>
    <row r="117" spans="1:13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12"/>
        <v>820.65</v>
      </c>
      <c r="G117" s="70">
        <f t="shared" si="13"/>
        <v>3.534409575728295E-3</v>
      </c>
      <c r="H117" s="37">
        <f t="shared" si="16"/>
        <v>7.9554752752620939</v>
      </c>
      <c r="I117" s="96">
        <f t="shared" si="14"/>
        <v>2.9252282587138723</v>
      </c>
      <c r="J117" s="37">
        <v>3.0989919011426239</v>
      </c>
      <c r="K117" s="37">
        <f t="shared" si="15"/>
        <v>1.4451493873237853</v>
      </c>
      <c r="L117" s="37">
        <f t="shared" si="17"/>
        <v>1.7616371031476943</v>
      </c>
      <c r="M117" s="45">
        <f t="shared" si="11"/>
        <v>1.8795887189962075E-2</v>
      </c>
    </row>
    <row r="118" spans="1:13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12"/>
        <v>1463.87</v>
      </c>
      <c r="G118" s="70">
        <f t="shared" si="13"/>
        <v>6.3046562427604685E-3</v>
      </c>
      <c r="H118" s="37">
        <f t="shared" si="16"/>
        <v>14.190923769204799</v>
      </c>
      <c r="I118" s="96">
        <f t="shared" si="14"/>
        <v>5.2180026699366051</v>
      </c>
      <c r="J118" s="37">
        <v>5.5279610970884692</v>
      </c>
      <c r="K118" s="37">
        <f t="shared" si="15"/>
        <v>2.5778478445399005</v>
      </c>
      <c r="L118" s="37">
        <f t="shared" si="17"/>
        <v>3.1423965224941388</v>
      </c>
      <c r="M118" s="45">
        <f t="shared" si="11"/>
        <v>1.8795887189962068E-2</v>
      </c>
    </row>
    <row r="119" spans="1:13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12"/>
        <v>595.18000000000006</v>
      </c>
      <c r="G119" s="70">
        <f t="shared" si="13"/>
        <v>2.563345995591259E-3</v>
      </c>
      <c r="H119" s="37">
        <f t="shared" si="16"/>
        <v>5.7697432210205237</v>
      </c>
      <c r="I119" s="96">
        <f t="shared" si="14"/>
        <v>2.1215345823692466</v>
      </c>
      <c r="J119" s="37">
        <v>2.2475574236545017</v>
      </c>
      <c r="K119" s="37">
        <f t="shared" si="15"/>
        <v>1.048100910677354</v>
      </c>
      <c r="L119" s="37">
        <f t="shared" si="17"/>
        <v>1.2776350101156946</v>
      </c>
      <c r="M119" s="45">
        <f t="shared" si="11"/>
        <v>1.8795887189962071E-2</v>
      </c>
    </row>
    <row r="120" spans="1:13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12"/>
        <v>142</v>
      </c>
      <c r="G120" s="70">
        <f t="shared" si="13"/>
        <v>6.1157151008763521E-4</v>
      </c>
      <c r="H120" s="37">
        <f t="shared" si="16"/>
        <v>1.3765642954818949</v>
      </c>
      <c r="I120" s="96">
        <f t="shared" si="14"/>
        <v>0.50616269144869275</v>
      </c>
      <c r="J120" s="37">
        <v>0.5362296349993938</v>
      </c>
      <c r="K120" s="37">
        <f t="shared" si="15"/>
        <v>0.25005935904463228</v>
      </c>
      <c r="L120" s="37">
        <f t="shared" si="17"/>
        <v>0.30482235867540675</v>
      </c>
      <c r="M120" s="45">
        <f t="shared" si="11"/>
        <v>1.8795887189962068E-2</v>
      </c>
    </row>
    <row r="121" spans="1:13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12"/>
        <v>576.93999999999994</v>
      </c>
      <c r="G121" s="70">
        <f t="shared" si="13"/>
        <v>2.4847892044363397E-3</v>
      </c>
      <c r="H121" s="37">
        <f t="shared" si="16"/>
        <v>5.592922567854397</v>
      </c>
      <c r="I121" s="96">
        <f t="shared" si="14"/>
        <v>2.0565176282000621</v>
      </c>
      <c r="J121" s="37">
        <v>2.1786783494123259</v>
      </c>
      <c r="K121" s="37">
        <f t="shared" si="15"/>
        <v>1.0159806099099304</v>
      </c>
      <c r="L121" s="37">
        <f t="shared" si="17"/>
        <v>1.2384803634802053</v>
      </c>
      <c r="M121" s="45">
        <f t="shared" si="11"/>
        <v>1.8795887189962068E-2</v>
      </c>
    </row>
    <row r="122" spans="1:13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12"/>
        <v>587.76</v>
      </c>
      <c r="G122" s="70">
        <f t="shared" si="13"/>
        <v>2.5313892307683695E-3</v>
      </c>
      <c r="H122" s="37">
        <f t="shared" si="16"/>
        <v>5.6978128895242151</v>
      </c>
      <c r="I122" s="96">
        <f t="shared" si="14"/>
        <v>2.0950857994780541</v>
      </c>
      <c r="J122" s="37">
        <v>2.2195375370932657</v>
      </c>
      <c r="K122" s="37">
        <f t="shared" si="15"/>
        <v>1.0350344286765709</v>
      </c>
      <c r="L122" s="37">
        <f t="shared" si="17"/>
        <v>1.2617069685567401</v>
      </c>
      <c r="M122" s="45">
        <f t="shared" si="11"/>
        <v>1.8795887189962068E-2</v>
      </c>
    </row>
    <row r="123" spans="1:13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12"/>
        <v>1891.7</v>
      </c>
      <c r="G123" s="70">
        <f t="shared" si="13"/>
        <v>8.1472522931885887E-3</v>
      </c>
      <c r="H123" s="37">
        <f t="shared" si="16"/>
        <v>18.338356885655639</v>
      </c>
      <c r="I123" s="96">
        <f t="shared" si="14"/>
        <v>6.743013826855579</v>
      </c>
      <c r="J123" s="37">
        <v>7.1435605671010807</v>
      </c>
      <c r="K123" s="37">
        <f t="shared" si="15"/>
        <v>3.3312485176389499</v>
      </c>
      <c r="L123" s="37">
        <f t="shared" si="17"/>
        <v>4.0607919430018802</v>
      </c>
      <c r="M123" s="45">
        <f t="shared" si="11"/>
        <v>1.8795887189962068E-2</v>
      </c>
    </row>
    <row r="124" spans="1:13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12"/>
        <v>262.7</v>
      </c>
      <c r="G124" s="70">
        <f t="shared" si="13"/>
        <v>1.1314072936621251E-3</v>
      </c>
      <c r="H124" s="37">
        <f t="shared" si="16"/>
        <v>2.5466439466415056</v>
      </c>
      <c r="I124" s="96">
        <f t="shared" si="14"/>
        <v>0.93640097918008169</v>
      </c>
      <c r="J124" s="37">
        <v>0.99202482474887865</v>
      </c>
      <c r="K124" s="37">
        <f t="shared" si="15"/>
        <v>0.46260981423256969</v>
      </c>
      <c r="L124" s="37">
        <f t="shared" si="17"/>
        <v>0.56392136354950251</v>
      </c>
      <c r="M124" s="45">
        <f t="shared" si="11"/>
        <v>1.8795887189962071E-2</v>
      </c>
    </row>
    <row r="125" spans="1:13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12"/>
        <v>1857.4</v>
      </c>
      <c r="G125" s="70">
        <f t="shared" si="13"/>
        <v>7.9995276256110831E-3</v>
      </c>
      <c r="H125" s="37">
        <f t="shared" si="16"/>
        <v>18.005848749493463</v>
      </c>
      <c r="I125" s="96">
        <f t="shared" si="14"/>
        <v>6.6207505851887465</v>
      </c>
      <c r="J125" s="37">
        <v>7.0140346763934804</v>
      </c>
      <c r="K125" s="37">
        <f t="shared" si="15"/>
        <v>3.2708468555598595</v>
      </c>
      <c r="L125" s="37">
        <f t="shared" si="17"/>
        <v>3.9871623169274693</v>
      </c>
      <c r="M125" s="45">
        <f t="shared" si="11"/>
        <v>1.8795887189962071E-2</v>
      </c>
    </row>
    <row r="126" spans="1:13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12"/>
        <v>2470.1999999999998</v>
      </c>
      <c r="G126" s="70">
        <f t="shared" si="13"/>
        <v>1.0638760170552651E-2</v>
      </c>
      <c r="H126" s="37">
        <f t="shared" si="16"/>
        <v>23.946402272530822</v>
      </c>
      <c r="I126" s="96">
        <f t="shared" si="14"/>
        <v>8.8050921156095843</v>
      </c>
      <c r="J126" s="37">
        <v>9.3281298899683289</v>
      </c>
      <c r="K126" s="37">
        <f t="shared" si="15"/>
        <v>4.3499762585355679</v>
      </c>
      <c r="L126" s="37">
        <f t="shared" si="17"/>
        <v>5.3026210591548573</v>
      </c>
      <c r="M126" s="45">
        <f t="shared" si="11"/>
        <v>1.8795887189962071E-2</v>
      </c>
    </row>
    <row r="127" spans="1:13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12"/>
        <v>121.8</v>
      </c>
      <c r="G127" s="70">
        <f t="shared" si="13"/>
        <v>5.24573309356859E-4</v>
      </c>
      <c r="H127" s="37">
        <f t="shared" si="16"/>
        <v>1.1807431773922172</v>
      </c>
      <c r="I127" s="96">
        <f t="shared" si="14"/>
        <v>0.43415926632711832</v>
      </c>
      <c r="J127" s="37">
        <v>0.45994908128821249</v>
      </c>
      <c r="K127" s="37">
        <f t="shared" si="15"/>
        <v>0.21448753472983251</v>
      </c>
      <c r="L127" s="37">
        <f t="shared" si="17"/>
        <v>0.26146030483566585</v>
      </c>
      <c r="M127" s="45">
        <f t="shared" si="11"/>
        <v>1.8795887189962071E-2</v>
      </c>
    </row>
    <row r="128" spans="1:13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12"/>
        <v>1831.3</v>
      </c>
      <c r="G128" s="70">
        <f t="shared" si="13"/>
        <v>7.8871190593203262E-3</v>
      </c>
      <c r="H128" s="37">
        <f t="shared" si="16"/>
        <v>17.75283235433799</v>
      </c>
      <c r="I128" s="96">
        <f t="shared" si="14"/>
        <v>6.5277164566900794</v>
      </c>
      <c r="J128" s="37">
        <v>6.9154741589745772</v>
      </c>
      <c r="K128" s="37">
        <f t="shared" si="15"/>
        <v>3.2248852409748947</v>
      </c>
      <c r="L128" s="37">
        <f t="shared" si="17"/>
        <v>3.9311351087483968</v>
      </c>
      <c r="M128" s="45">
        <f t="shared" si="11"/>
        <v>1.8795887189962075E-2</v>
      </c>
    </row>
    <row r="129" spans="1:13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12"/>
        <v>1844.3</v>
      </c>
      <c r="G129" s="70">
        <f t="shared" si="13"/>
        <v>7.9431080003846879E-3</v>
      </c>
      <c r="H129" s="37">
        <f t="shared" si="16"/>
        <v>17.878855846177881</v>
      </c>
      <c r="I129" s="96">
        <f t="shared" si="14"/>
        <v>6.5740552946396074</v>
      </c>
      <c r="J129" s="37">
        <v>6.964565604432269</v>
      </c>
      <c r="K129" s="37">
        <f t="shared" si="15"/>
        <v>3.2477779991972913</v>
      </c>
      <c r="L129" s="37">
        <f t="shared" si="17"/>
        <v>3.9590413810214984</v>
      </c>
      <c r="M129" s="45">
        <f t="shared" si="11"/>
        <v>1.8795887189962071E-2</v>
      </c>
    </row>
    <row r="130" spans="1:13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12"/>
        <v>193.76</v>
      </c>
      <c r="G130" s="70">
        <f t="shared" si="13"/>
        <v>8.3449363235619861E-4</v>
      </c>
      <c r="H130" s="37">
        <f t="shared" si="16"/>
        <v>1.8783316752998025</v>
      </c>
      <c r="I130" s="96">
        <f t="shared" si="14"/>
        <v>0.69066255700773738</v>
      </c>
      <c r="J130" s="37">
        <v>0.73168911322170815</v>
      </c>
      <c r="K130" s="37">
        <f t="shared" si="15"/>
        <v>0.34120775639780249</v>
      </c>
      <c r="L130" s="37">
        <f t="shared" si="17"/>
        <v>0.41593225504892128</v>
      </c>
      <c r="M130" s="45">
        <f t="shared" si="11"/>
        <v>1.8795887189962071E-2</v>
      </c>
    </row>
    <row r="131" spans="1:13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12"/>
        <v>1841.4</v>
      </c>
      <c r="G131" s="70">
        <f t="shared" si="13"/>
        <v>7.9306181596857164E-3</v>
      </c>
      <c r="H131" s="37">
        <f t="shared" si="16"/>
        <v>17.850742913382827</v>
      </c>
      <c r="I131" s="96">
        <f t="shared" si="14"/>
        <v>6.5637181692508664</v>
      </c>
      <c r="J131" s="37">
        <v>6.9536144358301684</v>
      </c>
      <c r="K131" s="37">
        <f t="shared" si="15"/>
        <v>3.2426711531322958</v>
      </c>
      <c r="L131" s="37">
        <f t="shared" si="17"/>
        <v>3.9528161356682689</v>
      </c>
      <c r="M131" s="45">
        <f t="shared" si="11"/>
        <v>1.8795887189962071E-2</v>
      </c>
    </row>
    <row r="132" spans="1:13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12"/>
        <v>262.3</v>
      </c>
      <c r="G132" s="70">
        <f t="shared" si="13"/>
        <v>1.1296845570139911E-3</v>
      </c>
      <c r="H132" s="37">
        <f t="shared" si="16"/>
        <v>2.5427663007387395</v>
      </c>
      <c r="I132" s="96">
        <f t="shared" si="14"/>
        <v>0.93497516878163456</v>
      </c>
      <c r="J132" s="37">
        <v>0.99051431873479601</v>
      </c>
      <c r="K132" s="37">
        <f t="shared" si="15"/>
        <v>0.46190542167188064</v>
      </c>
      <c r="L132" s="37">
        <f t="shared" si="17"/>
        <v>0.56306270901802258</v>
      </c>
      <c r="M132" s="45">
        <f t="shared" si="11"/>
        <v>1.8795887189962068E-2</v>
      </c>
    </row>
    <row r="133" spans="1:13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12"/>
        <v>94.7</v>
      </c>
      <c r="G133" s="70">
        <f t="shared" si="13"/>
        <v>4.0785790144576804E-4</v>
      </c>
      <c r="H133" s="37">
        <f t="shared" si="16"/>
        <v>0.91803266747982715</v>
      </c>
      <c r="I133" s="96">
        <f t="shared" si="14"/>
        <v>0.33756061183233249</v>
      </c>
      <c r="J133" s="37">
        <v>0.35761229883410284</v>
      </c>
      <c r="K133" s="37">
        <f t="shared" si="15"/>
        <v>0.16676493874314563</v>
      </c>
      <c r="L133" s="37">
        <f t="shared" si="17"/>
        <v>0.20328646032789455</v>
      </c>
      <c r="M133" s="45">
        <f t="shared" si="11"/>
        <v>1.8795887189962068E-2</v>
      </c>
    </row>
    <row r="134" spans="1:13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12"/>
        <v>38</v>
      </c>
      <c r="G134" s="70">
        <f t="shared" si="13"/>
        <v>1.6365998157274745E-4</v>
      </c>
      <c r="H134" s="37">
        <f t="shared" si="16"/>
        <v>0.36837636076276065</v>
      </c>
      <c r="I134" s="96">
        <f t="shared" si="14"/>
        <v>0.13545198785246709</v>
      </c>
      <c r="J134" s="37">
        <v>0.14349807133786599</v>
      </c>
      <c r="K134" s="37">
        <f t="shared" si="15"/>
        <v>6.6917293265464972E-2</v>
      </c>
      <c r="L134" s="37">
        <f t="shared" si="17"/>
        <v>8.1572180490601803E-2</v>
      </c>
      <c r="M134" s="45">
        <f t="shared" si="11"/>
        <v>1.8795887189962068E-2</v>
      </c>
    </row>
    <row r="135" spans="1:13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12"/>
        <v>1812.3999999999999</v>
      </c>
      <c r="G135" s="70">
        <f t="shared" si="13"/>
        <v>7.8057197526959863E-3</v>
      </c>
      <c r="H135" s="37">
        <f t="shared" si="16"/>
        <v>17.5696135854323</v>
      </c>
      <c r="I135" s="96">
        <f t="shared" si="14"/>
        <v>6.4603469153634574</v>
      </c>
      <c r="J135" s="37">
        <v>6.8441027498091644</v>
      </c>
      <c r="K135" s="37">
        <f t="shared" si="15"/>
        <v>3.1916026924823346</v>
      </c>
      <c r="L135" s="37">
        <f t="shared" si="17"/>
        <v>3.8905636821359662</v>
      </c>
      <c r="M135" s="45">
        <f t="shared" ref="M135:M198" si="18">(K135+J135+I135+H135)/F135</f>
        <v>1.8795887189962071E-2</v>
      </c>
    </row>
    <row r="136" spans="1:13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12"/>
        <v>155.80000000000001</v>
      </c>
      <c r="G136" s="70">
        <f t="shared" si="13"/>
        <v>6.710059244482647E-4</v>
      </c>
      <c r="H136" s="37">
        <f t="shared" si="16"/>
        <v>1.5103430791273189</v>
      </c>
      <c r="I136" s="96">
        <f t="shared" si="14"/>
        <v>0.55535315019511522</v>
      </c>
      <c r="J136" s="37">
        <v>0.5883420924852506</v>
      </c>
      <c r="K136" s="37">
        <f t="shared" si="15"/>
        <v>0.27436090238840649</v>
      </c>
      <c r="L136" s="37">
        <f t="shared" si="17"/>
        <v>0.33444594001146755</v>
      </c>
      <c r="M136" s="45">
        <f t="shared" si="18"/>
        <v>1.8795887189962075E-2</v>
      </c>
    </row>
    <row r="137" spans="1:13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12"/>
        <v>378.1</v>
      </c>
      <c r="G137" s="70">
        <f t="shared" si="13"/>
        <v>1.6284168166488372E-3</v>
      </c>
      <c r="H137" s="37">
        <f t="shared" si="16"/>
        <v>3.6653447895894686</v>
      </c>
      <c r="I137" s="96">
        <f t="shared" si="14"/>
        <v>1.3477472791320477</v>
      </c>
      <c r="J137" s="37">
        <v>1.4278058098117665</v>
      </c>
      <c r="K137" s="37">
        <f t="shared" si="15"/>
        <v>0.66582706799137659</v>
      </c>
      <c r="L137" s="37">
        <f t="shared" si="17"/>
        <v>0.81164319588148814</v>
      </c>
      <c r="M137" s="45">
        <f t="shared" si="18"/>
        <v>1.8795887189962071E-2</v>
      </c>
    </row>
    <row r="138" spans="1:13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12"/>
        <v>120.9</v>
      </c>
      <c r="G138" s="70">
        <f t="shared" si="13"/>
        <v>5.2069715189855708E-4</v>
      </c>
      <c r="H138" s="37">
        <f t="shared" si="16"/>
        <v>1.1720184741109936</v>
      </c>
      <c r="I138" s="96">
        <f t="shared" si="14"/>
        <v>0.43095119293061235</v>
      </c>
      <c r="J138" s="37">
        <v>0.45655044275652629</v>
      </c>
      <c r="K138" s="37">
        <f t="shared" si="15"/>
        <v>0.21290265146828202</v>
      </c>
      <c r="L138" s="37">
        <f t="shared" si="17"/>
        <v>0.25952833213983578</v>
      </c>
      <c r="M138" s="45">
        <f t="shared" si="18"/>
        <v>1.8795887189962068E-2</v>
      </c>
    </row>
    <row r="139" spans="1:13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12"/>
        <v>2549</v>
      </c>
      <c r="G139" s="70">
        <f t="shared" si="13"/>
        <v>1.0978139290235086E-2</v>
      </c>
      <c r="H139" s="37">
        <f t="shared" si="16"/>
        <v>24.710298515375705</v>
      </c>
      <c r="I139" s="96">
        <f t="shared" si="14"/>
        <v>9.0859767641036466</v>
      </c>
      <c r="J139" s="37">
        <v>9.6256995747426402</v>
      </c>
      <c r="K139" s="37">
        <f t="shared" si="15"/>
        <v>4.4887415929913219</v>
      </c>
      <c r="L139" s="37">
        <f t="shared" si="17"/>
        <v>5.4717760018564219</v>
      </c>
      <c r="M139" s="45">
        <f t="shared" si="18"/>
        <v>1.8795887189962068E-2</v>
      </c>
    </row>
    <row r="140" spans="1:13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12"/>
        <v>2593.29</v>
      </c>
      <c r="G140" s="70">
        <f t="shared" si="13"/>
        <v>1.1168889305599743E-2</v>
      </c>
      <c r="H140" s="37">
        <f t="shared" si="16"/>
        <v>25.13965085795946</v>
      </c>
      <c r="I140" s="96">
        <f t="shared" si="14"/>
        <v>9.2438496204716945</v>
      </c>
      <c r="J140" s="37">
        <v>9.7929503531519586</v>
      </c>
      <c r="K140" s="37">
        <f t="shared" si="15"/>
        <v>4.5667354592736231</v>
      </c>
      <c r="L140" s="37">
        <f t="shared" si="17"/>
        <v>5.566850524854547</v>
      </c>
      <c r="M140" s="45">
        <f t="shared" si="18"/>
        <v>1.8795887189962068E-2</v>
      </c>
    </row>
    <row r="141" spans="1:13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12"/>
        <v>385.82</v>
      </c>
      <c r="G141" s="70">
        <f t="shared" si="13"/>
        <v>1.6616656339578269E-3</v>
      </c>
      <c r="H141" s="37">
        <f t="shared" si="16"/>
        <v>3.7401833555128494</v>
      </c>
      <c r="I141" s="96">
        <f t="shared" si="14"/>
        <v>1.3752654198220748</v>
      </c>
      <c r="J141" s="37">
        <v>1.4569585758835646</v>
      </c>
      <c r="K141" s="37">
        <f t="shared" si="15"/>
        <v>0.67942184441267628</v>
      </c>
      <c r="L141" s="37">
        <f t="shared" si="17"/>
        <v>0.82821522833905248</v>
      </c>
      <c r="M141" s="45">
        <f t="shared" si="18"/>
        <v>1.8795887189962068E-2</v>
      </c>
    </row>
    <row r="142" spans="1:13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12"/>
        <v>1699.75</v>
      </c>
      <c r="G142" s="70">
        <f t="shared" si="13"/>
        <v>7.3205540441651975E-3</v>
      </c>
      <c r="H142" s="37">
        <f t="shared" si="16"/>
        <v>16.477571558065851</v>
      </c>
      <c r="I142" s="96">
        <f t="shared" si="14"/>
        <v>6.0588030619008135</v>
      </c>
      <c r="J142" s="37">
        <v>6.4187064935930973</v>
      </c>
      <c r="K142" s="37">
        <f t="shared" si="15"/>
        <v>2.9932281375782659</v>
      </c>
      <c r="L142" s="37">
        <f t="shared" si="17"/>
        <v>3.6487450997079063</v>
      </c>
      <c r="M142" s="45">
        <f t="shared" si="18"/>
        <v>1.8795887189962071E-2</v>
      </c>
    </row>
    <row r="143" spans="1:13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12"/>
        <v>224.06</v>
      </c>
      <c r="G143" s="70">
        <f t="shared" si="13"/>
        <v>9.6499093345236303E-4</v>
      </c>
      <c r="H143" s="37">
        <f t="shared" si="16"/>
        <v>2.17206335243432</v>
      </c>
      <c r="I143" s="96">
        <f t="shared" si="14"/>
        <v>0.79866769469009957</v>
      </c>
      <c r="J143" s="37">
        <v>0.84610994378848037</v>
      </c>
      <c r="K143" s="37">
        <f t="shared" si="15"/>
        <v>0.3945654928700022</v>
      </c>
      <c r="L143" s="37">
        <f t="shared" si="17"/>
        <v>0.48097533580853269</v>
      </c>
      <c r="M143" s="45">
        <f t="shared" si="18"/>
        <v>1.8795887189962071E-2</v>
      </c>
    </row>
    <row r="144" spans="1:13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si="12"/>
        <v>138.9</v>
      </c>
      <c r="G144" s="70">
        <f t="shared" si="13"/>
        <v>5.9822030106459535E-4</v>
      </c>
      <c r="H144" s="37">
        <f t="shared" si="16"/>
        <v>1.3465125397354594</v>
      </c>
      <c r="I144" s="96">
        <f t="shared" si="14"/>
        <v>0.49511266086072847</v>
      </c>
      <c r="J144" s="37">
        <v>0.52452321339025221</v>
      </c>
      <c r="K144" s="37">
        <f t="shared" si="15"/>
        <v>0.24460031669929175</v>
      </c>
      <c r="L144" s="37">
        <f t="shared" si="17"/>
        <v>0.29816778605643668</v>
      </c>
      <c r="M144" s="45">
        <f t="shared" si="18"/>
        <v>1.8795887189962071E-2</v>
      </c>
    </row>
    <row r="145" spans="1:13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si="12"/>
        <v>8410.83</v>
      </c>
      <c r="G145" s="70">
        <f t="shared" si="13"/>
        <v>3.6224112705566094E-2</v>
      </c>
      <c r="H145" s="37">
        <f t="shared" si="16"/>
        <v>81.535551220901326</v>
      </c>
      <c r="I145" s="96">
        <f t="shared" si="14"/>
        <v>29.980622183925419</v>
      </c>
      <c r="J145" s="37">
        <v>31.761523246070084</v>
      </c>
      <c r="K145" s="37">
        <f t="shared" si="15"/>
        <v>14.811315203051864</v>
      </c>
      <c r="L145" s="37">
        <f t="shared" si="17"/>
        <v>18.054993232520225</v>
      </c>
      <c r="M145" s="45">
        <f t="shared" si="18"/>
        <v>1.8795887189962075E-2</v>
      </c>
    </row>
    <row r="146" spans="1:13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ref="F146:F208" si="19">C146+D146+E146</f>
        <v>953.56</v>
      </c>
      <c r="G146" s="70">
        <f t="shared" si="13"/>
        <v>4.1068318954870803E-3</v>
      </c>
      <c r="H146" s="37">
        <f t="shared" si="16"/>
        <v>9.2439200676036322</v>
      </c>
      <c r="I146" s="96">
        <f t="shared" si="14"/>
        <v>3.3989894088578558</v>
      </c>
      <c r="J146" s="37">
        <v>3.6008952869719857</v>
      </c>
      <c r="K146" s="37">
        <f t="shared" si="15"/>
        <v>1.6792014254267573</v>
      </c>
      <c r="L146" s="37">
        <f t="shared" si="17"/>
        <v>2.0469465375952174</v>
      </c>
      <c r="M146" s="45">
        <f t="shared" si="18"/>
        <v>1.8795887189962071E-2</v>
      </c>
    </row>
    <row r="147" spans="1:13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19"/>
        <v>1720.1</v>
      </c>
      <c r="G147" s="70">
        <f t="shared" si="13"/>
        <v>7.4081982711390239E-3</v>
      </c>
      <c r="H147" s="37">
        <f t="shared" si="16"/>
        <v>16.674846793369067</v>
      </c>
      <c r="I147" s="96">
        <f t="shared" si="14"/>
        <v>6.131341165921806</v>
      </c>
      <c r="J147" s="37">
        <v>6.495553487059559</v>
      </c>
      <c r="K147" s="37">
        <f t="shared" si="15"/>
        <v>3.0290641091033241</v>
      </c>
      <c r="L147" s="37">
        <f t="shared" si="17"/>
        <v>3.6924291489969523</v>
      </c>
      <c r="M147" s="45">
        <f t="shared" si="18"/>
        <v>1.8795887189962071E-2</v>
      </c>
    </row>
    <row r="148" spans="1:13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19"/>
        <v>1033.02</v>
      </c>
      <c r="G148" s="70">
        <f t="shared" si="13"/>
        <v>4.4490535306389361E-3</v>
      </c>
      <c r="H148" s="37">
        <f t="shared" si="16"/>
        <v>10.014214426188078</v>
      </c>
      <c r="I148" s="96">
        <f t="shared" si="14"/>
        <v>3.6822266445093566</v>
      </c>
      <c r="J148" s="37">
        <v>3.9009573066695338</v>
      </c>
      <c r="K148" s="37">
        <f t="shared" si="15"/>
        <v>1.8191290076076483</v>
      </c>
      <c r="L148" s="37">
        <f t="shared" si="17"/>
        <v>2.2175182602737236</v>
      </c>
      <c r="M148" s="45">
        <f t="shared" si="18"/>
        <v>1.8795887189962068E-2</v>
      </c>
    </row>
    <row r="149" spans="1:13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19"/>
        <v>220.38</v>
      </c>
      <c r="G149" s="70">
        <f t="shared" si="13"/>
        <v>9.4914175628952853E-4</v>
      </c>
      <c r="H149" s="37">
        <f t="shared" si="16"/>
        <v>2.1363890101288736</v>
      </c>
      <c r="I149" s="96">
        <f t="shared" si="14"/>
        <v>0.78555023902438692</v>
      </c>
      <c r="J149" s="37">
        <v>0.8322132884589184</v>
      </c>
      <c r="K149" s="37">
        <f t="shared" si="15"/>
        <v>0.38808508131166242</v>
      </c>
      <c r="L149" s="37">
        <f t="shared" si="17"/>
        <v>0.47307571411891652</v>
      </c>
      <c r="M149" s="45">
        <f t="shared" si="18"/>
        <v>1.8795887189962075E-2</v>
      </c>
    </row>
    <row r="150" spans="1:13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19"/>
        <v>1973.5500000000002</v>
      </c>
      <c r="G150" s="70">
        <f t="shared" si="13"/>
        <v>8.4997672798130478E-3</v>
      </c>
      <c r="H150" s="37">
        <f t="shared" si="16"/>
        <v>19.131820178509116</v>
      </c>
      <c r="I150" s="96">
        <f t="shared" si="14"/>
        <v>7.0347702796378027</v>
      </c>
      <c r="J150" s="37">
        <v>7.4526478602327737</v>
      </c>
      <c r="K150" s="37">
        <f t="shared" si="15"/>
        <v>3.475384845369959</v>
      </c>
      <c r="L150" s="37">
        <f t="shared" si="17"/>
        <v>4.2364941265059803</v>
      </c>
      <c r="M150" s="45">
        <f t="shared" si="18"/>
        <v>1.8795887189962075E-2</v>
      </c>
    </row>
    <row r="151" spans="1:13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19"/>
        <v>1290.5</v>
      </c>
      <c r="G151" s="70">
        <f t="shared" si="13"/>
        <v>5.5579791110429103E-3</v>
      </c>
      <c r="H151" s="37">
        <f t="shared" si="16"/>
        <v>12.51025509379849</v>
      </c>
      <c r="I151" s="96">
        <f t="shared" si="14"/>
        <v>4.6000207979897052</v>
      </c>
      <c r="J151" s="37">
        <v>4.8732700279346322</v>
      </c>
      <c r="K151" s="37">
        <f t="shared" si="15"/>
        <v>2.2725464989232251</v>
      </c>
      <c r="L151" s="37">
        <f t="shared" si="17"/>
        <v>2.7702341821874117</v>
      </c>
      <c r="M151" s="45">
        <f t="shared" si="18"/>
        <v>1.8795887189962071E-2</v>
      </c>
    </row>
    <row r="152" spans="1:13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19"/>
        <v>231.77</v>
      </c>
      <c r="G152" s="70">
        <f t="shared" si="13"/>
        <v>9.9819668234514959E-4</v>
      </c>
      <c r="H152" s="37">
        <f t="shared" si="16"/>
        <v>2.2468049772101328</v>
      </c>
      <c r="I152" s="96">
        <f t="shared" si="14"/>
        <v>0.82615019012016588</v>
      </c>
      <c r="J152" s="37">
        <v>0.87522494720992616</v>
      </c>
      <c r="K152" s="37">
        <f t="shared" si="15"/>
        <v>0.40814265947728479</v>
      </c>
      <c r="L152" s="37">
        <f t="shared" si="17"/>
        <v>0.49752590190281021</v>
      </c>
      <c r="M152" s="45">
        <f t="shared" si="18"/>
        <v>1.8795887189962075E-2</v>
      </c>
    </row>
    <row r="153" spans="1:13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19"/>
        <v>1422.83</v>
      </c>
      <c r="G153" s="70">
        <f t="shared" si="13"/>
        <v>6.1279034626619015E-3</v>
      </c>
      <c r="H153" s="37">
        <f t="shared" si="16"/>
        <v>13.793077299581018</v>
      </c>
      <c r="I153" s="96">
        <f t="shared" si="14"/>
        <v>5.0717145230559408</v>
      </c>
      <c r="J153" s="37">
        <v>5.3729831800435743</v>
      </c>
      <c r="K153" s="37">
        <f t="shared" si="15"/>
        <v>2.5055771678131982</v>
      </c>
      <c r="L153" s="37">
        <f t="shared" si="17"/>
        <v>3.0542985675642886</v>
      </c>
      <c r="M153" s="45">
        <f t="shared" si="18"/>
        <v>1.8795887189962071E-2</v>
      </c>
    </row>
    <row r="154" spans="1:13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19"/>
        <v>377.6</v>
      </c>
      <c r="G154" s="70">
        <f t="shared" si="13"/>
        <v>1.6262633958386695E-3</v>
      </c>
      <c r="H154" s="37">
        <f t="shared" si="16"/>
        <v>3.6604977322110113</v>
      </c>
      <c r="I154" s="96">
        <f t="shared" si="14"/>
        <v>1.3459650161339889</v>
      </c>
      <c r="J154" s="37">
        <v>1.4259176772941631</v>
      </c>
      <c r="K154" s="37">
        <f t="shared" si="15"/>
        <v>0.66494657729051521</v>
      </c>
      <c r="L154" s="37">
        <f t="shared" si="17"/>
        <v>0.81056987771713807</v>
      </c>
      <c r="M154" s="45">
        <f t="shared" si="18"/>
        <v>1.8795887189962071E-2</v>
      </c>
    </row>
    <row r="155" spans="1:13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19"/>
        <v>1852.5099999999998</v>
      </c>
      <c r="G155" s="70">
        <f t="shared" si="13"/>
        <v>7.9784671700876414E-3</v>
      </c>
      <c r="H155" s="37">
        <f t="shared" si="16"/>
        <v>17.958444528332148</v>
      </c>
      <c r="I155" s="96">
        <f t="shared" si="14"/>
        <v>6.6033200530677316</v>
      </c>
      <c r="J155" s="37">
        <v>6.9955687403713176</v>
      </c>
      <c r="K155" s="37">
        <f t="shared" si="15"/>
        <v>3.2622356565054349</v>
      </c>
      <c r="L155" s="37">
        <f t="shared" si="17"/>
        <v>3.9766652652801255</v>
      </c>
      <c r="M155" s="45">
        <f t="shared" si="18"/>
        <v>1.8795887189962075E-2</v>
      </c>
    </row>
    <row r="156" spans="1:13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19"/>
        <v>2010.19</v>
      </c>
      <c r="G156" s="70">
        <f t="shared" ref="G156:G219" si="20">1/232188.71*F156</f>
        <v>8.6575699567821383E-3</v>
      </c>
      <c r="H156" s="37">
        <f t="shared" si="16"/>
        <v>19.487012543202468</v>
      </c>
      <c r="I156" s="96">
        <f t="shared" ref="I156:I219" si="21">H156*0.3677</f>
        <v>7.1653745121355481</v>
      </c>
      <c r="J156" s="37">
        <v>7.5910102111227582</v>
      </c>
      <c r="K156" s="37">
        <f t="shared" ref="K156:K219" si="22">G156*408.88</f>
        <v>3.5399072039290806</v>
      </c>
      <c r="L156" s="37">
        <f t="shared" si="17"/>
        <v>4.3151468815895493</v>
      </c>
      <c r="M156" s="45">
        <f t="shared" si="18"/>
        <v>1.8795887189962068E-2</v>
      </c>
    </row>
    <row r="157" spans="1:13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19"/>
        <v>1464.32</v>
      </c>
      <c r="G157" s="70">
        <f t="shared" si="20"/>
        <v>6.3065943214896201E-3</v>
      </c>
      <c r="H157" s="37">
        <f t="shared" ref="H157:H220" si="23">G157*1218*1.54*1.2</f>
        <v>14.195286120845413</v>
      </c>
      <c r="I157" s="96">
        <f t="shared" si="21"/>
        <v>5.2196067066348588</v>
      </c>
      <c r="J157" s="37">
        <v>5.5296604163543135</v>
      </c>
      <c r="K157" s="37">
        <f t="shared" si="22"/>
        <v>2.5786402861706756</v>
      </c>
      <c r="L157" s="37">
        <f t="shared" ref="L157:L220" si="24">K157*1.219</f>
        <v>3.143362508842054</v>
      </c>
      <c r="M157" s="45">
        <f t="shared" si="18"/>
        <v>1.8795887189962075E-2</v>
      </c>
    </row>
    <row r="158" spans="1:13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19"/>
        <v>152.11000000000001</v>
      </c>
      <c r="G158" s="70">
        <f t="shared" si="20"/>
        <v>6.5511367886922681E-4</v>
      </c>
      <c r="H158" s="37">
        <f t="shared" si="23"/>
        <v>1.4745717956743032</v>
      </c>
      <c r="I158" s="96">
        <f t="shared" si="21"/>
        <v>0.54220004926944132</v>
      </c>
      <c r="J158" s="37">
        <v>0.5744076745053367</v>
      </c>
      <c r="K158" s="37">
        <f t="shared" si="22"/>
        <v>0.26786288101604944</v>
      </c>
      <c r="L158" s="37">
        <f t="shared" si="24"/>
        <v>0.32652485195856429</v>
      </c>
      <c r="M158" s="45">
        <f t="shared" si="18"/>
        <v>1.8795887189962071E-2</v>
      </c>
    </row>
    <row r="159" spans="1:13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19"/>
        <v>2553.5700000000002</v>
      </c>
      <c r="G159" s="70">
        <f t="shared" si="20"/>
        <v>1.099782155644002E-2</v>
      </c>
      <c r="H159" s="37">
        <f t="shared" si="23"/>
        <v>24.754600619814813</v>
      </c>
      <c r="I159" s="96">
        <f t="shared" si="21"/>
        <v>9.1022666479059069</v>
      </c>
      <c r="J159" s="37">
        <v>9.6429571059535366</v>
      </c>
      <c r="K159" s="37">
        <f t="shared" si="22"/>
        <v>4.4967892779971956</v>
      </c>
      <c r="L159" s="37">
        <f t="shared" si="24"/>
        <v>5.4815861298785817</v>
      </c>
      <c r="M159" s="45">
        <f t="shared" si="18"/>
        <v>1.8795887189962071E-2</v>
      </c>
    </row>
    <row r="160" spans="1:13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19"/>
        <v>101.99</v>
      </c>
      <c r="G160" s="70">
        <f t="shared" si="20"/>
        <v>4.392547768580135E-4</v>
      </c>
      <c r="H160" s="37">
        <f t="shared" si="23"/>
        <v>0.98870276405773549</v>
      </c>
      <c r="I160" s="96">
        <f t="shared" si="21"/>
        <v>0.36354600634402939</v>
      </c>
      <c r="J160" s="37">
        <v>0.38514127094076184</v>
      </c>
      <c r="K160" s="37">
        <f t="shared" si="22"/>
        <v>0.17960249316170457</v>
      </c>
      <c r="L160" s="37">
        <f t="shared" si="24"/>
        <v>0.2189354391641179</v>
      </c>
      <c r="M160" s="45">
        <f t="shared" si="18"/>
        <v>1.8795887189962068E-2</v>
      </c>
    </row>
    <row r="161" spans="1:13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19"/>
        <v>166.1</v>
      </c>
      <c r="G161" s="70">
        <f t="shared" si="20"/>
        <v>7.153663931377198E-4</v>
      </c>
      <c r="H161" s="37">
        <f t="shared" si="23"/>
        <v>1.6101924611235405</v>
      </c>
      <c r="I161" s="96">
        <f t="shared" si="21"/>
        <v>0.59206776795512595</v>
      </c>
      <c r="J161" s="37">
        <v>0.6272376223478825</v>
      </c>
      <c r="K161" s="37">
        <f t="shared" si="22"/>
        <v>0.29249901082615087</v>
      </c>
      <c r="L161" s="37">
        <f t="shared" si="24"/>
        <v>0.35655629419707796</v>
      </c>
      <c r="M161" s="45">
        <f t="shared" si="18"/>
        <v>1.8795887189962071E-2</v>
      </c>
    </row>
    <row r="162" spans="1:13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19"/>
        <v>315.39999999999998</v>
      </c>
      <c r="G162" s="70">
        <f t="shared" si="20"/>
        <v>1.3583778470538039E-3</v>
      </c>
      <c r="H162" s="37">
        <f t="shared" si="23"/>
        <v>3.0575237943309128</v>
      </c>
      <c r="I162" s="96">
        <f t="shared" si="21"/>
        <v>1.1242514991754766</v>
      </c>
      <c r="J162" s="37">
        <v>1.1910339921042874</v>
      </c>
      <c r="K162" s="37">
        <f t="shared" si="22"/>
        <v>0.55541353410335936</v>
      </c>
      <c r="L162" s="37">
        <f t="shared" si="24"/>
        <v>0.67704909807199509</v>
      </c>
      <c r="M162" s="45">
        <f t="shared" si="18"/>
        <v>1.8795887189962068E-2</v>
      </c>
    </row>
    <row r="163" spans="1:13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19"/>
        <v>1497.91</v>
      </c>
      <c r="G163" s="70">
        <f t="shared" si="20"/>
        <v>6.4512611315166888E-3</v>
      </c>
      <c r="H163" s="37">
        <f t="shared" si="23"/>
        <v>14.520911435530181</v>
      </c>
      <c r="I163" s="96">
        <f t="shared" si="21"/>
        <v>5.3393391348444474</v>
      </c>
      <c r="J163" s="37">
        <v>5.6565051588869162</v>
      </c>
      <c r="K163" s="37">
        <f t="shared" si="22"/>
        <v>2.6377916514545436</v>
      </c>
      <c r="L163" s="37">
        <f t="shared" si="24"/>
        <v>3.2154680231230888</v>
      </c>
      <c r="M163" s="45">
        <f t="shared" si="18"/>
        <v>1.8795887189962071E-2</v>
      </c>
    </row>
    <row r="164" spans="1:13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19"/>
        <v>165.93</v>
      </c>
      <c r="G164" s="70">
        <f t="shared" si="20"/>
        <v>7.1463423006226288E-4</v>
      </c>
      <c r="H164" s="37">
        <f t="shared" si="23"/>
        <v>1.6085444616148652</v>
      </c>
      <c r="I164" s="96">
        <f t="shared" si="21"/>
        <v>0.59146179853578595</v>
      </c>
      <c r="J164" s="37">
        <v>0.62659565729189737</v>
      </c>
      <c r="K164" s="37">
        <f t="shared" si="22"/>
        <v>0.29219964398785803</v>
      </c>
      <c r="L164" s="37">
        <f t="shared" si="24"/>
        <v>0.35619136602119894</v>
      </c>
      <c r="M164" s="45">
        <f t="shared" si="18"/>
        <v>1.8795887189962071E-2</v>
      </c>
    </row>
    <row r="165" spans="1:13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19"/>
        <v>977.29000000000008</v>
      </c>
      <c r="G165" s="70">
        <f t="shared" si="20"/>
        <v>4.209033247137642E-3</v>
      </c>
      <c r="H165" s="37">
        <f t="shared" si="23"/>
        <v>9.4739614107852201</v>
      </c>
      <c r="I165" s="96">
        <f t="shared" si="21"/>
        <v>3.4835756107457256</v>
      </c>
      <c r="J165" s="37">
        <v>3.6905060562574485</v>
      </c>
      <c r="K165" s="37">
        <f t="shared" si="22"/>
        <v>1.720989514089639</v>
      </c>
      <c r="L165" s="37">
        <f t="shared" si="24"/>
        <v>2.0978862176752702</v>
      </c>
      <c r="M165" s="45">
        <f t="shared" si="18"/>
        <v>1.8795887189962068E-2</v>
      </c>
    </row>
    <row r="166" spans="1:13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19"/>
        <v>144.9</v>
      </c>
      <c r="G166" s="70">
        <f t="shared" si="20"/>
        <v>6.2406135078660807E-4</v>
      </c>
      <c r="H166" s="37">
        <f t="shared" si="23"/>
        <v>1.404677228276948</v>
      </c>
      <c r="I166" s="96">
        <f t="shared" si="21"/>
        <v>0.51649981683743384</v>
      </c>
      <c r="J166" s="37">
        <v>0.54718080360149413</v>
      </c>
      <c r="K166" s="37">
        <f t="shared" si="22"/>
        <v>0.25516620510962829</v>
      </c>
      <c r="L166" s="37">
        <f t="shared" si="24"/>
        <v>0.3110476040286369</v>
      </c>
      <c r="M166" s="45">
        <f t="shared" si="18"/>
        <v>1.8795887189962071E-2</v>
      </c>
    </row>
    <row r="167" spans="1:13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19"/>
        <v>231.9</v>
      </c>
      <c r="G167" s="70">
        <f t="shared" si="20"/>
        <v>9.9875657175579305E-4</v>
      </c>
      <c r="H167" s="37">
        <f t="shared" si="23"/>
        <v>2.2480652121285312</v>
      </c>
      <c r="I167" s="96">
        <f t="shared" si="21"/>
        <v>0.82661357849966099</v>
      </c>
      <c r="J167" s="37">
        <v>0.87571586166450321</v>
      </c>
      <c r="K167" s="37">
        <f t="shared" si="22"/>
        <v>0.40837158705950866</v>
      </c>
      <c r="L167" s="37">
        <f t="shared" si="24"/>
        <v>0.49780496462554108</v>
      </c>
      <c r="M167" s="45">
        <f t="shared" si="18"/>
        <v>1.8795887189962068E-2</v>
      </c>
    </row>
    <row r="168" spans="1:13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19"/>
        <v>3146.6</v>
      </c>
      <c r="G168" s="70">
        <f t="shared" si="20"/>
        <v>1.3551907842547556E-2</v>
      </c>
      <c r="H168" s="37">
        <f t="shared" si="23"/>
        <v>30.503501494107958</v>
      </c>
      <c r="I168" s="96">
        <f t="shared" si="21"/>
        <v>11.216137499383496</v>
      </c>
      <c r="J168" s="37">
        <v>11.882395559782344</v>
      </c>
      <c r="K168" s="37">
        <f t="shared" si="22"/>
        <v>5.5411040786608448</v>
      </c>
      <c r="L168" s="37">
        <f t="shared" si="24"/>
        <v>6.7546058718875699</v>
      </c>
      <c r="M168" s="45">
        <f t="shared" si="18"/>
        <v>1.8795887189962071E-2</v>
      </c>
    </row>
    <row r="169" spans="1:13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19"/>
        <v>848.35</v>
      </c>
      <c r="G169" s="70">
        <f t="shared" si="20"/>
        <v>3.653709088611587E-3</v>
      </c>
      <c r="H169" s="37">
        <f t="shared" si="23"/>
        <v>8.2240022540286315</v>
      </c>
      <c r="I169" s="96">
        <f t="shared" si="21"/>
        <v>3.0239656288063279</v>
      </c>
      <c r="J169" s="37">
        <v>3.2035944426178578</v>
      </c>
      <c r="K169" s="37">
        <f t="shared" si="22"/>
        <v>1.4939285721515057</v>
      </c>
      <c r="L169" s="37">
        <f t="shared" si="24"/>
        <v>1.8210989294526856</v>
      </c>
      <c r="M169" s="45">
        <f t="shared" si="18"/>
        <v>1.8795887189962071E-2</v>
      </c>
    </row>
    <row r="170" spans="1:13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19"/>
        <v>885.4</v>
      </c>
      <c r="G170" s="70">
        <f t="shared" si="20"/>
        <v>3.8132775706450159E-3</v>
      </c>
      <c r="H170" s="37">
        <f t="shared" si="23"/>
        <v>8.5831692057723217</v>
      </c>
      <c r="I170" s="96">
        <f t="shared" si="21"/>
        <v>3.156031316962483</v>
      </c>
      <c r="J170" s="37">
        <v>3.3435050621722771</v>
      </c>
      <c r="K170" s="37">
        <f t="shared" si="22"/>
        <v>1.5591729330853341</v>
      </c>
      <c r="L170" s="37">
        <f t="shared" si="24"/>
        <v>1.9006318054310225</v>
      </c>
      <c r="M170" s="45">
        <f t="shared" si="18"/>
        <v>1.8795887189962071E-2</v>
      </c>
    </row>
    <row r="171" spans="1:13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19"/>
        <v>877.79</v>
      </c>
      <c r="G171" s="70">
        <f t="shared" si="20"/>
        <v>3.780502505914263E-3</v>
      </c>
      <c r="H171" s="37">
        <f t="shared" si="23"/>
        <v>8.5093969924722028</v>
      </c>
      <c r="I171" s="96">
        <f t="shared" si="21"/>
        <v>3.1289052741320291</v>
      </c>
      <c r="J171" s="37">
        <v>3.3147676852543517</v>
      </c>
      <c r="K171" s="37">
        <f t="shared" si="22"/>
        <v>1.5457718646182239</v>
      </c>
      <c r="L171" s="37">
        <f t="shared" si="24"/>
        <v>1.8842959029696151</v>
      </c>
      <c r="M171" s="45">
        <f t="shared" si="18"/>
        <v>1.8795887189962071E-2</v>
      </c>
    </row>
    <row r="172" spans="1:13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19"/>
        <v>949.9</v>
      </c>
      <c r="G172" s="70">
        <f t="shared" si="20"/>
        <v>4.0910688551566527E-3</v>
      </c>
      <c r="H172" s="37">
        <f t="shared" si="23"/>
        <v>9.2084396075933235</v>
      </c>
      <c r="I172" s="96">
        <f t="shared" si="21"/>
        <v>3.3859432437120653</v>
      </c>
      <c r="J172" s="37">
        <v>3.587074156943129</v>
      </c>
      <c r="K172" s="37">
        <f t="shared" si="22"/>
        <v>1.6727562334964521</v>
      </c>
      <c r="L172" s="37">
        <f t="shared" si="24"/>
        <v>2.0390898486321754</v>
      </c>
      <c r="M172" s="45">
        <f t="shared" si="18"/>
        <v>1.8795887189962071E-2</v>
      </c>
    </row>
    <row r="173" spans="1:13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19"/>
        <v>1056</v>
      </c>
      <c r="G173" s="70">
        <f t="shared" si="20"/>
        <v>4.5480247510742457E-3</v>
      </c>
      <c r="H173" s="37">
        <f t="shared" si="23"/>
        <v>10.23698518330198</v>
      </c>
      <c r="I173" s="96">
        <f t="shared" si="21"/>
        <v>3.7641394519001383</v>
      </c>
      <c r="J173" s="37">
        <v>3.9877358771785909</v>
      </c>
      <c r="K173" s="37">
        <f t="shared" si="22"/>
        <v>1.8595963602192376</v>
      </c>
      <c r="L173" s="37">
        <f t="shared" si="24"/>
        <v>2.2668479631072507</v>
      </c>
      <c r="M173" s="45">
        <f t="shared" si="18"/>
        <v>1.8795887189962071E-2</v>
      </c>
    </row>
    <row r="174" spans="1:13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19"/>
        <v>998.3</v>
      </c>
      <c r="G174" s="70">
        <f t="shared" si="20"/>
        <v>4.2995199895808894E-3</v>
      </c>
      <c r="H174" s="37">
        <f t="shared" si="23"/>
        <v>9.6776347618279974</v>
      </c>
      <c r="I174" s="96">
        <f t="shared" si="21"/>
        <v>3.5584663019241547</v>
      </c>
      <c r="J174" s="37">
        <v>3.7698453846471471</v>
      </c>
      <c r="K174" s="37">
        <f t="shared" si="22"/>
        <v>1.7579877333398339</v>
      </c>
      <c r="L174" s="37">
        <f t="shared" si="24"/>
        <v>2.1429870469412577</v>
      </c>
      <c r="M174" s="45">
        <f t="shared" si="18"/>
        <v>1.8795887189962068E-2</v>
      </c>
    </row>
    <row r="175" spans="1:13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19"/>
        <v>304</v>
      </c>
      <c r="G175" s="70">
        <f t="shared" si="20"/>
        <v>1.3092798525819796E-3</v>
      </c>
      <c r="H175" s="37">
        <f t="shared" si="23"/>
        <v>2.9470108861020852</v>
      </c>
      <c r="I175" s="96">
        <f t="shared" si="21"/>
        <v>1.0836159028197367</v>
      </c>
      <c r="J175" s="37">
        <v>1.1479845707029279</v>
      </c>
      <c r="K175" s="37">
        <f t="shared" si="22"/>
        <v>0.53533834612371978</v>
      </c>
      <c r="L175" s="37">
        <f t="shared" si="24"/>
        <v>0.65257744392481443</v>
      </c>
      <c r="M175" s="45">
        <f t="shared" si="18"/>
        <v>1.8795887189962068E-2</v>
      </c>
    </row>
    <row r="176" spans="1:13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19"/>
        <v>1347.46</v>
      </c>
      <c r="G176" s="70">
        <f t="shared" si="20"/>
        <v>5.8032968097372186E-3</v>
      </c>
      <c r="H176" s="37">
        <f t="shared" si="23"/>
        <v>13.062431870352354</v>
      </c>
      <c r="I176" s="96">
        <f t="shared" si="21"/>
        <v>4.8030561987285605</v>
      </c>
      <c r="J176" s="37">
        <v>5.0883660843400236</v>
      </c>
      <c r="K176" s="37">
        <f t="shared" si="22"/>
        <v>2.3728519995653539</v>
      </c>
      <c r="L176" s="37">
        <f t="shared" si="24"/>
        <v>2.8925065874701668</v>
      </c>
      <c r="M176" s="45">
        <f t="shared" si="18"/>
        <v>1.8795887189962068E-2</v>
      </c>
    </row>
    <row r="177" spans="1:13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19"/>
        <v>930.9</v>
      </c>
      <c r="G177" s="70">
        <f t="shared" si="20"/>
        <v>4.0092388643702794E-3</v>
      </c>
      <c r="H177" s="37">
        <f t="shared" si="23"/>
        <v>9.0242514272119436</v>
      </c>
      <c r="I177" s="96">
        <f t="shared" si="21"/>
        <v>3.3182172497858318</v>
      </c>
      <c r="J177" s="37">
        <v>3.5153251212741954</v>
      </c>
      <c r="K177" s="37">
        <f t="shared" si="22"/>
        <v>1.6392975868637198</v>
      </c>
      <c r="L177" s="37">
        <f t="shared" si="24"/>
        <v>1.9983037583868746</v>
      </c>
      <c r="M177" s="45">
        <f t="shared" si="18"/>
        <v>1.8795887189962068E-2</v>
      </c>
    </row>
    <row r="178" spans="1:13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19"/>
        <v>791.4</v>
      </c>
      <c r="G178" s="70">
        <f t="shared" si="20"/>
        <v>3.4084344583334824E-3</v>
      </c>
      <c r="H178" s="37">
        <f t="shared" si="23"/>
        <v>7.6719224186223345</v>
      </c>
      <c r="I178" s="96">
        <f t="shared" si="21"/>
        <v>2.8209658733274328</v>
      </c>
      <c r="J178" s="37">
        <v>2.9885361488628188</v>
      </c>
      <c r="K178" s="37">
        <f t="shared" si="22"/>
        <v>1.3936406813233944</v>
      </c>
      <c r="L178" s="37">
        <f t="shared" si="24"/>
        <v>1.6988479905332179</v>
      </c>
      <c r="M178" s="45">
        <f t="shared" si="18"/>
        <v>1.8795887189962068E-2</v>
      </c>
    </row>
    <row r="179" spans="1:13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19"/>
        <v>574.42999999999995</v>
      </c>
      <c r="G179" s="70">
        <f t="shared" si="20"/>
        <v>2.4739790319692977E-3</v>
      </c>
      <c r="H179" s="37">
        <f t="shared" si="23"/>
        <v>5.5685903398145413</v>
      </c>
      <c r="I179" s="96">
        <f t="shared" si="21"/>
        <v>2.0475706679498069</v>
      </c>
      <c r="J179" s="37">
        <v>2.1691999241739564</v>
      </c>
      <c r="K179" s="37">
        <f t="shared" si="22"/>
        <v>1.0115605465916064</v>
      </c>
      <c r="L179" s="37">
        <f t="shared" si="24"/>
        <v>1.2330923062951684</v>
      </c>
      <c r="M179" s="45">
        <f t="shared" si="18"/>
        <v>1.8795887189962068E-2</v>
      </c>
    </row>
    <row r="180" spans="1:13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19"/>
        <v>326.89999999999998</v>
      </c>
      <c r="G180" s="70">
        <f t="shared" si="20"/>
        <v>1.4079065256876616E-3</v>
      </c>
      <c r="H180" s="37">
        <f t="shared" si="23"/>
        <v>3.1690061140354326</v>
      </c>
      <c r="I180" s="96">
        <f t="shared" si="21"/>
        <v>1.1652435481308288</v>
      </c>
      <c r="J180" s="37">
        <v>1.2344610400091678</v>
      </c>
      <c r="K180" s="37">
        <f t="shared" si="22"/>
        <v>0.57566482022317111</v>
      </c>
      <c r="L180" s="37">
        <f t="shared" si="24"/>
        <v>0.70173541585204569</v>
      </c>
      <c r="M180" s="45">
        <f t="shared" si="18"/>
        <v>1.8795887189962071E-2</v>
      </c>
    </row>
    <row r="181" spans="1:13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19"/>
        <v>323.60000000000002</v>
      </c>
      <c r="G181" s="70">
        <f t="shared" si="20"/>
        <v>1.3936939483405548E-3</v>
      </c>
      <c r="H181" s="37">
        <f t="shared" si="23"/>
        <v>3.1370155353376141</v>
      </c>
      <c r="I181" s="96">
        <f t="shared" si="21"/>
        <v>1.1534806123436407</v>
      </c>
      <c r="J181" s="37">
        <v>1.221999365392985</v>
      </c>
      <c r="K181" s="37">
        <f t="shared" si="22"/>
        <v>0.569853581597486</v>
      </c>
      <c r="L181" s="37">
        <f t="shared" si="24"/>
        <v>0.69465151596733543</v>
      </c>
      <c r="M181" s="45">
        <f t="shared" si="18"/>
        <v>1.8795887189962068E-2</v>
      </c>
    </row>
    <row r="182" spans="1:13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19"/>
        <v>483.2</v>
      </c>
      <c r="G182" s="70">
        <f t="shared" si="20"/>
        <v>2.0810658709460939E-3</v>
      </c>
      <c r="H182" s="37">
        <f t="shared" si="23"/>
        <v>4.6841962505412091</v>
      </c>
      <c r="I182" s="96">
        <f t="shared" si="21"/>
        <v>1.7223789613240028</v>
      </c>
      <c r="J182" s="37">
        <v>1.8246912650120219</v>
      </c>
      <c r="K182" s="37">
        <f t="shared" si="22"/>
        <v>0.85090621331243887</v>
      </c>
      <c r="L182" s="37">
        <f t="shared" si="24"/>
        <v>1.037254674027863</v>
      </c>
      <c r="M182" s="45">
        <f t="shared" si="18"/>
        <v>1.8795887189962071E-2</v>
      </c>
    </row>
    <row r="183" spans="1:13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19"/>
        <v>408.2</v>
      </c>
      <c r="G183" s="70">
        <f t="shared" si="20"/>
        <v>1.7580527494209346E-3</v>
      </c>
      <c r="H183" s="37">
        <f t="shared" si="23"/>
        <v>3.9571376437726022</v>
      </c>
      <c r="I183" s="96">
        <f t="shared" si="21"/>
        <v>1.455039511615186</v>
      </c>
      <c r="J183" s="37">
        <v>1.5414713873714971</v>
      </c>
      <c r="K183" s="37">
        <f t="shared" si="22"/>
        <v>0.71883260818323169</v>
      </c>
      <c r="L183" s="37">
        <f t="shared" si="24"/>
        <v>0.87625694937535947</v>
      </c>
      <c r="M183" s="45">
        <f t="shared" si="18"/>
        <v>1.8795887189962071E-2</v>
      </c>
    </row>
    <row r="184" spans="1:13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19"/>
        <v>482.97</v>
      </c>
      <c r="G184" s="70">
        <f t="shared" si="20"/>
        <v>2.0800752973734169E-3</v>
      </c>
      <c r="H184" s="37">
        <f t="shared" si="23"/>
        <v>4.6819666041471182</v>
      </c>
      <c r="I184" s="96">
        <f t="shared" si="21"/>
        <v>1.7215591203448954</v>
      </c>
      <c r="J184" s="37">
        <v>1.8238227240539244</v>
      </c>
      <c r="K184" s="37">
        <f t="shared" si="22"/>
        <v>0.85050118759004267</v>
      </c>
      <c r="L184" s="37">
        <f t="shared" si="24"/>
        <v>1.0367609476722621</v>
      </c>
      <c r="M184" s="45">
        <f t="shared" si="18"/>
        <v>1.8795887189962068E-2</v>
      </c>
    </row>
    <row r="185" spans="1:13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19"/>
        <v>699.05</v>
      </c>
      <c r="G185" s="70">
        <f t="shared" si="20"/>
        <v>3.0106976346955029E-3</v>
      </c>
      <c r="H185" s="37">
        <f t="shared" si="23"/>
        <v>6.7766709208212577</v>
      </c>
      <c r="I185" s="96">
        <f t="shared" si="21"/>
        <v>2.4917818975859767</v>
      </c>
      <c r="J185" s="37">
        <v>2.6397980728614527</v>
      </c>
      <c r="K185" s="37">
        <f t="shared" si="22"/>
        <v>1.2310140488742971</v>
      </c>
      <c r="L185" s="37">
        <f t="shared" si="24"/>
        <v>1.5006061255777683</v>
      </c>
      <c r="M185" s="45">
        <f t="shared" si="18"/>
        <v>1.8795887189962068E-2</v>
      </c>
    </row>
    <row r="186" spans="1:13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19"/>
        <v>6095.81</v>
      </c>
      <c r="G186" s="70">
        <f t="shared" si="20"/>
        <v>2.6253688217657098E-2</v>
      </c>
      <c r="H186" s="37">
        <f t="shared" si="23"/>
        <v>59.093481676348524</v>
      </c>
      <c r="I186" s="96">
        <f t="shared" si="21"/>
        <v>21.728673212393353</v>
      </c>
      <c r="J186" s="37">
        <v>23.019394164265179</v>
      </c>
      <c r="K186" s="37">
        <f t="shared" si="22"/>
        <v>10.734608038435635</v>
      </c>
      <c r="L186" s="37">
        <f t="shared" si="24"/>
        <v>13.085487198853039</v>
      </c>
      <c r="M186" s="45">
        <f t="shared" si="18"/>
        <v>1.8795887189962071E-2</v>
      </c>
    </row>
    <row r="187" spans="1:13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19"/>
        <v>166.2</v>
      </c>
      <c r="G187" s="70">
        <f t="shared" si="20"/>
        <v>7.157970772997533E-4</v>
      </c>
      <c r="H187" s="37">
        <f t="shared" si="23"/>
        <v>1.6111618725992318</v>
      </c>
      <c r="I187" s="96">
        <f t="shared" si="21"/>
        <v>0.59242422055473754</v>
      </c>
      <c r="J187" s="37">
        <v>0.6276152488514033</v>
      </c>
      <c r="K187" s="37">
        <f t="shared" si="22"/>
        <v>0.29267510896632315</v>
      </c>
      <c r="L187" s="37">
        <f t="shared" si="24"/>
        <v>0.35677095782994794</v>
      </c>
      <c r="M187" s="45">
        <f t="shared" si="18"/>
        <v>1.8795887189962068E-2</v>
      </c>
    </row>
    <row r="188" spans="1:13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19"/>
        <v>273.2</v>
      </c>
      <c r="G188" s="70">
        <f t="shared" si="20"/>
        <v>1.1766291306756476E-3</v>
      </c>
      <c r="H188" s="37">
        <f t="shared" si="23"/>
        <v>2.6484321515891107</v>
      </c>
      <c r="I188" s="96">
        <f t="shared" si="21"/>
        <v>0.97382850213931604</v>
      </c>
      <c r="J188" s="37">
        <v>1.031675607618552</v>
      </c>
      <c r="K188" s="37">
        <f t="shared" si="22"/>
        <v>0.48110011895065879</v>
      </c>
      <c r="L188" s="37">
        <f t="shared" si="24"/>
        <v>0.58646104500085317</v>
      </c>
      <c r="M188" s="45">
        <f t="shared" si="18"/>
        <v>1.8795887189962071E-2</v>
      </c>
    </row>
    <row r="189" spans="1:13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19"/>
        <v>4159.58</v>
      </c>
      <c r="G189" s="70">
        <f t="shared" si="20"/>
        <v>1.7914652267114972E-2</v>
      </c>
      <c r="H189" s="37">
        <f t="shared" si="23"/>
        <v>40.323445860567467</v>
      </c>
      <c r="I189" s="96">
        <f t="shared" si="21"/>
        <v>14.826931042930658</v>
      </c>
      <c r="J189" s="37">
        <v>15.707676515146328</v>
      </c>
      <c r="K189" s="37">
        <f t="shared" si="22"/>
        <v>7.3249430189779696</v>
      </c>
      <c r="L189" s="37">
        <f t="shared" si="24"/>
        <v>8.9291055401341453</v>
      </c>
      <c r="M189" s="45">
        <f t="shared" si="18"/>
        <v>1.8795887189962068E-2</v>
      </c>
    </row>
    <row r="190" spans="1:13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19"/>
        <v>2240.77</v>
      </c>
      <c r="G190" s="70">
        <f t="shared" si="20"/>
        <v>9.6506414975990884E-3</v>
      </c>
      <c r="H190" s="37">
        <f t="shared" si="23"/>
        <v>21.722281523851873</v>
      </c>
      <c r="I190" s="96">
        <f t="shared" si="21"/>
        <v>7.9872829163203338</v>
      </c>
      <c r="J190" s="37">
        <v>8.4617414029407882</v>
      </c>
      <c r="K190" s="37">
        <f t="shared" si="22"/>
        <v>3.9459542955383151</v>
      </c>
      <c r="L190" s="37">
        <f t="shared" si="24"/>
        <v>4.8101182862612069</v>
      </c>
      <c r="M190" s="45">
        <f t="shared" si="18"/>
        <v>1.8795887189962068E-2</v>
      </c>
    </row>
    <row r="191" spans="1:13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19"/>
        <v>454.48</v>
      </c>
      <c r="G191" s="70">
        <f t="shared" si="20"/>
        <v>1.9573733796100596E-3</v>
      </c>
      <c r="H191" s="37">
        <f t="shared" si="23"/>
        <v>4.4057812747226173</v>
      </c>
      <c r="I191" s="96">
        <f t="shared" si="21"/>
        <v>1.6200057747155066</v>
      </c>
      <c r="J191" s="37">
        <v>1.7162369332008769</v>
      </c>
      <c r="K191" s="37">
        <f t="shared" si="22"/>
        <v>0.8003308274549612</v>
      </c>
      <c r="L191" s="37">
        <f t="shared" si="24"/>
        <v>0.97560327866759777</v>
      </c>
      <c r="M191" s="45">
        <f t="shared" si="18"/>
        <v>1.8795887189962068E-2</v>
      </c>
    </row>
    <row r="192" spans="1:13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19"/>
        <v>166.2</v>
      </c>
      <c r="G192" s="70">
        <f t="shared" si="20"/>
        <v>7.157970772997533E-4</v>
      </c>
      <c r="H192" s="37">
        <f t="shared" si="23"/>
        <v>1.6111618725992318</v>
      </c>
      <c r="I192" s="96">
        <f t="shared" si="21"/>
        <v>0.59242422055473754</v>
      </c>
      <c r="J192" s="37">
        <v>0.6276152488514033</v>
      </c>
      <c r="K192" s="37">
        <f t="shared" si="22"/>
        <v>0.29267510896632315</v>
      </c>
      <c r="L192" s="37">
        <f t="shared" si="24"/>
        <v>0.35677095782994794</v>
      </c>
      <c r="M192" s="45">
        <f t="shared" si="18"/>
        <v>1.8795887189962068E-2</v>
      </c>
    </row>
    <row r="193" spans="1:13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19"/>
        <v>338.6</v>
      </c>
      <c r="G193" s="70">
        <f t="shared" si="20"/>
        <v>1.4582965726455868E-3</v>
      </c>
      <c r="H193" s="37">
        <f t="shared" si="23"/>
        <v>3.2824272566913355</v>
      </c>
      <c r="I193" s="96">
        <f t="shared" si="21"/>
        <v>1.2069485022854041</v>
      </c>
      <c r="J193" s="37">
        <v>1.27864334092109</v>
      </c>
      <c r="K193" s="37">
        <f t="shared" si="22"/>
        <v>0.59626830262332753</v>
      </c>
      <c r="L193" s="37">
        <f t="shared" si="24"/>
        <v>0.72685106089783635</v>
      </c>
      <c r="M193" s="45">
        <f t="shared" si="18"/>
        <v>1.8795887189962068E-2</v>
      </c>
    </row>
    <row r="194" spans="1:13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19"/>
        <v>453.7</v>
      </c>
      <c r="G194" s="70">
        <f t="shared" si="20"/>
        <v>1.954014043146198E-3</v>
      </c>
      <c r="H194" s="37">
        <f t="shared" si="23"/>
        <v>4.3982198652122237</v>
      </c>
      <c r="I194" s="96">
        <f t="shared" si="21"/>
        <v>1.6172254444385348</v>
      </c>
      <c r="J194" s="37">
        <v>1.7132914464734155</v>
      </c>
      <c r="K194" s="37">
        <f t="shared" si="22"/>
        <v>0.79895726196161743</v>
      </c>
      <c r="L194" s="37">
        <f t="shared" si="24"/>
        <v>0.97392890233121165</v>
      </c>
      <c r="M194" s="45">
        <f t="shared" si="18"/>
        <v>1.8795887189962075E-2</v>
      </c>
    </row>
    <row r="195" spans="1:13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19"/>
        <v>135</v>
      </c>
      <c r="G195" s="70">
        <f t="shared" si="20"/>
        <v>5.8142361874528707E-4</v>
      </c>
      <c r="H195" s="37">
        <f t="shared" si="23"/>
        <v>1.3087054921834917</v>
      </c>
      <c r="I195" s="96">
        <f t="shared" si="21"/>
        <v>0.48121100947586998</v>
      </c>
      <c r="J195" s="37">
        <v>0.50979577975294488</v>
      </c>
      <c r="K195" s="37">
        <f t="shared" si="22"/>
        <v>0.23773248923257298</v>
      </c>
      <c r="L195" s="37">
        <f t="shared" si="24"/>
        <v>0.28979590437450647</v>
      </c>
      <c r="M195" s="45">
        <f t="shared" si="18"/>
        <v>1.8795887189962068E-2</v>
      </c>
    </row>
    <row r="196" spans="1:13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19"/>
        <v>89.9</v>
      </c>
      <c r="G196" s="70">
        <f t="shared" si="20"/>
        <v>3.8718506166815784E-4</v>
      </c>
      <c r="H196" s="37">
        <f t="shared" si="23"/>
        <v>0.87150091664663643</v>
      </c>
      <c r="I196" s="96">
        <f t="shared" si="21"/>
        <v>0.32045088705096825</v>
      </c>
      <c r="J196" s="37">
        <v>0.33948622666510925</v>
      </c>
      <c r="K196" s="37">
        <f t="shared" si="22"/>
        <v>0.15831222801487638</v>
      </c>
      <c r="L196" s="37">
        <f t="shared" si="24"/>
        <v>0.19298260595013431</v>
      </c>
      <c r="M196" s="45">
        <f t="shared" si="18"/>
        <v>1.8795887189962071E-2</v>
      </c>
    </row>
    <row r="197" spans="1:13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19"/>
        <v>224.08</v>
      </c>
      <c r="G197" s="70">
        <f t="shared" si="20"/>
        <v>9.6507707028476981E-4</v>
      </c>
      <c r="H197" s="37">
        <f t="shared" si="23"/>
        <v>2.1722572347294582</v>
      </c>
      <c r="I197" s="96">
        <f t="shared" si="21"/>
        <v>0.79873898521002185</v>
      </c>
      <c r="J197" s="37">
        <v>0.84618546908918446</v>
      </c>
      <c r="K197" s="37">
        <f t="shared" si="22"/>
        <v>0.39460071249803669</v>
      </c>
      <c r="L197" s="37">
        <f t="shared" si="24"/>
        <v>0.48101826853510676</v>
      </c>
      <c r="M197" s="45">
        <f t="shared" si="18"/>
        <v>1.8795887189962071E-2</v>
      </c>
    </row>
    <row r="198" spans="1:13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19"/>
        <v>653.71</v>
      </c>
      <c r="G198" s="70">
        <f t="shared" si="20"/>
        <v>2.8154254356294933E-3</v>
      </c>
      <c r="H198" s="37">
        <f t="shared" si="23"/>
        <v>6.3371397577427429</v>
      </c>
      <c r="I198" s="96">
        <f t="shared" si="21"/>
        <v>2.3301662889220065</v>
      </c>
      <c r="J198" s="37">
        <v>2.4685822161651676</v>
      </c>
      <c r="K198" s="37">
        <f t="shared" si="22"/>
        <v>1.1511711521201873</v>
      </c>
      <c r="L198" s="37">
        <f t="shared" si="24"/>
        <v>1.4032776344345084</v>
      </c>
      <c r="M198" s="45">
        <f t="shared" si="18"/>
        <v>1.8795887189962068E-2</v>
      </c>
    </row>
    <row r="199" spans="1:13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19"/>
        <v>182.11</v>
      </c>
      <c r="G199" s="70">
        <f t="shared" si="20"/>
        <v>7.8431892747929063E-4</v>
      </c>
      <c r="H199" s="37">
        <f t="shared" si="23"/>
        <v>1.7653952383817459</v>
      </c>
      <c r="I199" s="96">
        <f t="shared" si="21"/>
        <v>0.64913582915296808</v>
      </c>
      <c r="J199" s="37">
        <v>0.68769562556154673</v>
      </c>
      <c r="K199" s="37">
        <f t="shared" si="22"/>
        <v>0.32069232306773232</v>
      </c>
      <c r="L199" s="37">
        <f t="shared" si="24"/>
        <v>0.39092394181956575</v>
      </c>
      <c r="M199" s="45">
        <f t="shared" ref="M199:M262" si="25">(K199+J199+I199+H199)/F199</f>
        <v>1.8795887189962071E-2</v>
      </c>
    </row>
    <row r="200" spans="1:13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19"/>
        <v>2379.1</v>
      </c>
      <c r="G200" s="70">
        <f t="shared" si="20"/>
        <v>1.0246406898940092E-2</v>
      </c>
      <c r="H200" s="37">
        <f t="shared" si="23"/>
        <v>23.063268418175891</v>
      </c>
      <c r="I200" s="96">
        <f t="shared" si="21"/>
        <v>8.4803637973632764</v>
      </c>
      <c r="J200" s="37">
        <v>8.9841121452609709</v>
      </c>
      <c r="K200" s="37">
        <f t="shared" si="22"/>
        <v>4.1895508528386252</v>
      </c>
      <c r="L200" s="37">
        <f t="shared" si="24"/>
        <v>5.1070624896102848</v>
      </c>
      <c r="M200" s="45">
        <f t="shared" si="25"/>
        <v>1.8795887189962071E-2</v>
      </c>
    </row>
    <row r="201" spans="1:13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19"/>
        <v>140.19999999999999</v>
      </c>
      <c r="G201" s="70">
        <f t="shared" si="20"/>
        <v>6.0381919517103137E-4</v>
      </c>
      <c r="H201" s="37">
        <f t="shared" si="23"/>
        <v>1.3591148889194484</v>
      </c>
      <c r="I201" s="96">
        <f t="shared" si="21"/>
        <v>0.49974654465568125</v>
      </c>
      <c r="J201" s="37">
        <v>0.52943235793602128</v>
      </c>
      <c r="K201" s="37">
        <f t="shared" si="22"/>
        <v>0.24688959252153131</v>
      </c>
      <c r="L201" s="37">
        <f t="shared" si="24"/>
        <v>0.30095841328374667</v>
      </c>
      <c r="M201" s="45">
        <f t="shared" si="25"/>
        <v>1.8795887189962075E-2</v>
      </c>
    </row>
    <row r="202" spans="1:13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19"/>
        <v>116.79</v>
      </c>
      <c r="G202" s="70">
        <f t="shared" si="20"/>
        <v>5.029960328389783E-4</v>
      </c>
      <c r="H202" s="37">
        <f t="shared" si="23"/>
        <v>1.1321756624600741</v>
      </c>
      <c r="I202" s="96">
        <f t="shared" si="21"/>
        <v>0.41630099108656926</v>
      </c>
      <c r="J202" s="37">
        <v>0.44102999346182548</v>
      </c>
      <c r="K202" s="37">
        <f t="shared" si="22"/>
        <v>0.20566501790720146</v>
      </c>
      <c r="L202" s="37">
        <f t="shared" si="24"/>
        <v>0.25070565682887858</v>
      </c>
      <c r="M202" s="45">
        <f t="shared" si="25"/>
        <v>1.8795887189962071E-2</v>
      </c>
    </row>
    <row r="203" spans="1:13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19"/>
        <v>59.7</v>
      </c>
      <c r="G203" s="70">
        <f t="shared" si="20"/>
        <v>2.5711844473402692E-4</v>
      </c>
      <c r="H203" s="37">
        <f t="shared" si="23"/>
        <v>0.57873865098781074</v>
      </c>
      <c r="I203" s="96">
        <f t="shared" si="21"/>
        <v>0.21280220196821803</v>
      </c>
      <c r="J203" s="37">
        <v>0.22544302260185789</v>
      </c>
      <c r="K203" s="37">
        <f t="shared" si="22"/>
        <v>0.10513058968284893</v>
      </c>
      <c r="L203" s="37">
        <f t="shared" si="24"/>
        <v>0.12815418882339286</v>
      </c>
      <c r="M203" s="45">
        <f t="shared" si="25"/>
        <v>1.8795887189962068E-2</v>
      </c>
    </row>
    <row r="204" spans="1:13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19"/>
        <v>137.5</v>
      </c>
      <c r="G204" s="70">
        <f t="shared" si="20"/>
        <v>5.9219072279612572E-4</v>
      </c>
      <c r="H204" s="37">
        <f t="shared" si="23"/>
        <v>1.3329407790757786</v>
      </c>
      <c r="I204" s="96">
        <f t="shared" si="21"/>
        <v>0.49012232446616383</v>
      </c>
      <c r="J204" s="37">
        <v>0.51923644234096233</v>
      </c>
      <c r="K204" s="37">
        <f t="shared" si="22"/>
        <v>0.24213494273687988</v>
      </c>
      <c r="L204" s="37">
        <f t="shared" si="24"/>
        <v>0.29516249519625659</v>
      </c>
      <c r="M204" s="45">
        <f t="shared" si="25"/>
        <v>1.8795887189962068E-2</v>
      </c>
    </row>
    <row r="205" spans="1:13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19"/>
        <v>1908.3000000000002</v>
      </c>
      <c r="G205" s="70">
        <f t="shared" si="20"/>
        <v>8.2187458640861581E-3</v>
      </c>
      <c r="H205" s="37">
        <f t="shared" si="23"/>
        <v>18.499279190620424</v>
      </c>
      <c r="I205" s="96">
        <f t="shared" si="21"/>
        <v>6.8021849583911305</v>
      </c>
      <c r="J205" s="37">
        <v>7.2062465666855173</v>
      </c>
      <c r="K205" s="37">
        <f t="shared" si="22"/>
        <v>3.3604808089075484</v>
      </c>
      <c r="L205" s="37">
        <f t="shared" si="24"/>
        <v>4.0964261060583018</v>
      </c>
      <c r="M205" s="45">
        <f t="shared" si="25"/>
        <v>1.8795887189962071E-2</v>
      </c>
    </row>
    <row r="206" spans="1:13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19"/>
        <v>140.4</v>
      </c>
      <c r="G206" s="70">
        <f t="shared" si="20"/>
        <v>6.0468056349509858E-4</v>
      </c>
      <c r="H206" s="37">
        <f t="shared" si="23"/>
        <v>1.3610537118708317</v>
      </c>
      <c r="I206" s="96">
        <f t="shared" si="21"/>
        <v>0.50045944985490487</v>
      </c>
      <c r="J206" s="37">
        <v>0.53018761094306266</v>
      </c>
      <c r="K206" s="37">
        <f t="shared" si="22"/>
        <v>0.24724178880187592</v>
      </c>
      <c r="L206" s="37">
        <f t="shared" si="24"/>
        <v>0.30138774054948675</v>
      </c>
      <c r="M206" s="45">
        <f t="shared" si="25"/>
        <v>1.8795887189962075E-2</v>
      </c>
    </row>
    <row r="207" spans="1:13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si="19"/>
        <v>290.7</v>
      </c>
      <c r="G207" s="70">
        <f t="shared" si="20"/>
        <v>1.2519988590315181E-3</v>
      </c>
      <c r="H207" s="37">
        <f t="shared" si="23"/>
        <v>2.8180791598351185</v>
      </c>
      <c r="I207" s="96">
        <f t="shared" si="21"/>
        <v>1.0362077070713731</v>
      </c>
      <c r="J207" s="37">
        <v>1.0977602457346747</v>
      </c>
      <c r="K207" s="37">
        <f t="shared" si="22"/>
        <v>0.51191729348080706</v>
      </c>
      <c r="L207" s="37">
        <f t="shared" si="24"/>
        <v>0.62402718075310382</v>
      </c>
      <c r="M207" s="45">
        <f t="shared" si="25"/>
        <v>1.8795887189962068E-2</v>
      </c>
    </row>
    <row r="208" spans="1:13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si="19"/>
        <v>2427.7199999999998</v>
      </c>
      <c r="G208" s="70">
        <f t="shared" si="20"/>
        <v>1.0455805538520801E-2</v>
      </c>
      <c r="H208" s="37">
        <f t="shared" si="23"/>
        <v>23.534596277657084</v>
      </c>
      <c r="I208" s="96">
        <f t="shared" si="21"/>
        <v>8.653671051294511</v>
      </c>
      <c r="J208" s="37">
        <v>9.1677141512727349</v>
      </c>
      <c r="K208" s="37">
        <f t="shared" si="22"/>
        <v>4.2751697685903851</v>
      </c>
      <c r="L208" s="37">
        <f t="shared" si="24"/>
        <v>5.21143194791168</v>
      </c>
      <c r="M208" s="45">
        <f t="shared" si="25"/>
        <v>1.8795887189962071E-2</v>
      </c>
    </row>
    <row r="209" spans="1:13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ref="F209:F270" si="26">C209+D209+E209</f>
        <v>93</v>
      </c>
      <c r="G209" s="70">
        <f t="shared" si="20"/>
        <v>4.0053627069119776E-4</v>
      </c>
      <c r="H209" s="37">
        <f t="shared" si="23"/>
        <v>0.90155267239307213</v>
      </c>
      <c r="I209" s="96">
        <f t="shared" si="21"/>
        <v>0.33150091763893264</v>
      </c>
      <c r="J209" s="37">
        <v>0.35119264827425095</v>
      </c>
      <c r="K209" s="37">
        <f t="shared" si="22"/>
        <v>0.16377127036021694</v>
      </c>
      <c r="L209" s="37">
        <f t="shared" si="24"/>
        <v>0.19963717856910446</v>
      </c>
      <c r="M209" s="45">
        <f t="shared" si="25"/>
        <v>1.8795887189962071E-2</v>
      </c>
    </row>
    <row r="210" spans="1:13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26"/>
        <v>1473.7</v>
      </c>
      <c r="G210" s="70">
        <f t="shared" si="20"/>
        <v>6.3469924958883669E-3</v>
      </c>
      <c r="H210" s="37">
        <f t="shared" si="23"/>
        <v>14.286216917265273</v>
      </c>
      <c r="I210" s="96">
        <f t="shared" si="21"/>
        <v>5.2530419604784413</v>
      </c>
      <c r="J210" s="37">
        <v>5.5650817823845546</v>
      </c>
      <c r="K210" s="37">
        <f t="shared" si="22"/>
        <v>2.5951582917188354</v>
      </c>
      <c r="L210" s="37">
        <f t="shared" si="24"/>
        <v>3.1634979576052604</v>
      </c>
      <c r="M210" s="45">
        <f t="shared" si="25"/>
        <v>1.8795887189962071E-2</v>
      </c>
    </row>
    <row r="211" spans="1:13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26"/>
        <v>2507</v>
      </c>
      <c r="G211" s="70">
        <f t="shared" si="20"/>
        <v>1.0797251942180997E-2</v>
      </c>
      <c r="H211" s="37">
        <f t="shared" si="23"/>
        <v>24.303145695585286</v>
      </c>
      <c r="I211" s="96">
        <f t="shared" si="21"/>
        <v>8.9362666722667097</v>
      </c>
      <c r="J211" s="37">
        <v>9.4670964432639479</v>
      </c>
      <c r="K211" s="37">
        <f t="shared" si="22"/>
        <v>4.4147803741189664</v>
      </c>
      <c r="L211" s="37">
        <f t="shared" si="24"/>
        <v>5.3816172760510206</v>
      </c>
      <c r="M211" s="45">
        <f t="shared" si="25"/>
        <v>1.8795887189962068E-2</v>
      </c>
    </row>
    <row r="212" spans="1:13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26"/>
        <v>3505.3</v>
      </c>
      <c r="G212" s="70">
        <f t="shared" si="20"/>
        <v>1.5096771931761887E-2</v>
      </c>
      <c r="H212" s="37">
        <f t="shared" si="23"/>
        <v>33.980780457413282</v>
      </c>
      <c r="I212" s="96">
        <f t="shared" si="21"/>
        <v>12.494732974190864</v>
      </c>
      <c r="J212" s="37">
        <v>13.236941827911096</v>
      </c>
      <c r="K212" s="37">
        <f t="shared" si="22"/>
        <v>6.1727681074587997</v>
      </c>
      <c r="L212" s="37">
        <f t="shared" si="24"/>
        <v>7.5246043229922774</v>
      </c>
      <c r="M212" s="45">
        <f t="shared" si="25"/>
        <v>1.8795887189962071E-2</v>
      </c>
    </row>
    <row r="213" spans="1:13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26"/>
        <v>191.78</v>
      </c>
      <c r="G213" s="70">
        <f t="shared" si="20"/>
        <v>8.2596608594793445E-4</v>
      </c>
      <c r="H213" s="37">
        <f t="shared" si="23"/>
        <v>1.8591373280811117</v>
      </c>
      <c r="I213" s="96">
        <f t="shared" si="21"/>
        <v>0.68360479553542486</v>
      </c>
      <c r="J213" s="37">
        <v>0.72421210845199835</v>
      </c>
      <c r="K213" s="37">
        <f t="shared" si="22"/>
        <v>0.33772101322239145</v>
      </c>
      <c r="L213" s="37">
        <f t="shared" si="24"/>
        <v>0.41168191511809521</v>
      </c>
      <c r="M213" s="45">
        <f t="shared" si="25"/>
        <v>1.8795887189962075E-2</v>
      </c>
    </row>
    <row r="214" spans="1:13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26"/>
        <v>3560.1</v>
      </c>
      <c r="G214" s="70">
        <f t="shared" si="20"/>
        <v>1.533278685255627E-2</v>
      </c>
      <c r="H214" s="37">
        <f t="shared" si="23"/>
        <v>34.512017946092215</v>
      </c>
      <c r="I214" s="96">
        <f t="shared" si="21"/>
        <v>12.690068998778107</v>
      </c>
      <c r="J214" s="37">
        <v>13.443881151840438</v>
      </c>
      <c r="K214" s="37">
        <f t="shared" si="22"/>
        <v>6.2692698882732074</v>
      </c>
      <c r="L214" s="37">
        <f t="shared" si="24"/>
        <v>7.64223999380504</v>
      </c>
      <c r="M214" s="45">
        <f t="shared" si="25"/>
        <v>1.8795887189962075E-2</v>
      </c>
    </row>
    <row r="215" spans="1:13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26"/>
        <v>291.19</v>
      </c>
      <c r="G215" s="70">
        <f t="shared" si="20"/>
        <v>1.2541092114254824E-3</v>
      </c>
      <c r="H215" s="37">
        <f t="shared" si="23"/>
        <v>2.822829276066007</v>
      </c>
      <c r="I215" s="96">
        <f t="shared" si="21"/>
        <v>1.0379543248094709</v>
      </c>
      <c r="J215" s="37">
        <v>1.0996106156019261</v>
      </c>
      <c r="K215" s="37">
        <f t="shared" si="22"/>
        <v>0.51278017436765122</v>
      </c>
      <c r="L215" s="37">
        <f t="shared" si="24"/>
        <v>0.62507903255416686</v>
      </c>
      <c r="M215" s="45">
        <f t="shared" si="25"/>
        <v>1.8795887189962071E-2</v>
      </c>
    </row>
    <row r="216" spans="1:13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26"/>
        <v>173.45</v>
      </c>
      <c r="G216" s="70">
        <f t="shared" si="20"/>
        <v>7.470216790471854E-4</v>
      </c>
      <c r="H216" s="37">
        <f t="shared" si="23"/>
        <v>1.6814442045868641</v>
      </c>
      <c r="I216" s="96">
        <f t="shared" si="21"/>
        <v>0.61826703402659</v>
      </c>
      <c r="J216" s="37">
        <v>0.65499317035665394</v>
      </c>
      <c r="K216" s="37">
        <f t="shared" si="22"/>
        <v>0.30544222412881317</v>
      </c>
      <c r="L216" s="37">
        <f t="shared" si="24"/>
        <v>0.37233407121302325</v>
      </c>
      <c r="M216" s="45">
        <f t="shared" si="25"/>
        <v>1.8795887189962075E-2</v>
      </c>
    </row>
    <row r="217" spans="1:13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26"/>
        <v>209.66</v>
      </c>
      <c r="G217" s="70">
        <f t="shared" si="20"/>
        <v>9.0297241411953244E-4</v>
      </c>
      <c r="H217" s="37">
        <f t="shared" si="23"/>
        <v>2.0324680999347469</v>
      </c>
      <c r="I217" s="96">
        <f t="shared" si="21"/>
        <v>0.74733852034600645</v>
      </c>
      <c r="J217" s="37">
        <v>0.79173172728149943</v>
      </c>
      <c r="K217" s="37">
        <f t="shared" si="22"/>
        <v>0.36920736068519444</v>
      </c>
      <c r="L217" s="37">
        <f t="shared" si="24"/>
        <v>0.45006377267525205</v>
      </c>
      <c r="M217" s="45">
        <f t="shared" si="25"/>
        <v>1.8795887189962068E-2</v>
      </c>
    </row>
    <row r="218" spans="1:13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26"/>
        <v>408.46</v>
      </c>
      <c r="G218" s="70">
        <f t="shared" si="20"/>
        <v>1.7591725282422217E-3</v>
      </c>
      <c r="H218" s="37">
        <f t="shared" si="23"/>
        <v>3.9596581136094007</v>
      </c>
      <c r="I218" s="96">
        <f t="shared" si="21"/>
        <v>1.4559662883741766</v>
      </c>
      <c r="J218" s="37">
        <v>1.5424532162806508</v>
      </c>
      <c r="K218" s="37">
        <f t="shared" si="22"/>
        <v>0.71929046334767965</v>
      </c>
      <c r="L218" s="37">
        <f t="shared" si="24"/>
        <v>0.87681507482082155</v>
      </c>
      <c r="M218" s="45">
        <f t="shared" si="25"/>
        <v>1.8795887189962071E-2</v>
      </c>
    </row>
    <row r="219" spans="1:13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26"/>
        <v>67.3</v>
      </c>
      <c r="G219" s="70">
        <f t="shared" si="20"/>
        <v>2.8985044104857643E-4</v>
      </c>
      <c r="H219" s="37">
        <f t="shared" si="23"/>
        <v>0.65241392314036295</v>
      </c>
      <c r="I219" s="96">
        <f t="shared" si="21"/>
        <v>0.23989259953871148</v>
      </c>
      <c r="J219" s="37">
        <v>0.254142636869431</v>
      </c>
      <c r="K219" s="37">
        <f t="shared" si="22"/>
        <v>0.11851404833594192</v>
      </c>
      <c r="L219" s="37">
        <f t="shared" si="24"/>
        <v>0.14446862492151322</v>
      </c>
      <c r="M219" s="45">
        <f t="shared" si="25"/>
        <v>1.8795887189962071E-2</v>
      </c>
    </row>
    <row r="220" spans="1:13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26"/>
        <v>352.8</v>
      </c>
      <c r="G220" s="70">
        <f t="shared" ref="G220:G283" si="27">1/232188.71*F220</f>
        <v>1.5194537236543502E-3</v>
      </c>
      <c r="H220" s="37">
        <f t="shared" si="23"/>
        <v>3.4200836862395252</v>
      </c>
      <c r="I220" s="96">
        <f t="shared" ref="I220:I283" si="28">H220*0.3677</f>
        <v>1.2575647714302736</v>
      </c>
      <c r="J220" s="37">
        <v>1.3322663044210292</v>
      </c>
      <c r="K220" s="37">
        <f t="shared" ref="K220:K282" si="29">G220*408.88</f>
        <v>0.62127423852779073</v>
      </c>
      <c r="L220" s="37">
        <f t="shared" si="24"/>
        <v>0.75733329676537697</v>
      </c>
      <c r="M220" s="45">
        <f t="shared" si="25"/>
        <v>1.8795887189962071E-2</v>
      </c>
    </row>
    <row r="221" spans="1:13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26"/>
        <v>111.58</v>
      </c>
      <c r="G221" s="70">
        <f t="shared" si="27"/>
        <v>4.8055738799703055E-4</v>
      </c>
      <c r="H221" s="37">
        <f t="shared" ref="H221:H284" si="30">G221*1218*1.54*1.2</f>
        <v>1.0816693245765481</v>
      </c>
      <c r="I221" s="96">
        <f t="shared" si="28"/>
        <v>0.39772981064679674</v>
      </c>
      <c r="J221" s="37">
        <v>0.42135565262839697</v>
      </c>
      <c r="K221" s="37">
        <f t="shared" si="29"/>
        <v>0.19649030480422586</v>
      </c>
      <c r="L221" s="37">
        <f t="shared" ref="L221:L284" si="31">K221*1.219</f>
        <v>0.23952168155635134</v>
      </c>
      <c r="M221" s="45">
        <f t="shared" si="25"/>
        <v>1.8795887189962068E-2</v>
      </c>
    </row>
    <row r="222" spans="1:13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26"/>
        <v>115.8</v>
      </c>
      <c r="G222" s="70">
        <f t="shared" si="27"/>
        <v>4.9873225963484617E-4</v>
      </c>
      <c r="H222" s="37">
        <f t="shared" si="30"/>
        <v>1.1225784888507284</v>
      </c>
      <c r="I222" s="96">
        <f t="shared" si="28"/>
        <v>0.41277211035041289</v>
      </c>
      <c r="J222" s="37">
        <v>0.43729149107697052</v>
      </c>
      <c r="K222" s="37">
        <f t="shared" si="29"/>
        <v>0.20392164631949589</v>
      </c>
      <c r="L222" s="37">
        <f t="shared" si="31"/>
        <v>0.24858048686346551</v>
      </c>
      <c r="M222" s="45">
        <f t="shared" si="25"/>
        <v>1.8795887189962071E-2</v>
      </c>
    </row>
    <row r="223" spans="1:13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26"/>
        <v>141.30000000000001</v>
      </c>
      <c r="G223" s="70">
        <f t="shared" si="27"/>
        <v>6.085567209534005E-4</v>
      </c>
      <c r="H223" s="37">
        <f t="shared" si="30"/>
        <v>1.3697784151520549</v>
      </c>
      <c r="I223" s="96">
        <f t="shared" si="28"/>
        <v>0.50366752325141062</v>
      </c>
      <c r="J223" s="37">
        <v>0.53358624947474897</v>
      </c>
      <c r="K223" s="37">
        <f t="shared" si="29"/>
        <v>0.2488266720634264</v>
      </c>
      <c r="L223" s="37">
        <f t="shared" si="31"/>
        <v>0.30331971324531681</v>
      </c>
      <c r="M223" s="45">
        <f t="shared" si="25"/>
        <v>1.8795887189962071E-2</v>
      </c>
    </row>
    <row r="224" spans="1:13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26"/>
        <v>161.1</v>
      </c>
      <c r="G224" s="70">
        <f t="shared" si="27"/>
        <v>6.938321850360425E-4</v>
      </c>
      <c r="H224" s="37">
        <f t="shared" si="30"/>
        <v>1.5617218873389664</v>
      </c>
      <c r="I224" s="96">
        <f t="shared" si="28"/>
        <v>0.57424513797453802</v>
      </c>
      <c r="J224" s="37">
        <v>0.60835629717184758</v>
      </c>
      <c r="K224" s="37">
        <f t="shared" si="29"/>
        <v>0.28369410381753707</v>
      </c>
      <c r="L224" s="37">
        <f t="shared" si="31"/>
        <v>0.34582311255357773</v>
      </c>
      <c r="M224" s="45">
        <f t="shared" si="25"/>
        <v>1.8795887189962068E-2</v>
      </c>
    </row>
    <row r="225" spans="1:13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26"/>
        <v>308.8</v>
      </c>
      <c r="G225" s="70">
        <f t="shared" si="27"/>
        <v>1.3299526923595899E-3</v>
      </c>
      <c r="H225" s="37">
        <f t="shared" si="30"/>
        <v>2.9935426369352758</v>
      </c>
      <c r="I225" s="96">
        <f t="shared" si="28"/>
        <v>1.100725627601101</v>
      </c>
      <c r="J225" s="37">
        <v>1.1661106428719215</v>
      </c>
      <c r="K225" s="37">
        <f t="shared" si="29"/>
        <v>0.54379105685198914</v>
      </c>
      <c r="L225" s="37">
        <f t="shared" si="31"/>
        <v>0.66288129830257481</v>
      </c>
      <c r="M225" s="45">
        <f t="shared" si="25"/>
        <v>1.8795887189962071E-2</v>
      </c>
    </row>
    <row r="226" spans="1:13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26"/>
        <v>343.31</v>
      </c>
      <c r="G226" s="70">
        <f t="shared" si="27"/>
        <v>1.4785817966773667E-3</v>
      </c>
      <c r="H226" s="37">
        <f t="shared" si="30"/>
        <v>3.3280865371964046</v>
      </c>
      <c r="I226" s="96">
        <f t="shared" si="28"/>
        <v>1.223737419727118</v>
      </c>
      <c r="J226" s="37">
        <v>1.2964295492369149</v>
      </c>
      <c r="K226" s="37">
        <f t="shared" si="29"/>
        <v>0.60456252502544172</v>
      </c>
      <c r="L226" s="37">
        <f t="shared" si="31"/>
        <v>0.73696171800601351</v>
      </c>
      <c r="M226" s="45">
        <f t="shared" si="25"/>
        <v>1.8795887189962071E-2</v>
      </c>
    </row>
    <row r="227" spans="1:13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26"/>
        <v>146.82</v>
      </c>
      <c r="G227" s="70">
        <f t="shared" si="27"/>
        <v>6.3233048669765219E-4</v>
      </c>
      <c r="H227" s="37">
        <f t="shared" si="30"/>
        <v>1.4232899286102243</v>
      </c>
      <c r="I227" s="96">
        <f t="shared" si="28"/>
        <v>0.52334370674997954</v>
      </c>
      <c r="J227" s="37">
        <v>0.55443123246909165</v>
      </c>
      <c r="K227" s="37">
        <f t="shared" si="29"/>
        <v>0.25854728940093602</v>
      </c>
      <c r="L227" s="37">
        <f t="shared" si="31"/>
        <v>0.31516914577974103</v>
      </c>
      <c r="M227" s="45">
        <f t="shared" si="25"/>
        <v>1.8795887189962071E-2</v>
      </c>
    </row>
    <row r="228" spans="1:13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26"/>
        <v>218.19</v>
      </c>
      <c r="G228" s="70">
        <f t="shared" si="27"/>
        <v>9.3970977314099388E-4</v>
      </c>
      <c r="H228" s="37">
        <f t="shared" si="30"/>
        <v>2.1151588988112304</v>
      </c>
      <c r="I228" s="96">
        <f t="shared" si="28"/>
        <v>0.77774392709288953</v>
      </c>
      <c r="J228" s="37">
        <v>0.82394326803181506</v>
      </c>
      <c r="K228" s="37">
        <f t="shared" si="29"/>
        <v>0.38422853204188956</v>
      </c>
      <c r="L228" s="37">
        <f t="shared" si="31"/>
        <v>0.46837458055906339</v>
      </c>
      <c r="M228" s="45">
        <f t="shared" si="25"/>
        <v>1.8795887189962075E-2</v>
      </c>
    </row>
    <row r="229" spans="1:13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26"/>
        <v>109.6</v>
      </c>
      <c r="G229" s="70">
        <f t="shared" si="27"/>
        <v>4.7202984158876634E-4</v>
      </c>
      <c r="H229" s="37">
        <f t="shared" si="30"/>
        <v>1.062474977357857</v>
      </c>
      <c r="I229" s="96">
        <f t="shared" si="28"/>
        <v>0.39067204917448406</v>
      </c>
      <c r="J229" s="37">
        <v>0.41387864785868711</v>
      </c>
      <c r="K229" s="37">
        <f t="shared" si="29"/>
        <v>0.19300356162881477</v>
      </c>
      <c r="L229" s="37">
        <f t="shared" si="31"/>
        <v>0.23527134162552521</v>
      </c>
      <c r="M229" s="45">
        <f t="shared" si="25"/>
        <v>1.8795887189962071E-2</v>
      </c>
    </row>
    <row r="230" spans="1:13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26"/>
        <v>41.4</v>
      </c>
      <c r="G230" s="70">
        <f t="shared" si="27"/>
        <v>1.7830324308188802E-4</v>
      </c>
      <c r="H230" s="37">
        <f t="shared" si="30"/>
        <v>0.40133635093627079</v>
      </c>
      <c r="I230" s="96">
        <f t="shared" si="28"/>
        <v>0.14757137623926678</v>
      </c>
      <c r="J230" s="37">
        <v>0.15633737245756976</v>
      </c>
      <c r="K230" s="37">
        <f t="shared" si="29"/>
        <v>7.2904630031322373E-2</v>
      </c>
      <c r="L230" s="37">
        <f t="shared" si="31"/>
        <v>8.8870744008181984E-2</v>
      </c>
      <c r="M230" s="45">
        <f t="shared" si="25"/>
        <v>1.8795887189962071E-2</v>
      </c>
    </row>
    <row r="231" spans="1:13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26"/>
        <v>143.4</v>
      </c>
      <c r="G231" s="70">
        <f t="shared" si="27"/>
        <v>6.1760108835610494E-4</v>
      </c>
      <c r="H231" s="37">
        <f t="shared" si="30"/>
        <v>1.3901360561415759</v>
      </c>
      <c r="I231" s="96">
        <f t="shared" si="28"/>
        <v>0.51115302784325745</v>
      </c>
      <c r="J231" s="37">
        <v>0.54151640604868367</v>
      </c>
      <c r="K231" s="37">
        <f t="shared" si="29"/>
        <v>0.2525247330070442</v>
      </c>
      <c r="L231" s="37">
        <f t="shared" si="31"/>
        <v>0.30782764953558689</v>
      </c>
      <c r="M231" s="45">
        <f t="shared" si="25"/>
        <v>1.8795887189962075E-2</v>
      </c>
    </row>
    <row r="232" spans="1:13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26"/>
        <v>473.2</v>
      </c>
      <c r="G232" s="70">
        <f t="shared" si="27"/>
        <v>2.0379974547427393E-3</v>
      </c>
      <c r="H232" s="37">
        <f t="shared" si="30"/>
        <v>4.587255102972061</v>
      </c>
      <c r="I232" s="96">
        <f t="shared" si="28"/>
        <v>1.686733701362827</v>
      </c>
      <c r="J232" s="37">
        <v>1.7869286146599521</v>
      </c>
      <c r="K232" s="37">
        <f t="shared" si="29"/>
        <v>0.83329639929521127</v>
      </c>
      <c r="L232" s="37">
        <f t="shared" si="31"/>
        <v>1.0157883107408625</v>
      </c>
      <c r="M232" s="45">
        <f t="shared" si="25"/>
        <v>1.8795887189962071E-2</v>
      </c>
    </row>
    <row r="233" spans="1:13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26"/>
        <v>306.10000000000002</v>
      </c>
      <c r="G233" s="70">
        <f t="shared" si="27"/>
        <v>1.3183242199846842E-3</v>
      </c>
      <c r="H233" s="37">
        <f t="shared" si="30"/>
        <v>2.9673685270916064</v>
      </c>
      <c r="I233" s="96">
        <f t="shared" si="28"/>
        <v>1.0911014074115837</v>
      </c>
      <c r="J233" s="37">
        <v>1.1559147272768624</v>
      </c>
      <c r="K233" s="37">
        <f t="shared" si="29"/>
        <v>0.53903640706733769</v>
      </c>
      <c r="L233" s="37">
        <f t="shared" si="31"/>
        <v>0.65708538021508467</v>
      </c>
      <c r="M233" s="45">
        <f t="shared" si="25"/>
        <v>1.8795887189962071E-2</v>
      </c>
    </row>
    <row r="234" spans="1:13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26"/>
        <v>239.7</v>
      </c>
      <c r="G234" s="70">
        <f t="shared" si="27"/>
        <v>1.0323499363944096E-3</v>
      </c>
      <c r="H234" s="37">
        <f t="shared" si="30"/>
        <v>2.3236793072324664</v>
      </c>
      <c r="I234" s="96">
        <f t="shared" si="28"/>
        <v>0.85441688126937798</v>
      </c>
      <c r="J234" s="37">
        <v>0.90517072893911765</v>
      </c>
      <c r="K234" s="37">
        <f t="shared" si="29"/>
        <v>0.42210724199294619</v>
      </c>
      <c r="L234" s="37">
        <f t="shared" si="31"/>
        <v>0.51454872798940143</v>
      </c>
      <c r="M234" s="45">
        <f t="shared" si="25"/>
        <v>1.8795887189962071E-2</v>
      </c>
    </row>
    <row r="235" spans="1:13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26"/>
        <v>193.7</v>
      </c>
      <c r="G235" s="70">
        <f t="shared" si="27"/>
        <v>8.3423522185897847E-4</v>
      </c>
      <c r="H235" s="37">
        <f t="shared" si="30"/>
        <v>1.8777500284143878</v>
      </c>
      <c r="I235" s="96">
        <f t="shared" si="28"/>
        <v>0.69044868544797044</v>
      </c>
      <c r="J235" s="37">
        <v>0.73146253731959565</v>
      </c>
      <c r="K235" s="37">
        <f t="shared" si="29"/>
        <v>0.34110209751369913</v>
      </c>
      <c r="L235" s="37">
        <f t="shared" si="31"/>
        <v>0.41580345686919928</v>
      </c>
      <c r="M235" s="45">
        <f t="shared" si="25"/>
        <v>1.8795887189962068E-2</v>
      </c>
    </row>
    <row r="236" spans="1:13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26"/>
        <v>83.9</v>
      </c>
      <c r="G236" s="70">
        <f t="shared" si="27"/>
        <v>3.6134401194614507E-4</v>
      </c>
      <c r="H236" s="37">
        <f t="shared" si="30"/>
        <v>0.81333622810514783</v>
      </c>
      <c r="I236" s="96">
        <f t="shared" si="28"/>
        <v>0.29906373107426287</v>
      </c>
      <c r="J236" s="37">
        <v>0.31682863645386727</v>
      </c>
      <c r="K236" s="37">
        <f t="shared" si="29"/>
        <v>0.14774633960453978</v>
      </c>
      <c r="L236" s="37">
        <f t="shared" si="31"/>
        <v>0.180102787977934</v>
      </c>
      <c r="M236" s="45">
        <f t="shared" si="25"/>
        <v>1.8795887189962071E-2</v>
      </c>
    </row>
    <row r="237" spans="1:13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26"/>
        <v>2111.66</v>
      </c>
      <c r="G237" s="70">
        <f t="shared" si="27"/>
        <v>9.0945851759975764E-3</v>
      </c>
      <c r="H237" s="37">
        <f t="shared" si="30"/>
        <v>20.470674367586607</v>
      </c>
      <c r="I237" s="96">
        <f t="shared" si="28"/>
        <v>7.5270669649615964</v>
      </c>
      <c r="J237" s="37">
        <v>7.9741878242452122</v>
      </c>
      <c r="K237" s="37">
        <f t="shared" si="29"/>
        <v>3.7185939867618889</v>
      </c>
      <c r="L237" s="37">
        <f t="shared" si="31"/>
        <v>4.5329660698627432</v>
      </c>
      <c r="M237" s="45">
        <f t="shared" si="25"/>
        <v>1.8795887189962075E-2</v>
      </c>
    </row>
    <row r="238" spans="1:13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26"/>
        <v>424.8</v>
      </c>
      <c r="G238" s="70">
        <f t="shared" si="27"/>
        <v>1.8295463203185033E-3</v>
      </c>
      <c r="H238" s="37">
        <f t="shared" si="30"/>
        <v>4.118059948737387</v>
      </c>
      <c r="I238" s="96">
        <f t="shared" si="28"/>
        <v>1.5142106431507374</v>
      </c>
      <c r="J238" s="37">
        <v>1.6041573869559331</v>
      </c>
      <c r="K238" s="37">
        <f t="shared" si="29"/>
        <v>0.74806489945182963</v>
      </c>
      <c r="L238" s="37">
        <f t="shared" si="31"/>
        <v>0.91189111243178034</v>
      </c>
      <c r="M238" s="45">
        <f t="shared" si="25"/>
        <v>1.8795887189962068E-2</v>
      </c>
    </row>
    <row r="239" spans="1:13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26"/>
        <v>105.5</v>
      </c>
      <c r="G239" s="70">
        <f t="shared" si="27"/>
        <v>4.5437179094539096E-4</v>
      </c>
      <c r="H239" s="37">
        <f t="shared" si="30"/>
        <v>1.0227291068545064</v>
      </c>
      <c r="I239" s="96">
        <f t="shared" si="28"/>
        <v>0.376057492590402</v>
      </c>
      <c r="J239" s="37">
        <v>0.39839596121433846</v>
      </c>
      <c r="K239" s="37">
        <f t="shared" si="29"/>
        <v>0.18578353788175145</v>
      </c>
      <c r="L239" s="37">
        <f t="shared" si="31"/>
        <v>0.22647013267785504</v>
      </c>
      <c r="M239" s="45">
        <f t="shared" si="25"/>
        <v>1.8795887189962068E-2</v>
      </c>
    </row>
    <row r="240" spans="1:13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26"/>
        <v>158.6</v>
      </c>
      <c r="G240" s="70">
        <f t="shared" si="27"/>
        <v>6.8306508098520385E-4</v>
      </c>
      <c r="H240" s="37">
        <f t="shared" si="30"/>
        <v>1.5374866004466801</v>
      </c>
      <c r="I240" s="96">
        <f t="shared" si="28"/>
        <v>0.56533382298424428</v>
      </c>
      <c r="J240" s="37">
        <v>0.59891563458383001</v>
      </c>
      <c r="K240" s="37">
        <f t="shared" si="29"/>
        <v>0.27929165031323017</v>
      </c>
      <c r="L240" s="37">
        <f t="shared" si="31"/>
        <v>0.34045652173182761</v>
      </c>
      <c r="M240" s="45">
        <f t="shared" si="25"/>
        <v>1.8795887189962075E-2</v>
      </c>
    </row>
    <row r="241" spans="1:13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26"/>
        <v>84.9</v>
      </c>
      <c r="G241" s="70">
        <f t="shared" si="27"/>
        <v>3.6565085356648054E-4</v>
      </c>
      <c r="H241" s="37">
        <f t="shared" si="30"/>
        <v>0.82303034286206278</v>
      </c>
      <c r="I241" s="96">
        <f t="shared" si="28"/>
        <v>0.30262825707038049</v>
      </c>
      <c r="J241" s="37">
        <v>0.32060490148907428</v>
      </c>
      <c r="K241" s="37">
        <f t="shared" si="29"/>
        <v>0.14950732100626257</v>
      </c>
      <c r="L241" s="37">
        <f t="shared" si="31"/>
        <v>0.1822494243066341</v>
      </c>
      <c r="M241" s="45">
        <f t="shared" si="25"/>
        <v>1.8795887189962071E-2</v>
      </c>
    </row>
    <row r="242" spans="1:13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26"/>
        <v>191.6</v>
      </c>
      <c r="G242" s="70">
        <f t="shared" si="27"/>
        <v>8.2519085445627402E-4</v>
      </c>
      <c r="H242" s="37">
        <f t="shared" si="30"/>
        <v>1.8573923874248668</v>
      </c>
      <c r="I242" s="96">
        <f t="shared" si="28"/>
        <v>0.68296318085612362</v>
      </c>
      <c r="J242" s="37">
        <v>0.72353238074566106</v>
      </c>
      <c r="K242" s="37">
        <f t="shared" si="29"/>
        <v>0.33740403657008133</v>
      </c>
      <c r="L242" s="37">
        <f t="shared" si="31"/>
        <v>0.41129552057892915</v>
      </c>
      <c r="M242" s="45">
        <f t="shared" si="25"/>
        <v>1.8795887189962071E-2</v>
      </c>
    </row>
    <row r="243" spans="1:13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26"/>
        <v>220.11</v>
      </c>
      <c r="G243" s="70">
        <f t="shared" si="27"/>
        <v>9.4797890905203811E-4</v>
      </c>
      <c r="H243" s="37">
        <f t="shared" si="30"/>
        <v>2.1337715991445068</v>
      </c>
      <c r="I243" s="96">
        <f t="shared" si="28"/>
        <v>0.78458781700543523</v>
      </c>
      <c r="J243" s="37">
        <v>0.83119369689941269</v>
      </c>
      <c r="K243" s="37">
        <f t="shared" si="29"/>
        <v>0.38760961633319735</v>
      </c>
      <c r="L243" s="37">
        <f t="shared" si="31"/>
        <v>0.47249612231016758</v>
      </c>
      <c r="M243" s="45">
        <f t="shared" si="25"/>
        <v>1.8795887189962071E-2</v>
      </c>
    </row>
    <row r="244" spans="1:13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26"/>
        <v>154.1</v>
      </c>
      <c r="G244" s="70">
        <f t="shared" si="27"/>
        <v>6.6368429369369425E-4</v>
      </c>
      <c r="H244" s="37">
        <f t="shared" si="30"/>
        <v>1.4938630840405633</v>
      </c>
      <c r="I244" s="96">
        <f t="shared" si="28"/>
        <v>0.5492934560017152</v>
      </c>
      <c r="J244" s="37">
        <v>0.58192244192539855</v>
      </c>
      <c r="K244" s="37">
        <f t="shared" si="29"/>
        <v>0.27136723400547769</v>
      </c>
      <c r="L244" s="37">
        <f t="shared" si="31"/>
        <v>0.33079665825267734</v>
      </c>
      <c r="M244" s="45">
        <f t="shared" si="25"/>
        <v>1.8795887189962071E-2</v>
      </c>
    </row>
    <row r="245" spans="1:13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26"/>
        <v>219.1</v>
      </c>
      <c r="G245" s="70">
        <f t="shared" si="27"/>
        <v>9.4362899901549919E-4</v>
      </c>
      <c r="H245" s="37">
        <f t="shared" si="30"/>
        <v>2.1239805432400223</v>
      </c>
      <c r="I245" s="96">
        <f t="shared" si="28"/>
        <v>0.7809876457493562</v>
      </c>
      <c r="J245" s="37">
        <v>0.82737966921385353</v>
      </c>
      <c r="K245" s="37">
        <f t="shared" si="29"/>
        <v>0.38583102511745732</v>
      </c>
      <c r="L245" s="37">
        <f t="shared" si="31"/>
        <v>0.47032801961818049</v>
      </c>
      <c r="M245" s="45">
        <f t="shared" si="25"/>
        <v>1.8795887189962071E-2</v>
      </c>
    </row>
    <row r="246" spans="1:13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26"/>
        <v>255.8</v>
      </c>
      <c r="G246" s="70">
        <f t="shared" si="27"/>
        <v>1.1016900864818106E-3</v>
      </c>
      <c r="H246" s="37">
        <f t="shared" si="30"/>
        <v>2.4797545548187947</v>
      </c>
      <c r="I246" s="96">
        <f t="shared" si="28"/>
        <v>0.9118057498068709</v>
      </c>
      <c r="J246" s="37">
        <v>0.96596859600595053</v>
      </c>
      <c r="K246" s="37">
        <f t="shared" si="29"/>
        <v>0.45045904256068275</v>
      </c>
      <c r="L246" s="37">
        <f t="shared" si="31"/>
        <v>0.54910957288147233</v>
      </c>
      <c r="M246" s="45">
        <f t="shared" si="25"/>
        <v>1.8795887189962071E-2</v>
      </c>
    </row>
    <row r="247" spans="1:13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26"/>
        <v>58.3</v>
      </c>
      <c r="G247" s="70">
        <f t="shared" si="27"/>
        <v>2.5108886646555729E-4</v>
      </c>
      <c r="H247" s="37">
        <f t="shared" si="30"/>
        <v>0.56516689032813017</v>
      </c>
      <c r="I247" s="96">
        <f t="shared" si="28"/>
        <v>0.20781186557365347</v>
      </c>
      <c r="J247" s="37">
        <v>0.22015625155256804</v>
      </c>
      <c r="K247" s="37">
        <f t="shared" si="29"/>
        <v>0.10266521572043706</v>
      </c>
      <c r="L247" s="37">
        <f t="shared" si="31"/>
        <v>0.1251488979632128</v>
      </c>
      <c r="M247" s="45">
        <f t="shared" si="25"/>
        <v>1.8795887189962071E-2</v>
      </c>
    </row>
    <row r="248" spans="1:13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26"/>
        <v>47.2</v>
      </c>
      <c r="G248" s="70">
        <f t="shared" si="27"/>
        <v>2.0328292447983369E-4</v>
      </c>
      <c r="H248" s="37">
        <f t="shared" si="30"/>
        <v>0.45756221652637641</v>
      </c>
      <c r="I248" s="96">
        <f t="shared" si="28"/>
        <v>0.16824562701674861</v>
      </c>
      <c r="J248" s="37">
        <v>0.17823970966177038</v>
      </c>
      <c r="K248" s="37">
        <f t="shared" si="29"/>
        <v>8.3118322161314401E-2</v>
      </c>
      <c r="L248" s="37">
        <f t="shared" si="31"/>
        <v>0.10132123471464226</v>
      </c>
      <c r="M248" s="45">
        <f t="shared" si="25"/>
        <v>1.8795887189962071E-2</v>
      </c>
    </row>
    <row r="249" spans="1:13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26"/>
        <v>101.5</v>
      </c>
      <c r="G249" s="70">
        <f t="shared" si="27"/>
        <v>4.3714442446404913E-4</v>
      </c>
      <c r="H249" s="37">
        <f t="shared" si="30"/>
        <v>0.98395264782684744</v>
      </c>
      <c r="I249" s="96">
        <f t="shared" si="28"/>
        <v>0.3617993886059318</v>
      </c>
      <c r="J249" s="37">
        <v>0.38329090107351038</v>
      </c>
      <c r="K249" s="37">
        <f t="shared" si="29"/>
        <v>0.1787396122748604</v>
      </c>
      <c r="L249" s="37">
        <f t="shared" si="31"/>
        <v>0.21788358736305485</v>
      </c>
      <c r="M249" s="45">
        <f t="shared" si="25"/>
        <v>1.8795887189962068E-2</v>
      </c>
    </row>
    <row r="250" spans="1:13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26"/>
        <v>57.8</v>
      </c>
      <c r="G250" s="70">
        <f t="shared" si="27"/>
        <v>2.4893544565538953E-4</v>
      </c>
      <c r="H250" s="37">
        <f t="shared" si="30"/>
        <v>0.56031983294967269</v>
      </c>
      <c r="I250" s="96">
        <f t="shared" si="28"/>
        <v>0.20602960257559466</v>
      </c>
      <c r="J250" s="37">
        <v>0.21826811903496454</v>
      </c>
      <c r="K250" s="37">
        <f t="shared" si="29"/>
        <v>0.10178472501957567</v>
      </c>
      <c r="L250" s="37">
        <f t="shared" si="31"/>
        <v>0.12407557979886275</v>
      </c>
      <c r="M250" s="45">
        <f t="shared" si="25"/>
        <v>1.8795887189962068E-2</v>
      </c>
    </row>
    <row r="251" spans="1:13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26"/>
        <v>670.84999999999991</v>
      </c>
      <c r="G251" s="70">
        <f t="shared" si="27"/>
        <v>2.8892447010020425E-3</v>
      </c>
      <c r="H251" s="37">
        <f t="shared" si="30"/>
        <v>6.5032968846762609</v>
      </c>
      <c r="I251" s="96">
        <f t="shared" si="28"/>
        <v>2.3912622644954613</v>
      </c>
      <c r="J251" s="37">
        <v>2.5333073988686152</v>
      </c>
      <c r="K251" s="37">
        <f t="shared" si="29"/>
        <v>1.181354373345715</v>
      </c>
      <c r="L251" s="37">
        <f t="shared" si="31"/>
        <v>1.4400709811084267</v>
      </c>
      <c r="M251" s="45">
        <f t="shared" si="25"/>
        <v>1.8795887189962068E-2</v>
      </c>
    </row>
    <row r="252" spans="1:13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26"/>
        <v>648.9</v>
      </c>
      <c r="G252" s="70">
        <f t="shared" si="27"/>
        <v>2.7947095274356796E-3</v>
      </c>
      <c r="H252" s="37">
        <f t="shared" si="30"/>
        <v>6.2905110657619838</v>
      </c>
      <c r="I252" s="96">
        <f t="shared" si="28"/>
        <v>2.3130209188806816</v>
      </c>
      <c r="J252" s="37">
        <v>2.450418381345822</v>
      </c>
      <c r="K252" s="37">
        <f t="shared" si="29"/>
        <v>1.1427008315779006</v>
      </c>
      <c r="L252" s="37">
        <f t="shared" si="31"/>
        <v>1.392952313693461</v>
      </c>
      <c r="M252" s="45">
        <f t="shared" si="25"/>
        <v>1.8795887189962075E-2</v>
      </c>
    </row>
    <row r="253" spans="1:13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26"/>
        <v>753.1</v>
      </c>
      <c r="G253" s="70">
        <f t="shared" si="27"/>
        <v>3.2434824242746347E-3</v>
      </c>
      <c r="H253" s="37">
        <f t="shared" si="30"/>
        <v>7.3006378234325009</v>
      </c>
      <c r="I253" s="96">
        <f t="shared" si="28"/>
        <v>2.6844445276761308</v>
      </c>
      <c r="J253" s="37">
        <v>2.843905198014391</v>
      </c>
      <c r="K253" s="37">
        <f t="shared" si="29"/>
        <v>1.3261950936374127</v>
      </c>
      <c r="L253" s="37">
        <f t="shared" si="31"/>
        <v>1.6166318191440063</v>
      </c>
      <c r="M253" s="45">
        <f t="shared" si="25"/>
        <v>1.8795887189962071E-2</v>
      </c>
    </row>
    <row r="254" spans="1:13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26"/>
        <v>276.60000000000002</v>
      </c>
      <c r="G254" s="70">
        <f t="shared" si="27"/>
        <v>1.1912723921847883E-3</v>
      </c>
      <c r="H254" s="37">
        <f t="shared" si="30"/>
        <v>2.681392141762621</v>
      </c>
      <c r="I254" s="96">
        <f t="shared" si="28"/>
        <v>0.98594789052611576</v>
      </c>
      <c r="J254" s="37">
        <v>1.0445149087382561</v>
      </c>
      <c r="K254" s="37">
        <f t="shared" si="29"/>
        <v>0.48708745571651624</v>
      </c>
      <c r="L254" s="37">
        <f t="shared" si="31"/>
        <v>0.59375960851843335</v>
      </c>
      <c r="M254" s="45">
        <f t="shared" si="25"/>
        <v>1.8795887189962075E-2</v>
      </c>
    </row>
    <row r="255" spans="1:13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26"/>
        <v>238.8</v>
      </c>
      <c r="G255" s="70">
        <f t="shared" si="27"/>
        <v>1.0284737789361077E-3</v>
      </c>
      <c r="H255" s="37">
        <f t="shared" si="30"/>
        <v>2.314954603951243</v>
      </c>
      <c r="I255" s="96">
        <f t="shared" si="28"/>
        <v>0.85120880787287212</v>
      </c>
      <c r="J255" s="37">
        <v>0.90177209040743156</v>
      </c>
      <c r="K255" s="37">
        <f t="shared" si="29"/>
        <v>0.42052235873139571</v>
      </c>
      <c r="L255" s="37">
        <f t="shared" si="31"/>
        <v>0.51261675529357142</v>
      </c>
      <c r="M255" s="45">
        <f t="shared" si="25"/>
        <v>1.8795887189962068E-2</v>
      </c>
    </row>
    <row r="256" spans="1:13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26"/>
        <v>754.13</v>
      </c>
      <c r="G256" s="70">
        <f t="shared" si="27"/>
        <v>3.2479184711435801E-3</v>
      </c>
      <c r="H256" s="37">
        <f t="shared" si="30"/>
        <v>7.3106227616321231</v>
      </c>
      <c r="I256" s="96">
        <f t="shared" si="28"/>
        <v>2.688115989452132</v>
      </c>
      <c r="J256" s="37">
        <v>2.8477947510006545</v>
      </c>
      <c r="K256" s="37">
        <f t="shared" si="29"/>
        <v>1.3280089044811871</v>
      </c>
      <c r="L256" s="37">
        <f t="shared" si="31"/>
        <v>1.6188428545625673</v>
      </c>
      <c r="M256" s="45">
        <f t="shared" si="25"/>
        <v>1.8795887189962071E-2</v>
      </c>
    </row>
    <row r="257" spans="1:13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26"/>
        <v>911.08</v>
      </c>
      <c r="G257" s="70">
        <f t="shared" si="27"/>
        <v>3.9238772634552308E-3</v>
      </c>
      <c r="H257" s="37">
        <f t="shared" si="30"/>
        <v>8.8321140727298939</v>
      </c>
      <c r="I257" s="96">
        <f t="shared" si="28"/>
        <v>3.2475683445427821</v>
      </c>
      <c r="J257" s="37">
        <v>3.4404795482763926</v>
      </c>
      <c r="K257" s="37">
        <f t="shared" si="29"/>
        <v>1.6043949354815747</v>
      </c>
      <c r="L257" s="37">
        <f t="shared" si="31"/>
        <v>1.9557574263520396</v>
      </c>
      <c r="M257" s="45">
        <f t="shared" si="25"/>
        <v>1.8795887189962071E-2</v>
      </c>
    </row>
    <row r="258" spans="1:13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26"/>
        <v>707.90000000000009</v>
      </c>
      <c r="G258" s="70">
        <f t="shared" si="27"/>
        <v>3.0488131830354722E-3</v>
      </c>
      <c r="H258" s="37">
        <f t="shared" si="30"/>
        <v>6.8624638364199546</v>
      </c>
      <c r="I258" s="96">
        <f t="shared" si="28"/>
        <v>2.5233279526516177</v>
      </c>
      <c r="J258" s="37">
        <v>2.673218018423035</v>
      </c>
      <c r="K258" s="37">
        <f t="shared" si="29"/>
        <v>1.2465987342795439</v>
      </c>
      <c r="L258" s="37">
        <f t="shared" si="31"/>
        <v>1.5196038570867643</v>
      </c>
      <c r="M258" s="45">
        <f t="shared" si="25"/>
        <v>1.8795887189962071E-2</v>
      </c>
    </row>
    <row r="259" spans="1:13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26"/>
        <v>814.34</v>
      </c>
      <c r="G259" s="70">
        <f t="shared" si="27"/>
        <v>3.5072334051039784E-3</v>
      </c>
      <c r="H259" s="37">
        <f t="shared" si="30"/>
        <v>7.894305411145961</v>
      </c>
      <c r="I259" s="96">
        <f t="shared" si="28"/>
        <v>2.90273609967837</v>
      </c>
      <c r="J259" s="37">
        <v>3.0751636687704678</v>
      </c>
      <c r="K259" s="37">
        <f t="shared" si="29"/>
        <v>1.4340375946789146</v>
      </c>
      <c r="L259" s="37">
        <f t="shared" si="31"/>
        <v>1.7480918279135971</v>
      </c>
      <c r="M259" s="45">
        <f t="shared" si="25"/>
        <v>1.8795887189962071E-2</v>
      </c>
    </row>
    <row r="260" spans="1:13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26"/>
        <v>562.29999999999995</v>
      </c>
      <c r="G260" s="70">
        <f>0/232188.71*F260</f>
        <v>0</v>
      </c>
      <c r="H260" s="37">
        <f t="shared" si="30"/>
        <v>0</v>
      </c>
      <c r="I260" s="96">
        <f t="shared" si="28"/>
        <v>0</v>
      </c>
      <c r="J260" s="37">
        <v>0</v>
      </c>
      <c r="K260" s="37">
        <f t="shared" si="29"/>
        <v>0</v>
      </c>
      <c r="L260" s="37">
        <f t="shared" si="31"/>
        <v>0</v>
      </c>
      <c r="M260" s="45">
        <f t="shared" si="25"/>
        <v>0</v>
      </c>
    </row>
    <row r="261" spans="1:13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26"/>
        <v>410.5</v>
      </c>
      <c r="G261" s="70">
        <f t="shared" si="27"/>
        <v>1.7679584851477061E-3</v>
      </c>
      <c r="H261" s="37">
        <f t="shared" si="30"/>
        <v>3.979434107713506</v>
      </c>
      <c r="I261" s="96">
        <f t="shared" si="28"/>
        <v>1.4632379214062563</v>
      </c>
      <c r="J261" s="37">
        <v>1.5501567969524732</v>
      </c>
      <c r="K261" s="37">
        <f t="shared" si="29"/>
        <v>0.72288286540719404</v>
      </c>
      <c r="L261" s="37">
        <f t="shared" si="31"/>
        <v>0.88119421293136957</v>
      </c>
      <c r="M261" s="45">
        <f t="shared" si="25"/>
        <v>1.8795887189962071E-2</v>
      </c>
    </row>
    <row r="262" spans="1:13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26"/>
        <v>523.27</v>
      </c>
      <c r="G262" s="70">
        <f t="shared" si="27"/>
        <v>2.2536410146729358E-3</v>
      </c>
      <c r="H262" s="37">
        <f t="shared" si="30"/>
        <v>5.072639428850783</v>
      </c>
      <c r="I262" s="96">
        <f t="shared" si="28"/>
        <v>1.8652095179884332</v>
      </c>
      <c r="J262" s="37">
        <v>1.9760062049727665</v>
      </c>
      <c r="K262" s="37">
        <f t="shared" si="29"/>
        <v>0.92146873807947005</v>
      </c>
      <c r="L262" s="37">
        <f t="shared" si="31"/>
        <v>1.123270391718874</v>
      </c>
      <c r="M262" s="45">
        <f t="shared" si="25"/>
        <v>1.8795887189962071E-2</v>
      </c>
    </row>
    <row r="263" spans="1:13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26"/>
        <v>684.1</v>
      </c>
      <c r="G263" s="70">
        <f t="shared" si="27"/>
        <v>2.9463103524714879E-3</v>
      </c>
      <c r="H263" s="37">
        <f t="shared" si="30"/>
        <v>6.6317439052053828</v>
      </c>
      <c r="I263" s="96">
        <f t="shared" si="28"/>
        <v>2.4384922339440194</v>
      </c>
      <c r="J263" s="37">
        <v>2.5833429105851082</v>
      </c>
      <c r="K263" s="37">
        <f t="shared" si="29"/>
        <v>1.204687376918542</v>
      </c>
      <c r="L263" s="37">
        <f t="shared" si="31"/>
        <v>1.4685139124637028</v>
      </c>
      <c r="M263" s="45">
        <f t="shared" ref="M263:M326" si="32">(K263+J263+I263+H263)/F263</f>
        <v>1.8795887189962071E-2</v>
      </c>
    </row>
    <row r="264" spans="1:13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26"/>
        <v>659.08</v>
      </c>
      <c r="G264" s="70">
        <f t="shared" si="27"/>
        <v>2.8385531751306948E-3</v>
      </c>
      <c r="H264" s="37">
        <f t="shared" si="30"/>
        <v>6.3891971539873769</v>
      </c>
      <c r="I264" s="96">
        <f t="shared" si="28"/>
        <v>2.3493077935211586</v>
      </c>
      <c r="J264" s="37">
        <v>2.4888607594042291</v>
      </c>
      <c r="K264" s="37">
        <f t="shared" si="29"/>
        <v>1.1606276222474385</v>
      </c>
      <c r="L264" s="37">
        <f t="shared" si="31"/>
        <v>1.4148050715196276</v>
      </c>
      <c r="M264" s="45">
        <f t="shared" si="32"/>
        <v>1.8795887189962071E-2</v>
      </c>
    </row>
    <row r="265" spans="1:13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26"/>
        <v>466.5</v>
      </c>
      <c r="G265" s="70">
        <f t="shared" si="27"/>
        <v>2.0091416158864919E-3</v>
      </c>
      <c r="H265" s="37">
        <f t="shared" si="30"/>
        <v>4.5223045341007317</v>
      </c>
      <c r="I265" s="96">
        <f t="shared" si="28"/>
        <v>1.6628513771888391</v>
      </c>
      <c r="J265" s="37">
        <v>1.761627638924065</v>
      </c>
      <c r="K265" s="37">
        <f t="shared" si="29"/>
        <v>0.82149782390366877</v>
      </c>
      <c r="L265" s="37">
        <f t="shared" si="31"/>
        <v>1.0014058473385723</v>
      </c>
      <c r="M265" s="45">
        <f t="shared" si="32"/>
        <v>1.8795887189962068E-2</v>
      </c>
    </row>
    <row r="266" spans="1:13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26"/>
        <v>412.04</v>
      </c>
      <c r="G266" s="70">
        <f t="shared" si="27"/>
        <v>1.7745910212430228E-3</v>
      </c>
      <c r="H266" s="37">
        <f t="shared" si="30"/>
        <v>3.9943630444391549</v>
      </c>
      <c r="I266" s="96">
        <f t="shared" si="28"/>
        <v>1.4687272914402774</v>
      </c>
      <c r="J266" s="37">
        <v>1.555972245106692</v>
      </c>
      <c r="K266" s="37">
        <f t="shared" si="29"/>
        <v>0.72559477676584716</v>
      </c>
      <c r="L266" s="37">
        <f t="shared" si="31"/>
        <v>0.88450003287756773</v>
      </c>
      <c r="M266" s="45">
        <f t="shared" si="32"/>
        <v>1.8795887189962071E-2</v>
      </c>
    </row>
    <row r="267" spans="1:13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26"/>
        <v>303.5</v>
      </c>
      <c r="G267" s="70">
        <f t="shared" si="27"/>
        <v>1.3071264317718119E-3</v>
      </c>
      <c r="H267" s="37">
        <f t="shared" si="30"/>
        <v>2.9421638287236278</v>
      </c>
      <c r="I267" s="96">
        <f t="shared" si="28"/>
        <v>1.0818336398216781</v>
      </c>
      <c r="J267" s="37">
        <v>1.1460964381853243</v>
      </c>
      <c r="K267" s="37">
        <f t="shared" si="29"/>
        <v>0.5344578554228584</v>
      </c>
      <c r="L267" s="37">
        <f t="shared" si="31"/>
        <v>0.65150412576046446</v>
      </c>
      <c r="M267" s="45">
        <f t="shared" si="32"/>
        <v>1.8795887189962075E-2</v>
      </c>
    </row>
    <row r="268" spans="1:13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26"/>
        <v>654.13</v>
      </c>
      <c r="G268" s="70">
        <f t="shared" si="27"/>
        <v>2.8172343091100341E-3</v>
      </c>
      <c r="H268" s="37">
        <f t="shared" si="30"/>
        <v>6.3412112859406484</v>
      </c>
      <c r="I268" s="96">
        <f t="shared" si="28"/>
        <v>2.3316633898403767</v>
      </c>
      <c r="J268" s="37">
        <v>2.4701682474799544</v>
      </c>
      <c r="K268" s="37">
        <f t="shared" si="29"/>
        <v>1.1519107643089108</v>
      </c>
      <c r="L268" s="37">
        <f t="shared" si="31"/>
        <v>1.4041792216925624</v>
      </c>
      <c r="M268" s="45">
        <f t="shared" si="32"/>
        <v>1.8795887189962071E-2</v>
      </c>
    </row>
    <row r="269" spans="1:13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si="26"/>
        <v>642.62</v>
      </c>
      <c r="G269" s="70">
        <f t="shared" si="27"/>
        <v>2.7676625620599729E-3</v>
      </c>
      <c r="H269" s="37">
        <f t="shared" si="30"/>
        <v>6.2296320250885584</v>
      </c>
      <c r="I269" s="96">
        <f t="shared" si="28"/>
        <v>2.2906356956250633</v>
      </c>
      <c r="J269" s="37">
        <v>2.426703436924722</v>
      </c>
      <c r="K269" s="37">
        <f t="shared" si="29"/>
        <v>1.1316418683750817</v>
      </c>
      <c r="L269" s="37">
        <f t="shared" si="31"/>
        <v>1.3794714375492247</v>
      </c>
      <c r="M269" s="45">
        <f t="shared" si="32"/>
        <v>1.8795887189962068E-2</v>
      </c>
    </row>
    <row r="270" spans="1:13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si="26"/>
        <v>278.7</v>
      </c>
      <c r="G270" s="70">
        <f t="shared" si="27"/>
        <v>1.2003167595874926E-3</v>
      </c>
      <c r="H270" s="37">
        <f t="shared" si="30"/>
        <v>2.7017497827521417</v>
      </c>
      <c r="I270" s="96">
        <f t="shared" si="28"/>
        <v>0.99343339511796258</v>
      </c>
      <c r="J270" s="37">
        <v>1.0524450653121908</v>
      </c>
      <c r="K270" s="37">
        <f t="shared" si="29"/>
        <v>0.49078551666013398</v>
      </c>
      <c r="L270" s="37">
        <f t="shared" si="31"/>
        <v>0.59826754480870337</v>
      </c>
      <c r="M270" s="45">
        <f t="shared" si="32"/>
        <v>1.8795887189962071E-2</v>
      </c>
    </row>
    <row r="271" spans="1:13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ref="F271:F334" si="33">C271+D271+E271</f>
        <v>3583.55</v>
      </c>
      <c r="G271" s="70">
        <f t="shared" si="27"/>
        <v>1.5433782288553136E-2</v>
      </c>
      <c r="H271" s="37">
        <f t="shared" si="30"/>
        <v>34.739344937141865</v>
      </c>
      <c r="I271" s="96">
        <f t="shared" si="28"/>
        <v>12.773657133387065</v>
      </c>
      <c r="J271" s="37">
        <v>13.532434566916043</v>
      </c>
      <c r="K271" s="37">
        <f t="shared" si="29"/>
        <v>6.3105649021436063</v>
      </c>
      <c r="L271" s="37">
        <f t="shared" si="31"/>
        <v>7.6925786157130567</v>
      </c>
      <c r="M271" s="45">
        <f t="shared" si="32"/>
        <v>1.8795887189962068E-2</v>
      </c>
    </row>
    <row r="272" spans="1:13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33"/>
        <v>513.5</v>
      </c>
      <c r="G272" s="70">
        <f t="shared" si="27"/>
        <v>2.2115631720422586E-3</v>
      </c>
      <c r="H272" s="37">
        <f t="shared" si="30"/>
        <v>4.9779279276757258</v>
      </c>
      <c r="I272" s="96">
        <f t="shared" si="28"/>
        <v>1.8303840990063645</v>
      </c>
      <c r="J272" s="37">
        <v>1.9391120955787944</v>
      </c>
      <c r="K272" s="37">
        <f t="shared" si="29"/>
        <v>0.90426394978463875</v>
      </c>
      <c r="L272" s="37">
        <f t="shared" si="31"/>
        <v>1.1022977547874748</v>
      </c>
      <c r="M272" s="45">
        <f t="shared" si="32"/>
        <v>1.8795887189962071E-2</v>
      </c>
    </row>
    <row r="273" spans="1:13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33"/>
        <v>420.4</v>
      </c>
      <c r="G273" s="70">
        <f t="shared" si="27"/>
        <v>1.810596217189027E-3</v>
      </c>
      <c r="H273" s="37">
        <f t="shared" si="30"/>
        <v>4.0754058438069611</v>
      </c>
      <c r="I273" s="96">
        <f t="shared" si="28"/>
        <v>1.4985267287678197</v>
      </c>
      <c r="J273" s="37">
        <v>1.5875418208010224</v>
      </c>
      <c r="K273" s="37">
        <f t="shared" si="29"/>
        <v>0.74031658128424938</v>
      </c>
      <c r="L273" s="37">
        <f t="shared" si="31"/>
        <v>0.9024459125855</v>
      </c>
      <c r="M273" s="45">
        <f t="shared" si="32"/>
        <v>1.8795887189962068E-2</v>
      </c>
    </row>
    <row r="274" spans="1:13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33"/>
        <v>344.2</v>
      </c>
      <c r="G274" s="70">
        <f t="shared" si="27"/>
        <v>1.482414885719465E-3</v>
      </c>
      <c r="H274" s="37">
        <f t="shared" si="30"/>
        <v>3.3367142993300583</v>
      </c>
      <c r="I274" s="96">
        <f t="shared" si="28"/>
        <v>1.2269098478636624</v>
      </c>
      <c r="J274" s="37">
        <v>1.2997904251182493</v>
      </c>
      <c r="K274" s="37">
        <f t="shared" si="29"/>
        <v>0.60612979847297488</v>
      </c>
      <c r="L274" s="37">
        <f t="shared" si="31"/>
        <v>0.73887222433855648</v>
      </c>
      <c r="M274" s="45">
        <f t="shared" si="32"/>
        <v>1.8795887189962071E-2</v>
      </c>
    </row>
    <row r="275" spans="1:13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33"/>
        <v>349.5</v>
      </c>
      <c r="G275" s="70">
        <f t="shared" si="27"/>
        <v>1.5052411463072431E-3</v>
      </c>
      <c r="H275" s="37">
        <f t="shared" si="30"/>
        <v>3.3880931075417062</v>
      </c>
      <c r="I275" s="96">
        <f t="shared" si="28"/>
        <v>1.2458018356430856</v>
      </c>
      <c r="J275" s="37">
        <v>1.3198046298048463</v>
      </c>
      <c r="K275" s="37">
        <f t="shared" si="29"/>
        <v>0.61546299990210551</v>
      </c>
      <c r="L275" s="37">
        <f t="shared" si="31"/>
        <v>0.75024939688066672</v>
      </c>
      <c r="M275" s="45">
        <f t="shared" si="32"/>
        <v>1.8795887189962071E-2</v>
      </c>
    </row>
    <row r="276" spans="1:13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33"/>
        <v>437.7</v>
      </c>
      <c r="G276" s="70">
        <f t="shared" si="27"/>
        <v>1.8851045772208307E-3</v>
      </c>
      <c r="H276" s="37">
        <f t="shared" si="30"/>
        <v>4.2431140291015881</v>
      </c>
      <c r="I276" s="96">
        <f t="shared" si="28"/>
        <v>1.560193028500654</v>
      </c>
      <c r="J276" s="37">
        <v>1.6528712059101036</v>
      </c>
      <c r="K276" s="37">
        <f t="shared" si="29"/>
        <v>0.77078155953405325</v>
      </c>
      <c r="L276" s="37">
        <f t="shared" si="31"/>
        <v>0.93958272107201102</v>
      </c>
      <c r="M276" s="45">
        <f t="shared" si="32"/>
        <v>1.8795887189962075E-2</v>
      </c>
    </row>
    <row r="277" spans="1:13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33"/>
        <v>555.74</v>
      </c>
      <c r="G277" s="70">
        <f t="shared" si="27"/>
        <v>2.3934841620852285E-3</v>
      </c>
      <c r="H277" s="37">
        <f t="shared" si="30"/>
        <v>5.387407335007806</v>
      </c>
      <c r="I277" s="96">
        <f t="shared" si="28"/>
        <v>1.9809496770823705</v>
      </c>
      <c r="J277" s="37">
        <v>2.0986215306659379</v>
      </c>
      <c r="K277" s="37">
        <f t="shared" si="29"/>
        <v>0.97864780419340824</v>
      </c>
      <c r="L277" s="37">
        <f t="shared" si="31"/>
        <v>1.1929716733117648</v>
      </c>
      <c r="M277" s="45">
        <f t="shared" si="32"/>
        <v>1.8795887189962071E-2</v>
      </c>
    </row>
    <row r="278" spans="1:13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33"/>
        <v>396.6</v>
      </c>
      <c r="G278" s="70">
        <f t="shared" si="27"/>
        <v>1.7080933866250433E-3</v>
      </c>
      <c r="H278" s="37">
        <f t="shared" si="30"/>
        <v>3.8446859125923916</v>
      </c>
      <c r="I278" s="96">
        <f t="shared" si="28"/>
        <v>1.4136910100602225</v>
      </c>
      <c r="J278" s="37">
        <v>1.4976667129630961</v>
      </c>
      <c r="K278" s="37">
        <f t="shared" si="29"/>
        <v>0.69840522392324766</v>
      </c>
      <c r="L278" s="37">
        <f t="shared" si="31"/>
        <v>0.85135596796243895</v>
      </c>
      <c r="M278" s="45">
        <f t="shared" si="32"/>
        <v>1.8795887189962071E-2</v>
      </c>
    </row>
    <row r="279" spans="1:13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33"/>
        <v>1778.9</v>
      </c>
      <c r="G279" s="70">
        <f t="shared" si="27"/>
        <v>7.6614405584147496E-3</v>
      </c>
      <c r="H279" s="37">
        <f t="shared" si="30"/>
        <v>17.244860741075655</v>
      </c>
      <c r="I279" s="96">
        <f t="shared" si="28"/>
        <v>6.3409352944935184</v>
      </c>
      <c r="J279" s="37">
        <v>6.7175978711297306</v>
      </c>
      <c r="K279" s="37">
        <f t="shared" si="29"/>
        <v>3.1326098155246229</v>
      </c>
      <c r="L279" s="37">
        <f t="shared" si="31"/>
        <v>3.8186513651245155</v>
      </c>
      <c r="M279" s="45">
        <f t="shared" si="32"/>
        <v>1.8795887189962071E-2</v>
      </c>
    </row>
    <row r="280" spans="1:13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33"/>
        <v>731.78</v>
      </c>
      <c r="G280" s="70">
        <f t="shared" si="27"/>
        <v>3.1516605609290824E-3</v>
      </c>
      <c r="H280" s="37">
        <f t="shared" si="30"/>
        <v>7.0939592968150782</v>
      </c>
      <c r="I280" s="96">
        <f t="shared" si="28"/>
        <v>2.6084488334389047</v>
      </c>
      <c r="J280" s="37">
        <v>2.7633952274637776</v>
      </c>
      <c r="K280" s="37">
        <f t="shared" si="29"/>
        <v>1.2886509701526832</v>
      </c>
      <c r="L280" s="37">
        <f t="shared" si="31"/>
        <v>1.5708655326161209</v>
      </c>
      <c r="M280" s="45">
        <f t="shared" si="32"/>
        <v>1.8795887189962071E-2</v>
      </c>
    </row>
    <row r="281" spans="1:13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33"/>
        <v>185.4</v>
      </c>
      <c r="G281" s="70">
        <f t="shared" si="27"/>
        <v>7.984884364101942E-4</v>
      </c>
      <c r="H281" s="37">
        <f t="shared" si="30"/>
        <v>1.7972888759319952</v>
      </c>
      <c r="I281" s="96">
        <f t="shared" si="28"/>
        <v>0.66086311968019462</v>
      </c>
      <c r="J281" s="37">
        <v>0.70011953752737777</v>
      </c>
      <c r="K281" s="37">
        <f t="shared" si="29"/>
        <v>0.32648595187940022</v>
      </c>
      <c r="L281" s="37">
        <f t="shared" si="31"/>
        <v>0.39798637534098891</v>
      </c>
      <c r="M281" s="45">
        <f t="shared" si="32"/>
        <v>1.8795887189962068E-2</v>
      </c>
    </row>
    <row r="282" spans="1:13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33"/>
        <v>478.6</v>
      </c>
      <c r="G282" s="70">
        <f t="shared" si="27"/>
        <v>2.0612543994925512E-3</v>
      </c>
      <c r="H282" s="37">
        <f t="shared" si="30"/>
        <v>4.6396033226594016</v>
      </c>
      <c r="I282" s="96">
        <f t="shared" si="28"/>
        <v>1.7059821417418621</v>
      </c>
      <c r="J282" s="37">
        <v>1.80732044585007</v>
      </c>
      <c r="K282" s="37">
        <f t="shared" si="29"/>
        <v>0.84280569886451429</v>
      </c>
      <c r="L282" s="37">
        <f t="shared" si="31"/>
        <v>1.027380146915843</v>
      </c>
      <c r="M282" s="45">
        <f t="shared" si="32"/>
        <v>1.8795887189962071E-2</v>
      </c>
    </row>
    <row r="283" spans="1:13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33"/>
        <v>496.38</v>
      </c>
      <c r="G283" s="70">
        <f t="shared" si="27"/>
        <v>2.1378300435021154E-3</v>
      </c>
      <c r="H283" s="37">
        <f t="shared" si="30"/>
        <v>4.8119646830373446</v>
      </c>
      <c r="I283" s="96">
        <f t="shared" si="28"/>
        <v>1.7693594139528317</v>
      </c>
      <c r="J283" s="37">
        <v>1.8744624381760502</v>
      </c>
      <c r="K283" s="37">
        <f t="shared" ref="K283:K346" si="34">G283*408.88</f>
        <v>0.87411594818714489</v>
      </c>
      <c r="L283" s="37">
        <f t="shared" si="31"/>
        <v>1.0655473408401297</v>
      </c>
      <c r="M283" s="45">
        <f t="shared" si="32"/>
        <v>1.8795887189962071E-2</v>
      </c>
    </row>
    <row r="284" spans="1:13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33"/>
        <v>260.8</v>
      </c>
      <c r="G284" s="70">
        <f t="shared" ref="G284:G347" si="35">1/232188.71*F284</f>
        <v>1.123224294583488E-3</v>
      </c>
      <c r="H284" s="37">
        <f t="shared" si="30"/>
        <v>2.5282251286033683</v>
      </c>
      <c r="I284" s="96">
        <f t="shared" ref="I284:I347" si="36">H284*0.3677</f>
        <v>0.9296283797874586</v>
      </c>
      <c r="J284" s="37">
        <v>0.98484992118198544</v>
      </c>
      <c r="K284" s="37">
        <f t="shared" si="34"/>
        <v>0.45926394956929656</v>
      </c>
      <c r="L284" s="37">
        <f t="shared" si="31"/>
        <v>0.55984275452497256</v>
      </c>
      <c r="M284" s="45">
        <f t="shared" si="32"/>
        <v>1.8795887189962071E-2</v>
      </c>
    </row>
    <row r="285" spans="1:13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33"/>
        <v>282.8</v>
      </c>
      <c r="G285" s="70">
        <f t="shared" si="35"/>
        <v>1.217974810230868E-3</v>
      </c>
      <c r="H285" s="37">
        <f t="shared" ref="H285:H348" si="37">G285*1218*1.54*1.2</f>
        <v>2.7414956532554924</v>
      </c>
      <c r="I285" s="96">
        <f t="shared" si="36"/>
        <v>1.0080479517020446</v>
      </c>
      <c r="J285" s="37">
        <v>1.0679277519565393</v>
      </c>
      <c r="K285" s="37">
        <f t="shared" si="34"/>
        <v>0.4980055404071973</v>
      </c>
      <c r="L285" s="37">
        <f t="shared" ref="L285:L348" si="38">K285*1.219</f>
        <v>0.60706875375637359</v>
      </c>
      <c r="M285" s="45">
        <f t="shared" si="32"/>
        <v>1.8795887189962071E-2</v>
      </c>
    </row>
    <row r="286" spans="1:13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33"/>
        <v>227.3</v>
      </c>
      <c r="G286" s="70">
        <f t="shared" si="35"/>
        <v>9.7894510030224996E-4</v>
      </c>
      <c r="H286" s="37">
        <f t="shared" si="37"/>
        <v>2.2034722842467236</v>
      </c>
      <c r="I286" s="96">
        <f t="shared" si="36"/>
        <v>0.81021675891752032</v>
      </c>
      <c r="J286" s="37">
        <v>0.85834504250255095</v>
      </c>
      <c r="K286" s="37">
        <f t="shared" si="34"/>
        <v>0.40027107261158396</v>
      </c>
      <c r="L286" s="37">
        <f t="shared" si="38"/>
        <v>0.48793043751352089</v>
      </c>
      <c r="M286" s="45">
        <f t="shared" si="32"/>
        <v>1.8795887189962068E-2</v>
      </c>
    </row>
    <row r="287" spans="1:13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33"/>
        <v>7849.73</v>
      </c>
      <c r="G287" s="70">
        <f t="shared" si="35"/>
        <v>3.3807543872395866E-2</v>
      </c>
      <c r="H287" s="37">
        <f t="shared" si="37"/>
        <v>76.096183430796444</v>
      </c>
      <c r="I287" s="96">
        <f t="shared" si="36"/>
        <v>27.980566647503853</v>
      </c>
      <c r="J287" s="37">
        <v>29.642660934815439</v>
      </c>
      <c r="K287" s="37">
        <f t="shared" si="34"/>
        <v>13.823228538545221</v>
      </c>
      <c r="L287" s="37">
        <f t="shared" si="38"/>
        <v>16.850515588486626</v>
      </c>
      <c r="M287" s="45">
        <f t="shared" si="32"/>
        <v>1.8795887189962071E-2</v>
      </c>
    </row>
    <row r="288" spans="1:13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33"/>
        <v>454.20000000000005</v>
      </c>
      <c r="G288" s="70">
        <f t="shared" si="35"/>
        <v>1.9561674639563659E-3</v>
      </c>
      <c r="H288" s="37">
        <f t="shared" si="37"/>
        <v>4.4030669225906811</v>
      </c>
      <c r="I288" s="96">
        <f t="shared" si="36"/>
        <v>1.6190077074365936</v>
      </c>
      <c r="J288" s="37">
        <v>1.7151795789910191</v>
      </c>
      <c r="K288" s="37">
        <f t="shared" si="34"/>
        <v>0.79983775266247892</v>
      </c>
      <c r="L288" s="37">
        <f t="shared" si="38"/>
        <v>0.97500222049556184</v>
      </c>
      <c r="M288" s="45">
        <f t="shared" si="32"/>
        <v>1.8795887189962068E-2</v>
      </c>
    </row>
    <row r="289" spans="1:13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33"/>
        <v>493.90000000000003</v>
      </c>
      <c r="G289" s="70">
        <f t="shared" si="35"/>
        <v>2.1271490762836834E-3</v>
      </c>
      <c r="H289" s="37">
        <f t="shared" si="37"/>
        <v>4.7879232784401964</v>
      </c>
      <c r="I289" s="96">
        <f t="shared" si="36"/>
        <v>1.7605193894824602</v>
      </c>
      <c r="J289" s="37">
        <v>1.865097300888737</v>
      </c>
      <c r="K289" s="37">
        <f t="shared" si="34"/>
        <v>0.86974871431087242</v>
      </c>
      <c r="L289" s="37">
        <f t="shared" si="38"/>
        <v>1.0602236827449536</v>
      </c>
      <c r="M289" s="45">
        <f t="shared" si="32"/>
        <v>1.8795887189962068E-2</v>
      </c>
    </row>
    <row r="290" spans="1:13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33"/>
        <v>698.82</v>
      </c>
      <c r="G290" s="70">
        <f t="shared" si="35"/>
        <v>3.0097070611228259E-3</v>
      </c>
      <c r="H290" s="37">
        <f t="shared" si="37"/>
        <v>6.7744412744271685</v>
      </c>
      <c r="I290" s="96">
        <f t="shared" si="36"/>
        <v>2.49096205660687</v>
      </c>
      <c r="J290" s="37">
        <v>2.6389295319033557</v>
      </c>
      <c r="K290" s="37">
        <f t="shared" si="34"/>
        <v>1.2306090231519011</v>
      </c>
      <c r="L290" s="37">
        <f t="shared" si="38"/>
        <v>1.5001123992221677</v>
      </c>
      <c r="M290" s="45">
        <f t="shared" si="32"/>
        <v>1.8795887189962071E-2</v>
      </c>
    </row>
    <row r="291" spans="1:13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33"/>
        <v>559.52</v>
      </c>
      <c r="G291" s="70">
        <f t="shared" si="35"/>
        <v>2.4097640234100963E-3</v>
      </c>
      <c r="H291" s="37">
        <f t="shared" si="37"/>
        <v>5.4240510887889428</v>
      </c>
      <c r="I291" s="96">
        <f t="shared" si="36"/>
        <v>1.9944235853476944</v>
      </c>
      <c r="J291" s="37">
        <v>2.11289581249902</v>
      </c>
      <c r="K291" s="37">
        <f t="shared" si="34"/>
        <v>0.98530431389192019</v>
      </c>
      <c r="L291" s="37">
        <f t="shared" si="38"/>
        <v>1.2010859586342508</v>
      </c>
      <c r="M291" s="45">
        <f t="shared" si="32"/>
        <v>1.8795887189962071E-2</v>
      </c>
    </row>
    <row r="292" spans="1:13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33"/>
        <v>958</v>
      </c>
      <c r="G292" s="70">
        <f t="shared" si="35"/>
        <v>4.1259542722813704E-3</v>
      </c>
      <c r="H292" s="37">
        <f t="shared" si="37"/>
        <v>9.2869619371243353</v>
      </c>
      <c r="I292" s="96">
        <f t="shared" si="36"/>
        <v>3.4148159042806183</v>
      </c>
      <c r="J292" s="37">
        <v>3.6176619037283055</v>
      </c>
      <c r="K292" s="37">
        <f t="shared" si="34"/>
        <v>1.6870201828504068</v>
      </c>
      <c r="L292" s="37">
        <f t="shared" si="38"/>
        <v>2.0564776028946459</v>
      </c>
      <c r="M292" s="45">
        <f t="shared" si="32"/>
        <v>1.8795887189962075E-2</v>
      </c>
    </row>
    <row r="293" spans="1:13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33"/>
        <v>700</v>
      </c>
      <c r="G293" s="70">
        <f t="shared" si="35"/>
        <v>3.0147891342348215E-3</v>
      </c>
      <c r="H293" s="37">
        <f t="shared" si="37"/>
        <v>6.7858803298403272</v>
      </c>
      <c r="I293" s="96">
        <f t="shared" si="36"/>
        <v>2.4951681972822883</v>
      </c>
      <c r="J293" s="37">
        <v>2.6433855246448994</v>
      </c>
      <c r="K293" s="37">
        <f t="shared" si="34"/>
        <v>1.2326869812059338</v>
      </c>
      <c r="L293" s="37">
        <f t="shared" si="38"/>
        <v>1.5026454300900334</v>
      </c>
      <c r="M293" s="45">
        <f t="shared" si="32"/>
        <v>1.8795887189962071E-2</v>
      </c>
    </row>
    <row r="294" spans="1:13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33"/>
        <v>209.86</v>
      </c>
      <c r="G294" s="70">
        <f t="shared" si="35"/>
        <v>9.0383378244359965E-4</v>
      </c>
      <c r="H294" s="37">
        <f t="shared" si="37"/>
        <v>2.0344069228861303</v>
      </c>
      <c r="I294" s="96">
        <f t="shared" si="36"/>
        <v>0.74805142554523019</v>
      </c>
      <c r="J294" s="37">
        <v>0.79248698028854092</v>
      </c>
      <c r="K294" s="37">
        <f t="shared" si="34"/>
        <v>0.36955955696553899</v>
      </c>
      <c r="L294" s="37">
        <f t="shared" si="38"/>
        <v>0.45049309994099207</v>
      </c>
      <c r="M294" s="45">
        <f t="shared" si="32"/>
        <v>1.8795887189962071E-2</v>
      </c>
    </row>
    <row r="295" spans="1:13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33"/>
        <v>577.53</v>
      </c>
      <c r="G295" s="70">
        <f t="shared" si="35"/>
        <v>2.4873302409923379E-3</v>
      </c>
      <c r="H295" s="37">
        <f t="shared" si="37"/>
        <v>5.5986420955609777</v>
      </c>
      <c r="I295" s="96">
        <f t="shared" si="36"/>
        <v>2.0586206985377715</v>
      </c>
      <c r="J295" s="37">
        <v>2.1809063457830984</v>
      </c>
      <c r="K295" s="37">
        <f t="shared" si="34"/>
        <v>1.0170195889369471</v>
      </c>
      <c r="L295" s="37">
        <f t="shared" si="38"/>
        <v>1.2397468789141386</v>
      </c>
      <c r="M295" s="45">
        <f t="shared" si="32"/>
        <v>1.8795887189962075E-2</v>
      </c>
    </row>
    <row r="296" spans="1:13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33"/>
        <v>265.16000000000003</v>
      </c>
      <c r="G296" s="70">
        <f t="shared" si="35"/>
        <v>1.1420021240481505E-3</v>
      </c>
      <c r="H296" s="37">
        <f t="shared" si="37"/>
        <v>2.5704914689435161</v>
      </c>
      <c r="I296" s="96">
        <f t="shared" si="36"/>
        <v>0.94516971313053089</v>
      </c>
      <c r="J296" s="37">
        <v>1.001314436735488</v>
      </c>
      <c r="K296" s="37">
        <f t="shared" si="34"/>
        <v>0.46694182848080779</v>
      </c>
      <c r="L296" s="37">
        <f t="shared" si="38"/>
        <v>0.56920208891810475</v>
      </c>
      <c r="M296" s="45">
        <f t="shared" si="32"/>
        <v>1.8795887189962071E-2</v>
      </c>
    </row>
    <row r="297" spans="1:13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33"/>
        <v>134.88</v>
      </c>
      <c r="G297" s="70">
        <f t="shared" si="35"/>
        <v>5.8090679775084678E-4</v>
      </c>
      <c r="H297" s="37">
        <f t="shared" si="37"/>
        <v>1.3075421984126621</v>
      </c>
      <c r="I297" s="96">
        <f t="shared" si="36"/>
        <v>0.48078326635633589</v>
      </c>
      <c r="J297" s="37">
        <v>0.50934262794872009</v>
      </c>
      <c r="K297" s="37">
        <f t="shared" si="34"/>
        <v>0.23752117146436624</v>
      </c>
      <c r="L297" s="37">
        <f t="shared" si="38"/>
        <v>0.28953830801506247</v>
      </c>
      <c r="M297" s="45">
        <f t="shared" si="32"/>
        <v>1.8795887189962071E-2</v>
      </c>
    </row>
    <row r="298" spans="1:13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33"/>
        <v>427.34000000000003</v>
      </c>
      <c r="G298" s="70">
        <f t="shared" si="35"/>
        <v>1.8404856980341554E-3</v>
      </c>
      <c r="H298" s="37">
        <f t="shared" si="37"/>
        <v>4.1426830002199511</v>
      </c>
      <c r="I298" s="96">
        <f t="shared" si="36"/>
        <v>1.5232645391808761</v>
      </c>
      <c r="J298" s="37">
        <v>1.6137491001453592</v>
      </c>
      <c r="K298" s="37">
        <f t="shared" si="34"/>
        <v>0.75253779221220551</v>
      </c>
      <c r="L298" s="37">
        <f t="shared" si="38"/>
        <v>0.91734356870667855</v>
      </c>
      <c r="M298" s="45">
        <f t="shared" si="32"/>
        <v>1.8795887189962071E-2</v>
      </c>
    </row>
    <row r="299" spans="1:13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33"/>
        <v>603</v>
      </c>
      <c r="G299" s="70">
        <f t="shared" si="35"/>
        <v>2.5970254970622822E-3</v>
      </c>
      <c r="H299" s="37">
        <f t="shared" si="37"/>
        <v>5.8455511984195967</v>
      </c>
      <c r="I299" s="96">
        <f t="shared" si="36"/>
        <v>2.149409175658886</v>
      </c>
      <c r="J299" s="37">
        <v>2.2770878162298205</v>
      </c>
      <c r="K299" s="37">
        <f t="shared" si="34"/>
        <v>1.061871785238826</v>
      </c>
      <c r="L299" s="37">
        <f t="shared" si="38"/>
        <v>1.294421706206129</v>
      </c>
      <c r="M299" s="45">
        <f t="shared" si="32"/>
        <v>1.8795887189962071E-2</v>
      </c>
    </row>
    <row r="300" spans="1:13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33"/>
        <v>375.70000000000005</v>
      </c>
      <c r="G300" s="70">
        <f t="shared" si="35"/>
        <v>1.6180803967600324E-3</v>
      </c>
      <c r="H300" s="37">
        <f t="shared" si="37"/>
        <v>3.6420789141728735</v>
      </c>
      <c r="I300" s="96">
        <f t="shared" si="36"/>
        <v>1.3391924167413658</v>
      </c>
      <c r="J300" s="37">
        <v>1.4187427737272698</v>
      </c>
      <c r="K300" s="37">
        <f t="shared" si="34"/>
        <v>0.66160071262724207</v>
      </c>
      <c r="L300" s="37">
        <f t="shared" si="38"/>
        <v>0.80649126869260812</v>
      </c>
      <c r="M300" s="45">
        <f t="shared" si="32"/>
        <v>1.8795887189962071E-2</v>
      </c>
    </row>
    <row r="301" spans="1:13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33"/>
        <v>607.62</v>
      </c>
      <c r="G301" s="70">
        <f t="shared" si="35"/>
        <v>2.616923105348232E-3</v>
      </c>
      <c r="H301" s="37">
        <f t="shared" si="37"/>
        <v>5.890338008596542</v>
      </c>
      <c r="I301" s="96">
        <f t="shared" si="36"/>
        <v>2.1658772857609487</v>
      </c>
      <c r="J301" s="37">
        <v>2.2945341606924767</v>
      </c>
      <c r="K301" s="37">
        <f t="shared" si="34"/>
        <v>1.0700075193147851</v>
      </c>
      <c r="L301" s="37">
        <f t="shared" si="38"/>
        <v>1.3043391660447232</v>
      </c>
      <c r="M301" s="45">
        <f t="shared" si="32"/>
        <v>1.8795887189962071E-2</v>
      </c>
    </row>
    <row r="302" spans="1:13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33"/>
        <v>400.32000000000005</v>
      </c>
      <c r="G302" s="70">
        <f t="shared" si="35"/>
        <v>1.7241148374526913E-3</v>
      </c>
      <c r="H302" s="37">
        <f t="shared" si="37"/>
        <v>3.8807480194881139</v>
      </c>
      <c r="I302" s="96">
        <f t="shared" si="36"/>
        <v>1.4269510467657796</v>
      </c>
      <c r="J302" s="37">
        <v>1.5117144188940661</v>
      </c>
      <c r="K302" s="37">
        <f t="shared" si="34"/>
        <v>0.70495607473765642</v>
      </c>
      <c r="L302" s="37">
        <f t="shared" si="38"/>
        <v>0.85934145510520321</v>
      </c>
      <c r="M302" s="45">
        <f t="shared" si="32"/>
        <v>1.8795887189962068E-2</v>
      </c>
    </row>
    <row r="303" spans="1:13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33"/>
        <v>311.52000000000004</v>
      </c>
      <c r="G303" s="70">
        <f t="shared" si="35"/>
        <v>1.3416673015669025E-3</v>
      </c>
      <c r="H303" s="37">
        <f t="shared" si="37"/>
        <v>3.0199106290740847</v>
      </c>
      <c r="I303" s="96">
        <f t="shared" si="36"/>
        <v>1.1104211383105411</v>
      </c>
      <c r="J303" s="37">
        <v>1.1763820837676846</v>
      </c>
      <c r="K303" s="37">
        <f t="shared" si="34"/>
        <v>0.54858092626467503</v>
      </c>
      <c r="L303" s="37">
        <f t="shared" si="38"/>
        <v>0.66872014911663891</v>
      </c>
      <c r="M303" s="45">
        <f t="shared" si="32"/>
        <v>1.8795887189962075E-2</v>
      </c>
    </row>
    <row r="304" spans="1:13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33"/>
        <v>451.70000000000005</v>
      </c>
      <c r="G304" s="70">
        <f t="shared" si="35"/>
        <v>1.9454003599055274E-3</v>
      </c>
      <c r="H304" s="37">
        <f t="shared" si="37"/>
        <v>4.3788316356983952</v>
      </c>
      <c r="I304" s="96">
        <f t="shared" si="36"/>
        <v>1.6100963924463001</v>
      </c>
      <c r="J304" s="37">
        <v>1.7057389164030019</v>
      </c>
      <c r="K304" s="37">
        <f t="shared" si="34"/>
        <v>0.79543529915817202</v>
      </c>
      <c r="L304" s="37">
        <f t="shared" si="38"/>
        <v>0.96963562967381178</v>
      </c>
      <c r="M304" s="45">
        <f t="shared" si="32"/>
        <v>1.8795887189962075E-2</v>
      </c>
    </row>
    <row r="305" spans="1:13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33"/>
        <v>529.70000000000005</v>
      </c>
      <c r="G305" s="70">
        <f t="shared" si="35"/>
        <v>2.2813340062916932E-3</v>
      </c>
      <c r="H305" s="37">
        <f t="shared" si="37"/>
        <v>5.1349725867377458</v>
      </c>
      <c r="I305" s="96">
        <f t="shared" si="36"/>
        <v>1.8881294201434693</v>
      </c>
      <c r="J305" s="37">
        <v>2.0002875891491474</v>
      </c>
      <c r="K305" s="37">
        <f t="shared" si="34"/>
        <v>0.93279184849254748</v>
      </c>
      <c r="L305" s="37">
        <f t="shared" si="38"/>
        <v>1.1370732633124154</v>
      </c>
      <c r="M305" s="45">
        <f t="shared" si="32"/>
        <v>1.8795887189962071E-2</v>
      </c>
    </row>
    <row r="306" spans="1:13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33"/>
        <v>306.10000000000002</v>
      </c>
      <c r="G306" s="70">
        <f t="shared" si="35"/>
        <v>1.3183242199846842E-3</v>
      </c>
      <c r="H306" s="37">
        <f t="shared" si="37"/>
        <v>2.9673685270916064</v>
      </c>
      <c r="I306" s="96">
        <f t="shared" si="36"/>
        <v>1.0911014074115837</v>
      </c>
      <c r="J306" s="37">
        <v>1.1559147272768624</v>
      </c>
      <c r="K306" s="37">
        <f t="shared" si="34"/>
        <v>0.53903640706733769</v>
      </c>
      <c r="L306" s="37">
        <f t="shared" si="38"/>
        <v>0.65708538021508467</v>
      </c>
      <c r="M306" s="45">
        <f t="shared" si="32"/>
        <v>1.8795887189962071E-2</v>
      </c>
    </row>
    <row r="307" spans="1:13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33"/>
        <v>551.6</v>
      </c>
      <c r="G307" s="70">
        <f t="shared" si="35"/>
        <v>2.3756538377770397E-3</v>
      </c>
      <c r="H307" s="37">
        <f t="shared" si="37"/>
        <v>5.3472736999141794</v>
      </c>
      <c r="I307" s="96">
        <f t="shared" si="36"/>
        <v>1.9661925394584439</v>
      </c>
      <c r="J307" s="37">
        <v>2.0829877934201808</v>
      </c>
      <c r="K307" s="37">
        <f t="shared" si="34"/>
        <v>0.97135734119027595</v>
      </c>
      <c r="L307" s="37">
        <f t="shared" si="38"/>
        <v>1.1840845989109465</v>
      </c>
      <c r="M307" s="45">
        <f t="shared" si="32"/>
        <v>1.8795887189962075E-2</v>
      </c>
    </row>
    <row r="308" spans="1:13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33"/>
        <v>329.2</v>
      </c>
      <c r="G308" s="70">
        <f t="shared" si="35"/>
        <v>1.4178122614144331E-3</v>
      </c>
      <c r="H308" s="37">
        <f t="shared" si="37"/>
        <v>3.1913025779763369</v>
      </c>
      <c r="I308" s="96">
        <f t="shared" si="36"/>
        <v>1.1734419579218991</v>
      </c>
      <c r="J308" s="37">
        <v>1.2431464495901441</v>
      </c>
      <c r="K308" s="37">
        <f t="shared" si="34"/>
        <v>0.57971507744713346</v>
      </c>
      <c r="L308" s="37">
        <f t="shared" si="38"/>
        <v>0.70667267940805578</v>
      </c>
      <c r="M308" s="45">
        <f t="shared" si="32"/>
        <v>1.8795887189962071E-2</v>
      </c>
    </row>
    <row r="309" spans="1:13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33"/>
        <v>631.40000000000009</v>
      </c>
      <c r="G309" s="70">
        <f t="shared" si="35"/>
        <v>2.7193397990798096E-3</v>
      </c>
      <c r="H309" s="37">
        <f t="shared" si="37"/>
        <v>6.120864057515977</v>
      </c>
      <c r="I309" s="96">
        <f t="shared" si="36"/>
        <v>2.250641713948625</v>
      </c>
      <c r="J309" s="37">
        <v>2.3843337432296994</v>
      </c>
      <c r="K309" s="37">
        <f t="shared" si="34"/>
        <v>1.1118836570477526</v>
      </c>
      <c r="L309" s="37">
        <f t="shared" si="38"/>
        <v>1.3553861779412104</v>
      </c>
      <c r="M309" s="45">
        <f t="shared" si="32"/>
        <v>1.8795887189962071E-2</v>
      </c>
    </row>
    <row r="310" spans="1:13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33"/>
        <v>373.3</v>
      </c>
      <c r="G310" s="70">
        <f t="shared" si="35"/>
        <v>1.6077439768712272E-3</v>
      </c>
      <c r="H310" s="37">
        <f t="shared" si="37"/>
        <v>3.6188130387562776</v>
      </c>
      <c r="I310" s="96">
        <f t="shared" si="36"/>
        <v>1.3306375543506834</v>
      </c>
      <c r="J310" s="37">
        <v>1.409679737642773</v>
      </c>
      <c r="K310" s="37">
        <f t="shared" si="34"/>
        <v>0.65737435726310733</v>
      </c>
      <c r="L310" s="37">
        <f t="shared" si="38"/>
        <v>0.80133934150372788</v>
      </c>
      <c r="M310" s="45">
        <f t="shared" si="32"/>
        <v>1.8795887189962071E-2</v>
      </c>
    </row>
    <row r="311" spans="1:13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33"/>
        <v>918.4</v>
      </c>
      <c r="G311" s="70">
        <f t="shared" si="35"/>
        <v>3.955403344116086E-3</v>
      </c>
      <c r="H311" s="37">
        <f t="shared" si="37"/>
        <v>8.9030749927505095</v>
      </c>
      <c r="I311" s="96">
        <f t="shared" si="36"/>
        <v>3.2736606748343626</v>
      </c>
      <c r="J311" s="37">
        <v>3.4681218083341081</v>
      </c>
      <c r="K311" s="37">
        <f t="shared" si="34"/>
        <v>1.6172853193421852</v>
      </c>
      <c r="L311" s="37">
        <f t="shared" si="38"/>
        <v>1.9714708042781239</v>
      </c>
      <c r="M311" s="45">
        <f t="shared" si="32"/>
        <v>1.8795887189962071E-2</v>
      </c>
    </row>
    <row r="312" spans="1:13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33"/>
        <v>778.80000000000007</v>
      </c>
      <c r="G312" s="70">
        <f t="shared" si="35"/>
        <v>3.3541682539172564E-3</v>
      </c>
      <c r="H312" s="37">
        <f t="shared" si="37"/>
        <v>7.5497765726852117</v>
      </c>
      <c r="I312" s="96">
        <f t="shared" si="36"/>
        <v>2.7760528457763525</v>
      </c>
      <c r="J312" s="37">
        <v>2.9409552094192115</v>
      </c>
      <c r="K312" s="37">
        <f t="shared" si="34"/>
        <v>1.3714523156616878</v>
      </c>
      <c r="L312" s="37">
        <f t="shared" si="38"/>
        <v>1.6718003727915975</v>
      </c>
      <c r="M312" s="45">
        <f t="shared" si="32"/>
        <v>1.8795887189962071E-2</v>
      </c>
    </row>
    <row r="313" spans="1:13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33"/>
        <v>806.91</v>
      </c>
      <c r="G313" s="70">
        <f t="shared" si="35"/>
        <v>3.4752335718648856E-3</v>
      </c>
      <c r="H313" s="37">
        <f t="shared" si="37"/>
        <v>7.8222781385020852</v>
      </c>
      <c r="I313" s="96">
        <f t="shared" si="36"/>
        <v>2.8762516715272168</v>
      </c>
      <c r="J313" s="37">
        <v>3.0471060195588797</v>
      </c>
      <c r="K313" s="37">
        <f t="shared" si="34"/>
        <v>1.4209535028641145</v>
      </c>
      <c r="L313" s="37">
        <f t="shared" si="38"/>
        <v>1.7321423199913557</v>
      </c>
      <c r="M313" s="45">
        <f t="shared" si="32"/>
        <v>1.8795887189962075E-2</v>
      </c>
    </row>
    <row r="314" spans="1:13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33"/>
        <v>805</v>
      </c>
      <c r="G314" s="70">
        <f t="shared" si="35"/>
        <v>3.4670075043700451E-3</v>
      </c>
      <c r="H314" s="37">
        <f t="shared" si="37"/>
        <v>7.8037623793163764</v>
      </c>
      <c r="I314" s="96">
        <f t="shared" si="36"/>
        <v>2.8694434268746316</v>
      </c>
      <c r="J314" s="37">
        <v>3.0398933533416344</v>
      </c>
      <c r="K314" s="37">
        <f t="shared" si="34"/>
        <v>1.4175900283868241</v>
      </c>
      <c r="L314" s="37">
        <f t="shared" si="38"/>
        <v>1.7280422446035388</v>
      </c>
      <c r="M314" s="45">
        <f t="shared" si="32"/>
        <v>1.8795887189962071E-2</v>
      </c>
    </row>
    <row r="315" spans="1:13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33"/>
        <v>491.9</v>
      </c>
      <c r="G315" s="70">
        <f t="shared" si="35"/>
        <v>2.1185353930430126E-3</v>
      </c>
      <c r="H315" s="37">
        <f t="shared" si="37"/>
        <v>4.7685350489263678</v>
      </c>
      <c r="I315" s="96">
        <f t="shared" si="36"/>
        <v>1.7533903374902255</v>
      </c>
      <c r="J315" s="37">
        <v>1.857544770818323</v>
      </c>
      <c r="K315" s="37">
        <f t="shared" si="34"/>
        <v>0.86622675150742701</v>
      </c>
      <c r="L315" s="37">
        <f t="shared" si="38"/>
        <v>1.0559304100875535</v>
      </c>
      <c r="M315" s="45">
        <f t="shared" si="32"/>
        <v>1.8795887189962071E-2</v>
      </c>
    </row>
    <row r="316" spans="1:13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33"/>
        <v>640.20000000000005</v>
      </c>
      <c r="G316" s="70">
        <f t="shared" si="35"/>
        <v>2.7572400053387613E-3</v>
      </c>
      <c r="H316" s="37">
        <f t="shared" si="37"/>
        <v>6.2061722673768251</v>
      </c>
      <c r="I316" s="96">
        <f t="shared" si="36"/>
        <v>2.2820095427144587</v>
      </c>
      <c r="J316" s="37">
        <v>2.4175648755395214</v>
      </c>
      <c r="K316" s="37">
        <f t="shared" si="34"/>
        <v>1.1273802933829127</v>
      </c>
      <c r="L316" s="37">
        <f t="shared" si="38"/>
        <v>1.3742765776337706</v>
      </c>
      <c r="M316" s="45">
        <f t="shared" si="32"/>
        <v>1.8795887189962068E-2</v>
      </c>
    </row>
    <row r="317" spans="1:13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33"/>
        <v>537.94000000000005</v>
      </c>
      <c r="G317" s="70">
        <f t="shared" si="35"/>
        <v>2.3168223812432575E-3</v>
      </c>
      <c r="H317" s="37">
        <f t="shared" si="37"/>
        <v>5.2148520923347235</v>
      </c>
      <c r="I317" s="96">
        <f t="shared" si="36"/>
        <v>1.917501114351478</v>
      </c>
      <c r="J317" s="37">
        <v>2.0314040130392534</v>
      </c>
      <c r="K317" s="37">
        <f t="shared" si="34"/>
        <v>0.9473023352427431</v>
      </c>
      <c r="L317" s="37">
        <f t="shared" si="38"/>
        <v>1.154761546660904</v>
      </c>
      <c r="M317" s="45">
        <f t="shared" si="32"/>
        <v>1.8795887189962071E-2</v>
      </c>
    </row>
    <row r="318" spans="1:13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33"/>
        <v>929.9</v>
      </c>
      <c r="G318" s="70">
        <f t="shared" si="35"/>
        <v>4.0049320227499435E-3</v>
      </c>
      <c r="H318" s="37">
        <f t="shared" si="37"/>
        <v>9.0145573124550289</v>
      </c>
      <c r="I318" s="96">
        <f t="shared" si="36"/>
        <v>3.3146527237897145</v>
      </c>
      <c r="J318" s="37">
        <v>3.511548856238988</v>
      </c>
      <c r="K318" s="37">
        <f t="shared" si="34"/>
        <v>1.6375366054619969</v>
      </c>
      <c r="L318" s="37">
        <f t="shared" si="38"/>
        <v>1.9961571220581744</v>
      </c>
      <c r="M318" s="45">
        <f t="shared" si="32"/>
        <v>1.8795887189962071E-2</v>
      </c>
    </row>
    <row r="319" spans="1:13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33"/>
        <v>1417.36</v>
      </c>
      <c r="G319" s="70">
        <f t="shared" si="35"/>
        <v>6.1043450389986669E-3</v>
      </c>
      <c r="H319" s="37">
        <f t="shared" si="37"/>
        <v>13.740050491860696</v>
      </c>
      <c r="I319" s="96">
        <f t="shared" si="36"/>
        <v>5.0522165658571785</v>
      </c>
      <c r="J319" s="37">
        <v>5.3523270103009919</v>
      </c>
      <c r="K319" s="37">
        <f t="shared" si="34"/>
        <v>2.495944599545775</v>
      </c>
      <c r="L319" s="37">
        <f t="shared" si="38"/>
        <v>3.0425564668463001</v>
      </c>
      <c r="M319" s="45">
        <f t="shared" si="32"/>
        <v>1.8795887189962071E-2</v>
      </c>
    </row>
    <row r="320" spans="1:13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33"/>
        <v>785.9799999999999</v>
      </c>
      <c r="G320" s="70">
        <f t="shared" si="35"/>
        <v>3.3850913767512641E-3</v>
      </c>
      <c r="H320" s="37">
        <f t="shared" si="37"/>
        <v>7.619380316639857</v>
      </c>
      <c r="I320" s="96">
        <f t="shared" si="36"/>
        <v>2.8016461424284755</v>
      </c>
      <c r="J320" s="37">
        <v>2.9680687923719971</v>
      </c>
      <c r="K320" s="37">
        <f t="shared" si="34"/>
        <v>1.3840961621260568</v>
      </c>
      <c r="L320" s="37">
        <f t="shared" si="38"/>
        <v>1.6872132216316633</v>
      </c>
      <c r="M320" s="45">
        <f t="shared" si="32"/>
        <v>1.8795887189962071E-2</v>
      </c>
    </row>
    <row r="321" spans="1:13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33"/>
        <v>485.67999999999995</v>
      </c>
      <c r="G321" s="70">
        <f t="shared" si="35"/>
        <v>2.0917468381645259E-3</v>
      </c>
      <c r="H321" s="37">
        <f t="shared" si="37"/>
        <v>4.7082376551383573</v>
      </c>
      <c r="I321" s="96">
        <f t="shared" si="36"/>
        <v>1.7312189857943741</v>
      </c>
      <c r="J321" s="37">
        <v>1.8340564022993353</v>
      </c>
      <c r="K321" s="37">
        <f t="shared" si="34"/>
        <v>0.85527344718871134</v>
      </c>
      <c r="L321" s="37">
        <f t="shared" si="38"/>
        <v>1.0425783321230393</v>
      </c>
      <c r="M321" s="45">
        <f t="shared" si="32"/>
        <v>1.8795887189962075E-2</v>
      </c>
    </row>
    <row r="322" spans="1:13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33"/>
        <v>461.17</v>
      </c>
      <c r="G322" s="70">
        <f t="shared" si="35"/>
        <v>1.9861861500501039E-3</v>
      </c>
      <c r="H322" s="37">
        <f t="shared" si="37"/>
        <v>4.4706349024463776</v>
      </c>
      <c r="I322" s="96">
        <f t="shared" si="36"/>
        <v>1.6438524536295331</v>
      </c>
      <c r="J322" s="37">
        <v>1.7415001462864119</v>
      </c>
      <c r="K322" s="37">
        <f t="shared" si="34"/>
        <v>0.81211179303248648</v>
      </c>
      <c r="L322" s="37">
        <f t="shared" si="38"/>
        <v>0.98996427570660106</v>
      </c>
      <c r="M322" s="45">
        <f t="shared" si="32"/>
        <v>1.8795887189962071E-2</v>
      </c>
    </row>
    <row r="323" spans="1:13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33"/>
        <v>305.37</v>
      </c>
      <c r="G323" s="70">
        <f t="shared" si="35"/>
        <v>1.3151802256018393E-3</v>
      </c>
      <c r="H323" s="37">
        <f t="shared" si="37"/>
        <v>2.9602918233190585</v>
      </c>
      <c r="I323" s="96">
        <f t="shared" si="36"/>
        <v>1.0884993034344179</v>
      </c>
      <c r="J323" s="37">
        <v>1.1531580538011614</v>
      </c>
      <c r="K323" s="37">
        <f t="shared" si="34"/>
        <v>0.53775089064407999</v>
      </c>
      <c r="L323" s="37">
        <f t="shared" si="38"/>
        <v>0.65551833569513351</v>
      </c>
      <c r="M323" s="45">
        <f t="shared" si="32"/>
        <v>1.8795887189962068E-2</v>
      </c>
    </row>
    <row r="324" spans="1:13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33"/>
        <v>170.8</v>
      </c>
      <c r="G324" s="70">
        <f t="shared" si="35"/>
        <v>7.356085487532965E-4</v>
      </c>
      <c r="H324" s="37">
        <f t="shared" si="37"/>
        <v>1.6557548004810398</v>
      </c>
      <c r="I324" s="96">
        <f t="shared" si="36"/>
        <v>0.60882104013687843</v>
      </c>
      <c r="J324" s="37">
        <v>0.64498606801335556</v>
      </c>
      <c r="K324" s="37">
        <f t="shared" si="34"/>
        <v>0.30077562341424785</v>
      </c>
      <c r="L324" s="37">
        <f t="shared" si="38"/>
        <v>0.36664548494196814</v>
      </c>
      <c r="M324" s="45">
        <f t="shared" si="32"/>
        <v>1.8795887189962068E-2</v>
      </c>
    </row>
    <row r="325" spans="1:13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33"/>
        <v>678.2</v>
      </c>
      <c r="G325" s="70">
        <f t="shared" si="35"/>
        <v>2.9208999869115089E-3</v>
      </c>
      <c r="H325" s="37">
        <f t="shared" si="37"/>
        <v>6.5745486281395857</v>
      </c>
      <c r="I325" s="96">
        <f t="shared" si="36"/>
        <v>2.4174615305669258</v>
      </c>
      <c r="J325" s="37">
        <v>2.5610629468773869</v>
      </c>
      <c r="K325" s="37">
        <f t="shared" si="34"/>
        <v>1.1942975866483778</v>
      </c>
      <c r="L325" s="37">
        <f t="shared" si="38"/>
        <v>1.4558487581243726</v>
      </c>
      <c r="M325" s="45">
        <f t="shared" si="32"/>
        <v>1.8795887189962071E-2</v>
      </c>
    </row>
    <row r="326" spans="1:13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33"/>
        <v>2613.27</v>
      </c>
      <c r="G326" s="70">
        <f t="shared" si="35"/>
        <v>1.1254940001174047E-2</v>
      </c>
      <c r="H326" s="37">
        <f t="shared" si="37"/>
        <v>25.333339270802622</v>
      </c>
      <c r="I326" s="96">
        <f t="shared" si="36"/>
        <v>9.315068849874125</v>
      </c>
      <c r="J326" s="37">
        <v>9.8684001285553951</v>
      </c>
      <c r="K326" s="37">
        <f t="shared" si="34"/>
        <v>4.6019198676800439</v>
      </c>
      <c r="L326" s="37">
        <f t="shared" si="38"/>
        <v>5.6097403187019736</v>
      </c>
      <c r="M326" s="45">
        <f t="shared" si="32"/>
        <v>1.8795887189962071E-2</v>
      </c>
    </row>
    <row r="327" spans="1:13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33"/>
        <v>2055.4499999999998</v>
      </c>
      <c r="G327" s="70">
        <f t="shared" si="35"/>
        <v>8.8524976085185194E-3</v>
      </c>
      <c r="H327" s="37">
        <f t="shared" si="37"/>
        <v>19.92576817710043</v>
      </c>
      <c r="I327" s="96">
        <f t="shared" si="36"/>
        <v>7.3267049587198283</v>
      </c>
      <c r="J327" s="37">
        <v>7.7619239666162256</v>
      </c>
      <c r="K327" s="37">
        <f t="shared" si="34"/>
        <v>3.6196092221710523</v>
      </c>
      <c r="L327" s="37">
        <f t="shared" si="38"/>
        <v>4.4123036418265134</v>
      </c>
      <c r="M327" s="45">
        <f t="shared" ref="M327:M390" si="39">(K327+J327+I327+H327)/F327</f>
        <v>1.8795887189962075E-2</v>
      </c>
    </row>
    <row r="328" spans="1:13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33"/>
        <v>3486.96</v>
      </c>
      <c r="G328" s="70">
        <f t="shared" si="35"/>
        <v>1.5017784456444935E-2</v>
      </c>
      <c r="H328" s="37">
        <f t="shared" si="37"/>
        <v>33.802990392771477</v>
      </c>
      <c r="I328" s="96">
        <f t="shared" si="36"/>
        <v>12.429359567422074</v>
      </c>
      <c r="J328" s="37">
        <v>13.167685127165399</v>
      </c>
      <c r="K328" s="37">
        <f t="shared" si="34"/>
        <v>6.1404717085512051</v>
      </c>
      <c r="L328" s="37">
        <f t="shared" si="38"/>
        <v>7.4852350127239191</v>
      </c>
      <c r="M328" s="45">
        <f t="shared" si="39"/>
        <v>1.8795887189962071E-2</v>
      </c>
    </row>
    <row r="329" spans="1:13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33"/>
        <v>394.94</v>
      </c>
      <c r="G329" s="70">
        <f t="shared" si="35"/>
        <v>1.7009440295352863E-3</v>
      </c>
      <c r="H329" s="37">
        <f t="shared" si="37"/>
        <v>3.8285936820959128</v>
      </c>
      <c r="I329" s="96">
        <f t="shared" si="36"/>
        <v>1.4077738969066673</v>
      </c>
      <c r="J329" s="37">
        <v>1.4913981130046523</v>
      </c>
      <c r="K329" s="37">
        <f t="shared" si="34"/>
        <v>0.69548199479638784</v>
      </c>
      <c r="L329" s="37">
        <f t="shared" si="38"/>
        <v>0.84779255165679679</v>
      </c>
      <c r="M329" s="45">
        <f t="shared" si="39"/>
        <v>1.8795887189962071E-2</v>
      </c>
    </row>
    <row r="330" spans="1:13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33"/>
        <v>351.67</v>
      </c>
      <c r="G330" s="70">
        <f t="shared" si="35"/>
        <v>1.5145869926233711E-3</v>
      </c>
      <c r="H330" s="37">
        <f t="shared" si="37"/>
        <v>3.4091293365642117</v>
      </c>
      <c r="I330" s="96">
        <f t="shared" si="36"/>
        <v>1.2535368570546608</v>
      </c>
      <c r="J330" s="37">
        <v>1.3279991249312455</v>
      </c>
      <c r="K330" s="37">
        <f t="shared" si="34"/>
        <v>0.61928432954384394</v>
      </c>
      <c r="L330" s="37">
        <f t="shared" si="38"/>
        <v>0.75490759771394578</v>
      </c>
      <c r="M330" s="45">
        <f t="shared" si="39"/>
        <v>1.8795887189962071E-2</v>
      </c>
    </row>
    <row r="331" spans="1:13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33"/>
        <v>615.6</v>
      </c>
      <c r="G331" s="70">
        <f t="shared" si="35"/>
        <v>2.651291701478509E-3</v>
      </c>
      <c r="H331" s="37">
        <f t="shared" si="37"/>
        <v>5.967697044356723</v>
      </c>
      <c r="I331" s="96">
        <f t="shared" si="36"/>
        <v>2.1943222032099672</v>
      </c>
      <c r="J331" s="37">
        <v>2.3246687556734291</v>
      </c>
      <c r="K331" s="37">
        <f t="shared" si="34"/>
        <v>1.0840601509005328</v>
      </c>
      <c r="L331" s="37">
        <f t="shared" si="38"/>
        <v>1.3214693239477495</v>
      </c>
      <c r="M331" s="45">
        <f t="shared" si="39"/>
        <v>1.8795887189962071E-2</v>
      </c>
    </row>
    <row r="332" spans="1:13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33"/>
        <v>571.49</v>
      </c>
      <c r="G332" s="70">
        <f t="shared" si="35"/>
        <v>2.4613169176055118E-3</v>
      </c>
      <c r="H332" s="37">
        <f t="shared" si="37"/>
        <v>5.5400896424292121</v>
      </c>
      <c r="I332" s="96">
        <f t="shared" si="36"/>
        <v>2.0370909615212214</v>
      </c>
      <c r="J332" s="37">
        <v>2.1580977049704479</v>
      </c>
      <c r="K332" s="37">
        <f t="shared" si="34"/>
        <v>1.0063832612705417</v>
      </c>
      <c r="L332" s="37">
        <f t="shared" si="38"/>
        <v>1.2267811954887904</v>
      </c>
      <c r="M332" s="45">
        <f t="shared" si="39"/>
        <v>1.8795887189962071E-2</v>
      </c>
    </row>
    <row r="333" spans="1:13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si="33"/>
        <v>339.26</v>
      </c>
      <c r="G333" s="70">
        <f t="shared" si="35"/>
        <v>1.4611390881150079E-3</v>
      </c>
      <c r="H333" s="37">
        <f t="shared" si="37"/>
        <v>3.2888253724308991</v>
      </c>
      <c r="I333" s="96">
        <f t="shared" si="36"/>
        <v>1.2093010894428418</v>
      </c>
      <c r="J333" s="37">
        <v>1.2811356758443266</v>
      </c>
      <c r="K333" s="37">
        <f t="shared" si="34"/>
        <v>0.59743055034846437</v>
      </c>
      <c r="L333" s="37">
        <f t="shared" si="38"/>
        <v>0.72826784087477814</v>
      </c>
      <c r="M333" s="45">
        <f t="shared" si="39"/>
        <v>1.8795887189962071E-2</v>
      </c>
    </row>
    <row r="334" spans="1:13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si="33"/>
        <v>364.76</v>
      </c>
      <c r="G334" s="70">
        <f t="shared" si="35"/>
        <v>1.5709635494335621E-3</v>
      </c>
      <c r="H334" s="37">
        <f t="shared" si="37"/>
        <v>3.5360252987322256</v>
      </c>
      <c r="I334" s="96">
        <f t="shared" si="36"/>
        <v>1.3001965023438395</v>
      </c>
      <c r="J334" s="37">
        <v>1.3774304342421051</v>
      </c>
      <c r="K334" s="37">
        <f t="shared" si="34"/>
        <v>0.64233557609239489</v>
      </c>
      <c r="L334" s="37">
        <f t="shared" si="38"/>
        <v>0.78300706725662939</v>
      </c>
      <c r="M334" s="45">
        <f t="shared" si="39"/>
        <v>1.8795887189962071E-2</v>
      </c>
    </row>
    <row r="335" spans="1:13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ref="F335:F383" si="40">C335+D335+E335</f>
        <v>329.3</v>
      </c>
      <c r="G335" s="70">
        <f t="shared" si="35"/>
        <v>1.4182429455764668E-3</v>
      </c>
      <c r="H335" s="37">
        <f t="shared" si="37"/>
        <v>3.1922719894520282</v>
      </c>
      <c r="I335" s="96">
        <f t="shared" si="36"/>
        <v>1.1737984105215109</v>
      </c>
      <c r="J335" s="37">
        <v>1.243524076093665</v>
      </c>
      <c r="K335" s="37">
        <f t="shared" si="34"/>
        <v>0.57989117558730574</v>
      </c>
      <c r="L335" s="37">
        <f t="shared" si="38"/>
        <v>0.70688734304092571</v>
      </c>
      <c r="M335" s="45">
        <f t="shared" si="39"/>
        <v>1.8795887189962068E-2</v>
      </c>
    </row>
    <row r="336" spans="1:13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40"/>
        <v>445.65</v>
      </c>
      <c r="G336" s="70">
        <f t="shared" si="35"/>
        <v>1.9193439681024975E-3</v>
      </c>
      <c r="H336" s="37">
        <f t="shared" si="37"/>
        <v>4.3201822414190598</v>
      </c>
      <c r="I336" s="96">
        <f t="shared" si="36"/>
        <v>1.5885310101697885</v>
      </c>
      <c r="J336" s="37">
        <v>1.6828925129399992</v>
      </c>
      <c r="K336" s="37">
        <f t="shared" si="34"/>
        <v>0.78478136167774915</v>
      </c>
      <c r="L336" s="37">
        <f t="shared" si="38"/>
        <v>0.95664847988517632</v>
      </c>
      <c r="M336" s="45">
        <f t="shared" si="39"/>
        <v>1.8795887189962071E-2</v>
      </c>
    </row>
    <row r="337" spans="1:13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40"/>
        <v>515.54999999999995</v>
      </c>
      <c r="G337" s="70">
        <f t="shared" si="35"/>
        <v>2.2203921973639458E-3</v>
      </c>
      <c r="H337" s="37">
        <f t="shared" si="37"/>
        <v>4.9978008629273996</v>
      </c>
      <c r="I337" s="96">
        <f t="shared" si="36"/>
        <v>1.8376913772984049</v>
      </c>
      <c r="J337" s="37">
        <v>1.9468534389009682</v>
      </c>
      <c r="K337" s="37">
        <f t="shared" si="34"/>
        <v>0.90787396165817014</v>
      </c>
      <c r="L337" s="37">
        <f t="shared" si="38"/>
        <v>1.1066983592613095</v>
      </c>
      <c r="M337" s="45">
        <f t="shared" si="39"/>
        <v>1.8795887189962068E-2</v>
      </c>
    </row>
    <row r="338" spans="1:13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40"/>
        <v>969.83999999999992</v>
      </c>
      <c r="G338" s="70">
        <f t="shared" si="35"/>
        <v>4.176947277066142E-3</v>
      </c>
      <c r="H338" s="37">
        <f t="shared" si="37"/>
        <v>9.4017402558462049</v>
      </c>
      <c r="I338" s="96">
        <f t="shared" si="36"/>
        <v>3.45701989207465</v>
      </c>
      <c r="J338" s="37">
        <v>3.6623728817451555</v>
      </c>
      <c r="K338" s="37">
        <f t="shared" si="34"/>
        <v>1.7078702026468042</v>
      </c>
      <c r="L338" s="37">
        <f t="shared" si="38"/>
        <v>2.0818937770264543</v>
      </c>
      <c r="M338" s="45">
        <f t="shared" si="39"/>
        <v>1.8795887189962071E-2</v>
      </c>
    </row>
    <row r="339" spans="1:13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40"/>
        <v>505.24</v>
      </c>
      <c r="G339" s="70">
        <f t="shared" si="35"/>
        <v>2.1759886602582875E-3</v>
      </c>
      <c r="H339" s="37">
        <f t="shared" si="37"/>
        <v>4.8978545397836095</v>
      </c>
      <c r="I339" s="96">
        <f t="shared" si="36"/>
        <v>1.8009411142784333</v>
      </c>
      <c r="J339" s="37">
        <v>1.9079201463879842</v>
      </c>
      <c r="K339" s="37">
        <f t="shared" si="34"/>
        <v>0.88971824340640859</v>
      </c>
      <c r="L339" s="37">
        <f t="shared" si="38"/>
        <v>1.0845665387124122</v>
      </c>
      <c r="M339" s="45">
        <f t="shared" si="39"/>
        <v>1.8795887189962068E-2</v>
      </c>
    </row>
    <row r="340" spans="1:13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40"/>
        <v>497.67999999999995</v>
      </c>
      <c r="G340" s="70">
        <f t="shared" si="35"/>
        <v>2.1434289376085513E-3</v>
      </c>
      <c r="H340" s="37">
        <f t="shared" si="37"/>
        <v>4.8245670322213341</v>
      </c>
      <c r="I340" s="96">
        <f t="shared" si="36"/>
        <v>1.7739932977477846</v>
      </c>
      <c r="J340" s="37">
        <v>1.8793715827218191</v>
      </c>
      <c r="K340" s="37">
        <f t="shared" si="34"/>
        <v>0.87640522400938448</v>
      </c>
      <c r="L340" s="37">
        <f t="shared" si="38"/>
        <v>1.0683379680674399</v>
      </c>
      <c r="M340" s="45">
        <f t="shared" si="39"/>
        <v>1.8795887189962071E-2</v>
      </c>
    </row>
    <row r="341" spans="1:13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40"/>
        <v>244.79999999999998</v>
      </c>
      <c r="G341" s="70">
        <f t="shared" si="35"/>
        <v>1.0543148286581204E-3</v>
      </c>
      <c r="H341" s="37">
        <f t="shared" si="37"/>
        <v>2.3731192924927313</v>
      </c>
      <c r="I341" s="96">
        <f t="shared" si="36"/>
        <v>0.87259596384957738</v>
      </c>
      <c r="J341" s="37">
        <v>0.92442968061867337</v>
      </c>
      <c r="K341" s="37">
        <f t="shared" si="34"/>
        <v>0.43108824714173227</v>
      </c>
      <c r="L341" s="37">
        <f t="shared" si="38"/>
        <v>0.5254965732657717</v>
      </c>
      <c r="M341" s="45">
        <f t="shared" si="39"/>
        <v>1.8795887189962068E-2</v>
      </c>
    </row>
    <row r="342" spans="1:13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40"/>
        <v>607.48</v>
      </c>
      <c r="G342" s="70">
        <f t="shared" si="35"/>
        <v>2.616320147521385E-3</v>
      </c>
      <c r="H342" s="37">
        <f t="shared" si="37"/>
        <v>5.8889808325305744</v>
      </c>
      <c r="I342" s="96">
        <f t="shared" si="36"/>
        <v>2.1653782521214922</v>
      </c>
      <c r="J342" s="37">
        <v>2.2940054835875476</v>
      </c>
      <c r="K342" s="37">
        <f t="shared" si="34"/>
        <v>1.0697609819185439</v>
      </c>
      <c r="L342" s="37">
        <f t="shared" si="38"/>
        <v>1.3040386369587051</v>
      </c>
      <c r="M342" s="45">
        <f t="shared" si="39"/>
        <v>1.8795887189962071E-2</v>
      </c>
    </row>
    <row r="343" spans="1:13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40"/>
        <v>480.34999999999997</v>
      </c>
      <c r="G343" s="70">
        <f t="shared" si="35"/>
        <v>2.0687913723281379E-3</v>
      </c>
      <c r="H343" s="37">
        <f t="shared" si="37"/>
        <v>4.6565680234840015</v>
      </c>
      <c r="I343" s="96">
        <f t="shared" si="36"/>
        <v>1.7122200622350674</v>
      </c>
      <c r="J343" s="37">
        <v>1.813928909661682</v>
      </c>
      <c r="K343" s="37">
        <f t="shared" si="34"/>
        <v>0.84588741631752906</v>
      </c>
      <c r="L343" s="37">
        <f t="shared" si="38"/>
        <v>1.0311367604910679</v>
      </c>
      <c r="M343" s="45">
        <f t="shared" si="39"/>
        <v>1.8795887189962068E-2</v>
      </c>
    </row>
    <row r="344" spans="1:13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40"/>
        <v>1165.33</v>
      </c>
      <c r="G344" s="70">
        <f t="shared" si="35"/>
        <v>5.0188917454255209E-3</v>
      </c>
      <c r="H344" s="37">
        <f t="shared" si="37"/>
        <v>11.29684274967547</v>
      </c>
      <c r="I344" s="96">
        <f t="shared" si="36"/>
        <v>4.1538490790556706</v>
      </c>
      <c r="J344" s="37">
        <v>4.4005949334777723</v>
      </c>
      <c r="K344" s="37">
        <f t="shared" si="34"/>
        <v>2.0521244568695871</v>
      </c>
      <c r="L344" s="37">
        <f t="shared" si="38"/>
        <v>2.5015397129240267</v>
      </c>
      <c r="M344" s="45">
        <f t="shared" si="39"/>
        <v>1.8795887189962071E-2</v>
      </c>
    </row>
    <row r="345" spans="1:13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40"/>
        <v>1416.02</v>
      </c>
      <c r="G345" s="70">
        <f t="shared" si="35"/>
        <v>6.098573871227417E-3</v>
      </c>
      <c r="H345" s="37">
        <f t="shared" si="37"/>
        <v>13.727060378086428</v>
      </c>
      <c r="I345" s="96">
        <f t="shared" si="36"/>
        <v>5.0474401010223797</v>
      </c>
      <c r="J345" s="37">
        <v>5.347266815153815</v>
      </c>
      <c r="K345" s="37">
        <f t="shared" si="34"/>
        <v>2.4935848844674662</v>
      </c>
      <c r="L345" s="37">
        <f t="shared" si="38"/>
        <v>3.0396799741658413</v>
      </c>
      <c r="M345" s="45">
        <f t="shared" si="39"/>
        <v>1.8795887189962068E-2</v>
      </c>
    </row>
    <row r="346" spans="1:13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40"/>
        <v>1501.81</v>
      </c>
      <c r="G346" s="70">
        <f t="shared" si="35"/>
        <v>6.4680578138359961E-3</v>
      </c>
      <c r="H346" s="37">
        <f t="shared" si="37"/>
        <v>14.558718483082146</v>
      </c>
      <c r="I346" s="96">
        <f t="shared" si="36"/>
        <v>5.3532407862293052</v>
      </c>
      <c r="J346" s="37">
        <v>5.6712325925242233</v>
      </c>
      <c r="K346" s="37">
        <f t="shared" si="34"/>
        <v>2.6446594789212621</v>
      </c>
      <c r="L346" s="37">
        <f t="shared" si="38"/>
        <v>3.2238399048050188</v>
      </c>
      <c r="M346" s="45">
        <f t="shared" si="39"/>
        <v>1.8795887189962071E-2</v>
      </c>
    </row>
    <row r="347" spans="1:13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40"/>
        <v>970</v>
      </c>
      <c r="G347" s="70">
        <f t="shared" si="35"/>
        <v>4.1776363717253955E-3</v>
      </c>
      <c r="H347" s="37">
        <f t="shared" si="37"/>
        <v>9.4032913142073102</v>
      </c>
      <c r="I347" s="96">
        <f t="shared" si="36"/>
        <v>3.4575902162340282</v>
      </c>
      <c r="J347" s="37">
        <v>3.6629770841507896</v>
      </c>
      <c r="K347" s="37">
        <f t="shared" ref="K347:K382" si="41">G347*408.88</f>
        <v>1.7081519596710797</v>
      </c>
      <c r="L347" s="37">
        <f t="shared" si="38"/>
        <v>2.0822372388390464</v>
      </c>
      <c r="M347" s="45">
        <f t="shared" si="39"/>
        <v>1.8795887189962068E-2</v>
      </c>
    </row>
    <row r="348" spans="1:13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40"/>
        <v>2158</v>
      </c>
      <c r="G348" s="70">
        <f t="shared" ref="G348:G383" si="42">1/232188.71*F348</f>
        <v>9.2941642166839214E-3</v>
      </c>
      <c r="H348" s="37">
        <f t="shared" si="37"/>
        <v>20.919899645422035</v>
      </c>
      <c r="I348" s="96">
        <f t="shared" ref="I348:I379" si="43">H348*0.3677</f>
        <v>7.6922470996216825</v>
      </c>
      <c r="J348" s="37">
        <v>8.1491799459767051</v>
      </c>
      <c r="K348" s="37">
        <f t="shared" si="41"/>
        <v>3.8001978649177217</v>
      </c>
      <c r="L348" s="37">
        <f t="shared" si="38"/>
        <v>4.6324411973347033</v>
      </c>
      <c r="M348" s="45">
        <f t="shared" si="39"/>
        <v>1.8795887189962071E-2</v>
      </c>
    </row>
    <row r="349" spans="1:13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40"/>
        <v>729.1</v>
      </c>
      <c r="G349" s="70">
        <f t="shared" si="42"/>
        <v>3.1401182253865839E-3</v>
      </c>
      <c r="H349" s="37">
        <f t="shared" ref="H349:H384" si="44">G349*1218*1.54*1.2</f>
        <v>7.0679790692665483</v>
      </c>
      <c r="I349" s="96">
        <f t="shared" si="43"/>
        <v>2.5988959037693098</v>
      </c>
      <c r="J349" s="37">
        <v>2.7532748371694233</v>
      </c>
      <c r="K349" s="37">
        <f t="shared" si="41"/>
        <v>1.2839315399960665</v>
      </c>
      <c r="L349" s="37">
        <f t="shared" ref="L349:L412" si="45">K349*1.219</f>
        <v>1.5651125472552052</v>
      </c>
      <c r="M349" s="45">
        <f t="shared" si="39"/>
        <v>1.8795887189962071E-2</v>
      </c>
    </row>
    <row r="350" spans="1:13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40"/>
        <v>1052.04</v>
      </c>
      <c r="G350" s="70">
        <f t="shared" si="42"/>
        <v>4.5309696582577167E-3</v>
      </c>
      <c r="H350" s="37">
        <f t="shared" si="44"/>
        <v>10.198596488864597</v>
      </c>
      <c r="I350" s="96">
        <f t="shared" si="43"/>
        <v>3.7500239289555126</v>
      </c>
      <c r="J350" s="37">
        <v>3.9727818676391715</v>
      </c>
      <c r="K350" s="37">
        <f t="shared" si="41"/>
        <v>1.8526228738684152</v>
      </c>
      <c r="L350" s="37">
        <f t="shared" si="45"/>
        <v>2.2583472832455982</v>
      </c>
      <c r="M350" s="45">
        <f t="shared" si="39"/>
        <v>1.8795887189962071E-2</v>
      </c>
    </row>
    <row r="351" spans="1:13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40"/>
        <v>608.6</v>
      </c>
      <c r="G351" s="70">
        <f t="shared" si="42"/>
        <v>2.6211438101361607E-3</v>
      </c>
      <c r="H351" s="37">
        <f t="shared" si="44"/>
        <v>5.899838241058319</v>
      </c>
      <c r="I351" s="96">
        <f t="shared" si="43"/>
        <v>2.1693705212371439</v>
      </c>
      <c r="J351" s="37">
        <v>2.29823490042698</v>
      </c>
      <c r="K351" s="37">
        <f t="shared" si="41"/>
        <v>1.0717332810884734</v>
      </c>
      <c r="L351" s="37">
        <f t="shared" si="45"/>
        <v>1.3064428696468493</v>
      </c>
      <c r="M351" s="45">
        <f t="shared" si="39"/>
        <v>1.8795887189962071E-2</v>
      </c>
    </row>
    <row r="352" spans="1:13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40"/>
        <v>415.8</v>
      </c>
      <c r="G352" s="70">
        <f t="shared" si="42"/>
        <v>1.7907847457354841E-3</v>
      </c>
      <c r="H352" s="37">
        <f t="shared" si="44"/>
        <v>4.0308129159251544</v>
      </c>
      <c r="I352" s="96">
        <f t="shared" si="43"/>
        <v>1.4821299091856794</v>
      </c>
      <c r="J352" s="37">
        <v>1.5701710016390702</v>
      </c>
      <c r="K352" s="37">
        <f t="shared" si="41"/>
        <v>0.73221606683632479</v>
      </c>
      <c r="L352" s="37">
        <f t="shared" si="45"/>
        <v>0.89257138547348003</v>
      </c>
      <c r="M352" s="45">
        <f t="shared" si="39"/>
        <v>1.8795887189962071E-2</v>
      </c>
    </row>
    <row r="353" spans="1:13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40"/>
        <v>460.4</v>
      </c>
      <c r="G353" s="70">
        <f t="shared" si="42"/>
        <v>1.9828698820024454E-3</v>
      </c>
      <c r="H353" s="37">
        <f t="shared" si="44"/>
        <v>4.4631704340835521</v>
      </c>
      <c r="I353" s="96">
        <f t="shared" si="43"/>
        <v>1.6411077686125222</v>
      </c>
      <c r="J353" s="37">
        <v>1.7385924222093025</v>
      </c>
      <c r="K353" s="37">
        <f t="shared" si="41"/>
        <v>0.81075583735315992</v>
      </c>
      <c r="L353" s="37">
        <f t="shared" si="45"/>
        <v>0.98831136573350198</v>
      </c>
      <c r="M353" s="45">
        <f t="shared" si="39"/>
        <v>1.8795887189962071E-2</v>
      </c>
    </row>
    <row r="354" spans="1:13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40"/>
        <v>573</v>
      </c>
      <c r="G354" s="70">
        <f t="shared" si="42"/>
        <v>2.4678202484522183E-3</v>
      </c>
      <c r="H354" s="37">
        <f t="shared" si="44"/>
        <v>5.554727755712153</v>
      </c>
      <c r="I354" s="96">
        <f t="shared" si="43"/>
        <v>2.0424733957753589</v>
      </c>
      <c r="J354" s="37">
        <v>2.1637998651736106</v>
      </c>
      <c r="K354" s="37">
        <f t="shared" si="41"/>
        <v>1.0090423431871429</v>
      </c>
      <c r="L354" s="37">
        <f t="shared" si="45"/>
        <v>1.2300226163451273</v>
      </c>
      <c r="M354" s="45">
        <f t="shared" si="39"/>
        <v>1.8795887189962071E-2</v>
      </c>
    </row>
    <row r="355" spans="1:13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40"/>
        <v>791.22</v>
      </c>
      <c r="G355" s="70">
        <f t="shared" si="42"/>
        <v>3.4076592268418226E-3</v>
      </c>
      <c r="H355" s="37">
        <f t="shared" si="44"/>
        <v>7.6701774779660923</v>
      </c>
      <c r="I355" s="96">
        <f t="shared" si="43"/>
        <v>2.8203242586481325</v>
      </c>
      <c r="J355" s="37">
        <v>2.987856421156482</v>
      </c>
      <c r="K355" s="37">
        <f t="shared" si="41"/>
        <v>1.3933237046710845</v>
      </c>
      <c r="L355" s="37">
        <f t="shared" si="45"/>
        <v>1.6984615959940521</v>
      </c>
      <c r="M355" s="45">
        <f t="shared" si="39"/>
        <v>1.8795887189962071E-2</v>
      </c>
    </row>
    <row r="356" spans="1:13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40"/>
        <v>765.5</v>
      </c>
      <c r="G356" s="70">
        <f t="shared" si="42"/>
        <v>3.2968872603667942E-3</v>
      </c>
      <c r="H356" s="37">
        <f t="shared" si="44"/>
        <v>7.4208448464182437</v>
      </c>
      <c r="I356" s="96">
        <f t="shared" si="43"/>
        <v>2.7286446500279884</v>
      </c>
      <c r="J356" s="37">
        <v>2.8907308844509578</v>
      </c>
      <c r="K356" s="37">
        <f t="shared" si="41"/>
        <v>1.3480312630187747</v>
      </c>
      <c r="L356" s="37">
        <f t="shared" si="45"/>
        <v>1.6432501096198866</v>
      </c>
      <c r="M356" s="45">
        <f t="shared" si="39"/>
        <v>1.8795887189962071E-2</v>
      </c>
    </row>
    <row r="357" spans="1:13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40"/>
        <v>806.19999999999993</v>
      </c>
      <c r="G357" s="70">
        <f t="shared" si="42"/>
        <v>3.4721757143144471E-3</v>
      </c>
      <c r="H357" s="37">
        <f t="shared" si="44"/>
        <v>7.8153953170246737</v>
      </c>
      <c r="I357" s="96">
        <f t="shared" si="43"/>
        <v>2.8737208580699729</v>
      </c>
      <c r="J357" s="37">
        <v>3.0444248713838826</v>
      </c>
      <c r="K357" s="37">
        <f t="shared" si="41"/>
        <v>1.419703206068891</v>
      </c>
      <c r="L357" s="37">
        <f t="shared" si="45"/>
        <v>1.7306182081979782</v>
      </c>
      <c r="M357" s="45">
        <f t="shared" si="39"/>
        <v>1.8795887189962071E-2</v>
      </c>
    </row>
    <row r="358" spans="1:13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40"/>
        <v>753</v>
      </c>
      <c r="G358" s="70">
        <f t="shared" si="42"/>
        <v>3.2430517401126012E-3</v>
      </c>
      <c r="H358" s="37">
        <f t="shared" si="44"/>
        <v>7.2996684119568096</v>
      </c>
      <c r="I358" s="96">
        <f t="shared" si="43"/>
        <v>2.6840880750765193</v>
      </c>
      <c r="J358" s="37">
        <v>2.8435275715108705</v>
      </c>
      <c r="K358" s="37">
        <f t="shared" si="41"/>
        <v>1.3260189954972403</v>
      </c>
      <c r="L358" s="37">
        <f t="shared" si="45"/>
        <v>1.6164171555111362</v>
      </c>
      <c r="M358" s="45">
        <f t="shared" si="39"/>
        <v>1.8795887189962075E-2</v>
      </c>
    </row>
    <row r="359" spans="1:13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40"/>
        <v>612.20000000000005</v>
      </c>
      <c r="G359" s="70">
        <f t="shared" si="42"/>
        <v>2.6366484399693683E-3</v>
      </c>
      <c r="H359" s="37">
        <f t="shared" si="44"/>
        <v>5.9347370541832127</v>
      </c>
      <c r="I359" s="96">
        <f t="shared" si="43"/>
        <v>2.1822028148231674</v>
      </c>
      <c r="J359" s="37">
        <v>2.3118294545537248</v>
      </c>
      <c r="K359" s="37">
        <f t="shared" si="41"/>
        <v>1.0780728141346754</v>
      </c>
      <c r="L359" s="37">
        <f t="shared" si="45"/>
        <v>1.3141707604301693</v>
      </c>
      <c r="M359" s="45">
        <f t="shared" si="39"/>
        <v>1.8795887189962071E-2</v>
      </c>
    </row>
    <row r="360" spans="1:13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40"/>
        <v>611.79999999999995</v>
      </c>
      <c r="G360" s="70">
        <f t="shared" si="42"/>
        <v>2.6349257033212339E-3</v>
      </c>
      <c r="H360" s="37">
        <f t="shared" si="44"/>
        <v>5.9308594082804458</v>
      </c>
      <c r="I360" s="96">
        <f t="shared" si="43"/>
        <v>2.1807770044247201</v>
      </c>
      <c r="J360" s="37">
        <v>2.310318948539642</v>
      </c>
      <c r="K360" s="37">
        <f t="shared" si="41"/>
        <v>1.077368421573986</v>
      </c>
      <c r="L360" s="37">
        <f t="shared" si="45"/>
        <v>1.3133121058986892</v>
      </c>
      <c r="M360" s="45">
        <f t="shared" si="39"/>
        <v>1.8795887189962071E-2</v>
      </c>
    </row>
    <row r="361" spans="1:13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40"/>
        <v>510.4</v>
      </c>
      <c r="G361" s="70">
        <f t="shared" si="42"/>
        <v>2.1982119630192185E-3</v>
      </c>
      <c r="H361" s="37">
        <f t="shared" si="44"/>
        <v>4.9478761719292903</v>
      </c>
      <c r="I361" s="96">
        <f t="shared" si="43"/>
        <v>1.8193340684184003</v>
      </c>
      <c r="J361" s="37">
        <v>1.9274056739696523</v>
      </c>
      <c r="K361" s="37">
        <f t="shared" si="41"/>
        <v>0.89880490743929808</v>
      </c>
      <c r="L361" s="37">
        <f t="shared" si="45"/>
        <v>1.0956431821685044</v>
      </c>
      <c r="M361" s="45">
        <f t="shared" si="39"/>
        <v>1.8795887189962071E-2</v>
      </c>
    </row>
    <row r="362" spans="1:13" s="6" customFormat="1" ht="15.75">
      <c r="A362" s="268">
        <v>271</v>
      </c>
      <c r="B362" s="122" t="s">
        <v>1314</v>
      </c>
      <c r="C362" s="55">
        <v>564</v>
      </c>
      <c r="D362" s="260">
        <v>87.5</v>
      </c>
      <c r="E362" s="256"/>
      <c r="F362" s="95">
        <f t="shared" si="40"/>
        <v>651.5</v>
      </c>
      <c r="G362" s="70">
        <f t="shared" si="42"/>
        <v>2.8059073156485518E-3</v>
      </c>
      <c r="H362" s="37">
        <f t="shared" si="44"/>
        <v>6.3157157641299619</v>
      </c>
      <c r="I362" s="96">
        <f t="shared" si="43"/>
        <v>2.3222886864705874</v>
      </c>
      <c r="J362" s="37">
        <v>2.4602366704373599</v>
      </c>
      <c r="K362" s="37">
        <f t="shared" si="41"/>
        <v>1.1472793832223798</v>
      </c>
      <c r="L362" s="37">
        <f t="shared" si="45"/>
        <v>1.3985335681480811</v>
      </c>
      <c r="M362" s="45">
        <f t="shared" si="39"/>
        <v>1.8795887189962071E-2</v>
      </c>
    </row>
    <row r="363" spans="1:13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40"/>
        <v>789.90000000000009</v>
      </c>
      <c r="G363" s="70">
        <f t="shared" si="42"/>
        <v>3.4019741959029799E-3</v>
      </c>
      <c r="H363" s="37">
        <f t="shared" si="44"/>
        <v>7.6573812464869642</v>
      </c>
      <c r="I363" s="96">
        <f t="shared" si="43"/>
        <v>2.8156190843332571</v>
      </c>
      <c r="J363" s="37">
        <v>2.9828717513100091</v>
      </c>
      <c r="K363" s="37">
        <f t="shared" si="41"/>
        <v>1.3909992092208103</v>
      </c>
      <c r="L363" s="37">
        <f t="shared" si="45"/>
        <v>1.6956280360401679</v>
      </c>
      <c r="M363" s="45">
        <f t="shared" si="39"/>
        <v>1.8795887189962068E-2</v>
      </c>
    </row>
    <row r="364" spans="1:13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40"/>
        <v>770.6</v>
      </c>
      <c r="G364" s="70">
        <f t="shared" si="42"/>
        <v>3.3188521526305052E-3</v>
      </c>
      <c r="H364" s="37">
        <f t="shared" si="44"/>
        <v>7.4702848316785104</v>
      </c>
      <c r="I364" s="96">
        <f t="shared" si="43"/>
        <v>2.7468237326081884</v>
      </c>
      <c r="J364" s="37">
        <v>2.9099898361305137</v>
      </c>
      <c r="K364" s="37">
        <f t="shared" si="41"/>
        <v>1.3570122681675609</v>
      </c>
      <c r="L364" s="37">
        <f t="shared" si="45"/>
        <v>1.6541979548962569</v>
      </c>
      <c r="M364" s="45">
        <f t="shared" si="39"/>
        <v>1.8795887189962071E-2</v>
      </c>
    </row>
    <row r="365" spans="1:13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40"/>
        <v>958.2</v>
      </c>
      <c r="G365" s="70">
        <f t="shared" si="42"/>
        <v>4.1268156406054374E-3</v>
      </c>
      <c r="H365" s="37">
        <f t="shared" si="44"/>
        <v>9.2889007600757179</v>
      </c>
      <c r="I365" s="96">
        <f t="shared" si="43"/>
        <v>3.4155288094798415</v>
      </c>
      <c r="J365" s="37">
        <v>3.6184171567353469</v>
      </c>
      <c r="K365" s="37">
        <f t="shared" si="41"/>
        <v>1.6873723791307513</v>
      </c>
      <c r="L365" s="37">
        <f t="shared" si="45"/>
        <v>2.0569069301603862</v>
      </c>
      <c r="M365" s="45">
        <f t="shared" si="39"/>
        <v>1.8795887189962068E-2</v>
      </c>
    </row>
    <row r="366" spans="1:13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40"/>
        <v>1194.4199999999998</v>
      </c>
      <c r="G366" s="70">
        <f t="shared" si="42"/>
        <v>5.1441777681610788E-3</v>
      </c>
      <c r="H366" s="37">
        <f t="shared" si="44"/>
        <v>11.578844547954118</v>
      </c>
      <c r="I366" s="96">
        <f t="shared" si="43"/>
        <v>4.2575411402827292</v>
      </c>
      <c r="J366" s="37">
        <v>4.5104464833519433</v>
      </c>
      <c r="K366" s="37">
        <f t="shared" si="41"/>
        <v>2.1033514058457019</v>
      </c>
      <c r="L366" s="37">
        <f t="shared" si="45"/>
        <v>2.5639853637259109</v>
      </c>
      <c r="M366" s="45">
        <f t="shared" si="39"/>
        <v>1.8795887189962071E-2</v>
      </c>
    </row>
    <row r="367" spans="1:13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40"/>
        <v>437.85999999999996</v>
      </c>
      <c r="G367" s="70">
        <f t="shared" si="42"/>
        <v>1.8857936718800841E-3</v>
      </c>
      <c r="H367" s="37">
        <f t="shared" si="44"/>
        <v>4.2446650874626934</v>
      </c>
      <c r="I367" s="96">
        <f t="shared" si="43"/>
        <v>1.5607633526600324</v>
      </c>
      <c r="J367" s="37">
        <v>1.6534754083157366</v>
      </c>
      <c r="K367" s="37">
        <f t="shared" si="41"/>
        <v>0.77106331655832883</v>
      </c>
      <c r="L367" s="37">
        <f t="shared" si="45"/>
        <v>0.93992618288460295</v>
      </c>
      <c r="M367" s="45">
        <f t="shared" si="39"/>
        <v>1.8795887189962071E-2</v>
      </c>
    </row>
    <row r="368" spans="1:13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40"/>
        <v>712.5</v>
      </c>
      <c r="G368" s="70">
        <f t="shared" si="42"/>
        <v>3.0686246544890149E-3</v>
      </c>
      <c r="H368" s="37">
        <f t="shared" si="44"/>
        <v>6.9070567643017622</v>
      </c>
      <c r="I368" s="96">
        <f t="shared" si="43"/>
        <v>2.5397247722337579</v>
      </c>
      <c r="J368" s="37">
        <v>2.6905888375849871</v>
      </c>
      <c r="K368" s="37">
        <f t="shared" si="41"/>
        <v>1.2546992487274684</v>
      </c>
      <c r="L368" s="37">
        <f t="shared" si="45"/>
        <v>1.529478384198784</v>
      </c>
      <c r="M368" s="45">
        <f t="shared" si="39"/>
        <v>1.8795887189962071E-2</v>
      </c>
    </row>
    <row r="369" spans="1:13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40"/>
        <v>1035.06</v>
      </c>
      <c r="G369" s="70">
        <f t="shared" si="42"/>
        <v>4.4578394875444205E-3</v>
      </c>
      <c r="H369" s="37">
        <f t="shared" si="44"/>
        <v>10.033990420292184</v>
      </c>
      <c r="I369" s="96">
        <f t="shared" si="43"/>
        <v>3.6894982775414364</v>
      </c>
      <c r="J369" s="37">
        <v>3.9086608873413562</v>
      </c>
      <c r="K369" s="37">
        <f t="shared" si="41"/>
        <v>1.8227214096671627</v>
      </c>
      <c r="L369" s="37">
        <f t="shared" si="45"/>
        <v>2.2218973983842716</v>
      </c>
      <c r="M369" s="45">
        <f t="shared" si="39"/>
        <v>1.8795887189962071E-2</v>
      </c>
    </row>
    <row r="370" spans="1:13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40"/>
        <v>684.4</v>
      </c>
      <c r="G370" s="70">
        <f t="shared" si="42"/>
        <v>2.9476024049575884E-3</v>
      </c>
      <c r="H370" s="37">
        <f t="shared" si="44"/>
        <v>6.6346521396324576</v>
      </c>
      <c r="I370" s="96">
        <f t="shared" si="43"/>
        <v>2.439561591742855</v>
      </c>
      <c r="J370" s="37">
        <v>2.5844757900956705</v>
      </c>
      <c r="K370" s="37">
        <f t="shared" si="41"/>
        <v>1.2052156713390587</v>
      </c>
      <c r="L370" s="37">
        <f t="shared" si="45"/>
        <v>1.4691579033623128</v>
      </c>
      <c r="M370" s="45">
        <f t="shared" si="39"/>
        <v>1.8795887189962071E-2</v>
      </c>
    </row>
    <row r="371" spans="1:13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40"/>
        <v>858.85</v>
      </c>
      <c r="G371" s="70">
        <f t="shared" si="42"/>
        <v>3.6989309256251096E-3</v>
      </c>
      <c r="H371" s="37">
        <f t="shared" si="44"/>
        <v>8.3257904589762362</v>
      </c>
      <c r="I371" s="96">
        <f t="shared" si="43"/>
        <v>3.0613931517655621</v>
      </c>
      <c r="J371" s="37">
        <v>3.2432452254875312</v>
      </c>
      <c r="K371" s="37">
        <f t="shared" si="41"/>
        <v>1.5124188768695948</v>
      </c>
      <c r="L371" s="37">
        <f t="shared" si="45"/>
        <v>1.8436386109040361</v>
      </c>
      <c r="M371" s="45">
        <f t="shared" si="39"/>
        <v>1.8795887189962068E-2</v>
      </c>
    </row>
    <row r="372" spans="1:13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40"/>
        <v>827.7</v>
      </c>
      <c r="G372" s="70">
        <f t="shared" si="42"/>
        <v>3.5647728091516601E-3</v>
      </c>
      <c r="H372" s="37">
        <f t="shared" si="44"/>
        <v>8.0238187842983404</v>
      </c>
      <c r="I372" s="96">
        <f t="shared" si="43"/>
        <v>2.9503581669864998</v>
      </c>
      <c r="J372" s="37">
        <v>3.1256145696408337</v>
      </c>
      <c r="K372" s="37">
        <f t="shared" si="41"/>
        <v>1.4575643062059307</v>
      </c>
      <c r="L372" s="37">
        <f t="shared" si="45"/>
        <v>1.7767708892650296</v>
      </c>
      <c r="M372" s="45">
        <f t="shared" si="39"/>
        <v>1.8795887189962068E-2</v>
      </c>
    </row>
    <row r="373" spans="1:13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40"/>
        <v>837.19</v>
      </c>
      <c r="G373" s="70">
        <f t="shared" si="42"/>
        <v>3.6056447361286436E-3</v>
      </c>
      <c r="H373" s="37">
        <f t="shared" si="44"/>
        <v>8.1158159333414623</v>
      </c>
      <c r="I373" s="96">
        <f t="shared" si="43"/>
        <v>2.9841855186896558</v>
      </c>
      <c r="J373" s="37">
        <v>3.1614513248249478</v>
      </c>
      <c r="K373" s="37">
        <f t="shared" si="41"/>
        <v>1.4742760197082798</v>
      </c>
      <c r="L373" s="37">
        <f t="shared" si="45"/>
        <v>1.7971424680243933</v>
      </c>
      <c r="M373" s="45">
        <f t="shared" si="39"/>
        <v>1.8795887189962068E-2</v>
      </c>
    </row>
    <row r="374" spans="1:13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40"/>
        <v>325.10000000000002</v>
      </c>
      <c r="G374" s="70">
        <f t="shared" si="42"/>
        <v>1.400154210771058E-3</v>
      </c>
      <c r="H374" s="37">
        <f t="shared" si="44"/>
        <v>3.1515567074729867</v>
      </c>
      <c r="I374" s="96">
        <f t="shared" si="43"/>
        <v>1.1588274013378173</v>
      </c>
      <c r="J374" s="37">
        <v>1.2276637629457956</v>
      </c>
      <c r="K374" s="37">
        <f t="shared" si="41"/>
        <v>0.57249505370007014</v>
      </c>
      <c r="L374" s="37">
        <f t="shared" si="45"/>
        <v>0.69787147046038556</v>
      </c>
      <c r="M374" s="45">
        <f t="shared" si="39"/>
        <v>1.8795887189962071E-2</v>
      </c>
    </row>
    <row r="375" spans="1:13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40"/>
        <v>513</v>
      </c>
      <c r="G375" s="70">
        <f t="shared" si="42"/>
        <v>2.2094097512320907E-3</v>
      </c>
      <c r="H375" s="37">
        <f t="shared" si="44"/>
        <v>4.9730808702972684</v>
      </c>
      <c r="I375" s="96">
        <f t="shared" si="43"/>
        <v>1.8286018360083058</v>
      </c>
      <c r="J375" s="37">
        <v>1.9372239630611907</v>
      </c>
      <c r="K375" s="37">
        <f t="shared" si="41"/>
        <v>0.90338345908377726</v>
      </c>
      <c r="L375" s="37">
        <f t="shared" si="45"/>
        <v>1.1012244366231245</v>
      </c>
      <c r="M375" s="45">
        <f t="shared" si="39"/>
        <v>1.8795887189962075E-2</v>
      </c>
    </row>
    <row r="376" spans="1:13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40"/>
        <v>1023.42</v>
      </c>
      <c r="G376" s="70">
        <f t="shared" si="42"/>
        <v>4.4077078510837159E-3</v>
      </c>
      <c r="H376" s="37">
        <f t="shared" si="44"/>
        <v>9.9211509245216973</v>
      </c>
      <c r="I376" s="96">
        <f t="shared" si="43"/>
        <v>3.6480071949466284</v>
      </c>
      <c r="J376" s="37">
        <v>3.8647051623315467</v>
      </c>
      <c r="K376" s="37">
        <f t="shared" si="41"/>
        <v>1.8022235861511098</v>
      </c>
      <c r="L376" s="37">
        <f t="shared" si="45"/>
        <v>2.196910551518203</v>
      </c>
      <c r="M376" s="45">
        <f t="shared" si="39"/>
        <v>1.8795887189962071E-2</v>
      </c>
    </row>
    <row r="377" spans="1:13" s="5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40"/>
        <v>74.599999999999994</v>
      </c>
      <c r="G377" s="70">
        <f t="shared" si="42"/>
        <v>3.2129038487702528E-4</v>
      </c>
      <c r="H377" s="37">
        <f t="shared" si="44"/>
        <v>0.72318096086584061</v>
      </c>
      <c r="I377" s="96">
        <f t="shared" si="43"/>
        <v>0.2659136393103696</v>
      </c>
      <c r="J377" s="37">
        <v>0.28170937162644211</v>
      </c>
      <c r="K377" s="37">
        <f t="shared" si="41"/>
        <v>0.13136921256851811</v>
      </c>
      <c r="L377" s="37">
        <f t="shared" si="45"/>
        <v>0.16013907012102357</v>
      </c>
      <c r="M377" s="45">
        <f t="shared" si="39"/>
        <v>1.8795887189962071E-2</v>
      </c>
    </row>
    <row r="378" spans="1:13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95">
        <f t="shared" si="40"/>
        <v>577.79999999999995</v>
      </c>
      <c r="G378" s="70">
        <f t="shared" si="42"/>
        <v>2.4884930882298284E-3</v>
      </c>
      <c r="H378" s="37">
        <f t="shared" si="44"/>
        <v>5.6012595065453441</v>
      </c>
      <c r="I378" s="96">
        <f t="shared" si="43"/>
        <v>2.0595831205567232</v>
      </c>
      <c r="J378" s="37">
        <v>2.1819259373426041</v>
      </c>
      <c r="K378" s="37">
        <f t="shared" si="41"/>
        <v>1.0174950539154122</v>
      </c>
      <c r="L378" s="37">
        <f t="shared" si="45"/>
        <v>1.2403264707228876</v>
      </c>
      <c r="M378" s="45">
        <f t="shared" si="39"/>
        <v>1.8795887189962071E-2</v>
      </c>
    </row>
    <row r="379" spans="1:13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95">
        <f t="shared" si="40"/>
        <v>379.4</v>
      </c>
      <c r="G379" s="70">
        <f t="shared" si="42"/>
        <v>1.6340157107552732E-3</v>
      </c>
      <c r="H379" s="37">
        <f t="shared" si="44"/>
        <v>3.6779471387734572</v>
      </c>
      <c r="I379" s="96">
        <f t="shared" si="43"/>
        <v>1.3523811629270004</v>
      </c>
      <c r="J379" s="37">
        <v>1.4327149543575353</v>
      </c>
      <c r="K379" s="37">
        <f t="shared" si="41"/>
        <v>0.66811634381361606</v>
      </c>
      <c r="L379" s="37">
        <f t="shared" si="45"/>
        <v>0.81443382310879808</v>
      </c>
      <c r="M379" s="45">
        <f t="shared" si="39"/>
        <v>1.8795887189962068E-2</v>
      </c>
    </row>
    <row r="380" spans="1:13" s="6" customFormat="1" ht="15.75">
      <c r="A380" s="268">
        <v>289</v>
      </c>
      <c r="B380" s="291" t="s">
        <v>1395</v>
      </c>
      <c r="C380" s="295">
        <f>1893+1096.4</f>
        <v>2989.4</v>
      </c>
      <c r="D380" s="255"/>
      <c r="E380" s="255"/>
      <c r="F380" s="95">
        <f t="shared" si="40"/>
        <v>2989.4</v>
      </c>
      <c r="G380" s="70">
        <f t="shared" si="42"/>
        <v>1.2874872339830824E-2</v>
      </c>
      <c r="H380" s="37">
        <f t="shared" si="44"/>
        <v>28.979586654320968</v>
      </c>
      <c r="I380" s="96">
        <f>H380*0.3677</f>
        <v>10.655794012793821</v>
      </c>
      <c r="J380" s="37">
        <v>4.4005949334777723</v>
      </c>
      <c r="K380" s="37">
        <f t="shared" si="41"/>
        <v>5.2642778023100272</v>
      </c>
      <c r="L380" s="37">
        <f t="shared" si="45"/>
        <v>6.4171546410159239</v>
      </c>
      <c r="M380" s="45">
        <f t="shared" si="39"/>
        <v>1.6491688433432326E-2</v>
      </c>
    </row>
    <row r="381" spans="1:13" s="6" customFormat="1" ht="15.75">
      <c r="A381" s="268">
        <v>290</v>
      </c>
      <c r="B381" s="292" t="s">
        <v>1396</v>
      </c>
      <c r="C381" s="294">
        <v>527.29999999999995</v>
      </c>
      <c r="D381" s="255"/>
      <c r="E381" s="255"/>
      <c r="F381" s="95">
        <f t="shared" si="40"/>
        <v>527.29999999999995</v>
      </c>
      <c r="G381" s="70">
        <f t="shared" si="42"/>
        <v>2.2709975864028875E-3</v>
      </c>
      <c r="H381" s="37">
        <f t="shared" si="44"/>
        <v>5.1117067113211494</v>
      </c>
      <c r="I381" s="96">
        <f>H381*0.3677</f>
        <v>1.8795745577527867</v>
      </c>
      <c r="J381" s="37">
        <v>5.347266815153815</v>
      </c>
      <c r="K381" s="37">
        <f t="shared" si="41"/>
        <v>0.92856549312841263</v>
      </c>
      <c r="L381" s="37">
        <f t="shared" si="45"/>
        <v>1.1319213361235352</v>
      </c>
      <c r="M381" s="45">
        <f t="shared" si="39"/>
        <v>2.5160465726068962E-2</v>
      </c>
    </row>
    <row r="382" spans="1:13" s="6" customFormat="1" ht="15.75">
      <c r="A382" s="268">
        <v>291</v>
      </c>
      <c r="B382" s="301" t="s">
        <v>1400</v>
      </c>
      <c r="C382" s="295">
        <v>2299.1999999999998</v>
      </c>
      <c r="D382" s="255"/>
      <c r="E382" s="255"/>
      <c r="F382" s="95">
        <f t="shared" si="40"/>
        <v>2299.1999999999998</v>
      </c>
      <c r="G382" s="70">
        <f t="shared" si="42"/>
        <v>9.902290253475287E-3</v>
      </c>
      <c r="H382" s="37">
        <f t="shared" si="44"/>
        <v>22.2887086490984</v>
      </c>
      <c r="I382" s="96">
        <f>H382*0.3677</f>
        <v>8.1955581702734825</v>
      </c>
      <c r="J382" s="37">
        <v>5.6712325925242233</v>
      </c>
      <c r="K382" s="37">
        <f t="shared" si="41"/>
        <v>4.0488484388409756</v>
      </c>
      <c r="L382" s="37">
        <f t="shared" si="45"/>
        <v>4.9355462469471494</v>
      </c>
      <c r="M382" s="45">
        <f t="shared" si="39"/>
        <v>1.7486233407592675E-2</v>
      </c>
    </row>
    <row r="383" spans="1:13" s="6" customFormat="1" ht="15.75">
      <c r="A383" s="268">
        <v>292</v>
      </c>
      <c r="B383" s="302" t="s">
        <v>1401</v>
      </c>
      <c r="C383" s="294">
        <v>292.60000000000002</v>
      </c>
      <c r="D383" s="255"/>
      <c r="E383" s="255"/>
      <c r="F383" s="95">
        <f t="shared" si="40"/>
        <v>292.60000000000002</v>
      </c>
      <c r="G383" s="70">
        <f t="shared" si="42"/>
        <v>1.2601818581101556E-3</v>
      </c>
      <c r="H383" s="37">
        <f t="shared" si="44"/>
        <v>2.8364979778732571</v>
      </c>
      <c r="I383" s="96">
        <f>H383*0.3677</f>
        <v>1.0429803064639966</v>
      </c>
      <c r="J383" s="37">
        <v>3.6629770841507896</v>
      </c>
      <c r="K383" s="37">
        <f>G383*408.88</f>
        <v>0.51526315814408041</v>
      </c>
      <c r="L383" s="37">
        <f t="shared" si="45"/>
        <v>0.62810578977763409</v>
      </c>
      <c r="M383" s="45">
        <f t="shared" si="39"/>
        <v>2.7538340829228035E-2</v>
      </c>
    </row>
    <row r="384" spans="1:13" s="69" customFormat="1" ht="15.75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3">
        <f t="shared" ref="F384:F447" si="46">C384+D384+E384</f>
        <v>232188.71000000008</v>
      </c>
      <c r="G384" s="70">
        <f>1/232188.71*F384</f>
        <v>1.0000000000000004</v>
      </c>
      <c r="H384" s="37">
        <f t="shared" si="44"/>
        <v>2250.8640000000009</v>
      </c>
      <c r="I384" s="64">
        <f t="shared" ref="I384:I400" si="47">H384*0.3677</f>
        <v>827.64269280000042</v>
      </c>
      <c r="J384" s="37">
        <f>SUM(J68:J383)</f>
        <v>870.69746977126533</v>
      </c>
      <c r="K384" s="37">
        <f>SUM(K92:K383)</f>
        <v>407.88980015781164</v>
      </c>
      <c r="L384" s="37">
        <f t="shared" si="45"/>
        <v>497.21766639237239</v>
      </c>
      <c r="M384" s="45">
        <f t="shared" si="39"/>
        <v>1.8765313622393944E-2</v>
      </c>
    </row>
    <row r="385" spans="1:13" s="6" customFormat="1" ht="15.75">
      <c r="A385" s="52" t="s">
        <v>668</v>
      </c>
      <c r="B385" s="8"/>
      <c r="C385" s="8"/>
      <c r="D385" s="8"/>
      <c r="E385" s="8"/>
      <c r="F385" s="40">
        <f t="shared" si="46"/>
        <v>0</v>
      </c>
      <c r="G385" s="221"/>
      <c r="H385" s="37"/>
      <c r="I385" s="37"/>
      <c r="J385" s="37">
        <v>0</v>
      </c>
      <c r="K385" s="37"/>
      <c r="L385" s="37">
        <f t="shared" si="45"/>
        <v>0</v>
      </c>
      <c r="M385" s="45" t="e">
        <f t="shared" si="39"/>
        <v>#DIV/0!</v>
      </c>
    </row>
    <row r="386" spans="1:13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46"/>
        <v>4235</v>
      </c>
      <c r="G386" s="221">
        <f t="shared" ref="G386:G449" si="48">1/243872.61*F386</f>
        <v>1.7365623798424927E-2</v>
      </c>
      <c r="H386" s="37">
        <f t="shared" ref="H386:H449" si="49">G386*1218*1.64*1.2</f>
        <v>41.625817019795704</v>
      </c>
      <c r="I386" s="37">
        <f t="shared" si="47"/>
        <v>15.305812918178882</v>
      </c>
      <c r="J386" s="37">
        <v>7.1205355628357037</v>
      </c>
      <c r="K386" s="37">
        <f>G386*408.88*1.08</f>
        <v>7.668492759395984</v>
      </c>
      <c r="L386" s="37">
        <f t="shared" si="45"/>
        <v>9.3478926737037042</v>
      </c>
      <c r="M386" s="45">
        <f t="shared" si="39"/>
        <v>1.6935220368407621E-2</v>
      </c>
    </row>
    <row r="387" spans="1:13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46"/>
        <v>12601</v>
      </c>
      <c r="G387" s="221">
        <f t="shared" si="48"/>
        <v>5.1670419240602714E-2</v>
      </c>
      <c r="H387" s="37">
        <f t="shared" si="49"/>
        <v>123.85523500978647</v>
      </c>
      <c r="I387" s="37">
        <f t="shared" si="47"/>
        <v>45.541569913098485</v>
      </c>
      <c r="J387" s="37">
        <v>21.186745838794028</v>
      </c>
      <c r="K387" s="37">
        <f t="shared" ref="K387:K450" si="50">G387*408.88*1.08</f>
        <v>22.817161100625448</v>
      </c>
      <c r="L387" s="37">
        <f t="shared" si="45"/>
        <v>27.814119381662422</v>
      </c>
      <c r="M387" s="45">
        <f t="shared" si="39"/>
        <v>1.6935220368407621E-2</v>
      </c>
    </row>
    <row r="388" spans="1:13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46"/>
        <v>12482</v>
      </c>
      <c r="G388" s="221">
        <f t="shared" si="48"/>
        <v>5.1182459563622176E-2</v>
      </c>
      <c r="H388" s="37">
        <f t="shared" si="49"/>
        <v>122.68558395303188</v>
      </c>
      <c r="I388" s="37">
        <f t="shared" si="47"/>
        <v>45.111489219529822</v>
      </c>
      <c r="J388" s="37">
        <v>20.986664674218478</v>
      </c>
      <c r="K388" s="37">
        <f t="shared" si="50"/>
        <v>22.601682791683743</v>
      </c>
      <c r="L388" s="37">
        <f t="shared" si="45"/>
        <v>27.551451323062484</v>
      </c>
      <c r="M388" s="45">
        <f t="shared" si="39"/>
        <v>1.6935220368407621E-2</v>
      </c>
    </row>
    <row r="389" spans="1:13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46"/>
        <v>6092</v>
      </c>
      <c r="G389" s="221">
        <f t="shared" si="48"/>
        <v>2.4980255060213612E-2</v>
      </c>
      <c r="H389" s="37">
        <f t="shared" si="49"/>
        <v>59.878270905453462</v>
      </c>
      <c r="I389" s="37">
        <f t="shared" si="47"/>
        <v>22.017240211935238</v>
      </c>
      <c r="J389" s="37">
        <v>10.242810542808762</v>
      </c>
      <c r="K389" s="37">
        <f t="shared" si="50"/>
        <v>11.031040824141753</v>
      </c>
      <c r="L389" s="37">
        <f t="shared" si="45"/>
        <v>13.446838764628797</v>
      </c>
      <c r="M389" s="45">
        <f t="shared" si="39"/>
        <v>1.6935220368407618E-2</v>
      </c>
    </row>
    <row r="390" spans="1:13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46"/>
        <v>12853.2</v>
      </c>
      <c r="G390" s="221">
        <f t="shared" si="48"/>
        <v>5.2704565715682473E-2</v>
      </c>
      <c r="H390" s="37">
        <f t="shared" si="49"/>
        <v>126.33410893006804</v>
      </c>
      <c r="I390" s="37">
        <f t="shared" si="47"/>
        <v>46.453051853586025</v>
      </c>
      <c r="J390" s="37">
        <v>21.610783399348257</v>
      </c>
      <c r="K390" s="37">
        <f t="shared" si="50"/>
        <v>23.273830256214513</v>
      </c>
      <c r="L390" s="37">
        <f t="shared" si="45"/>
        <v>28.370799082325494</v>
      </c>
      <c r="M390" s="45">
        <f t="shared" si="39"/>
        <v>1.6935220368407621E-2</v>
      </c>
    </row>
    <row r="391" spans="1:13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46"/>
        <v>6317.1</v>
      </c>
      <c r="G391" s="221">
        <f t="shared" si="48"/>
        <v>2.5903277944989398E-2</v>
      </c>
      <c r="H391" s="37">
        <f t="shared" si="49"/>
        <v>62.090778912810258</v>
      </c>
      <c r="I391" s="37">
        <f t="shared" si="47"/>
        <v>22.830779406240332</v>
      </c>
      <c r="J391" s="37">
        <v>10.621283401178141</v>
      </c>
      <c r="K391" s="37">
        <f t="shared" si="50"/>
        <v>11.438638869039048</v>
      </c>
      <c r="L391" s="37">
        <f t="shared" si="45"/>
        <v>13.943700781358601</v>
      </c>
      <c r="M391" s="45">
        <f t="shared" ref="M391:M454" si="51">(K391+J391+I391+H391)/F391</f>
        <v>1.6935220368407621E-2</v>
      </c>
    </row>
    <row r="392" spans="1:13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46"/>
        <v>6243.1</v>
      </c>
      <c r="G392" s="221">
        <f t="shared" si="48"/>
        <v>2.5599840834934277E-2</v>
      </c>
      <c r="H392" s="37">
        <f t="shared" si="49"/>
        <v>61.363432877517489</v>
      </c>
      <c r="I392" s="37">
        <f t="shared" si="47"/>
        <v>22.563334269063184</v>
      </c>
      <c r="J392" s="37">
        <v>10.496863181189983</v>
      </c>
      <c r="K392" s="37">
        <f t="shared" si="50"/>
        <v>11.304643954234962</v>
      </c>
      <c r="L392" s="37">
        <f t="shared" si="45"/>
        <v>13.78036098021242</v>
      </c>
      <c r="M392" s="45">
        <f t="shared" si="51"/>
        <v>1.6935220368407621E-2</v>
      </c>
    </row>
    <row r="393" spans="1:13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46"/>
        <v>3918</v>
      </c>
      <c r="G393" s="221">
        <f t="shared" si="48"/>
        <v>1.6065764826972577E-2</v>
      </c>
      <c r="H393" s="37">
        <f t="shared" si="49"/>
        <v>38.510023868609117</v>
      </c>
      <c r="I393" s="37">
        <f t="shared" si="47"/>
        <v>14.160135776487573</v>
      </c>
      <c r="J393" s="37">
        <v>6.5875462420756286</v>
      </c>
      <c r="K393" s="37">
        <f t="shared" si="50"/>
        <v>7.0944875162487513</v>
      </c>
      <c r="L393" s="37">
        <f t="shared" si="45"/>
        <v>8.6481802823072282</v>
      </c>
      <c r="M393" s="45">
        <f t="shared" si="51"/>
        <v>1.6935220368407625E-2</v>
      </c>
    </row>
    <row r="394" spans="1:13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46"/>
        <v>4332</v>
      </c>
      <c r="G394" s="221">
        <f t="shared" si="48"/>
        <v>1.776337244268637E-2</v>
      </c>
      <c r="H394" s="37">
        <f t="shared" si="49"/>
        <v>42.579230066057853</v>
      </c>
      <c r="I394" s="37">
        <f t="shared" si="47"/>
        <v>15.656382895289473</v>
      </c>
      <c r="J394" s="37">
        <v>7.2836269322796392</v>
      </c>
      <c r="K394" s="37">
        <f t="shared" si="50"/>
        <v>7.8441347423148517</v>
      </c>
      <c r="L394" s="37">
        <f t="shared" si="45"/>
        <v>9.5620002508818054</v>
      </c>
      <c r="M394" s="45">
        <f t="shared" si="51"/>
        <v>1.6935220368407625E-2</v>
      </c>
    </row>
    <row r="395" spans="1:13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46"/>
        <v>3911</v>
      </c>
      <c r="G395" s="221">
        <f t="shared" si="48"/>
        <v>1.6037061316561955E-2</v>
      </c>
      <c r="H395" s="37">
        <f t="shared" si="49"/>
        <v>38.441220865270601</v>
      </c>
      <c r="I395" s="37">
        <f t="shared" si="47"/>
        <v>14.134836912160001</v>
      </c>
      <c r="J395" s="37">
        <v>6.5757767618064786</v>
      </c>
      <c r="K395" s="37">
        <f t="shared" si="50"/>
        <v>7.0818123216051205</v>
      </c>
      <c r="L395" s="37">
        <f t="shared" si="45"/>
        <v>8.6327292200366426</v>
      </c>
      <c r="M395" s="45">
        <f t="shared" si="51"/>
        <v>1.6935220368407618E-2</v>
      </c>
    </row>
    <row r="396" spans="1:13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46"/>
        <v>3338</v>
      </c>
      <c r="G396" s="221">
        <f t="shared" si="48"/>
        <v>1.3687473964378371E-2</v>
      </c>
      <c r="H396" s="37">
        <f t="shared" si="49"/>
        <v>32.809203591990098</v>
      </c>
      <c r="I396" s="37">
        <f t="shared" si="47"/>
        <v>12.06394416077476</v>
      </c>
      <c r="J396" s="37">
        <v>5.6123607340603492</v>
      </c>
      <c r="K396" s="37">
        <f t="shared" si="50"/>
        <v>6.0442571029194312</v>
      </c>
      <c r="L396" s="37">
        <f t="shared" si="45"/>
        <v>7.3679494084587871</v>
      </c>
      <c r="M396" s="45">
        <f t="shared" si="51"/>
        <v>1.6935220368407621E-2</v>
      </c>
    </row>
    <row r="397" spans="1:13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46"/>
        <v>3353</v>
      </c>
      <c r="G397" s="221">
        <f t="shared" si="48"/>
        <v>1.3748981486686842E-2</v>
      </c>
      <c r="H397" s="37">
        <f t="shared" si="49"/>
        <v>32.956638599144043</v>
      </c>
      <c r="I397" s="37">
        <f t="shared" si="47"/>
        <v>12.118156012905265</v>
      </c>
      <c r="J397" s="37">
        <v>5.6375810489228133</v>
      </c>
      <c r="K397" s="37">
        <f t="shared" si="50"/>
        <v>6.0714182342986378</v>
      </c>
      <c r="L397" s="37">
        <f t="shared" si="45"/>
        <v>7.40105882761004</v>
      </c>
      <c r="M397" s="45">
        <f t="shared" si="51"/>
        <v>1.6935220368407625E-2</v>
      </c>
    </row>
    <row r="398" spans="1:13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46"/>
        <v>4050</v>
      </c>
      <c r="G398" s="221">
        <f t="shared" si="48"/>
        <v>1.660703102328712E-2</v>
      </c>
      <c r="H398" s="37">
        <f t="shared" si="49"/>
        <v>39.807451931563776</v>
      </c>
      <c r="I398" s="37">
        <f t="shared" si="47"/>
        <v>14.637200075236002</v>
      </c>
      <c r="J398" s="37">
        <v>6.8094850128653137</v>
      </c>
      <c r="K398" s="37">
        <f t="shared" si="50"/>
        <v>7.3335054723857693</v>
      </c>
      <c r="L398" s="37">
        <f t="shared" si="45"/>
        <v>8.9395431708382542</v>
      </c>
      <c r="M398" s="45">
        <f t="shared" si="51"/>
        <v>1.6935220368407621E-2</v>
      </c>
    </row>
    <row r="399" spans="1:13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46"/>
        <v>4035</v>
      </c>
      <c r="G399" s="221">
        <f t="shared" si="48"/>
        <v>1.6545523500978647E-2</v>
      </c>
      <c r="H399" s="37">
        <f t="shared" si="49"/>
        <v>39.660016924409838</v>
      </c>
      <c r="I399" s="37">
        <f t="shared" si="47"/>
        <v>14.582988223105499</v>
      </c>
      <c r="J399" s="37">
        <v>6.7842646980028487</v>
      </c>
      <c r="K399" s="37">
        <f t="shared" si="50"/>
        <v>7.3063443410065618</v>
      </c>
      <c r="L399" s="37">
        <f t="shared" si="45"/>
        <v>8.9064337516869987</v>
      </c>
      <c r="M399" s="45">
        <f t="shared" si="51"/>
        <v>1.6935220368407621E-2</v>
      </c>
    </row>
    <row r="400" spans="1:13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46"/>
        <v>4018</v>
      </c>
      <c r="G400" s="221">
        <f t="shared" si="48"/>
        <v>1.6475814975695714E-2</v>
      </c>
      <c r="H400" s="37">
        <f t="shared" si="49"/>
        <v>39.492923916302033</v>
      </c>
      <c r="I400" s="37">
        <f t="shared" si="47"/>
        <v>14.521548124024259</v>
      </c>
      <c r="J400" s="37">
        <v>6.755681674492056</v>
      </c>
      <c r="K400" s="37">
        <f t="shared" si="50"/>
        <v>7.2755617254434606</v>
      </c>
      <c r="L400" s="37">
        <f t="shared" si="45"/>
        <v>8.8689097433155784</v>
      </c>
      <c r="M400" s="45">
        <f t="shared" si="51"/>
        <v>1.6935220368407618E-2</v>
      </c>
    </row>
    <row r="401" spans="1:13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46"/>
        <v>4031</v>
      </c>
      <c r="G401" s="221">
        <f t="shared" si="48"/>
        <v>1.6529121495029723E-2</v>
      </c>
      <c r="H401" s="37">
        <f t="shared" si="49"/>
        <v>39.620700922502117</v>
      </c>
      <c r="I401" s="37">
        <f t="shared" ref="I401:I464" si="52">H401*0.3677</f>
        <v>14.568531729204029</v>
      </c>
      <c r="J401" s="37">
        <v>6.7775392807061925</v>
      </c>
      <c r="K401" s="37">
        <f t="shared" si="50"/>
        <v>7.2991013726387743</v>
      </c>
      <c r="L401" s="37">
        <f t="shared" si="45"/>
        <v>8.8976045732466673</v>
      </c>
      <c r="M401" s="45">
        <f t="shared" si="51"/>
        <v>1.6935220368407621E-2</v>
      </c>
    </row>
    <row r="402" spans="1:13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46"/>
        <v>4302</v>
      </c>
      <c r="G402" s="221">
        <f t="shared" si="48"/>
        <v>1.7640357398069427E-2</v>
      </c>
      <c r="H402" s="37">
        <f t="shared" si="49"/>
        <v>42.284360051749971</v>
      </c>
      <c r="I402" s="37">
        <f t="shared" si="52"/>
        <v>15.547959191028465</v>
      </c>
      <c r="J402" s="37">
        <v>7.2331863025547101</v>
      </c>
      <c r="K402" s="37">
        <f t="shared" si="50"/>
        <v>7.7898124795564376</v>
      </c>
      <c r="L402" s="37">
        <f t="shared" si="45"/>
        <v>9.4957814125792979</v>
      </c>
      <c r="M402" s="45">
        <f t="shared" si="51"/>
        <v>1.6935220368407621E-2</v>
      </c>
    </row>
    <row r="403" spans="1:13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46"/>
        <v>4275</v>
      </c>
      <c r="G403" s="221">
        <f t="shared" si="48"/>
        <v>1.7529643857914182E-2</v>
      </c>
      <c r="H403" s="37">
        <f t="shared" si="49"/>
        <v>42.018977038872883</v>
      </c>
      <c r="I403" s="37">
        <f t="shared" si="52"/>
        <v>15.45037785719356</v>
      </c>
      <c r="J403" s="37">
        <v>7.1877897358022738</v>
      </c>
      <c r="K403" s="37">
        <f t="shared" si="50"/>
        <v>7.7409224430738677</v>
      </c>
      <c r="L403" s="37">
        <f t="shared" si="45"/>
        <v>9.4361844581070446</v>
      </c>
      <c r="M403" s="45">
        <f t="shared" si="51"/>
        <v>1.6935220368407625E-2</v>
      </c>
    </row>
    <row r="404" spans="1:13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46"/>
        <v>4125</v>
      </c>
      <c r="G404" s="221">
        <f t="shared" si="48"/>
        <v>1.6914568634829472E-2</v>
      </c>
      <c r="H404" s="37">
        <f t="shared" si="49"/>
        <v>40.544626967333478</v>
      </c>
      <c r="I404" s="37">
        <f t="shared" si="52"/>
        <v>14.908259335888522</v>
      </c>
      <c r="J404" s="37">
        <v>6.9355865871776334</v>
      </c>
      <c r="K404" s="37">
        <f t="shared" si="50"/>
        <v>7.4693111292818006</v>
      </c>
      <c r="L404" s="37">
        <f t="shared" si="45"/>
        <v>9.1050902665945159</v>
      </c>
      <c r="M404" s="45">
        <f t="shared" si="51"/>
        <v>1.6935220368407621E-2</v>
      </c>
    </row>
    <row r="405" spans="1:13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46"/>
        <v>3975</v>
      </c>
      <c r="G405" s="221">
        <f t="shared" si="48"/>
        <v>1.6299493411744765E-2</v>
      </c>
      <c r="H405" s="37">
        <f t="shared" si="49"/>
        <v>39.07027689579408</v>
      </c>
      <c r="I405" s="37">
        <f t="shared" si="52"/>
        <v>14.366140814583485</v>
      </c>
      <c r="J405" s="37">
        <v>6.6833834385529913</v>
      </c>
      <c r="K405" s="37">
        <f t="shared" si="50"/>
        <v>7.1976998154897354</v>
      </c>
      <c r="L405" s="37">
        <f t="shared" si="45"/>
        <v>8.7739960750819872</v>
      </c>
      <c r="M405" s="45">
        <f t="shared" si="51"/>
        <v>1.6935220368407621E-2</v>
      </c>
    </row>
    <row r="406" spans="1:13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46"/>
        <v>3357</v>
      </c>
      <c r="G406" s="221">
        <f t="shared" si="48"/>
        <v>1.3765383492635768E-2</v>
      </c>
      <c r="H406" s="37">
        <f t="shared" si="49"/>
        <v>32.995954601051757</v>
      </c>
      <c r="I406" s="37">
        <f t="shared" si="52"/>
        <v>12.132612506806732</v>
      </c>
      <c r="J406" s="37">
        <v>5.6443064662194704</v>
      </c>
      <c r="K406" s="37">
        <f t="shared" si="50"/>
        <v>6.0786612026664262</v>
      </c>
      <c r="L406" s="37">
        <f t="shared" si="45"/>
        <v>7.409888006050374</v>
      </c>
      <c r="M406" s="45">
        <f t="shared" si="51"/>
        <v>1.6935220368407621E-2</v>
      </c>
    </row>
    <row r="407" spans="1:13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46"/>
        <v>6146</v>
      </c>
      <c r="G407" s="221">
        <f t="shared" si="48"/>
        <v>2.5201682140524106E-2</v>
      </c>
      <c r="H407" s="37">
        <f t="shared" si="49"/>
        <v>60.409036931207645</v>
      </c>
      <c r="I407" s="37">
        <f t="shared" si="52"/>
        <v>22.212402879605051</v>
      </c>
      <c r="J407" s="37">
        <v>10.333603676313633</v>
      </c>
      <c r="K407" s="37">
        <f t="shared" si="50"/>
        <v>11.128820897106896</v>
      </c>
      <c r="L407" s="37">
        <f t="shared" si="45"/>
        <v>13.566032673573307</v>
      </c>
      <c r="M407" s="45">
        <f t="shared" si="51"/>
        <v>1.6935220368407618E-2</v>
      </c>
    </row>
    <row r="408" spans="1:13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46"/>
        <v>983</v>
      </c>
      <c r="G408" s="221">
        <f t="shared" si="48"/>
        <v>4.0307929619484541E-3</v>
      </c>
      <c r="H408" s="37">
        <f t="shared" si="49"/>
        <v>9.6619074688215303</v>
      </c>
      <c r="I408" s="37">
        <f t="shared" si="52"/>
        <v>3.5526833762856769</v>
      </c>
      <c r="J408" s="37">
        <v>1.6527713006534819</v>
      </c>
      <c r="K408" s="37">
        <f t="shared" si="50"/>
        <v>1.7799594763840028</v>
      </c>
      <c r="L408" s="37">
        <f t="shared" si="45"/>
        <v>2.1697706017120995</v>
      </c>
      <c r="M408" s="45">
        <f t="shared" si="51"/>
        <v>1.6935220368407621E-2</v>
      </c>
    </row>
    <row r="409" spans="1:13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46"/>
        <v>3815</v>
      </c>
      <c r="G409" s="221">
        <f t="shared" si="48"/>
        <v>1.5643413173787743E-2</v>
      </c>
      <c r="H409" s="37">
        <f t="shared" si="49"/>
        <v>37.497636819485386</v>
      </c>
      <c r="I409" s="37">
        <f t="shared" si="52"/>
        <v>13.787881058524777</v>
      </c>
      <c r="J409" s="37">
        <v>6.4143667466867083</v>
      </c>
      <c r="K409" s="37">
        <f t="shared" si="50"/>
        <v>6.9079810807781996</v>
      </c>
      <c r="L409" s="37">
        <f t="shared" si="45"/>
        <v>8.4208289374686256</v>
      </c>
      <c r="M409" s="45">
        <f t="shared" si="51"/>
        <v>1.6935220368407618E-2</v>
      </c>
    </row>
    <row r="410" spans="1:13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46"/>
        <v>4215</v>
      </c>
      <c r="G410" s="221">
        <f t="shared" si="48"/>
        <v>1.7283613768680296E-2</v>
      </c>
      <c r="H410" s="37">
        <f t="shared" si="49"/>
        <v>41.429237010257111</v>
      </c>
      <c r="I410" s="37">
        <f t="shared" si="52"/>
        <v>15.233530448671541</v>
      </c>
      <c r="J410" s="37">
        <v>7.0869084763524182</v>
      </c>
      <c r="K410" s="37">
        <f t="shared" si="50"/>
        <v>7.6322779175570403</v>
      </c>
      <c r="L410" s="37">
        <f t="shared" si="45"/>
        <v>9.3037467815020332</v>
      </c>
      <c r="M410" s="45">
        <f t="shared" si="51"/>
        <v>1.6935220368407618E-2</v>
      </c>
    </row>
    <row r="411" spans="1:13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46"/>
        <v>12662</v>
      </c>
      <c r="G411" s="221">
        <f t="shared" si="48"/>
        <v>5.1920549831323826E-2</v>
      </c>
      <c r="H411" s="37">
        <f t="shared" si="49"/>
        <v>124.45480403887915</v>
      </c>
      <c r="I411" s="37">
        <f t="shared" si="52"/>
        <v>45.762031445095865</v>
      </c>
      <c r="J411" s="37">
        <v>21.289308452568047</v>
      </c>
      <c r="K411" s="37">
        <f t="shared" si="50"/>
        <v>22.927616368234222</v>
      </c>
      <c r="L411" s="37">
        <f t="shared" si="45"/>
        <v>27.948764352877518</v>
      </c>
      <c r="M411" s="45">
        <f t="shared" si="51"/>
        <v>1.6935220368407621E-2</v>
      </c>
    </row>
    <row r="412" spans="1:13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46"/>
        <v>3976</v>
      </c>
      <c r="G412" s="221">
        <f t="shared" si="48"/>
        <v>1.6303593913231995E-2</v>
      </c>
      <c r="H412" s="37">
        <f t="shared" si="49"/>
        <v>39.080105896271007</v>
      </c>
      <c r="I412" s="37">
        <f t="shared" si="52"/>
        <v>14.369754938058851</v>
      </c>
      <c r="J412" s="37">
        <v>6.6850647928771565</v>
      </c>
      <c r="K412" s="37">
        <f t="shared" si="50"/>
        <v>7.1995105575816822</v>
      </c>
      <c r="L412" s="37">
        <f t="shared" si="45"/>
        <v>8.7762033696920714</v>
      </c>
      <c r="M412" s="45">
        <f t="shared" si="51"/>
        <v>1.6935220368407621E-2</v>
      </c>
    </row>
    <row r="413" spans="1:13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46"/>
        <v>12839</v>
      </c>
      <c r="G413" s="221">
        <f t="shared" si="48"/>
        <v>5.2646338594563781E-2</v>
      </c>
      <c r="H413" s="37">
        <f t="shared" si="49"/>
        <v>126.19453712329565</v>
      </c>
      <c r="I413" s="37">
        <f t="shared" si="52"/>
        <v>46.401731300235809</v>
      </c>
      <c r="J413" s="37">
        <v>21.586908167945126</v>
      </c>
      <c r="K413" s="37">
        <f t="shared" si="50"/>
        <v>23.248117718508862</v>
      </c>
      <c r="L413" s="37">
        <f t="shared" ref="L413:L476" si="53">K413*1.219</f>
        <v>28.339455498862304</v>
      </c>
      <c r="M413" s="45">
        <f t="shared" si="51"/>
        <v>1.6935220368407621E-2</v>
      </c>
    </row>
    <row r="414" spans="1:13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46"/>
        <v>10313</v>
      </c>
      <c r="G414" s="221">
        <f t="shared" si="48"/>
        <v>4.2288471837817296E-2</v>
      </c>
      <c r="H414" s="37">
        <f t="shared" si="49"/>
        <v>101.36648191857216</v>
      </c>
      <c r="I414" s="37">
        <f t="shared" si="52"/>
        <v>37.272455401458984</v>
      </c>
      <c r="J414" s="37">
        <v>17.339807145106167</v>
      </c>
      <c r="K414" s="37">
        <f t="shared" si="50"/>
        <v>18.674183194250475</v>
      </c>
      <c r="L414" s="37">
        <f t="shared" si="53"/>
        <v>22.76382931379133</v>
      </c>
      <c r="M414" s="45">
        <f t="shared" si="51"/>
        <v>1.6935220368407621E-2</v>
      </c>
    </row>
    <row r="415" spans="1:13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46"/>
        <v>6385</v>
      </c>
      <c r="G415" s="221">
        <f t="shared" si="48"/>
        <v>2.6181701995972407E-2</v>
      </c>
      <c r="H415" s="37">
        <f t="shared" si="49"/>
        <v>62.758168045193756</v>
      </c>
      <c r="I415" s="37">
        <f t="shared" si="52"/>
        <v>23.076178390217745</v>
      </c>
      <c r="J415" s="37">
        <v>10.735447359788894</v>
      </c>
      <c r="K415" s="37">
        <f t="shared" si="50"/>
        <v>11.561588257082253</v>
      </c>
      <c r="L415" s="37">
        <f t="shared" si="53"/>
        <v>14.093576085383267</v>
      </c>
      <c r="M415" s="45">
        <f t="shared" si="51"/>
        <v>1.6935220368407618E-2</v>
      </c>
    </row>
    <row r="416" spans="1:13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46"/>
        <v>3041.2</v>
      </c>
      <c r="G416" s="221">
        <f t="shared" si="48"/>
        <v>1.2470445122968094E-2</v>
      </c>
      <c r="H416" s="37">
        <f t="shared" si="49"/>
        <v>29.891956250437474</v>
      </c>
      <c r="I416" s="37">
        <f t="shared" si="52"/>
        <v>10.99127231328586</v>
      </c>
      <c r="J416" s="37">
        <v>5.1133347706483923</v>
      </c>
      <c r="K416" s="37">
        <f t="shared" si="50"/>
        <v>5.5068288500295299</v>
      </c>
      <c r="L416" s="37">
        <f t="shared" si="53"/>
        <v>6.7128243681859976</v>
      </c>
      <c r="M416" s="45">
        <f t="shared" si="51"/>
        <v>1.6935220368407621E-2</v>
      </c>
    </row>
    <row r="417" spans="1:13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46"/>
        <v>3886</v>
      </c>
      <c r="G417" s="221">
        <f t="shared" si="48"/>
        <v>1.593454877938117E-2</v>
      </c>
      <c r="H417" s="37">
        <f t="shared" si="49"/>
        <v>38.195495853347374</v>
      </c>
      <c r="I417" s="37">
        <f t="shared" si="52"/>
        <v>14.044483825275831</v>
      </c>
      <c r="J417" s="37">
        <v>6.5337429037023718</v>
      </c>
      <c r="K417" s="37">
        <f t="shared" si="50"/>
        <v>7.0365437693064425</v>
      </c>
      <c r="L417" s="37">
        <f t="shared" si="53"/>
        <v>8.5775468547845541</v>
      </c>
      <c r="M417" s="45">
        <f t="shared" si="51"/>
        <v>1.6935220368407625E-2</v>
      </c>
    </row>
    <row r="418" spans="1:13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46"/>
        <v>4071</v>
      </c>
      <c r="G418" s="221">
        <f t="shared" si="48"/>
        <v>1.6693141554518977E-2</v>
      </c>
      <c r="H418" s="37">
        <f t="shared" si="49"/>
        <v>40.013860941579289</v>
      </c>
      <c r="I418" s="37">
        <f t="shared" si="52"/>
        <v>14.713096668218705</v>
      </c>
      <c r="J418" s="37">
        <v>6.8447934536727626</v>
      </c>
      <c r="K418" s="37">
        <f t="shared" si="50"/>
        <v>7.3715310563166572</v>
      </c>
      <c r="L418" s="37">
        <f t="shared" si="53"/>
        <v>8.9858963576500059</v>
      </c>
      <c r="M418" s="45">
        <f t="shared" si="51"/>
        <v>1.6935220368407618E-2</v>
      </c>
    </row>
    <row r="419" spans="1:13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46"/>
        <v>352.6</v>
      </c>
      <c r="G419" s="221">
        <f t="shared" si="48"/>
        <v>1.4458368243977873E-3</v>
      </c>
      <c r="H419" s="37">
        <f t="shared" si="49"/>
        <v>3.4657055681652813</v>
      </c>
      <c r="I419" s="37">
        <f t="shared" si="52"/>
        <v>1.274339937414374</v>
      </c>
      <c r="J419" s="37">
        <v>0.59284553470032331</v>
      </c>
      <c r="K419" s="37">
        <f t="shared" si="50"/>
        <v>0.63846766162054869</v>
      </c>
      <c r="L419" s="37">
        <f t="shared" si="53"/>
        <v>0.77829207951544888</v>
      </c>
      <c r="M419" s="45">
        <f t="shared" si="51"/>
        <v>1.6935220368407621E-2</v>
      </c>
    </row>
    <row r="420" spans="1:13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46"/>
        <v>656.95</v>
      </c>
      <c r="G420" s="221">
        <f t="shared" si="48"/>
        <v>2.6938244520366599E-3</v>
      </c>
      <c r="H420" s="37">
        <f t="shared" si="49"/>
        <v>6.4571618633187224</v>
      </c>
      <c r="I420" s="37">
        <f t="shared" si="52"/>
        <v>2.3742984171422945</v>
      </c>
      <c r="J420" s="37">
        <v>1.1045657232597204</v>
      </c>
      <c r="K420" s="37">
        <f t="shared" si="50"/>
        <v>1.1895670173046495</v>
      </c>
      <c r="L420" s="37">
        <f t="shared" si="53"/>
        <v>1.4500821940943678</v>
      </c>
      <c r="M420" s="45">
        <f t="shared" si="51"/>
        <v>1.6935220368407621E-2</v>
      </c>
    </row>
    <row r="421" spans="1:13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46"/>
        <v>485.16</v>
      </c>
      <c r="G421" s="221">
        <f t="shared" si="48"/>
        <v>1.9893993015451801E-3</v>
      </c>
      <c r="H421" s="37">
        <f t="shared" si="49"/>
        <v>4.7686378713870337</v>
      </c>
      <c r="I421" s="37">
        <f t="shared" si="52"/>
        <v>1.7534281453090124</v>
      </c>
      <c r="J421" s="37">
        <v>0.81572586391153967</v>
      </c>
      <c r="K421" s="37">
        <f t="shared" si="50"/>
        <v>0.87849963332905667</v>
      </c>
      <c r="L421" s="37">
        <f t="shared" si="53"/>
        <v>1.0708910530281202</v>
      </c>
      <c r="M421" s="45">
        <f t="shared" si="51"/>
        <v>1.6935220368407621E-2</v>
      </c>
    </row>
    <row r="422" spans="1:13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46"/>
        <v>286.92</v>
      </c>
      <c r="G422" s="221">
        <f t="shared" si="48"/>
        <v>1.1765158867164298E-3</v>
      </c>
      <c r="H422" s="37">
        <f t="shared" si="49"/>
        <v>2.8201368168405629</v>
      </c>
      <c r="I422" s="37">
        <f t="shared" si="52"/>
        <v>1.036964307552275</v>
      </c>
      <c r="J422" s="37">
        <v>0.48241418268921377</v>
      </c>
      <c r="K422" s="37">
        <f t="shared" si="50"/>
        <v>0.51953812102146302</v>
      </c>
      <c r="L422" s="37">
        <f t="shared" si="53"/>
        <v>0.63331696952516348</v>
      </c>
      <c r="M422" s="45">
        <f t="shared" si="51"/>
        <v>1.6935220368407621E-2</v>
      </c>
    </row>
    <row r="423" spans="1:13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46"/>
        <v>226.94</v>
      </c>
      <c r="G423" s="221">
        <f t="shared" si="48"/>
        <v>9.3056780751229107E-4</v>
      </c>
      <c r="H423" s="37">
        <f t="shared" si="49"/>
        <v>2.2305933682343415</v>
      </c>
      <c r="I423" s="37">
        <f t="shared" si="52"/>
        <v>0.82018918149976738</v>
      </c>
      <c r="J423" s="37">
        <v>0.38156655032584053</v>
      </c>
      <c r="K423" s="37">
        <f t="shared" si="50"/>
        <v>0.41092981034647563</v>
      </c>
      <c r="L423" s="37">
        <f t="shared" si="53"/>
        <v>0.50092343881235379</v>
      </c>
      <c r="M423" s="45">
        <f t="shared" si="51"/>
        <v>1.6935220368407618E-2</v>
      </c>
    </row>
    <row r="424" spans="1:13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46"/>
        <v>307.14999999999998</v>
      </c>
      <c r="G424" s="221">
        <f t="shared" si="48"/>
        <v>1.2594690318031205E-3</v>
      </c>
      <c r="H424" s="37">
        <f t="shared" si="49"/>
        <v>3.0189774964888429</v>
      </c>
      <c r="I424" s="37">
        <f t="shared" si="52"/>
        <v>1.1100780254589477</v>
      </c>
      <c r="J424" s="37">
        <v>0.51642798066705697</v>
      </c>
      <c r="K424" s="37">
        <f t="shared" si="50"/>
        <v>0.55616943354155279</v>
      </c>
      <c r="L424" s="37">
        <f t="shared" si="53"/>
        <v>0.67797053948715291</v>
      </c>
      <c r="M424" s="45">
        <f t="shared" si="51"/>
        <v>1.6935220368407618E-2</v>
      </c>
    </row>
    <row r="425" spans="1:13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46"/>
        <v>329.65</v>
      </c>
      <c r="G425" s="221">
        <f t="shared" si="48"/>
        <v>1.3517303152658267E-3</v>
      </c>
      <c r="H425" s="37">
        <f t="shared" si="49"/>
        <v>3.240130007219753</v>
      </c>
      <c r="I425" s="37">
        <f t="shared" si="52"/>
        <v>1.1913958036547032</v>
      </c>
      <c r="J425" s="37">
        <v>0.55425845296075316</v>
      </c>
      <c r="K425" s="37">
        <f t="shared" si="50"/>
        <v>0.59691113061036261</v>
      </c>
      <c r="L425" s="37">
        <f t="shared" si="53"/>
        <v>0.72763466821403211</v>
      </c>
      <c r="M425" s="45">
        <f t="shared" si="51"/>
        <v>1.6935220368407621E-2</v>
      </c>
    </row>
    <row r="426" spans="1:13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46"/>
        <v>255.16</v>
      </c>
      <c r="G426" s="221">
        <f t="shared" si="48"/>
        <v>1.0462839594819607E-3</v>
      </c>
      <c r="H426" s="37">
        <f t="shared" si="49"/>
        <v>2.5079677616932869</v>
      </c>
      <c r="I426" s="37">
        <f t="shared" si="52"/>
        <v>0.92217974597462171</v>
      </c>
      <c r="J426" s="37">
        <v>0.42901436935375636</v>
      </c>
      <c r="K426" s="37">
        <f t="shared" si="50"/>
        <v>0.46202895218122286</v>
      </c>
      <c r="L426" s="37">
        <f t="shared" si="53"/>
        <v>0.56321329270891074</v>
      </c>
      <c r="M426" s="45">
        <f t="shared" si="51"/>
        <v>1.6935220368407618E-2</v>
      </c>
    </row>
    <row r="427" spans="1:13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46"/>
        <v>509.32</v>
      </c>
      <c r="G427" s="221">
        <f t="shared" si="48"/>
        <v>2.08846741747669E-3</v>
      </c>
      <c r="H427" s="37">
        <f t="shared" si="49"/>
        <v>5.0061065229096453</v>
      </c>
      <c r="I427" s="37">
        <f t="shared" si="52"/>
        <v>1.8407453684738768</v>
      </c>
      <c r="J427" s="37">
        <v>0.85634738438334845</v>
      </c>
      <c r="K427" s="37">
        <f t="shared" si="50"/>
        <v>0.92224716227049863</v>
      </c>
      <c r="L427" s="37">
        <f t="shared" si="53"/>
        <v>1.124219290807738</v>
      </c>
      <c r="M427" s="45">
        <f t="shared" si="51"/>
        <v>1.6935220368407618E-2</v>
      </c>
    </row>
    <row r="428" spans="1:13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46"/>
        <v>509.19</v>
      </c>
      <c r="G428" s="221">
        <f t="shared" si="48"/>
        <v>2.0879343522833501E-3</v>
      </c>
      <c r="H428" s="37">
        <f t="shared" si="49"/>
        <v>5.0048287528476436</v>
      </c>
      <c r="I428" s="37">
        <f t="shared" si="52"/>
        <v>1.8402755324220788</v>
      </c>
      <c r="J428" s="37">
        <v>0.85612880832120708</v>
      </c>
      <c r="K428" s="37">
        <f t="shared" si="50"/>
        <v>0.9220117657985456</v>
      </c>
      <c r="L428" s="37">
        <f t="shared" si="53"/>
        <v>1.1239323425084271</v>
      </c>
      <c r="M428" s="45">
        <f t="shared" si="51"/>
        <v>1.6935220368407618E-2</v>
      </c>
    </row>
    <row r="429" spans="1:13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46"/>
        <v>291.43</v>
      </c>
      <c r="G429" s="221">
        <f t="shared" si="48"/>
        <v>1.1950091484238432E-3</v>
      </c>
      <c r="H429" s="37">
        <f t="shared" si="49"/>
        <v>2.8644656089915141</v>
      </c>
      <c r="I429" s="37">
        <f t="shared" si="52"/>
        <v>1.0532640044261798</v>
      </c>
      <c r="J429" s="37">
        <v>0.48999709069119463</v>
      </c>
      <c r="K429" s="37">
        <f t="shared" si="50"/>
        <v>0.52770456785614439</v>
      </c>
      <c r="L429" s="37">
        <f t="shared" si="53"/>
        <v>0.64327186821664006</v>
      </c>
      <c r="M429" s="45">
        <f t="shared" si="51"/>
        <v>1.6935220368407621E-2</v>
      </c>
    </row>
    <row r="430" spans="1:13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46"/>
        <v>449.48</v>
      </c>
      <c r="G430" s="221">
        <f t="shared" si="48"/>
        <v>1.843093408480764E-3</v>
      </c>
      <c r="H430" s="37">
        <f t="shared" si="49"/>
        <v>4.4179391343701946</v>
      </c>
      <c r="I430" s="37">
        <f t="shared" si="52"/>
        <v>1.6244762197079208</v>
      </c>
      <c r="J430" s="37">
        <v>0.75573514162535826</v>
      </c>
      <c r="K430" s="37">
        <f t="shared" si="50"/>
        <v>0.81389235548838401</v>
      </c>
      <c r="L430" s="37">
        <f t="shared" si="53"/>
        <v>0.99213478134034017</v>
      </c>
      <c r="M430" s="45">
        <f t="shared" si="51"/>
        <v>1.6935220368407621E-2</v>
      </c>
    </row>
    <row r="431" spans="1:13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46"/>
        <v>467.46</v>
      </c>
      <c r="G431" s="221">
        <f t="shared" si="48"/>
        <v>1.9168204252211843E-3</v>
      </c>
      <c r="H431" s="37">
        <f t="shared" si="49"/>
        <v>4.5946645629453835</v>
      </c>
      <c r="I431" s="37">
        <f t="shared" si="52"/>
        <v>1.6894581597950176</v>
      </c>
      <c r="J431" s="37">
        <v>0.78596589237383185</v>
      </c>
      <c r="K431" s="37">
        <f t="shared" si="50"/>
        <v>0.84644949830159288</v>
      </c>
      <c r="L431" s="37">
        <f t="shared" si="53"/>
        <v>1.0318219384296419</v>
      </c>
      <c r="M431" s="45">
        <f t="shared" si="51"/>
        <v>1.6935220368407621E-2</v>
      </c>
    </row>
    <row r="432" spans="1:13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46"/>
        <v>558.4</v>
      </c>
      <c r="G432" s="221">
        <f t="shared" si="48"/>
        <v>2.2897200304700066E-3</v>
      </c>
      <c r="H432" s="37">
        <f t="shared" si="49"/>
        <v>5.4885138663173363</v>
      </c>
      <c r="I432" s="37">
        <f t="shared" si="52"/>
        <v>2.0181265486448847</v>
      </c>
      <c r="J432" s="37">
        <v>0.9388682546133309</v>
      </c>
      <c r="K432" s="37">
        <f t="shared" si="50"/>
        <v>1.0111183841432625</v>
      </c>
      <c r="L432" s="37">
        <f t="shared" si="53"/>
        <v>1.232553310270637</v>
      </c>
      <c r="M432" s="45">
        <f t="shared" si="51"/>
        <v>1.6935220368407621E-2</v>
      </c>
    </row>
    <row r="433" spans="1:13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46"/>
        <v>331.42</v>
      </c>
      <c r="G433" s="221">
        <f t="shared" si="48"/>
        <v>1.3589882028982264E-3</v>
      </c>
      <c r="H433" s="37">
        <f t="shared" si="49"/>
        <v>3.2575273380639178</v>
      </c>
      <c r="I433" s="37">
        <f t="shared" si="52"/>
        <v>1.1977928022061026</v>
      </c>
      <c r="J433" s="37">
        <v>0.55723445011452399</v>
      </c>
      <c r="K433" s="37">
        <f t="shared" si="50"/>
        <v>0.60011614411310898</v>
      </c>
      <c r="L433" s="37">
        <f t="shared" si="53"/>
        <v>0.73154157967387989</v>
      </c>
      <c r="M433" s="45">
        <f t="shared" si="51"/>
        <v>1.6935220368407618E-2</v>
      </c>
    </row>
    <row r="434" spans="1:13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46"/>
        <v>154.9</v>
      </c>
      <c r="G434" s="221">
        <f t="shared" si="48"/>
        <v>6.3516768037214194E-4</v>
      </c>
      <c r="H434" s="37">
        <f t="shared" si="49"/>
        <v>1.522512173876353</v>
      </c>
      <c r="I434" s="37">
        <f t="shared" si="52"/>
        <v>0.55982772633433497</v>
      </c>
      <c r="J434" s="37">
        <v>0.26044178481304614</v>
      </c>
      <c r="K434" s="37">
        <f t="shared" si="50"/>
        <v>0.28048395004260629</v>
      </c>
      <c r="L434" s="37">
        <f t="shared" si="53"/>
        <v>0.34190993510193707</v>
      </c>
      <c r="M434" s="45">
        <f t="shared" si="51"/>
        <v>1.6935220368407621E-2</v>
      </c>
    </row>
    <row r="435" spans="1:13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46"/>
        <v>119.9</v>
      </c>
      <c r="G435" s="221">
        <f t="shared" si="48"/>
        <v>4.9165012831904338E-4</v>
      </c>
      <c r="H435" s="37">
        <f t="shared" si="49"/>
        <v>1.1784971571838267</v>
      </c>
      <c r="I435" s="37">
        <f t="shared" si="52"/>
        <v>0.43333340469649312</v>
      </c>
      <c r="J435" s="37">
        <v>0.20159438346729655</v>
      </c>
      <c r="K435" s="37">
        <f t="shared" si="50"/>
        <v>0.2171079768244577</v>
      </c>
      <c r="L435" s="37">
        <f t="shared" si="53"/>
        <v>0.26465462374901394</v>
      </c>
      <c r="M435" s="45">
        <f t="shared" si="51"/>
        <v>1.6935220368407621E-2</v>
      </c>
    </row>
    <row r="436" spans="1:13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46"/>
        <v>300.3</v>
      </c>
      <c r="G436" s="221">
        <f t="shared" si="48"/>
        <v>1.2313805966155857E-3</v>
      </c>
      <c r="H436" s="37">
        <f t="shared" si="49"/>
        <v>2.9516488432218777</v>
      </c>
      <c r="I436" s="37">
        <f t="shared" si="52"/>
        <v>1.0853212796526845</v>
      </c>
      <c r="J436" s="37">
        <v>0.50491070354653167</v>
      </c>
      <c r="K436" s="37">
        <f t="shared" si="50"/>
        <v>0.5437658502117152</v>
      </c>
      <c r="L436" s="37">
        <f t="shared" si="53"/>
        <v>0.6628505714080809</v>
      </c>
      <c r="M436" s="45">
        <f t="shared" si="51"/>
        <v>1.6935220368407621E-2</v>
      </c>
    </row>
    <row r="437" spans="1:13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46"/>
        <v>226.84</v>
      </c>
      <c r="G437" s="221">
        <f t="shared" si="48"/>
        <v>9.3015775736356794E-4</v>
      </c>
      <c r="H437" s="37">
        <f t="shared" si="49"/>
        <v>2.2296104681866487</v>
      </c>
      <c r="I437" s="37">
        <f t="shared" si="52"/>
        <v>0.81982776915223077</v>
      </c>
      <c r="J437" s="37">
        <v>0.38139841489342413</v>
      </c>
      <c r="K437" s="37">
        <f t="shared" si="50"/>
        <v>0.41074873613728097</v>
      </c>
      <c r="L437" s="37">
        <f t="shared" si="53"/>
        <v>0.50070270935134553</v>
      </c>
      <c r="M437" s="45">
        <f t="shared" si="51"/>
        <v>1.6935220368407621E-2</v>
      </c>
    </row>
    <row r="438" spans="1:13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46"/>
        <v>216.3</v>
      </c>
      <c r="G438" s="221">
        <f t="shared" si="48"/>
        <v>8.8693847168814914E-4</v>
      </c>
      <c r="H438" s="37">
        <f t="shared" si="49"/>
        <v>2.1260128031598136</v>
      </c>
      <c r="I438" s="37">
        <f t="shared" si="52"/>
        <v>0.78173490772186349</v>
      </c>
      <c r="J438" s="37">
        <v>0.36367694031673264</v>
      </c>
      <c r="K438" s="37">
        <f t="shared" si="50"/>
        <v>0.39166351448815845</v>
      </c>
      <c r="L438" s="37">
        <f t="shared" si="53"/>
        <v>0.47743782416106517</v>
      </c>
      <c r="M438" s="45">
        <f t="shared" si="51"/>
        <v>1.6935220368407618E-2</v>
      </c>
    </row>
    <row r="439" spans="1:13" s="5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46"/>
        <v>307.64999999999998</v>
      </c>
      <c r="G439" s="221">
        <f t="shared" si="48"/>
        <v>1.2615192825467362E-3</v>
      </c>
      <c r="H439" s="37">
        <f t="shared" si="49"/>
        <v>3.0238919967273072</v>
      </c>
      <c r="I439" s="37">
        <f t="shared" si="52"/>
        <v>1.111885087196631</v>
      </c>
      <c r="J439" s="37">
        <v>0.51726865782913911</v>
      </c>
      <c r="K439" s="37">
        <f t="shared" si="50"/>
        <v>0.55707480458752634</v>
      </c>
      <c r="L439" s="37">
        <f t="shared" si="53"/>
        <v>0.67907418679219467</v>
      </c>
      <c r="M439" s="45">
        <f t="shared" si="51"/>
        <v>1.6935220368407618E-2</v>
      </c>
    </row>
    <row r="440" spans="1:13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46"/>
        <v>350.66</v>
      </c>
      <c r="G440" s="221">
        <f t="shared" si="48"/>
        <v>1.4378818515125584E-3</v>
      </c>
      <c r="H440" s="37">
        <f t="shared" si="49"/>
        <v>3.4466373072400387</v>
      </c>
      <c r="I440" s="37">
        <f t="shared" si="52"/>
        <v>1.2673285378721624</v>
      </c>
      <c r="J440" s="37">
        <v>0.5895837073114446</v>
      </c>
      <c r="K440" s="37">
        <f t="shared" si="50"/>
        <v>0.63495482196217123</v>
      </c>
      <c r="L440" s="37">
        <f t="shared" si="53"/>
        <v>0.77400992797188684</v>
      </c>
      <c r="M440" s="45">
        <f t="shared" si="51"/>
        <v>1.6935220368407621E-2</v>
      </c>
    </row>
    <row r="441" spans="1:13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46"/>
        <v>485.8</v>
      </c>
      <c r="G441" s="221">
        <f t="shared" si="48"/>
        <v>1.9920236224970078E-3</v>
      </c>
      <c r="H441" s="37">
        <f t="shared" si="49"/>
        <v>4.7749284316922669</v>
      </c>
      <c r="I441" s="37">
        <f t="shared" si="52"/>
        <v>1.7557411843332467</v>
      </c>
      <c r="J441" s="37">
        <v>0.81680193067900475</v>
      </c>
      <c r="K441" s="37">
        <f t="shared" si="50"/>
        <v>0.87965850826790282</v>
      </c>
      <c r="L441" s="37">
        <f t="shared" si="53"/>
        <v>1.0723037215785736</v>
      </c>
      <c r="M441" s="45">
        <f t="shared" si="51"/>
        <v>1.6935220368407618E-2</v>
      </c>
    </row>
    <row r="442" spans="1:13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46"/>
        <v>402.96</v>
      </c>
      <c r="G442" s="221">
        <f t="shared" si="48"/>
        <v>1.6523380792947597E-3</v>
      </c>
      <c r="H442" s="37">
        <f t="shared" si="49"/>
        <v>3.9606940321834418</v>
      </c>
      <c r="I442" s="37">
        <f t="shared" si="52"/>
        <v>1.4563471956338516</v>
      </c>
      <c r="J442" s="37">
        <v>0.67751853846523613</v>
      </c>
      <c r="K442" s="37">
        <f t="shared" si="50"/>
        <v>0.72965663337100473</v>
      </c>
      <c r="L442" s="37">
        <f t="shared" si="53"/>
        <v>0.88945143607925481</v>
      </c>
      <c r="M442" s="45">
        <f t="shared" si="51"/>
        <v>1.6935220368407621E-2</v>
      </c>
    </row>
    <row r="443" spans="1:13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46"/>
        <v>526.67999999999995</v>
      </c>
      <c r="G443" s="221">
        <f t="shared" si="48"/>
        <v>2.1596521232950267E-3</v>
      </c>
      <c r="H443" s="37">
        <f t="shared" si="49"/>
        <v>5.1767379711891381</v>
      </c>
      <c r="I443" s="37">
        <f t="shared" si="52"/>
        <v>1.9034865520062463</v>
      </c>
      <c r="J443" s="37">
        <v>0.88553569545084021</v>
      </c>
      <c r="K443" s="37">
        <f t="shared" si="50"/>
        <v>0.95368164498670027</v>
      </c>
      <c r="L443" s="37">
        <f t="shared" si="53"/>
        <v>1.1625379252387877</v>
      </c>
      <c r="M443" s="45">
        <f t="shared" si="51"/>
        <v>1.6935220368407625E-2</v>
      </c>
    </row>
    <row r="444" spans="1:13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46"/>
        <v>198.5</v>
      </c>
      <c r="G444" s="221">
        <f t="shared" si="48"/>
        <v>8.1394954521543043E-4</v>
      </c>
      <c r="H444" s="37">
        <f t="shared" si="49"/>
        <v>1.9510565946704717</v>
      </c>
      <c r="I444" s="37">
        <f t="shared" si="52"/>
        <v>0.71740350986033252</v>
      </c>
      <c r="J444" s="37">
        <v>0.33374883334660854</v>
      </c>
      <c r="K444" s="37">
        <f t="shared" si="50"/>
        <v>0.35943230525149999</v>
      </c>
      <c r="L444" s="37">
        <f t="shared" si="53"/>
        <v>0.43814798010157852</v>
      </c>
      <c r="M444" s="45">
        <f t="shared" si="51"/>
        <v>1.6935220368407621E-2</v>
      </c>
    </row>
    <row r="445" spans="1:13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46"/>
        <v>879.8</v>
      </c>
      <c r="G445" s="221">
        <f t="shared" si="48"/>
        <v>3.6076212084661745E-3</v>
      </c>
      <c r="H445" s="37">
        <f t="shared" si="49"/>
        <v>8.6475546196024222</v>
      </c>
      <c r="I445" s="37">
        <f t="shared" si="52"/>
        <v>3.179705833627811</v>
      </c>
      <c r="J445" s="37">
        <v>1.4792555343997289</v>
      </c>
      <c r="K445" s="37">
        <f t="shared" si="50"/>
        <v>1.5930908924950615</v>
      </c>
      <c r="L445" s="37">
        <f t="shared" si="53"/>
        <v>1.9419777979514801</v>
      </c>
      <c r="M445" s="45">
        <f t="shared" si="51"/>
        <v>1.6935220368407621E-2</v>
      </c>
    </row>
    <row r="446" spans="1:13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46"/>
        <v>1786.8</v>
      </c>
      <c r="G446" s="221">
        <f t="shared" si="48"/>
        <v>7.326776057385043E-3</v>
      </c>
      <c r="H446" s="37">
        <f t="shared" si="49"/>
        <v>17.562458052177323</v>
      </c>
      <c r="I446" s="37">
        <f t="shared" si="52"/>
        <v>6.457715825785602</v>
      </c>
      <c r="J446" s="37">
        <v>3.0042439064167259</v>
      </c>
      <c r="K446" s="37">
        <f t="shared" si="50"/>
        <v>3.2354339698910843</v>
      </c>
      <c r="L446" s="37">
        <f t="shared" si="53"/>
        <v>3.9439940092972319</v>
      </c>
      <c r="M446" s="45">
        <f t="shared" si="51"/>
        <v>1.6935220368407621E-2</v>
      </c>
    </row>
    <row r="447" spans="1:13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46"/>
        <v>776.28</v>
      </c>
      <c r="G447" s="221">
        <f t="shared" si="48"/>
        <v>3.1831372945079813E-3</v>
      </c>
      <c r="H447" s="37">
        <f t="shared" si="49"/>
        <v>7.6300564902306984</v>
      </c>
      <c r="I447" s="37">
        <f t="shared" si="52"/>
        <v>2.8055717714578279</v>
      </c>
      <c r="J447" s="37">
        <v>1.3052017347622433</v>
      </c>
      <c r="K447" s="37">
        <f t="shared" si="50"/>
        <v>1.4056428711366973</v>
      </c>
      <c r="L447" s="37">
        <f t="shared" si="53"/>
        <v>1.7134786599156342</v>
      </c>
      <c r="M447" s="45">
        <f t="shared" si="51"/>
        <v>1.6935220368407618E-2</v>
      </c>
    </row>
    <row r="448" spans="1:13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ref="F448:F510" si="54">C448+D448+E448</f>
        <v>475.29</v>
      </c>
      <c r="G448" s="221">
        <f t="shared" si="48"/>
        <v>1.9489273518662061E-3</v>
      </c>
      <c r="H448" s="37">
        <f t="shared" si="49"/>
        <v>4.6716256366797406</v>
      </c>
      <c r="I448" s="37">
        <f t="shared" si="52"/>
        <v>1.7177567466071408</v>
      </c>
      <c r="J448" s="37">
        <v>0.79913089673203808</v>
      </c>
      <c r="K448" s="37">
        <f t="shared" si="50"/>
        <v>0.86062760888153877</v>
      </c>
      <c r="L448" s="37">
        <f t="shared" si="53"/>
        <v>1.0491050552265959</v>
      </c>
      <c r="M448" s="45">
        <f t="shared" si="51"/>
        <v>1.6935220368407621E-2</v>
      </c>
    </row>
    <row r="449" spans="1:13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si="54"/>
        <v>487.96</v>
      </c>
      <c r="G449" s="221">
        <f t="shared" si="48"/>
        <v>2.0008807057094275E-3</v>
      </c>
      <c r="H449" s="37">
        <f t="shared" si="49"/>
        <v>4.7961590727224346</v>
      </c>
      <c r="I449" s="37">
        <f t="shared" si="52"/>
        <v>1.7635476910400394</v>
      </c>
      <c r="J449" s="37">
        <v>0.82043365601919938</v>
      </c>
      <c r="K449" s="37">
        <f t="shared" si="50"/>
        <v>0.88356971118650851</v>
      </c>
      <c r="L449" s="37">
        <f t="shared" si="53"/>
        <v>1.0770714779363539</v>
      </c>
      <c r="M449" s="45">
        <f t="shared" si="51"/>
        <v>1.6935220368407621E-2</v>
      </c>
    </row>
    <row r="450" spans="1:13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54"/>
        <v>1058.94</v>
      </c>
      <c r="G450" s="221">
        <f t="shared" ref="G450:G513" si="55">1/243872.61*F450</f>
        <v>4.3421850448888055E-3</v>
      </c>
      <c r="H450" s="37">
        <f t="shared" ref="H450:H513" si="56">G450*1218*1.64*1.2</f>
        <v>10.408321765039544</v>
      </c>
      <c r="I450" s="37">
        <f t="shared" si="52"/>
        <v>3.8271399130050403</v>
      </c>
      <c r="J450" s="37">
        <v>1.7804533480305171</v>
      </c>
      <c r="K450" s="37">
        <f t="shared" si="50"/>
        <v>1.9174672308464655</v>
      </c>
      <c r="L450" s="37">
        <f t="shared" si="53"/>
        <v>2.3373925544018417</v>
      </c>
      <c r="M450" s="45">
        <f t="shared" si="51"/>
        <v>1.6935220368407621E-2</v>
      </c>
    </row>
    <row r="451" spans="1:13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54"/>
        <v>435.39</v>
      </c>
      <c r="G451" s="221">
        <f t="shared" si="55"/>
        <v>1.7853173425256736E-3</v>
      </c>
      <c r="H451" s="37">
        <f t="shared" si="56"/>
        <v>4.2794485176502599</v>
      </c>
      <c r="I451" s="37">
        <f t="shared" si="52"/>
        <v>1.5735532199400006</v>
      </c>
      <c r="J451" s="37">
        <v>0.73204485919788354</v>
      </c>
      <c r="K451" s="37">
        <f t="shared" ref="K451:K514" si="57">G451*408.88*1.08</f>
        <v>0.78837899941284928</v>
      </c>
      <c r="L451" s="37">
        <f t="shared" si="53"/>
        <v>0.96103400028426333</v>
      </c>
      <c r="M451" s="45">
        <f t="shared" si="51"/>
        <v>1.6935220368407621E-2</v>
      </c>
    </row>
    <row r="452" spans="1:13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54"/>
        <v>539.61</v>
      </c>
      <c r="G452" s="221">
        <f t="shared" si="55"/>
        <v>2.2126716075249291E-3</v>
      </c>
      <c r="H452" s="37">
        <f t="shared" si="56"/>
        <v>5.3038269473558355</v>
      </c>
      <c r="I452" s="37">
        <f t="shared" si="52"/>
        <v>1.9502171685427407</v>
      </c>
      <c r="J452" s="37">
        <v>0.90727560686228437</v>
      </c>
      <c r="K452" s="37">
        <f t="shared" si="57"/>
        <v>0.97709454023557651</v>
      </c>
      <c r="L452" s="37">
        <f t="shared" si="53"/>
        <v>1.1910782445471679</v>
      </c>
      <c r="M452" s="45">
        <f t="shared" si="51"/>
        <v>1.6935220368407625E-2</v>
      </c>
    </row>
    <row r="453" spans="1:13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54"/>
        <v>466.35</v>
      </c>
      <c r="G453" s="221">
        <f t="shared" si="55"/>
        <v>1.9122688685703575E-3</v>
      </c>
      <c r="H453" s="37">
        <f t="shared" si="56"/>
        <v>4.5837543724159922</v>
      </c>
      <c r="I453" s="37">
        <f t="shared" si="52"/>
        <v>1.6854464827373605</v>
      </c>
      <c r="J453" s="37">
        <v>0.78409958907400956</v>
      </c>
      <c r="K453" s="37">
        <f t="shared" si="57"/>
        <v>0.84443957457953156</v>
      </c>
      <c r="L453" s="37">
        <f t="shared" si="53"/>
        <v>1.0293718414124491</v>
      </c>
      <c r="M453" s="45">
        <f t="shared" si="51"/>
        <v>1.6935220368407618E-2</v>
      </c>
    </row>
    <row r="454" spans="1:13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54"/>
        <v>270.3</v>
      </c>
      <c r="G454" s="221">
        <f t="shared" si="55"/>
        <v>1.1083655519986441E-3</v>
      </c>
      <c r="H454" s="37">
        <f t="shared" si="56"/>
        <v>2.6567788289139975</v>
      </c>
      <c r="I454" s="37">
        <f t="shared" si="52"/>
        <v>0.97689757539167699</v>
      </c>
      <c r="J454" s="37">
        <v>0.45447007382160354</v>
      </c>
      <c r="K454" s="37">
        <f t="shared" si="57"/>
        <v>0.48944358745330208</v>
      </c>
      <c r="L454" s="37">
        <f t="shared" si="53"/>
        <v>0.59663173310557527</v>
      </c>
      <c r="M454" s="45">
        <f t="shared" si="51"/>
        <v>1.6935220368407621E-2</v>
      </c>
    </row>
    <row r="455" spans="1:13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54"/>
        <v>1056.99</v>
      </c>
      <c r="G455" s="221">
        <f t="shared" si="55"/>
        <v>4.3341890669887041E-3</v>
      </c>
      <c r="H455" s="37">
        <f t="shared" si="56"/>
        <v>10.389155214109531</v>
      </c>
      <c r="I455" s="37">
        <f t="shared" si="52"/>
        <v>3.8200923722280749</v>
      </c>
      <c r="J455" s="37">
        <v>1.7771747070983968</v>
      </c>
      <c r="K455" s="37">
        <f t="shared" si="57"/>
        <v>1.9139362837671687</v>
      </c>
      <c r="L455" s="37">
        <f t="shared" si="53"/>
        <v>2.333088329912179</v>
      </c>
      <c r="M455" s="45">
        <f t="shared" ref="M455:M518" si="58">(K455+J455+I455+H455)/F455</f>
        <v>1.6935220368407621E-2</v>
      </c>
    </row>
    <row r="456" spans="1:13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54"/>
        <v>353.79999999999995</v>
      </c>
      <c r="G456" s="221">
        <f t="shared" si="55"/>
        <v>1.4507574261824648E-3</v>
      </c>
      <c r="H456" s="37">
        <f t="shared" si="56"/>
        <v>3.477500368737596</v>
      </c>
      <c r="I456" s="37">
        <f t="shared" si="52"/>
        <v>1.2786768855848141</v>
      </c>
      <c r="J456" s="37">
        <v>0.59486315988932037</v>
      </c>
      <c r="K456" s="37">
        <f t="shared" si="57"/>
        <v>0.64064055213088511</v>
      </c>
      <c r="L456" s="37">
        <f t="shared" si="53"/>
        <v>0.78094083304754902</v>
      </c>
      <c r="M456" s="45">
        <f t="shared" si="58"/>
        <v>1.6935220368407621E-2</v>
      </c>
    </row>
    <row r="457" spans="1:13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54"/>
        <v>239.3</v>
      </c>
      <c r="G457" s="221">
        <f t="shared" si="55"/>
        <v>9.8125000589447103E-4</v>
      </c>
      <c r="H457" s="37">
        <f t="shared" si="56"/>
        <v>2.3520798141291888</v>
      </c>
      <c r="I457" s="37">
        <f t="shared" si="52"/>
        <v>0.86485974765530282</v>
      </c>
      <c r="J457" s="37">
        <v>0.40234808977251096</v>
      </c>
      <c r="K457" s="37">
        <f t="shared" si="57"/>
        <v>0.43331058260294186</v>
      </c>
      <c r="L457" s="37">
        <f t="shared" si="53"/>
        <v>0.52820560019298612</v>
      </c>
      <c r="M457" s="45">
        <f t="shared" si="58"/>
        <v>1.6935220368407625E-2</v>
      </c>
    </row>
    <row r="458" spans="1:13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54"/>
        <v>144.6</v>
      </c>
      <c r="G458" s="221">
        <f t="shared" si="55"/>
        <v>5.9293251505365858E-4</v>
      </c>
      <c r="H458" s="37">
        <f t="shared" si="56"/>
        <v>1.421273468963981</v>
      </c>
      <c r="I458" s="37">
        <f t="shared" si="52"/>
        <v>0.52260225453805587</v>
      </c>
      <c r="J458" s="37">
        <v>0.24312383527415413</v>
      </c>
      <c r="K458" s="37">
        <f t="shared" si="57"/>
        <v>0.26183330649555114</v>
      </c>
      <c r="L458" s="37">
        <f t="shared" si="53"/>
        <v>0.31917480061807685</v>
      </c>
      <c r="M458" s="45">
        <f t="shared" si="58"/>
        <v>1.6935220368407621E-2</v>
      </c>
    </row>
    <row r="459" spans="1:13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54"/>
        <v>375.5</v>
      </c>
      <c r="G459" s="221">
        <f t="shared" si="55"/>
        <v>1.5397383084553859E-3</v>
      </c>
      <c r="H459" s="37">
        <f t="shared" si="56"/>
        <v>3.6907896790869628</v>
      </c>
      <c r="I459" s="37">
        <f t="shared" si="52"/>
        <v>1.3571033650002764</v>
      </c>
      <c r="J459" s="37">
        <v>0.63134854872368518</v>
      </c>
      <c r="K459" s="37">
        <f t="shared" si="57"/>
        <v>0.67993365552613727</v>
      </c>
      <c r="L459" s="37">
        <f t="shared" si="53"/>
        <v>0.82883912608636134</v>
      </c>
      <c r="M459" s="45">
        <f t="shared" si="58"/>
        <v>1.6935220368407621E-2</v>
      </c>
    </row>
    <row r="460" spans="1:13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54"/>
        <v>993.91</v>
      </c>
      <c r="G460" s="221">
        <f t="shared" si="55"/>
        <v>4.0755294331741481E-3</v>
      </c>
      <c r="H460" s="37">
        <f t="shared" si="56"/>
        <v>9.769141864024828</v>
      </c>
      <c r="I460" s="37">
        <f t="shared" si="52"/>
        <v>3.5921134634019296</v>
      </c>
      <c r="J460" s="37">
        <v>1.6711148763301142</v>
      </c>
      <c r="K460" s="37">
        <f t="shared" si="57"/>
        <v>1.7997146726071453</v>
      </c>
      <c r="L460" s="37">
        <f t="shared" si="53"/>
        <v>2.1938521859081104</v>
      </c>
      <c r="M460" s="45">
        <f t="shared" si="58"/>
        <v>1.6935220368407621E-2</v>
      </c>
    </row>
    <row r="461" spans="1:13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54"/>
        <v>716.19999999999993</v>
      </c>
      <c r="G461" s="221">
        <f t="shared" si="55"/>
        <v>2.9367791651551192E-3</v>
      </c>
      <c r="H461" s="37">
        <f t="shared" si="56"/>
        <v>7.0395301415767841</v>
      </c>
      <c r="I461" s="37">
        <f t="shared" si="52"/>
        <v>2.5884352330577838</v>
      </c>
      <c r="J461" s="37">
        <v>1.2041859669664534</v>
      </c>
      <c r="K461" s="37">
        <f t="shared" si="57"/>
        <v>1.2968534862525152</v>
      </c>
      <c r="L461" s="37">
        <f t="shared" si="53"/>
        <v>1.5808643997418161</v>
      </c>
      <c r="M461" s="45">
        <f t="shared" si="58"/>
        <v>1.6935220368407618E-2</v>
      </c>
    </row>
    <row r="462" spans="1:13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54"/>
        <v>472.2</v>
      </c>
      <c r="G462" s="221">
        <f t="shared" si="55"/>
        <v>1.9362568022706611E-3</v>
      </c>
      <c r="H462" s="37">
        <f t="shared" si="56"/>
        <v>4.6412540252060284</v>
      </c>
      <c r="I462" s="37">
        <f t="shared" si="52"/>
        <v>1.7065891050682567</v>
      </c>
      <c r="J462" s="37">
        <v>0.79393551187037059</v>
      </c>
      <c r="K462" s="37">
        <f t="shared" si="57"/>
        <v>0.85503241581742218</v>
      </c>
      <c r="L462" s="37">
        <f t="shared" si="53"/>
        <v>1.0422845148814377</v>
      </c>
      <c r="M462" s="45">
        <f t="shared" si="58"/>
        <v>1.6935220368407621E-2</v>
      </c>
    </row>
    <row r="463" spans="1:13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54"/>
        <v>337.29999999999995</v>
      </c>
      <c r="G463" s="221">
        <f t="shared" si="55"/>
        <v>1.3830991516431467E-3</v>
      </c>
      <c r="H463" s="37">
        <f t="shared" si="56"/>
        <v>3.3153218608682615</v>
      </c>
      <c r="I463" s="37">
        <f t="shared" si="52"/>
        <v>1.2190438482412598</v>
      </c>
      <c r="J463" s="37">
        <v>0.56712081354060984</v>
      </c>
      <c r="K463" s="37">
        <f t="shared" si="57"/>
        <v>0.61076330761375774</v>
      </c>
      <c r="L463" s="37">
        <f t="shared" si="53"/>
        <v>0.74452047198117077</v>
      </c>
      <c r="M463" s="45">
        <f t="shared" si="58"/>
        <v>1.6935220368407621E-2</v>
      </c>
    </row>
    <row r="464" spans="1:13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54"/>
        <v>395.5</v>
      </c>
      <c r="G464" s="221">
        <f t="shared" si="55"/>
        <v>1.6217483382000137E-3</v>
      </c>
      <c r="H464" s="37">
        <f t="shared" si="56"/>
        <v>3.8873696886255495</v>
      </c>
      <c r="I464" s="37">
        <f t="shared" si="52"/>
        <v>1.4293858345076147</v>
      </c>
      <c r="J464" s="37">
        <v>0.66497563520697067</v>
      </c>
      <c r="K464" s="37">
        <f t="shared" si="57"/>
        <v>0.71614849736507935</v>
      </c>
      <c r="L464" s="37">
        <f t="shared" si="53"/>
        <v>0.87298501828803177</v>
      </c>
      <c r="M464" s="45">
        <f t="shared" si="58"/>
        <v>1.6935220368407625E-2</v>
      </c>
    </row>
    <row r="465" spans="1:13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54"/>
        <v>464.09999999999997</v>
      </c>
      <c r="G465" s="221">
        <f t="shared" si="55"/>
        <v>1.9030427402240866E-3</v>
      </c>
      <c r="H465" s="37">
        <f t="shared" si="56"/>
        <v>4.5616391213428997</v>
      </c>
      <c r="I465" s="37">
        <f t="shared" ref="I465:I526" si="59">H465*0.3677</f>
        <v>1.6773147049177843</v>
      </c>
      <c r="J465" s="37">
        <v>0.78031654184463983</v>
      </c>
      <c r="K465" s="37">
        <f t="shared" si="57"/>
        <v>0.84036540487265055</v>
      </c>
      <c r="L465" s="37">
        <f t="shared" si="53"/>
        <v>1.024405428539761</v>
      </c>
      <c r="M465" s="45">
        <f t="shared" si="58"/>
        <v>1.6935220368407614E-2</v>
      </c>
    </row>
    <row r="466" spans="1:13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54"/>
        <v>350.27000000000004</v>
      </c>
      <c r="G466" s="221">
        <f t="shared" si="55"/>
        <v>1.4362826559325382E-3</v>
      </c>
      <c r="H466" s="37">
        <f t="shared" si="56"/>
        <v>3.4428039970540363</v>
      </c>
      <c r="I466" s="37">
        <f t="shared" si="59"/>
        <v>1.2659190297167693</v>
      </c>
      <c r="J466" s="37">
        <v>0.5889279791250206</v>
      </c>
      <c r="K466" s="37">
        <f t="shared" si="57"/>
        <v>0.63424863254631192</v>
      </c>
      <c r="L466" s="37">
        <f t="shared" si="53"/>
        <v>0.77314908307395425</v>
      </c>
      <c r="M466" s="45">
        <f t="shared" si="58"/>
        <v>1.6935220368407621E-2</v>
      </c>
    </row>
    <row r="467" spans="1:13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54"/>
        <v>396.61</v>
      </c>
      <c r="G467" s="221">
        <f t="shared" si="55"/>
        <v>1.6262998948508407E-3</v>
      </c>
      <c r="H467" s="37">
        <f t="shared" si="56"/>
        <v>3.8982798791549409</v>
      </c>
      <c r="I467" s="37">
        <f t="shared" si="59"/>
        <v>1.433397511565272</v>
      </c>
      <c r="J467" s="37">
        <v>0.66684193850679307</v>
      </c>
      <c r="K467" s="37">
        <f t="shared" si="57"/>
        <v>0.71815842108714079</v>
      </c>
      <c r="L467" s="37">
        <f t="shared" si="53"/>
        <v>0.87543511530522466</v>
      </c>
      <c r="M467" s="45">
        <f t="shared" si="58"/>
        <v>1.6935220368407621E-2</v>
      </c>
    </row>
    <row r="468" spans="1:13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54"/>
        <v>380.01000000000005</v>
      </c>
      <c r="G468" s="221">
        <f t="shared" si="55"/>
        <v>1.5582315701627998E-3</v>
      </c>
      <c r="H468" s="37">
        <f t="shared" si="56"/>
        <v>3.7351184712379144</v>
      </c>
      <c r="I468" s="37">
        <f t="shared" si="59"/>
        <v>1.3734030618741813</v>
      </c>
      <c r="J468" s="37">
        <v>0.63893145672566609</v>
      </c>
      <c r="K468" s="37">
        <f t="shared" si="57"/>
        <v>0.68810010236081876</v>
      </c>
      <c r="L468" s="37">
        <f t="shared" si="53"/>
        <v>0.83879402477783815</v>
      </c>
      <c r="M468" s="45">
        <f t="shared" si="58"/>
        <v>1.6935220368407621E-2</v>
      </c>
    </row>
    <row r="469" spans="1:13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54"/>
        <v>501.9</v>
      </c>
      <c r="G469" s="221">
        <f t="shared" si="55"/>
        <v>2.0580416964414332E-3</v>
      </c>
      <c r="H469" s="37">
        <f t="shared" si="56"/>
        <v>4.9331753393708286</v>
      </c>
      <c r="I469" s="37">
        <f t="shared" si="59"/>
        <v>1.8139285722866538</v>
      </c>
      <c r="J469" s="37">
        <v>0.84387173529804949</v>
      </c>
      <c r="K469" s="37">
        <f t="shared" si="57"/>
        <v>0.90881145594825108</v>
      </c>
      <c r="L469" s="37">
        <f t="shared" si="53"/>
        <v>1.1078411648009181</v>
      </c>
      <c r="M469" s="45">
        <f t="shared" si="58"/>
        <v>1.6935220368407618E-2</v>
      </c>
    </row>
    <row r="470" spans="1:13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54"/>
        <v>406.9</v>
      </c>
      <c r="G470" s="221">
        <f t="shared" si="55"/>
        <v>1.6684940551544515E-3</v>
      </c>
      <c r="H470" s="37">
        <f t="shared" si="56"/>
        <v>3.9994202940625438</v>
      </c>
      <c r="I470" s="37">
        <f t="shared" si="59"/>
        <v>1.4705868421267976</v>
      </c>
      <c r="J470" s="37">
        <v>0.68414307450244338</v>
      </c>
      <c r="K470" s="37">
        <f t="shared" si="57"/>
        <v>0.73679095721327637</v>
      </c>
      <c r="L470" s="37">
        <f t="shared" si="53"/>
        <v>0.89814817684298398</v>
      </c>
      <c r="M470" s="45">
        <f t="shared" si="58"/>
        <v>1.6935220368407621E-2</v>
      </c>
    </row>
    <row r="471" spans="1:13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54"/>
        <v>583.66999999999996</v>
      </c>
      <c r="G471" s="221">
        <f t="shared" si="55"/>
        <v>2.3933397030523437E-3</v>
      </c>
      <c r="H471" s="37">
        <f t="shared" si="56"/>
        <v>5.7368927083693411</v>
      </c>
      <c r="I471" s="37">
        <f t="shared" si="59"/>
        <v>2.1094554488674069</v>
      </c>
      <c r="J471" s="37">
        <v>0.98135607838496219</v>
      </c>
      <c r="K471" s="37">
        <f t="shared" si="57"/>
        <v>1.0568758368067657</v>
      </c>
      <c r="L471" s="37">
        <f t="shared" si="53"/>
        <v>1.2883316450674474</v>
      </c>
      <c r="M471" s="45">
        <f t="shared" si="58"/>
        <v>1.6935220368407621E-2</v>
      </c>
    </row>
    <row r="472" spans="1:13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54"/>
        <v>634.80999999999995</v>
      </c>
      <c r="G472" s="221">
        <f t="shared" si="55"/>
        <v>2.6030393491093566E-3</v>
      </c>
      <c r="H472" s="37">
        <f t="shared" si="56"/>
        <v>6.239547792759506</v>
      </c>
      <c r="I472" s="37">
        <f t="shared" si="59"/>
        <v>2.2942817233976704</v>
      </c>
      <c r="J472" s="37">
        <v>1.067340538522723</v>
      </c>
      <c r="K472" s="37">
        <f t="shared" si="57"/>
        <v>1.1494771873889404</v>
      </c>
      <c r="L472" s="37">
        <f t="shared" si="53"/>
        <v>1.4012126914271186</v>
      </c>
      <c r="M472" s="45">
        <f t="shared" si="58"/>
        <v>1.6935220368407621E-2</v>
      </c>
    </row>
    <row r="473" spans="1:13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54"/>
        <v>312.74</v>
      </c>
      <c r="G473" s="221">
        <f t="shared" si="55"/>
        <v>1.2823908351167442E-3</v>
      </c>
      <c r="H473" s="37">
        <f t="shared" si="56"/>
        <v>3.0739216091548784</v>
      </c>
      <c r="I473" s="37">
        <f t="shared" si="59"/>
        <v>1.1302809756862489</v>
      </c>
      <c r="J473" s="37">
        <v>0.52582675133913526</v>
      </c>
      <c r="K473" s="37">
        <f t="shared" si="57"/>
        <v>0.56629148183553724</v>
      </c>
      <c r="L473" s="37">
        <f t="shared" si="53"/>
        <v>0.69030931635751991</v>
      </c>
      <c r="M473" s="45">
        <f t="shared" si="58"/>
        <v>1.6935220368407625E-2</v>
      </c>
    </row>
    <row r="474" spans="1:13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54"/>
        <v>359.3</v>
      </c>
      <c r="G474" s="221">
        <f t="shared" si="55"/>
        <v>1.4733101843622375E-3</v>
      </c>
      <c r="H474" s="37">
        <f t="shared" si="56"/>
        <v>3.5315598713607073</v>
      </c>
      <c r="I474" s="37">
        <f t="shared" si="59"/>
        <v>1.2985545646993322</v>
      </c>
      <c r="J474" s="37">
        <v>0.60411060867222388</v>
      </c>
      <c r="K474" s="37">
        <f t="shared" si="57"/>
        <v>0.65059963363659434</v>
      </c>
      <c r="L474" s="37">
        <f t="shared" si="53"/>
        <v>0.79308095340300855</v>
      </c>
      <c r="M474" s="45">
        <f t="shared" si="58"/>
        <v>1.6935220368407618E-2</v>
      </c>
    </row>
    <row r="475" spans="1:13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54"/>
        <v>417.17</v>
      </c>
      <c r="G475" s="221">
        <f t="shared" si="55"/>
        <v>1.710606205428318E-3</v>
      </c>
      <c r="H475" s="37">
        <f t="shared" si="56"/>
        <v>4.1003641289606083</v>
      </c>
      <c r="I475" s="37">
        <f t="shared" si="59"/>
        <v>1.5077038902188158</v>
      </c>
      <c r="J475" s="37">
        <v>0.70141058341161056</v>
      </c>
      <c r="K475" s="37">
        <f t="shared" si="57"/>
        <v>0.75538727849757314</v>
      </c>
      <c r="L475" s="37">
        <f t="shared" si="53"/>
        <v>0.92081709248854171</v>
      </c>
      <c r="M475" s="45">
        <f t="shared" si="58"/>
        <v>1.6935220368407621E-2</v>
      </c>
    </row>
    <row r="476" spans="1:13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54"/>
        <v>249.3</v>
      </c>
      <c r="G476" s="221">
        <f t="shared" si="55"/>
        <v>1.0222550207667849E-3</v>
      </c>
      <c r="H476" s="37">
        <f t="shared" si="56"/>
        <v>2.4503698188984813</v>
      </c>
      <c r="I476" s="37">
        <f t="shared" si="59"/>
        <v>0.90100098240897164</v>
      </c>
      <c r="J476" s="37">
        <v>0.41916163301415371</v>
      </c>
      <c r="K476" s="37">
        <f t="shared" si="57"/>
        <v>0.45141800352241285</v>
      </c>
      <c r="L476" s="37">
        <f t="shared" si="53"/>
        <v>0.55027854629382134</v>
      </c>
      <c r="M476" s="45">
        <f t="shared" si="58"/>
        <v>1.6935220368407618E-2</v>
      </c>
    </row>
    <row r="477" spans="1:13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54"/>
        <v>534.94000000000005</v>
      </c>
      <c r="G477" s="221">
        <f t="shared" si="55"/>
        <v>2.1935222655795586E-3</v>
      </c>
      <c r="H477" s="37">
        <f t="shared" si="56"/>
        <v>5.2579255151285755</v>
      </c>
      <c r="I477" s="37">
        <f t="shared" si="59"/>
        <v>1.9333392119127775</v>
      </c>
      <c r="J477" s="37">
        <v>0.89942368216843727</v>
      </c>
      <c r="K477" s="37">
        <f t="shared" si="57"/>
        <v>0.96863837466618352</v>
      </c>
      <c r="L477" s="37">
        <f t="shared" ref="L477:L540" si="60">K477*1.219</f>
        <v>1.1807701787180778</v>
      </c>
      <c r="M477" s="45">
        <f t="shared" si="58"/>
        <v>1.6935220368407621E-2</v>
      </c>
    </row>
    <row r="478" spans="1:13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54"/>
        <v>382.94</v>
      </c>
      <c r="G478" s="221">
        <f t="shared" si="55"/>
        <v>1.5702460395203874E-3</v>
      </c>
      <c r="H478" s="37">
        <f t="shared" si="56"/>
        <v>3.7639174426353166</v>
      </c>
      <c r="I478" s="37">
        <f t="shared" si="59"/>
        <v>1.3839924436570059</v>
      </c>
      <c r="J478" s="37">
        <v>0.64385782489546739</v>
      </c>
      <c r="K478" s="37">
        <f t="shared" si="57"/>
        <v>0.69340557669022373</v>
      </c>
      <c r="L478" s="37">
        <f t="shared" si="60"/>
        <v>0.8452613979853828</v>
      </c>
      <c r="M478" s="45">
        <f t="shared" si="58"/>
        <v>1.6935220368407618E-2</v>
      </c>
    </row>
    <row r="479" spans="1:13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54"/>
        <v>367.5</v>
      </c>
      <c r="G479" s="221">
        <f t="shared" si="55"/>
        <v>1.5069342965575347E-3</v>
      </c>
      <c r="H479" s="37">
        <f t="shared" si="56"/>
        <v>3.6121576752715279</v>
      </c>
      <c r="I479" s="37">
        <f t="shared" si="59"/>
        <v>1.3281903771973409</v>
      </c>
      <c r="J479" s="37">
        <v>0.61789771413037098</v>
      </c>
      <c r="K479" s="37">
        <f t="shared" si="57"/>
        <v>0.66544771879056053</v>
      </c>
      <c r="L479" s="37">
        <f t="shared" si="60"/>
        <v>0.81118076920569337</v>
      </c>
      <c r="M479" s="45">
        <f t="shared" si="58"/>
        <v>1.6935220368407621E-2</v>
      </c>
    </row>
    <row r="480" spans="1:13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54"/>
        <v>131.4</v>
      </c>
      <c r="G480" s="221">
        <f t="shared" si="55"/>
        <v>5.3880589542220432E-4</v>
      </c>
      <c r="H480" s="37">
        <f t="shared" si="56"/>
        <v>1.2915306626685137</v>
      </c>
      <c r="I480" s="37">
        <f t="shared" si="59"/>
        <v>0.47489582466321251</v>
      </c>
      <c r="J480" s="37">
        <v>0.22092995819518571</v>
      </c>
      <c r="K480" s="37">
        <f t="shared" si="57"/>
        <v>0.23793151088184941</v>
      </c>
      <c r="L480" s="37">
        <f t="shared" si="60"/>
        <v>0.29003851176497447</v>
      </c>
      <c r="M480" s="45">
        <f t="shared" si="58"/>
        <v>1.6935220368407621E-2</v>
      </c>
    </row>
    <row r="481" spans="1:13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54"/>
        <v>471.36</v>
      </c>
      <c r="G481" s="221">
        <f t="shared" si="55"/>
        <v>1.9328123810213869E-3</v>
      </c>
      <c r="H481" s="37">
        <f t="shared" si="56"/>
        <v>4.6329976648054076</v>
      </c>
      <c r="I481" s="37">
        <f t="shared" si="59"/>
        <v>1.7035532413489485</v>
      </c>
      <c r="J481" s="37">
        <v>0.79252317423807261</v>
      </c>
      <c r="K481" s="37">
        <f t="shared" si="57"/>
        <v>0.85351139246018659</v>
      </c>
      <c r="L481" s="37">
        <f t="shared" si="60"/>
        <v>1.0404303874089675</v>
      </c>
      <c r="M481" s="45">
        <f t="shared" si="58"/>
        <v>1.6935220368407618E-2</v>
      </c>
    </row>
    <row r="482" spans="1:13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54"/>
        <v>530.79999999999995</v>
      </c>
      <c r="G482" s="221">
        <f t="shared" si="55"/>
        <v>2.1765461894224201E-3</v>
      </c>
      <c r="H482" s="37">
        <f t="shared" si="56"/>
        <v>5.2172334531540869</v>
      </c>
      <c r="I482" s="37">
        <f t="shared" si="59"/>
        <v>1.9183767407247578</v>
      </c>
      <c r="J482" s="37">
        <v>0.892462875266397</v>
      </c>
      <c r="K482" s="37">
        <f t="shared" si="57"/>
        <v>0.96114190240552233</v>
      </c>
      <c r="L482" s="37">
        <f t="shared" si="60"/>
        <v>1.1716319790323317</v>
      </c>
      <c r="M482" s="45">
        <f t="shared" si="58"/>
        <v>1.6935220368407621E-2</v>
      </c>
    </row>
    <row r="483" spans="1:13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54"/>
        <v>330.15</v>
      </c>
      <c r="G483" s="221">
        <f t="shared" si="55"/>
        <v>1.3537805660094424E-3</v>
      </c>
      <c r="H483" s="37">
        <f t="shared" si="56"/>
        <v>3.2450445074582173</v>
      </c>
      <c r="I483" s="37">
        <f t="shared" si="59"/>
        <v>1.1932028653923865</v>
      </c>
      <c r="J483" s="37">
        <v>0.55509913012283529</v>
      </c>
      <c r="K483" s="37">
        <f t="shared" si="57"/>
        <v>0.59781650165633615</v>
      </c>
      <c r="L483" s="37">
        <f t="shared" si="60"/>
        <v>0.72873831551907386</v>
      </c>
      <c r="M483" s="45">
        <f t="shared" si="58"/>
        <v>1.6935220368407621E-2</v>
      </c>
    </row>
    <row r="484" spans="1:13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54"/>
        <v>242.1</v>
      </c>
      <c r="G484" s="221">
        <f t="shared" si="55"/>
        <v>9.9273141005871892E-4</v>
      </c>
      <c r="H484" s="37">
        <f t="shared" si="56"/>
        <v>2.3796010154645901</v>
      </c>
      <c r="I484" s="37">
        <f t="shared" si="59"/>
        <v>0.87497929338632985</v>
      </c>
      <c r="J484" s="37">
        <v>0.40705588188017094</v>
      </c>
      <c r="K484" s="37">
        <f t="shared" si="57"/>
        <v>0.43838066046039376</v>
      </c>
      <c r="L484" s="37">
        <f t="shared" si="60"/>
        <v>0.53438602510122002</v>
      </c>
      <c r="M484" s="45">
        <f t="shared" si="58"/>
        <v>1.6935220368407618E-2</v>
      </c>
    </row>
    <row r="485" spans="1:13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54"/>
        <v>528.74</v>
      </c>
      <c r="G485" s="221">
        <f t="shared" si="55"/>
        <v>2.1680991563587239E-3</v>
      </c>
      <c r="H485" s="37">
        <f t="shared" si="56"/>
        <v>5.196985712171613</v>
      </c>
      <c r="I485" s="37">
        <f t="shared" si="59"/>
        <v>1.9109316463655022</v>
      </c>
      <c r="J485" s="37">
        <v>0.88899928535861872</v>
      </c>
      <c r="K485" s="37">
        <f t="shared" si="57"/>
        <v>0.95741177369611141</v>
      </c>
      <c r="L485" s="37">
        <f t="shared" si="60"/>
        <v>1.16708495213556</v>
      </c>
      <c r="M485" s="45">
        <f t="shared" si="58"/>
        <v>1.6935220368407621E-2</v>
      </c>
    </row>
    <row r="486" spans="1:13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54"/>
        <v>140.6</v>
      </c>
      <c r="G486" s="221">
        <f t="shared" si="55"/>
        <v>5.7653050910473299E-4</v>
      </c>
      <c r="H486" s="37">
        <f t="shared" si="56"/>
        <v>1.3819574670562635</v>
      </c>
      <c r="I486" s="37">
        <f t="shared" si="59"/>
        <v>0.50814576063658812</v>
      </c>
      <c r="J486" s="37">
        <v>0.23639841797749706</v>
      </c>
      <c r="K486" s="37">
        <f t="shared" si="57"/>
        <v>0.25459033812776272</v>
      </c>
      <c r="L486" s="37">
        <f t="shared" si="60"/>
        <v>0.31034562217774275</v>
      </c>
      <c r="M486" s="45">
        <f t="shared" si="58"/>
        <v>1.6935220368407621E-2</v>
      </c>
    </row>
    <row r="487" spans="1:13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54"/>
        <v>183.6</v>
      </c>
      <c r="G487" s="221">
        <f t="shared" si="55"/>
        <v>7.5285207305568274E-4</v>
      </c>
      <c r="H487" s="37">
        <f t="shared" si="56"/>
        <v>1.8046044875642246</v>
      </c>
      <c r="I487" s="37">
        <f t="shared" si="59"/>
        <v>0.66355307007736541</v>
      </c>
      <c r="J487" s="37">
        <v>0.30869665391656081</v>
      </c>
      <c r="K487" s="37">
        <f t="shared" si="57"/>
        <v>0.33245224808148821</v>
      </c>
      <c r="L487" s="37">
        <f t="shared" si="60"/>
        <v>0.40525929041133418</v>
      </c>
      <c r="M487" s="45">
        <f t="shared" si="58"/>
        <v>1.6935220368407621E-2</v>
      </c>
    </row>
    <row r="488" spans="1:13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54"/>
        <v>384.7</v>
      </c>
      <c r="G488" s="221">
        <f t="shared" si="55"/>
        <v>1.5774629221379146E-3</v>
      </c>
      <c r="H488" s="37">
        <f t="shared" si="56"/>
        <v>3.7812164834747124</v>
      </c>
      <c r="I488" s="37">
        <f t="shared" si="59"/>
        <v>1.390353300973652</v>
      </c>
      <c r="J488" s="37">
        <v>0.64681700850599644</v>
      </c>
      <c r="K488" s="37">
        <f t="shared" si="57"/>
        <v>0.69659248277205066</v>
      </c>
      <c r="L488" s="37">
        <f t="shared" si="60"/>
        <v>0.84914623649912979</v>
      </c>
      <c r="M488" s="45">
        <f t="shared" si="58"/>
        <v>1.6935220368407618E-2</v>
      </c>
    </row>
    <row r="489" spans="1:13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221">
        <f t="shared" si="55"/>
        <v>7.7945202620335278E-3</v>
      </c>
      <c r="H489" s="37">
        <f t="shared" si="56"/>
        <v>18.683652136580655</v>
      </c>
      <c r="I489" s="37">
        <f t="shared" si="59"/>
        <v>6.8699788906207075</v>
      </c>
      <c r="J489" s="37">
        <v>3.196035994174145</v>
      </c>
      <c r="K489" s="37">
        <f t="shared" si="57"/>
        <v>3.4419853203194908</v>
      </c>
      <c r="L489" s="37">
        <f t="shared" si="60"/>
        <v>4.1957801054694599</v>
      </c>
      <c r="M489" s="45">
        <f t="shared" si="58"/>
        <v>1.6935220368407621E-2</v>
      </c>
    </row>
    <row r="490" spans="1:13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221">
        <f t="shared" si="55"/>
        <v>1.4860217389726547E-3</v>
      </c>
      <c r="H490" s="37">
        <f t="shared" si="56"/>
        <v>3.5620297728391885</v>
      </c>
      <c r="I490" s="37">
        <f t="shared" si="59"/>
        <v>1.3097583474729697</v>
      </c>
      <c r="J490" s="37">
        <v>0.60932280707713316</v>
      </c>
      <c r="K490" s="37">
        <f t="shared" si="57"/>
        <v>0.65621293412163018</v>
      </c>
      <c r="L490" s="37">
        <f t="shared" si="60"/>
        <v>0.79992356669426723</v>
      </c>
      <c r="M490" s="45">
        <f t="shared" si="58"/>
        <v>1.6935220368407621E-2</v>
      </c>
    </row>
    <row r="491" spans="1:13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54"/>
        <v>196.1</v>
      </c>
      <c r="G491" s="221">
        <f t="shared" si="55"/>
        <v>8.0410834164607503E-4</v>
      </c>
      <c r="H491" s="37">
        <f t="shared" si="56"/>
        <v>1.9274669935258413</v>
      </c>
      <c r="I491" s="37">
        <f t="shared" si="59"/>
        <v>0.70872961351945185</v>
      </c>
      <c r="J491" s="37">
        <v>0.32971358296861425</v>
      </c>
      <c r="K491" s="37">
        <f t="shared" si="57"/>
        <v>0.35508652423082693</v>
      </c>
      <c r="L491" s="37">
        <f t="shared" si="60"/>
        <v>0.43285047303737806</v>
      </c>
      <c r="M491" s="45">
        <f t="shared" si="58"/>
        <v>1.6935220368407621E-2</v>
      </c>
    </row>
    <row r="492" spans="1:13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54"/>
        <v>98.48</v>
      </c>
      <c r="G492" s="221">
        <f t="shared" si="55"/>
        <v>4.0381738646254702E-4</v>
      </c>
      <c r="H492" s="37">
        <f t="shared" si="56"/>
        <v>0.96795996696800024</v>
      </c>
      <c r="I492" s="37">
        <f t="shared" si="59"/>
        <v>0.35591887985413373</v>
      </c>
      <c r="J492" s="37">
        <v>0.16557977384369779</v>
      </c>
      <c r="K492" s="37">
        <f t="shared" si="57"/>
        <v>0.17832188121495074</v>
      </c>
      <c r="L492" s="37">
        <f t="shared" si="60"/>
        <v>0.21737437320102496</v>
      </c>
      <c r="M492" s="45">
        <f t="shared" si="58"/>
        <v>1.6935220368407621E-2</v>
      </c>
    </row>
    <row r="493" spans="1:13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54"/>
        <v>2328.6</v>
      </c>
      <c r="G493" s="221">
        <f t="shared" si="55"/>
        <v>9.5484277631670087E-3</v>
      </c>
      <c r="H493" s="37">
        <f t="shared" si="56"/>
        <v>22.887810510577633</v>
      </c>
      <c r="I493" s="37">
        <f t="shared" si="59"/>
        <v>8.4158479247393956</v>
      </c>
      <c r="J493" s="37">
        <v>3.9152016792489297</v>
      </c>
      <c r="K493" s="37">
        <f t="shared" si="57"/>
        <v>4.2164940353080249</v>
      </c>
      <c r="L493" s="37">
        <f t="shared" si="60"/>
        <v>5.1399062290404824</v>
      </c>
      <c r="M493" s="45">
        <f t="shared" si="58"/>
        <v>1.6935220368407621E-2</v>
      </c>
    </row>
    <row r="494" spans="1:13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54"/>
        <v>479.01</v>
      </c>
      <c r="G494" s="221">
        <f t="shared" si="55"/>
        <v>1.9641812173987068E-3</v>
      </c>
      <c r="H494" s="37">
        <f t="shared" si="56"/>
        <v>4.708189518453918</v>
      </c>
      <c r="I494" s="37">
        <f t="shared" si="59"/>
        <v>1.7312012859355057</v>
      </c>
      <c r="J494" s="37">
        <v>0.80538553481792918</v>
      </c>
      <c r="K494" s="37">
        <f t="shared" si="57"/>
        <v>0.86736356946358195</v>
      </c>
      <c r="L494" s="37">
        <f t="shared" si="60"/>
        <v>1.0573161911761064</v>
      </c>
      <c r="M494" s="45">
        <f t="shared" si="58"/>
        <v>1.6935220368407621E-2</v>
      </c>
    </row>
    <row r="495" spans="1:13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54"/>
        <v>479.14</v>
      </c>
      <c r="G495" s="221">
        <f t="shared" si="55"/>
        <v>1.9647142825920468E-3</v>
      </c>
      <c r="H495" s="37">
        <f t="shared" si="56"/>
        <v>4.7094672885159179</v>
      </c>
      <c r="I495" s="37">
        <f t="shared" si="59"/>
        <v>1.7316711219873031</v>
      </c>
      <c r="J495" s="37">
        <v>0.80560411088007056</v>
      </c>
      <c r="K495" s="37">
        <f t="shared" si="57"/>
        <v>0.86759896593553498</v>
      </c>
      <c r="L495" s="37">
        <f t="shared" si="60"/>
        <v>1.0576031394754173</v>
      </c>
      <c r="M495" s="45">
        <f t="shared" si="58"/>
        <v>1.6935220368407621E-2</v>
      </c>
    </row>
    <row r="496" spans="1:13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54"/>
        <v>1158.5899999999999</v>
      </c>
      <c r="G496" s="221">
        <f t="shared" si="55"/>
        <v>4.7508000180914124E-3</v>
      </c>
      <c r="H496" s="37">
        <f t="shared" si="56"/>
        <v>11.387781662565549</v>
      </c>
      <c r="I496" s="37">
        <f t="shared" si="59"/>
        <v>4.1872873173253531</v>
      </c>
      <c r="J496" s="37">
        <v>1.9480003064334868</v>
      </c>
      <c r="K496" s="37">
        <f t="shared" si="57"/>
        <v>2.0979076803089942</v>
      </c>
      <c r="L496" s="37">
        <f t="shared" si="60"/>
        <v>2.5573494622966639</v>
      </c>
      <c r="M496" s="45">
        <f t="shared" si="58"/>
        <v>1.6935220368407621E-2</v>
      </c>
    </row>
    <row r="497" spans="1:13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54"/>
        <v>368.99</v>
      </c>
      <c r="G497" s="221">
        <f t="shared" si="55"/>
        <v>1.5130440437735096E-3</v>
      </c>
      <c r="H497" s="37">
        <f t="shared" si="56"/>
        <v>3.6268028859821526</v>
      </c>
      <c r="I497" s="37">
        <f t="shared" si="59"/>
        <v>1.3335754211756377</v>
      </c>
      <c r="J497" s="37">
        <v>0.62040293207337582</v>
      </c>
      <c r="K497" s="37">
        <f t="shared" si="57"/>
        <v>0.6681457245075616</v>
      </c>
      <c r="L497" s="37">
        <f t="shared" si="60"/>
        <v>0.81446963817471763</v>
      </c>
      <c r="M497" s="45">
        <f t="shared" si="58"/>
        <v>1.6935220368407618E-2</v>
      </c>
    </row>
    <row r="498" spans="1:13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54"/>
        <v>346.24</v>
      </c>
      <c r="G498" s="221">
        <f t="shared" si="55"/>
        <v>1.4197576349389955E-3</v>
      </c>
      <c r="H498" s="37">
        <f t="shared" si="56"/>
        <v>3.40319312513201</v>
      </c>
      <c r="I498" s="37">
        <f t="shared" si="59"/>
        <v>1.2513541121110401</v>
      </c>
      <c r="J498" s="37">
        <v>0.58215212119863846</v>
      </c>
      <c r="K498" s="37">
        <f t="shared" si="57"/>
        <v>0.62695134191576496</v>
      </c>
      <c r="L498" s="37">
        <f t="shared" si="60"/>
        <v>0.76425368579531749</v>
      </c>
      <c r="M498" s="45">
        <f t="shared" si="58"/>
        <v>1.6935220368407618E-2</v>
      </c>
    </row>
    <row r="499" spans="1:13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54"/>
        <v>151.5</v>
      </c>
      <c r="G499" s="221">
        <f t="shared" si="55"/>
        <v>6.212259753155552E-4</v>
      </c>
      <c r="H499" s="37">
        <f t="shared" si="56"/>
        <v>1.4890935722547931</v>
      </c>
      <c r="I499" s="37">
        <f t="shared" si="59"/>
        <v>0.54753970651808748</v>
      </c>
      <c r="J499" s="37">
        <v>0.25472518011088763</v>
      </c>
      <c r="K499" s="37">
        <f t="shared" si="57"/>
        <v>0.27432742692998618</v>
      </c>
      <c r="L499" s="37">
        <f t="shared" si="60"/>
        <v>0.33440513342765316</v>
      </c>
      <c r="M499" s="45">
        <f t="shared" si="58"/>
        <v>1.6935220368407618E-2</v>
      </c>
    </row>
    <row r="500" spans="1:13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54"/>
        <v>123.6</v>
      </c>
      <c r="G500" s="221">
        <f t="shared" si="55"/>
        <v>5.0682198382179949E-4</v>
      </c>
      <c r="H500" s="37">
        <f t="shared" si="56"/>
        <v>1.214864458948465</v>
      </c>
      <c r="I500" s="37">
        <f t="shared" si="59"/>
        <v>0.44670566155535057</v>
      </c>
      <c r="J500" s="37">
        <v>0.20781539446670436</v>
      </c>
      <c r="K500" s="37">
        <f t="shared" si="57"/>
        <v>0.22380772256466197</v>
      </c>
      <c r="L500" s="37">
        <f t="shared" si="60"/>
        <v>0.27282161380632297</v>
      </c>
      <c r="M500" s="45">
        <f t="shared" si="58"/>
        <v>1.6935220368407621E-2</v>
      </c>
    </row>
    <row r="501" spans="1:13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54"/>
        <v>624.51</v>
      </c>
      <c r="G501" s="221">
        <f t="shared" si="55"/>
        <v>2.5608041837908739E-3</v>
      </c>
      <c r="H501" s="37">
        <f t="shared" si="56"/>
        <v>6.1383090878471354</v>
      </c>
      <c r="I501" s="37">
        <f t="shared" si="59"/>
        <v>2.2570562516013917</v>
      </c>
      <c r="J501" s="37">
        <v>1.0500225889838313</v>
      </c>
      <c r="K501" s="37">
        <f t="shared" si="57"/>
        <v>1.1308265438418854</v>
      </c>
      <c r="L501" s="37">
        <f t="shared" si="60"/>
        <v>1.3784775569432584</v>
      </c>
      <c r="M501" s="45">
        <f t="shared" si="58"/>
        <v>1.6935220368407625E-2</v>
      </c>
    </row>
    <row r="502" spans="1:13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54"/>
        <v>202.5</v>
      </c>
      <c r="G502" s="221">
        <f t="shared" si="55"/>
        <v>8.3035155116435591E-4</v>
      </c>
      <c r="H502" s="37">
        <f t="shared" si="56"/>
        <v>1.9903725965781884</v>
      </c>
      <c r="I502" s="37">
        <f t="shared" si="59"/>
        <v>0.73186000376179994</v>
      </c>
      <c r="J502" s="37">
        <v>0.34047425064326564</v>
      </c>
      <c r="K502" s="37">
        <f t="shared" si="57"/>
        <v>0.36667527361928842</v>
      </c>
      <c r="L502" s="37">
        <f t="shared" si="60"/>
        <v>0.44697715854191261</v>
      </c>
      <c r="M502" s="45">
        <f t="shared" si="58"/>
        <v>1.6935220368407618E-2</v>
      </c>
    </row>
    <row r="503" spans="1:13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54"/>
        <v>132.5</v>
      </c>
      <c r="G503" s="221">
        <f t="shared" si="55"/>
        <v>5.4331644705815879E-4</v>
      </c>
      <c r="H503" s="37">
        <f t="shared" si="56"/>
        <v>1.3023425631931358</v>
      </c>
      <c r="I503" s="37">
        <f t="shared" si="59"/>
        <v>0.47887136048611606</v>
      </c>
      <c r="J503" s="37">
        <v>0.22277944795176641</v>
      </c>
      <c r="K503" s="37">
        <f t="shared" si="57"/>
        <v>0.23992332718299117</v>
      </c>
      <c r="L503" s="37">
        <f t="shared" si="60"/>
        <v>0.29246653583606624</v>
      </c>
      <c r="M503" s="45">
        <f t="shared" si="58"/>
        <v>1.6935220368407618E-2</v>
      </c>
    </row>
    <row r="504" spans="1:13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54"/>
        <v>156.1</v>
      </c>
      <c r="G504" s="221">
        <f t="shared" si="55"/>
        <v>6.4008828215681953E-4</v>
      </c>
      <c r="H504" s="37">
        <f t="shared" si="56"/>
        <v>1.5343069744486679</v>
      </c>
      <c r="I504" s="37">
        <f t="shared" si="59"/>
        <v>0.56416467450477525</v>
      </c>
      <c r="J504" s="37">
        <v>0.26245941000204331</v>
      </c>
      <c r="K504" s="37">
        <f t="shared" si="57"/>
        <v>0.28265684055294282</v>
      </c>
      <c r="L504" s="37">
        <f t="shared" si="60"/>
        <v>0.34455868863403732</v>
      </c>
      <c r="M504" s="45">
        <f t="shared" si="58"/>
        <v>1.6935220368407618E-2</v>
      </c>
    </row>
    <row r="505" spans="1:13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54"/>
        <v>138</v>
      </c>
      <c r="G505" s="221">
        <f t="shared" si="55"/>
        <v>5.6586920523793145E-4</v>
      </c>
      <c r="H505" s="37">
        <f t="shared" si="56"/>
        <v>1.3564020658162472</v>
      </c>
      <c r="I505" s="37">
        <f t="shared" si="59"/>
        <v>0.49874903960063416</v>
      </c>
      <c r="J505" s="37">
        <v>0.23202689673466992</v>
      </c>
      <c r="K505" s="37">
        <f t="shared" si="57"/>
        <v>0.24988240868870026</v>
      </c>
      <c r="L505" s="37">
        <f t="shared" si="60"/>
        <v>0.30460665619152566</v>
      </c>
      <c r="M505" s="45">
        <f t="shared" si="58"/>
        <v>1.6935220368407621E-2</v>
      </c>
    </row>
    <row r="506" spans="1:13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54"/>
        <v>137.69999999999999</v>
      </c>
      <c r="G506" s="221">
        <f t="shared" si="55"/>
        <v>5.6463905479176197E-4</v>
      </c>
      <c r="H506" s="37">
        <f t="shared" si="56"/>
        <v>1.3534533656731684</v>
      </c>
      <c r="I506" s="37">
        <f t="shared" si="59"/>
        <v>0.49766480255802409</v>
      </c>
      <c r="J506" s="37">
        <v>0.2315224904374206</v>
      </c>
      <c r="K506" s="37">
        <f t="shared" si="57"/>
        <v>0.24933918606111607</v>
      </c>
      <c r="L506" s="37">
        <f t="shared" si="60"/>
        <v>0.30394446780850054</v>
      </c>
      <c r="M506" s="45">
        <f t="shared" si="58"/>
        <v>1.6935220368407621E-2</v>
      </c>
    </row>
    <row r="507" spans="1:13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54"/>
        <v>184.88</v>
      </c>
      <c r="G507" s="221">
        <f t="shared" si="55"/>
        <v>7.5810071495933885E-4</v>
      </c>
      <c r="H507" s="37">
        <f t="shared" si="56"/>
        <v>1.817185608174694</v>
      </c>
      <c r="I507" s="37">
        <f t="shared" si="59"/>
        <v>0.66817914812583501</v>
      </c>
      <c r="J507" s="37">
        <v>0.31084878745149108</v>
      </c>
      <c r="K507" s="37">
        <f t="shared" si="57"/>
        <v>0.33476999795918044</v>
      </c>
      <c r="L507" s="37">
        <f t="shared" si="60"/>
        <v>0.408084627512241</v>
      </c>
      <c r="M507" s="45">
        <f t="shared" si="58"/>
        <v>1.6935220368407618E-2</v>
      </c>
    </row>
    <row r="508" spans="1:13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54"/>
        <v>657.19</v>
      </c>
      <c r="G508" s="221">
        <f t="shared" si="55"/>
        <v>2.6948085723935956E-3</v>
      </c>
      <c r="H508" s="37">
        <f t="shared" si="56"/>
        <v>6.4595208234331851</v>
      </c>
      <c r="I508" s="37">
        <f t="shared" si="59"/>
        <v>2.3751658067763826</v>
      </c>
      <c r="J508" s="37">
        <v>1.1049692482975197</v>
      </c>
      <c r="K508" s="37">
        <f t="shared" si="57"/>
        <v>1.1900015954067169</v>
      </c>
      <c r="L508" s="37">
        <f t="shared" si="60"/>
        <v>1.4506119448007879</v>
      </c>
      <c r="M508" s="45">
        <f t="shared" si="58"/>
        <v>1.6935220368407618E-2</v>
      </c>
    </row>
    <row r="509" spans="1:13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54"/>
        <v>815.3</v>
      </c>
      <c r="G509" s="221">
        <f t="shared" si="55"/>
        <v>3.34313886253975E-3</v>
      </c>
      <c r="H509" s="37">
        <f t="shared" si="56"/>
        <v>8.0135840888404815</v>
      </c>
      <c r="I509" s="37">
        <f t="shared" si="59"/>
        <v>2.9465948694666451</v>
      </c>
      <c r="J509" s="37">
        <v>1.3708081804911332</v>
      </c>
      <c r="K509" s="37">
        <f t="shared" si="57"/>
        <v>1.4762980275644733</v>
      </c>
      <c r="L509" s="37">
        <f t="shared" si="60"/>
        <v>1.7996072956010931</v>
      </c>
      <c r="M509" s="45">
        <f t="shared" si="58"/>
        <v>1.6935220368407621E-2</v>
      </c>
    </row>
    <row r="510" spans="1:13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54"/>
        <v>800.4</v>
      </c>
      <c r="G510" s="221">
        <f t="shared" si="55"/>
        <v>3.2820413903800025E-3</v>
      </c>
      <c r="H510" s="37">
        <f t="shared" si="56"/>
        <v>7.867131981734234</v>
      </c>
      <c r="I510" s="37">
        <f t="shared" si="59"/>
        <v>2.892744429683678</v>
      </c>
      <c r="J510" s="37">
        <v>1.3457560010610854</v>
      </c>
      <c r="K510" s="37">
        <f t="shared" si="57"/>
        <v>1.4493179703944614</v>
      </c>
      <c r="L510" s="37">
        <f t="shared" si="60"/>
        <v>1.7667186059108486</v>
      </c>
      <c r="M510" s="45">
        <f t="shared" si="58"/>
        <v>1.6935220368407621E-2</v>
      </c>
    </row>
    <row r="511" spans="1:13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ref="F511:F535" si="61">C511+D511+E511</f>
        <v>285.10000000000002</v>
      </c>
      <c r="G511" s="221">
        <f t="shared" si="55"/>
        <v>1.1690529740096686E-3</v>
      </c>
      <c r="H511" s="37">
        <f t="shared" si="56"/>
        <v>2.8022480359725517</v>
      </c>
      <c r="I511" s="37">
        <f t="shared" si="59"/>
        <v>1.0303866028271074</v>
      </c>
      <c r="J511" s="37">
        <v>0.47935411781923476</v>
      </c>
      <c r="K511" s="37">
        <f t="shared" si="57"/>
        <v>0.51624257041411914</v>
      </c>
      <c r="L511" s="37">
        <f t="shared" si="60"/>
        <v>0.62929969333481128</v>
      </c>
      <c r="M511" s="45">
        <f t="shared" si="58"/>
        <v>1.6935220368407621E-2</v>
      </c>
    </row>
    <row r="512" spans="1:13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si="61"/>
        <v>415.84</v>
      </c>
      <c r="G512" s="221">
        <f t="shared" si="55"/>
        <v>1.7051525384502999E-3</v>
      </c>
      <c r="H512" s="37">
        <f t="shared" si="56"/>
        <v>4.0872915583262914</v>
      </c>
      <c r="I512" s="37">
        <f t="shared" si="59"/>
        <v>1.5028971059965774</v>
      </c>
      <c r="J512" s="37">
        <v>0.69917438216047201</v>
      </c>
      <c r="K512" s="37">
        <f t="shared" si="57"/>
        <v>0.75297899151528336</v>
      </c>
      <c r="L512" s="37">
        <f t="shared" si="60"/>
        <v>0.91788139065713048</v>
      </c>
      <c r="M512" s="45">
        <f t="shared" si="58"/>
        <v>1.6935220368407621E-2</v>
      </c>
    </row>
    <row r="513" spans="1:13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61"/>
        <v>516.34</v>
      </c>
      <c r="G513" s="221">
        <f t="shared" si="55"/>
        <v>2.1172529379170548E-3</v>
      </c>
      <c r="H513" s="37">
        <f t="shared" si="56"/>
        <v>5.0751061062576905</v>
      </c>
      <c r="I513" s="37">
        <f t="shared" si="59"/>
        <v>1.8661165152709529</v>
      </c>
      <c r="J513" s="37">
        <v>0.86815049173898162</v>
      </c>
      <c r="K513" s="37">
        <f t="shared" si="57"/>
        <v>0.93495857175596742</v>
      </c>
      <c r="L513" s="37">
        <f t="shared" si="60"/>
        <v>1.1397144989705243</v>
      </c>
      <c r="M513" s="45">
        <f t="shared" si="58"/>
        <v>1.6935220368407621E-2</v>
      </c>
    </row>
    <row r="514" spans="1:13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61"/>
        <v>605.14</v>
      </c>
      <c r="G514" s="221">
        <f t="shared" ref="G514:G534" si="62">1/243872.61*F514</f>
        <v>2.4813774699832016E-3</v>
      </c>
      <c r="H514" s="37">
        <f t="shared" ref="H514:H534" si="63">G514*1218*1.64*1.2</f>
        <v>5.9479213486090128</v>
      </c>
      <c r="I514" s="37">
        <f t="shared" si="59"/>
        <v>2.1870506798835341</v>
      </c>
      <c r="J514" s="37">
        <v>1.0174547557247693</v>
      </c>
      <c r="K514" s="37">
        <f t="shared" si="57"/>
        <v>1.09575246952087</v>
      </c>
      <c r="L514" s="37">
        <f t="shared" si="60"/>
        <v>1.3357222603459407</v>
      </c>
      <c r="M514" s="45">
        <f t="shared" si="58"/>
        <v>1.6935220368407618E-2</v>
      </c>
    </row>
    <row r="515" spans="1:13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61"/>
        <v>476.1</v>
      </c>
      <c r="G515" s="221">
        <f t="shared" si="62"/>
        <v>1.9522487580708636E-3</v>
      </c>
      <c r="H515" s="37">
        <f t="shared" si="63"/>
        <v>4.6795871270660534</v>
      </c>
      <c r="I515" s="37">
        <f t="shared" si="59"/>
        <v>1.720684186622188</v>
      </c>
      <c r="J515" s="37">
        <v>0.80049279373461124</v>
      </c>
      <c r="K515" s="37">
        <f t="shared" ref="K515:K535" si="64">G515*408.88*1.08</f>
        <v>0.86209430997601588</v>
      </c>
      <c r="L515" s="37">
        <f t="shared" si="60"/>
        <v>1.0508929638607634</v>
      </c>
      <c r="M515" s="45">
        <f t="shared" si="58"/>
        <v>1.6935220368407618E-2</v>
      </c>
    </row>
    <row r="516" spans="1:13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61"/>
        <v>417.52</v>
      </c>
      <c r="G516" s="221">
        <f t="shared" si="62"/>
        <v>1.7120413809488487E-3</v>
      </c>
      <c r="H516" s="37">
        <f t="shared" si="63"/>
        <v>4.1038042791275329</v>
      </c>
      <c r="I516" s="37">
        <f t="shared" si="59"/>
        <v>1.5089688334351941</v>
      </c>
      <c r="J516" s="37">
        <v>0.70199905742506796</v>
      </c>
      <c r="K516" s="37">
        <f t="shared" si="64"/>
        <v>0.75602103822975453</v>
      </c>
      <c r="L516" s="37">
        <f t="shared" si="60"/>
        <v>0.92158964560207079</v>
      </c>
      <c r="M516" s="45">
        <f t="shared" si="58"/>
        <v>1.6935220368407621E-2</v>
      </c>
    </row>
    <row r="517" spans="1:13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61"/>
        <v>273.56</v>
      </c>
      <c r="G517" s="221">
        <f t="shared" si="62"/>
        <v>1.1217331868470183E-3</v>
      </c>
      <c r="H517" s="37">
        <f t="shared" si="63"/>
        <v>2.6888213704687871</v>
      </c>
      <c r="I517" s="37">
        <f t="shared" si="59"/>
        <v>0.98867961792137304</v>
      </c>
      <c r="J517" s="37">
        <v>0.459951288918379</v>
      </c>
      <c r="K517" s="37">
        <f t="shared" si="64"/>
        <v>0.49534660667304958</v>
      </c>
      <c r="L517" s="37">
        <f t="shared" si="60"/>
        <v>0.60382751353444752</v>
      </c>
      <c r="M517" s="45">
        <f t="shared" si="58"/>
        <v>1.6935220368407621E-2</v>
      </c>
    </row>
    <row r="518" spans="1:13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61"/>
        <v>645.95000000000005</v>
      </c>
      <c r="G518" s="221">
        <f t="shared" si="62"/>
        <v>2.6487189356771148E-3</v>
      </c>
      <c r="H518" s="37">
        <f t="shared" si="63"/>
        <v>6.3490428580725</v>
      </c>
      <c r="I518" s="37">
        <f t="shared" si="59"/>
        <v>2.3345430589132583</v>
      </c>
      <c r="J518" s="37">
        <v>1.0860708256939133</v>
      </c>
      <c r="K518" s="37">
        <f t="shared" si="64"/>
        <v>1.1696488542932315</v>
      </c>
      <c r="L518" s="37">
        <f t="shared" si="60"/>
        <v>1.4258019533834494</v>
      </c>
      <c r="M518" s="45">
        <f t="shared" si="58"/>
        <v>1.6935220368407621E-2</v>
      </c>
    </row>
    <row r="519" spans="1:13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61"/>
        <v>867.68</v>
      </c>
      <c r="G519" s="221">
        <f t="shared" si="62"/>
        <v>3.5579231304409299E-3</v>
      </c>
      <c r="H519" s="37">
        <f t="shared" si="63"/>
        <v>8.5284271338220385</v>
      </c>
      <c r="I519" s="37">
        <f t="shared" si="59"/>
        <v>3.1359026571063637</v>
      </c>
      <c r="J519" s="37">
        <v>1.4588775199908579</v>
      </c>
      <c r="K519" s="37">
        <f t="shared" si="64"/>
        <v>1.5711446983406625</v>
      </c>
      <c r="L519" s="37">
        <f t="shared" si="60"/>
        <v>1.9152253872772678</v>
      </c>
      <c r="M519" s="45">
        <f t="shared" ref="M519:M582" si="65">(K519+J519+I519+H519)/F519</f>
        <v>1.6935220368407621E-2</v>
      </c>
    </row>
    <row r="520" spans="1:13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61"/>
        <v>556.85</v>
      </c>
      <c r="G520" s="221">
        <f t="shared" si="62"/>
        <v>2.2833642531647981E-3</v>
      </c>
      <c r="H520" s="37">
        <f t="shared" si="63"/>
        <v>5.4732789155780965</v>
      </c>
      <c r="I520" s="37">
        <f t="shared" si="59"/>
        <v>2.0125246572580662</v>
      </c>
      <c r="J520" s="37">
        <v>0.93626215541087654</v>
      </c>
      <c r="K520" s="37">
        <f t="shared" si="64"/>
        <v>1.0083117339007446</v>
      </c>
      <c r="L520" s="37">
        <f t="shared" si="60"/>
        <v>1.2291320036250077</v>
      </c>
      <c r="M520" s="45">
        <f t="shared" si="65"/>
        <v>1.6935220368407621E-2</v>
      </c>
    </row>
    <row r="521" spans="1:13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61"/>
        <v>335.18</v>
      </c>
      <c r="G521" s="221">
        <f t="shared" si="62"/>
        <v>1.3744060884902163E-3</v>
      </c>
      <c r="H521" s="37">
        <f t="shared" si="63"/>
        <v>3.2944843798571717</v>
      </c>
      <c r="I521" s="37">
        <f t="shared" si="59"/>
        <v>1.2113819064734821</v>
      </c>
      <c r="J521" s="37">
        <v>0.56355634237338159</v>
      </c>
      <c r="K521" s="37">
        <f t="shared" si="64"/>
        <v>0.60692453437883009</v>
      </c>
      <c r="L521" s="37">
        <f t="shared" si="60"/>
        <v>0.7398410074077939</v>
      </c>
      <c r="M521" s="45">
        <f t="shared" si="65"/>
        <v>1.6935220368407621E-2</v>
      </c>
    </row>
    <row r="522" spans="1:13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61"/>
        <v>274.58999999999997</v>
      </c>
      <c r="G522" s="221">
        <f t="shared" si="62"/>
        <v>1.1259567033788664E-3</v>
      </c>
      <c r="H522" s="37">
        <f t="shared" si="63"/>
        <v>2.6989452409600236</v>
      </c>
      <c r="I522" s="37">
        <f t="shared" si="59"/>
        <v>0.99240216510100077</v>
      </c>
      <c r="J522" s="37">
        <v>0.4616830838722682</v>
      </c>
      <c r="K522" s="37">
        <f t="shared" si="64"/>
        <v>0.49721167102775504</v>
      </c>
      <c r="L522" s="37">
        <f t="shared" si="60"/>
        <v>0.60610102698283341</v>
      </c>
      <c r="M522" s="45">
        <f t="shared" si="65"/>
        <v>1.6935220368407618E-2</v>
      </c>
    </row>
    <row r="523" spans="1:13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61"/>
        <v>345.54</v>
      </c>
      <c r="G523" s="221">
        <f t="shared" si="62"/>
        <v>1.4168872838979337E-3</v>
      </c>
      <c r="H523" s="37">
        <f t="shared" si="63"/>
        <v>3.3963128247981604</v>
      </c>
      <c r="I523" s="37">
        <f t="shared" si="59"/>
        <v>1.2488242256782838</v>
      </c>
      <c r="J523" s="37">
        <v>0.58097517317172354</v>
      </c>
      <c r="K523" s="37">
        <f t="shared" si="64"/>
        <v>0.62568382245140219</v>
      </c>
      <c r="L523" s="37">
        <f t="shared" si="60"/>
        <v>0.76270857956825933</v>
      </c>
      <c r="M523" s="45">
        <f t="shared" si="65"/>
        <v>1.6935220368407621E-2</v>
      </c>
    </row>
    <row r="524" spans="1:13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61"/>
        <v>212.4</v>
      </c>
      <c r="G524" s="221">
        <f t="shared" si="62"/>
        <v>8.7094651588794667E-4</v>
      </c>
      <c r="H524" s="37">
        <f t="shared" si="63"/>
        <v>2.0876797012997894</v>
      </c>
      <c r="I524" s="37">
        <f t="shared" si="59"/>
        <v>0.76763982616793258</v>
      </c>
      <c r="J524" s="37">
        <v>0.35711965845249194</v>
      </c>
      <c r="K524" s="37">
        <f t="shared" si="64"/>
        <v>0.38460162032956474</v>
      </c>
      <c r="L524" s="37">
        <f t="shared" si="60"/>
        <v>0.46882937518173945</v>
      </c>
      <c r="M524" s="45">
        <f t="shared" si="65"/>
        <v>1.6935220368407621E-2</v>
      </c>
    </row>
    <row r="525" spans="1:13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61"/>
        <v>257.2</v>
      </c>
      <c r="G525" s="221">
        <f t="shared" si="62"/>
        <v>1.0546489825159129E-3</v>
      </c>
      <c r="H525" s="37">
        <f t="shared" si="63"/>
        <v>2.5280189226662233</v>
      </c>
      <c r="I525" s="37">
        <f t="shared" si="59"/>
        <v>0.92955255786437041</v>
      </c>
      <c r="J525" s="37">
        <v>0.43244433217505146</v>
      </c>
      <c r="K525" s="37">
        <f t="shared" si="64"/>
        <v>0.46572286604879498</v>
      </c>
      <c r="L525" s="37">
        <f t="shared" si="60"/>
        <v>0.56771617371348115</v>
      </c>
      <c r="M525" s="45">
        <f t="shared" si="65"/>
        <v>1.6935220368407621E-2</v>
      </c>
    </row>
    <row r="526" spans="1:13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61"/>
        <v>406.14</v>
      </c>
      <c r="G526" s="221">
        <f t="shared" si="62"/>
        <v>1.6653776740241555E-3</v>
      </c>
      <c r="H526" s="37">
        <f t="shared" si="63"/>
        <v>3.9919502537000766</v>
      </c>
      <c r="I526" s="37">
        <f t="shared" si="59"/>
        <v>1.4678401082855184</v>
      </c>
      <c r="J526" s="37">
        <v>0.6828652452160785</v>
      </c>
      <c r="K526" s="37">
        <f t="shared" si="64"/>
        <v>0.73541479322339642</v>
      </c>
      <c r="L526" s="37">
        <f t="shared" si="60"/>
        <v>0.89647063293932028</v>
      </c>
      <c r="M526" s="45">
        <f t="shared" si="65"/>
        <v>1.6935220368407618E-2</v>
      </c>
    </row>
    <row r="527" spans="1:13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61"/>
        <v>253.51</v>
      </c>
      <c r="G527" s="221">
        <f t="shared" si="62"/>
        <v>1.039518132028029E-3</v>
      </c>
      <c r="H527" s="37">
        <f t="shared" si="63"/>
        <v>2.4917499109063539</v>
      </c>
      <c r="I527" s="37">
        <f t="shared" ref="I527:I534" si="66">H527*0.3677</f>
        <v>0.91621644224026644</v>
      </c>
      <c r="J527" s="37">
        <v>0.42624013471888533</v>
      </c>
      <c r="K527" s="37">
        <f t="shared" si="64"/>
        <v>0.45904122772951017</v>
      </c>
      <c r="L527" s="37">
        <f t="shared" si="60"/>
        <v>0.55957125660227292</v>
      </c>
      <c r="M527" s="45">
        <f t="shared" si="65"/>
        <v>1.6935220368407618E-2</v>
      </c>
    </row>
    <row r="528" spans="1:13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61"/>
        <v>354.64</v>
      </c>
      <c r="G528" s="221">
        <f t="shared" si="62"/>
        <v>1.4542018474317392E-3</v>
      </c>
      <c r="H528" s="37">
        <f t="shared" si="63"/>
        <v>3.4857567291382168</v>
      </c>
      <c r="I528" s="37">
        <f t="shared" si="66"/>
        <v>1.2817127493041225</v>
      </c>
      <c r="J528" s="37">
        <v>0.59627549752161835</v>
      </c>
      <c r="K528" s="37">
        <f t="shared" si="64"/>
        <v>0.64216157548812069</v>
      </c>
      <c r="L528" s="37">
        <f t="shared" si="60"/>
        <v>0.78279496052001918</v>
      </c>
      <c r="M528" s="45">
        <f t="shared" si="65"/>
        <v>1.6935220368407621E-2</v>
      </c>
    </row>
    <row r="529" spans="1:13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61"/>
        <v>286.98</v>
      </c>
      <c r="G529" s="221">
        <f t="shared" si="62"/>
        <v>1.1767619168056636E-3</v>
      </c>
      <c r="H529" s="37">
        <f t="shared" si="63"/>
        <v>2.8207265568691788</v>
      </c>
      <c r="I529" s="37">
        <f t="shared" si="66"/>
        <v>1.0371811549607972</v>
      </c>
      <c r="J529" s="37">
        <v>0.48251506394866361</v>
      </c>
      <c r="K529" s="37">
        <f t="shared" si="64"/>
        <v>0.51964676554697975</v>
      </c>
      <c r="L529" s="37">
        <f t="shared" si="60"/>
        <v>0.63344940720176834</v>
      </c>
      <c r="M529" s="45">
        <f t="shared" si="65"/>
        <v>1.6935220368407621E-2</v>
      </c>
    </row>
    <row r="530" spans="1:13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61"/>
        <v>128.9</v>
      </c>
      <c r="G530" s="221">
        <f t="shared" si="62"/>
        <v>5.285546417041258E-4</v>
      </c>
      <c r="H530" s="37">
        <f t="shared" si="63"/>
        <v>1.2669581614761902</v>
      </c>
      <c r="I530" s="37">
        <f t="shared" si="66"/>
        <v>0.46586051597479516</v>
      </c>
      <c r="J530" s="37">
        <v>0.21672657238477505</v>
      </c>
      <c r="K530" s="37">
        <f t="shared" si="64"/>
        <v>0.2334046556519816</v>
      </c>
      <c r="L530" s="37">
        <f t="shared" si="60"/>
        <v>0.28452027523976559</v>
      </c>
      <c r="M530" s="45">
        <f t="shared" si="65"/>
        <v>1.6935220368407618E-2</v>
      </c>
    </row>
    <row r="531" spans="1:13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61"/>
        <v>2048.73</v>
      </c>
      <c r="G531" s="221">
        <f t="shared" si="62"/>
        <v>8.4008204119355601E-3</v>
      </c>
      <c r="H531" s="37">
        <f t="shared" si="63"/>
        <v>20.136968147099424</v>
      </c>
      <c r="I531" s="37">
        <f t="shared" si="66"/>
        <v>7.4043631876884586</v>
      </c>
      <c r="J531" s="37">
        <v>3.444641044545075</v>
      </c>
      <c r="K531" s="37">
        <f t="shared" si="64"/>
        <v>3.7097216460347893</v>
      </c>
      <c r="L531" s="37">
        <f t="shared" si="60"/>
        <v>4.5221506865164081</v>
      </c>
      <c r="M531" s="45">
        <f t="shared" si="65"/>
        <v>1.6935220368407621E-2</v>
      </c>
    </row>
    <row r="532" spans="1:13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61"/>
        <v>2056.27</v>
      </c>
      <c r="G532" s="221">
        <f t="shared" si="62"/>
        <v>8.4317381931492841E-3</v>
      </c>
      <c r="H532" s="37">
        <f t="shared" si="63"/>
        <v>20.211078810695469</v>
      </c>
      <c r="I532" s="37">
        <f t="shared" si="66"/>
        <v>7.4316136786927247</v>
      </c>
      <c r="J532" s="37">
        <v>3.4573184561492738</v>
      </c>
      <c r="K532" s="37">
        <f t="shared" si="64"/>
        <v>3.72337464140807</v>
      </c>
      <c r="L532" s="37">
        <f t="shared" si="60"/>
        <v>4.5387936878764377</v>
      </c>
      <c r="M532" s="45">
        <f t="shared" si="65"/>
        <v>1.6935220368407618E-2</v>
      </c>
    </row>
    <row r="533" spans="1:13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61"/>
        <v>75.900000000000006</v>
      </c>
      <c r="G533" s="221">
        <f t="shared" si="62"/>
        <v>3.1122806288086234E-4</v>
      </c>
      <c r="H533" s="37">
        <f t="shared" si="63"/>
        <v>0.74602113619893617</v>
      </c>
      <c r="I533" s="37">
        <f t="shared" si="66"/>
        <v>0.27431197178034883</v>
      </c>
      <c r="J533" s="37">
        <v>0.12761479320406846</v>
      </c>
      <c r="K533" s="37">
        <f t="shared" si="64"/>
        <v>0.13743532477878517</v>
      </c>
      <c r="L533" s="37">
        <f t="shared" si="60"/>
        <v>0.16753366090533914</v>
      </c>
      <c r="M533" s="45">
        <f t="shared" si="65"/>
        <v>1.6935220368407625E-2</v>
      </c>
    </row>
    <row r="534" spans="1:13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61"/>
        <v>903</v>
      </c>
      <c r="G534" s="221">
        <f t="shared" si="62"/>
        <v>3.7027528429699427E-3</v>
      </c>
      <c r="H534" s="37">
        <f t="shared" si="63"/>
        <v>8.8755874306671831</v>
      </c>
      <c r="I534" s="37">
        <f t="shared" si="66"/>
        <v>3.2635534982563237</v>
      </c>
      <c r="J534" s="37">
        <v>3.4382373149715577</v>
      </c>
      <c r="K534" s="37">
        <f t="shared" si="64"/>
        <v>1.6351001090282342</v>
      </c>
      <c r="L534" s="37">
        <f t="shared" si="60"/>
        <v>1.9931870329054175</v>
      </c>
      <c r="M534" s="45">
        <f t="shared" si="65"/>
        <v>1.9061437821620484E-2</v>
      </c>
    </row>
    <row r="535" spans="1:13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61"/>
        <v>243872.61000000004</v>
      </c>
      <c r="G535" s="221">
        <f>1/243872.61*F535</f>
        <v>1.0000000000000002</v>
      </c>
      <c r="H535" s="37">
        <f>G535*1218*1.64*1.2</f>
        <v>2397.0240000000003</v>
      </c>
      <c r="I535" s="64">
        <f t="shared" ref="I535:I581" si="67">H535*0.3677</f>
        <v>881.38572480000016</v>
      </c>
      <c r="J535" s="37">
        <f>SUM(J385:J534)</f>
        <v>411.95624172897919</v>
      </c>
      <c r="K535" s="37">
        <f t="shared" si="64"/>
        <v>441.59040000000016</v>
      </c>
      <c r="L535" s="37">
        <f t="shared" si="60"/>
        <v>538.2986976000002</v>
      </c>
      <c r="M535" s="45">
        <f t="shared" si="65"/>
        <v>1.6943093226127276E-2</v>
      </c>
    </row>
    <row r="536" spans="1:13" s="6" customFormat="1" ht="15.75">
      <c r="A536" s="9" t="s">
        <v>245</v>
      </c>
      <c r="B536" s="8"/>
      <c r="C536" s="8"/>
      <c r="D536" s="8"/>
      <c r="E536" s="8"/>
      <c r="F536" s="40"/>
      <c r="G536" s="61"/>
      <c r="H536" s="37"/>
      <c r="I536" s="37"/>
      <c r="J536" s="37">
        <v>0</v>
      </c>
      <c r="K536" s="37"/>
      <c r="L536" s="37">
        <f t="shared" si="60"/>
        <v>0</v>
      </c>
      <c r="M536" s="45" t="e">
        <f t="shared" si="65"/>
        <v>#DIV/0!</v>
      </c>
    </row>
    <row r="537" spans="1:13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ref="F537:F581" si="68">C537+D537+E537</f>
        <v>4713.8</v>
      </c>
      <c r="G537" s="221">
        <f t="shared" ref="G537:G600" si="69">1/246324.39*F537</f>
        <v>1.9136554037543742E-2</v>
      </c>
      <c r="H537" s="37">
        <f t="shared" ref="H537:H600" si="70">G537*1218*1.54*1.2</f>
        <v>43.073780567161862</v>
      </c>
      <c r="I537" s="37">
        <f t="shared" si="67"/>
        <v>15.838229114545417</v>
      </c>
      <c r="J537" s="37">
        <v>19.915195780202094</v>
      </c>
      <c r="K537" s="37">
        <f>G537*408.88*1.08</f>
        <v>8.4505185520605561</v>
      </c>
      <c r="L537" s="37">
        <f t="shared" si="60"/>
        <v>10.301182114961819</v>
      </c>
      <c r="M537" s="45">
        <f t="shared" si="65"/>
        <v>1.8515364252613586E-2</v>
      </c>
    </row>
    <row r="538" spans="1:13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68"/>
        <v>14312.59</v>
      </c>
      <c r="G538" s="221">
        <f t="shared" si="69"/>
        <v>5.810463998307272E-2</v>
      </c>
      <c r="H538" s="37">
        <f t="shared" si="70"/>
        <v>130.78564237085899</v>
      </c>
      <c r="I538" s="37">
        <f t="shared" si="67"/>
        <v>48.089880699764855</v>
      </c>
      <c r="J538" s="37">
        <v>60.468842965709769</v>
      </c>
      <c r="K538" s="37">
        <f t="shared" ref="K538:K601" si="71">G538*408.88*1.08</f>
        <v>25.658451211981077</v>
      </c>
      <c r="L538" s="37">
        <f t="shared" si="60"/>
        <v>31.277652027404937</v>
      </c>
      <c r="M538" s="45">
        <f t="shared" si="65"/>
        <v>1.8515364252613589E-2</v>
      </c>
    </row>
    <row r="539" spans="1:13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68"/>
        <v>4226.7</v>
      </c>
      <c r="G539" s="221">
        <f t="shared" si="69"/>
        <v>1.7159080349290621E-2</v>
      </c>
      <c r="H539" s="37">
        <f t="shared" si="70"/>
        <v>38.622756231325674</v>
      </c>
      <c r="I539" s="37">
        <f t="shared" si="67"/>
        <v>14.201587466258452</v>
      </c>
      <c r="J539" s="37">
        <v>17.857261233862317</v>
      </c>
      <c r="K539" s="37">
        <f t="shared" si="71"/>
        <v>7.5772851550753852</v>
      </c>
      <c r="L539" s="37">
        <f t="shared" si="60"/>
        <v>9.2367106040368956</v>
      </c>
      <c r="M539" s="45">
        <f t="shared" si="65"/>
        <v>1.8515364252613582E-2</v>
      </c>
    </row>
    <row r="540" spans="1:13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68"/>
        <v>4136.82</v>
      </c>
      <c r="G540" s="221">
        <f t="shared" si="69"/>
        <v>1.6794195653950465E-2</v>
      </c>
      <c r="H540" s="37">
        <f t="shared" si="70"/>
        <v>37.80145040643356</v>
      </c>
      <c r="I540" s="37">
        <f t="shared" si="67"/>
        <v>13.899593314445621</v>
      </c>
      <c r="J540" s="37">
        <v>17.477529850111505</v>
      </c>
      <c r="K540" s="37">
        <f t="shared" si="71"/>
        <v>7.4161555765062479</v>
      </c>
      <c r="L540" s="37">
        <f t="shared" si="60"/>
        <v>9.040293647761116</v>
      </c>
      <c r="M540" s="45">
        <f t="shared" si="65"/>
        <v>1.8515364252613586E-2</v>
      </c>
    </row>
    <row r="541" spans="1:13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68"/>
        <v>7984.78</v>
      </c>
      <c r="G541" s="221">
        <f t="shared" si="69"/>
        <v>3.2415710031799931E-2</v>
      </c>
      <c r="H541" s="37">
        <f t="shared" si="70"/>
        <v>72.963354745017327</v>
      </c>
      <c r="I541" s="37">
        <f t="shared" si="67"/>
        <v>26.828625539742873</v>
      </c>
      <c r="J541" s="37">
        <v>33.734663532997168</v>
      </c>
      <c r="K541" s="37">
        <f t="shared" si="71"/>
        <v>14.314466359226545</v>
      </c>
      <c r="L541" s="37">
        <f t="shared" ref="L541:L604" si="72">K541*1.219</f>
        <v>17.449334491897158</v>
      </c>
      <c r="M541" s="45">
        <f t="shared" si="65"/>
        <v>1.8515364252613589E-2</v>
      </c>
    </row>
    <row r="542" spans="1:13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68"/>
        <v>4209.92</v>
      </c>
      <c r="G542" s="221">
        <f t="shared" si="69"/>
        <v>1.7090958796244251E-2</v>
      </c>
      <c r="H542" s="37">
        <f t="shared" si="70"/>
        <v>38.469423879949524</v>
      </c>
      <c r="I542" s="37">
        <f t="shared" si="67"/>
        <v>14.14520716065744</v>
      </c>
      <c r="J542" s="37">
        <v>17.786367902539013</v>
      </c>
      <c r="K542" s="37">
        <f t="shared" si="71"/>
        <v>7.547203331217017</v>
      </c>
      <c r="L542" s="37">
        <f t="shared" si="72"/>
        <v>9.2000408607535444</v>
      </c>
      <c r="M542" s="45">
        <f t="shared" si="65"/>
        <v>1.8515364252613586E-2</v>
      </c>
    </row>
    <row r="543" spans="1:13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68"/>
        <v>8071.9</v>
      </c>
      <c r="G543" s="221">
        <f t="shared" si="69"/>
        <v>3.2769389990167028E-2</v>
      </c>
      <c r="H543" s="37">
        <f t="shared" si="70"/>
        <v>73.759440230827309</v>
      </c>
      <c r="I543" s="37">
        <f t="shared" si="67"/>
        <v>27.121346172875203</v>
      </c>
      <c r="J543" s="37">
        <v>34.102734273455233</v>
      </c>
      <c r="K543" s="37">
        <f t="shared" si="71"/>
        <v>14.470648033513854</v>
      </c>
      <c r="L543" s="37">
        <f t="shared" si="72"/>
        <v>17.63971995285339</v>
      </c>
      <c r="M543" s="45">
        <f t="shared" si="65"/>
        <v>1.8515364252613582E-2</v>
      </c>
    </row>
    <row r="544" spans="1:13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68"/>
        <v>4461.2</v>
      </c>
      <c r="G544" s="221">
        <f t="shared" si="69"/>
        <v>1.8111077023270004E-2</v>
      </c>
      <c r="H544" s="37">
        <f t="shared" si="70"/>
        <v>40.765571272905611</v>
      </c>
      <c r="I544" s="37">
        <f t="shared" si="67"/>
        <v>14.989500557047394</v>
      </c>
      <c r="J544" s="37">
        <v>18.847993426670108</v>
      </c>
      <c r="K544" s="37">
        <f t="shared" si="71"/>
        <v>7.9976777471366107</v>
      </c>
      <c r="L544" s="37">
        <f t="shared" si="72"/>
        <v>9.7491691737595296</v>
      </c>
      <c r="M544" s="45">
        <f t="shared" si="65"/>
        <v>1.8515364252613586E-2</v>
      </c>
    </row>
    <row r="545" spans="1:13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68"/>
        <v>10161.57</v>
      </c>
      <c r="G545" s="221">
        <f t="shared" si="69"/>
        <v>4.1252796769333307E-2</v>
      </c>
      <c r="H545" s="37">
        <f t="shared" si="70"/>
        <v>92.854435147408637</v>
      </c>
      <c r="I545" s="37">
        <f t="shared" si="67"/>
        <v>34.142575803702158</v>
      </c>
      <c r="J545" s="37">
        <v>42.931319950831217</v>
      </c>
      <c r="K545" s="37">
        <f t="shared" si="71"/>
        <v>18.216839026488604</v>
      </c>
      <c r="L545" s="37">
        <f t="shared" si="72"/>
        <v>22.206326773289611</v>
      </c>
      <c r="M545" s="45">
        <f t="shared" si="65"/>
        <v>1.8515364252613586E-2</v>
      </c>
    </row>
    <row r="546" spans="1:13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68"/>
        <v>7889.76</v>
      </c>
      <c r="G546" s="221">
        <f t="shared" si="69"/>
        <v>3.2029958543691103E-2</v>
      </c>
      <c r="H546" s="37">
        <f t="shared" si="70"/>
        <v>72.095080607486736</v>
      </c>
      <c r="I546" s="37">
        <f t="shared" si="67"/>
        <v>26.509361139372874</v>
      </c>
      <c r="J546" s="37">
        <v>33.333216313548995</v>
      </c>
      <c r="K546" s="37">
        <f t="shared" si="71"/>
        <v>14.144122205291973</v>
      </c>
      <c r="L546" s="37">
        <f t="shared" si="72"/>
        <v>17.241684968250915</v>
      </c>
      <c r="M546" s="45">
        <f t="shared" si="65"/>
        <v>1.8515364252613586E-2</v>
      </c>
    </row>
    <row r="547" spans="1:13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68"/>
        <v>7084.55</v>
      </c>
      <c r="G547" s="221">
        <f t="shared" si="69"/>
        <v>2.876105772554638E-2</v>
      </c>
      <c r="H547" s="37">
        <f t="shared" si="70"/>
        <v>64.737229436354227</v>
      </c>
      <c r="I547" s="37">
        <f t="shared" si="67"/>
        <v>23.803879263747451</v>
      </c>
      <c r="J547" s="37">
        <v>29.931308130304792</v>
      </c>
      <c r="K547" s="37">
        <f t="shared" si="71"/>
        <v>12.700606985447118</v>
      </c>
      <c r="L547" s="37">
        <f t="shared" si="72"/>
        <v>15.482039915260039</v>
      </c>
      <c r="M547" s="45">
        <f t="shared" si="65"/>
        <v>1.8515364252613586E-2</v>
      </c>
    </row>
    <row r="548" spans="1:13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68"/>
        <v>4792.88</v>
      </c>
      <c r="G548" s="221">
        <f t="shared" si="69"/>
        <v>1.9457594109945828E-2</v>
      </c>
      <c r="H548" s="37">
        <f t="shared" si="70"/>
        <v>43.796398108689097</v>
      </c>
      <c r="I548" s="37">
        <f t="shared" si="67"/>
        <v>16.103935584564983</v>
      </c>
      <c r="J548" s="37">
        <v>20.249298559763886</v>
      </c>
      <c r="K548" s="37">
        <f t="shared" si="71"/>
        <v>8.5922867660486233</v>
      </c>
      <c r="L548" s="37">
        <f t="shared" si="72"/>
        <v>10.473997567813273</v>
      </c>
      <c r="M548" s="45">
        <f t="shared" si="65"/>
        <v>1.8515364252613582E-2</v>
      </c>
    </row>
    <row r="549" spans="1:13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68"/>
        <v>4816.47</v>
      </c>
      <c r="G549" s="221">
        <f t="shared" si="69"/>
        <v>1.9553362133567041E-2</v>
      </c>
      <c r="H549" s="37">
        <f t="shared" si="70"/>
        <v>44.011958905409237</v>
      </c>
      <c r="I549" s="37">
        <f t="shared" si="67"/>
        <v>16.183197289518979</v>
      </c>
      <c r="J549" s="37">
        <v>20.348963260950821</v>
      </c>
      <c r="K549" s="37">
        <f t="shared" si="71"/>
        <v>8.6345770059067242</v>
      </c>
      <c r="L549" s="37">
        <f t="shared" si="72"/>
        <v>10.525549370200297</v>
      </c>
      <c r="M549" s="45">
        <f t="shared" si="65"/>
        <v>1.8515364252613586E-2</v>
      </c>
    </row>
    <row r="550" spans="1:13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68"/>
        <v>5818.22</v>
      </c>
      <c r="G550" s="221">
        <f t="shared" si="69"/>
        <v>2.3620153895438447E-2</v>
      </c>
      <c r="H550" s="37">
        <f t="shared" si="70"/>
        <v>53.165754077702168</v>
      </c>
      <c r="I550" s="37">
        <f t="shared" si="67"/>
        <v>19.54904777437109</v>
      </c>
      <c r="J550" s="37">
        <v>24.581227543019949</v>
      </c>
      <c r="K550" s="37">
        <f t="shared" si="71"/>
        <v>10.430433206748223</v>
      </c>
      <c r="L550" s="37">
        <f t="shared" si="72"/>
        <v>12.714698079026084</v>
      </c>
      <c r="M550" s="45">
        <f t="shared" si="65"/>
        <v>1.8515364252613589E-2</v>
      </c>
    </row>
    <row r="551" spans="1:13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68"/>
        <v>16414.989999999998</v>
      </c>
      <c r="G551" s="221">
        <f t="shared" si="69"/>
        <v>6.6639726581683587E-2</v>
      </c>
      <c r="H551" s="37">
        <f t="shared" si="70"/>
        <v>149.99696153255465</v>
      </c>
      <c r="I551" s="37">
        <f t="shared" si="67"/>
        <v>55.15388275552035</v>
      </c>
      <c r="J551" s="37">
        <v>69.351211247838151</v>
      </c>
      <c r="K551" s="37">
        <f t="shared" si="71"/>
        <v>29.427463517096289</v>
      </c>
      <c r="L551" s="37">
        <f t="shared" si="72"/>
        <v>35.872078027340379</v>
      </c>
      <c r="M551" s="45">
        <f t="shared" si="65"/>
        <v>1.8515364252613586E-2</v>
      </c>
    </row>
    <row r="552" spans="1:13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68"/>
        <v>14876.619999999999</v>
      </c>
      <c r="G552" s="221">
        <f t="shared" si="69"/>
        <v>6.0394425416013399E-2</v>
      </c>
      <c r="H552" s="37">
        <f t="shared" si="70"/>
        <v>135.93963796958957</v>
      </c>
      <c r="I552" s="37">
        <f t="shared" si="67"/>
        <v>49.985004881418085</v>
      </c>
      <c r="J552" s="37">
        <v>62.851796819481102</v>
      </c>
      <c r="K552" s="37">
        <f t="shared" si="71"/>
        <v>26.669598477227524</v>
      </c>
      <c r="L552" s="37">
        <f t="shared" si="72"/>
        <v>32.510240543740352</v>
      </c>
      <c r="M552" s="45">
        <f t="shared" si="65"/>
        <v>1.8515364252613586E-2</v>
      </c>
    </row>
    <row r="553" spans="1:13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>
        <f t="shared" si="68"/>
        <v>351.06</v>
      </c>
      <c r="G553" s="221">
        <f t="shared" si="69"/>
        <v>1.4251938267258062E-3</v>
      </c>
      <c r="H553" s="37">
        <f t="shared" si="70"/>
        <v>3.2079174775993553</v>
      </c>
      <c r="I553" s="37">
        <f t="shared" si="67"/>
        <v>1.1795512565132831</v>
      </c>
      <c r="J553" s="37">
        <v>1.4831831283885075</v>
      </c>
      <c r="K553" s="37">
        <f t="shared" si="71"/>
        <v>0.62935191202137952</v>
      </c>
      <c r="L553" s="37">
        <f t="shared" si="72"/>
        <v>0.76717998075406169</v>
      </c>
      <c r="M553" s="45">
        <f t="shared" si="65"/>
        <v>1.8515364252613586E-2</v>
      </c>
    </row>
    <row r="554" spans="1:13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>
        <f t="shared" si="68"/>
        <v>377.1</v>
      </c>
      <c r="G554" s="221">
        <f t="shared" si="69"/>
        <v>1.5309080842542632E-3</v>
      </c>
      <c r="H554" s="37">
        <f t="shared" si="70"/>
        <v>3.445865894156888</v>
      </c>
      <c r="I554" s="37">
        <f t="shared" si="67"/>
        <v>1.2670448892814878</v>
      </c>
      <c r="J554" s="37">
        <v>1.5931987629331346</v>
      </c>
      <c r="K554" s="37">
        <f t="shared" si="71"/>
        <v>0.67603431328907382</v>
      </c>
      <c r="L554" s="37">
        <f t="shared" si="72"/>
        <v>0.82408582789938101</v>
      </c>
      <c r="M554" s="45">
        <f t="shared" si="65"/>
        <v>1.8515364252613589E-2</v>
      </c>
    </row>
    <row r="555" spans="1:13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>
        <f t="shared" si="68"/>
        <v>82.9</v>
      </c>
      <c r="G555" s="221">
        <f t="shared" si="69"/>
        <v>3.3654807792277489E-4</v>
      </c>
      <c r="H555" s="37">
        <f t="shared" si="70"/>
        <v>0.75752395286556884</v>
      </c>
      <c r="I555" s="37">
        <f t="shared" si="67"/>
        <v>0.27854155746866971</v>
      </c>
      <c r="J555" s="37">
        <v>0.35024178585827859</v>
      </c>
      <c r="K555" s="37">
        <f t="shared" si="71"/>
        <v>0.14861640034914936</v>
      </c>
      <c r="L555" s="37">
        <f t="shared" si="72"/>
        <v>0.18116339202561307</v>
      </c>
      <c r="M555" s="45">
        <f t="shared" si="65"/>
        <v>1.8515364252613589E-2</v>
      </c>
    </row>
    <row r="556" spans="1:13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>
        <f t="shared" si="68"/>
        <v>56.1</v>
      </c>
      <c r="G556" s="221">
        <f t="shared" si="69"/>
        <v>2.2774845803941703E-4</v>
      </c>
      <c r="H556" s="37">
        <f t="shared" si="70"/>
        <v>0.51263080525643445</v>
      </c>
      <c r="I556" s="37">
        <f t="shared" si="67"/>
        <v>0.18849434709279095</v>
      </c>
      <c r="J556" s="37">
        <v>0.23701524953738759</v>
      </c>
      <c r="K556" s="37">
        <f t="shared" si="71"/>
        <v>0.10057153268500939</v>
      </c>
      <c r="L556" s="37">
        <f t="shared" si="72"/>
        <v>0.12259669834302646</v>
      </c>
      <c r="M556" s="45">
        <f t="shared" si="65"/>
        <v>1.8515364252613589E-2</v>
      </c>
    </row>
    <row r="557" spans="1:13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>
        <f t="shared" si="68"/>
        <v>87</v>
      </c>
      <c r="G557" s="221">
        <f t="shared" si="69"/>
        <v>3.53192795890005E-4</v>
      </c>
      <c r="H557" s="37">
        <f t="shared" si="70"/>
        <v>0.79498894932816022</v>
      </c>
      <c r="I557" s="37">
        <f t="shared" si="67"/>
        <v>0.29231743666796456</v>
      </c>
      <c r="J557" s="37">
        <v>0.36756375596707164</v>
      </c>
      <c r="K557" s="37">
        <f t="shared" si="71"/>
        <v>0.15596654801418566</v>
      </c>
      <c r="L557" s="37">
        <f t="shared" si="72"/>
        <v>0.19012322202929233</v>
      </c>
      <c r="M557" s="45">
        <f t="shared" si="65"/>
        <v>1.8515364252613589E-2</v>
      </c>
    </row>
    <row r="558" spans="1:13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 t="shared" si="68"/>
        <v>4409.5</v>
      </c>
      <c r="G558" s="221">
        <f t="shared" si="69"/>
        <v>1.7901191189390542E-2</v>
      </c>
      <c r="H558" s="37">
        <f t="shared" si="70"/>
        <v>40.293146805316354</v>
      </c>
      <c r="I558" s="37">
        <f t="shared" si="67"/>
        <v>14.815790080314825</v>
      </c>
      <c r="J558" s="37">
        <v>18.629567608468992</v>
      </c>
      <c r="K558" s="37">
        <f t="shared" si="71"/>
        <v>7.9049941777994448</v>
      </c>
      <c r="L558" s="37">
        <f t="shared" si="72"/>
        <v>9.6361879027375235</v>
      </c>
      <c r="M558" s="45">
        <f t="shared" si="65"/>
        <v>1.8515364252613586E-2</v>
      </c>
    </row>
    <row r="559" spans="1:13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>
        <f t="shared" si="68"/>
        <v>354.7</v>
      </c>
      <c r="G559" s="221">
        <f t="shared" si="69"/>
        <v>1.4399710885308595E-3</v>
      </c>
      <c r="H559" s="37">
        <f t="shared" si="70"/>
        <v>3.2411790842149242</v>
      </c>
      <c r="I559" s="37">
        <f t="shared" si="67"/>
        <v>1.1917815492658277</v>
      </c>
      <c r="J559" s="37">
        <v>1.498561657948509</v>
      </c>
      <c r="K559" s="37">
        <f t="shared" si="71"/>
        <v>0.63587740897277767</v>
      </c>
      <c r="L559" s="37">
        <f t="shared" si="72"/>
        <v>0.77513456153781601</v>
      </c>
      <c r="M559" s="45">
        <f t="shared" si="65"/>
        <v>1.8515364252613586E-2</v>
      </c>
    </row>
    <row r="560" spans="1:13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>
        <f t="shared" si="68"/>
        <v>352.4</v>
      </c>
      <c r="G560" s="221">
        <f t="shared" si="69"/>
        <v>1.4306338077199742E-3</v>
      </c>
      <c r="H560" s="37">
        <f t="shared" si="70"/>
        <v>3.220162134979812</v>
      </c>
      <c r="I560" s="37">
        <f t="shared" si="67"/>
        <v>1.184053617032077</v>
      </c>
      <c r="J560" s="37">
        <v>1.4888444552045521</v>
      </c>
      <c r="K560" s="37">
        <f t="shared" si="71"/>
        <v>0.63175415540458657</v>
      </c>
      <c r="L560" s="37">
        <f t="shared" si="72"/>
        <v>0.77010831543819103</v>
      </c>
      <c r="M560" s="45">
        <f t="shared" si="65"/>
        <v>1.8515364252613586E-2</v>
      </c>
    </row>
    <row r="561" spans="1:13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>
        <f t="shared" si="68"/>
        <v>216.7</v>
      </c>
      <c r="G561" s="221">
        <f t="shared" si="69"/>
        <v>8.7973423987774805E-4</v>
      </c>
      <c r="H561" s="37">
        <f t="shared" si="70"/>
        <v>1.9801621301081875</v>
      </c>
      <c r="I561" s="37">
        <f t="shared" si="67"/>
        <v>0.72810561524078066</v>
      </c>
      <c r="J561" s="37">
        <v>0.91552949331108524</v>
      </c>
      <c r="K561" s="37">
        <f t="shared" si="71"/>
        <v>0.38848219488131075</v>
      </c>
      <c r="L561" s="37">
        <f t="shared" si="72"/>
        <v>0.47355979556031785</v>
      </c>
      <c r="M561" s="45">
        <f t="shared" si="65"/>
        <v>1.8515364252613586E-2</v>
      </c>
    </row>
    <row r="562" spans="1:13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>
        <f t="shared" si="68"/>
        <v>42.7</v>
      </c>
      <c r="G562" s="221">
        <f t="shared" si="69"/>
        <v>1.7334864809773808E-4</v>
      </c>
      <c r="H562" s="37">
        <f t="shared" si="70"/>
        <v>0.39018423145186715</v>
      </c>
      <c r="I562" s="37">
        <f t="shared" si="67"/>
        <v>0.14347074190485157</v>
      </c>
      <c r="J562" s="37">
        <v>0.18040198137694205</v>
      </c>
      <c r="K562" s="37">
        <f t="shared" si="71"/>
        <v>7.654909885293941E-2</v>
      </c>
      <c r="L562" s="37">
        <f t="shared" si="72"/>
        <v>9.3313351501733144E-2</v>
      </c>
      <c r="M562" s="45">
        <f t="shared" si="65"/>
        <v>1.8515364252613586E-2</v>
      </c>
    </row>
    <row r="563" spans="1:13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>
        <f t="shared" si="68"/>
        <v>79.7</v>
      </c>
      <c r="G563" s="221">
        <f t="shared" si="69"/>
        <v>3.2355707853371721E-4</v>
      </c>
      <c r="H563" s="37">
        <f t="shared" si="70"/>
        <v>0.72828298001671687</v>
      </c>
      <c r="I563" s="37">
        <f t="shared" si="67"/>
        <v>0.26778965175214681</v>
      </c>
      <c r="J563" s="37">
        <v>0.33672219943190346</v>
      </c>
      <c r="K563" s="37">
        <f t="shared" si="71"/>
        <v>0.14287969973253561</v>
      </c>
      <c r="L563" s="37">
        <f t="shared" si="72"/>
        <v>0.17417035397396094</v>
      </c>
      <c r="M563" s="45">
        <f t="shared" si="65"/>
        <v>1.8515364252613586E-2</v>
      </c>
    </row>
    <row r="564" spans="1:13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>
        <f t="shared" si="68"/>
        <v>23.5</v>
      </c>
      <c r="G564" s="221">
        <f t="shared" si="69"/>
        <v>9.540265176339215E-5</v>
      </c>
      <c r="H564" s="37">
        <f t="shared" si="70"/>
        <v>0.21473839435875589</v>
      </c>
      <c r="I564" s="37">
        <f t="shared" si="67"/>
        <v>7.895930760571454E-2</v>
      </c>
      <c r="J564" s="37">
        <v>9.9284462818691757E-2</v>
      </c>
      <c r="K564" s="37">
        <f t="shared" si="71"/>
        <v>4.2128895153257052E-2</v>
      </c>
      <c r="L564" s="37">
        <f t="shared" si="72"/>
        <v>5.1355123191820354E-2</v>
      </c>
      <c r="M564" s="45">
        <f t="shared" si="65"/>
        <v>1.8515364252613586E-2</v>
      </c>
    </row>
    <row r="565" spans="1:13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>
        <f t="shared" si="68"/>
        <v>29</v>
      </c>
      <c r="G565" s="221">
        <f t="shared" si="69"/>
        <v>1.17730931963335E-4</v>
      </c>
      <c r="H565" s="37">
        <f t="shared" si="70"/>
        <v>0.26499631644272009</v>
      </c>
      <c r="I565" s="37">
        <f t="shared" si="67"/>
        <v>9.7439145555988191E-2</v>
      </c>
      <c r="J565" s="37">
        <v>0.12252125198902386</v>
      </c>
      <c r="K565" s="37">
        <f t="shared" si="71"/>
        <v>5.1988849338061888E-2</v>
      </c>
      <c r="L565" s="37">
        <f t="shared" si="72"/>
        <v>6.3374407343097447E-2</v>
      </c>
      <c r="M565" s="45">
        <f t="shared" si="65"/>
        <v>1.8515364252613586E-2</v>
      </c>
    </row>
    <row r="566" spans="1:13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>
        <f t="shared" si="68"/>
        <v>84.7</v>
      </c>
      <c r="G566" s="221">
        <f t="shared" si="69"/>
        <v>3.4385551507911983E-4</v>
      </c>
      <c r="H566" s="37">
        <f t="shared" si="70"/>
        <v>0.7739720000930479</v>
      </c>
      <c r="I566" s="37">
        <f t="shared" si="67"/>
        <v>0.28458950443421371</v>
      </c>
      <c r="J566" s="37">
        <v>0.35784655322311448</v>
      </c>
      <c r="K566" s="37">
        <f t="shared" si="71"/>
        <v>0.15184329444599456</v>
      </c>
      <c r="L566" s="37">
        <f t="shared" si="72"/>
        <v>0.1850969759296674</v>
      </c>
      <c r="M566" s="45">
        <f t="shared" si="65"/>
        <v>1.8515364252613586E-2</v>
      </c>
    </row>
    <row r="567" spans="1:13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>
        <f t="shared" si="68"/>
        <v>177.23</v>
      </c>
      <c r="G567" s="221">
        <f t="shared" si="69"/>
        <v>7.1949838178834004E-4</v>
      </c>
      <c r="H567" s="37">
        <f t="shared" si="70"/>
        <v>1.6194930056256305</v>
      </c>
      <c r="I567" s="37">
        <f t="shared" si="67"/>
        <v>0.59548757816854436</v>
      </c>
      <c r="J567" s="37">
        <v>0.74877384448326534</v>
      </c>
      <c r="K567" s="37">
        <f t="shared" si="71"/>
        <v>0.3177235782132658</v>
      </c>
      <c r="L567" s="37">
        <f t="shared" si="72"/>
        <v>0.38730504184197101</v>
      </c>
      <c r="M567" s="45">
        <f t="shared" si="65"/>
        <v>1.8515364252613589E-2</v>
      </c>
    </row>
    <row r="568" spans="1:13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>
        <f t="shared" si="68"/>
        <v>108.36</v>
      </c>
      <c r="G568" s="221">
        <f t="shared" si="69"/>
        <v>4.3990771681196483E-4</v>
      </c>
      <c r="H568" s="37">
        <f t="shared" si="70"/>
        <v>0.99017244309424646</v>
      </c>
      <c r="I568" s="37">
        <f t="shared" si="67"/>
        <v>0.36408640732575442</v>
      </c>
      <c r="J568" s="37">
        <v>0.45780699536312502</v>
      </c>
      <c r="K568" s="37">
        <f t="shared" si="71"/>
        <v>0.19425902463008229</v>
      </c>
      <c r="L568" s="37">
        <f t="shared" si="72"/>
        <v>0.23680175102407033</v>
      </c>
      <c r="M568" s="45">
        <f t="shared" si="65"/>
        <v>1.8515364252613589E-2</v>
      </c>
    </row>
    <row r="569" spans="1:13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>
        <f t="shared" si="68"/>
        <v>76.2</v>
      </c>
      <c r="G569" s="221">
        <f t="shared" si="69"/>
        <v>3.0934817295193541E-4</v>
      </c>
      <c r="H569" s="37">
        <f t="shared" si="70"/>
        <v>0.6963006659632851</v>
      </c>
      <c r="I569" s="37">
        <f t="shared" si="67"/>
        <v>0.25602975487469998</v>
      </c>
      <c r="J569" s="37">
        <v>0.32193515177805587</v>
      </c>
      <c r="K569" s="37">
        <f t="shared" si="71"/>
        <v>0.13660518343311434</v>
      </c>
      <c r="L569" s="37">
        <f t="shared" si="72"/>
        <v>0.1665217186049664</v>
      </c>
      <c r="M569" s="45">
        <f t="shared" si="65"/>
        <v>1.8515364252613586E-2</v>
      </c>
    </row>
    <row r="570" spans="1:13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>
        <f t="shared" si="68"/>
        <v>98.5</v>
      </c>
      <c r="G570" s="221">
        <f t="shared" si="69"/>
        <v>3.9987919994443092E-4</v>
      </c>
      <c r="H570" s="37">
        <f t="shared" si="70"/>
        <v>0.90007369550372163</v>
      </c>
      <c r="I570" s="37">
        <f t="shared" si="67"/>
        <v>0.33095709783671845</v>
      </c>
      <c r="J570" s="37">
        <v>0.41614976968685691</v>
      </c>
      <c r="K570" s="37">
        <f t="shared" si="71"/>
        <v>0.17658281585514124</v>
      </c>
      <c r="L570" s="37">
        <f t="shared" si="72"/>
        <v>0.21525445252741718</v>
      </c>
      <c r="M570" s="45">
        <f t="shared" si="65"/>
        <v>1.8515364252613586E-2</v>
      </c>
    </row>
    <row r="571" spans="1:13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>
        <f t="shared" si="68"/>
        <v>93.4</v>
      </c>
      <c r="G571" s="221">
        <f t="shared" si="69"/>
        <v>3.7917479466812034E-4</v>
      </c>
      <c r="H571" s="37">
        <f t="shared" si="70"/>
        <v>0.85347089502586404</v>
      </c>
      <c r="I571" s="37">
        <f t="shared" si="67"/>
        <v>0.31382124810101025</v>
      </c>
      <c r="J571" s="37">
        <v>0.39460292881982179</v>
      </c>
      <c r="K571" s="37">
        <f t="shared" si="71"/>
        <v>0.16743994924741312</v>
      </c>
      <c r="L571" s="37">
        <f t="shared" si="72"/>
        <v>0.20410929813259662</v>
      </c>
      <c r="M571" s="45">
        <f t="shared" si="65"/>
        <v>1.8515364252613589E-2</v>
      </c>
    </row>
    <row r="572" spans="1:13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>
        <f t="shared" si="68"/>
        <v>92.7</v>
      </c>
      <c r="G572" s="221">
        <f t="shared" si="69"/>
        <v>3.7633301355176395E-4</v>
      </c>
      <c r="H572" s="37">
        <f t="shared" si="70"/>
        <v>0.84707443221517753</v>
      </c>
      <c r="I572" s="37">
        <f t="shared" si="67"/>
        <v>0.31146926872552078</v>
      </c>
      <c r="J572" s="37">
        <v>0.39164551928905217</v>
      </c>
      <c r="K572" s="37">
        <f t="shared" si="71"/>
        <v>0.16618504598752887</v>
      </c>
      <c r="L572" s="37">
        <f t="shared" si="72"/>
        <v>0.2025795710587977</v>
      </c>
      <c r="M572" s="45">
        <f t="shared" si="65"/>
        <v>1.8515364252613586E-2</v>
      </c>
    </row>
    <row r="573" spans="1:13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>
        <f t="shared" si="68"/>
        <v>346.6</v>
      </c>
      <c r="G573" s="221">
        <f t="shared" si="69"/>
        <v>1.4070876213273073E-3</v>
      </c>
      <c r="H573" s="37">
        <f t="shared" si="70"/>
        <v>3.1671628716912683</v>
      </c>
      <c r="I573" s="37">
        <f t="shared" si="67"/>
        <v>1.1645657879208795</v>
      </c>
      <c r="J573" s="37">
        <v>1.4643402048067473</v>
      </c>
      <c r="K573" s="37">
        <f t="shared" si="71"/>
        <v>0.62135638553697414</v>
      </c>
      <c r="L573" s="37">
        <f t="shared" si="72"/>
        <v>0.75743343396957152</v>
      </c>
      <c r="M573" s="45">
        <f t="shared" si="65"/>
        <v>1.8515364252613586E-2</v>
      </c>
    </row>
    <row r="574" spans="1:13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>
        <f t="shared" si="68"/>
        <v>195</v>
      </c>
      <c r="G574" s="221">
        <f t="shared" si="69"/>
        <v>7.916390252707008E-4</v>
      </c>
      <c r="H574" s="37">
        <f t="shared" si="70"/>
        <v>1.7818717829769106</v>
      </c>
      <c r="I574" s="37">
        <f t="shared" si="67"/>
        <v>0.65519425460061009</v>
      </c>
      <c r="J574" s="37">
        <v>0.82384979785722956</v>
      </c>
      <c r="K574" s="37">
        <f t="shared" si="71"/>
        <v>0.34958019382489891</v>
      </c>
      <c r="L574" s="37">
        <f t="shared" si="72"/>
        <v>0.42613825627255181</v>
      </c>
      <c r="M574" s="45">
        <f t="shared" si="65"/>
        <v>1.8515364252613586E-2</v>
      </c>
    </row>
    <row r="575" spans="1:13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>
        <f t="shared" si="68"/>
        <v>68.099999999999994</v>
      </c>
      <c r="G575" s="221">
        <f t="shared" si="69"/>
        <v>2.7646470574838321E-4</v>
      </c>
      <c r="H575" s="37">
        <f t="shared" si="70"/>
        <v>0.6222844534396289</v>
      </c>
      <c r="I575" s="37">
        <f t="shared" si="67"/>
        <v>0.22881399352975157</v>
      </c>
      <c r="J575" s="37">
        <v>0.28771369863629398</v>
      </c>
      <c r="K575" s="37">
        <f t="shared" si="71"/>
        <v>0.12208415999731086</v>
      </c>
      <c r="L575" s="37">
        <f t="shared" si="72"/>
        <v>0.14882059103672193</v>
      </c>
      <c r="M575" s="45">
        <f t="shared" si="65"/>
        <v>1.8515364252613589E-2</v>
      </c>
    </row>
    <row r="576" spans="1:13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>
        <f t="shared" si="68"/>
        <v>293.2</v>
      </c>
      <c r="G576" s="221">
        <f t="shared" si="69"/>
        <v>1.1903003190224075E-3</v>
      </c>
      <c r="H576" s="37">
        <f t="shared" si="70"/>
        <v>2.6792041372760527</v>
      </c>
      <c r="I576" s="37">
        <f t="shared" si="67"/>
        <v>0.98514336127640467</v>
      </c>
      <c r="J576" s="37">
        <v>1.2387321063166137</v>
      </c>
      <c r="K576" s="37">
        <f t="shared" si="71"/>
        <v>0.52562519399723262</v>
      </c>
      <c r="L576" s="37">
        <f t="shared" si="72"/>
        <v>0.64073711148262658</v>
      </c>
      <c r="M576" s="45">
        <f t="shared" si="65"/>
        <v>1.8515364252613586E-2</v>
      </c>
    </row>
    <row r="577" spans="1:13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>
        <f t="shared" si="68"/>
        <v>95.9</v>
      </c>
      <c r="G577" s="221">
        <f t="shared" si="69"/>
        <v>3.8932401294082162E-4</v>
      </c>
      <c r="H577" s="37">
        <f t="shared" si="70"/>
        <v>0.8763154050640295</v>
      </c>
      <c r="I577" s="37">
        <f t="shared" si="67"/>
        <v>0.32222117444204368</v>
      </c>
      <c r="J577" s="37">
        <v>0.40516510571542724</v>
      </c>
      <c r="K577" s="37">
        <f t="shared" si="71"/>
        <v>0.17192174660414261</v>
      </c>
      <c r="L577" s="37">
        <f t="shared" si="72"/>
        <v>0.20957260911044986</v>
      </c>
      <c r="M577" s="45">
        <f t="shared" si="65"/>
        <v>1.8515364252613586E-2</v>
      </c>
    </row>
    <row r="578" spans="1:13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 t="shared" si="68"/>
        <v>4501</v>
      </c>
      <c r="G578" s="221">
        <f t="shared" si="69"/>
        <v>1.8272652578171407E-2</v>
      </c>
      <c r="H578" s="37">
        <f t="shared" si="70"/>
        <v>41.129255872713209</v>
      </c>
      <c r="I578" s="37">
        <f t="shared" si="67"/>
        <v>15.123227384396648</v>
      </c>
      <c r="J578" s="37">
        <v>19.016143282848152</v>
      </c>
      <c r="K578" s="37">
        <f t="shared" si="71"/>
        <v>8.0690279610557436</v>
      </c>
      <c r="L578" s="37">
        <f t="shared" si="72"/>
        <v>9.8361450845269527</v>
      </c>
      <c r="M578" s="45">
        <f t="shared" si="65"/>
        <v>1.8515364252613589E-2</v>
      </c>
    </row>
    <row r="579" spans="1:13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>
        <f t="shared" si="68"/>
        <v>195.86</v>
      </c>
      <c r="G579" s="221">
        <f t="shared" si="69"/>
        <v>7.9513035635651018E-4</v>
      </c>
      <c r="H579" s="37">
        <f t="shared" si="70"/>
        <v>1.7897302944300399</v>
      </c>
      <c r="I579" s="37">
        <f t="shared" si="67"/>
        <v>0.65808382926192577</v>
      </c>
      <c r="J579" s="37">
        <v>0.82748318670931786</v>
      </c>
      <c r="K579" s="37">
        <f t="shared" si="71"/>
        <v>0.35112193211561388</v>
      </c>
      <c r="L579" s="37">
        <f t="shared" si="72"/>
        <v>0.42801763524893333</v>
      </c>
      <c r="M579" s="45">
        <f t="shared" si="65"/>
        <v>1.8515364252613589E-2</v>
      </c>
    </row>
    <row r="580" spans="1:13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>
        <f t="shared" si="68"/>
        <v>148</v>
      </c>
      <c r="G580" s="221">
        <f t="shared" si="69"/>
        <v>6.0083372174391653E-4</v>
      </c>
      <c r="H580" s="37">
        <f t="shared" si="70"/>
        <v>1.3523949942593989</v>
      </c>
      <c r="I580" s="37">
        <f t="shared" si="67"/>
        <v>0.49727563938918101</v>
      </c>
      <c r="J580" s="37">
        <v>0.62528087221984585</v>
      </c>
      <c r="K580" s="37">
        <f t="shared" si="71"/>
        <v>0.26532240351838482</v>
      </c>
      <c r="L580" s="37">
        <f t="shared" si="72"/>
        <v>0.32342800988891113</v>
      </c>
      <c r="M580" s="45">
        <f t="shared" si="65"/>
        <v>1.8515364252613586E-2</v>
      </c>
    </row>
    <row r="581" spans="1:13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>
        <f t="shared" si="68"/>
        <v>74.95</v>
      </c>
      <c r="G581" s="221">
        <f t="shared" si="69"/>
        <v>3.0427356381558475E-4</v>
      </c>
      <c r="H581" s="37">
        <f t="shared" si="70"/>
        <v>0.68487841094420232</v>
      </c>
      <c r="I581" s="37">
        <f t="shared" si="67"/>
        <v>0.25182979170418324</v>
      </c>
      <c r="J581" s="37">
        <v>0.31665406333025309</v>
      </c>
      <c r="K581" s="37">
        <f t="shared" si="71"/>
        <v>0.1343642847547496</v>
      </c>
      <c r="L581" s="37">
        <f t="shared" si="72"/>
        <v>0.16379006311603977</v>
      </c>
      <c r="M581" s="45">
        <f t="shared" si="65"/>
        <v>1.8515364252613586E-2</v>
      </c>
    </row>
    <row r="582" spans="1:13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>
        <f t="shared" ref="F582:F638" si="73">C582+D582+E582</f>
        <v>87.3</v>
      </c>
      <c r="G582" s="221">
        <f t="shared" si="69"/>
        <v>3.5441070208272913E-4</v>
      </c>
      <c r="H582" s="37">
        <f t="shared" si="70"/>
        <v>0.79773029053274003</v>
      </c>
      <c r="I582" s="37">
        <f t="shared" ref="I582:I638" si="74">H582*0.3677</f>
        <v>0.29332542782888854</v>
      </c>
      <c r="J582" s="37">
        <v>0.3688312171945442</v>
      </c>
      <c r="K582" s="37">
        <f t="shared" si="71"/>
        <v>0.15650436369699319</v>
      </c>
      <c r="L582" s="37">
        <f t="shared" si="72"/>
        <v>0.19077881934663471</v>
      </c>
      <c r="M582" s="45">
        <f t="shared" si="65"/>
        <v>1.8515364252613586E-2</v>
      </c>
    </row>
    <row r="583" spans="1:13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>
        <f t="shared" si="73"/>
        <v>92.6</v>
      </c>
      <c r="G583" s="221">
        <f t="shared" si="69"/>
        <v>3.7592704482085587E-4</v>
      </c>
      <c r="H583" s="37">
        <f t="shared" si="70"/>
        <v>0.84616065181365097</v>
      </c>
      <c r="I583" s="37">
        <f t="shared" si="74"/>
        <v>0.31113327167187949</v>
      </c>
      <c r="J583" s="37">
        <v>0.39122303221322791</v>
      </c>
      <c r="K583" s="37">
        <f t="shared" si="71"/>
        <v>0.16600577409325967</v>
      </c>
      <c r="L583" s="37">
        <f t="shared" si="72"/>
        <v>0.20236103861968355</v>
      </c>
      <c r="M583" s="45">
        <f t="shared" ref="M583:M646" si="75">(K583+J583+I583+H583)/F583</f>
        <v>1.8515364252613586E-2</v>
      </c>
    </row>
    <row r="584" spans="1:13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>
        <f t="shared" si="73"/>
        <v>110.7</v>
      </c>
      <c r="G584" s="221">
        <f t="shared" si="69"/>
        <v>4.4940738511521324E-4</v>
      </c>
      <c r="H584" s="37">
        <f t="shared" si="70"/>
        <v>1.0115549044899692</v>
      </c>
      <c r="I584" s="37">
        <f t="shared" si="74"/>
        <v>0.37194873838096171</v>
      </c>
      <c r="J584" s="37">
        <v>0.46769319293741185</v>
      </c>
      <c r="K584" s="37">
        <f t="shared" si="71"/>
        <v>0.19845398695598107</v>
      </c>
      <c r="L584" s="37">
        <f t="shared" si="72"/>
        <v>0.24191541009934095</v>
      </c>
      <c r="M584" s="45">
        <f t="shared" si="75"/>
        <v>1.8515364252613586E-2</v>
      </c>
    </row>
    <row r="585" spans="1:13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>
        <f t="shared" si="73"/>
        <v>78.7</v>
      </c>
      <c r="G585" s="221">
        <f t="shared" si="69"/>
        <v>3.1949739122463669E-4</v>
      </c>
      <c r="H585" s="37">
        <f t="shared" si="70"/>
        <v>0.71914517600145067</v>
      </c>
      <c r="I585" s="37">
        <f t="shared" si="74"/>
        <v>0.2644296812157334</v>
      </c>
      <c r="J585" s="37">
        <v>0.33249732867366133</v>
      </c>
      <c r="K585" s="37">
        <f t="shared" si="71"/>
        <v>0.1410869807898438</v>
      </c>
      <c r="L585" s="37">
        <f t="shared" si="72"/>
        <v>0.17198502958281961</v>
      </c>
      <c r="M585" s="45">
        <f t="shared" si="75"/>
        <v>1.8515364252613586E-2</v>
      </c>
    </row>
    <row r="586" spans="1:13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>
        <f t="shared" si="73"/>
        <v>114</v>
      </c>
      <c r="G586" s="221">
        <f t="shared" si="69"/>
        <v>4.6280435323517894E-4</v>
      </c>
      <c r="H586" s="37">
        <f t="shared" si="70"/>
        <v>1.0417096577403477</v>
      </c>
      <c r="I586" s="37">
        <f t="shared" si="74"/>
        <v>0.3830366411511259</v>
      </c>
      <c r="J586" s="37">
        <v>0.48163526643961102</v>
      </c>
      <c r="K586" s="37">
        <f t="shared" si="71"/>
        <v>0.20436995946686398</v>
      </c>
      <c r="L586" s="37">
        <f t="shared" si="72"/>
        <v>0.24912698059010721</v>
      </c>
      <c r="M586" s="45">
        <f t="shared" si="75"/>
        <v>1.8515364252613586E-2</v>
      </c>
    </row>
    <row r="587" spans="1:13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>
        <f t="shared" si="73"/>
        <v>25.1</v>
      </c>
      <c r="G587" s="221">
        <f t="shared" si="69"/>
        <v>1.0189815145792099E-4</v>
      </c>
      <c r="H587" s="37">
        <f t="shared" si="70"/>
        <v>0.22935888078318184</v>
      </c>
      <c r="I587" s="37">
        <f t="shared" si="74"/>
        <v>8.4335260463975964E-2</v>
      </c>
      <c r="J587" s="37">
        <v>0.10604425603187928</v>
      </c>
      <c r="K587" s="37">
        <f t="shared" si="71"/>
        <v>4.499724546156391E-2</v>
      </c>
      <c r="L587" s="37">
        <f t="shared" si="72"/>
        <v>5.4851642217646414E-2</v>
      </c>
      <c r="M587" s="45">
        <f t="shared" si="75"/>
        <v>1.8515364252613582E-2</v>
      </c>
    </row>
    <row r="588" spans="1:13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>
        <f t="shared" si="73"/>
        <v>66.599999999999994</v>
      </c>
      <c r="G588" s="221">
        <f t="shared" si="69"/>
        <v>2.703751747847624E-4</v>
      </c>
      <c r="H588" s="37">
        <f t="shared" si="70"/>
        <v>0.60857774741672954</v>
      </c>
      <c r="I588" s="37">
        <f t="shared" si="74"/>
        <v>0.22377403772513146</v>
      </c>
      <c r="J588" s="37">
        <v>0.28137639249893065</v>
      </c>
      <c r="K588" s="37">
        <f t="shared" si="71"/>
        <v>0.11939508158327314</v>
      </c>
      <c r="L588" s="37">
        <f t="shared" si="72"/>
        <v>0.14554260445000997</v>
      </c>
      <c r="M588" s="45">
        <f t="shared" si="75"/>
        <v>1.8515364252613589E-2</v>
      </c>
    </row>
    <row r="589" spans="1:13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>
        <f t="shared" si="73"/>
        <v>156.4</v>
      </c>
      <c r="G589" s="221">
        <f t="shared" si="69"/>
        <v>6.3493509514019292E-4</v>
      </c>
      <c r="H589" s="37">
        <f t="shared" si="70"/>
        <v>1.429152547987635</v>
      </c>
      <c r="I589" s="37">
        <f t="shared" si="74"/>
        <v>0.52549939189505346</v>
      </c>
      <c r="J589" s="37">
        <v>0.66076978658908037</v>
      </c>
      <c r="K589" s="37">
        <f t="shared" si="71"/>
        <v>0.28038124263699582</v>
      </c>
      <c r="L589" s="37">
        <f t="shared" si="72"/>
        <v>0.34178473477449794</v>
      </c>
      <c r="M589" s="45">
        <f t="shared" si="75"/>
        <v>1.8515364252613582E-2</v>
      </c>
    </row>
    <row r="590" spans="1:13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>
        <f t="shared" si="73"/>
        <v>72.7</v>
      </c>
      <c r="G590" s="221">
        <f t="shared" si="69"/>
        <v>2.9513926737015361E-4</v>
      </c>
      <c r="H590" s="37">
        <f t="shared" si="70"/>
        <v>0.66431835190985344</v>
      </c>
      <c r="I590" s="37">
        <f t="shared" si="74"/>
        <v>0.24426985799725312</v>
      </c>
      <c r="J590" s="37">
        <v>0.30714810412420812</v>
      </c>
      <c r="K590" s="37">
        <f t="shared" si="71"/>
        <v>0.1303306671336931</v>
      </c>
      <c r="L590" s="37">
        <f t="shared" si="72"/>
        <v>0.15887308323597191</v>
      </c>
      <c r="M590" s="45">
        <f t="shared" si="75"/>
        <v>1.8515364252613589E-2</v>
      </c>
    </row>
    <row r="591" spans="1:13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>
        <f t="shared" si="73"/>
        <v>59.6</v>
      </c>
      <c r="G591" s="221">
        <f t="shared" si="69"/>
        <v>2.4195736362119883E-4</v>
      </c>
      <c r="H591" s="37">
        <f t="shared" si="70"/>
        <v>0.54461311930986611</v>
      </c>
      <c r="I591" s="37">
        <f t="shared" si="74"/>
        <v>0.20025424397023778</v>
      </c>
      <c r="J591" s="37">
        <v>0.25180229719123526</v>
      </c>
      <c r="K591" s="37">
        <f t="shared" si="71"/>
        <v>0.10684604898443065</v>
      </c>
      <c r="L591" s="37">
        <f t="shared" si="72"/>
        <v>0.13024533371202096</v>
      </c>
      <c r="M591" s="45">
        <f t="shared" si="75"/>
        <v>1.8515364252613589E-2</v>
      </c>
    </row>
    <row r="592" spans="1:13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>
        <f t="shared" si="73"/>
        <v>176</v>
      </c>
      <c r="G592" s="221">
        <f t="shared" si="69"/>
        <v>7.1450496639817104E-4</v>
      </c>
      <c r="H592" s="37">
        <f t="shared" si="70"/>
        <v>1.6082535066868531</v>
      </c>
      <c r="I592" s="37">
        <f t="shared" si="74"/>
        <v>0.59135481440875592</v>
      </c>
      <c r="J592" s="37">
        <v>0.74357725345062753</v>
      </c>
      <c r="K592" s="37">
        <f t="shared" si="71"/>
        <v>0.31551853391375495</v>
      </c>
      <c r="L592" s="37">
        <f t="shared" si="72"/>
        <v>0.38461709284086731</v>
      </c>
      <c r="M592" s="45">
        <f t="shared" si="75"/>
        <v>1.8515364252613589E-2</v>
      </c>
    </row>
    <row r="593" spans="1:13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>
        <f t="shared" si="73"/>
        <v>149</v>
      </c>
      <c r="G593" s="221">
        <f t="shared" si="69"/>
        <v>6.0489340905299711E-4</v>
      </c>
      <c r="H593" s="37">
        <f t="shared" si="70"/>
        <v>1.3615327982746652</v>
      </c>
      <c r="I593" s="37">
        <f t="shared" si="74"/>
        <v>0.50063560992559442</v>
      </c>
      <c r="J593" s="37">
        <v>0.62950574297808826</v>
      </c>
      <c r="K593" s="37">
        <f t="shared" si="71"/>
        <v>0.2671151224610766</v>
      </c>
      <c r="L593" s="37">
        <f t="shared" si="72"/>
        <v>0.3256133342800524</v>
      </c>
      <c r="M593" s="45">
        <f t="shared" si="75"/>
        <v>1.8515364252613586E-2</v>
      </c>
    </row>
    <row r="594" spans="1:13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>
        <f t="shared" si="73"/>
        <v>224.8</v>
      </c>
      <c r="G594" s="221">
        <f t="shared" si="69"/>
        <v>9.1261770708130031E-4</v>
      </c>
      <c r="H594" s="37">
        <f t="shared" si="70"/>
        <v>2.0541783426318441</v>
      </c>
      <c r="I594" s="37">
        <f t="shared" si="74"/>
        <v>0.75532137658572907</v>
      </c>
      <c r="J594" s="37">
        <v>0.94975094645284708</v>
      </c>
      <c r="K594" s="37">
        <f t="shared" si="71"/>
        <v>0.40300321831711422</v>
      </c>
      <c r="L594" s="37">
        <f t="shared" si="72"/>
        <v>0.49126092312856229</v>
      </c>
      <c r="M594" s="45">
        <f t="shared" si="75"/>
        <v>1.8515364252613586E-2</v>
      </c>
    </row>
    <row r="595" spans="1:13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>
        <f t="shared" si="73"/>
        <v>243.4</v>
      </c>
      <c r="G595" s="221">
        <f t="shared" si="69"/>
        <v>9.8812789103019786E-4</v>
      </c>
      <c r="H595" s="37">
        <f t="shared" si="70"/>
        <v>2.2241414973157951</v>
      </c>
      <c r="I595" s="37">
        <f t="shared" si="74"/>
        <v>0.81781682856301796</v>
      </c>
      <c r="J595" s="37">
        <v>1.0283335425561519</v>
      </c>
      <c r="K595" s="37">
        <f t="shared" si="71"/>
        <v>0.43634779065118146</v>
      </c>
      <c r="L595" s="37">
        <f t="shared" si="72"/>
        <v>0.53190795680379022</v>
      </c>
      <c r="M595" s="45">
        <f t="shared" si="75"/>
        <v>1.8515364252613582E-2</v>
      </c>
    </row>
    <row r="596" spans="1:13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>
        <f t="shared" si="73"/>
        <v>169.9</v>
      </c>
      <c r="G596" s="221">
        <f t="shared" si="69"/>
        <v>6.8974087381277983E-4</v>
      </c>
      <c r="H596" s="37">
        <f t="shared" si="70"/>
        <v>1.5525129021937287</v>
      </c>
      <c r="I596" s="37">
        <f t="shared" si="74"/>
        <v>0.5708589941366341</v>
      </c>
      <c r="J596" s="37">
        <v>0.71780554182535028</v>
      </c>
      <c r="K596" s="37">
        <f t="shared" si="71"/>
        <v>0.30458294836333494</v>
      </c>
      <c r="L596" s="37">
        <f t="shared" si="72"/>
        <v>0.37128661405490532</v>
      </c>
      <c r="M596" s="45">
        <f t="shared" si="75"/>
        <v>1.8515364252613582E-2</v>
      </c>
    </row>
    <row r="597" spans="1:13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>
        <f t="shared" si="73"/>
        <v>377.1</v>
      </c>
      <c r="G597" s="221">
        <f t="shared" si="69"/>
        <v>1.5309080842542632E-3</v>
      </c>
      <c r="H597" s="37">
        <f t="shared" si="70"/>
        <v>3.445865894156888</v>
      </c>
      <c r="I597" s="37">
        <f t="shared" si="74"/>
        <v>1.2670448892814878</v>
      </c>
      <c r="J597" s="37">
        <v>1.5931987629331346</v>
      </c>
      <c r="K597" s="37">
        <f t="shared" si="71"/>
        <v>0.67603431328907382</v>
      </c>
      <c r="L597" s="37">
        <f t="shared" si="72"/>
        <v>0.82408582789938101</v>
      </c>
      <c r="M597" s="45">
        <f t="shared" si="75"/>
        <v>1.8515364252613589E-2</v>
      </c>
    </row>
    <row r="598" spans="1:13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>
        <f t="shared" si="73"/>
        <v>87.1</v>
      </c>
      <c r="G598" s="221">
        <f t="shared" si="69"/>
        <v>3.5359876462091302E-4</v>
      </c>
      <c r="H598" s="37">
        <f t="shared" si="70"/>
        <v>0.79590272972968668</v>
      </c>
      <c r="I598" s="37">
        <f t="shared" si="74"/>
        <v>0.29265343372160579</v>
      </c>
      <c r="J598" s="37">
        <v>0.36798624304289579</v>
      </c>
      <c r="K598" s="37">
        <f t="shared" si="71"/>
        <v>0.15614581990845486</v>
      </c>
      <c r="L598" s="37">
        <f t="shared" si="72"/>
        <v>0.19034175446840648</v>
      </c>
      <c r="M598" s="45">
        <f t="shared" si="75"/>
        <v>1.8515364252613586E-2</v>
      </c>
    </row>
    <row r="599" spans="1:13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>
        <f t="shared" si="73"/>
        <v>348.2</v>
      </c>
      <c r="G599" s="221">
        <f t="shared" si="69"/>
        <v>1.4135831210218359E-3</v>
      </c>
      <c r="H599" s="37">
        <f t="shared" si="70"/>
        <v>3.1817833581156942</v>
      </c>
      <c r="I599" s="37">
        <f t="shared" si="74"/>
        <v>1.1699417407791408</v>
      </c>
      <c r="J599" s="37">
        <v>1.4710999980199346</v>
      </c>
      <c r="K599" s="37">
        <f t="shared" si="71"/>
        <v>0.62422473584528093</v>
      </c>
      <c r="L599" s="37">
        <f t="shared" si="72"/>
        <v>0.76092995299539756</v>
      </c>
      <c r="M599" s="45">
        <f t="shared" si="75"/>
        <v>1.8515364252613589E-2</v>
      </c>
    </row>
    <row r="600" spans="1:13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>
        <f t="shared" si="73"/>
        <v>227.7</v>
      </c>
      <c r="G600" s="221">
        <f t="shared" si="69"/>
        <v>9.2439080027763374E-4</v>
      </c>
      <c r="H600" s="37">
        <f t="shared" si="70"/>
        <v>2.0806779742761154</v>
      </c>
      <c r="I600" s="37">
        <f t="shared" si="74"/>
        <v>0.76506529114132771</v>
      </c>
      <c r="J600" s="37">
        <v>0.96200307165174936</v>
      </c>
      <c r="K600" s="37">
        <f t="shared" si="71"/>
        <v>0.40820210325092043</v>
      </c>
      <c r="L600" s="37">
        <f t="shared" si="72"/>
        <v>0.49759836386287204</v>
      </c>
      <c r="M600" s="45">
        <f t="shared" si="75"/>
        <v>1.8515364252613582E-2</v>
      </c>
    </row>
    <row r="601" spans="1:13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>
        <f t="shared" si="73"/>
        <v>409.2</v>
      </c>
      <c r="G601" s="221">
        <f t="shared" ref="G601:G664" si="76">1/246324.39*F601</f>
        <v>1.6612240468757476E-3</v>
      </c>
      <c r="H601" s="37">
        <f t="shared" ref="H601:H664" si="77">G601*1218*1.54*1.2</f>
        <v>3.7391894030469324</v>
      </c>
      <c r="I601" s="37">
        <f t="shared" si="74"/>
        <v>1.374899943500357</v>
      </c>
      <c r="J601" s="37">
        <v>1.7288171142727096</v>
      </c>
      <c r="K601" s="37">
        <f t="shared" si="71"/>
        <v>0.73358059134948028</v>
      </c>
      <c r="L601" s="37">
        <f t="shared" si="72"/>
        <v>0.89423474085501653</v>
      </c>
      <c r="M601" s="45">
        <f t="shared" si="75"/>
        <v>1.8515364252613586E-2</v>
      </c>
    </row>
    <row r="602" spans="1:13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>
        <f t="shared" si="73"/>
        <v>177.6</v>
      </c>
      <c r="G602" s="221">
        <f t="shared" si="76"/>
        <v>7.2100046609269977E-4</v>
      </c>
      <c r="H602" s="37">
        <f t="shared" si="77"/>
        <v>1.6228739931112786</v>
      </c>
      <c r="I602" s="37">
        <f t="shared" si="74"/>
        <v>0.59673076726701713</v>
      </c>
      <c r="J602" s="37">
        <v>0.75033704666381518</v>
      </c>
      <c r="K602" s="37">
        <f t="shared" ref="K602:K665" si="78">G602*408.88*1.08</f>
        <v>0.31838688422206174</v>
      </c>
      <c r="L602" s="37">
        <f t="shared" si="72"/>
        <v>0.3881136118666933</v>
      </c>
      <c r="M602" s="45">
        <f t="shared" si="75"/>
        <v>1.8515364252613586E-2</v>
      </c>
    </row>
    <row r="603" spans="1:13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>
        <f t="shared" si="73"/>
        <v>383.9</v>
      </c>
      <c r="G603" s="221">
        <f t="shared" si="76"/>
        <v>1.5585139579560104E-3</v>
      </c>
      <c r="H603" s="37">
        <f t="shared" si="77"/>
        <v>3.5080029614606976</v>
      </c>
      <c r="I603" s="37">
        <f t="shared" si="74"/>
        <v>1.2898926889290987</v>
      </c>
      <c r="J603" s="37">
        <v>1.6219278840891811</v>
      </c>
      <c r="K603" s="37">
        <f t="shared" si="78"/>
        <v>0.68822480209937786</v>
      </c>
      <c r="L603" s="37">
        <f t="shared" si="72"/>
        <v>0.83894603375914167</v>
      </c>
      <c r="M603" s="45">
        <f t="shared" si="75"/>
        <v>1.8515364252613586E-2</v>
      </c>
    </row>
    <row r="604" spans="1:13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>
        <f t="shared" si="73"/>
        <v>123.2</v>
      </c>
      <c r="G604" s="221">
        <f t="shared" si="76"/>
        <v>5.0015347647871969E-4</v>
      </c>
      <c r="H604" s="37">
        <f t="shared" si="77"/>
        <v>1.125777454680797</v>
      </c>
      <c r="I604" s="37">
        <f t="shared" si="74"/>
        <v>0.41394837008612911</v>
      </c>
      <c r="J604" s="37">
        <v>0.52050407741543925</v>
      </c>
      <c r="K604" s="37">
        <f t="shared" si="78"/>
        <v>0.22086297373962843</v>
      </c>
      <c r="L604" s="37">
        <f t="shared" si="72"/>
        <v>0.26923196498860708</v>
      </c>
      <c r="M604" s="45">
        <f t="shared" si="75"/>
        <v>1.8515364252613586E-2</v>
      </c>
    </row>
    <row r="605" spans="1:13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>
        <f t="shared" si="73"/>
        <v>423.7</v>
      </c>
      <c r="G605" s="221">
        <f t="shared" si="76"/>
        <v>1.7200895128574151E-3</v>
      </c>
      <c r="H605" s="37">
        <f t="shared" si="77"/>
        <v>3.8716875612682928</v>
      </c>
      <c r="I605" s="37">
        <f t="shared" si="74"/>
        <v>1.4236195162783514</v>
      </c>
      <c r="J605" s="37">
        <v>1.7900777402672212</v>
      </c>
      <c r="K605" s="37">
        <f t="shared" si="78"/>
        <v>0.75957501601851107</v>
      </c>
      <c r="L605" s="37">
        <f t="shared" ref="L605:L668" si="79">K605*1.219</f>
        <v>0.92592194452656507</v>
      </c>
      <c r="M605" s="45">
        <f t="shared" si="75"/>
        <v>1.8515364252613586E-2</v>
      </c>
    </row>
    <row r="606" spans="1:13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>
        <f t="shared" si="73"/>
        <v>138.80000000000001</v>
      </c>
      <c r="G606" s="221">
        <f t="shared" si="76"/>
        <v>5.6348459850037583E-4</v>
      </c>
      <c r="H606" s="37">
        <f t="shared" si="77"/>
        <v>1.2683271973189501</v>
      </c>
      <c r="I606" s="37">
        <f t="shared" si="74"/>
        <v>0.46636391045417797</v>
      </c>
      <c r="J606" s="37">
        <v>0.58641206124401768</v>
      </c>
      <c r="K606" s="37">
        <f t="shared" si="78"/>
        <v>0.2488293892456204</v>
      </c>
      <c r="L606" s="37">
        <f t="shared" si="79"/>
        <v>0.30332302549041129</v>
      </c>
      <c r="M606" s="45">
        <f t="shared" si="75"/>
        <v>1.8515364252613589E-2</v>
      </c>
    </row>
    <row r="607" spans="1:13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>
        <f t="shared" si="73"/>
        <v>341.6</v>
      </c>
      <c r="G607" s="221">
        <f t="shared" si="76"/>
        <v>1.3867891847819047E-3</v>
      </c>
      <c r="H607" s="37">
        <f t="shared" si="77"/>
        <v>3.1214738516149372</v>
      </c>
      <c r="I607" s="37">
        <f t="shared" si="74"/>
        <v>1.1477659352388125</v>
      </c>
      <c r="J607" s="37">
        <v>1.4432158510155364</v>
      </c>
      <c r="K607" s="37">
        <f t="shared" si="78"/>
        <v>0.61239279082351528</v>
      </c>
      <c r="L607" s="37">
        <f t="shared" si="79"/>
        <v>0.74650681201386515</v>
      </c>
      <c r="M607" s="45">
        <f t="shared" si="75"/>
        <v>1.8515364252613586E-2</v>
      </c>
    </row>
    <row r="608" spans="1:13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>
        <f t="shared" si="73"/>
        <v>353.3</v>
      </c>
      <c r="G608" s="221">
        <f t="shared" si="76"/>
        <v>1.4342875262981468E-3</v>
      </c>
      <c r="H608" s="37">
        <f t="shared" si="77"/>
        <v>3.228386158593552</v>
      </c>
      <c r="I608" s="37">
        <f t="shared" si="74"/>
        <v>1.1870775905148492</v>
      </c>
      <c r="J608" s="37">
        <v>1.49264683888697</v>
      </c>
      <c r="K608" s="37">
        <f t="shared" si="78"/>
        <v>0.63336760245300916</v>
      </c>
      <c r="L608" s="37">
        <f t="shared" si="79"/>
        <v>0.77207510739021823</v>
      </c>
      <c r="M608" s="45">
        <f t="shared" si="75"/>
        <v>1.8515364252613586E-2</v>
      </c>
    </row>
    <row r="609" spans="1:13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>
        <f t="shared" si="73"/>
        <v>354.5</v>
      </c>
      <c r="G609" s="221">
        <f t="shared" si="76"/>
        <v>1.4391591510690433E-3</v>
      </c>
      <c r="H609" s="37">
        <f t="shared" si="77"/>
        <v>3.2393515234118713</v>
      </c>
      <c r="I609" s="37">
        <f t="shared" si="74"/>
        <v>1.1911095551585451</v>
      </c>
      <c r="J609" s="37">
        <v>1.4977166837968603</v>
      </c>
      <c r="K609" s="37">
        <f t="shared" si="78"/>
        <v>0.63551886518423939</v>
      </c>
      <c r="L609" s="37">
        <f t="shared" si="79"/>
        <v>0.77469749665958787</v>
      </c>
      <c r="M609" s="45">
        <f t="shared" si="75"/>
        <v>1.8515364252613586E-2</v>
      </c>
    </row>
    <row r="610" spans="1:13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>
        <f t="shared" si="73"/>
        <v>404.4</v>
      </c>
      <c r="G610" s="221">
        <f t="shared" si="76"/>
        <v>1.6417375477921611E-3</v>
      </c>
      <c r="H610" s="37">
        <f t="shared" si="77"/>
        <v>3.6953279437736546</v>
      </c>
      <c r="I610" s="37">
        <f t="shared" si="74"/>
        <v>1.3587720849255729</v>
      </c>
      <c r="J610" s="37">
        <v>1.7085377346331465</v>
      </c>
      <c r="K610" s="37">
        <f t="shared" si="78"/>
        <v>0.72497554042455958</v>
      </c>
      <c r="L610" s="37">
        <f t="shared" si="79"/>
        <v>0.88374518377753819</v>
      </c>
      <c r="M610" s="45">
        <f t="shared" si="75"/>
        <v>1.8515364252613586E-2</v>
      </c>
    </row>
    <row r="611" spans="1:13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>
        <f t="shared" si="73"/>
        <v>348.3</v>
      </c>
      <c r="G611" s="221">
        <f t="shared" si="76"/>
        <v>1.4139890897527441E-3</v>
      </c>
      <c r="H611" s="37">
        <f t="shared" si="77"/>
        <v>3.1826971385172205</v>
      </c>
      <c r="I611" s="37">
        <f t="shared" si="74"/>
        <v>1.170277737832782</v>
      </c>
      <c r="J611" s="37">
        <v>1.4715224850957591</v>
      </c>
      <c r="K611" s="37">
        <f t="shared" si="78"/>
        <v>0.62440400773955029</v>
      </c>
      <c r="L611" s="37">
        <f t="shared" si="79"/>
        <v>0.76114848543451186</v>
      </c>
      <c r="M611" s="45">
        <f t="shared" si="75"/>
        <v>1.8515364252613586E-2</v>
      </c>
    </row>
    <row r="612" spans="1:13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>
        <f t="shared" si="73"/>
        <v>73.400000000000006</v>
      </c>
      <c r="G612" s="221">
        <f t="shared" si="76"/>
        <v>2.9798104848651001E-4</v>
      </c>
      <c r="H612" s="37">
        <f t="shared" si="77"/>
        <v>0.67071481472053984</v>
      </c>
      <c r="I612" s="37">
        <f t="shared" si="74"/>
        <v>0.24662183737274251</v>
      </c>
      <c r="J612" s="37">
        <v>0.31010551365497768</v>
      </c>
      <c r="K612" s="37">
        <f t="shared" si="78"/>
        <v>0.13158557039357735</v>
      </c>
      <c r="L612" s="37">
        <f t="shared" si="79"/>
        <v>0.1604028103097708</v>
      </c>
      <c r="M612" s="45">
        <f t="shared" si="75"/>
        <v>1.8515364252613589E-2</v>
      </c>
    </row>
    <row r="613" spans="1:13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>
        <f t="shared" si="73"/>
        <v>117.2</v>
      </c>
      <c r="G613" s="221">
        <f t="shared" si="76"/>
        <v>4.7579535262423661E-4</v>
      </c>
      <c r="H613" s="37">
        <f t="shared" si="77"/>
        <v>1.0709506305891996</v>
      </c>
      <c r="I613" s="37">
        <f t="shared" si="74"/>
        <v>0.39378854686764869</v>
      </c>
      <c r="J613" s="37">
        <v>0.49515485286598604</v>
      </c>
      <c r="K613" s="37">
        <f t="shared" si="78"/>
        <v>0.21010666008347773</v>
      </c>
      <c r="L613" s="37">
        <f t="shared" si="79"/>
        <v>0.25612001864175937</v>
      </c>
      <c r="M613" s="45">
        <f t="shared" si="75"/>
        <v>1.8515364252613582E-2</v>
      </c>
    </row>
    <row r="614" spans="1:13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>
        <f t="shared" si="73"/>
        <v>65.900000000000006</v>
      </c>
      <c r="G614" s="221">
        <f t="shared" si="76"/>
        <v>2.6753339366840612E-4</v>
      </c>
      <c r="H614" s="37">
        <f t="shared" si="77"/>
        <v>0.60218128460604325</v>
      </c>
      <c r="I614" s="37">
        <f t="shared" si="74"/>
        <v>0.22142205834964213</v>
      </c>
      <c r="J614" s="37">
        <v>0.27841898296816114</v>
      </c>
      <c r="K614" s="37">
        <f t="shared" si="78"/>
        <v>0.11814017832338893</v>
      </c>
      <c r="L614" s="37">
        <f t="shared" si="79"/>
        <v>0.1440128773762111</v>
      </c>
      <c r="M614" s="45">
        <f t="shared" si="75"/>
        <v>1.8515364252613586E-2</v>
      </c>
    </row>
    <row r="615" spans="1:13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>
        <f t="shared" si="73"/>
        <v>212.3</v>
      </c>
      <c r="G615" s="221">
        <f t="shared" si="76"/>
        <v>8.6187161571779386E-4</v>
      </c>
      <c r="H615" s="37">
        <f t="shared" si="77"/>
        <v>1.9399557924410162</v>
      </c>
      <c r="I615" s="37">
        <f t="shared" si="74"/>
        <v>0.71332174488056177</v>
      </c>
      <c r="J615" s="37">
        <v>0.89694006197481957</v>
      </c>
      <c r="K615" s="37">
        <f t="shared" si="78"/>
        <v>0.38059423153346689</v>
      </c>
      <c r="L615" s="37">
        <f t="shared" si="79"/>
        <v>0.46394436823929619</v>
      </c>
      <c r="M615" s="45">
        <f t="shared" si="75"/>
        <v>1.8515364252613586E-2</v>
      </c>
    </row>
    <row r="616" spans="1:13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>
        <f t="shared" si="73"/>
        <v>200.1</v>
      </c>
      <c r="G616" s="221">
        <f t="shared" si="76"/>
        <v>8.1234343054701144E-4</v>
      </c>
      <c r="H616" s="37">
        <f t="shared" si="77"/>
        <v>1.8284745834547684</v>
      </c>
      <c r="I616" s="37">
        <f t="shared" si="74"/>
        <v>0.67233010433631835</v>
      </c>
      <c r="J616" s="37">
        <v>0.84539663872426463</v>
      </c>
      <c r="K616" s="37">
        <f t="shared" si="78"/>
        <v>0.35872306043262703</v>
      </c>
      <c r="L616" s="37">
        <f t="shared" si="79"/>
        <v>0.43728341066737236</v>
      </c>
      <c r="M616" s="45">
        <f t="shared" si="75"/>
        <v>1.8515364252613586E-2</v>
      </c>
    </row>
    <row r="617" spans="1:13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>
        <f t="shared" si="73"/>
        <v>79.099999999999994</v>
      </c>
      <c r="G617" s="221">
        <f t="shared" si="76"/>
        <v>3.211212661482689E-4</v>
      </c>
      <c r="H617" s="37">
        <f t="shared" si="77"/>
        <v>0.72280029760755704</v>
      </c>
      <c r="I617" s="37">
        <f t="shared" si="74"/>
        <v>0.26577366943029873</v>
      </c>
      <c r="J617" s="37">
        <v>0.33418727697695816</v>
      </c>
      <c r="K617" s="37">
        <f t="shared" si="78"/>
        <v>0.14180406836692053</v>
      </c>
      <c r="L617" s="37">
        <f t="shared" si="79"/>
        <v>0.17285915933927615</v>
      </c>
      <c r="M617" s="45">
        <f t="shared" si="75"/>
        <v>1.8515364252613586E-2</v>
      </c>
    </row>
    <row r="618" spans="1:13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 t="shared" si="73"/>
        <v>3257.2000000000003</v>
      </c>
      <c r="G618" s="221">
        <f t="shared" si="76"/>
        <v>1.3223213503137061E-2</v>
      </c>
      <c r="H618" s="37">
        <f t="shared" si="77"/>
        <v>29.763655238525097</v>
      </c>
      <c r="I618" s="37">
        <f t="shared" si="74"/>
        <v>10.944096031205678</v>
      </c>
      <c r="J618" s="37">
        <v>13.761249033746502</v>
      </c>
      <c r="K618" s="37">
        <f t="shared" si="78"/>
        <v>5.8392441401356967</v>
      </c>
      <c r="L618" s="37">
        <f t="shared" si="79"/>
        <v>7.1180386068254151</v>
      </c>
      <c r="M618" s="45">
        <f t="shared" si="75"/>
        <v>1.8515364252613586E-2</v>
      </c>
    </row>
    <row r="619" spans="1:13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 t="shared" si="73"/>
        <v>4789.17</v>
      </c>
      <c r="G619" s="221">
        <f t="shared" si="76"/>
        <v>1.9442532670029142E-2</v>
      </c>
      <c r="H619" s="37">
        <f t="shared" si="77"/>
        <v>43.76249685579247</v>
      </c>
      <c r="I619" s="37">
        <f t="shared" si="74"/>
        <v>16.091470093874893</v>
      </c>
      <c r="J619" s="37">
        <v>20.233624289250809</v>
      </c>
      <c r="K619" s="37">
        <f t="shared" si="78"/>
        <v>8.5856357787712376</v>
      </c>
      <c r="L619" s="37">
        <f t="shared" si="79"/>
        <v>10.46589001432214</v>
      </c>
      <c r="M619" s="45">
        <f t="shared" si="75"/>
        <v>1.8515364252613586E-2</v>
      </c>
    </row>
    <row r="620" spans="1:13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 t="shared" si="73"/>
        <v>6316.36</v>
      </c>
      <c r="G620" s="221">
        <f t="shared" si="76"/>
        <v>2.5642446531583814E-2</v>
      </c>
      <c r="H620" s="37">
        <f t="shared" si="77"/>
        <v>57.71765976986687</v>
      </c>
      <c r="I620" s="37">
        <f t="shared" si="74"/>
        <v>21.22278349738005</v>
      </c>
      <c r="J620" s="37">
        <v>26.685804662530714</v>
      </c>
      <c r="K620" s="37">
        <f t="shared" si="78"/>
        <v>11.32345822086071</v>
      </c>
      <c r="L620" s="37">
        <f t="shared" si="79"/>
        <v>13.803295571229206</v>
      </c>
      <c r="M620" s="45">
        <f t="shared" si="75"/>
        <v>1.8515364252613586E-2</v>
      </c>
    </row>
    <row r="621" spans="1:13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 t="shared" si="73"/>
        <v>4812.1099999999997</v>
      </c>
      <c r="G621" s="221">
        <f t="shared" si="76"/>
        <v>1.9535661896899446E-2</v>
      </c>
      <c r="H621" s="37">
        <f t="shared" si="77"/>
        <v>43.972118079902671</v>
      </c>
      <c r="I621" s="37">
        <f t="shared" si="74"/>
        <v>16.168547817980212</v>
      </c>
      <c r="J621" s="37">
        <v>20.330542824444883</v>
      </c>
      <c r="K621" s="37">
        <f t="shared" si="78"/>
        <v>8.6267607513165867</v>
      </c>
      <c r="L621" s="37">
        <f t="shared" si="79"/>
        <v>10.516021355854919</v>
      </c>
      <c r="M621" s="45">
        <f t="shared" si="75"/>
        <v>1.8515364252613586E-2</v>
      </c>
    </row>
    <row r="622" spans="1:13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 t="shared" si="73"/>
        <v>11145.01</v>
      </c>
      <c r="G622" s="221">
        <f t="shared" si="76"/>
        <v>4.5245255656575452E-2</v>
      </c>
      <c r="H622" s="37">
        <f t="shared" si="77"/>
        <v>101.84091712818204</v>
      </c>
      <c r="I622" s="37">
        <f t="shared" si="74"/>
        <v>37.446905228032541</v>
      </c>
      <c r="J622" s="37">
        <v>47.086226849316937</v>
      </c>
      <c r="K622" s="37">
        <f t="shared" si="78"/>
        <v>19.979870543489419</v>
      </c>
      <c r="L622" s="37">
        <f t="shared" si="79"/>
        <v>24.355462192513603</v>
      </c>
      <c r="M622" s="45">
        <f t="shared" si="75"/>
        <v>1.8515364252613586E-2</v>
      </c>
    </row>
    <row r="623" spans="1:13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>
        <f t="shared" si="73"/>
        <v>74.5</v>
      </c>
      <c r="G623" s="221">
        <f t="shared" si="76"/>
        <v>3.0244670452649855E-4</v>
      </c>
      <c r="H623" s="37">
        <f t="shared" si="77"/>
        <v>0.68076639913733261</v>
      </c>
      <c r="I623" s="37">
        <f t="shared" si="74"/>
        <v>0.25031780496279721</v>
      </c>
      <c r="J623" s="37">
        <v>0.31475287148904413</v>
      </c>
      <c r="K623" s="37">
        <f t="shared" si="78"/>
        <v>0.1335575612305383</v>
      </c>
      <c r="L623" s="37">
        <f t="shared" si="79"/>
        <v>0.1628066671400262</v>
      </c>
      <c r="M623" s="45">
        <f t="shared" si="75"/>
        <v>1.8515364252613586E-2</v>
      </c>
    </row>
    <row r="624" spans="1:13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>
        <f t="shared" si="73"/>
        <v>227.9</v>
      </c>
      <c r="G624" s="221">
        <f t="shared" si="76"/>
        <v>9.252027377394499E-4</v>
      </c>
      <c r="H624" s="37">
        <f t="shared" si="77"/>
        <v>2.0825055350791688</v>
      </c>
      <c r="I624" s="37">
        <f t="shared" si="74"/>
        <v>0.7657372852486104</v>
      </c>
      <c r="J624" s="37">
        <v>0.96284804580339789</v>
      </c>
      <c r="K624" s="37">
        <f t="shared" si="78"/>
        <v>0.40856064703945877</v>
      </c>
      <c r="L624" s="37">
        <f t="shared" si="79"/>
        <v>0.49803542874110029</v>
      </c>
      <c r="M624" s="45">
        <f t="shared" si="75"/>
        <v>1.8515364252613582E-2</v>
      </c>
    </row>
    <row r="625" spans="1:13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>
        <f t="shared" si="73"/>
        <v>374.6</v>
      </c>
      <c r="G625" s="221">
        <f t="shared" si="76"/>
        <v>1.5207588659815617E-3</v>
      </c>
      <c r="H625" s="37">
        <f t="shared" si="77"/>
        <v>3.4230213841187216</v>
      </c>
      <c r="I625" s="37">
        <f t="shared" si="74"/>
        <v>1.2586449629404539</v>
      </c>
      <c r="J625" s="37">
        <v>1.5826365860375293</v>
      </c>
      <c r="K625" s="37">
        <f t="shared" si="78"/>
        <v>0.67155251593234422</v>
      </c>
      <c r="L625" s="37">
        <f t="shared" si="79"/>
        <v>0.81862251692152765</v>
      </c>
      <c r="M625" s="45">
        <f t="shared" si="75"/>
        <v>1.8515364252613582E-2</v>
      </c>
    </row>
    <row r="626" spans="1:13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>
        <f t="shared" si="73"/>
        <v>738.4</v>
      </c>
      <c r="G626" s="221">
        <f t="shared" si="76"/>
        <v>2.9976731090250539E-3</v>
      </c>
      <c r="H626" s="37">
        <f t="shared" si="77"/>
        <v>6.7473544848725693</v>
      </c>
      <c r="I626" s="37">
        <f t="shared" si="74"/>
        <v>2.481002244087644</v>
      </c>
      <c r="J626" s="37">
        <v>3.1196445678860414</v>
      </c>
      <c r="K626" s="37">
        <f t="shared" si="78"/>
        <v>1.3237436672836174</v>
      </c>
      <c r="L626" s="37">
        <f t="shared" si="79"/>
        <v>1.6136435304187298</v>
      </c>
      <c r="M626" s="45">
        <f t="shared" si="75"/>
        <v>1.8515364252613586E-2</v>
      </c>
    </row>
    <row r="627" spans="1:13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>
        <f t="shared" si="73"/>
        <v>442.3</v>
      </c>
      <c r="G627" s="221">
        <f t="shared" si="76"/>
        <v>1.7955996968063127E-3</v>
      </c>
      <c r="H627" s="37">
        <f t="shared" si="77"/>
        <v>4.0416507159522448</v>
      </c>
      <c r="I627" s="37">
        <f t="shared" si="74"/>
        <v>1.4861149682556405</v>
      </c>
      <c r="J627" s="37">
        <v>1.8686603363705261</v>
      </c>
      <c r="K627" s="37">
        <f t="shared" si="78"/>
        <v>0.79291958835257847</v>
      </c>
      <c r="L627" s="37">
        <f t="shared" si="79"/>
        <v>0.96656897820179322</v>
      </c>
      <c r="M627" s="45">
        <f t="shared" si="75"/>
        <v>1.8515364252613586E-2</v>
      </c>
    </row>
    <row r="628" spans="1:13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>
        <f t="shared" si="73"/>
        <v>1043.4000000000001</v>
      </c>
      <c r="G628" s="221">
        <f t="shared" si="76"/>
        <v>4.2358777382946119E-3</v>
      </c>
      <c r="H628" s="37">
        <f t="shared" si="77"/>
        <v>9.5343847095287639</v>
      </c>
      <c r="I628" s="37">
        <f t="shared" si="74"/>
        <v>3.505793257693727</v>
      </c>
      <c r="J628" s="37">
        <v>4.4082301491499134</v>
      </c>
      <c r="K628" s="37">
        <f t="shared" si="78"/>
        <v>1.870522944804613</v>
      </c>
      <c r="L628" s="37">
        <f t="shared" si="79"/>
        <v>2.2801674697168233</v>
      </c>
      <c r="M628" s="45">
        <f t="shared" si="75"/>
        <v>1.8515364252613586E-2</v>
      </c>
    </row>
    <row r="629" spans="1:13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>
        <f t="shared" si="73"/>
        <v>473.6</v>
      </c>
      <c r="G629" s="221">
        <f t="shared" si="76"/>
        <v>1.9226679095805329E-3</v>
      </c>
      <c r="H629" s="37">
        <f t="shared" si="77"/>
        <v>4.3276639816300762</v>
      </c>
      <c r="I629" s="37">
        <f t="shared" si="74"/>
        <v>1.5912820460453792</v>
      </c>
      <c r="J629" s="37">
        <v>2.000898791103507</v>
      </c>
      <c r="K629" s="37">
        <f t="shared" si="78"/>
        <v>0.84903169125883138</v>
      </c>
      <c r="L629" s="37">
        <f t="shared" si="79"/>
        <v>1.0349696316445156</v>
      </c>
      <c r="M629" s="45">
        <f t="shared" si="75"/>
        <v>1.8515364252613586E-2</v>
      </c>
    </row>
    <row r="630" spans="1:13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>
        <f t="shared" si="73"/>
        <v>345.2</v>
      </c>
      <c r="G630" s="221">
        <f t="shared" si="76"/>
        <v>1.4014040590945944E-3</v>
      </c>
      <c r="H630" s="37">
        <f t="shared" si="77"/>
        <v>3.1543699460698953</v>
      </c>
      <c r="I630" s="37">
        <f t="shared" si="74"/>
        <v>1.1598618291699005</v>
      </c>
      <c r="J630" s="37">
        <v>1.4584253857452083</v>
      </c>
      <c r="K630" s="37">
        <f t="shared" si="78"/>
        <v>0.61884657901720563</v>
      </c>
      <c r="L630" s="37">
        <f t="shared" si="79"/>
        <v>0.75437397982197374</v>
      </c>
      <c r="M630" s="45">
        <f t="shared" si="75"/>
        <v>1.8515364252613586E-2</v>
      </c>
    </row>
    <row r="631" spans="1:13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>
        <f t="shared" si="73"/>
        <v>864.9</v>
      </c>
      <c r="G631" s="221">
        <f t="shared" si="76"/>
        <v>3.5112235536237392E-3</v>
      </c>
      <c r="H631" s="37">
        <f t="shared" si="77"/>
        <v>7.9032866928037446</v>
      </c>
      <c r="I631" s="37">
        <f t="shared" si="74"/>
        <v>2.9060385169439371</v>
      </c>
      <c r="J631" s="37">
        <v>3.6540907188036806</v>
      </c>
      <c r="K631" s="37">
        <f t="shared" si="78"/>
        <v>1.5505226135341286</v>
      </c>
      <c r="L631" s="37">
        <f t="shared" si="79"/>
        <v>1.8900870658981028</v>
      </c>
      <c r="M631" s="45">
        <f t="shared" si="75"/>
        <v>1.8515364252613586E-2</v>
      </c>
    </row>
    <row r="632" spans="1:13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>
        <f t="shared" si="73"/>
        <v>1116.9000000000001</v>
      </c>
      <c r="G632" s="221">
        <f t="shared" si="76"/>
        <v>4.5342647555120302E-3</v>
      </c>
      <c r="H632" s="37">
        <f t="shared" si="77"/>
        <v>10.206013304650829</v>
      </c>
      <c r="I632" s="37">
        <f t="shared" si="74"/>
        <v>3.7527510921201102</v>
      </c>
      <c r="J632" s="37">
        <v>4.7187581498807152</v>
      </c>
      <c r="K632" s="37">
        <f t="shared" si="78"/>
        <v>2.0022877870924596</v>
      </c>
      <c r="L632" s="37">
        <f t="shared" si="79"/>
        <v>2.4407888124657084</v>
      </c>
      <c r="M632" s="45">
        <f t="shared" si="75"/>
        <v>1.8515364252613586E-2</v>
      </c>
    </row>
    <row r="633" spans="1:13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>
        <f t="shared" si="73"/>
        <v>506.2</v>
      </c>
      <c r="G633" s="221">
        <f t="shared" si="76"/>
        <v>2.0550137158565577E-3</v>
      </c>
      <c r="H633" s="37">
        <f t="shared" si="77"/>
        <v>4.6255563925277547</v>
      </c>
      <c r="I633" s="37">
        <f t="shared" si="74"/>
        <v>1.7008170855324556</v>
      </c>
      <c r="J633" s="37">
        <v>2.1386295778222024</v>
      </c>
      <c r="K633" s="37">
        <f t="shared" si="78"/>
        <v>0.90747432879058365</v>
      </c>
      <c r="L633" s="37">
        <f t="shared" si="79"/>
        <v>1.1062112067957215</v>
      </c>
      <c r="M633" s="45">
        <f t="shared" si="75"/>
        <v>1.8515364252613586E-2</v>
      </c>
    </row>
    <row r="634" spans="1:13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>
        <f t="shared" si="73"/>
        <v>369.5</v>
      </c>
      <c r="G634" s="221">
        <f t="shared" si="76"/>
        <v>1.5000544607052511E-3</v>
      </c>
      <c r="H634" s="37">
        <f t="shared" si="77"/>
        <v>3.3764185836408642</v>
      </c>
      <c r="I634" s="37">
        <f t="shared" si="74"/>
        <v>1.2415091132047458</v>
      </c>
      <c r="J634" s="37">
        <v>1.5610897451704937</v>
      </c>
      <c r="K634" s="37">
        <f t="shared" si="78"/>
        <v>0.6624096493246161</v>
      </c>
      <c r="L634" s="37">
        <f t="shared" si="79"/>
        <v>0.8074773625267071</v>
      </c>
      <c r="M634" s="45">
        <f t="shared" si="75"/>
        <v>1.8515364252613586E-2</v>
      </c>
    </row>
    <row r="635" spans="1:13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>
        <f t="shared" si="73"/>
        <v>510.1</v>
      </c>
      <c r="G635" s="221">
        <f t="shared" si="76"/>
        <v>2.0708464963619718E-3</v>
      </c>
      <c r="H635" s="37">
        <f t="shared" si="77"/>
        <v>4.6611938281872938</v>
      </c>
      <c r="I635" s="37">
        <f t="shared" si="74"/>
        <v>1.713920970624468</v>
      </c>
      <c r="J635" s="37">
        <v>2.1551065737793476</v>
      </c>
      <c r="K635" s="37">
        <f t="shared" si="78"/>
        <v>0.91446593266708176</v>
      </c>
      <c r="L635" s="37">
        <f t="shared" si="79"/>
        <v>1.1147339719211729</v>
      </c>
      <c r="M635" s="45">
        <f t="shared" si="75"/>
        <v>1.8515364252613589E-2</v>
      </c>
    </row>
    <row r="636" spans="1:13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>
        <f t="shared" si="73"/>
        <v>312</v>
      </c>
      <c r="G636" s="221">
        <f t="shared" si="76"/>
        <v>1.2666224404331214E-3</v>
      </c>
      <c r="H636" s="37">
        <f t="shared" si="77"/>
        <v>2.8509948527630571</v>
      </c>
      <c r="I636" s="37">
        <f t="shared" si="74"/>
        <v>1.0483108073609761</v>
      </c>
      <c r="J636" s="37">
        <v>1.3181596765715671</v>
      </c>
      <c r="K636" s="37">
        <f t="shared" si="78"/>
        <v>0.5593283101198383</v>
      </c>
      <c r="L636" s="37">
        <f t="shared" si="79"/>
        <v>0.68182121003608298</v>
      </c>
      <c r="M636" s="45">
        <f t="shared" si="75"/>
        <v>1.8515364252613582E-2</v>
      </c>
    </row>
    <row r="637" spans="1:13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>
        <f t="shared" si="73"/>
        <v>488.2</v>
      </c>
      <c r="G637" s="221">
        <f t="shared" si="76"/>
        <v>1.9819393442931086E-3</v>
      </c>
      <c r="H637" s="37">
        <f t="shared" si="77"/>
        <v>4.4610759202529637</v>
      </c>
      <c r="I637" s="37">
        <f t="shared" si="74"/>
        <v>1.6403376158770149</v>
      </c>
      <c r="J637" s="37">
        <v>2.0625819041738427</v>
      </c>
      <c r="K637" s="37">
        <f t="shared" si="78"/>
        <v>0.87520538782213164</v>
      </c>
      <c r="L637" s="37">
        <f t="shared" si="79"/>
        <v>1.0668753677551785</v>
      </c>
      <c r="M637" s="45">
        <f t="shared" si="75"/>
        <v>1.8515364252613586E-2</v>
      </c>
    </row>
    <row r="638" spans="1:13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>
        <f t="shared" si="73"/>
        <v>223.7</v>
      </c>
      <c r="G638" s="221">
        <f t="shared" si="76"/>
        <v>9.0815205104131165E-4</v>
      </c>
      <c r="H638" s="37">
        <f t="shared" si="77"/>
        <v>2.0441267582150511</v>
      </c>
      <c r="I638" s="37">
        <f t="shared" si="74"/>
        <v>0.75162540899567432</v>
      </c>
      <c r="J638" s="37">
        <v>0.94510358861878063</v>
      </c>
      <c r="K638" s="37">
        <f t="shared" si="78"/>
        <v>0.4010312274801533</v>
      </c>
      <c r="L638" s="37">
        <f t="shared" si="79"/>
        <v>0.48885706629830689</v>
      </c>
      <c r="M638" s="45">
        <f t="shared" si="75"/>
        <v>1.8515364252613586E-2</v>
      </c>
    </row>
    <row r="639" spans="1:13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>
        <f t="shared" ref="F639:F697" si="80">C639+D639+E639</f>
        <v>388.5</v>
      </c>
      <c r="G639" s="221">
        <f t="shared" si="76"/>
        <v>1.577188519577781E-3</v>
      </c>
      <c r="H639" s="37">
        <f t="shared" si="77"/>
        <v>3.5500368599309224</v>
      </c>
      <c r="I639" s="37">
        <f t="shared" ref="I639:I697" si="81">H639*0.3677</f>
        <v>1.3053485533966003</v>
      </c>
      <c r="J639" s="37">
        <v>1.6413622895770954</v>
      </c>
      <c r="K639" s="37">
        <f t="shared" si="78"/>
        <v>0.69647130923576017</v>
      </c>
      <c r="L639" s="37">
        <f t="shared" si="79"/>
        <v>0.84899852595839176</v>
      </c>
      <c r="M639" s="45">
        <f t="shared" si="75"/>
        <v>1.8515364252613586E-2</v>
      </c>
    </row>
    <row r="640" spans="1:13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>
        <f t="shared" si="80"/>
        <v>528.32000000000005</v>
      </c>
      <c r="G640" s="221">
        <f t="shared" si="76"/>
        <v>2.144813999133419E-3</v>
      </c>
      <c r="H640" s="37">
        <f t="shared" si="77"/>
        <v>4.8276846173454437</v>
      </c>
      <c r="I640" s="37">
        <f t="shared" si="81"/>
        <v>1.7751396337979197</v>
      </c>
      <c r="J640" s="37">
        <v>2.2320837189945206</v>
      </c>
      <c r="K640" s="37">
        <f t="shared" si="78"/>
        <v>0.94712927180292616</v>
      </c>
      <c r="L640" s="37">
        <f t="shared" si="79"/>
        <v>1.1545505823277671</v>
      </c>
      <c r="M640" s="45">
        <f t="shared" si="75"/>
        <v>1.8515364252613582E-2</v>
      </c>
    </row>
    <row r="641" spans="1:13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>
        <f t="shared" si="80"/>
        <v>262.17</v>
      </c>
      <c r="G641" s="221">
        <f t="shared" si="76"/>
        <v>1.0643282218216392E-3</v>
      </c>
      <c r="H641" s="37">
        <f t="shared" si="77"/>
        <v>2.395658078682342</v>
      </c>
      <c r="I641" s="37">
        <f t="shared" si="81"/>
        <v>0.88088347553149726</v>
      </c>
      <c r="J641" s="37">
        <v>1.1076343666883584</v>
      </c>
      <c r="K641" s="37">
        <f t="shared" si="78"/>
        <v>0.46999712520550641</v>
      </c>
      <c r="L641" s="37">
        <f t="shared" si="79"/>
        <v>0.57292649562551234</v>
      </c>
      <c r="M641" s="45">
        <f t="shared" si="75"/>
        <v>1.8515364252613586E-2</v>
      </c>
    </row>
    <row r="642" spans="1:13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>
        <f t="shared" si="80"/>
        <v>513.29999999999995</v>
      </c>
      <c r="G642" s="221">
        <f t="shared" si="76"/>
        <v>2.083837495751029E-3</v>
      </c>
      <c r="H642" s="37">
        <f t="shared" si="77"/>
        <v>4.6904348010361439</v>
      </c>
      <c r="I642" s="37">
        <f t="shared" si="81"/>
        <v>1.7246728763409902</v>
      </c>
      <c r="J642" s="37">
        <v>2.1686261602057217</v>
      </c>
      <c r="K642" s="37">
        <f t="shared" si="78"/>
        <v>0.92020263328369523</v>
      </c>
      <c r="L642" s="37">
        <f t="shared" si="79"/>
        <v>1.1217270099728245</v>
      </c>
      <c r="M642" s="45">
        <f t="shared" si="75"/>
        <v>1.8515364252613582E-2</v>
      </c>
    </row>
    <row r="643" spans="1:13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>
        <f t="shared" si="80"/>
        <v>577.70000000000005</v>
      </c>
      <c r="G643" s="221">
        <f t="shared" si="76"/>
        <v>2.3452813584558148E-3</v>
      </c>
      <c r="H643" s="37">
        <f t="shared" si="77"/>
        <v>5.2789093796192894</v>
      </c>
      <c r="I643" s="37">
        <f t="shared" si="81"/>
        <v>1.9410549788860127</v>
      </c>
      <c r="J643" s="37">
        <v>2.4407078370365203</v>
      </c>
      <c r="K643" s="37">
        <f t="shared" si="78"/>
        <v>1.0356537331930467</v>
      </c>
      <c r="L643" s="37">
        <f t="shared" si="79"/>
        <v>1.2624619007623239</v>
      </c>
      <c r="M643" s="45">
        <f t="shared" si="75"/>
        <v>1.8515364252613586E-2</v>
      </c>
    </row>
    <row r="644" spans="1:13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>
        <f t="shared" si="80"/>
        <v>432.4</v>
      </c>
      <c r="G644" s="221">
        <f t="shared" si="76"/>
        <v>1.7554087924464155E-3</v>
      </c>
      <c r="H644" s="37">
        <f t="shared" si="77"/>
        <v>3.9511864562011088</v>
      </c>
      <c r="I644" s="37">
        <f t="shared" si="81"/>
        <v>1.4528512599451477</v>
      </c>
      <c r="J644" s="37">
        <v>1.8268341158639285</v>
      </c>
      <c r="K644" s="37">
        <f t="shared" si="78"/>
        <v>0.77517167081992966</v>
      </c>
      <c r="L644" s="37">
        <f t="shared" si="79"/>
        <v>0.94493426672949432</v>
      </c>
      <c r="M644" s="45">
        <f t="shared" si="75"/>
        <v>1.8515364252613586E-2</v>
      </c>
    </row>
    <row r="645" spans="1:13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>
        <f t="shared" si="80"/>
        <v>488.9</v>
      </c>
      <c r="G645" s="221">
        <f t="shared" si="76"/>
        <v>1.9847811254094646E-3</v>
      </c>
      <c r="H645" s="37">
        <f t="shared" si="77"/>
        <v>4.4674723830636491</v>
      </c>
      <c r="I645" s="37">
        <f t="shared" si="81"/>
        <v>1.6426895952525038</v>
      </c>
      <c r="J645" s="37">
        <v>2.0655393137046123</v>
      </c>
      <c r="K645" s="37">
        <f t="shared" si="78"/>
        <v>0.87646029108201562</v>
      </c>
      <c r="L645" s="37">
        <f t="shared" si="79"/>
        <v>1.0684050948289772</v>
      </c>
      <c r="M645" s="45">
        <f t="shared" si="75"/>
        <v>1.8515364252613582E-2</v>
      </c>
    </row>
    <row r="646" spans="1:13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>
        <f t="shared" si="80"/>
        <v>540.1</v>
      </c>
      <c r="G646" s="221">
        <f t="shared" si="76"/>
        <v>2.1926371156343874E-3</v>
      </c>
      <c r="H646" s="37">
        <f t="shared" si="77"/>
        <v>4.9353279486452797</v>
      </c>
      <c r="I646" s="37">
        <f t="shared" si="81"/>
        <v>1.8147200867168696</v>
      </c>
      <c r="J646" s="37">
        <v>2.2818526965266135</v>
      </c>
      <c r="K646" s="37">
        <f t="shared" si="78"/>
        <v>0.9682475009478354</v>
      </c>
      <c r="L646" s="37">
        <f t="shared" si="79"/>
        <v>1.1802937036554115</v>
      </c>
      <c r="M646" s="45">
        <f t="shared" si="75"/>
        <v>1.8515364252613586E-2</v>
      </c>
    </row>
    <row r="647" spans="1:13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>
        <f t="shared" si="80"/>
        <v>236.8</v>
      </c>
      <c r="G647" s="221">
        <f t="shared" si="76"/>
        <v>9.6133395479026647E-4</v>
      </c>
      <c r="H647" s="37">
        <f t="shared" si="77"/>
        <v>2.1638319908150381</v>
      </c>
      <c r="I647" s="37">
        <f t="shared" si="81"/>
        <v>0.79564102302268958</v>
      </c>
      <c r="J647" s="37">
        <v>1.0004493955517535</v>
      </c>
      <c r="K647" s="37">
        <f t="shared" si="78"/>
        <v>0.42451584562941569</v>
      </c>
      <c r="L647" s="37">
        <f t="shared" si="79"/>
        <v>0.5174848158222578</v>
      </c>
      <c r="M647" s="45">
        <f t="shared" ref="M647:M710" si="82">(K647+J647+I647+H647)/F647</f>
        <v>1.8515364252613586E-2</v>
      </c>
    </row>
    <row r="648" spans="1:13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>
        <f t="shared" si="80"/>
        <v>375.5</v>
      </c>
      <c r="G648" s="221">
        <f t="shared" si="76"/>
        <v>1.5244125845597341E-3</v>
      </c>
      <c r="H648" s="37">
        <f t="shared" si="77"/>
        <v>3.4312454077324612</v>
      </c>
      <c r="I648" s="37">
        <f t="shared" si="81"/>
        <v>1.2616689364232261</v>
      </c>
      <c r="J648" s="37">
        <v>1.586438969719947</v>
      </c>
      <c r="K648" s="37">
        <f t="shared" si="78"/>
        <v>0.67316596298076681</v>
      </c>
      <c r="L648" s="37">
        <f t="shared" si="79"/>
        <v>0.82058930887355475</v>
      </c>
      <c r="M648" s="45">
        <f t="shared" si="82"/>
        <v>1.8515364252613586E-2</v>
      </c>
    </row>
    <row r="649" spans="1:13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>
        <f t="shared" si="80"/>
        <v>618.54</v>
      </c>
      <c r="G649" s="221">
        <f t="shared" si="76"/>
        <v>2.5110789881586629E-3</v>
      </c>
      <c r="H649" s="37">
        <f t="shared" si="77"/>
        <v>5.6520972956027604</v>
      </c>
      <c r="I649" s="37">
        <f t="shared" si="81"/>
        <v>2.0782761755931354</v>
      </c>
      <c r="J649" s="37">
        <v>2.6132515588031313</v>
      </c>
      <c r="K649" s="37">
        <f t="shared" si="78"/>
        <v>1.1088683748125792</v>
      </c>
      <c r="L649" s="37">
        <f t="shared" si="79"/>
        <v>1.3517105488965342</v>
      </c>
      <c r="M649" s="45">
        <f t="shared" si="82"/>
        <v>1.8515364252613582E-2</v>
      </c>
    </row>
    <row r="650" spans="1:13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>
        <f t="shared" si="80"/>
        <v>473.5</v>
      </c>
      <c r="G650" s="221">
        <f t="shared" si="76"/>
        <v>1.922261940849625E-3</v>
      </c>
      <c r="H650" s="37">
        <f t="shared" si="77"/>
        <v>4.3267502012285499</v>
      </c>
      <c r="I650" s="37">
        <f t="shared" si="81"/>
        <v>1.590946048991738</v>
      </c>
      <c r="J650" s="37">
        <v>2.0004763040276825</v>
      </c>
      <c r="K650" s="37">
        <f t="shared" si="78"/>
        <v>0.84885241936456235</v>
      </c>
      <c r="L650" s="37">
        <f t="shared" si="79"/>
        <v>1.0347510992054016</v>
      </c>
      <c r="M650" s="45">
        <f t="shared" si="82"/>
        <v>1.8515364252613586E-2</v>
      </c>
    </row>
    <row r="651" spans="1:13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>
        <f t="shared" si="80"/>
        <v>281.8</v>
      </c>
      <c r="G651" s="221">
        <f t="shared" si="76"/>
        <v>1.1440198836988897E-3</v>
      </c>
      <c r="H651" s="37">
        <f t="shared" si="77"/>
        <v>2.5750331715020178</v>
      </c>
      <c r="I651" s="37">
        <f t="shared" si="81"/>
        <v>0.94683969716129202</v>
      </c>
      <c r="J651" s="37">
        <v>1.1905685796726528</v>
      </c>
      <c r="K651" s="37">
        <f t="shared" si="78"/>
        <v>0.50518819805054627</v>
      </c>
      <c r="L651" s="37">
        <f t="shared" si="79"/>
        <v>0.61582441342361594</v>
      </c>
      <c r="M651" s="45">
        <f t="shared" si="82"/>
        <v>1.8515364252613589E-2</v>
      </c>
    </row>
    <row r="652" spans="1:13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>
        <f t="shared" si="80"/>
        <v>295.89999999999998</v>
      </c>
      <c r="G652" s="221">
        <f t="shared" si="76"/>
        <v>1.2012614747569249E-3</v>
      </c>
      <c r="H652" s="37">
        <f t="shared" si="77"/>
        <v>2.7038762081172707</v>
      </c>
      <c r="I652" s="37">
        <f t="shared" si="81"/>
        <v>0.99421528172472051</v>
      </c>
      <c r="J652" s="37">
        <v>1.2501392573638677</v>
      </c>
      <c r="K652" s="37">
        <f t="shared" si="78"/>
        <v>0.53046553514250039</v>
      </c>
      <c r="L652" s="37">
        <f t="shared" si="79"/>
        <v>0.64663748733870807</v>
      </c>
      <c r="M652" s="45">
        <f t="shared" si="82"/>
        <v>1.8515364252613586E-2</v>
      </c>
    </row>
    <row r="653" spans="1:13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>
        <f t="shared" si="80"/>
        <v>346.1</v>
      </c>
      <c r="G653" s="221">
        <f t="shared" si="76"/>
        <v>1.405057777672767E-3</v>
      </c>
      <c r="H653" s="37">
        <f t="shared" si="77"/>
        <v>3.1625939696836354</v>
      </c>
      <c r="I653" s="37">
        <f t="shared" si="81"/>
        <v>1.1628858026526727</v>
      </c>
      <c r="J653" s="37">
        <v>1.4622277694276262</v>
      </c>
      <c r="K653" s="37">
        <f t="shared" si="78"/>
        <v>0.62046002606562833</v>
      </c>
      <c r="L653" s="37">
        <f t="shared" si="79"/>
        <v>0.75634077177400094</v>
      </c>
      <c r="M653" s="45">
        <f t="shared" si="82"/>
        <v>1.8515364252613582E-2</v>
      </c>
    </row>
    <row r="654" spans="1:13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>
        <f t="shared" si="80"/>
        <v>665.4</v>
      </c>
      <c r="G654" s="221">
        <f t="shared" si="76"/>
        <v>2.7013159354621762E-3</v>
      </c>
      <c r="H654" s="37">
        <f t="shared" si="77"/>
        <v>6.0802947917581367</v>
      </c>
      <c r="I654" s="37">
        <f t="shared" si="81"/>
        <v>2.2357243949294672</v>
      </c>
      <c r="J654" s="37">
        <v>2.8112290025343611</v>
      </c>
      <c r="K654" s="37">
        <f t="shared" si="78"/>
        <v>1.1928751844671166</v>
      </c>
      <c r="L654" s="37">
        <f t="shared" si="79"/>
        <v>1.4541148498654153</v>
      </c>
      <c r="M654" s="45">
        <f t="shared" si="82"/>
        <v>1.8515364252613589E-2</v>
      </c>
    </row>
    <row r="655" spans="1:13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>
        <f t="shared" si="80"/>
        <v>415.51</v>
      </c>
      <c r="G655" s="221">
        <f t="shared" si="76"/>
        <v>1.6868406737960456E-3</v>
      </c>
      <c r="H655" s="37">
        <f t="shared" si="77"/>
        <v>3.7968489463832622</v>
      </c>
      <c r="I655" s="37">
        <f t="shared" si="81"/>
        <v>1.3961013575851255</v>
      </c>
      <c r="J655" s="37">
        <v>1.7554760487572172</v>
      </c>
      <c r="K655" s="37">
        <f t="shared" si="78"/>
        <v>0.74489264787786535</v>
      </c>
      <c r="L655" s="37">
        <f t="shared" si="79"/>
        <v>0.90802413776311797</v>
      </c>
      <c r="M655" s="45">
        <f t="shared" si="82"/>
        <v>1.8515364252613582E-2</v>
      </c>
    </row>
    <row r="656" spans="1:13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>
        <f t="shared" si="80"/>
        <v>1654.8</v>
      </c>
      <c r="G656" s="221">
        <f t="shared" si="76"/>
        <v>6.7179705590664392E-3</v>
      </c>
      <c r="H656" s="37">
        <f t="shared" si="77"/>
        <v>15.121238084462519</v>
      </c>
      <c r="I656" s="37">
        <f t="shared" si="81"/>
        <v>5.5600792436568689</v>
      </c>
      <c r="J656" s="37">
        <v>6.9913161307391958</v>
      </c>
      <c r="K656" s="37">
        <f t="shared" si="78"/>
        <v>2.9665913063663729</v>
      </c>
      <c r="L656" s="37">
        <f t="shared" si="79"/>
        <v>3.6162748024606088</v>
      </c>
      <c r="M656" s="45">
        <f t="shared" si="82"/>
        <v>1.8515364252613582E-2</v>
      </c>
    </row>
    <row r="657" spans="1:13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 t="shared" si="80"/>
        <v>3220.9</v>
      </c>
      <c r="G657" s="221">
        <f t="shared" si="76"/>
        <v>1.3075846853817437E-2</v>
      </c>
      <c r="H657" s="37">
        <f t="shared" si="77"/>
        <v>29.431952952770931</v>
      </c>
      <c r="I657" s="37">
        <f t="shared" si="81"/>
        <v>10.822129100733873</v>
      </c>
      <c r="J657" s="37">
        <v>13.607886225222311</v>
      </c>
      <c r="K657" s="37">
        <f t="shared" si="78"/>
        <v>5.7741684425159834</v>
      </c>
      <c r="L657" s="37">
        <f t="shared" si="79"/>
        <v>7.0387113314269838</v>
      </c>
      <c r="M657" s="45">
        <f t="shared" si="82"/>
        <v>1.8515364252613586E-2</v>
      </c>
    </row>
    <row r="658" spans="1:13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 t="shared" si="80"/>
        <v>3593.47</v>
      </c>
      <c r="G658" s="221">
        <f t="shared" si="76"/>
        <v>1.4588364554561565E-2</v>
      </c>
      <c r="H658" s="37">
        <f t="shared" si="77"/>
        <v>32.836424594738659</v>
      </c>
      <c r="I658" s="37">
        <f t="shared" si="81"/>
        <v>12.073953323485405</v>
      </c>
      <c r="J658" s="37">
        <v>15.181946323620606</v>
      </c>
      <c r="K658" s="37">
        <f t="shared" si="78"/>
        <v>6.4420817389946636</v>
      </c>
      <c r="L658" s="37">
        <f t="shared" si="79"/>
        <v>7.8528976398344952</v>
      </c>
      <c r="M658" s="45">
        <f t="shared" si="82"/>
        <v>1.8515364252613586E-2</v>
      </c>
    </row>
    <row r="659" spans="1:13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 t="shared" si="80"/>
        <v>5258.9</v>
      </c>
      <c r="G659" s="221">
        <f t="shared" si="76"/>
        <v>2.134948958972353E-2</v>
      </c>
      <c r="H659" s="37">
        <f t="shared" si="77"/>
        <v>48.054797535883459</v>
      </c>
      <c r="I659" s="37">
        <f t="shared" si="81"/>
        <v>17.669749053944351</v>
      </c>
      <c r="J659" s="37">
        <v>22.218172830519915</v>
      </c>
      <c r="K659" s="37">
        <f t="shared" si="78"/>
        <v>9.4277296477218506</v>
      </c>
      <c r="L659" s="37">
        <f t="shared" si="79"/>
        <v>11.492402440572937</v>
      </c>
      <c r="M659" s="45">
        <f t="shared" si="82"/>
        <v>1.8515364252613586E-2</v>
      </c>
    </row>
    <row r="660" spans="1:13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 t="shared" si="80"/>
        <v>3743.95</v>
      </c>
      <c r="G660" s="221">
        <f t="shared" si="76"/>
        <v>1.5199266300832001E-2</v>
      </c>
      <c r="H660" s="37">
        <f t="shared" si="77"/>
        <v>34.211481342955921</v>
      </c>
      <c r="I660" s="37">
        <f t="shared" si="81"/>
        <v>12.579561689804892</v>
      </c>
      <c r="J660" s="37">
        <v>15.817704875320894</v>
      </c>
      <c r="K660" s="37">
        <f t="shared" si="78"/>
        <v>6.7118500854909247</v>
      </c>
      <c r="L660" s="37">
        <f t="shared" si="79"/>
        <v>8.1817452542134372</v>
      </c>
      <c r="M660" s="45">
        <f t="shared" si="82"/>
        <v>1.8515364252613586E-2</v>
      </c>
    </row>
    <row r="661" spans="1:13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>
        <f t="shared" si="80"/>
        <v>3185.57</v>
      </c>
      <c r="G661" s="221">
        <f t="shared" si="76"/>
        <v>1.2932418101187624E-2</v>
      </c>
      <c r="H661" s="37">
        <f t="shared" si="77"/>
        <v>29.109114336911578</v>
      </c>
      <c r="I661" s="37">
        <f t="shared" si="81"/>
        <v>10.703421341682388</v>
      </c>
      <c r="J661" s="37">
        <v>13.458621541333615</v>
      </c>
      <c r="K661" s="37">
        <f t="shared" si="78"/>
        <v>5.7108316822706842</v>
      </c>
      <c r="L661" s="37">
        <f t="shared" si="79"/>
        <v>6.9615038206879643</v>
      </c>
      <c r="M661" s="45">
        <f t="shared" si="82"/>
        <v>1.8515364252613586E-2</v>
      </c>
    </row>
    <row r="662" spans="1:13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>
        <f t="shared" si="80"/>
        <v>272.89999999999998</v>
      </c>
      <c r="G662" s="221">
        <f t="shared" si="76"/>
        <v>1.1078886666480731E-3</v>
      </c>
      <c r="H662" s="37">
        <f t="shared" si="77"/>
        <v>2.4937067157661486</v>
      </c>
      <c r="I662" s="37">
        <f t="shared" si="81"/>
        <v>0.91693595938721284</v>
      </c>
      <c r="J662" s="37">
        <v>1.152967229924297</v>
      </c>
      <c r="K662" s="37">
        <f t="shared" si="78"/>
        <v>0.48923299946058929</v>
      </c>
      <c r="L662" s="37">
        <f t="shared" si="79"/>
        <v>0.59637502634245843</v>
      </c>
      <c r="M662" s="45">
        <f t="shared" si="82"/>
        <v>1.8515364252613586E-2</v>
      </c>
    </row>
    <row r="663" spans="1:13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>
        <f t="shared" si="80"/>
        <v>604.1</v>
      </c>
      <c r="G663" s="221">
        <f t="shared" si="76"/>
        <v>2.4524571034155404E-3</v>
      </c>
      <c r="H663" s="37">
        <f t="shared" si="77"/>
        <v>5.5201474056223168</v>
      </c>
      <c r="I663" s="37">
        <f t="shared" si="81"/>
        <v>2.0297582010473261</v>
      </c>
      <c r="J663" s="37">
        <v>2.5522444250541141</v>
      </c>
      <c r="K663" s="37">
        <f t="shared" si="78"/>
        <v>1.0829815132801097</v>
      </c>
      <c r="L663" s="37">
        <f t="shared" si="79"/>
        <v>1.3201544646884538</v>
      </c>
      <c r="M663" s="45">
        <f t="shared" si="82"/>
        <v>1.8515364252613582E-2</v>
      </c>
    </row>
    <row r="664" spans="1:13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>
        <f t="shared" si="80"/>
        <v>464.8</v>
      </c>
      <c r="G664" s="221">
        <f t="shared" si="76"/>
        <v>1.8869426612606243E-3</v>
      </c>
      <c r="H664" s="37">
        <f t="shared" si="77"/>
        <v>4.2472513062957331</v>
      </c>
      <c r="I664" s="37">
        <f t="shared" si="81"/>
        <v>1.5617143053249412</v>
      </c>
      <c r="J664" s="37">
        <v>1.9637199284309756</v>
      </c>
      <c r="K664" s="37">
        <f t="shared" si="78"/>
        <v>0.83325576456314365</v>
      </c>
      <c r="L664" s="37">
        <f t="shared" si="79"/>
        <v>1.0157387770024722</v>
      </c>
      <c r="M664" s="45">
        <f t="shared" si="82"/>
        <v>1.8515364252613582E-2</v>
      </c>
    </row>
    <row r="665" spans="1:13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>
        <f t="shared" si="80"/>
        <v>83.39</v>
      </c>
      <c r="G665" s="221">
        <f t="shared" ref="G665:G728" si="83">1/246324.39*F665</f>
        <v>3.3853732470422431E-4</v>
      </c>
      <c r="H665" s="37">
        <f t="shared" ref="H665:H728" si="84">G665*1218*1.54*1.2</f>
        <v>0.7620014768330492</v>
      </c>
      <c r="I665" s="37">
        <f t="shared" si="81"/>
        <v>0.28018794303151223</v>
      </c>
      <c r="J665" s="37">
        <v>0.35231197252981722</v>
      </c>
      <c r="K665" s="37">
        <f t="shared" si="78"/>
        <v>0.1494948326310683</v>
      </c>
      <c r="L665" s="37">
        <f t="shared" si="79"/>
        <v>0.18223420097727228</v>
      </c>
      <c r="M665" s="45">
        <f t="shared" si="82"/>
        <v>1.8515364252613586E-2</v>
      </c>
    </row>
    <row r="666" spans="1:13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>
        <f t="shared" si="80"/>
        <v>489.6</v>
      </c>
      <c r="G666" s="221">
        <f t="shared" si="83"/>
        <v>1.9876229065258211E-3</v>
      </c>
      <c r="H666" s="37">
        <f t="shared" si="84"/>
        <v>4.4738688458743354</v>
      </c>
      <c r="I666" s="37">
        <f t="shared" si="81"/>
        <v>1.6450415746279932</v>
      </c>
      <c r="J666" s="37">
        <v>2.0684967232353824</v>
      </c>
      <c r="K666" s="37">
        <f t="shared" ref="K666:K729" si="85">G666*408.88*1.08</f>
        <v>0.87771519434190004</v>
      </c>
      <c r="L666" s="37">
        <f t="shared" si="79"/>
        <v>1.0699348219027762</v>
      </c>
      <c r="M666" s="45">
        <f t="shared" si="82"/>
        <v>1.8515364252613582E-2</v>
      </c>
    </row>
    <row r="667" spans="1:13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>
        <f t="shared" si="80"/>
        <v>127.92</v>
      </c>
      <c r="G667" s="221">
        <f t="shared" si="83"/>
        <v>5.1931520057757973E-4</v>
      </c>
      <c r="H667" s="37">
        <f t="shared" si="84"/>
        <v>1.1689078896328535</v>
      </c>
      <c r="I667" s="37">
        <f t="shared" si="81"/>
        <v>0.42980743101800029</v>
      </c>
      <c r="J667" s="37">
        <v>0.54044546739434252</v>
      </c>
      <c r="K667" s="37">
        <f t="shared" si="85"/>
        <v>0.22932460714913369</v>
      </c>
      <c r="L667" s="37">
        <f t="shared" si="79"/>
        <v>0.27954669611479399</v>
      </c>
      <c r="M667" s="45">
        <f t="shared" si="82"/>
        <v>1.8515364252613589E-2</v>
      </c>
    </row>
    <row r="668" spans="1:13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>
        <f t="shared" si="80"/>
        <v>129.1</v>
      </c>
      <c r="G668" s="221">
        <f t="shared" si="83"/>
        <v>5.2410563160229474E-4</v>
      </c>
      <c r="H668" s="37">
        <f t="shared" si="84"/>
        <v>1.1796904983708676</v>
      </c>
      <c r="I668" s="37">
        <f t="shared" si="81"/>
        <v>0.43377219625096802</v>
      </c>
      <c r="J668" s="37">
        <v>0.54543081488906831</v>
      </c>
      <c r="K668" s="37">
        <f t="shared" si="85"/>
        <v>0.23144001550150997</v>
      </c>
      <c r="L668" s="37">
        <f t="shared" si="79"/>
        <v>0.28212537889634065</v>
      </c>
      <c r="M668" s="45">
        <f t="shared" si="82"/>
        <v>1.8515364252613586E-2</v>
      </c>
    </row>
    <row r="669" spans="1:13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>
        <f t="shared" si="80"/>
        <v>136.4</v>
      </c>
      <c r="G669" s="221">
        <f t="shared" si="83"/>
        <v>5.5374134895858258E-4</v>
      </c>
      <c r="H669" s="37">
        <f t="shared" si="84"/>
        <v>1.2463964676823109</v>
      </c>
      <c r="I669" s="37">
        <f t="shared" si="81"/>
        <v>0.45829998116678577</v>
      </c>
      <c r="J669" s="37">
        <v>0.57627237142423648</v>
      </c>
      <c r="K669" s="37">
        <f t="shared" si="85"/>
        <v>0.24452686378316008</v>
      </c>
      <c r="L669" s="37">
        <f t="shared" ref="L669:L732" si="86">K669*1.219</f>
        <v>0.29807824695167218</v>
      </c>
      <c r="M669" s="45">
        <f t="shared" si="82"/>
        <v>1.8515364252613589E-2</v>
      </c>
    </row>
    <row r="670" spans="1:13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>
        <f t="shared" si="80"/>
        <v>68.2</v>
      </c>
      <c r="G670" s="221">
        <f t="shared" si="83"/>
        <v>2.7687067447929129E-4</v>
      </c>
      <c r="H670" s="37">
        <f t="shared" si="84"/>
        <v>0.62319823384115547</v>
      </c>
      <c r="I670" s="37">
        <f t="shared" si="81"/>
        <v>0.22914999058339289</v>
      </c>
      <c r="J670" s="37">
        <v>0.28813618571211824</v>
      </c>
      <c r="K670" s="37">
        <f t="shared" si="85"/>
        <v>0.12226343189158004</v>
      </c>
      <c r="L670" s="37">
        <f t="shared" si="86"/>
        <v>0.14903912347583609</v>
      </c>
      <c r="M670" s="45">
        <f t="shared" si="82"/>
        <v>1.8515364252613589E-2</v>
      </c>
    </row>
    <row r="671" spans="1:13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>
        <f t="shared" si="80"/>
        <v>117.1</v>
      </c>
      <c r="G671" s="221">
        <f t="shared" si="83"/>
        <v>4.7538938389332853E-4</v>
      </c>
      <c r="H671" s="37">
        <f t="shared" si="84"/>
        <v>1.0700368501876731</v>
      </c>
      <c r="I671" s="37">
        <f t="shared" si="81"/>
        <v>0.39345254981400746</v>
      </c>
      <c r="J671" s="37">
        <v>0.49473236579016183</v>
      </c>
      <c r="K671" s="37">
        <f t="shared" si="85"/>
        <v>0.2099273881892085</v>
      </c>
      <c r="L671" s="37">
        <f t="shared" si="86"/>
        <v>0.25590148620264519</v>
      </c>
      <c r="M671" s="45">
        <f t="shared" si="82"/>
        <v>1.8515364252613586E-2</v>
      </c>
    </row>
    <row r="672" spans="1:13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>
        <f t="shared" si="80"/>
        <v>291.16000000000003</v>
      </c>
      <c r="G672" s="221">
        <f t="shared" si="83"/>
        <v>1.1820185569118835E-3</v>
      </c>
      <c r="H672" s="37">
        <f t="shared" si="84"/>
        <v>2.6605630170849097</v>
      </c>
      <c r="I672" s="37">
        <f t="shared" si="81"/>
        <v>0.97828902138212137</v>
      </c>
      <c r="J672" s="37">
        <v>1.2301133699697997</v>
      </c>
      <c r="K672" s="37">
        <f t="shared" si="85"/>
        <v>0.52196804735414148</v>
      </c>
      <c r="L672" s="37">
        <f t="shared" si="86"/>
        <v>0.63627904972469851</v>
      </c>
      <c r="M672" s="45">
        <f t="shared" si="82"/>
        <v>1.8515364252613586E-2</v>
      </c>
    </row>
    <row r="673" spans="1:13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>
        <f t="shared" si="80"/>
        <v>455.20000000000005</v>
      </c>
      <c r="G673" s="221">
        <f t="shared" si="83"/>
        <v>1.8479696630934515E-3</v>
      </c>
      <c r="H673" s="37">
        <f t="shared" si="84"/>
        <v>4.1595283877491784</v>
      </c>
      <c r="I673" s="37">
        <f t="shared" si="81"/>
        <v>1.5294585881753731</v>
      </c>
      <c r="J673" s="37">
        <v>1.9231611691518506</v>
      </c>
      <c r="K673" s="37">
        <f t="shared" si="85"/>
        <v>0.81604566271330248</v>
      </c>
      <c r="L673" s="37">
        <f t="shared" si="86"/>
        <v>0.99475966284751582</v>
      </c>
      <c r="M673" s="45">
        <f t="shared" si="82"/>
        <v>1.8515364252613582E-2</v>
      </c>
    </row>
    <row r="674" spans="1:13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>
        <f t="shared" si="80"/>
        <v>120</v>
      </c>
      <c r="G674" s="221">
        <f t="shared" si="83"/>
        <v>4.8716247708966207E-4</v>
      </c>
      <c r="H674" s="37">
        <f t="shared" si="84"/>
        <v>1.0965364818319452</v>
      </c>
      <c r="I674" s="37">
        <f t="shared" si="81"/>
        <v>0.40319646436960627</v>
      </c>
      <c r="J674" s="37">
        <v>0.50698449098906428</v>
      </c>
      <c r="K674" s="37">
        <f t="shared" si="85"/>
        <v>0.21512627312301472</v>
      </c>
      <c r="L674" s="37">
        <f t="shared" si="86"/>
        <v>0.26223892693695494</v>
      </c>
      <c r="M674" s="45">
        <f t="shared" si="82"/>
        <v>1.8515364252613586E-2</v>
      </c>
    </row>
    <row r="675" spans="1:13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>
        <f t="shared" si="80"/>
        <v>390.8</v>
      </c>
      <c r="G675" s="221">
        <f t="shared" si="83"/>
        <v>1.5865258003886662E-3</v>
      </c>
      <c r="H675" s="37">
        <f t="shared" si="84"/>
        <v>3.5710538091660351</v>
      </c>
      <c r="I675" s="37">
        <f t="shared" si="81"/>
        <v>1.3130764856303512</v>
      </c>
      <c r="J675" s="37">
        <v>1.6510794923210528</v>
      </c>
      <c r="K675" s="37">
        <f t="shared" si="85"/>
        <v>0.70059456280395138</v>
      </c>
      <c r="L675" s="37">
        <f t="shared" si="86"/>
        <v>0.85402477205801675</v>
      </c>
      <c r="M675" s="45">
        <f t="shared" si="82"/>
        <v>1.8515364252613589E-2</v>
      </c>
    </row>
    <row r="676" spans="1:13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>
        <f t="shared" si="80"/>
        <v>105.1</v>
      </c>
      <c r="G676" s="221">
        <f t="shared" si="83"/>
        <v>4.2667313618436232E-4</v>
      </c>
      <c r="H676" s="37">
        <f t="shared" si="84"/>
        <v>0.96038320200447846</v>
      </c>
      <c r="I676" s="37">
        <f t="shared" si="81"/>
        <v>0.35313290337704678</v>
      </c>
      <c r="J676" s="37">
        <v>0.44403391669125541</v>
      </c>
      <c r="K676" s="37">
        <f t="shared" si="85"/>
        <v>0.18841476087690706</v>
      </c>
      <c r="L676" s="37">
        <f t="shared" si="86"/>
        <v>0.22967759350894973</v>
      </c>
      <c r="M676" s="45">
        <f t="shared" si="82"/>
        <v>1.8515364252613586E-2</v>
      </c>
    </row>
    <row r="677" spans="1:13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>
        <f t="shared" si="80"/>
        <v>168.5</v>
      </c>
      <c r="G677" s="221">
        <f t="shared" si="83"/>
        <v>6.8405731158006715E-4</v>
      </c>
      <c r="H677" s="37">
        <f t="shared" si="84"/>
        <v>1.5397199765723564</v>
      </c>
      <c r="I677" s="37">
        <f t="shared" si="81"/>
        <v>0.56615503538565548</v>
      </c>
      <c r="J677" s="37">
        <v>0.71189072276381105</v>
      </c>
      <c r="K677" s="37">
        <f t="shared" si="85"/>
        <v>0.30207314184356648</v>
      </c>
      <c r="L677" s="37">
        <f t="shared" si="86"/>
        <v>0.36822715990730759</v>
      </c>
      <c r="M677" s="45">
        <f t="shared" si="82"/>
        <v>1.8515364252613589E-2</v>
      </c>
    </row>
    <row r="678" spans="1:13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>
        <f t="shared" si="80"/>
        <v>73.3</v>
      </c>
      <c r="G678" s="221">
        <f t="shared" si="83"/>
        <v>2.9757507975560187E-4</v>
      </c>
      <c r="H678" s="37">
        <f t="shared" si="84"/>
        <v>0.66980103431901317</v>
      </c>
      <c r="I678" s="37">
        <f t="shared" si="81"/>
        <v>0.24628584031910117</v>
      </c>
      <c r="J678" s="37">
        <v>0.30968302657915342</v>
      </c>
      <c r="K678" s="37">
        <f t="shared" si="85"/>
        <v>0.13140629849930816</v>
      </c>
      <c r="L678" s="37">
        <f t="shared" si="86"/>
        <v>0.16018427787065664</v>
      </c>
      <c r="M678" s="45">
        <f t="shared" si="82"/>
        <v>1.8515364252613586E-2</v>
      </c>
    </row>
    <row r="679" spans="1:13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>
        <f t="shared" si="80"/>
        <v>87.3</v>
      </c>
      <c r="G679" s="221">
        <f t="shared" si="83"/>
        <v>3.5441070208272913E-4</v>
      </c>
      <c r="H679" s="37">
        <f t="shared" si="84"/>
        <v>0.79773029053274003</v>
      </c>
      <c r="I679" s="37">
        <f t="shared" si="81"/>
        <v>0.29332542782888854</v>
      </c>
      <c r="J679" s="37">
        <v>0.3688312171945442</v>
      </c>
      <c r="K679" s="37">
        <f t="shared" si="85"/>
        <v>0.15650436369699319</v>
      </c>
      <c r="L679" s="37">
        <f t="shared" si="86"/>
        <v>0.19077881934663471</v>
      </c>
      <c r="M679" s="45">
        <f t="shared" si="82"/>
        <v>1.8515364252613586E-2</v>
      </c>
    </row>
    <row r="680" spans="1:13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>
        <f t="shared" si="80"/>
        <v>227.3</v>
      </c>
      <c r="G680" s="221">
        <f t="shared" si="83"/>
        <v>9.2276692535400164E-4</v>
      </c>
      <c r="H680" s="37">
        <f t="shared" si="84"/>
        <v>2.0770228526700096</v>
      </c>
      <c r="I680" s="37">
        <f t="shared" si="81"/>
        <v>0.76372130292676255</v>
      </c>
      <c r="J680" s="37">
        <v>0.96031312334845242</v>
      </c>
      <c r="K680" s="37">
        <f t="shared" si="85"/>
        <v>0.40748501567384376</v>
      </c>
      <c r="L680" s="37">
        <f t="shared" si="86"/>
        <v>0.49672423410641559</v>
      </c>
      <c r="M680" s="45">
        <f t="shared" si="82"/>
        <v>1.8515364252613586E-2</v>
      </c>
    </row>
    <row r="681" spans="1:13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>
        <f t="shared" si="80"/>
        <v>53.5</v>
      </c>
      <c r="G681" s="221">
        <f t="shared" si="83"/>
        <v>2.1719327103580767E-4</v>
      </c>
      <c r="H681" s="37">
        <f t="shared" si="84"/>
        <v>0.48887251481674221</v>
      </c>
      <c r="I681" s="37">
        <f t="shared" si="81"/>
        <v>0.17975842369811612</v>
      </c>
      <c r="J681" s="37">
        <v>0.22603058556595784</v>
      </c>
      <c r="K681" s="37">
        <f t="shared" si="85"/>
        <v>9.5910463434010731E-2</v>
      </c>
      <c r="L681" s="37">
        <f t="shared" si="86"/>
        <v>0.11691485492605909</v>
      </c>
      <c r="M681" s="45">
        <f t="shared" si="82"/>
        <v>1.8515364252613586E-2</v>
      </c>
    </row>
    <row r="682" spans="1:13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>
        <f t="shared" si="80"/>
        <v>1851.82</v>
      </c>
      <c r="G682" s="221">
        <f t="shared" si="83"/>
        <v>7.5178101527014832E-3</v>
      </c>
      <c r="H682" s="37">
        <f t="shared" si="84"/>
        <v>16.921568231550271</v>
      </c>
      <c r="I682" s="37">
        <f t="shared" si="81"/>
        <v>6.2220606387410351</v>
      </c>
      <c r="J682" s="37">
        <v>7.8237001675280746</v>
      </c>
      <c r="K682" s="37">
        <f t="shared" si="85"/>
        <v>3.3197927924555093</v>
      </c>
      <c r="L682" s="37">
        <f t="shared" si="86"/>
        <v>4.0468274140032658</v>
      </c>
      <c r="M682" s="45">
        <f t="shared" si="82"/>
        <v>1.8515364252613586E-2</v>
      </c>
    </row>
    <row r="683" spans="1:13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>
        <f t="shared" si="80"/>
        <v>933.25</v>
      </c>
      <c r="G683" s="221">
        <f t="shared" si="83"/>
        <v>3.7887031811993928E-3</v>
      </c>
      <c r="H683" s="37">
        <f t="shared" si="84"/>
        <v>8.527855597247191</v>
      </c>
      <c r="I683" s="37">
        <f t="shared" si="81"/>
        <v>3.1356925031077925</v>
      </c>
      <c r="J683" s="37">
        <v>3.9428606351295352</v>
      </c>
      <c r="K683" s="37">
        <f t="shared" si="85"/>
        <v>1.6730549532671124</v>
      </c>
      <c r="L683" s="37">
        <f t="shared" si="86"/>
        <v>2.0394539880326104</v>
      </c>
      <c r="M683" s="45">
        <f t="shared" si="82"/>
        <v>1.8515364252613589E-2</v>
      </c>
    </row>
    <row r="684" spans="1:13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>
        <f t="shared" si="80"/>
        <v>1158.5</v>
      </c>
      <c r="G684" s="221">
        <f t="shared" si="83"/>
        <v>4.7031477475697791E-3</v>
      </c>
      <c r="H684" s="37">
        <f t="shared" si="84"/>
        <v>10.586145951685904</v>
      </c>
      <c r="I684" s="37">
        <f t="shared" si="81"/>
        <v>3.8925258664349069</v>
      </c>
      <c r="J684" s="37">
        <v>4.8945127734235907</v>
      </c>
      <c r="K684" s="37">
        <f t="shared" si="85"/>
        <v>2.0768648951084381</v>
      </c>
      <c r="L684" s="37">
        <f t="shared" si="86"/>
        <v>2.5316983071371864</v>
      </c>
      <c r="M684" s="45">
        <f t="shared" si="82"/>
        <v>1.8515364252613582E-2</v>
      </c>
    </row>
    <row r="685" spans="1:13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 t="shared" si="80"/>
        <v>3775.6499999999996</v>
      </c>
      <c r="G685" s="221">
        <f t="shared" si="83"/>
        <v>1.5327958388529853E-2</v>
      </c>
      <c r="H685" s="37">
        <f t="shared" si="84"/>
        <v>34.50114973023986</v>
      </c>
      <c r="I685" s="37">
        <f t="shared" si="81"/>
        <v>12.686072755809198</v>
      </c>
      <c r="J685" s="37">
        <v>15.951633278357168</v>
      </c>
      <c r="K685" s="37">
        <f t="shared" si="85"/>
        <v>6.7686792759742538</v>
      </c>
      <c r="L685" s="37">
        <f t="shared" si="86"/>
        <v>8.2510200374126157</v>
      </c>
      <c r="M685" s="45">
        <f t="shared" si="82"/>
        <v>1.8515364252613586E-2</v>
      </c>
    </row>
    <row r="686" spans="1:13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>
        <f t="shared" si="80"/>
        <v>79.3</v>
      </c>
      <c r="G686" s="221">
        <f t="shared" si="83"/>
        <v>3.2193320361008501E-4</v>
      </c>
      <c r="H686" s="37">
        <f t="shared" si="84"/>
        <v>0.72462785841061039</v>
      </c>
      <c r="I686" s="37">
        <f t="shared" si="81"/>
        <v>0.26644566353758148</v>
      </c>
      <c r="J686" s="37">
        <v>0.33503225112860663</v>
      </c>
      <c r="K686" s="37">
        <f t="shared" si="85"/>
        <v>0.14216261215545889</v>
      </c>
      <c r="L686" s="37">
        <f t="shared" si="86"/>
        <v>0.1732962242175044</v>
      </c>
      <c r="M686" s="45">
        <f t="shared" si="82"/>
        <v>1.8515364252613586E-2</v>
      </c>
    </row>
    <row r="687" spans="1:13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>
        <f t="shared" si="80"/>
        <v>377.9</v>
      </c>
      <c r="G687" s="221">
        <f t="shared" si="83"/>
        <v>1.5341558341015274E-3</v>
      </c>
      <c r="H687" s="37">
        <f t="shared" si="84"/>
        <v>3.4531761373691006</v>
      </c>
      <c r="I687" s="37">
        <f t="shared" si="81"/>
        <v>1.2697328657106184</v>
      </c>
      <c r="J687" s="37">
        <v>1.5965786595397282</v>
      </c>
      <c r="K687" s="37">
        <f t="shared" si="85"/>
        <v>0.67746848844322716</v>
      </c>
      <c r="L687" s="37">
        <f t="shared" si="86"/>
        <v>0.82583408741229392</v>
      </c>
      <c r="M687" s="45">
        <f t="shared" si="82"/>
        <v>1.8515364252613589E-2</v>
      </c>
    </row>
    <row r="688" spans="1:13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>
        <f t="shared" si="80"/>
        <v>86.1</v>
      </c>
      <c r="G688" s="221">
        <f t="shared" si="83"/>
        <v>3.495390773118325E-4</v>
      </c>
      <c r="H688" s="37">
        <f t="shared" si="84"/>
        <v>0.78676492571442058</v>
      </c>
      <c r="I688" s="37">
        <f t="shared" si="81"/>
        <v>0.28929346318519245</v>
      </c>
      <c r="J688" s="37">
        <v>0.36376137228465361</v>
      </c>
      <c r="K688" s="37">
        <f t="shared" si="85"/>
        <v>0.15435310096576305</v>
      </c>
      <c r="L688" s="37">
        <f t="shared" si="86"/>
        <v>0.18815643007726515</v>
      </c>
      <c r="M688" s="45">
        <f t="shared" si="82"/>
        <v>1.8515364252613586E-2</v>
      </c>
    </row>
    <row r="689" spans="1:13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>
        <f t="shared" si="80"/>
        <v>59.7</v>
      </c>
      <c r="G689" s="221">
        <f t="shared" si="83"/>
        <v>2.4236333235210688E-4</v>
      </c>
      <c r="H689" s="37">
        <f t="shared" si="84"/>
        <v>0.54552689971139268</v>
      </c>
      <c r="I689" s="37">
        <f t="shared" si="81"/>
        <v>0.2005902410238791</v>
      </c>
      <c r="J689" s="37">
        <v>0.25222478426705947</v>
      </c>
      <c r="K689" s="37">
        <f t="shared" si="85"/>
        <v>0.10702532087869983</v>
      </c>
      <c r="L689" s="37">
        <f t="shared" si="86"/>
        <v>0.13046386615113509</v>
      </c>
      <c r="M689" s="45">
        <f t="shared" si="82"/>
        <v>1.8515364252613586E-2</v>
      </c>
    </row>
    <row r="690" spans="1:13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>
        <f t="shared" si="80"/>
        <v>66.099999999999994</v>
      </c>
      <c r="G690" s="221">
        <f t="shared" si="83"/>
        <v>2.6834533113022217E-4</v>
      </c>
      <c r="H690" s="37">
        <f t="shared" si="84"/>
        <v>0.60400884540909627</v>
      </c>
      <c r="I690" s="37">
        <f t="shared" si="81"/>
        <v>0.22209405245692471</v>
      </c>
      <c r="J690" s="37">
        <v>0.2792639571198095</v>
      </c>
      <c r="K690" s="37">
        <f t="shared" si="85"/>
        <v>0.11849872211192726</v>
      </c>
      <c r="L690" s="37">
        <f t="shared" si="86"/>
        <v>0.14444994225443933</v>
      </c>
      <c r="M690" s="45">
        <f t="shared" si="82"/>
        <v>1.8515364252613579E-2</v>
      </c>
    </row>
    <row r="691" spans="1:13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>
        <f t="shared" si="80"/>
        <v>111.6</v>
      </c>
      <c r="G691" s="221">
        <f t="shared" si="83"/>
        <v>4.5306110369338568E-4</v>
      </c>
      <c r="H691" s="37">
        <f t="shared" si="84"/>
        <v>1.0197789281037088</v>
      </c>
      <c r="I691" s="37">
        <f t="shared" si="81"/>
        <v>0.37497271186373377</v>
      </c>
      <c r="J691" s="37">
        <v>0.47149557661982971</v>
      </c>
      <c r="K691" s="37">
        <f t="shared" si="85"/>
        <v>0.20006743400440369</v>
      </c>
      <c r="L691" s="37">
        <f t="shared" si="86"/>
        <v>0.24388220205136812</v>
      </c>
      <c r="M691" s="45">
        <f t="shared" si="82"/>
        <v>1.8515364252613582E-2</v>
      </c>
    </row>
    <row r="692" spans="1:13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>
        <f t="shared" si="80"/>
        <v>119.2</v>
      </c>
      <c r="G692" s="221">
        <f t="shared" si="83"/>
        <v>4.8391472724239765E-4</v>
      </c>
      <c r="H692" s="37">
        <f t="shared" si="84"/>
        <v>1.0892262386197322</v>
      </c>
      <c r="I692" s="37">
        <f t="shared" si="81"/>
        <v>0.40050848794047555</v>
      </c>
      <c r="J692" s="37">
        <v>0.50360459438247052</v>
      </c>
      <c r="K692" s="37">
        <f t="shared" si="85"/>
        <v>0.21369209796886129</v>
      </c>
      <c r="L692" s="37">
        <f t="shared" si="86"/>
        <v>0.26049066742404192</v>
      </c>
      <c r="M692" s="45">
        <f t="shared" si="82"/>
        <v>1.8515364252613589E-2</v>
      </c>
    </row>
    <row r="693" spans="1:13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>
        <f t="shared" si="80"/>
        <v>139.6</v>
      </c>
      <c r="G693" s="221">
        <f t="shared" si="83"/>
        <v>5.6673234834764014E-4</v>
      </c>
      <c r="H693" s="37">
        <f t="shared" si="84"/>
        <v>1.2756374405311626</v>
      </c>
      <c r="I693" s="37">
        <f t="shared" si="81"/>
        <v>0.46905188688330851</v>
      </c>
      <c r="J693" s="37">
        <v>0.58979195785061134</v>
      </c>
      <c r="K693" s="37">
        <f t="shared" si="85"/>
        <v>0.25026356439977376</v>
      </c>
      <c r="L693" s="37">
        <f t="shared" si="86"/>
        <v>0.30507128500332426</v>
      </c>
      <c r="M693" s="45">
        <f t="shared" si="82"/>
        <v>1.8515364252613586E-2</v>
      </c>
    </row>
    <row r="694" spans="1:13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>
        <f t="shared" si="80"/>
        <v>66.5</v>
      </c>
      <c r="G694" s="221">
        <f t="shared" si="83"/>
        <v>2.6996920605385438E-4</v>
      </c>
      <c r="H694" s="37">
        <f t="shared" si="84"/>
        <v>0.60766396701520276</v>
      </c>
      <c r="I694" s="37">
        <f t="shared" si="81"/>
        <v>0.22343804067149006</v>
      </c>
      <c r="J694" s="37">
        <v>0.28095390542310644</v>
      </c>
      <c r="K694" s="37">
        <f t="shared" si="85"/>
        <v>0.11921580968900398</v>
      </c>
      <c r="L694" s="37">
        <f t="shared" si="86"/>
        <v>0.14532407201089587</v>
      </c>
      <c r="M694" s="45">
        <f t="shared" si="82"/>
        <v>1.8515364252613582E-2</v>
      </c>
    </row>
    <row r="695" spans="1:13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>
        <f t="shared" si="80"/>
        <v>67</v>
      </c>
      <c r="G695" s="221">
        <f t="shared" si="83"/>
        <v>2.7199904970839466E-4</v>
      </c>
      <c r="H695" s="37">
        <f t="shared" si="84"/>
        <v>0.61223286902283613</v>
      </c>
      <c r="I695" s="37">
        <f t="shared" si="81"/>
        <v>0.22511802593969688</v>
      </c>
      <c r="J695" s="37">
        <v>0.28306634080222759</v>
      </c>
      <c r="K695" s="37">
        <f t="shared" si="85"/>
        <v>0.12011216916034989</v>
      </c>
      <c r="L695" s="37">
        <f t="shared" si="86"/>
        <v>0.14641673420646653</v>
      </c>
      <c r="M695" s="45">
        <f t="shared" si="82"/>
        <v>1.8515364252613586E-2</v>
      </c>
    </row>
    <row r="696" spans="1:13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>
        <f t="shared" si="80"/>
        <v>212.2</v>
      </c>
      <c r="G696" s="221">
        <f t="shared" si="83"/>
        <v>8.6146564698688568E-4</v>
      </c>
      <c r="H696" s="37">
        <f t="shared" si="84"/>
        <v>1.9390420120394896</v>
      </c>
      <c r="I696" s="37">
        <f t="shared" si="81"/>
        <v>0.71298574782692037</v>
      </c>
      <c r="J696" s="37">
        <v>0.8965175748989952</v>
      </c>
      <c r="K696" s="37">
        <f t="shared" si="85"/>
        <v>0.38041495963919769</v>
      </c>
      <c r="L696" s="37">
        <f t="shared" si="86"/>
        <v>0.46372583580018201</v>
      </c>
      <c r="M696" s="45">
        <f t="shared" si="82"/>
        <v>1.8515364252613586E-2</v>
      </c>
    </row>
    <row r="697" spans="1:13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>
        <f t="shared" si="80"/>
        <v>41.6</v>
      </c>
      <c r="G697" s="221">
        <f t="shared" si="83"/>
        <v>1.6888299205774951E-4</v>
      </c>
      <c r="H697" s="37">
        <f t="shared" si="84"/>
        <v>0.38013264703507427</v>
      </c>
      <c r="I697" s="37">
        <f t="shared" si="81"/>
        <v>0.13977477431479682</v>
      </c>
      <c r="J697" s="37">
        <v>0.1757546235428756</v>
      </c>
      <c r="K697" s="37">
        <f t="shared" si="85"/>
        <v>7.457710801597843E-2</v>
      </c>
      <c r="L697" s="37">
        <f t="shared" si="86"/>
        <v>9.0909494671477714E-2</v>
      </c>
      <c r="M697" s="45">
        <f t="shared" si="82"/>
        <v>1.8515364252613586E-2</v>
      </c>
    </row>
    <row r="698" spans="1:13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>
        <f t="shared" ref="F698:F746" si="87">C698+D698+E698</f>
        <v>466.8</v>
      </c>
      <c r="G698" s="221">
        <f t="shared" si="83"/>
        <v>1.8950620358787855E-3</v>
      </c>
      <c r="H698" s="37">
        <f t="shared" si="84"/>
        <v>4.2655269143262666</v>
      </c>
      <c r="I698" s="37">
        <f t="shared" ref="I698:I745" si="88">H698*0.3677</f>
        <v>1.5684342463977683</v>
      </c>
      <c r="J698" s="37">
        <v>1.97216966994746</v>
      </c>
      <c r="K698" s="37">
        <f t="shared" si="85"/>
        <v>0.83684120244852733</v>
      </c>
      <c r="L698" s="37">
        <f t="shared" si="86"/>
        <v>1.0201094257847549</v>
      </c>
      <c r="M698" s="45">
        <f t="shared" si="82"/>
        <v>1.8515364252613582E-2</v>
      </c>
    </row>
    <row r="699" spans="1:13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>
        <f t="shared" si="87"/>
        <v>681.36</v>
      </c>
      <c r="G699" s="221">
        <f t="shared" si="83"/>
        <v>2.7661085449151011E-3</v>
      </c>
      <c r="H699" s="37">
        <f t="shared" si="84"/>
        <v>6.2261341438417839</v>
      </c>
      <c r="I699" s="37">
        <f t="shared" si="88"/>
        <v>2.2893495246906239</v>
      </c>
      <c r="J699" s="37">
        <v>2.8786579398359069</v>
      </c>
      <c r="K699" s="37">
        <f t="shared" si="85"/>
        <v>1.2214869787924776</v>
      </c>
      <c r="L699" s="37">
        <f t="shared" si="86"/>
        <v>1.4889926271480303</v>
      </c>
      <c r="M699" s="45">
        <f t="shared" si="82"/>
        <v>1.8515364252613586E-2</v>
      </c>
    </row>
    <row r="700" spans="1:13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>
        <f t="shared" si="87"/>
        <v>58.2</v>
      </c>
      <c r="G700" s="221">
        <f t="shared" si="83"/>
        <v>2.3627380138848612E-4</v>
      </c>
      <c r="H700" s="37">
        <f t="shared" si="84"/>
        <v>0.53182019368849343</v>
      </c>
      <c r="I700" s="37">
        <f t="shared" si="88"/>
        <v>0.19555028521925905</v>
      </c>
      <c r="J700" s="37">
        <v>0.24588747812969619</v>
      </c>
      <c r="K700" s="37">
        <f t="shared" si="85"/>
        <v>0.10433624246466215</v>
      </c>
      <c r="L700" s="37">
        <f t="shared" si="86"/>
        <v>0.12718587956442318</v>
      </c>
      <c r="M700" s="45">
        <f t="shared" si="82"/>
        <v>1.8515364252613586E-2</v>
      </c>
    </row>
    <row r="701" spans="1:13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>
        <f t="shared" si="87"/>
        <v>504.2</v>
      </c>
      <c r="G701" s="221">
        <f t="shared" si="83"/>
        <v>2.0468943412383965E-3</v>
      </c>
      <c r="H701" s="37">
        <f t="shared" si="84"/>
        <v>4.6072807844972221</v>
      </c>
      <c r="I701" s="37">
        <f t="shared" si="88"/>
        <v>1.6940971444596287</v>
      </c>
      <c r="J701" s="37">
        <v>2.1301798363057181</v>
      </c>
      <c r="K701" s="37">
        <f t="shared" si="85"/>
        <v>0.90388889090520008</v>
      </c>
      <c r="L701" s="37">
        <f t="shared" si="86"/>
        <v>1.1018405580134389</v>
      </c>
      <c r="M701" s="45">
        <f t="shared" si="82"/>
        <v>1.8515364252613582E-2</v>
      </c>
    </row>
    <row r="702" spans="1:13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>
        <f t="shared" si="87"/>
        <v>166.6</v>
      </c>
      <c r="G702" s="221">
        <f t="shared" si="83"/>
        <v>6.7634390569281408E-4</v>
      </c>
      <c r="H702" s="37">
        <f t="shared" si="84"/>
        <v>1.5223581489433504</v>
      </c>
      <c r="I702" s="37">
        <f t="shared" si="88"/>
        <v>0.55977109136646996</v>
      </c>
      <c r="J702" s="37">
        <v>0.70386346832315094</v>
      </c>
      <c r="K702" s="37">
        <f t="shared" si="85"/>
        <v>0.29866697585245205</v>
      </c>
      <c r="L702" s="37">
        <f t="shared" si="86"/>
        <v>0.36407504356413906</v>
      </c>
      <c r="M702" s="45">
        <f t="shared" si="82"/>
        <v>1.8515364252613586E-2</v>
      </c>
    </row>
    <row r="703" spans="1:13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>
        <f t="shared" si="87"/>
        <v>37.799999999999997</v>
      </c>
      <c r="G703" s="221">
        <f t="shared" si="83"/>
        <v>1.5345618028324352E-4</v>
      </c>
      <c r="H703" s="37">
        <f t="shared" si="84"/>
        <v>0.34540899177706264</v>
      </c>
      <c r="I703" s="37">
        <f t="shared" si="88"/>
        <v>0.12700688627642595</v>
      </c>
      <c r="J703" s="37">
        <v>0.1597001146615552</v>
      </c>
      <c r="K703" s="37">
        <f t="shared" si="85"/>
        <v>6.7764776033749627E-2</v>
      </c>
      <c r="L703" s="37">
        <f t="shared" si="86"/>
        <v>8.2605261985140802E-2</v>
      </c>
      <c r="M703" s="45">
        <f t="shared" si="82"/>
        <v>1.8515364252613586E-2</v>
      </c>
    </row>
    <row r="704" spans="1:13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>
        <f t="shared" si="87"/>
        <v>55.5</v>
      </c>
      <c r="G704" s="221">
        <f t="shared" si="83"/>
        <v>2.2531264565396871E-4</v>
      </c>
      <c r="H704" s="37">
        <f t="shared" si="84"/>
        <v>0.50714812284727462</v>
      </c>
      <c r="I704" s="37">
        <f t="shared" si="88"/>
        <v>0.1864783647709429</v>
      </c>
      <c r="J704" s="37">
        <v>0.23448032708244224</v>
      </c>
      <c r="K704" s="37">
        <f t="shared" si="85"/>
        <v>9.94959013193943E-2</v>
      </c>
      <c r="L704" s="37">
        <f t="shared" si="86"/>
        <v>0.12128550370834167</v>
      </c>
      <c r="M704" s="45">
        <f t="shared" si="82"/>
        <v>1.8515364252613586E-2</v>
      </c>
    </row>
    <row r="705" spans="1:13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>
        <f t="shared" si="87"/>
        <v>146.19999999999999</v>
      </c>
      <c r="G705" s="221">
        <f t="shared" si="83"/>
        <v>5.9352628458757154E-4</v>
      </c>
      <c r="H705" s="37">
        <f t="shared" si="84"/>
        <v>1.3359469470319196</v>
      </c>
      <c r="I705" s="37">
        <f t="shared" si="88"/>
        <v>0.4912276924236369</v>
      </c>
      <c r="J705" s="37">
        <v>0.6176761048550099</v>
      </c>
      <c r="K705" s="37">
        <f t="shared" si="85"/>
        <v>0.26209550942153959</v>
      </c>
      <c r="L705" s="37">
        <f t="shared" si="86"/>
        <v>0.31949442598485678</v>
      </c>
      <c r="M705" s="45">
        <f t="shared" si="82"/>
        <v>1.8515364252613586E-2</v>
      </c>
    </row>
    <row r="706" spans="1:13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>
        <f t="shared" si="87"/>
        <v>47.9</v>
      </c>
      <c r="G706" s="221">
        <f t="shared" si="83"/>
        <v>1.9445902210495677E-4</v>
      </c>
      <c r="H706" s="37">
        <f t="shared" si="84"/>
        <v>0.43770081233125141</v>
      </c>
      <c r="I706" s="37">
        <f t="shared" si="88"/>
        <v>0.16094258869420117</v>
      </c>
      <c r="J706" s="37">
        <v>0.20237130931980146</v>
      </c>
      <c r="K706" s="37">
        <f t="shared" si="85"/>
        <v>8.5871237354936708E-2</v>
      </c>
      <c r="L706" s="37">
        <f t="shared" si="86"/>
        <v>0.10467703833566785</v>
      </c>
      <c r="M706" s="45">
        <f t="shared" si="82"/>
        <v>1.8515364252613586E-2</v>
      </c>
    </row>
    <row r="707" spans="1:13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>
        <f t="shared" si="87"/>
        <v>72.400000000000006</v>
      </c>
      <c r="G707" s="221">
        <f t="shared" si="83"/>
        <v>2.9392136117742948E-4</v>
      </c>
      <c r="H707" s="37">
        <f t="shared" si="84"/>
        <v>0.66157701070527375</v>
      </c>
      <c r="I707" s="37">
        <f t="shared" si="88"/>
        <v>0.24326186683632917</v>
      </c>
      <c r="J707" s="37">
        <v>0.30588064289673544</v>
      </c>
      <c r="K707" s="37">
        <f t="shared" si="85"/>
        <v>0.12979285145088557</v>
      </c>
      <c r="L707" s="37">
        <f t="shared" si="86"/>
        <v>0.15821748591862952</v>
      </c>
      <c r="M707" s="45">
        <f t="shared" si="82"/>
        <v>1.8515364252613586E-2</v>
      </c>
    </row>
    <row r="708" spans="1:13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>
        <f t="shared" si="87"/>
        <v>73</v>
      </c>
      <c r="G708" s="221">
        <f t="shared" si="83"/>
        <v>2.9635717356287774E-4</v>
      </c>
      <c r="H708" s="37">
        <f t="shared" si="84"/>
        <v>0.66705969311443325</v>
      </c>
      <c r="I708" s="37">
        <f t="shared" si="88"/>
        <v>0.24527784915817713</v>
      </c>
      <c r="J708" s="37">
        <v>0.30841556535168074</v>
      </c>
      <c r="K708" s="37">
        <f t="shared" si="85"/>
        <v>0.13086848281650063</v>
      </c>
      <c r="L708" s="37">
        <f t="shared" si="86"/>
        <v>0.15952868055331426</v>
      </c>
      <c r="M708" s="45">
        <f t="shared" si="82"/>
        <v>1.8515364252613586E-2</v>
      </c>
    </row>
    <row r="709" spans="1:13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>
        <f t="shared" si="87"/>
        <v>110</v>
      </c>
      <c r="G709" s="221">
        <f t="shared" si="83"/>
        <v>4.465656039988569E-4</v>
      </c>
      <c r="H709" s="37">
        <f t="shared" si="84"/>
        <v>1.0051584416792829</v>
      </c>
      <c r="I709" s="37">
        <f t="shared" si="88"/>
        <v>0.36959675900547234</v>
      </c>
      <c r="J709" s="37">
        <v>0.46473578340664223</v>
      </c>
      <c r="K709" s="37">
        <f t="shared" si="85"/>
        <v>0.19719908369609682</v>
      </c>
      <c r="L709" s="37">
        <f t="shared" si="86"/>
        <v>0.24038568302554203</v>
      </c>
      <c r="M709" s="45">
        <f t="shared" si="82"/>
        <v>1.8515364252613586E-2</v>
      </c>
    </row>
    <row r="710" spans="1:13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>
        <f t="shared" si="87"/>
        <v>382</v>
      </c>
      <c r="G710" s="221">
        <f t="shared" si="83"/>
        <v>1.5508005520687576E-3</v>
      </c>
      <c r="H710" s="37">
        <f t="shared" si="84"/>
        <v>3.4906411338316916</v>
      </c>
      <c r="I710" s="37">
        <f t="shared" si="88"/>
        <v>1.2835087449099132</v>
      </c>
      <c r="J710" s="37">
        <v>1.6139006296485214</v>
      </c>
      <c r="K710" s="37">
        <f t="shared" si="85"/>
        <v>0.68481863610826355</v>
      </c>
      <c r="L710" s="37">
        <f t="shared" si="86"/>
        <v>0.83479391741597331</v>
      </c>
      <c r="M710" s="45">
        <f t="shared" si="82"/>
        <v>1.8515364252613586E-2</v>
      </c>
    </row>
    <row r="711" spans="1:13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>
        <f t="shared" si="87"/>
        <v>226.9</v>
      </c>
      <c r="G711" s="221">
        <f t="shared" si="83"/>
        <v>9.2114305043036933E-4</v>
      </c>
      <c r="H711" s="37">
        <f t="shared" si="84"/>
        <v>2.0733677310639025</v>
      </c>
      <c r="I711" s="37">
        <f t="shared" si="88"/>
        <v>0.76237731471219705</v>
      </c>
      <c r="J711" s="37">
        <v>0.95862317504515571</v>
      </c>
      <c r="K711" s="37">
        <f t="shared" si="85"/>
        <v>0.40676792809676698</v>
      </c>
      <c r="L711" s="37">
        <f t="shared" si="86"/>
        <v>0.49585010434995896</v>
      </c>
      <c r="M711" s="45">
        <f t="shared" ref="M711:M774" si="89">(K711+J711+I711+H711)/F711</f>
        <v>1.8515364252613586E-2</v>
      </c>
    </row>
    <row r="712" spans="1:13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>
        <f t="shared" si="87"/>
        <v>142.6</v>
      </c>
      <c r="G712" s="221">
        <f t="shared" si="83"/>
        <v>5.7891141027488176E-4</v>
      </c>
      <c r="H712" s="37">
        <f t="shared" si="84"/>
        <v>1.3030508525769615</v>
      </c>
      <c r="I712" s="37">
        <f t="shared" si="88"/>
        <v>0.47913179849254878</v>
      </c>
      <c r="J712" s="37">
        <v>0.602466570125338</v>
      </c>
      <c r="K712" s="37">
        <f t="shared" si="85"/>
        <v>0.25564172122784917</v>
      </c>
      <c r="L712" s="37">
        <f t="shared" si="86"/>
        <v>0.31162725817674819</v>
      </c>
      <c r="M712" s="45">
        <f t="shared" si="89"/>
        <v>1.8515364252613586E-2</v>
      </c>
    </row>
    <row r="713" spans="1:13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>
        <f t="shared" si="87"/>
        <v>428.31</v>
      </c>
      <c r="G713" s="221">
        <f t="shared" si="83"/>
        <v>1.7388046713522763E-3</v>
      </c>
      <c r="H713" s="37">
        <f t="shared" si="84"/>
        <v>3.9138128377786696</v>
      </c>
      <c r="I713" s="37">
        <f t="shared" si="88"/>
        <v>1.4391089804512169</v>
      </c>
      <c r="J713" s="37">
        <v>1.8095543944627175</v>
      </c>
      <c r="K713" s="37">
        <f t="shared" si="85"/>
        <v>0.76783945034432033</v>
      </c>
      <c r="L713" s="37">
        <f t="shared" si="86"/>
        <v>0.9359962899697265</v>
      </c>
      <c r="M713" s="45">
        <f t="shared" si="89"/>
        <v>1.8515364252613586E-2</v>
      </c>
    </row>
    <row r="714" spans="1:13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>
        <f t="shared" si="87"/>
        <v>744.3</v>
      </c>
      <c r="G714" s="221">
        <f t="shared" si="83"/>
        <v>3.0216252641486288E-3</v>
      </c>
      <c r="H714" s="37">
        <f t="shared" si="84"/>
        <v>6.8012675285626392</v>
      </c>
      <c r="I714" s="37">
        <f t="shared" si="88"/>
        <v>2.5008260702524825</v>
      </c>
      <c r="J714" s="37">
        <v>3.1445713053596704</v>
      </c>
      <c r="K714" s="37">
        <f t="shared" si="85"/>
        <v>1.3343207090454987</v>
      </c>
      <c r="L714" s="37">
        <f t="shared" si="86"/>
        <v>1.626536944326463</v>
      </c>
      <c r="M714" s="45">
        <f t="shared" si="89"/>
        <v>1.8515364252613586E-2</v>
      </c>
    </row>
    <row r="715" spans="1:13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>
        <f t="shared" si="87"/>
        <v>1084.5899999999999</v>
      </c>
      <c r="G715" s="221">
        <f t="shared" si="83"/>
        <v>4.4030962585556374E-3</v>
      </c>
      <c r="H715" s="37">
        <f t="shared" si="84"/>
        <v>9.9107708569175763</v>
      </c>
      <c r="I715" s="37">
        <f t="shared" si="88"/>
        <v>3.6441904440885931</v>
      </c>
      <c r="J715" s="37">
        <v>4.5822525756819097</v>
      </c>
      <c r="K715" s="37">
        <f t="shared" si="85"/>
        <v>1.9443650380540876</v>
      </c>
      <c r="L715" s="37">
        <f t="shared" si="86"/>
        <v>2.3701809813879331</v>
      </c>
      <c r="M715" s="45">
        <f t="shared" si="89"/>
        <v>1.8515364252613586E-2</v>
      </c>
    </row>
    <row r="716" spans="1:13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>
        <f t="shared" si="87"/>
        <v>1069.71</v>
      </c>
      <c r="G716" s="221">
        <f t="shared" si="83"/>
        <v>4.3426881113965204E-3</v>
      </c>
      <c r="H716" s="37">
        <f t="shared" si="84"/>
        <v>9.7748003331704165</v>
      </c>
      <c r="I716" s="37">
        <f t="shared" si="88"/>
        <v>3.5941940825067622</v>
      </c>
      <c r="J716" s="37">
        <v>4.5193864987992658</v>
      </c>
      <c r="K716" s="37">
        <f t="shared" si="85"/>
        <v>1.917689380186834</v>
      </c>
      <c r="L716" s="37">
        <f t="shared" si="86"/>
        <v>2.3376633544477508</v>
      </c>
      <c r="M716" s="45">
        <f t="shared" si="89"/>
        <v>1.8515364252613586E-2</v>
      </c>
    </row>
    <row r="717" spans="1:13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>
        <f t="shared" si="87"/>
        <v>196.8</v>
      </c>
      <c r="G717" s="221">
        <f t="shared" si="83"/>
        <v>7.989464624270458E-4</v>
      </c>
      <c r="H717" s="37">
        <f t="shared" si="84"/>
        <v>1.7983198302043901</v>
      </c>
      <c r="I717" s="37">
        <f t="shared" si="88"/>
        <v>0.66124220156615432</v>
      </c>
      <c r="J717" s="37">
        <v>0.8314545652220654</v>
      </c>
      <c r="K717" s="37">
        <f t="shared" si="85"/>
        <v>0.35280708792174414</v>
      </c>
      <c r="L717" s="37">
        <f t="shared" si="86"/>
        <v>0.43007184017660616</v>
      </c>
      <c r="M717" s="45">
        <f t="shared" si="89"/>
        <v>1.8515364252613586E-2</v>
      </c>
    </row>
    <row r="718" spans="1:13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>
        <f t="shared" si="87"/>
        <v>625.9</v>
      </c>
      <c r="G718" s="221">
        <f t="shared" si="83"/>
        <v>2.5409582867534958E-3</v>
      </c>
      <c r="H718" s="37">
        <f t="shared" si="84"/>
        <v>5.7193515331551215</v>
      </c>
      <c r="I718" s="37">
        <f t="shared" si="88"/>
        <v>2.1030055587411383</v>
      </c>
      <c r="J718" s="37">
        <v>2.6443466075837945</v>
      </c>
      <c r="K718" s="37">
        <f t="shared" si="85"/>
        <v>1.122062786230791</v>
      </c>
      <c r="L718" s="37">
        <f t="shared" si="86"/>
        <v>1.3677945364153343</v>
      </c>
      <c r="M718" s="45">
        <f t="shared" si="89"/>
        <v>1.8515364252613589E-2</v>
      </c>
    </row>
    <row r="719" spans="1:13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>
        <f t="shared" si="87"/>
        <v>127.5</v>
      </c>
      <c r="G719" s="221">
        <f t="shared" si="83"/>
        <v>5.1761013190776591E-4</v>
      </c>
      <c r="H719" s="37">
        <f t="shared" si="84"/>
        <v>1.1650700119464417</v>
      </c>
      <c r="I719" s="37">
        <f t="shared" si="88"/>
        <v>0.42839624339270665</v>
      </c>
      <c r="J719" s="37">
        <v>0.53867102167588077</v>
      </c>
      <c r="K719" s="37">
        <f t="shared" si="85"/>
        <v>0.22857166519320313</v>
      </c>
      <c r="L719" s="37">
        <f t="shared" si="86"/>
        <v>0.27862885987051461</v>
      </c>
      <c r="M719" s="45">
        <f t="shared" si="89"/>
        <v>1.8515364252613586E-2</v>
      </c>
    </row>
    <row r="720" spans="1:13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>
        <f t="shared" si="87"/>
        <v>561.25</v>
      </c>
      <c r="G720" s="221">
        <f t="shared" si="83"/>
        <v>2.2784995022214405E-3</v>
      </c>
      <c r="H720" s="37">
        <f t="shared" si="84"/>
        <v>5.1285925035681608</v>
      </c>
      <c r="I720" s="37">
        <f t="shared" si="88"/>
        <v>1.8857834635620128</v>
      </c>
      <c r="J720" s="37">
        <v>2.3712087130634365</v>
      </c>
      <c r="K720" s="37">
        <f t="shared" si="85"/>
        <v>1.0061635065857668</v>
      </c>
      <c r="L720" s="37">
        <f t="shared" si="86"/>
        <v>1.2265133145280498</v>
      </c>
      <c r="M720" s="45">
        <f t="shared" si="89"/>
        <v>1.8515364252613589E-2</v>
      </c>
    </row>
    <row r="721" spans="1:13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>
        <f t="shared" si="87"/>
        <v>122.9</v>
      </c>
      <c r="G721" s="221">
        <f t="shared" si="83"/>
        <v>4.9893557028599556E-4</v>
      </c>
      <c r="H721" s="37">
        <f t="shared" si="84"/>
        <v>1.123036113476217</v>
      </c>
      <c r="I721" s="37">
        <f t="shared" si="88"/>
        <v>0.41294037892520502</v>
      </c>
      <c r="J721" s="37">
        <v>0.51923661618796668</v>
      </c>
      <c r="K721" s="37">
        <f t="shared" si="85"/>
        <v>0.2203251580568209</v>
      </c>
      <c r="L721" s="37">
        <f t="shared" si="86"/>
        <v>0.26857636767126469</v>
      </c>
      <c r="M721" s="45">
        <f t="shared" si="89"/>
        <v>1.8515364252613586E-2</v>
      </c>
    </row>
    <row r="722" spans="1:13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>
        <f t="shared" si="87"/>
        <v>82.5</v>
      </c>
      <c r="G722" s="221">
        <f t="shared" si="83"/>
        <v>3.3492420299914268E-4</v>
      </c>
      <c r="H722" s="37">
        <f t="shared" si="84"/>
        <v>0.75386883125946225</v>
      </c>
      <c r="I722" s="37">
        <f t="shared" si="88"/>
        <v>0.27719756925410427</v>
      </c>
      <c r="J722" s="37">
        <v>0.34855183755498176</v>
      </c>
      <c r="K722" s="37">
        <f t="shared" si="85"/>
        <v>0.14789931277207263</v>
      </c>
      <c r="L722" s="37">
        <f t="shared" si="86"/>
        <v>0.18028926226915656</v>
      </c>
      <c r="M722" s="45">
        <f t="shared" si="89"/>
        <v>1.8515364252613586E-2</v>
      </c>
    </row>
    <row r="723" spans="1:13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>
        <f t="shared" si="87"/>
        <v>118.7</v>
      </c>
      <c r="G723" s="221">
        <f t="shared" si="83"/>
        <v>4.8188488358785742E-4</v>
      </c>
      <c r="H723" s="37">
        <f t="shared" si="84"/>
        <v>1.0846573366120991</v>
      </c>
      <c r="I723" s="37">
        <f t="shared" si="88"/>
        <v>0.39882850267226888</v>
      </c>
      <c r="J723" s="37">
        <v>0.50149215900334942</v>
      </c>
      <c r="K723" s="37">
        <f t="shared" si="85"/>
        <v>0.2127957384975154</v>
      </c>
      <c r="L723" s="37">
        <f t="shared" si="86"/>
        <v>0.25939800522847128</v>
      </c>
      <c r="M723" s="45">
        <f t="shared" si="89"/>
        <v>1.8515364252613586E-2</v>
      </c>
    </row>
    <row r="724" spans="1:13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>
        <f t="shared" si="87"/>
        <v>113.8</v>
      </c>
      <c r="G724" s="221">
        <f t="shared" si="83"/>
        <v>4.6199241577336283E-4</v>
      </c>
      <c r="H724" s="37">
        <f t="shared" si="84"/>
        <v>1.0398820969372946</v>
      </c>
      <c r="I724" s="37">
        <f t="shared" si="88"/>
        <v>0.38236464704384326</v>
      </c>
      <c r="J724" s="37">
        <v>0.48079029228796261</v>
      </c>
      <c r="K724" s="37">
        <f t="shared" si="85"/>
        <v>0.20401141567832559</v>
      </c>
      <c r="L724" s="37">
        <f t="shared" si="86"/>
        <v>0.2486899157118789</v>
      </c>
      <c r="M724" s="45">
        <f t="shared" si="89"/>
        <v>1.8515364252613586E-2</v>
      </c>
    </row>
    <row r="725" spans="1:13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>
        <f t="shared" si="87"/>
        <v>294</v>
      </c>
      <c r="G725" s="221">
        <f t="shared" si="83"/>
        <v>1.1935480688696721E-3</v>
      </c>
      <c r="H725" s="37">
        <f t="shared" si="84"/>
        <v>2.6865143804882656</v>
      </c>
      <c r="I725" s="37">
        <f t="shared" si="88"/>
        <v>0.98783133770553533</v>
      </c>
      <c r="J725" s="37">
        <v>1.2421120029232076</v>
      </c>
      <c r="K725" s="37">
        <f t="shared" si="85"/>
        <v>0.52705936915138607</v>
      </c>
      <c r="L725" s="37">
        <f t="shared" si="86"/>
        <v>0.64248537099553971</v>
      </c>
      <c r="M725" s="45">
        <f t="shared" si="89"/>
        <v>1.8515364252613586E-2</v>
      </c>
    </row>
    <row r="726" spans="1:13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>
        <f t="shared" si="87"/>
        <v>38.6</v>
      </c>
      <c r="G726" s="221">
        <f t="shared" si="83"/>
        <v>1.5670393013050797E-4</v>
      </c>
      <c r="H726" s="37">
        <f t="shared" si="84"/>
        <v>0.35271923498927565</v>
      </c>
      <c r="I726" s="37">
        <f t="shared" si="88"/>
        <v>0.12969486270555666</v>
      </c>
      <c r="J726" s="37">
        <v>0.16308001126814903</v>
      </c>
      <c r="K726" s="37">
        <f t="shared" si="85"/>
        <v>6.9198951187903063E-2</v>
      </c>
      <c r="L726" s="37">
        <f t="shared" si="86"/>
        <v>8.4353521498053835E-2</v>
      </c>
      <c r="M726" s="45">
        <f t="shared" si="89"/>
        <v>1.8515364252613586E-2</v>
      </c>
    </row>
    <row r="727" spans="1:13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>
        <f t="shared" si="87"/>
        <v>295.8</v>
      </c>
      <c r="G727" s="221">
        <f t="shared" si="83"/>
        <v>1.2008555060260171E-3</v>
      </c>
      <c r="H727" s="37">
        <f t="shared" si="84"/>
        <v>2.7029624277157449</v>
      </c>
      <c r="I727" s="37">
        <f t="shared" si="88"/>
        <v>0.99387928467107944</v>
      </c>
      <c r="J727" s="37">
        <v>1.2497167702880436</v>
      </c>
      <c r="K727" s="37">
        <f t="shared" si="85"/>
        <v>0.53028626324823136</v>
      </c>
      <c r="L727" s="37">
        <f t="shared" si="86"/>
        <v>0.64641895489959411</v>
      </c>
      <c r="M727" s="45">
        <f t="shared" si="89"/>
        <v>1.8515364252613586E-2</v>
      </c>
    </row>
    <row r="728" spans="1:13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 t="shared" si="87"/>
        <v>2954.3</v>
      </c>
      <c r="G728" s="221">
        <f t="shared" si="83"/>
        <v>1.1993534217216573E-2</v>
      </c>
      <c r="H728" s="37">
        <f t="shared" si="84"/>
        <v>26.995814402300962</v>
      </c>
      <c r="I728" s="37">
        <f t="shared" si="88"/>
        <v>9.9263609557260644</v>
      </c>
      <c r="J728" s="37">
        <v>12.481535681074938</v>
      </c>
      <c r="K728" s="37">
        <f t="shared" si="85"/>
        <v>5.2962295723943535</v>
      </c>
      <c r="L728" s="37">
        <f t="shared" si="86"/>
        <v>6.4561038487487172</v>
      </c>
      <c r="M728" s="45">
        <f t="shared" si="89"/>
        <v>1.8515364252613586E-2</v>
      </c>
    </row>
    <row r="729" spans="1:13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>
        <f t="shared" si="87"/>
        <v>601.58000000000004</v>
      </c>
      <c r="G729" s="221">
        <f t="shared" ref="G729:G746" si="90">1/246324.39*F729</f>
        <v>2.4422266913966578E-3</v>
      </c>
      <c r="H729" s="37">
        <f t="shared" ref="H729:H745" si="91">G729*1218*1.54*1.2</f>
        <v>5.4971201395038474</v>
      </c>
      <c r="I729" s="37">
        <f t="shared" si="88"/>
        <v>2.0212910752955646</v>
      </c>
      <c r="J729" s="37">
        <v>2.5415977507433443</v>
      </c>
      <c r="K729" s="37">
        <f t="shared" si="85"/>
        <v>1.0784638615445268</v>
      </c>
      <c r="L729" s="37">
        <f t="shared" si="86"/>
        <v>1.3146474472227783</v>
      </c>
      <c r="M729" s="45">
        <f t="shared" si="89"/>
        <v>1.8515364252613586E-2</v>
      </c>
    </row>
    <row r="730" spans="1:13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>
        <f t="shared" si="87"/>
        <v>392.31</v>
      </c>
      <c r="G730" s="221">
        <f t="shared" si="90"/>
        <v>1.5926559282253777E-3</v>
      </c>
      <c r="H730" s="37">
        <f t="shared" si="91"/>
        <v>3.5848518932290867</v>
      </c>
      <c r="I730" s="37">
        <f t="shared" si="88"/>
        <v>1.3181500411403353</v>
      </c>
      <c r="J730" s="37">
        <v>1.6574590471659982</v>
      </c>
      <c r="K730" s="37">
        <f t="shared" ref="K730:K747" si="92">G730*408.88*1.08</f>
        <v>0.70330156840741598</v>
      </c>
      <c r="L730" s="37">
        <f t="shared" si="86"/>
        <v>0.85732461188864018</v>
      </c>
      <c r="M730" s="45">
        <f t="shared" si="89"/>
        <v>1.8515364252613586E-2</v>
      </c>
    </row>
    <row r="731" spans="1:13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>
        <f t="shared" si="87"/>
        <v>600.88</v>
      </c>
      <c r="G731" s="221">
        <f t="shared" si="90"/>
        <v>2.439384910280301E-3</v>
      </c>
      <c r="H731" s="37">
        <f t="shared" si="91"/>
        <v>5.4907236766931593</v>
      </c>
      <c r="I731" s="37">
        <f t="shared" si="88"/>
        <v>2.018939095920075</v>
      </c>
      <c r="J731" s="37">
        <v>2.5386403412125746</v>
      </c>
      <c r="K731" s="37">
        <f t="shared" si="92"/>
        <v>1.0772089582846422</v>
      </c>
      <c r="L731" s="37">
        <f t="shared" si="86"/>
        <v>1.313117720148979</v>
      </c>
      <c r="M731" s="45">
        <f t="shared" si="89"/>
        <v>1.8515364252613586E-2</v>
      </c>
    </row>
    <row r="732" spans="1:13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>
        <f t="shared" si="87"/>
        <v>307.3</v>
      </c>
      <c r="G732" s="221">
        <f t="shared" si="90"/>
        <v>1.2475419100804429E-3</v>
      </c>
      <c r="H732" s="37">
        <f t="shared" si="91"/>
        <v>2.808047173891306</v>
      </c>
      <c r="I732" s="37">
        <f t="shared" si="88"/>
        <v>1.0325189458398334</v>
      </c>
      <c r="J732" s="37">
        <v>1.2983027840078287</v>
      </c>
      <c r="K732" s="37">
        <f t="shared" si="92"/>
        <v>0.55090253108918685</v>
      </c>
      <c r="L732" s="37">
        <f t="shared" si="86"/>
        <v>0.67155018539771882</v>
      </c>
      <c r="M732" s="45">
        <f t="shared" si="89"/>
        <v>1.8515364252613586E-2</v>
      </c>
    </row>
    <row r="733" spans="1:13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>
        <f t="shared" si="87"/>
        <v>800.1</v>
      </c>
      <c r="G733" s="221">
        <f t="shared" si="90"/>
        <v>3.2481558159953221E-3</v>
      </c>
      <c r="H733" s="37">
        <f t="shared" si="91"/>
        <v>7.3111569926144941</v>
      </c>
      <c r="I733" s="37">
        <f t="shared" si="88"/>
        <v>2.6883124261843498</v>
      </c>
      <c r="J733" s="37">
        <v>3.3803190936695855</v>
      </c>
      <c r="K733" s="37">
        <f t="shared" si="92"/>
        <v>1.4343544260477006</v>
      </c>
      <c r="L733" s="37">
        <f t="shared" ref="L733:L747" si="93">K733*1.219</f>
        <v>1.7484780453521471</v>
      </c>
      <c r="M733" s="45">
        <f t="shared" si="89"/>
        <v>1.8515364252613586E-2</v>
      </c>
    </row>
    <row r="734" spans="1:13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>
        <f t="shared" si="87"/>
        <v>325.2</v>
      </c>
      <c r="G734" s="221">
        <f t="shared" si="90"/>
        <v>1.3202103129129842E-3</v>
      </c>
      <c r="H734" s="37">
        <f t="shared" si="91"/>
        <v>2.9716138657645716</v>
      </c>
      <c r="I734" s="37">
        <f t="shared" si="88"/>
        <v>1.0926624184416331</v>
      </c>
      <c r="J734" s="37">
        <v>1.3739279705803642</v>
      </c>
      <c r="K734" s="37">
        <f t="shared" si="92"/>
        <v>0.58299220016336983</v>
      </c>
      <c r="L734" s="37">
        <f t="shared" si="93"/>
        <v>0.71066749199914792</v>
      </c>
      <c r="M734" s="45">
        <f t="shared" si="89"/>
        <v>1.8515364252613589E-2</v>
      </c>
    </row>
    <row r="735" spans="1:13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>
        <f t="shared" si="87"/>
        <v>420.25</v>
      </c>
      <c r="G735" s="221">
        <f t="shared" si="90"/>
        <v>1.7060835916410874E-3</v>
      </c>
      <c r="H735" s="37">
        <f t="shared" si="91"/>
        <v>3.840162137415625</v>
      </c>
      <c r="I735" s="37">
        <f t="shared" si="88"/>
        <v>1.4120276179277254</v>
      </c>
      <c r="J735" s="37">
        <v>1.7755019361512856</v>
      </c>
      <c r="K735" s="37">
        <f t="shared" si="92"/>
        <v>0.75339013566622448</v>
      </c>
      <c r="L735" s="37">
        <f t="shared" si="93"/>
        <v>0.91838257537712775</v>
      </c>
      <c r="M735" s="45">
        <f t="shared" si="89"/>
        <v>1.8515364252613589E-2</v>
      </c>
    </row>
    <row r="736" spans="1:13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>
        <f t="shared" si="87"/>
        <v>468.48</v>
      </c>
      <c r="G736" s="221">
        <f t="shared" si="90"/>
        <v>1.9018823105580408E-3</v>
      </c>
      <c r="H736" s="37">
        <f t="shared" si="91"/>
        <v>4.2808784250719141</v>
      </c>
      <c r="I736" s="37">
        <f t="shared" si="88"/>
        <v>1.5740789968989428</v>
      </c>
      <c r="J736" s="37">
        <v>1.9792674528213068</v>
      </c>
      <c r="K736" s="37">
        <f t="shared" si="92"/>
        <v>0.83985297027224948</v>
      </c>
      <c r="L736" s="37">
        <f t="shared" si="93"/>
        <v>1.0237807707618722</v>
      </c>
      <c r="M736" s="45">
        <f t="shared" si="89"/>
        <v>1.8515364252613586E-2</v>
      </c>
    </row>
    <row r="737" spans="1:13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>
        <f t="shared" si="87"/>
        <v>1026.08</v>
      </c>
      <c r="G737" s="221">
        <f t="shared" si="90"/>
        <v>4.1655639541013367E-3</v>
      </c>
      <c r="H737" s="37">
        <f t="shared" si="91"/>
        <v>9.3761179439843509</v>
      </c>
      <c r="I737" s="37">
        <f t="shared" si="88"/>
        <v>3.4475985680030461</v>
      </c>
      <c r="J737" s="37">
        <v>4.3350553876171585</v>
      </c>
      <c r="K737" s="37">
        <f t="shared" si="92"/>
        <v>1.839473052717191</v>
      </c>
      <c r="L737" s="37">
        <f t="shared" si="93"/>
        <v>2.242317651262256</v>
      </c>
      <c r="M737" s="45">
        <f t="shared" si="89"/>
        <v>1.8515364252613586E-2</v>
      </c>
    </row>
    <row r="738" spans="1:13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>
        <f t="shared" si="87"/>
        <v>1242.02</v>
      </c>
      <c r="G738" s="221">
        <f t="shared" si="90"/>
        <v>5.0422128316241835E-3</v>
      </c>
      <c r="H738" s="37">
        <f t="shared" si="91"/>
        <v>11.349335343040936</v>
      </c>
      <c r="I738" s="37">
        <f t="shared" si="88"/>
        <v>4.1731506056361525</v>
      </c>
      <c r="J738" s="37">
        <v>5.2473739791519796</v>
      </c>
      <c r="K738" s="37">
        <f t="shared" si="92"/>
        <v>2.2265927812020561</v>
      </c>
      <c r="L738" s="37">
        <f t="shared" si="93"/>
        <v>2.7142166002853063</v>
      </c>
      <c r="M738" s="45">
        <f t="shared" si="89"/>
        <v>1.8515364252613586E-2</v>
      </c>
    </row>
    <row r="739" spans="1:13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>
        <f t="shared" si="87"/>
        <v>827.02</v>
      </c>
      <c r="G739" s="221">
        <f t="shared" si="90"/>
        <v>3.3574425983557694E-3</v>
      </c>
      <c r="H739" s="37">
        <f t="shared" si="91"/>
        <v>7.5571466767054609</v>
      </c>
      <c r="I739" s="37">
        <f t="shared" si="88"/>
        <v>2.7787628330245981</v>
      </c>
      <c r="J739" s="37">
        <v>3.4940526144814661</v>
      </c>
      <c r="K739" s="37">
        <f t="shared" si="92"/>
        <v>1.4826144199849636</v>
      </c>
      <c r="L739" s="37">
        <f t="shared" si="93"/>
        <v>1.8073069779616706</v>
      </c>
      <c r="M739" s="45">
        <f t="shared" si="89"/>
        <v>1.8515364252613586E-2</v>
      </c>
    </row>
    <row r="740" spans="1:13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>
        <f t="shared" si="87"/>
        <v>487.41</v>
      </c>
      <c r="G740" s="221">
        <f t="shared" si="90"/>
        <v>1.9787321913189351E-3</v>
      </c>
      <c r="H740" s="37">
        <f t="shared" si="91"/>
        <v>4.4538570550809036</v>
      </c>
      <c r="I740" s="37">
        <f t="shared" si="88"/>
        <v>1.6376832391532483</v>
      </c>
      <c r="J740" s="37">
        <v>2.0592442562748321</v>
      </c>
      <c r="K740" s="37">
        <f t="shared" si="92"/>
        <v>0.87378913985740503</v>
      </c>
      <c r="L740" s="37">
        <f t="shared" si="93"/>
        <v>1.0651489614861769</v>
      </c>
      <c r="M740" s="45">
        <f t="shared" si="89"/>
        <v>1.8515364252613586E-2</v>
      </c>
    </row>
    <row r="741" spans="1:13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>
        <f t="shared" si="87"/>
        <v>685</v>
      </c>
      <c r="G741" s="221">
        <f t="shared" si="90"/>
        <v>2.7808858067201541E-3</v>
      </c>
      <c r="H741" s="37">
        <f t="shared" si="91"/>
        <v>6.2593957504573527</v>
      </c>
      <c r="I741" s="37">
        <f t="shared" si="88"/>
        <v>2.301579817443169</v>
      </c>
      <c r="J741" s="37">
        <v>2.8940364693959082</v>
      </c>
      <c r="K741" s="37">
        <f t="shared" si="92"/>
        <v>1.2280124757438755</v>
      </c>
      <c r="L741" s="37">
        <f t="shared" si="93"/>
        <v>1.4969472079317843</v>
      </c>
      <c r="M741" s="45">
        <f t="shared" si="89"/>
        <v>1.8515364252613582E-2</v>
      </c>
    </row>
    <row r="742" spans="1:13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>
        <f t="shared" si="87"/>
        <v>636.55999999999995</v>
      </c>
      <c r="G742" s="221">
        <f t="shared" si="90"/>
        <v>2.5842345534682937E-3</v>
      </c>
      <c r="H742" s="37">
        <f t="shared" si="91"/>
        <v>5.816760523957857</v>
      </c>
      <c r="I742" s="37">
        <f t="shared" si="88"/>
        <v>2.1388228446593041</v>
      </c>
      <c r="J742" s="37">
        <v>2.6893837298666559</v>
      </c>
      <c r="K742" s="37">
        <f t="shared" si="92"/>
        <v>1.1411731701598851</v>
      </c>
      <c r="L742" s="37">
        <f t="shared" si="93"/>
        <v>1.3910900944249001</v>
      </c>
      <c r="M742" s="45">
        <f t="shared" si="89"/>
        <v>1.8515364252613586E-2</v>
      </c>
    </row>
    <row r="743" spans="1:13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>
        <f t="shared" si="87"/>
        <v>505.1</v>
      </c>
      <c r="G743" s="221">
        <f t="shared" si="90"/>
        <v>2.0505480598165694E-3</v>
      </c>
      <c r="H743" s="37">
        <f t="shared" si="91"/>
        <v>4.6155048081109626</v>
      </c>
      <c r="I743" s="37">
        <f t="shared" si="88"/>
        <v>1.6971211179424011</v>
      </c>
      <c r="J743" s="37">
        <v>2.1339822199881362</v>
      </c>
      <c r="K743" s="37">
        <f t="shared" si="92"/>
        <v>0.90550233795362289</v>
      </c>
      <c r="L743" s="37">
        <f t="shared" si="93"/>
        <v>1.1038073499654664</v>
      </c>
      <c r="M743" s="45">
        <f t="shared" si="89"/>
        <v>1.8515364252613586E-2</v>
      </c>
    </row>
    <row r="744" spans="1:13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>
        <f t="shared" si="87"/>
        <v>536.88</v>
      </c>
      <c r="G744" s="221">
        <f t="shared" si="90"/>
        <v>2.179564922499148E-3</v>
      </c>
      <c r="H744" s="37">
        <f t="shared" si="91"/>
        <v>4.9059042197161222</v>
      </c>
      <c r="I744" s="37">
        <f t="shared" si="88"/>
        <v>1.8039009815896183</v>
      </c>
      <c r="J744" s="37">
        <v>2.2682486126850736</v>
      </c>
      <c r="K744" s="37">
        <f t="shared" si="92"/>
        <v>0.96247494595236771</v>
      </c>
      <c r="L744" s="37">
        <f t="shared" si="93"/>
        <v>1.1732569591159363</v>
      </c>
      <c r="M744" s="45">
        <f t="shared" si="89"/>
        <v>1.8515364252613582E-2</v>
      </c>
    </row>
    <row r="745" spans="1:13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>
        <f t="shared" si="87"/>
        <v>132.6</v>
      </c>
      <c r="G745" s="221">
        <f t="shared" si="90"/>
        <v>5.3831453718407654E-4</v>
      </c>
      <c r="H745" s="37">
        <f t="shared" si="91"/>
        <v>1.2116728124242993</v>
      </c>
      <c r="I745" s="37">
        <f t="shared" si="88"/>
        <v>0.44553209312841485</v>
      </c>
      <c r="J745" s="37"/>
      <c r="K745" s="37">
        <f t="shared" si="92"/>
        <v>0.23771453180093124</v>
      </c>
      <c r="L745" s="37">
        <f t="shared" si="93"/>
        <v>0.28977401426533522</v>
      </c>
      <c r="M745" s="45">
        <f t="shared" si="89"/>
        <v>1.4290493494371384E-2</v>
      </c>
    </row>
    <row r="746" spans="1:13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87"/>
        <v>380.2</v>
      </c>
      <c r="G746" s="221">
        <f t="shared" si="90"/>
        <v>1.5434931149124127E-3</v>
      </c>
      <c r="H746" s="37"/>
      <c r="I746" s="37"/>
      <c r="J746" s="37"/>
      <c r="K746" s="37"/>
      <c r="L746" s="37">
        <f t="shared" si="93"/>
        <v>0</v>
      </c>
      <c r="M746" s="45">
        <f t="shared" si="89"/>
        <v>0</v>
      </c>
    </row>
    <row r="747" spans="1:13" s="69" customFormat="1" ht="15.75">
      <c r="A747" s="248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3">
        <f t="shared" ref="F747:F809" si="94">C747+D747+E747</f>
        <v>246324.39000000004</v>
      </c>
      <c r="G747" s="221">
        <f>1/246324.39*F747</f>
        <v>1</v>
      </c>
      <c r="H747" s="37">
        <f>G747*1218*1.54*1.2</f>
        <v>2250.864</v>
      </c>
      <c r="I747" s="64">
        <f t="shared" ref="I747:I809" si="95">H747*0.3677</f>
        <v>827.64269280000008</v>
      </c>
      <c r="J747" s="37">
        <v>869.0776683073758</v>
      </c>
      <c r="K747" s="37">
        <f t="shared" si="92"/>
        <v>441.59040000000005</v>
      </c>
      <c r="L747" s="37">
        <f t="shared" si="93"/>
        <v>538.29869760000008</v>
      </c>
      <c r="M747" s="45">
        <f t="shared" si="89"/>
        <v>1.7818677075004126E-2</v>
      </c>
    </row>
    <row r="748" spans="1:13" s="209" customFormat="1" ht="15.75">
      <c r="A748" s="510" t="s">
        <v>335</v>
      </c>
      <c r="B748" s="339"/>
      <c r="C748" s="339"/>
      <c r="D748" s="339"/>
      <c r="E748" s="339"/>
      <c r="F748" s="339">
        <f t="shared" si="94"/>
        <v>0</v>
      </c>
      <c r="G748" s="339"/>
      <c r="H748" s="342"/>
      <c r="I748" s="342"/>
      <c r="J748" s="37">
        <v>0</v>
      </c>
      <c r="K748" s="342"/>
      <c r="L748" s="342"/>
      <c r="M748" s="45" t="e">
        <f t="shared" si="89"/>
        <v>#DIV/0!</v>
      </c>
    </row>
    <row r="749" spans="1:13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40">
        <f t="shared" si="94"/>
        <v>4275.08</v>
      </c>
      <c r="G749" s="221">
        <f t="shared" ref="G749:G812" si="96">1/271319.02*F749</f>
        <v>1.5756654288372411E-2</v>
      </c>
      <c r="H749" s="37">
        <f t="shared" ref="H749:H812" si="97">G749*1218*1.64*1.2</f>
        <v>37.769078488931591</v>
      </c>
      <c r="I749" s="37">
        <f t="shared" si="95"/>
        <v>13.887690160380147</v>
      </c>
      <c r="J749" s="37">
        <v>14.575387782003638</v>
      </c>
      <c r="K749" s="37">
        <f>G749*408.88</f>
        <v>6.4425808054297118</v>
      </c>
      <c r="L749" s="37"/>
      <c r="M749" s="45">
        <f t="shared" si="89"/>
        <v>1.6999620413359538E-2</v>
      </c>
    </row>
    <row r="750" spans="1:13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40">
        <f t="shared" si="94"/>
        <v>4574.41</v>
      </c>
      <c r="G750" s="221">
        <f t="shared" si="96"/>
        <v>1.6859894304498076E-2</v>
      </c>
      <c r="H750" s="37">
        <f t="shared" si="97"/>
        <v>40.413571285345192</v>
      </c>
      <c r="I750" s="37">
        <f t="shared" si="95"/>
        <v>14.860070161621428</v>
      </c>
      <c r="J750" s="37">
        <v>15.595918584886192</v>
      </c>
      <c r="K750" s="37">
        <f t="shared" ref="K750:K812" si="98">G750*408.88</f>
        <v>6.8936735832231735</v>
      </c>
      <c r="L750" s="37"/>
      <c r="M750" s="45">
        <f t="shared" si="89"/>
        <v>1.6999620413359534E-2</v>
      </c>
    </row>
    <row r="751" spans="1:13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40">
        <f t="shared" si="94"/>
        <v>8527.85</v>
      </c>
      <c r="G751" s="221">
        <f t="shared" si="96"/>
        <v>3.1431080651846674E-2</v>
      </c>
      <c r="H751" s="37">
        <f t="shared" si="97"/>
        <v>75.341054668412113</v>
      </c>
      <c r="I751" s="37">
        <f t="shared" si="95"/>
        <v>27.702905801575135</v>
      </c>
      <c r="J751" s="37">
        <v>29.074712215153806</v>
      </c>
      <c r="K751" s="37">
        <f t="shared" si="98"/>
        <v>12.851540256927068</v>
      </c>
      <c r="L751" s="37"/>
      <c r="M751" s="45">
        <f t="shared" si="89"/>
        <v>1.6999620413359534E-2</v>
      </c>
    </row>
    <row r="752" spans="1:13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40">
        <f t="shared" si="94"/>
        <v>5131.3999999999996</v>
      </c>
      <c r="G752" s="221">
        <f t="shared" si="96"/>
        <v>1.8912791296386074E-2</v>
      </c>
      <c r="H752" s="37">
        <f t="shared" si="97"/>
        <v>45.334414644428527</v>
      </c>
      <c r="I752" s="37">
        <f t="shared" si="95"/>
        <v>16.669464264756371</v>
      </c>
      <c r="J752" s="37">
        <v>17.494911174661873</v>
      </c>
      <c r="K752" s="37">
        <f t="shared" si="98"/>
        <v>7.7330621052663373</v>
      </c>
      <c r="L752" s="37"/>
      <c r="M752" s="45">
        <f t="shared" si="89"/>
        <v>1.6999620413359534E-2</v>
      </c>
    </row>
    <row r="753" spans="1:13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40">
        <f t="shared" si="94"/>
        <v>4290.1499999999996</v>
      </c>
      <c r="G753" s="221">
        <f t="shared" si="96"/>
        <v>1.5812197758933375E-2</v>
      </c>
      <c r="H753" s="37">
        <f t="shared" si="97"/>
        <v>37.90221752090951</v>
      </c>
      <c r="I753" s="37">
        <f t="shared" si="95"/>
        <v>13.936645382438428</v>
      </c>
      <c r="J753" s="37">
        <v>14.626767193353787</v>
      </c>
      <c r="K753" s="37">
        <f t="shared" si="98"/>
        <v>6.4652914196726785</v>
      </c>
      <c r="L753" s="37"/>
      <c r="M753" s="45">
        <f t="shared" si="89"/>
        <v>1.6999620413359538E-2</v>
      </c>
    </row>
    <row r="754" spans="1:13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40">
        <f t="shared" si="94"/>
        <v>5185.3900000000003</v>
      </c>
      <c r="G754" s="221">
        <f t="shared" si="96"/>
        <v>1.9111782137499981E-2</v>
      </c>
      <c r="H754" s="37">
        <f t="shared" si="97"/>
        <v>45.811400466358755</v>
      </c>
      <c r="I754" s="37">
        <f t="shared" si="95"/>
        <v>16.844851951480116</v>
      </c>
      <c r="J754" s="37">
        <v>17.678983797010549</v>
      </c>
      <c r="K754" s="37">
        <f t="shared" si="98"/>
        <v>7.8144254803809918</v>
      </c>
      <c r="L754" s="37"/>
      <c r="M754" s="45">
        <f t="shared" si="89"/>
        <v>1.6999620413359534E-2</v>
      </c>
    </row>
    <row r="755" spans="1:13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40">
        <f t="shared" si="94"/>
        <v>4246.38</v>
      </c>
      <c r="G755" s="221">
        <f t="shared" si="96"/>
        <v>1.5650874752533014E-2</v>
      </c>
      <c r="H755" s="37">
        <f t="shared" si="97"/>
        <v>37.515522402815691</v>
      </c>
      <c r="I755" s="37">
        <f t="shared" si="95"/>
        <v>13.79445758751533</v>
      </c>
      <c r="J755" s="37">
        <v>14.47753847173494</v>
      </c>
      <c r="K755" s="37">
        <f t="shared" si="98"/>
        <v>6.3993296688156986</v>
      </c>
      <c r="L755" s="37"/>
      <c r="M755" s="45">
        <f t="shared" si="89"/>
        <v>1.6999620413359534E-2</v>
      </c>
    </row>
    <row r="756" spans="1:13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40">
        <f t="shared" si="94"/>
        <v>4446.42</v>
      </c>
      <c r="G756" s="221">
        <f t="shared" si="96"/>
        <v>1.6388161803031723E-2</v>
      </c>
      <c r="H756" s="37">
        <f t="shared" si="97"/>
        <v>39.282817157750308</v>
      </c>
      <c r="I756" s="37">
        <f t="shared" si="95"/>
        <v>14.44429186890479</v>
      </c>
      <c r="J756" s="37">
        <v>15.159551573691397</v>
      </c>
      <c r="K756" s="37">
        <f t="shared" si="98"/>
        <v>6.7007915980236108</v>
      </c>
      <c r="L756" s="37"/>
      <c r="M756" s="45">
        <f t="shared" si="89"/>
        <v>1.6999620413359534E-2</v>
      </c>
    </row>
    <row r="757" spans="1:13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40">
        <f t="shared" si="94"/>
        <v>2920.24</v>
      </c>
      <c r="G757" s="221">
        <f t="shared" si="96"/>
        <v>1.076312305713031E-2</v>
      </c>
      <c r="H757" s="37">
        <f t="shared" si="97"/>
        <v>25.799464282894721</v>
      </c>
      <c r="I757" s="37">
        <f t="shared" si="95"/>
        <v>9.4864630168203892</v>
      </c>
      <c r="J757" s="37">
        <v>9.9562184605944939</v>
      </c>
      <c r="K757" s="37">
        <f t="shared" si="98"/>
        <v>4.400825755599441</v>
      </c>
      <c r="L757" s="37"/>
      <c r="M757" s="45">
        <f t="shared" si="89"/>
        <v>1.6999620413359534E-2</v>
      </c>
    </row>
    <row r="758" spans="1:13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40">
        <f t="shared" si="94"/>
        <v>4278.99</v>
      </c>
      <c r="G758" s="221">
        <f t="shared" si="96"/>
        <v>1.5771065367993737E-2</v>
      </c>
      <c r="H758" s="37">
        <f t="shared" si="97"/>
        <v>37.803622192649811</v>
      </c>
      <c r="I758" s="37">
        <f t="shared" si="95"/>
        <v>13.900391880237336</v>
      </c>
      <c r="J758" s="37">
        <v>14.588718472008885</v>
      </c>
      <c r="K758" s="37">
        <f t="shared" si="98"/>
        <v>6.4484732076652787</v>
      </c>
      <c r="L758" s="37"/>
      <c r="M758" s="45">
        <f t="shared" si="89"/>
        <v>1.6999620413359534E-2</v>
      </c>
    </row>
    <row r="759" spans="1:13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40">
        <f t="shared" si="94"/>
        <v>8595.7800000000007</v>
      </c>
      <c r="G759" s="221">
        <f t="shared" si="96"/>
        <v>3.1681450124653995E-2</v>
      </c>
      <c r="H759" s="37">
        <f t="shared" si="97"/>
        <v>75.941196303598616</v>
      </c>
      <c r="I759" s="37">
        <f t="shared" si="95"/>
        <v>27.923577880833214</v>
      </c>
      <c r="J759" s="37">
        <v>29.306311645347282</v>
      </c>
      <c r="K759" s="37">
        <f t="shared" si="98"/>
        <v>12.953911326968525</v>
      </c>
      <c r="L759" s="37"/>
      <c r="M759" s="45">
        <f t="shared" si="89"/>
        <v>1.6999620413359534E-2</v>
      </c>
    </row>
    <row r="760" spans="1:13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40">
        <f t="shared" si="94"/>
        <v>4516.6000000000004</v>
      </c>
      <c r="G760" s="221">
        <f t="shared" si="96"/>
        <v>1.6646824096593009E-2</v>
      </c>
      <c r="H760" s="37">
        <f t="shared" si="97"/>
        <v>39.902836883311757</v>
      </c>
      <c r="I760" s="37">
        <f t="shared" si="95"/>
        <v>14.672273121993735</v>
      </c>
      <c r="J760" s="37">
        <v>15.398822117059249</v>
      </c>
      <c r="K760" s="37">
        <f t="shared" si="98"/>
        <v>6.8065534366149496</v>
      </c>
      <c r="L760" s="37"/>
      <c r="M760" s="45">
        <f t="shared" si="89"/>
        <v>1.6999620413359538E-2</v>
      </c>
    </row>
    <row r="761" spans="1:13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40">
        <f t="shared" si="94"/>
        <v>5874.29</v>
      </c>
      <c r="G761" s="221">
        <f t="shared" si="96"/>
        <v>2.1650859567456788E-2</v>
      </c>
      <c r="H761" s="37">
        <f t="shared" si="97"/>
        <v>51.897630003823529</v>
      </c>
      <c r="I761" s="37">
        <f t="shared" si="95"/>
        <v>19.082758552405913</v>
      </c>
      <c r="J761" s="37">
        <v>20.0277081818226</v>
      </c>
      <c r="K761" s="37">
        <f t="shared" si="98"/>
        <v>8.8526034599417311</v>
      </c>
      <c r="L761" s="37"/>
      <c r="M761" s="45">
        <f t="shared" si="89"/>
        <v>1.6999620413359531E-2</v>
      </c>
    </row>
    <row r="762" spans="1:13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40">
        <f t="shared" si="94"/>
        <v>5810.95</v>
      </c>
      <c r="G762" s="221">
        <f t="shared" si="96"/>
        <v>2.1417407448987541E-2</v>
      </c>
      <c r="H762" s="37">
        <f t="shared" si="97"/>
        <v>51.338039673001909</v>
      </c>
      <c r="I762" s="37">
        <f t="shared" si="95"/>
        <v>18.876997187762804</v>
      </c>
      <c r="J762" s="37">
        <v>19.811757822504852</v>
      </c>
      <c r="K762" s="37">
        <f t="shared" si="98"/>
        <v>8.7571495577420251</v>
      </c>
      <c r="L762" s="37"/>
      <c r="M762" s="45">
        <f t="shared" si="89"/>
        <v>1.6999620413359538E-2</v>
      </c>
    </row>
    <row r="763" spans="1:13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40">
        <f t="shared" si="94"/>
        <v>4535.62</v>
      </c>
      <c r="G763" s="221">
        <f t="shared" si="96"/>
        <v>1.6716926074699812E-2</v>
      </c>
      <c r="H763" s="37">
        <f t="shared" si="97"/>
        <v>40.070873007281236</v>
      </c>
      <c r="I763" s="37">
        <f t="shared" si="95"/>
        <v>14.734060004777312</v>
      </c>
      <c r="J763" s="37">
        <v>15.463668593759964</v>
      </c>
      <c r="K763" s="37">
        <f t="shared" si="98"/>
        <v>6.835216733423259</v>
      </c>
      <c r="L763" s="37"/>
      <c r="M763" s="45">
        <f t="shared" si="89"/>
        <v>1.6999620413359534E-2</v>
      </c>
    </row>
    <row r="764" spans="1:13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40">
        <f t="shared" si="94"/>
        <v>6970.5</v>
      </c>
      <c r="G764" s="221">
        <f t="shared" si="96"/>
        <v>2.5691158695767071E-2</v>
      </c>
      <c r="H764" s="37">
        <f t="shared" si="97"/>
        <v>61.582323981562361</v>
      </c>
      <c r="I764" s="37">
        <f t="shared" si="95"/>
        <v>22.643820528020481</v>
      </c>
      <c r="J764" s="37">
        <v>23.765108614214562</v>
      </c>
      <c r="K764" s="37">
        <f t="shared" si="98"/>
        <v>10.50460096752524</v>
      </c>
      <c r="L764" s="37"/>
      <c r="M764" s="45">
        <f t="shared" si="89"/>
        <v>1.6999620413359538E-2</v>
      </c>
    </row>
    <row r="765" spans="1:13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40">
        <f t="shared" si="94"/>
        <v>7328.65</v>
      </c>
      <c r="G765" s="221">
        <f t="shared" si="96"/>
        <v>2.7011191474891807E-2</v>
      </c>
      <c r="H765" s="37">
        <f t="shared" si="97"/>
        <v>64.746474233911044</v>
      </c>
      <c r="I765" s="37">
        <f t="shared" si="95"/>
        <v>23.807278575809093</v>
      </c>
      <c r="J765" s="37">
        <v>24.986179362393447</v>
      </c>
      <c r="K765" s="37">
        <f t="shared" si="98"/>
        <v>11.044335970253762</v>
      </c>
      <c r="L765" s="37"/>
      <c r="M765" s="45">
        <f t="shared" si="89"/>
        <v>1.6999620413359534E-2</v>
      </c>
    </row>
    <row r="766" spans="1:13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40">
        <f t="shared" si="94"/>
        <v>6535.5999999999995</v>
      </c>
      <c r="G766" s="221">
        <f t="shared" si="96"/>
        <v>2.4088248586479486E-2</v>
      </c>
      <c r="H766" s="37">
        <f t="shared" si="97"/>
        <v>57.740109979757392</v>
      </c>
      <c r="I766" s="37">
        <f t="shared" si="95"/>
        <v>21.231038439556794</v>
      </c>
      <c r="J766" s="37">
        <v>22.282367672198646</v>
      </c>
      <c r="K766" s="37">
        <f t="shared" si="98"/>
        <v>9.8492030820397325</v>
      </c>
      <c r="L766" s="37"/>
      <c r="M766" s="45">
        <f t="shared" si="89"/>
        <v>1.6999620413359534E-2</v>
      </c>
    </row>
    <row r="767" spans="1:13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40">
        <f t="shared" si="94"/>
        <v>11062.33</v>
      </c>
      <c r="G767" s="221">
        <f t="shared" si="96"/>
        <v>4.0772408804955876E-2</v>
      </c>
      <c r="H767" s="37">
        <f t="shared" si="97"/>
        <v>97.732442443290537</v>
      </c>
      <c r="I767" s="37">
        <f t="shared" si="95"/>
        <v>35.936219086397934</v>
      </c>
      <c r="J767" s="37">
        <v>37.715726845460743</v>
      </c>
      <c r="K767" s="37">
        <f t="shared" si="98"/>
        <v>16.671022512170357</v>
      </c>
      <c r="L767" s="37"/>
      <c r="M767" s="45">
        <f t="shared" si="89"/>
        <v>1.6999620413359534E-2</v>
      </c>
    </row>
    <row r="768" spans="1:13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40">
        <f t="shared" si="94"/>
        <v>8492.94</v>
      </c>
      <c r="G768" s="221">
        <f t="shared" si="96"/>
        <v>3.1302412930726345E-2</v>
      </c>
      <c r="H768" s="37">
        <f t="shared" si="97"/>
        <v>75.03263505286138</v>
      </c>
      <c r="I768" s="37">
        <f t="shared" si="95"/>
        <v>27.589499908937132</v>
      </c>
      <c r="J768" s="37">
        <v>28.955690632523837</v>
      </c>
      <c r="K768" s="37">
        <f t="shared" si="98"/>
        <v>12.798930599115387</v>
      </c>
      <c r="L768" s="37"/>
      <c r="M768" s="45">
        <f t="shared" si="89"/>
        <v>1.6999620413359534E-2</v>
      </c>
    </row>
    <row r="769" spans="1:13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40">
        <f t="shared" si="94"/>
        <v>3876.37</v>
      </c>
      <c r="G769" s="221">
        <f t="shared" si="96"/>
        <v>1.4287129593789628E-2</v>
      </c>
      <c r="H769" s="37">
        <f t="shared" si="97"/>
        <v>34.246592527423992</v>
      </c>
      <c r="I769" s="37">
        <f t="shared" si="95"/>
        <v>12.592472072333804</v>
      </c>
      <c r="J769" s="37">
        <v>13.216032433668014</v>
      </c>
      <c r="K769" s="37">
        <f t="shared" si="98"/>
        <v>5.841721548308703</v>
      </c>
      <c r="L769" s="37"/>
      <c r="M769" s="45">
        <f t="shared" si="89"/>
        <v>1.6999620413359541E-2</v>
      </c>
    </row>
    <row r="770" spans="1:13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40">
        <f t="shared" si="94"/>
        <v>5695.76</v>
      </c>
      <c r="G770" s="221">
        <f t="shared" si="96"/>
        <v>2.0992851883365936E-2</v>
      </c>
      <c r="H770" s="37">
        <f t="shared" si="97"/>
        <v>50.320369792873343</v>
      </c>
      <c r="I770" s="37">
        <f t="shared" si="95"/>
        <v>18.502799972839529</v>
      </c>
      <c r="J770" s="37">
        <v>19.419030921813171</v>
      </c>
      <c r="K770" s="37">
        <f t="shared" si="98"/>
        <v>8.5835572780706642</v>
      </c>
      <c r="L770" s="37"/>
      <c r="M770" s="45">
        <f t="shared" si="89"/>
        <v>1.6999620413359534E-2</v>
      </c>
    </row>
    <row r="771" spans="1:13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40">
        <f t="shared" si="94"/>
        <v>5815.2</v>
      </c>
      <c r="G771" s="221">
        <f t="shared" si="96"/>
        <v>2.1433071665967241E-2</v>
      </c>
      <c r="H771" s="37">
        <f t="shared" si="97"/>
        <v>51.375587177043457</v>
      </c>
      <c r="I771" s="37">
        <f t="shared" si="95"/>
        <v>18.890803404998881</v>
      </c>
      <c r="J771" s="37">
        <v>19.826247702945338</v>
      </c>
      <c r="K771" s="37">
        <f t="shared" si="98"/>
        <v>8.7635543427806848</v>
      </c>
      <c r="L771" s="37"/>
      <c r="M771" s="45">
        <f t="shared" si="89"/>
        <v>1.6999620413359534E-2</v>
      </c>
    </row>
    <row r="772" spans="1:13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40">
        <f t="shared" si="94"/>
        <v>5690.31</v>
      </c>
      <c r="G772" s="221">
        <f t="shared" si="96"/>
        <v>2.0972764828650792E-2</v>
      </c>
      <c r="H772" s="37">
        <f t="shared" si="97"/>
        <v>50.272220640631829</v>
      </c>
      <c r="I772" s="37">
        <f t="shared" si="95"/>
        <v>18.485095529560326</v>
      </c>
      <c r="J772" s="37">
        <v>19.40044978101302</v>
      </c>
      <c r="K772" s="37">
        <f t="shared" si="98"/>
        <v>8.5753440831387362</v>
      </c>
      <c r="L772" s="37"/>
      <c r="M772" s="45">
        <f t="shared" si="89"/>
        <v>1.6999620413359538E-2</v>
      </c>
    </row>
    <row r="773" spans="1:13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40">
        <f t="shared" si="94"/>
        <v>3955.02</v>
      </c>
      <c r="G773" s="221">
        <f t="shared" si="96"/>
        <v>1.4577009750366928E-2</v>
      </c>
      <c r="H773" s="37">
        <f t="shared" si="97"/>
        <v>34.941442219863532</v>
      </c>
      <c r="I773" s="37">
        <f t="shared" si="95"/>
        <v>12.847968304243821</v>
      </c>
      <c r="J773" s="37">
        <v>13.48418045640784</v>
      </c>
      <c r="K773" s="37">
        <f t="shared" si="98"/>
        <v>5.9602477467300297</v>
      </c>
      <c r="L773" s="37"/>
      <c r="M773" s="45">
        <f t="shared" si="89"/>
        <v>1.6999620413359534E-2</v>
      </c>
    </row>
    <row r="774" spans="1:13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40">
        <f t="shared" si="94"/>
        <v>3905.27</v>
      </c>
      <c r="G774" s="221">
        <f t="shared" si="96"/>
        <v>1.4393646269251598E-2</v>
      </c>
      <c r="H774" s="37">
        <f t="shared" si="97"/>
        <v>34.501915554906539</v>
      </c>
      <c r="I774" s="37">
        <f t="shared" si="95"/>
        <v>12.686354349539135</v>
      </c>
      <c r="J774" s="37">
        <v>13.314563620663321</v>
      </c>
      <c r="K774" s="37">
        <f t="shared" si="98"/>
        <v>5.8852740865715933</v>
      </c>
      <c r="L774" s="37"/>
      <c r="M774" s="45">
        <f t="shared" si="89"/>
        <v>1.6999620413359538E-2</v>
      </c>
    </row>
    <row r="775" spans="1:13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40">
        <f t="shared" si="94"/>
        <v>4859.2700000000004</v>
      </c>
      <c r="G775" s="221">
        <f t="shared" si="96"/>
        <v>1.7909802268930502E-2</v>
      </c>
      <c r="H775" s="37">
        <f t="shared" si="97"/>
        <v>42.930225873880858</v>
      </c>
      <c r="I775" s="37">
        <f t="shared" si="95"/>
        <v>15.785444053825993</v>
      </c>
      <c r="J775" s="37">
        <v>16.567115606598435</v>
      </c>
      <c r="K775" s="37">
        <f t="shared" si="98"/>
        <v>7.3229599517203035</v>
      </c>
      <c r="L775" s="37"/>
      <c r="M775" s="45">
        <f t="shared" ref="M775:M838" si="99">(K775+J775+I775+H775)/F775</f>
        <v>1.6999620413359534E-2</v>
      </c>
    </row>
    <row r="776" spans="1:13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40">
        <f t="shared" si="94"/>
        <v>4953.4199999999992</v>
      </c>
      <c r="G776" s="221">
        <f t="shared" si="96"/>
        <v>1.8256810746257297E-2</v>
      </c>
      <c r="H776" s="37">
        <f t="shared" si="97"/>
        <v>43.76201352223665</v>
      </c>
      <c r="I776" s="37">
        <f t="shared" si="95"/>
        <v>16.091292372126418</v>
      </c>
      <c r="J776" s="37">
        <v>16.888109075650618</v>
      </c>
      <c r="K776" s="37">
        <f t="shared" si="98"/>
        <v>7.4648447779296836</v>
      </c>
      <c r="L776" s="37"/>
      <c r="M776" s="45">
        <f t="shared" si="99"/>
        <v>1.6999620413359534E-2</v>
      </c>
    </row>
    <row r="777" spans="1:13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40">
        <f t="shared" si="94"/>
        <v>10932.24</v>
      </c>
      <c r="G777" s="221">
        <f t="shared" si="96"/>
        <v>4.0292936337452491E-2</v>
      </c>
      <c r="H777" s="37">
        <f t="shared" si="97"/>
        <v>96.58313543134571</v>
      </c>
      <c r="I777" s="37">
        <f t="shared" si="95"/>
        <v>35.513618898105818</v>
      </c>
      <c r="J777" s="37">
        <v>37.272200128636534</v>
      </c>
      <c r="K777" s="37">
        <f t="shared" si="98"/>
        <v>16.474975809657575</v>
      </c>
      <c r="L777" s="37"/>
      <c r="M777" s="45">
        <f t="shared" si="99"/>
        <v>1.6999620413359534E-2</v>
      </c>
    </row>
    <row r="778" spans="1:13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40">
        <f t="shared" si="94"/>
        <v>4713.08</v>
      </c>
      <c r="G778" s="221">
        <f t="shared" si="96"/>
        <v>1.7370990061809893E-2</v>
      </c>
      <c r="H778" s="37">
        <f t="shared" si="97"/>
        <v>41.638680081919794</v>
      </c>
      <c r="I778" s="37">
        <f t="shared" si="95"/>
        <v>15.31054266612191</v>
      </c>
      <c r="J778" s="37">
        <v>16.068697813282022</v>
      </c>
      <c r="K778" s="37">
        <f t="shared" si="98"/>
        <v>7.1026504164728292</v>
      </c>
      <c r="L778" s="37"/>
      <c r="M778" s="45">
        <f t="shared" si="99"/>
        <v>1.6999620413359534E-2</v>
      </c>
    </row>
    <row r="779" spans="1:13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40">
        <f t="shared" si="94"/>
        <v>4688.58</v>
      </c>
      <c r="G779" s="221">
        <f t="shared" si="96"/>
        <v>1.7280690458044555E-2</v>
      </c>
      <c r="H779" s="37">
        <f t="shared" si="97"/>
        <v>41.422229764503783</v>
      </c>
      <c r="I779" s="37">
        <f t="shared" si="95"/>
        <v>15.230953884408041</v>
      </c>
      <c r="J779" s="37">
        <v>15.985167914272157</v>
      </c>
      <c r="K779" s="37">
        <f t="shared" si="98"/>
        <v>7.0657287144852576</v>
      </c>
      <c r="L779" s="37"/>
      <c r="M779" s="45">
        <f t="shared" si="99"/>
        <v>1.6999620413359531E-2</v>
      </c>
    </row>
    <row r="780" spans="1:13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40">
        <f t="shared" si="94"/>
        <v>2330.62</v>
      </c>
      <c r="G780" s="221">
        <f t="shared" si="96"/>
        <v>8.5899617358193309E-3</v>
      </c>
      <c r="H780" s="37">
        <f t="shared" si="97"/>
        <v>20.590344439840592</v>
      </c>
      <c r="I780" s="37">
        <f t="shared" si="95"/>
        <v>7.5710696505293864</v>
      </c>
      <c r="J780" s="37">
        <v>7.9459776828722086</v>
      </c>
      <c r="K780" s="37">
        <f t="shared" si="98"/>
        <v>3.5122635545418079</v>
      </c>
      <c r="L780" s="37"/>
      <c r="M780" s="45">
        <f t="shared" si="99"/>
        <v>1.6999620413359534E-2</v>
      </c>
    </row>
    <row r="781" spans="1:13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40">
        <f t="shared" si="94"/>
        <v>2305.7800000000002</v>
      </c>
      <c r="G781" s="221">
        <f t="shared" si="96"/>
        <v>8.4984089946956182E-3</v>
      </c>
      <c r="H781" s="37">
        <f t="shared" si="97"/>
        <v>20.370890322101271</v>
      </c>
      <c r="I781" s="37">
        <f t="shared" si="95"/>
        <v>7.4903763714366383</v>
      </c>
      <c r="J781" s="37">
        <v>7.8612885934271066</v>
      </c>
      <c r="K781" s="37">
        <f t="shared" si="98"/>
        <v>3.4748294697511444</v>
      </c>
      <c r="L781" s="37"/>
      <c r="M781" s="45">
        <f t="shared" si="99"/>
        <v>1.6999620413359538E-2</v>
      </c>
    </row>
    <row r="782" spans="1:13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40">
        <f t="shared" si="94"/>
        <v>2216.46</v>
      </c>
      <c r="G782" s="221">
        <f t="shared" si="96"/>
        <v>8.1692024392539826E-3</v>
      </c>
      <c r="H782" s="37">
        <f t="shared" si="97"/>
        <v>19.581774307750337</v>
      </c>
      <c r="I782" s="37">
        <f t="shared" si="95"/>
        <v>7.2002184129597993</v>
      </c>
      <c r="J782" s="37">
        <v>7.5567624473225736</v>
      </c>
      <c r="K782" s="37">
        <f t="shared" si="98"/>
        <v>3.3402234933621684</v>
      </c>
      <c r="L782" s="37"/>
      <c r="M782" s="45">
        <f t="shared" si="99"/>
        <v>1.6999620413359538E-2</v>
      </c>
    </row>
    <row r="783" spans="1:13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40">
        <f t="shared" si="94"/>
        <v>5853.7699999999995</v>
      </c>
      <c r="G783" s="221">
        <f t="shared" si="96"/>
        <v>2.1575229042180673E-2</v>
      </c>
      <c r="H783" s="37">
        <f t="shared" si="97"/>
        <v>51.716341819604082</v>
      </c>
      <c r="I783" s="37">
        <f t="shared" si="95"/>
        <v>19.016098887068424</v>
      </c>
      <c r="J783" s="37">
        <v>19.957747629672298</v>
      </c>
      <c r="K783" s="37">
        <f t="shared" si="98"/>
        <v>8.8216796507668338</v>
      </c>
      <c r="L783" s="37"/>
      <c r="M783" s="45">
        <f t="shared" si="99"/>
        <v>1.6999620413359534E-2</v>
      </c>
    </row>
    <row r="784" spans="1:13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40">
        <f t="shared" si="94"/>
        <v>5132.7700000000004</v>
      </c>
      <c r="G784" s="221">
        <f t="shared" si="96"/>
        <v>1.8917840702800712E-2</v>
      </c>
      <c r="H784" s="37">
        <f t="shared" si="97"/>
        <v>45.346518192790171</v>
      </c>
      <c r="I784" s="37">
        <f t="shared" si="95"/>
        <v>16.673914739488946</v>
      </c>
      <c r="J784" s="37">
        <v>17.499582030239161</v>
      </c>
      <c r="K784" s="37">
        <f t="shared" si="98"/>
        <v>7.7351267065611546</v>
      </c>
      <c r="L784" s="37"/>
      <c r="M784" s="45">
        <f t="shared" si="99"/>
        <v>1.6999620413359538E-2</v>
      </c>
    </row>
    <row r="785" spans="1:13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40">
        <f t="shared" si="94"/>
        <v>4658.3100000000004</v>
      </c>
      <c r="G785" s="221">
        <f t="shared" si="96"/>
        <v>1.7169124376167952E-2</v>
      </c>
      <c r="H785" s="37">
        <f t="shared" si="97"/>
        <v>41.154803188659606</v>
      </c>
      <c r="I785" s="37">
        <f t="shared" si="95"/>
        <v>15.132621132470138</v>
      </c>
      <c r="J785" s="37">
        <v>15.881965871699565</v>
      </c>
      <c r="K785" s="37">
        <f t="shared" si="98"/>
        <v>7.0201115749275518</v>
      </c>
      <c r="L785" s="37"/>
      <c r="M785" s="45">
        <f t="shared" si="99"/>
        <v>1.6999620413359534E-2</v>
      </c>
    </row>
    <row r="786" spans="1:13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40">
        <f t="shared" si="94"/>
        <v>4519.6099999999997</v>
      </c>
      <c r="G786" s="221">
        <f t="shared" si="96"/>
        <v>1.6657918047912747E-2</v>
      </c>
      <c r="H786" s="37">
        <f t="shared" si="97"/>
        <v>39.92942935088</v>
      </c>
      <c r="I786" s="37">
        <f t="shared" si="95"/>
        <v>14.682051172318577</v>
      </c>
      <c r="J786" s="37">
        <v>15.409084361794744</v>
      </c>
      <c r="K786" s="37">
        <f t="shared" si="98"/>
        <v>6.8110895314305644</v>
      </c>
      <c r="L786" s="37"/>
      <c r="M786" s="45">
        <f t="shared" si="99"/>
        <v>1.6999620413359538E-2</v>
      </c>
    </row>
    <row r="787" spans="1:13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40">
        <f t="shared" si="94"/>
        <v>7164.75</v>
      </c>
      <c r="G787" s="221">
        <f t="shared" si="96"/>
        <v>2.6407105554192255E-2</v>
      </c>
      <c r="H787" s="37">
        <f t="shared" si="97"/>
        <v>63.298465783932137</v>
      </c>
      <c r="I787" s="37">
        <f t="shared" si="95"/>
        <v>23.27484586875185</v>
      </c>
      <c r="J787" s="37">
        <v>24.427381384935622</v>
      </c>
      <c r="K787" s="37">
        <f t="shared" si="98"/>
        <v>10.79733731899813</v>
      </c>
      <c r="L787" s="37"/>
      <c r="M787" s="45">
        <f t="shared" si="99"/>
        <v>1.6999620413359538E-2</v>
      </c>
    </row>
    <row r="788" spans="1:13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40">
        <f t="shared" si="94"/>
        <v>4422.5</v>
      </c>
      <c r="G788" s="221">
        <f t="shared" si="96"/>
        <v>1.6299999904171848E-2</v>
      </c>
      <c r="H788" s="37">
        <f t="shared" si="97"/>
        <v>39.07149097029761</v>
      </c>
      <c r="I788" s="37">
        <f t="shared" si="95"/>
        <v>14.366587229778432</v>
      </c>
      <c r="J788" s="37">
        <v>15.077999117188707</v>
      </c>
      <c r="K788" s="37">
        <f t="shared" si="98"/>
        <v>6.664743960817785</v>
      </c>
      <c r="L788" s="37"/>
      <c r="M788" s="45">
        <f t="shared" si="99"/>
        <v>1.6999620413359534E-2</v>
      </c>
    </row>
    <row r="789" spans="1:13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40">
        <f t="shared" si="94"/>
        <v>9048.7900000000009</v>
      </c>
      <c r="G789" s="221">
        <f t="shared" si="96"/>
        <v>3.3351108226765673E-2</v>
      </c>
      <c r="H789" s="37">
        <f t="shared" si="97"/>
        <v>79.943406846154744</v>
      </c>
      <c r="I789" s="37">
        <f t="shared" si="95"/>
        <v>29.395190697331103</v>
      </c>
      <c r="J789" s="37">
        <v>30.850796524957829</v>
      </c>
      <c r="K789" s="37">
        <f t="shared" si="98"/>
        <v>13.636601131759948</v>
      </c>
      <c r="L789" s="37"/>
      <c r="M789" s="45">
        <f t="shared" si="99"/>
        <v>1.6999620413359534E-2</v>
      </c>
    </row>
    <row r="790" spans="1:13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40">
        <f t="shared" si="94"/>
        <v>4583.33</v>
      </c>
      <c r="G790" s="221">
        <f t="shared" si="96"/>
        <v>1.6892770731664886E-2</v>
      </c>
      <c r="H790" s="37">
        <f t="shared" si="97"/>
        <v>40.492376870298287</v>
      </c>
      <c r="I790" s="37">
        <f t="shared" si="95"/>
        <v>14.88904697520868</v>
      </c>
      <c r="J790" s="37">
        <v>15.626330286893049</v>
      </c>
      <c r="K790" s="37">
        <f t="shared" si="98"/>
        <v>6.9071160967631382</v>
      </c>
      <c r="L790" s="37"/>
      <c r="M790" s="45">
        <f t="shared" si="99"/>
        <v>1.6999620413359534E-2</v>
      </c>
    </row>
    <row r="791" spans="1:13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40">
        <f t="shared" si="94"/>
        <v>2213.66</v>
      </c>
      <c r="G791" s="221">
        <f t="shared" si="96"/>
        <v>8.158882484537942E-3</v>
      </c>
      <c r="H791" s="37">
        <f t="shared" si="97"/>
        <v>19.557037128617072</v>
      </c>
      <c r="I791" s="37">
        <f t="shared" si="95"/>
        <v>7.191122552192498</v>
      </c>
      <c r="J791" s="37">
        <v>7.5472161731500158</v>
      </c>
      <c r="K791" s="37">
        <f t="shared" si="98"/>
        <v>3.3360038702778736</v>
      </c>
      <c r="L791" s="37"/>
      <c r="M791" s="45">
        <f t="shared" si="99"/>
        <v>1.6999620413359534E-2</v>
      </c>
    </row>
    <row r="792" spans="1:13" s="6" customFormat="1" ht="15.75">
      <c r="A792" s="8">
        <v>44</v>
      </c>
      <c r="B792" s="8" t="s">
        <v>388</v>
      </c>
      <c r="C792" s="32">
        <v>41.2</v>
      </c>
      <c r="D792" s="55"/>
      <c r="E792" s="55"/>
      <c r="F792" s="40">
        <f t="shared" si="94"/>
        <v>41.2</v>
      </c>
      <c r="G792" s="221">
        <f t="shared" si="96"/>
        <v>1.5185076225028381E-4</v>
      </c>
      <c r="H792" s="37">
        <f t="shared" si="97"/>
        <v>0.36398992153222426</v>
      </c>
      <c r="I792" s="37">
        <f t="shared" si="95"/>
        <v>0.13383909414739886</v>
      </c>
      <c r="J792" s="37">
        <v>0.14046660568189365</v>
      </c>
      <c r="K792" s="37">
        <f t="shared" si="98"/>
        <v>6.2088739668896047E-2</v>
      </c>
      <c r="L792" s="37"/>
      <c r="M792" s="45">
        <f t="shared" si="99"/>
        <v>1.6999620413359534E-2</v>
      </c>
    </row>
    <row r="793" spans="1:13" s="6" customFormat="1" ht="15.75">
      <c r="A793" s="8">
        <v>45</v>
      </c>
      <c r="B793" s="8" t="s">
        <v>389</v>
      </c>
      <c r="C793" s="32">
        <v>21</v>
      </c>
      <c r="D793" s="55"/>
      <c r="E793" s="55"/>
      <c r="F793" s="40">
        <f t="shared" si="94"/>
        <v>21</v>
      </c>
      <c r="G793" s="221">
        <f t="shared" si="96"/>
        <v>7.7399660370290293E-5</v>
      </c>
      <c r="H793" s="37">
        <f t="shared" si="97"/>
        <v>0.18552884349943469</v>
      </c>
      <c r="I793" s="37">
        <f t="shared" si="95"/>
        <v>6.8218955754742142E-2</v>
      </c>
      <c r="J793" s="37">
        <v>7.1597056294169098E-2</v>
      </c>
      <c r="K793" s="37">
        <f t="shared" si="98"/>
        <v>3.1647173132204297E-2</v>
      </c>
      <c r="L793" s="37"/>
      <c r="M793" s="45">
        <f t="shared" si="99"/>
        <v>1.6999620413359534E-2</v>
      </c>
    </row>
    <row r="794" spans="1:13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40">
        <f t="shared" si="94"/>
        <v>113.2</v>
      </c>
      <c r="G794" s="221">
        <f t="shared" si="96"/>
        <v>4.1722102637699343E-4</v>
      </c>
      <c r="H794" s="37">
        <f t="shared" si="97"/>
        <v>1.0000888135302863</v>
      </c>
      <c r="I794" s="37">
        <f t="shared" si="95"/>
        <v>0.36773265673508632</v>
      </c>
      <c r="J794" s="37">
        <v>0.38594222726190203</v>
      </c>
      <c r="K794" s="37">
        <f t="shared" si="98"/>
        <v>0.17059333326502507</v>
      </c>
      <c r="L794" s="37"/>
      <c r="M794" s="45">
        <f t="shared" si="99"/>
        <v>1.6999620413359538E-2</v>
      </c>
    </row>
    <row r="795" spans="1:13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40">
        <f t="shared" si="94"/>
        <v>149.19999999999999</v>
      </c>
      <c r="G795" s="221">
        <f t="shared" si="96"/>
        <v>5.4990615844034815E-4</v>
      </c>
      <c r="H795" s="37">
        <f t="shared" si="97"/>
        <v>1.3181382595293172</v>
      </c>
      <c r="I795" s="37">
        <f t="shared" si="95"/>
        <v>0.48467943802892999</v>
      </c>
      <c r="J795" s="37">
        <v>0.50868003805190609</v>
      </c>
      <c r="K795" s="37">
        <f t="shared" si="98"/>
        <v>0.22484563006308955</v>
      </c>
      <c r="L795" s="37"/>
      <c r="M795" s="45">
        <f t="shared" si="99"/>
        <v>1.6999620413359538E-2</v>
      </c>
    </row>
    <row r="796" spans="1:13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40">
        <f t="shared" si="94"/>
        <v>685</v>
      </c>
      <c r="G796" s="221">
        <f t="shared" si="96"/>
        <v>2.5247032073166119E-3</v>
      </c>
      <c r="H796" s="37">
        <f t="shared" si="97"/>
        <v>6.0517741808148937</v>
      </c>
      <c r="I796" s="37">
        <f t="shared" si="95"/>
        <v>2.2252373662856364</v>
      </c>
      <c r="J796" s="37">
        <v>2.3354277886431354</v>
      </c>
      <c r="K796" s="37">
        <f t="shared" si="98"/>
        <v>1.0323006474076162</v>
      </c>
      <c r="L796" s="37"/>
      <c r="M796" s="45">
        <f t="shared" si="99"/>
        <v>1.6999620413359538E-2</v>
      </c>
    </row>
    <row r="797" spans="1:13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40">
        <f t="shared" si="94"/>
        <v>480.56</v>
      </c>
      <c r="G797" s="221">
        <f t="shared" si="96"/>
        <v>1.7711990851212716E-3</v>
      </c>
      <c r="H797" s="37">
        <f t="shared" si="97"/>
        <v>4.2456067158137305</v>
      </c>
      <c r="I797" s="37">
        <f t="shared" si="95"/>
        <v>1.5611095894047089</v>
      </c>
      <c r="J797" s="37">
        <v>1.6384133987012335</v>
      </c>
      <c r="K797" s="37">
        <f t="shared" si="98"/>
        <v>0.72420788192438557</v>
      </c>
      <c r="L797" s="37"/>
      <c r="M797" s="45">
        <f t="shared" si="99"/>
        <v>1.6999620413359534E-2</v>
      </c>
    </row>
    <row r="798" spans="1:13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40">
        <f t="shared" si="94"/>
        <v>514.09</v>
      </c>
      <c r="G798" s="221">
        <f t="shared" si="96"/>
        <v>1.8947805428458351E-3</v>
      </c>
      <c r="H798" s="37">
        <f t="shared" si="97"/>
        <v>4.5418344359344944</v>
      </c>
      <c r="I798" s="37">
        <f t="shared" si="95"/>
        <v>1.6700325220931138</v>
      </c>
      <c r="J798" s="37">
        <v>1.7527300319175902</v>
      </c>
      <c r="K798" s="37">
        <f t="shared" si="98"/>
        <v>0.77473786835880509</v>
      </c>
      <c r="L798" s="37"/>
      <c r="M798" s="45">
        <f t="shared" si="99"/>
        <v>1.6999620413359534E-2</v>
      </c>
    </row>
    <row r="799" spans="1:13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40">
        <f t="shared" si="94"/>
        <v>550.09999999999991</v>
      </c>
      <c r="G799" s="221">
        <f t="shared" si="96"/>
        <v>2.0275025318903183E-3</v>
      </c>
      <c r="H799" s="37">
        <f t="shared" si="97"/>
        <v>4.8599722290018583</v>
      </c>
      <c r="I799" s="37">
        <f t="shared" si="95"/>
        <v>1.7870117886039834</v>
      </c>
      <c r="J799" s="37">
        <v>1.8755019365439247</v>
      </c>
      <c r="K799" s="37">
        <f t="shared" si="98"/>
        <v>0.82900523523931335</v>
      </c>
      <c r="L799" s="37"/>
      <c r="M799" s="45">
        <f t="shared" si="99"/>
        <v>1.6999620413359538E-2</v>
      </c>
    </row>
    <row r="800" spans="1:13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40">
        <f t="shared" si="94"/>
        <v>1211.25</v>
      </c>
      <c r="G800" s="221">
        <f t="shared" si="96"/>
        <v>4.4643018392149583E-3</v>
      </c>
      <c r="H800" s="37">
        <f t="shared" si="97"/>
        <v>10.701038651842394</v>
      </c>
      <c r="I800" s="37">
        <f t="shared" si="95"/>
        <v>3.9347719122824487</v>
      </c>
      <c r="J800" s="37">
        <v>4.1296159255386824</v>
      </c>
      <c r="K800" s="37">
        <f t="shared" si="98"/>
        <v>1.8253637360182122</v>
      </c>
      <c r="L800" s="37"/>
      <c r="M800" s="45">
        <f t="shared" si="99"/>
        <v>1.6999620413359534E-2</v>
      </c>
    </row>
    <row r="801" spans="1:13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40">
        <f t="shared" si="94"/>
        <v>337.37</v>
      </c>
      <c r="G801" s="221">
        <f t="shared" si="96"/>
        <v>1.243443972339278E-3</v>
      </c>
      <c r="H801" s="37">
        <f t="shared" si="97"/>
        <v>2.9805650443525851</v>
      </c>
      <c r="I801" s="37">
        <f t="shared" si="95"/>
        <v>1.0959537668084456</v>
      </c>
      <c r="J801" s="37">
        <v>1.1502237562839919</v>
      </c>
      <c r="K801" s="37">
        <f t="shared" si="98"/>
        <v>0.50841937141008398</v>
      </c>
      <c r="L801" s="37"/>
      <c r="M801" s="45">
        <f t="shared" si="99"/>
        <v>1.6999620413359534E-2</v>
      </c>
    </row>
    <row r="802" spans="1:13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40">
        <f t="shared" si="94"/>
        <v>238.68</v>
      </c>
      <c r="G802" s="221">
        <f t="shared" si="96"/>
        <v>8.7970242558004224E-4</v>
      </c>
      <c r="H802" s="37">
        <f t="shared" si="97"/>
        <v>2.1086678269735746</v>
      </c>
      <c r="I802" s="37">
        <f t="shared" si="95"/>
        <v>0.77535715997818344</v>
      </c>
      <c r="J802" s="37">
        <v>0.81375168553772759</v>
      </c>
      <c r="K802" s="37">
        <f t="shared" si="98"/>
        <v>0.35969272777116768</v>
      </c>
      <c r="L802" s="37"/>
      <c r="M802" s="45">
        <f t="shared" si="99"/>
        <v>1.6999620413359531E-2</v>
      </c>
    </row>
    <row r="803" spans="1:13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40">
        <f t="shared" si="94"/>
        <v>741.27</v>
      </c>
      <c r="G803" s="221">
        <f t="shared" si="96"/>
        <v>2.732097440127861E-3</v>
      </c>
      <c r="H803" s="37">
        <f t="shared" si="97"/>
        <v>6.5489031343250454</v>
      </c>
      <c r="I803" s="37">
        <f t="shared" si="95"/>
        <v>2.4080316824913193</v>
      </c>
      <c r="J803" s="37">
        <v>2.5272738056751778</v>
      </c>
      <c r="K803" s="37">
        <f t="shared" si="98"/>
        <v>1.1171000013194798</v>
      </c>
      <c r="L803" s="37"/>
      <c r="M803" s="45">
        <f t="shared" si="99"/>
        <v>1.6999620413359534E-2</v>
      </c>
    </row>
    <row r="804" spans="1:13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40">
        <f t="shared" si="94"/>
        <v>733.6</v>
      </c>
      <c r="G804" s="221">
        <f t="shared" si="96"/>
        <v>2.7038281356021412E-3</v>
      </c>
      <c r="H804" s="37">
        <f t="shared" si="97"/>
        <v>6.4811409329135872</v>
      </c>
      <c r="I804" s="37">
        <f t="shared" si="95"/>
        <v>2.3831155210323263</v>
      </c>
      <c r="J804" s="37">
        <v>2.501123833209641</v>
      </c>
      <c r="K804" s="37">
        <f t="shared" si="98"/>
        <v>1.1055412480850035</v>
      </c>
      <c r="L804" s="37"/>
      <c r="M804" s="45">
        <f t="shared" si="99"/>
        <v>1.6999620413359538E-2</v>
      </c>
    </row>
    <row r="805" spans="1:13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40">
        <f t="shared" si="94"/>
        <v>220.5</v>
      </c>
      <c r="G805" s="221">
        <f t="shared" si="96"/>
        <v>8.1269643388804812E-4</v>
      </c>
      <c r="H805" s="37">
        <f t="shared" si="97"/>
        <v>1.9480528567440645</v>
      </c>
      <c r="I805" s="37">
        <f t="shared" si="95"/>
        <v>0.71629903542479256</v>
      </c>
      <c r="J805" s="37">
        <v>0.75176909108877554</v>
      </c>
      <c r="K805" s="37">
        <f t="shared" si="98"/>
        <v>0.33229531788814509</v>
      </c>
      <c r="L805" s="37"/>
      <c r="M805" s="45">
        <f t="shared" si="99"/>
        <v>1.6999620413359534E-2</v>
      </c>
    </row>
    <row r="806" spans="1:13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40">
        <f t="shared" si="94"/>
        <v>330.61</v>
      </c>
      <c r="G806" s="221">
        <f t="shared" si="96"/>
        <v>1.2185286530962702E-3</v>
      </c>
      <c r="H806" s="37">
        <f t="shared" si="97"/>
        <v>2.9208424261594339</v>
      </c>
      <c r="I806" s="37">
        <f t="shared" si="95"/>
        <v>1.0739937600988239</v>
      </c>
      <c r="J806" s="37">
        <v>1.1271763229245355</v>
      </c>
      <c r="K806" s="37">
        <f t="shared" si="98"/>
        <v>0.49823199567800297</v>
      </c>
      <c r="L806" s="37"/>
      <c r="M806" s="45">
        <f t="shared" si="99"/>
        <v>1.6999620413359534E-2</v>
      </c>
    </row>
    <row r="807" spans="1:13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40">
        <f t="shared" si="94"/>
        <v>1037.5</v>
      </c>
      <c r="G807" s="221">
        <f t="shared" si="96"/>
        <v>3.8239117921036276E-3</v>
      </c>
      <c r="H807" s="37">
        <f t="shared" si="97"/>
        <v>9.1660083395554057</v>
      </c>
      <c r="I807" s="37">
        <f t="shared" si="95"/>
        <v>3.3703412664545231</v>
      </c>
      <c r="J807" s="37">
        <v>3.5372355192952591</v>
      </c>
      <c r="K807" s="37">
        <f t="shared" si="98"/>
        <v>1.5635210535553312</v>
      </c>
      <c r="L807" s="37"/>
      <c r="M807" s="45">
        <f t="shared" si="99"/>
        <v>1.6999620413359538E-2</v>
      </c>
    </row>
    <row r="808" spans="1:13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40">
        <f t="shared" si="94"/>
        <v>230.10000000000002</v>
      </c>
      <c r="G808" s="221">
        <f t="shared" si="96"/>
        <v>8.4807913577160941E-4</v>
      </c>
      <c r="H808" s="37">
        <f t="shared" si="97"/>
        <v>2.0328660423438061</v>
      </c>
      <c r="I808" s="37">
        <f t="shared" si="95"/>
        <v>0.7474848437698175</v>
      </c>
      <c r="J808" s="37">
        <v>0.78449917396611013</v>
      </c>
      <c r="K808" s="37">
        <f t="shared" si="98"/>
        <v>0.34676259703429563</v>
      </c>
      <c r="L808" s="37"/>
      <c r="M808" s="45">
        <f t="shared" si="99"/>
        <v>1.6999620413359534E-2</v>
      </c>
    </row>
    <row r="809" spans="1:13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40">
        <f t="shared" si="94"/>
        <v>1331.77</v>
      </c>
      <c r="G809" s="221">
        <f t="shared" si="96"/>
        <v>4.9085021757781667E-3</v>
      </c>
      <c r="H809" s="37">
        <f t="shared" si="97"/>
        <v>11.765797519392482</v>
      </c>
      <c r="I809" s="37">
        <f t="shared" si="95"/>
        <v>4.3262837478806162</v>
      </c>
      <c r="J809" s="37">
        <v>4.5405148409945504</v>
      </c>
      <c r="K809" s="37">
        <f t="shared" si="98"/>
        <v>2.0069883696321766</v>
      </c>
      <c r="L809" s="37"/>
      <c r="M809" s="45">
        <f t="shared" si="99"/>
        <v>1.6999620413359531E-2</v>
      </c>
    </row>
    <row r="810" spans="1:13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40">
        <f t="shared" ref="F810:F871" si="100">C810+D810+E810</f>
        <v>483.9</v>
      </c>
      <c r="G810" s="221">
        <f t="shared" si="96"/>
        <v>1.7835093168182606E-3</v>
      </c>
      <c r="H810" s="37">
        <f t="shared" si="97"/>
        <v>4.2751146366369746</v>
      </c>
      <c r="I810" s="37">
        <f t="shared" ref="I810:I871" si="101">H810*0.3677</f>
        <v>1.5719596518914156</v>
      </c>
      <c r="J810" s="37">
        <v>1.6498007400356394</v>
      </c>
      <c r="K810" s="37">
        <f t="shared" si="98"/>
        <v>0.72924128946065037</v>
      </c>
      <c r="L810" s="37"/>
      <c r="M810" s="45">
        <f t="shared" si="99"/>
        <v>1.6999620413359538E-2</v>
      </c>
    </row>
    <row r="811" spans="1:13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40">
        <f t="shared" si="100"/>
        <v>665.8</v>
      </c>
      <c r="G811" s="221">
        <f t="shared" si="96"/>
        <v>2.4539378035494893E-3</v>
      </c>
      <c r="H811" s="37">
        <f t="shared" si="97"/>
        <v>5.8821478096154109</v>
      </c>
      <c r="I811" s="37">
        <f t="shared" si="101"/>
        <v>2.162865749595587</v>
      </c>
      <c r="J811" s="37">
        <v>2.2699676228884655</v>
      </c>
      <c r="K811" s="37">
        <f t="shared" si="98"/>
        <v>1.0033660891153151</v>
      </c>
      <c r="L811" s="37"/>
      <c r="M811" s="45">
        <f t="shared" si="99"/>
        <v>1.6999620413359534E-2</v>
      </c>
    </row>
    <row r="812" spans="1:13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40">
        <f t="shared" si="100"/>
        <v>59.2</v>
      </c>
      <c r="G812" s="221">
        <f t="shared" si="96"/>
        <v>2.1819332828196123E-4</v>
      </c>
      <c r="H812" s="37">
        <f t="shared" si="97"/>
        <v>0.52301464453173974</v>
      </c>
      <c r="I812" s="37">
        <f t="shared" si="101"/>
        <v>0.19231248479432073</v>
      </c>
      <c r="J812" s="37">
        <v>0.20183551107689579</v>
      </c>
      <c r="K812" s="37">
        <f t="shared" si="98"/>
        <v>8.9214888067928308E-2</v>
      </c>
      <c r="L812" s="37"/>
      <c r="M812" s="45">
        <f t="shared" si="99"/>
        <v>1.6999620413359534E-2</v>
      </c>
    </row>
    <row r="813" spans="1:13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40">
        <f t="shared" si="100"/>
        <v>421.78</v>
      </c>
      <c r="G813" s="221">
        <f t="shared" ref="G813:G876" si="102">1/271319.02*F813</f>
        <v>1.5545537500467161E-3</v>
      </c>
      <c r="H813" s="37">
        <f t="shared" ref="H813:H876" si="103">G813*1218*1.64*1.2</f>
        <v>3.7263026481519796</v>
      </c>
      <c r="I813" s="37">
        <f t="shared" si="101"/>
        <v>1.370161483725483</v>
      </c>
      <c r="J813" s="37">
        <v>1.4380098287502208</v>
      </c>
      <c r="K813" s="37">
        <f t="shared" ref="K813:K876" si="104">G813*408.88</f>
        <v>0.63562593731910133</v>
      </c>
      <c r="L813" s="37"/>
      <c r="M813" s="45">
        <f t="shared" si="99"/>
        <v>1.6999620413359538E-2</v>
      </c>
    </row>
    <row r="814" spans="1:13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40">
        <f t="shared" si="100"/>
        <v>212.60000000000002</v>
      </c>
      <c r="G814" s="221">
        <f t="shared" si="102"/>
        <v>7.8357941879636755E-4</v>
      </c>
      <c r="H814" s="37">
        <f t="shared" si="103"/>
        <v>1.878258672760944</v>
      </c>
      <c r="I814" s="37">
        <f t="shared" si="101"/>
        <v>0.69063571397419921</v>
      </c>
      <c r="J814" s="37">
        <v>0.72483496038763573</v>
      </c>
      <c r="K814" s="37">
        <f t="shared" si="104"/>
        <v>0.32038995275745874</v>
      </c>
      <c r="L814" s="37"/>
      <c r="M814" s="45">
        <f t="shared" si="99"/>
        <v>1.6999620413359534E-2</v>
      </c>
    </row>
    <row r="815" spans="1:13" s="6" customFormat="1" ht="15.75">
      <c r="A815" s="8">
        <v>68</v>
      </c>
      <c r="B815" s="8" t="s">
        <v>827</v>
      </c>
      <c r="C815" s="8">
        <v>205.2</v>
      </c>
      <c r="D815" s="55"/>
      <c r="E815" s="56"/>
      <c r="F815" s="40">
        <f t="shared" si="100"/>
        <v>205.2</v>
      </c>
      <c r="G815" s="221">
        <f t="shared" si="102"/>
        <v>7.5630525276112223E-4</v>
      </c>
      <c r="H815" s="37">
        <f t="shared" si="103"/>
        <v>1.8128818421944759</v>
      </c>
      <c r="I815" s="37">
        <f t="shared" si="101"/>
        <v>0.66659665337490881</v>
      </c>
      <c r="J815" s="37">
        <v>0.6996055215030238</v>
      </c>
      <c r="K815" s="37">
        <f t="shared" si="104"/>
        <v>0.30923809174896766</v>
      </c>
      <c r="L815" s="37"/>
      <c r="M815" s="45">
        <f t="shared" si="99"/>
        <v>1.6999620413359534E-2</v>
      </c>
    </row>
    <row r="816" spans="1:13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40">
        <f t="shared" si="100"/>
        <v>177.45</v>
      </c>
      <c r="G816" s="221">
        <f t="shared" si="102"/>
        <v>6.5402713012895292E-4</v>
      </c>
      <c r="H816" s="37">
        <f t="shared" si="103"/>
        <v>1.5677187275702231</v>
      </c>
      <c r="I816" s="37">
        <f t="shared" si="101"/>
        <v>0.5764501761275711</v>
      </c>
      <c r="J816" s="37">
        <v>0.60499512568572877</v>
      </c>
      <c r="K816" s="37">
        <f t="shared" si="104"/>
        <v>0.26741861296712627</v>
      </c>
      <c r="L816" s="37"/>
      <c r="M816" s="45">
        <f t="shared" si="99"/>
        <v>1.6999620413359534E-2</v>
      </c>
    </row>
    <row r="817" spans="1:13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40">
        <f t="shared" si="100"/>
        <v>200</v>
      </c>
      <c r="G817" s="221">
        <f t="shared" si="102"/>
        <v>7.3713962257419331E-4</v>
      </c>
      <c r="H817" s="37">
        <f t="shared" si="103"/>
        <v>1.766941366661283</v>
      </c>
      <c r="I817" s="37">
        <f t="shared" si="101"/>
        <v>0.64970434052135384</v>
      </c>
      <c r="J817" s="37">
        <v>0.68187672661113419</v>
      </c>
      <c r="K817" s="37">
        <f t="shared" si="104"/>
        <v>0.30140164887813614</v>
      </c>
      <c r="L817" s="37"/>
      <c r="M817" s="45">
        <f t="shared" si="99"/>
        <v>1.6999620413359534E-2</v>
      </c>
    </row>
    <row r="818" spans="1:13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40">
        <f t="shared" si="100"/>
        <v>542.18000000000006</v>
      </c>
      <c r="G818" s="221">
        <f t="shared" si="102"/>
        <v>1.9983118028363807E-3</v>
      </c>
      <c r="H818" s="37">
        <f t="shared" si="103"/>
        <v>4.790001350882072</v>
      </c>
      <c r="I818" s="37">
        <f t="shared" si="101"/>
        <v>1.761283496719338</v>
      </c>
      <c r="J818" s="37">
        <v>1.8484996181701243</v>
      </c>
      <c r="K818" s="37">
        <f t="shared" si="104"/>
        <v>0.81706972994373939</v>
      </c>
      <c r="L818" s="37"/>
      <c r="M818" s="45">
        <f t="shared" si="99"/>
        <v>1.6999620413359538E-2</v>
      </c>
    </row>
    <row r="819" spans="1:13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40">
        <f t="shared" si="100"/>
        <v>204.3</v>
      </c>
      <c r="G819" s="221">
        <f t="shared" si="102"/>
        <v>7.5298812445953849E-4</v>
      </c>
      <c r="H819" s="37">
        <f t="shared" si="103"/>
        <v>1.8049306060445007</v>
      </c>
      <c r="I819" s="37">
        <f t="shared" si="101"/>
        <v>0.66367298384256301</v>
      </c>
      <c r="J819" s="37">
        <v>0.69653707623327366</v>
      </c>
      <c r="K819" s="37">
        <f t="shared" si="104"/>
        <v>0.30788178432901608</v>
      </c>
      <c r="L819" s="37"/>
      <c r="M819" s="45">
        <f t="shared" si="99"/>
        <v>1.6999620413359538E-2</v>
      </c>
    </row>
    <row r="820" spans="1:13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40">
        <f t="shared" si="100"/>
        <v>306.39999999999998</v>
      </c>
      <c r="G820" s="221">
        <f t="shared" si="102"/>
        <v>1.129297901783664E-3</v>
      </c>
      <c r="H820" s="37">
        <f t="shared" si="103"/>
        <v>2.7069541737250851</v>
      </c>
      <c r="I820" s="37">
        <f t="shared" si="101"/>
        <v>0.9953470496787139</v>
      </c>
      <c r="J820" s="37">
        <v>1.0446351451682576</v>
      </c>
      <c r="K820" s="37">
        <f t="shared" si="104"/>
        <v>0.46174732608130453</v>
      </c>
      <c r="L820" s="37"/>
      <c r="M820" s="45">
        <f t="shared" si="99"/>
        <v>1.6999620413359534E-2</v>
      </c>
    </row>
    <row r="821" spans="1:13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40">
        <f t="shared" si="100"/>
        <v>301.42</v>
      </c>
      <c r="G821" s="221">
        <f t="shared" si="102"/>
        <v>1.1109431251815668E-3</v>
      </c>
      <c r="H821" s="37">
        <f t="shared" si="103"/>
        <v>2.6629573336952199</v>
      </c>
      <c r="I821" s="37">
        <f t="shared" si="101"/>
        <v>0.97916941159973248</v>
      </c>
      <c r="J821" s="37">
        <v>1.0276564146756404</v>
      </c>
      <c r="K821" s="37">
        <f t="shared" si="104"/>
        <v>0.454242425024239</v>
      </c>
      <c r="L821" s="37"/>
      <c r="M821" s="45">
        <f t="shared" si="99"/>
        <v>1.6999620413359538E-2</v>
      </c>
    </row>
    <row r="822" spans="1:13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40">
        <f t="shared" si="100"/>
        <v>394.72</v>
      </c>
      <c r="G822" s="221">
        <f t="shared" si="102"/>
        <v>1.4548187591124279E-3</v>
      </c>
      <c r="H822" s="37">
        <f t="shared" si="103"/>
        <v>3.4872354812427084</v>
      </c>
      <c r="I822" s="37">
        <f t="shared" si="101"/>
        <v>1.282256486452944</v>
      </c>
      <c r="J822" s="37">
        <v>1.3457519076397348</v>
      </c>
      <c r="K822" s="37">
        <f t="shared" si="104"/>
        <v>0.59484629422588953</v>
      </c>
      <c r="L822" s="37"/>
      <c r="M822" s="45">
        <f t="shared" si="99"/>
        <v>1.6999620413359534E-2</v>
      </c>
    </row>
    <row r="823" spans="1:13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40">
        <f t="shared" si="100"/>
        <v>680.89</v>
      </c>
      <c r="G823" s="221">
        <f t="shared" si="102"/>
        <v>2.5095549880727124E-3</v>
      </c>
      <c r="H823" s="37">
        <f t="shared" si="103"/>
        <v>6.0154635357300057</v>
      </c>
      <c r="I823" s="37">
        <f t="shared" si="101"/>
        <v>2.2118859420879233</v>
      </c>
      <c r="J823" s="37">
        <v>2.3214152219112765</v>
      </c>
      <c r="K823" s="37">
        <f t="shared" si="104"/>
        <v>1.0261068435231706</v>
      </c>
      <c r="L823" s="37"/>
      <c r="M823" s="45">
        <f t="shared" si="99"/>
        <v>1.6999620413359538E-2</v>
      </c>
    </row>
    <row r="824" spans="1:13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40">
        <f t="shared" si="100"/>
        <v>581.98</v>
      </c>
      <c r="G824" s="221">
        <f t="shared" si="102"/>
        <v>2.1450025877286449E-3</v>
      </c>
      <c r="H824" s="37">
        <f t="shared" si="103"/>
        <v>5.1416226828476672</v>
      </c>
      <c r="I824" s="37">
        <f t="shared" si="101"/>
        <v>1.8905746604830873</v>
      </c>
      <c r="J824" s="37">
        <v>1.9841930867657398</v>
      </c>
      <c r="K824" s="37">
        <f t="shared" si="104"/>
        <v>0.87704865807048826</v>
      </c>
      <c r="L824" s="37"/>
      <c r="M824" s="45">
        <f t="shared" si="99"/>
        <v>1.6999620413359534E-2</v>
      </c>
    </row>
    <row r="825" spans="1:13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40">
        <f t="shared" si="100"/>
        <v>260.39999999999998</v>
      </c>
      <c r="G825" s="221">
        <f t="shared" si="102"/>
        <v>9.5975578859159953E-4</v>
      </c>
      <c r="H825" s="37">
        <f t="shared" si="103"/>
        <v>2.3005576593929904</v>
      </c>
      <c r="I825" s="37">
        <f t="shared" si="101"/>
        <v>0.84591505135880263</v>
      </c>
      <c r="J825" s="37">
        <v>0.88780349804769665</v>
      </c>
      <c r="K825" s="37">
        <f t="shared" si="104"/>
        <v>0.39242494683933321</v>
      </c>
      <c r="L825" s="37"/>
      <c r="M825" s="45">
        <f t="shared" si="99"/>
        <v>1.6999620413359534E-2</v>
      </c>
    </row>
    <row r="826" spans="1:13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40">
        <f t="shared" si="100"/>
        <v>135.71</v>
      </c>
      <c r="G826" s="221">
        <f t="shared" si="102"/>
        <v>5.0018609089771883E-4</v>
      </c>
      <c r="H826" s="37">
        <f t="shared" si="103"/>
        <v>1.1989580643480133</v>
      </c>
      <c r="I826" s="37">
        <f t="shared" si="101"/>
        <v>0.44085688026076453</v>
      </c>
      <c r="J826" s="37">
        <v>0.46268745284198515</v>
      </c>
      <c r="K826" s="37">
        <f t="shared" si="104"/>
        <v>0.20451608884625927</v>
      </c>
      <c r="L826" s="37"/>
      <c r="M826" s="45">
        <f t="shared" si="99"/>
        <v>1.6999620413359534E-2</v>
      </c>
    </row>
    <row r="827" spans="1:13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40">
        <f t="shared" si="100"/>
        <v>201.8</v>
      </c>
      <c r="G827" s="221">
        <f t="shared" si="102"/>
        <v>7.437738791773611E-4</v>
      </c>
      <c r="H827" s="37">
        <f t="shared" si="103"/>
        <v>1.7828438389612347</v>
      </c>
      <c r="I827" s="37">
        <f t="shared" si="101"/>
        <v>0.65555167958604599</v>
      </c>
      <c r="J827" s="37">
        <v>0.68801361715063447</v>
      </c>
      <c r="K827" s="37">
        <f t="shared" si="104"/>
        <v>0.3041142637180394</v>
      </c>
      <c r="L827" s="37"/>
      <c r="M827" s="45">
        <f t="shared" si="99"/>
        <v>1.6999620413359534E-2</v>
      </c>
    </row>
    <row r="828" spans="1:13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40">
        <f t="shared" si="100"/>
        <v>1437.1</v>
      </c>
      <c r="G828" s="221">
        <f t="shared" si="102"/>
        <v>5.2967167580068655E-3</v>
      </c>
      <c r="H828" s="37">
        <f t="shared" si="103"/>
        <v>12.696357190144649</v>
      </c>
      <c r="I828" s="37">
        <f t="shared" si="101"/>
        <v>4.6684505388161881</v>
      </c>
      <c r="J828" s="37">
        <v>4.8996252190643048</v>
      </c>
      <c r="K828" s="37">
        <f t="shared" si="104"/>
        <v>2.1657215480138472</v>
      </c>
      <c r="L828" s="37"/>
      <c r="M828" s="45">
        <f t="shared" si="99"/>
        <v>1.6999620413359538E-2</v>
      </c>
    </row>
    <row r="829" spans="1:13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40">
        <f t="shared" si="100"/>
        <v>213.86</v>
      </c>
      <c r="G829" s="221">
        <f t="shared" si="102"/>
        <v>7.8822339841858491E-4</v>
      </c>
      <c r="H829" s="37">
        <f t="shared" si="103"/>
        <v>1.8893904033709099</v>
      </c>
      <c r="I829" s="37">
        <f t="shared" si="101"/>
        <v>0.69472885131948359</v>
      </c>
      <c r="J829" s="37">
        <v>0.72913078376528595</v>
      </c>
      <c r="K829" s="37">
        <f t="shared" si="104"/>
        <v>0.322288783145391</v>
      </c>
      <c r="L829" s="37"/>
      <c r="M829" s="45">
        <f t="shared" si="99"/>
        <v>1.6999620413359534E-2</v>
      </c>
    </row>
    <row r="830" spans="1:13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40">
        <f t="shared" si="100"/>
        <v>397.89</v>
      </c>
      <c r="G830" s="221">
        <f t="shared" si="102"/>
        <v>1.4665024221302287E-3</v>
      </c>
      <c r="H830" s="37">
        <f t="shared" si="103"/>
        <v>3.5152415019042893</v>
      </c>
      <c r="I830" s="37">
        <f t="shared" si="101"/>
        <v>1.2925543002502073</v>
      </c>
      <c r="J830" s="37">
        <v>1.356559653756521</v>
      </c>
      <c r="K830" s="37">
        <f t="shared" si="104"/>
        <v>0.5996235103606079</v>
      </c>
      <c r="L830" s="37"/>
      <c r="M830" s="45">
        <f t="shared" si="99"/>
        <v>1.6999620413359538E-2</v>
      </c>
    </row>
    <row r="831" spans="1:13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40">
        <f t="shared" si="100"/>
        <v>352.17</v>
      </c>
      <c r="G831" s="221">
        <f t="shared" si="102"/>
        <v>1.2979923044097682E-3</v>
      </c>
      <c r="H831" s="37">
        <f t="shared" si="103"/>
        <v>3.11131870548552</v>
      </c>
      <c r="I831" s="37">
        <f t="shared" si="101"/>
        <v>1.1440318880070257</v>
      </c>
      <c r="J831" s="37">
        <v>1.2006826340532157</v>
      </c>
      <c r="K831" s="37">
        <f t="shared" si="104"/>
        <v>0.53072309342706603</v>
      </c>
      <c r="L831" s="37"/>
      <c r="M831" s="45">
        <f t="shared" si="99"/>
        <v>1.6999620413359534E-2</v>
      </c>
    </row>
    <row r="832" spans="1:13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40">
        <f t="shared" si="100"/>
        <v>653.07000000000005</v>
      </c>
      <c r="G832" s="221">
        <f t="shared" si="102"/>
        <v>2.4070188665726421E-3</v>
      </c>
      <c r="H832" s="37">
        <f t="shared" si="103"/>
        <v>5.7696819916274213</v>
      </c>
      <c r="I832" s="37">
        <f t="shared" si="101"/>
        <v>2.1215120683214028</v>
      </c>
      <c r="J832" s="37">
        <v>2.2265661692396677</v>
      </c>
      <c r="K832" s="37">
        <f t="shared" si="104"/>
        <v>0.98418187416422187</v>
      </c>
      <c r="L832" s="37"/>
      <c r="M832" s="45">
        <f t="shared" si="99"/>
        <v>1.6999620413359534E-2</v>
      </c>
    </row>
    <row r="833" spans="1:13" s="6" customFormat="1" ht="15.75">
      <c r="A833" s="8">
        <v>87</v>
      </c>
      <c r="B833" s="8" t="s">
        <v>916</v>
      </c>
      <c r="C833" s="17">
        <v>786.94</v>
      </c>
      <c r="D833" s="55"/>
      <c r="E833" s="55"/>
      <c r="F833" s="40">
        <f t="shared" si="100"/>
        <v>786.94</v>
      </c>
      <c r="G833" s="221">
        <f t="shared" si="102"/>
        <v>2.9004232729426785E-3</v>
      </c>
      <c r="H833" s="37">
        <f t="shared" si="103"/>
        <v>6.9523841954021508</v>
      </c>
      <c r="I833" s="37">
        <f t="shared" si="101"/>
        <v>2.5563916686493711</v>
      </c>
      <c r="J833" s="37">
        <v>2.6829803561968304</v>
      </c>
      <c r="K833" s="37">
        <f t="shared" si="104"/>
        <v>1.1859250678408024</v>
      </c>
      <c r="L833" s="37"/>
      <c r="M833" s="45">
        <f t="shared" si="99"/>
        <v>1.6999620413359534E-2</v>
      </c>
    </row>
    <row r="834" spans="1:13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40">
        <f t="shared" si="100"/>
        <v>3342.78</v>
      </c>
      <c r="G834" s="221">
        <f t="shared" si="102"/>
        <v>1.232047793774281E-2</v>
      </c>
      <c r="H834" s="37">
        <f t="shared" si="103"/>
        <v>29.532481308240019</v>
      </c>
      <c r="I834" s="37">
        <f t="shared" si="101"/>
        <v>10.859093377039855</v>
      </c>
      <c r="J834" s="37">
        <v>11.396819420905837</v>
      </c>
      <c r="K834" s="37">
        <f t="shared" si="104"/>
        <v>5.0375970191842798</v>
      </c>
      <c r="L834" s="37"/>
      <c r="M834" s="45">
        <f t="shared" si="99"/>
        <v>1.6999620413359538E-2</v>
      </c>
    </row>
    <row r="835" spans="1:13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40">
        <f t="shared" si="100"/>
        <v>139.80000000000001</v>
      </c>
      <c r="G835" s="221">
        <f t="shared" si="102"/>
        <v>5.1526059617936111E-4</v>
      </c>
      <c r="H835" s="37">
        <f t="shared" si="103"/>
        <v>1.2350920152962368</v>
      </c>
      <c r="I835" s="37">
        <f t="shared" si="101"/>
        <v>0.4541433340244263</v>
      </c>
      <c r="J835" s="37">
        <v>0.47663183190118291</v>
      </c>
      <c r="K835" s="37">
        <f t="shared" si="104"/>
        <v>0.21067975256581717</v>
      </c>
      <c r="L835" s="37"/>
      <c r="M835" s="45">
        <f t="shared" si="99"/>
        <v>1.6999620413359538E-2</v>
      </c>
    </row>
    <row r="836" spans="1:13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40">
        <f t="shared" si="100"/>
        <v>3135.2999999999997</v>
      </c>
      <c r="G836" s="221">
        <f t="shared" si="102"/>
        <v>1.155576929328434E-2</v>
      </c>
      <c r="H836" s="37">
        <f t="shared" si="103"/>
        <v>27.699456334465598</v>
      </c>
      <c r="I836" s="37">
        <f t="shared" si="101"/>
        <v>10.185090094183002</v>
      </c>
      <c r="J836" s="37">
        <v>10.689440504719444</v>
      </c>
      <c r="K836" s="37">
        <f t="shared" si="104"/>
        <v>4.7249229486381008</v>
      </c>
      <c r="L836" s="37"/>
      <c r="M836" s="45">
        <f t="shared" si="99"/>
        <v>1.6999620413359534E-2</v>
      </c>
    </row>
    <row r="837" spans="1:13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40">
        <f t="shared" si="100"/>
        <v>230.5</v>
      </c>
      <c r="G837" s="221">
        <f t="shared" si="102"/>
        <v>8.4955341501675779E-4</v>
      </c>
      <c r="H837" s="37">
        <f t="shared" si="103"/>
        <v>2.0363999250771285</v>
      </c>
      <c r="I837" s="37">
        <f t="shared" si="101"/>
        <v>0.74878425245086022</v>
      </c>
      <c r="J837" s="37">
        <v>0.78586292741933217</v>
      </c>
      <c r="K837" s="37">
        <f t="shared" si="104"/>
        <v>0.34736540033205193</v>
      </c>
      <c r="L837" s="37"/>
      <c r="M837" s="45">
        <f t="shared" si="99"/>
        <v>1.6999620413359538E-2</v>
      </c>
    </row>
    <row r="838" spans="1:13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40">
        <f t="shared" si="100"/>
        <v>65.900000000000006</v>
      </c>
      <c r="G838" s="221">
        <f t="shared" si="102"/>
        <v>2.4288750563819671E-4</v>
      </c>
      <c r="H838" s="37">
        <f t="shared" si="103"/>
        <v>0.58220718031489282</v>
      </c>
      <c r="I838" s="37">
        <f t="shared" si="101"/>
        <v>0.21407758020178611</v>
      </c>
      <c r="J838" s="37">
        <v>0.22467838141836874</v>
      </c>
      <c r="K838" s="37">
        <f t="shared" si="104"/>
        <v>9.931184330534587E-2</v>
      </c>
      <c r="L838" s="37"/>
      <c r="M838" s="45">
        <f t="shared" si="99"/>
        <v>1.6999620413359534E-2</v>
      </c>
    </row>
    <row r="839" spans="1:13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40">
        <f t="shared" si="100"/>
        <v>75.900000000000006</v>
      </c>
      <c r="G839" s="221">
        <f t="shared" si="102"/>
        <v>2.7974448676690636E-4</v>
      </c>
      <c r="H839" s="37">
        <f t="shared" si="103"/>
        <v>0.67055424864795687</v>
      </c>
      <c r="I839" s="37">
        <f t="shared" si="101"/>
        <v>0.24656279722785376</v>
      </c>
      <c r="J839" s="37">
        <v>0.25877221774892545</v>
      </c>
      <c r="K839" s="37">
        <f t="shared" si="104"/>
        <v>0.11438192574925267</v>
      </c>
      <c r="L839" s="37"/>
      <c r="M839" s="45">
        <f t="shared" ref="M839:M902" si="105">(K839+J839+I839+H839)/F839</f>
        <v>1.6999620413359534E-2</v>
      </c>
    </row>
    <row r="840" spans="1:13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40">
        <f t="shared" si="100"/>
        <v>115.8</v>
      </c>
      <c r="G840" s="221">
        <f t="shared" si="102"/>
        <v>4.2680384147045789E-4</v>
      </c>
      <c r="H840" s="37">
        <f t="shared" si="103"/>
        <v>1.0230590512968827</v>
      </c>
      <c r="I840" s="37">
        <f t="shared" si="101"/>
        <v>0.3761788131618638</v>
      </c>
      <c r="J840" s="37">
        <v>0.39480662470784672</v>
      </c>
      <c r="K840" s="37">
        <f t="shared" si="104"/>
        <v>0.17451155470044083</v>
      </c>
      <c r="L840" s="37"/>
      <c r="M840" s="45">
        <f t="shared" si="105"/>
        <v>1.6999620413359534E-2</v>
      </c>
    </row>
    <row r="841" spans="1:13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40">
        <f t="shared" si="100"/>
        <v>43.6</v>
      </c>
      <c r="G841" s="221">
        <f t="shared" si="102"/>
        <v>1.6069643772117413E-4</v>
      </c>
      <c r="H841" s="37">
        <f t="shared" si="103"/>
        <v>0.38519321793215966</v>
      </c>
      <c r="I841" s="37">
        <f t="shared" si="101"/>
        <v>0.14163554623365512</v>
      </c>
      <c r="J841" s="37">
        <v>0.14864912640122729</v>
      </c>
      <c r="K841" s="37">
        <f t="shared" si="104"/>
        <v>6.5705559455433674E-2</v>
      </c>
      <c r="L841" s="37"/>
      <c r="M841" s="45">
        <f t="shared" si="105"/>
        <v>1.6999620413359534E-2</v>
      </c>
    </row>
    <row r="842" spans="1:13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40">
        <f t="shared" si="100"/>
        <v>229.9</v>
      </c>
      <c r="G842" s="221">
        <f t="shared" si="102"/>
        <v>8.4734199614903516E-4</v>
      </c>
      <c r="H842" s="37">
        <f t="shared" si="103"/>
        <v>2.0310991009771446</v>
      </c>
      <c r="I842" s="37">
        <f t="shared" si="101"/>
        <v>0.74683513942929614</v>
      </c>
      <c r="J842" s="37">
        <v>0.78381729723949889</v>
      </c>
      <c r="K842" s="37">
        <f t="shared" si="104"/>
        <v>0.34646119538541748</v>
      </c>
      <c r="L842" s="37"/>
      <c r="M842" s="45">
        <f t="shared" si="105"/>
        <v>1.6999620413359534E-2</v>
      </c>
    </row>
    <row r="843" spans="1:13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40">
        <f t="shared" si="100"/>
        <v>274.3</v>
      </c>
      <c r="G843" s="221">
        <f t="shared" si="102"/>
        <v>1.010986992360506E-3</v>
      </c>
      <c r="H843" s="37">
        <f t="shared" si="103"/>
        <v>2.4233600843759495</v>
      </c>
      <c r="I843" s="37">
        <f t="shared" si="101"/>
        <v>0.89106950302503674</v>
      </c>
      <c r="J843" s="37">
        <v>0.9351939305471707</v>
      </c>
      <c r="K843" s="37">
        <f t="shared" si="104"/>
        <v>0.41337236143636369</v>
      </c>
      <c r="L843" s="37"/>
      <c r="M843" s="45">
        <f t="shared" si="105"/>
        <v>1.6999620413359538E-2</v>
      </c>
    </row>
    <row r="844" spans="1:13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40">
        <f t="shared" si="100"/>
        <v>282</v>
      </c>
      <c r="G844" s="221">
        <f t="shared" si="102"/>
        <v>1.0393668678296125E-3</v>
      </c>
      <c r="H844" s="37">
        <f t="shared" si="103"/>
        <v>2.4913873269924087</v>
      </c>
      <c r="I844" s="37">
        <f t="shared" si="101"/>
        <v>0.91608312013510873</v>
      </c>
      <c r="J844" s="37">
        <v>0.96144618452169928</v>
      </c>
      <c r="K844" s="37">
        <f t="shared" si="104"/>
        <v>0.424976324918172</v>
      </c>
      <c r="L844" s="37"/>
      <c r="M844" s="45">
        <f t="shared" si="105"/>
        <v>1.6999620413359534E-2</v>
      </c>
    </row>
    <row r="845" spans="1:13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40">
        <f t="shared" si="100"/>
        <v>181.2</v>
      </c>
      <c r="G845" s="221">
        <f t="shared" si="102"/>
        <v>6.6784849805221901E-4</v>
      </c>
      <c r="H845" s="37">
        <f t="shared" si="103"/>
        <v>1.600848878195122</v>
      </c>
      <c r="I845" s="37">
        <f t="shared" si="101"/>
        <v>0.58863213251234636</v>
      </c>
      <c r="J845" s="37">
        <v>0.61778031430968761</v>
      </c>
      <c r="K845" s="37">
        <f t="shared" si="104"/>
        <v>0.27306989388359132</v>
      </c>
      <c r="L845" s="37"/>
      <c r="M845" s="45">
        <f t="shared" si="105"/>
        <v>1.6999620413359534E-2</v>
      </c>
    </row>
    <row r="846" spans="1:13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40">
        <f t="shared" si="100"/>
        <v>171</v>
      </c>
      <c r="G846" s="221">
        <f t="shared" si="102"/>
        <v>6.3025437730093519E-4</v>
      </c>
      <c r="H846" s="37">
        <f t="shared" si="103"/>
        <v>1.510734868495397</v>
      </c>
      <c r="I846" s="37">
        <f t="shared" si="101"/>
        <v>0.55549721114575745</v>
      </c>
      <c r="J846" s="37">
        <v>0.58300460125251974</v>
      </c>
      <c r="K846" s="37">
        <f t="shared" si="104"/>
        <v>0.25769840979080638</v>
      </c>
      <c r="L846" s="37"/>
      <c r="M846" s="45">
        <f t="shared" si="105"/>
        <v>1.6999620413359534E-2</v>
      </c>
    </row>
    <row r="847" spans="1:13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40">
        <f t="shared" si="100"/>
        <v>160.5</v>
      </c>
      <c r="G847" s="221">
        <f t="shared" si="102"/>
        <v>5.9155454711579006E-4</v>
      </c>
      <c r="H847" s="37">
        <f t="shared" si="103"/>
        <v>1.4179704467456793</v>
      </c>
      <c r="I847" s="37">
        <f t="shared" si="101"/>
        <v>0.52138773326838628</v>
      </c>
      <c r="J847" s="37">
        <v>0.54720607310543523</v>
      </c>
      <c r="K847" s="37">
        <f t="shared" si="104"/>
        <v>0.24187482322470424</v>
      </c>
      <c r="L847" s="37"/>
      <c r="M847" s="45">
        <f t="shared" si="105"/>
        <v>1.6999620413359534E-2</v>
      </c>
    </row>
    <row r="848" spans="1:13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40">
        <f t="shared" si="100"/>
        <v>165.6</v>
      </c>
      <c r="G848" s="221">
        <f t="shared" si="102"/>
        <v>6.1035160749143202E-4</v>
      </c>
      <c r="H848" s="37">
        <f t="shared" si="103"/>
        <v>1.4630274515955424</v>
      </c>
      <c r="I848" s="37">
        <f t="shared" si="101"/>
        <v>0.53795519395168101</v>
      </c>
      <c r="J848" s="37">
        <v>0.56459392963401922</v>
      </c>
      <c r="K848" s="37">
        <f t="shared" si="104"/>
        <v>0.24956056527109671</v>
      </c>
      <c r="L848" s="37"/>
      <c r="M848" s="45">
        <f t="shared" si="105"/>
        <v>1.6999620413359538E-2</v>
      </c>
    </row>
    <row r="849" spans="1:13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40">
        <f t="shared" si="100"/>
        <v>158.6</v>
      </c>
      <c r="G849" s="221">
        <f t="shared" si="102"/>
        <v>5.8455172070133519E-4</v>
      </c>
      <c r="H849" s="37">
        <f t="shared" si="103"/>
        <v>1.4011845037623971</v>
      </c>
      <c r="I849" s="37">
        <f t="shared" si="101"/>
        <v>0.51521554203343345</v>
      </c>
      <c r="J849" s="37">
        <v>0.54072824420262944</v>
      </c>
      <c r="K849" s="37">
        <f t="shared" si="104"/>
        <v>0.23901150756036194</v>
      </c>
      <c r="L849" s="37"/>
      <c r="M849" s="45">
        <f t="shared" si="105"/>
        <v>1.6999620413359534E-2</v>
      </c>
    </row>
    <row r="850" spans="1:13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40">
        <f t="shared" si="100"/>
        <v>414.61</v>
      </c>
      <c r="G850" s="221">
        <f t="shared" si="102"/>
        <v>1.5281272945774315E-3</v>
      </c>
      <c r="H850" s="37">
        <f t="shared" si="103"/>
        <v>3.6629578001571725</v>
      </c>
      <c r="I850" s="37">
        <f t="shared" si="101"/>
        <v>1.3468695831177924</v>
      </c>
      <c r="J850" s="37">
        <v>1.4135645481012118</v>
      </c>
      <c r="K850" s="37">
        <f t="shared" si="104"/>
        <v>0.62482068820682013</v>
      </c>
      <c r="L850" s="37"/>
      <c r="M850" s="45">
        <f t="shared" si="105"/>
        <v>1.6999620413359531E-2</v>
      </c>
    </row>
    <row r="851" spans="1:13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40">
        <f t="shared" si="100"/>
        <v>148.1</v>
      </c>
      <c r="G851" s="221">
        <f t="shared" si="102"/>
        <v>5.4585189051619006E-4</v>
      </c>
      <c r="H851" s="37">
        <f t="shared" si="103"/>
        <v>1.3084200820126797</v>
      </c>
      <c r="I851" s="37">
        <f t="shared" si="101"/>
        <v>0.48110606415606233</v>
      </c>
      <c r="J851" s="37">
        <v>0.50492971605554493</v>
      </c>
      <c r="K851" s="37">
        <f t="shared" si="104"/>
        <v>0.2231879209942598</v>
      </c>
      <c r="L851" s="37"/>
      <c r="M851" s="45">
        <f t="shared" si="105"/>
        <v>1.6999620413359531E-2</v>
      </c>
    </row>
    <row r="852" spans="1:13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40">
        <f t="shared" si="100"/>
        <v>27.8</v>
      </c>
      <c r="G852" s="221">
        <f t="shared" si="102"/>
        <v>1.0246240753781287E-4</v>
      </c>
      <c r="H852" s="37">
        <f t="shared" si="103"/>
        <v>0.24560484996591836</v>
      </c>
      <c r="I852" s="37">
        <f t="shared" si="101"/>
        <v>9.0308903332468188E-2</v>
      </c>
      <c r="J852" s="37">
        <v>9.4780864998947653E-2</v>
      </c>
      <c r="K852" s="37">
        <f t="shared" si="104"/>
        <v>4.1894829194060929E-2</v>
      </c>
      <c r="L852" s="37"/>
      <c r="M852" s="45">
        <f t="shared" si="105"/>
        <v>1.6999620413359534E-2</v>
      </c>
    </row>
    <row r="853" spans="1:13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40">
        <f t="shared" si="100"/>
        <v>140.9</v>
      </c>
      <c r="G853" s="221">
        <f t="shared" si="102"/>
        <v>5.193148641035192E-4</v>
      </c>
      <c r="H853" s="37">
        <f t="shared" si="103"/>
        <v>1.2448101928128741</v>
      </c>
      <c r="I853" s="37">
        <f t="shared" si="101"/>
        <v>0.45771670789729385</v>
      </c>
      <c r="J853" s="37">
        <v>0.48038215389754413</v>
      </c>
      <c r="K853" s="37">
        <f t="shared" si="104"/>
        <v>0.21233746163464692</v>
      </c>
      <c r="L853" s="37"/>
      <c r="M853" s="45">
        <f t="shared" si="105"/>
        <v>1.6999620413359541E-2</v>
      </c>
    </row>
    <row r="854" spans="1:13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40">
        <f t="shared" si="100"/>
        <v>66.599999999999994</v>
      </c>
      <c r="G854" s="221">
        <f t="shared" si="102"/>
        <v>2.4546749431720634E-4</v>
      </c>
      <c r="H854" s="37">
        <f t="shared" si="103"/>
        <v>0.58839147509820722</v>
      </c>
      <c r="I854" s="37">
        <f t="shared" si="101"/>
        <v>0.21635154539361082</v>
      </c>
      <c r="J854" s="37">
        <v>0.22706494996150772</v>
      </c>
      <c r="K854" s="37">
        <f t="shared" si="104"/>
        <v>0.10036674907641932</v>
      </c>
      <c r="L854" s="37"/>
      <c r="M854" s="45">
        <f t="shared" si="105"/>
        <v>1.6999620413359538E-2</v>
      </c>
    </row>
    <row r="855" spans="1:13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40">
        <f t="shared" si="100"/>
        <v>97.5</v>
      </c>
      <c r="G855" s="221">
        <f t="shared" si="102"/>
        <v>3.5935556600491921E-4</v>
      </c>
      <c r="H855" s="37">
        <f t="shared" si="103"/>
        <v>0.86138391624737543</v>
      </c>
      <c r="I855" s="37">
        <f t="shared" si="101"/>
        <v>0.31673086600415995</v>
      </c>
      <c r="J855" s="37">
        <v>0.33241490422292796</v>
      </c>
      <c r="K855" s="37">
        <f t="shared" si="104"/>
        <v>0.14693330382809136</v>
      </c>
      <c r="L855" s="37"/>
      <c r="M855" s="45">
        <f t="shared" si="105"/>
        <v>1.6999620413359538E-2</v>
      </c>
    </row>
    <row r="856" spans="1:13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40">
        <f t="shared" si="100"/>
        <v>522.6</v>
      </c>
      <c r="G856" s="221">
        <f t="shared" si="102"/>
        <v>1.9261458337863672E-3</v>
      </c>
      <c r="H856" s="37">
        <f t="shared" si="103"/>
        <v>4.6170177910859334</v>
      </c>
      <c r="I856" s="37">
        <f t="shared" si="101"/>
        <v>1.6976774417822977</v>
      </c>
      <c r="J856" s="37">
        <v>1.7817438866348938</v>
      </c>
      <c r="K856" s="37">
        <f t="shared" si="104"/>
        <v>0.78756250851856979</v>
      </c>
      <c r="L856" s="37"/>
      <c r="M856" s="45">
        <f t="shared" si="105"/>
        <v>1.6999620413359538E-2</v>
      </c>
    </row>
    <row r="857" spans="1:13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40">
        <f t="shared" si="100"/>
        <v>71.8</v>
      </c>
      <c r="G857" s="221">
        <f t="shared" si="102"/>
        <v>2.6463312450413537E-4</v>
      </c>
      <c r="H857" s="37">
        <f t="shared" si="103"/>
        <v>0.63433195063140058</v>
      </c>
      <c r="I857" s="37">
        <f t="shared" si="101"/>
        <v>0.23324385824716601</v>
      </c>
      <c r="J857" s="37">
        <v>0.24479374485339719</v>
      </c>
      <c r="K857" s="37">
        <f t="shared" si="104"/>
        <v>0.10820319194725087</v>
      </c>
      <c r="L857" s="37"/>
      <c r="M857" s="45">
        <f t="shared" si="105"/>
        <v>1.6999620413359534E-2</v>
      </c>
    </row>
    <row r="858" spans="1:13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40">
        <f t="shared" si="100"/>
        <v>199</v>
      </c>
      <c r="G858" s="221">
        <f t="shared" si="102"/>
        <v>7.3345392446132229E-4</v>
      </c>
      <c r="H858" s="37">
        <f t="shared" si="103"/>
        <v>1.7581066598279764</v>
      </c>
      <c r="I858" s="37">
        <f t="shared" si="101"/>
        <v>0.64645581881874703</v>
      </c>
      <c r="J858" s="37">
        <v>0.67846734297807854</v>
      </c>
      <c r="K858" s="37">
        <f t="shared" si="104"/>
        <v>0.29989464063374544</v>
      </c>
      <c r="L858" s="37"/>
      <c r="M858" s="45">
        <f t="shared" si="105"/>
        <v>1.6999620413359534E-2</v>
      </c>
    </row>
    <row r="859" spans="1:13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40">
        <f t="shared" si="100"/>
        <v>128.5</v>
      </c>
      <c r="G859" s="221">
        <f t="shared" si="102"/>
        <v>4.7361220750391915E-4</v>
      </c>
      <c r="H859" s="37">
        <f t="shared" si="103"/>
        <v>1.1352598280798742</v>
      </c>
      <c r="I859" s="37">
        <f t="shared" si="101"/>
        <v>0.41743503878496979</v>
      </c>
      <c r="J859" s="37">
        <v>0.43810579684765372</v>
      </c>
      <c r="K859" s="37">
        <f t="shared" si="104"/>
        <v>0.19365055940420245</v>
      </c>
      <c r="L859" s="37"/>
      <c r="M859" s="45">
        <f t="shared" si="105"/>
        <v>1.6999620413359538E-2</v>
      </c>
    </row>
    <row r="860" spans="1:13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40">
        <f t="shared" si="100"/>
        <v>43.4</v>
      </c>
      <c r="G860" s="221">
        <f t="shared" si="102"/>
        <v>1.5995929809859994E-4</v>
      </c>
      <c r="H860" s="37">
        <f t="shared" si="103"/>
        <v>0.38342627656549838</v>
      </c>
      <c r="I860" s="37">
        <f t="shared" si="101"/>
        <v>0.14098584189313376</v>
      </c>
      <c r="J860" s="37">
        <v>0.14796724967461611</v>
      </c>
      <c r="K860" s="37">
        <f t="shared" si="104"/>
        <v>6.5404157806555549E-2</v>
      </c>
      <c r="L860" s="37"/>
      <c r="M860" s="45">
        <f t="shared" si="105"/>
        <v>1.6999620413359534E-2</v>
      </c>
    </row>
    <row r="861" spans="1:13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40">
        <f t="shared" si="100"/>
        <v>35.4</v>
      </c>
      <c r="G861" s="221">
        <f t="shared" si="102"/>
        <v>1.304737131956322E-4</v>
      </c>
      <c r="H861" s="37">
        <f t="shared" si="103"/>
        <v>0.31274862189904701</v>
      </c>
      <c r="I861" s="37">
        <f t="shared" si="101"/>
        <v>0.1149976682722796</v>
      </c>
      <c r="J861" s="37">
        <v>0.12069218061017074</v>
      </c>
      <c r="K861" s="37">
        <f t="shared" si="104"/>
        <v>5.3348091851430093E-2</v>
      </c>
      <c r="L861" s="37"/>
      <c r="M861" s="45">
        <f t="shared" si="105"/>
        <v>1.6999620413359534E-2</v>
      </c>
    </row>
    <row r="862" spans="1:13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40">
        <f t="shared" si="100"/>
        <v>407.14</v>
      </c>
      <c r="G862" s="221">
        <f t="shared" si="102"/>
        <v>1.5005951296742852E-3</v>
      </c>
      <c r="H862" s="37">
        <f t="shared" si="103"/>
        <v>3.5969625401123735</v>
      </c>
      <c r="I862" s="37">
        <f t="shared" si="101"/>
        <v>1.3226031259993198</v>
      </c>
      <c r="J862" s="37">
        <v>1.3880964523622861</v>
      </c>
      <c r="K862" s="37">
        <f t="shared" si="104"/>
        <v>0.61356333662122176</v>
      </c>
      <c r="L862" s="37"/>
      <c r="M862" s="45">
        <f t="shared" si="105"/>
        <v>1.6999620413359538E-2</v>
      </c>
    </row>
    <row r="863" spans="1:13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40">
        <f t="shared" si="100"/>
        <v>207.4</v>
      </c>
      <c r="G863" s="221">
        <f t="shared" si="102"/>
        <v>7.6441378860943841E-4</v>
      </c>
      <c r="H863" s="37">
        <f t="shared" si="103"/>
        <v>1.8323181972277502</v>
      </c>
      <c r="I863" s="37">
        <f t="shared" si="101"/>
        <v>0.67374340112064379</v>
      </c>
      <c r="J863" s="37">
        <v>0.70710616549574623</v>
      </c>
      <c r="K863" s="37">
        <f t="shared" si="104"/>
        <v>0.31255350988662717</v>
      </c>
      <c r="L863" s="37"/>
      <c r="M863" s="45">
        <f t="shared" si="105"/>
        <v>1.6999620413359534E-2</v>
      </c>
    </row>
    <row r="864" spans="1:13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40">
        <f t="shared" si="100"/>
        <v>619.29999999999995</v>
      </c>
      <c r="G864" s="221">
        <f t="shared" si="102"/>
        <v>2.2825528413009891E-3</v>
      </c>
      <c r="H864" s="37">
        <f t="shared" si="103"/>
        <v>5.4713339418666607</v>
      </c>
      <c r="I864" s="37">
        <f t="shared" si="101"/>
        <v>2.0118094904243713</v>
      </c>
      <c r="J864" s="37">
        <v>2.1114312839513771</v>
      </c>
      <c r="K864" s="37">
        <f t="shared" si="104"/>
        <v>0.93329020575114841</v>
      </c>
      <c r="L864" s="37"/>
      <c r="M864" s="45">
        <f t="shared" si="105"/>
        <v>1.6999620413359534E-2</v>
      </c>
    </row>
    <row r="865" spans="1:13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40">
        <f t="shared" si="100"/>
        <v>326.7</v>
      </c>
      <c r="G865" s="221">
        <f t="shared" si="102"/>
        <v>1.2041175734749446E-3</v>
      </c>
      <c r="H865" s="37">
        <f t="shared" si="103"/>
        <v>2.8862987224412051</v>
      </c>
      <c r="I865" s="37">
        <f t="shared" si="101"/>
        <v>1.0612920402416313</v>
      </c>
      <c r="J865" s="37">
        <v>1.1138456329192878</v>
      </c>
      <c r="K865" s="37">
        <f t="shared" si="104"/>
        <v>0.49233959344243533</v>
      </c>
      <c r="L865" s="37"/>
      <c r="M865" s="45">
        <f t="shared" si="105"/>
        <v>1.6999620413359534E-2</v>
      </c>
    </row>
    <row r="866" spans="1:13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40">
        <f t="shared" si="100"/>
        <v>485.4</v>
      </c>
      <c r="G866" s="221">
        <f t="shared" si="102"/>
        <v>1.7890378639875671E-3</v>
      </c>
      <c r="H866" s="37">
        <f t="shared" si="103"/>
        <v>4.2883666968869338</v>
      </c>
      <c r="I866" s="37">
        <f t="shared" si="101"/>
        <v>1.5768324344453257</v>
      </c>
      <c r="J866" s="37">
        <v>1.6549148154852229</v>
      </c>
      <c r="K866" s="37">
        <f t="shared" si="104"/>
        <v>0.73150180182723645</v>
      </c>
      <c r="L866" s="37"/>
      <c r="M866" s="45">
        <f t="shared" si="105"/>
        <v>1.6999620413359538E-2</v>
      </c>
    </row>
    <row r="867" spans="1:13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40">
        <f t="shared" si="100"/>
        <v>133.6</v>
      </c>
      <c r="G867" s="221">
        <f t="shared" si="102"/>
        <v>4.9240926787956106E-4</v>
      </c>
      <c r="H867" s="37">
        <f t="shared" si="103"/>
        <v>1.1803168329297369</v>
      </c>
      <c r="I867" s="37">
        <f t="shared" si="101"/>
        <v>0.4340024994682643</v>
      </c>
      <c r="J867" s="37">
        <v>0.45549365337623771</v>
      </c>
      <c r="K867" s="37">
        <f t="shared" si="104"/>
        <v>0.20133630145059492</v>
      </c>
      <c r="L867" s="37"/>
      <c r="M867" s="45">
        <f t="shared" si="105"/>
        <v>1.6999620413359534E-2</v>
      </c>
    </row>
    <row r="868" spans="1:13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40">
        <f t="shared" si="100"/>
        <v>562.28</v>
      </c>
      <c r="G868" s="221">
        <f t="shared" si="102"/>
        <v>2.0723943349050867E-3</v>
      </c>
      <c r="H868" s="37">
        <f t="shared" si="103"/>
        <v>4.9675789582315302</v>
      </c>
      <c r="I868" s="37">
        <f t="shared" si="101"/>
        <v>1.8265787829417337</v>
      </c>
      <c r="J868" s="37">
        <v>1.9170282291945426</v>
      </c>
      <c r="K868" s="37">
        <f t="shared" si="104"/>
        <v>0.84736059565599187</v>
      </c>
      <c r="L868" s="37"/>
      <c r="M868" s="45">
        <f t="shared" si="105"/>
        <v>1.6999620413359534E-2</v>
      </c>
    </row>
    <row r="869" spans="1:13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40">
        <f t="shared" si="100"/>
        <v>156.78</v>
      </c>
      <c r="G869" s="221">
        <f t="shared" si="102"/>
        <v>5.7784375013591007E-4</v>
      </c>
      <c r="H869" s="37">
        <f t="shared" si="103"/>
        <v>1.3851053373257793</v>
      </c>
      <c r="I869" s="37">
        <f t="shared" si="101"/>
        <v>0.50930323253468912</v>
      </c>
      <c r="J869" s="37">
        <v>0.53452316599046812</v>
      </c>
      <c r="K869" s="37">
        <f t="shared" si="104"/>
        <v>0.23626875255557089</v>
      </c>
      <c r="L869" s="37"/>
      <c r="M869" s="45">
        <f t="shared" si="105"/>
        <v>1.6999620413359534E-2</v>
      </c>
    </row>
    <row r="870" spans="1:13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40">
        <f t="shared" si="100"/>
        <v>169.82</v>
      </c>
      <c r="G870" s="221">
        <f t="shared" si="102"/>
        <v>6.2590525352774747E-4</v>
      </c>
      <c r="H870" s="37">
        <f t="shared" si="103"/>
        <v>1.500309914432095</v>
      </c>
      <c r="I870" s="37">
        <f t="shared" si="101"/>
        <v>0.55166395553668135</v>
      </c>
      <c r="J870" s="37">
        <v>0.57898152856551399</v>
      </c>
      <c r="K870" s="37">
        <f t="shared" si="104"/>
        <v>0.25592014006242536</v>
      </c>
      <c r="L870" s="37"/>
      <c r="M870" s="45">
        <f t="shared" si="105"/>
        <v>1.6999620413359531E-2</v>
      </c>
    </row>
    <row r="871" spans="1:13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40">
        <f t="shared" si="100"/>
        <v>263.20999999999998</v>
      </c>
      <c r="G871" s="221">
        <f t="shared" si="102"/>
        <v>9.7011260028876702E-4</v>
      </c>
      <c r="H871" s="37">
        <f t="shared" si="103"/>
        <v>2.325383185594581</v>
      </c>
      <c r="I871" s="37">
        <f t="shared" si="101"/>
        <v>0.85504339734312751</v>
      </c>
      <c r="J871" s="37">
        <v>0.89738386605658316</v>
      </c>
      <c r="K871" s="37">
        <f t="shared" si="104"/>
        <v>0.39665964000607107</v>
      </c>
      <c r="L871" s="37"/>
      <c r="M871" s="45">
        <f t="shared" si="105"/>
        <v>1.6999620413359534E-2</v>
      </c>
    </row>
    <row r="872" spans="1:13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40">
        <f t="shared" ref="F872:F878" si="106">C872+D872+E872</f>
        <v>83.5</v>
      </c>
      <c r="G872" s="221">
        <f t="shared" si="102"/>
        <v>3.0775579242472571E-4</v>
      </c>
      <c r="H872" s="37">
        <f t="shared" si="103"/>
        <v>0.7376980205810858</v>
      </c>
      <c r="I872" s="37">
        <f t="shared" ref="I872:I879" si="107">H872*0.3677</f>
        <v>0.27125156216766527</v>
      </c>
      <c r="J872" s="37">
        <v>0.28468353336014851</v>
      </c>
      <c r="K872" s="37">
        <f t="shared" si="104"/>
        <v>0.12583518840662186</v>
      </c>
      <c r="L872" s="37"/>
      <c r="M872" s="45">
        <f t="shared" si="105"/>
        <v>1.6999620413359538E-2</v>
      </c>
    </row>
    <row r="873" spans="1:13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40">
        <f t="shared" si="106"/>
        <v>1770.4</v>
      </c>
      <c r="G873" s="221">
        <f t="shared" si="102"/>
        <v>6.5251599390267591E-3</v>
      </c>
      <c r="H873" s="37">
        <f t="shared" si="103"/>
        <v>15.640964977685677</v>
      </c>
      <c r="I873" s="37">
        <f t="shared" si="107"/>
        <v>5.7511828222950241</v>
      </c>
      <c r="J873" s="37">
        <v>6.0359727839617596</v>
      </c>
      <c r="K873" s="37">
        <f t="shared" si="104"/>
        <v>2.6680073958692612</v>
      </c>
      <c r="L873" s="37"/>
      <c r="M873" s="45">
        <f t="shared" si="105"/>
        <v>1.6999620413359534E-2</v>
      </c>
    </row>
    <row r="874" spans="1:13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40">
        <f t="shared" si="106"/>
        <v>4761.2</v>
      </c>
      <c r="G874" s="221">
        <f t="shared" si="102"/>
        <v>1.7548345855001243E-2</v>
      </c>
      <c r="H874" s="37">
        <f t="shared" si="103"/>
        <v>42.063806174738495</v>
      </c>
      <c r="I874" s="37">
        <f t="shared" si="107"/>
        <v>15.466861530451347</v>
      </c>
      <c r="J874" s="37">
        <v>16.23275735370466</v>
      </c>
      <c r="K874" s="37">
        <f t="shared" si="104"/>
        <v>7.1751676531929087</v>
      </c>
      <c r="L874" s="37"/>
      <c r="M874" s="45">
        <f t="shared" si="105"/>
        <v>1.6999620413359531E-2</v>
      </c>
    </row>
    <row r="875" spans="1:13" s="6" customFormat="1" ht="15.75">
      <c r="A875" s="32">
        <v>130</v>
      </c>
      <c r="B875" s="195" t="s">
        <v>1382</v>
      </c>
      <c r="C875" s="158">
        <v>725.2</v>
      </c>
      <c r="D875" s="160"/>
      <c r="E875" s="160"/>
      <c r="F875" s="40">
        <f t="shared" si="106"/>
        <v>725.2</v>
      </c>
      <c r="G875" s="221">
        <f t="shared" si="102"/>
        <v>2.6728682714540252E-3</v>
      </c>
      <c r="H875" s="37">
        <f t="shared" si="103"/>
        <v>6.4069293955138136</v>
      </c>
      <c r="I875" s="37">
        <f t="shared" si="107"/>
        <v>2.3558279387304295</v>
      </c>
      <c r="J875" s="37">
        <v>2.4724850106919734</v>
      </c>
      <c r="K875" s="37">
        <f t="shared" si="104"/>
        <v>1.0928823788321218</v>
      </c>
      <c r="L875" s="37"/>
      <c r="M875" s="45">
        <f t="shared" si="105"/>
        <v>1.6999620413359538E-2</v>
      </c>
    </row>
    <row r="876" spans="1:13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 t="shared" si="106"/>
        <v>2911.81</v>
      </c>
      <c r="G876" s="221">
        <f t="shared" si="102"/>
        <v>1.0732052622038808E-2</v>
      </c>
      <c r="H876" s="37">
        <f t="shared" si="103"/>
        <v>25.724987704289948</v>
      </c>
      <c r="I876" s="37">
        <f t="shared" si="107"/>
        <v>9.4590779788674144</v>
      </c>
      <c r="J876" s="37">
        <v>6.0359727839617596</v>
      </c>
      <c r="K876" s="37">
        <f t="shared" si="104"/>
        <v>4.3881216760992281</v>
      </c>
      <c r="L876" s="37"/>
      <c r="M876" s="45">
        <f t="shared" si="105"/>
        <v>1.5663164884803047E-2</v>
      </c>
    </row>
    <row r="877" spans="1:13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 t="shared" si="106"/>
        <v>2933</v>
      </c>
      <c r="G877" s="221">
        <f>1/271319.02*F877</f>
        <v>1.0810152565050545E-2</v>
      </c>
      <c r="H877" s="37">
        <f>G877*1218*1.64*1.2</f>
        <v>25.912195142087715</v>
      </c>
      <c r="I877" s="37">
        <f t="shared" si="107"/>
        <v>9.5279141537456535</v>
      </c>
      <c r="J877" s="37">
        <v>16.23275735370466</v>
      </c>
      <c r="K877" s="37">
        <f>G877*408.88</f>
        <v>4.420055180797867</v>
      </c>
      <c r="L877" s="37"/>
      <c r="M877" s="45">
        <f t="shared" si="105"/>
        <v>1.91247602558254E-2</v>
      </c>
    </row>
    <row r="878" spans="1:13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 t="shared" si="106"/>
        <v>3120.67</v>
      </c>
      <c r="G878" s="221">
        <f>1/271319.02*F878</f>
        <v>1.1501847529893038E-2</v>
      </c>
      <c r="H878" s="37">
        <f>G878*1218*1.64*1.2</f>
        <v>27.57020457349433</v>
      </c>
      <c r="I878" s="37">
        <f t="shared" si="107"/>
        <v>10.137564221673866</v>
      </c>
      <c r="J878" s="37">
        <v>2.4724850106919734</v>
      </c>
      <c r="K878" s="37">
        <f>G878*408.88</f>
        <v>4.7028754180226651</v>
      </c>
      <c r="L878" s="37"/>
      <c r="M878" s="45">
        <f t="shared" si="105"/>
        <v>1.438252978491248E-2</v>
      </c>
    </row>
    <row r="879" spans="1:13" s="69" customFormat="1" ht="15.75">
      <c r="A879" s="63"/>
      <c r="B879" s="63" t="s">
        <v>681</v>
      </c>
      <c r="C879" s="88">
        <f>SUM(C749:C875)</f>
        <v>265493.51999999984</v>
      </c>
      <c r="D879" s="88">
        <f>SUM(D749:D875)</f>
        <v>216.9</v>
      </c>
      <c r="E879" s="88">
        <f>SUM(E749:E875)</f>
        <v>5608.6</v>
      </c>
      <c r="F879" s="63">
        <f t="shared" ref="F879:F941" si="108">C879+D879+E879</f>
        <v>271319.01999999984</v>
      </c>
      <c r="G879" s="221">
        <f>1/271319.02*F879</f>
        <v>0.99999999999999944</v>
      </c>
      <c r="H879" s="37">
        <f>G879*1218*1.64*1.2</f>
        <v>2397.0239999999985</v>
      </c>
      <c r="I879" s="64">
        <f t="shared" si="107"/>
        <v>881.38572479999948</v>
      </c>
      <c r="J879" s="37">
        <v>1851.3429460868833</v>
      </c>
      <c r="K879" s="37">
        <f>SUM(K749:K875)</f>
        <v>408.87999999999982</v>
      </c>
      <c r="L879" s="37"/>
      <c r="M879" s="45">
        <f t="shared" si="105"/>
        <v>2.0413727982973268E-2</v>
      </c>
    </row>
    <row r="880" spans="1:13" s="209" customFormat="1" ht="15.75">
      <c r="A880" s="510" t="s">
        <v>392</v>
      </c>
      <c r="B880" s="339"/>
      <c r="C880" s="339"/>
      <c r="D880" s="339"/>
      <c r="E880" s="339"/>
      <c r="F880" s="339">
        <f t="shared" si="108"/>
        <v>0</v>
      </c>
      <c r="G880" s="339"/>
      <c r="H880" s="342">
        <f>G880*869*1.64*1.2</f>
        <v>0</v>
      </c>
      <c r="I880" s="342"/>
      <c r="J880" s="37">
        <v>0</v>
      </c>
      <c r="K880" s="342">
        <f>G880*408.88</f>
        <v>0</v>
      </c>
      <c r="L880" s="342"/>
      <c r="M880" s="45" t="e">
        <f t="shared" si="105"/>
        <v>#DIV/0!</v>
      </c>
    </row>
    <row r="881" spans="1:13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8">
        <f t="shared" si="108"/>
        <v>4265.91</v>
      </c>
      <c r="G881" s="221">
        <f t="shared" ref="G881:G944" si="109">1/282420.13*F881</f>
        <v>1.5104836896718373E-2</v>
      </c>
      <c r="H881" s="7">
        <f t="shared" ref="H881:H944" si="110">G881*1218*1.54*1.2</f>
        <v>33.998933596695103</v>
      </c>
      <c r="I881" s="7">
        <f>H881*0.3677</f>
        <v>12.50140788350479</v>
      </c>
      <c r="J881" s="37">
        <v>13.071361398704626</v>
      </c>
      <c r="K881" s="37">
        <f>G881*408.88*1.08</f>
        <v>6.6701509671566255</v>
      </c>
      <c r="L881" s="37">
        <f>K881*1.29</f>
        <v>8.6044947476320477</v>
      </c>
      <c r="M881" s="45">
        <f t="shared" si="105"/>
        <v>1.5528188322318365E-2</v>
      </c>
    </row>
    <row r="882" spans="1:13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8">
        <f t="shared" si="108"/>
        <v>9865.73</v>
      </c>
      <c r="G882" s="221">
        <f t="shared" si="109"/>
        <v>3.4932814456249982E-2</v>
      </c>
      <c r="H882" s="7">
        <f t="shared" si="110"/>
        <v>78.629014478252657</v>
      </c>
      <c r="I882" s="7">
        <f t="shared" ref="I882:I944" si="111">H882*0.3677</f>
        <v>28.911888623653503</v>
      </c>
      <c r="J882" s="37">
        <v>30.230014766378609</v>
      </c>
      <c r="K882" s="37">
        <f t="shared" ref="K882:K945" si="112">G882*408.88*1.08</f>
        <v>15.425995508861211</v>
      </c>
      <c r="L882" s="37">
        <f t="shared" ref="L882:L945" si="113">K882*1.29</f>
        <v>19.899534206430964</v>
      </c>
      <c r="M882" s="45">
        <f t="shared" si="105"/>
        <v>1.5528188322318368E-2</v>
      </c>
    </row>
    <row r="883" spans="1:13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8">
        <f t="shared" si="108"/>
        <v>4252.49</v>
      </c>
      <c r="G883" s="221">
        <f t="shared" si="109"/>
        <v>1.5057319037421303E-2</v>
      </c>
      <c r="H883" s="7">
        <f t="shared" si="110"/>
        <v>33.891977357846265</v>
      </c>
      <c r="I883" s="7">
        <f t="shared" si="111"/>
        <v>12.462080074480072</v>
      </c>
      <c r="J883" s="37">
        <v>13.030240589786807</v>
      </c>
      <c r="K883" s="37">
        <f t="shared" si="112"/>
        <v>6.6491675366624889</v>
      </c>
      <c r="L883" s="37">
        <f t="shared" si="113"/>
        <v>8.5774261222946109</v>
      </c>
      <c r="M883" s="45">
        <f t="shared" si="105"/>
        <v>1.5528188322318368E-2</v>
      </c>
    </row>
    <row r="884" spans="1:13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8">
        <f t="shared" si="108"/>
        <v>5951.3</v>
      </c>
      <c r="G884" s="221">
        <f t="shared" si="109"/>
        <v>2.1072506410927578E-2</v>
      </c>
      <c r="H884" s="7">
        <f t="shared" si="110"/>
        <v>47.431346070126089</v>
      </c>
      <c r="I884" s="7">
        <f t="shared" si="111"/>
        <v>17.440505949985365</v>
      </c>
      <c r="J884" s="37">
        <v>18.235638607497776</v>
      </c>
      <c r="K884" s="37">
        <f t="shared" si="112"/>
        <v>9.3054165350040741</v>
      </c>
      <c r="L884" s="37">
        <f t="shared" si="113"/>
        <v>12.003987330155256</v>
      </c>
      <c r="M884" s="45">
        <f t="shared" si="105"/>
        <v>1.5528188322318367E-2</v>
      </c>
    </row>
    <row r="885" spans="1:13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8">
        <f t="shared" si="108"/>
        <v>4295.57</v>
      </c>
      <c r="G885" s="221">
        <f t="shared" si="109"/>
        <v>1.520985773924826E-2</v>
      </c>
      <c r="H885" s="7">
        <f t="shared" si="110"/>
        <v>34.235321230395293</v>
      </c>
      <c r="I885" s="7">
        <f t="shared" si="111"/>
        <v>12.58832761641635</v>
      </c>
      <c r="J885" s="37">
        <v>13.162243901871729</v>
      </c>
      <c r="K885" s="37">
        <f t="shared" si="112"/>
        <v>6.7165271630177346</v>
      </c>
      <c r="L885" s="37">
        <f t="shared" si="113"/>
        <v>8.6643200402928784</v>
      </c>
      <c r="M885" s="45">
        <f t="shared" si="105"/>
        <v>1.5528188322318367E-2</v>
      </c>
    </row>
    <row r="886" spans="1:13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8">
        <f t="shared" si="108"/>
        <v>7972.34</v>
      </c>
      <c r="G886" s="221">
        <f t="shared" si="109"/>
        <v>2.8228653531177116E-2</v>
      </c>
      <c r="H886" s="7">
        <f t="shared" si="110"/>
        <v>63.538860001799449</v>
      </c>
      <c r="I886" s="7">
        <f t="shared" si="111"/>
        <v>23.363238822661661</v>
      </c>
      <c r="J886" s="37">
        <v>24.428395660796603</v>
      </c>
      <c r="K886" s="37">
        <f t="shared" si="112"/>
        <v>12.465502404293916</v>
      </c>
      <c r="L886" s="37">
        <f t="shared" si="113"/>
        <v>16.080498101539153</v>
      </c>
      <c r="M886" s="45">
        <f t="shared" si="105"/>
        <v>1.552818832231837E-2</v>
      </c>
    </row>
    <row r="887" spans="1:13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8">
        <f t="shared" si="108"/>
        <v>3946.89</v>
      </c>
      <c r="G887" s="221">
        <f t="shared" si="109"/>
        <v>1.3975243195306226E-2</v>
      </c>
      <c r="H887" s="7">
        <f t="shared" si="110"/>
        <v>31.456371799559754</v>
      </c>
      <c r="I887" s="7">
        <f t="shared" si="111"/>
        <v>11.566507910698123</v>
      </c>
      <c r="J887" s="37">
        <v>12.093838264504713</v>
      </c>
      <c r="K887" s="37">
        <f t="shared" si="112"/>
        <v>6.1713332327125547</v>
      </c>
      <c r="L887" s="37">
        <f t="shared" si="113"/>
        <v>7.9610198701991957</v>
      </c>
      <c r="M887" s="45">
        <f t="shared" si="105"/>
        <v>1.5528188322318368E-2</v>
      </c>
    </row>
    <row r="888" spans="1:13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8">
        <f t="shared" si="108"/>
        <v>8036.22</v>
      </c>
      <c r="G888" s="221">
        <f t="shared" si="109"/>
        <v>2.8454841374090437E-2</v>
      </c>
      <c r="H888" s="7">
        <f t="shared" si="110"/>
        <v>64.0479780746507</v>
      </c>
      <c r="I888" s="7">
        <f t="shared" si="111"/>
        <v>23.550441538049064</v>
      </c>
      <c r="J888" s="37">
        <v>24.624133162560415</v>
      </c>
      <c r="K888" s="37">
        <f t="shared" si="112"/>
        <v>12.565384784321147</v>
      </c>
      <c r="L888" s="37">
        <f t="shared" si="113"/>
        <v>16.209346371774281</v>
      </c>
      <c r="M888" s="45">
        <f t="shared" si="105"/>
        <v>1.552818832231837E-2</v>
      </c>
    </row>
    <row r="889" spans="1:13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8">
        <f t="shared" si="108"/>
        <v>3993.05</v>
      </c>
      <c r="G889" s="221">
        <f t="shared" si="109"/>
        <v>1.4138687635332509E-2</v>
      </c>
      <c r="H889" s="7">
        <f t="shared" si="110"/>
        <v>31.824263005615073</v>
      </c>
      <c r="I889" s="7">
        <f t="shared" si="111"/>
        <v>11.701781507164663</v>
      </c>
      <c r="J889" s="37">
        <v>12.235279139292087</v>
      </c>
      <c r="K889" s="37">
        <f t="shared" si="112"/>
        <v>6.2435087283615367</v>
      </c>
      <c r="L889" s="37">
        <f t="shared" si="113"/>
        <v>8.0541262595863827</v>
      </c>
      <c r="M889" s="45">
        <f t="shared" si="105"/>
        <v>1.5528188322318367E-2</v>
      </c>
    </row>
    <row r="890" spans="1:13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8">
        <f t="shared" si="108"/>
        <v>8196.09</v>
      </c>
      <c r="G890" s="221">
        <f t="shared" si="109"/>
        <v>2.9020912921469161E-2</v>
      </c>
      <c r="H890" s="7">
        <f t="shared" si="110"/>
        <v>65.322128142069758</v>
      </c>
      <c r="I890" s="7">
        <f t="shared" si="111"/>
        <v>24.018946517839051</v>
      </c>
      <c r="J890" s="37">
        <v>25.113997821404812</v>
      </c>
      <c r="K890" s="37">
        <f t="shared" si="112"/>
        <v>12.815356545356735</v>
      </c>
      <c r="L890" s="37">
        <f t="shared" si="113"/>
        <v>16.53180994351019</v>
      </c>
      <c r="M890" s="45">
        <f t="shared" si="105"/>
        <v>1.5528188322318368E-2</v>
      </c>
    </row>
    <row r="891" spans="1:13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8">
        <f t="shared" si="108"/>
        <v>3935.64</v>
      </c>
      <c r="G891" s="221">
        <f t="shared" si="109"/>
        <v>1.3935408924285955E-2</v>
      </c>
      <c r="H891" s="7">
        <f t="shared" si="110"/>
        <v>31.366710272953981</v>
      </c>
      <c r="I891" s="7">
        <f t="shared" si="111"/>
        <v>11.533539367365179</v>
      </c>
      <c r="J891" s="37">
        <v>12.059366647490894</v>
      </c>
      <c r="K891" s="37">
        <f t="shared" si="112"/>
        <v>6.1537428010390052</v>
      </c>
      <c r="L891" s="37">
        <f t="shared" si="113"/>
        <v>7.9383282133403172</v>
      </c>
      <c r="M891" s="45">
        <f t="shared" si="105"/>
        <v>1.5528188322318368E-2</v>
      </c>
    </row>
    <row r="892" spans="1:13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8">
        <f t="shared" si="108"/>
        <v>4128.3999999999996</v>
      </c>
      <c r="G892" s="221">
        <f t="shared" si="109"/>
        <v>1.4617938176007494E-2</v>
      </c>
      <c r="H892" s="7">
        <f t="shared" si="110"/>
        <v>32.902990794600932</v>
      </c>
      <c r="I892" s="7">
        <f t="shared" si="111"/>
        <v>12.098429715174763</v>
      </c>
      <c r="J892" s="37">
        <v>12.650010993765029</v>
      </c>
      <c r="K892" s="37">
        <f t="shared" si="112"/>
        <v>6.4551411663184206</v>
      </c>
      <c r="L892" s="37">
        <f t="shared" si="113"/>
        <v>8.3271321045507634</v>
      </c>
      <c r="M892" s="45">
        <f t="shared" si="105"/>
        <v>1.5528188322318368E-2</v>
      </c>
    </row>
    <row r="893" spans="1:13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8">
        <f t="shared" si="108"/>
        <v>18171.13</v>
      </c>
      <c r="G893" s="221">
        <f t="shared" si="109"/>
        <v>6.4340774859072553E-2</v>
      </c>
      <c r="H893" s="7">
        <f t="shared" si="110"/>
        <v>144.82233386239147</v>
      </c>
      <c r="I893" s="7">
        <f t="shared" si="111"/>
        <v>53.251172161201346</v>
      </c>
      <c r="J893" s="37">
        <v>55.678954139408383</v>
      </c>
      <c r="K893" s="37">
        <f t="shared" si="112"/>
        <v>28.412268506327795</v>
      </c>
      <c r="L893" s="37">
        <f t="shared" si="113"/>
        <v>36.651826373162855</v>
      </c>
      <c r="M893" s="45">
        <f t="shared" si="105"/>
        <v>1.552818832231837E-2</v>
      </c>
    </row>
    <row r="894" spans="1:13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8">
        <f t="shared" si="108"/>
        <v>3212.3</v>
      </c>
      <c r="G894" s="221">
        <f t="shared" si="109"/>
        <v>1.1374189226525744E-2</v>
      </c>
      <c r="H894" s="7">
        <f t="shared" si="110"/>
        <v>25.601753059174641</v>
      </c>
      <c r="I894" s="7">
        <f t="shared" si="111"/>
        <v>9.4137645998585153</v>
      </c>
      <c r="J894" s="37">
        <v>9.8429489185329437</v>
      </c>
      <c r="K894" s="37">
        <f t="shared" si="112"/>
        <v>5.0227327702171944</v>
      </c>
      <c r="L894" s="37">
        <f t="shared" si="113"/>
        <v>6.479325273580181</v>
      </c>
      <c r="M894" s="45">
        <f t="shared" si="105"/>
        <v>1.5528188322318367E-2</v>
      </c>
    </row>
    <row r="895" spans="1:13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8">
        <f t="shared" si="108"/>
        <v>4181.6099999999997</v>
      </c>
      <c r="G895" s="221">
        <f t="shared" si="109"/>
        <v>1.4806345425873148E-2</v>
      </c>
      <c r="H895" s="7">
        <f t="shared" si="110"/>
        <v>33.327069890662536</v>
      </c>
      <c r="I895" s="7">
        <f t="shared" si="111"/>
        <v>12.254363598796616</v>
      </c>
      <c r="J895" s="37">
        <v>12.813054081881061</v>
      </c>
      <c r="K895" s="37">
        <f t="shared" si="112"/>
        <v>6.5383399991494944</v>
      </c>
      <c r="L895" s="37">
        <f t="shared" si="113"/>
        <v>8.4344585989028484</v>
      </c>
      <c r="M895" s="45">
        <f t="shared" si="105"/>
        <v>1.5528188322318368E-2</v>
      </c>
    </row>
    <row r="896" spans="1:13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8">
        <f t="shared" si="108"/>
        <v>6299.01</v>
      </c>
      <c r="G896" s="221">
        <f t="shared" si="109"/>
        <v>2.2303686355501642E-2</v>
      </c>
      <c r="H896" s="7">
        <f t="shared" si="110"/>
        <v>50.20256468488985</v>
      </c>
      <c r="I896" s="7">
        <f t="shared" si="111"/>
        <v>18.459483034634001</v>
      </c>
      <c r="J896" s="37">
        <v>19.30107202544227</v>
      </c>
      <c r="K896" s="37">
        <f t="shared" si="112"/>
        <v>9.8490937792005138</v>
      </c>
      <c r="L896" s="37">
        <f t="shared" si="113"/>
        <v>12.705330975168662</v>
      </c>
      <c r="M896" s="45">
        <f t="shared" si="105"/>
        <v>1.552818832231837E-2</v>
      </c>
    </row>
    <row r="897" spans="1:13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8">
        <f t="shared" si="108"/>
        <v>147.65</v>
      </c>
      <c r="G897" s="221">
        <f t="shared" si="109"/>
        <v>5.2280267699048228E-4</v>
      </c>
      <c r="H897" s="7">
        <f t="shared" si="110"/>
        <v>1.1767577247415049</v>
      </c>
      <c r="I897" s="7">
        <f t="shared" si="111"/>
        <v>0.43269381538745139</v>
      </c>
      <c r="J897" s="37">
        <v>0.45242082240805326</v>
      </c>
      <c r="K897" s="37">
        <f t="shared" si="112"/>
        <v>0.23086464325329786</v>
      </c>
      <c r="L897" s="37">
        <f t="shared" si="113"/>
        <v>0.29781538979675426</v>
      </c>
      <c r="M897" s="45">
        <f t="shared" si="105"/>
        <v>1.5528188322318372E-2</v>
      </c>
    </row>
    <row r="898" spans="1:13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8">
        <f t="shared" si="108"/>
        <v>4248.3</v>
      </c>
      <c r="G898" s="221">
        <f t="shared" si="109"/>
        <v>1.5042482984481312E-2</v>
      </c>
      <c r="H898" s="7">
        <f t="shared" si="110"/>
        <v>33.858583420381542</v>
      </c>
      <c r="I898" s="7">
        <f t="shared" si="111"/>
        <v>12.449801123674295</v>
      </c>
      <c r="J898" s="37">
        <v>13.017401827538993</v>
      </c>
      <c r="K898" s="37">
        <f t="shared" si="112"/>
        <v>6.6426160781102963</v>
      </c>
      <c r="L898" s="37">
        <f t="shared" si="113"/>
        <v>8.5689747407622825</v>
      </c>
      <c r="M898" s="45">
        <f t="shared" si="105"/>
        <v>1.5528188322318372E-2</v>
      </c>
    </row>
    <row r="899" spans="1:13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8">
        <f t="shared" si="108"/>
        <v>4085.47</v>
      </c>
      <c r="G899" s="221">
        <f t="shared" si="109"/>
        <v>1.4465930597794142E-2</v>
      </c>
      <c r="H899" s="7">
        <f t="shared" si="110"/>
        <v>32.56084240907331</v>
      </c>
      <c r="I899" s="7">
        <f t="shared" si="111"/>
        <v>11.972621753816258</v>
      </c>
      <c r="J899" s="37">
        <v>12.518467303240289</v>
      </c>
      <c r="K899" s="37">
        <f t="shared" si="112"/>
        <v>6.3880160790521545</v>
      </c>
      <c r="L899" s="37">
        <f t="shared" si="113"/>
        <v>8.2405407419772789</v>
      </c>
      <c r="M899" s="45">
        <f t="shared" si="105"/>
        <v>1.5528188322318365E-2</v>
      </c>
    </row>
    <row r="900" spans="1:13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8">
        <f t="shared" si="108"/>
        <v>4100.95</v>
      </c>
      <c r="G900" s="221">
        <f t="shared" si="109"/>
        <v>1.4520742554718035E-2</v>
      </c>
      <c r="H900" s="7">
        <f t="shared" si="110"/>
        <v>32.684216669682854</v>
      </c>
      <c r="I900" s="7">
        <f t="shared" si="111"/>
        <v>12.017986469442386</v>
      </c>
      <c r="J900" s="37">
        <v>12.565900248251305</v>
      </c>
      <c r="K900" s="37">
        <f t="shared" si="112"/>
        <v>6.412220513034959</v>
      </c>
      <c r="L900" s="37">
        <f t="shared" si="113"/>
        <v>8.2717644618150974</v>
      </c>
      <c r="M900" s="45">
        <f t="shared" si="105"/>
        <v>1.5528188322318367E-2</v>
      </c>
    </row>
    <row r="901" spans="1:13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8">
        <f t="shared" si="108"/>
        <v>7076.23</v>
      </c>
      <c r="G901" s="221">
        <f t="shared" si="109"/>
        <v>2.5055685655268268E-2</v>
      </c>
      <c r="H901" s="7">
        <f t="shared" si="110"/>
        <v>56.396940836759754</v>
      </c>
      <c r="I901" s="7">
        <f t="shared" si="111"/>
        <v>20.737155145676564</v>
      </c>
      <c r="J901" s="37">
        <v>21.682585818818406</v>
      </c>
      <c r="K901" s="37">
        <f t="shared" si="112"/>
        <v>11.064350250784178</v>
      </c>
      <c r="L901" s="37">
        <f t="shared" si="113"/>
        <v>14.27301182351159</v>
      </c>
      <c r="M901" s="45">
        <f t="shared" si="105"/>
        <v>1.5528188322318368E-2</v>
      </c>
    </row>
    <row r="902" spans="1:13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8">
        <f t="shared" si="108"/>
        <v>4062.74</v>
      </c>
      <c r="G902" s="221">
        <f t="shared" si="109"/>
        <v>1.4385447666212744E-2</v>
      </c>
      <c r="H902" s="7">
        <f t="shared" si="110"/>
        <v>32.379686275762282</v>
      </c>
      <c r="I902" s="7">
        <f t="shared" si="111"/>
        <v>11.906010643597792</v>
      </c>
      <c r="J902" s="37">
        <v>12.448819316153701</v>
      </c>
      <c r="K902" s="37">
        <f t="shared" si="112"/>
        <v>6.3524755891019522</v>
      </c>
      <c r="L902" s="37">
        <f t="shared" si="113"/>
        <v>8.1946935099415192</v>
      </c>
      <c r="M902" s="45">
        <f t="shared" si="105"/>
        <v>1.5528188322318368E-2</v>
      </c>
    </row>
    <row r="903" spans="1:13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8">
        <f t="shared" si="108"/>
        <v>6379.08</v>
      </c>
      <c r="G903" s="221">
        <f t="shared" si="109"/>
        <v>2.2587200140443246E-2</v>
      </c>
      <c r="H903" s="7">
        <f t="shared" si="110"/>
        <v>50.840715656918654</v>
      </c>
      <c r="I903" s="7">
        <f t="shared" si="111"/>
        <v>18.694131147048992</v>
      </c>
      <c r="J903" s="37">
        <v>19.546418014268632</v>
      </c>
      <c r="K903" s="37">
        <f t="shared" si="112"/>
        <v>9.9742907448983882</v>
      </c>
      <c r="L903" s="37">
        <f t="shared" si="113"/>
        <v>12.866835060918921</v>
      </c>
      <c r="M903" s="45">
        <f t="shared" ref="M903:M966" si="114">(K903+J903+I903+H903)/F903</f>
        <v>1.5528188322318372E-2</v>
      </c>
    </row>
    <row r="904" spans="1:13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8">
        <f t="shared" si="108"/>
        <v>6509.3399999999992</v>
      </c>
      <c r="G904" s="221">
        <f t="shared" si="109"/>
        <v>2.3048427886496616E-2</v>
      </c>
      <c r="H904" s="7">
        <f t="shared" si="110"/>
        <v>51.878876586311321</v>
      </c>
      <c r="I904" s="7">
        <f t="shared" si="111"/>
        <v>19.075862920786673</v>
      </c>
      <c r="J904" s="37">
        <v>19.945553377132651</v>
      </c>
      <c r="K904" s="37">
        <f t="shared" si="112"/>
        <v>10.177964489769195</v>
      </c>
      <c r="L904" s="37">
        <f t="shared" si="113"/>
        <v>13.129574191802263</v>
      </c>
      <c r="M904" s="45">
        <f t="shared" si="114"/>
        <v>1.5528188322318368E-2</v>
      </c>
    </row>
    <row r="905" spans="1:13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8">
        <f t="shared" si="108"/>
        <v>4249.6000000000004</v>
      </c>
      <c r="G905" s="221">
        <f t="shared" si="109"/>
        <v>1.504708605579921E-2</v>
      </c>
      <c r="H905" s="7">
        <f t="shared" si="110"/>
        <v>33.868944307900435</v>
      </c>
      <c r="I905" s="7">
        <f t="shared" si="111"/>
        <v>12.453610822014991</v>
      </c>
      <c r="J905" s="37">
        <v>13.021385214393923</v>
      </c>
      <c r="K905" s="37">
        <f t="shared" si="112"/>
        <v>6.6446487502147962</v>
      </c>
      <c r="L905" s="37">
        <f t="shared" si="113"/>
        <v>8.5715968877770869</v>
      </c>
      <c r="M905" s="45">
        <f t="shared" si="114"/>
        <v>1.5528188322318368E-2</v>
      </c>
    </row>
    <row r="906" spans="1:13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8">
        <f t="shared" si="108"/>
        <v>2807.52</v>
      </c>
      <c r="G906" s="221">
        <f t="shared" si="109"/>
        <v>9.9409344510959612E-3</v>
      </c>
      <c r="H906" s="7">
        <f t="shared" si="110"/>
        <v>22.375691482331657</v>
      </c>
      <c r="I906" s="7">
        <f t="shared" si="111"/>
        <v>8.2275417580533503</v>
      </c>
      <c r="J906" s="37">
        <v>8.6026448176570085</v>
      </c>
      <c r="K906" s="37">
        <f t="shared" si="112"/>
        <v>4.3898212206332463</v>
      </c>
      <c r="L906" s="37">
        <f t="shared" si="113"/>
        <v>5.6628693746168883</v>
      </c>
      <c r="M906" s="45">
        <f t="shared" si="114"/>
        <v>1.5528188322318367E-2</v>
      </c>
    </row>
    <row r="907" spans="1:13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8">
        <f t="shared" si="108"/>
        <v>4226.7</v>
      </c>
      <c r="G907" s="221">
        <f t="shared" si="109"/>
        <v>1.4966001184122391E-2</v>
      </c>
      <c r="H907" s="7">
        <f t="shared" si="110"/>
        <v>33.686433289298456</v>
      </c>
      <c r="I907" s="7">
        <f t="shared" si="111"/>
        <v>12.386501520475043</v>
      </c>
      <c r="J907" s="37">
        <v>12.951216322872456</v>
      </c>
      <c r="K907" s="37">
        <f t="shared" si="112"/>
        <v>6.6088424492970805</v>
      </c>
      <c r="L907" s="37">
        <f t="shared" si="113"/>
        <v>8.5254067595932348</v>
      </c>
      <c r="M907" s="45">
        <f t="shared" si="114"/>
        <v>1.5528188322318367E-2</v>
      </c>
    </row>
    <row r="908" spans="1:13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8">
        <f t="shared" si="108"/>
        <v>4709.3599999999997</v>
      </c>
      <c r="G908" s="221">
        <f t="shared" si="109"/>
        <v>1.6675015339735165E-2</v>
      </c>
      <c r="H908" s="7">
        <f t="shared" si="110"/>
        <v>37.533191727657652</v>
      </c>
      <c r="I908" s="7">
        <f t="shared" si="111"/>
        <v>13.80095459825972</v>
      </c>
      <c r="J908" s="37">
        <v>14.430155937796064</v>
      </c>
      <c r="K908" s="37">
        <f t="shared" si="112"/>
        <v>7.3635266938797876</v>
      </c>
      <c r="L908" s="37">
        <f t="shared" si="113"/>
        <v>9.498949435104926</v>
      </c>
      <c r="M908" s="45">
        <f t="shared" si="114"/>
        <v>1.5528188322318368E-2</v>
      </c>
    </row>
    <row r="909" spans="1:13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54">
        <v>5649.9</v>
      </c>
      <c r="G909" s="221">
        <f t="shared" si="109"/>
        <v>2.0005302029993399E-2</v>
      </c>
      <c r="H909" s="7">
        <f t="shared" si="110"/>
        <v>45.02921414843906</v>
      </c>
      <c r="I909" s="7">
        <f t="shared" si="111"/>
        <v>16.557242042381045</v>
      </c>
      <c r="J909" s="37">
        <v>17.312105685900843</v>
      </c>
      <c r="K909" s="37">
        <f t="shared" si="112"/>
        <v>8.8341493255455976</v>
      </c>
      <c r="L909" s="37">
        <f t="shared" si="113"/>
        <v>11.396052629953822</v>
      </c>
      <c r="M909" s="45">
        <f t="shared" si="114"/>
        <v>1.552818832231837E-2</v>
      </c>
    </row>
    <row r="910" spans="1:13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8">
        <f t="shared" si="108"/>
        <v>3555.12</v>
      </c>
      <c r="G910" s="221">
        <f t="shared" si="109"/>
        <v>1.258805454129633E-2</v>
      </c>
      <c r="H910" s="7">
        <f t="shared" si="110"/>
        <v>28.333998797040426</v>
      </c>
      <c r="I910" s="7">
        <f t="shared" si="111"/>
        <v>10.418411357671765</v>
      </c>
      <c r="J910" s="37">
        <v>10.893398673615428</v>
      </c>
      <c r="K910" s="37">
        <f t="shared" si="112"/>
        <v>5.5587640401128633</v>
      </c>
      <c r="L910" s="37">
        <f t="shared" si="113"/>
        <v>7.1708056117455943</v>
      </c>
      <c r="M910" s="45">
        <f t="shared" si="114"/>
        <v>1.552818832231837E-2</v>
      </c>
    </row>
    <row r="911" spans="1:13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8">
        <f t="shared" si="108"/>
        <v>342.6</v>
      </c>
      <c r="G911" s="221">
        <f t="shared" si="109"/>
        <v>1.2130863334706347E-3</v>
      </c>
      <c r="H911" s="7">
        <f t="shared" si="110"/>
        <v>2.7304923569010469</v>
      </c>
      <c r="I911" s="7">
        <f t="shared" si="111"/>
        <v>1.0040020396325151</v>
      </c>
      <c r="J911" s="37">
        <v>1.0497756434608805</v>
      </c>
      <c r="K911" s="37">
        <f t="shared" si="112"/>
        <v>0.53568727923183102</v>
      </c>
      <c r="L911" s="37">
        <f t="shared" si="113"/>
        <v>0.69103659020906205</v>
      </c>
      <c r="M911" s="45">
        <f t="shared" si="114"/>
        <v>1.5528188322318368E-2</v>
      </c>
    </row>
    <row r="912" spans="1:13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8">
        <f t="shared" si="108"/>
        <v>361.6</v>
      </c>
      <c r="G912" s="221">
        <f t="shared" si="109"/>
        <v>1.280361991193758E-3</v>
      </c>
      <c r="H912" s="7">
        <f t="shared" si="110"/>
        <v>2.8819207129463469</v>
      </c>
      <c r="I912" s="7">
        <f t="shared" si="111"/>
        <v>1.0596822461503719</v>
      </c>
      <c r="J912" s="37">
        <v>1.1079943744175551</v>
      </c>
      <c r="K912" s="37">
        <f t="shared" si="112"/>
        <v>0.56539556383604805</v>
      </c>
      <c r="L912" s="37">
        <f t="shared" si="113"/>
        <v>0.72936027734850206</v>
      </c>
      <c r="M912" s="45">
        <f t="shared" si="114"/>
        <v>1.5528188322318365E-2</v>
      </c>
    </row>
    <row r="913" spans="1:13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8">
        <f t="shared" si="108"/>
        <v>7926.65</v>
      </c>
      <c r="G913" s="221">
        <f t="shared" si="109"/>
        <v>2.8066873278473455E-2</v>
      </c>
      <c r="H913" s="7">
        <f t="shared" si="110"/>
        <v>63.174714655077878</v>
      </c>
      <c r="I913" s="7">
        <f t="shared" si="111"/>
        <v>23.229342578672139</v>
      </c>
      <c r="J913" s="37">
        <v>24.288394933564476</v>
      </c>
      <c r="K913" s="37">
        <f t="shared" si="112"/>
        <v>12.394061797790405</v>
      </c>
      <c r="L913" s="37">
        <f t="shared" si="113"/>
        <v>15.988339719149623</v>
      </c>
      <c r="M913" s="45">
        <f t="shared" si="114"/>
        <v>1.552818832231837E-2</v>
      </c>
    </row>
    <row r="914" spans="1:13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8">
        <f t="shared" si="108"/>
        <v>4021.5</v>
      </c>
      <c r="G914" s="221">
        <f t="shared" si="109"/>
        <v>1.4239424080712659E-2</v>
      </c>
      <c r="H914" s="7">
        <f t="shared" si="110"/>
        <v>32.051007044009218</v>
      </c>
      <c r="I914" s="7">
        <f t="shared" si="111"/>
        <v>11.785155290082191</v>
      </c>
      <c r="J914" s="37">
        <v>12.322454028540369</v>
      </c>
      <c r="K914" s="37">
        <f t="shared" si="112"/>
        <v>6.2879929755715356</v>
      </c>
      <c r="L914" s="37">
        <f t="shared" si="113"/>
        <v>8.1115109384872817</v>
      </c>
      <c r="M914" s="45">
        <f t="shared" si="114"/>
        <v>1.5528188322318368E-2</v>
      </c>
    </row>
    <row r="915" spans="1:13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8">
        <f t="shared" si="108"/>
        <v>4138.7700000000004</v>
      </c>
      <c r="G915" s="221">
        <f t="shared" si="109"/>
        <v>1.465465652182796E-2</v>
      </c>
      <c r="H915" s="7">
        <f t="shared" si="110"/>
        <v>32.985638797347768</v>
      </c>
      <c r="I915" s="7">
        <f t="shared" si="111"/>
        <v>12.128819385784775</v>
      </c>
      <c r="J915" s="37">
        <v>12.681786164292438</v>
      </c>
      <c r="K915" s="37">
        <f t="shared" si="112"/>
        <v>6.471355635336618</v>
      </c>
      <c r="L915" s="37">
        <f t="shared" si="113"/>
        <v>8.3480487695842367</v>
      </c>
      <c r="M915" s="45">
        <f t="shared" si="114"/>
        <v>1.5528188322318367E-2</v>
      </c>
    </row>
    <row r="916" spans="1:13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8">
        <f t="shared" si="108"/>
        <v>361.5</v>
      </c>
      <c r="G916" s="221">
        <f t="shared" si="109"/>
        <v>1.2800079087846889E-3</v>
      </c>
      <c r="H916" s="7">
        <f t="shared" si="110"/>
        <v>2.88112372159874</v>
      </c>
      <c r="I916" s="7">
        <f t="shared" si="111"/>
        <v>1.0593891924318568</v>
      </c>
      <c r="J916" s="37">
        <v>1.1076879600440988</v>
      </c>
      <c r="K916" s="37">
        <f t="shared" si="112"/>
        <v>0.56523920444339426</v>
      </c>
      <c r="L916" s="37">
        <f t="shared" si="113"/>
        <v>0.72915857373197857</v>
      </c>
      <c r="M916" s="45">
        <f t="shared" si="114"/>
        <v>1.552818832231837E-2</v>
      </c>
    </row>
    <row r="917" spans="1:13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8">
        <f t="shared" si="108"/>
        <v>5864.56</v>
      </c>
      <c r="G917" s="221">
        <f t="shared" si="109"/>
        <v>2.0765375329301068E-2</v>
      </c>
      <c r="H917" s="7">
        <f t="shared" si="110"/>
        <v>46.740035775211915</v>
      </c>
      <c r="I917" s="7">
        <f t="shared" si="111"/>
        <v>17.186311154545422</v>
      </c>
      <c r="J917" s="37">
        <v>17.969854779961882</v>
      </c>
      <c r="K917" s="37">
        <f t="shared" si="112"/>
        <v>9.1697903978161914</v>
      </c>
      <c r="L917" s="37">
        <f t="shared" si="113"/>
        <v>11.829029613182888</v>
      </c>
      <c r="M917" s="45">
        <f t="shared" si="114"/>
        <v>1.5528188322318367E-2</v>
      </c>
    </row>
    <row r="918" spans="1:13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8">
        <f t="shared" si="108"/>
        <v>135.35</v>
      </c>
      <c r="G918" s="221">
        <f t="shared" si="109"/>
        <v>4.7925054067498657E-4</v>
      </c>
      <c r="H918" s="7">
        <f t="shared" si="110"/>
        <v>1.0787277889858629</v>
      </c>
      <c r="I918" s="7">
        <f t="shared" si="111"/>
        <v>0.39664820801010181</v>
      </c>
      <c r="J918" s="37">
        <v>0.41473185447294275</v>
      </c>
      <c r="K918" s="37">
        <f t="shared" si="112"/>
        <v>0.21163243795688361</v>
      </c>
      <c r="L918" s="37">
        <f t="shared" si="113"/>
        <v>0.27300584496437985</v>
      </c>
      <c r="M918" s="45">
        <f t="shared" si="114"/>
        <v>1.552818832231837E-2</v>
      </c>
    </row>
    <row r="919" spans="1:13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8">
        <f t="shared" si="108"/>
        <v>37.4</v>
      </c>
      <c r="G919" s="221">
        <f t="shared" si="109"/>
        <v>1.3242682099183227E-4</v>
      </c>
      <c r="H919" s="7">
        <f t="shared" si="110"/>
        <v>0.29807476400495958</v>
      </c>
      <c r="I919" s="7">
        <f t="shared" si="111"/>
        <v>0.10960209072462365</v>
      </c>
      <c r="J919" s="37">
        <v>0.11459897567261217</v>
      </c>
      <c r="K919" s="37">
        <f t="shared" si="112"/>
        <v>5.8478412852511603E-2</v>
      </c>
      <c r="L919" s="37">
        <f t="shared" si="113"/>
        <v>7.5437152579739972E-2</v>
      </c>
      <c r="M919" s="45">
        <f t="shared" si="114"/>
        <v>1.552818832231837E-2</v>
      </c>
    </row>
    <row r="920" spans="1:13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8">
        <f t="shared" si="108"/>
        <v>236.9</v>
      </c>
      <c r="G920" s="221">
        <f t="shared" si="109"/>
        <v>8.3882122708462737E-4</v>
      </c>
      <c r="H920" s="7">
        <f t="shared" si="110"/>
        <v>1.8880725024806126</v>
      </c>
      <c r="I920" s="7">
        <f t="shared" si="111"/>
        <v>0.69424425916212129</v>
      </c>
      <c r="J920" s="37">
        <v>0.7258956507176958</v>
      </c>
      <c r="K920" s="37">
        <f t="shared" si="112"/>
        <v>0.37041540119679151</v>
      </c>
      <c r="L920" s="37">
        <f t="shared" si="113"/>
        <v>0.47783586754386104</v>
      </c>
      <c r="M920" s="45">
        <f t="shared" si="114"/>
        <v>1.5528188322318367E-2</v>
      </c>
    </row>
    <row r="921" spans="1:13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8">
        <f t="shared" si="108"/>
        <v>362.6</v>
      </c>
      <c r="G921" s="221">
        <f t="shared" si="109"/>
        <v>1.2839028152844489E-3</v>
      </c>
      <c r="H921" s="7">
        <f t="shared" si="110"/>
        <v>2.8898906264224156</v>
      </c>
      <c r="I921" s="7">
        <f t="shared" si="111"/>
        <v>1.0626127833355223</v>
      </c>
      <c r="J921" s="37">
        <v>1.1110585181521171</v>
      </c>
      <c r="K921" s="37">
        <f t="shared" si="112"/>
        <v>0.56695915776258587</v>
      </c>
      <c r="L921" s="37">
        <f t="shared" si="113"/>
        <v>0.73137731351373581</v>
      </c>
      <c r="M921" s="45">
        <f t="shared" si="114"/>
        <v>1.5528188322318368E-2</v>
      </c>
    </row>
    <row r="922" spans="1:13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8">
        <f t="shared" si="108"/>
        <v>494.9</v>
      </c>
      <c r="G922" s="221">
        <f t="shared" si="109"/>
        <v>1.7523538424828286E-3</v>
      </c>
      <c r="H922" s="7">
        <f t="shared" si="110"/>
        <v>3.94431017930627</v>
      </c>
      <c r="I922" s="7">
        <f t="shared" si="111"/>
        <v>1.4503228529309156</v>
      </c>
      <c r="J922" s="37">
        <v>1.5164447342346461</v>
      </c>
      <c r="K922" s="37">
        <f t="shared" si="112"/>
        <v>0.77382263424352926</v>
      </c>
      <c r="L922" s="37">
        <f t="shared" si="113"/>
        <v>0.99823119817415273</v>
      </c>
      <c r="M922" s="45">
        <f t="shared" si="114"/>
        <v>1.5528188322318368E-2</v>
      </c>
    </row>
    <row r="923" spans="1:13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8">
        <f t="shared" si="108"/>
        <v>277.2</v>
      </c>
      <c r="G923" s="221">
        <f t="shared" si="109"/>
        <v>9.8151643793946267E-4</v>
      </c>
      <c r="H923" s="7">
        <f t="shared" si="110"/>
        <v>2.2092600155661706</v>
      </c>
      <c r="I923" s="7">
        <f t="shared" si="111"/>
        <v>0.81234490772368095</v>
      </c>
      <c r="J923" s="37">
        <v>0.8493806432205373</v>
      </c>
      <c r="K923" s="37">
        <f t="shared" si="112"/>
        <v>0.43342823643626255</v>
      </c>
      <c r="L923" s="37">
        <f t="shared" si="113"/>
        <v>0.55912242500277876</v>
      </c>
      <c r="M923" s="45">
        <f t="shared" si="114"/>
        <v>1.5528188322318368E-2</v>
      </c>
    </row>
    <row r="924" spans="1:13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8">
        <f t="shared" si="108"/>
        <v>7127.52</v>
      </c>
      <c r="G924" s="221">
        <f t="shared" si="109"/>
        <v>2.5237294522879795E-2</v>
      </c>
      <c r="H924" s="7">
        <f t="shared" si="110"/>
        <v>56.805717698947312</v>
      </c>
      <c r="I924" s="7">
        <f t="shared" si="111"/>
        <v>20.887462397902929</v>
      </c>
      <c r="J924" s="37">
        <v>21.839745750964084</v>
      </c>
      <c r="K924" s="37">
        <f t="shared" si="112"/>
        <v>11.144546983276298</v>
      </c>
      <c r="L924" s="37">
        <f t="shared" si="113"/>
        <v>14.376465608426425</v>
      </c>
      <c r="M924" s="45">
        <f t="shared" si="114"/>
        <v>1.5528188322318368E-2</v>
      </c>
    </row>
    <row r="925" spans="1:13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8">
        <f t="shared" si="108"/>
        <v>52.9</v>
      </c>
      <c r="G925" s="221">
        <f t="shared" si="109"/>
        <v>1.8730959439753814E-4</v>
      </c>
      <c r="H925" s="7">
        <f t="shared" si="110"/>
        <v>0.42160842288402028</v>
      </c>
      <c r="I925" s="7">
        <f t="shared" si="111"/>
        <v>0.15502541709445428</v>
      </c>
      <c r="J925" s="37">
        <v>0.16209320355832041</v>
      </c>
      <c r="K925" s="37">
        <f t="shared" si="112"/>
        <v>8.2714118713846624E-2</v>
      </c>
      <c r="L925" s="37">
        <f t="shared" si="113"/>
        <v>0.10670121314086214</v>
      </c>
      <c r="M925" s="45">
        <f t="shared" si="114"/>
        <v>1.5528188322318368E-2</v>
      </c>
    </row>
    <row r="926" spans="1:13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8">
        <f t="shared" si="108"/>
        <v>119.9</v>
      </c>
      <c r="G926" s="221">
        <f t="shared" si="109"/>
        <v>4.2454480847381524E-4</v>
      </c>
      <c r="H926" s="7">
        <f t="shared" si="110"/>
        <v>0.95559262578060566</v>
      </c>
      <c r="I926" s="7">
        <f t="shared" si="111"/>
        <v>0.35137140849952875</v>
      </c>
      <c r="J926" s="37">
        <v>0.36739083377396259</v>
      </c>
      <c r="K926" s="37">
        <f t="shared" si="112"/>
        <v>0.18747491179187548</v>
      </c>
      <c r="L926" s="37">
        <f t="shared" si="113"/>
        <v>0.24184263621151936</v>
      </c>
      <c r="M926" s="45">
        <f t="shared" si="114"/>
        <v>1.5528188322318368E-2</v>
      </c>
    </row>
    <row r="927" spans="1:13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8">
        <f t="shared" si="108"/>
        <v>75.3</v>
      </c>
      <c r="G927" s="221">
        <f t="shared" si="109"/>
        <v>2.6662405402900986E-4</v>
      </c>
      <c r="H927" s="7">
        <f t="shared" si="110"/>
        <v>0.60013448474795317</v>
      </c>
      <c r="I927" s="7">
        <f t="shared" si="111"/>
        <v>0.2206694500418224</v>
      </c>
      <c r="J927" s="37">
        <v>0.23073002321250524</v>
      </c>
      <c r="K927" s="37">
        <f t="shared" si="112"/>
        <v>0.11773862266829209</v>
      </c>
      <c r="L927" s="37">
        <f t="shared" si="113"/>
        <v>0.15188282324209679</v>
      </c>
      <c r="M927" s="45">
        <f t="shared" si="114"/>
        <v>1.5528188322318365E-2</v>
      </c>
    </row>
    <row r="928" spans="1:13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8">
        <f t="shared" si="108"/>
        <v>120.8</v>
      </c>
      <c r="G928" s="221">
        <f t="shared" si="109"/>
        <v>4.2773155015543682E-4</v>
      </c>
      <c r="H928" s="7">
        <f t="shared" si="110"/>
        <v>0.9627655479090671</v>
      </c>
      <c r="I928" s="7">
        <f t="shared" si="111"/>
        <v>0.35400889196616397</v>
      </c>
      <c r="J928" s="37">
        <v>0.37014856313506816</v>
      </c>
      <c r="K928" s="37">
        <f t="shared" si="112"/>
        <v>0.18888214632575942</v>
      </c>
      <c r="L928" s="37">
        <f t="shared" si="113"/>
        <v>0.24365796876022966</v>
      </c>
      <c r="M928" s="45">
        <f t="shared" si="114"/>
        <v>1.5528188322318367E-2</v>
      </c>
    </row>
    <row r="929" spans="1:13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8">
        <f t="shared" si="108"/>
        <v>429.7</v>
      </c>
      <c r="G929" s="221">
        <f t="shared" si="109"/>
        <v>1.5214921117697947E-3</v>
      </c>
      <c r="H929" s="7">
        <f t="shared" si="110"/>
        <v>3.4246718206666071</v>
      </c>
      <c r="I929" s="7">
        <f t="shared" si="111"/>
        <v>1.2592518284591114</v>
      </c>
      <c r="J929" s="37">
        <v>1.3166625627412152</v>
      </c>
      <c r="K929" s="37">
        <f t="shared" si="112"/>
        <v>0.67187631023326844</v>
      </c>
      <c r="L929" s="37">
        <f t="shared" si="113"/>
        <v>0.86672044020091632</v>
      </c>
      <c r="M929" s="45">
        <f t="shared" si="114"/>
        <v>1.5528188322318368E-2</v>
      </c>
    </row>
    <row r="930" spans="1:13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8">
        <f t="shared" si="108"/>
        <v>249.1</v>
      </c>
      <c r="G930" s="221">
        <f t="shared" si="109"/>
        <v>8.8201928099105394E-4</v>
      </c>
      <c r="H930" s="7">
        <f t="shared" si="110"/>
        <v>1.9853054468886475</v>
      </c>
      <c r="I930" s="7">
        <f t="shared" si="111"/>
        <v>0.72999681282095574</v>
      </c>
      <c r="J930" s="37">
        <v>0.76327820427934989</v>
      </c>
      <c r="K930" s="37">
        <f t="shared" si="112"/>
        <v>0.38949124710055189</v>
      </c>
      <c r="L930" s="37">
        <f t="shared" si="113"/>
        <v>0.50244370875971189</v>
      </c>
      <c r="M930" s="45">
        <f t="shared" si="114"/>
        <v>1.5528188322318367E-2</v>
      </c>
    </row>
    <row r="931" spans="1:13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8">
        <f t="shared" si="108"/>
        <v>103</v>
      </c>
      <c r="G931" s="221">
        <f t="shared" si="109"/>
        <v>3.6470488134114236E-4</v>
      </c>
      <c r="H931" s="7">
        <f t="shared" si="110"/>
        <v>0.82090108803504902</v>
      </c>
      <c r="I931" s="7">
        <f t="shared" si="111"/>
        <v>0.30184533007048753</v>
      </c>
      <c r="J931" s="37">
        <v>0.31560680465986779</v>
      </c>
      <c r="K931" s="37">
        <f t="shared" si="112"/>
        <v>0.16105017443338759</v>
      </c>
      <c r="L931" s="37">
        <f t="shared" si="113"/>
        <v>0.20775472501907</v>
      </c>
      <c r="M931" s="45">
        <f t="shared" si="114"/>
        <v>1.5528188322318367E-2</v>
      </c>
    </row>
    <row r="932" spans="1:13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8">
        <f t="shared" si="108"/>
        <v>176.5</v>
      </c>
      <c r="G932" s="221">
        <f t="shared" si="109"/>
        <v>6.2495545200690896E-4</v>
      </c>
      <c r="H932" s="7">
        <f t="shared" si="110"/>
        <v>1.4066897285260789</v>
      </c>
      <c r="I932" s="7">
        <f t="shared" si="111"/>
        <v>0.51723981317903922</v>
      </c>
      <c r="J932" s="37">
        <v>0.54082136915016177</v>
      </c>
      <c r="K932" s="37">
        <f t="shared" si="112"/>
        <v>0.27597432803391175</v>
      </c>
      <c r="L932" s="37">
        <f t="shared" si="113"/>
        <v>0.35600688316374618</v>
      </c>
      <c r="M932" s="45">
        <f t="shared" si="114"/>
        <v>1.5528188322318365E-2</v>
      </c>
    </row>
    <row r="933" spans="1:13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8">
        <f t="shared" si="108"/>
        <v>109.5</v>
      </c>
      <c r="G933" s="221">
        <f t="shared" si="109"/>
        <v>3.8772023793063194E-4</v>
      </c>
      <c r="H933" s="7">
        <f t="shared" si="110"/>
        <v>0.87270552562949388</v>
      </c>
      <c r="I933" s="7">
        <f t="shared" si="111"/>
        <v>0.32089382177396492</v>
      </c>
      <c r="J933" s="37">
        <v>0.33552373893451959</v>
      </c>
      <c r="K933" s="37">
        <f t="shared" si="112"/>
        <v>0.17121353495588296</v>
      </c>
      <c r="L933" s="37">
        <f t="shared" si="113"/>
        <v>0.22086546009308902</v>
      </c>
      <c r="M933" s="45">
        <f t="shared" si="114"/>
        <v>1.5528188322318368E-2</v>
      </c>
    </row>
    <row r="934" spans="1:13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8">
        <f t="shared" si="108"/>
        <v>111.4</v>
      </c>
      <c r="G934" s="221">
        <f t="shared" si="109"/>
        <v>3.9444780370294428E-4</v>
      </c>
      <c r="H934" s="7">
        <f t="shared" si="110"/>
        <v>0.88784836123402411</v>
      </c>
      <c r="I934" s="7">
        <f t="shared" si="111"/>
        <v>0.32646184242575071</v>
      </c>
      <c r="J934" s="37">
        <v>0.34134561203018704</v>
      </c>
      <c r="K934" s="37">
        <f t="shared" si="112"/>
        <v>0.17418436341630464</v>
      </c>
      <c r="L934" s="37">
        <f t="shared" si="113"/>
        <v>0.22469782880703298</v>
      </c>
      <c r="M934" s="45">
        <f t="shared" si="114"/>
        <v>1.552818832231837E-2</v>
      </c>
    </row>
    <row r="935" spans="1:13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8">
        <f t="shared" si="108"/>
        <v>92.9</v>
      </c>
      <c r="G935" s="221">
        <f t="shared" si="109"/>
        <v>3.2894255802516626E-4</v>
      </c>
      <c r="H935" s="7">
        <f t="shared" si="110"/>
        <v>0.74040496192675787</v>
      </c>
      <c r="I935" s="7">
        <f t="shared" si="111"/>
        <v>0.2722469045004689</v>
      </c>
      <c r="J935" s="37">
        <v>0.28465895294079335</v>
      </c>
      <c r="K935" s="37">
        <f t="shared" si="112"/>
        <v>0.1452578757753564</v>
      </c>
      <c r="L935" s="37">
        <f t="shared" si="113"/>
        <v>0.18738265975020976</v>
      </c>
      <c r="M935" s="45">
        <f t="shared" si="114"/>
        <v>1.5528188322318368E-2</v>
      </c>
    </row>
    <row r="936" spans="1:13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8">
        <f t="shared" si="108"/>
        <v>101.8</v>
      </c>
      <c r="G936" s="221">
        <f t="shared" si="109"/>
        <v>3.6045589243231352E-4</v>
      </c>
      <c r="H936" s="7">
        <f t="shared" si="110"/>
        <v>0.81133719186376685</v>
      </c>
      <c r="I936" s="7">
        <f t="shared" si="111"/>
        <v>0.2983286854483071</v>
      </c>
      <c r="J936" s="37">
        <v>0.3119298321783936</v>
      </c>
      <c r="K936" s="37">
        <f t="shared" si="112"/>
        <v>0.15917386172154233</v>
      </c>
      <c r="L936" s="37">
        <f t="shared" si="113"/>
        <v>0.20533428162078959</v>
      </c>
      <c r="M936" s="45">
        <f t="shared" si="114"/>
        <v>1.5528188322318368E-2</v>
      </c>
    </row>
    <row r="937" spans="1:13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8">
        <f t="shared" si="108"/>
        <v>202</v>
      </c>
      <c r="G937" s="221">
        <f t="shared" si="109"/>
        <v>7.1524646631952184E-4</v>
      </c>
      <c r="H937" s="7">
        <f t="shared" si="110"/>
        <v>1.6099225221658242</v>
      </c>
      <c r="I937" s="7">
        <f t="shared" si="111"/>
        <v>0.59196851140037365</v>
      </c>
      <c r="J937" s="37">
        <v>0.61895703438148819</v>
      </c>
      <c r="K937" s="37">
        <f t="shared" si="112"/>
        <v>0.31584597316062424</v>
      </c>
      <c r="L937" s="37">
        <f t="shared" si="113"/>
        <v>0.4074413053772053</v>
      </c>
      <c r="M937" s="45">
        <f t="shared" si="114"/>
        <v>1.5528188322318367E-2</v>
      </c>
    </row>
    <row r="938" spans="1:13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8">
        <f t="shared" si="108"/>
        <v>214.1</v>
      </c>
      <c r="G938" s="221">
        <f t="shared" si="109"/>
        <v>7.5809043781687932E-4</v>
      </c>
      <c r="H938" s="7">
        <f t="shared" si="110"/>
        <v>1.7063584752262524</v>
      </c>
      <c r="I938" s="7">
        <f t="shared" si="111"/>
        <v>0.62742801134069304</v>
      </c>
      <c r="J938" s="37">
        <v>0.65603317356968627</v>
      </c>
      <c r="K938" s="37">
        <f t="shared" si="112"/>
        <v>0.33476545967173088</v>
      </c>
      <c r="L938" s="37">
        <f t="shared" si="113"/>
        <v>0.43184744297653282</v>
      </c>
      <c r="M938" s="45">
        <f t="shared" si="114"/>
        <v>1.5528188322318368E-2</v>
      </c>
    </row>
    <row r="939" spans="1:13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8">
        <f t="shared" si="108"/>
        <v>161.19999999999999</v>
      </c>
      <c r="G939" s="221">
        <f t="shared" si="109"/>
        <v>5.7078084341934121E-4</v>
      </c>
      <c r="H939" s="7">
        <f t="shared" si="110"/>
        <v>1.2847500523422319</v>
      </c>
      <c r="I939" s="7">
        <f t="shared" si="111"/>
        <v>0.47240259424623871</v>
      </c>
      <c r="J939" s="37">
        <v>0.49393997001136575</v>
      </c>
      <c r="K939" s="37">
        <f t="shared" si="112"/>
        <v>0.25205134095788428</v>
      </c>
      <c r="L939" s="37">
        <f t="shared" si="113"/>
        <v>0.32514622983567076</v>
      </c>
      <c r="M939" s="45">
        <f t="shared" si="114"/>
        <v>1.5528188322318368E-2</v>
      </c>
    </row>
    <row r="940" spans="1:13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8">
        <f t="shared" si="108"/>
        <v>134.9</v>
      </c>
      <c r="G940" s="221">
        <f t="shared" si="109"/>
        <v>4.7765716983417579E-4</v>
      </c>
      <c r="H940" s="7">
        <f t="shared" si="110"/>
        <v>1.0751413279216322</v>
      </c>
      <c r="I940" s="7">
        <f t="shared" si="111"/>
        <v>0.39532946627678417</v>
      </c>
      <c r="J940" s="37">
        <v>0.41335298979238988</v>
      </c>
      <c r="K940" s="37">
        <f t="shared" si="112"/>
        <v>0.21092882068994162</v>
      </c>
      <c r="L940" s="37">
        <f t="shared" si="113"/>
        <v>0.27209817869002467</v>
      </c>
      <c r="M940" s="45">
        <f t="shared" si="114"/>
        <v>1.5528188322318368E-2</v>
      </c>
    </row>
    <row r="941" spans="1:13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8">
        <f t="shared" si="108"/>
        <v>80.599999999999994</v>
      </c>
      <c r="G941" s="221">
        <f t="shared" si="109"/>
        <v>2.8539042170967061E-4</v>
      </c>
      <c r="H941" s="7">
        <f t="shared" si="110"/>
        <v>0.64237502617111597</v>
      </c>
      <c r="I941" s="7">
        <f t="shared" si="111"/>
        <v>0.23620129712311935</v>
      </c>
      <c r="J941" s="37">
        <v>0.24696998500568287</v>
      </c>
      <c r="K941" s="37">
        <f t="shared" si="112"/>
        <v>0.12602567047894214</v>
      </c>
      <c r="L941" s="37">
        <f t="shared" si="113"/>
        <v>0.16257311491783538</v>
      </c>
      <c r="M941" s="45">
        <f t="shared" si="114"/>
        <v>1.5528188322318368E-2</v>
      </c>
    </row>
    <row r="942" spans="1:13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8">
        <f t="shared" ref="F942:F1000" si="115">C942+D942+E942</f>
        <v>249.4</v>
      </c>
      <c r="G942" s="221">
        <f t="shared" si="109"/>
        <v>8.830815282182612E-4</v>
      </c>
      <c r="H942" s="7">
        <f t="shared" si="110"/>
        <v>1.9876964209314685</v>
      </c>
      <c r="I942" s="7">
        <f t="shared" si="111"/>
        <v>0.73087597397650106</v>
      </c>
      <c r="J942" s="37">
        <v>0.76419744739971873</v>
      </c>
      <c r="K942" s="37">
        <f t="shared" si="112"/>
        <v>0.38996032527851332</v>
      </c>
      <c r="L942" s="37">
        <f t="shared" si="113"/>
        <v>0.50304881960928216</v>
      </c>
      <c r="M942" s="45">
        <f t="shared" si="114"/>
        <v>1.552818832231837E-2</v>
      </c>
    </row>
    <row r="943" spans="1:13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8">
        <f t="shared" si="115"/>
        <v>110.5</v>
      </c>
      <c r="G943" s="221">
        <f t="shared" si="109"/>
        <v>3.912610620213226E-4</v>
      </c>
      <c r="H943" s="7">
        <f t="shared" si="110"/>
        <v>0.88067543910556223</v>
      </c>
      <c r="I943" s="7">
        <f t="shared" si="111"/>
        <v>0.32382435895911527</v>
      </c>
      <c r="J943" s="37">
        <v>0.33858788266908146</v>
      </c>
      <c r="K943" s="37">
        <f t="shared" si="112"/>
        <v>0.17277712888242067</v>
      </c>
      <c r="L943" s="37">
        <f t="shared" si="113"/>
        <v>0.22288249625832265</v>
      </c>
      <c r="M943" s="45">
        <f t="shared" si="114"/>
        <v>1.5528188322318368E-2</v>
      </c>
    </row>
    <row r="944" spans="1:13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8">
        <f t="shared" si="115"/>
        <v>168.5</v>
      </c>
      <c r="G944" s="221">
        <f t="shared" si="109"/>
        <v>5.9662885928138333E-4</v>
      </c>
      <c r="H944" s="7">
        <f t="shared" si="110"/>
        <v>1.3429304207175314</v>
      </c>
      <c r="I944" s="7">
        <f t="shared" si="111"/>
        <v>0.49379551569783636</v>
      </c>
      <c r="J944" s="37">
        <v>0.5163082192736671</v>
      </c>
      <c r="K944" s="37">
        <f t="shared" si="112"/>
        <v>0.2634655766216098</v>
      </c>
      <c r="L944" s="37">
        <f t="shared" si="113"/>
        <v>0.33987059384187662</v>
      </c>
      <c r="M944" s="45">
        <f t="shared" si="114"/>
        <v>1.5528188322318367E-2</v>
      </c>
    </row>
    <row r="945" spans="1:13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8">
        <f t="shared" si="115"/>
        <v>130</v>
      </c>
      <c r="G945" s="221">
        <f t="shared" ref="G945:G1008" si="116">1/282420.13*F945</f>
        <v>4.6030713178979129E-4</v>
      </c>
      <c r="H945" s="7">
        <f t="shared" ref="H945:H1008" si="117">G945*1218*1.54*1.2</f>
        <v>1.0360887518888968</v>
      </c>
      <c r="I945" s="7">
        <f t="shared" ref="I945:I1003" si="118">H945*0.3677</f>
        <v>0.38096983406954738</v>
      </c>
      <c r="J945" s="37">
        <v>0.39833868549303691</v>
      </c>
      <c r="K945" s="37">
        <f t="shared" si="112"/>
        <v>0.20326721044990664</v>
      </c>
      <c r="L945" s="37">
        <f t="shared" si="113"/>
        <v>0.26221470148037956</v>
      </c>
      <c r="M945" s="45">
        <f t="shared" si="114"/>
        <v>1.5528188322318365E-2</v>
      </c>
    </row>
    <row r="946" spans="1:13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8">
        <f t="shared" si="115"/>
        <v>175.8</v>
      </c>
      <c r="G946" s="221">
        <f t="shared" si="116"/>
        <v>6.2247687514342556E-4</v>
      </c>
      <c r="H946" s="7">
        <f t="shared" si="117"/>
        <v>1.4011107890928314</v>
      </c>
      <c r="I946" s="7">
        <f t="shared" si="118"/>
        <v>0.51518843714943419</v>
      </c>
      <c r="J946" s="37">
        <v>0.53867646853596851</v>
      </c>
      <c r="K946" s="37">
        <f t="shared" ref="K946:K1009" si="119">G946*408.88*1.08</f>
        <v>0.27487981228533537</v>
      </c>
      <c r="L946" s="37">
        <f t="shared" ref="L946:L1009" si="120">K946*1.29</f>
        <v>0.35459495784808265</v>
      </c>
      <c r="M946" s="45">
        <f t="shared" si="114"/>
        <v>1.552818832231837E-2</v>
      </c>
    </row>
    <row r="947" spans="1:13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8">
        <f t="shared" si="115"/>
        <v>129.80000000000001</v>
      </c>
      <c r="G947" s="221">
        <f t="shared" si="116"/>
        <v>4.5959896697165322E-4</v>
      </c>
      <c r="H947" s="7">
        <f t="shared" si="117"/>
        <v>1.0344947691936832</v>
      </c>
      <c r="I947" s="7">
        <f t="shared" si="118"/>
        <v>0.38038372663251735</v>
      </c>
      <c r="J947" s="37">
        <v>0.39772585674612471</v>
      </c>
      <c r="K947" s="37">
        <f t="shared" si="119"/>
        <v>0.20295449166459914</v>
      </c>
      <c r="L947" s="37">
        <f t="shared" si="120"/>
        <v>0.2618112942473329</v>
      </c>
      <c r="M947" s="45">
        <f t="shared" si="114"/>
        <v>1.5528188322318368E-2</v>
      </c>
    </row>
    <row r="948" spans="1:13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8">
        <f t="shared" si="115"/>
        <v>152.30000000000001</v>
      </c>
      <c r="G948" s="221">
        <f t="shared" si="116"/>
        <v>5.3926750901219401E-4</v>
      </c>
      <c r="H948" s="7">
        <f t="shared" si="117"/>
        <v>1.2138178224052232</v>
      </c>
      <c r="I948" s="7">
        <f t="shared" si="118"/>
        <v>0.44632081329840062</v>
      </c>
      <c r="J948" s="37">
        <v>0.46666909077376562</v>
      </c>
      <c r="K948" s="37">
        <f t="shared" si="119"/>
        <v>0.23813535501169836</v>
      </c>
      <c r="L948" s="37">
        <f t="shared" si="120"/>
        <v>0.3071946079650909</v>
      </c>
      <c r="M948" s="45">
        <f t="shared" si="114"/>
        <v>1.5528188322318368E-2</v>
      </c>
    </row>
    <row r="949" spans="1:13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8">
        <f t="shared" si="115"/>
        <v>239.4</v>
      </c>
      <c r="G949" s="221">
        <f t="shared" si="116"/>
        <v>8.4767328731135414E-4</v>
      </c>
      <c r="H949" s="7">
        <f t="shared" si="117"/>
        <v>1.9079972861707839</v>
      </c>
      <c r="I949" s="7">
        <f t="shared" si="118"/>
        <v>0.70157060212499733</v>
      </c>
      <c r="J949" s="37">
        <v>0.73355601005410043</v>
      </c>
      <c r="K949" s="37">
        <f t="shared" si="119"/>
        <v>0.37432438601313578</v>
      </c>
      <c r="L949" s="37">
        <f t="shared" si="120"/>
        <v>0.48287845795694517</v>
      </c>
      <c r="M949" s="45">
        <f t="shared" si="114"/>
        <v>1.5528188322318367E-2</v>
      </c>
    </row>
    <row r="950" spans="1:13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8">
        <f t="shared" si="115"/>
        <v>84.2</v>
      </c>
      <c r="G950" s="221">
        <f t="shared" si="116"/>
        <v>2.9813738843615718E-4</v>
      </c>
      <c r="H950" s="7">
        <f t="shared" si="117"/>
        <v>0.67106671468496248</v>
      </c>
      <c r="I950" s="7">
        <f t="shared" si="118"/>
        <v>0.24675123098966073</v>
      </c>
      <c r="J950" s="37">
        <v>0.25800090245010554</v>
      </c>
      <c r="K950" s="37">
        <f t="shared" si="119"/>
        <v>0.13165460861447803</v>
      </c>
      <c r="L950" s="37">
        <f t="shared" si="120"/>
        <v>0.16983444511267667</v>
      </c>
      <c r="M950" s="45">
        <f t="shared" si="114"/>
        <v>1.552818832231837E-2</v>
      </c>
    </row>
    <row r="951" spans="1:13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8">
        <f t="shared" si="115"/>
        <v>193.9</v>
      </c>
      <c r="G951" s="221">
        <f t="shared" si="116"/>
        <v>6.8656579118492724E-4</v>
      </c>
      <c r="H951" s="7">
        <f t="shared" si="117"/>
        <v>1.5453662230096701</v>
      </c>
      <c r="I951" s="7">
        <f t="shared" si="118"/>
        <v>0.56823116020065578</v>
      </c>
      <c r="J951" s="37">
        <v>0.5941374701315375</v>
      </c>
      <c r="K951" s="37">
        <f t="shared" si="119"/>
        <v>0.30318086235566855</v>
      </c>
      <c r="L951" s="37">
        <f t="shared" si="120"/>
        <v>0.39110331243881241</v>
      </c>
      <c r="M951" s="45">
        <f t="shared" si="114"/>
        <v>1.552818832231837E-2</v>
      </c>
    </row>
    <row r="952" spans="1:13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8">
        <f t="shared" si="115"/>
        <v>252.4</v>
      </c>
      <c r="G952" s="221">
        <f t="shared" si="116"/>
        <v>8.937040004903333E-4</v>
      </c>
      <c r="H952" s="7">
        <f t="shared" si="117"/>
        <v>2.0116061613596736</v>
      </c>
      <c r="I952" s="7">
        <f t="shared" si="118"/>
        <v>0.739667585531952</v>
      </c>
      <c r="J952" s="37">
        <v>0.77338987860340402</v>
      </c>
      <c r="K952" s="37">
        <f t="shared" si="119"/>
        <v>0.3946511070581265</v>
      </c>
      <c r="L952" s="37">
        <f t="shared" si="120"/>
        <v>0.50909992810498317</v>
      </c>
      <c r="M952" s="45">
        <f t="shared" si="114"/>
        <v>1.5528188322318368E-2</v>
      </c>
    </row>
    <row r="953" spans="1:13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8">
        <f t="shared" si="115"/>
        <v>79</v>
      </c>
      <c r="G953" s="221">
        <f t="shared" si="116"/>
        <v>2.7972510316456547E-4</v>
      </c>
      <c r="H953" s="7">
        <f t="shared" si="117"/>
        <v>0.62962316460940648</v>
      </c>
      <c r="I953" s="7">
        <f t="shared" si="118"/>
        <v>0.23151243762687879</v>
      </c>
      <c r="J953" s="37">
        <v>0.24206735503038398</v>
      </c>
      <c r="K953" s="37">
        <f t="shared" si="119"/>
        <v>0.12352392019648174</v>
      </c>
      <c r="L953" s="37">
        <f t="shared" si="120"/>
        <v>0.15934585705346146</v>
      </c>
      <c r="M953" s="45">
        <f t="shared" si="114"/>
        <v>1.5528188322318367E-2</v>
      </c>
    </row>
    <row r="954" spans="1:13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8">
        <f t="shared" si="115"/>
        <v>549.69000000000005</v>
      </c>
      <c r="G954" s="221">
        <f t="shared" si="116"/>
        <v>1.9463555944117725E-3</v>
      </c>
      <c r="H954" s="7">
        <f t="shared" si="117"/>
        <v>4.3809817386600596</v>
      </c>
      <c r="I954" s="7">
        <f t="shared" si="118"/>
        <v>1.6108869853053041</v>
      </c>
      <c r="J954" s="37">
        <v>1.6843291694512885</v>
      </c>
      <c r="K954" s="37">
        <f t="shared" si="119"/>
        <v>0.85949194547853247</v>
      </c>
      <c r="L954" s="37">
        <f t="shared" si="120"/>
        <v>1.1087446096673068</v>
      </c>
      <c r="M954" s="45">
        <f t="shared" si="114"/>
        <v>1.5528188322318367E-2</v>
      </c>
    </row>
    <row r="955" spans="1:13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8">
        <f t="shared" si="115"/>
        <v>192.1</v>
      </c>
      <c r="G955" s="221">
        <f t="shared" si="116"/>
        <v>6.8019230782168387E-4</v>
      </c>
      <c r="H955" s="7">
        <f t="shared" si="117"/>
        <v>1.5310203787527465</v>
      </c>
      <c r="I955" s="7">
        <f t="shared" si="118"/>
        <v>0.562956193267385</v>
      </c>
      <c r="J955" s="37">
        <v>0.58862201140932602</v>
      </c>
      <c r="K955" s="37">
        <f t="shared" si="119"/>
        <v>0.30036639328790049</v>
      </c>
      <c r="L955" s="37">
        <f t="shared" si="120"/>
        <v>0.38747264734139164</v>
      </c>
      <c r="M955" s="45">
        <f t="shared" si="114"/>
        <v>1.5528188322318367E-2</v>
      </c>
    </row>
    <row r="956" spans="1:13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8">
        <f t="shared" si="115"/>
        <v>166.8</v>
      </c>
      <c r="G956" s="221">
        <f t="shared" si="116"/>
        <v>5.9060945832720916E-4</v>
      </c>
      <c r="H956" s="7">
        <f t="shared" si="117"/>
        <v>1.3293815678082153</v>
      </c>
      <c r="I956" s="7">
        <f t="shared" si="118"/>
        <v>0.48881360248308081</v>
      </c>
      <c r="J956" s="37">
        <v>0.51109917492491208</v>
      </c>
      <c r="K956" s="37">
        <f t="shared" si="119"/>
        <v>0.26080746694649565</v>
      </c>
      <c r="L956" s="37">
        <f t="shared" si="120"/>
        <v>0.3364416323609794</v>
      </c>
      <c r="M956" s="45">
        <f t="shared" si="114"/>
        <v>1.5528188322318368E-2</v>
      </c>
    </row>
    <row r="957" spans="1:13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8">
        <f t="shared" si="115"/>
        <v>119.9</v>
      </c>
      <c r="G957" s="221">
        <f t="shared" si="116"/>
        <v>4.2454480847381524E-4</v>
      </c>
      <c r="H957" s="7">
        <f t="shared" si="117"/>
        <v>0.95559262578060566</v>
      </c>
      <c r="I957" s="7">
        <f t="shared" si="118"/>
        <v>0.35137140849952875</v>
      </c>
      <c r="J957" s="37">
        <v>0.36739083377396259</v>
      </c>
      <c r="K957" s="37">
        <f t="shared" si="119"/>
        <v>0.18747491179187548</v>
      </c>
      <c r="L957" s="37">
        <f t="shared" si="120"/>
        <v>0.24184263621151936</v>
      </c>
      <c r="M957" s="45">
        <f t="shared" si="114"/>
        <v>1.5528188322318368E-2</v>
      </c>
    </row>
    <row r="958" spans="1:13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8">
        <f t="shared" si="115"/>
        <v>188.7</v>
      </c>
      <c r="G958" s="221">
        <f t="shared" si="116"/>
        <v>6.6815350591333553E-4</v>
      </c>
      <c r="H958" s="7">
        <f t="shared" si="117"/>
        <v>1.5039226729341142</v>
      </c>
      <c r="I958" s="7">
        <f t="shared" si="118"/>
        <v>0.55299236683787378</v>
      </c>
      <c r="J958" s="37">
        <v>0.57820392271181587</v>
      </c>
      <c r="K958" s="37">
        <f t="shared" si="119"/>
        <v>0.29505017393767224</v>
      </c>
      <c r="L958" s="37">
        <f t="shared" si="120"/>
        <v>0.3806147243795972</v>
      </c>
      <c r="M958" s="45">
        <f t="shared" si="114"/>
        <v>1.552818832231837E-2</v>
      </c>
    </row>
    <row r="959" spans="1:13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8">
        <f t="shared" si="115"/>
        <v>4734.5</v>
      </c>
      <c r="G959" s="221">
        <f t="shared" si="116"/>
        <v>1.6764031657375132E-2</v>
      </c>
      <c r="H959" s="7">
        <f t="shared" si="117"/>
        <v>37.733555352446018</v>
      </c>
      <c r="I959" s="7">
        <f t="shared" si="118"/>
        <v>13.874628303094402</v>
      </c>
      <c r="J959" s="37">
        <v>14.507188511282948</v>
      </c>
      <c r="K959" s="37">
        <f t="shared" si="119"/>
        <v>7.4028354451929479</v>
      </c>
      <c r="L959" s="37">
        <f t="shared" si="120"/>
        <v>9.5496577242989034</v>
      </c>
      <c r="M959" s="45">
        <f t="shared" si="114"/>
        <v>1.5528188322318368E-2</v>
      </c>
    </row>
    <row r="960" spans="1:13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8">
        <f t="shared" si="115"/>
        <v>66.3</v>
      </c>
      <c r="G960" s="221">
        <f t="shared" si="116"/>
        <v>2.3475663721279357E-4</v>
      </c>
      <c r="H960" s="7">
        <f t="shared" si="117"/>
        <v>0.52840526346333727</v>
      </c>
      <c r="I960" s="7">
        <f t="shared" si="118"/>
        <v>0.19429461537546913</v>
      </c>
      <c r="J960" s="37">
        <v>0.20315272960144884</v>
      </c>
      <c r="K960" s="37">
        <f t="shared" si="119"/>
        <v>0.10366627732945241</v>
      </c>
      <c r="L960" s="37">
        <f t="shared" si="120"/>
        <v>0.13372949775499363</v>
      </c>
      <c r="M960" s="45">
        <f t="shared" si="114"/>
        <v>1.5528188322318368E-2</v>
      </c>
    </row>
    <row r="961" spans="1:13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8">
        <f t="shared" si="115"/>
        <v>19.8</v>
      </c>
      <c r="G961" s="221">
        <f t="shared" si="116"/>
        <v>7.0108316995675911E-5</v>
      </c>
      <c r="H961" s="7">
        <f t="shared" si="117"/>
        <v>0.15780428682615505</v>
      </c>
      <c r="I961" s="7">
        <f t="shared" si="118"/>
        <v>5.8024636265977217E-2</v>
      </c>
      <c r="J961" s="37">
        <v>6.0670045944324097E-2</v>
      </c>
      <c r="K961" s="37">
        <f t="shared" si="119"/>
        <v>3.0959159745447325E-2</v>
      </c>
      <c r="L961" s="37">
        <f t="shared" si="120"/>
        <v>3.9937316071627052E-2</v>
      </c>
      <c r="M961" s="45">
        <f t="shared" si="114"/>
        <v>1.5528188322318368E-2</v>
      </c>
    </row>
    <row r="962" spans="1:13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8">
        <f t="shared" si="115"/>
        <v>61.2</v>
      </c>
      <c r="G962" s="221">
        <f t="shared" si="116"/>
        <v>2.1669843435027101E-4</v>
      </c>
      <c r="H962" s="7">
        <f t="shared" si="117"/>
        <v>0.48775870473538846</v>
      </c>
      <c r="I962" s="7">
        <f t="shared" si="118"/>
        <v>0.17934887573120234</v>
      </c>
      <c r="J962" s="37">
        <v>0.18752559655518358</v>
      </c>
      <c r="K962" s="37">
        <f t="shared" si="119"/>
        <v>9.5691948304109917E-2</v>
      </c>
      <c r="L962" s="37">
        <f t="shared" si="120"/>
        <v>0.1234426133123018</v>
      </c>
      <c r="M962" s="45">
        <f t="shared" si="114"/>
        <v>1.552818832231837E-2</v>
      </c>
    </row>
    <row r="963" spans="1:13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8">
        <f t="shared" si="115"/>
        <v>47.1</v>
      </c>
      <c r="G963" s="221">
        <f t="shared" si="116"/>
        <v>1.6677281467153209E-4</v>
      </c>
      <c r="H963" s="7">
        <f t="shared" si="117"/>
        <v>0.37538292472282342</v>
      </c>
      <c r="I963" s="7">
        <f t="shared" si="118"/>
        <v>0.13802830142058217</v>
      </c>
      <c r="J963" s="37">
        <v>0.14432116989786187</v>
      </c>
      <c r="K963" s="37">
        <f t="shared" si="119"/>
        <v>7.364527393992773E-2</v>
      </c>
      <c r="L963" s="37">
        <f t="shared" si="120"/>
        <v>9.5002403382506775E-2</v>
      </c>
      <c r="M963" s="45">
        <f t="shared" si="114"/>
        <v>1.5528188322318368E-2</v>
      </c>
    </row>
    <row r="964" spans="1:13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8">
        <f t="shared" si="115"/>
        <v>282.8</v>
      </c>
      <c r="G964" s="221">
        <f t="shared" si="116"/>
        <v>1.0013450528473307E-3</v>
      </c>
      <c r="H964" s="7">
        <f t="shared" si="117"/>
        <v>2.2538915310321541</v>
      </c>
      <c r="I964" s="7">
        <f t="shared" si="118"/>
        <v>0.82875591596052312</v>
      </c>
      <c r="J964" s="37">
        <v>0.86653984813408358</v>
      </c>
      <c r="K964" s="37">
        <f t="shared" si="119"/>
        <v>0.44218436242487391</v>
      </c>
      <c r="L964" s="37">
        <f t="shared" si="120"/>
        <v>0.57041782752808734</v>
      </c>
      <c r="M964" s="45">
        <f t="shared" si="114"/>
        <v>1.5528188322318368E-2</v>
      </c>
    </row>
    <row r="965" spans="1:13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8">
        <f t="shared" si="115"/>
        <v>46.6</v>
      </c>
      <c r="G965" s="221">
        <f t="shared" si="116"/>
        <v>1.6500240262618673E-4</v>
      </c>
      <c r="H965" s="7">
        <f t="shared" si="117"/>
        <v>0.37139796798478913</v>
      </c>
      <c r="I965" s="7">
        <f t="shared" si="118"/>
        <v>0.13656303282800697</v>
      </c>
      <c r="J965" s="37">
        <v>0.14278909803058093</v>
      </c>
      <c r="K965" s="37">
        <f t="shared" si="119"/>
        <v>7.2863476976658847E-2</v>
      </c>
      <c r="L965" s="37">
        <f t="shared" si="120"/>
        <v>9.3993885299889918E-2</v>
      </c>
      <c r="M965" s="45">
        <f t="shared" si="114"/>
        <v>1.5528188322318367E-2</v>
      </c>
    </row>
    <row r="966" spans="1:13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8">
        <f t="shared" si="115"/>
        <v>3266.45</v>
      </c>
      <c r="G966" s="221">
        <f t="shared" si="116"/>
        <v>1.1565924851036644E-2</v>
      </c>
      <c r="H966" s="7">
        <f t="shared" si="117"/>
        <v>26.033323873903743</v>
      </c>
      <c r="I966" s="7">
        <f t="shared" si="118"/>
        <v>9.5724531884344071</v>
      </c>
      <c r="J966" s="37">
        <v>10.008872301759464</v>
      </c>
      <c r="K966" s="37">
        <f t="shared" si="119"/>
        <v>5.107401381339213</v>
      </c>
      <c r="L966" s="37">
        <f t="shared" si="120"/>
        <v>6.5885477819275851</v>
      </c>
      <c r="M966" s="45">
        <f t="shared" si="114"/>
        <v>1.5528188322318368E-2</v>
      </c>
    </row>
    <row r="967" spans="1:13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8">
        <f t="shared" si="115"/>
        <v>3257.47</v>
      </c>
      <c r="G967" s="221">
        <f t="shared" si="116"/>
        <v>1.1534128250702241E-2</v>
      </c>
      <c r="H967" s="7">
        <f t="shared" si="117"/>
        <v>25.961754050888651</v>
      </c>
      <c r="I967" s="7">
        <f t="shared" si="118"/>
        <v>9.5461369645117582</v>
      </c>
      <c r="J967" s="37">
        <v>9.9813562910231006</v>
      </c>
      <c r="K967" s="37">
        <f t="shared" si="119"/>
        <v>5.0933603078789034</v>
      </c>
      <c r="L967" s="37">
        <f t="shared" si="120"/>
        <v>6.5704347971637853</v>
      </c>
      <c r="M967" s="45">
        <f t="shared" ref="M967:M1030" si="121">(K967+J967+I967+H967)/F967</f>
        <v>1.5528188322318368E-2</v>
      </c>
    </row>
    <row r="968" spans="1:13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8">
        <f t="shared" si="115"/>
        <v>24.3</v>
      </c>
      <c r="G968" s="221">
        <f t="shared" si="116"/>
        <v>8.6042025403784071E-5</v>
      </c>
      <c r="H968" s="7">
        <f t="shared" si="117"/>
        <v>0.19366889746846302</v>
      </c>
      <c r="I968" s="7">
        <f t="shared" si="118"/>
        <v>7.1212053599153863E-2</v>
      </c>
      <c r="J968" s="37">
        <v>7.4458692749852298E-2</v>
      </c>
      <c r="K968" s="37">
        <f t="shared" si="119"/>
        <v>3.7995332414867175E-2</v>
      </c>
      <c r="L968" s="37">
        <f t="shared" si="120"/>
        <v>4.901397881517866E-2</v>
      </c>
      <c r="M968" s="45">
        <f t="shared" si="121"/>
        <v>1.5528188322318368E-2</v>
      </c>
    </row>
    <row r="969" spans="1:13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8">
        <f t="shared" si="115"/>
        <v>4572.4000000000005</v>
      </c>
      <c r="G969" s="221">
        <f t="shared" si="116"/>
        <v>1.619006407227417E-2</v>
      </c>
      <c r="H969" s="7">
        <f t="shared" si="117"/>
        <v>36.441632377975324</v>
      </c>
      <c r="I969" s="7">
        <f t="shared" si="118"/>
        <v>13.399588225381528</v>
      </c>
      <c r="J969" s="37">
        <v>14.010490811910481</v>
      </c>
      <c r="K969" s="37">
        <f t="shared" si="119"/>
        <v>7.1493768697011797</v>
      </c>
      <c r="L969" s="37">
        <f t="shared" si="120"/>
        <v>9.2226961619145218</v>
      </c>
      <c r="M969" s="45">
        <f t="shared" si="121"/>
        <v>1.5528188322318368E-2</v>
      </c>
    </row>
    <row r="970" spans="1:13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8">
        <f t="shared" si="115"/>
        <v>140.30000000000001</v>
      </c>
      <c r="G970" s="221">
        <f t="shared" si="116"/>
        <v>4.9677761992390562E-4</v>
      </c>
      <c r="H970" s="7">
        <f t="shared" si="117"/>
        <v>1.1181788606924019</v>
      </c>
      <c r="I970" s="7">
        <f t="shared" si="118"/>
        <v>0.41115436707659619</v>
      </c>
      <c r="J970" s="37">
        <v>0.42989936595902373</v>
      </c>
      <c r="K970" s="37">
        <f t="shared" si="119"/>
        <v>0.21937222789324548</v>
      </c>
      <c r="L970" s="37">
        <f t="shared" si="120"/>
        <v>0.28299017398228665</v>
      </c>
      <c r="M970" s="45">
        <f t="shared" si="121"/>
        <v>1.5528188322318367E-2</v>
      </c>
    </row>
    <row r="971" spans="1:13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8">
        <f t="shared" si="115"/>
        <v>427.4</v>
      </c>
      <c r="G971" s="221">
        <f t="shared" si="116"/>
        <v>1.5133482163612062E-3</v>
      </c>
      <c r="H971" s="7">
        <f t="shared" si="117"/>
        <v>3.4063410196716499</v>
      </c>
      <c r="I971" s="7">
        <f t="shared" si="118"/>
        <v>1.2525115929332657</v>
      </c>
      <c r="J971" s="37">
        <v>1.3096150321517233</v>
      </c>
      <c r="K971" s="37">
        <f t="shared" si="119"/>
        <v>0.66828004420223164</v>
      </c>
      <c r="L971" s="37">
        <f t="shared" si="120"/>
        <v>0.86208125702087879</v>
      </c>
      <c r="M971" s="45">
        <f t="shared" si="121"/>
        <v>1.5528188322318368E-2</v>
      </c>
    </row>
    <row r="972" spans="1:13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8">
        <f t="shared" si="115"/>
        <v>954</v>
      </c>
      <c r="G972" s="221">
        <f t="shared" si="116"/>
        <v>3.3779461825189303E-3</v>
      </c>
      <c r="H972" s="7">
        <f t="shared" si="117"/>
        <v>7.6032974561692885</v>
      </c>
      <c r="I972" s="7">
        <f t="shared" si="118"/>
        <v>2.7957324746334478</v>
      </c>
      <c r="J972" s="37">
        <v>2.9231931227719792</v>
      </c>
      <c r="K972" s="37">
        <f t="shared" si="119"/>
        <v>1.4916686059170077</v>
      </c>
      <c r="L972" s="37">
        <f t="shared" si="120"/>
        <v>1.9242525016329399</v>
      </c>
      <c r="M972" s="45">
        <f t="shared" si="121"/>
        <v>1.5528188322318368E-2</v>
      </c>
    </row>
    <row r="973" spans="1:13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8">
        <f t="shared" si="115"/>
        <v>202.5</v>
      </c>
      <c r="G973" s="221">
        <f t="shared" si="116"/>
        <v>7.1701687836486728E-4</v>
      </c>
      <c r="H973" s="7">
        <f t="shared" si="117"/>
        <v>1.6139074789038588</v>
      </c>
      <c r="I973" s="7">
        <f t="shared" si="118"/>
        <v>0.59343377999294888</v>
      </c>
      <c r="J973" s="37">
        <v>0.62048910624876918</v>
      </c>
      <c r="K973" s="37">
        <f t="shared" si="119"/>
        <v>0.31662777012389315</v>
      </c>
      <c r="L973" s="37">
        <f t="shared" si="120"/>
        <v>0.40844982345982217</v>
      </c>
      <c r="M973" s="45">
        <f t="shared" si="121"/>
        <v>1.5528188322318368E-2</v>
      </c>
    </row>
    <row r="974" spans="1:13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8">
        <f t="shared" si="115"/>
        <v>308.2</v>
      </c>
      <c r="G974" s="221">
        <f t="shared" si="116"/>
        <v>1.0912819847508745E-3</v>
      </c>
      <c r="H974" s="7">
        <f t="shared" si="117"/>
        <v>2.4563273333242925</v>
      </c>
      <c r="I974" s="7">
        <f t="shared" si="118"/>
        <v>0.90319156046334248</v>
      </c>
      <c r="J974" s="37">
        <v>0.94436909899195387</v>
      </c>
      <c r="K974" s="37">
        <f t="shared" si="119"/>
        <v>0.4818996481589326</v>
      </c>
      <c r="L974" s="37">
        <f t="shared" si="120"/>
        <v>0.62165054612502313</v>
      </c>
      <c r="M974" s="45">
        <f t="shared" si="121"/>
        <v>1.5528188322318368E-2</v>
      </c>
    </row>
    <row r="975" spans="1:13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8">
        <f t="shared" si="115"/>
        <v>44.1</v>
      </c>
      <c r="G975" s="221">
        <f t="shared" si="116"/>
        <v>1.5615034239945997E-4</v>
      </c>
      <c r="H975" s="7">
        <f t="shared" si="117"/>
        <v>0.35147318429461805</v>
      </c>
      <c r="I975" s="7">
        <f t="shared" si="118"/>
        <v>0.12923668986513107</v>
      </c>
      <c r="J975" s="37">
        <v>0.13512873869417638</v>
      </c>
      <c r="K975" s="37">
        <f t="shared" si="119"/>
        <v>6.895449216031449E-2</v>
      </c>
      <c r="L975" s="37">
        <f t="shared" si="120"/>
        <v>8.8951294886805699E-2</v>
      </c>
      <c r="M975" s="45">
        <f t="shared" si="121"/>
        <v>1.5528188322318367E-2</v>
      </c>
    </row>
    <row r="976" spans="1:13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8">
        <f t="shared" si="115"/>
        <v>236.79</v>
      </c>
      <c r="G976" s="221">
        <f t="shared" si="116"/>
        <v>8.3843173643465138E-4</v>
      </c>
      <c r="H976" s="7">
        <f t="shared" si="117"/>
        <v>1.8871958119982453</v>
      </c>
      <c r="I976" s="7">
        <f t="shared" si="118"/>
        <v>0.6939219000717548</v>
      </c>
      <c r="J976" s="37">
        <v>0.72555859490689401</v>
      </c>
      <c r="K976" s="37">
        <f t="shared" si="119"/>
        <v>0.37024340586487225</v>
      </c>
      <c r="L976" s="37">
        <f t="shared" si="120"/>
        <v>0.47761399356568524</v>
      </c>
      <c r="M976" s="45">
        <f t="shared" si="121"/>
        <v>1.5528188322318368E-2</v>
      </c>
    </row>
    <row r="977" spans="1:13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8">
        <f t="shared" si="115"/>
        <v>571.4</v>
      </c>
      <c r="G977" s="221">
        <f t="shared" si="116"/>
        <v>2.0232268854206673E-3</v>
      </c>
      <c r="H977" s="7">
        <f t="shared" si="117"/>
        <v>4.5540085602255047</v>
      </c>
      <c r="I977" s="7">
        <f t="shared" si="118"/>
        <v>1.6745089475949182</v>
      </c>
      <c r="J977" s="37">
        <v>1.7508517299286255</v>
      </c>
      <c r="K977" s="37">
        <f t="shared" si="119"/>
        <v>0.89343756962366672</v>
      </c>
      <c r="L977" s="37">
        <f t="shared" si="120"/>
        <v>1.1525344648145301</v>
      </c>
      <c r="M977" s="45">
        <f t="shared" si="121"/>
        <v>1.5528188322318368E-2</v>
      </c>
    </row>
    <row r="978" spans="1:13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8">
        <f t="shared" si="115"/>
        <v>654.29999999999995</v>
      </c>
      <c r="G978" s="221">
        <f t="shared" si="116"/>
        <v>2.3167612025389262E-3</v>
      </c>
      <c r="H978" s="7">
        <f t="shared" si="117"/>
        <v>5.2147143873915782</v>
      </c>
      <c r="I978" s="7">
        <f t="shared" si="118"/>
        <v>1.9174504802438834</v>
      </c>
      <c r="J978" s="37">
        <v>2.0048692455238002</v>
      </c>
      <c r="K978" s="37">
        <f t="shared" si="119"/>
        <v>1.0230595061336456</v>
      </c>
      <c r="L978" s="37">
        <f t="shared" si="120"/>
        <v>1.3197467629124029</v>
      </c>
      <c r="M978" s="45">
        <f t="shared" si="121"/>
        <v>1.552818832231837E-2</v>
      </c>
    </row>
    <row r="979" spans="1:13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8">
        <f t="shared" si="115"/>
        <v>559.79999999999995</v>
      </c>
      <c r="G979" s="221">
        <f t="shared" si="116"/>
        <v>1.9821533259686552E-3</v>
      </c>
      <c r="H979" s="7">
        <f t="shared" si="117"/>
        <v>4.4615575639031118</v>
      </c>
      <c r="I979" s="7">
        <f t="shared" si="118"/>
        <v>1.6405147162471743</v>
      </c>
      <c r="J979" s="37">
        <v>1.7153076626077084</v>
      </c>
      <c r="K979" s="37">
        <f t="shared" si="119"/>
        <v>0.87529988007582882</v>
      </c>
      <c r="L979" s="37">
        <f t="shared" si="120"/>
        <v>1.1291368452978192</v>
      </c>
      <c r="M979" s="45">
        <f t="shared" si="121"/>
        <v>1.5528188322318372E-2</v>
      </c>
    </row>
    <row r="980" spans="1:13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8">
        <f t="shared" si="115"/>
        <v>681</v>
      </c>
      <c r="G980" s="221">
        <f t="shared" si="116"/>
        <v>2.4113012057603682E-3</v>
      </c>
      <c r="H980" s="7">
        <f t="shared" si="117"/>
        <v>5.4275110772026052</v>
      </c>
      <c r="I980" s="7">
        <f t="shared" si="118"/>
        <v>1.995695823087398</v>
      </c>
      <c r="J980" s="37">
        <v>2.0866818832366012</v>
      </c>
      <c r="K980" s="37">
        <f t="shared" si="119"/>
        <v>1.0648074639722034</v>
      </c>
      <c r="L980" s="37">
        <f t="shared" si="120"/>
        <v>1.3736016285241424</v>
      </c>
      <c r="M980" s="45">
        <f t="shared" si="121"/>
        <v>1.5528188322318365E-2</v>
      </c>
    </row>
    <row r="981" spans="1:13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8">
        <f t="shared" si="115"/>
        <v>373.3</v>
      </c>
      <c r="G981" s="221">
        <f t="shared" si="116"/>
        <v>1.3217896330548393E-3</v>
      </c>
      <c r="H981" s="7">
        <f t="shared" si="117"/>
        <v>2.9751687006163476</v>
      </c>
      <c r="I981" s="7">
        <f t="shared" si="118"/>
        <v>1.0939695312166311</v>
      </c>
      <c r="J981" s="37">
        <v>1.1438448561119285</v>
      </c>
      <c r="K981" s="37">
        <f t="shared" si="119"/>
        <v>0.58368961277653975</v>
      </c>
      <c r="L981" s="37">
        <f t="shared" si="120"/>
        <v>0.75295960048173627</v>
      </c>
      <c r="M981" s="45">
        <f t="shared" si="121"/>
        <v>1.5528188322318368E-2</v>
      </c>
    </row>
    <row r="982" spans="1:13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8">
        <f t="shared" si="115"/>
        <v>395.4</v>
      </c>
      <c r="G982" s="221">
        <f t="shared" si="116"/>
        <v>1.4000418454591036E-3</v>
      </c>
      <c r="H982" s="7">
        <f t="shared" si="117"/>
        <v>3.1513037884374602</v>
      </c>
      <c r="I982" s="7">
        <f t="shared" si="118"/>
        <v>1.1587344030084541</v>
      </c>
      <c r="J982" s="37">
        <v>1.2115624326457446</v>
      </c>
      <c r="K982" s="37">
        <f t="shared" si="119"/>
        <v>0.61824503855302371</v>
      </c>
      <c r="L982" s="37">
        <f t="shared" si="120"/>
        <v>0.79753609973340056</v>
      </c>
      <c r="M982" s="45">
        <f t="shared" si="121"/>
        <v>1.5528188322318368E-2</v>
      </c>
    </row>
    <row r="983" spans="1:13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8">
        <f t="shared" si="115"/>
        <v>359.5</v>
      </c>
      <c r="G983" s="221">
        <f t="shared" si="116"/>
        <v>1.2729262606033076E-3</v>
      </c>
      <c r="H983" s="7">
        <f t="shared" si="117"/>
        <v>2.8651838946466035</v>
      </c>
      <c r="I983" s="7">
        <f t="shared" si="118"/>
        <v>1.0535281180615561</v>
      </c>
      <c r="J983" s="37">
        <v>1.1015596725749752</v>
      </c>
      <c r="K983" s="37">
        <f t="shared" si="119"/>
        <v>0.56211201659031884</v>
      </c>
      <c r="L983" s="37">
        <f t="shared" si="120"/>
        <v>0.7251245014015113</v>
      </c>
      <c r="M983" s="45">
        <f t="shared" si="121"/>
        <v>1.5528188322318368E-2</v>
      </c>
    </row>
    <row r="984" spans="1:13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8">
        <f t="shared" si="115"/>
        <v>581.70000000000005</v>
      </c>
      <c r="G984" s="221">
        <f t="shared" si="116"/>
        <v>2.0596973735547818E-3</v>
      </c>
      <c r="H984" s="7">
        <f t="shared" si="117"/>
        <v>4.6360986690290105</v>
      </c>
      <c r="I984" s="7">
        <f t="shared" si="118"/>
        <v>1.7046934806019673</v>
      </c>
      <c r="J984" s="37">
        <v>1.7824124103946128</v>
      </c>
      <c r="K984" s="37">
        <f t="shared" si="119"/>
        <v>0.90954258706700553</v>
      </c>
      <c r="L984" s="37">
        <f t="shared" si="120"/>
        <v>1.1733099373164371</v>
      </c>
      <c r="M984" s="45">
        <f t="shared" si="121"/>
        <v>1.552818832231837E-2</v>
      </c>
    </row>
    <row r="985" spans="1:13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8">
        <f t="shared" si="115"/>
        <v>397</v>
      </c>
      <c r="G985" s="221">
        <f t="shared" si="116"/>
        <v>1.4057071640042088E-3</v>
      </c>
      <c r="H985" s="7">
        <f t="shared" si="117"/>
        <v>3.1640556499991694</v>
      </c>
      <c r="I985" s="7">
        <f t="shared" si="118"/>
        <v>1.1634232625046947</v>
      </c>
      <c r="J985" s="37">
        <v>1.2164650626210436</v>
      </c>
      <c r="K985" s="37">
        <f t="shared" si="119"/>
        <v>0.62074678883548418</v>
      </c>
      <c r="L985" s="37">
        <f t="shared" si="120"/>
        <v>0.80076335759777462</v>
      </c>
      <c r="M985" s="45">
        <f t="shared" si="121"/>
        <v>1.5528188322318368E-2</v>
      </c>
    </row>
    <row r="986" spans="1:13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8">
        <f t="shared" si="115"/>
        <v>271.5</v>
      </c>
      <c r="G986" s="221">
        <f t="shared" si="116"/>
        <v>9.6133374062252574E-4</v>
      </c>
      <c r="H986" s="7">
        <f t="shared" si="117"/>
        <v>2.163831508752581</v>
      </c>
      <c r="I986" s="7">
        <f t="shared" si="118"/>
        <v>0.79564084576832406</v>
      </c>
      <c r="J986" s="37">
        <v>0.83191502393353489</v>
      </c>
      <c r="K986" s="37">
        <f t="shared" si="119"/>
        <v>0.42451575105499739</v>
      </c>
      <c r="L986" s="37">
        <f t="shared" si="120"/>
        <v>0.54762531886094667</v>
      </c>
      <c r="M986" s="45">
        <f t="shared" si="121"/>
        <v>1.5528188322318368E-2</v>
      </c>
    </row>
    <row r="987" spans="1:13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8">
        <f t="shared" si="115"/>
        <v>258.60000000000002</v>
      </c>
      <c r="G987" s="221">
        <f t="shared" si="116"/>
        <v>9.1565710985261567E-4</v>
      </c>
      <c r="H987" s="7">
        <f t="shared" si="117"/>
        <v>2.0610196249112978</v>
      </c>
      <c r="I987" s="7">
        <f t="shared" si="118"/>
        <v>0.75783691607988424</v>
      </c>
      <c r="J987" s="37">
        <v>0.79238756975768743</v>
      </c>
      <c r="K987" s="37">
        <f t="shared" si="119"/>
        <v>0.40434538940266052</v>
      </c>
      <c r="L987" s="37">
        <f t="shared" si="120"/>
        <v>0.52160555232943207</v>
      </c>
      <c r="M987" s="45">
        <f t="shared" si="121"/>
        <v>1.5528188322318365E-2</v>
      </c>
    </row>
    <row r="988" spans="1:13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8">
        <f t="shared" si="115"/>
        <v>737.4</v>
      </c>
      <c r="G988" s="221">
        <f t="shared" si="116"/>
        <v>2.6110036844753238E-3</v>
      </c>
      <c r="H988" s="7">
        <f t="shared" si="117"/>
        <v>5.8770141972528656</v>
      </c>
      <c r="I988" s="7">
        <f t="shared" si="118"/>
        <v>2.160978120329879</v>
      </c>
      <c r="J988" s="37">
        <v>2.2594995898658876</v>
      </c>
      <c r="K988" s="37">
        <f t="shared" si="119"/>
        <v>1.1529941614289321</v>
      </c>
      <c r="L988" s="37">
        <f t="shared" si="120"/>
        <v>1.4873624682433224</v>
      </c>
      <c r="M988" s="45">
        <f t="shared" si="121"/>
        <v>1.5528188322318368E-2</v>
      </c>
    </row>
    <row r="989" spans="1:13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8">
        <f t="shared" si="115"/>
        <v>473.4</v>
      </c>
      <c r="G989" s="221">
        <f t="shared" si="116"/>
        <v>1.6762261245329784E-3</v>
      </c>
      <c r="H989" s="7">
        <f t="shared" si="117"/>
        <v>3.7729570395707981</v>
      </c>
      <c r="I989" s="7">
        <f t="shared" si="118"/>
        <v>1.3873163034501825</v>
      </c>
      <c r="J989" s="37">
        <v>1.4505656439415671</v>
      </c>
      <c r="K989" s="37">
        <f t="shared" si="119"/>
        <v>0.74020536482296784</v>
      </c>
      <c r="L989" s="37">
        <f t="shared" si="120"/>
        <v>0.95486492062162853</v>
      </c>
      <c r="M989" s="45">
        <f t="shared" si="121"/>
        <v>1.5528188322318368E-2</v>
      </c>
    </row>
    <row r="990" spans="1:13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8">
        <f t="shared" si="115"/>
        <v>320.60000000000002</v>
      </c>
      <c r="G990" s="221">
        <f t="shared" si="116"/>
        <v>1.1351882034754393E-3</v>
      </c>
      <c r="H990" s="7">
        <f t="shared" si="117"/>
        <v>2.5551542604275412</v>
      </c>
      <c r="I990" s="7">
        <f t="shared" si="118"/>
        <v>0.93953022155920696</v>
      </c>
      <c r="J990" s="37">
        <v>0.98236448130052045</v>
      </c>
      <c r="K990" s="37">
        <f t="shared" si="119"/>
        <v>0.50128821284800062</v>
      </c>
      <c r="L990" s="37">
        <f t="shared" si="120"/>
        <v>0.64666179457392081</v>
      </c>
      <c r="M990" s="45">
        <f t="shared" si="121"/>
        <v>1.552818832231837E-2</v>
      </c>
    </row>
    <row r="991" spans="1:13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8">
        <f t="shared" si="115"/>
        <v>963.8</v>
      </c>
      <c r="G991" s="221">
        <f t="shared" si="116"/>
        <v>3.4126462586076987E-3</v>
      </c>
      <c r="H991" s="7">
        <f t="shared" si="117"/>
        <v>7.6814026082347588</v>
      </c>
      <c r="I991" s="7">
        <f t="shared" si="118"/>
        <v>2.8244517390479209</v>
      </c>
      <c r="J991" s="37">
        <v>2.9532217313706846</v>
      </c>
      <c r="K991" s="37">
        <f t="shared" si="119"/>
        <v>1.5069918263970772</v>
      </c>
      <c r="L991" s="37">
        <f t="shared" si="120"/>
        <v>1.9440194560522297</v>
      </c>
      <c r="M991" s="45">
        <f t="shared" si="121"/>
        <v>1.5528188322318368E-2</v>
      </c>
    </row>
    <row r="992" spans="1:13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8">
        <f t="shared" si="115"/>
        <v>143.69999999999999</v>
      </c>
      <c r="G992" s="221">
        <f t="shared" si="116"/>
        <v>5.0881642183225385E-4</v>
      </c>
      <c r="H992" s="7">
        <f t="shared" si="117"/>
        <v>1.1452765665110343</v>
      </c>
      <c r="I992" s="7">
        <f t="shared" si="118"/>
        <v>0.42111819350610735</v>
      </c>
      <c r="J992" s="37">
        <v>0.44031745465653388</v>
      </c>
      <c r="K992" s="37">
        <f t="shared" si="119"/>
        <v>0.22468844724347373</v>
      </c>
      <c r="L992" s="37">
        <f t="shared" si="120"/>
        <v>0.28984809694408109</v>
      </c>
      <c r="M992" s="45">
        <f t="shared" si="121"/>
        <v>1.5528188322318368E-2</v>
      </c>
    </row>
    <row r="993" spans="1:13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8">
        <f t="shared" si="115"/>
        <v>136.80000000000001</v>
      </c>
      <c r="G993" s="221">
        <f t="shared" si="116"/>
        <v>4.8438473560648813E-4</v>
      </c>
      <c r="H993" s="7">
        <f t="shared" si="117"/>
        <v>1.0902841635261622</v>
      </c>
      <c r="I993" s="7">
        <f t="shared" si="118"/>
        <v>0.40089748692856986</v>
      </c>
      <c r="J993" s="37">
        <v>0.41917486288805744</v>
      </c>
      <c r="K993" s="37">
        <f t="shared" si="119"/>
        <v>0.21389964915036336</v>
      </c>
      <c r="L993" s="37">
        <f t="shared" si="120"/>
        <v>0.27593054740396872</v>
      </c>
      <c r="M993" s="45">
        <f t="shared" si="121"/>
        <v>1.552818832231837E-2</v>
      </c>
    </row>
    <row r="994" spans="1:13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8">
        <f t="shared" si="115"/>
        <v>128.1</v>
      </c>
      <c r="G994" s="221">
        <f t="shared" si="116"/>
        <v>4.5357956601747894E-4</v>
      </c>
      <c r="H994" s="7">
        <f t="shared" si="117"/>
        <v>1.0209459162843668</v>
      </c>
      <c r="I994" s="7">
        <f t="shared" si="118"/>
        <v>0.37540181341776169</v>
      </c>
      <c r="J994" s="37">
        <v>0.39251681239736946</v>
      </c>
      <c r="K994" s="37">
        <f t="shared" si="119"/>
        <v>0.20029638198948496</v>
      </c>
      <c r="L994" s="37">
        <f t="shared" si="120"/>
        <v>0.25838233276643563</v>
      </c>
      <c r="M994" s="45">
        <f t="shared" si="121"/>
        <v>1.5528188322318368E-2</v>
      </c>
    </row>
    <row r="995" spans="1:13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8">
        <f t="shared" si="115"/>
        <v>72.5</v>
      </c>
      <c r="G995" s="221">
        <f t="shared" si="116"/>
        <v>2.5670974657507594E-4</v>
      </c>
      <c r="H995" s="7">
        <f t="shared" si="117"/>
        <v>0.57781872701496173</v>
      </c>
      <c r="I995" s="7">
        <f t="shared" si="118"/>
        <v>0.21246394592340145</v>
      </c>
      <c r="J995" s="37">
        <v>0.22215042075573216</v>
      </c>
      <c r="K995" s="37">
        <f t="shared" si="119"/>
        <v>0.11336055967398642</v>
      </c>
      <c r="L995" s="37">
        <f t="shared" si="120"/>
        <v>0.1462351219794425</v>
      </c>
      <c r="M995" s="45">
        <f t="shared" si="121"/>
        <v>1.5528188322318368E-2</v>
      </c>
    </row>
    <row r="996" spans="1:13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8">
        <f t="shared" si="115"/>
        <v>237.6</v>
      </c>
      <c r="G996" s="221">
        <f t="shared" si="116"/>
        <v>8.4129980394811088E-4</v>
      </c>
      <c r="H996" s="7">
        <f t="shared" si="117"/>
        <v>1.8936514419138606</v>
      </c>
      <c r="I996" s="7">
        <f t="shared" si="118"/>
        <v>0.69629563519172655</v>
      </c>
      <c r="J996" s="37">
        <v>0.72804055133188905</v>
      </c>
      <c r="K996" s="37">
        <f t="shared" si="119"/>
        <v>0.37150991694536789</v>
      </c>
      <c r="L996" s="37">
        <f t="shared" si="120"/>
        <v>0.47924779285952457</v>
      </c>
      <c r="M996" s="45">
        <f t="shared" si="121"/>
        <v>1.5528188322318368E-2</v>
      </c>
    </row>
    <row r="997" spans="1:13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8">
        <f t="shared" si="115"/>
        <v>106.4</v>
      </c>
      <c r="G997" s="221">
        <f t="shared" si="116"/>
        <v>3.7674368324949075E-4</v>
      </c>
      <c r="H997" s="7">
        <f t="shared" si="117"/>
        <v>0.84799879385368182</v>
      </c>
      <c r="I997" s="7">
        <f t="shared" si="118"/>
        <v>0.31180915649999885</v>
      </c>
      <c r="J997" s="37">
        <v>0.32602489335737794</v>
      </c>
      <c r="K997" s="37">
        <f t="shared" si="119"/>
        <v>0.16636639378361592</v>
      </c>
      <c r="L997" s="37">
        <f t="shared" si="120"/>
        <v>0.21461264798086455</v>
      </c>
      <c r="M997" s="45">
        <f t="shared" si="121"/>
        <v>1.552818832231837E-2</v>
      </c>
    </row>
    <row r="998" spans="1:13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8">
        <f t="shared" si="115"/>
        <v>348.62</v>
      </c>
      <c r="G998" s="221">
        <f t="shared" si="116"/>
        <v>1.2344020944965927E-3</v>
      </c>
      <c r="H998" s="7">
        <f t="shared" si="117"/>
        <v>2.778471236026979</v>
      </c>
      <c r="I998" s="7">
        <f t="shared" si="118"/>
        <v>1.0216438734871203</v>
      </c>
      <c r="J998" s="37">
        <v>1.0682217887429426</v>
      </c>
      <c r="K998" s="37">
        <f t="shared" si="119"/>
        <v>0.5451001146695883</v>
      </c>
      <c r="L998" s="37">
        <f t="shared" si="120"/>
        <v>0.7031791479237689</v>
      </c>
      <c r="M998" s="45">
        <f t="shared" si="121"/>
        <v>1.552818832231837E-2</v>
      </c>
    </row>
    <row r="999" spans="1:13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8">
        <f t="shared" si="115"/>
        <v>360.12</v>
      </c>
      <c r="G999" s="221">
        <f t="shared" si="116"/>
        <v>1.2751215715395357E-3</v>
      </c>
      <c r="H999" s="7">
        <f t="shared" si="117"/>
        <v>2.8701252410017655</v>
      </c>
      <c r="I999" s="7">
        <f t="shared" si="118"/>
        <v>1.0553450511163491</v>
      </c>
      <c r="J999" s="37">
        <v>1.1034594416904036</v>
      </c>
      <c r="K999" s="37">
        <f t="shared" si="119"/>
        <v>0.56308144482477218</v>
      </c>
      <c r="L999" s="37">
        <f t="shared" si="120"/>
        <v>0.72637506382395611</v>
      </c>
      <c r="M999" s="45">
        <f t="shared" si="121"/>
        <v>1.5528188322318368E-2</v>
      </c>
    </row>
    <row r="1000" spans="1:13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8">
        <f t="shared" si="115"/>
        <v>301.69</v>
      </c>
      <c r="G1000" s="221">
        <f t="shared" si="116"/>
        <v>1.0682312199204781E-3</v>
      </c>
      <c r="H1000" s="7">
        <f t="shared" si="117"/>
        <v>2.404443196595087</v>
      </c>
      <c r="I1000" s="7">
        <f t="shared" si="118"/>
        <v>0.88411376338801351</v>
      </c>
      <c r="J1000" s="37">
        <v>0.92442152327995641</v>
      </c>
      <c r="K1000" s="37">
        <f t="shared" si="119"/>
        <v>0.47172065169717192</v>
      </c>
      <c r="L1000" s="37">
        <f t="shared" si="120"/>
        <v>0.60851964068935183</v>
      </c>
      <c r="M1000" s="45">
        <f t="shared" si="121"/>
        <v>1.552818832231837E-2</v>
      </c>
    </row>
    <row r="1001" spans="1:13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8">
        <f t="shared" ref="F1001:F1062" si="122">C1001+D1001+E1001</f>
        <v>136.1</v>
      </c>
      <c r="G1001" s="221">
        <f t="shared" si="116"/>
        <v>4.8190615874300457E-4</v>
      </c>
      <c r="H1001" s="7">
        <f t="shared" si="117"/>
        <v>1.084705224092914</v>
      </c>
      <c r="I1001" s="7">
        <f t="shared" si="118"/>
        <v>0.39884611089896455</v>
      </c>
      <c r="J1001" s="37">
        <v>0.41702996227386407</v>
      </c>
      <c r="K1001" s="37">
        <f t="shared" si="119"/>
        <v>0.21280513340178689</v>
      </c>
      <c r="L1001" s="37">
        <f t="shared" si="120"/>
        <v>0.27451862208830508</v>
      </c>
      <c r="M1001" s="45">
        <f t="shared" si="121"/>
        <v>1.5528188322318365E-2</v>
      </c>
    </row>
    <row r="1002" spans="1:13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8">
        <f t="shared" si="122"/>
        <v>113.9</v>
      </c>
      <c r="G1002" s="221">
        <f t="shared" si="116"/>
        <v>4.0329986392967105E-4</v>
      </c>
      <c r="H1002" s="7">
        <f t="shared" si="117"/>
        <v>0.90777314492419503</v>
      </c>
      <c r="I1002" s="7">
        <f t="shared" si="118"/>
        <v>0.33378818538862653</v>
      </c>
      <c r="J1002" s="37">
        <v>0.34900597136659167</v>
      </c>
      <c r="K1002" s="37">
        <f t="shared" si="119"/>
        <v>0.17809334823264902</v>
      </c>
      <c r="L1002" s="37">
        <f t="shared" si="120"/>
        <v>0.22974041922011726</v>
      </c>
      <c r="M1002" s="45">
        <f t="shared" si="121"/>
        <v>1.5528188322318368E-2</v>
      </c>
    </row>
    <row r="1003" spans="1:13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8">
        <f t="shared" si="122"/>
        <v>566.45000000000005</v>
      </c>
      <c r="G1003" s="221">
        <f t="shared" si="116"/>
        <v>2.0056998061717484E-3</v>
      </c>
      <c r="H1003" s="7">
        <f t="shared" si="117"/>
        <v>4.5145574885189665</v>
      </c>
      <c r="I1003" s="7">
        <f t="shared" si="118"/>
        <v>1.6600027885284241</v>
      </c>
      <c r="J1003" s="37">
        <v>1.7356842184425449</v>
      </c>
      <c r="K1003" s="37">
        <f t="shared" si="119"/>
        <v>0.88569777968730479</v>
      </c>
      <c r="L1003" s="37">
        <f t="shared" si="120"/>
        <v>1.1425501357966232</v>
      </c>
      <c r="M1003" s="45">
        <f t="shared" si="121"/>
        <v>1.5528188322318367E-2</v>
      </c>
    </row>
    <row r="1004" spans="1:13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8">
        <f t="shared" si="122"/>
        <v>760.45</v>
      </c>
      <c r="G1004" s="221">
        <f t="shared" si="116"/>
        <v>2.6926196797657448E-3</v>
      </c>
      <c r="H1004" s="7">
        <f t="shared" si="117"/>
        <v>6.0607207028762433</v>
      </c>
      <c r="I1004" s="7">
        <f t="shared" ref="I1004:I1065" si="123">H1004*0.3677</f>
        <v>2.2285270024475947</v>
      </c>
      <c r="J1004" s="37">
        <v>2.3301281029475382</v>
      </c>
      <c r="K1004" s="37">
        <f t="shared" si="119"/>
        <v>1.1890350014356272</v>
      </c>
      <c r="L1004" s="37">
        <f t="shared" si="120"/>
        <v>1.5338551518519592</v>
      </c>
      <c r="M1004" s="45">
        <f t="shared" si="121"/>
        <v>1.5528188322318367E-2</v>
      </c>
    </row>
    <row r="1005" spans="1:13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8">
        <f t="shared" si="122"/>
        <v>275.3</v>
      </c>
      <c r="G1005" s="221">
        <f t="shared" si="116"/>
        <v>9.7478887216715044E-4</v>
      </c>
      <c r="H1005" s="7">
        <f t="shared" si="117"/>
        <v>2.194117179961641</v>
      </c>
      <c r="I1005" s="7">
        <f t="shared" si="123"/>
        <v>0.80677688707189543</v>
      </c>
      <c r="J1005" s="37">
        <v>0.84355877012486991</v>
      </c>
      <c r="K1005" s="37">
        <f t="shared" si="119"/>
        <v>0.43045740797584087</v>
      </c>
      <c r="L1005" s="37">
        <f t="shared" si="120"/>
        <v>0.55529005628883477</v>
      </c>
      <c r="M1005" s="45">
        <f t="shared" si="121"/>
        <v>1.552818832231837E-2</v>
      </c>
    </row>
    <row r="1006" spans="1:13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8">
        <f t="shared" si="122"/>
        <v>384.4</v>
      </c>
      <c r="G1006" s="221">
        <f t="shared" si="116"/>
        <v>1.3610927804615059E-3</v>
      </c>
      <c r="H1006" s="7">
        <f t="shared" si="117"/>
        <v>3.0636347402007069</v>
      </c>
      <c r="I1006" s="7">
        <f t="shared" si="123"/>
        <v>1.1264984939717999</v>
      </c>
      <c r="J1006" s="37">
        <v>1.1778568515655645</v>
      </c>
      <c r="K1006" s="37">
        <f t="shared" si="119"/>
        <v>0.60104550536110857</v>
      </c>
      <c r="L1006" s="37">
        <f t="shared" si="120"/>
        <v>0.77534870191583005</v>
      </c>
      <c r="M1006" s="45">
        <f t="shared" si="121"/>
        <v>1.5528188322318368E-2</v>
      </c>
    </row>
    <row r="1007" spans="1:13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8">
        <f t="shared" si="122"/>
        <v>207.2</v>
      </c>
      <c r="G1007" s="221">
        <f t="shared" si="116"/>
        <v>7.3365875159111355E-4</v>
      </c>
      <c r="H1007" s="7">
        <f t="shared" si="117"/>
        <v>1.6513660722413801</v>
      </c>
      <c r="I1007" s="7">
        <f t="shared" si="123"/>
        <v>0.60720730476315554</v>
      </c>
      <c r="J1007" s="37">
        <v>0.63489058180120972</v>
      </c>
      <c r="K1007" s="37">
        <f t="shared" si="119"/>
        <v>0.32397666157862048</v>
      </c>
      <c r="L1007" s="37">
        <f t="shared" si="120"/>
        <v>0.41792989343642045</v>
      </c>
      <c r="M1007" s="45">
        <f t="shared" si="121"/>
        <v>1.552818832231837E-2</v>
      </c>
    </row>
    <row r="1008" spans="1:13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8">
        <f t="shared" si="122"/>
        <v>603.70000000000005</v>
      </c>
      <c r="G1008" s="221">
        <f t="shared" si="116"/>
        <v>2.1375955035499773E-3</v>
      </c>
      <c r="H1008" s="7">
        <f t="shared" si="117"/>
        <v>4.8114367655025161</v>
      </c>
      <c r="I1008" s="7">
        <f t="shared" si="123"/>
        <v>1.7691652986752753</v>
      </c>
      <c r="J1008" s="37">
        <v>1.8498235725549725</v>
      </c>
      <c r="K1008" s="37">
        <f t="shared" si="119"/>
        <v>0.94394165345083592</v>
      </c>
      <c r="L1008" s="37">
        <f t="shared" si="120"/>
        <v>1.2176847329515783</v>
      </c>
      <c r="M1008" s="45">
        <f t="shared" si="121"/>
        <v>1.5528188322318368E-2</v>
      </c>
    </row>
    <row r="1009" spans="1:13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8">
        <f t="shared" si="122"/>
        <v>477.8</v>
      </c>
      <c r="G1009" s="221">
        <f t="shared" ref="G1009:G1072" si="124">1/282420.13*F1009</f>
        <v>1.6918057505320176E-3</v>
      </c>
      <c r="H1009" s="7">
        <f t="shared" ref="H1009:H1072" si="125">G1009*1218*1.54*1.2</f>
        <v>3.8080246588654987</v>
      </c>
      <c r="I1009" s="7">
        <f t="shared" si="123"/>
        <v>1.400210667064844</v>
      </c>
      <c r="J1009" s="37">
        <v>1.4640478763736391</v>
      </c>
      <c r="K1009" s="37">
        <f t="shared" si="119"/>
        <v>0.74708517809973396</v>
      </c>
      <c r="L1009" s="37">
        <f t="shared" si="120"/>
        <v>0.96373987974865682</v>
      </c>
      <c r="M1009" s="45">
        <f t="shared" si="121"/>
        <v>1.5528188322318367E-2</v>
      </c>
    </row>
    <row r="1010" spans="1:13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8">
        <f t="shared" si="122"/>
        <v>481.5</v>
      </c>
      <c r="G1010" s="221">
        <f t="shared" si="124"/>
        <v>1.7049067996675732E-3</v>
      </c>
      <c r="H1010" s="7">
        <f t="shared" si="125"/>
        <v>3.8375133387269518</v>
      </c>
      <c r="I1010" s="7">
        <f t="shared" si="123"/>
        <v>1.4110536546499002</v>
      </c>
      <c r="J1010" s="37">
        <v>1.475385208191518</v>
      </c>
      <c r="K1010" s="37">
        <f t="shared" ref="K1010:K1073" si="126">G1010*408.88*1.08</f>
        <v>0.75287047562792353</v>
      </c>
      <c r="L1010" s="37">
        <f t="shared" ref="L1010:L1073" si="127">K1010*1.29</f>
        <v>0.97120291356002142</v>
      </c>
      <c r="M1010" s="45">
        <f t="shared" si="121"/>
        <v>1.5528188322318367E-2</v>
      </c>
    </row>
    <row r="1011" spans="1:13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8">
        <f t="shared" si="122"/>
        <v>539.4</v>
      </c>
      <c r="G1011" s="221">
        <f t="shared" si="124"/>
        <v>1.9099205145185648E-3</v>
      </c>
      <c r="H1011" s="7">
        <f t="shared" si="125"/>
        <v>4.2989713289913141</v>
      </c>
      <c r="I1011" s="7">
        <f t="shared" si="123"/>
        <v>1.5807317576701063</v>
      </c>
      <c r="J1011" s="37">
        <v>1.6527991304226475</v>
      </c>
      <c r="K1011" s="37">
        <f t="shared" si="126"/>
        <v>0.84340256397445879</v>
      </c>
      <c r="L1011" s="37">
        <f t="shared" si="127"/>
        <v>1.0879893075270519</v>
      </c>
      <c r="M1011" s="45">
        <f t="shared" si="121"/>
        <v>1.5528188322318367E-2</v>
      </c>
    </row>
    <row r="1012" spans="1:13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8">
        <f t="shared" si="122"/>
        <v>120.6</v>
      </c>
      <c r="G1012" s="221">
        <f t="shared" si="124"/>
        <v>4.270233853372987E-4</v>
      </c>
      <c r="H1012" s="7">
        <f t="shared" si="125"/>
        <v>0.96117156521385338</v>
      </c>
      <c r="I1012" s="7">
        <f t="shared" si="123"/>
        <v>0.35342278452913389</v>
      </c>
      <c r="J1012" s="37">
        <v>0.36953573438815585</v>
      </c>
      <c r="K1012" s="37">
        <f t="shared" si="126"/>
        <v>0.18856942754045189</v>
      </c>
      <c r="L1012" s="37">
        <f t="shared" si="127"/>
        <v>0.24325456152718294</v>
      </c>
      <c r="M1012" s="45">
        <f t="shared" si="121"/>
        <v>1.5528188322318367E-2</v>
      </c>
    </row>
    <row r="1013" spans="1:13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8">
        <f t="shared" si="122"/>
        <v>98.1</v>
      </c>
      <c r="G1013" s="221">
        <f t="shared" si="124"/>
        <v>3.4735484329675791E-4</v>
      </c>
      <c r="H1013" s="7">
        <f t="shared" si="125"/>
        <v>0.78184851200231376</v>
      </c>
      <c r="I1013" s="7">
        <f t="shared" si="123"/>
        <v>0.28748569786325079</v>
      </c>
      <c r="J1013" s="37">
        <v>0.30059250036051477</v>
      </c>
      <c r="K1013" s="37">
        <f t="shared" si="126"/>
        <v>0.15338856419335264</v>
      </c>
      <c r="L1013" s="37">
        <f t="shared" si="127"/>
        <v>0.19787124780942492</v>
      </c>
      <c r="M1013" s="45">
        <f t="shared" si="121"/>
        <v>1.552818832231837E-2</v>
      </c>
    </row>
    <row r="1014" spans="1:13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8">
        <f t="shared" si="122"/>
        <v>95.2</v>
      </c>
      <c r="G1014" s="221">
        <f t="shared" si="124"/>
        <v>3.370864534337549E-4</v>
      </c>
      <c r="H1014" s="7">
        <f t="shared" si="125"/>
        <v>0.7587357629217153</v>
      </c>
      <c r="I1014" s="7">
        <f t="shared" si="123"/>
        <v>0.27898714002631475</v>
      </c>
      <c r="J1014" s="37">
        <v>0.29170648353028555</v>
      </c>
      <c r="K1014" s="37">
        <f t="shared" si="126"/>
        <v>0.1488541418063932</v>
      </c>
      <c r="L1014" s="37">
        <f t="shared" si="127"/>
        <v>0.19202184293024724</v>
      </c>
      <c r="M1014" s="45">
        <f t="shared" si="121"/>
        <v>1.5528188322318368E-2</v>
      </c>
    </row>
    <row r="1015" spans="1:13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8">
        <f t="shared" si="122"/>
        <v>2329.16</v>
      </c>
      <c r="G1015" s="221">
        <f t="shared" si="124"/>
        <v>8.2471458390731556E-3</v>
      </c>
      <c r="H1015" s="7">
        <f t="shared" si="125"/>
        <v>18.56320367191956</v>
      </c>
      <c r="I1015" s="7">
        <f t="shared" si="123"/>
        <v>6.8256899901648227</v>
      </c>
      <c r="J1015" s="37">
        <v>7.136881020792015</v>
      </c>
      <c r="K1015" s="37">
        <f t="shared" si="126"/>
        <v>3.6418604299346509</v>
      </c>
      <c r="L1015" s="37">
        <f t="shared" si="127"/>
        <v>4.6979999546156996</v>
      </c>
      <c r="M1015" s="45">
        <f t="shared" si="121"/>
        <v>1.5528188322318368E-2</v>
      </c>
    </row>
    <row r="1016" spans="1:13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8">
        <f t="shared" si="122"/>
        <v>188</v>
      </c>
      <c r="G1016" s="221">
        <f t="shared" si="124"/>
        <v>6.6567492904985202E-4</v>
      </c>
      <c r="H1016" s="7">
        <f t="shared" si="125"/>
        <v>1.498343733500866</v>
      </c>
      <c r="I1016" s="7">
        <f t="shared" si="123"/>
        <v>0.55094099080826853</v>
      </c>
      <c r="J1016" s="37">
        <v>0.57605902209762272</v>
      </c>
      <c r="K1016" s="37">
        <f t="shared" si="126"/>
        <v>0.29395565818909575</v>
      </c>
      <c r="L1016" s="37">
        <f t="shared" si="127"/>
        <v>0.3792027990639335</v>
      </c>
      <c r="M1016" s="45">
        <f t="shared" si="121"/>
        <v>1.5528188322318367E-2</v>
      </c>
    </row>
    <row r="1017" spans="1:13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8">
        <f t="shared" si="122"/>
        <v>110.1</v>
      </c>
      <c r="G1017" s="221">
        <f t="shared" si="124"/>
        <v>3.898447323850463E-4</v>
      </c>
      <c r="H1017" s="7">
        <f t="shared" si="125"/>
        <v>0.8774874737151348</v>
      </c>
      <c r="I1017" s="7">
        <f t="shared" si="123"/>
        <v>0.3226521440850551</v>
      </c>
      <c r="J1017" s="37">
        <v>0.33736222517525666</v>
      </c>
      <c r="K1017" s="37">
        <f t="shared" si="126"/>
        <v>0.17215169131180558</v>
      </c>
      <c r="L1017" s="37">
        <f t="shared" si="127"/>
        <v>0.2220756817922292</v>
      </c>
      <c r="M1017" s="45">
        <f t="shared" si="121"/>
        <v>1.5528188322318367E-2</v>
      </c>
    </row>
    <row r="1018" spans="1:13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8">
        <f t="shared" si="122"/>
        <v>215.8</v>
      </c>
      <c r="G1018" s="221">
        <f t="shared" si="124"/>
        <v>7.641098387710536E-4</v>
      </c>
      <c r="H1018" s="7">
        <f t="shared" si="125"/>
        <v>1.7199073281355686</v>
      </c>
      <c r="I1018" s="7">
        <f t="shared" si="123"/>
        <v>0.63240992455544864</v>
      </c>
      <c r="J1018" s="37">
        <v>0.66124221791844151</v>
      </c>
      <c r="K1018" s="37">
        <f t="shared" si="126"/>
        <v>0.33742356934684509</v>
      </c>
      <c r="L1018" s="37">
        <f t="shared" si="127"/>
        <v>0.43527640445743015</v>
      </c>
      <c r="M1018" s="45">
        <f t="shared" si="121"/>
        <v>1.5528188322318368E-2</v>
      </c>
    </row>
    <row r="1019" spans="1:13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8">
        <f t="shared" si="122"/>
        <v>1481.3</v>
      </c>
      <c r="G1019" s="221">
        <f t="shared" si="124"/>
        <v>5.2450227255401377E-3</v>
      </c>
      <c r="H1019" s="7">
        <f t="shared" si="125"/>
        <v>11.805832832100178</v>
      </c>
      <c r="I1019" s="7">
        <f t="shared" si="123"/>
        <v>4.3410047323632357</v>
      </c>
      <c r="J1019" s="37">
        <v>4.5389161140064278</v>
      </c>
      <c r="K1019" s="37">
        <f t="shared" si="126"/>
        <v>2.3161516833803599</v>
      </c>
      <c r="L1019" s="37">
        <f t="shared" si="127"/>
        <v>2.9878356715606644</v>
      </c>
      <c r="M1019" s="45">
        <f t="shared" si="121"/>
        <v>1.5528188322318368E-2</v>
      </c>
    </row>
    <row r="1020" spans="1:13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8">
        <f t="shared" si="122"/>
        <v>152.6</v>
      </c>
      <c r="G1020" s="221">
        <f t="shared" si="124"/>
        <v>5.4032975623940116E-4</v>
      </c>
      <c r="H1020" s="7">
        <f t="shared" si="125"/>
        <v>1.2162087964480437</v>
      </c>
      <c r="I1020" s="7">
        <f t="shared" si="123"/>
        <v>0.44719997445394571</v>
      </c>
      <c r="J1020" s="37">
        <v>0.46758833389413412</v>
      </c>
      <c r="K1020" s="37">
        <f t="shared" si="126"/>
        <v>0.23860443318965968</v>
      </c>
      <c r="L1020" s="37">
        <f t="shared" si="127"/>
        <v>0.30779971881466101</v>
      </c>
      <c r="M1020" s="45">
        <f t="shared" si="121"/>
        <v>1.5528188322318372E-2</v>
      </c>
    </row>
    <row r="1021" spans="1:13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8">
        <f t="shared" si="122"/>
        <v>110.9</v>
      </c>
      <c r="G1021" s="221">
        <f t="shared" si="124"/>
        <v>3.926773916575989E-4</v>
      </c>
      <c r="H1021" s="7">
        <f t="shared" si="125"/>
        <v>0.88386340449598966</v>
      </c>
      <c r="I1021" s="7">
        <f t="shared" si="123"/>
        <v>0.32499657383317543</v>
      </c>
      <c r="J1021" s="37">
        <v>0.33981354016290616</v>
      </c>
      <c r="K1021" s="37">
        <f t="shared" si="126"/>
        <v>0.17340256645303578</v>
      </c>
      <c r="L1021" s="37">
        <f t="shared" si="127"/>
        <v>0.22368931072441617</v>
      </c>
      <c r="M1021" s="45">
        <f t="shared" si="121"/>
        <v>1.5528188322318368E-2</v>
      </c>
    </row>
    <row r="1022" spans="1:13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8">
        <f t="shared" si="122"/>
        <v>59.5</v>
      </c>
      <c r="G1022" s="221">
        <f t="shared" si="124"/>
        <v>2.1067903339609678E-4</v>
      </c>
      <c r="H1022" s="7">
        <f t="shared" si="125"/>
        <v>0.474209851826072</v>
      </c>
      <c r="I1022" s="7">
        <f t="shared" si="123"/>
        <v>0.17436696251644668</v>
      </c>
      <c r="J1022" s="37">
        <v>0.18231655220642845</v>
      </c>
      <c r="K1022" s="37">
        <f t="shared" si="126"/>
        <v>9.3033838628995738E-2</v>
      </c>
      <c r="L1022" s="37">
        <f t="shared" si="127"/>
        <v>0.1200136518314045</v>
      </c>
      <c r="M1022" s="45">
        <f t="shared" si="121"/>
        <v>1.5528188322318367E-2</v>
      </c>
    </row>
    <row r="1023" spans="1:13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8">
        <f t="shared" si="122"/>
        <v>38.700000000000003</v>
      </c>
      <c r="G1023" s="221">
        <f t="shared" si="124"/>
        <v>1.3702989230973019E-4</v>
      </c>
      <c r="H1023" s="7">
        <f t="shared" si="125"/>
        <v>0.30843565152384855</v>
      </c>
      <c r="I1023" s="7">
        <f t="shared" si="123"/>
        <v>0.11341178906531912</v>
      </c>
      <c r="J1023" s="37">
        <v>0.11858236252754253</v>
      </c>
      <c r="K1023" s="37">
        <f t="shared" si="126"/>
        <v>6.0511084957010686E-2</v>
      </c>
      <c r="L1023" s="37">
        <f t="shared" si="127"/>
        <v>7.8059299594543788E-2</v>
      </c>
      <c r="M1023" s="45">
        <f t="shared" si="121"/>
        <v>1.5528188322318368E-2</v>
      </c>
    </row>
    <row r="1024" spans="1:13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8">
        <f t="shared" si="122"/>
        <v>72.3</v>
      </c>
      <c r="G1024" s="221">
        <f t="shared" si="124"/>
        <v>2.5600158175693777E-4</v>
      </c>
      <c r="H1024" s="7">
        <f t="shared" si="125"/>
        <v>0.57622474431974802</v>
      </c>
      <c r="I1024" s="7">
        <f t="shared" si="123"/>
        <v>0.21187783848637137</v>
      </c>
      <c r="J1024" s="37">
        <v>0.22153759200881976</v>
      </c>
      <c r="K1024" s="37">
        <f t="shared" si="126"/>
        <v>0.11304784088867885</v>
      </c>
      <c r="L1024" s="37">
        <f t="shared" si="127"/>
        <v>0.14583171474639572</v>
      </c>
      <c r="M1024" s="45">
        <f t="shared" si="121"/>
        <v>1.552818832231837E-2</v>
      </c>
    </row>
    <row r="1025" spans="1:13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8">
        <f t="shared" si="122"/>
        <v>99.09</v>
      </c>
      <c r="G1025" s="221">
        <f t="shared" si="124"/>
        <v>3.5086025914654172E-4</v>
      </c>
      <c r="H1025" s="7">
        <f t="shared" si="125"/>
        <v>0.78973872634362152</v>
      </c>
      <c r="I1025" s="7">
        <f t="shared" si="123"/>
        <v>0.29038692967654967</v>
      </c>
      <c r="J1025" s="37">
        <v>0.30362600265773104</v>
      </c>
      <c r="K1025" s="37">
        <f t="shared" si="126"/>
        <v>0.15493652218062501</v>
      </c>
      <c r="L1025" s="37">
        <f t="shared" si="127"/>
        <v>0.19986811361300627</v>
      </c>
      <c r="M1025" s="45">
        <f t="shared" si="121"/>
        <v>1.552818832231837E-2</v>
      </c>
    </row>
    <row r="1026" spans="1:13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8">
        <f t="shared" si="122"/>
        <v>78.7</v>
      </c>
      <c r="G1026" s="221">
        <f t="shared" si="124"/>
        <v>2.7866285593735831E-4</v>
      </c>
      <c r="H1026" s="7">
        <f t="shared" si="125"/>
        <v>0.62723219056658597</v>
      </c>
      <c r="I1026" s="7">
        <f t="shared" si="123"/>
        <v>0.23063327647133366</v>
      </c>
      <c r="J1026" s="37">
        <v>0.24114811191001545</v>
      </c>
      <c r="K1026" s="37">
        <f t="shared" si="126"/>
        <v>0.12305484201852043</v>
      </c>
      <c r="L1026" s="37">
        <f t="shared" si="127"/>
        <v>0.15874074620389136</v>
      </c>
      <c r="M1026" s="45">
        <f t="shared" si="121"/>
        <v>1.5528188322318368E-2</v>
      </c>
    </row>
    <row r="1027" spans="1:13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8">
        <f t="shared" si="122"/>
        <v>557.9</v>
      </c>
      <c r="G1027" s="221">
        <f t="shared" si="124"/>
        <v>1.9754257601963428E-3</v>
      </c>
      <c r="H1027" s="7">
        <f t="shared" si="125"/>
        <v>4.4464147282985813</v>
      </c>
      <c r="I1027" s="7">
        <f t="shared" si="123"/>
        <v>1.6349466955953884</v>
      </c>
      <c r="J1027" s="37">
        <v>1.709485789512041</v>
      </c>
      <c r="K1027" s="37">
        <f t="shared" si="126"/>
        <v>0.87232905161540719</v>
      </c>
      <c r="L1027" s="37">
        <f t="shared" si="127"/>
        <v>1.1253044765838753</v>
      </c>
      <c r="M1027" s="45">
        <f t="shared" si="121"/>
        <v>1.552818832231837E-2</v>
      </c>
    </row>
    <row r="1028" spans="1:13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8">
        <f t="shared" si="122"/>
        <v>122.5</v>
      </c>
      <c r="G1028" s="221">
        <f t="shared" si="124"/>
        <v>4.3375095110961104E-4</v>
      </c>
      <c r="H1028" s="7">
        <f t="shared" si="125"/>
        <v>0.9763144008183835</v>
      </c>
      <c r="I1028" s="7">
        <f t="shared" si="123"/>
        <v>0.35899080518091964</v>
      </c>
      <c r="J1028" s="37">
        <v>0.3753576074838233</v>
      </c>
      <c r="K1028" s="37">
        <f t="shared" si="126"/>
        <v>0.19154025600087357</v>
      </c>
      <c r="L1028" s="37">
        <f t="shared" si="127"/>
        <v>0.24708693024112691</v>
      </c>
      <c r="M1028" s="45">
        <f t="shared" si="121"/>
        <v>1.5528188322318367E-2</v>
      </c>
    </row>
    <row r="1029" spans="1:13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8">
        <f t="shared" si="122"/>
        <v>275.5</v>
      </c>
      <c r="G1029" s="221">
        <f t="shared" si="124"/>
        <v>9.754970369852885E-4</v>
      </c>
      <c r="H1029" s="7">
        <f t="shared" si="125"/>
        <v>2.1957111626568544</v>
      </c>
      <c r="I1029" s="7">
        <f t="shared" si="123"/>
        <v>0.80736299450892546</v>
      </c>
      <c r="J1029" s="37">
        <v>0.84417159887178228</v>
      </c>
      <c r="K1029" s="37">
        <f t="shared" si="126"/>
        <v>0.43077012676114834</v>
      </c>
      <c r="L1029" s="37">
        <f t="shared" si="127"/>
        <v>0.55569346352188143</v>
      </c>
      <c r="M1029" s="45">
        <f t="shared" si="121"/>
        <v>1.5528188322318368E-2</v>
      </c>
    </row>
    <row r="1030" spans="1:13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8">
        <f t="shared" si="122"/>
        <v>189.1</v>
      </c>
      <c r="G1030" s="221">
        <f t="shared" si="124"/>
        <v>6.6956983554961177E-4</v>
      </c>
      <c r="H1030" s="7">
        <f t="shared" si="125"/>
        <v>1.5071106383245414</v>
      </c>
      <c r="I1030" s="7">
        <f t="shared" si="123"/>
        <v>0.55416458171193395</v>
      </c>
      <c r="J1030" s="37">
        <v>0.57942958020564073</v>
      </c>
      <c r="K1030" s="37">
        <f t="shared" si="126"/>
        <v>0.29567561150828731</v>
      </c>
      <c r="L1030" s="37">
        <f t="shared" si="127"/>
        <v>0.38142153884569063</v>
      </c>
      <c r="M1030" s="45">
        <f t="shared" si="121"/>
        <v>1.5528188322318368E-2</v>
      </c>
    </row>
    <row r="1031" spans="1:13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8">
        <f t="shared" si="122"/>
        <v>590.4</v>
      </c>
      <c r="G1031" s="221">
        <f t="shared" si="124"/>
        <v>2.0905025431437905E-3</v>
      </c>
      <c r="H1031" s="7">
        <f t="shared" si="125"/>
        <v>4.7054369162708056</v>
      </c>
      <c r="I1031" s="7">
        <f t="shared" si="123"/>
        <v>1.7301891541127754</v>
      </c>
      <c r="J1031" s="37">
        <v>1.8090704608853003</v>
      </c>
      <c r="K1031" s="37">
        <f t="shared" si="126"/>
        <v>0.92314585422788376</v>
      </c>
      <c r="L1031" s="37">
        <f t="shared" si="127"/>
        <v>1.19085815195397</v>
      </c>
      <c r="M1031" s="45">
        <f t="shared" ref="M1031:M1094" si="128">(K1031+J1031+I1031+H1031)/F1031</f>
        <v>1.552818832231837E-2</v>
      </c>
    </row>
    <row r="1032" spans="1:13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8">
        <f t="shared" si="122"/>
        <v>761.4</v>
      </c>
      <c r="G1032" s="221">
        <f t="shared" si="124"/>
        <v>2.6959834626519006E-3</v>
      </c>
      <c r="H1032" s="7">
        <f t="shared" si="125"/>
        <v>6.0682921206785085</v>
      </c>
      <c r="I1032" s="7">
        <f t="shared" si="123"/>
        <v>2.2313110127734879</v>
      </c>
      <c r="J1032" s="37">
        <v>2.3330390394953722</v>
      </c>
      <c r="K1032" s="37">
        <f t="shared" si="126"/>
        <v>1.190520415665838</v>
      </c>
      <c r="L1032" s="37">
        <f t="shared" si="127"/>
        <v>1.5357713362089311</v>
      </c>
      <c r="M1032" s="45">
        <f t="shared" si="128"/>
        <v>1.552818832231837E-2</v>
      </c>
    </row>
    <row r="1033" spans="1:13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8">
        <f t="shared" si="122"/>
        <v>577.12</v>
      </c>
      <c r="G1033" s="221">
        <f t="shared" si="124"/>
        <v>2.0434803992194182E-3</v>
      </c>
      <c r="H1033" s="7">
        <f t="shared" si="125"/>
        <v>4.5995964653086165</v>
      </c>
      <c r="I1033" s="7">
        <f t="shared" si="123"/>
        <v>1.6912716202939784</v>
      </c>
      <c r="J1033" s="37">
        <v>1.7683786320903188</v>
      </c>
      <c r="K1033" s="37">
        <f t="shared" si="126"/>
        <v>0.90238132688346262</v>
      </c>
      <c r="L1033" s="37">
        <f t="shared" si="127"/>
        <v>1.1640719116796667</v>
      </c>
      <c r="M1033" s="45">
        <f t="shared" si="128"/>
        <v>1.5528188322318367E-2</v>
      </c>
    </row>
    <row r="1034" spans="1:13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8">
        <f t="shared" si="122"/>
        <v>136.80000000000001</v>
      </c>
      <c r="G1034" s="221">
        <f t="shared" si="124"/>
        <v>4.8438473560648813E-4</v>
      </c>
      <c r="H1034" s="7">
        <f t="shared" si="125"/>
        <v>1.0902841635261622</v>
      </c>
      <c r="I1034" s="7">
        <f t="shared" si="123"/>
        <v>0.40089748692856986</v>
      </c>
      <c r="J1034" s="37">
        <v>0.41917486288805744</v>
      </c>
      <c r="K1034" s="37">
        <f t="shared" si="126"/>
        <v>0.21389964915036336</v>
      </c>
      <c r="L1034" s="37">
        <f t="shared" si="127"/>
        <v>0.27593054740396872</v>
      </c>
      <c r="M1034" s="45">
        <f t="shared" si="128"/>
        <v>1.552818832231837E-2</v>
      </c>
    </row>
    <row r="1035" spans="1:13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8">
        <f t="shared" si="122"/>
        <v>578</v>
      </c>
      <c r="G1035" s="221">
        <f t="shared" si="124"/>
        <v>2.0465963244192258E-3</v>
      </c>
      <c r="H1035" s="7">
        <f t="shared" si="125"/>
        <v>4.6066099891675556</v>
      </c>
      <c r="I1035" s="7">
        <f t="shared" si="123"/>
        <v>1.6938504930169103</v>
      </c>
      <c r="J1035" s="37">
        <v>1.7710750785767335</v>
      </c>
      <c r="K1035" s="37">
        <f t="shared" si="126"/>
        <v>0.90375728953881573</v>
      </c>
      <c r="L1035" s="37">
        <f t="shared" si="127"/>
        <v>1.1658469035050723</v>
      </c>
      <c r="M1035" s="45">
        <f t="shared" si="128"/>
        <v>1.5528188322318365E-2</v>
      </c>
    </row>
    <row r="1036" spans="1:13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8">
        <f t="shared" si="122"/>
        <v>150</v>
      </c>
      <c r="G1036" s="221">
        <f t="shared" si="124"/>
        <v>5.3112361360360531E-4</v>
      </c>
      <c r="H1036" s="7">
        <f t="shared" si="125"/>
        <v>1.1954870214102655</v>
      </c>
      <c r="I1036" s="7">
        <f t="shared" si="123"/>
        <v>0.43958057777255466</v>
      </c>
      <c r="J1036" s="37">
        <v>0.45962156018427336</v>
      </c>
      <c r="K1036" s="37">
        <f t="shared" si="126"/>
        <v>0.2345390889806615</v>
      </c>
      <c r="L1036" s="37">
        <f t="shared" si="127"/>
        <v>0.30255542478505337</v>
      </c>
      <c r="M1036" s="45">
        <f t="shared" si="128"/>
        <v>1.5528188322318367E-2</v>
      </c>
    </row>
    <row r="1037" spans="1:13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8">
        <f t="shared" si="122"/>
        <v>106.6</v>
      </c>
      <c r="G1037" s="221">
        <f t="shared" si="124"/>
        <v>3.7745184806762887E-4</v>
      </c>
      <c r="H1037" s="7">
        <f t="shared" si="125"/>
        <v>0.84959277654889531</v>
      </c>
      <c r="I1037" s="7">
        <f t="shared" si="123"/>
        <v>0.31239526393702882</v>
      </c>
      <c r="J1037" s="37">
        <v>0.32663772210429032</v>
      </c>
      <c r="K1037" s="37">
        <f t="shared" si="126"/>
        <v>0.16667911256892348</v>
      </c>
      <c r="L1037" s="37">
        <f t="shared" si="127"/>
        <v>0.21501605521391129</v>
      </c>
      <c r="M1037" s="45">
        <f t="shared" si="128"/>
        <v>1.5528188322318368E-2</v>
      </c>
    </row>
    <row r="1038" spans="1:13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8">
        <f t="shared" si="122"/>
        <v>128.4</v>
      </c>
      <c r="G1038" s="221">
        <f t="shared" si="124"/>
        <v>4.5464181324468621E-4</v>
      </c>
      <c r="H1038" s="7">
        <f t="shared" si="125"/>
        <v>1.0233368903271873</v>
      </c>
      <c r="I1038" s="7">
        <f t="shared" si="123"/>
        <v>0.37628097457330684</v>
      </c>
      <c r="J1038" s="37">
        <v>0.39343605551773808</v>
      </c>
      <c r="K1038" s="37">
        <f t="shared" si="126"/>
        <v>0.20076546016744629</v>
      </c>
      <c r="L1038" s="37">
        <f t="shared" si="127"/>
        <v>0.25898744361600573</v>
      </c>
      <c r="M1038" s="45">
        <f t="shared" si="128"/>
        <v>1.5528188322318368E-2</v>
      </c>
    </row>
    <row r="1039" spans="1:13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8">
        <f t="shared" si="122"/>
        <v>57.7</v>
      </c>
      <c r="G1039" s="221">
        <f t="shared" si="124"/>
        <v>2.0430555003285355E-4</v>
      </c>
      <c r="H1039" s="7">
        <f t="shared" si="125"/>
        <v>0.45986400756914891</v>
      </c>
      <c r="I1039" s="7">
        <f t="shared" si="123"/>
        <v>0.16909199558317606</v>
      </c>
      <c r="J1039" s="37">
        <v>0.17680109348421719</v>
      </c>
      <c r="K1039" s="37">
        <f t="shared" si="126"/>
        <v>9.0219369561227822E-2</v>
      </c>
      <c r="L1039" s="37">
        <f t="shared" si="127"/>
        <v>0.1163829867339839</v>
      </c>
      <c r="M1039" s="45">
        <f t="shared" si="128"/>
        <v>1.5528188322318372E-2</v>
      </c>
    </row>
    <row r="1040" spans="1:13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8">
        <f t="shared" si="122"/>
        <v>256.5</v>
      </c>
      <c r="G1040" s="221">
        <f t="shared" si="124"/>
        <v>9.0822137926216515E-4</v>
      </c>
      <c r="H1040" s="7">
        <f t="shared" si="125"/>
        <v>2.0442828066115539</v>
      </c>
      <c r="I1040" s="7">
        <f t="shared" si="123"/>
        <v>0.75168278799106847</v>
      </c>
      <c r="J1040" s="37">
        <v>0.78595286791510766</v>
      </c>
      <c r="K1040" s="37">
        <f t="shared" si="126"/>
        <v>0.40106184215693125</v>
      </c>
      <c r="L1040" s="37">
        <f t="shared" si="127"/>
        <v>0.5173697763824413</v>
      </c>
      <c r="M1040" s="45">
        <f t="shared" si="128"/>
        <v>1.5528188322318368E-2</v>
      </c>
    </row>
    <row r="1041" spans="1:13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8">
        <f t="shared" si="122"/>
        <v>118.5</v>
      </c>
      <c r="G1041" s="221">
        <f t="shared" si="124"/>
        <v>4.1958765474684823E-4</v>
      </c>
      <c r="H1041" s="7">
        <f t="shared" si="125"/>
        <v>0.94443474691410967</v>
      </c>
      <c r="I1041" s="7">
        <f t="shared" si="123"/>
        <v>0.34726865644031812</v>
      </c>
      <c r="J1041" s="37">
        <v>0.36310103254557602</v>
      </c>
      <c r="K1041" s="37">
        <f t="shared" si="126"/>
        <v>0.18528588029472262</v>
      </c>
      <c r="L1041" s="37">
        <f t="shared" si="127"/>
        <v>0.23901878558019218</v>
      </c>
      <c r="M1041" s="45">
        <f t="shared" si="128"/>
        <v>1.5528188322318367E-2</v>
      </c>
    </row>
    <row r="1042" spans="1:13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8">
        <f t="shared" si="122"/>
        <v>142.1</v>
      </c>
      <c r="G1042" s="221">
        <f t="shared" si="124"/>
        <v>5.0315110328714877E-4</v>
      </c>
      <c r="H1042" s="7">
        <f t="shared" si="125"/>
        <v>1.1325247049493248</v>
      </c>
      <c r="I1042" s="7">
        <f t="shared" si="123"/>
        <v>0.41642933400986676</v>
      </c>
      <c r="J1042" s="37">
        <v>0.43541482468123505</v>
      </c>
      <c r="K1042" s="37">
        <f t="shared" si="126"/>
        <v>0.22218669696101337</v>
      </c>
      <c r="L1042" s="37">
        <f t="shared" si="127"/>
        <v>0.28662083907970726</v>
      </c>
      <c r="M1042" s="45">
        <f t="shared" si="128"/>
        <v>1.5528188322318367E-2</v>
      </c>
    </row>
    <row r="1043" spans="1:13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8">
        <f t="shared" si="122"/>
        <v>259.7</v>
      </c>
      <c r="G1043" s="221">
        <f t="shared" si="124"/>
        <v>9.1955201635237542E-4</v>
      </c>
      <c r="H1043" s="7">
        <f t="shared" si="125"/>
        <v>2.0697865297349733</v>
      </c>
      <c r="I1043" s="7">
        <f t="shared" si="123"/>
        <v>0.76106050698354977</v>
      </c>
      <c r="J1043" s="37">
        <v>0.79575812786570543</v>
      </c>
      <c r="K1043" s="37">
        <f t="shared" si="126"/>
        <v>0.40606534272185202</v>
      </c>
      <c r="L1043" s="37">
        <f t="shared" si="127"/>
        <v>0.52382429211118908</v>
      </c>
      <c r="M1043" s="45">
        <f t="shared" si="128"/>
        <v>1.5528188322318372E-2</v>
      </c>
    </row>
    <row r="1044" spans="1:13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8">
        <f t="shared" si="122"/>
        <v>309.39999999999998</v>
      </c>
      <c r="G1044" s="221">
        <f t="shared" si="124"/>
        <v>1.0955309736597032E-3</v>
      </c>
      <c r="H1044" s="7">
        <f t="shared" si="125"/>
        <v>2.4658912294955737</v>
      </c>
      <c r="I1044" s="7">
        <f t="shared" si="123"/>
        <v>0.90670820508552252</v>
      </c>
      <c r="J1044" s="37">
        <v>0.94804607147342801</v>
      </c>
      <c r="K1044" s="37">
        <f t="shared" si="126"/>
        <v>0.48377596087077779</v>
      </c>
      <c r="L1044" s="37">
        <f t="shared" si="127"/>
        <v>0.62407098952330331</v>
      </c>
      <c r="M1044" s="45">
        <f t="shared" si="128"/>
        <v>1.5528188322318365E-2</v>
      </c>
    </row>
    <row r="1045" spans="1:13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8">
        <f t="shared" si="122"/>
        <v>432.1</v>
      </c>
      <c r="G1045" s="221">
        <f t="shared" si="124"/>
        <v>1.5299900895874526E-3</v>
      </c>
      <c r="H1045" s="7">
        <f t="shared" si="125"/>
        <v>3.4437996130091721</v>
      </c>
      <c r="I1045" s="7">
        <f t="shared" si="123"/>
        <v>1.2662851177034726</v>
      </c>
      <c r="J1045" s="37">
        <v>1.3240165077041637</v>
      </c>
      <c r="K1045" s="37">
        <f t="shared" si="126"/>
        <v>0.67562893565695903</v>
      </c>
      <c r="L1045" s="37">
        <f t="shared" si="127"/>
        <v>0.87156132699747713</v>
      </c>
      <c r="M1045" s="45">
        <f t="shared" si="128"/>
        <v>1.5528188322318368E-2</v>
      </c>
    </row>
    <row r="1046" spans="1:13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8">
        <f t="shared" si="122"/>
        <v>241.89999999999998</v>
      </c>
      <c r="G1046" s="221">
        <f t="shared" si="124"/>
        <v>8.565253475380808E-4</v>
      </c>
      <c r="H1046" s="7">
        <f t="shared" si="125"/>
        <v>1.9279220698609545</v>
      </c>
      <c r="I1046" s="7">
        <f t="shared" si="123"/>
        <v>0.70889694508787304</v>
      </c>
      <c r="J1046" s="37">
        <v>0.74121636939050495</v>
      </c>
      <c r="K1046" s="37">
        <f t="shared" si="126"/>
        <v>0.37823337082948011</v>
      </c>
      <c r="L1046" s="37">
        <f t="shared" si="127"/>
        <v>0.48792104837002936</v>
      </c>
      <c r="M1046" s="45">
        <f t="shared" si="128"/>
        <v>1.5528188322318367E-2</v>
      </c>
    </row>
    <row r="1047" spans="1:13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8">
        <f t="shared" si="122"/>
        <v>278.3</v>
      </c>
      <c r="G1047" s="221">
        <f t="shared" si="124"/>
        <v>9.8541134443922243E-4</v>
      </c>
      <c r="H1047" s="7">
        <f t="shared" si="125"/>
        <v>2.2180269203898457</v>
      </c>
      <c r="I1047" s="7">
        <f t="shared" si="123"/>
        <v>0.81556849862734637</v>
      </c>
      <c r="J1047" s="37">
        <v>0.85275120132855531</v>
      </c>
      <c r="K1047" s="37">
        <f t="shared" si="126"/>
        <v>0.435148189755454</v>
      </c>
      <c r="L1047" s="37">
        <f t="shared" si="127"/>
        <v>0.56134116478453566</v>
      </c>
      <c r="M1047" s="45">
        <f t="shared" si="128"/>
        <v>1.5528188322318367E-2</v>
      </c>
    </row>
    <row r="1048" spans="1:13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8">
        <f t="shared" si="122"/>
        <v>150</v>
      </c>
      <c r="G1048" s="221">
        <f t="shared" si="124"/>
        <v>5.3112361360360531E-4</v>
      </c>
      <c r="H1048" s="7">
        <f t="shared" si="125"/>
        <v>1.1954870214102655</v>
      </c>
      <c r="I1048" s="7">
        <f t="shared" si="123"/>
        <v>0.43958057777255466</v>
      </c>
      <c r="J1048" s="37">
        <v>0.45962156018427336</v>
      </c>
      <c r="K1048" s="37">
        <f t="shared" si="126"/>
        <v>0.2345390889806615</v>
      </c>
      <c r="L1048" s="37">
        <f t="shared" si="127"/>
        <v>0.30255542478505337</v>
      </c>
      <c r="M1048" s="45">
        <f t="shared" si="128"/>
        <v>1.5528188322318367E-2</v>
      </c>
    </row>
    <row r="1049" spans="1:13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8">
        <f t="shared" si="122"/>
        <v>140.6</v>
      </c>
      <c r="G1049" s="221">
        <f t="shared" si="124"/>
        <v>4.9783986715111277E-4</v>
      </c>
      <c r="H1049" s="7">
        <f t="shared" si="125"/>
        <v>1.1205698347352222</v>
      </c>
      <c r="I1049" s="7">
        <f t="shared" si="123"/>
        <v>0.41203352823214123</v>
      </c>
      <c r="J1049" s="37">
        <v>0.43081860907939229</v>
      </c>
      <c r="K1049" s="37">
        <f t="shared" si="126"/>
        <v>0.21984130607120675</v>
      </c>
      <c r="L1049" s="37">
        <f t="shared" si="127"/>
        <v>0.2835952848318567</v>
      </c>
      <c r="M1049" s="45">
        <f t="shared" si="128"/>
        <v>1.552818832231837E-2</v>
      </c>
    </row>
    <row r="1050" spans="1:13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8">
        <f t="shared" si="122"/>
        <v>209.1</v>
      </c>
      <c r="G1050" s="221">
        <f t="shared" si="124"/>
        <v>7.403863173634259E-4</v>
      </c>
      <c r="H1050" s="7">
        <f t="shared" si="125"/>
        <v>1.6665089078459103</v>
      </c>
      <c r="I1050" s="7">
        <f t="shared" si="123"/>
        <v>0.61277532541494129</v>
      </c>
      <c r="J1050" s="37">
        <v>0.64071245489687723</v>
      </c>
      <c r="K1050" s="37">
        <f t="shared" si="126"/>
        <v>0.32694749003904217</v>
      </c>
      <c r="L1050" s="37">
        <f t="shared" si="127"/>
        <v>0.42176226215036439</v>
      </c>
      <c r="M1050" s="45">
        <f t="shared" si="128"/>
        <v>1.552818832231837E-2</v>
      </c>
    </row>
    <row r="1051" spans="1:13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8">
        <f t="shared" si="122"/>
        <v>463.5</v>
      </c>
      <c r="G1051" s="221">
        <f t="shared" si="124"/>
        <v>1.6411719660351406E-3</v>
      </c>
      <c r="H1051" s="7">
        <f t="shared" si="125"/>
        <v>3.6940548961577204</v>
      </c>
      <c r="I1051" s="7">
        <f t="shared" si="123"/>
        <v>1.3583039853171939</v>
      </c>
      <c r="J1051" s="37">
        <v>1.4202306209694049</v>
      </c>
      <c r="K1051" s="37">
        <f t="shared" si="126"/>
        <v>0.7247257849502442</v>
      </c>
      <c r="L1051" s="37">
        <f t="shared" si="127"/>
        <v>0.93489626258581504</v>
      </c>
      <c r="M1051" s="45">
        <f t="shared" si="128"/>
        <v>1.5528188322318367E-2</v>
      </c>
    </row>
    <row r="1052" spans="1:13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8">
        <f t="shared" si="122"/>
        <v>126</v>
      </c>
      <c r="G1052" s="221">
        <f t="shared" si="124"/>
        <v>4.4614383542702853E-4</v>
      </c>
      <c r="H1052" s="7">
        <f t="shared" si="125"/>
        <v>1.004209097984623</v>
      </c>
      <c r="I1052" s="7">
        <f t="shared" si="123"/>
        <v>0.36924768532894592</v>
      </c>
      <c r="J1052" s="37">
        <v>0.38608211055478969</v>
      </c>
      <c r="K1052" s="37">
        <f t="shared" si="126"/>
        <v>0.19701283474375569</v>
      </c>
      <c r="L1052" s="37">
        <f t="shared" si="127"/>
        <v>0.25414655681944487</v>
      </c>
      <c r="M1052" s="45">
        <f t="shared" si="128"/>
        <v>1.5528188322318368E-2</v>
      </c>
    </row>
    <row r="1053" spans="1:13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8">
        <f t="shared" si="122"/>
        <v>725.1</v>
      </c>
      <c r="G1053" s="221">
        <f t="shared" si="124"/>
        <v>2.5674515481598284E-3</v>
      </c>
      <c r="H1053" s="7">
        <f t="shared" si="125"/>
        <v>5.7789842614972233</v>
      </c>
      <c r="I1053" s="7">
        <f t="shared" si="123"/>
        <v>2.1249325129525292</v>
      </c>
      <c r="J1053" s="37">
        <v>2.2218106219307776</v>
      </c>
      <c r="K1053" s="37">
        <f t="shared" si="126"/>
        <v>1.1337619561325178</v>
      </c>
      <c r="L1053" s="37">
        <f t="shared" si="127"/>
        <v>1.462552923410948</v>
      </c>
      <c r="M1053" s="45">
        <f t="shared" si="128"/>
        <v>1.5528188322318367E-2</v>
      </c>
    </row>
    <row r="1054" spans="1:13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8">
        <f t="shared" si="122"/>
        <v>466.88</v>
      </c>
      <c r="G1054" s="221">
        <f t="shared" si="124"/>
        <v>1.6531399514616752E-3</v>
      </c>
      <c r="H1054" s="7">
        <f t="shared" si="125"/>
        <v>3.7209932037068318</v>
      </c>
      <c r="I1054" s="7">
        <f t="shared" si="123"/>
        <v>1.3682092010030023</v>
      </c>
      <c r="J1054" s="37">
        <v>1.4305874267922238</v>
      </c>
      <c r="K1054" s="37">
        <f t="shared" si="126"/>
        <v>0.73001073242194181</v>
      </c>
      <c r="L1054" s="37">
        <f t="shared" si="127"/>
        <v>0.94171384482430498</v>
      </c>
      <c r="M1054" s="45">
        <f t="shared" si="128"/>
        <v>1.5528188322318368E-2</v>
      </c>
    </row>
    <row r="1055" spans="1:13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8">
        <f t="shared" si="122"/>
        <v>138.1</v>
      </c>
      <c r="G1055" s="221">
        <f t="shared" si="124"/>
        <v>4.8898780692438601E-4</v>
      </c>
      <c r="H1055" s="7">
        <f t="shared" si="125"/>
        <v>1.1006450510450512</v>
      </c>
      <c r="I1055" s="7">
        <f t="shared" si="123"/>
        <v>0.40470718526926536</v>
      </c>
      <c r="J1055" s="37">
        <v>0.42315824974298777</v>
      </c>
      <c r="K1055" s="37">
        <f t="shared" si="126"/>
        <v>0.21593232125486239</v>
      </c>
      <c r="L1055" s="37">
        <f t="shared" si="127"/>
        <v>0.27855269441877251</v>
      </c>
      <c r="M1055" s="45">
        <f t="shared" si="128"/>
        <v>1.5528188322318368E-2</v>
      </c>
    </row>
    <row r="1056" spans="1:13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8">
        <f t="shared" si="122"/>
        <v>139.30000000000001</v>
      </c>
      <c r="G1056" s="221">
        <f t="shared" si="124"/>
        <v>4.9323679583321484E-4</v>
      </c>
      <c r="H1056" s="7">
        <f t="shared" si="125"/>
        <v>1.1102089472163332</v>
      </c>
      <c r="I1056" s="7">
        <f t="shared" si="123"/>
        <v>0.40822382989144573</v>
      </c>
      <c r="J1056" s="37">
        <v>0.42683522222446196</v>
      </c>
      <c r="K1056" s="37">
        <f t="shared" si="126"/>
        <v>0.21780863396670769</v>
      </c>
      <c r="L1056" s="37">
        <f t="shared" si="127"/>
        <v>0.28097313781705291</v>
      </c>
      <c r="M1056" s="45">
        <f t="shared" si="128"/>
        <v>1.5528188322318367E-2</v>
      </c>
    </row>
    <row r="1057" spans="1:13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8">
        <f t="shared" si="122"/>
        <v>807</v>
      </c>
      <c r="G1057" s="221">
        <f t="shared" si="124"/>
        <v>2.8574450411873969E-3</v>
      </c>
      <c r="H1057" s="7">
        <f t="shared" si="125"/>
        <v>6.4317201751872295</v>
      </c>
      <c r="I1057" s="7">
        <f t="shared" si="123"/>
        <v>2.3649435084163444</v>
      </c>
      <c r="J1057" s="37">
        <v>2.4727639937913906</v>
      </c>
      <c r="K1057" s="37">
        <f t="shared" si="126"/>
        <v>1.261820298715959</v>
      </c>
      <c r="L1057" s="37">
        <f t="shared" si="127"/>
        <v>1.6277481853435871</v>
      </c>
      <c r="M1057" s="45">
        <f t="shared" si="128"/>
        <v>1.5528188322318367E-2</v>
      </c>
    </row>
    <row r="1058" spans="1:13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8">
        <f t="shared" si="122"/>
        <v>1555.2</v>
      </c>
      <c r="G1058" s="221">
        <f t="shared" si="124"/>
        <v>5.5066896258421805E-3</v>
      </c>
      <c r="H1058" s="7">
        <f t="shared" si="125"/>
        <v>12.394809437981634</v>
      </c>
      <c r="I1058" s="7">
        <f t="shared" si="123"/>
        <v>4.5575714303458472</v>
      </c>
      <c r="J1058" s="37">
        <v>4.7653563359905471</v>
      </c>
      <c r="K1058" s="37">
        <f t="shared" si="126"/>
        <v>2.4317012745514992</v>
      </c>
      <c r="L1058" s="37">
        <f t="shared" si="127"/>
        <v>3.1368946441714343</v>
      </c>
      <c r="M1058" s="45">
        <f t="shared" si="128"/>
        <v>1.5528188322318368E-2</v>
      </c>
    </row>
    <row r="1059" spans="1:13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8">
        <f t="shared" si="122"/>
        <v>1514.3</v>
      </c>
      <c r="G1059" s="221">
        <f t="shared" si="124"/>
        <v>5.3618699205329303E-3</v>
      </c>
      <c r="H1059" s="7">
        <f t="shared" si="125"/>
        <v>12.068839976810434</v>
      </c>
      <c r="I1059" s="7">
        <f t="shared" si="123"/>
        <v>4.4377124594731967</v>
      </c>
      <c r="J1059" s="37">
        <v>4.6400328572469682</v>
      </c>
      <c r="K1059" s="37">
        <f t="shared" si="126"/>
        <v>2.3677502829561048</v>
      </c>
      <c r="L1059" s="37">
        <f t="shared" si="127"/>
        <v>3.0543978650133754</v>
      </c>
      <c r="M1059" s="45">
        <f t="shared" si="128"/>
        <v>1.5528188322318368E-2</v>
      </c>
    </row>
    <row r="1060" spans="1:13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8">
        <f t="shared" si="122"/>
        <v>394</v>
      </c>
      <c r="G1060" s="221">
        <f t="shared" si="124"/>
        <v>1.3950846917321368E-3</v>
      </c>
      <c r="H1060" s="7">
        <f t="shared" si="125"/>
        <v>3.1401459095709647</v>
      </c>
      <c r="I1060" s="7">
        <f t="shared" si="123"/>
        <v>1.1546316509492438</v>
      </c>
      <c r="J1060" s="37">
        <v>1.2072726314173583</v>
      </c>
      <c r="K1060" s="37">
        <f t="shared" si="126"/>
        <v>0.61605600705587105</v>
      </c>
      <c r="L1060" s="37">
        <f t="shared" si="127"/>
        <v>0.79471224910207372</v>
      </c>
      <c r="M1060" s="45">
        <f t="shared" si="128"/>
        <v>1.552818832231837E-2</v>
      </c>
    </row>
    <row r="1061" spans="1:13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8">
        <f t="shared" si="122"/>
        <v>572.5</v>
      </c>
      <c r="G1061" s="221">
        <f t="shared" si="124"/>
        <v>2.027121791920427E-3</v>
      </c>
      <c r="H1061" s="7">
        <f t="shared" si="125"/>
        <v>4.5627754650491799</v>
      </c>
      <c r="I1061" s="7">
        <f t="shared" si="123"/>
        <v>1.6777325384985835</v>
      </c>
      <c r="J1061" s="37">
        <v>1.7542222880366436</v>
      </c>
      <c r="K1061" s="37">
        <f t="shared" si="126"/>
        <v>0.89515752294285811</v>
      </c>
      <c r="L1061" s="37">
        <f t="shared" si="127"/>
        <v>1.1547532045962869</v>
      </c>
      <c r="M1061" s="45">
        <f t="shared" si="128"/>
        <v>1.5528188322318367E-2</v>
      </c>
    </row>
    <row r="1062" spans="1:13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8">
        <f t="shared" si="122"/>
        <v>351.9</v>
      </c>
      <c r="G1062" s="221">
        <f t="shared" si="124"/>
        <v>1.2460159975140582E-3</v>
      </c>
      <c r="H1062" s="7">
        <f t="shared" si="125"/>
        <v>2.804612552228483</v>
      </c>
      <c r="I1062" s="7">
        <f t="shared" si="123"/>
        <v>1.0312560354544134</v>
      </c>
      <c r="J1062" s="37">
        <v>1.0782721801923054</v>
      </c>
      <c r="K1062" s="37">
        <f t="shared" si="126"/>
        <v>0.550228702748632</v>
      </c>
      <c r="L1062" s="37">
        <f t="shared" si="127"/>
        <v>0.70979502654573534</v>
      </c>
      <c r="M1062" s="45">
        <f t="shared" si="128"/>
        <v>1.5528188322318368E-2</v>
      </c>
    </row>
    <row r="1063" spans="1:13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8">
        <f t="shared" ref="F1063:F1125" si="129">C1063+D1063+E1063</f>
        <v>449.4</v>
      </c>
      <c r="G1063" s="221">
        <f t="shared" si="124"/>
        <v>1.5912463463564016E-3</v>
      </c>
      <c r="H1063" s="7">
        <f t="shared" si="125"/>
        <v>3.5816791161451556</v>
      </c>
      <c r="I1063" s="7">
        <f t="shared" si="123"/>
        <v>1.3169834110065739</v>
      </c>
      <c r="J1063" s="37">
        <v>1.3770261943120834</v>
      </c>
      <c r="K1063" s="37">
        <f t="shared" si="126"/>
        <v>0.70267911058606203</v>
      </c>
      <c r="L1063" s="37">
        <f t="shared" si="127"/>
        <v>0.90645605265602003</v>
      </c>
      <c r="M1063" s="45">
        <f t="shared" si="128"/>
        <v>1.552818832231837E-2</v>
      </c>
    </row>
    <row r="1064" spans="1:13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8">
        <f t="shared" si="129"/>
        <v>1394.3</v>
      </c>
      <c r="G1064" s="221">
        <f t="shared" si="124"/>
        <v>4.9369710296500464E-3</v>
      </c>
      <c r="H1064" s="7">
        <f t="shared" si="125"/>
        <v>11.112450359682223</v>
      </c>
      <c r="I1064" s="7">
        <f t="shared" si="123"/>
        <v>4.0860479972551538</v>
      </c>
      <c r="J1064" s="37">
        <v>4.2723356090995495</v>
      </c>
      <c r="K1064" s="37">
        <f t="shared" si="126"/>
        <v>2.1801190117715756</v>
      </c>
      <c r="L1064" s="37">
        <f t="shared" si="127"/>
        <v>2.8123535251853324</v>
      </c>
      <c r="M1064" s="45">
        <f t="shared" si="128"/>
        <v>1.5528188322318368E-2</v>
      </c>
    </row>
    <row r="1065" spans="1:13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8">
        <f t="shared" si="129"/>
        <v>398.7</v>
      </c>
      <c r="G1065" s="221">
        <f t="shared" si="124"/>
        <v>1.4117265649583831E-3</v>
      </c>
      <c r="H1065" s="7">
        <f t="shared" si="125"/>
        <v>3.1776045029084861</v>
      </c>
      <c r="I1065" s="7">
        <f t="shared" si="123"/>
        <v>1.1684051757194505</v>
      </c>
      <c r="J1065" s="37">
        <v>1.2216741069697987</v>
      </c>
      <c r="K1065" s="37">
        <f t="shared" si="126"/>
        <v>0.62340489851059833</v>
      </c>
      <c r="L1065" s="37">
        <f t="shared" si="127"/>
        <v>0.80419231907867184</v>
      </c>
      <c r="M1065" s="45">
        <f t="shared" si="128"/>
        <v>1.5528188322318368E-2</v>
      </c>
    </row>
    <row r="1066" spans="1:13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8">
        <f t="shared" si="129"/>
        <v>359.4</v>
      </c>
      <c r="G1066" s="221">
        <f t="shared" si="124"/>
        <v>1.2725721781942385E-3</v>
      </c>
      <c r="H1066" s="7">
        <f t="shared" si="125"/>
        <v>2.8643869032989961</v>
      </c>
      <c r="I1066" s="7">
        <f t="shared" ref="I1066:I1128" si="130">H1066*0.3677</f>
        <v>1.053235064343041</v>
      </c>
      <c r="J1066" s="37">
        <v>1.1012532582015189</v>
      </c>
      <c r="K1066" s="37">
        <f t="shared" si="126"/>
        <v>0.56195565719766505</v>
      </c>
      <c r="L1066" s="37">
        <f t="shared" si="127"/>
        <v>0.72492279778498792</v>
      </c>
      <c r="M1066" s="45">
        <f t="shared" si="128"/>
        <v>1.5528188322318368E-2</v>
      </c>
    </row>
    <row r="1067" spans="1:13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8">
        <f t="shared" si="129"/>
        <v>694.9</v>
      </c>
      <c r="G1067" s="221">
        <f t="shared" si="124"/>
        <v>2.460518660620969E-3</v>
      </c>
      <c r="H1067" s="7">
        <f t="shared" si="125"/>
        <v>5.538292874519958</v>
      </c>
      <c r="I1067" s="7">
        <f t="shared" si="130"/>
        <v>2.0364302899609887</v>
      </c>
      <c r="J1067" s="37">
        <v>2.1292734811470106</v>
      </c>
      <c r="K1067" s="37">
        <f t="shared" si="126"/>
        <v>1.0865414195510781</v>
      </c>
      <c r="L1067" s="37">
        <f t="shared" si="127"/>
        <v>1.4016384312208907</v>
      </c>
      <c r="M1067" s="45">
        <f t="shared" si="128"/>
        <v>1.552818832231837E-2</v>
      </c>
    </row>
    <row r="1068" spans="1:13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8">
        <f t="shared" si="129"/>
        <v>629.6</v>
      </c>
      <c r="G1068" s="221">
        <f t="shared" si="124"/>
        <v>2.2293028474988665E-3</v>
      </c>
      <c r="H1068" s="7">
        <f t="shared" si="125"/>
        <v>5.0178575245326877</v>
      </c>
      <c r="I1068" s="7">
        <f t="shared" si="130"/>
        <v>1.8450662117706693</v>
      </c>
      <c r="J1068" s="37">
        <v>1.9291848952801236</v>
      </c>
      <c r="K1068" s="37">
        <f t="shared" si="126"/>
        <v>0.98443873614816346</v>
      </c>
      <c r="L1068" s="37">
        <f t="shared" si="127"/>
        <v>1.2699259696311309</v>
      </c>
      <c r="M1068" s="45">
        <f t="shared" si="128"/>
        <v>1.5528188322318368E-2</v>
      </c>
    </row>
    <row r="1069" spans="1:13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8">
        <f t="shared" si="129"/>
        <v>969.07</v>
      </c>
      <c r="G1069" s="221">
        <f t="shared" si="124"/>
        <v>3.4313064015656391E-3</v>
      </c>
      <c r="H1069" s="7">
        <f t="shared" si="125"/>
        <v>7.72340405225364</v>
      </c>
      <c r="I1069" s="7">
        <f t="shared" si="130"/>
        <v>2.8398956700136635</v>
      </c>
      <c r="J1069" s="37">
        <v>2.9693697688518261</v>
      </c>
      <c r="K1069" s="37">
        <f t="shared" si="126"/>
        <v>1.5152319663899314</v>
      </c>
      <c r="L1069" s="37">
        <f t="shared" si="127"/>
        <v>1.9546492366430115</v>
      </c>
      <c r="M1069" s="45">
        <f t="shared" si="128"/>
        <v>1.5528188322318368E-2</v>
      </c>
    </row>
    <row r="1070" spans="1:13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8">
        <f t="shared" si="129"/>
        <v>315.7</v>
      </c>
      <c r="G1070" s="221">
        <f t="shared" si="124"/>
        <v>1.1178381654310546E-3</v>
      </c>
      <c r="H1070" s="7">
        <f t="shared" si="125"/>
        <v>2.5161016843948052</v>
      </c>
      <c r="I1070" s="7">
        <f t="shared" si="130"/>
        <v>0.92517058935196994</v>
      </c>
      <c r="J1070" s="37">
        <v>0.96735017700116743</v>
      </c>
      <c r="K1070" s="37">
        <f t="shared" si="126"/>
        <v>0.49362660260796565</v>
      </c>
      <c r="L1070" s="37">
        <f t="shared" si="127"/>
        <v>0.6367783173642757</v>
      </c>
      <c r="M1070" s="45">
        <f t="shared" si="128"/>
        <v>1.5528188322318365E-2</v>
      </c>
    </row>
    <row r="1071" spans="1:13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8">
        <f t="shared" si="129"/>
        <v>677.4</v>
      </c>
      <c r="G1071" s="221">
        <f t="shared" si="124"/>
        <v>2.3985542390338819E-3</v>
      </c>
      <c r="H1071" s="7">
        <f t="shared" si="125"/>
        <v>5.3988193886887599</v>
      </c>
      <c r="I1071" s="7">
        <f t="shared" si="130"/>
        <v>1.9851458892208571</v>
      </c>
      <c r="J1071" s="37">
        <v>2.0756509657921787</v>
      </c>
      <c r="K1071" s="37">
        <f t="shared" si="126"/>
        <v>1.0591785258366675</v>
      </c>
      <c r="L1071" s="37">
        <f t="shared" si="127"/>
        <v>1.3663402983293012</v>
      </c>
      <c r="M1071" s="45">
        <f t="shared" si="128"/>
        <v>1.552818832231837E-2</v>
      </c>
    </row>
    <row r="1072" spans="1:13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8">
        <f t="shared" si="129"/>
        <v>255.8</v>
      </c>
      <c r="G1072" s="221">
        <f t="shared" si="124"/>
        <v>9.0574280239868175E-4</v>
      </c>
      <c r="H1072" s="7">
        <f t="shared" si="125"/>
        <v>2.0387038671783064</v>
      </c>
      <c r="I1072" s="7">
        <f t="shared" si="130"/>
        <v>0.74963141196146332</v>
      </c>
      <c r="J1072" s="37">
        <v>0.78380796730091429</v>
      </c>
      <c r="K1072" s="37">
        <f t="shared" si="126"/>
        <v>0.39996732640835486</v>
      </c>
      <c r="L1072" s="37">
        <f t="shared" si="127"/>
        <v>0.51595785106677783</v>
      </c>
      <c r="M1072" s="45">
        <f t="shared" si="128"/>
        <v>1.552818832231837E-2</v>
      </c>
    </row>
    <row r="1073" spans="1:13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8">
        <f t="shared" si="129"/>
        <v>352.5</v>
      </c>
      <c r="G1073" s="221">
        <f t="shared" ref="G1073:G1136" si="131">1/282420.13*F1073</f>
        <v>1.2481404919684727E-3</v>
      </c>
      <c r="H1073" s="7">
        <f t="shared" ref="H1073:H1136" si="132">G1073*1218*1.54*1.2</f>
        <v>2.8093945003141245</v>
      </c>
      <c r="I1073" s="7">
        <f t="shared" si="130"/>
        <v>1.0330143577655038</v>
      </c>
      <c r="J1073" s="37">
        <v>1.0801106664330429</v>
      </c>
      <c r="K1073" s="37">
        <f t="shared" si="126"/>
        <v>0.55116685910455465</v>
      </c>
      <c r="L1073" s="37">
        <f t="shared" si="127"/>
        <v>0.71100524824487554</v>
      </c>
      <c r="M1073" s="45">
        <f t="shared" si="128"/>
        <v>1.5528188322318372E-2</v>
      </c>
    </row>
    <row r="1074" spans="1:13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8">
        <f t="shared" si="129"/>
        <v>642.9</v>
      </c>
      <c r="G1074" s="221">
        <f t="shared" si="131"/>
        <v>2.2763958079050524E-3</v>
      </c>
      <c r="H1074" s="7">
        <f t="shared" si="132"/>
        <v>5.1238573737643973</v>
      </c>
      <c r="I1074" s="7">
        <f t="shared" si="130"/>
        <v>1.884042356333169</v>
      </c>
      <c r="J1074" s="37">
        <v>1.9699380069497958</v>
      </c>
      <c r="K1074" s="37">
        <f t="shared" ref="K1074:K1137" si="133">G1074*408.88*1.08</f>
        <v>1.0052345353711154</v>
      </c>
      <c r="L1074" s="37">
        <f t="shared" ref="L1074:L1137" si="134">K1074*1.29</f>
        <v>1.296752550628739</v>
      </c>
      <c r="M1074" s="45">
        <f t="shared" si="128"/>
        <v>1.5528188322318368E-2</v>
      </c>
    </row>
    <row r="1075" spans="1:13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8">
        <f t="shared" si="129"/>
        <v>324.39999999999998</v>
      </c>
      <c r="G1075" s="221">
        <f t="shared" si="131"/>
        <v>1.1486433350200637E-3</v>
      </c>
      <c r="H1075" s="7">
        <f t="shared" si="132"/>
        <v>2.5854399316366012</v>
      </c>
      <c r="I1075" s="7">
        <f t="shared" si="130"/>
        <v>0.95066626286277833</v>
      </c>
      <c r="J1075" s="37">
        <v>0.99400822749185525</v>
      </c>
      <c r="K1075" s="37">
        <f t="shared" si="133"/>
        <v>0.50722986976884399</v>
      </c>
      <c r="L1075" s="37">
        <f t="shared" si="134"/>
        <v>0.65432653200180879</v>
      </c>
      <c r="M1075" s="45">
        <f t="shared" si="128"/>
        <v>1.5528188322318368E-2</v>
      </c>
    </row>
    <row r="1076" spans="1:13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8">
        <f t="shared" si="129"/>
        <v>505</v>
      </c>
      <c r="G1076" s="221">
        <f t="shared" si="131"/>
        <v>1.7881161657988048E-3</v>
      </c>
      <c r="H1076" s="7">
        <f t="shared" si="132"/>
        <v>4.0248063054145602</v>
      </c>
      <c r="I1076" s="7">
        <f t="shared" si="130"/>
        <v>1.4799212785009339</v>
      </c>
      <c r="J1076" s="37">
        <v>1.5473925859537205</v>
      </c>
      <c r="K1076" s="37">
        <f t="shared" si="133"/>
        <v>0.7896149329015606</v>
      </c>
      <c r="L1076" s="37">
        <f t="shared" si="134"/>
        <v>1.0186032634430131</v>
      </c>
      <c r="M1076" s="45">
        <f t="shared" si="128"/>
        <v>1.5528188322318367E-2</v>
      </c>
    </row>
    <row r="1077" spans="1:13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8">
        <f t="shared" si="129"/>
        <v>548.70000000000005</v>
      </c>
      <c r="G1077" s="221">
        <f t="shared" si="131"/>
        <v>1.9428501785619886E-3</v>
      </c>
      <c r="H1077" s="7">
        <f t="shared" si="132"/>
        <v>4.3730915243187516</v>
      </c>
      <c r="I1077" s="7">
        <f t="shared" si="130"/>
        <v>1.607985753492005</v>
      </c>
      <c r="J1077" s="37">
        <v>1.6812956671540722</v>
      </c>
      <c r="K1077" s="37">
        <f t="shared" si="133"/>
        <v>0.85794398749126</v>
      </c>
      <c r="L1077" s="37">
        <f t="shared" si="134"/>
        <v>1.1067477438637254</v>
      </c>
      <c r="M1077" s="45">
        <f t="shared" si="128"/>
        <v>1.5528188322318367E-2</v>
      </c>
    </row>
    <row r="1078" spans="1:13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8">
        <f t="shared" si="129"/>
        <v>222.33</v>
      </c>
      <c r="G1078" s="221">
        <f t="shared" si="131"/>
        <v>7.8723142008326396E-4</v>
      </c>
      <c r="H1078" s="7">
        <f t="shared" si="132"/>
        <v>1.7719508631342957</v>
      </c>
      <c r="I1078" s="7">
        <f t="shared" si="130"/>
        <v>0.65154633237448056</v>
      </c>
      <c r="J1078" s="37">
        <v>0.68125107650513017</v>
      </c>
      <c r="K1078" s="37">
        <f t="shared" si="133"/>
        <v>0.34763383768713657</v>
      </c>
      <c r="L1078" s="37">
        <f t="shared" si="134"/>
        <v>0.44844765061640618</v>
      </c>
      <c r="M1078" s="45">
        <f t="shared" si="128"/>
        <v>1.5528188322318368E-2</v>
      </c>
    </row>
    <row r="1079" spans="1:13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8">
        <f t="shared" si="129"/>
        <v>461.2</v>
      </c>
      <c r="G1079" s="221">
        <f t="shared" si="131"/>
        <v>1.6330280706265518E-3</v>
      </c>
      <c r="H1079" s="7">
        <f t="shared" si="132"/>
        <v>3.6757240951627628</v>
      </c>
      <c r="I1079" s="7">
        <f t="shared" si="130"/>
        <v>1.351563749791348</v>
      </c>
      <c r="J1079" s="37">
        <v>1.4131830903799125</v>
      </c>
      <c r="K1079" s="37">
        <f t="shared" si="133"/>
        <v>0.72112951891920729</v>
      </c>
      <c r="L1079" s="37">
        <f t="shared" si="134"/>
        <v>0.9302570794057774</v>
      </c>
      <c r="M1079" s="45">
        <f t="shared" si="128"/>
        <v>1.5528188322318367E-2</v>
      </c>
    </row>
    <row r="1080" spans="1:13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8">
        <f t="shared" si="129"/>
        <v>446.5</v>
      </c>
      <c r="G1080" s="221">
        <f t="shared" si="131"/>
        <v>1.5809779564933987E-3</v>
      </c>
      <c r="H1080" s="7">
        <f t="shared" si="132"/>
        <v>3.5585663670645573</v>
      </c>
      <c r="I1080" s="7">
        <f t="shared" si="130"/>
        <v>1.3084848531696378</v>
      </c>
      <c r="J1080" s="37">
        <v>1.368140177481854</v>
      </c>
      <c r="K1080" s="37">
        <f t="shared" si="133"/>
        <v>0.69814468819910258</v>
      </c>
      <c r="L1080" s="37">
        <f t="shared" si="134"/>
        <v>0.90060664777684241</v>
      </c>
      <c r="M1080" s="45">
        <f t="shared" si="128"/>
        <v>1.552818832231837E-2</v>
      </c>
    </row>
    <row r="1081" spans="1:13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8">
        <f t="shared" si="129"/>
        <v>291.5</v>
      </c>
      <c r="G1081" s="221">
        <f t="shared" si="131"/>
        <v>1.0321502224363397E-3</v>
      </c>
      <c r="H1081" s="7">
        <f t="shared" si="132"/>
        <v>2.3232297782739493</v>
      </c>
      <c r="I1081" s="7">
        <f t="shared" si="130"/>
        <v>0.85425158947133117</v>
      </c>
      <c r="J1081" s="37">
        <v>0.89319789862477128</v>
      </c>
      <c r="K1081" s="37">
        <f t="shared" si="133"/>
        <v>0.45578762958575225</v>
      </c>
      <c r="L1081" s="37">
        <f t="shared" si="134"/>
        <v>0.58796604216562043</v>
      </c>
      <c r="M1081" s="45">
        <f t="shared" si="128"/>
        <v>1.552818832231837E-2</v>
      </c>
    </row>
    <row r="1082" spans="1:13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8">
        <f t="shared" si="129"/>
        <v>361.5</v>
      </c>
      <c r="G1082" s="221">
        <f t="shared" si="131"/>
        <v>1.2800079087846889E-3</v>
      </c>
      <c r="H1082" s="7">
        <f t="shared" si="132"/>
        <v>2.88112372159874</v>
      </c>
      <c r="I1082" s="7">
        <f t="shared" si="130"/>
        <v>1.0593891924318568</v>
      </c>
      <c r="J1082" s="37">
        <v>1.1076879600440988</v>
      </c>
      <c r="K1082" s="37">
        <f t="shared" si="133"/>
        <v>0.56523920444339426</v>
      </c>
      <c r="L1082" s="37">
        <f t="shared" si="134"/>
        <v>0.72915857373197857</v>
      </c>
      <c r="M1082" s="45">
        <f t="shared" si="128"/>
        <v>1.552818832231837E-2</v>
      </c>
    </row>
    <row r="1083" spans="1:13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8">
        <f t="shared" si="129"/>
        <v>485.90000000000003</v>
      </c>
      <c r="G1083" s="221">
        <f t="shared" si="131"/>
        <v>1.7204864256666124E-3</v>
      </c>
      <c r="H1083" s="7">
        <f t="shared" si="132"/>
        <v>3.8725809580216537</v>
      </c>
      <c r="I1083" s="7">
        <f t="shared" si="130"/>
        <v>1.4239480182645621</v>
      </c>
      <c r="J1083" s="37">
        <v>1.48886744062359</v>
      </c>
      <c r="K1083" s="37">
        <f t="shared" si="133"/>
        <v>0.75975028890468976</v>
      </c>
      <c r="L1083" s="37">
        <f t="shared" si="134"/>
        <v>0.98007787268704982</v>
      </c>
      <c r="M1083" s="45">
        <f t="shared" si="128"/>
        <v>1.5528188322318368E-2</v>
      </c>
    </row>
    <row r="1084" spans="1:13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8">
        <f t="shared" si="129"/>
        <v>430.5</v>
      </c>
      <c r="G1084" s="221">
        <f t="shared" si="131"/>
        <v>1.5243247710423475E-3</v>
      </c>
      <c r="H1084" s="7">
        <f t="shared" si="132"/>
        <v>3.4310477514474624</v>
      </c>
      <c r="I1084" s="7">
        <f t="shared" si="130"/>
        <v>1.261596258207232</v>
      </c>
      <c r="J1084" s="37">
        <v>1.3191138777288647</v>
      </c>
      <c r="K1084" s="37">
        <f t="shared" si="133"/>
        <v>0.67312718537449867</v>
      </c>
      <c r="L1084" s="37">
        <f t="shared" si="134"/>
        <v>0.86833406913310329</v>
      </c>
      <c r="M1084" s="45">
        <f t="shared" si="128"/>
        <v>1.5528188322318368E-2</v>
      </c>
    </row>
    <row r="1085" spans="1:13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8">
        <f t="shared" si="129"/>
        <v>96.4</v>
      </c>
      <c r="G1085" s="221">
        <f t="shared" si="131"/>
        <v>3.4133544234258374E-4</v>
      </c>
      <c r="H1085" s="7">
        <f t="shared" si="132"/>
        <v>0.76829965909299736</v>
      </c>
      <c r="I1085" s="7">
        <f t="shared" si="130"/>
        <v>0.28250378464849513</v>
      </c>
      <c r="J1085" s="37">
        <v>0.29538345601175975</v>
      </c>
      <c r="K1085" s="37">
        <f t="shared" si="133"/>
        <v>0.15073045451823852</v>
      </c>
      <c r="L1085" s="37">
        <f t="shared" si="134"/>
        <v>0.1944422863285277</v>
      </c>
      <c r="M1085" s="45">
        <f t="shared" si="128"/>
        <v>1.5528188322318367E-2</v>
      </c>
    </row>
    <row r="1086" spans="1:13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8">
        <f t="shared" si="129"/>
        <v>76.2</v>
      </c>
      <c r="G1086" s="221">
        <f t="shared" si="131"/>
        <v>2.6981079571063155E-4</v>
      </c>
      <c r="H1086" s="7">
        <f t="shared" si="132"/>
        <v>0.60730740687641493</v>
      </c>
      <c r="I1086" s="7">
        <f t="shared" si="130"/>
        <v>0.22330693350845779</v>
      </c>
      <c r="J1086" s="37">
        <v>0.23348775257361093</v>
      </c>
      <c r="K1086" s="37">
        <f t="shared" si="133"/>
        <v>0.11914585720217608</v>
      </c>
      <c r="L1086" s="37">
        <f t="shared" si="134"/>
        <v>0.15369815579080714</v>
      </c>
      <c r="M1086" s="45">
        <f t="shared" si="128"/>
        <v>1.5528188322318368E-2</v>
      </c>
    </row>
    <row r="1087" spans="1:13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8">
        <f t="shared" si="129"/>
        <v>84.3</v>
      </c>
      <c r="G1087" s="221">
        <f t="shared" si="131"/>
        <v>2.9849147084522621E-4</v>
      </c>
      <c r="H1087" s="7">
        <f t="shared" si="132"/>
        <v>0.67186370603256929</v>
      </c>
      <c r="I1087" s="7">
        <f t="shared" si="130"/>
        <v>0.24704428470817574</v>
      </c>
      <c r="J1087" s="37">
        <v>0.25830731682356167</v>
      </c>
      <c r="K1087" s="37">
        <f t="shared" si="133"/>
        <v>0.1318109680071318</v>
      </c>
      <c r="L1087" s="37">
        <f t="shared" si="134"/>
        <v>0.17003614872920003</v>
      </c>
      <c r="M1087" s="45">
        <f t="shared" si="128"/>
        <v>1.5528188322318368E-2</v>
      </c>
    </row>
    <row r="1088" spans="1:13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8">
        <f t="shared" si="129"/>
        <v>236.4</v>
      </c>
      <c r="G1088" s="221">
        <f t="shared" si="131"/>
        <v>8.3705081503928204E-4</v>
      </c>
      <c r="H1088" s="7">
        <f t="shared" si="132"/>
        <v>1.8840875457425785</v>
      </c>
      <c r="I1088" s="7">
        <f t="shared" si="130"/>
        <v>0.69277899056954617</v>
      </c>
      <c r="J1088" s="37">
        <v>0.72436357885041491</v>
      </c>
      <c r="K1088" s="37">
        <f t="shared" si="133"/>
        <v>0.36963360423352259</v>
      </c>
      <c r="L1088" s="37">
        <f t="shared" si="134"/>
        <v>0.47682734946124417</v>
      </c>
      <c r="M1088" s="45">
        <f t="shared" si="128"/>
        <v>1.5528188322318368E-2</v>
      </c>
    </row>
    <row r="1089" spans="1:13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8">
        <f t="shared" si="129"/>
        <v>84.3</v>
      </c>
      <c r="G1089" s="221">
        <f t="shared" si="131"/>
        <v>2.9849147084522621E-4</v>
      </c>
      <c r="H1089" s="7">
        <f t="shared" si="132"/>
        <v>0.67186370603256929</v>
      </c>
      <c r="I1089" s="7">
        <f t="shared" si="130"/>
        <v>0.24704428470817574</v>
      </c>
      <c r="J1089" s="37">
        <v>0.25830731682356167</v>
      </c>
      <c r="K1089" s="37">
        <f t="shared" si="133"/>
        <v>0.1318109680071318</v>
      </c>
      <c r="L1089" s="37">
        <f t="shared" si="134"/>
        <v>0.17003614872920003</v>
      </c>
      <c r="M1089" s="45">
        <f t="shared" si="128"/>
        <v>1.5528188322318368E-2</v>
      </c>
    </row>
    <row r="1090" spans="1:13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8">
        <f t="shared" si="129"/>
        <v>84.3</v>
      </c>
      <c r="G1090" s="221">
        <f t="shared" si="131"/>
        <v>2.9849147084522621E-4</v>
      </c>
      <c r="H1090" s="7">
        <f t="shared" si="132"/>
        <v>0.67186370603256929</v>
      </c>
      <c r="I1090" s="7">
        <f t="shared" si="130"/>
        <v>0.24704428470817574</v>
      </c>
      <c r="J1090" s="37">
        <v>0.25830731682356167</v>
      </c>
      <c r="K1090" s="37">
        <f t="shared" si="133"/>
        <v>0.1318109680071318</v>
      </c>
      <c r="L1090" s="37">
        <f t="shared" si="134"/>
        <v>0.17003614872920003</v>
      </c>
      <c r="M1090" s="45">
        <f t="shared" si="128"/>
        <v>1.5528188322318368E-2</v>
      </c>
    </row>
    <row r="1091" spans="1:13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8">
        <f t="shared" si="129"/>
        <v>176.6</v>
      </c>
      <c r="G1091" s="221">
        <f t="shared" si="131"/>
        <v>6.2530953441597805E-4</v>
      </c>
      <c r="H1091" s="7">
        <f t="shared" si="132"/>
        <v>1.407486719873686</v>
      </c>
      <c r="I1091" s="7">
        <f t="shared" si="130"/>
        <v>0.5175328668975544</v>
      </c>
      <c r="J1091" s="37">
        <v>0.54112778352361779</v>
      </c>
      <c r="K1091" s="37">
        <f t="shared" si="133"/>
        <v>0.27613068742656555</v>
      </c>
      <c r="L1091" s="37">
        <f t="shared" si="134"/>
        <v>0.35620858678026956</v>
      </c>
      <c r="M1091" s="45">
        <f t="shared" si="128"/>
        <v>1.5528188322318368E-2</v>
      </c>
    </row>
    <row r="1092" spans="1:13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8">
        <f t="shared" si="129"/>
        <v>111.5</v>
      </c>
      <c r="G1092" s="221">
        <f t="shared" si="131"/>
        <v>3.9480188611201332E-4</v>
      </c>
      <c r="H1092" s="7">
        <f t="shared" si="132"/>
        <v>0.8886453525816308</v>
      </c>
      <c r="I1092" s="7">
        <f t="shared" si="130"/>
        <v>0.32675489614426567</v>
      </c>
      <c r="J1092" s="37">
        <v>0.34165202640364323</v>
      </c>
      <c r="K1092" s="37">
        <f t="shared" si="133"/>
        <v>0.17434072280895843</v>
      </c>
      <c r="L1092" s="37">
        <f t="shared" si="134"/>
        <v>0.22489953242355637</v>
      </c>
      <c r="M1092" s="45">
        <f t="shared" si="128"/>
        <v>1.5528188322318368E-2</v>
      </c>
    </row>
    <row r="1093" spans="1:13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8">
        <f t="shared" si="129"/>
        <v>94.2</v>
      </c>
      <c r="G1093" s="221">
        <f t="shared" si="131"/>
        <v>3.3354562934306419E-4</v>
      </c>
      <c r="H1093" s="7">
        <f t="shared" si="132"/>
        <v>0.75076584944564684</v>
      </c>
      <c r="I1093" s="7">
        <f t="shared" si="130"/>
        <v>0.27605660284116434</v>
      </c>
      <c r="J1093" s="37">
        <v>0.28864233979572373</v>
      </c>
      <c r="K1093" s="37">
        <f t="shared" si="133"/>
        <v>0.14729054787985546</v>
      </c>
      <c r="L1093" s="37">
        <f t="shared" si="134"/>
        <v>0.19000480676501355</v>
      </c>
      <c r="M1093" s="45">
        <f t="shared" si="128"/>
        <v>1.5528188322318368E-2</v>
      </c>
    </row>
    <row r="1094" spans="1:13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8">
        <f t="shared" si="129"/>
        <v>131.4</v>
      </c>
      <c r="G1094" s="221">
        <f t="shared" si="131"/>
        <v>4.652642855167583E-4</v>
      </c>
      <c r="H1094" s="7">
        <f t="shared" si="132"/>
        <v>1.0472466307553927</v>
      </c>
      <c r="I1094" s="7">
        <f t="shared" si="130"/>
        <v>0.38507258612875794</v>
      </c>
      <c r="J1094" s="37">
        <v>0.40262848672142354</v>
      </c>
      <c r="K1094" s="37">
        <f t="shared" si="133"/>
        <v>0.2054562419470595</v>
      </c>
      <c r="L1094" s="37">
        <f t="shared" si="134"/>
        <v>0.26503855211170674</v>
      </c>
      <c r="M1094" s="45">
        <f t="shared" si="128"/>
        <v>1.552818832231837E-2</v>
      </c>
    </row>
    <row r="1095" spans="1:13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8">
        <f t="shared" si="129"/>
        <v>87.9</v>
      </c>
      <c r="G1095" s="221">
        <f t="shared" si="131"/>
        <v>3.1123843757171278E-4</v>
      </c>
      <c r="H1095" s="7">
        <f t="shared" si="132"/>
        <v>0.70055539454641569</v>
      </c>
      <c r="I1095" s="7">
        <f t="shared" si="130"/>
        <v>0.25759421857471709</v>
      </c>
      <c r="J1095" s="37">
        <v>0.26933823426798426</v>
      </c>
      <c r="K1095" s="37">
        <f t="shared" si="133"/>
        <v>0.13743990614266768</v>
      </c>
      <c r="L1095" s="37">
        <f t="shared" si="134"/>
        <v>0.17729747892404132</v>
      </c>
      <c r="M1095" s="45">
        <f t="shared" ref="M1095:M1158" si="135">(K1095+J1095+I1095+H1095)/F1095</f>
        <v>1.552818832231837E-2</v>
      </c>
    </row>
    <row r="1096" spans="1:13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8">
        <f t="shared" si="129"/>
        <v>69.599999999999994</v>
      </c>
      <c r="G1096" s="221">
        <f t="shared" si="131"/>
        <v>2.4644135671207288E-4</v>
      </c>
      <c r="H1096" s="7">
        <f t="shared" si="132"/>
        <v>0.55470597793436327</v>
      </c>
      <c r="I1096" s="7">
        <f t="shared" si="130"/>
        <v>0.20396538808646539</v>
      </c>
      <c r="J1096" s="37">
        <v>0.21326440392550286</v>
      </c>
      <c r="K1096" s="37">
        <f t="shared" si="133"/>
        <v>0.10882613728702696</v>
      </c>
      <c r="L1096" s="37">
        <f t="shared" si="134"/>
        <v>0.14038571710026479</v>
      </c>
      <c r="M1096" s="45">
        <f t="shared" si="135"/>
        <v>1.552818832231837E-2</v>
      </c>
    </row>
    <row r="1097" spans="1:13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8">
        <f t="shared" si="129"/>
        <v>101.5</v>
      </c>
      <c r="G1097" s="221">
        <f t="shared" si="131"/>
        <v>3.5939364520510631E-4</v>
      </c>
      <c r="H1097" s="7">
        <f t="shared" si="132"/>
        <v>0.80894621782094644</v>
      </c>
      <c r="I1097" s="7">
        <f t="shared" si="130"/>
        <v>0.297449524292762</v>
      </c>
      <c r="J1097" s="37">
        <v>0.31101058905802498</v>
      </c>
      <c r="K1097" s="37">
        <f t="shared" si="133"/>
        <v>0.15870478354358097</v>
      </c>
      <c r="L1097" s="37">
        <f t="shared" si="134"/>
        <v>0.20472917077121947</v>
      </c>
      <c r="M1097" s="45">
        <f t="shared" si="135"/>
        <v>1.5528188322318368E-2</v>
      </c>
    </row>
    <row r="1098" spans="1:13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8">
        <f t="shared" si="129"/>
        <v>237.8</v>
      </c>
      <c r="G1098" s="221">
        <f t="shared" si="131"/>
        <v>8.4200796876624906E-4</v>
      </c>
      <c r="H1098" s="7">
        <f t="shared" si="132"/>
        <v>1.8952454246090742</v>
      </c>
      <c r="I1098" s="7">
        <f t="shared" si="130"/>
        <v>0.69688174262875668</v>
      </c>
      <c r="J1098" s="37">
        <v>0.72865338007880165</v>
      </c>
      <c r="K1098" s="37">
        <f t="shared" si="133"/>
        <v>0.37182263573067542</v>
      </c>
      <c r="L1098" s="37">
        <f t="shared" si="134"/>
        <v>0.47965120009257128</v>
      </c>
      <c r="M1098" s="45">
        <f t="shared" si="135"/>
        <v>1.5528188322318368E-2</v>
      </c>
    </row>
    <row r="1099" spans="1:13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8">
        <f t="shared" si="129"/>
        <v>96.6</v>
      </c>
      <c r="G1099" s="221">
        <f t="shared" si="131"/>
        <v>3.4204360716072181E-4</v>
      </c>
      <c r="H1099" s="7">
        <f t="shared" si="132"/>
        <v>0.76989364178821096</v>
      </c>
      <c r="I1099" s="7">
        <f t="shared" si="130"/>
        <v>0.28308989208552521</v>
      </c>
      <c r="J1099" s="37">
        <v>0.29599628475867207</v>
      </c>
      <c r="K1099" s="37">
        <f t="shared" si="133"/>
        <v>0.151043173303546</v>
      </c>
      <c r="L1099" s="37">
        <f t="shared" si="134"/>
        <v>0.19484569356157433</v>
      </c>
      <c r="M1099" s="45">
        <f t="shared" si="135"/>
        <v>1.5528188322318368E-2</v>
      </c>
    </row>
    <row r="1100" spans="1:13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8">
        <f t="shared" si="129"/>
        <v>120.2</v>
      </c>
      <c r="G1100" s="221">
        <f t="shared" si="131"/>
        <v>4.2560705570102245E-4</v>
      </c>
      <c r="H1100" s="7">
        <f t="shared" si="132"/>
        <v>0.95798359982342607</v>
      </c>
      <c r="I1100" s="7">
        <f t="shared" si="130"/>
        <v>0.35225056965507379</v>
      </c>
      <c r="J1100" s="37">
        <v>0.3683100768943311</v>
      </c>
      <c r="K1100" s="37">
        <f t="shared" si="133"/>
        <v>0.1879439899698368</v>
      </c>
      <c r="L1100" s="37">
        <f t="shared" si="134"/>
        <v>0.24244774706108949</v>
      </c>
      <c r="M1100" s="45">
        <f t="shared" si="135"/>
        <v>1.5528188322318368E-2</v>
      </c>
    </row>
    <row r="1101" spans="1:13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8">
        <f t="shared" si="129"/>
        <v>340.3</v>
      </c>
      <c r="G1101" s="221">
        <f t="shared" si="131"/>
        <v>1.2049424380620461E-3</v>
      </c>
      <c r="H1101" s="7">
        <f t="shared" si="132"/>
        <v>2.7121615559060896</v>
      </c>
      <c r="I1101" s="7">
        <f t="shared" si="130"/>
        <v>0.9972618041066692</v>
      </c>
      <c r="J1101" s="37">
        <v>1.0427281128713883</v>
      </c>
      <c r="K1101" s="37">
        <f t="shared" si="133"/>
        <v>0.53209101320079422</v>
      </c>
      <c r="L1101" s="37">
        <f t="shared" si="134"/>
        <v>0.68639740702902452</v>
      </c>
      <c r="M1101" s="45">
        <f t="shared" si="135"/>
        <v>1.5528188322318372E-2</v>
      </c>
    </row>
    <row r="1102" spans="1:13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8">
        <f t="shared" si="129"/>
        <v>264.89999999999998</v>
      </c>
      <c r="G1102" s="221">
        <f t="shared" si="131"/>
        <v>9.3796430162396702E-4</v>
      </c>
      <c r="H1102" s="7">
        <f t="shared" si="132"/>
        <v>2.1112300798105288</v>
      </c>
      <c r="I1102" s="7">
        <f t="shared" si="130"/>
        <v>0.77629930034633154</v>
      </c>
      <c r="J1102" s="37">
        <v>0.81169167528542685</v>
      </c>
      <c r="K1102" s="37">
        <f t="shared" si="133"/>
        <v>0.41419603113984826</v>
      </c>
      <c r="L1102" s="37">
        <f t="shared" si="134"/>
        <v>0.53431288017040424</v>
      </c>
      <c r="M1102" s="45">
        <f t="shared" si="135"/>
        <v>1.5528188322318368E-2</v>
      </c>
    </row>
    <row r="1103" spans="1:13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8">
        <f t="shared" si="129"/>
        <v>299.7</v>
      </c>
      <c r="G1103" s="221">
        <f t="shared" si="131"/>
        <v>1.0611849799800036E-3</v>
      </c>
      <c r="H1103" s="7">
        <f t="shared" si="132"/>
        <v>2.3885830687777108</v>
      </c>
      <c r="I1103" s="7">
        <f t="shared" si="130"/>
        <v>0.87828199438956434</v>
      </c>
      <c r="J1103" s="37">
        <v>0.91832387724817832</v>
      </c>
      <c r="K1103" s="37">
        <f t="shared" si="133"/>
        <v>0.46860909978336179</v>
      </c>
      <c r="L1103" s="37">
        <f t="shared" si="134"/>
        <v>0.6045057387205367</v>
      </c>
      <c r="M1103" s="45">
        <f t="shared" si="135"/>
        <v>1.552818832231837E-2</v>
      </c>
    </row>
    <row r="1104" spans="1:13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8">
        <f t="shared" si="129"/>
        <v>143.69999999999999</v>
      </c>
      <c r="G1104" s="221">
        <f t="shared" si="131"/>
        <v>5.0881642183225385E-4</v>
      </c>
      <c r="H1104" s="7">
        <f t="shared" si="132"/>
        <v>1.1452765665110343</v>
      </c>
      <c r="I1104" s="7">
        <f t="shared" si="130"/>
        <v>0.42111819350610735</v>
      </c>
      <c r="J1104" s="37">
        <v>0.44031745465653388</v>
      </c>
      <c r="K1104" s="37">
        <f t="shared" si="133"/>
        <v>0.22468844724347373</v>
      </c>
      <c r="L1104" s="37">
        <f t="shared" si="134"/>
        <v>0.28984809694408109</v>
      </c>
      <c r="M1104" s="45">
        <f t="shared" si="135"/>
        <v>1.5528188322318368E-2</v>
      </c>
    </row>
    <row r="1105" spans="1:13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8">
        <f t="shared" si="129"/>
        <v>295.10000000000002</v>
      </c>
      <c r="G1105" s="221">
        <f t="shared" si="131"/>
        <v>1.0448971891628264E-3</v>
      </c>
      <c r="H1105" s="7">
        <f t="shared" si="132"/>
        <v>2.3519214667877963</v>
      </c>
      <c r="I1105" s="7">
        <f t="shared" si="130"/>
        <v>0.86480152333787275</v>
      </c>
      <c r="J1105" s="37">
        <v>0.90422881606919403</v>
      </c>
      <c r="K1105" s="37">
        <f t="shared" si="133"/>
        <v>0.4614165677212882</v>
      </c>
      <c r="L1105" s="37">
        <f t="shared" si="134"/>
        <v>0.59522737236046175</v>
      </c>
      <c r="M1105" s="45">
        <f t="shared" si="135"/>
        <v>1.5528188322318372E-2</v>
      </c>
    </row>
    <row r="1106" spans="1:13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8">
        <f t="shared" si="129"/>
        <v>148.69999999999999</v>
      </c>
      <c r="G1106" s="221">
        <f t="shared" si="131"/>
        <v>5.2652054228570738E-4</v>
      </c>
      <c r="H1106" s="7">
        <f t="shared" si="132"/>
        <v>1.1851261338913763</v>
      </c>
      <c r="I1106" s="7">
        <f t="shared" si="130"/>
        <v>0.4357708794318591</v>
      </c>
      <c r="J1106" s="37">
        <v>0.45563817332934303</v>
      </c>
      <c r="K1106" s="37">
        <f t="shared" si="133"/>
        <v>0.23250641687616244</v>
      </c>
      <c r="L1106" s="37">
        <f t="shared" si="134"/>
        <v>0.29993327777024958</v>
      </c>
      <c r="M1106" s="45">
        <f t="shared" si="135"/>
        <v>1.5528188322318367E-2</v>
      </c>
    </row>
    <row r="1107" spans="1:13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8">
        <f t="shared" si="129"/>
        <v>339.7</v>
      </c>
      <c r="G1107" s="221">
        <f t="shared" si="131"/>
        <v>1.2028179436076316E-3</v>
      </c>
      <c r="H1107" s="7">
        <f t="shared" si="132"/>
        <v>2.7073796078204482</v>
      </c>
      <c r="I1107" s="7">
        <f t="shared" si="130"/>
        <v>0.9955034817955789</v>
      </c>
      <c r="J1107" s="37">
        <v>1.0408896266306511</v>
      </c>
      <c r="K1107" s="37">
        <f t="shared" si="133"/>
        <v>0.53115285684487157</v>
      </c>
      <c r="L1107" s="37">
        <f t="shared" si="134"/>
        <v>0.68518718532988432</v>
      </c>
      <c r="M1107" s="45">
        <f t="shared" si="135"/>
        <v>1.552818832231837E-2</v>
      </c>
    </row>
    <row r="1108" spans="1:13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8">
        <f t="shared" si="129"/>
        <v>197.6</v>
      </c>
      <c r="G1108" s="221">
        <f t="shared" si="131"/>
        <v>6.9966684032048273E-4</v>
      </c>
      <c r="H1108" s="7">
        <f t="shared" si="132"/>
        <v>1.5748549028711232</v>
      </c>
      <c r="I1108" s="7">
        <f t="shared" si="130"/>
        <v>0.57907414778571198</v>
      </c>
      <c r="J1108" s="37">
        <v>0.60547480194941616</v>
      </c>
      <c r="K1108" s="37">
        <f t="shared" si="133"/>
        <v>0.30896615988385812</v>
      </c>
      <c r="L1108" s="37">
        <f t="shared" si="134"/>
        <v>0.39856634625017701</v>
      </c>
      <c r="M1108" s="45">
        <f t="shared" si="135"/>
        <v>1.5528188322318367E-2</v>
      </c>
    </row>
    <row r="1109" spans="1:13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8">
        <f t="shared" si="129"/>
        <v>251</v>
      </c>
      <c r="G1109" s="221">
        <f t="shared" si="131"/>
        <v>8.8874684676336628E-4</v>
      </c>
      <c r="H1109" s="7">
        <f t="shared" si="132"/>
        <v>2.0004482824931777</v>
      </c>
      <c r="I1109" s="7">
        <f t="shared" si="130"/>
        <v>0.73556483347274149</v>
      </c>
      <c r="J1109" s="37">
        <v>0.76910007737501762</v>
      </c>
      <c r="K1109" s="37">
        <f t="shared" si="133"/>
        <v>0.39246207556097368</v>
      </c>
      <c r="L1109" s="37">
        <f t="shared" si="134"/>
        <v>0.50627607747365611</v>
      </c>
      <c r="M1109" s="45">
        <f t="shared" si="135"/>
        <v>1.552818832231837E-2</v>
      </c>
    </row>
    <row r="1110" spans="1:13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8">
        <f t="shared" si="129"/>
        <v>172.7</v>
      </c>
      <c r="G1110" s="221">
        <f t="shared" si="131"/>
        <v>6.1150032046228427E-4</v>
      </c>
      <c r="H1110" s="7">
        <f t="shared" si="132"/>
        <v>1.3764040573170189</v>
      </c>
      <c r="I1110" s="7">
        <f t="shared" si="130"/>
        <v>0.50610377187546784</v>
      </c>
      <c r="J1110" s="37">
        <v>0.52917762295882675</v>
      </c>
      <c r="K1110" s="37">
        <f t="shared" si="133"/>
        <v>0.27003267111306828</v>
      </c>
      <c r="L1110" s="37">
        <f t="shared" si="134"/>
        <v>0.34834214573585809</v>
      </c>
      <c r="M1110" s="45">
        <f t="shared" si="135"/>
        <v>1.5528188322318367E-2</v>
      </c>
    </row>
    <row r="1111" spans="1:13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8">
        <f t="shared" si="129"/>
        <v>294.2</v>
      </c>
      <c r="G1111" s="221">
        <f t="shared" si="131"/>
        <v>1.0417104474812046E-3</v>
      </c>
      <c r="H1111" s="7">
        <f t="shared" si="132"/>
        <v>2.3447485446593341</v>
      </c>
      <c r="I1111" s="7">
        <f t="shared" si="130"/>
        <v>0.86216403987123724</v>
      </c>
      <c r="J1111" s="37">
        <v>0.90147108670808818</v>
      </c>
      <c r="K1111" s="37">
        <f t="shared" si="133"/>
        <v>0.46000933318740417</v>
      </c>
      <c r="L1111" s="37">
        <f t="shared" si="134"/>
        <v>0.59341203981175139</v>
      </c>
      <c r="M1111" s="45">
        <f t="shared" si="135"/>
        <v>1.5528188322318367E-2</v>
      </c>
    </row>
    <row r="1112" spans="1:13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8">
        <f t="shared" si="129"/>
        <v>200.9</v>
      </c>
      <c r="G1112" s="221">
        <f t="shared" si="131"/>
        <v>7.1135155981976209E-4</v>
      </c>
      <c r="H1112" s="7">
        <f t="shared" si="132"/>
        <v>1.6011556173421491</v>
      </c>
      <c r="I1112" s="7">
        <f t="shared" si="130"/>
        <v>0.58874492049670824</v>
      </c>
      <c r="J1112" s="37">
        <v>0.6155864762734703</v>
      </c>
      <c r="K1112" s="37">
        <f t="shared" si="133"/>
        <v>0.31412601984143268</v>
      </c>
      <c r="L1112" s="37">
        <f t="shared" si="134"/>
        <v>0.40522256559544817</v>
      </c>
      <c r="M1112" s="45">
        <f t="shared" si="135"/>
        <v>1.5528188322318367E-2</v>
      </c>
    </row>
    <row r="1113" spans="1:13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8">
        <f t="shared" si="129"/>
        <v>297.8</v>
      </c>
      <c r="G1113" s="221">
        <f t="shared" si="131"/>
        <v>1.0544574142076911E-3</v>
      </c>
      <c r="H1113" s="7">
        <f t="shared" si="132"/>
        <v>2.3734402331731803</v>
      </c>
      <c r="I1113" s="7">
        <f t="shared" si="130"/>
        <v>0.87271397373777848</v>
      </c>
      <c r="J1113" s="37">
        <v>0.91250200415251081</v>
      </c>
      <c r="K1113" s="37">
        <f t="shared" si="133"/>
        <v>0.46563827132294006</v>
      </c>
      <c r="L1113" s="37">
        <f t="shared" si="134"/>
        <v>0.60067337000659271</v>
      </c>
      <c r="M1113" s="45">
        <f t="shared" si="135"/>
        <v>1.5528188322318363E-2</v>
      </c>
    </row>
    <row r="1114" spans="1:13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8">
        <f t="shared" si="129"/>
        <v>124.6</v>
      </c>
      <c r="G1114" s="221">
        <f t="shared" si="131"/>
        <v>4.4118668170006151E-4</v>
      </c>
      <c r="H1114" s="7">
        <f t="shared" si="132"/>
        <v>0.9930512191181271</v>
      </c>
      <c r="I1114" s="7">
        <f t="shared" si="130"/>
        <v>0.36514493326973535</v>
      </c>
      <c r="J1114" s="37">
        <v>0.38179230932640307</v>
      </c>
      <c r="K1114" s="37">
        <f t="shared" si="133"/>
        <v>0.19482380324660284</v>
      </c>
      <c r="L1114" s="37">
        <f t="shared" si="134"/>
        <v>0.25132270618811769</v>
      </c>
      <c r="M1114" s="45">
        <f t="shared" si="135"/>
        <v>1.5528188322318367E-2</v>
      </c>
    </row>
    <row r="1115" spans="1:13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8">
        <f t="shared" si="129"/>
        <v>132.19999999999999</v>
      </c>
      <c r="G1115" s="221">
        <f t="shared" si="131"/>
        <v>4.6809694478931084E-4</v>
      </c>
      <c r="H1115" s="7">
        <f t="shared" si="132"/>
        <v>1.0536225615362473</v>
      </c>
      <c r="I1115" s="7">
        <f t="shared" si="130"/>
        <v>0.38741701587687816</v>
      </c>
      <c r="J1115" s="37">
        <v>0.40507980170907293</v>
      </c>
      <c r="K1115" s="37">
        <f t="shared" si="133"/>
        <v>0.20670711708828968</v>
      </c>
      <c r="L1115" s="37">
        <f t="shared" si="134"/>
        <v>0.26665218104389371</v>
      </c>
      <c r="M1115" s="45">
        <f t="shared" si="135"/>
        <v>1.552818832231837E-2</v>
      </c>
    </row>
    <row r="1116" spans="1:13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8">
        <f t="shared" si="129"/>
        <v>225.4</v>
      </c>
      <c r="G1116" s="221">
        <f t="shared" si="131"/>
        <v>7.9810175004168431E-4</v>
      </c>
      <c r="H1116" s="7">
        <f t="shared" si="132"/>
        <v>1.7964184975058255</v>
      </c>
      <c r="I1116" s="7">
        <f t="shared" si="130"/>
        <v>0.6605430815328921</v>
      </c>
      <c r="J1116" s="37">
        <v>0.69065799777023495</v>
      </c>
      <c r="K1116" s="37">
        <f t="shared" si="133"/>
        <v>0.3524340710416074</v>
      </c>
      <c r="L1116" s="37">
        <f t="shared" si="134"/>
        <v>0.45463995164367355</v>
      </c>
      <c r="M1116" s="45">
        <f t="shared" si="135"/>
        <v>1.5528188322318368E-2</v>
      </c>
    </row>
    <row r="1117" spans="1:13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8">
        <f t="shared" si="129"/>
        <v>415.6</v>
      </c>
      <c r="G1117" s="221">
        <f t="shared" si="131"/>
        <v>1.4715664920910559E-3</v>
      </c>
      <c r="H1117" s="7">
        <f t="shared" si="132"/>
        <v>3.3122960406540423</v>
      </c>
      <c r="I1117" s="7">
        <f t="shared" si="130"/>
        <v>1.2179312541484915</v>
      </c>
      <c r="J1117" s="37">
        <v>1.2734581360838937</v>
      </c>
      <c r="K1117" s="37">
        <f t="shared" si="133"/>
        <v>0.64982963586908626</v>
      </c>
      <c r="L1117" s="37">
        <f t="shared" si="134"/>
        <v>0.83828023027112131</v>
      </c>
      <c r="M1117" s="45">
        <f t="shared" si="135"/>
        <v>1.5528188322318368E-2</v>
      </c>
    </row>
    <row r="1118" spans="1:13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8">
        <f t="shared" si="129"/>
        <v>1495</v>
      </c>
      <c r="G1118" s="221">
        <f t="shared" si="131"/>
        <v>5.2935320155826004E-3</v>
      </c>
      <c r="H1118" s="7">
        <f t="shared" si="132"/>
        <v>11.915020646722313</v>
      </c>
      <c r="I1118" s="7">
        <f t="shared" si="130"/>
        <v>4.3811530917997947</v>
      </c>
      <c r="J1118" s="37">
        <v>4.5808948831699254</v>
      </c>
      <c r="K1118" s="37">
        <f t="shared" si="133"/>
        <v>2.337572920173927</v>
      </c>
      <c r="L1118" s="37">
        <f t="shared" si="134"/>
        <v>3.015469067024366</v>
      </c>
      <c r="M1118" s="45">
        <f t="shared" si="135"/>
        <v>1.5528188322318367E-2</v>
      </c>
    </row>
    <row r="1119" spans="1:13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8">
        <f t="shared" si="129"/>
        <v>288.60000000000002</v>
      </c>
      <c r="G1119" s="221">
        <f t="shared" si="131"/>
        <v>1.0218818325733368E-3</v>
      </c>
      <c r="H1119" s="7">
        <f t="shared" si="132"/>
        <v>2.300117029193351</v>
      </c>
      <c r="I1119" s="7">
        <f t="shared" si="130"/>
        <v>0.84575303163439519</v>
      </c>
      <c r="J1119" s="37">
        <v>0.88431188179454223</v>
      </c>
      <c r="K1119" s="37">
        <f t="shared" si="133"/>
        <v>0.45125320719879286</v>
      </c>
      <c r="L1119" s="37">
        <f t="shared" si="134"/>
        <v>0.58211663728644281</v>
      </c>
      <c r="M1119" s="45">
        <f t="shared" si="135"/>
        <v>1.5528188322318367E-2</v>
      </c>
    </row>
    <row r="1120" spans="1:13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8">
        <f t="shared" si="129"/>
        <v>272.10000000000002</v>
      </c>
      <c r="G1120" s="221">
        <f t="shared" si="131"/>
        <v>9.6345823507694016E-4</v>
      </c>
      <c r="H1120" s="7">
        <f t="shared" si="132"/>
        <v>2.168613456838222</v>
      </c>
      <c r="I1120" s="7">
        <f t="shared" si="130"/>
        <v>0.79739916807941436</v>
      </c>
      <c r="J1120" s="37">
        <v>0.83375351017427202</v>
      </c>
      <c r="K1120" s="37">
        <f t="shared" si="133"/>
        <v>0.4254539074109201</v>
      </c>
      <c r="L1120" s="37">
        <f t="shared" si="134"/>
        <v>0.54883554056008699</v>
      </c>
      <c r="M1120" s="45">
        <f t="shared" si="135"/>
        <v>1.5528188322318368E-2</v>
      </c>
    </row>
    <row r="1121" spans="1:13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8">
        <f t="shared" si="129"/>
        <v>313.7</v>
      </c>
      <c r="G1121" s="221">
        <f t="shared" si="131"/>
        <v>1.1107565172496733E-3</v>
      </c>
      <c r="H1121" s="7">
        <f t="shared" si="132"/>
        <v>2.5001618574426687</v>
      </c>
      <c r="I1121" s="7">
        <f t="shared" si="130"/>
        <v>0.91930951498166935</v>
      </c>
      <c r="J1121" s="37">
        <v>0.96122188953204368</v>
      </c>
      <c r="K1121" s="37">
        <f t="shared" si="133"/>
        <v>0.49049941475489017</v>
      </c>
      <c r="L1121" s="37">
        <f t="shared" si="134"/>
        <v>0.63274424503380833</v>
      </c>
      <c r="M1121" s="45">
        <f t="shared" si="135"/>
        <v>1.552818832231837E-2</v>
      </c>
    </row>
    <row r="1122" spans="1:13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8">
        <f t="shared" si="129"/>
        <v>860.41000000000008</v>
      </c>
      <c r="G1122" s="221">
        <f t="shared" si="131"/>
        <v>3.0465604558711874E-3</v>
      </c>
      <c r="H1122" s="7">
        <f t="shared" si="132"/>
        <v>6.8573932539440436</v>
      </c>
      <c r="I1122" s="7">
        <f t="shared" si="130"/>
        <v>2.521463499475225</v>
      </c>
      <c r="J1122" s="37">
        <v>2.6364199106543382</v>
      </c>
      <c r="K1122" s="37">
        <f t="shared" si="133"/>
        <v>1.3453318503323402</v>
      </c>
      <c r="L1122" s="37">
        <f t="shared" si="134"/>
        <v>1.7354780869287187</v>
      </c>
      <c r="M1122" s="45">
        <f t="shared" si="135"/>
        <v>1.5528188322318367E-2</v>
      </c>
    </row>
    <row r="1123" spans="1:13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8">
        <f t="shared" si="129"/>
        <v>294</v>
      </c>
      <c r="G1123" s="221">
        <f t="shared" si="131"/>
        <v>1.0410022826630664E-3</v>
      </c>
      <c r="H1123" s="7">
        <f t="shared" si="132"/>
        <v>2.3431545619641203</v>
      </c>
      <c r="I1123" s="7">
        <f t="shared" si="130"/>
        <v>0.86157793243420711</v>
      </c>
      <c r="J1123" s="37">
        <v>0.90085825796117591</v>
      </c>
      <c r="K1123" s="37">
        <f t="shared" si="133"/>
        <v>0.45969661440209658</v>
      </c>
      <c r="L1123" s="37">
        <f t="shared" si="134"/>
        <v>0.59300863257870462</v>
      </c>
      <c r="M1123" s="45">
        <f t="shared" si="135"/>
        <v>1.5528188322318368E-2</v>
      </c>
    </row>
    <row r="1124" spans="1:13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8">
        <f t="shared" si="129"/>
        <v>1119.54</v>
      </c>
      <c r="G1124" s="221">
        <f t="shared" si="131"/>
        <v>3.9640942024918692E-3</v>
      </c>
      <c r="H1124" s="7">
        <f t="shared" si="132"/>
        <v>8.9226369329976567</v>
      </c>
      <c r="I1124" s="7">
        <f t="shared" si="130"/>
        <v>3.2808536002632387</v>
      </c>
      <c r="J1124" s="37">
        <v>3.4304314765913428</v>
      </c>
      <c r="K1124" s="37">
        <f t="shared" si="133"/>
        <v>1.7505059445160656</v>
      </c>
      <c r="L1124" s="37">
        <f t="shared" si="134"/>
        <v>2.2581526684257245</v>
      </c>
      <c r="M1124" s="45">
        <f t="shared" si="135"/>
        <v>1.5528188322318368E-2</v>
      </c>
    </row>
    <row r="1125" spans="1:13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8">
        <f t="shared" si="129"/>
        <v>542.66</v>
      </c>
      <c r="G1125" s="221">
        <f t="shared" si="131"/>
        <v>1.9214636010542164E-3</v>
      </c>
      <c r="H1125" s="7">
        <f t="shared" si="132"/>
        <v>4.3249532469232976</v>
      </c>
      <c r="I1125" s="7">
        <f t="shared" si="130"/>
        <v>1.5902853088936966</v>
      </c>
      <c r="J1125" s="37">
        <v>1.6627882389973188</v>
      </c>
      <c r="K1125" s="37">
        <f t="shared" si="133"/>
        <v>0.84849988017497191</v>
      </c>
      <c r="L1125" s="37">
        <f t="shared" si="134"/>
        <v>1.0945648454257138</v>
      </c>
      <c r="M1125" s="45">
        <f t="shared" si="135"/>
        <v>1.5528188322318368E-2</v>
      </c>
    </row>
    <row r="1126" spans="1:13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8">
        <f t="shared" ref="F1126:F1145" si="136">C1126+D1126+E1126</f>
        <v>507.72</v>
      </c>
      <c r="G1126" s="221">
        <f t="shared" si="131"/>
        <v>1.7977472073254835E-3</v>
      </c>
      <c r="H1126" s="7">
        <f t="shared" si="132"/>
        <v>4.0464844700694664</v>
      </c>
      <c r="I1126" s="7">
        <f t="shared" si="130"/>
        <v>1.4878923396445429</v>
      </c>
      <c r="J1126" s="37">
        <v>1.5557270569117287</v>
      </c>
      <c r="K1126" s="37">
        <f t="shared" si="133"/>
        <v>0.79386790838174326</v>
      </c>
      <c r="L1126" s="37">
        <f t="shared" si="134"/>
        <v>1.0240896018124488</v>
      </c>
      <c r="M1126" s="45">
        <f t="shared" si="135"/>
        <v>1.5528188322318367E-2</v>
      </c>
    </row>
    <row r="1127" spans="1:13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8">
        <f t="shared" si="136"/>
        <v>517.03</v>
      </c>
      <c r="G1127" s="221">
        <f t="shared" si="131"/>
        <v>1.8307122796098138E-3</v>
      </c>
      <c r="H1127" s="7">
        <f t="shared" si="132"/>
        <v>4.1206843645316633</v>
      </c>
      <c r="I1127" s="7">
        <f t="shared" si="130"/>
        <v>1.5151756408382928</v>
      </c>
      <c r="J1127" s="37">
        <v>1.5842542350804991</v>
      </c>
      <c r="K1127" s="37">
        <f t="shared" si="133"/>
        <v>0.80842496783780959</v>
      </c>
      <c r="L1127" s="37">
        <f t="shared" si="134"/>
        <v>1.0428682085107743</v>
      </c>
      <c r="M1127" s="45">
        <f t="shared" si="135"/>
        <v>1.5528188322318368E-2</v>
      </c>
    </row>
    <row r="1128" spans="1:13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8">
        <f t="shared" si="136"/>
        <v>497.81</v>
      </c>
      <c r="G1128" s="221">
        <f t="shared" si="131"/>
        <v>1.7626576405867385E-3</v>
      </c>
      <c r="H1128" s="7">
        <f t="shared" si="132"/>
        <v>3.967502627521629</v>
      </c>
      <c r="I1128" s="7">
        <f t="shared" si="130"/>
        <v>1.4588507161397031</v>
      </c>
      <c r="J1128" s="37">
        <v>1.5253613925022211</v>
      </c>
      <c r="K1128" s="37">
        <f t="shared" si="133"/>
        <v>0.77837269256975417</v>
      </c>
      <c r="L1128" s="37">
        <f t="shared" si="134"/>
        <v>1.0041007734149829</v>
      </c>
      <c r="M1128" s="45">
        <f t="shared" si="135"/>
        <v>1.552818832231837E-2</v>
      </c>
    </row>
    <row r="1129" spans="1:13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8">
        <f t="shared" si="136"/>
        <v>301.3</v>
      </c>
      <c r="G1129" s="221">
        <f t="shared" si="131"/>
        <v>1.0668502985251088E-3</v>
      </c>
      <c r="H1129" s="7">
        <f t="shared" si="132"/>
        <v>2.4013349303394205</v>
      </c>
      <c r="I1129" s="7">
        <f t="shared" ref="I1129:I1145" si="137">H1129*0.3677</f>
        <v>0.88297085388580498</v>
      </c>
      <c r="J1129" s="37">
        <v>0.92322650722347732</v>
      </c>
      <c r="K1129" s="37">
        <f t="shared" si="133"/>
        <v>0.47111085006582221</v>
      </c>
      <c r="L1129" s="37">
        <f t="shared" si="134"/>
        <v>0.60773299658491065</v>
      </c>
      <c r="M1129" s="45">
        <f t="shared" si="135"/>
        <v>1.5528188322318372E-2</v>
      </c>
    </row>
    <row r="1130" spans="1:13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8">
        <f t="shared" si="136"/>
        <v>493.5</v>
      </c>
      <c r="G1130" s="221">
        <f t="shared" si="131"/>
        <v>1.7473966887558616E-3</v>
      </c>
      <c r="H1130" s="7">
        <f t="shared" si="132"/>
        <v>3.9331523004397733</v>
      </c>
      <c r="I1130" s="7">
        <f t="shared" si="137"/>
        <v>1.4462201008717048</v>
      </c>
      <c r="J1130" s="37">
        <v>1.5121549330062594</v>
      </c>
      <c r="K1130" s="37">
        <f t="shared" si="133"/>
        <v>0.77163360274637649</v>
      </c>
      <c r="L1130" s="37">
        <f t="shared" si="134"/>
        <v>0.99540734754282567</v>
      </c>
      <c r="M1130" s="45">
        <f t="shared" si="135"/>
        <v>1.5528188322318367E-2</v>
      </c>
    </row>
    <row r="1131" spans="1:13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8">
        <f t="shared" si="136"/>
        <v>264.8</v>
      </c>
      <c r="G1131" s="221">
        <f t="shared" si="131"/>
        <v>9.3761021921489804E-4</v>
      </c>
      <c r="H1131" s="7">
        <f t="shared" si="132"/>
        <v>2.1104330884629219</v>
      </c>
      <c r="I1131" s="7">
        <f t="shared" si="137"/>
        <v>0.77600624662781648</v>
      </c>
      <c r="J1131" s="37">
        <v>0.81138526091197072</v>
      </c>
      <c r="K1131" s="37">
        <f t="shared" si="133"/>
        <v>0.41403967174719458</v>
      </c>
      <c r="L1131" s="37">
        <f t="shared" si="134"/>
        <v>0.53411117655388107</v>
      </c>
      <c r="M1131" s="45">
        <f t="shared" si="135"/>
        <v>1.5528188322318367E-2</v>
      </c>
    </row>
    <row r="1132" spans="1:13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8">
        <f t="shared" si="136"/>
        <v>544.79999999999995</v>
      </c>
      <c r="G1132" s="221">
        <f t="shared" si="131"/>
        <v>1.9290409646082944E-3</v>
      </c>
      <c r="H1132" s="7">
        <f t="shared" si="132"/>
        <v>4.3420088617620838</v>
      </c>
      <c r="I1132" s="7">
        <f t="shared" si="137"/>
        <v>1.5965566584699182</v>
      </c>
      <c r="J1132" s="37">
        <v>1.6693455065892808</v>
      </c>
      <c r="K1132" s="37">
        <f t="shared" si="133"/>
        <v>0.85184597117776262</v>
      </c>
      <c r="L1132" s="37">
        <f t="shared" si="134"/>
        <v>1.0988813028193138</v>
      </c>
      <c r="M1132" s="45">
        <f t="shared" si="135"/>
        <v>1.5528188322318367E-2</v>
      </c>
    </row>
    <row r="1133" spans="1:13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8">
        <f t="shared" si="136"/>
        <v>205</v>
      </c>
      <c r="G1133" s="221">
        <f t="shared" si="131"/>
        <v>7.2586893859159394E-4</v>
      </c>
      <c r="H1133" s="7">
        <f t="shared" si="132"/>
        <v>1.6338322625940296</v>
      </c>
      <c r="I1133" s="7">
        <f t="shared" si="137"/>
        <v>0.6007601229558247</v>
      </c>
      <c r="J1133" s="37">
        <v>0.62814946558517359</v>
      </c>
      <c r="K1133" s="37">
        <f t="shared" si="133"/>
        <v>0.32053675494023742</v>
      </c>
      <c r="L1133" s="37">
        <f t="shared" si="134"/>
        <v>0.41349241387290631</v>
      </c>
      <c r="M1133" s="45">
        <f t="shared" si="135"/>
        <v>1.5528188322318367E-2</v>
      </c>
    </row>
    <row r="1134" spans="1:13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8">
        <f t="shared" si="136"/>
        <v>577.32000000000005</v>
      </c>
      <c r="G1134" s="221">
        <f t="shared" si="131"/>
        <v>2.0441885640375564E-3</v>
      </c>
      <c r="H1134" s="7">
        <f t="shared" si="132"/>
        <v>4.6011904480038304</v>
      </c>
      <c r="I1134" s="7">
        <f t="shared" si="137"/>
        <v>1.6918577277310085</v>
      </c>
      <c r="J1134" s="37">
        <v>1.7689914608372315</v>
      </c>
      <c r="K1134" s="37">
        <f t="shared" si="133"/>
        <v>0.90269404566877021</v>
      </c>
      <c r="L1134" s="37">
        <f t="shared" si="134"/>
        <v>1.1644753189127135</v>
      </c>
      <c r="M1134" s="45">
        <f t="shared" si="135"/>
        <v>1.5528188322318367E-2</v>
      </c>
    </row>
    <row r="1135" spans="1:13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8">
        <f t="shared" si="136"/>
        <v>353</v>
      </c>
      <c r="G1135" s="221">
        <f t="shared" si="131"/>
        <v>1.2499109040138179E-3</v>
      </c>
      <c r="H1135" s="7">
        <f t="shared" si="132"/>
        <v>2.8133794570521578</v>
      </c>
      <c r="I1135" s="7">
        <f t="shared" si="137"/>
        <v>1.0344796263580784</v>
      </c>
      <c r="J1135" s="37">
        <v>1.0816427383003235</v>
      </c>
      <c r="K1135" s="37">
        <f t="shared" si="133"/>
        <v>0.55194865606782351</v>
      </c>
      <c r="L1135" s="37">
        <f t="shared" si="134"/>
        <v>0.71201376632749236</v>
      </c>
      <c r="M1135" s="45">
        <f t="shared" si="135"/>
        <v>1.5528188322318365E-2</v>
      </c>
    </row>
    <row r="1136" spans="1:13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8">
        <f t="shared" si="136"/>
        <v>646.29999999999995</v>
      </c>
      <c r="G1136" s="221">
        <f t="shared" si="131"/>
        <v>2.2884346098134009E-3</v>
      </c>
      <c r="H1136" s="7">
        <f t="shared" si="132"/>
        <v>5.1509550795830314</v>
      </c>
      <c r="I1136" s="7">
        <f t="shared" si="137"/>
        <v>1.8940061827626808</v>
      </c>
      <c r="J1136" s="37">
        <v>1.9803560956473061</v>
      </c>
      <c r="K1136" s="37">
        <f t="shared" si="133"/>
        <v>1.0105507547213437</v>
      </c>
      <c r="L1136" s="37">
        <f t="shared" si="134"/>
        <v>1.3036104735905334</v>
      </c>
      <c r="M1136" s="45">
        <f t="shared" si="135"/>
        <v>1.5528188322318368E-2</v>
      </c>
    </row>
    <row r="1137" spans="1:13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8">
        <f t="shared" si="136"/>
        <v>281.89999999999998</v>
      </c>
      <c r="G1137" s="221">
        <f t="shared" ref="G1137:G1145" si="138">1/282420.13*F1137</f>
        <v>9.9815831116570894E-4</v>
      </c>
      <c r="H1137" s="7">
        <f t="shared" ref="H1137:H1145" si="139">G1137*1218*1.54*1.2</f>
        <v>2.2467186089036923</v>
      </c>
      <c r="I1137" s="7">
        <f t="shared" si="137"/>
        <v>0.82611843249388772</v>
      </c>
      <c r="J1137" s="37">
        <v>0.86378211877297784</v>
      </c>
      <c r="K1137" s="37">
        <f t="shared" si="133"/>
        <v>0.44077712789098988</v>
      </c>
      <c r="L1137" s="37">
        <f t="shared" si="134"/>
        <v>0.56860249497937698</v>
      </c>
      <c r="M1137" s="45">
        <f t="shared" si="135"/>
        <v>1.552818832231837E-2</v>
      </c>
    </row>
    <row r="1138" spans="1:13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8">
        <f t="shared" si="136"/>
        <v>305.10000000000002</v>
      </c>
      <c r="G1138" s="221">
        <f t="shared" si="138"/>
        <v>1.0803054300697335E-3</v>
      </c>
      <c r="H1138" s="7">
        <f t="shared" si="139"/>
        <v>2.4316206015484805</v>
      </c>
      <c r="I1138" s="7">
        <f t="shared" si="137"/>
        <v>0.89410689518937636</v>
      </c>
      <c r="J1138" s="37">
        <v>0.93487025341481222</v>
      </c>
      <c r="K1138" s="37">
        <f t="shared" ref="K1138:K1146" si="140">G1138*408.88*1.08</f>
        <v>0.47705250698666563</v>
      </c>
      <c r="L1138" s="37">
        <f t="shared" ref="L1138:L1146" si="141">K1138*1.29</f>
        <v>0.61539773401279863</v>
      </c>
      <c r="M1138" s="45">
        <f t="shared" si="135"/>
        <v>1.5528188322318367E-2</v>
      </c>
    </row>
    <row r="1139" spans="1:13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8">
        <f t="shared" si="136"/>
        <v>369.45</v>
      </c>
      <c r="G1139" s="221">
        <f t="shared" si="138"/>
        <v>1.30815746030568E-3</v>
      </c>
      <c r="H1139" s="7">
        <f t="shared" si="139"/>
        <v>2.9444845337334837</v>
      </c>
      <c r="I1139" s="7">
        <f t="shared" si="137"/>
        <v>1.0826869630538021</v>
      </c>
      <c r="J1139" s="37">
        <v>1.1320479027338655</v>
      </c>
      <c r="K1139" s="37">
        <f t="shared" si="140"/>
        <v>0.57766977615936943</v>
      </c>
      <c r="L1139" s="37">
        <f t="shared" si="141"/>
        <v>0.7451940112455866</v>
      </c>
      <c r="M1139" s="45">
        <f t="shared" si="135"/>
        <v>1.5528188322318367E-2</v>
      </c>
    </row>
    <row r="1140" spans="1:13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8">
        <f t="shared" si="136"/>
        <v>453.11</v>
      </c>
      <c r="G1140" s="221">
        <f t="shared" si="138"/>
        <v>1.6043828037328642E-3</v>
      </c>
      <c r="H1140" s="7">
        <f t="shared" si="139"/>
        <v>3.6112474951413698</v>
      </c>
      <c r="I1140" s="7">
        <f t="shared" si="137"/>
        <v>1.3278557039634817</v>
      </c>
      <c r="J1140" s="37">
        <v>1.3883941675673077</v>
      </c>
      <c r="K1140" s="37">
        <f t="shared" si="140"/>
        <v>0.70848004405351706</v>
      </c>
      <c r="L1140" s="37">
        <f t="shared" si="141"/>
        <v>0.91393925682903698</v>
      </c>
      <c r="M1140" s="45">
        <f t="shared" si="135"/>
        <v>1.552818832231837E-2</v>
      </c>
    </row>
    <row r="1141" spans="1:13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8">
        <f t="shared" si="136"/>
        <v>729</v>
      </c>
      <c r="G1141" s="221">
        <f t="shared" si="138"/>
        <v>2.5812607621135222E-3</v>
      </c>
      <c r="H1141" s="7">
        <f t="shared" si="139"/>
        <v>5.8100669240538902</v>
      </c>
      <c r="I1141" s="7">
        <f t="shared" si="137"/>
        <v>2.1363616079746155</v>
      </c>
      <c r="J1141" s="37">
        <v>2.2337607824955685</v>
      </c>
      <c r="K1141" s="37">
        <f t="shared" si="140"/>
        <v>1.1398599724460152</v>
      </c>
      <c r="L1141" s="37">
        <f t="shared" si="141"/>
        <v>1.4704193644553596</v>
      </c>
      <c r="M1141" s="45">
        <f t="shared" si="135"/>
        <v>1.5528188322318367E-2</v>
      </c>
    </row>
    <row r="1142" spans="1:13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8">
        <f t="shared" si="136"/>
        <v>422.76</v>
      </c>
      <c r="G1142" s="221">
        <f t="shared" si="138"/>
        <v>1.4969187925804013E-3</v>
      </c>
      <c r="H1142" s="7">
        <f t="shared" si="139"/>
        <v>3.3693606211426927</v>
      </c>
      <c r="I1142" s="7">
        <f t="shared" si="137"/>
        <v>1.2389139003941683</v>
      </c>
      <c r="J1142" s="37">
        <v>1.2953974052233561</v>
      </c>
      <c r="K1142" s="37">
        <f t="shared" si="140"/>
        <v>0.66102496838309655</v>
      </c>
      <c r="L1142" s="37">
        <f t="shared" si="141"/>
        <v>0.85272220921419462</v>
      </c>
      <c r="M1142" s="45">
        <f t="shared" si="135"/>
        <v>1.552818832231837E-2</v>
      </c>
    </row>
    <row r="1143" spans="1:13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8">
        <f t="shared" si="136"/>
        <v>152.30000000000001</v>
      </c>
      <c r="G1143" s="221">
        <f t="shared" si="138"/>
        <v>5.3926750901219401E-4</v>
      </c>
      <c r="H1143" s="7">
        <f t="shared" si="139"/>
        <v>1.2138178224052232</v>
      </c>
      <c r="I1143" s="7">
        <f t="shared" si="137"/>
        <v>0.44632081329840062</v>
      </c>
      <c r="J1143" s="37">
        <v>0.46666909077376562</v>
      </c>
      <c r="K1143" s="37">
        <f t="shared" si="140"/>
        <v>0.23813535501169836</v>
      </c>
      <c r="L1143" s="37">
        <f t="shared" si="141"/>
        <v>0.3071946079650909</v>
      </c>
      <c r="M1143" s="45">
        <f t="shared" si="135"/>
        <v>1.5528188322318368E-2</v>
      </c>
    </row>
    <row r="1144" spans="1:13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8">
        <f t="shared" si="136"/>
        <v>252.6</v>
      </c>
      <c r="G1144" s="221">
        <f t="shared" si="138"/>
        <v>8.9441216530847137E-4</v>
      </c>
      <c r="H1144" s="7">
        <f t="shared" si="139"/>
        <v>2.013200144054887</v>
      </c>
      <c r="I1144" s="7">
        <f t="shared" si="137"/>
        <v>0.74025369296898202</v>
      </c>
      <c r="J1144" s="37">
        <v>0.77400270735031651</v>
      </c>
      <c r="K1144" s="37">
        <f t="shared" si="140"/>
        <v>0.39496382584343404</v>
      </c>
      <c r="L1144" s="37">
        <f t="shared" si="141"/>
        <v>0.50950333533802994</v>
      </c>
      <c r="M1144" s="45">
        <f t="shared" si="135"/>
        <v>1.5528188322318368E-2</v>
      </c>
    </row>
    <row r="1145" spans="1:13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8">
        <f t="shared" si="136"/>
        <v>143.69999999999999</v>
      </c>
      <c r="G1145" s="221">
        <f t="shared" si="138"/>
        <v>5.0881642183225385E-4</v>
      </c>
      <c r="H1145" s="7">
        <f t="shared" si="139"/>
        <v>1.1452765665110343</v>
      </c>
      <c r="I1145" s="7">
        <f t="shared" si="137"/>
        <v>0.42111819350610735</v>
      </c>
      <c r="J1145" s="37">
        <v>0.44031745465653388</v>
      </c>
      <c r="K1145" s="37">
        <f t="shared" si="140"/>
        <v>0.22468844724347373</v>
      </c>
      <c r="L1145" s="37">
        <f t="shared" si="141"/>
        <v>0.28984809694408109</v>
      </c>
      <c r="M1145" s="45">
        <f t="shared" si="135"/>
        <v>1.5528188322318368E-2</v>
      </c>
    </row>
    <row r="1146" spans="1:13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>C1146+D1146+E1146</f>
        <v>282420.12999999971</v>
      </c>
      <c r="G1146" s="221">
        <f>1/282420.13*F1146</f>
        <v>0.999999999999999</v>
      </c>
      <c r="H1146" s="7">
        <f>G1146*1218*1.54*1.2</f>
        <v>2250.8639999999978</v>
      </c>
      <c r="I1146" s="64">
        <f t="shared" ref="I1146:I1201" si="142">H1146*0.3677</f>
        <v>827.64269279999928</v>
      </c>
      <c r="J1146" s="37">
        <f>SUM(J747:J1145)</f>
        <v>4535.2608406971931</v>
      </c>
      <c r="K1146" s="37">
        <f t="shared" si="140"/>
        <v>441.59039999999959</v>
      </c>
      <c r="L1146" s="37">
        <f t="shared" si="141"/>
        <v>569.65161599999954</v>
      </c>
      <c r="M1146" s="45">
        <f t="shared" si="135"/>
        <v>2.8522605430063352E-2</v>
      </c>
    </row>
    <row r="1147" spans="1:13" s="209" customFormat="1" ht="15.75">
      <c r="A1147" s="1054" t="s">
        <v>634</v>
      </c>
      <c r="B1147" s="1055"/>
      <c r="C1147" s="339"/>
      <c r="D1147" s="339"/>
      <c r="E1147" s="339"/>
      <c r="F1147" s="339"/>
      <c r="G1147" s="339"/>
      <c r="H1147" s="342"/>
      <c r="I1147" s="342"/>
      <c r="J1147" s="37"/>
      <c r="K1147" s="342"/>
      <c r="L1147" s="342"/>
      <c r="M1147" s="45" t="e">
        <f t="shared" si="135"/>
        <v>#DIV/0!</v>
      </c>
    </row>
    <row r="1148" spans="1:13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>
        <f t="shared" ref="F1148:F1201" si="143">C1148+D1148+E1148</f>
        <v>219.1</v>
      </c>
      <c r="G1148" s="221">
        <f t="shared" ref="G1148:G1201" si="144">1/173207.23*F1148</f>
        <v>1.2649587433503785E-3</v>
      </c>
      <c r="H1148" s="37">
        <f t="shared" ref="H1148:H1201" si="145">G1148*1218*1.54*1.2</f>
        <v>2.8472500968926062</v>
      </c>
      <c r="I1148" s="37">
        <f t="shared" si="142"/>
        <v>1.0469338606274115</v>
      </c>
      <c r="J1148" s="37">
        <v>1.1032101151327931</v>
      </c>
      <c r="K1148" s="37">
        <f t="shared" ref="K1148:K1201" si="146">G1148*408.88</f>
        <v>0.51721633098110276</v>
      </c>
      <c r="L1148" s="37"/>
      <c r="M1148" s="45">
        <f t="shared" si="135"/>
        <v>2.5169376556978151E-2</v>
      </c>
    </row>
    <row r="1149" spans="1:13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>
        <f t="shared" si="143"/>
        <v>265.10000000000002</v>
      </c>
      <c r="G1149" s="221">
        <f t="shared" si="144"/>
        <v>1.5305365717123932E-3</v>
      </c>
      <c r="H1149" s="37">
        <f t="shared" si="145"/>
        <v>3.445029669950844</v>
      </c>
      <c r="I1149" s="37">
        <f t="shared" si="142"/>
        <v>1.2667374096409254</v>
      </c>
      <c r="J1149" s="37">
        <v>1.334828852221376</v>
      </c>
      <c r="K1149" s="37">
        <f t="shared" si="146"/>
        <v>0.62580579344176335</v>
      </c>
      <c r="L1149" s="37"/>
      <c r="M1149" s="45">
        <f t="shared" si="135"/>
        <v>2.5169376556978155E-2</v>
      </c>
    </row>
    <row r="1150" spans="1:13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>
        <f t="shared" si="143"/>
        <v>352.7</v>
      </c>
      <c r="G1150" s="221">
        <f t="shared" si="144"/>
        <v>2.0362891318104906E-3</v>
      </c>
      <c r="H1150" s="37">
        <f t="shared" si="145"/>
        <v>4.5834099003834883</v>
      </c>
      <c r="I1150" s="37">
        <f t="shared" si="142"/>
        <v>1.6853198203710087</v>
      </c>
      <c r="J1150" s="37">
        <v>1.7759114906770248</v>
      </c>
      <c r="K1150" s="37">
        <f t="shared" si="146"/>
        <v>0.83259790021467339</v>
      </c>
      <c r="L1150" s="37"/>
      <c r="M1150" s="45">
        <f t="shared" si="135"/>
        <v>2.5169376556978158E-2</v>
      </c>
    </row>
    <row r="1151" spans="1:13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>
        <f t="shared" si="143"/>
        <v>350.15</v>
      </c>
      <c r="G1151" s="221">
        <f t="shared" si="144"/>
        <v>2.0215668826295526E-3</v>
      </c>
      <c r="H1151" s="37">
        <f t="shared" si="145"/>
        <v>4.5502721197030853</v>
      </c>
      <c r="I1151" s="37">
        <f t="shared" si="142"/>
        <v>1.6731350584148246</v>
      </c>
      <c r="J1151" s="37">
        <v>1.7630717563384188</v>
      </c>
      <c r="K1151" s="37">
        <f t="shared" si="146"/>
        <v>0.82657826696957148</v>
      </c>
      <c r="L1151" s="37"/>
      <c r="M1151" s="45">
        <f t="shared" si="135"/>
        <v>2.5169376556978155E-2</v>
      </c>
    </row>
    <row r="1152" spans="1:13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>
        <f t="shared" si="143"/>
        <v>348.6</v>
      </c>
      <c r="G1152" s="221">
        <f t="shared" si="144"/>
        <v>2.0126180644999634E-3</v>
      </c>
      <c r="H1152" s="37">
        <f t="shared" si="145"/>
        <v>4.5301295471326455</v>
      </c>
      <c r="I1152" s="37">
        <f t="shared" si="142"/>
        <v>1.6657286344806739</v>
      </c>
      <c r="J1152" s="37">
        <v>1.7552672119365214</v>
      </c>
      <c r="K1152" s="37">
        <f t="shared" si="146"/>
        <v>0.82291927421274502</v>
      </c>
      <c r="L1152" s="37"/>
      <c r="M1152" s="45">
        <f t="shared" si="135"/>
        <v>2.5169376556978151E-2</v>
      </c>
    </row>
    <row r="1153" spans="1:13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>
        <f t="shared" si="143"/>
        <v>430.37</v>
      </c>
      <c r="G1153" s="221">
        <f t="shared" si="144"/>
        <v>2.4847115215687011E-3</v>
      </c>
      <c r="H1153" s="37">
        <f t="shared" si="145"/>
        <v>5.5927477142842132</v>
      </c>
      <c r="I1153" s="37">
        <f t="shared" si="142"/>
        <v>2.0564533345423053</v>
      </c>
      <c r="J1153" s="37">
        <v>2.1669946930611608</v>
      </c>
      <c r="K1153" s="37">
        <f t="shared" si="146"/>
        <v>1.0159488469390106</v>
      </c>
      <c r="L1153" s="37"/>
      <c r="M1153" s="45">
        <f t="shared" si="135"/>
        <v>2.5169376556978158E-2</v>
      </c>
    </row>
    <row r="1154" spans="1:13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>
        <f t="shared" si="143"/>
        <v>79.3</v>
      </c>
      <c r="G1154" s="221">
        <f t="shared" si="144"/>
        <v>4.5783308237190784E-4</v>
      </c>
      <c r="H1154" s="37">
        <f t="shared" si="145"/>
        <v>1.0305200031199619</v>
      </c>
      <c r="I1154" s="37">
        <f t="shared" si="142"/>
        <v>0.37892220514721003</v>
      </c>
      <c r="J1154" s="37">
        <v>0.39929056198096985</v>
      </c>
      <c r="K1154" s="37">
        <f t="shared" si="146"/>
        <v>0.18719879072022569</v>
      </c>
      <c r="L1154" s="37"/>
      <c r="M1154" s="45">
        <f t="shared" si="135"/>
        <v>2.5169376556978151E-2</v>
      </c>
    </row>
    <row r="1155" spans="1:13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>
        <f t="shared" si="143"/>
        <v>70.099999999999994</v>
      </c>
      <c r="G1155" s="221">
        <f t="shared" si="144"/>
        <v>4.0471751669950493E-4</v>
      </c>
      <c r="H1155" s="37">
        <f t="shared" si="145"/>
        <v>0.91096408850831434</v>
      </c>
      <c r="I1155" s="37">
        <f t="shared" si="142"/>
        <v>0.3349614953445072</v>
      </c>
      <c r="J1155" s="37">
        <v>0.35296681456325329</v>
      </c>
      <c r="K1155" s="37">
        <f t="shared" si="146"/>
        <v>0.16548089822809356</v>
      </c>
      <c r="L1155" s="37"/>
      <c r="M1155" s="45">
        <f t="shared" si="135"/>
        <v>2.5169376556978151E-2</v>
      </c>
    </row>
    <row r="1156" spans="1:13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>
        <f t="shared" si="143"/>
        <v>326.92</v>
      </c>
      <c r="G1156" s="221">
        <f t="shared" si="144"/>
        <v>1.8874500793067356E-3</v>
      </c>
      <c r="H1156" s="37">
        <f t="shared" si="145"/>
        <v>4.2483934353086763</v>
      </c>
      <c r="I1156" s="37">
        <f t="shared" si="142"/>
        <v>1.5621342661630004</v>
      </c>
      <c r="J1156" s="37">
        <v>1.6461042941086845</v>
      </c>
      <c r="K1156" s="37">
        <f t="shared" si="146"/>
        <v>0.77174058842693805</v>
      </c>
      <c r="L1156" s="37"/>
      <c r="M1156" s="45">
        <f t="shared" si="135"/>
        <v>2.5169376556978158E-2</v>
      </c>
    </row>
    <row r="1157" spans="1:13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>
        <f t="shared" si="143"/>
        <v>322.55</v>
      </c>
      <c r="G1157" s="221">
        <f t="shared" si="144"/>
        <v>1.8622201856123442E-3</v>
      </c>
      <c r="H1157" s="37">
        <f t="shared" si="145"/>
        <v>4.1916043758681436</v>
      </c>
      <c r="I1157" s="37">
        <f t="shared" si="142"/>
        <v>1.5412529290067165</v>
      </c>
      <c r="J1157" s="37">
        <v>1.6241005140852691</v>
      </c>
      <c r="K1157" s="37">
        <f t="shared" si="146"/>
        <v>0.76142458949317526</v>
      </c>
      <c r="L1157" s="37"/>
      <c r="M1157" s="45">
        <f t="shared" si="135"/>
        <v>2.5169376556978155E-2</v>
      </c>
    </row>
    <row r="1158" spans="1:13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>
        <f t="shared" si="143"/>
        <v>415.5</v>
      </c>
      <c r="G1158" s="221">
        <f t="shared" si="144"/>
        <v>2.3988606018351542E-3</v>
      </c>
      <c r="H1158" s="37">
        <f t="shared" si="145"/>
        <v>5.3995089696890828</v>
      </c>
      <c r="I1158" s="37">
        <f t="shared" si="142"/>
        <v>1.9853994481546759</v>
      </c>
      <c r="J1158" s="37">
        <v>2.0921214187023081</v>
      </c>
      <c r="K1158" s="37">
        <f t="shared" si="146"/>
        <v>0.98084612287835782</v>
      </c>
      <c r="L1158" s="37"/>
      <c r="M1158" s="45">
        <f t="shared" si="135"/>
        <v>2.5169376556978155E-2</v>
      </c>
    </row>
    <row r="1159" spans="1:13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>
        <f t="shared" si="143"/>
        <v>372.82</v>
      </c>
      <c r="G1159" s="221">
        <f t="shared" si="144"/>
        <v>2.1524505645636152E-3</v>
      </c>
      <c r="H1159" s="37">
        <f t="shared" si="145"/>
        <v>4.8448734875559172</v>
      </c>
      <c r="I1159" s="37">
        <f t="shared" si="142"/>
        <v>1.7814599813743108</v>
      </c>
      <c r="J1159" s="37">
        <v>1.8772195122035966</v>
      </c>
      <c r="K1159" s="37">
        <f t="shared" si="146"/>
        <v>0.88009398683877094</v>
      </c>
      <c r="L1159" s="37"/>
      <c r="M1159" s="45">
        <f t="shared" ref="M1159:M1222" si="147">(K1159+J1159+I1159+H1159)/F1159</f>
        <v>2.5169376556978155E-2</v>
      </c>
    </row>
    <row r="1160" spans="1:13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>
        <f t="shared" si="143"/>
        <v>282.76</v>
      </c>
      <c r="G1160" s="221">
        <f t="shared" si="144"/>
        <v>1.6324953640792013E-3</v>
      </c>
      <c r="H1160" s="37">
        <f t="shared" si="145"/>
        <v>3.6745250451727673</v>
      </c>
      <c r="I1160" s="37">
        <f t="shared" si="142"/>
        <v>1.3511228591100266</v>
      </c>
      <c r="J1160" s="37">
        <v>0</v>
      </c>
      <c r="K1160" s="37">
        <f t="shared" si="146"/>
        <v>0.66749470446470383</v>
      </c>
      <c r="L1160" s="37"/>
      <c r="M1160" s="45">
        <v>0</v>
      </c>
    </row>
    <row r="1161" spans="1:13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>
        <f t="shared" si="143"/>
        <v>180.5</v>
      </c>
      <c r="G1161" s="221">
        <f t="shared" si="144"/>
        <v>1.0421043047683402E-3</v>
      </c>
      <c r="H1161" s="37">
        <f t="shared" si="145"/>
        <v>2.3456350638480852</v>
      </c>
      <c r="I1161" s="37">
        <f t="shared" si="142"/>
        <v>0.86249001297694095</v>
      </c>
      <c r="J1161" s="37">
        <v>0.90885178357585206</v>
      </c>
      <c r="K1161" s="37">
        <f t="shared" si="146"/>
        <v>0.42609560813367892</v>
      </c>
      <c r="L1161" s="37"/>
      <c r="M1161" s="45">
        <f t="shared" si="147"/>
        <v>2.5169376556978158E-2</v>
      </c>
    </row>
    <row r="1162" spans="1:13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40">
        <f t="shared" si="143"/>
        <v>5520.77</v>
      </c>
      <c r="G1162" s="221">
        <f t="shared" si="144"/>
        <v>3.1873784945351299E-2</v>
      </c>
      <c r="H1162" s="37">
        <f t="shared" si="145"/>
        <v>71.743555077233211</v>
      </c>
      <c r="I1162" s="37">
        <f t="shared" si="142"/>
        <v>26.380105201898655</v>
      </c>
      <c r="J1162" s="37">
        <v>27.798125546881199</v>
      </c>
      <c r="K1162" s="37">
        <f t="shared" si="146"/>
        <v>13.032553188455239</v>
      </c>
      <c r="L1162" s="37"/>
      <c r="M1162" s="45">
        <f t="shared" si="147"/>
        <v>2.5169376556978155E-2</v>
      </c>
    </row>
    <row r="1163" spans="1:13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40">
        <f t="shared" si="143"/>
        <v>5310.85</v>
      </c>
      <c r="G1163" s="221">
        <f t="shared" si="144"/>
        <v>3.0661826299052296E-2</v>
      </c>
      <c r="H1163" s="37">
        <f t="shared" si="145"/>
        <v>69.015600990790048</v>
      </c>
      <c r="I1163" s="37">
        <f t="shared" si="142"/>
        <v>25.377036484313503</v>
      </c>
      <c r="J1163" s="37">
        <v>26.741138475367396</v>
      </c>
      <c r="K1163" s="37">
        <f t="shared" si="146"/>
        <v>12.537007537156503</v>
      </c>
      <c r="L1163" s="37"/>
      <c r="M1163" s="45">
        <f t="shared" si="147"/>
        <v>2.5169376556978151E-2</v>
      </c>
    </row>
    <row r="1164" spans="1:13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40">
        <f t="shared" si="143"/>
        <v>5405.43</v>
      </c>
      <c r="G1164" s="221">
        <f t="shared" si="144"/>
        <v>3.1207877407888805E-2</v>
      </c>
      <c r="H1164" s="37">
        <f t="shared" si="145"/>
        <v>70.244687773830222</v>
      </c>
      <c r="I1164" s="37">
        <f t="shared" si="142"/>
        <v>25.828971694437374</v>
      </c>
      <c r="J1164" s="37">
        <v>27.217366739581269</v>
      </c>
      <c r="K1164" s="37">
        <f t="shared" si="146"/>
        <v>12.760276914537574</v>
      </c>
      <c r="L1164" s="37"/>
      <c r="M1164" s="45">
        <f t="shared" si="147"/>
        <v>2.5169376556978158E-2</v>
      </c>
    </row>
    <row r="1165" spans="1:13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>
        <f t="shared" si="143"/>
        <v>349.2</v>
      </c>
      <c r="G1165" s="221">
        <f t="shared" si="144"/>
        <v>2.0160821231307718E-3</v>
      </c>
      <c r="H1165" s="37">
        <f t="shared" si="145"/>
        <v>4.5379266719986218</v>
      </c>
      <c r="I1165" s="37">
        <f t="shared" si="142"/>
        <v>1.6685956372938933</v>
      </c>
      <c r="J1165" s="37">
        <v>1.7582883258985456</v>
      </c>
      <c r="K1165" s="37">
        <f t="shared" si="146"/>
        <v>0.82433565850571</v>
      </c>
      <c r="L1165" s="37"/>
      <c r="M1165" s="45">
        <f t="shared" si="147"/>
        <v>2.5169376556978151E-2</v>
      </c>
    </row>
    <row r="1166" spans="1:13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>
        <f t="shared" si="143"/>
        <v>433.4</v>
      </c>
      <c r="G1166" s="221">
        <f t="shared" si="144"/>
        <v>2.502205017654286E-3</v>
      </c>
      <c r="H1166" s="37">
        <f t="shared" si="145"/>
        <v>5.632123194857396</v>
      </c>
      <c r="I1166" s="37">
        <f t="shared" si="142"/>
        <v>2.0709316987490647</v>
      </c>
      <c r="J1166" s="37">
        <v>2.1822513185693864</v>
      </c>
      <c r="K1166" s="37">
        <f t="shared" si="146"/>
        <v>1.0231015876184844</v>
      </c>
      <c r="L1166" s="37"/>
      <c r="M1166" s="45">
        <f t="shared" si="147"/>
        <v>2.5169376556978158E-2</v>
      </c>
    </row>
    <row r="1167" spans="1:13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>
        <f t="shared" si="143"/>
        <v>360.2</v>
      </c>
      <c r="G1167" s="221">
        <f t="shared" si="144"/>
        <v>2.0795898646956018E-3</v>
      </c>
      <c r="H1167" s="37">
        <f t="shared" si="145"/>
        <v>4.6808739612082011</v>
      </c>
      <c r="I1167" s="37">
        <f t="shared" si="142"/>
        <v>1.7211573555362556</v>
      </c>
      <c r="J1167" s="37">
        <v>1.8136754152023371</v>
      </c>
      <c r="K1167" s="37">
        <f t="shared" si="146"/>
        <v>0.85030270387673768</v>
      </c>
      <c r="L1167" s="37"/>
      <c r="M1167" s="45">
        <f t="shared" si="147"/>
        <v>2.5169376556978155E-2</v>
      </c>
    </row>
    <row r="1168" spans="1:13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>
        <f t="shared" si="143"/>
        <v>31.8</v>
      </c>
      <c r="G1168" s="221">
        <f t="shared" si="144"/>
        <v>1.83595107432871E-4</v>
      </c>
      <c r="H1168" s="37">
        <f t="shared" si="145"/>
        <v>0.41324761789678177</v>
      </c>
      <c r="I1168" s="37">
        <f t="shared" si="142"/>
        <v>0.15195114910064667</v>
      </c>
      <c r="J1168" s="37">
        <v>0.16011903998732463</v>
      </c>
      <c r="K1168" s="37">
        <f t="shared" si="146"/>
        <v>7.5068367527152291E-2</v>
      </c>
      <c r="L1168" s="37"/>
      <c r="M1168" s="45">
        <f t="shared" si="147"/>
        <v>2.5169376556978158E-2</v>
      </c>
    </row>
    <row r="1169" spans="1:13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>
        <f t="shared" si="143"/>
        <v>357.19</v>
      </c>
      <c r="G1169" s="221">
        <f t="shared" si="144"/>
        <v>2.0622118372310436E-3</v>
      </c>
      <c r="H1169" s="37">
        <f t="shared" si="145"/>
        <v>4.6417583847972157</v>
      </c>
      <c r="I1169" s="37">
        <f t="shared" si="142"/>
        <v>1.7067745580899363</v>
      </c>
      <c r="J1169" s="37">
        <v>1.7985194934928452</v>
      </c>
      <c r="K1169" s="37">
        <f t="shared" si="146"/>
        <v>0.84319717600702915</v>
      </c>
      <c r="L1169" s="37"/>
      <c r="M1169" s="45">
        <f t="shared" si="147"/>
        <v>2.5169376556978155E-2</v>
      </c>
    </row>
    <row r="1170" spans="1:13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>
        <f t="shared" si="143"/>
        <v>306.39999999999998</v>
      </c>
      <c r="G1170" s="221">
        <f t="shared" si="144"/>
        <v>1.7689792741330714E-3</v>
      </c>
      <c r="H1170" s="37">
        <f t="shared" si="145"/>
        <v>3.9817317648922614</v>
      </c>
      <c r="I1170" s="37">
        <f t="shared" si="142"/>
        <v>1.4640827699508847</v>
      </c>
      <c r="J1170" s="37">
        <v>1.5427821966074298</v>
      </c>
      <c r="K1170" s="37">
        <f t="shared" si="146"/>
        <v>0.72330024560753026</v>
      </c>
      <c r="L1170" s="37"/>
      <c r="M1170" s="45">
        <f t="shared" si="147"/>
        <v>2.5169376556978158E-2</v>
      </c>
    </row>
    <row r="1171" spans="1:13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>
        <f t="shared" si="143"/>
        <v>407.2</v>
      </c>
      <c r="G1171" s="221">
        <f t="shared" si="144"/>
        <v>2.3509411241089645E-3</v>
      </c>
      <c r="H1171" s="37">
        <f t="shared" si="145"/>
        <v>5.2916487423763998</v>
      </c>
      <c r="I1171" s="37">
        <f t="shared" si="142"/>
        <v>1.9457392425718023</v>
      </c>
      <c r="J1171" s="37">
        <v>2.0503293422276285</v>
      </c>
      <c r="K1171" s="37">
        <f t="shared" si="146"/>
        <v>0.96125280682567338</v>
      </c>
      <c r="L1171" s="37"/>
      <c r="M1171" s="45">
        <f t="shared" si="147"/>
        <v>2.5169376556978151E-2</v>
      </c>
    </row>
    <row r="1172" spans="1:13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>
        <f t="shared" si="143"/>
        <v>52.3</v>
      </c>
      <c r="G1172" s="221">
        <f t="shared" si="144"/>
        <v>3.0195044398550797E-4</v>
      </c>
      <c r="H1172" s="37">
        <f t="shared" si="145"/>
        <v>0.67964938415099641</v>
      </c>
      <c r="I1172" s="37">
        <f t="shared" si="142"/>
        <v>0.24990707855232139</v>
      </c>
      <c r="J1172" s="37">
        <v>0.26334043368984522</v>
      </c>
      <c r="K1172" s="37">
        <f t="shared" si="146"/>
        <v>0.1234614975367945</v>
      </c>
      <c r="L1172" s="37"/>
      <c r="M1172" s="45">
        <f t="shared" si="147"/>
        <v>2.5169376556978158E-2</v>
      </c>
    </row>
    <row r="1173" spans="1:13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>
        <f t="shared" si="143"/>
        <v>122.2</v>
      </c>
      <c r="G1173" s="221">
        <f t="shared" si="144"/>
        <v>7.0551327447474334E-4</v>
      </c>
      <c r="H1173" s="37">
        <f t="shared" si="145"/>
        <v>1.5880144310373185</v>
      </c>
      <c r="I1173" s="37">
        <f t="shared" si="142"/>
        <v>0.5839129062924221</v>
      </c>
      <c r="J1173" s="37">
        <v>0.61530021026575699</v>
      </c>
      <c r="K1173" s="37">
        <f t="shared" si="146"/>
        <v>0.28847026766723305</v>
      </c>
      <c r="L1173" s="37"/>
      <c r="M1173" s="45">
        <f t="shared" si="147"/>
        <v>2.5169376556978155E-2</v>
      </c>
    </row>
    <row r="1174" spans="1:13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>
        <f t="shared" si="143"/>
        <v>77.900000000000006</v>
      </c>
      <c r="G1174" s="221">
        <f t="shared" si="144"/>
        <v>4.4975027890002049E-4</v>
      </c>
      <c r="H1174" s="37">
        <f t="shared" si="145"/>
        <v>1.0123267117660155</v>
      </c>
      <c r="I1174" s="37">
        <f t="shared" si="142"/>
        <v>0.37223253191636391</v>
      </c>
      <c r="J1174" s="37">
        <v>0.3922412960695783</v>
      </c>
      <c r="K1174" s="37">
        <f t="shared" si="146"/>
        <v>0.18389389403664039</v>
      </c>
      <c r="L1174" s="37"/>
      <c r="M1174" s="45">
        <f t="shared" si="147"/>
        <v>2.5169376556978151E-2</v>
      </c>
    </row>
    <row r="1175" spans="1:13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>
        <f t="shared" si="143"/>
        <v>205.19</v>
      </c>
      <c r="G1175" s="221">
        <f t="shared" si="144"/>
        <v>1.1846503174261257E-3</v>
      </c>
      <c r="H1175" s="37">
        <f t="shared" si="145"/>
        <v>2.6664867520830393</v>
      </c>
      <c r="I1175" s="37">
        <f t="shared" si="142"/>
        <v>0.98046717874093359</v>
      </c>
      <c r="J1175" s="37">
        <v>1.0331706231131805</v>
      </c>
      <c r="K1175" s="37">
        <f t="shared" si="146"/>
        <v>0.48437982178919431</v>
      </c>
      <c r="L1175" s="37"/>
      <c r="M1175" s="45">
        <f t="shared" si="147"/>
        <v>2.5169376556978155E-2</v>
      </c>
    </row>
    <row r="1176" spans="1:13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>
        <f t="shared" si="143"/>
        <v>289.10000000000002</v>
      </c>
      <c r="G1176" s="221">
        <f t="shared" si="144"/>
        <v>1.6690989169447488E-3</v>
      </c>
      <c r="H1176" s="37">
        <f t="shared" si="145"/>
        <v>3.7569146645899245</v>
      </c>
      <c r="I1176" s="37">
        <f t="shared" si="142"/>
        <v>1.3814175221697154</v>
      </c>
      <c r="J1176" s="37">
        <v>1.4556734107023759</v>
      </c>
      <c r="K1176" s="37">
        <f t="shared" si="146"/>
        <v>0.68246116516036892</v>
      </c>
      <c r="L1176" s="37"/>
      <c r="M1176" s="45">
        <f t="shared" si="147"/>
        <v>2.5169376556978155E-2</v>
      </c>
    </row>
    <row r="1177" spans="1:13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>
        <f t="shared" si="143"/>
        <v>117.92</v>
      </c>
      <c r="G1177" s="221">
        <f t="shared" si="144"/>
        <v>6.8080298957497328E-4</v>
      </c>
      <c r="H1177" s="37">
        <f t="shared" si="145"/>
        <v>1.5323949403266828</v>
      </c>
      <c r="I1177" s="37">
        <f t="shared" si="142"/>
        <v>0.56346161955812135</v>
      </c>
      <c r="J1177" s="37">
        <v>0.59374959733664534</v>
      </c>
      <c r="K1177" s="37">
        <f t="shared" si="146"/>
        <v>0.27836672637741505</v>
      </c>
      <c r="L1177" s="37"/>
      <c r="M1177" s="45">
        <f t="shared" si="147"/>
        <v>2.5169376556978158E-2</v>
      </c>
    </row>
    <row r="1178" spans="1:13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>
        <f t="shared" si="143"/>
        <v>242.85</v>
      </c>
      <c r="G1178" s="221">
        <f t="shared" si="144"/>
        <v>1.4020777308198968E-3</v>
      </c>
      <c r="H1178" s="37">
        <f t="shared" si="145"/>
        <v>3.1558862895041964</v>
      </c>
      <c r="I1178" s="37">
        <f t="shared" si="142"/>
        <v>1.1604193886506931</v>
      </c>
      <c r="J1178" s="37">
        <v>1.222795876129616</v>
      </c>
      <c r="K1178" s="37">
        <f t="shared" si="146"/>
        <v>0.57328154257763941</v>
      </c>
      <c r="L1178" s="37"/>
      <c r="M1178" s="45">
        <f t="shared" si="147"/>
        <v>2.5169376556978155E-2</v>
      </c>
    </row>
    <row r="1179" spans="1:13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>
        <f t="shared" si="143"/>
        <v>415.2</v>
      </c>
      <c r="G1179" s="221">
        <f t="shared" si="144"/>
        <v>2.3971285725197496E-3</v>
      </c>
      <c r="H1179" s="37">
        <f t="shared" si="145"/>
        <v>5.3956104072560933</v>
      </c>
      <c r="I1179" s="37">
        <f t="shared" si="142"/>
        <v>1.9839659467480657</v>
      </c>
      <c r="J1179" s="37">
        <v>0</v>
      </c>
      <c r="K1179" s="37">
        <f t="shared" si="146"/>
        <v>0.98013793073187516</v>
      </c>
      <c r="L1179" s="37"/>
      <c r="M1179" s="45">
        <f t="shared" si="147"/>
        <v>2.0134186620269834E-2</v>
      </c>
    </row>
    <row r="1180" spans="1:13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40">
        <f t="shared" si="143"/>
        <v>8111.75</v>
      </c>
      <c r="G1180" s="221">
        <f t="shared" si="144"/>
        <v>4.6832629330773312E-2</v>
      </c>
      <c r="H1180" s="37">
        <f t="shared" si="145"/>
        <v>105.41387938598174</v>
      </c>
      <c r="I1180" s="37">
        <f t="shared" si="142"/>
        <v>38.760683450225493</v>
      </c>
      <c r="J1180" s="37">
        <v>40.844201969093724</v>
      </c>
      <c r="K1180" s="37">
        <f t="shared" si="146"/>
        <v>19.148925480766593</v>
      </c>
      <c r="L1180" s="37"/>
      <c r="M1180" s="45">
        <f t="shared" si="147"/>
        <v>2.5169376556978158E-2</v>
      </c>
    </row>
    <row r="1181" spans="1:13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40">
        <f t="shared" si="143"/>
        <v>6280.23</v>
      </c>
      <c r="G1181" s="221">
        <f t="shared" si="144"/>
        <v>3.6258474891608154E-2</v>
      </c>
      <c r="H1181" s="37">
        <f t="shared" si="145"/>
        <v>81.612895828424698</v>
      </c>
      <c r="I1181" s="37">
        <f t="shared" si="142"/>
        <v>30.009061796111762</v>
      </c>
      <c r="J1181" s="37">
        <v>31.6221508962137</v>
      </c>
      <c r="K1181" s="37">
        <f t="shared" si="146"/>
        <v>14.825365213680742</v>
      </c>
      <c r="L1181" s="37"/>
      <c r="M1181" s="45">
        <f t="shared" si="147"/>
        <v>2.5169376556978155E-2</v>
      </c>
    </row>
    <row r="1182" spans="1:13" s="6" customFormat="1" ht="18">
      <c r="A1182" s="105">
        <v>37</v>
      </c>
      <c r="B1182" s="245" t="s">
        <v>514</v>
      </c>
      <c r="C1182" s="330">
        <v>8361.6299999999992</v>
      </c>
      <c r="D1182" s="330"/>
      <c r="E1182" s="330"/>
      <c r="F1182" s="40">
        <f t="shared" si="143"/>
        <v>8361.6299999999992</v>
      </c>
      <c r="G1182" s="221">
        <f t="shared" si="144"/>
        <v>4.8275294281884179E-2</v>
      </c>
      <c r="H1182" s="37">
        <f t="shared" si="145"/>
        <v>108.66112198849895</v>
      </c>
      <c r="I1182" s="37">
        <f t="shared" si="142"/>
        <v>39.954694555171066</v>
      </c>
      <c r="J1182" s="37">
        <v>42.1023952304784</v>
      </c>
      <c r="K1182" s="37">
        <f t="shared" si="146"/>
        <v>19.738802325976803</v>
      </c>
      <c r="L1182" s="37"/>
      <c r="M1182" s="45">
        <f t="shared" si="147"/>
        <v>2.5169376556978151E-2</v>
      </c>
    </row>
    <row r="1183" spans="1:13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40">
        <f t="shared" si="143"/>
        <v>6675.9</v>
      </c>
      <c r="G1183" s="221">
        <f t="shared" si="144"/>
        <v>3.8542848355695075E-2</v>
      </c>
      <c r="H1183" s="37">
        <f t="shared" si="145"/>
        <v>86.754709821293247</v>
      </c>
      <c r="I1183" s="37">
        <f t="shared" si="142"/>
        <v>31.899706801289529</v>
      </c>
      <c r="J1183" s="37">
        <v>33.614424498471081</v>
      </c>
      <c r="K1183" s="37">
        <f t="shared" si="146"/>
        <v>15.759399835676602</v>
      </c>
      <c r="L1183" s="37"/>
      <c r="M1183" s="45">
        <f t="shared" si="147"/>
        <v>2.5169376556978155E-2</v>
      </c>
    </row>
    <row r="1184" spans="1:13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143"/>
        <v>4537.7299999999996</v>
      </c>
      <c r="G1184" s="221">
        <f t="shared" si="144"/>
        <v>2.6198271284634013E-2</v>
      </c>
      <c r="H1184" s="37">
        <f t="shared" si="145"/>
        <v>58.968745696816448</v>
      </c>
      <c r="I1184" s="37">
        <f t="shared" si="142"/>
        <v>21.682807792719409</v>
      </c>
      <c r="J1184" s="37">
        <v>22.848332431499454</v>
      </c>
      <c r="K1184" s="37">
        <f t="shared" si="146"/>
        <v>10.711949162861155</v>
      </c>
      <c r="L1184" s="37"/>
      <c r="M1184" s="45">
        <f t="shared" si="147"/>
        <v>2.5169376556978151E-2</v>
      </c>
    </row>
    <row r="1185" spans="1:13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40">
        <f t="shared" si="143"/>
        <v>4352.13</v>
      </c>
      <c r="G1185" s="221">
        <f t="shared" si="144"/>
        <v>2.5126722481503803E-2</v>
      </c>
      <c r="H1185" s="37">
        <f t="shared" si="145"/>
        <v>56.556835071607573</v>
      </c>
      <c r="I1185" s="37">
        <f t="shared" si="142"/>
        <v>20.795948255830105</v>
      </c>
      <c r="J1185" s="37">
        <v>21.913801179246388</v>
      </c>
      <c r="K1185" s="37">
        <f t="shared" si="146"/>
        <v>10.273814288237276</v>
      </c>
      <c r="L1185" s="37"/>
      <c r="M1185" s="45">
        <f t="shared" si="147"/>
        <v>2.5169376556978155E-2</v>
      </c>
    </row>
    <row r="1186" spans="1:13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143"/>
        <v>4529.3500000000004</v>
      </c>
      <c r="G1186" s="221">
        <f t="shared" si="144"/>
        <v>2.6149889932423721E-2</v>
      </c>
      <c r="H1186" s="37">
        <f t="shared" si="145"/>
        <v>58.859845852854981</v>
      </c>
      <c r="I1186" s="37">
        <f t="shared" si="142"/>
        <v>21.642765320094778</v>
      </c>
      <c r="J1186" s="37">
        <v>22.806137539829837</v>
      </c>
      <c r="K1186" s="37">
        <f t="shared" si="146"/>
        <v>10.69216699556941</v>
      </c>
      <c r="L1186" s="37"/>
      <c r="M1186" s="45">
        <f t="shared" si="147"/>
        <v>2.5169376556978151E-2</v>
      </c>
    </row>
    <row r="1187" spans="1:13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143"/>
        <v>4151.1900000000005</v>
      </c>
      <c r="G1187" s="221">
        <f t="shared" si="144"/>
        <v>2.3966609246045909E-2</v>
      </c>
      <c r="H1187" s="37">
        <f t="shared" si="145"/>
        <v>53.945577953991879</v>
      </c>
      <c r="I1187" s="37">
        <f t="shared" si="142"/>
        <v>19.835789013682817</v>
      </c>
      <c r="J1187" s="37">
        <v>20.902030113364223</v>
      </c>
      <c r="K1187" s="37">
        <f t="shared" si="146"/>
        <v>9.799467188523252</v>
      </c>
      <c r="L1187" s="37"/>
      <c r="M1187" s="45">
        <f t="shared" si="147"/>
        <v>2.5169376556978158E-2</v>
      </c>
    </row>
    <row r="1188" spans="1:13" s="6" customFormat="1" ht="18">
      <c r="A1188" s="105">
        <v>43</v>
      </c>
      <c r="B1188" s="245" t="s">
        <v>520</v>
      </c>
      <c r="C1188" s="330">
        <v>8136.02</v>
      </c>
      <c r="D1188" s="330"/>
      <c r="E1188" s="330"/>
      <c r="F1188" s="40">
        <f t="shared" si="143"/>
        <v>8136.02</v>
      </c>
      <c r="G1188" s="221">
        <f t="shared" si="144"/>
        <v>4.6972750502389533E-2</v>
      </c>
      <c r="H1188" s="37">
        <f t="shared" si="145"/>
        <v>105.72927308681052</v>
      </c>
      <c r="I1188" s="37">
        <f t="shared" si="142"/>
        <v>38.876653714020229</v>
      </c>
      <c r="J1188" s="37">
        <v>40.966406028857641</v>
      </c>
      <c r="K1188" s="37">
        <f t="shared" si="146"/>
        <v>19.206218225417032</v>
      </c>
      <c r="L1188" s="37"/>
      <c r="M1188" s="45">
        <f t="shared" si="147"/>
        <v>2.5169376556978155E-2</v>
      </c>
    </row>
    <row r="1189" spans="1:13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43"/>
        <v>6240.13</v>
      </c>
      <c r="G1189" s="221">
        <f t="shared" si="144"/>
        <v>3.6026960306449099E-2</v>
      </c>
      <c r="H1189" s="37">
        <f t="shared" si="145"/>
        <v>81.091787983215241</v>
      </c>
      <c r="I1189" s="37">
        <f t="shared" si="142"/>
        <v>29.817450441428246</v>
      </c>
      <c r="J1189" s="37">
        <v>31.4202397797517</v>
      </c>
      <c r="K1189" s="37">
        <f t="shared" si="146"/>
        <v>14.730703530100907</v>
      </c>
      <c r="L1189" s="37"/>
      <c r="M1189" s="45">
        <f t="shared" si="147"/>
        <v>2.5169376556978155E-2</v>
      </c>
    </row>
    <row r="1190" spans="1:13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43"/>
        <v>6278.0199999999995</v>
      </c>
      <c r="G1190" s="221">
        <f t="shared" si="144"/>
        <v>3.624571560898468E-2</v>
      </c>
      <c r="H1190" s="37">
        <f t="shared" si="145"/>
        <v>81.584176418501684</v>
      </c>
      <c r="I1190" s="37">
        <f t="shared" si="142"/>
        <v>29.998501669083073</v>
      </c>
      <c r="J1190" s="37">
        <v>31.611023126453581</v>
      </c>
      <c r="K1190" s="37">
        <f t="shared" si="146"/>
        <v>14.820148198201656</v>
      </c>
      <c r="L1190" s="37"/>
      <c r="M1190" s="45">
        <f t="shared" si="147"/>
        <v>2.5169376556978158E-2</v>
      </c>
    </row>
    <row r="1191" spans="1:13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143"/>
        <v>3988.11</v>
      </c>
      <c r="G1191" s="221">
        <f t="shared" si="144"/>
        <v>2.3025078110192051E-2</v>
      </c>
      <c r="H1191" s="37">
        <f t="shared" si="145"/>
        <v>51.826319415419313</v>
      </c>
      <c r="I1191" s="37">
        <f t="shared" si="142"/>
        <v>19.056537649049684</v>
      </c>
      <c r="J1191" s="37">
        <v>20.080891338485827</v>
      </c>
      <c r="K1191" s="37">
        <f>G1191*208.88</f>
        <v>4.8094783156569152</v>
      </c>
      <c r="L1191" s="37"/>
      <c r="M1191" s="45">
        <f t="shared" si="147"/>
        <v>2.4014690346708525E-2</v>
      </c>
    </row>
    <row r="1192" spans="1:13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40">
        <f t="shared" si="143"/>
        <v>4150.55</v>
      </c>
      <c r="G1192" s="221">
        <f t="shared" si="144"/>
        <v>2.3962914250173044E-2</v>
      </c>
      <c r="H1192" s="37">
        <f t="shared" si="145"/>
        <v>53.937261020801493</v>
      </c>
      <c r="I1192" s="37">
        <f t="shared" si="142"/>
        <v>19.832730877348709</v>
      </c>
      <c r="J1192" s="37">
        <v>20.898807591804726</v>
      </c>
      <c r="K1192" s="37">
        <f t="shared" si="146"/>
        <v>9.7979563786107544</v>
      </c>
      <c r="L1192" s="37"/>
      <c r="M1192" s="45">
        <f t="shared" si="147"/>
        <v>2.5169376556978155E-2</v>
      </c>
    </row>
    <row r="1193" spans="1:13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40">
        <f t="shared" si="143"/>
        <v>14374.02</v>
      </c>
      <c r="G1193" s="221">
        <f t="shared" si="144"/>
        <v>8.2987413400699261E-2</v>
      </c>
      <c r="H1193" s="37">
        <f t="shared" si="145"/>
        <v>186.79338127675152</v>
      </c>
      <c r="I1193" s="37">
        <f t="shared" si="142"/>
        <v>68.683926295461532</v>
      </c>
      <c r="J1193" s="37">
        <v>72.375920854044139</v>
      </c>
      <c r="K1193" s="37">
        <f t="shared" si="146"/>
        <v>33.931893591277912</v>
      </c>
      <c r="L1193" s="37"/>
      <c r="M1193" s="45">
        <f t="shared" si="147"/>
        <v>2.5169376556978151E-2</v>
      </c>
    </row>
    <row r="1194" spans="1:13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40">
        <f t="shared" si="143"/>
        <v>4120.28</v>
      </c>
      <c r="G1194" s="221">
        <f t="shared" si="144"/>
        <v>2.3788152492248731E-2</v>
      </c>
      <c r="H1194" s="37">
        <f t="shared" si="145"/>
        <v>53.54389607131295</v>
      </c>
      <c r="I1194" s="37">
        <f t="shared" si="142"/>
        <v>19.688090585421772</v>
      </c>
      <c r="J1194" s="37">
        <v>20.74639239242056</v>
      </c>
      <c r="K1194" s="37">
        <f t="shared" si="146"/>
        <v>9.7264997910306619</v>
      </c>
      <c r="L1194" s="37"/>
      <c r="M1194" s="45">
        <f t="shared" si="147"/>
        <v>2.5169376556978158E-2</v>
      </c>
    </row>
    <row r="1195" spans="1:13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40">
        <f t="shared" si="143"/>
        <v>14371.39</v>
      </c>
      <c r="G1195" s="221">
        <f t="shared" si="144"/>
        <v>8.297222927703421E-2</v>
      </c>
      <c r="H1195" s="37">
        <f t="shared" si="145"/>
        <v>186.75920387942233</v>
      </c>
      <c r="I1195" s="37">
        <f t="shared" si="142"/>
        <v>68.671359266463597</v>
      </c>
      <c r="J1195" s="37">
        <v>72.362678304510609</v>
      </c>
      <c r="K1195" s="37">
        <f t="shared" si="146"/>
        <v>33.92568510679375</v>
      </c>
      <c r="L1195" s="37"/>
      <c r="M1195" s="45">
        <f t="shared" si="147"/>
        <v>2.5169376556978155E-2</v>
      </c>
    </row>
    <row r="1196" spans="1:13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143"/>
        <v>11511.4</v>
      </c>
      <c r="G1196" s="221">
        <f t="shared" si="144"/>
        <v>6.6460274204489037E-2</v>
      </c>
      <c r="H1196" s="37">
        <f t="shared" si="145"/>
        <v>149.59303863701302</v>
      </c>
      <c r="I1196" s="37">
        <f t="shared" si="142"/>
        <v>55.005360306829694</v>
      </c>
      <c r="J1196" s="37">
        <v>57.962085437424165</v>
      </c>
      <c r="K1196" s="37">
        <f t="shared" si="146"/>
        <v>27.174276916731475</v>
      </c>
      <c r="L1196" s="37"/>
      <c r="M1196" s="45">
        <f t="shared" si="147"/>
        <v>2.5169376556978158E-2</v>
      </c>
    </row>
    <row r="1197" spans="1:13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143"/>
        <v>6924.2000000000007</v>
      </c>
      <c r="G1197" s="221">
        <f t="shared" si="144"/>
        <v>3.9976391285744831E-2</v>
      </c>
      <c r="H1197" s="37">
        <f t="shared" si="145"/>
        <v>89.981419994996742</v>
      </c>
      <c r="I1197" s="37">
        <f t="shared" si="142"/>
        <v>33.086168132160303</v>
      </c>
      <c r="J1197" s="37">
        <v>34.86466215975576</v>
      </c>
      <c r="K1197" s="37">
        <f t="shared" si="146"/>
        <v>16.345546868915346</v>
      </c>
      <c r="L1197" s="37"/>
      <c r="M1197" s="45">
        <f t="shared" si="147"/>
        <v>2.5169376556978155E-2</v>
      </c>
    </row>
    <row r="1198" spans="1:13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143"/>
        <v>10867.230000000001</v>
      </c>
      <c r="G1198" s="221">
        <f t="shared" si="144"/>
        <v>6.2741203124142109E-2</v>
      </c>
      <c r="H1198" s="37">
        <f t="shared" si="145"/>
        <v>141.22191542881899</v>
      </c>
      <c r="I1198" s="37">
        <f t="shared" si="142"/>
        <v>51.927298303176748</v>
      </c>
      <c r="J1198" s="37">
        <v>54.71856713589478</v>
      </c>
      <c r="K1198" s="37">
        <f t="shared" si="146"/>
        <v>25.653623133399226</v>
      </c>
      <c r="L1198" s="37"/>
      <c r="M1198" s="45">
        <f t="shared" si="147"/>
        <v>2.5169376556978155E-2</v>
      </c>
    </row>
    <row r="1199" spans="1:13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143"/>
        <v>7546</v>
      </c>
      <c r="G1199" s="221">
        <f t="shared" si="144"/>
        <v>4.3566310713473097E-2</v>
      </c>
      <c r="H1199" s="37">
        <f t="shared" si="145"/>
        <v>98.061840397770908</v>
      </c>
      <c r="I1199" s="37">
        <f t="shared" si="142"/>
        <v>36.057338714260368</v>
      </c>
      <c r="J1199" s="37">
        <v>37.995543262400993</v>
      </c>
      <c r="K1199" s="37">
        <f t="shared" si="146"/>
        <v>17.813393124524879</v>
      </c>
      <c r="L1199" s="37"/>
      <c r="M1199" s="45">
        <f t="shared" si="147"/>
        <v>2.5169376556978151E-2</v>
      </c>
    </row>
    <row r="1200" spans="1:13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143"/>
        <v>2503.4</v>
      </c>
      <c r="G1200" s="221">
        <f t="shared" si="144"/>
        <v>1.4453207293944946E-2</v>
      </c>
      <c r="H1200" s="37">
        <f t="shared" si="145"/>
        <v>32.532203982478094</v>
      </c>
      <c r="I1200" s="37">
        <f t="shared" si="142"/>
        <v>11.962091404357196</v>
      </c>
      <c r="J1200" s="37">
        <v>12.605094487555613</v>
      </c>
      <c r="K1200" s="37">
        <f t="shared" si="146"/>
        <v>5.909627398348209</v>
      </c>
      <c r="L1200" s="37"/>
      <c r="M1200" s="45">
        <f t="shared" si="147"/>
        <v>2.5169376556978155E-2</v>
      </c>
    </row>
    <row r="1201" spans="1:13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 t="shared" si="143"/>
        <v>1175</v>
      </c>
      <c r="G1201" s="221">
        <f t="shared" si="144"/>
        <v>6.7837814853340698E-3</v>
      </c>
      <c r="H1201" s="37">
        <f t="shared" si="145"/>
        <v>15.269369529204985</v>
      </c>
      <c r="I1201" s="37">
        <f t="shared" si="142"/>
        <v>5.6145471758886734</v>
      </c>
      <c r="J1201" s="37">
        <v>5.9163481756322778</v>
      </c>
      <c r="K1201" s="37">
        <f t="shared" si="146"/>
        <v>2.7737525737233946</v>
      </c>
      <c r="L1201" s="37"/>
      <c r="M1201" s="45">
        <f t="shared" si="147"/>
        <v>2.5169376556978155E-2</v>
      </c>
    </row>
    <row r="1202" spans="1:13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3">
        <f t="shared" ref="F1202:F1232" si="148">C1202+D1202+E1202</f>
        <v>173207.23</v>
      </c>
      <c r="G1202" s="221">
        <f>1/173207.23*F1202</f>
        <v>1</v>
      </c>
      <c r="H1202" s="37">
        <f>G1202*1218*1.54*1.2</f>
        <v>2250.864</v>
      </c>
      <c r="I1202" s="64">
        <f t="shared" ref="I1202:I1232" si="149">H1202*0.3677</f>
        <v>827.64269280000008</v>
      </c>
      <c r="J1202" s="37">
        <f>SUM(J1148:J1201)</f>
        <v>868.61694029289879</v>
      </c>
      <c r="K1202" s="37">
        <f>SUM(K1148:K1201)</f>
        <v>404.27498437796157</v>
      </c>
      <c r="L1202" s="37"/>
      <c r="M1202" s="45">
        <f t="shared" si="147"/>
        <v>2.5122499894899654E-2</v>
      </c>
    </row>
    <row r="1203" spans="1:13" s="209" customFormat="1" ht="15.75">
      <c r="A1203" s="339"/>
      <c r="B1203" s="510" t="s">
        <v>618</v>
      </c>
      <c r="C1203" s="339"/>
      <c r="D1203" s="339"/>
      <c r="E1203" s="339"/>
      <c r="F1203" s="339">
        <f t="shared" si="148"/>
        <v>0</v>
      </c>
      <c r="G1203" s="339"/>
      <c r="H1203" s="37">
        <f t="shared" ref="H1203" si="150">G1203*1254.54*1.54*1.2</f>
        <v>0</v>
      </c>
      <c r="I1203" s="342"/>
      <c r="J1203" s="37">
        <v>0</v>
      </c>
      <c r="K1203" s="342">
        <f t="shared" ref="K1203:K1212" si="151">G1203*408.88*1.1</f>
        <v>0</v>
      </c>
      <c r="L1203" s="342"/>
      <c r="M1203" s="45" t="e">
        <f t="shared" si="147"/>
        <v>#DIV/0!</v>
      </c>
    </row>
    <row r="1204" spans="1:13" s="6" customFormat="1" ht="15.75">
      <c r="A1204" s="8">
        <v>1</v>
      </c>
      <c r="B1204" s="8" t="s">
        <v>532</v>
      </c>
      <c r="C1204" s="386">
        <v>3898.29</v>
      </c>
      <c r="D1204" s="386">
        <v>123.1</v>
      </c>
      <c r="E1204" s="386">
        <v>374.5</v>
      </c>
      <c r="F1204" s="40">
        <f t="shared" si="148"/>
        <v>4395.8899999999994</v>
      </c>
      <c r="G1204" s="66">
        <f>0/93367.89*F1204</f>
        <v>0</v>
      </c>
      <c r="H1204" s="37">
        <f>G1204*1218*1.54*1.2</f>
        <v>0</v>
      </c>
      <c r="I1204" s="37">
        <f t="shared" si="149"/>
        <v>0</v>
      </c>
      <c r="J1204" s="37">
        <v>0</v>
      </c>
      <c r="K1204" s="37">
        <f t="shared" si="151"/>
        <v>0</v>
      </c>
      <c r="L1204" s="37"/>
      <c r="M1204" s="45">
        <f t="shared" si="147"/>
        <v>0</v>
      </c>
    </row>
    <row r="1205" spans="1:13" s="6" customFormat="1" ht="15.75">
      <c r="A1205" s="8">
        <v>2</v>
      </c>
      <c r="B1205" s="8" t="s">
        <v>533</v>
      </c>
      <c r="C1205" s="330">
        <v>3600.73</v>
      </c>
      <c r="D1205" s="330"/>
      <c r="E1205" s="330">
        <v>290.5</v>
      </c>
      <c r="F1205" s="40">
        <f t="shared" si="148"/>
        <v>3891.23</v>
      </c>
      <c r="G1205" s="66">
        <f t="shared" ref="G1205:G1232" si="152">0/93367.89*F1205</f>
        <v>0</v>
      </c>
      <c r="H1205" s="37">
        <f t="shared" ref="H1205:H1232" si="153">G1205*1218*1.54*1.2</f>
        <v>0</v>
      </c>
      <c r="I1205" s="37">
        <f t="shared" si="149"/>
        <v>0</v>
      </c>
      <c r="J1205" s="37">
        <v>0</v>
      </c>
      <c r="K1205" s="37">
        <f t="shared" si="151"/>
        <v>0</v>
      </c>
      <c r="L1205" s="37"/>
      <c r="M1205" s="45">
        <f t="shared" si="147"/>
        <v>0</v>
      </c>
    </row>
    <row r="1206" spans="1:13" s="6" customFormat="1" ht="15.75">
      <c r="A1206" s="8">
        <v>3</v>
      </c>
      <c r="B1206" s="8" t="s">
        <v>534</v>
      </c>
      <c r="C1206" s="330">
        <v>5868.42</v>
      </c>
      <c r="D1206" s="330">
        <v>489.8</v>
      </c>
      <c r="E1206" s="330"/>
      <c r="F1206" s="40">
        <f t="shared" si="148"/>
        <v>6358.22</v>
      </c>
      <c r="G1206" s="66">
        <f t="shared" si="152"/>
        <v>0</v>
      </c>
      <c r="H1206" s="37">
        <f t="shared" si="153"/>
        <v>0</v>
      </c>
      <c r="I1206" s="37">
        <f t="shared" si="149"/>
        <v>0</v>
      </c>
      <c r="J1206" s="37">
        <v>0</v>
      </c>
      <c r="K1206" s="37">
        <f t="shared" si="151"/>
        <v>0</v>
      </c>
      <c r="L1206" s="37"/>
      <c r="M1206" s="45">
        <f t="shared" si="147"/>
        <v>0</v>
      </c>
    </row>
    <row r="1207" spans="1:13" s="6" customFormat="1" ht="15.75">
      <c r="A1207" s="8">
        <v>4</v>
      </c>
      <c r="B1207" s="8" t="s">
        <v>535</v>
      </c>
      <c r="C1207" s="330">
        <v>4090.86</v>
      </c>
      <c r="D1207" s="330"/>
      <c r="E1207" s="330"/>
      <c r="F1207" s="40">
        <f t="shared" si="148"/>
        <v>4090.86</v>
      </c>
      <c r="G1207" s="66">
        <f t="shared" si="152"/>
        <v>0</v>
      </c>
      <c r="H1207" s="37">
        <f t="shared" si="153"/>
        <v>0</v>
      </c>
      <c r="I1207" s="37">
        <f t="shared" si="149"/>
        <v>0</v>
      </c>
      <c r="J1207" s="37">
        <v>0</v>
      </c>
      <c r="K1207" s="37">
        <f t="shared" si="151"/>
        <v>0</v>
      </c>
      <c r="L1207" s="37"/>
      <c r="M1207" s="45">
        <f t="shared" si="147"/>
        <v>0</v>
      </c>
    </row>
    <row r="1208" spans="1:13" s="6" customFormat="1" ht="15.75">
      <c r="A1208" s="8">
        <v>5</v>
      </c>
      <c r="B1208" s="8" t="s">
        <v>536</v>
      </c>
      <c r="C1208" s="330">
        <v>3274.15</v>
      </c>
      <c r="D1208" s="330"/>
      <c r="E1208" s="330"/>
      <c r="F1208" s="40">
        <f t="shared" si="148"/>
        <v>3274.15</v>
      </c>
      <c r="G1208" s="66">
        <f t="shared" si="152"/>
        <v>0</v>
      </c>
      <c r="H1208" s="37">
        <f t="shared" si="153"/>
        <v>0</v>
      </c>
      <c r="I1208" s="37">
        <f t="shared" si="149"/>
        <v>0</v>
      </c>
      <c r="J1208" s="37">
        <v>0</v>
      </c>
      <c r="K1208" s="37">
        <f t="shared" si="151"/>
        <v>0</v>
      </c>
      <c r="L1208" s="37"/>
      <c r="M1208" s="45">
        <f t="shared" si="147"/>
        <v>0</v>
      </c>
    </row>
    <row r="1209" spans="1:13" s="6" customFormat="1" ht="15.75">
      <c r="A1209" s="8">
        <v>6</v>
      </c>
      <c r="B1209" s="8" t="s">
        <v>537</v>
      </c>
      <c r="C1209" s="330">
        <v>6596</v>
      </c>
      <c r="D1209" s="330"/>
      <c r="E1209" s="330"/>
      <c r="F1209" s="40">
        <f t="shared" si="148"/>
        <v>6596</v>
      </c>
      <c r="G1209" s="66">
        <f t="shared" si="152"/>
        <v>0</v>
      </c>
      <c r="H1209" s="37">
        <f t="shared" si="153"/>
        <v>0</v>
      </c>
      <c r="I1209" s="37">
        <f t="shared" si="149"/>
        <v>0</v>
      </c>
      <c r="J1209" s="37">
        <v>0</v>
      </c>
      <c r="K1209" s="37">
        <f t="shared" si="151"/>
        <v>0</v>
      </c>
      <c r="L1209" s="37"/>
      <c r="M1209" s="45">
        <f t="shared" si="147"/>
        <v>0</v>
      </c>
    </row>
    <row r="1210" spans="1:13" s="6" customFormat="1" ht="15.75">
      <c r="A1210" s="8">
        <v>7</v>
      </c>
      <c r="B1210" s="8" t="s">
        <v>538</v>
      </c>
      <c r="C1210" s="330">
        <v>7101.2</v>
      </c>
      <c r="D1210" s="330"/>
      <c r="E1210" s="330"/>
      <c r="F1210" s="40">
        <f t="shared" si="148"/>
        <v>7101.2</v>
      </c>
      <c r="G1210" s="66">
        <f t="shared" si="152"/>
        <v>0</v>
      </c>
      <c r="H1210" s="37">
        <f t="shared" si="153"/>
        <v>0</v>
      </c>
      <c r="I1210" s="37">
        <f t="shared" si="149"/>
        <v>0</v>
      </c>
      <c r="J1210" s="37">
        <v>0</v>
      </c>
      <c r="K1210" s="37">
        <f t="shared" si="151"/>
        <v>0</v>
      </c>
      <c r="L1210" s="37"/>
      <c r="M1210" s="45">
        <f t="shared" si="147"/>
        <v>0</v>
      </c>
    </row>
    <row r="1211" spans="1:13" s="6" customFormat="1" ht="15.75">
      <c r="A1211" s="8">
        <v>8</v>
      </c>
      <c r="B1211" s="8" t="s">
        <v>539</v>
      </c>
      <c r="C1211" s="330">
        <v>7470.48</v>
      </c>
      <c r="D1211" s="330"/>
      <c r="E1211" s="330"/>
      <c r="F1211" s="40">
        <f t="shared" si="148"/>
        <v>7470.48</v>
      </c>
      <c r="G1211" s="66">
        <f t="shared" si="152"/>
        <v>0</v>
      </c>
      <c r="H1211" s="37">
        <f t="shared" si="153"/>
        <v>0</v>
      </c>
      <c r="I1211" s="37">
        <f t="shared" si="149"/>
        <v>0</v>
      </c>
      <c r="J1211" s="37">
        <v>0</v>
      </c>
      <c r="K1211" s="37">
        <f t="shared" si="151"/>
        <v>0</v>
      </c>
      <c r="L1211" s="37"/>
      <c r="M1211" s="45">
        <f t="shared" si="147"/>
        <v>0</v>
      </c>
    </row>
    <row r="1212" spans="1:13" s="6" customFormat="1" ht="15.75">
      <c r="A1212" s="8">
        <v>9</v>
      </c>
      <c r="B1212" s="8" t="s">
        <v>540</v>
      </c>
      <c r="C1212" s="330">
        <v>2276.6</v>
      </c>
      <c r="D1212" s="330"/>
      <c r="E1212" s="330"/>
      <c r="F1212" s="40">
        <f t="shared" si="148"/>
        <v>2276.6</v>
      </c>
      <c r="G1212" s="66">
        <f t="shared" si="152"/>
        <v>0</v>
      </c>
      <c r="H1212" s="37">
        <f t="shared" si="153"/>
        <v>0</v>
      </c>
      <c r="I1212" s="37">
        <f t="shared" si="149"/>
        <v>0</v>
      </c>
      <c r="J1212" s="37">
        <v>0</v>
      </c>
      <c r="K1212" s="37">
        <f t="shared" si="151"/>
        <v>0</v>
      </c>
      <c r="L1212" s="37"/>
      <c r="M1212" s="45">
        <f t="shared" si="147"/>
        <v>0</v>
      </c>
    </row>
    <row r="1213" spans="1:13" s="6" customFormat="1" ht="15.75">
      <c r="A1213" s="8">
        <v>10</v>
      </c>
      <c r="B1213" s="8" t="s">
        <v>541</v>
      </c>
      <c r="C1213" s="330">
        <v>4642.43</v>
      </c>
      <c r="D1213" s="330"/>
      <c r="E1213" s="330"/>
      <c r="F1213" s="40">
        <f t="shared" si="148"/>
        <v>4642.43</v>
      </c>
      <c r="G1213" s="66">
        <f t="shared" si="152"/>
        <v>0</v>
      </c>
      <c r="H1213" s="37">
        <f t="shared" si="153"/>
        <v>0</v>
      </c>
      <c r="I1213" s="37">
        <f t="shared" si="149"/>
        <v>0</v>
      </c>
      <c r="J1213" s="37">
        <v>0</v>
      </c>
      <c r="K1213" s="37">
        <f t="shared" ref="K1213:K1232" si="154">G1213*408.88*1.1</f>
        <v>0</v>
      </c>
      <c r="L1213" s="37"/>
      <c r="M1213" s="45">
        <f t="shared" si="147"/>
        <v>0</v>
      </c>
    </row>
    <row r="1214" spans="1:13" s="6" customFormat="1" ht="15.75">
      <c r="A1214" s="8">
        <v>11</v>
      </c>
      <c r="B1214" s="8" t="s">
        <v>542</v>
      </c>
      <c r="C1214" s="330">
        <v>3634.2</v>
      </c>
      <c r="D1214" s="330"/>
      <c r="E1214" s="330"/>
      <c r="F1214" s="40">
        <f t="shared" si="148"/>
        <v>3634.2</v>
      </c>
      <c r="G1214" s="66">
        <f t="shared" si="152"/>
        <v>0</v>
      </c>
      <c r="H1214" s="37">
        <f t="shared" si="153"/>
        <v>0</v>
      </c>
      <c r="I1214" s="37">
        <f t="shared" si="149"/>
        <v>0</v>
      </c>
      <c r="J1214" s="37">
        <v>0</v>
      </c>
      <c r="K1214" s="37">
        <f t="shared" si="154"/>
        <v>0</v>
      </c>
      <c r="L1214" s="37"/>
      <c r="M1214" s="45">
        <f t="shared" si="147"/>
        <v>0</v>
      </c>
    </row>
    <row r="1215" spans="1:13" s="6" customFormat="1" ht="15.75">
      <c r="A1215" s="8">
        <v>12</v>
      </c>
      <c r="B1215" s="8" t="s">
        <v>543</v>
      </c>
      <c r="C1215" s="330">
        <v>5551.35</v>
      </c>
      <c r="D1215" s="330"/>
      <c r="E1215" s="330"/>
      <c r="F1215" s="40">
        <f t="shared" si="148"/>
        <v>5551.35</v>
      </c>
      <c r="G1215" s="66">
        <f t="shared" si="152"/>
        <v>0</v>
      </c>
      <c r="H1215" s="37">
        <f t="shared" si="153"/>
        <v>0</v>
      </c>
      <c r="I1215" s="37">
        <f t="shared" si="149"/>
        <v>0</v>
      </c>
      <c r="J1215" s="37">
        <v>0</v>
      </c>
      <c r="K1215" s="37">
        <f t="shared" si="154"/>
        <v>0</v>
      </c>
      <c r="L1215" s="37"/>
      <c r="M1215" s="45">
        <f t="shared" si="147"/>
        <v>0</v>
      </c>
    </row>
    <row r="1216" spans="1:13" s="6" customFormat="1" ht="15.75">
      <c r="A1216" s="8">
        <v>13</v>
      </c>
      <c r="B1216" s="8" t="s">
        <v>545</v>
      </c>
      <c r="C1216" s="330">
        <v>4556.37</v>
      </c>
      <c r="D1216" s="330"/>
      <c r="E1216" s="330"/>
      <c r="F1216" s="40">
        <f t="shared" si="148"/>
        <v>4556.37</v>
      </c>
      <c r="G1216" s="66">
        <f t="shared" si="152"/>
        <v>0</v>
      </c>
      <c r="H1216" s="37">
        <f t="shared" si="153"/>
        <v>0</v>
      </c>
      <c r="I1216" s="37">
        <f t="shared" si="149"/>
        <v>0</v>
      </c>
      <c r="J1216" s="37">
        <v>0</v>
      </c>
      <c r="K1216" s="37">
        <f t="shared" si="154"/>
        <v>0</v>
      </c>
      <c r="L1216" s="37"/>
      <c r="M1216" s="45">
        <f t="shared" si="147"/>
        <v>0</v>
      </c>
    </row>
    <row r="1217" spans="1:13" s="6" customFormat="1" ht="15.75">
      <c r="A1217" s="8">
        <v>14</v>
      </c>
      <c r="B1217" s="8" t="s">
        <v>546</v>
      </c>
      <c r="C1217" s="330">
        <v>4596.6099999999997</v>
      </c>
      <c r="D1217" s="330"/>
      <c r="E1217" s="330"/>
      <c r="F1217" s="40">
        <f t="shared" si="148"/>
        <v>4596.6099999999997</v>
      </c>
      <c r="G1217" s="66">
        <f t="shared" si="152"/>
        <v>0</v>
      </c>
      <c r="H1217" s="37">
        <f t="shared" si="153"/>
        <v>0</v>
      </c>
      <c r="I1217" s="37">
        <f t="shared" si="149"/>
        <v>0</v>
      </c>
      <c r="J1217" s="37">
        <v>0</v>
      </c>
      <c r="K1217" s="37">
        <f t="shared" si="154"/>
        <v>0</v>
      </c>
      <c r="L1217" s="37"/>
      <c r="M1217" s="45">
        <f t="shared" si="147"/>
        <v>0</v>
      </c>
    </row>
    <row r="1218" spans="1:13" s="6" customFormat="1" ht="15.75">
      <c r="A1218" s="8">
        <v>15</v>
      </c>
      <c r="B1218" s="8" t="s">
        <v>567</v>
      </c>
      <c r="C1218" s="330">
        <v>4490.43</v>
      </c>
      <c r="D1218" s="330"/>
      <c r="E1218" s="330"/>
      <c r="F1218" s="40">
        <f t="shared" si="148"/>
        <v>4490.43</v>
      </c>
      <c r="G1218" s="66">
        <f t="shared" si="152"/>
        <v>0</v>
      </c>
      <c r="H1218" s="37">
        <f t="shared" si="153"/>
        <v>0</v>
      </c>
      <c r="I1218" s="37">
        <f t="shared" si="149"/>
        <v>0</v>
      </c>
      <c r="J1218" s="37">
        <v>0</v>
      </c>
      <c r="K1218" s="37">
        <f t="shared" si="154"/>
        <v>0</v>
      </c>
      <c r="L1218" s="37"/>
      <c r="M1218" s="45">
        <f t="shared" si="147"/>
        <v>0</v>
      </c>
    </row>
    <row r="1219" spans="1:13" s="6" customFormat="1" ht="15.75">
      <c r="A1219" s="8">
        <v>16</v>
      </c>
      <c r="B1219" s="8" t="s">
        <v>568</v>
      </c>
      <c r="C1219" s="330">
        <v>4338.5</v>
      </c>
      <c r="D1219" s="330"/>
      <c r="E1219" s="330"/>
      <c r="F1219" s="40">
        <f t="shared" si="148"/>
        <v>4338.5</v>
      </c>
      <c r="G1219" s="66">
        <f t="shared" si="152"/>
        <v>0</v>
      </c>
      <c r="H1219" s="37">
        <f t="shared" si="153"/>
        <v>0</v>
      </c>
      <c r="I1219" s="37">
        <f t="shared" si="149"/>
        <v>0</v>
      </c>
      <c r="J1219" s="37">
        <v>0</v>
      </c>
      <c r="K1219" s="37">
        <f t="shared" si="154"/>
        <v>0</v>
      </c>
      <c r="L1219" s="37"/>
      <c r="M1219" s="45">
        <f t="shared" si="147"/>
        <v>0</v>
      </c>
    </row>
    <row r="1220" spans="1:13" s="6" customFormat="1" ht="15.75">
      <c r="A1220" s="8">
        <v>17</v>
      </c>
      <c r="B1220" s="8" t="s">
        <v>569</v>
      </c>
      <c r="C1220" s="330">
        <v>3131.06</v>
      </c>
      <c r="D1220" s="330"/>
      <c r="E1220" s="330"/>
      <c r="F1220" s="40">
        <f t="shared" si="148"/>
        <v>3131.06</v>
      </c>
      <c r="G1220" s="66">
        <f t="shared" si="152"/>
        <v>0</v>
      </c>
      <c r="H1220" s="37">
        <f t="shared" si="153"/>
        <v>0</v>
      </c>
      <c r="I1220" s="37">
        <f t="shared" si="149"/>
        <v>0</v>
      </c>
      <c r="J1220" s="37">
        <v>0</v>
      </c>
      <c r="K1220" s="37">
        <f t="shared" si="154"/>
        <v>0</v>
      </c>
      <c r="L1220" s="37"/>
      <c r="M1220" s="45">
        <f t="shared" si="147"/>
        <v>0</v>
      </c>
    </row>
    <row r="1221" spans="1:13" s="6" customFormat="1" ht="15.75">
      <c r="A1221" s="8">
        <v>18</v>
      </c>
      <c r="B1221" s="8" t="s">
        <v>570</v>
      </c>
      <c r="C1221" s="330">
        <v>3376.98</v>
      </c>
      <c r="D1221" s="330"/>
      <c r="E1221" s="330"/>
      <c r="F1221" s="40">
        <f t="shared" si="148"/>
        <v>3376.98</v>
      </c>
      <c r="G1221" s="66">
        <f t="shared" si="152"/>
        <v>0</v>
      </c>
      <c r="H1221" s="37">
        <f t="shared" si="153"/>
        <v>0</v>
      </c>
      <c r="I1221" s="37">
        <f t="shared" si="149"/>
        <v>0</v>
      </c>
      <c r="J1221" s="37">
        <v>0</v>
      </c>
      <c r="K1221" s="37">
        <f t="shared" si="154"/>
        <v>0</v>
      </c>
      <c r="L1221" s="37"/>
      <c r="M1221" s="45">
        <f t="shared" si="147"/>
        <v>0</v>
      </c>
    </row>
    <row r="1222" spans="1:13" s="6" customFormat="1" ht="15.75">
      <c r="A1222" s="8">
        <v>20</v>
      </c>
      <c r="B1222" s="8" t="s">
        <v>571</v>
      </c>
      <c r="C1222" s="330">
        <v>50.5</v>
      </c>
      <c r="D1222" s="330"/>
      <c r="E1222" s="330"/>
      <c r="F1222" s="40">
        <f t="shared" si="148"/>
        <v>50.5</v>
      </c>
      <c r="G1222" s="66">
        <f t="shared" si="152"/>
        <v>0</v>
      </c>
      <c r="H1222" s="37">
        <f t="shared" si="153"/>
        <v>0</v>
      </c>
      <c r="I1222" s="37">
        <f t="shared" si="149"/>
        <v>0</v>
      </c>
      <c r="J1222" s="37">
        <v>0</v>
      </c>
      <c r="K1222" s="37">
        <f t="shared" si="154"/>
        <v>0</v>
      </c>
      <c r="L1222" s="37"/>
      <c r="M1222" s="45">
        <f t="shared" si="147"/>
        <v>0</v>
      </c>
    </row>
    <row r="1223" spans="1:13" s="6" customFormat="1" ht="15.75">
      <c r="A1223" s="8">
        <v>22</v>
      </c>
      <c r="B1223" s="8" t="s">
        <v>356</v>
      </c>
      <c r="C1223" s="330">
        <v>306.8</v>
      </c>
      <c r="D1223" s="330"/>
      <c r="E1223" s="330"/>
      <c r="F1223" s="40">
        <f t="shared" si="148"/>
        <v>306.8</v>
      </c>
      <c r="G1223" s="66">
        <f t="shared" si="152"/>
        <v>0</v>
      </c>
      <c r="H1223" s="37">
        <f t="shared" si="153"/>
        <v>0</v>
      </c>
      <c r="I1223" s="37">
        <f t="shared" si="149"/>
        <v>0</v>
      </c>
      <c r="J1223" s="37">
        <v>0</v>
      </c>
      <c r="K1223" s="37">
        <f t="shared" si="154"/>
        <v>0</v>
      </c>
      <c r="L1223" s="37"/>
      <c r="M1223" s="45">
        <f t="shared" ref="M1223:M1232" si="155">(K1223+J1223+I1223+H1223)/F1223</f>
        <v>0</v>
      </c>
    </row>
    <row r="1224" spans="1:13" s="6" customFormat="1" ht="15.75">
      <c r="A1224" s="8">
        <v>23</v>
      </c>
      <c r="B1224" s="8" t="s">
        <v>357</v>
      </c>
      <c r="C1224" s="330">
        <v>304.18</v>
      </c>
      <c r="D1224" s="330"/>
      <c r="E1224" s="330"/>
      <c r="F1224" s="40">
        <f t="shared" si="148"/>
        <v>304.18</v>
      </c>
      <c r="G1224" s="66">
        <f t="shared" si="152"/>
        <v>0</v>
      </c>
      <c r="H1224" s="37">
        <f t="shared" si="153"/>
        <v>0</v>
      </c>
      <c r="I1224" s="37">
        <f t="shared" si="149"/>
        <v>0</v>
      </c>
      <c r="J1224" s="37">
        <v>0</v>
      </c>
      <c r="K1224" s="37">
        <f t="shared" si="154"/>
        <v>0</v>
      </c>
      <c r="L1224" s="37"/>
      <c r="M1224" s="45">
        <f t="shared" si="155"/>
        <v>0</v>
      </c>
    </row>
    <row r="1225" spans="1:13" s="6" customFormat="1" ht="15.75">
      <c r="A1225" s="8">
        <v>24</v>
      </c>
      <c r="B1225" s="8" t="s">
        <v>358</v>
      </c>
      <c r="C1225" s="330">
        <v>823.48</v>
      </c>
      <c r="D1225" s="330"/>
      <c r="E1225" s="330"/>
      <c r="F1225" s="40">
        <f t="shared" si="148"/>
        <v>823.48</v>
      </c>
      <c r="G1225" s="66">
        <f t="shared" si="152"/>
        <v>0</v>
      </c>
      <c r="H1225" s="37">
        <f t="shared" si="153"/>
        <v>0</v>
      </c>
      <c r="I1225" s="37">
        <f t="shared" si="149"/>
        <v>0</v>
      </c>
      <c r="J1225" s="37">
        <v>0</v>
      </c>
      <c r="K1225" s="37">
        <f t="shared" si="154"/>
        <v>0</v>
      </c>
      <c r="L1225" s="37"/>
      <c r="M1225" s="45">
        <f t="shared" si="155"/>
        <v>0</v>
      </c>
    </row>
    <row r="1226" spans="1:13" s="6" customFormat="1" ht="15.75">
      <c r="A1226" s="8">
        <v>25</v>
      </c>
      <c r="B1226" s="8" t="s">
        <v>359</v>
      </c>
      <c r="C1226" s="330">
        <v>733.47</v>
      </c>
      <c r="D1226" s="330"/>
      <c r="E1226" s="330">
        <v>70</v>
      </c>
      <c r="F1226" s="40">
        <f t="shared" si="148"/>
        <v>803.47</v>
      </c>
      <c r="G1226" s="66">
        <f t="shared" si="152"/>
        <v>0</v>
      </c>
      <c r="H1226" s="37">
        <f t="shared" si="153"/>
        <v>0</v>
      </c>
      <c r="I1226" s="37">
        <f t="shared" si="149"/>
        <v>0</v>
      </c>
      <c r="J1226" s="37">
        <v>0</v>
      </c>
      <c r="K1226" s="37">
        <f t="shared" si="154"/>
        <v>0</v>
      </c>
      <c r="L1226" s="37"/>
      <c r="M1226" s="45">
        <f t="shared" si="155"/>
        <v>0</v>
      </c>
    </row>
    <row r="1227" spans="1:13" s="6" customFormat="1" ht="15.75">
      <c r="A1227" s="8">
        <v>26</v>
      </c>
      <c r="B1227" s="8" t="s">
        <v>360</v>
      </c>
      <c r="C1227" s="330">
        <v>4465.32</v>
      </c>
      <c r="D1227" s="330"/>
      <c r="E1227" s="330"/>
      <c r="F1227" s="40">
        <f t="shared" si="148"/>
        <v>4465.32</v>
      </c>
      <c r="G1227" s="66">
        <f t="shared" si="152"/>
        <v>0</v>
      </c>
      <c r="H1227" s="37">
        <f t="shared" si="153"/>
        <v>0</v>
      </c>
      <c r="I1227" s="37">
        <f t="shared" si="149"/>
        <v>0</v>
      </c>
      <c r="J1227" s="37">
        <v>0</v>
      </c>
      <c r="K1227" s="37">
        <f t="shared" si="154"/>
        <v>0</v>
      </c>
      <c r="L1227" s="37"/>
      <c r="M1227" s="45">
        <f t="shared" si="155"/>
        <v>0</v>
      </c>
    </row>
    <row r="1228" spans="1:13" s="6" customFormat="1" ht="15.75">
      <c r="A1228" s="8">
        <v>27</v>
      </c>
      <c r="B1228" s="8" t="s">
        <v>361</v>
      </c>
      <c r="C1228" s="330">
        <v>2218.6799999999998</v>
      </c>
      <c r="D1228" s="330"/>
      <c r="E1228" s="330"/>
      <c r="F1228" s="40">
        <f t="shared" si="148"/>
        <v>2218.6799999999998</v>
      </c>
      <c r="G1228" s="66">
        <f t="shared" si="152"/>
        <v>0</v>
      </c>
      <c r="H1228" s="37">
        <f t="shared" si="153"/>
        <v>0</v>
      </c>
      <c r="I1228" s="37">
        <f t="shared" si="149"/>
        <v>0</v>
      </c>
      <c r="J1228" s="37">
        <v>0</v>
      </c>
      <c r="K1228" s="37">
        <f t="shared" si="154"/>
        <v>0</v>
      </c>
      <c r="L1228" s="37"/>
      <c r="M1228" s="45">
        <f t="shared" si="155"/>
        <v>0</v>
      </c>
    </row>
    <row r="1229" spans="1:13" s="6" customFormat="1" ht="15.75">
      <c r="A1229" s="8">
        <v>28</v>
      </c>
      <c r="B1229" s="8" t="s">
        <v>362</v>
      </c>
      <c r="C1229" s="330">
        <v>120.8</v>
      </c>
      <c r="D1229" s="330"/>
      <c r="E1229" s="330"/>
      <c r="F1229" s="40">
        <f t="shared" si="148"/>
        <v>120.8</v>
      </c>
      <c r="G1229" s="66">
        <f t="shared" si="152"/>
        <v>0</v>
      </c>
      <c r="H1229" s="37">
        <f t="shared" si="153"/>
        <v>0</v>
      </c>
      <c r="I1229" s="37">
        <f t="shared" si="149"/>
        <v>0</v>
      </c>
      <c r="J1229" s="37">
        <v>0</v>
      </c>
      <c r="K1229" s="37">
        <f t="shared" si="154"/>
        <v>0</v>
      </c>
      <c r="L1229" s="37"/>
      <c r="M1229" s="45">
        <f t="shared" si="155"/>
        <v>0</v>
      </c>
    </row>
    <row r="1230" spans="1:13" s="6" customFormat="1" ht="15.75">
      <c r="A1230" s="8">
        <v>30</v>
      </c>
      <c r="B1230" s="8" t="s">
        <v>363</v>
      </c>
      <c r="C1230" s="330">
        <v>174.6</v>
      </c>
      <c r="D1230" s="330"/>
      <c r="E1230" s="330"/>
      <c r="F1230" s="40">
        <f t="shared" si="148"/>
        <v>174.6</v>
      </c>
      <c r="G1230" s="66">
        <f t="shared" si="152"/>
        <v>0</v>
      </c>
      <c r="H1230" s="37">
        <f t="shared" si="153"/>
        <v>0</v>
      </c>
      <c r="I1230" s="37">
        <f t="shared" si="149"/>
        <v>0</v>
      </c>
      <c r="J1230" s="37">
        <v>0</v>
      </c>
      <c r="K1230" s="37">
        <f t="shared" si="154"/>
        <v>0</v>
      </c>
      <c r="L1230" s="37"/>
      <c r="M1230" s="45">
        <f t="shared" si="155"/>
        <v>0</v>
      </c>
    </row>
    <row r="1231" spans="1:13" s="6" customFormat="1" ht="15.75">
      <c r="A1231" s="8">
        <v>31</v>
      </c>
      <c r="B1231" s="8" t="s">
        <v>364</v>
      </c>
      <c r="C1231" s="330">
        <v>139.19999999999999</v>
      </c>
      <c r="D1231" s="330"/>
      <c r="E1231" s="330"/>
      <c r="F1231" s="40">
        <f t="shared" si="148"/>
        <v>139.19999999999999</v>
      </c>
      <c r="G1231" s="66">
        <f t="shared" si="152"/>
        <v>0</v>
      </c>
      <c r="H1231" s="37">
        <f t="shared" si="153"/>
        <v>0</v>
      </c>
      <c r="I1231" s="37">
        <f t="shared" si="149"/>
        <v>0</v>
      </c>
      <c r="J1231" s="37">
        <v>0</v>
      </c>
      <c r="K1231" s="37">
        <f t="shared" si="154"/>
        <v>0</v>
      </c>
      <c r="L1231" s="37"/>
      <c r="M1231" s="45">
        <f t="shared" si="155"/>
        <v>0</v>
      </c>
    </row>
    <row r="1232" spans="1:13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148"/>
        <v>93179.589999999967</v>
      </c>
      <c r="G1232" s="66">
        <f t="shared" si="152"/>
        <v>0</v>
      </c>
      <c r="H1232" s="37">
        <f t="shared" si="153"/>
        <v>0</v>
      </c>
      <c r="I1232" s="64">
        <f t="shared" si="149"/>
        <v>0</v>
      </c>
      <c r="J1232" s="37">
        <v>0</v>
      </c>
      <c r="K1232" s="37">
        <f t="shared" si="154"/>
        <v>0</v>
      </c>
      <c r="L1232" s="37"/>
      <c r="M1232" s="45">
        <f t="shared" si="155"/>
        <v>0</v>
      </c>
    </row>
    <row r="1233" spans="2:13" s="6" customFormat="1" ht="15.75">
      <c r="F1233" s="34"/>
      <c r="G1233" s="67"/>
      <c r="H1233" s="34"/>
      <c r="I1233" s="34"/>
      <c r="J1233" s="34"/>
      <c r="K1233" s="34"/>
      <c r="L1233" s="34"/>
      <c r="M1233" s="110"/>
    </row>
    <row r="1234" spans="2:13" s="67" customFormat="1" ht="15.75">
      <c r="B1234" s="63" t="s">
        <v>667</v>
      </c>
      <c r="C1234" s="65">
        <f t="shared" ref="C1234:M1234" si="156">C1232+C1202+C1146+C879+C747+C535+C384+C90+C67</f>
        <v>1871681.0599999996</v>
      </c>
      <c r="D1234" s="65">
        <f t="shared" si="156"/>
        <v>10680.369999999999</v>
      </c>
      <c r="E1234" s="65">
        <f t="shared" si="156"/>
        <v>25132.499999999996</v>
      </c>
      <c r="F1234" s="65">
        <f t="shared" si="156"/>
        <v>1907493.9299999997</v>
      </c>
      <c r="G1234" s="65">
        <f t="shared" si="156"/>
        <v>7</v>
      </c>
      <c r="H1234" s="65">
        <f t="shared" si="156"/>
        <v>16048.367999999997</v>
      </c>
      <c r="I1234" s="65">
        <f t="shared" si="156"/>
        <v>5900.9849135999993</v>
      </c>
      <c r="J1234" s="65">
        <f t="shared" si="156"/>
        <v>10388.386350678828</v>
      </c>
      <c r="K1234" s="65">
        <f t="shared" si="156"/>
        <v>2954.6959845357733</v>
      </c>
      <c r="L1234" s="65"/>
      <c r="M1234" s="65">
        <f t="shared" si="156"/>
        <v>0.14530408828528951</v>
      </c>
    </row>
    <row r="1235" spans="2:13" s="6" customFormat="1" ht="15.75">
      <c r="F1235" s="34"/>
      <c r="G1235" s="67"/>
      <c r="H1235" s="34"/>
      <c r="I1235" s="34"/>
      <c r="J1235" s="34"/>
      <c r="K1235" s="34"/>
      <c r="L1235" s="34"/>
      <c r="M1235" s="110"/>
    </row>
    <row r="1236" spans="2:13" s="6" customFormat="1" ht="15.75">
      <c r="F1236" s="34"/>
      <c r="G1236" s="67"/>
      <c r="H1236" s="34"/>
      <c r="I1236" s="34"/>
      <c r="J1236" s="34"/>
      <c r="K1236" s="34"/>
      <c r="L1236" s="34"/>
      <c r="M1236" s="34"/>
    </row>
    <row r="1237" spans="2:13" s="6" customFormat="1" ht="15.75">
      <c r="F1237" s="34"/>
      <c r="G1237" s="67"/>
      <c r="H1237" s="34"/>
      <c r="I1237" s="34"/>
      <c r="J1237" s="34"/>
      <c r="K1237" s="34"/>
      <c r="L1237" s="34"/>
      <c r="M1237" s="34"/>
    </row>
    <row r="1238" spans="2:13" s="6" customFormat="1" ht="15.75">
      <c r="F1238" s="34"/>
      <c r="G1238" s="67"/>
      <c r="H1238" s="34"/>
      <c r="I1238" s="34"/>
      <c r="J1238" s="34"/>
      <c r="K1238" s="34"/>
      <c r="L1238" s="34"/>
      <c r="M1238" s="34"/>
    </row>
    <row r="1239" spans="2:13" s="6" customFormat="1" ht="15.75">
      <c r="F1239" s="34"/>
      <c r="G1239" s="67"/>
      <c r="H1239" s="34"/>
      <c r="I1239" s="34"/>
      <c r="J1239" s="34"/>
      <c r="K1239" s="34"/>
      <c r="L1239" s="34"/>
      <c r="M1239" s="34"/>
    </row>
    <row r="1240" spans="2:13" s="6" customFormat="1" ht="15.75">
      <c r="F1240" s="34"/>
      <c r="G1240" s="67"/>
      <c r="H1240" s="34"/>
      <c r="I1240" s="34"/>
      <c r="J1240" s="34"/>
      <c r="K1240" s="34"/>
      <c r="L1240" s="34"/>
      <c r="M1240" s="34"/>
    </row>
    <row r="1241" spans="2:13" s="6" customFormat="1" ht="15.75">
      <c r="F1241" s="34"/>
      <c r="G1241" s="67"/>
      <c r="H1241" s="34"/>
      <c r="I1241" s="34"/>
      <c r="J1241" s="34"/>
      <c r="K1241" s="34"/>
      <c r="L1241" s="34"/>
      <c r="M1241" s="34"/>
    </row>
    <row r="1242" spans="2:13" s="6" customFormat="1" ht="15.75">
      <c r="F1242" s="34"/>
      <c r="G1242" s="67"/>
      <c r="H1242" s="34"/>
      <c r="I1242" s="34"/>
      <c r="J1242" s="34"/>
      <c r="K1242" s="34"/>
      <c r="L1242" s="34"/>
      <c r="M1242" s="34"/>
    </row>
    <row r="1243" spans="2:13" s="6" customFormat="1" ht="15.75">
      <c r="F1243" s="34"/>
      <c r="G1243" s="67"/>
      <c r="H1243" s="34"/>
      <c r="I1243" s="34"/>
      <c r="J1243" s="34"/>
      <c r="K1243" s="34"/>
      <c r="L1243" s="34"/>
      <c r="M1243" s="34"/>
    </row>
    <row r="1244" spans="2:13" s="6" customFormat="1" ht="15.75">
      <c r="F1244" s="34"/>
      <c r="G1244" s="67"/>
      <c r="H1244" s="34"/>
      <c r="I1244" s="34"/>
      <c r="J1244" s="34"/>
      <c r="K1244" s="34"/>
      <c r="L1244" s="34"/>
      <c r="M1244" s="34"/>
    </row>
    <row r="1245" spans="2:13" s="6" customFormat="1" ht="15.75">
      <c r="F1245" s="34"/>
      <c r="G1245" s="67"/>
      <c r="H1245" s="34"/>
      <c r="I1245" s="34"/>
      <c r="J1245" s="34"/>
      <c r="K1245" s="34"/>
      <c r="L1245" s="34"/>
      <c r="M1245" s="34"/>
    </row>
    <row r="1246" spans="2:13" s="6" customFormat="1" ht="15.75">
      <c r="F1246" s="34"/>
      <c r="G1246" s="67"/>
      <c r="H1246" s="34"/>
      <c r="I1246" s="34"/>
      <c r="J1246" s="34"/>
      <c r="K1246" s="34"/>
      <c r="L1246" s="34"/>
      <c r="M1246" s="34"/>
    </row>
    <row r="1247" spans="2:13" s="6" customFormat="1" ht="15.75">
      <c r="F1247" s="34"/>
      <c r="G1247" s="67"/>
      <c r="H1247" s="34"/>
      <c r="I1247" s="34"/>
      <c r="J1247" s="34"/>
      <c r="K1247" s="34"/>
      <c r="L1247" s="34"/>
      <c r="M1247" s="34"/>
    </row>
    <row r="1248" spans="2:13" s="6" customFormat="1" ht="15.75">
      <c r="F1248" s="34"/>
      <c r="G1248" s="67"/>
      <c r="H1248" s="34"/>
      <c r="I1248" s="34"/>
      <c r="J1248" s="34"/>
      <c r="K1248" s="34"/>
      <c r="L1248" s="34"/>
      <c r="M1248" s="34"/>
    </row>
    <row r="1249" spans="6:13" s="6" customFormat="1" ht="15.75">
      <c r="F1249" s="34"/>
      <c r="G1249" s="67"/>
      <c r="H1249" s="34"/>
      <c r="I1249" s="34"/>
      <c r="J1249" s="34"/>
      <c r="K1249" s="34"/>
      <c r="L1249" s="34"/>
      <c r="M1249" s="34"/>
    </row>
    <row r="1250" spans="6:13" s="6" customFormat="1" ht="15.75">
      <c r="F1250" s="34"/>
      <c r="G1250" s="67"/>
      <c r="H1250" s="34"/>
      <c r="I1250" s="34"/>
      <c r="J1250" s="34"/>
      <c r="K1250" s="34"/>
      <c r="L1250" s="34"/>
      <c r="M1250" s="34"/>
    </row>
    <row r="1251" spans="6:13" s="6" customFormat="1" ht="15.75">
      <c r="F1251" s="34"/>
      <c r="G1251" s="67"/>
      <c r="H1251" s="34"/>
      <c r="I1251" s="34"/>
      <c r="J1251" s="34"/>
      <c r="K1251" s="34"/>
      <c r="L1251" s="34"/>
      <c r="M1251" s="34"/>
    </row>
    <row r="1252" spans="6:13" s="6" customFormat="1" ht="15.75">
      <c r="F1252" s="34"/>
      <c r="G1252" s="67"/>
      <c r="H1252" s="34"/>
      <c r="I1252" s="34"/>
      <c r="J1252" s="34"/>
      <c r="K1252" s="34"/>
      <c r="L1252" s="34"/>
      <c r="M1252" s="34"/>
    </row>
    <row r="1253" spans="6:13" s="6" customFormat="1" ht="15.75">
      <c r="F1253" s="34"/>
      <c r="G1253" s="67"/>
      <c r="H1253" s="34"/>
      <c r="I1253" s="34"/>
      <c r="J1253" s="34"/>
      <c r="K1253" s="34"/>
      <c r="L1253" s="34"/>
      <c r="M1253" s="34"/>
    </row>
    <row r="1254" spans="6:13" s="6" customFormat="1" ht="15.75">
      <c r="F1254" s="34"/>
      <c r="G1254" s="67"/>
      <c r="H1254" s="34"/>
      <c r="I1254" s="34"/>
      <c r="J1254" s="34"/>
      <c r="K1254" s="34"/>
      <c r="L1254" s="34"/>
      <c r="M1254" s="34"/>
    </row>
    <row r="1255" spans="6:13" s="6" customFormat="1" ht="15.75">
      <c r="F1255" s="34"/>
      <c r="G1255" s="67"/>
      <c r="H1255" s="34"/>
      <c r="I1255" s="34"/>
      <c r="J1255" s="34"/>
      <c r="K1255" s="34"/>
      <c r="L1255" s="34"/>
      <c r="M1255" s="34"/>
    </row>
    <row r="1256" spans="6:13" s="6" customFormat="1" ht="15.75">
      <c r="F1256" s="34"/>
      <c r="G1256" s="67"/>
      <c r="H1256" s="34"/>
      <c r="I1256" s="34"/>
      <c r="J1256" s="34"/>
      <c r="K1256" s="34"/>
      <c r="L1256" s="34"/>
      <c r="M1256" s="34"/>
    </row>
    <row r="1257" spans="6:13" s="6" customFormat="1" ht="15.75">
      <c r="F1257" s="34"/>
      <c r="G1257" s="67"/>
      <c r="H1257" s="34"/>
      <c r="I1257" s="34"/>
      <c r="J1257" s="34"/>
      <c r="K1257" s="34"/>
      <c r="L1257" s="34"/>
      <c r="M1257" s="34"/>
    </row>
    <row r="1258" spans="6:13" s="6" customFormat="1" ht="15.75">
      <c r="F1258" s="34"/>
      <c r="G1258" s="67"/>
      <c r="H1258" s="34"/>
      <c r="I1258" s="34"/>
      <c r="J1258" s="34"/>
      <c r="K1258" s="34"/>
      <c r="L1258" s="34"/>
      <c r="M1258" s="34"/>
    </row>
    <row r="1259" spans="6:13" s="6" customFormat="1" ht="15.75">
      <c r="F1259" s="34"/>
      <c r="G1259" s="67"/>
      <c r="H1259" s="34"/>
      <c r="I1259" s="34"/>
      <c r="J1259" s="34"/>
      <c r="K1259" s="34"/>
      <c r="L1259" s="34"/>
      <c r="M1259" s="34"/>
    </row>
    <row r="1260" spans="6:13" s="6" customFormat="1" ht="15.75">
      <c r="F1260" s="34"/>
      <c r="G1260" s="67"/>
      <c r="H1260" s="34"/>
      <c r="I1260" s="34"/>
      <c r="J1260" s="34"/>
      <c r="K1260" s="34"/>
      <c r="L1260" s="34"/>
      <c r="M1260" s="34"/>
    </row>
    <row r="1261" spans="6:13" s="6" customFormat="1" ht="15.75">
      <c r="F1261" s="34"/>
      <c r="G1261" s="67"/>
      <c r="H1261" s="34"/>
      <c r="I1261" s="34"/>
      <c r="J1261" s="34"/>
      <c r="K1261" s="34"/>
      <c r="L1261" s="34"/>
      <c r="M1261" s="34"/>
    </row>
    <row r="1262" spans="6:13" s="6" customFormat="1" ht="15.75">
      <c r="F1262" s="34"/>
      <c r="G1262" s="67"/>
      <c r="H1262" s="34"/>
      <c r="I1262" s="34"/>
      <c r="J1262" s="34"/>
      <c r="K1262" s="34"/>
      <c r="L1262" s="34"/>
      <c r="M1262" s="34"/>
    </row>
    <row r="1263" spans="6:13" s="6" customFormat="1" ht="15.75">
      <c r="F1263" s="34"/>
      <c r="G1263" s="67"/>
      <c r="H1263" s="34"/>
      <c r="I1263" s="34"/>
      <c r="J1263" s="34"/>
      <c r="K1263" s="34"/>
      <c r="L1263" s="34"/>
      <c r="M1263" s="34"/>
    </row>
    <row r="1264" spans="6:13" s="6" customFormat="1" ht="15.75">
      <c r="F1264" s="34"/>
      <c r="G1264" s="67"/>
      <c r="H1264" s="34"/>
      <c r="I1264" s="34"/>
      <c r="J1264" s="34"/>
      <c r="K1264" s="34"/>
      <c r="L1264" s="34"/>
      <c r="M1264" s="34"/>
    </row>
    <row r="1265" spans="6:13" s="6" customFormat="1" ht="15.75">
      <c r="F1265" s="34"/>
      <c r="G1265" s="67"/>
      <c r="H1265" s="34"/>
      <c r="I1265" s="34"/>
      <c r="J1265" s="34"/>
      <c r="K1265" s="34"/>
      <c r="L1265" s="34"/>
      <c r="M1265" s="34"/>
    </row>
    <row r="1266" spans="6:13" s="6" customFormat="1" ht="15.75">
      <c r="F1266" s="34"/>
      <c r="G1266" s="67"/>
      <c r="H1266" s="34"/>
      <c r="I1266" s="34"/>
      <c r="J1266" s="34"/>
      <c r="K1266" s="34"/>
      <c r="L1266" s="34"/>
      <c r="M1266" s="34"/>
    </row>
    <row r="1267" spans="6:13" s="6" customFormat="1" ht="15.75">
      <c r="F1267" s="34"/>
      <c r="G1267" s="67"/>
      <c r="H1267" s="34"/>
      <c r="I1267" s="34"/>
      <c r="J1267" s="34"/>
      <c r="K1267" s="34"/>
      <c r="L1267" s="34"/>
      <c r="M1267" s="34"/>
    </row>
    <row r="1268" spans="6:13" s="6" customFormat="1" ht="15.75">
      <c r="F1268" s="34"/>
      <c r="G1268" s="67"/>
      <c r="H1268" s="34"/>
      <c r="I1268" s="34"/>
      <c r="J1268" s="34"/>
      <c r="K1268" s="34"/>
      <c r="L1268" s="34"/>
      <c r="M1268" s="34"/>
    </row>
    <row r="1269" spans="6:13" s="6" customFormat="1" ht="15.75">
      <c r="F1269" s="34"/>
      <c r="G1269" s="67"/>
      <c r="H1269" s="34"/>
      <c r="I1269" s="34"/>
      <c r="J1269" s="34"/>
      <c r="K1269" s="34"/>
      <c r="L1269" s="34"/>
      <c r="M1269" s="34"/>
    </row>
    <row r="1270" spans="6:13" s="6" customFormat="1" ht="15.75">
      <c r="F1270" s="34"/>
      <c r="G1270" s="67"/>
      <c r="H1270" s="34"/>
      <c r="I1270" s="34"/>
      <c r="J1270" s="34"/>
      <c r="K1270" s="34"/>
      <c r="L1270" s="34"/>
      <c r="M1270" s="34"/>
    </row>
    <row r="1271" spans="6:13" s="6" customFormat="1" ht="15.75">
      <c r="F1271" s="34"/>
      <c r="G1271" s="67"/>
      <c r="H1271" s="34"/>
      <c r="I1271" s="34"/>
      <c r="J1271" s="34"/>
      <c r="K1271" s="34"/>
      <c r="L1271" s="34"/>
      <c r="M1271" s="34"/>
    </row>
    <row r="1272" spans="6:13" s="6" customFormat="1" ht="15.75">
      <c r="F1272" s="34"/>
      <c r="G1272" s="67"/>
      <c r="H1272" s="34"/>
      <c r="I1272" s="34"/>
      <c r="J1272" s="34"/>
      <c r="K1272" s="34"/>
      <c r="L1272" s="34"/>
      <c r="M1272" s="34"/>
    </row>
    <row r="1273" spans="6:13" s="6" customFormat="1" ht="15.75">
      <c r="F1273" s="34"/>
      <c r="G1273" s="67"/>
      <c r="H1273" s="34"/>
      <c r="I1273" s="34"/>
      <c r="J1273" s="34"/>
      <c r="K1273" s="34"/>
      <c r="L1273" s="34"/>
      <c r="M1273" s="34"/>
    </row>
    <row r="1274" spans="6:13" s="6" customFormat="1" ht="15.75">
      <c r="F1274" s="34"/>
      <c r="G1274" s="67"/>
      <c r="H1274" s="34"/>
      <c r="I1274" s="34"/>
      <c r="J1274" s="34"/>
      <c r="K1274" s="34"/>
      <c r="L1274" s="34"/>
      <c r="M1274" s="34"/>
    </row>
    <row r="1275" spans="6:13" s="6" customFormat="1" ht="15.75">
      <c r="F1275" s="34"/>
      <c r="G1275" s="67"/>
      <c r="H1275" s="34"/>
      <c r="I1275" s="34"/>
      <c r="J1275" s="34"/>
      <c r="K1275" s="34"/>
      <c r="L1275" s="34"/>
      <c r="M1275" s="34"/>
    </row>
    <row r="1276" spans="6:13" s="6" customFormat="1" ht="15.75">
      <c r="F1276" s="34"/>
      <c r="G1276" s="67"/>
      <c r="H1276" s="34"/>
      <c r="I1276" s="34"/>
      <c r="J1276" s="34"/>
      <c r="K1276" s="34"/>
      <c r="L1276" s="34"/>
      <c r="M1276" s="34"/>
    </row>
    <row r="1277" spans="6:13" s="6" customFormat="1" ht="15.75">
      <c r="F1277" s="34"/>
      <c r="G1277" s="67"/>
      <c r="H1277" s="34"/>
      <c r="I1277" s="34"/>
      <c r="J1277" s="34"/>
      <c r="K1277" s="34"/>
      <c r="L1277" s="34"/>
      <c r="M1277" s="34"/>
    </row>
    <row r="1278" spans="6:13" s="6" customFormat="1" ht="15.75">
      <c r="F1278" s="34"/>
      <c r="G1278" s="67"/>
      <c r="H1278" s="34"/>
      <c r="I1278" s="34"/>
      <c r="J1278" s="34"/>
      <c r="K1278" s="34"/>
      <c r="L1278" s="34"/>
      <c r="M1278" s="34"/>
    </row>
    <row r="1279" spans="6:13" s="6" customFormat="1" ht="15.75">
      <c r="F1279" s="34"/>
      <c r="G1279" s="67"/>
      <c r="H1279" s="34"/>
      <c r="I1279" s="34"/>
      <c r="J1279" s="34"/>
      <c r="K1279" s="34"/>
      <c r="L1279" s="34"/>
      <c r="M1279" s="34"/>
    </row>
    <row r="1280" spans="6:13" s="6" customFormat="1" ht="15.75">
      <c r="F1280" s="34"/>
      <c r="G1280" s="67"/>
      <c r="H1280" s="34"/>
      <c r="I1280" s="34"/>
      <c r="J1280" s="34"/>
      <c r="K1280" s="34"/>
      <c r="L1280" s="34"/>
      <c r="M1280" s="34"/>
    </row>
    <row r="1281" spans="6:13" s="6" customFormat="1" ht="15.75">
      <c r="F1281" s="34"/>
      <c r="G1281" s="67"/>
      <c r="H1281" s="34"/>
      <c r="I1281" s="34"/>
      <c r="J1281" s="34"/>
      <c r="K1281" s="34"/>
      <c r="L1281" s="34"/>
      <c r="M1281" s="34"/>
    </row>
    <row r="1282" spans="6:13" s="6" customFormat="1" ht="15.75">
      <c r="F1282" s="34"/>
      <c r="G1282" s="67"/>
      <c r="H1282" s="34"/>
      <c r="I1282" s="34"/>
      <c r="J1282" s="34"/>
      <c r="K1282" s="34"/>
      <c r="L1282" s="34"/>
      <c r="M1282" s="34"/>
    </row>
    <row r="1283" spans="6:13" s="6" customFormat="1" ht="15.75">
      <c r="F1283" s="34"/>
      <c r="G1283" s="67"/>
      <c r="H1283" s="34"/>
      <c r="I1283" s="34"/>
      <c r="J1283" s="34"/>
      <c r="K1283" s="34"/>
      <c r="L1283" s="34"/>
      <c r="M1283" s="34"/>
    </row>
    <row r="1284" spans="6:13" s="6" customFormat="1" ht="15.75">
      <c r="F1284" s="34"/>
      <c r="G1284" s="67"/>
      <c r="H1284" s="34"/>
      <c r="I1284" s="34"/>
      <c r="J1284" s="34"/>
      <c r="K1284" s="34"/>
      <c r="L1284" s="34"/>
      <c r="M1284" s="34"/>
    </row>
    <row r="1285" spans="6:13" s="6" customFormat="1" ht="15.75">
      <c r="F1285" s="34"/>
      <c r="G1285" s="67"/>
      <c r="H1285" s="34"/>
      <c r="I1285" s="34"/>
      <c r="J1285" s="34"/>
      <c r="K1285" s="34"/>
      <c r="L1285" s="34"/>
      <c r="M1285" s="34"/>
    </row>
    <row r="1286" spans="6:13" s="6" customFormat="1" ht="15.75">
      <c r="F1286" s="34"/>
      <c r="G1286" s="67"/>
      <c r="H1286" s="34"/>
      <c r="I1286" s="34"/>
      <c r="J1286" s="34"/>
      <c r="K1286" s="34"/>
      <c r="L1286" s="34"/>
      <c r="M1286" s="34"/>
    </row>
    <row r="1287" spans="6:13" s="6" customFormat="1" ht="15.75">
      <c r="F1287" s="34"/>
      <c r="G1287" s="67"/>
      <c r="H1287" s="34"/>
      <c r="I1287" s="34"/>
      <c r="J1287" s="34"/>
      <c r="K1287" s="34"/>
      <c r="L1287" s="34"/>
      <c r="M1287" s="34"/>
    </row>
    <row r="1288" spans="6:13" s="6" customFormat="1" ht="15.75">
      <c r="F1288" s="34"/>
      <c r="G1288" s="67"/>
      <c r="H1288" s="34"/>
      <c r="I1288" s="34"/>
      <c r="J1288" s="34"/>
      <c r="K1288" s="34"/>
      <c r="L1288" s="34"/>
      <c r="M1288" s="34"/>
    </row>
    <row r="1289" spans="6:13" s="6" customFormat="1" ht="15.75">
      <c r="F1289" s="34"/>
      <c r="G1289" s="67"/>
      <c r="H1289" s="34"/>
      <c r="I1289" s="34"/>
      <c r="J1289" s="34"/>
      <c r="K1289" s="34"/>
      <c r="L1289" s="34"/>
      <c r="M1289" s="34"/>
    </row>
    <row r="1290" spans="6:13" s="6" customFormat="1" ht="15.75">
      <c r="F1290" s="34"/>
      <c r="G1290" s="67"/>
      <c r="H1290" s="34"/>
      <c r="I1290" s="34"/>
      <c r="J1290" s="34"/>
      <c r="K1290" s="34"/>
      <c r="L1290" s="34"/>
      <c r="M1290" s="34"/>
    </row>
    <row r="1291" spans="6:13" s="6" customFormat="1" ht="15.75">
      <c r="F1291" s="34"/>
      <c r="G1291" s="67"/>
      <c r="H1291" s="34"/>
      <c r="I1291" s="34"/>
      <c r="J1291" s="34"/>
      <c r="K1291" s="34"/>
      <c r="L1291" s="34"/>
      <c r="M1291" s="34"/>
    </row>
    <row r="1292" spans="6:13" s="6" customFormat="1" ht="15.75">
      <c r="F1292" s="34"/>
      <c r="G1292" s="67"/>
      <c r="H1292" s="34"/>
      <c r="I1292" s="34"/>
      <c r="J1292" s="34"/>
      <c r="K1292" s="34"/>
      <c r="L1292" s="34"/>
      <c r="M1292" s="34"/>
    </row>
    <row r="1293" spans="6:13" s="6" customFormat="1" ht="15.75">
      <c r="F1293" s="34"/>
      <c r="G1293" s="67"/>
      <c r="H1293" s="34"/>
      <c r="I1293" s="34"/>
      <c r="J1293" s="34"/>
      <c r="K1293" s="34"/>
      <c r="L1293" s="34"/>
      <c r="M1293" s="34"/>
    </row>
    <row r="1294" spans="6:13" s="6" customFormat="1" ht="15.75">
      <c r="F1294" s="34"/>
      <c r="G1294" s="67"/>
      <c r="H1294" s="34"/>
      <c r="I1294" s="34"/>
      <c r="J1294" s="34"/>
      <c r="K1294" s="34"/>
      <c r="L1294" s="34"/>
      <c r="M1294" s="34"/>
    </row>
    <row r="1295" spans="6:13" s="6" customFormat="1" ht="15.75">
      <c r="F1295" s="34"/>
      <c r="G1295" s="67"/>
      <c r="H1295" s="34"/>
      <c r="I1295" s="34"/>
      <c r="J1295" s="34"/>
      <c r="K1295" s="34"/>
      <c r="L1295" s="34"/>
      <c r="M1295" s="34"/>
    </row>
    <row r="1296" spans="6:13" s="6" customFormat="1" ht="15.75">
      <c r="F1296" s="34"/>
      <c r="G1296" s="67"/>
      <c r="H1296" s="34"/>
      <c r="I1296" s="34"/>
      <c r="J1296" s="34"/>
      <c r="K1296" s="34"/>
      <c r="L1296" s="34"/>
      <c r="M1296" s="34"/>
    </row>
    <row r="1297" spans="6:13" s="6" customFormat="1" ht="15.75">
      <c r="F1297" s="34"/>
      <c r="G1297" s="67"/>
      <c r="H1297" s="34"/>
      <c r="I1297" s="34"/>
      <c r="J1297" s="34"/>
      <c r="K1297" s="34"/>
      <c r="L1297" s="34"/>
      <c r="M1297" s="34"/>
    </row>
    <row r="1298" spans="6:13" s="6" customFormat="1" ht="15.75">
      <c r="F1298" s="34"/>
      <c r="G1298" s="67"/>
      <c r="H1298" s="34"/>
      <c r="I1298" s="34"/>
      <c r="J1298" s="34"/>
      <c r="K1298" s="34"/>
      <c r="L1298" s="34"/>
      <c r="M1298" s="34"/>
    </row>
    <row r="1299" spans="6:13" s="6" customFormat="1" ht="15.75">
      <c r="F1299" s="34"/>
      <c r="G1299" s="67"/>
      <c r="H1299" s="34"/>
      <c r="I1299" s="34"/>
      <c r="J1299" s="34"/>
      <c r="K1299" s="34"/>
      <c r="L1299" s="34"/>
      <c r="M1299" s="34"/>
    </row>
    <row r="1300" spans="6:13" s="6" customFormat="1" ht="15.75">
      <c r="F1300" s="34"/>
      <c r="G1300" s="67"/>
      <c r="H1300" s="34"/>
      <c r="I1300" s="34"/>
      <c r="J1300" s="34"/>
      <c r="K1300" s="34"/>
      <c r="L1300" s="34"/>
      <c r="M1300" s="34"/>
    </row>
    <row r="1301" spans="6:13" s="6" customFormat="1" ht="15.75">
      <c r="F1301" s="34"/>
      <c r="G1301" s="67"/>
      <c r="H1301" s="34"/>
      <c r="I1301" s="34"/>
      <c r="J1301" s="34"/>
      <c r="K1301" s="34"/>
      <c r="L1301" s="34"/>
      <c r="M1301" s="34"/>
    </row>
    <row r="1302" spans="6:13" s="6" customFormat="1" ht="15.75">
      <c r="F1302" s="34"/>
      <c r="G1302" s="67"/>
      <c r="H1302" s="34"/>
      <c r="I1302" s="34"/>
      <c r="J1302" s="34"/>
      <c r="K1302" s="34"/>
      <c r="L1302" s="34"/>
      <c r="M1302" s="34"/>
    </row>
    <row r="1303" spans="6:13" s="6" customFormat="1" ht="15.75">
      <c r="F1303" s="34"/>
      <c r="G1303" s="67"/>
      <c r="H1303" s="34"/>
      <c r="I1303" s="34"/>
      <c r="J1303" s="34"/>
      <c r="K1303" s="34"/>
      <c r="L1303" s="34"/>
      <c r="M1303" s="34"/>
    </row>
    <row r="1304" spans="6:13" s="6" customFormat="1" ht="15.75">
      <c r="F1304" s="34"/>
      <c r="G1304" s="67"/>
      <c r="H1304" s="34"/>
      <c r="I1304" s="34"/>
      <c r="J1304" s="34"/>
      <c r="K1304" s="34"/>
      <c r="L1304" s="34"/>
      <c r="M1304" s="34"/>
    </row>
    <row r="1305" spans="6:13" s="6" customFormat="1" ht="15.75">
      <c r="F1305" s="34"/>
      <c r="G1305" s="67"/>
      <c r="H1305" s="34"/>
      <c r="I1305" s="34"/>
      <c r="J1305" s="34"/>
      <c r="K1305" s="34"/>
      <c r="L1305" s="34"/>
      <c r="M1305" s="34"/>
    </row>
    <row r="1306" spans="6:13" s="6" customFormat="1" ht="15.75">
      <c r="F1306" s="34"/>
      <c r="G1306" s="67"/>
      <c r="H1306" s="34"/>
      <c r="I1306" s="34"/>
      <c r="J1306" s="34"/>
      <c r="K1306" s="34"/>
      <c r="L1306" s="34"/>
      <c r="M1306" s="34"/>
    </row>
    <row r="1307" spans="6:13" s="6" customFormat="1" ht="15.75">
      <c r="F1307" s="34"/>
      <c r="G1307" s="67"/>
      <c r="H1307" s="34"/>
      <c r="I1307" s="34"/>
      <c r="J1307" s="34"/>
      <c r="K1307" s="34"/>
      <c r="L1307" s="34"/>
      <c r="M1307" s="34"/>
    </row>
    <row r="1308" spans="6:13" s="6" customFormat="1" ht="15.75">
      <c r="F1308" s="34"/>
      <c r="G1308" s="67"/>
      <c r="H1308" s="34"/>
      <c r="I1308" s="34"/>
      <c r="J1308" s="34"/>
      <c r="K1308" s="34"/>
      <c r="L1308" s="34"/>
      <c r="M1308" s="34"/>
    </row>
    <row r="1309" spans="6:13" s="6" customFormat="1" ht="15.75">
      <c r="F1309" s="34"/>
      <c r="G1309" s="67"/>
      <c r="H1309" s="34"/>
      <c r="I1309" s="34"/>
      <c r="J1309" s="34"/>
      <c r="K1309" s="34"/>
      <c r="L1309" s="34"/>
      <c r="M1309" s="34"/>
    </row>
    <row r="1310" spans="6:13" s="6" customFormat="1" ht="15.75">
      <c r="F1310" s="34"/>
      <c r="G1310" s="67"/>
      <c r="H1310" s="34"/>
      <c r="I1310" s="34"/>
      <c r="J1310" s="34"/>
      <c r="K1310" s="34"/>
      <c r="L1310" s="34"/>
      <c r="M1310" s="34"/>
    </row>
    <row r="1311" spans="6:13" s="6" customFormat="1" ht="15.75">
      <c r="F1311" s="34"/>
      <c r="G1311" s="67"/>
      <c r="H1311" s="34"/>
      <c r="I1311" s="34"/>
      <c r="J1311" s="34"/>
      <c r="K1311" s="34"/>
      <c r="L1311" s="34"/>
      <c r="M1311" s="34"/>
    </row>
    <row r="1312" spans="6:13" s="6" customFormat="1" ht="15.75">
      <c r="F1312" s="34"/>
      <c r="G1312" s="67"/>
      <c r="H1312" s="34"/>
      <c r="I1312" s="34"/>
      <c r="J1312" s="34"/>
      <c r="K1312" s="34"/>
      <c r="L1312" s="34"/>
      <c r="M1312" s="34"/>
    </row>
    <row r="1313" spans="6:13" s="6" customFormat="1" ht="15.75">
      <c r="F1313" s="34"/>
      <c r="G1313" s="67"/>
      <c r="H1313" s="34"/>
      <c r="I1313" s="34"/>
      <c r="J1313" s="34"/>
      <c r="K1313" s="34"/>
      <c r="L1313" s="34"/>
      <c r="M1313" s="34"/>
    </row>
    <row r="1314" spans="6:13" s="6" customFormat="1" ht="15.75">
      <c r="F1314" s="34"/>
      <c r="G1314" s="67"/>
      <c r="H1314" s="34"/>
      <c r="I1314" s="34"/>
      <c r="J1314" s="34"/>
      <c r="K1314" s="34"/>
      <c r="L1314" s="34"/>
      <c r="M1314" s="34"/>
    </row>
    <row r="1315" spans="6:13" s="6" customFormat="1" ht="15.75">
      <c r="F1315" s="34"/>
      <c r="G1315" s="67"/>
      <c r="H1315" s="34"/>
      <c r="I1315" s="34"/>
      <c r="J1315" s="34"/>
      <c r="K1315" s="34"/>
      <c r="L1315" s="34"/>
      <c r="M1315" s="34"/>
    </row>
    <row r="1316" spans="6:13" s="6" customFormat="1" ht="15.75">
      <c r="F1316" s="34"/>
      <c r="G1316" s="67"/>
      <c r="H1316" s="34"/>
      <c r="I1316" s="34"/>
      <c r="J1316" s="34"/>
      <c r="K1316" s="34"/>
      <c r="L1316" s="34"/>
      <c r="M1316" s="34"/>
    </row>
    <row r="1317" spans="6:13" s="6" customFormat="1" ht="15.75">
      <c r="F1317" s="34"/>
      <c r="G1317" s="67"/>
      <c r="H1317" s="34"/>
      <c r="I1317" s="34"/>
      <c r="J1317" s="34"/>
      <c r="K1317" s="34"/>
      <c r="L1317" s="34"/>
      <c r="M1317" s="34"/>
    </row>
    <row r="1318" spans="6:13" s="6" customFormat="1" ht="15.75">
      <c r="F1318" s="34"/>
      <c r="G1318" s="67"/>
      <c r="H1318" s="34"/>
      <c r="I1318" s="34"/>
      <c r="J1318" s="34"/>
      <c r="K1318" s="34"/>
      <c r="L1318" s="34"/>
      <c r="M1318" s="34"/>
    </row>
    <row r="1319" spans="6:13" s="6" customFormat="1" ht="15.75">
      <c r="F1319" s="34"/>
      <c r="G1319" s="67"/>
      <c r="H1319" s="34"/>
      <c r="I1319" s="34"/>
      <c r="J1319" s="34"/>
      <c r="K1319" s="34"/>
      <c r="L1319" s="34"/>
      <c r="M1319" s="34"/>
    </row>
    <row r="1320" spans="6:13" s="6" customFormat="1" ht="15.75">
      <c r="F1320" s="34"/>
      <c r="G1320" s="67"/>
      <c r="H1320" s="34"/>
      <c r="I1320" s="34"/>
      <c r="J1320" s="34"/>
      <c r="K1320" s="34"/>
      <c r="L1320" s="34"/>
      <c r="M1320" s="34"/>
    </row>
    <row r="1321" spans="6:13" s="6" customFormat="1" ht="15.75">
      <c r="F1321" s="34"/>
      <c r="G1321" s="67"/>
      <c r="H1321" s="34"/>
      <c r="I1321" s="34"/>
      <c r="J1321" s="34"/>
      <c r="K1321" s="34"/>
      <c r="L1321" s="34"/>
      <c r="M1321" s="34"/>
    </row>
    <row r="1322" spans="6:13" s="6" customFormat="1" ht="15.75">
      <c r="F1322" s="34"/>
      <c r="G1322" s="67"/>
      <c r="H1322" s="34"/>
      <c r="I1322" s="34"/>
      <c r="J1322" s="34"/>
      <c r="K1322" s="34"/>
      <c r="L1322" s="34"/>
      <c r="M1322" s="34"/>
    </row>
    <row r="1323" spans="6:13" s="6" customFormat="1" ht="15.75">
      <c r="F1323" s="34"/>
      <c r="G1323" s="67"/>
      <c r="H1323" s="34"/>
      <c r="I1323" s="34"/>
      <c r="J1323" s="34"/>
      <c r="K1323" s="34"/>
      <c r="L1323" s="34"/>
      <c r="M1323" s="34"/>
    </row>
    <row r="1324" spans="6:13" s="6" customFormat="1" ht="15.75">
      <c r="F1324" s="34"/>
      <c r="G1324" s="67"/>
      <c r="H1324" s="34"/>
      <c r="I1324" s="34"/>
      <c r="J1324" s="34"/>
      <c r="K1324" s="34"/>
      <c r="L1324" s="34"/>
      <c r="M1324" s="34"/>
    </row>
    <row r="1325" spans="6:13" s="6" customFormat="1" ht="15.75">
      <c r="F1325" s="34"/>
      <c r="G1325" s="67"/>
      <c r="H1325" s="34"/>
      <c r="I1325" s="34"/>
      <c r="J1325" s="34"/>
      <c r="K1325" s="34"/>
      <c r="L1325" s="34"/>
      <c r="M1325" s="34"/>
    </row>
    <row r="1326" spans="6:13" s="6" customFormat="1" ht="15.75">
      <c r="F1326" s="34"/>
      <c r="G1326" s="67"/>
      <c r="H1326" s="34"/>
      <c r="I1326" s="34"/>
      <c r="J1326" s="34"/>
      <c r="K1326" s="34"/>
      <c r="L1326" s="34"/>
      <c r="M1326" s="34"/>
    </row>
    <row r="1327" spans="6:13" s="6" customFormat="1" ht="15.75">
      <c r="F1327" s="34"/>
      <c r="G1327" s="67"/>
      <c r="H1327" s="34"/>
      <c r="I1327" s="34"/>
      <c r="J1327" s="34"/>
      <c r="K1327" s="34"/>
      <c r="L1327" s="34"/>
      <c r="M1327" s="34"/>
    </row>
    <row r="1328" spans="6:13" s="6" customFormat="1" ht="15.75">
      <c r="F1328" s="34"/>
      <c r="G1328" s="67"/>
      <c r="H1328" s="34"/>
      <c r="I1328" s="34"/>
      <c r="J1328" s="34"/>
      <c r="K1328" s="34"/>
      <c r="L1328" s="34"/>
      <c r="M1328" s="34"/>
    </row>
    <row r="1329" spans="6:13" s="6" customFormat="1" ht="15.75">
      <c r="F1329" s="34"/>
      <c r="G1329" s="67"/>
      <c r="H1329" s="34"/>
      <c r="I1329" s="34"/>
      <c r="J1329" s="34"/>
      <c r="K1329" s="34"/>
      <c r="L1329" s="34"/>
      <c r="M1329" s="34"/>
    </row>
    <row r="1330" spans="6:13" s="6" customFormat="1" ht="15.75">
      <c r="F1330" s="34"/>
      <c r="G1330" s="67"/>
      <c r="H1330" s="34"/>
      <c r="I1330" s="34"/>
      <c r="J1330" s="34"/>
      <c r="K1330" s="34"/>
      <c r="L1330" s="34"/>
      <c r="M1330" s="34"/>
    </row>
    <row r="1331" spans="6:13" s="6" customFormat="1" ht="15.75">
      <c r="F1331" s="34"/>
      <c r="G1331" s="67"/>
      <c r="H1331" s="34"/>
      <c r="I1331" s="34"/>
      <c r="J1331" s="34"/>
      <c r="K1331" s="34"/>
      <c r="L1331" s="34"/>
      <c r="M1331" s="34"/>
    </row>
    <row r="1332" spans="6:13" s="6" customFormat="1" ht="15.75">
      <c r="F1332" s="34"/>
      <c r="G1332" s="67"/>
      <c r="H1332" s="34"/>
      <c r="I1332" s="34"/>
      <c r="J1332" s="34"/>
      <c r="K1332" s="34"/>
      <c r="L1332" s="34"/>
      <c r="M1332" s="34"/>
    </row>
    <row r="1333" spans="6:13" s="6" customFormat="1" ht="15.75">
      <c r="F1333" s="34"/>
      <c r="G1333" s="67"/>
      <c r="H1333" s="34"/>
      <c r="I1333" s="34"/>
      <c r="J1333" s="34"/>
      <c r="K1333" s="34"/>
      <c r="L1333" s="34"/>
      <c r="M1333" s="34"/>
    </row>
    <row r="1334" spans="6:13" s="6" customFormat="1" ht="15.75">
      <c r="F1334" s="34"/>
      <c r="G1334" s="67"/>
      <c r="H1334" s="34"/>
      <c r="I1334" s="34"/>
      <c r="J1334" s="34"/>
      <c r="K1334" s="34"/>
      <c r="L1334" s="34"/>
      <c r="M1334" s="34"/>
    </row>
    <row r="1335" spans="6:13" s="6" customFormat="1" ht="15.75">
      <c r="F1335" s="34"/>
      <c r="G1335" s="67"/>
      <c r="H1335" s="34"/>
      <c r="I1335" s="34"/>
      <c r="J1335" s="34"/>
      <c r="K1335" s="34"/>
      <c r="L1335" s="34"/>
      <c r="M1335" s="34"/>
    </row>
    <row r="1336" spans="6:13" s="6" customFormat="1" ht="15.75">
      <c r="F1336" s="34"/>
      <c r="G1336" s="67"/>
      <c r="H1336" s="34"/>
      <c r="I1336" s="34"/>
      <c r="J1336" s="34"/>
      <c r="K1336" s="34"/>
      <c r="L1336" s="34"/>
      <c r="M1336" s="34"/>
    </row>
    <row r="1337" spans="6:13" s="6" customFormat="1" ht="15.75">
      <c r="F1337" s="34"/>
      <c r="G1337" s="67"/>
      <c r="H1337" s="34"/>
      <c r="I1337" s="34"/>
      <c r="J1337" s="34"/>
      <c r="K1337" s="34"/>
      <c r="L1337" s="34"/>
      <c r="M1337" s="34"/>
    </row>
    <row r="1338" spans="6:13" s="6" customFormat="1" ht="15.75">
      <c r="F1338" s="34"/>
      <c r="G1338" s="67"/>
      <c r="H1338" s="34"/>
      <c r="I1338" s="34"/>
      <c r="J1338" s="34"/>
      <c r="K1338" s="34"/>
      <c r="L1338" s="34"/>
      <c r="M1338" s="34"/>
    </row>
    <row r="1339" spans="6:13" s="6" customFormat="1" ht="15.75">
      <c r="F1339" s="34"/>
      <c r="G1339" s="67"/>
      <c r="H1339" s="34"/>
      <c r="I1339" s="34"/>
      <c r="J1339" s="34"/>
      <c r="K1339" s="34"/>
      <c r="L1339" s="34"/>
      <c r="M1339" s="34"/>
    </row>
    <row r="1340" spans="6:13" s="6" customFormat="1" ht="15.75">
      <c r="F1340" s="34"/>
      <c r="G1340" s="67"/>
      <c r="H1340" s="34"/>
      <c r="I1340" s="34"/>
      <c r="J1340" s="34"/>
      <c r="K1340" s="34"/>
      <c r="L1340" s="34"/>
      <c r="M1340" s="34"/>
    </row>
    <row r="1341" spans="6:13" s="6" customFormat="1" ht="15.75">
      <c r="F1341" s="34"/>
      <c r="G1341" s="67"/>
      <c r="H1341" s="34"/>
      <c r="I1341" s="34"/>
      <c r="J1341" s="34"/>
      <c r="K1341" s="34"/>
      <c r="L1341" s="34"/>
      <c r="M1341" s="34"/>
    </row>
    <row r="1342" spans="6:13" s="6" customFormat="1" ht="15.75">
      <c r="F1342" s="34"/>
      <c r="G1342" s="67"/>
      <c r="H1342" s="34"/>
      <c r="I1342" s="34"/>
      <c r="J1342" s="34"/>
      <c r="K1342" s="34"/>
      <c r="L1342" s="34"/>
      <c r="M1342" s="34"/>
    </row>
    <row r="1343" spans="6:13" s="6" customFormat="1" ht="15.75">
      <c r="F1343" s="34"/>
      <c r="G1343" s="67"/>
      <c r="H1343" s="34"/>
      <c r="I1343" s="34"/>
      <c r="J1343" s="34"/>
      <c r="K1343" s="34"/>
      <c r="L1343" s="34"/>
      <c r="M1343" s="34"/>
    </row>
    <row r="1344" spans="6:13" s="6" customFormat="1" ht="15.75">
      <c r="F1344" s="34"/>
      <c r="G1344" s="67"/>
      <c r="H1344" s="34"/>
      <c r="I1344" s="34"/>
      <c r="J1344" s="34"/>
      <c r="K1344" s="34"/>
      <c r="L1344" s="34"/>
      <c r="M1344" s="34"/>
    </row>
    <row r="1345" spans="6:13" s="6" customFormat="1" ht="15.75">
      <c r="F1345" s="34"/>
      <c r="G1345" s="67"/>
      <c r="H1345" s="34"/>
      <c r="I1345" s="34"/>
      <c r="J1345" s="34"/>
      <c r="K1345" s="34"/>
      <c r="L1345" s="34"/>
      <c r="M1345" s="34"/>
    </row>
    <row r="1346" spans="6:13" s="6" customFormat="1" ht="15.75">
      <c r="F1346" s="34"/>
      <c r="G1346" s="67"/>
      <c r="H1346" s="34"/>
      <c r="I1346" s="34"/>
      <c r="J1346" s="34"/>
      <c r="K1346" s="34"/>
      <c r="L1346" s="34"/>
      <c r="M1346" s="34"/>
    </row>
    <row r="1347" spans="6:13" s="6" customFormat="1" ht="15.75">
      <c r="F1347" s="34"/>
      <c r="G1347" s="67"/>
      <c r="H1347" s="34"/>
      <c r="I1347" s="34"/>
      <c r="J1347" s="34"/>
      <c r="K1347" s="34"/>
      <c r="L1347" s="34"/>
      <c r="M1347" s="34"/>
    </row>
    <row r="1348" spans="6:13" s="6" customFormat="1" ht="15.75">
      <c r="F1348" s="34"/>
      <c r="G1348" s="67"/>
      <c r="H1348" s="34"/>
      <c r="I1348" s="34"/>
      <c r="J1348" s="34"/>
      <c r="K1348" s="34"/>
      <c r="L1348" s="34"/>
      <c r="M1348" s="34"/>
    </row>
    <row r="1349" spans="6:13" s="6" customFormat="1" ht="15.75">
      <c r="F1349" s="34"/>
      <c r="G1349" s="67"/>
      <c r="H1349" s="34"/>
      <c r="I1349" s="34"/>
      <c r="J1349" s="34"/>
      <c r="K1349" s="34"/>
      <c r="L1349" s="34"/>
      <c r="M1349" s="34"/>
    </row>
    <row r="1350" spans="6:13" s="6" customFormat="1" ht="15.75">
      <c r="F1350" s="34"/>
      <c r="G1350" s="67"/>
      <c r="H1350" s="34"/>
      <c r="I1350" s="34"/>
      <c r="J1350" s="34"/>
      <c r="K1350" s="34"/>
      <c r="L1350" s="34"/>
      <c r="M1350" s="34"/>
    </row>
    <row r="1351" spans="6:13" s="6" customFormat="1" ht="15.75">
      <c r="F1351" s="34"/>
      <c r="G1351" s="67"/>
      <c r="H1351" s="34"/>
      <c r="I1351" s="34"/>
      <c r="J1351" s="34"/>
      <c r="K1351" s="34"/>
      <c r="L1351" s="34"/>
      <c r="M1351" s="34"/>
    </row>
    <row r="1352" spans="6:13" s="6" customFormat="1" ht="15.75">
      <c r="F1352" s="34"/>
      <c r="G1352" s="67"/>
      <c r="H1352" s="34"/>
      <c r="I1352" s="34"/>
      <c r="J1352" s="34"/>
      <c r="K1352" s="34"/>
      <c r="L1352" s="34"/>
      <c r="M1352" s="34"/>
    </row>
    <row r="1353" spans="6:13" s="6" customFormat="1" ht="15.75">
      <c r="F1353" s="34"/>
      <c r="G1353" s="67"/>
      <c r="H1353" s="34"/>
      <c r="I1353" s="34"/>
      <c r="J1353" s="34"/>
      <c r="K1353" s="34"/>
      <c r="L1353" s="34"/>
      <c r="M1353" s="34"/>
    </row>
    <row r="1354" spans="6:13" s="6" customFormat="1" ht="15.75">
      <c r="F1354" s="34"/>
      <c r="G1354" s="67"/>
      <c r="H1354" s="34"/>
      <c r="I1354" s="34"/>
      <c r="J1354" s="34"/>
      <c r="K1354" s="34"/>
      <c r="L1354" s="34"/>
      <c r="M1354" s="34"/>
    </row>
    <row r="1355" spans="6:13" s="6" customFormat="1" ht="15.75">
      <c r="F1355" s="34"/>
      <c r="G1355" s="67"/>
      <c r="H1355" s="34"/>
      <c r="I1355" s="34"/>
      <c r="J1355" s="34"/>
      <c r="K1355" s="34"/>
      <c r="L1355" s="34"/>
      <c r="M1355" s="34"/>
    </row>
    <row r="1356" spans="6:13" s="6" customFormat="1" ht="15.75">
      <c r="F1356" s="34"/>
      <c r="G1356" s="67"/>
      <c r="H1356" s="34"/>
      <c r="I1356" s="34"/>
      <c r="J1356" s="34"/>
      <c r="K1356" s="34"/>
      <c r="L1356" s="34"/>
      <c r="M1356" s="34"/>
    </row>
    <row r="1357" spans="6:13" s="6" customFormat="1" ht="15.75">
      <c r="F1357" s="34"/>
      <c r="G1357" s="67"/>
      <c r="H1357" s="34"/>
      <c r="I1357" s="34"/>
      <c r="J1357" s="34"/>
      <c r="K1357" s="34"/>
      <c r="L1357" s="34"/>
      <c r="M1357" s="34"/>
    </row>
    <row r="1358" spans="6:13" s="6" customFormat="1" ht="15.75">
      <c r="F1358" s="34"/>
      <c r="G1358" s="67"/>
      <c r="H1358" s="34"/>
      <c r="I1358" s="34"/>
      <c r="J1358" s="34"/>
      <c r="K1358" s="34"/>
      <c r="L1358" s="34"/>
      <c r="M1358" s="34"/>
    </row>
    <row r="1359" spans="6:13" s="6" customFormat="1" ht="15.75">
      <c r="F1359" s="34"/>
      <c r="G1359" s="67"/>
      <c r="H1359" s="34"/>
      <c r="I1359" s="34"/>
      <c r="J1359" s="34"/>
      <c r="K1359" s="34"/>
      <c r="L1359" s="34"/>
      <c r="M1359" s="34"/>
    </row>
    <row r="1360" spans="6:13" s="6" customFormat="1" ht="15.75">
      <c r="F1360" s="34"/>
      <c r="G1360" s="67"/>
      <c r="H1360" s="34"/>
      <c r="I1360" s="34"/>
      <c r="J1360" s="34"/>
      <c r="K1360" s="34"/>
      <c r="L1360" s="34"/>
      <c r="M1360" s="34"/>
    </row>
    <row r="1361" spans="6:13" s="6" customFormat="1" ht="15.75">
      <c r="F1361" s="34"/>
      <c r="G1361" s="67"/>
      <c r="H1361" s="34"/>
      <c r="I1361" s="34"/>
      <c r="J1361" s="34"/>
      <c r="K1361" s="34"/>
      <c r="L1361" s="34"/>
      <c r="M1361" s="34"/>
    </row>
    <row r="1362" spans="6:13" s="6" customFormat="1" ht="15.75">
      <c r="F1362" s="34"/>
      <c r="G1362" s="67"/>
      <c r="H1362" s="34"/>
      <c r="I1362" s="34"/>
      <c r="J1362" s="34"/>
      <c r="K1362" s="34"/>
      <c r="L1362" s="34"/>
      <c r="M1362" s="34"/>
    </row>
    <row r="1363" spans="6:13" s="6" customFormat="1" ht="15.75">
      <c r="F1363" s="34"/>
      <c r="G1363" s="67"/>
      <c r="H1363" s="34"/>
      <c r="I1363" s="34"/>
      <c r="J1363" s="34"/>
      <c r="K1363" s="34"/>
      <c r="L1363" s="34"/>
      <c r="M1363" s="34"/>
    </row>
    <row r="1364" spans="6:13" s="6" customFormat="1" ht="15.75">
      <c r="F1364" s="34"/>
      <c r="G1364" s="67"/>
      <c r="H1364" s="34"/>
      <c r="I1364" s="34"/>
      <c r="J1364" s="34"/>
      <c r="K1364" s="34"/>
      <c r="L1364" s="34"/>
      <c r="M1364" s="34"/>
    </row>
    <row r="1365" spans="6:13" s="6" customFormat="1" ht="15.75">
      <c r="F1365" s="34"/>
      <c r="G1365" s="67"/>
      <c r="H1365" s="34"/>
      <c r="I1365" s="34"/>
      <c r="J1365" s="34"/>
      <c r="K1365" s="34"/>
      <c r="L1365" s="34"/>
      <c r="M1365" s="34"/>
    </row>
    <row r="1366" spans="6:13" s="6" customFormat="1" ht="15.75">
      <c r="F1366" s="34"/>
      <c r="G1366" s="67"/>
      <c r="H1366" s="34"/>
      <c r="I1366" s="34"/>
      <c r="J1366" s="34"/>
      <c r="K1366" s="34"/>
      <c r="L1366" s="34"/>
      <c r="M1366" s="34"/>
    </row>
    <row r="1367" spans="6:13" s="6" customFormat="1" ht="15.75">
      <c r="F1367" s="34"/>
      <c r="G1367" s="67"/>
      <c r="H1367" s="34"/>
      <c r="I1367" s="34"/>
      <c r="J1367" s="34"/>
      <c r="K1367" s="34"/>
      <c r="L1367" s="34"/>
      <c r="M1367" s="34"/>
    </row>
    <row r="1368" spans="6:13" s="6" customFormat="1" ht="15.75">
      <c r="F1368" s="34"/>
      <c r="G1368" s="67"/>
      <c r="H1368" s="34"/>
      <c r="I1368" s="34"/>
      <c r="J1368" s="34"/>
      <c r="K1368" s="34"/>
      <c r="L1368" s="34"/>
      <c r="M1368" s="34"/>
    </row>
    <row r="1369" spans="6:13" s="6" customFormat="1" ht="15.75">
      <c r="F1369" s="34"/>
      <c r="G1369" s="67"/>
      <c r="H1369" s="34"/>
      <c r="I1369" s="34"/>
      <c r="J1369" s="34"/>
      <c r="K1369" s="34"/>
      <c r="L1369" s="34"/>
      <c r="M1369" s="34"/>
    </row>
    <row r="1370" spans="6:13" s="6" customFormat="1" ht="15.75">
      <c r="F1370" s="34"/>
      <c r="G1370" s="67"/>
      <c r="H1370" s="34"/>
      <c r="I1370" s="34"/>
      <c r="J1370" s="34"/>
      <c r="K1370" s="34"/>
      <c r="L1370" s="34"/>
      <c r="M1370" s="34"/>
    </row>
    <row r="1371" spans="6:13" s="6" customFormat="1" ht="15.75">
      <c r="F1371" s="34"/>
      <c r="G1371" s="67"/>
      <c r="H1371" s="34"/>
      <c r="I1371" s="34"/>
      <c r="J1371" s="34"/>
      <c r="K1371" s="34"/>
      <c r="L1371" s="34"/>
      <c r="M1371" s="34"/>
    </row>
    <row r="1372" spans="6:13" s="6" customFormat="1" ht="15.75">
      <c r="F1372" s="34"/>
      <c r="G1372" s="67"/>
      <c r="H1372" s="34"/>
      <c r="I1372" s="34"/>
      <c r="J1372" s="34"/>
      <c r="K1372" s="34"/>
      <c r="L1372" s="34"/>
      <c r="M1372" s="34"/>
    </row>
    <row r="1373" spans="6:13" s="6" customFormat="1" ht="15.75">
      <c r="F1373" s="34"/>
      <c r="G1373" s="67"/>
      <c r="H1373" s="34"/>
      <c r="I1373" s="34"/>
      <c r="J1373" s="34"/>
      <c r="K1373" s="34"/>
      <c r="L1373" s="34"/>
      <c r="M1373" s="34"/>
    </row>
    <row r="1374" spans="6:13" s="6" customFormat="1" ht="15.75">
      <c r="F1374" s="34"/>
      <c r="G1374" s="67"/>
      <c r="H1374" s="34"/>
      <c r="I1374" s="34"/>
      <c r="J1374" s="34"/>
      <c r="K1374" s="34"/>
      <c r="L1374" s="34"/>
      <c r="M1374" s="34"/>
    </row>
    <row r="1375" spans="6:13" s="6" customFormat="1" ht="15.75">
      <c r="F1375" s="34"/>
      <c r="G1375" s="67"/>
      <c r="H1375" s="34"/>
      <c r="I1375" s="34"/>
      <c r="J1375" s="34"/>
      <c r="K1375" s="34"/>
      <c r="L1375" s="34"/>
      <c r="M1375" s="34"/>
    </row>
    <row r="1376" spans="6:13" s="6" customFormat="1" ht="15.75">
      <c r="F1376" s="34"/>
      <c r="G1376" s="67"/>
      <c r="H1376" s="34"/>
      <c r="I1376" s="34"/>
      <c r="J1376" s="34"/>
      <c r="K1376" s="34"/>
      <c r="L1376" s="34"/>
      <c r="M1376" s="34"/>
    </row>
    <row r="1377" spans="6:13" s="6" customFormat="1" ht="15.75">
      <c r="F1377" s="34"/>
      <c r="G1377" s="67"/>
      <c r="H1377" s="34"/>
      <c r="I1377" s="34"/>
      <c r="J1377" s="34"/>
      <c r="K1377" s="34"/>
      <c r="L1377" s="34"/>
      <c r="M1377" s="34"/>
    </row>
    <row r="1378" spans="6:13" s="6" customFormat="1" ht="15.75">
      <c r="F1378" s="34"/>
      <c r="G1378" s="67"/>
      <c r="H1378" s="34"/>
      <c r="I1378" s="34"/>
      <c r="J1378" s="34"/>
      <c r="K1378" s="34"/>
      <c r="L1378" s="34"/>
      <c r="M1378" s="34"/>
    </row>
  </sheetData>
  <mergeCells count="2">
    <mergeCell ref="A5:B5"/>
    <mergeCell ref="A1147:B1147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489"/>
  <sheetViews>
    <sheetView topLeftCell="D1" workbookViewId="0">
      <pane ySplit="2790" topLeftCell="A1200" activePane="bottomLeft"/>
      <selection activeCell="L1" sqref="L1:L65536"/>
      <selection pane="bottomLeft" activeCell="J1214" sqref="J1214"/>
    </sheetView>
  </sheetViews>
  <sheetFormatPr defaultRowHeight="12.75"/>
  <cols>
    <col min="1" max="1" width="9.28515625" bestFit="1" customWidth="1"/>
    <col min="2" max="2" width="24.140625" customWidth="1"/>
    <col min="3" max="3" width="15.140625" customWidth="1"/>
    <col min="4" max="5" width="10.7109375" customWidth="1"/>
    <col min="6" max="6" width="14.85546875" style="38" customWidth="1"/>
    <col min="7" max="7" width="10.7109375" style="222" bestFit="1" customWidth="1"/>
    <col min="8" max="8" width="11.42578125" style="38" bestFit="1" customWidth="1"/>
    <col min="9" max="11" width="10.7109375" style="38" bestFit="1" customWidth="1"/>
    <col min="12" max="12" width="10.7109375" style="38" hidden="1" customWidth="1"/>
    <col min="13" max="13" width="10.7109375" style="38" bestFit="1" customWidth="1"/>
    <col min="15" max="15" width="13.85546875" customWidth="1"/>
  </cols>
  <sheetData>
    <row r="1" spans="1:13" s="6" customFormat="1" ht="16.5" customHeight="1">
      <c r="A1" s="5" t="s">
        <v>669</v>
      </c>
      <c r="F1" s="34"/>
      <c r="G1" s="67"/>
      <c r="H1" s="34"/>
      <c r="I1" s="34"/>
      <c r="J1" s="34"/>
      <c r="K1" s="34"/>
      <c r="L1" s="34"/>
      <c r="M1" s="34"/>
    </row>
    <row r="2" spans="1:13" s="6" customFormat="1" ht="16.5" customHeight="1">
      <c r="B2" s="5" t="s">
        <v>672</v>
      </c>
      <c r="F2" s="34"/>
      <c r="G2" s="67"/>
      <c r="H2" s="34"/>
      <c r="I2" s="34"/>
      <c r="J2" s="34"/>
      <c r="K2" s="34"/>
      <c r="L2" s="34"/>
      <c r="M2" s="34"/>
    </row>
    <row r="3" spans="1:13" s="6" customFormat="1" ht="77.25" customHeight="1">
      <c r="A3" s="8" t="s">
        <v>574</v>
      </c>
      <c r="B3" s="8" t="s">
        <v>674</v>
      </c>
      <c r="C3" s="15" t="s">
        <v>1336</v>
      </c>
      <c r="D3" s="15" t="s">
        <v>610</v>
      </c>
      <c r="E3" s="15" t="s">
        <v>611</v>
      </c>
      <c r="F3" s="44" t="s">
        <v>575</v>
      </c>
      <c r="G3" s="223" t="s">
        <v>594</v>
      </c>
      <c r="H3" s="44" t="s">
        <v>578</v>
      </c>
      <c r="I3" s="44" t="s">
        <v>579</v>
      </c>
      <c r="J3" s="44" t="s">
        <v>580</v>
      </c>
      <c r="K3" s="44" t="s">
        <v>581</v>
      </c>
      <c r="L3" s="44">
        <v>1.29</v>
      </c>
      <c r="M3" s="44" t="s">
        <v>595</v>
      </c>
    </row>
    <row r="4" spans="1:13" s="6" customFormat="1" ht="16.5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42"/>
      <c r="G4" s="224">
        <v>6</v>
      </c>
      <c r="H4" s="42">
        <v>7</v>
      </c>
      <c r="I4" s="42">
        <v>8</v>
      </c>
      <c r="J4" s="42">
        <v>9</v>
      </c>
      <c r="K4" s="42">
        <v>10</v>
      </c>
      <c r="L4" s="42"/>
      <c r="M4" s="42">
        <v>11</v>
      </c>
    </row>
    <row r="5" spans="1:13" s="6" customFormat="1" ht="16.5" customHeight="1">
      <c r="A5" s="9" t="s">
        <v>682</v>
      </c>
      <c r="B5" s="8"/>
      <c r="C5" s="8"/>
      <c r="D5" s="8"/>
      <c r="E5" s="8"/>
      <c r="F5" s="40"/>
      <c r="G5" s="223"/>
      <c r="H5" s="37"/>
      <c r="I5" s="37"/>
      <c r="J5" s="37"/>
      <c r="K5" s="37"/>
      <c r="L5" s="37"/>
      <c r="M5" s="41"/>
    </row>
    <row r="6" spans="1:13" s="6" customFormat="1" ht="16.5" customHeight="1">
      <c r="A6" s="311">
        <v>1</v>
      </c>
      <c r="B6" s="312" t="s">
        <v>683</v>
      </c>
      <c r="C6" s="386">
        <v>9570.0499999999993</v>
      </c>
      <c r="D6" s="386"/>
      <c r="E6" s="386"/>
      <c r="F6" s="40">
        <f>C6+D6+E6</f>
        <v>9570.0499999999993</v>
      </c>
      <c r="G6" s="70">
        <f t="shared" ref="G6:G66" si="0">2/252216.83*F6</f>
        <v>7.5887481418270147E-2</v>
      </c>
      <c r="H6" s="316">
        <f t="shared" ref="H6:H66" si="1">G6*2269.13</f>
        <v>172.19856071063936</v>
      </c>
      <c r="I6" s="37">
        <f>H6*0.3677</f>
        <v>63.317410773302093</v>
      </c>
      <c r="J6" s="316">
        <v>75.082978322909383</v>
      </c>
      <c r="K6" s="37">
        <f>G6*193.77</f>
        <v>14.704717274418208</v>
      </c>
      <c r="L6" s="37"/>
      <c r="M6" s="45">
        <f>(K6+J6+I6+H6)/C6</f>
        <v>3.399184613259796E-2</v>
      </c>
    </row>
    <row r="7" spans="1:13" s="6" customFormat="1" ht="16.5" customHeight="1">
      <c r="A7" s="311">
        <v>2</v>
      </c>
      <c r="B7" s="312" t="s">
        <v>684</v>
      </c>
      <c r="C7" s="330">
        <v>4259.1400000000003</v>
      </c>
      <c r="D7" s="330"/>
      <c r="E7" s="330"/>
      <c r="F7" s="40">
        <f t="shared" ref="F7:F79" si="2">C7+D7+E7</f>
        <v>4259.1400000000003</v>
      </c>
      <c r="G7" s="70">
        <f t="shared" si="0"/>
        <v>3.3773638341263748E-2</v>
      </c>
      <c r="H7" s="316">
        <f t="shared" si="1"/>
        <v>76.636775969311813</v>
      </c>
      <c r="I7" s="37">
        <f t="shared" ref="I7:I69" si="3">H7*0.3677</f>
        <v>28.179342523915956</v>
      </c>
      <c r="J7" s="316">
        <v>33.415595142578802</v>
      </c>
      <c r="K7" s="37">
        <f t="shared" ref="K7:K59" si="4">G7*193.77</f>
        <v>6.5443179013866768</v>
      </c>
      <c r="L7" s="37"/>
      <c r="M7" s="45">
        <f t="shared" ref="M7:M70" si="5">(K7+J7+I7+H7)/C7</f>
        <v>3.3991846132597953E-2</v>
      </c>
    </row>
    <row r="8" spans="1:13" s="6" customFormat="1" ht="16.5" customHeight="1">
      <c r="A8" s="311">
        <v>3</v>
      </c>
      <c r="B8" s="312" t="s">
        <v>685</v>
      </c>
      <c r="C8" s="330">
        <v>8696.41</v>
      </c>
      <c r="D8" s="330"/>
      <c r="E8" s="330"/>
      <c r="F8" s="40">
        <f t="shared" si="2"/>
        <v>8696.41</v>
      </c>
      <c r="G8" s="70">
        <f t="shared" si="0"/>
        <v>6.895979146197341E-2</v>
      </c>
      <c r="H8" s="316">
        <f t="shared" si="1"/>
        <v>156.47873160010772</v>
      </c>
      <c r="I8" s="37">
        <f t="shared" si="3"/>
        <v>57.537229609359613</v>
      </c>
      <c r="J8" s="316">
        <v>68.228730624932197</v>
      </c>
      <c r="K8" s="37">
        <f t="shared" si="4"/>
        <v>13.362338791586588</v>
      </c>
      <c r="L8" s="37"/>
      <c r="M8" s="45">
        <f t="shared" si="5"/>
        <v>3.3991846132597946E-2</v>
      </c>
    </row>
    <row r="9" spans="1:13" s="6" customFormat="1" ht="16.5" customHeight="1">
      <c r="A9" s="311">
        <v>4</v>
      </c>
      <c r="B9" s="312" t="s">
        <v>686</v>
      </c>
      <c r="C9" s="330">
        <v>2719.72</v>
      </c>
      <c r="D9" s="330"/>
      <c r="E9" s="330"/>
      <c r="F9" s="40">
        <f t="shared" si="2"/>
        <v>2719.72</v>
      </c>
      <c r="G9" s="70">
        <f t="shared" si="0"/>
        <v>2.1566522741563281E-2</v>
      </c>
      <c r="H9" s="316">
        <f t="shared" si="1"/>
        <v>48.937243748563489</v>
      </c>
      <c r="I9" s="37">
        <f t="shared" si="3"/>
        <v>17.994224526346795</v>
      </c>
      <c r="J9" s="316">
        <v>21.337890377206293</v>
      </c>
      <c r="K9" s="37">
        <f t="shared" si="4"/>
        <v>4.178945111632717</v>
      </c>
      <c r="L9" s="37"/>
      <c r="M9" s="45">
        <f t="shared" si="5"/>
        <v>3.3991846132597953E-2</v>
      </c>
    </row>
    <row r="10" spans="1:13" s="6" customFormat="1" ht="16.5" customHeight="1">
      <c r="A10" s="311">
        <v>5</v>
      </c>
      <c r="B10" s="312" t="s">
        <v>687</v>
      </c>
      <c r="C10" s="330">
        <v>4138.7</v>
      </c>
      <c r="D10" s="330"/>
      <c r="E10" s="330"/>
      <c r="F10" s="40">
        <f t="shared" si="2"/>
        <v>4138.7</v>
      </c>
      <c r="G10" s="70">
        <f t="shared" si="0"/>
        <v>3.2818587086357404E-2</v>
      </c>
      <c r="H10" s="316">
        <f t="shared" si="1"/>
        <v>74.469640515266178</v>
      </c>
      <c r="I10" s="37">
        <f t="shared" si="3"/>
        <v>27.382486817463377</v>
      </c>
      <c r="J10" s="316">
        <v>32.470668636530114</v>
      </c>
      <c r="K10" s="37">
        <f t="shared" si="4"/>
        <v>6.3592576197234747</v>
      </c>
      <c r="L10" s="37"/>
      <c r="M10" s="45">
        <f t="shared" si="5"/>
        <v>3.3991846132597953E-2</v>
      </c>
    </row>
    <row r="11" spans="1:13" s="6" customFormat="1" ht="16.5" customHeight="1">
      <c r="A11" s="311">
        <v>6</v>
      </c>
      <c r="B11" s="312" t="s">
        <v>688</v>
      </c>
      <c r="C11" s="330">
        <v>4166.1899999999996</v>
      </c>
      <c r="D11" s="330"/>
      <c r="E11" s="330"/>
      <c r="F11" s="40">
        <f t="shared" si="2"/>
        <v>4166.1899999999996</v>
      </c>
      <c r="G11" s="70">
        <f t="shared" si="0"/>
        <v>3.3036574125525249E-2</v>
      </c>
      <c r="H11" s="316">
        <f t="shared" si="1"/>
        <v>74.964281445453111</v>
      </c>
      <c r="I11" s="37">
        <f t="shared" si="3"/>
        <v>27.564366287493112</v>
      </c>
      <c r="J11" s="316">
        <v>32.686344737919008</v>
      </c>
      <c r="K11" s="37">
        <f t="shared" si="4"/>
        <v>6.4014969683030278</v>
      </c>
      <c r="L11" s="37"/>
      <c r="M11" s="45">
        <f t="shared" si="5"/>
        <v>3.399184613259796E-2</v>
      </c>
    </row>
    <row r="12" spans="1:13" s="6" customFormat="1" ht="16.5" customHeight="1">
      <c r="A12" s="311">
        <v>7</v>
      </c>
      <c r="B12" s="312" t="s">
        <v>689</v>
      </c>
      <c r="C12" s="330">
        <v>3572.8</v>
      </c>
      <c r="D12" s="330"/>
      <c r="E12" s="330"/>
      <c r="F12" s="40">
        <f t="shared" si="2"/>
        <v>3572.8</v>
      </c>
      <c r="G12" s="70">
        <f t="shared" si="0"/>
        <v>2.833117837536853E-2</v>
      </c>
      <c r="H12" s="316">
        <f t="shared" si="1"/>
        <v>64.287126786899989</v>
      </c>
      <c r="I12" s="37">
        <f t="shared" si="3"/>
        <v>23.638376519543129</v>
      </c>
      <c r="J12" s="316">
        <v>28.030832122307682</v>
      </c>
      <c r="K12" s="37">
        <f t="shared" si="4"/>
        <v>5.4897324337951607</v>
      </c>
      <c r="L12" s="37"/>
      <c r="M12" s="45">
        <f t="shared" si="5"/>
        <v>3.3991846132597953E-2</v>
      </c>
    </row>
    <row r="13" spans="1:13" s="6" customFormat="1" ht="16.5" customHeight="1">
      <c r="A13" s="311">
        <v>8</v>
      </c>
      <c r="B13" s="312" t="s">
        <v>690</v>
      </c>
      <c r="C13" s="330">
        <v>6443.05</v>
      </c>
      <c r="D13" s="330"/>
      <c r="E13" s="330"/>
      <c r="F13" s="40">
        <f t="shared" si="2"/>
        <v>6443.05</v>
      </c>
      <c r="G13" s="70">
        <f t="shared" si="0"/>
        <v>5.1091356591865818E-2</v>
      </c>
      <c r="H13" s="316">
        <f t="shared" si="1"/>
        <v>115.93292998330048</v>
      </c>
      <c r="I13" s="37">
        <f t="shared" si="3"/>
        <v>42.628538354859593</v>
      </c>
      <c r="J13" s="316">
        <v>50.549723719669316</v>
      </c>
      <c r="K13" s="37">
        <f t="shared" si="4"/>
        <v>9.8999721668058402</v>
      </c>
      <c r="L13" s="37"/>
      <c r="M13" s="45">
        <f t="shared" si="5"/>
        <v>3.3991846132597953E-2</v>
      </c>
    </row>
    <row r="14" spans="1:13" s="6" customFormat="1" ht="16.5" customHeight="1">
      <c r="A14" s="311">
        <v>9</v>
      </c>
      <c r="B14" s="312" t="s">
        <v>691</v>
      </c>
      <c r="C14" s="330">
        <v>6459.7</v>
      </c>
      <c r="D14" s="330"/>
      <c r="E14" s="330"/>
      <c r="F14" s="40">
        <f t="shared" si="2"/>
        <v>6459.7</v>
      </c>
      <c r="G14" s="70">
        <f t="shared" si="0"/>
        <v>5.1223385846218113E-2</v>
      </c>
      <c r="H14" s="316">
        <f t="shared" si="1"/>
        <v>116.23252152522892</v>
      </c>
      <c r="I14" s="37">
        <f t="shared" si="3"/>
        <v>42.73869816482668</v>
      </c>
      <c r="J14" s="316">
        <v>50.680353297265711</v>
      </c>
      <c r="K14" s="37">
        <f t="shared" si="4"/>
        <v>9.9255554754216835</v>
      </c>
      <c r="L14" s="37"/>
      <c r="M14" s="45">
        <f t="shared" si="5"/>
        <v>3.3991846132597953E-2</v>
      </c>
    </row>
    <row r="15" spans="1:13" s="6" customFormat="1" ht="16.5" customHeight="1">
      <c r="A15" s="311">
        <v>10</v>
      </c>
      <c r="B15" s="312" t="s">
        <v>692</v>
      </c>
      <c r="C15" s="330">
        <v>4374.04</v>
      </c>
      <c r="D15" s="330"/>
      <c r="E15" s="330"/>
      <c r="F15" s="40">
        <f t="shared" si="2"/>
        <v>4374.04</v>
      </c>
      <c r="G15" s="70">
        <f t="shared" si="0"/>
        <v>3.4684759141568787E-2</v>
      </c>
      <c r="H15" s="316">
        <f t="shared" si="1"/>
        <v>78.704227510907984</v>
      </c>
      <c r="I15" s="37">
        <f t="shared" si="3"/>
        <v>28.939544455760867</v>
      </c>
      <c r="J15" s="316">
        <v>34.317056912298114</v>
      </c>
      <c r="K15" s="37">
        <f t="shared" si="4"/>
        <v>6.7208657788617838</v>
      </c>
      <c r="L15" s="37"/>
      <c r="M15" s="45">
        <f t="shared" si="5"/>
        <v>3.3991846132597953E-2</v>
      </c>
    </row>
    <row r="16" spans="1:13" s="6" customFormat="1" ht="16.5" customHeight="1">
      <c r="A16" s="311">
        <v>11</v>
      </c>
      <c r="B16" s="312" t="s">
        <v>693</v>
      </c>
      <c r="C16" s="330">
        <v>3413.87</v>
      </c>
      <c r="D16" s="330"/>
      <c r="E16" s="330">
        <v>85.7</v>
      </c>
      <c r="F16" s="40">
        <f t="shared" si="2"/>
        <v>3499.5699999999997</v>
      </c>
      <c r="G16" s="70">
        <f t="shared" si="0"/>
        <v>2.7750487546766803E-2</v>
      </c>
      <c r="H16" s="316">
        <f t="shared" si="1"/>
        <v>62.969463806994959</v>
      </c>
      <c r="I16" s="37">
        <f t="shared" si="3"/>
        <v>23.153871841832046</v>
      </c>
      <c r="J16" s="316">
        <v>27.456297349491798</v>
      </c>
      <c r="K16" s="37">
        <f t="shared" si="4"/>
        <v>5.3772119719370037</v>
      </c>
      <c r="L16" s="37"/>
      <c r="M16" s="45">
        <f t="shared" si="5"/>
        <v>3.48451595902175E-2</v>
      </c>
    </row>
    <row r="17" spans="1:13" s="6" customFormat="1" ht="16.5" customHeight="1">
      <c r="A17" s="311">
        <v>12</v>
      </c>
      <c r="B17" s="312" t="s">
        <v>694</v>
      </c>
      <c r="C17" s="330">
        <v>3466.61</v>
      </c>
      <c r="D17" s="330">
        <v>97.8</v>
      </c>
      <c r="E17" s="330"/>
      <c r="F17" s="40">
        <f t="shared" si="2"/>
        <v>3564.4100000000003</v>
      </c>
      <c r="G17" s="70">
        <f t="shared" si="0"/>
        <v>2.8264648318670888E-2</v>
      </c>
      <c r="H17" s="316">
        <f t="shared" si="1"/>
        <v>64.13616143934567</v>
      </c>
      <c r="I17" s="37">
        <f t="shared" si="3"/>
        <v>23.582866561247403</v>
      </c>
      <c r="J17" s="316">
        <v>27.965007368191539</v>
      </c>
      <c r="K17" s="37">
        <f t="shared" si="4"/>
        <v>5.4768409047088582</v>
      </c>
      <c r="L17" s="37"/>
      <c r="M17" s="45">
        <f t="shared" si="5"/>
        <v>3.4950824082747543E-2</v>
      </c>
    </row>
    <row r="18" spans="1:13" s="6" customFormat="1" ht="16.5" customHeight="1">
      <c r="A18" s="311">
        <v>13</v>
      </c>
      <c r="B18" s="312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2"/>
        <v>6484.8600000000006</v>
      </c>
      <c r="G18" s="70">
        <f t="shared" si="0"/>
        <v>5.142289671946159E-2</v>
      </c>
      <c r="H18" s="316">
        <f t="shared" si="1"/>
        <v>116.68523763303189</v>
      </c>
      <c r="I18" s="37">
        <f t="shared" si="3"/>
        <v>42.905161877665826</v>
      </c>
      <c r="J18" s="316">
        <v>50.877749103411389</v>
      </c>
      <c r="K18" s="37">
        <f t="shared" si="4"/>
        <v>9.9642146973300729</v>
      </c>
      <c r="L18" s="37"/>
      <c r="M18" s="45">
        <f t="shared" si="5"/>
        <v>3.8221664082188647E-2</v>
      </c>
    </row>
    <row r="19" spans="1:13" s="6" customFormat="1" ht="16.5" customHeight="1">
      <c r="A19" s="311">
        <v>14</v>
      </c>
      <c r="B19" s="312" t="s">
        <v>696</v>
      </c>
      <c r="C19" s="330">
        <v>5966.95</v>
      </c>
      <c r="D19" s="330"/>
      <c r="E19" s="330">
        <v>49.5</v>
      </c>
      <c r="F19" s="40">
        <f t="shared" si="2"/>
        <v>6016.45</v>
      </c>
      <c r="G19" s="70">
        <f t="shared" si="0"/>
        <v>4.7708552993866428E-2</v>
      </c>
      <c r="H19" s="316">
        <f t="shared" si="1"/>
        <v>108.25690885497214</v>
      </c>
      <c r="I19" s="37">
        <f t="shared" si="3"/>
        <v>39.806065385973255</v>
      </c>
      <c r="J19" s="316">
        <v>47.202782109902053</v>
      </c>
      <c r="K19" s="37">
        <f t="shared" si="4"/>
        <v>9.2444863136214988</v>
      </c>
      <c r="L19" s="37"/>
      <c r="M19" s="45">
        <f t="shared" si="5"/>
        <v>3.427383213609448E-2</v>
      </c>
    </row>
    <row r="20" spans="1:13" s="6" customFormat="1" ht="16.5" customHeight="1">
      <c r="A20" s="311">
        <v>15</v>
      </c>
      <c r="B20" s="312" t="s">
        <v>697</v>
      </c>
      <c r="C20" s="330">
        <v>8566.1200000000008</v>
      </c>
      <c r="D20" s="330"/>
      <c r="E20" s="330"/>
      <c r="F20" s="40">
        <f t="shared" si="2"/>
        <v>8566.1200000000008</v>
      </c>
      <c r="G20" s="70">
        <f t="shared" si="0"/>
        <v>6.792663281034815E-2</v>
      </c>
      <c r="H20" s="316">
        <f t="shared" si="1"/>
        <v>154.1343603089453</v>
      </c>
      <c r="I20" s="37">
        <f t="shared" si="3"/>
        <v>56.675204285599193</v>
      </c>
      <c r="J20" s="316">
        <v>67.206524759164324</v>
      </c>
      <c r="K20" s="37">
        <f t="shared" si="4"/>
        <v>13.162143639661162</v>
      </c>
      <c r="L20" s="37"/>
      <c r="M20" s="45">
        <f t="shared" si="5"/>
        <v>3.3991846132597953E-2</v>
      </c>
    </row>
    <row r="21" spans="1:13" s="6" customFormat="1" ht="16.5" customHeight="1">
      <c r="A21" s="311">
        <v>16</v>
      </c>
      <c r="B21" s="312" t="s">
        <v>698</v>
      </c>
      <c r="C21" s="330">
        <v>5774.55</v>
      </c>
      <c r="D21" s="330">
        <v>201.5</v>
      </c>
      <c r="E21" s="330"/>
      <c r="F21" s="40">
        <f t="shared" si="2"/>
        <v>5976.05</v>
      </c>
      <c r="G21" s="70">
        <f t="shared" si="0"/>
        <v>4.7388193722044641E-2</v>
      </c>
      <c r="H21" s="316">
        <f t="shared" si="1"/>
        <v>107.52997202050317</v>
      </c>
      <c r="I21" s="37">
        <f t="shared" si="3"/>
        <v>39.538770711939016</v>
      </c>
      <c r="J21" s="316">
        <v>46.885819050749227</v>
      </c>
      <c r="K21" s="37">
        <f t="shared" si="4"/>
        <v>9.1824102975205903</v>
      </c>
      <c r="L21" s="37"/>
      <c r="M21" s="45">
        <f t="shared" si="5"/>
        <v>3.5177974401591809E-2</v>
      </c>
    </row>
    <row r="22" spans="1:13" s="6" customFormat="1" ht="16.5" customHeight="1">
      <c r="A22" s="311">
        <v>17</v>
      </c>
      <c r="B22" s="312" t="s">
        <v>699</v>
      </c>
      <c r="C22" s="330">
        <v>3226.62</v>
      </c>
      <c r="D22" s="330"/>
      <c r="E22" s="330"/>
      <c r="F22" s="40">
        <f t="shared" si="2"/>
        <v>3226.62</v>
      </c>
      <c r="G22" s="70">
        <f t="shared" si="0"/>
        <v>2.5586080040733206E-2</v>
      </c>
      <c r="H22" s="316">
        <f t="shared" si="1"/>
        <v>58.058141802828942</v>
      </c>
      <c r="I22" s="37">
        <f t="shared" si="3"/>
        <v>21.347978740900203</v>
      </c>
      <c r="J22" s="316">
        <v>25.314835295141179</v>
      </c>
      <c r="K22" s="37">
        <f t="shared" si="4"/>
        <v>4.9578147294928732</v>
      </c>
      <c r="L22" s="37"/>
      <c r="M22" s="45">
        <f t="shared" si="5"/>
        <v>3.3991846132597953E-2</v>
      </c>
    </row>
    <row r="23" spans="1:13" s="6" customFormat="1" ht="16.5" customHeight="1">
      <c r="A23" s="311">
        <v>18</v>
      </c>
      <c r="B23" s="312" t="s">
        <v>700</v>
      </c>
      <c r="C23" s="330">
        <v>3233.9</v>
      </c>
      <c r="D23" s="330"/>
      <c r="E23" s="330"/>
      <c r="F23" s="40">
        <f t="shared" si="2"/>
        <v>3233.9</v>
      </c>
      <c r="G23" s="70">
        <f t="shared" si="0"/>
        <v>2.56438081471407E-2</v>
      </c>
      <c r="H23" s="316">
        <f t="shared" si="1"/>
        <v>58.189134380921381</v>
      </c>
      <c r="I23" s="37">
        <f t="shared" si="3"/>
        <v>21.396144711864792</v>
      </c>
      <c r="J23" s="316">
        <v>25.371951410750899</v>
      </c>
      <c r="K23" s="37">
        <f t="shared" si="4"/>
        <v>4.9690007046714539</v>
      </c>
      <c r="L23" s="37"/>
      <c r="M23" s="45">
        <f t="shared" si="5"/>
        <v>3.3991846132597953E-2</v>
      </c>
    </row>
    <row r="24" spans="1:13" s="6" customFormat="1" ht="16.5" customHeight="1">
      <c r="A24" s="311">
        <v>19</v>
      </c>
      <c r="B24" s="312" t="s">
        <v>701</v>
      </c>
      <c r="C24" s="330">
        <v>6095.4</v>
      </c>
      <c r="D24" s="330"/>
      <c r="E24" s="330"/>
      <c r="F24" s="40">
        <f t="shared" si="2"/>
        <v>6095.4</v>
      </c>
      <c r="G24" s="70">
        <f t="shared" si="0"/>
        <v>4.8334601620359748E-2</v>
      </c>
      <c r="H24" s="316">
        <f t="shared" si="1"/>
        <v>109.67749457480691</v>
      </c>
      <c r="I24" s="37">
        <f t="shared" si="3"/>
        <v>40.328414755156508</v>
      </c>
      <c r="J24" s="316">
        <v>47.822193830697003</v>
      </c>
      <c r="K24" s="37">
        <f t="shared" si="4"/>
        <v>9.3657957559771088</v>
      </c>
      <c r="L24" s="37"/>
      <c r="M24" s="45">
        <f t="shared" si="5"/>
        <v>3.3991846132597946E-2</v>
      </c>
    </row>
    <row r="25" spans="1:13" s="6" customFormat="1" ht="16.5" customHeight="1">
      <c r="A25" s="311">
        <v>20</v>
      </c>
      <c r="B25" s="312" t="s">
        <v>702</v>
      </c>
      <c r="C25" s="330">
        <v>6384.91</v>
      </c>
      <c r="D25" s="330"/>
      <c r="E25" s="330"/>
      <c r="F25" s="40">
        <f t="shared" si="2"/>
        <v>6384.91</v>
      </c>
      <c r="G25" s="70">
        <f t="shared" si="0"/>
        <v>5.0630324709100498E-2</v>
      </c>
      <c r="H25" s="316">
        <f t="shared" si="1"/>
        <v>114.88678870716122</v>
      </c>
      <c r="I25" s="37">
        <f t="shared" si="3"/>
        <v>42.243872207623184</v>
      </c>
      <c r="J25" s="316">
        <v>50.09357935681917</v>
      </c>
      <c r="K25" s="37">
        <f t="shared" si="4"/>
        <v>9.8106380188824041</v>
      </c>
      <c r="L25" s="37"/>
      <c r="M25" s="45">
        <f t="shared" si="5"/>
        <v>3.3991846132597953E-2</v>
      </c>
    </row>
    <row r="26" spans="1:13" s="6" customFormat="1" ht="16.5" customHeight="1">
      <c r="A26" s="311">
        <v>21</v>
      </c>
      <c r="B26" s="312" t="s">
        <v>703</v>
      </c>
      <c r="C26" s="330">
        <v>3929.49</v>
      </c>
      <c r="D26" s="330">
        <v>464.4</v>
      </c>
      <c r="E26" s="330"/>
      <c r="F26" s="40">
        <f t="shared" si="2"/>
        <v>4393.8899999999994</v>
      </c>
      <c r="G26" s="70">
        <f t="shared" si="0"/>
        <v>3.4842163387748544E-2</v>
      </c>
      <c r="H26" s="316">
        <f t="shared" si="1"/>
        <v>79.061398208041851</v>
      </c>
      <c r="I26" s="37">
        <f t="shared" si="3"/>
        <v>29.07087612109699</v>
      </c>
      <c r="J26" s="316">
        <v>34.472792474777904</v>
      </c>
      <c r="K26" s="37">
        <f t="shared" si="4"/>
        <v>6.7513659996440358</v>
      </c>
      <c r="L26" s="37"/>
      <c r="M26" s="45">
        <f t="shared" si="5"/>
        <v>3.8009113855375837E-2</v>
      </c>
    </row>
    <row r="27" spans="1:13" s="6" customFormat="1" ht="16.5" customHeight="1">
      <c r="A27" s="311">
        <v>22</v>
      </c>
      <c r="B27" s="312" t="s">
        <v>704</v>
      </c>
      <c r="C27" s="330">
        <v>7174.09</v>
      </c>
      <c r="D27" s="330"/>
      <c r="E27" s="330"/>
      <c r="F27" s="40">
        <f t="shared" si="2"/>
        <v>7174.09</v>
      </c>
      <c r="G27" s="70">
        <f t="shared" si="0"/>
        <v>5.6888273474850988E-2</v>
      </c>
      <c r="H27" s="316">
        <f t="shared" si="1"/>
        <v>129.08688798998864</v>
      </c>
      <c r="I27" s="37">
        <f t="shared" si="3"/>
        <v>47.465248713918825</v>
      </c>
      <c r="J27" s="316">
        <v>56.285185966280316</v>
      </c>
      <c r="K27" s="37">
        <f t="shared" si="4"/>
        <v>11.023240751221877</v>
      </c>
      <c r="L27" s="37"/>
      <c r="M27" s="45">
        <f t="shared" si="5"/>
        <v>3.3991846132597953E-2</v>
      </c>
    </row>
    <row r="28" spans="1:13" s="6" customFormat="1" ht="16.5" customHeight="1">
      <c r="A28" s="311">
        <v>23</v>
      </c>
      <c r="B28" s="312" t="s">
        <v>705</v>
      </c>
      <c r="C28" s="330">
        <v>3836.07</v>
      </c>
      <c r="D28" s="330"/>
      <c r="E28" s="330">
        <v>416</v>
      </c>
      <c r="F28" s="40">
        <f t="shared" si="2"/>
        <v>4252.07</v>
      </c>
      <c r="G28" s="70">
        <f t="shared" si="0"/>
        <v>3.371757546869493E-2</v>
      </c>
      <c r="H28" s="316">
        <f t="shared" si="1"/>
        <v>76.509562023279727</v>
      </c>
      <c r="I28" s="37">
        <f t="shared" si="3"/>
        <v>28.132565955959958</v>
      </c>
      <c r="J28" s="316">
        <v>33.360126607227052</v>
      </c>
      <c r="K28" s="37">
        <f t="shared" si="4"/>
        <v>6.5334545985690164</v>
      </c>
      <c r="L28" s="37"/>
      <c r="M28" s="45">
        <f t="shared" si="5"/>
        <v>3.7678068748754782E-2</v>
      </c>
    </row>
    <row r="29" spans="1:13" s="6" customFormat="1" ht="16.5" customHeight="1">
      <c r="A29" s="311">
        <v>24</v>
      </c>
      <c r="B29" s="312" t="s">
        <v>706</v>
      </c>
      <c r="C29" s="330">
        <v>2413.89</v>
      </c>
      <c r="D29" s="330"/>
      <c r="E29" s="330"/>
      <c r="F29" s="40">
        <f t="shared" si="2"/>
        <v>2413.89</v>
      </c>
      <c r="G29" s="70">
        <f t="shared" si="0"/>
        <v>1.9141387194502445E-2</v>
      </c>
      <c r="H29" s="316">
        <f t="shared" si="1"/>
        <v>43.434295924661335</v>
      </c>
      <c r="I29" s="37">
        <f t="shared" si="3"/>
        <v>15.970790611497973</v>
      </c>
      <c r="J29" s="316">
        <v>18.938464328178821</v>
      </c>
      <c r="K29" s="37">
        <f t="shared" si="4"/>
        <v>3.709026596678739</v>
      </c>
      <c r="L29" s="37"/>
      <c r="M29" s="45">
        <f t="shared" si="5"/>
        <v>3.3991846132597953E-2</v>
      </c>
    </row>
    <row r="30" spans="1:13" s="6" customFormat="1" ht="16.5" customHeight="1">
      <c r="A30" s="311">
        <v>25</v>
      </c>
      <c r="B30" s="312" t="s">
        <v>707</v>
      </c>
      <c r="C30" s="330">
        <v>6323.28</v>
      </c>
      <c r="D30" s="330"/>
      <c r="E30" s="330"/>
      <c r="F30" s="40">
        <f t="shared" si="2"/>
        <v>6323.28</v>
      </c>
      <c r="G30" s="70">
        <f t="shared" si="0"/>
        <v>5.0141618225873347E-2</v>
      </c>
      <c r="H30" s="316">
        <f t="shared" si="1"/>
        <v>113.77785016487599</v>
      </c>
      <c r="I30" s="37">
        <f t="shared" si="3"/>
        <v>41.836115505624903</v>
      </c>
      <c r="J30" s="316">
        <v>49.610053779205586</v>
      </c>
      <c r="K30" s="37">
        <f t="shared" si="4"/>
        <v>9.7159413636274792</v>
      </c>
      <c r="L30" s="37"/>
      <c r="M30" s="45">
        <f t="shared" si="5"/>
        <v>3.3991846132597953E-2</v>
      </c>
    </row>
    <row r="31" spans="1:13" s="6" customFormat="1" ht="16.5" customHeight="1">
      <c r="A31" s="311">
        <v>26</v>
      </c>
      <c r="B31" s="312" t="s">
        <v>708</v>
      </c>
      <c r="C31" s="330">
        <v>4396.59</v>
      </c>
      <c r="D31" s="330"/>
      <c r="E31" s="330"/>
      <c r="F31" s="40">
        <f t="shared" si="2"/>
        <v>4396.59</v>
      </c>
      <c r="G31" s="70">
        <f t="shared" si="0"/>
        <v>3.4863573537102982E-2</v>
      </c>
      <c r="H31" s="316">
        <f t="shared" si="1"/>
        <v>79.109980620246489</v>
      </c>
      <c r="I31" s="37">
        <f t="shared" si="3"/>
        <v>29.088739874064636</v>
      </c>
      <c r="J31" s="316">
        <v>34.493975649523271</v>
      </c>
      <c r="K31" s="37">
        <f t="shared" si="4"/>
        <v>6.7555146442844451</v>
      </c>
      <c r="L31" s="37"/>
      <c r="M31" s="45">
        <f t="shared" si="5"/>
        <v>3.3991846132597953E-2</v>
      </c>
    </row>
    <row r="32" spans="1:13" s="6" customFormat="1" ht="16.5" customHeight="1">
      <c r="A32" s="311">
        <v>27</v>
      </c>
      <c r="B32" s="312" t="s">
        <v>709</v>
      </c>
      <c r="C32" s="330">
        <v>6702.46</v>
      </c>
      <c r="D32" s="330"/>
      <c r="E32" s="330"/>
      <c r="F32" s="40">
        <f t="shared" si="2"/>
        <v>6702.46</v>
      </c>
      <c r="G32" s="70">
        <f t="shared" si="0"/>
        <v>5.314839616372944E-2</v>
      </c>
      <c r="H32" s="316">
        <f t="shared" si="1"/>
        <v>120.60062018700339</v>
      </c>
      <c r="I32" s="37">
        <f t="shared" si="3"/>
        <v>44.34484804276115</v>
      </c>
      <c r="J32" s="316">
        <v>52.584956075482069</v>
      </c>
      <c r="K32" s="37">
        <f t="shared" si="4"/>
        <v>10.298564724645853</v>
      </c>
      <c r="L32" s="37"/>
      <c r="M32" s="45">
        <f t="shared" si="5"/>
        <v>3.3991846132597953E-2</v>
      </c>
    </row>
    <row r="33" spans="1:13" s="6" customFormat="1" ht="16.5" customHeight="1">
      <c r="A33" s="311">
        <v>28</v>
      </c>
      <c r="B33" s="312" t="s">
        <v>710</v>
      </c>
      <c r="C33" s="330">
        <v>6185.24</v>
      </c>
      <c r="D33" s="330"/>
      <c r="E33" s="330"/>
      <c r="F33" s="40">
        <f t="shared" si="2"/>
        <v>6185.24</v>
      </c>
      <c r="G33" s="70">
        <f t="shared" si="0"/>
        <v>4.9047004515915926E-2</v>
      </c>
      <c r="H33" s="316">
        <f t="shared" si="1"/>
        <v>111.29402935720032</v>
      </c>
      <c r="I33" s="37">
        <f t="shared" si="3"/>
        <v>40.92281459464256</v>
      </c>
      <c r="J33" s="316">
        <v>48.527044356298241</v>
      </c>
      <c r="K33" s="37">
        <f t="shared" si="4"/>
        <v>9.5038380650490293</v>
      </c>
      <c r="L33" s="37"/>
      <c r="M33" s="45">
        <f t="shared" si="5"/>
        <v>3.3991846132597953E-2</v>
      </c>
    </row>
    <row r="34" spans="1:13" s="6" customFormat="1" ht="16.5" customHeight="1">
      <c r="A34" s="311">
        <v>29</v>
      </c>
      <c r="B34" s="312" t="s">
        <v>711</v>
      </c>
      <c r="C34" s="330">
        <v>6856.85</v>
      </c>
      <c r="D34" s="330"/>
      <c r="E34" s="330"/>
      <c r="F34" s="40">
        <f t="shared" si="2"/>
        <v>6856.85</v>
      </c>
      <c r="G34" s="70">
        <f t="shared" si="0"/>
        <v>5.4372660222555338E-2</v>
      </c>
      <c r="H34" s="316">
        <f t="shared" si="1"/>
        <v>123.378634490807</v>
      </c>
      <c r="I34" s="37">
        <f t="shared" si="3"/>
        <v>45.366323902269741</v>
      </c>
      <c r="J34" s="316">
        <v>53.796241389902995</v>
      </c>
      <c r="K34" s="37">
        <f t="shared" si="4"/>
        <v>10.535790371324548</v>
      </c>
      <c r="L34" s="37"/>
      <c r="M34" s="45">
        <f t="shared" si="5"/>
        <v>3.3991846132597953E-2</v>
      </c>
    </row>
    <row r="35" spans="1:13" s="6" customFormat="1" ht="16.5" customHeight="1">
      <c r="A35" s="311">
        <v>30</v>
      </c>
      <c r="B35" s="312" t="s">
        <v>712</v>
      </c>
      <c r="C35" s="330">
        <v>6358.97</v>
      </c>
      <c r="D35" s="330"/>
      <c r="E35" s="330"/>
      <c r="F35" s="40">
        <f t="shared" si="2"/>
        <v>6358.97</v>
      </c>
      <c r="G35" s="70">
        <f t="shared" si="0"/>
        <v>5.0424628681599089E-2</v>
      </c>
      <c r="H35" s="316">
        <f t="shared" si="1"/>
        <v>114.42003768027695</v>
      </c>
      <c r="I35" s="37">
        <f t="shared" si="3"/>
        <v>42.072247855037837</v>
      </c>
      <c r="J35" s="316">
        <v>49.890063966858179</v>
      </c>
      <c r="K35" s="37">
        <f t="shared" si="4"/>
        <v>9.7707802996334561</v>
      </c>
      <c r="L35" s="37"/>
      <c r="M35" s="45">
        <f t="shared" si="5"/>
        <v>3.3991846132597953E-2</v>
      </c>
    </row>
    <row r="36" spans="1:13" s="6" customFormat="1" ht="16.5" customHeight="1">
      <c r="A36" s="311">
        <v>31</v>
      </c>
      <c r="B36" s="312" t="s">
        <v>713</v>
      </c>
      <c r="C36" s="330">
        <v>4302.43</v>
      </c>
      <c r="D36" s="330"/>
      <c r="E36" s="330"/>
      <c r="F36" s="40">
        <f t="shared" si="2"/>
        <v>4302.43</v>
      </c>
      <c r="G36" s="70">
        <f t="shared" si="0"/>
        <v>3.4116914402579718E-2</v>
      </c>
      <c r="H36" s="316">
        <f t="shared" si="1"/>
        <v>77.415713978325712</v>
      </c>
      <c r="I36" s="37">
        <f t="shared" si="3"/>
        <v>28.465758029830365</v>
      </c>
      <c r="J36" s="316">
        <v>33.755232044329446</v>
      </c>
      <c r="K36" s="37">
        <f t="shared" si="4"/>
        <v>6.6108345037878724</v>
      </c>
      <c r="L36" s="37"/>
      <c r="M36" s="45">
        <f t="shared" si="5"/>
        <v>3.3991846132597953E-2</v>
      </c>
    </row>
    <row r="37" spans="1:13" s="6" customFormat="1" ht="16.5" customHeight="1">
      <c r="A37" s="311">
        <v>32</v>
      </c>
      <c r="B37" s="312" t="s">
        <v>714</v>
      </c>
      <c r="C37" s="330">
        <v>4355.7</v>
      </c>
      <c r="D37" s="330"/>
      <c r="E37" s="330"/>
      <c r="F37" s="40">
        <f t="shared" si="2"/>
        <v>4355.7</v>
      </c>
      <c r="G37" s="70">
        <f t="shared" si="0"/>
        <v>3.4539328719657605E-2</v>
      </c>
      <c r="H37" s="316">
        <f t="shared" si="1"/>
        <v>78.374226977636667</v>
      </c>
      <c r="I37" s="37">
        <f t="shared" si="3"/>
        <v>28.818203259677006</v>
      </c>
      <c r="J37" s="316">
        <v>34.173168236435167</v>
      </c>
      <c r="K37" s="37">
        <f t="shared" si="4"/>
        <v>6.6926857260080546</v>
      </c>
      <c r="L37" s="37"/>
      <c r="M37" s="45">
        <f t="shared" si="5"/>
        <v>3.3991846132597953E-2</v>
      </c>
    </row>
    <row r="38" spans="1:13" s="6" customFormat="1" ht="16.5" customHeight="1">
      <c r="A38" s="311">
        <v>33</v>
      </c>
      <c r="B38" s="312" t="s">
        <v>715</v>
      </c>
      <c r="C38" s="330">
        <v>61.3</v>
      </c>
      <c r="D38" s="330"/>
      <c r="E38" s="330"/>
      <c r="F38" s="40">
        <f t="shared" si="2"/>
        <v>61.3</v>
      </c>
      <c r="G38" s="70">
        <f t="shared" si="0"/>
        <v>4.8608968719494254E-4</v>
      </c>
      <c r="H38" s="316">
        <f t="shared" si="1"/>
        <v>1.10300069190466</v>
      </c>
      <c r="I38" s="37">
        <f t="shared" si="3"/>
        <v>0.40557335441334352</v>
      </c>
      <c r="J38" s="316">
        <v>0.48093652292248684</v>
      </c>
      <c r="K38" s="37">
        <f t="shared" si="4"/>
        <v>9.4189598687764026E-2</v>
      </c>
      <c r="L38" s="37"/>
      <c r="M38" s="45">
        <f t="shared" si="5"/>
        <v>3.3991846132597953E-2</v>
      </c>
    </row>
    <row r="39" spans="1:13" s="6" customFormat="1" ht="16.5" customHeight="1">
      <c r="A39" s="311">
        <v>34</v>
      </c>
      <c r="B39" s="312" t="s">
        <v>716</v>
      </c>
      <c r="C39" s="330">
        <v>105.7</v>
      </c>
      <c r="D39" s="330"/>
      <c r="E39" s="330"/>
      <c r="F39" s="40">
        <f t="shared" si="2"/>
        <v>105.7</v>
      </c>
      <c r="G39" s="70">
        <f t="shared" si="0"/>
        <v>8.3816769880106737E-4</v>
      </c>
      <c r="H39" s="316">
        <f t="shared" si="1"/>
        <v>1.901911470380466</v>
      </c>
      <c r="I39" s="37">
        <f t="shared" si="3"/>
        <v>0.69933284765889736</v>
      </c>
      <c r="J39" s="316">
        <v>0.82928206317955722</v>
      </c>
      <c r="K39" s="37">
        <f t="shared" si="4"/>
        <v>0.16241175499668284</v>
      </c>
      <c r="L39" s="37"/>
      <c r="M39" s="45">
        <f t="shared" si="5"/>
        <v>3.3991846132597953E-2</v>
      </c>
    </row>
    <row r="40" spans="1:13" s="6" customFormat="1" ht="16.5" customHeight="1">
      <c r="A40" s="311">
        <v>35</v>
      </c>
      <c r="B40" s="312" t="s">
        <v>717</v>
      </c>
      <c r="C40" s="330">
        <v>124.1</v>
      </c>
      <c r="D40" s="330"/>
      <c r="E40" s="330"/>
      <c r="F40" s="40">
        <f t="shared" si="2"/>
        <v>124.1</v>
      </c>
      <c r="G40" s="70">
        <f t="shared" si="0"/>
        <v>9.8407390180901095E-4</v>
      </c>
      <c r="H40" s="316">
        <f t="shared" si="1"/>
        <v>2.232991612811881</v>
      </c>
      <c r="I40" s="37">
        <f t="shared" si="3"/>
        <v>0.82107101603092869</v>
      </c>
      <c r="J40" s="316">
        <v>0.97364147625906383</v>
      </c>
      <c r="K40" s="37">
        <f t="shared" si="4"/>
        <v>0.19068399995353205</v>
      </c>
      <c r="L40" s="37"/>
      <c r="M40" s="45">
        <f t="shared" si="5"/>
        <v>3.3991846132597946E-2</v>
      </c>
    </row>
    <row r="41" spans="1:13" s="6" customFormat="1" ht="16.5" customHeight="1">
      <c r="A41" s="311">
        <v>36</v>
      </c>
      <c r="B41" s="312" t="s">
        <v>718</v>
      </c>
      <c r="C41" s="330">
        <v>2349.19</v>
      </c>
      <c r="D41" s="330"/>
      <c r="E41" s="330"/>
      <c r="F41" s="40">
        <f t="shared" si="2"/>
        <v>2349.19</v>
      </c>
      <c r="G41" s="70">
        <f t="shared" si="0"/>
        <v>1.8628336578490817E-2</v>
      </c>
      <c r="H41" s="316">
        <f t="shared" si="1"/>
        <v>42.270117380350868</v>
      </c>
      <c r="I41" s="37">
        <f t="shared" si="3"/>
        <v>15.542722160755016</v>
      </c>
      <c r="J41" s="316">
        <v>18.430852696317732</v>
      </c>
      <c r="K41" s="37">
        <f t="shared" si="4"/>
        <v>3.6096127788141659</v>
      </c>
      <c r="L41" s="37"/>
      <c r="M41" s="45">
        <f t="shared" si="5"/>
        <v>3.3991846132597953E-2</v>
      </c>
    </row>
    <row r="42" spans="1:13" s="6" customFormat="1" ht="16.5" customHeight="1">
      <c r="A42" s="311">
        <v>37</v>
      </c>
      <c r="B42" s="312" t="s">
        <v>719</v>
      </c>
      <c r="C42" s="330">
        <v>3321.01</v>
      </c>
      <c r="D42" s="330"/>
      <c r="E42" s="330"/>
      <c r="F42" s="40">
        <f t="shared" si="2"/>
        <v>3321.01</v>
      </c>
      <c r="G42" s="70">
        <f t="shared" si="0"/>
        <v>2.6334563002794065E-2</v>
      </c>
      <c r="H42" s="316">
        <f t="shared" si="1"/>
        <v>59.756546946530101</v>
      </c>
      <c r="I42" s="37">
        <f t="shared" si="3"/>
        <v>21.972482312239119</v>
      </c>
      <c r="J42" s="316">
        <v>26.0553833929985</v>
      </c>
      <c r="K42" s="37">
        <f t="shared" si="4"/>
        <v>5.1028482730514062</v>
      </c>
      <c r="L42" s="37"/>
      <c r="M42" s="45">
        <f t="shared" si="5"/>
        <v>3.3991846132597946E-2</v>
      </c>
    </row>
    <row r="43" spans="1:13" s="6" customFormat="1" ht="16.5" customHeight="1">
      <c r="A43" s="311">
        <v>38</v>
      </c>
      <c r="B43" s="312" t="s">
        <v>720</v>
      </c>
      <c r="C43" s="330">
        <v>3969.9</v>
      </c>
      <c r="D43" s="330"/>
      <c r="E43" s="330"/>
      <c r="F43" s="40">
        <f t="shared" si="2"/>
        <v>3969.9</v>
      </c>
      <c r="G43" s="70">
        <f t="shared" si="0"/>
        <v>3.1480056267458444E-2</v>
      </c>
      <c r="H43" s="316">
        <f t="shared" si="1"/>
        <v>71.432340078177987</v>
      </c>
      <c r="I43" s="37">
        <f t="shared" si="3"/>
        <v>26.265671446746047</v>
      </c>
      <c r="J43" s="316">
        <v>31.146327933931168</v>
      </c>
      <c r="K43" s="37">
        <f t="shared" si="4"/>
        <v>6.0998905029454233</v>
      </c>
      <c r="L43" s="37"/>
      <c r="M43" s="45">
        <f t="shared" si="5"/>
        <v>3.399184613259796E-2</v>
      </c>
    </row>
    <row r="44" spans="1:13" s="6" customFormat="1" ht="16.5" customHeight="1">
      <c r="A44" s="311">
        <v>39</v>
      </c>
      <c r="B44" s="312" t="s">
        <v>721</v>
      </c>
      <c r="C44" s="330">
        <v>6582.1</v>
      </c>
      <c r="D44" s="330"/>
      <c r="E44" s="330"/>
      <c r="F44" s="40">
        <f t="shared" si="2"/>
        <v>6582.1</v>
      </c>
      <c r="G44" s="70">
        <f t="shared" si="0"/>
        <v>5.219397928361879E-2</v>
      </c>
      <c r="H44" s="316">
        <f t="shared" si="1"/>
        <v>118.43492421183791</v>
      </c>
      <c r="I44" s="37">
        <f t="shared" si="3"/>
        <v>43.548521632692804</v>
      </c>
      <c r="J44" s="316">
        <v>51.640657219055477</v>
      </c>
      <c r="K44" s="37">
        <f t="shared" si="4"/>
        <v>10.113627365786813</v>
      </c>
      <c r="L44" s="37"/>
      <c r="M44" s="45">
        <f t="shared" si="5"/>
        <v>3.3991846132597953E-2</v>
      </c>
    </row>
    <row r="45" spans="1:13" s="6" customFormat="1" ht="16.5" customHeight="1">
      <c r="A45" s="311">
        <v>40</v>
      </c>
      <c r="B45" s="312" t="s">
        <v>722</v>
      </c>
      <c r="C45" s="330">
        <v>8461.27</v>
      </c>
      <c r="D45" s="330">
        <v>287.3</v>
      </c>
      <c r="E45" s="330"/>
      <c r="F45" s="40">
        <f t="shared" si="2"/>
        <v>8748.57</v>
      </c>
      <c r="G45" s="70">
        <f t="shared" si="0"/>
        <v>6.9373403828761157E-2</v>
      </c>
      <c r="H45" s="316">
        <f t="shared" si="1"/>
        <v>157.4172718299568</v>
      </c>
      <c r="I45" s="37">
        <f t="shared" si="3"/>
        <v>57.882330851875118</v>
      </c>
      <c r="J45" s="316">
        <v>68.637958178531491</v>
      </c>
      <c r="K45" s="37">
        <f t="shared" si="4"/>
        <v>13.442484459899051</v>
      </c>
      <c r="L45" s="37"/>
      <c r="M45" s="45">
        <f t="shared" si="5"/>
        <v>3.5146029534604432E-2</v>
      </c>
    </row>
    <row r="46" spans="1:13" s="6" customFormat="1" ht="16.5" customHeight="1">
      <c r="A46" s="311">
        <v>41</v>
      </c>
      <c r="B46" s="312" t="s">
        <v>723</v>
      </c>
      <c r="C46" s="330">
        <v>3715.24</v>
      </c>
      <c r="D46" s="330"/>
      <c r="E46" s="330">
        <v>109.3</v>
      </c>
      <c r="F46" s="40">
        <f t="shared" si="2"/>
        <v>3824.54</v>
      </c>
      <c r="G46" s="70">
        <f t="shared" si="0"/>
        <v>3.0327397263695686E-2</v>
      </c>
      <c r="H46" s="316">
        <f t="shared" si="1"/>
        <v>68.816806952969799</v>
      </c>
      <c r="I46" s="37">
        <f t="shared" si="3"/>
        <v>25.303939916606996</v>
      </c>
      <c r="J46" s="316">
        <v>30.005888570603062</v>
      </c>
      <c r="K46" s="37">
        <f t="shared" si="4"/>
        <v>5.8765397677863129</v>
      </c>
      <c r="L46" s="37"/>
      <c r="M46" s="45">
        <f t="shared" si="5"/>
        <v>3.4991864646151033E-2</v>
      </c>
    </row>
    <row r="47" spans="1:13" s="6" customFormat="1" ht="16.5" customHeight="1">
      <c r="A47" s="311">
        <v>42</v>
      </c>
      <c r="B47" s="312" t="s">
        <v>724</v>
      </c>
      <c r="C47" s="330">
        <v>355.8</v>
      </c>
      <c r="D47" s="330"/>
      <c r="E47" s="330"/>
      <c r="F47" s="40">
        <f t="shared" si="2"/>
        <v>355.8</v>
      </c>
      <c r="G47" s="70">
        <f t="shared" si="0"/>
        <v>2.8213819038166487E-3</v>
      </c>
      <c r="H47" s="316">
        <f t="shared" si="1"/>
        <v>6.4020823194074721</v>
      </c>
      <c r="I47" s="37">
        <f t="shared" si="3"/>
        <v>2.3540456688461275</v>
      </c>
      <c r="J47" s="316">
        <v>2.7914716942221993</v>
      </c>
      <c r="K47" s="37">
        <f t="shared" si="4"/>
        <v>0.54669917150255209</v>
      </c>
      <c r="L47" s="37"/>
      <c r="M47" s="45">
        <f t="shared" si="5"/>
        <v>3.3991846132597953E-2</v>
      </c>
    </row>
    <row r="48" spans="1:13" s="6" customFormat="1" ht="16.5" customHeight="1">
      <c r="A48" s="311">
        <v>43</v>
      </c>
      <c r="B48" s="312" t="s">
        <v>725</v>
      </c>
      <c r="C48" s="330">
        <v>907.4</v>
      </c>
      <c r="D48" s="330"/>
      <c r="E48" s="330"/>
      <c r="F48" s="40">
        <f t="shared" si="2"/>
        <v>907.4</v>
      </c>
      <c r="G48" s="70">
        <f t="shared" si="0"/>
        <v>7.1953961200765231E-3</v>
      </c>
      <c r="H48" s="316">
        <f t="shared" si="1"/>
        <v>16.327289197949241</v>
      </c>
      <c r="I48" s="37">
        <f t="shared" si="3"/>
        <v>6.0035442380859365</v>
      </c>
      <c r="J48" s="316">
        <v>7.1191158384969748</v>
      </c>
      <c r="K48" s="37">
        <f t="shared" si="4"/>
        <v>1.3942519061872281</v>
      </c>
      <c r="L48" s="37"/>
      <c r="M48" s="45">
        <f t="shared" si="5"/>
        <v>3.3991846132597953E-2</v>
      </c>
    </row>
    <row r="49" spans="1:13" s="6" customFormat="1" ht="16.5" customHeight="1">
      <c r="A49" s="311">
        <v>44</v>
      </c>
      <c r="B49" s="312" t="s">
        <v>726</v>
      </c>
      <c r="C49" s="330">
        <v>2273.6</v>
      </c>
      <c r="D49" s="330"/>
      <c r="E49" s="330"/>
      <c r="F49" s="40">
        <f t="shared" si="2"/>
        <v>2273.6</v>
      </c>
      <c r="G49" s="70">
        <f t="shared" si="0"/>
        <v>1.8028931693416336E-2</v>
      </c>
      <c r="H49" s="316">
        <f t="shared" si="1"/>
        <v>40.909989773481811</v>
      </c>
      <c r="I49" s="37">
        <f t="shared" si="3"/>
        <v>15.042603239709264</v>
      </c>
      <c r="J49" s="316">
        <v>17.837802259650342</v>
      </c>
      <c r="K49" s="37">
        <f t="shared" si="4"/>
        <v>3.4934660942332836</v>
      </c>
      <c r="L49" s="37"/>
      <c r="M49" s="45">
        <f t="shared" si="5"/>
        <v>3.3991846132597953E-2</v>
      </c>
    </row>
    <row r="50" spans="1:13" s="6" customFormat="1" ht="16.5" customHeight="1">
      <c r="A50" s="311">
        <v>45</v>
      </c>
      <c r="B50" s="312" t="s">
        <v>727</v>
      </c>
      <c r="C50" s="330">
        <v>154.1</v>
      </c>
      <c r="D50" s="330"/>
      <c r="E50" s="330"/>
      <c r="F50" s="40">
        <f t="shared" si="2"/>
        <v>154.1</v>
      </c>
      <c r="G50" s="70">
        <f t="shared" si="0"/>
        <v>1.2219644501915276E-3</v>
      </c>
      <c r="H50" s="316">
        <f t="shared" si="1"/>
        <v>2.7727961928631011</v>
      </c>
      <c r="I50" s="37">
        <f t="shared" si="3"/>
        <v>1.0195571601157623</v>
      </c>
      <c r="J50" s="316">
        <v>1.209010084540868</v>
      </c>
      <c r="K50" s="37">
        <f t="shared" si="4"/>
        <v>0.23678005151361231</v>
      </c>
      <c r="L50" s="37"/>
      <c r="M50" s="45">
        <f t="shared" si="5"/>
        <v>3.3991846132597946E-2</v>
      </c>
    </row>
    <row r="51" spans="1:13" s="6" customFormat="1" ht="16.5" customHeight="1">
      <c r="A51" s="311">
        <v>46</v>
      </c>
      <c r="B51" s="312" t="s">
        <v>728</v>
      </c>
      <c r="C51" s="330">
        <v>93.9</v>
      </c>
      <c r="D51" s="330"/>
      <c r="E51" s="330"/>
      <c r="F51" s="40">
        <f t="shared" si="2"/>
        <v>93.9</v>
      </c>
      <c r="G51" s="70">
        <f t="shared" si="0"/>
        <v>7.4459741643727751E-4</v>
      </c>
      <c r="H51" s="316">
        <f t="shared" si="1"/>
        <v>1.6895883355603196</v>
      </c>
      <c r="I51" s="37">
        <f t="shared" si="3"/>
        <v>0.62126163098552956</v>
      </c>
      <c r="J51" s="316">
        <v>0.73670374392204763</v>
      </c>
      <c r="K51" s="37">
        <f t="shared" si="4"/>
        <v>0.14428064138305127</v>
      </c>
      <c r="L51" s="37"/>
      <c r="M51" s="45">
        <f t="shared" si="5"/>
        <v>3.3991846132597953E-2</v>
      </c>
    </row>
    <row r="52" spans="1:13" s="6" customFormat="1" ht="16.5" customHeight="1">
      <c r="A52" s="311">
        <v>47</v>
      </c>
      <c r="B52" s="312" t="s">
        <v>729</v>
      </c>
      <c r="C52" s="330">
        <v>296.10000000000002</v>
      </c>
      <c r="D52" s="330"/>
      <c r="E52" s="330"/>
      <c r="F52" s="40">
        <f t="shared" si="2"/>
        <v>296.10000000000002</v>
      </c>
      <c r="G52" s="70">
        <f t="shared" si="0"/>
        <v>2.3479797125354404E-3</v>
      </c>
      <c r="H52" s="316">
        <f t="shared" si="1"/>
        <v>5.3278712051055441</v>
      </c>
      <c r="I52" s="37">
        <f t="shared" si="3"/>
        <v>1.9590582421173086</v>
      </c>
      <c r="J52" s="316">
        <v>2.3230881637414091</v>
      </c>
      <c r="K52" s="37">
        <f t="shared" si="4"/>
        <v>0.45496802889799232</v>
      </c>
      <c r="L52" s="37"/>
      <c r="M52" s="45">
        <f t="shared" si="5"/>
        <v>3.3991846132597953E-2</v>
      </c>
    </row>
    <row r="53" spans="1:13" s="6" customFormat="1" ht="16.5" customHeight="1">
      <c r="A53" s="311">
        <v>48</v>
      </c>
      <c r="B53" s="312" t="s">
        <v>647</v>
      </c>
      <c r="C53" s="330">
        <v>4177.21</v>
      </c>
      <c r="D53" s="330">
        <v>6.6</v>
      </c>
      <c r="E53" s="330"/>
      <c r="F53" s="40">
        <f t="shared" si="2"/>
        <v>4183.8100000000004</v>
      </c>
      <c r="G53" s="70">
        <f t="shared" si="0"/>
        <v>3.3176295174275248E-2</v>
      </c>
      <c r="H53" s="316">
        <f t="shared" si="1"/>
        <v>75.281326668803203</v>
      </c>
      <c r="I53" s="37">
        <f t="shared" si="3"/>
        <v>27.680943816118941</v>
      </c>
      <c r="J53" s="316">
        <v>32.824584567183194</v>
      </c>
      <c r="K53" s="37">
        <f t="shared" si="4"/>
        <v>6.4285707159193155</v>
      </c>
      <c r="L53" s="37"/>
      <c r="M53" s="45">
        <f t="shared" si="5"/>
        <v>3.4045553316214568E-2</v>
      </c>
    </row>
    <row r="54" spans="1:13" s="6" customFormat="1" ht="16.5" customHeight="1">
      <c r="A54" s="311">
        <v>49</v>
      </c>
      <c r="B54" s="312" t="s">
        <v>648</v>
      </c>
      <c r="C54" s="330">
        <v>4140.68</v>
      </c>
      <c r="D54" s="330"/>
      <c r="E54" s="330"/>
      <c r="F54" s="40">
        <f t="shared" si="2"/>
        <v>4140.68</v>
      </c>
      <c r="G54" s="70">
        <f t="shared" si="0"/>
        <v>3.2834287862550653E-2</v>
      </c>
      <c r="H54" s="316">
        <f t="shared" si="1"/>
        <v>74.505267617549563</v>
      </c>
      <c r="I54" s="37">
        <f t="shared" si="3"/>
        <v>27.395586902972976</v>
      </c>
      <c r="J54" s="316">
        <v>32.486202964676721</v>
      </c>
      <c r="K54" s="37">
        <f t="shared" si="4"/>
        <v>6.3622999591264406</v>
      </c>
      <c r="L54" s="37"/>
      <c r="M54" s="45">
        <f t="shared" si="5"/>
        <v>3.3991846132597953E-2</v>
      </c>
    </row>
    <row r="55" spans="1:13" s="6" customFormat="1" ht="16.5" customHeight="1">
      <c r="A55" s="311">
        <v>50</v>
      </c>
      <c r="B55" s="312" t="s">
        <v>1354</v>
      </c>
      <c r="C55" s="818">
        <v>7831.81</v>
      </c>
      <c r="D55" s="330"/>
      <c r="E55" s="330"/>
      <c r="F55" s="40">
        <f t="shared" si="2"/>
        <v>7831.81</v>
      </c>
      <c r="G55" s="70">
        <f t="shared" si="0"/>
        <v>6.2103785857589286E-2</v>
      </c>
      <c r="H55" s="316">
        <f t="shared" si="1"/>
        <v>140.92156360303159</v>
      </c>
      <c r="I55" s="37">
        <f t="shared" si="3"/>
        <v>51.81685893683472</v>
      </c>
      <c r="J55" s="316">
        <v>61.445407334250604</v>
      </c>
      <c r="K55" s="37">
        <f t="shared" si="4"/>
        <v>12.033850585625077</v>
      </c>
      <c r="L55" s="37"/>
      <c r="M55" s="45">
        <f t="shared" si="5"/>
        <v>3.3991846132597953E-2</v>
      </c>
    </row>
    <row r="56" spans="1:13" s="6" customFormat="1" ht="16.5" customHeight="1">
      <c r="A56" s="311">
        <v>51</v>
      </c>
      <c r="B56" s="305" t="s">
        <v>1374</v>
      </c>
      <c r="C56" s="818">
        <v>996.1</v>
      </c>
      <c r="D56" s="330"/>
      <c r="E56" s="330"/>
      <c r="F56" s="40">
        <f t="shared" ref="F56:F66" si="6">C56+D56+E56</f>
        <v>996.1</v>
      </c>
      <c r="G56" s="70">
        <f t="shared" si="0"/>
        <v>7.8987591747941652E-3</v>
      </c>
      <c r="H56" s="316">
        <f t="shared" si="1"/>
        <v>17.923311406300684</v>
      </c>
      <c r="I56" s="37">
        <f t="shared" si="3"/>
        <v>6.5904016040967619</v>
      </c>
      <c r="J56" s="316">
        <v>7.8150223569835093</v>
      </c>
      <c r="K56" s="37">
        <f t="shared" si="4"/>
        <v>1.5305425652998654</v>
      </c>
      <c r="L56" s="37"/>
      <c r="M56" s="45">
        <f t="shared" si="5"/>
        <v>3.3991846132597953E-2</v>
      </c>
    </row>
    <row r="57" spans="1:13" s="6" customFormat="1" ht="16.5" customHeight="1">
      <c r="A57" s="311">
        <v>52</v>
      </c>
      <c r="B57" s="305" t="s">
        <v>1376</v>
      </c>
      <c r="C57" s="818">
        <v>533.79999999999995</v>
      </c>
      <c r="D57" s="330"/>
      <c r="E57" s="330"/>
      <c r="F57" s="40">
        <f t="shared" si="6"/>
        <v>533.79999999999995</v>
      </c>
      <c r="G57" s="70">
        <f t="shared" si="0"/>
        <v>4.2328658242195812E-3</v>
      </c>
      <c r="H57" s="316">
        <f t="shared" si="1"/>
        <v>9.6049228277113787</v>
      </c>
      <c r="I57" s="37">
        <f t="shared" si="3"/>
        <v>3.5317301237494743</v>
      </c>
      <c r="J57" s="316">
        <v>4.1879921033609051</v>
      </c>
      <c r="K57" s="37">
        <f t="shared" si="4"/>
        <v>0.82020241075902833</v>
      </c>
      <c r="L57" s="37"/>
      <c r="M57" s="45">
        <f t="shared" si="5"/>
        <v>3.399184613259796E-2</v>
      </c>
    </row>
    <row r="58" spans="1:13" s="6" customFormat="1" ht="16.5" customHeight="1">
      <c r="A58" s="311">
        <v>53</v>
      </c>
      <c r="B58" s="305" t="s">
        <v>1375</v>
      </c>
      <c r="C58" s="818">
        <v>987.3</v>
      </c>
      <c r="D58" s="330"/>
      <c r="E58" s="330"/>
      <c r="F58" s="40">
        <f t="shared" si="6"/>
        <v>987.3</v>
      </c>
      <c r="G58" s="70">
        <f t="shared" si="0"/>
        <v>7.8289779472686255E-3</v>
      </c>
      <c r="H58" s="316">
        <f t="shared" si="1"/>
        <v>17.764968729485656</v>
      </c>
      <c r="I58" s="37">
        <f t="shared" si="3"/>
        <v>6.5321790018318762</v>
      </c>
      <c r="J58" s="316">
        <v>7.7459808985541798</v>
      </c>
      <c r="K58" s="37">
        <f t="shared" si="4"/>
        <v>1.5170210568422415</v>
      </c>
      <c r="L58" s="37"/>
      <c r="M58" s="45">
        <f t="shared" si="5"/>
        <v>3.3991846132597953E-2</v>
      </c>
    </row>
    <row r="59" spans="1:13" s="6" customFormat="1" ht="16.5" customHeight="1">
      <c r="A59" s="311">
        <v>54</v>
      </c>
      <c r="B59" s="305" t="s">
        <v>1377</v>
      </c>
      <c r="C59" s="818">
        <v>442.6</v>
      </c>
      <c r="D59" s="330"/>
      <c r="E59" s="330"/>
      <c r="F59" s="40">
        <f t="shared" si="6"/>
        <v>442.6</v>
      </c>
      <c r="G59" s="70">
        <f t="shared" si="0"/>
        <v>3.5096785571367309E-3</v>
      </c>
      <c r="H59" s="316">
        <f t="shared" si="1"/>
        <v>7.9639169043556706</v>
      </c>
      <c r="I59" s="37">
        <f t="shared" si="3"/>
        <v>2.9283322457315801</v>
      </c>
      <c r="J59" s="316">
        <v>3.4724715341842196</v>
      </c>
      <c r="K59" s="37">
        <f t="shared" si="4"/>
        <v>0.68007041401638435</v>
      </c>
      <c r="L59" s="37"/>
      <c r="M59" s="45">
        <f t="shared" si="5"/>
        <v>3.3991846132597953E-2</v>
      </c>
    </row>
    <row r="60" spans="1:13" s="6" customFormat="1" ht="16.5" customHeight="1">
      <c r="A60" s="310">
        <v>55</v>
      </c>
      <c r="B60" s="283" t="s">
        <v>1407</v>
      </c>
      <c r="C60" s="284">
        <v>7013.2</v>
      </c>
      <c r="D60" s="284"/>
      <c r="E60" s="284"/>
      <c r="F60" s="8">
        <f t="shared" si="6"/>
        <v>7013.2</v>
      </c>
      <c r="G60" s="70">
        <f t="shared" si="0"/>
        <v>5.5612466463875548E-2</v>
      </c>
      <c r="H60" s="316">
        <f t="shared" si="1"/>
        <v>126.19191602717393</v>
      </c>
      <c r="I60" s="37">
        <f t="shared" si="3"/>
        <v>46.40076752319186</v>
      </c>
      <c r="J60" s="316">
        <v>55.022423430189122</v>
      </c>
      <c r="K60" s="37">
        <f t="shared" ref="K60:K66" si="7">G60*193.77</f>
        <v>10.776027626705165</v>
      </c>
      <c r="L60" s="37"/>
      <c r="M60" s="45">
        <f t="shared" si="5"/>
        <v>3.3991777591863927E-2</v>
      </c>
    </row>
    <row r="61" spans="1:13" s="6" customFormat="1" ht="16.5" customHeight="1">
      <c r="A61" s="310">
        <v>56</v>
      </c>
      <c r="B61" s="283" t="s">
        <v>1390</v>
      </c>
      <c r="C61" s="284">
        <v>8402.66</v>
      </c>
      <c r="D61" s="284"/>
      <c r="E61" s="284"/>
      <c r="F61" s="8">
        <f t="shared" si="6"/>
        <v>8402.66</v>
      </c>
      <c r="G61" s="70">
        <f t="shared" si="0"/>
        <v>6.6630446509061275E-2</v>
      </c>
      <c r="H61" s="316">
        <f t="shared" si="1"/>
        <v>151.19314508710622</v>
      </c>
      <c r="I61" s="37">
        <f t="shared" si="3"/>
        <v>55.593719448528958</v>
      </c>
      <c r="J61" s="316">
        <v>65.924079668839539</v>
      </c>
      <c r="K61" s="37">
        <f t="shared" si="7"/>
        <v>12.910981620060804</v>
      </c>
      <c r="L61" s="37"/>
      <c r="M61" s="45">
        <f t="shared" si="5"/>
        <v>3.399184613259796E-2</v>
      </c>
    </row>
    <row r="62" spans="1:13" s="6" customFormat="1" ht="16.5" customHeight="1">
      <c r="A62" s="310">
        <v>57</v>
      </c>
      <c r="B62" s="306" t="s">
        <v>1386</v>
      </c>
      <c r="C62" s="285">
        <v>2601.63</v>
      </c>
      <c r="D62" s="285"/>
      <c r="E62" s="285"/>
      <c r="F62" s="8">
        <f t="shared" si="6"/>
        <v>2601.63</v>
      </c>
      <c r="G62" s="70">
        <f t="shared" si="0"/>
        <v>2.0630106246280235E-2</v>
      </c>
      <c r="H62" s="316">
        <f t="shared" si="1"/>
        <v>46.812392986621873</v>
      </c>
      <c r="I62" s="37">
        <f t="shared" si="3"/>
        <v>17.212916901180865</v>
      </c>
      <c r="J62" s="316">
        <v>20.411401078806353</v>
      </c>
      <c r="K62" s="37">
        <f t="shared" si="7"/>
        <v>3.9974956873417211</v>
      </c>
      <c r="L62" s="37"/>
      <c r="M62" s="45">
        <f t="shared" si="5"/>
        <v>3.3991846132597953E-2</v>
      </c>
    </row>
    <row r="63" spans="1:13" s="6" customFormat="1" ht="16.5" customHeight="1">
      <c r="A63" s="310">
        <v>58</v>
      </c>
      <c r="B63" s="306" t="s">
        <v>1385</v>
      </c>
      <c r="C63" s="285">
        <v>2594.2600000000002</v>
      </c>
      <c r="D63" s="285"/>
      <c r="E63" s="285"/>
      <c r="F63" s="8">
        <f t="shared" si="6"/>
        <v>2594.2600000000002</v>
      </c>
      <c r="G63" s="70">
        <f t="shared" si="0"/>
        <v>2.0571664468227599E-2</v>
      </c>
      <c r="H63" s="316">
        <f t="shared" si="1"/>
        <v>46.679780994789297</v>
      </c>
      <c r="I63" s="37">
        <f t="shared" si="3"/>
        <v>17.164155471784024</v>
      </c>
      <c r="J63" s="316">
        <v>20.353578857371794</v>
      </c>
      <c r="K63" s="37">
        <f t="shared" si="7"/>
        <v>3.9861714240084622</v>
      </c>
      <c r="L63" s="37"/>
      <c r="M63" s="45">
        <f t="shared" si="5"/>
        <v>3.3991846132597953E-2</v>
      </c>
    </row>
    <row r="64" spans="1:13" s="6" customFormat="1" ht="16.5" customHeight="1">
      <c r="A64" s="310">
        <v>59</v>
      </c>
      <c r="B64" s="306" t="s">
        <v>1388</v>
      </c>
      <c r="C64" s="285">
        <v>2653.52</v>
      </c>
      <c r="D64" s="285"/>
      <c r="E64" s="285"/>
      <c r="F64" s="8">
        <f t="shared" si="6"/>
        <v>2653.52</v>
      </c>
      <c r="G64" s="70">
        <f t="shared" si="0"/>
        <v>2.1041577598132528E-2</v>
      </c>
      <c r="H64" s="316">
        <f t="shared" si="1"/>
        <v>47.746074975250465</v>
      </c>
      <c r="I64" s="37">
        <f t="shared" si="3"/>
        <v>17.556231768399599</v>
      </c>
      <c r="J64" s="316">
        <v>20.818510314931114</v>
      </c>
      <c r="K64" s="37">
        <f t="shared" si="7"/>
        <v>4.0772264911901406</v>
      </c>
      <c r="L64" s="37"/>
      <c r="M64" s="45">
        <f t="shared" si="5"/>
        <v>3.3991846132597953E-2</v>
      </c>
    </row>
    <row r="65" spans="1:14" s="6" customFormat="1" ht="16.5" customHeight="1">
      <c r="A65" s="310">
        <v>60</v>
      </c>
      <c r="B65" s="307" t="s">
        <v>1389</v>
      </c>
      <c r="C65" s="285">
        <v>2150.9</v>
      </c>
      <c r="D65" s="285"/>
      <c r="E65" s="285"/>
      <c r="F65" s="8">
        <f t="shared" si="6"/>
        <v>2150.9</v>
      </c>
      <c r="G65" s="70">
        <f t="shared" si="0"/>
        <v>1.7055959350531842E-2</v>
      </c>
      <c r="H65" s="316">
        <f t="shared" si="1"/>
        <v>38.702189041072323</v>
      </c>
      <c r="I65" s="37">
        <f t="shared" si="3"/>
        <v>14.230794910402293</v>
      </c>
      <c r="J65" s="316">
        <v>16.875144651777763</v>
      </c>
      <c r="K65" s="37">
        <f t="shared" si="7"/>
        <v>3.3049332433525551</v>
      </c>
      <c r="L65" s="37"/>
      <c r="M65" s="45">
        <f t="shared" si="5"/>
        <v>3.3991846132597953E-2</v>
      </c>
    </row>
    <row r="66" spans="1:14" s="6" customFormat="1" ht="16.5" customHeight="1">
      <c r="A66" s="310">
        <v>61</v>
      </c>
      <c r="B66" s="307" t="s">
        <v>1397</v>
      </c>
      <c r="C66" s="284">
        <v>3353.7</v>
      </c>
      <c r="D66" s="284"/>
      <c r="E66" s="284"/>
      <c r="F66" s="322">
        <f t="shared" si="6"/>
        <v>3353.7</v>
      </c>
      <c r="G66" s="70">
        <f t="shared" si="0"/>
        <v>2.6593784403681545E-2</v>
      </c>
      <c r="H66" s="316">
        <f t="shared" si="1"/>
        <v>60.344754003925907</v>
      </c>
      <c r="I66" s="37">
        <f t="shared" si="3"/>
        <v>22.188766047243558</v>
      </c>
      <c r="J66" s="316">
        <v>26.311856719822902</v>
      </c>
      <c r="K66" s="37">
        <f t="shared" si="7"/>
        <v>5.153077603901373</v>
      </c>
      <c r="L66" s="37"/>
      <c r="M66" s="45">
        <f t="shared" si="5"/>
        <v>3.3991846132597953E-2</v>
      </c>
    </row>
    <row r="67" spans="1:14" s="6" customFormat="1" ht="16.5" customHeight="1">
      <c r="A67" s="378"/>
      <c r="B67" s="63" t="s">
        <v>749</v>
      </c>
      <c r="C67" s="65">
        <f>SUM(C6:C66)</f>
        <v>249781.08</v>
      </c>
      <c r="D67" s="65">
        <f>SUM(D6:D66)</f>
        <v>1319.2</v>
      </c>
      <c r="E67" s="65">
        <f>SUM(E6:E66)</f>
        <v>1116.55</v>
      </c>
      <c r="F67" s="65">
        <f>SUM(F6:F66)</f>
        <v>252216.83000000002</v>
      </c>
      <c r="G67" s="70">
        <f>2/252216.83*F67</f>
        <v>2</v>
      </c>
      <c r="H67" s="316">
        <f>G67*2269.13</f>
        <v>4538.26</v>
      </c>
      <c r="I67" s="316">
        <f t="shared" si="3"/>
        <v>1668.7182020000002</v>
      </c>
      <c r="J67" s="316">
        <f>SUM(J6:J66)</f>
        <v>1978.7969947217387</v>
      </c>
      <c r="K67" s="65">
        <f>SUM(K6:K66)</f>
        <v>387.53999999999991</v>
      </c>
      <c r="L67" s="65"/>
      <c r="M67" s="45">
        <f t="shared" si="5"/>
        <v>3.4323317029143034E-2</v>
      </c>
    </row>
    <row r="68" spans="1:14" s="6" customFormat="1" ht="16.5" customHeight="1" thickBot="1">
      <c r="A68" s="774" t="s">
        <v>984</v>
      </c>
      <c r="B68" s="775"/>
      <c r="C68" s="775"/>
      <c r="D68" s="775"/>
      <c r="E68" s="775"/>
      <c r="F68" s="775"/>
      <c r="G68" s="775"/>
      <c r="H68" s="316">
        <f>G68*2077.52</f>
        <v>0</v>
      </c>
      <c r="I68" s="775"/>
      <c r="J68" s="316">
        <v>0</v>
      </c>
      <c r="K68" s="775"/>
      <c r="L68" s="775"/>
      <c r="M68" s="45" t="e">
        <f t="shared" si="5"/>
        <v>#DIV/0!</v>
      </c>
      <c r="N68" s="776"/>
    </row>
    <row r="69" spans="1:14" s="6" customFormat="1" ht="16.5" customHeight="1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si="2"/>
        <v>6328.85</v>
      </c>
      <c r="G69" s="70">
        <f t="shared" ref="G69:G89" si="8">1/112567.27*F69</f>
        <v>5.6222825693472006E-2</v>
      </c>
      <c r="H69" s="316">
        <f t="shared" ref="H69:H89" si="9">G69*2269.13</f>
        <v>127.57690046582815</v>
      </c>
      <c r="I69" s="37">
        <f t="shared" si="3"/>
        <v>46.910026301285015</v>
      </c>
      <c r="J69" s="316">
        <v>52.531374510112698</v>
      </c>
      <c r="K69" s="37">
        <f t="shared" ref="K69:K87" si="10">G69*193.77</f>
        <v>10.894296934624071</v>
      </c>
      <c r="L69" s="37"/>
      <c r="M69" s="45">
        <f t="shared" si="5"/>
        <v>3.7591758093784802E-2</v>
      </c>
      <c r="N69" s="6" t="s">
        <v>557</v>
      </c>
    </row>
    <row r="70" spans="1:14" s="6" customFormat="1" ht="16.5" customHeight="1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2"/>
        <v>7565.74</v>
      </c>
      <c r="G70" s="70">
        <f t="shared" si="8"/>
        <v>6.7210833131157929E-2</v>
      </c>
      <c r="H70" s="316">
        <f t="shared" si="9"/>
        <v>152.51011778290439</v>
      </c>
      <c r="I70" s="37">
        <f>G70*H70/F70</f>
        <v>1.3548353600731757E-3</v>
      </c>
      <c r="J70" s="316">
        <v>62.797936652968545</v>
      </c>
      <c r="K70" s="37">
        <f t="shared" si="10"/>
        <v>13.023443135824472</v>
      </c>
      <c r="L70" s="37"/>
      <c r="M70" s="45">
        <f t="shared" si="5"/>
        <v>3.037213513549869E-2</v>
      </c>
      <c r="N70" s="6" t="s">
        <v>558</v>
      </c>
    </row>
    <row r="71" spans="1:14" s="6" customFormat="1" ht="16.5" customHeight="1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2"/>
        <v>7217.2</v>
      </c>
      <c r="G71" s="70">
        <f t="shared" si="8"/>
        <v>6.4114551236784903E-2</v>
      </c>
      <c r="H71" s="316">
        <f t="shared" si="9"/>
        <v>145.48425164792573</v>
      </c>
      <c r="I71" s="37">
        <f t="shared" ref="I71:I87" si="11">H71*0.3677</f>
        <v>53.494559330942295</v>
      </c>
      <c r="J71" s="316">
        <v>59.904948942443781</v>
      </c>
      <c r="K71" s="37">
        <f t="shared" si="10"/>
        <v>12.423476593151811</v>
      </c>
      <c r="L71" s="37"/>
      <c r="M71" s="45">
        <f t="shared" ref="M71:M134" si="12">(K71+J71+I71+H71)/C71</f>
        <v>3.7591758093784795E-2</v>
      </c>
      <c r="N71" s="6" t="s">
        <v>550</v>
      </c>
    </row>
    <row r="72" spans="1:14" s="6" customFormat="1" ht="16.5" customHeight="1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2"/>
        <v>6435.2</v>
      </c>
      <c r="G72" s="70">
        <f t="shared" si="8"/>
        <v>5.7167594097289554E-2</v>
      </c>
      <c r="H72" s="316">
        <f t="shared" si="9"/>
        <v>129.72070279398264</v>
      </c>
      <c r="I72" s="37">
        <f t="shared" si="11"/>
        <v>47.698302417347421</v>
      </c>
      <c r="J72" s="316">
        <v>53.414111765562026</v>
      </c>
      <c r="K72" s="37">
        <f t="shared" si="10"/>
        <v>11.077364708231798</v>
      </c>
      <c r="L72" s="37"/>
      <c r="M72" s="45">
        <f t="shared" si="12"/>
        <v>3.802129378155189E-2</v>
      </c>
    </row>
    <row r="73" spans="1:14" s="6" customFormat="1" ht="16.5" customHeight="1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2"/>
        <v>8881.51</v>
      </c>
      <c r="G73" s="70">
        <f t="shared" si="8"/>
        <v>7.8899577115088604E-2</v>
      </c>
      <c r="H73" s="316">
        <f t="shared" si="9"/>
        <v>179.03339741916102</v>
      </c>
      <c r="I73" s="37">
        <f t="shared" si="11"/>
        <v>65.830580231025507</v>
      </c>
      <c r="J73" s="316">
        <v>73.719226719753351</v>
      </c>
      <c r="K73" s="37">
        <f t="shared" si="10"/>
        <v>15.288371057590719</v>
      </c>
      <c r="L73" s="37"/>
      <c r="M73" s="45">
        <f t="shared" si="12"/>
        <v>3.7591758093784795E-2</v>
      </c>
    </row>
    <row r="74" spans="1:14" s="6" customFormat="1" ht="16.5" customHeight="1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2"/>
        <v>7938.92</v>
      </c>
      <c r="G74" s="70">
        <f t="shared" si="8"/>
        <v>7.0526006360463397E-2</v>
      </c>
      <c r="H74" s="316">
        <f t="shared" si="9"/>
        <v>160.03267681271831</v>
      </c>
      <c r="I74" s="37">
        <f t="shared" si="11"/>
        <v>58.844015264036528</v>
      </c>
      <c r="J74" s="316">
        <v>65.895443836688159</v>
      </c>
      <c r="K74" s="37">
        <f t="shared" si="10"/>
        <v>13.665824252466994</v>
      </c>
      <c r="L74" s="37"/>
      <c r="M74" s="45">
        <f t="shared" si="12"/>
        <v>3.7591758093784795E-2</v>
      </c>
    </row>
    <row r="75" spans="1:14" s="6" customFormat="1" ht="16.5" customHeight="1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2"/>
        <v>7102.99</v>
      </c>
      <c r="G75" s="70">
        <f t="shared" si="8"/>
        <v>6.3099957918496194E-2</v>
      </c>
      <c r="H75" s="316">
        <f t="shared" si="9"/>
        <v>143.18200751159728</v>
      </c>
      <c r="I75" s="37">
        <f t="shared" si="11"/>
        <v>52.648024162014323</v>
      </c>
      <c r="J75" s="316">
        <v>58.956971303093823</v>
      </c>
      <c r="K75" s="37">
        <f t="shared" si="10"/>
        <v>12.226878845867008</v>
      </c>
      <c r="L75" s="37"/>
      <c r="M75" s="45">
        <f t="shared" si="12"/>
        <v>3.7591758093784795E-2</v>
      </c>
    </row>
    <row r="76" spans="1:14" s="6" customFormat="1" ht="16.5" customHeight="1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2"/>
        <v>2982.2</v>
      </c>
      <c r="G76" s="70">
        <f t="shared" si="8"/>
        <v>2.6492603045272393E-2</v>
      </c>
      <c r="H76" s="316">
        <f t="shared" si="9"/>
        <v>60.115160348118948</v>
      </c>
      <c r="I76" s="37">
        <f t="shared" si="11"/>
        <v>22.10434446000334</v>
      </c>
      <c r="J76" s="316">
        <v>24.753164487080287</v>
      </c>
      <c r="K76" s="37">
        <f t="shared" si="10"/>
        <v>5.1334716920824324</v>
      </c>
      <c r="L76" s="37"/>
      <c r="M76" s="45">
        <f t="shared" si="12"/>
        <v>3.7591758093784795E-2</v>
      </c>
    </row>
    <row r="77" spans="1:14" s="6" customFormat="1" ht="16.5" customHeight="1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2"/>
        <v>2528.85</v>
      </c>
      <c r="G77" s="70">
        <f t="shared" si="8"/>
        <v>2.2465233455515089E-2</v>
      </c>
      <c r="H77" s="316">
        <f t="shared" si="9"/>
        <v>50.976535190912955</v>
      </c>
      <c r="I77" s="37">
        <f t="shared" si="11"/>
        <v>18.744071989698696</v>
      </c>
      <c r="J77" s="316">
        <v>20.989806973016105</v>
      </c>
      <c r="K77" s="37">
        <f t="shared" si="10"/>
        <v>4.3530882866751588</v>
      </c>
      <c r="L77" s="37"/>
      <c r="M77" s="45">
        <f t="shared" si="12"/>
        <v>3.8415704534188522E-2</v>
      </c>
    </row>
    <row r="78" spans="1:14" s="6" customFormat="1" ht="16.5" customHeight="1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2"/>
        <v>4250.83</v>
      </c>
      <c r="G78" s="70">
        <f t="shared" si="8"/>
        <v>3.7762575213914309E-2</v>
      </c>
      <c r="H78" s="316">
        <f t="shared" si="9"/>
        <v>85.688192295149378</v>
      </c>
      <c r="I78" s="37">
        <f t="shared" si="11"/>
        <v>31.507548306926427</v>
      </c>
      <c r="J78" s="316">
        <v>35.283178256527229</v>
      </c>
      <c r="K78" s="37">
        <f t="shared" si="10"/>
        <v>7.3172541992001765</v>
      </c>
      <c r="L78" s="37"/>
      <c r="M78" s="45">
        <f t="shared" si="12"/>
        <v>3.7591758093784795E-2</v>
      </c>
    </row>
    <row r="79" spans="1:14" s="6" customFormat="1" ht="16.5" customHeight="1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2"/>
        <v>2862.08</v>
      </c>
      <c r="G79" s="70">
        <f t="shared" si="8"/>
        <v>2.5425507787476768E-2</v>
      </c>
      <c r="H79" s="316">
        <f t="shared" si="9"/>
        <v>57.693782485797158</v>
      </c>
      <c r="I79" s="37">
        <f t="shared" si="11"/>
        <v>21.214003820027617</v>
      </c>
      <c r="J79" s="316">
        <v>23.756132055255435</v>
      </c>
      <c r="K79" s="37">
        <f t="shared" si="10"/>
        <v>4.9267006439793732</v>
      </c>
      <c r="L79" s="37"/>
      <c r="M79" s="45">
        <f t="shared" si="12"/>
        <v>3.7591758093784795E-2</v>
      </c>
    </row>
    <row r="80" spans="1:14" s="6" customFormat="1" ht="16.5" customHeight="1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145" si="13">C80+D80+E80</f>
        <v>6415.24</v>
      </c>
      <c r="G80" s="70">
        <f t="shared" si="8"/>
        <v>5.6990277902271236E-2</v>
      </c>
      <c r="H80" s="316">
        <f t="shared" si="9"/>
        <v>129.31834929638075</v>
      </c>
      <c r="I80" s="37">
        <f t="shared" si="11"/>
        <v>47.550357036279202</v>
      </c>
      <c r="J80" s="316">
        <v>52.805201515822837</v>
      </c>
      <c r="K80" s="37">
        <f t="shared" si="10"/>
        <v>11.043006149123098</v>
      </c>
      <c r="L80" s="37"/>
      <c r="M80" s="45">
        <f t="shared" si="12"/>
        <v>3.7837624649096152E-2</v>
      </c>
    </row>
    <row r="81" spans="1:19" s="6" customFormat="1" ht="16.5" customHeight="1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3"/>
        <v>2523.4899999999998</v>
      </c>
      <c r="G81" s="70">
        <f t="shared" si="8"/>
        <v>2.2417617483305757E-2</v>
      </c>
      <c r="H81" s="316">
        <f t="shared" si="9"/>
        <v>50.868488359893597</v>
      </c>
      <c r="I81" s="37">
        <f t="shared" si="11"/>
        <v>18.704343169932876</v>
      </c>
      <c r="J81" s="316">
        <v>20.945732362518353</v>
      </c>
      <c r="K81" s="37">
        <f t="shared" si="10"/>
        <v>4.3438617397401567</v>
      </c>
      <c r="L81" s="37"/>
      <c r="M81" s="45">
        <f t="shared" si="12"/>
        <v>3.7591758093784795E-2</v>
      </c>
    </row>
    <row r="82" spans="1:19" s="6" customFormat="1" ht="16.5" customHeight="1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3"/>
        <v>2727.04</v>
      </c>
      <c r="G82" s="70">
        <f t="shared" si="8"/>
        <v>2.4225869562262636E-2</v>
      </c>
      <c r="H82" s="316">
        <f t="shared" si="9"/>
        <v>54.971647399817016</v>
      </c>
      <c r="I82" s="37">
        <f t="shared" si="11"/>
        <v>20.213074748912717</v>
      </c>
      <c r="J82" s="316">
        <v>22.635259098265518</v>
      </c>
      <c r="K82" s="37">
        <f t="shared" si="10"/>
        <v>4.6942467450796315</v>
      </c>
      <c r="L82" s="37"/>
      <c r="M82" s="45">
        <f t="shared" si="12"/>
        <v>3.7591758093784795E-2</v>
      </c>
    </row>
    <row r="83" spans="1:19" s="6" customFormat="1" ht="16.5" customHeight="1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3"/>
        <v>11075.779999999999</v>
      </c>
      <c r="G83" s="70">
        <f t="shared" si="8"/>
        <v>9.8392543409820621E-2</v>
      </c>
      <c r="H83" s="316">
        <f t="shared" si="9"/>
        <v>223.26547202752627</v>
      </c>
      <c r="I83" s="37">
        <f t="shared" si="11"/>
        <v>82.094714064521412</v>
      </c>
      <c r="J83" s="316">
        <v>91.932333231411064</v>
      </c>
      <c r="K83" s="37">
        <f t="shared" si="10"/>
        <v>19.065523136520941</v>
      </c>
      <c r="L83" s="37"/>
      <c r="M83" s="45">
        <f t="shared" si="12"/>
        <v>3.7833602828899256E-2</v>
      </c>
    </row>
    <row r="84" spans="1:19" s="6" customFormat="1" ht="16.5" customHeight="1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3"/>
        <v>6438.12</v>
      </c>
      <c r="G84" s="70">
        <f t="shared" si="8"/>
        <v>5.7193534141851354E-2</v>
      </c>
      <c r="H84" s="316">
        <f t="shared" si="9"/>
        <v>129.77956412729918</v>
      </c>
      <c r="I84" s="37">
        <f t="shared" si="11"/>
        <v>47.719945729607915</v>
      </c>
      <c r="J84" s="316">
        <v>53.438348651184143</v>
      </c>
      <c r="K84" s="37">
        <f t="shared" si="10"/>
        <v>11.082391110666537</v>
      </c>
      <c r="L84" s="37"/>
      <c r="M84" s="45">
        <f t="shared" si="12"/>
        <v>3.7591758093784795E-2</v>
      </c>
    </row>
    <row r="85" spans="1:19" s="6" customFormat="1" ht="16.5" customHeight="1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3"/>
        <v>6322.5</v>
      </c>
      <c r="G85" s="70">
        <f t="shared" si="8"/>
        <v>5.6166414980126991E-2</v>
      </c>
      <c r="H85" s="316">
        <f t="shared" si="9"/>
        <v>127.44889722385557</v>
      </c>
      <c r="I85" s="37">
        <f t="shared" si="11"/>
        <v>46.862959509211699</v>
      </c>
      <c r="J85" s="316">
        <v>52.478667584187889</v>
      </c>
      <c r="K85" s="37">
        <f t="shared" si="10"/>
        <v>10.883366230699208</v>
      </c>
      <c r="L85" s="37"/>
      <c r="M85" s="45">
        <f t="shared" si="12"/>
        <v>3.7591758093784795E-2</v>
      </c>
    </row>
    <row r="86" spans="1:19" s="6" customFormat="1" ht="16.5" customHeight="1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3"/>
        <v>3207.6099999999997</v>
      </c>
      <c r="G86" s="70">
        <f t="shared" si="8"/>
        <v>2.8495050115366568E-2</v>
      </c>
      <c r="H86" s="316">
        <f t="shared" si="9"/>
        <v>64.658973068281739</v>
      </c>
      <c r="I86" s="37">
        <f t="shared" si="11"/>
        <v>23.775104397207198</v>
      </c>
      <c r="J86" s="316">
        <v>25.423081966039529</v>
      </c>
      <c r="K86" s="37">
        <f t="shared" si="10"/>
        <v>5.5214858608545798</v>
      </c>
      <c r="L86" s="37"/>
      <c r="M86" s="45">
        <f t="shared" si="12"/>
        <v>3.8975564183205857E-2</v>
      </c>
    </row>
    <row r="87" spans="1:19" s="6" customFormat="1" ht="16.5" customHeight="1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3"/>
        <v>2997.37</v>
      </c>
      <c r="G87" s="70">
        <f t="shared" si="8"/>
        <v>2.6627366906917079E-2</v>
      </c>
      <c r="H87" s="316">
        <f t="shared" si="9"/>
        <v>60.420957069492758</v>
      </c>
      <c r="I87" s="37">
        <f t="shared" si="11"/>
        <v>22.21678591445249</v>
      </c>
      <c r="J87" s="316">
        <v>24.879080088069156</v>
      </c>
      <c r="K87" s="37">
        <f t="shared" si="10"/>
        <v>5.1595848855533228</v>
      </c>
      <c r="L87" s="37"/>
      <c r="M87" s="45">
        <f t="shared" si="12"/>
        <v>3.7591758093784795E-2</v>
      </c>
    </row>
    <row r="88" spans="1:19" s="6" customFormat="1" ht="16.5" customHeight="1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13"/>
        <v>6397.6</v>
      </c>
      <c r="G88" s="70">
        <f t="shared" si="8"/>
        <v>5.683357160567188E-2</v>
      </c>
      <c r="H88" s="316">
        <f t="shared" si="9"/>
        <v>128.96276233757823</v>
      </c>
      <c r="I88" s="37">
        <f>H88*0.3677</f>
        <v>47.419607711527519</v>
      </c>
      <c r="J88" s="316">
        <v>53.102020361660813</v>
      </c>
      <c r="K88" s="37">
        <f>G88*193.77</f>
        <v>11.01264117003104</v>
      </c>
      <c r="L88" s="37"/>
      <c r="M88" s="45">
        <f t="shared" si="12"/>
        <v>3.7591758093784788E-2</v>
      </c>
    </row>
    <row r="89" spans="1:19" s="6" customFormat="1" ht="16.5" customHeight="1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13"/>
        <v>566.29999999999995</v>
      </c>
      <c r="G89" s="70">
        <f t="shared" si="8"/>
        <v>5.0307696011460522E-3</v>
      </c>
      <c r="H89" s="316">
        <f t="shared" si="9"/>
        <v>11.415470225048542</v>
      </c>
      <c r="I89" s="37">
        <f>H89*0.3677</f>
        <v>4.1974684017503492</v>
      </c>
      <c r="J89" s="316">
        <v>0</v>
      </c>
      <c r="K89" s="37">
        <f>G89*193.77</f>
        <v>0.97481222561407055</v>
      </c>
      <c r="L89" s="37"/>
      <c r="M89" s="45">
        <f t="shared" si="12"/>
        <v>2.929145479853958E-2</v>
      </c>
      <c r="S89" s="6">
        <v>2</v>
      </c>
    </row>
    <row r="90" spans="1:19" s="69" customFormat="1" ht="16.5" customHeight="1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5">
        <f>SUM(F69:F89)</f>
        <v>112765.42</v>
      </c>
      <c r="G90" s="70">
        <f>1/112567.27*F90</f>
        <v>1.0017602807636714</v>
      </c>
      <c r="H90" s="316">
        <f>G90*2269.13</f>
        <v>2273.1243058892696</v>
      </c>
      <c r="I90" s="316">
        <f>H90*0.3677</f>
        <v>835.82780727548447</v>
      </c>
      <c r="J90" s="316">
        <f>SUM(J69:J88)</f>
        <v>929.6420203616608</v>
      </c>
      <c r="K90" s="65">
        <f>SUM(K69:K89)</f>
        <v>194.1110896035766</v>
      </c>
      <c r="L90" s="65"/>
      <c r="M90" s="45">
        <f t="shared" si="12"/>
        <v>3.7683781082759819E-2</v>
      </c>
    </row>
    <row r="91" spans="1:19" s="6" customFormat="1" ht="16.5" customHeight="1">
      <c r="A91" s="9" t="s">
        <v>50</v>
      </c>
      <c r="B91" s="8"/>
      <c r="C91" s="8"/>
      <c r="D91" s="8"/>
      <c r="E91" s="8"/>
      <c r="F91" s="40"/>
      <c r="G91" s="221"/>
      <c r="H91" s="316">
        <f>G91*2077.52</f>
        <v>0</v>
      </c>
      <c r="I91" s="37"/>
      <c r="J91" s="316">
        <v>0</v>
      </c>
      <c r="K91" s="37"/>
      <c r="L91" s="37"/>
      <c r="M91" s="45" t="e">
        <f t="shared" si="12"/>
        <v>#DIV/0!</v>
      </c>
    </row>
    <row r="92" spans="1:19" s="6" customFormat="1" ht="16.5" customHeight="1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si="13"/>
        <v>689.3</v>
      </c>
      <c r="G92" s="70">
        <f t="shared" ref="G92:G155" si="14">2/232188.71*F92</f>
        <v>5.937411857794464E-3</v>
      </c>
      <c r="H92" s="316">
        <f t="shared" ref="H92:H155" si="15">G92*2269.13</f>
        <v>13.472759368877153</v>
      </c>
      <c r="I92" s="96">
        <f t="shared" ref="I92:I155" si="16">H92*0.3677</f>
        <v>4.9539336199361292</v>
      </c>
      <c r="J92" s="316">
        <v>5.3365196640954844</v>
      </c>
      <c r="K92" s="37">
        <f t="shared" ref="K92:K155" si="17">G92*193.77</f>
        <v>1.1504922956848334</v>
      </c>
      <c r="L92" s="37">
        <f t="shared" ref="L92:L155" si="18">K92*1.219</f>
        <v>1.402450108439812</v>
      </c>
      <c r="M92" s="45">
        <f t="shared" si="12"/>
        <v>5.2044505846236898E-2</v>
      </c>
    </row>
    <row r="93" spans="1:19" s="6" customFormat="1" ht="16.5" customHeight="1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13"/>
        <v>356.29999999999995</v>
      </c>
      <c r="G93" s="70">
        <f t="shared" si="14"/>
        <v>3.069055338651048E-3</v>
      </c>
      <c r="H93" s="316">
        <f t="shared" si="15"/>
        <v>6.9640855405932527</v>
      </c>
      <c r="I93" s="96">
        <f t="shared" si="16"/>
        <v>2.5606942532761394</v>
      </c>
      <c r="J93" s="316">
        <v>2.7584534401816638</v>
      </c>
      <c r="K93" s="37">
        <f t="shared" si="17"/>
        <v>0.59469085297041357</v>
      </c>
      <c r="L93" s="37">
        <f t="shared" si="18"/>
        <v>0.72492814977093423</v>
      </c>
      <c r="M93" s="45">
        <f t="shared" si="12"/>
        <v>4.0701403562014758E-2</v>
      </c>
    </row>
    <row r="94" spans="1:19" s="6" customFormat="1" ht="16.5" customHeight="1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13"/>
        <v>425.13</v>
      </c>
      <c r="G94" s="70">
        <f t="shared" si="14"/>
        <v>3.661935156106428E-3</v>
      </c>
      <c r="H94" s="316">
        <f t="shared" si="15"/>
        <v>8.3094069207757801</v>
      </c>
      <c r="I94" s="96">
        <f t="shared" si="16"/>
        <v>3.0553689247692546</v>
      </c>
      <c r="J94" s="316">
        <v>3.2913312125299776</v>
      </c>
      <c r="K94" s="37">
        <f t="shared" si="17"/>
        <v>0.70957317519874263</v>
      </c>
      <c r="L94" s="37">
        <f t="shared" si="18"/>
        <v>0.8649697005672673</v>
      </c>
      <c r="M94" s="45">
        <f t="shared" si="12"/>
        <v>3.6143486070787184E-2</v>
      </c>
    </row>
    <row r="95" spans="1:19" s="6" customFormat="1" ht="16.5" customHeight="1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13"/>
        <v>690.66</v>
      </c>
      <c r="G95" s="70">
        <f t="shared" si="14"/>
        <v>5.9491264670017766E-3</v>
      </c>
      <c r="H95" s="316">
        <f t="shared" si="15"/>
        <v>13.499341340067742</v>
      </c>
      <c r="I95" s="96">
        <f t="shared" si="16"/>
        <v>4.9637078107429096</v>
      </c>
      <c r="J95" s="316">
        <v>5.3470487033282863</v>
      </c>
      <c r="K95" s="37">
        <f t="shared" si="17"/>
        <v>1.1527622355109344</v>
      </c>
      <c r="L95" s="37">
        <f t="shared" si="18"/>
        <v>1.4052171650878291</v>
      </c>
      <c r="M95" s="45">
        <f t="shared" si="12"/>
        <v>3.6143486070787177E-2</v>
      </c>
    </row>
    <row r="96" spans="1:19" s="6" customFormat="1" ht="16.5" customHeight="1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13"/>
        <v>618.05999999999995</v>
      </c>
      <c r="G96" s="70">
        <f t="shared" si="14"/>
        <v>5.3237730637290676E-3</v>
      </c>
      <c r="H96" s="316">
        <f t="shared" si="15"/>
        <v>12.080333172099539</v>
      </c>
      <c r="I96" s="96">
        <f t="shared" si="16"/>
        <v>4.4419385073810007</v>
      </c>
      <c r="J96" s="316">
        <v>4.7849838148713983</v>
      </c>
      <c r="K96" s="37">
        <f t="shared" si="17"/>
        <v>1.0315875065587814</v>
      </c>
      <c r="L96" s="37">
        <f t="shared" si="18"/>
        <v>1.2575051704951545</v>
      </c>
      <c r="M96" s="45">
        <f t="shared" si="12"/>
        <v>3.7845767968201674E-2</v>
      </c>
    </row>
    <row r="97" spans="1:13" s="6" customFormat="1" ht="16.5" customHeight="1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13"/>
        <v>1327.4</v>
      </c>
      <c r="G97" s="70">
        <f t="shared" si="14"/>
        <v>1.1433803133666579E-2</v>
      </c>
      <c r="H97" s="316">
        <f t="shared" si="15"/>
        <v>25.944785704696844</v>
      </c>
      <c r="I97" s="96">
        <f t="shared" si="16"/>
        <v>9.5398977036170312</v>
      </c>
      <c r="J97" s="316">
        <v>10.276651968838454</v>
      </c>
      <c r="K97" s="37">
        <f t="shared" si="17"/>
        <v>2.2155280332105729</v>
      </c>
      <c r="L97" s="37">
        <f t="shared" si="18"/>
        <v>2.7007286724836885</v>
      </c>
      <c r="M97" s="45">
        <f t="shared" si="12"/>
        <v>3.7549396110482039E-2</v>
      </c>
    </row>
    <row r="98" spans="1:13" s="6" customFormat="1" ht="16.5" customHeight="1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13"/>
        <v>1528.3</v>
      </c>
      <c r="G98" s="70">
        <f t="shared" si="14"/>
        <v>1.3164292096717366E-2</v>
      </c>
      <c r="H98" s="316">
        <f t="shared" si="15"/>
        <v>29.871490125424277</v>
      </c>
      <c r="I98" s="96">
        <f t="shared" si="16"/>
        <v>10.983746919118508</v>
      </c>
      <c r="J98" s="316">
        <v>11.832007837860337</v>
      </c>
      <c r="K98" s="37">
        <f t="shared" si="17"/>
        <v>2.5508448795809242</v>
      </c>
      <c r="L98" s="37">
        <f t="shared" si="18"/>
        <v>3.1094799082091469</v>
      </c>
      <c r="M98" s="45">
        <f t="shared" si="12"/>
        <v>3.8837157956819267E-2</v>
      </c>
    </row>
    <row r="99" spans="1:13" s="6" customFormat="1" ht="16.5" customHeight="1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13"/>
        <v>736.94</v>
      </c>
      <c r="G99" s="70">
        <f t="shared" si="14"/>
        <v>6.3477677273800276E-3</v>
      </c>
      <c r="H99" s="316">
        <f t="shared" si="15"/>
        <v>14.403910183229842</v>
      </c>
      <c r="I99" s="96">
        <f t="shared" si="16"/>
        <v>5.2963177743736134</v>
      </c>
      <c r="J99" s="316">
        <v>5.7053457148680211</v>
      </c>
      <c r="K99" s="37">
        <f t="shared" si="17"/>
        <v>1.2300069525344279</v>
      </c>
      <c r="L99" s="37">
        <f t="shared" si="18"/>
        <v>1.4993784751394676</v>
      </c>
      <c r="M99" s="45">
        <f t="shared" si="12"/>
        <v>3.6143486070787177E-2</v>
      </c>
    </row>
    <row r="100" spans="1:13" s="6" customFormat="1" ht="16.5" customHeight="1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13"/>
        <v>588.29</v>
      </c>
      <c r="G100" s="70">
        <f t="shared" si="14"/>
        <v>5.0673437136542947E-3</v>
      </c>
      <c r="H100" s="316">
        <f t="shared" si="15"/>
        <v>11.49846164096437</v>
      </c>
      <c r="I100" s="96">
        <f t="shared" si="16"/>
        <v>4.2279843453825992</v>
      </c>
      <c r="J100" s="316">
        <v>4.5545062428416259</v>
      </c>
      <c r="K100" s="37">
        <f t="shared" si="17"/>
        <v>0.98189919139479276</v>
      </c>
      <c r="L100" s="37">
        <f t="shared" si="18"/>
        <v>1.1969351143102525</v>
      </c>
      <c r="M100" s="45">
        <f t="shared" si="12"/>
        <v>3.6143486070787177E-2</v>
      </c>
    </row>
    <row r="101" spans="1:13" s="6" customFormat="1" ht="16.5" customHeight="1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13"/>
        <v>264.32</v>
      </c>
      <c r="G101" s="70">
        <f t="shared" si="14"/>
        <v>2.2767687541741374E-3</v>
      </c>
      <c r="H101" s="316">
        <f t="shared" si="15"/>
        <v>5.1662842831591602</v>
      </c>
      <c r="I101" s="96">
        <f t="shared" si="16"/>
        <v>1.8996427309176234</v>
      </c>
      <c r="J101" s="316">
        <v>2.0463497426573607</v>
      </c>
      <c r="K101" s="37">
        <f t="shared" si="17"/>
        <v>0.44116948149632262</v>
      </c>
      <c r="L101" s="37">
        <f t="shared" si="18"/>
        <v>0.53778559794401737</v>
      </c>
      <c r="M101" s="45">
        <f t="shared" si="12"/>
        <v>3.6143486070787184E-2</v>
      </c>
    </row>
    <row r="102" spans="1:13" s="6" customFormat="1" ht="16.5" customHeight="1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13"/>
        <v>202.70000000000002</v>
      </c>
      <c r="G102" s="70">
        <f t="shared" si="14"/>
        <v>1.7459935928839955E-3</v>
      </c>
      <c r="H102" s="316">
        <f t="shared" si="15"/>
        <v>3.961886441420861</v>
      </c>
      <c r="I102" s="96">
        <f t="shared" si="16"/>
        <v>1.4567856445104508</v>
      </c>
      <c r="J102" s="316">
        <v>1.5692913621241185</v>
      </c>
      <c r="K102" s="37">
        <f t="shared" si="17"/>
        <v>0.33832117849313181</v>
      </c>
      <c r="L102" s="37">
        <f t="shared" si="18"/>
        <v>0.41241351658312769</v>
      </c>
      <c r="M102" s="45">
        <f t="shared" si="12"/>
        <v>4.0387456596188323E-2</v>
      </c>
    </row>
    <row r="103" spans="1:13" s="6" customFormat="1" ht="16.5" customHeight="1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13"/>
        <v>366.9</v>
      </c>
      <c r="G103" s="70">
        <f t="shared" si="14"/>
        <v>3.16036038100216E-3</v>
      </c>
      <c r="H103" s="316">
        <f t="shared" si="15"/>
        <v>7.1712685513434318</v>
      </c>
      <c r="I103" s="96">
        <f t="shared" si="16"/>
        <v>2.6368754463289799</v>
      </c>
      <c r="J103" s="316">
        <v>2.8405180106726147</v>
      </c>
      <c r="K103" s="37">
        <f t="shared" si="17"/>
        <v>0.61238303102678859</v>
      </c>
      <c r="L103" s="37">
        <f t="shared" si="18"/>
        <v>0.74649491482165531</v>
      </c>
      <c r="M103" s="45">
        <f t="shared" si="12"/>
        <v>3.6143486070787177E-2</v>
      </c>
    </row>
    <row r="104" spans="1:13" s="6" customFormat="1" ht="16.5" customHeight="1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13"/>
        <v>580.66999999999996</v>
      </c>
      <c r="G104" s="70">
        <f t="shared" si="14"/>
        <v>5.0017074473603824E-3</v>
      </c>
      <c r="H104" s="316">
        <f t="shared" si="15"/>
        <v>11.349524420028866</v>
      </c>
      <c r="I104" s="96">
        <f t="shared" si="16"/>
        <v>4.1732201292446138</v>
      </c>
      <c r="J104" s="316">
        <v>4.4955126553754896</v>
      </c>
      <c r="K104" s="37">
        <f t="shared" si="17"/>
        <v>0.96918085207502136</v>
      </c>
      <c r="L104" s="37">
        <f t="shared" si="18"/>
        <v>1.1814314586794512</v>
      </c>
      <c r="M104" s="45">
        <f t="shared" si="12"/>
        <v>3.6143486070787177E-2</v>
      </c>
    </row>
    <row r="105" spans="1:13" s="6" customFormat="1" ht="16.5" customHeight="1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13"/>
        <v>612.9</v>
      </c>
      <c r="G105" s="70">
        <f t="shared" si="14"/>
        <v>5.2793264582072065E-3</v>
      </c>
      <c r="H105" s="316">
        <f t="shared" si="15"/>
        <v>11.979478046111719</v>
      </c>
      <c r="I105" s="96">
        <f t="shared" si="16"/>
        <v>4.4048540775552798</v>
      </c>
      <c r="J105" s="316">
        <v>4.7450354013116529</v>
      </c>
      <c r="K105" s="37">
        <f t="shared" si="17"/>
        <v>1.0229750878068105</v>
      </c>
      <c r="L105" s="37">
        <f t="shared" si="18"/>
        <v>1.2470066320365021</v>
      </c>
      <c r="M105" s="45">
        <f t="shared" si="12"/>
        <v>3.7958092208336978E-2</v>
      </c>
    </row>
    <row r="106" spans="1:13" s="6" customFormat="1" ht="16.5" customHeight="1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13"/>
        <v>851.5</v>
      </c>
      <c r="G106" s="70">
        <f t="shared" si="14"/>
        <v>7.3345512794312879E-3</v>
      </c>
      <c r="H106" s="316">
        <f t="shared" si="15"/>
        <v>16.643050344695919</v>
      </c>
      <c r="I106" s="96">
        <f t="shared" si="16"/>
        <v>6.1196496117446895</v>
      </c>
      <c r="J106" s="316">
        <v>6.5922624314192735</v>
      </c>
      <c r="K106" s="37">
        <f t="shared" si="17"/>
        <v>1.4212160014154007</v>
      </c>
      <c r="L106" s="37">
        <f t="shared" si="18"/>
        <v>1.7324623057253736</v>
      </c>
      <c r="M106" s="45">
        <f t="shared" si="12"/>
        <v>3.6143486070787177E-2</v>
      </c>
    </row>
    <row r="107" spans="1:13" s="6" customFormat="1" ht="16.5" customHeight="1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13"/>
        <v>545.6</v>
      </c>
      <c r="G107" s="70">
        <f t="shared" si="14"/>
        <v>4.6996255761100536E-3</v>
      </c>
      <c r="H107" s="316">
        <f t="shared" si="15"/>
        <v>10.664061383518606</v>
      </c>
      <c r="I107" s="96">
        <f t="shared" si="16"/>
        <v>3.9211753707197916</v>
      </c>
      <c r="J107" s="316">
        <v>4.2240027981002415</v>
      </c>
      <c r="K107" s="37">
        <f t="shared" si="17"/>
        <v>0.9106464478828451</v>
      </c>
      <c r="L107" s="37">
        <f t="shared" si="18"/>
        <v>1.1100780199691882</v>
      </c>
      <c r="M107" s="45">
        <f t="shared" si="12"/>
        <v>3.8636140282565609E-2</v>
      </c>
    </row>
    <row r="108" spans="1:13" s="6" customFormat="1" ht="16.5" customHeight="1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13"/>
        <v>564.81000000000006</v>
      </c>
      <c r="G108" s="70">
        <f t="shared" si="14"/>
        <v>4.8650944311633424E-3</v>
      </c>
      <c r="H108" s="316">
        <f t="shared" si="15"/>
        <v>11.039531726585675</v>
      </c>
      <c r="I108" s="96">
        <f t="shared" si="16"/>
        <v>4.059235815865553</v>
      </c>
      <c r="J108" s="316">
        <v>4.3727254772635593</v>
      </c>
      <c r="K108" s="37">
        <f t="shared" si="17"/>
        <v>0.94270934792652095</v>
      </c>
      <c r="L108" s="37">
        <f t="shared" si="18"/>
        <v>1.1491626951224292</v>
      </c>
      <c r="M108" s="45">
        <f t="shared" si="12"/>
        <v>3.7442824540344651E-2</v>
      </c>
    </row>
    <row r="109" spans="1:13" s="6" customFormat="1" ht="16.5" customHeight="1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13"/>
        <v>536.25</v>
      </c>
      <c r="G109" s="70">
        <f t="shared" si="14"/>
        <v>4.6190876378097807E-3</v>
      </c>
      <c r="H109" s="316">
        <f t="shared" si="15"/>
        <v>10.481310331583309</v>
      </c>
      <c r="I109" s="96">
        <f t="shared" si="16"/>
        <v>3.8539778089231831</v>
      </c>
      <c r="J109" s="316">
        <v>4.1516156533747335</v>
      </c>
      <c r="K109" s="37">
        <f t="shared" si="17"/>
        <v>0.8950406115784012</v>
      </c>
      <c r="L109" s="37">
        <f t="shared" si="18"/>
        <v>1.0910545055140712</v>
      </c>
      <c r="M109" s="45">
        <f t="shared" si="12"/>
        <v>3.6143486070787184E-2</v>
      </c>
    </row>
    <row r="110" spans="1:13" s="6" customFormat="1" ht="16.5" customHeight="1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13"/>
        <v>603.17000000000007</v>
      </c>
      <c r="G110" s="70">
        <f t="shared" si="14"/>
        <v>5.1955153202754793E-3</v>
      </c>
      <c r="H110" s="316">
        <f t="shared" si="15"/>
        <v>11.789299678696699</v>
      </c>
      <c r="I110" s="96">
        <f t="shared" si="16"/>
        <v>4.3349254918567768</v>
      </c>
      <c r="J110" s="316">
        <v>4.6697063191534518</v>
      </c>
      <c r="K110" s="37">
        <f t="shared" si="17"/>
        <v>1.0067350036097797</v>
      </c>
      <c r="L110" s="37">
        <f t="shared" si="18"/>
        <v>1.2272099694003216</v>
      </c>
      <c r="M110" s="45">
        <f t="shared" si="12"/>
        <v>4.0751194447009559E-2</v>
      </c>
    </row>
    <row r="111" spans="1:13" s="6" customFormat="1" ht="16.5" customHeight="1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13"/>
        <v>226.9</v>
      </c>
      <c r="G111" s="70">
        <f t="shared" si="14"/>
        <v>1.9544447273082315E-3</v>
      </c>
      <c r="H111" s="316">
        <f t="shared" si="15"/>
        <v>4.4348891640769272</v>
      </c>
      <c r="I111" s="96">
        <f t="shared" si="16"/>
        <v>1.6307087456310863</v>
      </c>
      <c r="J111" s="316">
        <v>1.7566463249430806</v>
      </c>
      <c r="K111" s="37">
        <f t="shared" si="17"/>
        <v>0.37871275481051603</v>
      </c>
      <c r="L111" s="37">
        <f t="shared" si="18"/>
        <v>0.46165084811401907</v>
      </c>
      <c r="M111" s="45">
        <f t="shared" si="12"/>
        <v>4.2735575765823916E-2</v>
      </c>
    </row>
    <row r="112" spans="1:13" s="6" customFormat="1" ht="16.5" customHeight="1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13"/>
        <v>385.59999999999997</v>
      </c>
      <c r="G112" s="70">
        <f t="shared" si="14"/>
        <v>3.3214362576027062E-3</v>
      </c>
      <c r="H112" s="316">
        <f t="shared" si="15"/>
        <v>7.5367706552140294</v>
      </c>
      <c r="I112" s="96">
        <f t="shared" si="16"/>
        <v>2.7712705699221987</v>
      </c>
      <c r="J112" s="316">
        <v>2.9852923001236311</v>
      </c>
      <c r="K112" s="37">
        <f t="shared" si="17"/>
        <v>0.64359470363567639</v>
      </c>
      <c r="L112" s="37">
        <f t="shared" si="18"/>
        <v>0.78454194373188957</v>
      </c>
      <c r="M112" s="45">
        <f t="shared" si="12"/>
        <v>3.7830966962257156E-2</v>
      </c>
    </row>
    <row r="113" spans="1:13" s="6" customFormat="1" ht="16.5" customHeight="1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13"/>
        <v>340.18</v>
      </c>
      <c r="G113" s="70">
        <f t="shared" si="14"/>
        <v>2.9302027648114332E-3</v>
      </c>
      <c r="H113" s="316">
        <f t="shared" si="15"/>
        <v>6.6490109997165678</v>
      </c>
      <c r="I113" s="96">
        <f t="shared" si="16"/>
        <v>2.444841344595782</v>
      </c>
      <c r="J113" s="316">
        <v>2.633653357510521</v>
      </c>
      <c r="K113" s="37">
        <f t="shared" si="17"/>
        <v>0.56778538973751147</v>
      </c>
      <c r="L113" s="37">
        <f t="shared" si="18"/>
        <v>0.69213039009002653</v>
      </c>
      <c r="M113" s="45">
        <f t="shared" si="12"/>
        <v>4.117921860660588E-2</v>
      </c>
    </row>
    <row r="114" spans="1:13" s="6" customFormat="1" ht="16.5" customHeight="1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13"/>
        <v>304.7</v>
      </c>
      <c r="G114" s="70">
        <f t="shared" si="14"/>
        <v>2.6245892834324291E-3</v>
      </c>
      <c r="H114" s="316">
        <f t="shared" si="15"/>
        <v>5.9555342807150282</v>
      </c>
      <c r="I114" s="96">
        <f t="shared" si="16"/>
        <v>2.1898499550189161</v>
      </c>
      <c r="J114" s="316">
        <v>2.3589693045842073</v>
      </c>
      <c r="K114" s="37">
        <f t="shared" si="17"/>
        <v>0.50856666545070184</v>
      </c>
      <c r="L114" s="37">
        <f t="shared" si="18"/>
        <v>0.61994276518440561</v>
      </c>
      <c r="M114" s="45">
        <f t="shared" si="12"/>
        <v>3.6143486070787184E-2</v>
      </c>
    </row>
    <row r="115" spans="1:13" s="6" customFormat="1" ht="16.5" customHeight="1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13"/>
        <v>979.97</v>
      </c>
      <c r="G115" s="70">
        <f t="shared" si="14"/>
        <v>8.4411511653602802E-3</v>
      </c>
      <c r="H115" s="316">
        <f t="shared" si="15"/>
        <v>19.154069343853973</v>
      </c>
      <c r="I115" s="96">
        <f t="shared" si="16"/>
        <v>7.0429512977351063</v>
      </c>
      <c r="J115" s="316">
        <v>7.5868695418883689</v>
      </c>
      <c r="K115" s="37">
        <f t="shared" si="17"/>
        <v>1.6356418613118615</v>
      </c>
      <c r="L115" s="37">
        <f t="shared" si="18"/>
        <v>1.9938474289391592</v>
      </c>
      <c r="M115" s="45">
        <f t="shared" si="12"/>
        <v>4.3190864249136422E-2</v>
      </c>
    </row>
    <row r="116" spans="1:13" s="6" customFormat="1" ht="16.5" customHeight="1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13"/>
        <v>1330.1</v>
      </c>
      <c r="G116" s="70">
        <f t="shared" si="14"/>
        <v>1.145706007841639E-2</v>
      </c>
      <c r="H116" s="316">
        <f t="shared" si="15"/>
        <v>25.997558735736984</v>
      </c>
      <c r="I116" s="96">
        <f t="shared" si="16"/>
        <v>9.5593023471304903</v>
      </c>
      <c r="J116" s="316">
        <v>10.29755520849181</v>
      </c>
      <c r="K116" s="37">
        <f t="shared" si="17"/>
        <v>2.2200345313947438</v>
      </c>
      <c r="L116" s="37">
        <f t="shared" si="18"/>
        <v>2.7062220937701928</v>
      </c>
      <c r="M116" s="45">
        <f t="shared" si="12"/>
        <v>3.6143486070787184E-2</v>
      </c>
    </row>
    <row r="117" spans="1:13" s="6" customFormat="1" ht="16.5" customHeight="1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13"/>
        <v>820.65</v>
      </c>
      <c r="G117" s="70">
        <f t="shared" si="14"/>
        <v>7.0688191514565899E-3</v>
      </c>
      <c r="H117" s="316">
        <f t="shared" si="15"/>
        <v>16.040069601144694</v>
      </c>
      <c r="I117" s="96">
        <f t="shared" si="16"/>
        <v>5.8979335923409044</v>
      </c>
      <c r="J117" s="316">
        <v>6.3534235635281586</v>
      </c>
      <c r="K117" s="37">
        <f t="shared" si="17"/>
        <v>1.3697250869777435</v>
      </c>
      <c r="L117" s="37">
        <f t="shared" si="18"/>
        <v>1.6696948810258694</v>
      </c>
      <c r="M117" s="45">
        <f t="shared" si="12"/>
        <v>3.7614801653657347E-2</v>
      </c>
    </row>
    <row r="118" spans="1:13" s="6" customFormat="1" ht="16.5" customHeight="1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13"/>
        <v>1463.87</v>
      </c>
      <c r="G118" s="70">
        <f t="shared" si="14"/>
        <v>1.2609312485520937E-2</v>
      </c>
      <c r="H118" s="316">
        <f t="shared" si="15"/>
        <v>28.612169240270124</v>
      </c>
      <c r="I118" s="96">
        <f t="shared" si="16"/>
        <v>10.520694629647325</v>
      </c>
      <c r="J118" s="316">
        <v>11.333194604206378</v>
      </c>
      <c r="K118" s="37">
        <f t="shared" si="17"/>
        <v>2.443306480319392</v>
      </c>
      <c r="L118" s="37">
        <f t="shared" si="18"/>
        <v>2.9783905995093392</v>
      </c>
      <c r="M118" s="45">
        <f t="shared" si="12"/>
        <v>4.1124357753129032E-2</v>
      </c>
    </row>
    <row r="119" spans="1:13" s="6" customFormat="1" ht="16.5" customHeight="1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13"/>
        <v>595.18000000000006</v>
      </c>
      <c r="G119" s="70">
        <f t="shared" si="14"/>
        <v>5.1266919911825181E-3</v>
      </c>
      <c r="H119" s="316">
        <f t="shared" si="15"/>
        <v>11.633130597951988</v>
      </c>
      <c r="I119" s="96">
        <f t="shared" si="16"/>
        <v>4.2775021208669459</v>
      </c>
      <c r="J119" s="316">
        <v>4.6078482136607439</v>
      </c>
      <c r="K119" s="37">
        <f t="shared" si="17"/>
        <v>0.99339910713143653</v>
      </c>
      <c r="L119" s="37">
        <f t="shared" si="18"/>
        <v>1.2109535115932213</v>
      </c>
      <c r="M119" s="45">
        <f t="shared" si="12"/>
        <v>4.3128994826599133E-2</v>
      </c>
    </row>
    <row r="120" spans="1:13" s="6" customFormat="1" ht="16.5" customHeight="1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13"/>
        <v>142</v>
      </c>
      <c r="G120" s="70">
        <f t="shared" si="14"/>
        <v>1.2231430201752704E-3</v>
      </c>
      <c r="H120" s="316">
        <f t="shared" si="15"/>
        <v>2.7754705213703117</v>
      </c>
      <c r="I120" s="96">
        <f t="shared" si="16"/>
        <v>1.0205405107078638</v>
      </c>
      <c r="J120" s="316">
        <v>1.0993555669542416</v>
      </c>
      <c r="K120" s="37">
        <f t="shared" si="17"/>
        <v>0.23700842301936215</v>
      </c>
      <c r="L120" s="37">
        <f t="shared" si="18"/>
        <v>0.28891326766060249</v>
      </c>
      <c r="M120" s="45">
        <f t="shared" si="12"/>
        <v>3.6143486070787177E-2</v>
      </c>
    </row>
    <row r="121" spans="1:13" s="6" customFormat="1" ht="16.5" customHeight="1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13"/>
        <v>576.93999999999994</v>
      </c>
      <c r="G121" s="70">
        <f t="shared" si="14"/>
        <v>4.9695784088726793E-3</v>
      </c>
      <c r="H121" s="316">
        <f t="shared" si="15"/>
        <v>11.276619454925264</v>
      </c>
      <c r="I121" s="96">
        <f t="shared" si="16"/>
        <v>4.1464129735760196</v>
      </c>
      <c r="J121" s="316">
        <v>4.4666352168914099</v>
      </c>
      <c r="K121" s="37">
        <f t="shared" si="17"/>
        <v>0.96295520828725911</v>
      </c>
      <c r="L121" s="37">
        <f t="shared" si="18"/>
        <v>1.1738423989021689</v>
      </c>
      <c r="M121" s="45">
        <f t="shared" si="12"/>
        <v>3.8785475138903271E-2</v>
      </c>
    </row>
    <row r="122" spans="1:13" s="6" customFormat="1" ht="16.5" customHeight="1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13"/>
        <v>587.76</v>
      </c>
      <c r="G122" s="70">
        <f t="shared" si="14"/>
        <v>5.0627784615367389E-3</v>
      </c>
      <c r="H122" s="316">
        <f t="shared" si="15"/>
        <v>11.488102490426861</v>
      </c>
      <c r="I122" s="96">
        <f t="shared" si="16"/>
        <v>4.2241752857299568</v>
      </c>
      <c r="J122" s="316">
        <v>4.5504030143170784</v>
      </c>
      <c r="K122" s="37">
        <f t="shared" si="17"/>
        <v>0.98101458249197393</v>
      </c>
      <c r="L122" s="37">
        <f t="shared" si="18"/>
        <v>1.1958567760577163</v>
      </c>
      <c r="M122" s="45">
        <f t="shared" si="12"/>
        <v>3.6143486070787177E-2</v>
      </c>
    </row>
    <row r="123" spans="1:13" s="6" customFormat="1" ht="16.5" customHeight="1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13"/>
        <v>1891.7</v>
      </c>
      <c r="G123" s="70">
        <f t="shared" si="14"/>
        <v>1.6294504586377177E-2</v>
      </c>
      <c r="H123" s="316">
        <f t="shared" si="15"/>
        <v>36.974349192086045</v>
      </c>
      <c r="I123" s="96">
        <f t="shared" si="16"/>
        <v>13.595468197930039</v>
      </c>
      <c r="J123" s="316">
        <v>14.645429056389714</v>
      </c>
      <c r="K123" s="37">
        <f t="shared" si="17"/>
        <v>3.1573861537023058</v>
      </c>
      <c r="L123" s="37">
        <f t="shared" si="18"/>
        <v>3.8488537213631111</v>
      </c>
      <c r="M123" s="45">
        <f t="shared" si="12"/>
        <v>3.6568771781627055E-2</v>
      </c>
    </row>
    <row r="124" spans="1:13" s="6" customFormat="1" ht="16.5" customHeight="1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13"/>
        <v>262.7</v>
      </c>
      <c r="G124" s="70">
        <f t="shared" si="14"/>
        <v>2.2628145873242501E-3</v>
      </c>
      <c r="H124" s="316">
        <f t="shared" si="15"/>
        <v>5.1346204645350761</v>
      </c>
      <c r="I124" s="96">
        <f t="shared" si="16"/>
        <v>1.8879999448095477</v>
      </c>
      <c r="J124" s="316">
        <v>2.0338077988653471</v>
      </c>
      <c r="K124" s="37">
        <f t="shared" si="17"/>
        <v>0.43846558258581997</v>
      </c>
      <c r="L124" s="37">
        <f t="shared" si="18"/>
        <v>0.53448954517211456</v>
      </c>
      <c r="M124" s="45">
        <f t="shared" si="12"/>
        <v>3.6143486070787177E-2</v>
      </c>
    </row>
    <row r="125" spans="1:13" s="6" customFormat="1" ht="16.5" customHeight="1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13"/>
        <v>1857.4</v>
      </c>
      <c r="G125" s="70">
        <f t="shared" si="14"/>
        <v>1.5999055251222166E-2</v>
      </c>
      <c r="H125" s="316">
        <f t="shared" si="15"/>
        <v>36.303936242205758</v>
      </c>
      <c r="I125" s="96">
        <f t="shared" si="16"/>
        <v>13.348957356259058</v>
      </c>
      <c r="J125" s="316">
        <v>14.379880493385977</v>
      </c>
      <c r="K125" s="37">
        <f t="shared" si="17"/>
        <v>3.1001369360293194</v>
      </c>
      <c r="L125" s="37">
        <f t="shared" si="18"/>
        <v>3.7790669250197406</v>
      </c>
      <c r="M125" s="45">
        <f t="shared" si="12"/>
        <v>3.6143486070787177E-2</v>
      </c>
    </row>
    <row r="126" spans="1:13" s="6" customFormat="1" ht="16.5" customHeight="1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13"/>
        <v>2470.1999999999998</v>
      </c>
      <c r="G126" s="70">
        <f t="shared" si="14"/>
        <v>2.1277520341105301E-2</v>
      </c>
      <c r="H126" s="316">
        <f t="shared" si="15"/>
        <v>48.281459731612273</v>
      </c>
      <c r="I126" s="96">
        <f t="shared" si="16"/>
        <v>17.753092743313832</v>
      </c>
      <c r="J126" s="316">
        <v>19.124141700636393</v>
      </c>
      <c r="K126" s="37">
        <f t="shared" si="17"/>
        <v>4.1229451164959743</v>
      </c>
      <c r="L126" s="37">
        <f t="shared" si="18"/>
        <v>5.0258700970085926</v>
      </c>
      <c r="M126" s="45">
        <f t="shared" si="12"/>
        <v>3.6143486070787177E-2</v>
      </c>
    </row>
    <row r="127" spans="1:13" s="6" customFormat="1" ht="16.5" customHeight="1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13"/>
        <v>121.8</v>
      </c>
      <c r="G127" s="70">
        <f t="shared" si="14"/>
        <v>1.049146618713718E-3</v>
      </c>
      <c r="H127" s="316">
        <f t="shared" si="15"/>
        <v>2.3806500669218589</v>
      </c>
      <c r="I127" s="96">
        <f t="shared" si="16"/>
        <v>0.87536502960716756</v>
      </c>
      <c r="J127" s="316">
        <v>0.94296836658469474</v>
      </c>
      <c r="K127" s="37">
        <f t="shared" si="17"/>
        <v>0.20329314030815715</v>
      </c>
      <c r="L127" s="37">
        <f t="shared" si="18"/>
        <v>0.24781433803564359</v>
      </c>
      <c r="M127" s="45">
        <f t="shared" si="12"/>
        <v>3.6143486070787177E-2</v>
      </c>
    </row>
    <row r="128" spans="1:13" s="6" customFormat="1" ht="16.5" customHeight="1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13"/>
        <v>1831.3</v>
      </c>
      <c r="G128" s="70">
        <f t="shared" si="14"/>
        <v>1.5774238118640652E-2</v>
      </c>
      <c r="H128" s="316">
        <f t="shared" si="15"/>
        <v>35.793796942151062</v>
      </c>
      <c r="I128" s="96">
        <f t="shared" si="16"/>
        <v>13.161379135628946</v>
      </c>
      <c r="J128" s="316">
        <v>14.177815843403542</v>
      </c>
      <c r="K128" s="37">
        <f t="shared" si="17"/>
        <v>3.0565741202489995</v>
      </c>
      <c r="L128" s="37">
        <f t="shared" si="18"/>
        <v>3.7259638525835306</v>
      </c>
      <c r="M128" s="45">
        <f t="shared" si="12"/>
        <v>3.6143486070787177E-2</v>
      </c>
    </row>
    <row r="129" spans="1:13" s="6" customFormat="1" ht="16.5" customHeight="1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13"/>
        <v>1844.3</v>
      </c>
      <c r="G129" s="70">
        <f t="shared" si="14"/>
        <v>1.5886216000769376E-2</v>
      </c>
      <c r="H129" s="316">
        <f t="shared" si="15"/>
        <v>36.047889313825813</v>
      </c>
      <c r="I129" s="96">
        <f t="shared" si="16"/>
        <v>13.254808900693753</v>
      </c>
      <c r="J129" s="316">
        <v>14.278461071364143</v>
      </c>
      <c r="K129" s="37">
        <f t="shared" si="17"/>
        <v>3.0782720744690821</v>
      </c>
      <c r="L129" s="37">
        <f t="shared" si="18"/>
        <v>3.7524136587778112</v>
      </c>
      <c r="M129" s="45">
        <f t="shared" si="12"/>
        <v>3.6143486070787177E-2</v>
      </c>
    </row>
    <row r="130" spans="1:13" s="6" customFormat="1" ht="16.5" customHeight="1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13"/>
        <v>193.76</v>
      </c>
      <c r="G130" s="70">
        <f t="shared" si="14"/>
        <v>1.6689872647123972E-3</v>
      </c>
      <c r="H130" s="316">
        <f t="shared" si="15"/>
        <v>3.7871490719768421</v>
      </c>
      <c r="I130" s="96">
        <f t="shared" si="16"/>
        <v>1.392534713765885</v>
      </c>
      <c r="J130" s="316">
        <v>1.5000784130496752</v>
      </c>
      <c r="K130" s="37">
        <f t="shared" si="17"/>
        <v>0.32339966228332123</v>
      </c>
      <c r="L130" s="37">
        <f t="shared" si="18"/>
        <v>0.39422418832336859</v>
      </c>
      <c r="M130" s="45">
        <f t="shared" si="12"/>
        <v>3.6143486070787177E-2</v>
      </c>
    </row>
    <row r="131" spans="1:13" s="6" customFormat="1" ht="16.5" customHeight="1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13"/>
        <v>1841.4</v>
      </c>
      <c r="G131" s="70">
        <f t="shared" si="14"/>
        <v>1.5861236319371433E-2</v>
      </c>
      <c r="H131" s="316">
        <f t="shared" si="15"/>
        <v>35.991207169375301</v>
      </c>
      <c r="I131" s="96">
        <f t="shared" si="16"/>
        <v>13.233966876179299</v>
      </c>
      <c r="J131" s="316">
        <v>14.256009443588315</v>
      </c>
      <c r="K131" s="37">
        <f t="shared" si="17"/>
        <v>3.0734317616046027</v>
      </c>
      <c r="L131" s="37">
        <f t="shared" si="18"/>
        <v>3.746513317396011</v>
      </c>
      <c r="M131" s="45">
        <f t="shared" si="12"/>
        <v>3.6143486070787177E-2</v>
      </c>
    </row>
    <row r="132" spans="1:13" s="6" customFormat="1" ht="16.5" customHeight="1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13"/>
        <v>262.3</v>
      </c>
      <c r="G132" s="70">
        <f t="shared" si="14"/>
        <v>2.2593691140279822E-3</v>
      </c>
      <c r="H132" s="316">
        <f t="shared" si="15"/>
        <v>5.1268022377143154</v>
      </c>
      <c r="I132" s="96">
        <f t="shared" si="16"/>
        <v>1.8851251828075539</v>
      </c>
      <c r="J132" s="316">
        <v>2.0307110226204057</v>
      </c>
      <c r="K132" s="37">
        <f t="shared" si="17"/>
        <v>0.43779795322520215</v>
      </c>
      <c r="L132" s="37">
        <f t="shared" si="18"/>
        <v>0.5336757049815215</v>
      </c>
      <c r="M132" s="45">
        <f t="shared" si="12"/>
        <v>3.6143486070787177E-2</v>
      </c>
    </row>
    <row r="133" spans="1:13" s="6" customFormat="1" ht="16.5" customHeight="1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13"/>
        <v>94.7</v>
      </c>
      <c r="G133" s="70">
        <f t="shared" si="14"/>
        <v>8.1571580289153608E-4</v>
      </c>
      <c r="H133" s="316">
        <f t="shared" si="15"/>
        <v>1.8509651998152714</v>
      </c>
      <c r="I133" s="96">
        <f t="shared" si="16"/>
        <v>0.68059990397207537</v>
      </c>
      <c r="J133" s="316">
        <v>0.73316177598990639</v>
      </c>
      <c r="K133" s="37">
        <f t="shared" si="17"/>
        <v>0.15806125112629296</v>
      </c>
      <c r="L133" s="37">
        <f t="shared" si="18"/>
        <v>0.19267666512295115</v>
      </c>
      <c r="M133" s="45">
        <f t="shared" si="12"/>
        <v>3.6143486070787184E-2</v>
      </c>
    </row>
    <row r="134" spans="1:13" s="6" customFormat="1" ht="16.5" customHeight="1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13"/>
        <v>38</v>
      </c>
      <c r="G134" s="70">
        <f t="shared" si="14"/>
        <v>3.2731996314549491E-4</v>
      </c>
      <c r="H134" s="316">
        <f t="shared" si="15"/>
        <v>0.74273154797233687</v>
      </c>
      <c r="I134" s="96">
        <f t="shared" si="16"/>
        <v>0.27310239018942828</v>
      </c>
      <c r="J134" s="316">
        <v>0.29419374326944497</v>
      </c>
      <c r="K134" s="37">
        <f t="shared" si="17"/>
        <v>6.3424789258702555E-2</v>
      </c>
      <c r="L134" s="37">
        <f t="shared" si="18"/>
        <v>7.7314818106358416E-2</v>
      </c>
      <c r="M134" s="45">
        <f t="shared" si="12"/>
        <v>3.6143486070787177E-2</v>
      </c>
    </row>
    <row r="135" spans="1:13" s="6" customFormat="1" ht="16.5" customHeight="1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13"/>
        <v>1812.3999999999999</v>
      </c>
      <c r="G135" s="70">
        <f t="shared" si="14"/>
        <v>1.5611439505391973E-2</v>
      </c>
      <c r="H135" s="316">
        <f t="shared" si="15"/>
        <v>35.424385724870092</v>
      </c>
      <c r="I135" s="96">
        <f t="shared" si="16"/>
        <v>13.025546631034734</v>
      </c>
      <c r="J135" s="316">
        <v>14.031493165830053</v>
      </c>
      <c r="K135" s="37">
        <f t="shared" si="17"/>
        <v>3.0250286329598026</v>
      </c>
      <c r="L135" s="37">
        <f t="shared" si="18"/>
        <v>3.6875099035779995</v>
      </c>
      <c r="M135" s="45">
        <f t="shared" ref="M135:M198" si="19">(K135+J135+I135+H135)/C135</f>
        <v>3.8816339271565942E-2</v>
      </c>
    </row>
    <row r="136" spans="1:13" s="6" customFormat="1" ht="16.5" customHeight="1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13"/>
        <v>155.80000000000001</v>
      </c>
      <c r="G136" s="70">
        <f t="shared" si="14"/>
        <v>1.3420118488965294E-3</v>
      </c>
      <c r="H136" s="316">
        <f t="shared" si="15"/>
        <v>3.0451993466865819</v>
      </c>
      <c r="I136" s="96">
        <f t="shared" si="16"/>
        <v>1.1197197997766561</v>
      </c>
      <c r="J136" s="316">
        <v>1.2061943474047245</v>
      </c>
      <c r="K136" s="37">
        <f t="shared" si="17"/>
        <v>0.26004163596068053</v>
      </c>
      <c r="L136" s="37">
        <f t="shared" si="18"/>
        <v>0.31699075423606959</v>
      </c>
      <c r="M136" s="45">
        <f t="shared" si="19"/>
        <v>3.6143486070787184E-2</v>
      </c>
    </row>
    <row r="137" spans="1:13" s="6" customFormat="1" ht="16.5" customHeight="1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13"/>
        <v>378.1</v>
      </c>
      <c r="G137" s="70">
        <f t="shared" si="14"/>
        <v>3.2568336332976745E-3</v>
      </c>
      <c r="H137" s="316">
        <f t="shared" si="15"/>
        <v>7.3901789023247524</v>
      </c>
      <c r="I137" s="96">
        <f t="shared" si="16"/>
        <v>2.7173687823848116</v>
      </c>
      <c r="J137" s="316">
        <v>2.9272277455309781</v>
      </c>
      <c r="K137" s="37">
        <f t="shared" si="17"/>
        <v>0.63107665312409045</v>
      </c>
      <c r="L137" s="37">
        <f t="shared" si="18"/>
        <v>0.7692824401582663</v>
      </c>
      <c r="M137" s="45">
        <f t="shared" si="19"/>
        <v>3.6143486070787177E-2</v>
      </c>
    </row>
    <row r="138" spans="1:13" s="6" customFormat="1" ht="16.5" customHeight="1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13"/>
        <v>120.9</v>
      </c>
      <c r="G138" s="70">
        <f t="shared" si="14"/>
        <v>1.0413943037971142E-3</v>
      </c>
      <c r="H138" s="316">
        <f t="shared" si="15"/>
        <v>2.3630590565751457</v>
      </c>
      <c r="I138" s="96">
        <f t="shared" si="16"/>
        <v>0.86889681510268113</v>
      </c>
      <c r="J138" s="316">
        <v>0.93600062003357642</v>
      </c>
      <c r="K138" s="37">
        <f t="shared" si="17"/>
        <v>0.20179097424676681</v>
      </c>
      <c r="L138" s="37">
        <f t="shared" si="18"/>
        <v>0.24598319760680876</v>
      </c>
      <c r="M138" s="45">
        <f t="shared" si="19"/>
        <v>3.6143486070787177E-2</v>
      </c>
    </row>
    <row r="139" spans="1:13" s="6" customFormat="1" ht="16.5" customHeight="1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13"/>
        <v>2549</v>
      </c>
      <c r="G139" s="70">
        <f t="shared" si="14"/>
        <v>2.1956278580470171E-2</v>
      </c>
      <c r="H139" s="316">
        <f t="shared" si="15"/>
        <v>49.82165041530228</v>
      </c>
      <c r="I139" s="96">
        <f t="shared" si="16"/>
        <v>18.31942085770665</v>
      </c>
      <c r="J139" s="316">
        <v>19.734206620889875</v>
      </c>
      <c r="K139" s="37">
        <f t="shared" si="17"/>
        <v>4.2544681005377054</v>
      </c>
      <c r="L139" s="37">
        <f t="shared" si="18"/>
        <v>5.1861966145554632</v>
      </c>
      <c r="M139" s="45">
        <f t="shared" si="19"/>
        <v>3.7470917962515365E-2</v>
      </c>
    </row>
    <row r="140" spans="1:13" s="6" customFormat="1" ht="16.5" customHeight="1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13"/>
        <v>2593.29</v>
      </c>
      <c r="G140" s="70">
        <f t="shared" si="14"/>
        <v>2.2337778611199486E-2</v>
      </c>
      <c r="H140" s="316">
        <f t="shared" si="15"/>
        <v>50.687323580031091</v>
      </c>
      <c r="I140" s="96">
        <f t="shared" si="16"/>
        <v>18.637728880377434</v>
      </c>
      <c r="J140" s="316">
        <v>20.077097170611026</v>
      </c>
      <c r="K140" s="37">
        <f t="shared" si="17"/>
        <v>4.328391361492125</v>
      </c>
      <c r="L140" s="37">
        <f t="shared" si="18"/>
        <v>5.2763090696589003</v>
      </c>
      <c r="M140" s="45">
        <f t="shared" si="19"/>
        <v>3.6143486070787177E-2</v>
      </c>
    </row>
    <row r="141" spans="1:13" s="6" customFormat="1" ht="16.5" customHeight="1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13"/>
        <v>385.82</v>
      </c>
      <c r="G141" s="70">
        <f t="shared" si="14"/>
        <v>3.3233312679156538E-3</v>
      </c>
      <c r="H141" s="316">
        <f t="shared" si="15"/>
        <v>7.5410706799654479</v>
      </c>
      <c r="I141" s="96">
        <f t="shared" si="16"/>
        <v>2.7728516890232955</v>
      </c>
      <c r="J141" s="316">
        <v>2.9869955270583493</v>
      </c>
      <c r="K141" s="37">
        <f t="shared" si="17"/>
        <v>0.6439618997840163</v>
      </c>
      <c r="L141" s="37">
        <f t="shared" si="18"/>
        <v>0.78498955583671592</v>
      </c>
      <c r="M141" s="45">
        <f t="shared" si="19"/>
        <v>4.2152469003781848E-2</v>
      </c>
    </row>
    <row r="142" spans="1:13" s="6" customFormat="1" ht="16.5" customHeight="1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13"/>
        <v>1699.75</v>
      </c>
      <c r="G142" s="70">
        <f t="shared" si="14"/>
        <v>1.4641108088330395E-2</v>
      </c>
      <c r="H142" s="316">
        <f t="shared" si="15"/>
        <v>33.222577596473151</v>
      </c>
      <c r="I142" s="96">
        <f t="shared" si="16"/>
        <v>12.215941782223178</v>
      </c>
      <c r="J142" s="316">
        <v>13.159363555848399</v>
      </c>
      <c r="K142" s="37">
        <f t="shared" si="17"/>
        <v>2.8370075142757809</v>
      </c>
      <c r="L142" s="37">
        <f t="shared" si="18"/>
        <v>3.4583121599021771</v>
      </c>
      <c r="M142" s="45">
        <f t="shared" si="19"/>
        <v>3.6143486070787184E-2</v>
      </c>
    </row>
    <row r="143" spans="1:13" s="6" customFormat="1" ht="16.5" customHeight="1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13"/>
        <v>224.06</v>
      </c>
      <c r="G143" s="70">
        <f t="shared" si="14"/>
        <v>1.9299818669047261E-3</v>
      </c>
      <c r="H143" s="316">
        <f t="shared" si="15"/>
        <v>4.3793797536495216</v>
      </c>
      <c r="I143" s="96">
        <f t="shared" si="16"/>
        <v>1.6102979354169291</v>
      </c>
      <c r="J143" s="316">
        <v>1.734659213603996</v>
      </c>
      <c r="K143" s="37">
        <f t="shared" si="17"/>
        <v>0.37397258635012881</v>
      </c>
      <c r="L143" s="37">
        <f t="shared" si="18"/>
        <v>0.45587258276080705</v>
      </c>
      <c r="M143" s="45">
        <f t="shared" si="19"/>
        <v>3.8297122335290715E-2</v>
      </c>
    </row>
    <row r="144" spans="1:13" s="6" customFormat="1" ht="16.5" customHeight="1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si="13"/>
        <v>138.9</v>
      </c>
      <c r="G144" s="70">
        <f t="shared" si="14"/>
        <v>1.1964406021291907E-3</v>
      </c>
      <c r="H144" s="316">
        <f t="shared" si="15"/>
        <v>2.7148792635094106</v>
      </c>
      <c r="I144" s="96">
        <f t="shared" si="16"/>
        <v>0.99826110519241029</v>
      </c>
      <c r="J144" s="316">
        <v>1.0753555510559449</v>
      </c>
      <c r="K144" s="37">
        <f t="shared" si="17"/>
        <v>0.23183429547457329</v>
      </c>
      <c r="L144" s="37">
        <f t="shared" si="18"/>
        <v>0.28260600618350484</v>
      </c>
      <c r="M144" s="45">
        <f t="shared" si="19"/>
        <v>3.6143486070787177E-2</v>
      </c>
    </row>
    <row r="145" spans="1:13" s="6" customFormat="1" ht="16.5" customHeight="1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si="13"/>
        <v>8410.83</v>
      </c>
      <c r="G145" s="70">
        <f t="shared" si="14"/>
        <v>7.2448225411132189E-2</v>
      </c>
      <c r="H145" s="316">
        <f t="shared" si="15"/>
        <v>164.39444172716239</v>
      </c>
      <c r="I145" s="96">
        <f t="shared" si="16"/>
        <v>60.447836223077616</v>
      </c>
      <c r="J145" s="316">
        <v>65.116146360603835</v>
      </c>
      <c r="K145" s="37">
        <f t="shared" si="17"/>
        <v>14.038292637915085</v>
      </c>
      <c r="L145" s="37">
        <f t="shared" si="18"/>
        <v>17.11267872561849</v>
      </c>
      <c r="M145" s="45">
        <f t="shared" si="19"/>
        <v>3.6986933610019541E-2</v>
      </c>
    </row>
    <row r="146" spans="1:13" s="6" customFormat="1" ht="16.5" customHeight="1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ref="F146:F208" si="20">C146+D146+E146</f>
        <v>953.56</v>
      </c>
      <c r="G146" s="70">
        <f t="shared" si="14"/>
        <v>8.2136637909741607E-3</v>
      </c>
      <c r="H146" s="316">
        <f t="shared" si="15"/>
        <v>18.637870918013199</v>
      </c>
      <c r="I146" s="96">
        <f t="shared" si="16"/>
        <v>6.8531451365534535</v>
      </c>
      <c r="J146" s="316">
        <v>7.3824048903161037</v>
      </c>
      <c r="K146" s="37">
        <f t="shared" si="17"/>
        <v>1.5915616327770632</v>
      </c>
      <c r="L146" s="37">
        <f t="shared" si="18"/>
        <v>1.9401136303552402</v>
      </c>
      <c r="M146" s="45">
        <f t="shared" si="19"/>
        <v>3.6143486070787184E-2</v>
      </c>
    </row>
    <row r="147" spans="1:13" s="6" customFormat="1" ht="16.5" customHeight="1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20"/>
        <v>1720.1</v>
      </c>
      <c r="G147" s="70">
        <f t="shared" si="14"/>
        <v>1.4816396542278048E-2</v>
      </c>
      <c r="H147" s="316">
        <f t="shared" si="15"/>
        <v>33.620329885979388</v>
      </c>
      <c r="I147" s="96">
        <f t="shared" si="16"/>
        <v>12.362195299074621</v>
      </c>
      <c r="J147" s="316">
        <v>13.316912047309797</v>
      </c>
      <c r="K147" s="37">
        <f t="shared" si="17"/>
        <v>2.8709731579972173</v>
      </c>
      <c r="L147" s="37">
        <f t="shared" si="18"/>
        <v>3.4997162795986081</v>
      </c>
      <c r="M147" s="45">
        <f t="shared" si="19"/>
        <v>3.7384492116873738E-2</v>
      </c>
    </row>
    <row r="148" spans="1:13" s="6" customFormat="1" ht="16.5" customHeight="1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20"/>
        <v>1033.02</v>
      </c>
      <c r="G148" s="70">
        <f t="shared" si="14"/>
        <v>8.8981070612778723E-3</v>
      </c>
      <c r="H148" s="316">
        <f t="shared" si="15"/>
        <v>20.19096167595746</v>
      </c>
      <c r="I148" s="96">
        <f t="shared" si="16"/>
        <v>7.4242166082495586</v>
      </c>
      <c r="J148" s="316">
        <v>7.9975794913737372</v>
      </c>
      <c r="K148" s="37">
        <f t="shared" si="17"/>
        <v>1.7241862052638135</v>
      </c>
      <c r="L148" s="37">
        <f t="shared" si="18"/>
        <v>2.1017829842165887</v>
      </c>
      <c r="M148" s="45">
        <f t="shared" si="19"/>
        <v>3.6143486070787177E-2</v>
      </c>
    </row>
    <row r="149" spans="1:13" s="6" customFormat="1" ht="16.5" customHeight="1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20"/>
        <v>220.38</v>
      </c>
      <c r="G149" s="70">
        <f t="shared" si="14"/>
        <v>1.8982835125790571E-3</v>
      </c>
      <c r="H149" s="316">
        <f t="shared" si="15"/>
        <v>4.3074520668985157</v>
      </c>
      <c r="I149" s="96">
        <f t="shared" si="16"/>
        <v>1.5838501249985844</v>
      </c>
      <c r="J149" s="316">
        <v>1.7061688721505337</v>
      </c>
      <c r="K149" s="37">
        <f t="shared" si="17"/>
        <v>0.3678303962324439</v>
      </c>
      <c r="L149" s="37">
        <f t="shared" si="18"/>
        <v>0.44838525300734916</v>
      </c>
      <c r="M149" s="45">
        <f t="shared" si="19"/>
        <v>3.6143486070787177E-2</v>
      </c>
    </row>
    <row r="150" spans="1:13" s="6" customFormat="1" ht="16.5" customHeight="1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20"/>
        <v>1973.5500000000002</v>
      </c>
      <c r="G150" s="70">
        <f t="shared" si="14"/>
        <v>1.6999534559626096E-2</v>
      </c>
      <c r="H150" s="316">
        <f t="shared" si="15"/>
        <v>38.574153855284365</v>
      </c>
      <c r="I150" s="96">
        <f t="shared" si="16"/>
        <v>14.183716372588062</v>
      </c>
      <c r="J150" s="316">
        <v>15.279106895510873</v>
      </c>
      <c r="K150" s="37">
        <f t="shared" si="17"/>
        <v>3.2939998116187486</v>
      </c>
      <c r="L150" s="37">
        <f t="shared" si="18"/>
        <v>4.0153857703632552</v>
      </c>
      <c r="M150" s="45">
        <f t="shared" si="19"/>
        <v>3.699451647174859E-2</v>
      </c>
    </row>
    <row r="151" spans="1:13" s="6" customFormat="1" ht="16.5" customHeight="1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20"/>
        <v>1290.5</v>
      </c>
      <c r="G151" s="70">
        <f t="shared" si="14"/>
        <v>1.1115958222085821E-2</v>
      </c>
      <c r="H151" s="316">
        <f t="shared" si="15"/>
        <v>25.223554280481601</v>
      </c>
      <c r="I151" s="96">
        <f t="shared" si="16"/>
        <v>9.2747009089330845</v>
      </c>
      <c r="J151" s="316">
        <v>9.990974360242598</v>
      </c>
      <c r="K151" s="37">
        <f t="shared" si="17"/>
        <v>2.1539392246935698</v>
      </c>
      <c r="L151" s="37">
        <f t="shared" si="18"/>
        <v>2.6256519149014617</v>
      </c>
      <c r="M151" s="45">
        <f t="shared" si="19"/>
        <v>4.1073589973891211E-2</v>
      </c>
    </row>
    <row r="152" spans="1:13" s="6" customFormat="1" ht="16.5" customHeight="1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20"/>
        <v>231.77</v>
      </c>
      <c r="G152" s="70">
        <f t="shared" si="14"/>
        <v>1.9963933646902992E-3</v>
      </c>
      <c r="H152" s="316">
        <f t="shared" si="15"/>
        <v>4.5300760756196992</v>
      </c>
      <c r="I152" s="96">
        <f t="shared" si="16"/>
        <v>1.6657089730053636</v>
      </c>
      <c r="J152" s="316">
        <v>1.7943495757252437</v>
      </c>
      <c r="K152" s="37">
        <f t="shared" si="17"/>
        <v>0.38684114227603927</v>
      </c>
      <c r="L152" s="37">
        <f t="shared" si="18"/>
        <v>0.47155935243449193</v>
      </c>
      <c r="M152" s="45">
        <f t="shared" si="19"/>
        <v>4.3098090068561731E-2</v>
      </c>
    </row>
    <row r="153" spans="1:13" s="6" customFormat="1" ht="16.5" customHeight="1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20"/>
        <v>1422.83</v>
      </c>
      <c r="G153" s="70">
        <f t="shared" si="14"/>
        <v>1.2255806925323803E-2</v>
      </c>
      <c r="H153" s="316">
        <f t="shared" si="15"/>
        <v>27.810019168460002</v>
      </c>
      <c r="I153" s="96">
        <f t="shared" si="16"/>
        <v>10.225744048242744</v>
      </c>
      <c r="J153" s="316">
        <v>11.015465361475378</v>
      </c>
      <c r="K153" s="37">
        <f t="shared" si="17"/>
        <v>2.3748077079199934</v>
      </c>
      <c r="L153" s="37">
        <f t="shared" si="18"/>
        <v>2.8948905959544722</v>
      </c>
      <c r="M153" s="45">
        <f t="shared" si="19"/>
        <v>3.6143486070787177E-2</v>
      </c>
    </row>
    <row r="154" spans="1:13" s="6" customFormat="1" ht="16.5" customHeight="1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20"/>
        <v>377.6</v>
      </c>
      <c r="G154" s="70">
        <f t="shared" si="14"/>
        <v>3.2525267916773391E-3</v>
      </c>
      <c r="H154" s="316">
        <f t="shared" si="15"/>
        <v>7.3804061187988008</v>
      </c>
      <c r="I154" s="96">
        <f t="shared" si="16"/>
        <v>2.7137753298823193</v>
      </c>
      <c r="J154" s="316">
        <v>2.9233567752248009</v>
      </c>
      <c r="K154" s="37">
        <f t="shared" si="17"/>
        <v>0.63024211642331807</v>
      </c>
      <c r="L154" s="37">
        <f t="shared" si="18"/>
        <v>0.76826513992002476</v>
      </c>
      <c r="M154" s="45">
        <f t="shared" si="19"/>
        <v>3.6143486070787177E-2</v>
      </c>
    </row>
    <row r="155" spans="1:13" s="6" customFormat="1" ht="16.5" customHeight="1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20"/>
        <v>1852.5099999999998</v>
      </c>
      <c r="G155" s="70">
        <f t="shared" si="14"/>
        <v>1.5956934340175283E-2</v>
      </c>
      <c r="H155" s="316">
        <f t="shared" si="15"/>
        <v>36.208358419321939</v>
      </c>
      <c r="I155" s="96">
        <f t="shared" si="16"/>
        <v>13.313813390784679</v>
      </c>
      <c r="J155" s="316">
        <v>14.342022403791566</v>
      </c>
      <c r="K155" s="37">
        <f t="shared" si="17"/>
        <v>3.0919751670957649</v>
      </c>
      <c r="L155" s="37">
        <f t="shared" si="18"/>
        <v>3.7691177286897375</v>
      </c>
      <c r="M155" s="45">
        <f t="shared" si="19"/>
        <v>4.3830669726562375E-2</v>
      </c>
    </row>
    <row r="156" spans="1:13" s="6" customFormat="1" ht="16.5" customHeight="1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20"/>
        <v>2010.19</v>
      </c>
      <c r="G156" s="70">
        <f t="shared" ref="G156:G219" si="21">2/232188.71*F156</f>
        <v>1.7315139913564277E-2</v>
      </c>
      <c r="H156" s="316">
        <f t="shared" ref="H156:H219" si="22">G156*2269.13</f>
        <v>39.290303432066111</v>
      </c>
      <c r="I156" s="96">
        <f t="shared" ref="I156:I219" si="23">H156*0.3677</f>
        <v>14.447044571970711</v>
      </c>
      <c r="J156" s="316">
        <v>15.562771599547515</v>
      </c>
      <c r="K156" s="37">
        <f t="shared" ref="K156:K181" si="24">G156*193.77</f>
        <v>3.3551546610513499</v>
      </c>
      <c r="L156" s="37">
        <f t="shared" ref="L156:L219" si="25">K156*1.219</f>
        <v>4.0899335318215959</v>
      </c>
      <c r="M156" s="45">
        <f t="shared" si="19"/>
        <v>3.6143486070787184E-2</v>
      </c>
    </row>
    <row r="157" spans="1:13" s="6" customFormat="1" ht="16.5" customHeight="1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20"/>
        <v>1464.32</v>
      </c>
      <c r="G157" s="70">
        <f t="shared" si="21"/>
        <v>1.261318864297924E-2</v>
      </c>
      <c r="H157" s="316">
        <f t="shared" si="22"/>
        <v>28.620964745443484</v>
      </c>
      <c r="I157" s="96">
        <f t="shared" si="23"/>
        <v>10.52392873689957</v>
      </c>
      <c r="J157" s="316">
        <v>11.336678477481939</v>
      </c>
      <c r="K157" s="37">
        <f t="shared" si="24"/>
        <v>2.4440575633500874</v>
      </c>
      <c r="L157" s="37">
        <f t="shared" si="25"/>
        <v>2.9793061697237566</v>
      </c>
      <c r="M157" s="45">
        <f t="shared" si="19"/>
        <v>3.6143486070787177E-2</v>
      </c>
    </row>
    <row r="158" spans="1:13" s="6" customFormat="1" ht="16.5" customHeight="1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20"/>
        <v>152.11000000000001</v>
      </c>
      <c r="G158" s="70">
        <f t="shared" si="21"/>
        <v>1.3102273577384536E-3</v>
      </c>
      <c r="H158" s="316">
        <f t="shared" si="22"/>
        <v>2.9730762042650576</v>
      </c>
      <c r="I158" s="96">
        <f t="shared" si="23"/>
        <v>1.0932001203082617</v>
      </c>
      <c r="J158" s="316">
        <v>1.177626586545139</v>
      </c>
      <c r="K158" s="37">
        <f t="shared" si="24"/>
        <v>0.25388275510898017</v>
      </c>
      <c r="L158" s="37">
        <f t="shared" si="25"/>
        <v>0.30948307847784684</v>
      </c>
      <c r="M158" s="45">
        <f t="shared" si="19"/>
        <v>3.6143486070787177E-2</v>
      </c>
    </row>
    <row r="159" spans="1:13" s="6" customFormat="1" ht="16.5" customHeight="1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20"/>
        <v>2553.5700000000002</v>
      </c>
      <c r="G159" s="70">
        <f t="shared" si="21"/>
        <v>2.1995643112880041E-2</v>
      </c>
      <c r="H159" s="316">
        <f t="shared" si="22"/>
        <v>49.910973656729489</v>
      </c>
      <c r="I159" s="96">
        <f t="shared" si="23"/>
        <v>18.352265013579434</v>
      </c>
      <c r="J159" s="316">
        <v>19.769587289488332</v>
      </c>
      <c r="K159" s="37">
        <f t="shared" si="24"/>
        <v>4.2620957659827656</v>
      </c>
      <c r="L159" s="37">
        <f t="shared" si="25"/>
        <v>5.1954947387329913</v>
      </c>
      <c r="M159" s="45">
        <f t="shared" si="19"/>
        <v>3.6143486070787184E-2</v>
      </c>
    </row>
    <row r="160" spans="1:13" s="6" customFormat="1" ht="16.5" customHeight="1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20"/>
        <v>101.99</v>
      </c>
      <c r="G160" s="70">
        <f t="shared" si="21"/>
        <v>8.78509553716027E-4</v>
      </c>
      <c r="H160" s="316">
        <f t="shared" si="22"/>
        <v>1.9934523836236484</v>
      </c>
      <c r="I160" s="96">
        <f t="shared" si="23"/>
        <v>0.73299244145841558</v>
      </c>
      <c r="J160" s="316">
        <v>0.78960052305396555</v>
      </c>
      <c r="K160" s="37">
        <f t="shared" si="24"/>
        <v>0.17022879622355455</v>
      </c>
      <c r="L160" s="37">
        <f t="shared" si="25"/>
        <v>0.207508902596513</v>
      </c>
      <c r="M160" s="45">
        <f t="shared" si="19"/>
        <v>6.5025121615092329E-2</v>
      </c>
    </row>
    <row r="161" spans="1:13" s="6" customFormat="1" ht="16.5" customHeight="1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20"/>
        <v>166.1</v>
      </c>
      <c r="G161" s="70">
        <f t="shared" si="21"/>
        <v>1.4307327862754396E-3</v>
      </c>
      <c r="H161" s="316">
        <f t="shared" si="22"/>
        <v>3.2465186873211884</v>
      </c>
      <c r="I161" s="96">
        <f t="shared" si="23"/>
        <v>1.1937449213280011</v>
      </c>
      <c r="J161" s="316">
        <v>1.2859363357119686</v>
      </c>
      <c r="K161" s="37">
        <f t="shared" si="24"/>
        <v>0.27723309199659196</v>
      </c>
      <c r="L161" s="37">
        <f t="shared" si="25"/>
        <v>0.33794713914384561</v>
      </c>
      <c r="M161" s="45">
        <f t="shared" si="19"/>
        <v>3.6143486070787177E-2</v>
      </c>
    </row>
    <row r="162" spans="1:13" s="6" customFormat="1" ht="16.5" customHeight="1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20"/>
        <v>315.39999999999998</v>
      </c>
      <c r="G162" s="70">
        <f t="shared" si="21"/>
        <v>2.7167556941076077E-3</v>
      </c>
      <c r="H162" s="316">
        <f t="shared" si="22"/>
        <v>6.1646718481703964</v>
      </c>
      <c r="I162" s="96">
        <f t="shared" si="23"/>
        <v>2.2667498385722551</v>
      </c>
      <c r="J162" s="316">
        <v>2.441808069136393</v>
      </c>
      <c r="K162" s="37">
        <f t="shared" si="24"/>
        <v>0.5264257508472312</v>
      </c>
      <c r="L162" s="37">
        <f t="shared" si="25"/>
        <v>0.64171299028277484</v>
      </c>
      <c r="M162" s="45">
        <f t="shared" si="19"/>
        <v>3.6143486070787184E-2</v>
      </c>
    </row>
    <row r="163" spans="1:13" s="6" customFormat="1" ht="16.5" customHeight="1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20"/>
        <v>1497.91</v>
      </c>
      <c r="G163" s="70">
        <f t="shared" si="21"/>
        <v>1.2902522263033378E-2</v>
      </c>
      <c r="H163" s="316">
        <f t="shared" si="22"/>
        <v>29.27750034271693</v>
      </c>
      <c r="I163" s="96">
        <f t="shared" si="23"/>
        <v>10.765336876017017</v>
      </c>
      <c r="J163" s="316">
        <v>11.596730262650905</v>
      </c>
      <c r="K163" s="37">
        <f t="shared" si="24"/>
        <v>2.5001217389079775</v>
      </c>
      <c r="L163" s="37">
        <f t="shared" si="25"/>
        <v>3.0476483997288248</v>
      </c>
      <c r="M163" s="45">
        <f t="shared" si="19"/>
        <v>3.9665391286086871E-2</v>
      </c>
    </row>
    <row r="164" spans="1:13" s="6" customFormat="1" ht="16.5" customHeight="1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20"/>
        <v>165.93</v>
      </c>
      <c r="G164" s="70">
        <f t="shared" si="21"/>
        <v>1.4292684601245258E-3</v>
      </c>
      <c r="H164" s="316">
        <f t="shared" si="22"/>
        <v>3.2431959409223654</v>
      </c>
      <c r="I164" s="96">
        <f t="shared" si="23"/>
        <v>1.1925231474771538</v>
      </c>
      <c r="J164" s="316">
        <v>1.2846202058078686</v>
      </c>
      <c r="K164" s="37">
        <f t="shared" si="24"/>
        <v>0.27694934951832939</v>
      </c>
      <c r="L164" s="37">
        <f t="shared" si="25"/>
        <v>0.33760125706284355</v>
      </c>
      <c r="M164" s="45">
        <f t="shared" si="19"/>
        <v>3.6143486070787184E-2</v>
      </c>
    </row>
    <row r="165" spans="1:13" s="6" customFormat="1" ht="16.5" customHeight="1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20"/>
        <v>977.29000000000008</v>
      </c>
      <c r="G165" s="70">
        <f t="shared" si="21"/>
        <v>8.418066494275284E-3</v>
      </c>
      <c r="H165" s="316">
        <f t="shared" si="22"/>
        <v>19.101687224154876</v>
      </c>
      <c r="I165" s="96">
        <f t="shared" si="23"/>
        <v>7.0236903923217486</v>
      </c>
      <c r="J165" s="316">
        <v>7.5661211410472609</v>
      </c>
      <c r="K165" s="37">
        <f t="shared" si="24"/>
        <v>1.6311687445957219</v>
      </c>
      <c r="L165" s="37">
        <f t="shared" si="25"/>
        <v>1.9883946996621851</v>
      </c>
      <c r="M165" s="45">
        <f t="shared" si="19"/>
        <v>4.5101019550964142E-2</v>
      </c>
    </row>
    <row r="166" spans="1:13" s="6" customFormat="1" ht="16.5" customHeight="1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20"/>
        <v>144.9</v>
      </c>
      <c r="G166" s="70">
        <f t="shared" si="21"/>
        <v>1.2481227015732161E-3</v>
      </c>
      <c r="H166" s="316">
        <f t="shared" si="22"/>
        <v>2.832152665820832</v>
      </c>
      <c r="I166" s="96">
        <f t="shared" si="23"/>
        <v>1.04138253522232</v>
      </c>
      <c r="J166" s="316">
        <v>1.1218071947300678</v>
      </c>
      <c r="K166" s="37">
        <f t="shared" si="24"/>
        <v>0.24184873588384209</v>
      </c>
      <c r="L166" s="37">
        <f t="shared" si="25"/>
        <v>0.29481360904240356</v>
      </c>
      <c r="M166" s="45">
        <f t="shared" si="19"/>
        <v>3.6143486070787177E-2</v>
      </c>
    </row>
    <row r="167" spans="1:13" s="6" customFormat="1" ht="16.5" customHeight="1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20"/>
        <v>231.9</v>
      </c>
      <c r="G167" s="70">
        <f t="shared" si="21"/>
        <v>1.9975131435115861E-3</v>
      </c>
      <c r="H167" s="316">
        <f t="shared" si="22"/>
        <v>4.5326169993364456</v>
      </c>
      <c r="I167" s="96">
        <f t="shared" si="23"/>
        <v>1.6666432706560113</v>
      </c>
      <c r="J167" s="316">
        <v>1.7953560280048499</v>
      </c>
      <c r="K167" s="37">
        <f t="shared" si="24"/>
        <v>0.38705812181824006</v>
      </c>
      <c r="L167" s="37">
        <f t="shared" si="25"/>
        <v>0.47182385049643466</v>
      </c>
      <c r="M167" s="45">
        <f t="shared" si="19"/>
        <v>3.9276824835124395E-2</v>
      </c>
    </row>
    <row r="168" spans="1:13" s="6" customFormat="1" ht="16.5" customHeight="1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20"/>
        <v>3146.6</v>
      </c>
      <c r="G168" s="70">
        <f t="shared" si="21"/>
        <v>2.7103815685095112E-2</v>
      </c>
      <c r="H168" s="316">
        <f t="shared" si="22"/>
        <v>61.502081285519878</v>
      </c>
      <c r="I168" s="96">
        <f t="shared" si="23"/>
        <v>22.61431528868566</v>
      </c>
      <c r="J168" s="316">
        <v>24.360790330832515</v>
      </c>
      <c r="K168" s="37">
        <f t="shared" si="24"/>
        <v>5.2519063653008802</v>
      </c>
      <c r="L168" s="37">
        <f t="shared" si="25"/>
        <v>6.4020738593017734</v>
      </c>
      <c r="M168" s="45">
        <f t="shared" si="19"/>
        <v>3.6143486070787177E-2</v>
      </c>
    </row>
    <row r="169" spans="1:13" s="6" customFormat="1" ht="16.5" customHeight="1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20"/>
        <v>848.35</v>
      </c>
      <c r="G169" s="70">
        <f t="shared" si="21"/>
        <v>7.3074181772231741E-3</v>
      </c>
      <c r="H169" s="316">
        <f t="shared" si="22"/>
        <v>16.581481808482422</v>
      </c>
      <c r="I169" s="96">
        <f t="shared" si="23"/>
        <v>6.0970108609789868</v>
      </c>
      <c r="J169" s="316">
        <v>6.5678753184903593</v>
      </c>
      <c r="K169" s="37">
        <f t="shared" si="24"/>
        <v>1.4159584202005344</v>
      </c>
      <c r="L169" s="37">
        <f t="shared" si="25"/>
        <v>1.7260533142244516</v>
      </c>
      <c r="M169" s="45">
        <f t="shared" si="19"/>
        <v>3.6143486070787177E-2</v>
      </c>
    </row>
    <row r="170" spans="1:13" s="6" customFormat="1" ht="16.5" customHeight="1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20"/>
        <v>885.4</v>
      </c>
      <c r="G170" s="70">
        <f t="shared" si="21"/>
        <v>7.6265551412900319E-3</v>
      </c>
      <c r="H170" s="316">
        <f t="shared" si="22"/>
        <v>17.305645067755449</v>
      </c>
      <c r="I170" s="96">
        <f t="shared" si="23"/>
        <v>6.3632856914136795</v>
      </c>
      <c r="J170" s="316">
        <v>6.854714218178068</v>
      </c>
      <c r="K170" s="37">
        <f t="shared" si="24"/>
        <v>1.4777975897277695</v>
      </c>
      <c r="L170" s="37">
        <f t="shared" si="25"/>
        <v>1.8014352618781513</v>
      </c>
      <c r="M170" s="45">
        <f t="shared" si="19"/>
        <v>3.6143486070787177E-2</v>
      </c>
    </row>
    <row r="171" spans="1:13" s="6" customFormat="1" ht="16.5" customHeight="1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20"/>
        <v>877.79</v>
      </c>
      <c r="G171" s="70">
        <f t="shared" si="21"/>
        <v>7.561005011828526E-3</v>
      </c>
      <c r="H171" s="316">
        <f t="shared" si="22"/>
        <v>17.156903302490463</v>
      </c>
      <c r="I171" s="96">
        <f t="shared" si="23"/>
        <v>6.308593344325744</v>
      </c>
      <c r="J171" s="316">
        <v>6.795798050118055</v>
      </c>
      <c r="K171" s="37">
        <f t="shared" si="24"/>
        <v>1.4650959411420135</v>
      </c>
      <c r="L171" s="37">
        <f t="shared" si="25"/>
        <v>1.7859519522521146</v>
      </c>
      <c r="M171" s="45">
        <f t="shared" si="19"/>
        <v>3.6143486070787177E-2</v>
      </c>
    </row>
    <row r="172" spans="1:13" s="6" customFormat="1" ht="16.5" customHeight="1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20"/>
        <v>949.9</v>
      </c>
      <c r="G172" s="70">
        <f t="shared" si="21"/>
        <v>8.1821377103133055E-3</v>
      </c>
      <c r="H172" s="316">
        <f t="shared" si="22"/>
        <v>18.566334142603232</v>
      </c>
      <c r="I172" s="96">
        <f t="shared" si="23"/>
        <v>6.8268410642352091</v>
      </c>
      <c r="J172" s="316">
        <v>7.3540693876748895</v>
      </c>
      <c r="K172" s="37">
        <f t="shared" si="24"/>
        <v>1.5854528241274093</v>
      </c>
      <c r="L172" s="37">
        <f t="shared" si="25"/>
        <v>1.932666992611312</v>
      </c>
      <c r="M172" s="45">
        <f t="shared" si="19"/>
        <v>3.741575568727195E-2</v>
      </c>
    </row>
    <row r="173" spans="1:13" s="6" customFormat="1" ht="16.5" customHeight="1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20"/>
        <v>1056</v>
      </c>
      <c r="G173" s="70">
        <f t="shared" si="21"/>
        <v>9.0960495021484913E-3</v>
      </c>
      <c r="H173" s="316">
        <f t="shared" si="22"/>
        <v>20.640118806810207</v>
      </c>
      <c r="I173" s="96">
        <f t="shared" si="23"/>
        <v>7.5893716852641138</v>
      </c>
      <c r="J173" s="316">
        <v>8.1754892866456288</v>
      </c>
      <c r="K173" s="37">
        <f t="shared" si="24"/>
        <v>1.7625415120313133</v>
      </c>
      <c r="L173" s="37">
        <f t="shared" si="25"/>
        <v>2.148538103166171</v>
      </c>
      <c r="M173" s="45">
        <f t="shared" si="19"/>
        <v>3.7485289030398022E-2</v>
      </c>
    </row>
    <row r="174" spans="1:13" s="6" customFormat="1" ht="16.5" customHeight="1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20"/>
        <v>998.3</v>
      </c>
      <c r="G174" s="70">
        <f t="shared" si="21"/>
        <v>8.5990399791617787E-3</v>
      </c>
      <c r="H174" s="316">
        <f t="shared" si="22"/>
        <v>19.512339587915367</v>
      </c>
      <c r="I174" s="96">
        <f t="shared" si="23"/>
        <v>7.1746872664764814</v>
      </c>
      <c r="J174" s="316">
        <v>7.7287793133128142</v>
      </c>
      <c r="K174" s="37">
        <f t="shared" si="24"/>
        <v>1.6662359767621779</v>
      </c>
      <c r="L174" s="37">
        <f t="shared" si="25"/>
        <v>2.0311416556730952</v>
      </c>
      <c r="M174" s="45">
        <f t="shared" si="19"/>
        <v>4.3062468247364649E-2</v>
      </c>
    </row>
    <row r="175" spans="1:13" s="6" customFormat="1" ht="16.5" customHeight="1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20"/>
        <v>304</v>
      </c>
      <c r="G175" s="70">
        <f t="shared" si="21"/>
        <v>2.6185597051639592E-3</v>
      </c>
      <c r="H175" s="316">
        <f t="shared" si="22"/>
        <v>5.941852383778695</v>
      </c>
      <c r="I175" s="96">
        <f t="shared" si="23"/>
        <v>2.1848191215154262</v>
      </c>
      <c r="J175" s="316">
        <v>2.3535499461555598</v>
      </c>
      <c r="K175" s="37">
        <f t="shared" si="24"/>
        <v>0.50739831406962044</v>
      </c>
      <c r="L175" s="37">
        <f t="shared" si="25"/>
        <v>0.61851854485086732</v>
      </c>
      <c r="M175" s="45">
        <f t="shared" si="19"/>
        <v>3.6143486070787177E-2</v>
      </c>
    </row>
    <row r="176" spans="1:13" s="6" customFormat="1" ht="16.5" customHeight="1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20"/>
        <v>1347.46</v>
      </c>
      <c r="G176" s="70">
        <f t="shared" si="21"/>
        <v>1.1606593619474437E-2</v>
      </c>
      <c r="H176" s="316">
        <f t="shared" si="22"/>
        <v>26.336869779758032</v>
      </c>
      <c r="I176" s="96">
        <f t="shared" si="23"/>
        <v>9.6840670180170285</v>
      </c>
      <c r="J176" s="316">
        <v>10.431955297522272</v>
      </c>
      <c r="K176" s="37">
        <f t="shared" si="24"/>
        <v>2.2490096456455619</v>
      </c>
      <c r="L176" s="37">
        <f t="shared" si="25"/>
        <v>2.7415427580419403</v>
      </c>
      <c r="M176" s="45">
        <f t="shared" si="19"/>
        <v>3.8282843149401717E-2</v>
      </c>
    </row>
    <row r="177" spans="1:13" s="6" customFormat="1" ht="16.5" customHeight="1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20"/>
        <v>930.9</v>
      </c>
      <c r="G177" s="70">
        <f t="shared" si="21"/>
        <v>8.0184777287405588E-3</v>
      </c>
      <c r="H177" s="316">
        <f t="shared" si="22"/>
        <v>18.194968368617065</v>
      </c>
      <c r="I177" s="96">
        <f t="shared" si="23"/>
        <v>6.6902898691404955</v>
      </c>
      <c r="J177" s="316">
        <v>7.2069725160401665</v>
      </c>
      <c r="K177" s="37">
        <f t="shared" si="24"/>
        <v>1.5537404294980581</v>
      </c>
      <c r="L177" s="37">
        <f t="shared" si="25"/>
        <v>1.894009583558133</v>
      </c>
      <c r="M177" s="45">
        <f t="shared" si="19"/>
        <v>3.6143486070787177E-2</v>
      </c>
    </row>
    <row r="178" spans="1:13" s="6" customFormat="1" ht="16.5" customHeight="1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20"/>
        <v>791.4</v>
      </c>
      <c r="G178" s="70">
        <f t="shared" si="21"/>
        <v>6.8168689166669648E-3</v>
      </c>
      <c r="H178" s="316">
        <f t="shared" si="22"/>
        <v>15.46836176487651</v>
      </c>
      <c r="I178" s="96">
        <f t="shared" si="23"/>
        <v>5.6877166209450936</v>
      </c>
      <c r="J178" s="316">
        <v>6.1269718006168095</v>
      </c>
      <c r="K178" s="37">
        <f t="shared" si="24"/>
        <v>1.3209046899825578</v>
      </c>
      <c r="L178" s="37">
        <f t="shared" si="25"/>
        <v>1.610182817088738</v>
      </c>
      <c r="M178" s="45">
        <f t="shared" si="19"/>
        <v>3.6143486070787177E-2</v>
      </c>
    </row>
    <row r="179" spans="1:13" s="6" customFormat="1" ht="16.5" customHeight="1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20"/>
        <v>574.42999999999995</v>
      </c>
      <c r="G179" s="70">
        <f t="shared" si="21"/>
        <v>4.9479580639385954E-3</v>
      </c>
      <c r="H179" s="316">
        <f t="shared" si="22"/>
        <v>11.227560081624986</v>
      </c>
      <c r="I179" s="96">
        <f t="shared" si="23"/>
        <v>4.1283738420135077</v>
      </c>
      <c r="J179" s="316">
        <v>4.4472029459544018</v>
      </c>
      <c r="K179" s="37">
        <f t="shared" si="24"/>
        <v>0.95876583404938165</v>
      </c>
      <c r="L179" s="37">
        <f t="shared" si="25"/>
        <v>1.1687355517061964</v>
      </c>
      <c r="M179" s="45">
        <f t="shared" si="19"/>
        <v>3.6143486070787177E-2</v>
      </c>
    </row>
    <row r="180" spans="1:13" s="6" customFormat="1" ht="16.5" customHeight="1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20"/>
        <v>326.89999999999998</v>
      </c>
      <c r="G180" s="70">
        <f t="shared" si="21"/>
        <v>2.8158130513753232E-3</v>
      </c>
      <c r="H180" s="316">
        <f t="shared" si="22"/>
        <v>6.3894458692672877</v>
      </c>
      <c r="I180" s="96">
        <f t="shared" si="23"/>
        <v>2.3493992461295821</v>
      </c>
      <c r="J180" s="316">
        <v>2.5308403861784621</v>
      </c>
      <c r="K180" s="37">
        <f t="shared" si="24"/>
        <v>0.54562009496499642</v>
      </c>
      <c r="L180" s="37">
        <f t="shared" si="25"/>
        <v>0.66511089576233062</v>
      </c>
      <c r="M180" s="45">
        <f t="shared" si="19"/>
        <v>3.6143486070787184E-2</v>
      </c>
    </row>
    <row r="181" spans="1:13" s="6" customFormat="1" ht="16.5" customHeight="1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20"/>
        <v>323.60000000000002</v>
      </c>
      <c r="G181" s="70">
        <f t="shared" si="21"/>
        <v>2.7873878966811097E-3</v>
      </c>
      <c r="H181" s="316">
        <f t="shared" si="22"/>
        <v>6.3249454979960067</v>
      </c>
      <c r="I181" s="96">
        <f t="shared" si="23"/>
        <v>2.325682459613132</v>
      </c>
      <c r="J181" s="316">
        <v>2.5052919821576949</v>
      </c>
      <c r="K181" s="37">
        <f t="shared" si="24"/>
        <v>0.54011215273989865</v>
      </c>
      <c r="L181" s="37">
        <f t="shared" si="25"/>
        <v>0.6583967141899365</v>
      </c>
      <c r="M181" s="45">
        <f t="shared" si="19"/>
        <v>3.6143486070787177E-2</v>
      </c>
    </row>
    <row r="182" spans="1:13" s="6" customFormat="1" ht="16.5" customHeight="1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20"/>
        <v>483.2</v>
      </c>
      <c r="G182" s="70">
        <f t="shared" si="21"/>
        <v>4.1621317418921878E-3</v>
      </c>
      <c r="H182" s="316">
        <f t="shared" si="22"/>
        <v>9.4444179994798212</v>
      </c>
      <c r="I182" s="96">
        <f t="shared" si="23"/>
        <v>3.4727124984087303</v>
      </c>
      <c r="J182" s="316">
        <v>3.7409057038893634</v>
      </c>
      <c r="K182" s="37">
        <f t="shared" ref="K182:K219" si="26">G182*193.77</f>
        <v>0.80649626762644921</v>
      </c>
      <c r="L182" s="37">
        <f t="shared" si="25"/>
        <v>0.98311895023664164</v>
      </c>
      <c r="M182" s="45">
        <f t="shared" si="19"/>
        <v>3.6143486070787177E-2</v>
      </c>
    </row>
    <row r="183" spans="1:13" s="6" customFormat="1" ht="16.5" customHeight="1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20"/>
        <v>408.2</v>
      </c>
      <c r="G183" s="70">
        <f t="shared" si="21"/>
        <v>3.5161054988418691E-3</v>
      </c>
      <c r="H183" s="316">
        <f t="shared" si="22"/>
        <v>7.9785004705870506</v>
      </c>
      <c r="I183" s="96">
        <f t="shared" si="23"/>
        <v>2.9336946230348588</v>
      </c>
      <c r="J183" s="316">
        <v>3.1602601579628273</v>
      </c>
      <c r="K183" s="37">
        <f t="shared" si="26"/>
        <v>0.68131576251058901</v>
      </c>
      <c r="L183" s="37">
        <f t="shared" si="25"/>
        <v>0.83052391450040808</v>
      </c>
      <c r="M183" s="45">
        <f t="shared" si="19"/>
        <v>3.6143486070787177E-2</v>
      </c>
    </row>
    <row r="184" spans="1:13" s="6" customFormat="1" ht="16.5" customHeight="1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20"/>
        <v>482.97</v>
      </c>
      <c r="G184" s="70">
        <f t="shared" si="21"/>
        <v>4.1601505947468339E-3</v>
      </c>
      <c r="H184" s="316">
        <f t="shared" si="22"/>
        <v>9.4399225190578839</v>
      </c>
      <c r="I184" s="96">
        <f t="shared" si="23"/>
        <v>3.4710595102575841</v>
      </c>
      <c r="J184" s="316">
        <v>3.7391250575485224</v>
      </c>
      <c r="K184" s="37">
        <f t="shared" si="26"/>
        <v>0.80611238074409408</v>
      </c>
      <c r="L184" s="37">
        <f t="shared" si="25"/>
        <v>0.98265099212705076</v>
      </c>
      <c r="M184" s="45">
        <f t="shared" si="19"/>
        <v>3.6143486070787184E-2</v>
      </c>
    </row>
    <row r="185" spans="1:13" s="6" customFormat="1" ht="16.5" customHeight="1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20"/>
        <v>699.05</v>
      </c>
      <c r="G185" s="70">
        <f t="shared" si="21"/>
        <v>6.0213952693910057E-3</v>
      </c>
      <c r="H185" s="316">
        <f t="shared" si="22"/>
        <v>13.663328647633213</v>
      </c>
      <c r="I185" s="96">
        <f t="shared" si="23"/>
        <v>5.0240059437347329</v>
      </c>
      <c r="J185" s="316">
        <v>5.4120035850659338</v>
      </c>
      <c r="K185" s="37">
        <f t="shared" si="26"/>
        <v>1.1667657613498952</v>
      </c>
      <c r="L185" s="37">
        <f t="shared" si="25"/>
        <v>1.4222874630855222</v>
      </c>
      <c r="M185" s="45">
        <f t="shared" si="19"/>
        <v>3.6143486070787177E-2</v>
      </c>
    </row>
    <row r="186" spans="1:13" s="6" customFormat="1" ht="16.5" customHeight="1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20"/>
        <v>6095.81</v>
      </c>
      <c r="G186" s="70">
        <f t="shared" si="21"/>
        <v>5.2507376435314196E-2</v>
      </c>
      <c r="H186" s="316">
        <f t="shared" si="22"/>
        <v>119.14606309066451</v>
      </c>
      <c r="I186" s="96">
        <f t="shared" si="23"/>
        <v>43.810007398437342</v>
      </c>
      <c r="J186" s="316">
        <v>47.193399004192514</v>
      </c>
      <c r="K186" s="37">
        <f t="shared" si="26"/>
        <v>10.174354331870832</v>
      </c>
      <c r="L186" s="37">
        <f t="shared" si="25"/>
        <v>12.402537930550546</v>
      </c>
      <c r="M186" s="45">
        <f t="shared" si="19"/>
        <v>3.6143486070787177E-2</v>
      </c>
    </row>
    <row r="187" spans="1:13" s="6" customFormat="1" ht="16.5" customHeight="1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20"/>
        <v>166.2</v>
      </c>
      <c r="G187" s="70">
        <f t="shared" si="21"/>
        <v>1.4315941545995066E-3</v>
      </c>
      <c r="H187" s="316">
        <f t="shared" si="22"/>
        <v>3.2484732440263784</v>
      </c>
      <c r="I187" s="96">
        <f t="shared" si="23"/>
        <v>1.1944636118284995</v>
      </c>
      <c r="J187" s="316">
        <v>1.2867105297732042</v>
      </c>
      <c r="K187" s="37">
        <f t="shared" si="26"/>
        <v>0.27739999933674642</v>
      </c>
      <c r="L187" s="37">
        <f t="shared" si="25"/>
        <v>0.33815059919149393</v>
      </c>
      <c r="M187" s="45">
        <f t="shared" si="19"/>
        <v>3.6143486070787177E-2</v>
      </c>
    </row>
    <row r="188" spans="1:13" s="6" customFormat="1" ht="16.5" customHeight="1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20"/>
        <v>273.2</v>
      </c>
      <c r="G188" s="70">
        <f t="shared" si="21"/>
        <v>2.3532582613512952E-3</v>
      </c>
      <c r="H188" s="316">
        <f t="shared" si="22"/>
        <v>5.3398489185800644</v>
      </c>
      <c r="I188" s="96">
        <f t="shared" si="23"/>
        <v>1.9634624473618898</v>
      </c>
      <c r="J188" s="316">
        <v>2.1150981752950622</v>
      </c>
      <c r="K188" s="37">
        <f t="shared" si="26"/>
        <v>0.45599085330204048</v>
      </c>
      <c r="L188" s="37">
        <f t="shared" si="25"/>
        <v>0.55585285017518737</v>
      </c>
      <c r="M188" s="45">
        <f t="shared" si="19"/>
        <v>3.6143486070787177E-2</v>
      </c>
    </row>
    <row r="189" spans="1:13" s="6" customFormat="1" ht="16.5" customHeight="1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20"/>
        <v>4159.58</v>
      </c>
      <c r="G189" s="70">
        <f t="shared" si="21"/>
        <v>3.5829304534229944E-2</v>
      </c>
      <c r="H189" s="316">
        <f t="shared" si="22"/>
        <v>81.301349797757197</v>
      </c>
      <c r="I189" s="96">
        <f t="shared" si="23"/>
        <v>29.894506320635323</v>
      </c>
      <c r="J189" s="316">
        <v>32.203221332334678</v>
      </c>
      <c r="K189" s="37">
        <f t="shared" si="26"/>
        <v>6.9426443395977371</v>
      </c>
      <c r="L189" s="37">
        <f t="shared" si="25"/>
        <v>8.4630834499696412</v>
      </c>
      <c r="M189" s="45">
        <f t="shared" si="19"/>
        <v>3.6143486070787177E-2</v>
      </c>
    </row>
    <row r="190" spans="1:13" s="6" customFormat="1" ht="16.5" customHeight="1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20"/>
        <v>2240.77</v>
      </c>
      <c r="G190" s="70">
        <f t="shared" si="21"/>
        <v>1.9301282995198177E-2</v>
      </c>
      <c r="H190" s="316">
        <f t="shared" si="22"/>
        <v>43.797120282894042</v>
      </c>
      <c r="I190" s="96">
        <f t="shared" si="23"/>
        <v>16.10420112802014</v>
      </c>
      <c r="J190" s="316">
        <v>17.34790826594406</v>
      </c>
      <c r="K190" s="37">
        <f t="shared" si="26"/>
        <v>3.7400096059795511</v>
      </c>
      <c r="L190" s="37">
        <f t="shared" si="25"/>
        <v>4.5590717096890732</v>
      </c>
      <c r="M190" s="45">
        <f t="shared" si="19"/>
        <v>3.8424135120453271E-2</v>
      </c>
    </row>
    <row r="191" spans="1:13" s="6" customFormat="1" ht="16.5" customHeight="1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20"/>
        <v>454.48</v>
      </c>
      <c r="G191" s="70">
        <f t="shared" si="21"/>
        <v>3.9147467592201193E-3</v>
      </c>
      <c r="H191" s="316">
        <f t="shared" si="22"/>
        <v>8.8830693137491501</v>
      </c>
      <c r="I191" s="96">
        <f t="shared" si="23"/>
        <v>3.2663045866655627</v>
      </c>
      <c r="J191" s="316">
        <v>3.5185571695025621</v>
      </c>
      <c r="K191" s="37">
        <f t="shared" si="26"/>
        <v>0.75856047953408257</v>
      </c>
      <c r="L191" s="37">
        <f t="shared" si="25"/>
        <v>0.92468522455204671</v>
      </c>
      <c r="M191" s="45">
        <f t="shared" si="19"/>
        <v>3.6143486070787177E-2</v>
      </c>
    </row>
    <row r="192" spans="1:13" s="6" customFormat="1" ht="16.5" customHeight="1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20"/>
        <v>166.2</v>
      </c>
      <c r="G192" s="70">
        <f t="shared" si="21"/>
        <v>1.4315941545995066E-3</v>
      </c>
      <c r="H192" s="316">
        <f t="shared" si="22"/>
        <v>3.2484732440263784</v>
      </c>
      <c r="I192" s="96">
        <f t="shared" si="23"/>
        <v>1.1944636118284995</v>
      </c>
      <c r="J192" s="316">
        <v>1.2867105297732042</v>
      </c>
      <c r="K192" s="37">
        <f t="shared" si="26"/>
        <v>0.27739999933674642</v>
      </c>
      <c r="L192" s="37">
        <f t="shared" si="25"/>
        <v>0.33815059919149393</v>
      </c>
      <c r="M192" s="45">
        <f t="shared" si="19"/>
        <v>3.6143486070787177E-2</v>
      </c>
    </row>
    <row r="193" spans="1:13" s="6" customFormat="1" ht="16.5" customHeight="1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20"/>
        <v>338.6</v>
      </c>
      <c r="G193" s="70">
        <f t="shared" si="21"/>
        <v>2.9165931452911735E-3</v>
      </c>
      <c r="H193" s="316">
        <f t="shared" si="22"/>
        <v>6.6181290037745608</v>
      </c>
      <c r="I193" s="96">
        <f t="shared" si="23"/>
        <v>2.4334860346879061</v>
      </c>
      <c r="J193" s="316">
        <v>2.6214210913430023</v>
      </c>
      <c r="K193" s="37">
        <f t="shared" si="26"/>
        <v>0.56514825376307076</v>
      </c>
      <c r="L193" s="37">
        <f t="shared" si="25"/>
        <v>0.68891572133718326</v>
      </c>
      <c r="M193" s="45">
        <f t="shared" si="19"/>
        <v>4.1164427795386947E-2</v>
      </c>
    </row>
    <row r="194" spans="1:13" s="6" customFormat="1" ht="16.5" customHeight="1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20"/>
        <v>453.7</v>
      </c>
      <c r="G194" s="70">
        <f t="shared" si="21"/>
        <v>3.908028086292396E-3</v>
      </c>
      <c r="H194" s="316">
        <f t="shared" si="22"/>
        <v>8.8678237714486645</v>
      </c>
      <c r="I194" s="96">
        <f t="shared" si="23"/>
        <v>3.2606988007616744</v>
      </c>
      <c r="J194" s="316">
        <v>3.5125184558249258</v>
      </c>
      <c r="K194" s="37">
        <f t="shared" si="26"/>
        <v>0.7572586022808776</v>
      </c>
      <c r="L194" s="37">
        <f t="shared" si="25"/>
        <v>0.92309823618038989</v>
      </c>
      <c r="M194" s="45">
        <f t="shared" si="19"/>
        <v>3.6143486070787177E-2</v>
      </c>
    </row>
    <row r="195" spans="1:13" s="6" customFormat="1" ht="16.5" customHeight="1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20"/>
        <v>135</v>
      </c>
      <c r="G195" s="70">
        <f t="shared" si="21"/>
        <v>1.1628472374905741E-3</v>
      </c>
      <c r="H195" s="316">
        <f t="shared" si="22"/>
        <v>2.6386515520069866</v>
      </c>
      <c r="I195" s="96">
        <f t="shared" si="23"/>
        <v>0.97023217567296904</v>
      </c>
      <c r="J195" s="316">
        <v>1.0451619826677649</v>
      </c>
      <c r="K195" s="37">
        <f t="shared" si="26"/>
        <v>0.22532490920854856</v>
      </c>
      <c r="L195" s="37">
        <f t="shared" si="25"/>
        <v>0.2746710643252207</v>
      </c>
      <c r="M195" s="45">
        <f t="shared" si="19"/>
        <v>3.6143486070787177E-2</v>
      </c>
    </row>
    <row r="196" spans="1:13" s="6" customFormat="1" ht="16.5" customHeight="1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20"/>
        <v>89.9</v>
      </c>
      <c r="G196" s="70">
        <f t="shared" si="21"/>
        <v>7.7437012333631569E-4</v>
      </c>
      <c r="H196" s="316">
        <f t="shared" si="22"/>
        <v>1.7571464779661341</v>
      </c>
      <c r="I196" s="96">
        <f t="shared" si="23"/>
        <v>0.64610275994814759</v>
      </c>
      <c r="J196" s="316">
        <v>0.69600046105060798</v>
      </c>
      <c r="K196" s="37">
        <f t="shared" si="26"/>
        <v>0.15004969879887789</v>
      </c>
      <c r="L196" s="37">
        <f t="shared" si="25"/>
        <v>0.18291058283583217</v>
      </c>
      <c r="M196" s="45">
        <f t="shared" si="19"/>
        <v>3.6143486070787177E-2</v>
      </c>
    </row>
    <row r="197" spans="1:13" s="6" customFormat="1" ht="16.5" customHeight="1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20"/>
        <v>224.08</v>
      </c>
      <c r="G197" s="70">
        <f t="shared" si="21"/>
        <v>1.9301541405695396E-3</v>
      </c>
      <c r="H197" s="316">
        <f t="shared" si="22"/>
        <v>4.3797706649905601</v>
      </c>
      <c r="I197" s="96">
        <f t="shared" si="23"/>
        <v>1.610441673517029</v>
      </c>
      <c r="J197" s="316">
        <v>1.734814052416243</v>
      </c>
      <c r="K197" s="37">
        <f t="shared" si="26"/>
        <v>0.3740059678181597</v>
      </c>
      <c r="L197" s="37">
        <f t="shared" si="25"/>
        <v>0.45591327477033672</v>
      </c>
      <c r="M197" s="45">
        <f t="shared" si="19"/>
        <v>3.6143486070787184E-2</v>
      </c>
    </row>
    <row r="198" spans="1:13" s="6" customFormat="1" ht="16.5" customHeight="1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20"/>
        <v>653.71</v>
      </c>
      <c r="G198" s="70">
        <f t="shared" si="21"/>
        <v>5.6308508712589866E-3</v>
      </c>
      <c r="H198" s="316">
        <f t="shared" si="22"/>
        <v>12.777132637499905</v>
      </c>
      <c r="I198" s="96">
        <f t="shared" si="23"/>
        <v>4.6981516708087154</v>
      </c>
      <c r="J198" s="316">
        <v>5.060983997701813</v>
      </c>
      <c r="K198" s="37">
        <f t="shared" si="26"/>
        <v>1.0910899733238539</v>
      </c>
      <c r="L198" s="37">
        <f t="shared" si="25"/>
        <v>1.3300386774817781</v>
      </c>
      <c r="M198" s="45">
        <f t="shared" si="19"/>
        <v>3.6143486070787177E-2</v>
      </c>
    </row>
    <row r="199" spans="1:13" s="6" customFormat="1" ht="16.5" customHeight="1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20"/>
        <v>182.11</v>
      </c>
      <c r="G199" s="70">
        <f t="shared" si="21"/>
        <v>1.5686378549585813E-3</v>
      </c>
      <c r="H199" s="316">
        <f t="shared" si="22"/>
        <v>3.5594432158221658</v>
      </c>
      <c r="I199" s="96">
        <f t="shared" si="23"/>
        <v>1.3088072704578104</v>
      </c>
      <c r="J199" s="316">
        <v>1.4098848049157535</v>
      </c>
      <c r="K199" s="37">
        <f t="shared" si="26"/>
        <v>0.30395495715532428</v>
      </c>
      <c r="L199" s="37">
        <f t="shared" si="25"/>
        <v>0.3705210927723403</v>
      </c>
      <c r="M199" s="45">
        <f t="shared" ref="M199:M262" si="27">(K199+J199+I199+H199)/C199</f>
        <v>3.6143486070787184E-2</v>
      </c>
    </row>
    <row r="200" spans="1:13" s="6" customFormat="1" ht="16.5" customHeight="1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20"/>
        <v>2379.1</v>
      </c>
      <c r="G200" s="70">
        <f t="shared" si="21"/>
        <v>2.0492813797880184E-2</v>
      </c>
      <c r="H200" s="316">
        <f t="shared" si="22"/>
        <v>46.500858573183862</v>
      </c>
      <c r="I200" s="96">
        <f t="shared" si="23"/>
        <v>17.098365697359707</v>
      </c>
      <c r="J200" s="316">
        <v>18.41885091085096</v>
      </c>
      <c r="K200" s="37">
        <f t="shared" si="26"/>
        <v>3.9708925296152433</v>
      </c>
      <c r="L200" s="37">
        <f t="shared" si="25"/>
        <v>4.8405179936009821</v>
      </c>
      <c r="M200" s="45">
        <f t="shared" si="27"/>
        <v>3.6143486070787177E-2</v>
      </c>
    </row>
    <row r="201" spans="1:13" s="6" customFormat="1" ht="16.5" customHeight="1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20"/>
        <v>140.19999999999999</v>
      </c>
      <c r="G201" s="70">
        <f t="shared" si="21"/>
        <v>1.2076383903420627E-3</v>
      </c>
      <c r="H201" s="316">
        <f t="shared" si="22"/>
        <v>2.7402885006768849</v>
      </c>
      <c r="I201" s="96">
        <f t="shared" si="23"/>
        <v>1.0076040816988907</v>
      </c>
      <c r="J201" s="316">
        <v>1.0854200738520048</v>
      </c>
      <c r="K201" s="37">
        <f t="shared" si="26"/>
        <v>0.2340040908965815</v>
      </c>
      <c r="L201" s="37">
        <f t="shared" si="25"/>
        <v>0.28525098680293287</v>
      </c>
      <c r="M201" s="45">
        <f t="shared" si="27"/>
        <v>3.6143486070787177E-2</v>
      </c>
    </row>
    <row r="202" spans="1:13" s="6" customFormat="1" ht="16.5" customHeight="1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20"/>
        <v>116.79</v>
      </c>
      <c r="G202" s="70">
        <f t="shared" si="21"/>
        <v>1.0059920656779566E-3</v>
      </c>
      <c r="H202" s="316">
        <f t="shared" si="22"/>
        <v>2.2827267759918217</v>
      </c>
      <c r="I202" s="96">
        <f t="shared" si="23"/>
        <v>0.83935863553219292</v>
      </c>
      <c r="J202" s="316">
        <v>0.90418124411680212</v>
      </c>
      <c r="K202" s="37">
        <f t="shared" si="26"/>
        <v>0.19493108256641767</v>
      </c>
      <c r="L202" s="37">
        <f t="shared" si="25"/>
        <v>0.23762098964846315</v>
      </c>
      <c r="M202" s="45">
        <f t="shared" si="27"/>
        <v>3.614348607078717E-2</v>
      </c>
    </row>
    <row r="203" spans="1:13" s="6" customFormat="1" ht="16.5" customHeight="1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20"/>
        <v>59.7</v>
      </c>
      <c r="G203" s="70">
        <f t="shared" si="21"/>
        <v>5.1423688946805384E-4</v>
      </c>
      <c r="H203" s="316">
        <f t="shared" si="22"/>
        <v>1.1668703529986451</v>
      </c>
      <c r="I203" s="96">
        <f t="shared" si="23"/>
        <v>0.4290582287976018</v>
      </c>
      <c r="J203" s="316">
        <v>0.46219385455752282</v>
      </c>
      <c r="K203" s="37">
        <f t="shared" si="26"/>
        <v>9.9643682072224793E-2</v>
      </c>
      <c r="L203" s="37">
        <f t="shared" si="25"/>
        <v>0.12146564844604203</v>
      </c>
      <c r="M203" s="45">
        <f t="shared" si="27"/>
        <v>3.6143486070787177E-2</v>
      </c>
    </row>
    <row r="204" spans="1:13" s="6" customFormat="1" ht="16.5" customHeight="1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20"/>
        <v>137.5</v>
      </c>
      <c r="G204" s="70">
        <f t="shared" si="21"/>
        <v>1.1843814455922514E-3</v>
      </c>
      <c r="H204" s="316">
        <f t="shared" si="22"/>
        <v>2.6875154696367458</v>
      </c>
      <c r="I204" s="96">
        <f t="shared" si="23"/>
        <v>0.98819943818543154</v>
      </c>
      <c r="J204" s="316">
        <v>1.0645168341986495</v>
      </c>
      <c r="K204" s="37">
        <f t="shared" si="26"/>
        <v>0.22949759271241058</v>
      </c>
      <c r="L204" s="37">
        <f t="shared" si="25"/>
        <v>0.2797575655164285</v>
      </c>
      <c r="M204" s="45">
        <f t="shared" si="27"/>
        <v>3.6143486070787184E-2</v>
      </c>
    </row>
    <row r="205" spans="1:13" s="6" customFormat="1" ht="16.5" customHeight="1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20"/>
        <v>1908.3000000000002</v>
      </c>
      <c r="G205" s="70">
        <f t="shared" si="21"/>
        <v>1.6437491728172316E-2</v>
      </c>
      <c r="H205" s="316">
        <f t="shared" si="22"/>
        <v>37.298805605147649</v>
      </c>
      <c r="I205" s="96">
        <f t="shared" si="23"/>
        <v>13.714770821012792</v>
      </c>
      <c r="J205" s="316">
        <v>14.773945270554787</v>
      </c>
      <c r="K205" s="37">
        <f t="shared" si="26"/>
        <v>3.1850927721679501</v>
      </c>
      <c r="L205" s="37">
        <f t="shared" si="25"/>
        <v>3.8826280892727314</v>
      </c>
      <c r="M205" s="45">
        <f t="shared" si="27"/>
        <v>3.8045460019241646E-2</v>
      </c>
    </row>
    <row r="206" spans="1:13" s="6" customFormat="1" ht="16.5" customHeight="1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20"/>
        <v>140.4</v>
      </c>
      <c r="G206" s="70">
        <f t="shared" si="21"/>
        <v>1.2093611269901972E-3</v>
      </c>
      <c r="H206" s="316">
        <f t="shared" si="22"/>
        <v>2.7441976140872661</v>
      </c>
      <c r="I206" s="96">
        <f t="shared" si="23"/>
        <v>1.0090414626998878</v>
      </c>
      <c r="J206" s="316">
        <v>1.0869684619744757</v>
      </c>
      <c r="K206" s="37">
        <f t="shared" si="26"/>
        <v>0.23433790557689052</v>
      </c>
      <c r="L206" s="37">
        <f t="shared" si="25"/>
        <v>0.28565790689822956</v>
      </c>
      <c r="M206" s="45">
        <f t="shared" si="27"/>
        <v>3.6143486070787177E-2</v>
      </c>
    </row>
    <row r="207" spans="1:13" s="6" customFormat="1" ht="16.5" customHeight="1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si="20"/>
        <v>290.7</v>
      </c>
      <c r="G207" s="70">
        <f t="shared" si="21"/>
        <v>2.5039977180630361E-3</v>
      </c>
      <c r="H207" s="316">
        <f t="shared" si="22"/>
        <v>5.6818963419883772</v>
      </c>
      <c r="I207" s="96">
        <f t="shared" si="23"/>
        <v>2.0892332849491266</v>
      </c>
      <c r="J207" s="316">
        <v>2.2505821360112543</v>
      </c>
      <c r="K207" s="37">
        <f t="shared" si="26"/>
        <v>0.48519963782907455</v>
      </c>
      <c r="L207" s="37">
        <f t="shared" si="25"/>
        <v>0.59145835851364192</v>
      </c>
      <c r="M207" s="45">
        <f t="shared" si="27"/>
        <v>3.6143486070787177E-2</v>
      </c>
    </row>
    <row r="208" spans="1:13" s="6" customFormat="1" ht="16.5" customHeight="1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si="20"/>
        <v>2427.7199999999998</v>
      </c>
      <c r="G208" s="70">
        <f t="shared" si="21"/>
        <v>2.0911611077041602E-2</v>
      </c>
      <c r="H208" s="316">
        <f t="shared" si="22"/>
        <v>47.451164043247417</v>
      </c>
      <c r="I208" s="96">
        <f t="shared" si="23"/>
        <v>17.447793018702075</v>
      </c>
      <c r="J208" s="316">
        <v>18.795264063423602</v>
      </c>
      <c r="K208" s="37">
        <f t="shared" si="26"/>
        <v>4.0520428783983515</v>
      </c>
      <c r="L208" s="37">
        <f t="shared" si="25"/>
        <v>4.9394402687675907</v>
      </c>
      <c r="M208" s="45">
        <f t="shared" si="27"/>
        <v>3.6143486070787177E-2</v>
      </c>
    </row>
    <row r="209" spans="1:13" s="6" customFormat="1" ht="16.5" customHeight="1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ref="F209:F270" si="28">C209+D209+E209</f>
        <v>93</v>
      </c>
      <c r="G209" s="70">
        <f t="shared" si="21"/>
        <v>8.0107254138239551E-4</v>
      </c>
      <c r="H209" s="316">
        <f t="shared" si="22"/>
        <v>1.8177377358270352</v>
      </c>
      <c r="I209" s="96">
        <f t="shared" si="23"/>
        <v>0.66838216546360085</v>
      </c>
      <c r="J209" s="316">
        <v>0.7200004769489049</v>
      </c>
      <c r="K209" s="37">
        <f t="shared" si="26"/>
        <v>0.1552238263436668</v>
      </c>
      <c r="L209" s="37">
        <f t="shared" si="25"/>
        <v>0.18921784431292984</v>
      </c>
      <c r="M209" s="45">
        <f t="shared" si="27"/>
        <v>3.6143486070787184E-2</v>
      </c>
    </row>
    <row r="210" spans="1:13" s="6" customFormat="1" ht="16.5" customHeight="1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28"/>
        <v>1473.7</v>
      </c>
      <c r="G210" s="70">
        <f t="shared" si="21"/>
        <v>1.2693984991776734E-2</v>
      </c>
      <c r="H210" s="316">
        <f t="shared" si="22"/>
        <v>28.804302164390343</v>
      </c>
      <c r="I210" s="96">
        <f t="shared" si="23"/>
        <v>10.591341905846329</v>
      </c>
      <c r="J210" s="316">
        <v>11.409297880425818</v>
      </c>
      <c r="K210" s="37">
        <f t="shared" si="26"/>
        <v>2.4597134718565776</v>
      </c>
      <c r="L210" s="37">
        <f t="shared" si="25"/>
        <v>2.9983907221931685</v>
      </c>
      <c r="M210" s="45">
        <f t="shared" si="27"/>
        <v>3.837787695260398E-2</v>
      </c>
    </row>
    <row r="211" spans="1:13" s="6" customFormat="1" ht="16.5" customHeight="1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28"/>
        <v>2507</v>
      </c>
      <c r="G211" s="70">
        <f t="shared" si="21"/>
        <v>2.1594503884361994E-2</v>
      </c>
      <c r="H211" s="316">
        <f t="shared" si="22"/>
        <v>49.000736599122334</v>
      </c>
      <c r="I211" s="96">
        <f t="shared" si="23"/>
        <v>18.017570847497282</v>
      </c>
      <c r="J211" s="316">
        <v>19.409045115171015</v>
      </c>
      <c r="K211" s="37">
        <f t="shared" si="26"/>
        <v>4.184367017672824</v>
      </c>
      <c r="L211" s="37">
        <f t="shared" si="25"/>
        <v>5.1007433945431728</v>
      </c>
      <c r="M211" s="45">
        <f t="shared" si="27"/>
        <v>3.6143486070787177E-2</v>
      </c>
    </row>
    <row r="212" spans="1:13" s="6" customFormat="1" ht="16.5" customHeight="1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28"/>
        <v>3505.3</v>
      </c>
      <c r="G212" s="70">
        <f t="shared" si="21"/>
        <v>3.0193543863523773E-2</v>
      </c>
      <c r="H212" s="316">
        <f t="shared" si="22"/>
        <v>68.513076187037697</v>
      </c>
      <c r="I212" s="96">
        <f t="shared" si="23"/>
        <v>25.192258113973764</v>
      </c>
      <c r="J212" s="316">
        <v>27.137824428483832</v>
      </c>
      <c r="K212" s="37">
        <f t="shared" si="26"/>
        <v>5.8506029944350022</v>
      </c>
      <c r="L212" s="37">
        <f t="shared" si="25"/>
        <v>7.1318850502162681</v>
      </c>
      <c r="M212" s="45">
        <f t="shared" si="27"/>
        <v>3.6143486070787177E-2</v>
      </c>
    </row>
    <row r="213" spans="1:13" s="6" customFormat="1" ht="16.5" customHeight="1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28"/>
        <v>191.78</v>
      </c>
      <c r="G213" s="70">
        <f t="shared" si="21"/>
        <v>1.6519321718958689E-3</v>
      </c>
      <c r="H213" s="316">
        <f t="shared" si="22"/>
        <v>3.7484488492140731</v>
      </c>
      <c r="I213" s="96">
        <f t="shared" si="23"/>
        <v>1.3783046418560148</v>
      </c>
      <c r="J213" s="316">
        <v>1.4847493706372148</v>
      </c>
      <c r="K213" s="37">
        <f t="shared" si="26"/>
        <v>0.32009489694826254</v>
      </c>
      <c r="L213" s="37">
        <f t="shared" si="25"/>
        <v>0.39019567937993205</v>
      </c>
      <c r="M213" s="45">
        <f t="shared" si="27"/>
        <v>3.6143486070787177E-2</v>
      </c>
    </row>
    <row r="214" spans="1:13" s="6" customFormat="1" ht="16.5" customHeight="1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28"/>
        <v>3560.1</v>
      </c>
      <c r="G214" s="70">
        <f t="shared" si="21"/>
        <v>3.0665573705112539E-2</v>
      </c>
      <c r="H214" s="316">
        <f t="shared" si="22"/>
        <v>69.584173261482022</v>
      </c>
      <c r="I214" s="96">
        <f t="shared" si="23"/>
        <v>25.58610050824694</v>
      </c>
      <c r="J214" s="316">
        <v>27.562082774040817</v>
      </c>
      <c r="K214" s="37">
        <f t="shared" si="26"/>
        <v>5.9420682168396572</v>
      </c>
      <c r="L214" s="37">
        <f t="shared" si="25"/>
        <v>7.2433811563275423</v>
      </c>
      <c r="M214" s="45">
        <f t="shared" si="27"/>
        <v>3.6143486070787184E-2</v>
      </c>
    </row>
    <row r="215" spans="1:13" s="6" customFormat="1" ht="16.5" customHeight="1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28"/>
        <v>291.19</v>
      </c>
      <c r="G215" s="70">
        <f t="shared" si="21"/>
        <v>2.5082184228509647E-3</v>
      </c>
      <c r="H215" s="316">
        <f t="shared" si="22"/>
        <v>5.69147366984381</v>
      </c>
      <c r="I215" s="96">
        <f t="shared" si="23"/>
        <v>2.0927548684015691</v>
      </c>
      <c r="J215" s="316">
        <v>2.2543756869113074</v>
      </c>
      <c r="K215" s="37">
        <f t="shared" si="26"/>
        <v>0.48601748379583148</v>
      </c>
      <c r="L215" s="37">
        <f t="shared" si="25"/>
        <v>0.5924553127471186</v>
      </c>
      <c r="M215" s="45">
        <f t="shared" si="27"/>
        <v>3.6143486070787177E-2</v>
      </c>
    </row>
    <row r="216" spans="1:13" s="6" customFormat="1" ht="16.5" customHeight="1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28"/>
        <v>173.45</v>
      </c>
      <c r="G216" s="70">
        <f t="shared" si="21"/>
        <v>1.4940433580943708E-3</v>
      </c>
      <c r="H216" s="316">
        <f t="shared" si="22"/>
        <v>3.3901786051526797</v>
      </c>
      <c r="I216" s="96">
        <f t="shared" si="23"/>
        <v>1.2465686731146404</v>
      </c>
      <c r="J216" s="316">
        <v>1.3428395992127693</v>
      </c>
      <c r="K216" s="37">
        <f t="shared" si="26"/>
        <v>0.28950078149794622</v>
      </c>
      <c r="L216" s="37">
        <f t="shared" si="25"/>
        <v>0.35290145264599648</v>
      </c>
      <c r="M216" s="45">
        <f t="shared" si="27"/>
        <v>3.8590875093739832E-2</v>
      </c>
    </row>
    <row r="217" spans="1:13" s="6" customFormat="1" ht="16.5" customHeight="1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28"/>
        <v>209.66</v>
      </c>
      <c r="G217" s="70">
        <f t="shared" si="21"/>
        <v>1.8059448282390649E-3</v>
      </c>
      <c r="H217" s="316">
        <f t="shared" si="22"/>
        <v>4.0979235881021099</v>
      </c>
      <c r="I217" s="96">
        <f t="shared" si="23"/>
        <v>1.5068065033451459</v>
      </c>
      <c r="J217" s="316">
        <v>1.623175268786101</v>
      </c>
      <c r="K217" s="37">
        <f t="shared" si="26"/>
        <v>0.34993792936788359</v>
      </c>
      <c r="L217" s="37">
        <f t="shared" si="25"/>
        <v>0.42657433589945015</v>
      </c>
      <c r="M217" s="45">
        <f t="shared" si="27"/>
        <v>5.6993406209395608E-2</v>
      </c>
    </row>
    <row r="218" spans="1:13" s="6" customFormat="1" ht="16.5" customHeight="1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28"/>
        <v>408.46</v>
      </c>
      <c r="G218" s="70">
        <f t="shared" si="21"/>
        <v>3.5183450564844434E-3</v>
      </c>
      <c r="H218" s="316">
        <f t="shared" si="22"/>
        <v>7.9835823180205452</v>
      </c>
      <c r="I218" s="96">
        <f t="shared" si="23"/>
        <v>2.9355632183361546</v>
      </c>
      <c r="J218" s="316">
        <v>3.1622730625220394</v>
      </c>
      <c r="K218" s="37">
        <f t="shared" si="26"/>
        <v>0.68174972159499059</v>
      </c>
      <c r="L218" s="37">
        <f t="shared" si="25"/>
        <v>0.83105291062429354</v>
      </c>
      <c r="M218" s="45">
        <f t="shared" si="27"/>
        <v>3.6143486070787177E-2</v>
      </c>
    </row>
    <row r="219" spans="1:13" s="6" customFormat="1" ht="16.5" customHeight="1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28"/>
        <v>67.3</v>
      </c>
      <c r="G219" s="70">
        <f t="shared" si="21"/>
        <v>5.7970088209715286E-4</v>
      </c>
      <c r="H219" s="316">
        <f t="shared" si="22"/>
        <v>1.3154166625931125</v>
      </c>
      <c r="I219" s="96">
        <f t="shared" si="23"/>
        <v>0.48367870683548753</v>
      </c>
      <c r="J219" s="316">
        <v>0.52103260321141176</v>
      </c>
      <c r="K219" s="37">
        <f t="shared" si="26"/>
        <v>0.11232863992396531</v>
      </c>
      <c r="L219" s="37">
        <f t="shared" si="25"/>
        <v>0.13692861206731372</v>
      </c>
      <c r="M219" s="45">
        <f t="shared" si="27"/>
        <v>3.6143486070787184E-2</v>
      </c>
    </row>
    <row r="220" spans="1:13" s="6" customFormat="1" ht="16.5" customHeight="1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28"/>
        <v>352.8</v>
      </c>
      <c r="G220" s="70">
        <f t="shared" ref="G220:G283" si="29">2/232188.71*F220</f>
        <v>3.0389074473087005E-3</v>
      </c>
      <c r="H220" s="316">
        <f t="shared" ref="H220:H283" si="30">G220*2269.13</f>
        <v>6.8956760559115917</v>
      </c>
      <c r="I220" s="96">
        <f t="shared" ref="I220:I283" si="31">H220*0.3677</f>
        <v>2.5355400857586923</v>
      </c>
      <c r="J220" s="316">
        <v>2.7313566480384259</v>
      </c>
      <c r="K220" s="37">
        <f t="shared" ref="K220:K283" si="32">G220*193.77</f>
        <v>0.58884909606500691</v>
      </c>
      <c r="L220" s="37">
        <f t="shared" ref="L220:L283" si="33">K220*1.219</f>
        <v>0.71780704810324347</v>
      </c>
      <c r="M220" s="45">
        <f t="shared" si="27"/>
        <v>3.6143486070787177E-2</v>
      </c>
    </row>
    <row r="221" spans="1:13" s="6" customFormat="1" ht="16.5" customHeight="1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28"/>
        <v>111.58</v>
      </c>
      <c r="G221" s="70">
        <f t="shared" si="29"/>
        <v>9.6111477599406111E-4</v>
      </c>
      <c r="H221" s="316">
        <f t="shared" si="30"/>
        <v>2.1808943716514042</v>
      </c>
      <c r="I221" s="96">
        <f t="shared" si="31"/>
        <v>0.8019148604562214</v>
      </c>
      <c r="J221" s="316">
        <v>0.86384573352643879</v>
      </c>
      <c r="K221" s="37">
        <f t="shared" si="32"/>
        <v>0.18623521014436922</v>
      </c>
      <c r="L221" s="37">
        <f t="shared" si="33"/>
        <v>0.22702072116598609</v>
      </c>
      <c r="M221" s="45">
        <f t="shared" si="27"/>
        <v>3.6143486070787184E-2</v>
      </c>
    </row>
    <row r="222" spans="1:13" s="6" customFormat="1" ht="16.5" customHeight="1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28"/>
        <v>115.8</v>
      </c>
      <c r="G222" s="70">
        <f t="shared" si="29"/>
        <v>9.9746451926969234E-4</v>
      </c>
      <c r="H222" s="316">
        <f t="shared" si="30"/>
        <v>2.263376664610437</v>
      </c>
      <c r="I222" s="96">
        <f t="shared" si="31"/>
        <v>0.83224359957725769</v>
      </c>
      <c r="J222" s="316">
        <v>0.89651672291057183</v>
      </c>
      <c r="K222" s="37">
        <f t="shared" si="32"/>
        <v>0.1932786998988883</v>
      </c>
      <c r="L222" s="37">
        <f t="shared" si="33"/>
        <v>0.23560673517674485</v>
      </c>
      <c r="M222" s="45">
        <f t="shared" si="27"/>
        <v>3.6143486070787177E-2</v>
      </c>
    </row>
    <row r="223" spans="1:13" s="6" customFormat="1" ht="16.5" customHeight="1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28"/>
        <v>141.30000000000001</v>
      </c>
      <c r="G223" s="70">
        <f t="shared" si="29"/>
        <v>1.217113441906801E-3</v>
      </c>
      <c r="H223" s="316">
        <f t="shared" si="30"/>
        <v>2.7617886244339793</v>
      </c>
      <c r="I223" s="96">
        <f t="shared" si="31"/>
        <v>1.0155096772043744</v>
      </c>
      <c r="J223" s="316">
        <v>1.0939362085255941</v>
      </c>
      <c r="K223" s="37">
        <f t="shared" si="32"/>
        <v>0.23584007163828083</v>
      </c>
      <c r="L223" s="37">
        <f t="shared" si="33"/>
        <v>0.28748904732706437</v>
      </c>
      <c r="M223" s="45">
        <f t="shared" si="27"/>
        <v>6.8828498407038113E-2</v>
      </c>
    </row>
    <row r="224" spans="1:13" s="6" customFormat="1" ht="16.5" customHeight="1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28"/>
        <v>161.1</v>
      </c>
      <c r="G224" s="70">
        <f t="shared" si="29"/>
        <v>1.387664370072085E-3</v>
      </c>
      <c r="H224" s="316">
        <f t="shared" si="30"/>
        <v>3.1487908520616705</v>
      </c>
      <c r="I224" s="96">
        <f t="shared" si="31"/>
        <v>1.1578103963030764</v>
      </c>
      <c r="J224" s="316">
        <v>1.2472266326501995</v>
      </c>
      <c r="K224" s="37">
        <f t="shared" si="32"/>
        <v>0.26888772498886793</v>
      </c>
      <c r="L224" s="37">
        <f t="shared" si="33"/>
        <v>0.32777413676143002</v>
      </c>
      <c r="M224" s="45">
        <f t="shared" si="27"/>
        <v>4.448216658520867E-2</v>
      </c>
    </row>
    <row r="225" spans="1:13" s="6" customFormat="1" ht="16.5" customHeight="1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28"/>
        <v>308.8</v>
      </c>
      <c r="G225" s="70">
        <f t="shared" si="29"/>
        <v>2.6599053847191799E-3</v>
      </c>
      <c r="H225" s="316">
        <f t="shared" si="30"/>
        <v>6.0356711056278325</v>
      </c>
      <c r="I225" s="96">
        <f t="shared" si="31"/>
        <v>2.2193162655393541</v>
      </c>
      <c r="J225" s="316">
        <v>2.3907112610948582</v>
      </c>
      <c r="K225" s="37">
        <f t="shared" si="32"/>
        <v>0.51540986639703545</v>
      </c>
      <c r="L225" s="37">
        <f t="shared" si="33"/>
        <v>0.62828462713798627</v>
      </c>
      <c r="M225" s="45">
        <f t="shared" si="27"/>
        <v>3.6143486070787177E-2</v>
      </c>
    </row>
    <row r="226" spans="1:13" s="6" customFormat="1" ht="16.5" customHeight="1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28"/>
        <v>343.31</v>
      </c>
      <c r="G226" s="70">
        <f t="shared" si="29"/>
        <v>2.9571635933547335E-3</v>
      </c>
      <c r="H226" s="316">
        <f t="shared" si="30"/>
        <v>6.7101886245890263</v>
      </c>
      <c r="I226" s="96">
        <f t="shared" si="31"/>
        <v>2.4673363572613853</v>
      </c>
      <c r="J226" s="316">
        <v>2.6578856316271882</v>
      </c>
      <c r="K226" s="37">
        <f t="shared" si="32"/>
        <v>0.57300958948434677</v>
      </c>
      <c r="L226" s="37">
        <f t="shared" si="33"/>
        <v>0.69849868958141881</v>
      </c>
      <c r="M226" s="45">
        <f t="shared" si="27"/>
        <v>3.6143486070787177E-2</v>
      </c>
    </row>
    <row r="227" spans="1:13" s="6" customFormat="1" ht="16.5" customHeight="1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28"/>
        <v>146.82</v>
      </c>
      <c r="G227" s="70">
        <f t="shared" si="29"/>
        <v>1.2646609733953044E-3</v>
      </c>
      <c r="H227" s="316">
        <f t="shared" si="30"/>
        <v>2.8696801545604873</v>
      </c>
      <c r="I227" s="96">
        <f t="shared" si="31"/>
        <v>1.0551813928318912</v>
      </c>
      <c r="J227" s="316">
        <v>1.1366717207057873</v>
      </c>
      <c r="K227" s="37">
        <f t="shared" si="32"/>
        <v>0.24505335681480814</v>
      </c>
      <c r="L227" s="37">
        <f t="shared" si="33"/>
        <v>0.29872004195725116</v>
      </c>
      <c r="M227" s="45">
        <f t="shared" si="27"/>
        <v>3.6143486070787184E-2</v>
      </c>
    </row>
    <row r="228" spans="1:13" s="6" customFormat="1" ht="16.5" customHeight="1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28"/>
        <v>218.19</v>
      </c>
      <c r="G228" s="70">
        <f t="shared" si="29"/>
        <v>1.8794195462819878E-3</v>
      </c>
      <c r="H228" s="316">
        <f t="shared" si="30"/>
        <v>4.2646472750548474</v>
      </c>
      <c r="I228" s="96">
        <f t="shared" si="31"/>
        <v>1.5681108030376676</v>
      </c>
      <c r="J228" s="316">
        <v>1.6892140222094789</v>
      </c>
      <c r="K228" s="37">
        <f t="shared" si="32"/>
        <v>0.3641751254830608</v>
      </c>
      <c r="L228" s="37">
        <f t="shared" si="33"/>
        <v>0.44392947796385113</v>
      </c>
      <c r="M228" s="45">
        <f t="shared" si="27"/>
        <v>3.6143486070787184E-2</v>
      </c>
    </row>
    <row r="229" spans="1:13" s="6" customFormat="1" ht="16.5" customHeight="1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28"/>
        <v>109.6</v>
      </c>
      <c r="G229" s="70">
        <f t="shared" si="29"/>
        <v>9.4405968317753269E-4</v>
      </c>
      <c r="H229" s="316">
        <f t="shared" si="30"/>
        <v>2.1421941488886347</v>
      </c>
      <c r="I229" s="96">
        <f t="shared" si="31"/>
        <v>0.78768478854635104</v>
      </c>
      <c r="J229" s="316">
        <v>0.84851669111397809</v>
      </c>
      <c r="K229" s="37">
        <f t="shared" si="32"/>
        <v>0.18293044480931051</v>
      </c>
      <c r="L229" s="37">
        <f t="shared" si="33"/>
        <v>0.22299221222254953</v>
      </c>
      <c r="M229" s="45">
        <f t="shared" si="27"/>
        <v>3.6143486070787177E-2</v>
      </c>
    </row>
    <row r="230" spans="1:13" s="6" customFormat="1" ht="16.5" customHeight="1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28"/>
        <v>41.4</v>
      </c>
      <c r="G230" s="70">
        <f t="shared" si="29"/>
        <v>3.5660648616377605E-4</v>
      </c>
      <c r="H230" s="316">
        <f t="shared" si="30"/>
        <v>0.80918647594880921</v>
      </c>
      <c r="I230" s="96">
        <f t="shared" si="31"/>
        <v>0.29753786720637715</v>
      </c>
      <c r="J230" s="316">
        <v>0.32051634135144791</v>
      </c>
      <c r="K230" s="37">
        <f t="shared" si="32"/>
        <v>6.9099638823954881E-2</v>
      </c>
      <c r="L230" s="37">
        <f t="shared" si="33"/>
        <v>8.4232459726401004E-2</v>
      </c>
      <c r="M230" s="45">
        <f t="shared" si="27"/>
        <v>3.6143486070787177E-2</v>
      </c>
    </row>
    <row r="231" spans="1:13" s="6" customFormat="1" ht="16.5" customHeight="1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28"/>
        <v>143.4</v>
      </c>
      <c r="G231" s="70">
        <f t="shared" si="29"/>
        <v>1.2352021767122099E-3</v>
      </c>
      <c r="H231" s="316">
        <f t="shared" si="30"/>
        <v>2.8028343152429769</v>
      </c>
      <c r="I231" s="96">
        <f t="shared" si="31"/>
        <v>1.0306021777148426</v>
      </c>
      <c r="J231" s="316">
        <v>1.1101942838115371</v>
      </c>
      <c r="K231" s="37">
        <f t="shared" si="32"/>
        <v>0.23934512578152492</v>
      </c>
      <c r="L231" s="37">
        <f t="shared" si="33"/>
        <v>0.29176170832767889</v>
      </c>
      <c r="M231" s="45">
        <f t="shared" si="27"/>
        <v>3.6143486070787177E-2</v>
      </c>
    </row>
    <row r="232" spans="1:13" s="6" customFormat="1" ht="16.5" customHeight="1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28"/>
        <v>473.2</v>
      </c>
      <c r="G232" s="70">
        <f t="shared" si="29"/>
        <v>4.0759949094854786E-3</v>
      </c>
      <c r="H232" s="316">
        <f t="shared" si="30"/>
        <v>9.2489623289607845</v>
      </c>
      <c r="I232" s="96">
        <f t="shared" si="31"/>
        <v>3.4008434483588807</v>
      </c>
      <c r="J232" s="316">
        <v>3.6634862977658256</v>
      </c>
      <c r="K232" s="37">
        <f t="shared" si="32"/>
        <v>0.78980553361100125</v>
      </c>
      <c r="L232" s="37">
        <f t="shared" si="33"/>
        <v>0.96277294547181058</v>
      </c>
      <c r="M232" s="45">
        <f t="shared" si="27"/>
        <v>3.6143486070787184E-2</v>
      </c>
    </row>
    <row r="233" spans="1:13" s="6" customFormat="1" ht="16.5" customHeight="1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28"/>
        <v>306.10000000000002</v>
      </c>
      <c r="G233" s="70">
        <f t="shared" si="29"/>
        <v>2.6366484399693683E-3</v>
      </c>
      <c r="H233" s="316">
        <f t="shared" si="30"/>
        <v>5.982898074587693</v>
      </c>
      <c r="I233" s="96">
        <f t="shared" si="31"/>
        <v>2.199911622025895</v>
      </c>
      <c r="J233" s="316">
        <v>2.3698080214415027</v>
      </c>
      <c r="K233" s="37">
        <f t="shared" si="32"/>
        <v>0.51090336821286453</v>
      </c>
      <c r="L233" s="37">
        <f t="shared" si="33"/>
        <v>0.62279120585148195</v>
      </c>
      <c r="M233" s="45">
        <f t="shared" si="27"/>
        <v>3.614348607078717E-2</v>
      </c>
    </row>
    <row r="234" spans="1:13" s="6" customFormat="1" ht="16.5" customHeight="1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28"/>
        <v>239.7</v>
      </c>
      <c r="G234" s="70">
        <f t="shared" si="29"/>
        <v>2.0646998727888192E-3</v>
      </c>
      <c r="H234" s="316">
        <f t="shared" si="30"/>
        <v>4.6850724223412934</v>
      </c>
      <c r="I234" s="96">
        <f t="shared" si="31"/>
        <v>1.7227011296948938</v>
      </c>
      <c r="J234" s="316">
        <v>1.8557431647812095</v>
      </c>
      <c r="K234" s="37">
        <f t="shared" si="32"/>
        <v>0.40007689435028954</v>
      </c>
      <c r="L234" s="37">
        <f t="shared" si="33"/>
        <v>0.48769373421300299</v>
      </c>
      <c r="M234" s="45">
        <f t="shared" si="27"/>
        <v>3.6143486070787177E-2</v>
      </c>
    </row>
    <row r="235" spans="1:13" s="6" customFormat="1" ht="16.5" customHeight="1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28"/>
        <v>193.7</v>
      </c>
      <c r="G235" s="70">
        <f t="shared" si="29"/>
        <v>1.6684704437179569E-3</v>
      </c>
      <c r="H235" s="316">
        <f t="shared" si="30"/>
        <v>3.7859763379537279</v>
      </c>
      <c r="I235" s="96">
        <f t="shared" si="31"/>
        <v>1.3921034994655859</v>
      </c>
      <c r="J235" s="316">
        <v>1.4996138966129338</v>
      </c>
      <c r="K235" s="37">
        <f t="shared" si="32"/>
        <v>0.3232995178792285</v>
      </c>
      <c r="L235" s="37">
        <f t="shared" si="33"/>
        <v>0.39410211229477959</v>
      </c>
      <c r="M235" s="45">
        <f t="shared" si="27"/>
        <v>3.6143486070787177E-2</v>
      </c>
    </row>
    <row r="236" spans="1:13" s="6" customFormat="1" ht="16.5" customHeight="1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28"/>
        <v>83.9</v>
      </c>
      <c r="G236" s="70">
        <f t="shared" si="29"/>
        <v>7.2268802389229014E-4</v>
      </c>
      <c r="H236" s="316">
        <f t="shared" si="30"/>
        <v>1.6398730756547124</v>
      </c>
      <c r="I236" s="96">
        <f t="shared" si="31"/>
        <v>0.60298132991823783</v>
      </c>
      <c r="J236" s="316">
        <v>0.64954881737648518</v>
      </c>
      <c r="K236" s="37">
        <f t="shared" si="32"/>
        <v>0.14003525838960906</v>
      </c>
      <c r="L236" s="37">
        <f t="shared" si="33"/>
        <v>0.17070297997693346</v>
      </c>
      <c r="M236" s="45">
        <f t="shared" si="27"/>
        <v>3.6143486070787177E-2</v>
      </c>
    </row>
    <row r="237" spans="1:13" s="6" customFormat="1" ht="16.5" customHeight="1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28"/>
        <v>2111.66</v>
      </c>
      <c r="G237" s="70">
        <f t="shared" si="29"/>
        <v>1.8189170351995153E-2</v>
      </c>
      <c r="H237" s="316">
        <f t="shared" si="30"/>
        <v>41.273592120822762</v>
      </c>
      <c r="I237" s="96">
        <f t="shared" si="31"/>
        <v>15.176299822826531</v>
      </c>
      <c r="J237" s="316">
        <v>16.348346313483059</v>
      </c>
      <c r="K237" s="37">
        <f t="shared" si="32"/>
        <v>3.5245155391061012</v>
      </c>
      <c r="L237" s="37">
        <f t="shared" si="33"/>
        <v>4.2963844421703374</v>
      </c>
      <c r="M237" s="45">
        <f t="shared" si="27"/>
        <v>3.6143486070787184E-2</v>
      </c>
    </row>
    <row r="238" spans="1:13" s="6" customFormat="1" ht="16.5" customHeight="1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28"/>
        <v>424.8</v>
      </c>
      <c r="G238" s="70">
        <f t="shared" si="29"/>
        <v>3.6590926406370066E-3</v>
      </c>
      <c r="H238" s="316">
        <f t="shared" si="30"/>
        <v>8.3029568836486511</v>
      </c>
      <c r="I238" s="96">
        <f t="shared" si="31"/>
        <v>3.0529972461176094</v>
      </c>
      <c r="J238" s="316">
        <v>3.2887763721279009</v>
      </c>
      <c r="K238" s="37">
        <f t="shared" si="32"/>
        <v>0.70902238097623282</v>
      </c>
      <c r="L238" s="37">
        <f t="shared" si="33"/>
        <v>0.86429828241002782</v>
      </c>
      <c r="M238" s="45">
        <f t="shared" si="27"/>
        <v>3.6143486070787177E-2</v>
      </c>
    </row>
    <row r="239" spans="1:13" s="6" customFormat="1" ht="16.5" customHeight="1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28"/>
        <v>105.5</v>
      </c>
      <c r="G239" s="70">
        <f t="shared" si="29"/>
        <v>9.0874358189078192E-4</v>
      </c>
      <c r="H239" s="316">
        <f t="shared" si="30"/>
        <v>2.06205732397583</v>
      </c>
      <c r="I239" s="96">
        <f t="shared" si="31"/>
        <v>0.75821847802591269</v>
      </c>
      <c r="J239" s="316">
        <v>0.81677473460332761</v>
      </c>
      <c r="K239" s="37">
        <f t="shared" si="32"/>
        <v>0.17608724386297683</v>
      </c>
      <c r="L239" s="37">
        <f t="shared" si="33"/>
        <v>0.21465035026896878</v>
      </c>
      <c r="M239" s="45">
        <f t="shared" si="27"/>
        <v>3.6143486070787177E-2</v>
      </c>
    </row>
    <row r="240" spans="1:13" s="6" customFormat="1" ht="16.5" customHeight="1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28"/>
        <v>158.6</v>
      </c>
      <c r="G240" s="70">
        <f t="shared" si="29"/>
        <v>1.3661301619704077E-3</v>
      </c>
      <c r="H240" s="316">
        <f t="shared" si="30"/>
        <v>3.0999269344319114</v>
      </c>
      <c r="I240" s="96">
        <f t="shared" si="31"/>
        <v>1.1398431337906139</v>
      </c>
      <c r="J240" s="316">
        <v>1.2278717811193149</v>
      </c>
      <c r="K240" s="37">
        <f t="shared" si="32"/>
        <v>0.26471504148500591</v>
      </c>
      <c r="L240" s="37">
        <f t="shared" si="33"/>
        <v>0.32268763557022223</v>
      </c>
      <c r="M240" s="45">
        <f t="shared" si="27"/>
        <v>3.6143486070787177E-2</v>
      </c>
    </row>
    <row r="241" spans="1:13" s="6" customFormat="1" ht="16.5" customHeight="1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28"/>
        <v>84.9</v>
      </c>
      <c r="G241" s="70">
        <f t="shared" si="29"/>
        <v>7.3130170713296108E-4</v>
      </c>
      <c r="H241" s="316">
        <f t="shared" si="30"/>
        <v>1.659418642706616</v>
      </c>
      <c r="I241" s="96">
        <f t="shared" si="31"/>
        <v>0.6101682349232227</v>
      </c>
      <c r="J241" s="316">
        <v>0.65729075798883896</v>
      </c>
      <c r="K241" s="37">
        <f t="shared" si="32"/>
        <v>0.14170433179115388</v>
      </c>
      <c r="L241" s="37">
        <f t="shared" si="33"/>
        <v>0.17273758045341658</v>
      </c>
      <c r="M241" s="45">
        <f t="shared" si="27"/>
        <v>3.6143486070787177E-2</v>
      </c>
    </row>
    <row r="242" spans="1:13" s="6" customFormat="1" ht="16.5" customHeight="1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28"/>
        <v>191.6</v>
      </c>
      <c r="G242" s="70">
        <f t="shared" si="29"/>
        <v>1.650381708912548E-3</v>
      </c>
      <c r="H242" s="316">
        <f t="shared" si="30"/>
        <v>3.7449306471447303</v>
      </c>
      <c r="I242" s="96">
        <f t="shared" si="31"/>
        <v>1.3770109989551174</v>
      </c>
      <c r="J242" s="316">
        <v>1.4833558213269908</v>
      </c>
      <c r="K242" s="37">
        <f t="shared" si="32"/>
        <v>0.31979446373598447</v>
      </c>
      <c r="L242" s="37">
        <f t="shared" si="33"/>
        <v>0.38982945129416507</v>
      </c>
      <c r="M242" s="45">
        <f t="shared" si="27"/>
        <v>3.6143486070787177E-2</v>
      </c>
    </row>
    <row r="243" spans="1:13" s="6" customFormat="1" ht="16.5" customHeight="1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28"/>
        <v>220.11</v>
      </c>
      <c r="G243" s="70">
        <f t="shared" si="29"/>
        <v>1.8959578181040762E-3</v>
      </c>
      <c r="H243" s="316">
        <f t="shared" si="30"/>
        <v>4.3021747637945023</v>
      </c>
      <c r="I243" s="96">
        <f t="shared" si="31"/>
        <v>1.5819096606472387</v>
      </c>
      <c r="J243" s="316">
        <v>1.7040785481851983</v>
      </c>
      <c r="K243" s="37">
        <f t="shared" si="32"/>
        <v>0.36737974641402688</v>
      </c>
      <c r="L243" s="37">
        <f t="shared" si="33"/>
        <v>0.44783591087869878</v>
      </c>
      <c r="M243" s="45">
        <f t="shared" si="27"/>
        <v>3.6143486070787177E-2</v>
      </c>
    </row>
    <row r="244" spans="1:13" s="6" customFormat="1" ht="16.5" customHeight="1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28"/>
        <v>154.1</v>
      </c>
      <c r="G244" s="70">
        <f t="shared" si="29"/>
        <v>1.3273685873873885E-3</v>
      </c>
      <c r="H244" s="316">
        <f t="shared" si="30"/>
        <v>3.011971882698345</v>
      </c>
      <c r="I244" s="96">
        <f t="shared" si="31"/>
        <v>1.1075020612681816</v>
      </c>
      <c r="J244" s="316">
        <v>1.1930330483637228</v>
      </c>
      <c r="K244" s="37">
        <f t="shared" si="32"/>
        <v>0.25720421117805431</v>
      </c>
      <c r="L244" s="37">
        <f t="shared" si="33"/>
        <v>0.31353193342604824</v>
      </c>
      <c r="M244" s="45">
        <f t="shared" si="27"/>
        <v>3.6143486070787177E-2</v>
      </c>
    </row>
    <row r="245" spans="1:13" s="6" customFormat="1" ht="16.5" customHeight="1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28"/>
        <v>219.1</v>
      </c>
      <c r="G245" s="70">
        <f t="shared" si="29"/>
        <v>1.8872579980309984E-3</v>
      </c>
      <c r="H245" s="316">
        <f t="shared" si="30"/>
        <v>4.2824337410720794</v>
      </c>
      <c r="I245" s="96">
        <f t="shared" si="31"/>
        <v>1.5746508865922038</v>
      </c>
      <c r="J245" s="316">
        <v>1.6962591881667208</v>
      </c>
      <c r="K245" s="37">
        <f t="shared" si="32"/>
        <v>0.36569398227846656</v>
      </c>
      <c r="L245" s="37">
        <f t="shared" si="33"/>
        <v>0.44578096439745074</v>
      </c>
      <c r="M245" s="45">
        <f t="shared" si="27"/>
        <v>3.6143486070787177E-2</v>
      </c>
    </row>
    <row r="246" spans="1:13" s="6" customFormat="1" ht="16.5" customHeight="1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28"/>
        <v>255.8</v>
      </c>
      <c r="G246" s="70">
        <f t="shared" si="29"/>
        <v>2.2033801729636213E-3</v>
      </c>
      <c r="H246" s="316">
        <f t="shared" si="30"/>
        <v>4.9997560518769424</v>
      </c>
      <c r="I246" s="96">
        <f t="shared" si="31"/>
        <v>1.838410300275152</v>
      </c>
      <c r="J246" s="316">
        <v>1.980388408640106</v>
      </c>
      <c r="K246" s="37">
        <f t="shared" si="32"/>
        <v>0.42694897611516092</v>
      </c>
      <c r="L246" s="37">
        <f t="shared" si="33"/>
        <v>0.5204508018843812</v>
      </c>
      <c r="M246" s="45">
        <f t="shared" si="27"/>
        <v>3.6143486070787177E-2</v>
      </c>
    </row>
    <row r="247" spans="1:13" s="6" customFormat="1" ht="16.5" customHeight="1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28"/>
        <v>58.3</v>
      </c>
      <c r="G247" s="70">
        <f t="shared" si="29"/>
        <v>5.0217773293111459E-4</v>
      </c>
      <c r="H247" s="316">
        <f t="shared" si="30"/>
        <v>1.1395065591259801</v>
      </c>
      <c r="I247" s="96">
        <f t="shared" si="31"/>
        <v>0.41899656179062289</v>
      </c>
      <c r="J247" s="316">
        <v>0.45135513770022745</v>
      </c>
      <c r="K247" s="37">
        <f t="shared" si="32"/>
        <v>9.7306979310062075E-2</v>
      </c>
      <c r="L247" s="37">
        <f t="shared" si="33"/>
        <v>0.11861720777896567</v>
      </c>
      <c r="M247" s="45">
        <f t="shared" si="27"/>
        <v>3.6143486070787184E-2</v>
      </c>
    </row>
    <row r="248" spans="1:13" s="6" customFormat="1" ht="16.5" customHeight="1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28"/>
        <v>47.2</v>
      </c>
      <c r="G248" s="70">
        <f t="shared" si="29"/>
        <v>4.0656584895966738E-4</v>
      </c>
      <c r="H248" s="316">
        <f t="shared" si="30"/>
        <v>0.9225507648498501</v>
      </c>
      <c r="I248" s="96">
        <f t="shared" si="31"/>
        <v>0.33922191623528991</v>
      </c>
      <c r="J248" s="316">
        <v>0.36541959690310011</v>
      </c>
      <c r="K248" s="37">
        <f t="shared" si="32"/>
        <v>7.8780264552914758E-2</v>
      </c>
      <c r="L248" s="37">
        <f t="shared" si="33"/>
        <v>9.6033142490003096E-2</v>
      </c>
      <c r="M248" s="45">
        <f t="shared" si="27"/>
        <v>3.6143486070787177E-2</v>
      </c>
    </row>
    <row r="249" spans="1:13" s="6" customFormat="1" ht="16.5" customHeight="1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28"/>
        <v>101.5</v>
      </c>
      <c r="G249" s="70">
        <f t="shared" si="29"/>
        <v>8.7428884892809826E-4</v>
      </c>
      <c r="H249" s="316">
        <f t="shared" si="30"/>
        <v>1.9838750557682157</v>
      </c>
      <c r="I249" s="96">
        <f t="shared" si="31"/>
        <v>0.729470858005973</v>
      </c>
      <c r="J249" s="316">
        <v>0.78580697215391226</v>
      </c>
      <c r="K249" s="37">
        <f t="shared" si="32"/>
        <v>0.16941095025679762</v>
      </c>
      <c r="L249" s="37">
        <f t="shared" si="33"/>
        <v>0.2065119483630363</v>
      </c>
      <c r="M249" s="45">
        <f t="shared" si="27"/>
        <v>3.6143486070787177E-2</v>
      </c>
    </row>
    <row r="250" spans="1:13" s="6" customFormat="1" ht="16.5" customHeight="1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28"/>
        <v>57.8</v>
      </c>
      <c r="G250" s="70">
        <f t="shared" si="29"/>
        <v>4.9787089131077906E-4</v>
      </c>
      <c r="H250" s="316">
        <f t="shared" si="30"/>
        <v>1.1297337756000281</v>
      </c>
      <c r="I250" s="96">
        <f t="shared" si="31"/>
        <v>0.41540310928813035</v>
      </c>
      <c r="J250" s="316">
        <v>0.4474841673940505</v>
      </c>
      <c r="K250" s="37">
        <f t="shared" si="32"/>
        <v>9.6472442609289666E-2</v>
      </c>
      <c r="L250" s="37">
        <f t="shared" si="33"/>
        <v>0.11759990754072411</v>
      </c>
      <c r="M250" s="45">
        <f t="shared" si="27"/>
        <v>3.614348607078717E-2</v>
      </c>
    </row>
    <row r="251" spans="1:13" s="6" customFormat="1" ht="16.5" customHeight="1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28"/>
        <v>670.84999999999991</v>
      </c>
      <c r="G251" s="70">
        <f t="shared" si="29"/>
        <v>5.7784894020040849E-3</v>
      </c>
      <c r="H251" s="316">
        <f t="shared" si="30"/>
        <v>13.112143656769529</v>
      </c>
      <c r="I251" s="96">
        <f t="shared" si="31"/>
        <v>4.8213352225941559</v>
      </c>
      <c r="J251" s="316">
        <v>5.1936808597975563</v>
      </c>
      <c r="K251" s="37">
        <f t="shared" si="32"/>
        <v>1.1196978914263316</v>
      </c>
      <c r="L251" s="37">
        <f t="shared" si="33"/>
        <v>1.3649117296486983</v>
      </c>
      <c r="M251" s="45">
        <f t="shared" si="27"/>
        <v>4.2571956159402291E-2</v>
      </c>
    </row>
    <row r="252" spans="1:13" s="6" customFormat="1" ht="16.5" customHeight="1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28"/>
        <v>648.9</v>
      </c>
      <c r="G252" s="70">
        <f t="shared" si="29"/>
        <v>5.5894190548713592E-3</v>
      </c>
      <c r="H252" s="316">
        <f t="shared" si="30"/>
        <v>12.683118459980248</v>
      </c>
      <c r="I252" s="96">
        <f t="shared" si="31"/>
        <v>4.6635826577347377</v>
      </c>
      <c r="J252" s="316">
        <v>5.0237452633563908</v>
      </c>
      <c r="K252" s="37">
        <f t="shared" si="32"/>
        <v>1.0830617302624233</v>
      </c>
      <c r="L252" s="37">
        <f t="shared" si="33"/>
        <v>1.320252249189894</v>
      </c>
      <c r="M252" s="45">
        <f t="shared" si="27"/>
        <v>3.6143486070787177E-2</v>
      </c>
    </row>
    <row r="253" spans="1:13" s="6" customFormat="1" ht="16.5" customHeight="1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28"/>
        <v>753.1</v>
      </c>
      <c r="G253" s="70">
        <f t="shared" si="29"/>
        <v>6.4869648485492695E-3</v>
      </c>
      <c r="H253" s="316">
        <f t="shared" si="30"/>
        <v>14.719766546788605</v>
      </c>
      <c r="I253" s="96">
        <f t="shared" si="31"/>
        <v>5.4124581592541707</v>
      </c>
      <c r="J253" s="316">
        <v>5.8304554751636584</v>
      </c>
      <c r="K253" s="37">
        <f t="shared" si="32"/>
        <v>1.2569791787033919</v>
      </c>
      <c r="L253" s="37">
        <f t="shared" si="33"/>
        <v>1.5322576188394348</v>
      </c>
      <c r="M253" s="45">
        <f t="shared" si="27"/>
        <v>5.1581692931419031E-2</v>
      </c>
    </row>
    <row r="254" spans="1:13" s="6" customFormat="1" ht="16.5" customHeight="1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28"/>
        <v>276.60000000000002</v>
      </c>
      <c r="G254" s="70">
        <f t="shared" si="29"/>
        <v>2.3825447843695766E-3</v>
      </c>
      <c r="H254" s="316">
        <f t="shared" si="30"/>
        <v>5.4063038465565372</v>
      </c>
      <c r="I254" s="96">
        <f t="shared" si="31"/>
        <v>1.9878979243788388</v>
      </c>
      <c r="J254" s="316">
        <v>2.1414207733770656</v>
      </c>
      <c r="K254" s="37">
        <f t="shared" si="32"/>
        <v>0.46166570286729286</v>
      </c>
      <c r="L254" s="37">
        <f t="shared" si="33"/>
        <v>0.56277049179523009</v>
      </c>
      <c r="M254" s="45">
        <f t="shared" si="27"/>
        <v>3.6143486070787184E-2</v>
      </c>
    </row>
    <row r="255" spans="1:13" s="6" customFormat="1" ht="16.5" customHeight="1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28"/>
        <v>238.8</v>
      </c>
      <c r="G255" s="70">
        <f t="shared" si="29"/>
        <v>2.0569475578722154E-3</v>
      </c>
      <c r="H255" s="316">
        <f t="shared" si="30"/>
        <v>4.6674814119945802</v>
      </c>
      <c r="I255" s="96">
        <f t="shared" si="31"/>
        <v>1.7162329151904072</v>
      </c>
      <c r="J255" s="316">
        <v>1.8487754182300913</v>
      </c>
      <c r="K255" s="37">
        <f t="shared" si="32"/>
        <v>0.39857472828889917</v>
      </c>
      <c r="L255" s="37">
        <f t="shared" si="33"/>
        <v>0.48586259378416813</v>
      </c>
      <c r="M255" s="45">
        <f t="shared" si="27"/>
        <v>3.6143486070787177E-2</v>
      </c>
    </row>
    <row r="256" spans="1:13" s="6" customFormat="1" ht="16.5" customHeight="1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28"/>
        <v>754.13</v>
      </c>
      <c r="G256" s="70">
        <f t="shared" si="29"/>
        <v>6.4958369422871602E-3</v>
      </c>
      <c r="H256" s="316">
        <f t="shared" si="30"/>
        <v>14.739898480852064</v>
      </c>
      <c r="I256" s="96">
        <f t="shared" si="31"/>
        <v>5.4198606714093041</v>
      </c>
      <c r="J256" s="316">
        <v>5.8384296739943826</v>
      </c>
      <c r="K256" s="37">
        <f t="shared" si="32"/>
        <v>1.2586983243069831</v>
      </c>
      <c r="L256" s="37">
        <f t="shared" si="33"/>
        <v>1.5343532573302125</v>
      </c>
      <c r="M256" s="45">
        <f t="shared" si="27"/>
        <v>3.6143486070787177E-2</v>
      </c>
    </row>
    <row r="257" spans="1:13" s="6" customFormat="1" ht="16.5" customHeight="1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28"/>
        <v>911.08</v>
      </c>
      <c r="G257" s="70">
        <f t="shared" si="29"/>
        <v>7.8477545269104616E-3</v>
      </c>
      <c r="H257" s="316">
        <f t="shared" si="30"/>
        <v>17.807575229648336</v>
      </c>
      <c r="I257" s="96">
        <f t="shared" si="31"/>
        <v>6.5478454119416938</v>
      </c>
      <c r="J257" s="316">
        <v>7.0535272531033142</v>
      </c>
      <c r="K257" s="37">
        <f t="shared" si="32"/>
        <v>1.5206593946794402</v>
      </c>
      <c r="L257" s="37">
        <f t="shared" si="33"/>
        <v>1.8536838021142377</v>
      </c>
      <c r="M257" s="45">
        <f t="shared" si="27"/>
        <v>3.927766321879432E-2</v>
      </c>
    </row>
    <row r="258" spans="1:13" s="6" customFormat="1" ht="16.5" customHeight="1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28"/>
        <v>707.90000000000009</v>
      </c>
      <c r="G258" s="70">
        <f t="shared" si="29"/>
        <v>6.0976263660709445E-3</v>
      </c>
      <c r="H258" s="316">
        <f t="shared" si="30"/>
        <v>13.836306916042563</v>
      </c>
      <c r="I258" s="96">
        <f t="shared" si="31"/>
        <v>5.0876100530288513</v>
      </c>
      <c r="J258" s="316">
        <v>5.4805197594852659</v>
      </c>
      <c r="K258" s="37">
        <f t="shared" si="32"/>
        <v>1.1815370609535669</v>
      </c>
      <c r="L258" s="37">
        <f t="shared" si="33"/>
        <v>1.4402936773023982</v>
      </c>
      <c r="M258" s="45">
        <f t="shared" si="27"/>
        <v>3.7837879014360025E-2</v>
      </c>
    </row>
    <row r="259" spans="1:13" s="6" customFormat="1" ht="16.5" customHeight="1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28"/>
        <v>814.34</v>
      </c>
      <c r="G259" s="70">
        <f t="shared" si="29"/>
        <v>7.0144668102079567E-3</v>
      </c>
      <c r="H259" s="316">
        <f t="shared" si="30"/>
        <v>15.916737073047182</v>
      </c>
      <c r="I259" s="96">
        <f t="shared" si="31"/>
        <v>5.8525842217594493</v>
      </c>
      <c r="J259" s="316">
        <v>6.3045719182642062</v>
      </c>
      <c r="K259" s="37">
        <f t="shared" si="32"/>
        <v>1.3591932338139958</v>
      </c>
      <c r="L259" s="37">
        <f t="shared" si="33"/>
        <v>1.6568565520192611</v>
      </c>
      <c r="M259" s="45">
        <f t="shared" si="27"/>
        <v>3.6143486070787184E-2</v>
      </c>
    </row>
    <row r="260" spans="1:13" s="6" customFormat="1" ht="16.5" customHeight="1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28"/>
        <v>562.29999999999995</v>
      </c>
      <c r="G260" s="70">
        <f>0/232188.71*F260</f>
        <v>0</v>
      </c>
      <c r="H260" s="316">
        <f t="shared" si="30"/>
        <v>0</v>
      </c>
      <c r="I260" s="96">
        <f t="shared" si="31"/>
        <v>0</v>
      </c>
      <c r="J260" s="316">
        <v>0</v>
      </c>
      <c r="K260" s="37">
        <f t="shared" si="32"/>
        <v>0</v>
      </c>
      <c r="L260" s="37">
        <f t="shared" si="33"/>
        <v>0</v>
      </c>
      <c r="M260" s="45">
        <f t="shared" si="27"/>
        <v>0</v>
      </c>
    </row>
    <row r="261" spans="1:13" s="6" customFormat="1" ht="16.5" customHeight="1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28"/>
        <v>410.5</v>
      </c>
      <c r="G261" s="70">
        <f t="shared" si="29"/>
        <v>3.5359169702954122E-3</v>
      </c>
      <c r="H261" s="316">
        <f t="shared" si="30"/>
        <v>8.0234552748064285</v>
      </c>
      <c r="I261" s="96">
        <f t="shared" si="31"/>
        <v>2.9502245045463238</v>
      </c>
      <c r="J261" s="316">
        <v>3.178066621371241</v>
      </c>
      <c r="K261" s="37">
        <f t="shared" si="32"/>
        <v>0.68515463133414212</v>
      </c>
      <c r="L261" s="37">
        <f t="shared" si="33"/>
        <v>0.83520349559631935</v>
      </c>
      <c r="M261" s="45">
        <f t="shared" si="27"/>
        <v>3.6143486070787177E-2</v>
      </c>
    </row>
    <row r="262" spans="1:13" s="6" customFormat="1" ht="16.5" customHeight="1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28"/>
        <v>523.27</v>
      </c>
      <c r="G262" s="70">
        <f t="shared" si="29"/>
        <v>4.5072820293458717E-3</v>
      </c>
      <c r="H262" s="316">
        <f t="shared" si="30"/>
        <v>10.227608871249599</v>
      </c>
      <c r="I262" s="96">
        <f t="shared" si="31"/>
        <v>3.7606917819584775</v>
      </c>
      <c r="J262" s="316">
        <v>4.0511252642263811</v>
      </c>
      <c r="K262" s="37">
        <f t="shared" si="32"/>
        <v>0.87337603882634962</v>
      </c>
      <c r="L262" s="37">
        <f t="shared" si="33"/>
        <v>1.0646453913293203</v>
      </c>
      <c r="M262" s="45">
        <f t="shared" si="27"/>
        <v>3.7460736340564516E-2</v>
      </c>
    </row>
    <row r="263" spans="1:13" s="6" customFormat="1" ht="16.5" customHeight="1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28"/>
        <v>684.1</v>
      </c>
      <c r="G263" s="70">
        <f t="shared" si="29"/>
        <v>5.8926207049429758E-3</v>
      </c>
      <c r="H263" s="316">
        <f t="shared" si="30"/>
        <v>13.371122420207255</v>
      </c>
      <c r="I263" s="96">
        <f t="shared" si="31"/>
        <v>4.916561713910208</v>
      </c>
      <c r="J263" s="316">
        <v>5.2962615729112459</v>
      </c>
      <c r="K263" s="37">
        <f t="shared" si="32"/>
        <v>1.1418131139968004</v>
      </c>
      <c r="L263" s="37">
        <f t="shared" si="33"/>
        <v>1.3918701859620999</v>
      </c>
      <c r="M263" s="45">
        <f t="shared" ref="M263:M326" si="34">(K263+J263+I263+H263)/C263</f>
        <v>3.6143486070787177E-2</v>
      </c>
    </row>
    <row r="264" spans="1:13" s="6" customFormat="1" ht="16.5" customHeight="1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28"/>
        <v>659.08</v>
      </c>
      <c r="G264" s="70">
        <f t="shared" si="29"/>
        <v>5.6771063502613897E-3</v>
      </c>
      <c r="H264" s="316">
        <f t="shared" si="30"/>
        <v>12.882092332568627</v>
      </c>
      <c r="I264" s="96">
        <f t="shared" si="31"/>
        <v>4.7367453506854842</v>
      </c>
      <c r="J264" s="316">
        <v>5.1025582187901533</v>
      </c>
      <c r="K264" s="37">
        <f t="shared" si="32"/>
        <v>1.1000528974901496</v>
      </c>
      <c r="L264" s="37">
        <f t="shared" si="33"/>
        <v>1.3409644820404925</v>
      </c>
      <c r="M264" s="45">
        <f t="shared" si="34"/>
        <v>4.5324115833049988E-2</v>
      </c>
    </row>
    <row r="265" spans="1:13" s="6" customFormat="1" ht="16.5" customHeight="1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28"/>
        <v>466.5</v>
      </c>
      <c r="G265" s="70">
        <f t="shared" si="29"/>
        <v>4.0182832317729837E-3</v>
      </c>
      <c r="H265" s="316">
        <f t="shared" si="30"/>
        <v>9.1180070297130307</v>
      </c>
      <c r="I265" s="96">
        <f t="shared" si="31"/>
        <v>3.3526911848254817</v>
      </c>
      <c r="J265" s="316">
        <v>3.6116152956630549</v>
      </c>
      <c r="K265" s="37">
        <f t="shared" si="32"/>
        <v>0.77862274182065105</v>
      </c>
      <c r="L265" s="37">
        <f t="shared" si="33"/>
        <v>0.94914112227937375</v>
      </c>
      <c r="M265" s="45">
        <f t="shared" si="34"/>
        <v>4.0327520334901265E-2</v>
      </c>
    </row>
    <row r="266" spans="1:13" s="6" customFormat="1" ht="16.5" customHeight="1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28"/>
        <v>412.04</v>
      </c>
      <c r="G266" s="70">
        <f t="shared" si="29"/>
        <v>3.5491820424860456E-3</v>
      </c>
      <c r="H266" s="316">
        <f t="shared" si="30"/>
        <v>8.0535554480663603</v>
      </c>
      <c r="I266" s="96">
        <f t="shared" si="31"/>
        <v>2.9612923382540011</v>
      </c>
      <c r="J266" s="316">
        <v>3.1899892099142662</v>
      </c>
      <c r="K266" s="37">
        <f t="shared" si="32"/>
        <v>0.68772500437252104</v>
      </c>
      <c r="L266" s="37">
        <f t="shared" si="33"/>
        <v>0.83833678033010317</v>
      </c>
      <c r="M266" s="45">
        <f t="shared" si="34"/>
        <v>3.7274270412492233E-2</v>
      </c>
    </row>
    <row r="267" spans="1:13" s="6" customFormat="1" ht="16.5" customHeight="1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28"/>
        <v>303.5</v>
      </c>
      <c r="G267" s="70">
        <f t="shared" si="29"/>
        <v>2.6142528635436238E-3</v>
      </c>
      <c r="H267" s="316">
        <f t="shared" si="30"/>
        <v>5.9320796002527434</v>
      </c>
      <c r="I267" s="96">
        <f t="shared" si="31"/>
        <v>2.1812256690129339</v>
      </c>
      <c r="J267" s="316">
        <v>2.349678975849383</v>
      </c>
      <c r="K267" s="37">
        <f t="shared" si="32"/>
        <v>0.50656377736884806</v>
      </c>
      <c r="L267" s="37">
        <f t="shared" si="33"/>
        <v>0.61750124461262579</v>
      </c>
      <c r="M267" s="45">
        <f t="shared" si="34"/>
        <v>3.6143486070787177E-2</v>
      </c>
    </row>
    <row r="268" spans="1:13" s="6" customFormat="1" ht="16.5" customHeight="1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28"/>
        <v>654.13</v>
      </c>
      <c r="G268" s="70">
        <f t="shared" si="29"/>
        <v>5.6344686182200681E-3</v>
      </c>
      <c r="H268" s="316">
        <f t="shared" si="30"/>
        <v>12.785341775661704</v>
      </c>
      <c r="I268" s="96">
        <f t="shared" si="31"/>
        <v>4.7011701709108094</v>
      </c>
      <c r="J268" s="316">
        <v>5.0642356127590009</v>
      </c>
      <c r="K268" s="37">
        <f t="shared" si="32"/>
        <v>1.0917909841525026</v>
      </c>
      <c r="L268" s="37">
        <f t="shared" si="33"/>
        <v>1.3308932096819008</v>
      </c>
      <c r="M268" s="45">
        <f t="shared" si="34"/>
        <v>3.6143486070787177E-2</v>
      </c>
    </row>
    <row r="269" spans="1:13" s="6" customFormat="1" ht="16.5" customHeight="1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si="28"/>
        <v>642.62</v>
      </c>
      <c r="G269" s="70">
        <f t="shared" si="29"/>
        <v>5.5353251241199459E-3</v>
      </c>
      <c r="H269" s="316">
        <f t="shared" si="30"/>
        <v>12.560372298894293</v>
      </c>
      <c r="I269" s="96">
        <f t="shared" si="31"/>
        <v>4.6184488943034321</v>
      </c>
      <c r="J269" s="316">
        <v>4.975125876310809</v>
      </c>
      <c r="K269" s="37">
        <f t="shared" si="32"/>
        <v>1.072579949300722</v>
      </c>
      <c r="L269" s="37">
        <f t="shared" si="33"/>
        <v>1.3074749581975802</v>
      </c>
      <c r="M269" s="45">
        <f t="shared" si="34"/>
        <v>3.8839047220509779E-2</v>
      </c>
    </row>
    <row r="270" spans="1:13" s="6" customFormat="1" ht="16.5" customHeight="1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si="28"/>
        <v>278.7</v>
      </c>
      <c r="G270" s="70">
        <f t="shared" si="29"/>
        <v>2.4006335191749852E-3</v>
      </c>
      <c r="H270" s="316">
        <f t="shared" si="30"/>
        <v>5.4473495373655343</v>
      </c>
      <c r="I270" s="96">
        <f t="shared" si="31"/>
        <v>2.0029904248893069</v>
      </c>
      <c r="J270" s="316">
        <v>2.1576788486630085</v>
      </c>
      <c r="K270" s="37">
        <f t="shared" si="32"/>
        <v>0.46517075701053689</v>
      </c>
      <c r="L270" s="37">
        <f t="shared" si="33"/>
        <v>0.5670431527958445</v>
      </c>
      <c r="M270" s="45">
        <f t="shared" si="34"/>
        <v>3.6143486070787177E-2</v>
      </c>
    </row>
    <row r="271" spans="1:13" s="6" customFormat="1" ht="16.5" customHeight="1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ref="F271:F334" si="35">C271+D271+E271</f>
        <v>3583.55</v>
      </c>
      <c r="G271" s="70">
        <f t="shared" si="29"/>
        <v>3.0867564577106273E-2</v>
      </c>
      <c r="H271" s="316">
        <f t="shared" si="30"/>
        <v>70.042516808849157</v>
      </c>
      <c r="I271" s="96">
        <f t="shared" si="31"/>
        <v>25.754633430613836</v>
      </c>
      <c r="J271" s="316">
        <v>27.743631281400518</v>
      </c>
      <c r="K271" s="37">
        <f t="shared" si="32"/>
        <v>5.9812079881058828</v>
      </c>
      <c r="L271" s="37">
        <f t="shared" si="33"/>
        <v>7.291092537501072</v>
      </c>
      <c r="M271" s="45">
        <f t="shared" si="34"/>
        <v>3.6143486070787177E-2</v>
      </c>
    </row>
    <row r="272" spans="1:13" s="6" customFormat="1" ht="16.5" customHeight="1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35"/>
        <v>513.5</v>
      </c>
      <c r="G272" s="70">
        <f t="shared" si="29"/>
        <v>4.4231263440845173E-3</v>
      </c>
      <c r="H272" s="316">
        <f t="shared" si="30"/>
        <v>10.036648681152501</v>
      </c>
      <c r="I272" s="96">
        <f t="shared" si="31"/>
        <v>3.6904757200597751</v>
      </c>
      <c r="J272" s="316">
        <v>3.9754865044436847</v>
      </c>
      <c r="K272" s="37">
        <f t="shared" si="32"/>
        <v>0.8570691916932569</v>
      </c>
      <c r="L272" s="37">
        <f t="shared" si="33"/>
        <v>1.0447673446740802</v>
      </c>
      <c r="M272" s="45">
        <f t="shared" si="34"/>
        <v>3.8118053188230062E-2</v>
      </c>
    </row>
    <row r="273" spans="1:13" s="6" customFormat="1" ht="16.5" customHeight="1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35"/>
        <v>420.4</v>
      </c>
      <c r="G273" s="70">
        <f t="shared" si="29"/>
        <v>3.621192434378054E-3</v>
      </c>
      <c r="H273" s="316">
        <f t="shared" si="30"/>
        <v>8.2169563886202734</v>
      </c>
      <c r="I273" s="96">
        <f t="shared" si="31"/>
        <v>3.0213748640956748</v>
      </c>
      <c r="J273" s="316">
        <v>3.2547118334335439</v>
      </c>
      <c r="K273" s="37">
        <f t="shared" si="32"/>
        <v>0.70167845800943551</v>
      </c>
      <c r="L273" s="37">
        <f t="shared" si="33"/>
        <v>0.85534604031350192</v>
      </c>
      <c r="M273" s="45">
        <f t="shared" si="34"/>
        <v>3.6143486070787177E-2</v>
      </c>
    </row>
    <row r="274" spans="1:13" s="6" customFormat="1" ht="16.5" customHeight="1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35"/>
        <v>344.2</v>
      </c>
      <c r="G274" s="70">
        <f t="shared" si="29"/>
        <v>2.9648297714389301E-3</v>
      </c>
      <c r="H274" s="316">
        <f t="shared" si="30"/>
        <v>6.7275841792652198</v>
      </c>
      <c r="I274" s="96">
        <f t="shared" si="31"/>
        <v>2.4737327027158216</v>
      </c>
      <c r="J274" s="316">
        <v>2.6647759587721835</v>
      </c>
      <c r="K274" s="37">
        <f t="shared" si="32"/>
        <v>0.57449506481172152</v>
      </c>
      <c r="L274" s="37">
        <f t="shared" si="33"/>
        <v>0.70030948400548854</v>
      </c>
      <c r="M274" s="45">
        <f t="shared" si="34"/>
        <v>3.9720906467321029E-2</v>
      </c>
    </row>
    <row r="275" spans="1:13" s="6" customFormat="1" ht="16.5" customHeight="1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35"/>
        <v>349.5</v>
      </c>
      <c r="G275" s="70">
        <f t="shared" si="29"/>
        <v>3.0104822926144861E-3</v>
      </c>
      <c r="H275" s="316">
        <f t="shared" si="30"/>
        <v>6.8311756846403089</v>
      </c>
      <c r="I275" s="96">
        <f t="shared" si="31"/>
        <v>2.5118232992422418</v>
      </c>
      <c r="J275" s="316">
        <v>2.7058082440176583</v>
      </c>
      <c r="K275" s="37">
        <f t="shared" si="32"/>
        <v>0.58334115383990903</v>
      </c>
      <c r="L275" s="37">
        <f t="shared" si="33"/>
        <v>0.71109286653084913</v>
      </c>
      <c r="M275" s="45">
        <f t="shared" si="34"/>
        <v>3.6143486070787177E-2</v>
      </c>
    </row>
    <row r="276" spans="1:13" s="6" customFormat="1" ht="16.5" customHeight="1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35"/>
        <v>437.7</v>
      </c>
      <c r="G276" s="70">
        <f t="shared" si="29"/>
        <v>3.7702091544416613E-3</v>
      </c>
      <c r="H276" s="316">
        <f t="shared" si="30"/>
        <v>8.5550946986182073</v>
      </c>
      <c r="I276" s="96">
        <f t="shared" si="31"/>
        <v>3.1457083206819152</v>
      </c>
      <c r="J276" s="316">
        <v>3.3886474060272649</v>
      </c>
      <c r="K276" s="37">
        <f t="shared" si="32"/>
        <v>0.73055342785616073</v>
      </c>
      <c r="L276" s="37">
        <f t="shared" si="33"/>
        <v>0.89054462855665995</v>
      </c>
      <c r="M276" s="45">
        <f t="shared" si="34"/>
        <v>4.5200011009095854E-2</v>
      </c>
    </row>
    <row r="277" spans="1:13" s="6" customFormat="1" ht="16.5" customHeight="1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35"/>
        <v>555.74</v>
      </c>
      <c r="G277" s="70">
        <f t="shared" si="29"/>
        <v>4.7869683241704569E-3</v>
      </c>
      <c r="H277" s="316">
        <f t="shared" si="30"/>
        <v>10.862253433424909</v>
      </c>
      <c r="I277" s="96">
        <f t="shared" si="31"/>
        <v>3.9940505874703396</v>
      </c>
      <c r="J277" s="316">
        <v>4.3025060759095091</v>
      </c>
      <c r="K277" s="37">
        <f t="shared" si="32"/>
        <v>0.92757085217450952</v>
      </c>
      <c r="L277" s="37">
        <f t="shared" si="33"/>
        <v>1.1307088688007272</v>
      </c>
      <c r="M277" s="45">
        <f t="shared" si="34"/>
        <v>4.154026750419669E-2</v>
      </c>
    </row>
    <row r="278" spans="1:13" s="6" customFormat="1" ht="16.5" customHeight="1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35"/>
        <v>396.6</v>
      </c>
      <c r="G278" s="70">
        <f t="shared" si="29"/>
        <v>3.4161867732500867E-3</v>
      </c>
      <c r="H278" s="316">
        <f t="shared" si="30"/>
        <v>7.7517718927849693</v>
      </c>
      <c r="I278" s="96">
        <f t="shared" si="31"/>
        <v>2.8503265249770333</v>
      </c>
      <c r="J278" s="316">
        <v>3.0704536468595234</v>
      </c>
      <c r="K278" s="37">
        <f t="shared" si="32"/>
        <v>0.66195451105266934</v>
      </c>
      <c r="L278" s="37">
        <f t="shared" si="33"/>
        <v>0.80692254897320392</v>
      </c>
      <c r="M278" s="45">
        <f t="shared" si="34"/>
        <v>3.7544543152630158E-2</v>
      </c>
    </row>
    <row r="279" spans="1:13" s="6" customFormat="1" ht="16.5" customHeight="1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35"/>
        <v>1778.9</v>
      </c>
      <c r="G279" s="70">
        <f t="shared" si="29"/>
        <v>1.5322881116829499E-2</v>
      </c>
      <c r="H279" s="316">
        <f t="shared" si="30"/>
        <v>34.769609228631325</v>
      </c>
      <c r="I279" s="96">
        <f t="shared" si="31"/>
        <v>12.784785313367738</v>
      </c>
      <c r="J279" s="316">
        <v>13.772138155316201</v>
      </c>
      <c r="K279" s="37">
        <f t="shared" si="32"/>
        <v>2.9691146740080523</v>
      </c>
      <c r="L279" s="37">
        <f t="shared" si="33"/>
        <v>3.619350787615816</v>
      </c>
      <c r="M279" s="45">
        <f t="shared" si="34"/>
        <v>3.886577245440568E-2</v>
      </c>
    </row>
    <row r="280" spans="1:13" s="6" customFormat="1" ht="16.5" customHeight="1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35"/>
        <v>731.78</v>
      </c>
      <c r="G280" s="70">
        <f t="shared" si="29"/>
        <v>6.3033211218581648E-3</v>
      </c>
      <c r="H280" s="316">
        <f t="shared" si="30"/>
        <v>14.303055057242018</v>
      </c>
      <c r="I280" s="96">
        <f t="shared" si="31"/>
        <v>5.2592333445478907</v>
      </c>
      <c r="J280" s="316">
        <v>5.6653973013082748</v>
      </c>
      <c r="K280" s="37">
        <f t="shared" si="32"/>
        <v>1.2213945337824565</v>
      </c>
      <c r="L280" s="37">
        <f t="shared" si="33"/>
        <v>1.4888799366808145</v>
      </c>
      <c r="M280" s="45">
        <f t="shared" si="34"/>
        <v>3.7290040938530118E-2</v>
      </c>
    </row>
    <row r="281" spans="1:13" s="6" customFormat="1" ht="16.5" customHeight="1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35"/>
        <v>185.4</v>
      </c>
      <c r="G281" s="70">
        <f t="shared" si="29"/>
        <v>1.5969768728203884E-3</v>
      </c>
      <c r="H281" s="316">
        <f t="shared" si="30"/>
        <v>3.6237481314229281</v>
      </c>
      <c r="I281" s="96">
        <f t="shared" si="31"/>
        <v>1.3324521879242108</v>
      </c>
      <c r="J281" s="316">
        <v>1.4353557895303974</v>
      </c>
      <c r="K281" s="37">
        <f t="shared" si="32"/>
        <v>0.30944620864640665</v>
      </c>
      <c r="L281" s="37">
        <f t="shared" si="33"/>
        <v>0.37721492833996972</v>
      </c>
      <c r="M281" s="45">
        <f t="shared" si="34"/>
        <v>3.6143486070787177E-2</v>
      </c>
    </row>
    <row r="282" spans="1:13" s="6" customFormat="1" ht="16.5" customHeight="1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35"/>
        <v>478.6</v>
      </c>
      <c r="G282" s="70">
        <f t="shared" si="29"/>
        <v>4.1225087989851025E-3</v>
      </c>
      <c r="H282" s="316">
        <f t="shared" si="30"/>
        <v>9.3545083910410654</v>
      </c>
      <c r="I282" s="96">
        <f t="shared" si="31"/>
        <v>3.4396527353858</v>
      </c>
      <c r="J282" s="316">
        <v>3.7052927770725366</v>
      </c>
      <c r="K282" s="37">
        <f t="shared" si="32"/>
        <v>0.79881852997934333</v>
      </c>
      <c r="L282" s="37">
        <f t="shared" si="33"/>
        <v>0.97375978804481955</v>
      </c>
      <c r="M282" s="45">
        <f t="shared" si="34"/>
        <v>3.6143486070787177E-2</v>
      </c>
    </row>
    <row r="283" spans="1:13" s="6" customFormat="1" ht="16.5" customHeight="1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35"/>
        <v>496.38</v>
      </c>
      <c r="G283" s="70">
        <f t="shared" si="29"/>
        <v>4.2756600870042308E-3</v>
      </c>
      <c r="H283" s="316">
        <f t="shared" si="30"/>
        <v>9.7020285732239113</v>
      </c>
      <c r="I283" s="96">
        <f t="shared" si="31"/>
        <v>3.5674359063744325</v>
      </c>
      <c r="J283" s="316">
        <v>3.8429444811601865</v>
      </c>
      <c r="K283" s="37">
        <f t="shared" si="32"/>
        <v>0.82849465505880981</v>
      </c>
      <c r="L283" s="37">
        <f t="shared" si="33"/>
        <v>1.0099349845166892</v>
      </c>
      <c r="M283" s="45">
        <f t="shared" si="34"/>
        <v>3.6143486070787184E-2</v>
      </c>
    </row>
    <row r="284" spans="1:13" s="6" customFormat="1" ht="16.5" customHeight="1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35"/>
        <v>260.8</v>
      </c>
      <c r="G284" s="70">
        <f t="shared" ref="G284:G347" si="36">2/232188.71*F284</f>
        <v>2.2464485891669759E-3</v>
      </c>
      <c r="H284" s="316">
        <f t="shared" ref="H284:H347" si="37">G284*2269.13</f>
        <v>5.0974838871364607</v>
      </c>
      <c r="I284" s="96">
        <f t="shared" ref="I284:I347" si="38">H284*0.3677</f>
        <v>1.8743448253000767</v>
      </c>
      <c r="J284" s="316">
        <v>2.0190981117018754</v>
      </c>
      <c r="K284" s="37">
        <f t="shared" ref="K284:K347" si="39">G284*193.77</f>
        <v>0.43529434312288495</v>
      </c>
      <c r="L284" s="37">
        <f t="shared" ref="L284:L347" si="40">K284*1.219</f>
        <v>0.53062380426679678</v>
      </c>
      <c r="M284" s="45">
        <f t="shared" si="34"/>
        <v>5.1707192360182654E-2</v>
      </c>
    </row>
    <row r="285" spans="1:13" s="6" customFormat="1" ht="16.5" customHeight="1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35"/>
        <v>282.8</v>
      </c>
      <c r="G285" s="70">
        <f t="shared" si="36"/>
        <v>2.435949620461736E-3</v>
      </c>
      <c r="H285" s="316">
        <f t="shared" si="37"/>
        <v>5.5274863622783394</v>
      </c>
      <c r="I285" s="96">
        <f t="shared" si="38"/>
        <v>2.0324567354097454</v>
      </c>
      <c r="J285" s="316">
        <v>2.189420805173659</v>
      </c>
      <c r="K285" s="37">
        <f t="shared" si="39"/>
        <v>0.47201395795687062</v>
      </c>
      <c r="L285" s="37">
        <f t="shared" si="40"/>
        <v>0.57538501474942538</v>
      </c>
      <c r="M285" s="45">
        <f t="shared" si="34"/>
        <v>3.6143486070787177E-2</v>
      </c>
    </row>
    <row r="286" spans="1:13" s="6" customFormat="1" ht="16.5" customHeight="1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35"/>
        <v>227.3</v>
      </c>
      <c r="G286" s="70">
        <f t="shared" si="36"/>
        <v>1.9578902006044999E-3</v>
      </c>
      <c r="H286" s="316">
        <f t="shared" si="37"/>
        <v>4.4427073908976888</v>
      </c>
      <c r="I286" s="96">
        <f t="shared" si="38"/>
        <v>1.6335835076330802</v>
      </c>
      <c r="J286" s="316">
        <v>1.7597431011880222</v>
      </c>
      <c r="K286" s="37">
        <f t="shared" si="39"/>
        <v>0.37938038417113396</v>
      </c>
      <c r="L286" s="37">
        <f t="shared" si="40"/>
        <v>0.46246468830461235</v>
      </c>
      <c r="M286" s="45">
        <f t="shared" si="34"/>
        <v>3.6143486070787177E-2</v>
      </c>
    </row>
    <row r="287" spans="1:13" s="6" customFormat="1" ht="16.5" customHeight="1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35"/>
        <v>7849.73</v>
      </c>
      <c r="G287" s="70">
        <f t="shared" si="36"/>
        <v>6.7615087744791733E-2</v>
      </c>
      <c r="H287" s="316">
        <f t="shared" si="37"/>
        <v>153.42742405433927</v>
      </c>
      <c r="I287" s="96">
        <f t="shared" si="38"/>
        <v>56.415263824780553</v>
      </c>
      <c r="J287" s="316">
        <v>60.772143483012115</v>
      </c>
      <c r="K287" s="37">
        <f t="shared" si="39"/>
        <v>13.101775552308295</v>
      </c>
      <c r="L287" s="37">
        <f t="shared" si="40"/>
        <v>15.971064398263813</v>
      </c>
      <c r="M287" s="45">
        <f t="shared" si="34"/>
        <v>3.6143486070787184E-2</v>
      </c>
    </row>
    <row r="288" spans="1:13" s="6" customFormat="1" ht="16.5" customHeight="1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35"/>
        <v>454.20000000000005</v>
      </c>
      <c r="G288" s="70">
        <f t="shared" si="36"/>
        <v>3.9123349279127318E-3</v>
      </c>
      <c r="H288" s="316">
        <f t="shared" si="37"/>
        <v>8.8775965549746179</v>
      </c>
      <c r="I288" s="96">
        <f t="shared" si="38"/>
        <v>3.2642922532641672</v>
      </c>
      <c r="J288" s="316">
        <v>3.5163894261311031</v>
      </c>
      <c r="K288" s="37">
        <f t="shared" si="39"/>
        <v>0.75809313898165009</v>
      </c>
      <c r="L288" s="37">
        <f t="shared" si="40"/>
        <v>0.92411553641863153</v>
      </c>
      <c r="M288" s="45">
        <f t="shared" si="34"/>
        <v>4.2255782170789027E-2</v>
      </c>
    </row>
    <row r="289" spans="1:13" s="6" customFormat="1" ht="16.5" customHeight="1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35"/>
        <v>493.90000000000003</v>
      </c>
      <c r="G289" s="70">
        <f t="shared" si="36"/>
        <v>4.2542981525673668E-3</v>
      </c>
      <c r="H289" s="316">
        <f t="shared" si="37"/>
        <v>9.6535555669351893</v>
      </c>
      <c r="I289" s="96">
        <f t="shared" si="38"/>
        <v>3.5496123819620693</v>
      </c>
      <c r="J289" s="316">
        <v>3.8237444684415496</v>
      </c>
      <c r="K289" s="37">
        <f t="shared" si="39"/>
        <v>0.82435535302297869</v>
      </c>
      <c r="L289" s="37">
        <f t="shared" si="40"/>
        <v>1.0048891753350111</v>
      </c>
      <c r="M289" s="45">
        <f t="shared" si="34"/>
        <v>4.6977020448320493E-2</v>
      </c>
    </row>
    <row r="290" spans="1:13" s="6" customFormat="1" ht="16.5" customHeight="1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35"/>
        <v>698.82</v>
      </c>
      <c r="G290" s="70">
        <f t="shared" si="36"/>
        <v>6.0194141222456518E-3</v>
      </c>
      <c r="H290" s="316">
        <f t="shared" si="37"/>
        <v>13.658833167211277</v>
      </c>
      <c r="I290" s="96">
        <f t="shared" si="38"/>
        <v>5.0223529555835871</v>
      </c>
      <c r="J290" s="316">
        <v>5.4102229387250942</v>
      </c>
      <c r="K290" s="37">
        <f t="shared" si="39"/>
        <v>1.16638187446754</v>
      </c>
      <c r="L290" s="37">
        <f t="shared" si="40"/>
        <v>1.4218195049759315</v>
      </c>
      <c r="M290" s="45">
        <f t="shared" si="34"/>
        <v>4.3523902219443578E-2</v>
      </c>
    </row>
    <row r="291" spans="1:13" s="6" customFormat="1" ht="16.5" customHeight="1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35"/>
        <v>559.52</v>
      </c>
      <c r="G291" s="70">
        <f t="shared" si="36"/>
        <v>4.8195280468201927E-3</v>
      </c>
      <c r="H291" s="316">
        <f t="shared" si="37"/>
        <v>10.936135676881104</v>
      </c>
      <c r="I291" s="96">
        <f t="shared" si="38"/>
        <v>4.0212170883891822</v>
      </c>
      <c r="J291" s="316">
        <v>4.3317706114242069</v>
      </c>
      <c r="K291" s="37">
        <f t="shared" si="39"/>
        <v>0.93387994963234877</v>
      </c>
      <c r="L291" s="37">
        <f t="shared" si="40"/>
        <v>1.1383996586018332</v>
      </c>
      <c r="M291" s="45">
        <f t="shared" si="34"/>
        <v>4.2252733538771556E-2</v>
      </c>
    </row>
    <row r="292" spans="1:13" s="6" customFormat="1" ht="16.5" customHeight="1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35"/>
        <v>958</v>
      </c>
      <c r="G292" s="70">
        <f t="shared" si="36"/>
        <v>8.2519085445627409E-3</v>
      </c>
      <c r="H292" s="316">
        <f t="shared" si="37"/>
        <v>18.724653235723654</v>
      </c>
      <c r="I292" s="96">
        <f t="shared" si="38"/>
        <v>6.8850549947755884</v>
      </c>
      <c r="J292" s="316">
        <v>7.4167791066349551</v>
      </c>
      <c r="K292" s="37">
        <f t="shared" si="39"/>
        <v>1.5989723186799223</v>
      </c>
      <c r="L292" s="37">
        <f t="shared" si="40"/>
        <v>1.9491472564708254</v>
      </c>
      <c r="M292" s="45">
        <f t="shared" si="34"/>
        <v>4.4323425058645824E-2</v>
      </c>
    </row>
    <row r="293" spans="1:13" s="6" customFormat="1" ht="16.5" customHeight="1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35"/>
        <v>700</v>
      </c>
      <c r="G293" s="70">
        <f t="shared" si="36"/>
        <v>6.0295782684696431E-3</v>
      </c>
      <c r="H293" s="316">
        <f t="shared" si="37"/>
        <v>13.681896936332523</v>
      </c>
      <c r="I293" s="96">
        <f t="shared" si="38"/>
        <v>5.0308335034894691</v>
      </c>
      <c r="J293" s="316">
        <v>5.4193584286476701</v>
      </c>
      <c r="K293" s="37">
        <f t="shared" si="39"/>
        <v>1.1683513810813628</v>
      </c>
      <c r="L293" s="37">
        <f t="shared" si="40"/>
        <v>1.4242203335381813</v>
      </c>
      <c r="M293" s="45">
        <f t="shared" si="34"/>
        <v>3.7415617050504321E-2</v>
      </c>
    </row>
    <row r="294" spans="1:13" s="6" customFormat="1" ht="16.5" customHeight="1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35"/>
        <v>209.86</v>
      </c>
      <c r="G294" s="70">
        <f t="shared" si="36"/>
        <v>1.8076675648871993E-3</v>
      </c>
      <c r="H294" s="316">
        <f t="shared" si="37"/>
        <v>4.1018327015124907</v>
      </c>
      <c r="I294" s="96">
        <f t="shared" si="38"/>
        <v>1.508243884346143</v>
      </c>
      <c r="J294" s="316">
        <v>1.6247236569085719</v>
      </c>
      <c r="K294" s="37">
        <f t="shared" si="39"/>
        <v>0.35027174404819261</v>
      </c>
      <c r="L294" s="37">
        <f t="shared" si="40"/>
        <v>0.42698125599474684</v>
      </c>
      <c r="M294" s="45">
        <f t="shared" si="34"/>
        <v>3.6143486070787184E-2</v>
      </c>
    </row>
    <row r="295" spans="1:13" s="6" customFormat="1" ht="16.5" customHeight="1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35"/>
        <v>577.53</v>
      </c>
      <c r="G295" s="70">
        <f t="shared" si="36"/>
        <v>4.9746604819846758E-3</v>
      </c>
      <c r="H295" s="316">
        <f t="shared" si="37"/>
        <v>11.288151339485887</v>
      </c>
      <c r="I295" s="96">
        <f t="shared" si="38"/>
        <v>4.150653247528961</v>
      </c>
      <c r="J295" s="316">
        <v>4.4712029618526987</v>
      </c>
      <c r="K295" s="37">
        <f t="shared" si="39"/>
        <v>0.96393996159417072</v>
      </c>
      <c r="L295" s="37">
        <f t="shared" si="40"/>
        <v>1.1750428131832942</v>
      </c>
      <c r="M295" s="45">
        <f t="shared" si="34"/>
        <v>3.6143486070787177E-2</v>
      </c>
    </row>
    <row r="296" spans="1:13" s="6" customFormat="1" ht="16.5" customHeight="1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35"/>
        <v>265.16000000000003</v>
      </c>
      <c r="G296" s="70">
        <f t="shared" si="36"/>
        <v>2.284004248096301E-3</v>
      </c>
      <c r="H296" s="316">
        <f t="shared" si="37"/>
        <v>5.1827025594827596</v>
      </c>
      <c r="I296" s="96">
        <f t="shared" si="38"/>
        <v>1.9056797311218108</v>
      </c>
      <c r="J296" s="316">
        <v>2.0528529727717379</v>
      </c>
      <c r="K296" s="37">
        <f t="shared" si="39"/>
        <v>0.44257150315362026</v>
      </c>
      <c r="L296" s="37">
        <f t="shared" si="40"/>
        <v>0.53949466234426313</v>
      </c>
      <c r="M296" s="45">
        <f t="shared" si="34"/>
        <v>3.6143486070787177E-2</v>
      </c>
    </row>
    <row r="297" spans="1:13" s="6" customFormat="1" ht="16.5" customHeight="1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35"/>
        <v>134.88</v>
      </c>
      <c r="G297" s="70">
        <f t="shared" si="36"/>
        <v>1.1618135955016936E-3</v>
      </c>
      <c r="H297" s="316">
        <f t="shared" si="37"/>
        <v>2.6363060839607582</v>
      </c>
      <c r="I297" s="96">
        <f t="shared" si="38"/>
        <v>0.96936974707237089</v>
      </c>
      <c r="J297" s="316">
        <v>1.0442329497942826</v>
      </c>
      <c r="K297" s="37">
        <f t="shared" si="39"/>
        <v>0.22512462040036318</v>
      </c>
      <c r="L297" s="37">
        <f t="shared" si="40"/>
        <v>0.27442691226804272</v>
      </c>
      <c r="M297" s="45">
        <f t="shared" si="34"/>
        <v>3.6143486070787177E-2</v>
      </c>
    </row>
    <row r="298" spans="1:13" s="6" customFormat="1" ht="16.5" customHeight="1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35"/>
        <v>427.34000000000003</v>
      </c>
      <c r="G298" s="70">
        <f t="shared" si="36"/>
        <v>3.6809713960683109E-3</v>
      </c>
      <c r="H298" s="316">
        <f t="shared" si="37"/>
        <v>8.352602623960486</v>
      </c>
      <c r="I298" s="96">
        <f t="shared" si="38"/>
        <v>3.0712519848302708</v>
      </c>
      <c r="J298" s="316">
        <v>3.3084409012832796</v>
      </c>
      <c r="K298" s="37">
        <f t="shared" si="39"/>
        <v>0.71326182741615662</v>
      </c>
      <c r="L298" s="37">
        <f t="shared" si="40"/>
        <v>0.86946616762029494</v>
      </c>
      <c r="M298" s="45">
        <f t="shared" si="34"/>
        <v>4.0250058209960374E-2</v>
      </c>
    </row>
    <row r="299" spans="1:13" s="6" customFormat="1" ht="16.5" customHeight="1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35"/>
        <v>603</v>
      </c>
      <c r="G299" s="70">
        <f t="shared" si="36"/>
        <v>5.1940509941245643E-3</v>
      </c>
      <c r="H299" s="316">
        <f t="shared" si="37"/>
        <v>11.785976932297872</v>
      </c>
      <c r="I299" s="96">
        <f t="shared" si="38"/>
        <v>4.3337037180059284</v>
      </c>
      <c r="J299" s="316">
        <v>4.6683901892493509</v>
      </c>
      <c r="K299" s="37">
        <f t="shared" si="39"/>
        <v>1.0064512611315168</v>
      </c>
      <c r="L299" s="37">
        <f t="shared" si="40"/>
        <v>1.2268640873193191</v>
      </c>
      <c r="M299" s="45">
        <f t="shared" si="34"/>
        <v>3.8276294521750381E-2</v>
      </c>
    </row>
    <row r="300" spans="1:13" s="6" customFormat="1" ht="16.5" customHeight="1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35"/>
        <v>375.70000000000005</v>
      </c>
      <c r="G300" s="70">
        <f t="shared" si="36"/>
        <v>3.2361607935200648E-3</v>
      </c>
      <c r="H300" s="316">
        <f t="shared" si="37"/>
        <v>7.3432695414001854</v>
      </c>
      <c r="I300" s="96">
        <f t="shared" si="38"/>
        <v>2.7001202103728486</v>
      </c>
      <c r="J300" s="316">
        <v>2.9086470880613287</v>
      </c>
      <c r="K300" s="37">
        <f t="shared" si="39"/>
        <v>0.62707087696038299</v>
      </c>
      <c r="L300" s="37">
        <f t="shared" si="40"/>
        <v>0.76439939901470688</v>
      </c>
      <c r="M300" s="45">
        <f t="shared" si="34"/>
        <v>3.986819646739502E-2</v>
      </c>
    </row>
    <row r="301" spans="1:13" s="6" customFormat="1" ht="16.5" customHeight="1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35"/>
        <v>607.62</v>
      </c>
      <c r="G301" s="70">
        <f t="shared" si="36"/>
        <v>5.2338462106964641E-3</v>
      </c>
      <c r="H301" s="316">
        <f t="shared" si="37"/>
        <v>11.876277452077668</v>
      </c>
      <c r="I301" s="96">
        <f t="shared" si="38"/>
        <v>4.3669072191289589</v>
      </c>
      <c r="J301" s="316">
        <v>4.7041579548784247</v>
      </c>
      <c r="K301" s="37">
        <f t="shared" si="39"/>
        <v>1.0141623802466539</v>
      </c>
      <c r="L301" s="37">
        <f t="shared" si="40"/>
        <v>1.2362639415206713</v>
      </c>
      <c r="M301" s="45">
        <f t="shared" si="34"/>
        <v>3.7354580565947253E-2</v>
      </c>
    </row>
    <row r="302" spans="1:13" s="6" customFormat="1" ht="16.5" customHeight="1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35"/>
        <v>400.32000000000005</v>
      </c>
      <c r="G302" s="70">
        <f t="shared" si="36"/>
        <v>3.4482296749053826E-3</v>
      </c>
      <c r="H302" s="316">
        <f t="shared" si="37"/>
        <v>7.8244814022180513</v>
      </c>
      <c r="I302" s="96">
        <f t="shared" si="38"/>
        <v>2.8770618115955777</v>
      </c>
      <c r="J302" s="316">
        <v>3.0992536659374799</v>
      </c>
      <c r="K302" s="37">
        <f t="shared" si="39"/>
        <v>0.66816346410641603</v>
      </c>
      <c r="L302" s="37">
        <f t="shared" si="40"/>
        <v>0.81449126274572115</v>
      </c>
      <c r="M302" s="45">
        <f t="shared" si="34"/>
        <v>3.92943358423158E-2</v>
      </c>
    </row>
    <row r="303" spans="1:13" s="6" customFormat="1" ht="16.5" customHeight="1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35"/>
        <v>311.52000000000004</v>
      </c>
      <c r="G303" s="70">
        <f t="shared" si="36"/>
        <v>2.6833346031338049E-3</v>
      </c>
      <c r="H303" s="316">
        <f t="shared" si="37"/>
        <v>6.0888350480090114</v>
      </c>
      <c r="I303" s="96">
        <f t="shared" si="38"/>
        <v>2.2388646471529134</v>
      </c>
      <c r="J303" s="316">
        <v>2.4117693395604611</v>
      </c>
      <c r="K303" s="37">
        <f t="shared" si="39"/>
        <v>0.51994974604923738</v>
      </c>
      <c r="L303" s="37">
        <f t="shared" si="40"/>
        <v>0.63381874043402042</v>
      </c>
      <c r="M303" s="45">
        <f t="shared" si="34"/>
        <v>4.2056696476810186E-2</v>
      </c>
    </row>
    <row r="304" spans="1:13" s="6" customFormat="1" ht="16.5" customHeight="1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35"/>
        <v>451.70000000000005</v>
      </c>
      <c r="G304" s="70">
        <f t="shared" si="36"/>
        <v>3.8908007198110548E-3</v>
      </c>
      <c r="H304" s="316">
        <f t="shared" si="37"/>
        <v>8.8287326373448582</v>
      </c>
      <c r="I304" s="96">
        <f t="shared" si="38"/>
        <v>3.2463249907517047</v>
      </c>
      <c r="J304" s="316">
        <v>3.4970345746002192</v>
      </c>
      <c r="K304" s="37">
        <f t="shared" si="39"/>
        <v>0.75392045547778808</v>
      </c>
      <c r="L304" s="37">
        <f t="shared" si="40"/>
        <v>0.91902903522742374</v>
      </c>
      <c r="M304" s="45">
        <f t="shared" si="34"/>
        <v>3.9809833353266447E-2</v>
      </c>
    </row>
    <row r="305" spans="1:13" s="6" customFormat="1" ht="16.5" customHeight="1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35"/>
        <v>529.70000000000005</v>
      </c>
      <c r="G305" s="70">
        <f t="shared" si="36"/>
        <v>4.5626680125833863E-3</v>
      </c>
      <c r="H305" s="316">
        <f t="shared" si="37"/>
        <v>10.35328686739334</v>
      </c>
      <c r="I305" s="96">
        <f t="shared" si="38"/>
        <v>3.8069035811405314</v>
      </c>
      <c r="J305" s="316">
        <v>4.1009059423638163</v>
      </c>
      <c r="K305" s="37">
        <f t="shared" si="39"/>
        <v>0.88410818079828279</v>
      </c>
      <c r="L305" s="37">
        <f t="shared" si="40"/>
        <v>1.0777278723931067</v>
      </c>
      <c r="M305" s="45">
        <f t="shared" si="34"/>
        <v>4.0856177062944879E-2</v>
      </c>
    </row>
    <row r="306" spans="1:13" s="6" customFormat="1" ht="16.5" customHeight="1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35"/>
        <v>306.10000000000002</v>
      </c>
      <c r="G306" s="70">
        <f t="shared" si="36"/>
        <v>2.6366484399693683E-3</v>
      </c>
      <c r="H306" s="316">
        <f t="shared" si="37"/>
        <v>5.982898074587693</v>
      </c>
      <c r="I306" s="96">
        <f t="shared" si="38"/>
        <v>2.199911622025895</v>
      </c>
      <c r="J306" s="316">
        <v>2.3698080214415027</v>
      </c>
      <c r="K306" s="37">
        <f t="shared" si="39"/>
        <v>0.51090336821286453</v>
      </c>
      <c r="L306" s="37">
        <f t="shared" si="40"/>
        <v>0.62279120585148195</v>
      </c>
      <c r="M306" s="45">
        <f t="shared" si="34"/>
        <v>4.1343501817144815E-2</v>
      </c>
    </row>
    <row r="307" spans="1:13" s="6" customFormat="1" ht="16.5" customHeight="1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35"/>
        <v>551.6</v>
      </c>
      <c r="G307" s="70">
        <f t="shared" si="36"/>
        <v>4.7513076755540794E-3</v>
      </c>
      <c r="H307" s="316">
        <f t="shared" si="37"/>
        <v>10.78133478583003</v>
      </c>
      <c r="I307" s="96">
        <f t="shared" si="38"/>
        <v>3.9642968007497021</v>
      </c>
      <c r="J307" s="316">
        <v>4.2704544417743646</v>
      </c>
      <c r="K307" s="37">
        <f t="shared" si="39"/>
        <v>0.92066088829211401</v>
      </c>
      <c r="L307" s="37">
        <f t="shared" si="40"/>
        <v>1.1222856228280871</v>
      </c>
      <c r="M307" s="45">
        <f t="shared" si="34"/>
        <v>3.6143486070787184E-2</v>
      </c>
    </row>
    <row r="308" spans="1:13" s="6" customFormat="1" ht="16.5" customHeight="1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35"/>
        <v>329.2</v>
      </c>
      <c r="G308" s="70">
        <f t="shared" si="36"/>
        <v>2.8356245228288663E-3</v>
      </c>
      <c r="H308" s="316">
        <f t="shared" si="37"/>
        <v>6.4344006734866657</v>
      </c>
      <c r="I308" s="96">
        <f t="shared" si="38"/>
        <v>2.365929127641047</v>
      </c>
      <c r="J308" s="316">
        <v>2.5486468495868757</v>
      </c>
      <c r="K308" s="37">
        <f t="shared" si="39"/>
        <v>0.54945896378854941</v>
      </c>
      <c r="L308" s="37">
        <f t="shared" si="40"/>
        <v>0.66979047685824178</v>
      </c>
      <c r="M308" s="45">
        <f t="shared" si="34"/>
        <v>4.0860012412442095E-2</v>
      </c>
    </row>
    <row r="309" spans="1:13" s="6" customFormat="1" ht="16.5" customHeight="1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35"/>
        <v>631.40000000000009</v>
      </c>
      <c r="G309" s="70">
        <f t="shared" si="36"/>
        <v>5.4386795981596191E-3</v>
      </c>
      <c r="H309" s="316">
        <f t="shared" si="37"/>
        <v>12.341071036571938</v>
      </c>
      <c r="I309" s="96">
        <f t="shared" si="38"/>
        <v>4.5378118201475015</v>
      </c>
      <c r="J309" s="316">
        <v>4.8882613026401991</v>
      </c>
      <c r="K309" s="37">
        <f t="shared" si="39"/>
        <v>1.0538529457353893</v>
      </c>
      <c r="L309" s="37">
        <f t="shared" si="40"/>
        <v>1.2846467408514397</v>
      </c>
      <c r="M309" s="45">
        <f t="shared" si="34"/>
        <v>3.6766549226832652E-2</v>
      </c>
    </row>
    <row r="310" spans="1:13" s="6" customFormat="1" ht="16.5" customHeight="1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35"/>
        <v>373.3</v>
      </c>
      <c r="G310" s="70">
        <f t="shared" si="36"/>
        <v>3.2154879537424543E-3</v>
      </c>
      <c r="H310" s="316">
        <f t="shared" si="37"/>
        <v>7.2963601804756157</v>
      </c>
      <c r="I310" s="96">
        <f t="shared" si="38"/>
        <v>2.6828716383608842</v>
      </c>
      <c r="J310" s="316">
        <v>2.8900664305916797</v>
      </c>
      <c r="K310" s="37">
        <f t="shared" si="39"/>
        <v>0.62306510079667543</v>
      </c>
      <c r="L310" s="37">
        <f t="shared" si="40"/>
        <v>0.75951635787114735</v>
      </c>
      <c r="M310" s="45">
        <f t="shared" si="34"/>
        <v>3.6143486070787184E-2</v>
      </c>
    </row>
    <row r="311" spans="1:13" s="6" customFormat="1" ht="16.5" customHeight="1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35"/>
        <v>918.4</v>
      </c>
      <c r="G311" s="70">
        <f t="shared" si="36"/>
        <v>7.910806688232172E-3</v>
      </c>
      <c r="H311" s="316">
        <f t="shared" si="37"/>
        <v>17.950648780468271</v>
      </c>
      <c r="I311" s="96">
        <f t="shared" si="38"/>
        <v>6.6004535565781834</v>
      </c>
      <c r="J311" s="316">
        <v>7.1101982583857444</v>
      </c>
      <c r="K311" s="37">
        <f t="shared" si="39"/>
        <v>1.532877011978748</v>
      </c>
      <c r="L311" s="37">
        <f t="shared" si="40"/>
        <v>1.868577077602094</v>
      </c>
      <c r="M311" s="45">
        <f t="shared" si="34"/>
        <v>3.8987758524090851E-2</v>
      </c>
    </row>
    <row r="312" spans="1:13" s="6" customFormat="1" ht="16.5" customHeight="1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35"/>
        <v>778.80000000000007</v>
      </c>
      <c r="G312" s="70">
        <f t="shared" si="36"/>
        <v>6.7083365078345128E-3</v>
      </c>
      <c r="H312" s="316">
        <f t="shared" si="37"/>
        <v>15.222087620022529</v>
      </c>
      <c r="I312" s="96">
        <f t="shared" si="38"/>
        <v>5.5971616178822847</v>
      </c>
      <c r="J312" s="316">
        <v>6.0294233489011519</v>
      </c>
      <c r="K312" s="37">
        <f t="shared" si="39"/>
        <v>1.2998743651230935</v>
      </c>
      <c r="L312" s="37">
        <f t="shared" si="40"/>
        <v>1.5845468510850511</v>
      </c>
      <c r="M312" s="45">
        <f t="shared" si="34"/>
        <v>3.7204000729485938E-2</v>
      </c>
    </row>
    <row r="313" spans="1:13" s="6" customFormat="1" ht="16.5" customHeight="1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35"/>
        <v>806.91</v>
      </c>
      <c r="G313" s="70">
        <f t="shared" si="36"/>
        <v>6.9504671437297712E-3</v>
      </c>
      <c r="H313" s="316">
        <f t="shared" si="37"/>
        <v>15.771513509851536</v>
      </c>
      <c r="I313" s="96">
        <f t="shared" si="38"/>
        <v>5.7991855175724103</v>
      </c>
      <c r="J313" s="316">
        <v>6.2470492995144173</v>
      </c>
      <c r="K313" s="37">
        <f t="shared" si="39"/>
        <v>1.3467920184405178</v>
      </c>
      <c r="L313" s="37">
        <f t="shared" si="40"/>
        <v>1.6417394704789914</v>
      </c>
      <c r="M313" s="45">
        <f t="shared" si="34"/>
        <v>3.6143486070787177E-2</v>
      </c>
    </row>
    <row r="314" spans="1:13" s="6" customFormat="1" ht="16.5" customHeight="1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35"/>
        <v>805</v>
      </c>
      <c r="G314" s="70">
        <f t="shared" si="36"/>
        <v>6.9340150087400902E-3</v>
      </c>
      <c r="H314" s="316">
        <f t="shared" si="37"/>
        <v>15.734181476782402</v>
      </c>
      <c r="I314" s="96">
        <f t="shared" si="38"/>
        <v>5.7854585290128897</v>
      </c>
      <c r="J314" s="316">
        <v>6.2322621929448214</v>
      </c>
      <c r="K314" s="37">
        <f t="shared" si="39"/>
        <v>1.3436040882435674</v>
      </c>
      <c r="L314" s="37">
        <f t="shared" si="40"/>
        <v>1.6378533835689086</v>
      </c>
      <c r="M314" s="45">
        <f t="shared" si="34"/>
        <v>3.8732037123247708E-2</v>
      </c>
    </row>
    <row r="315" spans="1:13" s="6" customFormat="1" ht="16.5" customHeight="1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35"/>
        <v>491.9</v>
      </c>
      <c r="G315" s="70">
        <f t="shared" si="36"/>
        <v>4.2370707860860252E-3</v>
      </c>
      <c r="H315" s="316">
        <f t="shared" si="37"/>
        <v>9.6144644328313831</v>
      </c>
      <c r="I315" s="96">
        <f t="shared" si="38"/>
        <v>3.5352385719521</v>
      </c>
      <c r="J315" s="316">
        <v>3.808260587216842</v>
      </c>
      <c r="K315" s="37">
        <f t="shared" si="39"/>
        <v>0.82101720621988916</v>
      </c>
      <c r="L315" s="37">
        <f t="shared" si="40"/>
        <v>1.000819974382045</v>
      </c>
      <c r="M315" s="45">
        <f t="shared" si="34"/>
        <v>4.1656468599391316E-2</v>
      </c>
    </row>
    <row r="316" spans="1:13" s="6" customFormat="1" ht="16.5" customHeight="1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35"/>
        <v>640.20000000000005</v>
      </c>
      <c r="G316" s="70">
        <f t="shared" si="36"/>
        <v>5.5144800106775227E-3</v>
      </c>
      <c r="H316" s="316">
        <f t="shared" si="37"/>
        <v>12.513072026628688</v>
      </c>
      <c r="I316" s="96">
        <f t="shared" si="38"/>
        <v>4.6010565841913689</v>
      </c>
      <c r="J316" s="316">
        <v>4.9563903800289131</v>
      </c>
      <c r="K316" s="37">
        <f t="shared" si="39"/>
        <v>1.0685407916689835</v>
      </c>
      <c r="L316" s="37">
        <f t="shared" si="40"/>
        <v>1.3025512250444911</v>
      </c>
      <c r="M316" s="45">
        <f t="shared" si="34"/>
        <v>3.6143486070787177E-2</v>
      </c>
    </row>
    <row r="317" spans="1:13" s="6" customFormat="1" ht="16.5" customHeight="1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35"/>
        <v>537.94000000000005</v>
      </c>
      <c r="G317" s="70">
        <f t="shared" si="36"/>
        <v>4.633644762486515E-3</v>
      </c>
      <c r="H317" s="316">
        <f t="shared" si="37"/>
        <v>10.514342339901026</v>
      </c>
      <c r="I317" s="96">
        <f t="shared" si="38"/>
        <v>3.8661236783816073</v>
      </c>
      <c r="J317" s="316">
        <v>4.1646995330096122</v>
      </c>
      <c r="K317" s="37">
        <f t="shared" si="39"/>
        <v>0.89786134562701203</v>
      </c>
      <c r="L317" s="37">
        <f t="shared" si="40"/>
        <v>1.0944929803193277</v>
      </c>
      <c r="M317" s="45">
        <f t="shared" si="34"/>
        <v>3.6143486070787177E-2</v>
      </c>
    </row>
    <row r="318" spans="1:13" s="6" customFormat="1" ht="16.5" customHeight="1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35"/>
        <v>929.9</v>
      </c>
      <c r="G318" s="70">
        <f t="shared" si="36"/>
        <v>8.0098640454998871E-3</v>
      </c>
      <c r="H318" s="316">
        <f t="shared" si="37"/>
        <v>18.175422801565158</v>
      </c>
      <c r="I318" s="96">
        <f t="shared" si="38"/>
        <v>6.6831029641355091</v>
      </c>
      <c r="J318" s="316">
        <v>7.1992305754278121</v>
      </c>
      <c r="K318" s="37">
        <f t="shared" si="39"/>
        <v>1.5520713560965131</v>
      </c>
      <c r="L318" s="37">
        <f t="shared" si="40"/>
        <v>1.8919749830816497</v>
      </c>
      <c r="M318" s="45">
        <f t="shared" si="34"/>
        <v>3.71215238537939E-2</v>
      </c>
    </row>
    <row r="319" spans="1:13" s="6" customFormat="1" ht="16.5" customHeight="1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35"/>
        <v>1417.36</v>
      </c>
      <c r="G319" s="70">
        <f t="shared" si="36"/>
        <v>1.2208690077997334E-2</v>
      </c>
      <c r="H319" s="316">
        <f t="shared" si="37"/>
        <v>27.70310491668609</v>
      </c>
      <c r="I319" s="96">
        <f t="shared" si="38"/>
        <v>10.186431677865476</v>
      </c>
      <c r="J319" s="316">
        <v>10.973116946325803</v>
      </c>
      <c r="K319" s="37">
        <f t="shared" si="39"/>
        <v>2.3656778764135433</v>
      </c>
      <c r="L319" s="37">
        <f t="shared" si="40"/>
        <v>2.8837613313481096</v>
      </c>
      <c r="M319" s="45">
        <f t="shared" si="34"/>
        <v>3.7866690875102318E-2</v>
      </c>
    </row>
    <row r="320" spans="1:13" s="6" customFormat="1" ht="16.5" customHeight="1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35"/>
        <v>785.9799999999999</v>
      </c>
      <c r="G320" s="70">
        <f t="shared" si="36"/>
        <v>6.7701827535025282E-3</v>
      </c>
      <c r="H320" s="316">
        <f t="shared" si="37"/>
        <v>15.362424791455192</v>
      </c>
      <c r="I320" s="96">
        <f t="shared" si="38"/>
        <v>5.6487635958180746</v>
      </c>
      <c r="J320" s="316">
        <v>6.085010482497851</v>
      </c>
      <c r="K320" s="37">
        <f t="shared" si="39"/>
        <v>1.3118583121461849</v>
      </c>
      <c r="L320" s="37">
        <f t="shared" si="40"/>
        <v>1.5991552825061994</v>
      </c>
      <c r="M320" s="45">
        <f t="shared" si="34"/>
        <v>3.9173801238199212E-2</v>
      </c>
    </row>
    <row r="321" spans="1:13" s="6" customFormat="1" ht="16.5" customHeight="1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35"/>
        <v>485.67999999999995</v>
      </c>
      <c r="G321" s="70">
        <f t="shared" si="36"/>
        <v>4.1834936763290517E-3</v>
      </c>
      <c r="H321" s="316">
        <f t="shared" si="37"/>
        <v>9.4928910057685414</v>
      </c>
      <c r="I321" s="96">
        <f t="shared" si="38"/>
        <v>3.4905360228210931</v>
      </c>
      <c r="J321" s="316">
        <v>3.7601057166080007</v>
      </c>
      <c r="K321" s="37">
        <f t="shared" si="39"/>
        <v>0.81063556966228034</v>
      </c>
      <c r="L321" s="37">
        <f t="shared" si="40"/>
        <v>0.98816475941831983</v>
      </c>
      <c r="M321" s="45">
        <f t="shared" si="34"/>
        <v>4.117990127348202E-2</v>
      </c>
    </row>
    <row r="322" spans="1:13" s="6" customFormat="1" ht="16.5" customHeight="1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35"/>
        <v>461.17</v>
      </c>
      <c r="G322" s="70">
        <f t="shared" si="36"/>
        <v>3.9723723001002078E-3</v>
      </c>
      <c r="H322" s="316">
        <f t="shared" si="37"/>
        <v>9.0138291573263842</v>
      </c>
      <c r="I322" s="96">
        <f t="shared" si="38"/>
        <v>3.3143849811489119</v>
      </c>
      <c r="J322" s="316">
        <v>3.5703507521992091</v>
      </c>
      <c r="K322" s="37">
        <f t="shared" si="39"/>
        <v>0.76972658059041732</v>
      </c>
      <c r="L322" s="37">
        <f t="shared" si="40"/>
        <v>0.9382967017397188</v>
      </c>
      <c r="M322" s="45">
        <f t="shared" si="34"/>
        <v>4.1456192880008264E-2</v>
      </c>
    </row>
    <row r="323" spans="1:13" s="6" customFormat="1" ht="16.5" customHeight="1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35"/>
        <v>305.37</v>
      </c>
      <c r="G323" s="70">
        <f t="shared" si="36"/>
        <v>2.6303604512036786E-3</v>
      </c>
      <c r="H323" s="316">
        <f t="shared" si="37"/>
        <v>5.9686298106398032</v>
      </c>
      <c r="I323" s="96">
        <f t="shared" si="38"/>
        <v>2.194665181372256</v>
      </c>
      <c r="J323" s="316">
        <v>2.364156404794485</v>
      </c>
      <c r="K323" s="37">
        <f t="shared" si="39"/>
        <v>0.50968494462973679</v>
      </c>
      <c r="L323" s="37">
        <f t="shared" si="40"/>
        <v>0.6213059475036492</v>
      </c>
      <c r="M323" s="45">
        <f t="shared" si="34"/>
        <v>3.6143486070787177E-2</v>
      </c>
    </row>
    <row r="324" spans="1:13" s="6" customFormat="1" ht="16.5" customHeight="1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35"/>
        <v>170.8</v>
      </c>
      <c r="G324" s="70">
        <f t="shared" si="36"/>
        <v>1.471217097506593E-3</v>
      </c>
      <c r="H324" s="316">
        <f t="shared" si="37"/>
        <v>3.3383828524651356</v>
      </c>
      <c r="I324" s="96">
        <f t="shared" si="38"/>
        <v>1.2275233748514305</v>
      </c>
      <c r="J324" s="316">
        <v>1.3223234565900317</v>
      </c>
      <c r="K324" s="37">
        <f t="shared" si="39"/>
        <v>0.28507773698385253</v>
      </c>
      <c r="L324" s="37">
        <f t="shared" si="40"/>
        <v>0.34750976138331624</v>
      </c>
      <c r="M324" s="45">
        <f t="shared" si="34"/>
        <v>3.6143486070787177E-2</v>
      </c>
    </row>
    <row r="325" spans="1:13" s="6" customFormat="1" ht="16.5" customHeight="1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35"/>
        <v>678.2</v>
      </c>
      <c r="G325" s="70">
        <f t="shared" si="36"/>
        <v>5.8417999738230178E-3</v>
      </c>
      <c r="H325" s="316">
        <f t="shared" si="37"/>
        <v>13.255803574601025</v>
      </c>
      <c r="I325" s="96">
        <f t="shared" si="38"/>
        <v>4.8741589743807969</v>
      </c>
      <c r="J325" s="316">
        <v>5.2505841232983581</v>
      </c>
      <c r="K325" s="37">
        <f t="shared" si="39"/>
        <v>1.1319655809276863</v>
      </c>
      <c r="L325" s="37">
        <f t="shared" si="40"/>
        <v>1.3798660431508496</v>
      </c>
      <c r="M325" s="45">
        <f t="shared" si="34"/>
        <v>3.6143486070787177E-2</v>
      </c>
    </row>
    <row r="326" spans="1:13" s="6" customFormat="1" ht="16.5" customHeight="1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35"/>
        <v>2613.27</v>
      </c>
      <c r="G326" s="70">
        <f t="shared" si="36"/>
        <v>2.2509880002348093E-2</v>
      </c>
      <c r="H326" s="316">
        <f t="shared" si="37"/>
        <v>51.077844009728132</v>
      </c>
      <c r="I326" s="96">
        <f t="shared" si="38"/>
        <v>18.781323242377034</v>
      </c>
      <c r="J326" s="316">
        <v>20.231781144045854</v>
      </c>
      <c r="K326" s="37">
        <f t="shared" si="39"/>
        <v>4.3617394480549905</v>
      </c>
      <c r="L326" s="37">
        <f t="shared" si="40"/>
        <v>5.3169603871790336</v>
      </c>
      <c r="M326" s="45">
        <f t="shared" si="34"/>
        <v>3.6143486070787177E-2</v>
      </c>
    </row>
    <row r="327" spans="1:13" s="6" customFormat="1" ht="16.5" customHeight="1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35"/>
        <v>2055.4499999999998</v>
      </c>
      <c r="G327" s="70">
        <f t="shared" si="36"/>
        <v>1.7704995217037039E-2</v>
      </c>
      <c r="H327" s="316">
        <f t="shared" si="37"/>
        <v>40.174935796835257</v>
      </c>
      <c r="I327" s="96">
        <f t="shared" si="38"/>
        <v>14.772323892496326</v>
      </c>
      <c r="J327" s="316">
        <v>15.913171831662648</v>
      </c>
      <c r="K327" s="37">
        <f t="shared" si="39"/>
        <v>3.4306969232052671</v>
      </c>
      <c r="L327" s="37">
        <f t="shared" si="40"/>
        <v>4.1820195493872205</v>
      </c>
      <c r="M327" s="45">
        <f t="shared" ref="M327:M390" si="41">(K327+J327+I327+H327)/C327</f>
        <v>3.6143486070787177E-2</v>
      </c>
    </row>
    <row r="328" spans="1:13" s="6" customFormat="1" ht="16.5" customHeight="1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35"/>
        <v>3486.96</v>
      </c>
      <c r="G328" s="70">
        <f t="shared" si="36"/>
        <v>3.003556891288987E-2</v>
      </c>
      <c r="H328" s="316">
        <f t="shared" si="37"/>
        <v>68.154610487305789</v>
      </c>
      <c r="I328" s="96">
        <f t="shared" si="38"/>
        <v>25.06045027618234</v>
      </c>
      <c r="J328" s="316">
        <v>26.995837237653262</v>
      </c>
      <c r="K328" s="37">
        <f t="shared" si="39"/>
        <v>5.8199921882506702</v>
      </c>
      <c r="L328" s="37">
        <f t="shared" si="40"/>
        <v>7.0945704774775677</v>
      </c>
      <c r="M328" s="45">
        <f t="shared" si="41"/>
        <v>3.6143486070787177E-2</v>
      </c>
    </row>
    <row r="329" spans="1:13" s="6" customFormat="1" ht="16.5" customHeight="1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35"/>
        <v>394.94</v>
      </c>
      <c r="G329" s="70">
        <f t="shared" si="36"/>
        <v>3.4018880590705727E-3</v>
      </c>
      <c r="H329" s="316">
        <f t="shared" si="37"/>
        <v>7.719326251478809</v>
      </c>
      <c r="I329" s="96">
        <f t="shared" si="38"/>
        <v>2.8383962626687582</v>
      </c>
      <c r="J329" s="316">
        <v>3.0576020254430158</v>
      </c>
      <c r="K329" s="37">
        <f t="shared" si="39"/>
        <v>0.65918384920610495</v>
      </c>
      <c r="L329" s="37">
        <f t="shared" si="40"/>
        <v>0.80354511218224201</v>
      </c>
      <c r="M329" s="45">
        <f t="shared" si="41"/>
        <v>3.6143486070787177E-2</v>
      </c>
    </row>
    <row r="330" spans="1:13" s="6" customFormat="1" ht="16.5" customHeight="1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35"/>
        <v>351.67</v>
      </c>
      <c r="G330" s="70">
        <f t="shared" si="36"/>
        <v>3.0291739852467423E-3</v>
      </c>
      <c r="H330" s="316">
        <f t="shared" si="37"/>
        <v>6.8735895651429404</v>
      </c>
      <c r="I330" s="96">
        <f t="shared" si="38"/>
        <v>2.5274188831030595</v>
      </c>
      <c r="J330" s="316">
        <v>2.7226082551464663</v>
      </c>
      <c r="K330" s="37">
        <f t="shared" si="39"/>
        <v>0.58696304312126124</v>
      </c>
      <c r="L330" s="37">
        <f t="shared" si="40"/>
        <v>0.71550794956481745</v>
      </c>
      <c r="M330" s="45">
        <f t="shared" si="41"/>
        <v>3.8116111633771328E-2</v>
      </c>
    </row>
    <row r="331" spans="1:13" s="6" customFormat="1" ht="16.5" customHeight="1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35"/>
        <v>615.6</v>
      </c>
      <c r="G331" s="70">
        <f t="shared" si="36"/>
        <v>5.302583402957018E-3</v>
      </c>
      <c r="H331" s="316">
        <f t="shared" si="37"/>
        <v>12.032251077151859</v>
      </c>
      <c r="I331" s="96">
        <f t="shared" si="38"/>
        <v>4.424258721068739</v>
      </c>
      <c r="J331" s="316">
        <v>4.7659386409650093</v>
      </c>
      <c r="K331" s="37">
        <f t="shared" si="39"/>
        <v>1.0274815859909814</v>
      </c>
      <c r="L331" s="37">
        <f t="shared" si="40"/>
        <v>1.2525000533230064</v>
      </c>
      <c r="M331" s="45">
        <f t="shared" si="41"/>
        <v>3.6143486070787177E-2</v>
      </c>
    </row>
    <row r="332" spans="1:13" s="6" customFormat="1" ht="16.5" customHeight="1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35"/>
        <v>571.49</v>
      </c>
      <c r="G332" s="70">
        <f t="shared" si="36"/>
        <v>4.9226338352110236E-3</v>
      </c>
      <c r="H332" s="316">
        <f t="shared" si="37"/>
        <v>11.17009611449239</v>
      </c>
      <c r="I332" s="96">
        <f t="shared" si="38"/>
        <v>4.107244341298852</v>
      </c>
      <c r="J332" s="316">
        <v>4.4244416405540816</v>
      </c>
      <c r="K332" s="37">
        <f t="shared" si="39"/>
        <v>0.95385875824884014</v>
      </c>
      <c r="L332" s="37">
        <f t="shared" si="40"/>
        <v>1.1627538263053363</v>
      </c>
      <c r="M332" s="45">
        <f t="shared" si="41"/>
        <v>3.614348607078717E-2</v>
      </c>
    </row>
    <row r="333" spans="1:13" s="6" customFormat="1" ht="16.5" customHeight="1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si="35"/>
        <v>339.26</v>
      </c>
      <c r="G333" s="70">
        <f t="shared" si="36"/>
        <v>2.9222781762300158E-3</v>
      </c>
      <c r="H333" s="316">
        <f t="shared" si="37"/>
        <v>6.6310290780288161</v>
      </c>
      <c r="I333" s="96">
        <f t="shared" si="38"/>
        <v>2.4382293919911957</v>
      </c>
      <c r="J333" s="316">
        <v>2.6265307721471554</v>
      </c>
      <c r="K333" s="37">
        <f t="shared" si="39"/>
        <v>0.56624984220809016</v>
      </c>
      <c r="L333" s="37">
        <f t="shared" si="40"/>
        <v>0.690258557651662</v>
      </c>
      <c r="M333" s="45">
        <f t="shared" si="41"/>
        <v>3.8710819182899536E-2</v>
      </c>
    </row>
    <row r="334" spans="1:13" s="6" customFormat="1" ht="16.5" customHeight="1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si="35"/>
        <v>364.76</v>
      </c>
      <c r="G334" s="70">
        <f t="shared" si="36"/>
        <v>3.1419270988671242E-3</v>
      </c>
      <c r="H334" s="316">
        <f t="shared" si="37"/>
        <v>7.1294410378523576</v>
      </c>
      <c r="I334" s="96">
        <f t="shared" si="38"/>
        <v>2.6214954696183121</v>
      </c>
      <c r="J334" s="316">
        <v>2.8239502577621778</v>
      </c>
      <c r="K334" s="37">
        <f t="shared" si="39"/>
        <v>0.60881121394748272</v>
      </c>
      <c r="L334" s="37">
        <f t="shared" si="40"/>
        <v>0.74214086980198146</v>
      </c>
      <c r="M334" s="45">
        <f t="shared" si="41"/>
        <v>3.6143486070787177E-2</v>
      </c>
    </row>
    <row r="335" spans="1:13" s="6" customFormat="1" ht="16.5" customHeight="1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ref="F335:F383" si="42">C335+D335+E335</f>
        <v>329.3</v>
      </c>
      <c r="G335" s="70">
        <f t="shared" si="36"/>
        <v>2.8364858911529337E-3</v>
      </c>
      <c r="H335" s="316">
        <f t="shared" si="37"/>
        <v>6.4363552301918565</v>
      </c>
      <c r="I335" s="96">
        <f t="shared" si="38"/>
        <v>2.366647818141546</v>
      </c>
      <c r="J335" s="316">
        <v>2.5494210436481115</v>
      </c>
      <c r="K335" s="37">
        <f t="shared" si="39"/>
        <v>0.54962587112870398</v>
      </c>
      <c r="L335" s="37">
        <f t="shared" si="40"/>
        <v>0.66999393690589015</v>
      </c>
      <c r="M335" s="45">
        <f t="shared" si="41"/>
        <v>3.9280692947558475E-2</v>
      </c>
    </row>
    <row r="336" spans="1:13" s="6" customFormat="1" ht="16.5" customHeight="1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42"/>
        <v>445.65</v>
      </c>
      <c r="G336" s="70">
        <f t="shared" si="36"/>
        <v>3.838687936204995E-3</v>
      </c>
      <c r="H336" s="316">
        <f t="shared" si="37"/>
        <v>8.7104819566808409</v>
      </c>
      <c r="I336" s="96">
        <f t="shared" si="38"/>
        <v>3.2028442154715453</v>
      </c>
      <c r="J336" s="316">
        <v>3.4501958338954779</v>
      </c>
      <c r="K336" s="37">
        <f t="shared" si="39"/>
        <v>0.74382256139844194</v>
      </c>
      <c r="L336" s="37">
        <f t="shared" si="40"/>
        <v>0.90671970234470078</v>
      </c>
      <c r="M336" s="45">
        <f t="shared" si="41"/>
        <v>3.9658610285476563E-2</v>
      </c>
    </row>
    <row r="337" spans="1:13" s="6" customFormat="1" ht="16.5" customHeight="1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42"/>
        <v>515.54999999999995</v>
      </c>
      <c r="G337" s="70">
        <f t="shared" si="36"/>
        <v>4.4407843947278916E-3</v>
      </c>
      <c r="H337" s="316">
        <f t="shared" si="37"/>
        <v>10.076717093608901</v>
      </c>
      <c r="I337" s="96">
        <f t="shared" si="38"/>
        <v>3.7052088753199932</v>
      </c>
      <c r="J337" s="316">
        <v>3.991357482699009</v>
      </c>
      <c r="K337" s="37">
        <f t="shared" si="39"/>
        <v>0.86049079216642355</v>
      </c>
      <c r="L337" s="37">
        <f t="shared" si="40"/>
        <v>1.0489382756508703</v>
      </c>
      <c r="M337" s="45">
        <f t="shared" si="41"/>
        <v>3.6143486070787177E-2</v>
      </c>
    </row>
    <row r="338" spans="1:13" s="6" customFormat="1" ht="16.5" customHeight="1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42"/>
        <v>969.83999999999992</v>
      </c>
      <c r="G338" s="70">
        <f t="shared" si="36"/>
        <v>8.3538945541322841E-3</v>
      </c>
      <c r="H338" s="316">
        <f t="shared" si="37"/>
        <v>18.95607274961819</v>
      </c>
      <c r="I338" s="96">
        <f t="shared" si="38"/>
        <v>6.9701479500346091</v>
      </c>
      <c r="J338" s="316">
        <v>7.5084436834852228</v>
      </c>
      <c r="K338" s="37">
        <f t="shared" si="39"/>
        <v>1.6187341477542128</v>
      </c>
      <c r="L338" s="37">
        <f t="shared" si="40"/>
        <v>1.9732369261123854</v>
      </c>
      <c r="M338" s="45">
        <f t="shared" si="41"/>
        <v>3.7368767356287837E-2</v>
      </c>
    </row>
    <row r="339" spans="1:13" s="6" customFormat="1" ht="16.5" customHeight="1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42"/>
        <v>505.24</v>
      </c>
      <c r="G339" s="70">
        <f t="shared" si="36"/>
        <v>4.351977320516575E-3</v>
      </c>
      <c r="H339" s="316">
        <f t="shared" si="37"/>
        <v>9.8752022973037761</v>
      </c>
      <c r="I339" s="96">
        <f t="shared" si="38"/>
        <v>3.6311118847185986</v>
      </c>
      <c r="J339" s="316">
        <v>3.9115380749856414</v>
      </c>
      <c r="K339" s="37">
        <f t="shared" si="39"/>
        <v>0.84328264539649678</v>
      </c>
      <c r="L339" s="37">
        <f t="shared" si="40"/>
        <v>1.0279615447383297</v>
      </c>
      <c r="M339" s="45">
        <f t="shared" si="41"/>
        <v>3.8344395477919777E-2</v>
      </c>
    </row>
    <row r="340" spans="1:13" s="6" customFormat="1" ht="16.5" customHeight="1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42"/>
        <v>497.67999999999995</v>
      </c>
      <c r="G340" s="70">
        <f t="shared" si="36"/>
        <v>4.2868578752171026E-3</v>
      </c>
      <c r="H340" s="316">
        <f t="shared" si="37"/>
        <v>9.7274378103913843</v>
      </c>
      <c r="I340" s="96">
        <f t="shared" si="38"/>
        <v>3.5767788828809124</v>
      </c>
      <c r="J340" s="316">
        <v>3.8530090039562466</v>
      </c>
      <c r="K340" s="37">
        <f t="shared" si="39"/>
        <v>0.83066445048081805</v>
      </c>
      <c r="L340" s="37">
        <f t="shared" si="40"/>
        <v>1.0125799651361174</v>
      </c>
      <c r="M340" s="45">
        <f t="shared" si="41"/>
        <v>3.80068672830235E-2</v>
      </c>
    </row>
    <row r="341" spans="1:13" s="6" customFormat="1" ht="16.5" customHeight="1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42"/>
        <v>244.79999999999998</v>
      </c>
      <c r="G341" s="70">
        <f t="shared" si="36"/>
        <v>2.1086296573162408E-3</v>
      </c>
      <c r="H341" s="316">
        <f t="shared" si="37"/>
        <v>4.7847548143060017</v>
      </c>
      <c r="I341" s="96">
        <f t="shared" si="38"/>
        <v>1.7593543452203169</v>
      </c>
      <c r="J341" s="316">
        <v>1.8952270619042138</v>
      </c>
      <c r="K341" s="37">
        <f t="shared" si="39"/>
        <v>0.40858916869816803</v>
      </c>
      <c r="L341" s="37">
        <f t="shared" si="40"/>
        <v>0.49807019664306684</v>
      </c>
      <c r="M341" s="45">
        <f t="shared" si="41"/>
        <v>3.8104760508736873E-2</v>
      </c>
    </row>
    <row r="342" spans="1:13" s="6" customFormat="1" ht="16.5" customHeight="1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42"/>
        <v>607.48</v>
      </c>
      <c r="G342" s="70">
        <f t="shared" si="36"/>
        <v>5.2326402950427699E-3</v>
      </c>
      <c r="H342" s="316">
        <f t="shared" si="37"/>
        <v>11.873541072690401</v>
      </c>
      <c r="I342" s="96">
        <f t="shared" si="38"/>
        <v>4.3659010524282609</v>
      </c>
      <c r="J342" s="316">
        <v>4.7030740831926954</v>
      </c>
      <c r="K342" s="37">
        <f t="shared" si="39"/>
        <v>1.0139287099704375</v>
      </c>
      <c r="L342" s="37">
        <f t="shared" si="40"/>
        <v>1.2359790974539633</v>
      </c>
      <c r="M342" s="45">
        <f t="shared" si="41"/>
        <v>3.9634002885089337E-2</v>
      </c>
    </row>
    <row r="343" spans="1:13" s="6" customFormat="1" ht="16.5" customHeight="1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42"/>
        <v>480.34999999999997</v>
      </c>
      <c r="G343" s="70">
        <f t="shared" si="36"/>
        <v>4.1375827446562758E-3</v>
      </c>
      <c r="H343" s="316">
        <f t="shared" si="37"/>
        <v>9.3887131333818949</v>
      </c>
      <c r="I343" s="96">
        <f t="shared" si="38"/>
        <v>3.4522298191445229</v>
      </c>
      <c r="J343" s="316">
        <v>3.7188411731441553</v>
      </c>
      <c r="K343" s="37">
        <f t="shared" si="39"/>
        <v>0.80173940843204661</v>
      </c>
      <c r="L343" s="37">
        <f t="shared" si="40"/>
        <v>0.97732033887866487</v>
      </c>
      <c r="M343" s="45">
        <f t="shared" si="41"/>
        <v>4.1361580784044359E-2</v>
      </c>
    </row>
    <row r="344" spans="1:13" s="6" customFormat="1" ht="16.5" customHeight="1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42"/>
        <v>1165.33</v>
      </c>
      <c r="G344" s="70">
        <f t="shared" si="36"/>
        <v>1.0037783490851042E-2</v>
      </c>
      <c r="H344" s="316">
        <f t="shared" si="37"/>
        <v>22.777035652594826</v>
      </c>
      <c r="I344" s="96">
        <f t="shared" si="38"/>
        <v>8.3751160094591182</v>
      </c>
      <c r="J344" s="316">
        <v>9.021915653794272</v>
      </c>
      <c r="K344" s="37">
        <f t="shared" si="39"/>
        <v>1.9450213070222064</v>
      </c>
      <c r="L344" s="37">
        <f t="shared" si="40"/>
        <v>2.3709809732600697</v>
      </c>
      <c r="M344" s="45">
        <f t="shared" si="41"/>
        <v>4.3406973527429248E-2</v>
      </c>
    </row>
    <row r="345" spans="1:13" s="6" customFormat="1" ht="16.5" customHeight="1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42"/>
        <v>1416.02</v>
      </c>
      <c r="G345" s="70">
        <f t="shared" si="36"/>
        <v>1.2197147742454834E-2</v>
      </c>
      <c r="H345" s="316">
        <f t="shared" si="37"/>
        <v>27.676913856836538</v>
      </c>
      <c r="I345" s="96">
        <f t="shared" si="38"/>
        <v>10.176801225158796</v>
      </c>
      <c r="J345" s="316">
        <v>10.962742745905249</v>
      </c>
      <c r="K345" s="37">
        <f t="shared" si="39"/>
        <v>2.3634413180554734</v>
      </c>
      <c r="L345" s="37">
        <f t="shared" si="40"/>
        <v>2.8810349667096222</v>
      </c>
      <c r="M345" s="45">
        <f t="shared" si="41"/>
        <v>3.788241413595362E-2</v>
      </c>
    </row>
    <row r="346" spans="1:13" s="6" customFormat="1" ht="16.5" customHeight="1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42"/>
        <v>1501.81</v>
      </c>
      <c r="G346" s="70">
        <f t="shared" si="36"/>
        <v>1.2936115627671992E-2</v>
      </c>
      <c r="H346" s="316">
        <f t="shared" si="37"/>
        <v>29.353728054219349</v>
      </c>
      <c r="I346" s="96">
        <f t="shared" si="38"/>
        <v>10.793365805536455</v>
      </c>
      <c r="J346" s="316">
        <v>11.626923831039083</v>
      </c>
      <c r="K346" s="37">
        <f t="shared" si="39"/>
        <v>2.5066311251740019</v>
      </c>
      <c r="L346" s="37">
        <f t="shared" si="40"/>
        <v>3.0555833415871083</v>
      </c>
      <c r="M346" s="45">
        <f t="shared" si="41"/>
        <v>3.7486377038811122E-2</v>
      </c>
    </row>
    <row r="347" spans="1:13" s="6" customFormat="1" ht="16.5" customHeight="1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42"/>
        <v>970</v>
      </c>
      <c r="G347" s="70">
        <f t="shared" si="36"/>
        <v>8.3552727434507909E-3</v>
      </c>
      <c r="H347" s="316">
        <f t="shared" si="37"/>
        <v>18.959200040346495</v>
      </c>
      <c r="I347" s="96">
        <f t="shared" si="38"/>
        <v>6.9712978548354068</v>
      </c>
      <c r="J347" s="316">
        <v>7.5096823939832014</v>
      </c>
      <c r="K347" s="37">
        <f t="shared" si="39"/>
        <v>1.6190011994984599</v>
      </c>
      <c r="L347" s="37">
        <f t="shared" si="40"/>
        <v>1.9735624621886227</v>
      </c>
      <c r="M347" s="45">
        <f t="shared" si="41"/>
        <v>3.7368558397637558E-2</v>
      </c>
    </row>
    <row r="348" spans="1:13" s="6" customFormat="1" ht="16.5" customHeight="1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42"/>
        <v>2158</v>
      </c>
      <c r="G348" s="70">
        <f t="shared" ref="G348:G383" si="43">2/232188.71*F348</f>
        <v>1.8588328433367843E-2</v>
      </c>
      <c r="H348" s="316">
        <f t="shared" ref="H348:H383" si="44">G348*2269.13</f>
        <v>42.179333698007973</v>
      </c>
      <c r="I348" s="96">
        <f t="shared" ref="I348:I379" si="45">H348*0.3677</f>
        <v>15.509341000757534</v>
      </c>
      <c r="J348" s="316">
        <v>16.707107841459536</v>
      </c>
      <c r="K348" s="37">
        <f t="shared" ref="K348:K379" si="46">G348*193.77</f>
        <v>3.6018604005336869</v>
      </c>
      <c r="L348" s="37">
        <f t="shared" ref="L348:L383" si="47">K348*1.219</f>
        <v>4.3906678282505647</v>
      </c>
      <c r="M348" s="45">
        <f t="shared" si="41"/>
        <v>3.6143486070787184E-2</v>
      </c>
    </row>
    <row r="349" spans="1:13" s="6" customFormat="1" ht="16.5" customHeight="1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42"/>
        <v>729.1</v>
      </c>
      <c r="G349" s="70">
        <f t="shared" si="43"/>
        <v>6.2802364507731677E-3</v>
      </c>
      <c r="H349" s="316">
        <f t="shared" si="44"/>
        <v>14.25067293754292</v>
      </c>
      <c r="I349" s="96">
        <f t="shared" si="45"/>
        <v>5.2399724391345321</v>
      </c>
      <c r="J349" s="316">
        <v>5.6446489004671667</v>
      </c>
      <c r="K349" s="37">
        <f t="shared" si="46"/>
        <v>1.2169214170663167</v>
      </c>
      <c r="L349" s="37">
        <f t="shared" si="47"/>
        <v>1.4834272074038402</v>
      </c>
      <c r="M349" s="45">
        <f t="shared" si="41"/>
        <v>3.7646022420301337E-2</v>
      </c>
    </row>
    <row r="350" spans="1:13" s="6" customFormat="1" ht="16.5" customHeight="1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42"/>
        <v>1052.04</v>
      </c>
      <c r="G350" s="70">
        <f t="shared" si="43"/>
        <v>9.0619393165154334E-3</v>
      </c>
      <c r="H350" s="316">
        <f t="shared" si="44"/>
        <v>20.562718361284666</v>
      </c>
      <c r="I350" s="96">
        <f t="shared" si="45"/>
        <v>7.5609115414443728</v>
      </c>
      <c r="J350" s="316">
        <v>8.1448312018207076</v>
      </c>
      <c r="K350" s="37">
        <f t="shared" si="46"/>
        <v>1.7559319813611955</v>
      </c>
      <c r="L350" s="37">
        <f t="shared" si="47"/>
        <v>2.1404810852792977</v>
      </c>
      <c r="M350" s="45">
        <f t="shared" si="41"/>
        <v>4.1623128802144346E-2</v>
      </c>
    </row>
    <row r="351" spans="1:13" s="6" customFormat="1" ht="16.5" customHeight="1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42"/>
        <v>608.6</v>
      </c>
      <c r="G351" s="70">
        <f t="shared" si="43"/>
        <v>5.2422876202723213E-3</v>
      </c>
      <c r="H351" s="316">
        <f t="shared" si="44"/>
        <v>11.895432107788533</v>
      </c>
      <c r="I351" s="96">
        <f t="shared" si="45"/>
        <v>4.3739503860338438</v>
      </c>
      <c r="J351" s="316">
        <v>4.7117450566785326</v>
      </c>
      <c r="K351" s="37">
        <f t="shared" si="46"/>
        <v>1.0157980721801678</v>
      </c>
      <c r="L351" s="37">
        <f t="shared" si="47"/>
        <v>1.2382578499876247</v>
      </c>
      <c r="M351" s="45">
        <f t="shared" si="41"/>
        <v>3.6143486070787177E-2</v>
      </c>
    </row>
    <row r="352" spans="1:13" s="6" customFormat="1" ht="16.5" customHeight="1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42"/>
        <v>415.8</v>
      </c>
      <c r="G352" s="70">
        <f t="shared" si="43"/>
        <v>3.5815694914709682E-3</v>
      </c>
      <c r="H352" s="316">
        <f t="shared" si="44"/>
        <v>8.1270467801815194</v>
      </c>
      <c r="I352" s="96">
        <f t="shared" si="45"/>
        <v>2.9883151010727449</v>
      </c>
      <c r="J352" s="316">
        <v>3.2190989066167166</v>
      </c>
      <c r="K352" s="37">
        <f t="shared" si="46"/>
        <v>0.69400072036232952</v>
      </c>
      <c r="L352" s="37">
        <f t="shared" si="47"/>
        <v>0.84598687812167972</v>
      </c>
      <c r="M352" s="45">
        <f t="shared" si="41"/>
        <v>3.6143486070787177E-2</v>
      </c>
    </row>
    <row r="353" spans="1:13" s="6" customFormat="1" ht="16.5" customHeight="1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42"/>
        <v>460.4</v>
      </c>
      <c r="G353" s="70">
        <f t="shared" si="43"/>
        <v>3.9657397640048908E-3</v>
      </c>
      <c r="H353" s="316">
        <f t="shared" si="44"/>
        <v>8.9987790706964184</v>
      </c>
      <c r="I353" s="96">
        <f t="shared" si="45"/>
        <v>3.3088510642950735</v>
      </c>
      <c r="J353" s="316">
        <v>3.5643894579276965</v>
      </c>
      <c r="K353" s="37">
        <f t="shared" si="46"/>
        <v>0.76844139407122769</v>
      </c>
      <c r="L353" s="37">
        <f t="shared" si="47"/>
        <v>0.93673005937282661</v>
      </c>
      <c r="M353" s="45">
        <f t="shared" si="41"/>
        <v>3.6143486070787177E-2</v>
      </c>
    </row>
    <row r="354" spans="1:13" s="6" customFormat="1" ht="16.5" customHeight="1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42"/>
        <v>573</v>
      </c>
      <c r="G354" s="70">
        <f t="shared" si="43"/>
        <v>4.9356404969044367E-3</v>
      </c>
      <c r="H354" s="316">
        <f t="shared" si="44"/>
        <v>11.199609920740764</v>
      </c>
      <c r="I354" s="96">
        <f t="shared" si="45"/>
        <v>4.1180965678563792</v>
      </c>
      <c r="J354" s="316">
        <v>4.4361319708787361</v>
      </c>
      <c r="K354" s="37">
        <f t="shared" si="46"/>
        <v>0.95637905908517273</v>
      </c>
      <c r="L354" s="37">
        <f t="shared" si="47"/>
        <v>1.1658260730248255</v>
      </c>
      <c r="M354" s="45">
        <f t="shared" si="41"/>
        <v>4.2701479419713508E-2</v>
      </c>
    </row>
    <row r="355" spans="1:13" s="6" customFormat="1" ht="16.5" customHeight="1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42"/>
        <v>791.22</v>
      </c>
      <c r="G355" s="70">
        <f t="shared" si="43"/>
        <v>6.8153184536836452E-3</v>
      </c>
      <c r="H355" s="316">
        <f t="shared" si="44"/>
        <v>15.46484356280717</v>
      </c>
      <c r="I355" s="96">
        <f t="shared" si="45"/>
        <v>5.6864229780441971</v>
      </c>
      <c r="J355" s="316">
        <v>6.1255782513065862</v>
      </c>
      <c r="K355" s="37">
        <f t="shared" si="46"/>
        <v>1.32060425677028</v>
      </c>
      <c r="L355" s="37">
        <f t="shared" si="47"/>
        <v>1.6098165890029714</v>
      </c>
      <c r="M355" s="45">
        <f t="shared" si="41"/>
        <v>3.6143486070787177E-2</v>
      </c>
    </row>
    <row r="356" spans="1:13" s="6" customFormat="1" ht="16.5" customHeight="1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42"/>
        <v>765.5</v>
      </c>
      <c r="G356" s="70">
        <f t="shared" si="43"/>
        <v>6.5937745207335884E-3</v>
      </c>
      <c r="H356" s="316">
        <f t="shared" si="44"/>
        <v>14.962131578232208</v>
      </c>
      <c r="I356" s="96">
        <f t="shared" si="45"/>
        <v>5.5015757813159833</v>
      </c>
      <c r="J356" s="316">
        <v>5.9264555387568452</v>
      </c>
      <c r="K356" s="37">
        <f t="shared" si="46"/>
        <v>1.2776756888825476</v>
      </c>
      <c r="L356" s="37">
        <f t="shared" si="47"/>
        <v>1.5574866647478256</v>
      </c>
      <c r="M356" s="45">
        <f t="shared" si="41"/>
        <v>3.6143486070787177E-2</v>
      </c>
    </row>
    <row r="357" spans="1:13" s="6" customFormat="1" ht="16.5" customHeight="1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42"/>
        <v>806.19999999999993</v>
      </c>
      <c r="G357" s="70">
        <f t="shared" si="43"/>
        <v>6.9443514286288942E-3</v>
      </c>
      <c r="H357" s="316">
        <f t="shared" si="44"/>
        <v>15.757636157244683</v>
      </c>
      <c r="I357" s="96">
        <f t="shared" si="45"/>
        <v>5.7940828150188706</v>
      </c>
      <c r="J357" s="316">
        <v>6.2415525216796457</v>
      </c>
      <c r="K357" s="37">
        <f t="shared" si="46"/>
        <v>1.3456069763254208</v>
      </c>
      <c r="L357" s="37">
        <f t="shared" si="47"/>
        <v>1.640294904140688</v>
      </c>
      <c r="M357" s="45">
        <f t="shared" si="41"/>
        <v>3.7487300231916404E-2</v>
      </c>
    </row>
    <row r="358" spans="1:13" s="6" customFormat="1" ht="16.5" customHeight="1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42"/>
        <v>753</v>
      </c>
      <c r="G358" s="70">
        <f t="shared" si="43"/>
        <v>6.4861034802252025E-3</v>
      </c>
      <c r="H358" s="316">
        <f t="shared" si="44"/>
        <v>14.717811990083414</v>
      </c>
      <c r="I358" s="96">
        <f t="shared" si="45"/>
        <v>5.4117394687536713</v>
      </c>
      <c r="J358" s="316">
        <v>5.829681281102423</v>
      </c>
      <c r="K358" s="37">
        <f t="shared" si="46"/>
        <v>1.2568122713632375</v>
      </c>
      <c r="L358" s="37">
        <f t="shared" si="47"/>
        <v>1.5320541587917866</v>
      </c>
      <c r="M358" s="45">
        <f t="shared" si="41"/>
        <v>3.7612002503182349E-2</v>
      </c>
    </row>
    <row r="359" spans="1:13" s="6" customFormat="1" ht="16.5" customHeight="1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42"/>
        <v>612.20000000000005</v>
      </c>
      <c r="G359" s="70">
        <f t="shared" si="43"/>
        <v>5.2732968799387367E-3</v>
      </c>
      <c r="H359" s="316">
        <f t="shared" si="44"/>
        <v>11.965796149175386</v>
      </c>
      <c r="I359" s="96">
        <f t="shared" si="45"/>
        <v>4.3998232440517899</v>
      </c>
      <c r="J359" s="316">
        <v>4.7396160428830054</v>
      </c>
      <c r="K359" s="37">
        <f t="shared" si="46"/>
        <v>1.0218067364257291</v>
      </c>
      <c r="L359" s="37">
        <f t="shared" si="47"/>
        <v>1.2455824117029639</v>
      </c>
      <c r="M359" s="45">
        <f t="shared" si="41"/>
        <v>3.8176401263864575E-2</v>
      </c>
    </row>
    <row r="360" spans="1:13" s="6" customFormat="1" ht="16.5" customHeight="1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42"/>
        <v>611.79999999999995</v>
      </c>
      <c r="G360" s="70">
        <f t="shared" si="43"/>
        <v>5.2698514066424678E-3</v>
      </c>
      <c r="H360" s="316">
        <f t="shared" si="44"/>
        <v>11.957977922354624</v>
      </c>
      <c r="I360" s="96">
        <f t="shared" si="45"/>
        <v>4.3969484820497957</v>
      </c>
      <c r="J360" s="316">
        <v>4.736519266638064</v>
      </c>
      <c r="K360" s="37">
        <f t="shared" si="46"/>
        <v>1.021139107065111</v>
      </c>
      <c r="L360" s="37">
        <f t="shared" si="47"/>
        <v>1.2447685715123704</v>
      </c>
      <c r="M360" s="45">
        <f t="shared" si="41"/>
        <v>3.6143486070787184E-2</v>
      </c>
    </row>
    <row r="361" spans="1:13" s="6" customFormat="1" ht="16.5" customHeight="1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42"/>
        <v>510.4</v>
      </c>
      <c r="G361" s="70">
        <f t="shared" si="43"/>
        <v>4.3964239260384369E-3</v>
      </c>
      <c r="H361" s="316">
        <f t="shared" si="44"/>
        <v>9.9760574232915982</v>
      </c>
      <c r="I361" s="96">
        <f t="shared" si="45"/>
        <v>3.6681963145443208</v>
      </c>
      <c r="J361" s="316">
        <v>3.9514864885453869</v>
      </c>
      <c r="K361" s="37">
        <f t="shared" si="46"/>
        <v>0.85189506414846794</v>
      </c>
      <c r="L361" s="37">
        <f t="shared" si="47"/>
        <v>1.0384600831969826</v>
      </c>
      <c r="M361" s="45">
        <f t="shared" si="41"/>
        <v>3.6143486070787177E-2</v>
      </c>
    </row>
    <row r="362" spans="1:13" s="6" customFormat="1" ht="16.5" customHeight="1">
      <c r="A362" s="268">
        <v>271</v>
      </c>
      <c r="B362" s="122" t="s">
        <v>1314</v>
      </c>
      <c r="C362" s="55">
        <v>564</v>
      </c>
      <c r="D362" s="260">
        <v>87.5</v>
      </c>
      <c r="E362" s="256"/>
      <c r="F362" s="95">
        <f t="shared" si="42"/>
        <v>651.5</v>
      </c>
      <c r="G362" s="70">
        <f t="shared" si="43"/>
        <v>5.6118146312971037E-3</v>
      </c>
      <c r="H362" s="316">
        <f t="shared" si="44"/>
        <v>12.733936934315198</v>
      </c>
      <c r="I362" s="96">
        <f t="shared" si="45"/>
        <v>4.6822686107476983</v>
      </c>
      <c r="J362" s="316">
        <v>5.043874308948511</v>
      </c>
      <c r="K362" s="37">
        <f t="shared" si="46"/>
        <v>1.0874013211064399</v>
      </c>
      <c r="L362" s="37">
        <f t="shared" si="47"/>
        <v>1.3255422104287504</v>
      </c>
      <c r="M362" s="45">
        <f t="shared" si="41"/>
        <v>4.1750853147372063E-2</v>
      </c>
    </row>
    <row r="363" spans="1:13" s="6" customFormat="1" ht="16.5" customHeight="1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42"/>
        <v>789.90000000000009</v>
      </c>
      <c r="G363" s="70">
        <f t="shared" si="43"/>
        <v>6.8039483918059598E-3</v>
      </c>
      <c r="H363" s="316">
        <f t="shared" si="44"/>
        <v>15.439043414298659</v>
      </c>
      <c r="I363" s="96">
        <f t="shared" si="45"/>
        <v>5.676936263437617</v>
      </c>
      <c r="J363" s="316">
        <v>6.1153588896982791</v>
      </c>
      <c r="K363" s="37">
        <f t="shared" si="46"/>
        <v>1.3184010798802408</v>
      </c>
      <c r="L363" s="37">
        <f t="shared" si="47"/>
        <v>1.6071309163740137</v>
      </c>
      <c r="M363" s="45">
        <f t="shared" si="41"/>
        <v>4.0802829280141194E-2</v>
      </c>
    </row>
    <row r="364" spans="1:13" s="6" customFormat="1" ht="16.5" customHeight="1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42"/>
        <v>770.6</v>
      </c>
      <c r="G364" s="70">
        <f t="shared" si="43"/>
        <v>6.6377043052610104E-3</v>
      </c>
      <c r="H364" s="316">
        <f t="shared" si="44"/>
        <v>15.061813970196917</v>
      </c>
      <c r="I364" s="96">
        <f t="shared" si="45"/>
        <v>5.5382289968414069</v>
      </c>
      <c r="J364" s="316">
        <v>5.9659394358798501</v>
      </c>
      <c r="K364" s="37">
        <f t="shared" si="46"/>
        <v>1.2861879632304261</v>
      </c>
      <c r="L364" s="37">
        <f t="shared" si="47"/>
        <v>1.5678631271778896</v>
      </c>
      <c r="M364" s="45">
        <f t="shared" si="41"/>
        <v>3.6143486070787177E-2</v>
      </c>
    </row>
    <row r="365" spans="1:13" s="6" customFormat="1" ht="16.5" customHeight="1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42"/>
        <v>958.2</v>
      </c>
      <c r="G365" s="70">
        <f t="shared" si="43"/>
        <v>8.2536312812108749E-3</v>
      </c>
      <c r="H365" s="316">
        <f t="shared" si="44"/>
        <v>18.728562349134034</v>
      </c>
      <c r="I365" s="96">
        <f t="shared" si="45"/>
        <v>6.8864923757765846</v>
      </c>
      <c r="J365" s="316">
        <v>7.4183274947574258</v>
      </c>
      <c r="K365" s="37">
        <f t="shared" si="46"/>
        <v>1.5993061333602314</v>
      </c>
      <c r="L365" s="37">
        <f t="shared" si="47"/>
        <v>1.9495541765661222</v>
      </c>
      <c r="M365" s="45">
        <f t="shared" si="41"/>
        <v>3.614348607078717E-2</v>
      </c>
    </row>
    <row r="366" spans="1:13" s="6" customFormat="1" ht="16.5" customHeight="1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42"/>
        <v>1194.4199999999998</v>
      </c>
      <c r="G366" s="70">
        <f t="shared" si="43"/>
        <v>1.0288355536322158E-2</v>
      </c>
      <c r="H366" s="316">
        <f t="shared" si="44"/>
        <v>23.345616198134699</v>
      </c>
      <c r="I366" s="96">
        <f t="shared" si="45"/>
        <v>8.5841830760541296</v>
      </c>
      <c r="J366" s="316">
        <v>9.2471287062076435</v>
      </c>
      <c r="K366" s="37">
        <f t="shared" si="46"/>
        <v>1.9935746522731446</v>
      </c>
      <c r="L366" s="37">
        <f t="shared" si="47"/>
        <v>2.4301675011209634</v>
      </c>
      <c r="M366" s="45">
        <f t="shared" si="41"/>
        <v>4.5398669323044649E-2</v>
      </c>
    </row>
    <row r="367" spans="1:13" s="6" customFormat="1" ht="16.5" customHeight="1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42"/>
        <v>437.85999999999996</v>
      </c>
      <c r="G367" s="70">
        <f>2/232188.71*F367</f>
        <v>3.7715873437601682E-3</v>
      </c>
      <c r="H367" s="316">
        <f t="shared" si="44"/>
        <v>8.5582219893465101</v>
      </c>
      <c r="I367" s="96">
        <f t="shared" si="45"/>
        <v>3.146858225482712</v>
      </c>
      <c r="J367" s="316">
        <v>3.3898861165252412</v>
      </c>
      <c r="K367" s="37">
        <f t="shared" si="46"/>
        <v>0.73082047960040786</v>
      </c>
      <c r="L367" s="37">
        <f t="shared" si="47"/>
        <v>0.89087016463289725</v>
      </c>
      <c r="M367" s="45">
        <f t="shared" si="41"/>
        <v>5.4475876255395239E-2</v>
      </c>
    </row>
    <row r="368" spans="1:13" s="6" customFormat="1" ht="16.5" customHeight="1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42"/>
        <v>712.5</v>
      </c>
      <c r="G368" s="70">
        <f t="shared" si="43"/>
        <v>6.1372493089780298E-3</v>
      </c>
      <c r="H368" s="316">
        <f t="shared" si="44"/>
        <v>13.926216524481317</v>
      </c>
      <c r="I368" s="96">
        <f t="shared" si="45"/>
        <v>5.1206698160517803</v>
      </c>
      <c r="J368" s="316">
        <v>5.5161326863020932</v>
      </c>
      <c r="K368" s="37">
        <f t="shared" si="46"/>
        <v>1.1892147986006729</v>
      </c>
      <c r="L368" s="37">
        <f t="shared" si="47"/>
        <v>1.4496528394942203</v>
      </c>
      <c r="M368" s="45">
        <f t="shared" si="41"/>
        <v>4.2044463388466721E-2</v>
      </c>
    </row>
    <row r="369" spans="1:13" s="6" customFormat="1" ht="16.5" customHeight="1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42"/>
        <v>1035.06</v>
      </c>
      <c r="G369" s="70">
        <f t="shared" si="43"/>
        <v>8.9156789750888411E-3</v>
      </c>
      <c r="H369" s="316">
        <f t="shared" si="44"/>
        <v>20.230834632743342</v>
      </c>
      <c r="I369" s="96">
        <f t="shared" si="45"/>
        <v>7.4388778944597274</v>
      </c>
      <c r="J369" s="316">
        <v>8.0133730502229401</v>
      </c>
      <c r="K369" s="37">
        <f t="shared" si="46"/>
        <v>1.7275911150029648</v>
      </c>
      <c r="L369" s="37">
        <f t="shared" si="47"/>
        <v>2.1059335691886143</v>
      </c>
      <c r="M369" s="45">
        <f t="shared" si="41"/>
        <v>3.7341222019472757E-2</v>
      </c>
    </row>
    <row r="370" spans="1:13" s="6" customFormat="1" ht="16.5" customHeight="1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42"/>
        <v>684.4</v>
      </c>
      <c r="G370" s="70">
        <f t="shared" si="43"/>
        <v>5.8952048099151768E-3</v>
      </c>
      <c r="H370" s="316">
        <f t="shared" si="44"/>
        <v>13.376986090322825</v>
      </c>
      <c r="I370" s="96">
        <f t="shared" si="45"/>
        <v>4.9187177854117028</v>
      </c>
      <c r="J370" s="316">
        <v>5.2985841550949511</v>
      </c>
      <c r="K370" s="37">
        <f t="shared" si="46"/>
        <v>1.1423138360172638</v>
      </c>
      <c r="L370" s="37">
        <f t="shared" si="47"/>
        <v>1.3924805661050446</v>
      </c>
      <c r="M370" s="45">
        <f t="shared" si="41"/>
        <v>4.1784800450754632E-2</v>
      </c>
    </row>
    <row r="371" spans="1:13" s="6" customFormat="1" ht="16.5" customHeight="1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42"/>
        <v>858.85</v>
      </c>
      <c r="G371" s="70">
        <f t="shared" si="43"/>
        <v>7.3978618512502191E-3</v>
      </c>
      <c r="H371" s="316">
        <f t="shared" si="44"/>
        <v>16.786710262527411</v>
      </c>
      <c r="I371" s="96">
        <f t="shared" si="45"/>
        <v>6.1724733635313296</v>
      </c>
      <c r="J371" s="316">
        <v>6.6491656949200744</v>
      </c>
      <c r="K371" s="37">
        <f t="shared" si="46"/>
        <v>1.433483690916755</v>
      </c>
      <c r="L371" s="37">
        <f t="shared" si="47"/>
        <v>1.7474166192275244</v>
      </c>
      <c r="M371" s="45">
        <f t="shared" si="41"/>
        <v>3.8975243909718835E-2</v>
      </c>
    </row>
    <row r="372" spans="1:13" s="6" customFormat="1" ht="16.5" customHeight="1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42"/>
        <v>827.7</v>
      </c>
      <c r="G372" s="70">
        <f t="shared" si="43"/>
        <v>7.1295456183033202E-3</v>
      </c>
      <c r="H372" s="316">
        <f t="shared" si="44"/>
        <v>16.177865848860613</v>
      </c>
      <c r="I372" s="96">
        <f t="shared" si="45"/>
        <v>5.948601272626048</v>
      </c>
      <c r="J372" s="316">
        <v>6.4080042448452534</v>
      </c>
      <c r="K372" s="37">
        <f t="shared" si="46"/>
        <v>1.3814920544586344</v>
      </c>
      <c r="L372" s="37">
        <f t="shared" si="47"/>
        <v>1.6840388143850755</v>
      </c>
      <c r="M372" s="45">
        <f t="shared" si="41"/>
        <v>4.2075897919536635E-2</v>
      </c>
    </row>
    <row r="373" spans="1:13" s="6" customFormat="1" ht="16.5" customHeight="1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42"/>
        <v>837.19</v>
      </c>
      <c r="G373" s="70">
        <f t="shared" si="43"/>
        <v>7.2112894722572872E-3</v>
      </c>
      <c r="H373" s="316">
        <f t="shared" si="44"/>
        <v>16.36335328018318</v>
      </c>
      <c r="I373" s="96">
        <f t="shared" si="45"/>
        <v>6.0168050011233554</v>
      </c>
      <c r="J373" s="316">
        <v>6.4814752612564908</v>
      </c>
      <c r="K373" s="37">
        <f t="shared" si="46"/>
        <v>1.3973315610392947</v>
      </c>
      <c r="L373" s="37">
        <f t="shared" si="47"/>
        <v>1.7033471729069003</v>
      </c>
      <c r="M373" s="45">
        <f t="shared" si="41"/>
        <v>3.6143486070787177E-2</v>
      </c>
    </row>
    <row r="374" spans="1:13" s="6" customFormat="1" ht="16.5" customHeight="1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42"/>
        <v>325.10000000000002</v>
      </c>
      <c r="G374" s="70">
        <f t="shared" si="43"/>
        <v>2.8003084215421159E-3</v>
      </c>
      <c r="H374" s="316">
        <f t="shared" si="44"/>
        <v>6.3542638485738614</v>
      </c>
      <c r="I374" s="96">
        <f t="shared" si="45"/>
        <v>2.336462817120609</v>
      </c>
      <c r="J374" s="316">
        <v>2.5169048930762257</v>
      </c>
      <c r="K374" s="37">
        <f t="shared" si="46"/>
        <v>0.5426157628422158</v>
      </c>
      <c r="L374" s="37">
        <f t="shared" si="47"/>
        <v>0.66144861490466111</v>
      </c>
      <c r="M374" s="45">
        <f t="shared" si="41"/>
        <v>3.6143486070787177E-2</v>
      </c>
    </row>
    <row r="375" spans="1:13" s="6" customFormat="1" ht="16.5" customHeight="1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42"/>
        <v>513</v>
      </c>
      <c r="G375" s="70">
        <f t="shared" si="43"/>
        <v>4.4188195024641814E-3</v>
      </c>
      <c r="H375" s="316">
        <f t="shared" si="44"/>
        <v>10.026875897626548</v>
      </c>
      <c r="I375" s="96">
        <f t="shared" si="45"/>
        <v>3.6868822675572819</v>
      </c>
      <c r="J375" s="316">
        <v>3.9716155341375075</v>
      </c>
      <c r="K375" s="37">
        <f t="shared" si="46"/>
        <v>0.85623465499248452</v>
      </c>
      <c r="L375" s="37">
        <f t="shared" si="47"/>
        <v>1.0437500444358387</v>
      </c>
      <c r="M375" s="45">
        <f t="shared" si="41"/>
        <v>4.0652506806213157E-2</v>
      </c>
    </row>
    <row r="376" spans="1:13" s="6" customFormat="1" ht="16.5" customHeight="1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42"/>
        <v>1023.42</v>
      </c>
      <c r="G376" s="70">
        <f t="shared" si="43"/>
        <v>8.8154157021674319E-3</v>
      </c>
      <c r="H376" s="316">
        <f t="shared" si="44"/>
        <v>20.003324232259185</v>
      </c>
      <c r="I376" s="96">
        <f t="shared" si="45"/>
        <v>7.3552223202017029</v>
      </c>
      <c r="J376" s="316">
        <v>7.9232568614951404</v>
      </c>
      <c r="K376" s="37">
        <f t="shared" si="46"/>
        <v>1.7081631006089835</v>
      </c>
      <c r="L376" s="37">
        <f t="shared" si="47"/>
        <v>2.082250819642351</v>
      </c>
      <c r="M376" s="45">
        <f t="shared" si="41"/>
        <v>3.6808866889468828E-2</v>
      </c>
    </row>
    <row r="377" spans="1:13" s="5" customFormat="1" ht="16.5" customHeight="1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42"/>
        <v>74.599999999999994</v>
      </c>
      <c r="G377" s="70">
        <f t="shared" si="43"/>
        <v>6.4258076975405056E-4</v>
      </c>
      <c r="H377" s="316">
        <f t="shared" si="44"/>
        <v>1.4580993020720088</v>
      </c>
      <c r="I377" s="96">
        <f t="shared" si="45"/>
        <v>0.5361431133718777</v>
      </c>
      <c r="J377" s="316">
        <v>0.57754876968159463</v>
      </c>
      <c r="K377" s="37">
        <f t="shared" si="46"/>
        <v>0.12451287575524238</v>
      </c>
      <c r="L377" s="37">
        <f t="shared" si="47"/>
        <v>0.15178119554564046</v>
      </c>
      <c r="M377" s="45">
        <f t="shared" si="41"/>
        <v>3.6143486070787177E-2</v>
      </c>
    </row>
    <row r="378" spans="1:13" s="6" customFormat="1" ht="16.5" customHeight="1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95">
        <f t="shared" si="42"/>
        <v>577.79999999999995</v>
      </c>
      <c r="G378" s="70">
        <f t="shared" si="43"/>
        <v>4.9769861764596569E-3</v>
      </c>
      <c r="H378" s="316">
        <f t="shared" si="44"/>
        <v>11.293428642589902</v>
      </c>
      <c r="I378" s="96">
        <f t="shared" si="45"/>
        <v>4.1525937118803071</v>
      </c>
      <c r="J378" s="316">
        <v>4.4732932858180341</v>
      </c>
      <c r="K378" s="37">
        <f t="shared" si="46"/>
        <v>0.96439061141258775</v>
      </c>
      <c r="L378" s="37">
        <f t="shared" si="47"/>
        <v>1.1755921553119446</v>
      </c>
      <c r="M378" s="45">
        <f t="shared" si="41"/>
        <v>3.8745280615400425E-2</v>
      </c>
    </row>
    <row r="379" spans="1:13" s="6" customFormat="1" ht="16.5" customHeight="1">
      <c r="A379" s="275">
        <v>288</v>
      </c>
      <c r="B379" s="122" t="s">
        <v>1357</v>
      </c>
      <c r="C379" s="157">
        <v>379.4</v>
      </c>
      <c r="D379" s="255"/>
      <c r="E379" s="255"/>
      <c r="F379" s="95">
        <f t="shared" si="42"/>
        <v>379.4</v>
      </c>
      <c r="G379" s="70">
        <f t="shared" si="43"/>
        <v>3.2680314215105463E-3</v>
      </c>
      <c r="H379" s="316">
        <f t="shared" si="44"/>
        <v>7.4155881394922263</v>
      </c>
      <c r="I379" s="96">
        <f t="shared" si="45"/>
        <v>2.7267117588912919</v>
      </c>
      <c r="J379" s="316">
        <v>2.9372922683270373</v>
      </c>
      <c r="K379" s="37">
        <f t="shared" si="46"/>
        <v>0.63324644854609857</v>
      </c>
      <c r="L379" s="37">
        <f t="shared" si="47"/>
        <v>0.77192742077769416</v>
      </c>
      <c r="M379" s="45">
        <f t="shared" si="41"/>
        <v>3.6143486070787177E-2</v>
      </c>
    </row>
    <row r="380" spans="1:13" s="6" customFormat="1" ht="16.5" customHeight="1">
      <c r="A380" s="268">
        <v>289</v>
      </c>
      <c r="B380" s="291" t="s">
        <v>1395</v>
      </c>
      <c r="C380" s="295">
        <f>1893+1096.4</f>
        <v>2989.4</v>
      </c>
      <c r="D380" s="255"/>
      <c r="E380" s="255"/>
      <c r="F380" s="95">
        <f t="shared" si="42"/>
        <v>2989.4</v>
      </c>
      <c r="G380" s="70">
        <f t="shared" si="43"/>
        <v>2.5749744679661648E-2</v>
      </c>
      <c r="H380" s="316">
        <f t="shared" si="44"/>
        <v>58.429518144960639</v>
      </c>
      <c r="I380" s="96">
        <f>H380*0.3677</f>
        <v>21.48453382190203</v>
      </c>
      <c r="J380" s="316">
        <v>7.9232568614951404</v>
      </c>
      <c r="K380" s="37">
        <f>G380*193.77</f>
        <v>4.9895280265780375</v>
      </c>
      <c r="L380" s="37">
        <f t="shared" si="47"/>
        <v>6.0822346643986283</v>
      </c>
      <c r="M380" s="45">
        <f t="shared" si="41"/>
        <v>3.1051996004193432E-2</v>
      </c>
    </row>
    <row r="381" spans="1:13" s="6" customFormat="1" ht="16.5" customHeight="1">
      <c r="A381" s="268">
        <v>290</v>
      </c>
      <c r="B381" s="292" t="s">
        <v>1396</v>
      </c>
      <c r="C381" s="294">
        <v>527.29999999999995</v>
      </c>
      <c r="D381" s="255"/>
      <c r="E381" s="255"/>
      <c r="F381" s="95">
        <f t="shared" si="42"/>
        <v>527.29999999999995</v>
      </c>
      <c r="G381" s="70">
        <f t="shared" si="43"/>
        <v>4.541995172805775E-3</v>
      </c>
      <c r="H381" s="316">
        <f t="shared" si="44"/>
        <v>10.306377506468769</v>
      </c>
      <c r="I381" s="96">
        <f>H381*0.3677</f>
        <v>3.7896550091285666</v>
      </c>
      <c r="J381" s="316">
        <v>0.57754876968159463</v>
      </c>
      <c r="K381" s="37">
        <f>G381*193.77</f>
        <v>0.88010240463457501</v>
      </c>
      <c r="L381" s="37">
        <f t="shared" si="47"/>
        <v>1.0728448312495471</v>
      </c>
      <c r="M381" s="45">
        <f t="shared" si="41"/>
        <v>2.9496839920184918E-2</v>
      </c>
    </row>
    <row r="382" spans="1:13" s="6" customFormat="1" ht="16.5" customHeight="1">
      <c r="A382" s="268">
        <v>291</v>
      </c>
      <c r="B382" s="301" t="s">
        <v>1400</v>
      </c>
      <c r="C382" s="295">
        <v>2299.1999999999998</v>
      </c>
      <c r="D382" s="255"/>
      <c r="E382" s="255"/>
      <c r="F382" s="95">
        <f t="shared" si="42"/>
        <v>2299.1999999999998</v>
      </c>
      <c r="G382" s="70">
        <f t="shared" si="43"/>
        <v>1.9804580506950574E-2</v>
      </c>
      <c r="H382" s="316">
        <f t="shared" si="44"/>
        <v>44.939167765736755</v>
      </c>
      <c r="I382" s="96">
        <f>H382*0.3677</f>
        <v>16.524131987461406</v>
      </c>
      <c r="J382" s="316">
        <v>4.4732932858180341</v>
      </c>
      <c r="K382" s="37">
        <f>G382*193.77</f>
        <v>3.837533564831813</v>
      </c>
      <c r="L382" s="37">
        <f t="shared" si="47"/>
        <v>4.6779534155299807</v>
      </c>
      <c r="M382" s="45">
        <f t="shared" si="41"/>
        <v>3.0347132308562983E-2</v>
      </c>
    </row>
    <row r="383" spans="1:13" s="6" customFormat="1" ht="16.5" customHeight="1">
      <c r="A383" s="268">
        <v>292</v>
      </c>
      <c r="B383" s="302" t="s">
        <v>1401</v>
      </c>
      <c r="C383" s="294">
        <v>292.60000000000002</v>
      </c>
      <c r="D383" s="255"/>
      <c r="E383" s="255"/>
      <c r="F383" s="95">
        <f t="shared" si="42"/>
        <v>292.60000000000002</v>
      </c>
      <c r="G383" s="70">
        <f t="shared" si="43"/>
        <v>2.5203637162203112E-3</v>
      </c>
      <c r="H383" s="316">
        <f t="shared" si="44"/>
        <v>5.7190329193869953</v>
      </c>
      <c r="I383" s="96">
        <f>H383*0.3677</f>
        <v>2.1028884044585983</v>
      </c>
      <c r="J383" s="316">
        <v>2.9372922683270373</v>
      </c>
      <c r="K383" s="37">
        <f>G383*193.77</f>
        <v>0.48837087729200973</v>
      </c>
      <c r="L383" s="37">
        <f t="shared" si="47"/>
        <v>0.59532409941895992</v>
      </c>
      <c r="M383" s="45">
        <f t="shared" si="41"/>
        <v>3.8440138309858644E-2</v>
      </c>
    </row>
    <row r="384" spans="1:13" s="69" customFormat="1" ht="16.5" customHeight="1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3">
        <f t="shared" ref="F384:F447" si="48">C384+D384+E384</f>
        <v>232188.71000000008</v>
      </c>
      <c r="G384" s="70">
        <f>2/232188.71*F384</f>
        <v>2.0000000000000009</v>
      </c>
      <c r="H384" s="316">
        <f>G384*2269.13</f>
        <v>4538.260000000002</v>
      </c>
      <c r="I384" s="64">
        <f t="shared" ref="I384:I401" si="49">H384*0.3677</f>
        <v>1668.7182020000009</v>
      </c>
      <c r="J384" s="316">
        <f>SUM(J91:J383)</f>
        <v>1761.8576574274757</v>
      </c>
      <c r="K384" s="37">
        <f>SUM(K92:K383)</f>
        <v>386.60148002631149</v>
      </c>
      <c r="L384" s="37">
        <f>K384*1.219</f>
        <v>471.26720415207376</v>
      </c>
      <c r="M384" s="45">
        <f t="shared" si="41"/>
        <v>3.7312593140191141E-2</v>
      </c>
    </row>
    <row r="385" spans="1:13" s="6" customFormat="1" ht="16.5" customHeight="1">
      <c r="A385" s="52" t="s">
        <v>668</v>
      </c>
      <c r="B385" s="8"/>
      <c r="C385" s="8"/>
      <c r="D385" s="8"/>
      <c r="E385" s="8"/>
      <c r="F385" s="40">
        <f t="shared" si="48"/>
        <v>0</v>
      </c>
      <c r="G385" s="61"/>
      <c r="H385" s="316"/>
      <c r="I385" s="37"/>
      <c r="J385" s="316"/>
      <c r="K385" s="37"/>
      <c r="L385" s="37">
        <f t="shared" ref="L385:L448" si="50">K385*1.219</f>
        <v>0</v>
      </c>
      <c r="M385" s="45" t="e">
        <f t="shared" si="41"/>
        <v>#DIV/0!</v>
      </c>
    </row>
    <row r="386" spans="1:13" s="6" customFormat="1" ht="16.5" customHeight="1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48"/>
        <v>4235</v>
      </c>
      <c r="G386" s="70">
        <f t="shared" ref="G386:G449" si="51">2/243872.61*F386</f>
        <v>3.4731247596849854E-2</v>
      </c>
      <c r="H386" s="316">
        <f t="shared" ref="H386:H449" si="52">G386*2269.13</f>
        <v>78.809715859439919</v>
      </c>
      <c r="I386" s="37">
        <f t="shared" si="49"/>
        <v>28.978332521516059</v>
      </c>
      <c r="J386" s="316">
        <v>30.529418128781099</v>
      </c>
      <c r="K386" s="37">
        <f>G386*193.77</f>
        <v>6.7298738468415964</v>
      </c>
      <c r="L386" s="37">
        <f t="shared" si="50"/>
        <v>8.2037162192999062</v>
      </c>
      <c r="M386" s="45">
        <f t="shared" si="41"/>
        <v>3.424966714441055E-2</v>
      </c>
    </row>
    <row r="387" spans="1:13" s="6" customFormat="1" ht="16.5" customHeight="1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48"/>
        <v>12601</v>
      </c>
      <c r="G387" s="70">
        <f t="shared" si="51"/>
        <v>0.10334083848120543</v>
      </c>
      <c r="H387" s="316">
        <f t="shared" si="52"/>
        <v>234.49379682285769</v>
      </c>
      <c r="I387" s="37">
        <f t="shared" si="49"/>
        <v>86.223369091764781</v>
      </c>
      <c r="J387" s="316">
        <v>90.838535499591643</v>
      </c>
      <c r="K387" s="37">
        <f t="shared" ref="K387:K451" si="53">G387*193.77</f>
        <v>20.024354272503178</v>
      </c>
      <c r="L387" s="37">
        <f t="shared" si="50"/>
        <v>24.409687858181375</v>
      </c>
      <c r="M387" s="45">
        <f t="shared" si="41"/>
        <v>3.4249667144410544E-2</v>
      </c>
    </row>
    <row r="388" spans="1:13" s="6" customFormat="1" ht="16.5" customHeight="1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48"/>
        <v>12482</v>
      </c>
      <c r="G388" s="70">
        <f t="shared" si="51"/>
        <v>0.10236491912724435</v>
      </c>
      <c r="H388" s="316">
        <f t="shared" si="52"/>
        <v>232.27930893920399</v>
      </c>
      <c r="I388" s="37">
        <f t="shared" si="49"/>
        <v>85.409101896945316</v>
      </c>
      <c r="J388" s="316">
        <v>89.980684081096967</v>
      </c>
      <c r="K388" s="37">
        <f t="shared" si="53"/>
        <v>19.835250379286141</v>
      </c>
      <c r="L388" s="37">
        <f t="shared" si="50"/>
        <v>24.179170212349806</v>
      </c>
      <c r="M388" s="45">
        <f t="shared" si="41"/>
        <v>3.4249667144410544E-2</v>
      </c>
    </row>
    <row r="389" spans="1:13" s="6" customFormat="1" ht="16.5" customHeight="1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48"/>
        <v>6092</v>
      </c>
      <c r="G389" s="70">
        <f t="shared" si="51"/>
        <v>4.9960510120427223E-2</v>
      </c>
      <c r="H389" s="316">
        <f t="shared" si="52"/>
        <v>113.36689232956503</v>
      </c>
      <c r="I389" s="37">
        <f t="shared" si="49"/>
        <v>41.685006309581063</v>
      </c>
      <c r="J389" s="316">
        <v>43.916225558567753</v>
      </c>
      <c r="K389" s="37">
        <f t="shared" si="53"/>
        <v>9.6808480460351838</v>
      </c>
      <c r="L389" s="37">
        <f t="shared" si="50"/>
        <v>11.800953768116889</v>
      </c>
      <c r="M389" s="45">
        <f t="shared" si="41"/>
        <v>3.4249667144410544E-2</v>
      </c>
    </row>
    <row r="390" spans="1:13" s="6" customFormat="1" ht="16.5" customHeight="1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48"/>
        <v>12853.2</v>
      </c>
      <c r="G390" s="70">
        <f t="shared" si="51"/>
        <v>0.10540913143136495</v>
      </c>
      <c r="H390" s="316">
        <f t="shared" si="52"/>
        <v>239.18702240485317</v>
      </c>
      <c r="I390" s="37">
        <f t="shared" si="49"/>
        <v>87.949068138264522</v>
      </c>
      <c r="J390" s="316">
        <v>92.656603799964401</v>
      </c>
      <c r="K390" s="37">
        <f t="shared" si="53"/>
        <v>20.425127397455586</v>
      </c>
      <c r="L390" s="37">
        <f t="shared" si="50"/>
        <v>24.898230297498362</v>
      </c>
      <c r="M390" s="45">
        <f t="shared" si="41"/>
        <v>3.4249667144410544E-2</v>
      </c>
    </row>
    <row r="391" spans="1:13" s="6" customFormat="1" ht="16.5" customHeight="1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48"/>
        <v>6317.1</v>
      </c>
      <c r="G391" s="70">
        <f t="shared" si="51"/>
        <v>5.1806555889978796E-2</v>
      </c>
      <c r="H391" s="316">
        <f t="shared" si="52"/>
        <v>117.55581016662759</v>
      </c>
      <c r="I391" s="37">
        <f t="shared" si="49"/>
        <v>43.225271398268973</v>
      </c>
      <c r="J391" s="316">
        <v>45.538934418258108</v>
      </c>
      <c r="K391" s="37">
        <f t="shared" si="53"/>
        <v>10.038556334801191</v>
      </c>
      <c r="L391" s="37">
        <f t="shared" si="50"/>
        <v>12.237000172122652</v>
      </c>
      <c r="M391" s="45">
        <f t="shared" ref="M391:M454" si="54">(K391+J391+I391+H391)/C391</f>
        <v>3.5054856175948779E-2</v>
      </c>
    </row>
    <row r="392" spans="1:13" s="6" customFormat="1" ht="16.5" customHeight="1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48"/>
        <v>6243.1</v>
      </c>
      <c r="G392" s="70">
        <f t="shared" si="51"/>
        <v>5.1199681669868553E-2</v>
      </c>
      <c r="H392" s="316">
        <f t="shared" si="52"/>
        <v>116.17873366754884</v>
      </c>
      <c r="I392" s="37">
        <f t="shared" si="49"/>
        <v>42.718920369557715</v>
      </c>
      <c r="J392" s="316">
        <v>45.005480594992505</v>
      </c>
      <c r="K392" s="37">
        <f t="shared" si="53"/>
        <v>9.9209623171704298</v>
      </c>
      <c r="L392" s="37">
        <f t="shared" si="50"/>
        <v>12.093653064630754</v>
      </c>
      <c r="M392" s="45">
        <f t="shared" si="54"/>
        <v>3.4644215319065051E-2</v>
      </c>
    </row>
    <row r="393" spans="1:13" s="6" customFormat="1" ht="16.5" customHeight="1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48"/>
        <v>3918</v>
      </c>
      <c r="G393" s="70">
        <f t="shared" si="51"/>
        <v>3.2131529653945154E-2</v>
      </c>
      <c r="H393" s="316">
        <f t="shared" si="52"/>
        <v>72.91061788365657</v>
      </c>
      <c r="I393" s="37">
        <f t="shared" si="49"/>
        <v>26.809234195820522</v>
      </c>
      <c r="J393" s="316">
        <v>28.244217291278474</v>
      </c>
      <c r="K393" s="37">
        <f t="shared" si="53"/>
        <v>6.2261265010449529</v>
      </c>
      <c r="L393" s="37">
        <f t="shared" si="50"/>
        <v>7.5896482047737983</v>
      </c>
      <c r="M393" s="45">
        <f t="shared" si="54"/>
        <v>3.4249667144410544E-2</v>
      </c>
    </row>
    <row r="394" spans="1:13" s="6" customFormat="1" ht="16.5" customHeight="1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48"/>
        <v>4332</v>
      </c>
      <c r="G394" s="70">
        <f t="shared" si="51"/>
        <v>3.5526744885372739E-2</v>
      </c>
      <c r="H394" s="316">
        <f t="shared" si="52"/>
        <v>80.614802621745852</v>
      </c>
      <c r="I394" s="37">
        <f t="shared" si="49"/>
        <v>29.642062924015953</v>
      </c>
      <c r="J394" s="316">
        <v>31.228675167386005</v>
      </c>
      <c r="K394" s="37">
        <f t="shared" si="53"/>
        <v>6.884017356438676</v>
      </c>
      <c r="L394" s="37">
        <f t="shared" si="50"/>
        <v>8.3916171574987466</v>
      </c>
      <c r="M394" s="45">
        <f t="shared" si="54"/>
        <v>3.424966714441055E-2</v>
      </c>
    </row>
    <row r="395" spans="1:13" s="6" customFormat="1" ht="16.5" customHeight="1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48"/>
        <v>3911</v>
      </c>
      <c r="G395" s="70">
        <f t="shared" si="51"/>
        <v>3.2074122633123911E-2</v>
      </c>
      <c r="H395" s="316">
        <f t="shared" si="52"/>
        <v>72.780353890500464</v>
      </c>
      <c r="I395" s="37">
        <f t="shared" si="49"/>
        <v>26.761336125537024</v>
      </c>
      <c r="J395" s="316">
        <v>28.193755443131732</v>
      </c>
      <c r="K395" s="37">
        <f t="shared" si="53"/>
        <v>6.2150027426204204</v>
      </c>
      <c r="L395" s="37">
        <f t="shared" si="50"/>
        <v>7.5760883432542929</v>
      </c>
      <c r="M395" s="45">
        <f t="shared" si="54"/>
        <v>3.4249667144410544E-2</v>
      </c>
    </row>
    <row r="396" spans="1:13" s="6" customFormat="1" ht="16.5" customHeight="1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48"/>
        <v>3338</v>
      </c>
      <c r="G396" s="70">
        <f t="shared" si="51"/>
        <v>2.7374947928756742E-2</v>
      </c>
      <c r="H396" s="316">
        <f t="shared" si="52"/>
        <v>62.117315593579789</v>
      </c>
      <c r="I396" s="37">
        <f t="shared" si="49"/>
        <v>22.84053694375929</v>
      </c>
      <c r="J396" s="316">
        <v>24.063092730548124</v>
      </c>
      <c r="K396" s="37">
        <f t="shared" si="53"/>
        <v>5.3044436601551945</v>
      </c>
      <c r="L396" s="37">
        <f t="shared" si="50"/>
        <v>6.4661168217291829</v>
      </c>
      <c r="M396" s="45">
        <f t="shared" si="54"/>
        <v>3.4249667144410544E-2</v>
      </c>
    </row>
    <row r="397" spans="1:13" s="6" customFormat="1" ht="16.5" customHeight="1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48"/>
        <v>3353</v>
      </c>
      <c r="G397" s="70">
        <f t="shared" si="51"/>
        <v>2.7497962973373685E-2</v>
      </c>
      <c r="H397" s="316">
        <f t="shared" si="52"/>
        <v>62.396452721771432</v>
      </c>
      <c r="I397" s="37">
        <f t="shared" si="49"/>
        <v>22.943175665795358</v>
      </c>
      <c r="J397" s="316">
        <v>24.171225262291152</v>
      </c>
      <c r="K397" s="37">
        <f t="shared" si="53"/>
        <v>5.328280285350619</v>
      </c>
      <c r="L397" s="37">
        <f t="shared" si="50"/>
        <v>6.4951736678424048</v>
      </c>
      <c r="M397" s="45">
        <f t="shared" si="54"/>
        <v>3.424966714441055E-2</v>
      </c>
    </row>
    <row r="398" spans="1:13" s="6" customFormat="1" ht="16.5" customHeight="1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48"/>
        <v>4050</v>
      </c>
      <c r="G398" s="70">
        <f t="shared" si="51"/>
        <v>3.321406204657424E-2</v>
      </c>
      <c r="H398" s="316">
        <f t="shared" si="52"/>
        <v>75.367024611743005</v>
      </c>
      <c r="I398" s="37">
        <f t="shared" si="49"/>
        <v>27.712454949737904</v>
      </c>
      <c r="J398" s="316">
        <v>29.19578357061711</v>
      </c>
      <c r="K398" s="37">
        <f t="shared" si="53"/>
        <v>6.4358888027646906</v>
      </c>
      <c r="L398" s="37">
        <f t="shared" si="50"/>
        <v>7.8453484505701585</v>
      </c>
      <c r="M398" s="45">
        <f t="shared" si="54"/>
        <v>3.4249667144410544E-2</v>
      </c>
    </row>
    <row r="399" spans="1:13" s="6" customFormat="1" ht="16.5" customHeight="1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48"/>
        <v>4035</v>
      </c>
      <c r="G399" s="70">
        <f t="shared" si="51"/>
        <v>3.3091047001957294E-2</v>
      </c>
      <c r="H399" s="316">
        <f t="shared" si="52"/>
        <v>75.087887483551356</v>
      </c>
      <c r="I399" s="37">
        <f t="shared" si="49"/>
        <v>27.609816227701835</v>
      </c>
      <c r="J399" s="316">
        <v>29.087651038874082</v>
      </c>
      <c r="K399" s="37">
        <f t="shared" si="53"/>
        <v>6.4120521775692652</v>
      </c>
      <c r="L399" s="37">
        <f t="shared" si="50"/>
        <v>7.8162916044569348</v>
      </c>
      <c r="M399" s="45">
        <f t="shared" si="54"/>
        <v>3.4249667144410544E-2</v>
      </c>
    </row>
    <row r="400" spans="1:13" s="6" customFormat="1" ht="16.5" customHeight="1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48"/>
        <v>4018</v>
      </c>
      <c r="G400" s="70">
        <f t="shared" si="51"/>
        <v>3.2951629951391427E-2</v>
      </c>
      <c r="H400" s="316">
        <f t="shared" si="52"/>
        <v>74.771532071600831</v>
      </c>
      <c r="I400" s="37">
        <f t="shared" si="49"/>
        <v>27.493492342727627</v>
      </c>
      <c r="J400" s="316">
        <v>28.965100836231983</v>
      </c>
      <c r="K400" s="37">
        <f t="shared" si="53"/>
        <v>6.3850373356811172</v>
      </c>
      <c r="L400" s="37">
        <f t="shared" si="50"/>
        <v>7.7833605121952827</v>
      </c>
      <c r="M400" s="45">
        <f t="shared" si="54"/>
        <v>3.4249667144410544E-2</v>
      </c>
    </row>
    <row r="401" spans="1:13" s="6" customFormat="1" ht="16.5" customHeight="1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48"/>
        <v>4031</v>
      </c>
      <c r="G401" s="70">
        <f t="shared" si="51"/>
        <v>3.3058242990059446E-2</v>
      </c>
      <c r="H401" s="316">
        <f t="shared" si="52"/>
        <v>75.013450916033591</v>
      </c>
      <c r="I401" s="37">
        <f t="shared" si="49"/>
        <v>27.582445901825555</v>
      </c>
      <c r="J401" s="316">
        <v>29.058815697075943</v>
      </c>
      <c r="K401" s="37">
        <f t="shared" si="53"/>
        <v>6.4056957441838192</v>
      </c>
      <c r="L401" s="37">
        <f t="shared" si="50"/>
        <v>7.8085431121600761</v>
      </c>
      <c r="M401" s="45">
        <f t="shared" si="54"/>
        <v>3.4249667144410544E-2</v>
      </c>
    </row>
    <row r="402" spans="1:13" s="6" customFormat="1" ht="16.5" customHeight="1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48"/>
        <v>4302</v>
      </c>
      <c r="G402" s="70">
        <f t="shared" si="51"/>
        <v>3.5280714796138854E-2</v>
      </c>
      <c r="H402" s="316">
        <f t="shared" si="52"/>
        <v>80.056528365362567</v>
      </c>
      <c r="I402" s="37">
        <f t="shared" ref="I402:I465" si="55">H402*0.3677</f>
        <v>29.436785479943818</v>
      </c>
      <c r="J402" s="316">
        <v>31.012410103899949</v>
      </c>
      <c r="K402" s="37">
        <f t="shared" si="53"/>
        <v>6.8363441060478261</v>
      </c>
      <c r="L402" s="37">
        <f t="shared" si="50"/>
        <v>8.333503465272301</v>
      </c>
      <c r="M402" s="45">
        <f t="shared" si="54"/>
        <v>3.424966714441055E-2</v>
      </c>
    </row>
    <row r="403" spans="1:13" s="6" customFormat="1" ht="16.5" customHeight="1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48"/>
        <v>4275</v>
      </c>
      <c r="G403" s="70">
        <f t="shared" si="51"/>
        <v>3.5059287715828363E-2</v>
      </c>
      <c r="H403" s="316">
        <f t="shared" si="52"/>
        <v>79.554081534617623</v>
      </c>
      <c r="I403" s="37">
        <f t="shared" si="55"/>
        <v>29.252035780278902</v>
      </c>
      <c r="J403" s="316">
        <v>30.817771546762497</v>
      </c>
      <c r="K403" s="37">
        <f t="shared" si="53"/>
        <v>6.7934381806960626</v>
      </c>
      <c r="L403" s="37">
        <f t="shared" si="50"/>
        <v>8.2812011422685003</v>
      </c>
      <c r="M403" s="45">
        <f t="shared" si="54"/>
        <v>3.4249667144410544E-2</v>
      </c>
    </row>
    <row r="404" spans="1:13" s="6" customFormat="1" ht="16.5" customHeight="1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48"/>
        <v>4125</v>
      </c>
      <c r="G404" s="70">
        <f t="shared" si="51"/>
        <v>3.3829137269658943E-2</v>
      </c>
      <c r="H404" s="316">
        <f t="shared" si="52"/>
        <v>76.762710252701197</v>
      </c>
      <c r="I404" s="37">
        <f t="shared" si="55"/>
        <v>28.225648559918231</v>
      </c>
      <c r="J404" s="316">
        <v>29.736446229332238</v>
      </c>
      <c r="K404" s="37">
        <f t="shared" si="53"/>
        <v>6.555071928741814</v>
      </c>
      <c r="L404" s="37">
        <f t="shared" si="50"/>
        <v>7.9906326811362716</v>
      </c>
      <c r="M404" s="45">
        <f t="shared" si="54"/>
        <v>3.4249667144410537E-2</v>
      </c>
    </row>
    <row r="405" spans="1:13" s="6" customFormat="1" ht="16.5" customHeight="1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48"/>
        <v>3975</v>
      </c>
      <c r="G405" s="70">
        <f t="shared" si="51"/>
        <v>3.259898682348953E-2</v>
      </c>
      <c r="H405" s="316">
        <f t="shared" si="52"/>
        <v>73.971338970784799</v>
      </c>
      <c r="I405" s="37">
        <f t="shared" si="55"/>
        <v>27.199261339557573</v>
      </c>
      <c r="J405" s="316">
        <v>28.655120911901971</v>
      </c>
      <c r="K405" s="37">
        <f t="shared" si="53"/>
        <v>6.3167056767875662</v>
      </c>
      <c r="L405" s="37">
        <f t="shared" si="50"/>
        <v>7.7000642200040437</v>
      </c>
      <c r="M405" s="45">
        <f t="shared" si="54"/>
        <v>3.4249667144410544E-2</v>
      </c>
    </row>
    <row r="406" spans="1:13" s="6" customFormat="1" ht="16.5" customHeight="1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48"/>
        <v>3357</v>
      </c>
      <c r="G406" s="70">
        <f t="shared" si="51"/>
        <v>2.7530766985271536E-2</v>
      </c>
      <c r="H406" s="316">
        <f t="shared" si="52"/>
        <v>62.470889289289204</v>
      </c>
      <c r="I406" s="37">
        <f t="shared" si="55"/>
        <v>22.970545991671642</v>
      </c>
      <c r="J406" s="316">
        <v>24.200060604089291</v>
      </c>
      <c r="K406" s="37">
        <f t="shared" si="53"/>
        <v>5.3346367187360659</v>
      </c>
      <c r="L406" s="37">
        <f t="shared" si="50"/>
        <v>6.5029221601392644</v>
      </c>
      <c r="M406" s="45">
        <f t="shared" si="54"/>
        <v>3.4249667144410544E-2</v>
      </c>
    </row>
    <row r="407" spans="1:13" s="6" customFormat="1" ht="16.5" customHeight="1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48"/>
        <v>6146</v>
      </c>
      <c r="G407" s="70">
        <f t="shared" si="51"/>
        <v>5.0403364281048212E-2</v>
      </c>
      <c r="H407" s="316">
        <f t="shared" si="52"/>
        <v>114.37178599105494</v>
      </c>
      <c r="I407" s="37">
        <f t="shared" si="55"/>
        <v>42.054505708910902</v>
      </c>
      <c r="J407" s="316">
        <v>44.30550267284265</v>
      </c>
      <c r="K407" s="37">
        <f t="shared" si="53"/>
        <v>9.7666598967387124</v>
      </c>
      <c r="L407" s="37">
        <f t="shared" si="50"/>
        <v>11.90555841412449</v>
      </c>
      <c r="M407" s="45">
        <f t="shared" si="54"/>
        <v>3.4249667144410544E-2</v>
      </c>
    </row>
    <row r="408" spans="1:13" s="6" customFormat="1" ht="16.5" customHeight="1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48"/>
        <v>983</v>
      </c>
      <c r="G408" s="70">
        <f t="shared" si="51"/>
        <v>8.0615859238969082E-3</v>
      </c>
      <c r="H408" s="316">
        <f t="shared" si="52"/>
        <v>18.292786467492192</v>
      </c>
      <c r="I408" s="37">
        <f t="shared" si="55"/>
        <v>6.7262575840968797</v>
      </c>
      <c r="J408" s="316">
        <v>7.0862852468929907</v>
      </c>
      <c r="K408" s="37">
        <f t="shared" si="53"/>
        <v>1.562093504473504</v>
      </c>
      <c r="L408" s="37">
        <f t="shared" si="50"/>
        <v>1.9041919819532016</v>
      </c>
      <c r="M408" s="45">
        <f t="shared" si="54"/>
        <v>3.424966714441055E-2</v>
      </c>
    </row>
    <row r="409" spans="1:13" s="6" customFormat="1" ht="16.5" customHeight="1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48"/>
        <v>3815</v>
      </c>
      <c r="G409" s="70">
        <f t="shared" si="51"/>
        <v>3.1286826347575486E-2</v>
      </c>
      <c r="H409" s="316">
        <f t="shared" si="52"/>
        <v>70.993876270073969</v>
      </c>
      <c r="I409" s="37">
        <f t="shared" si="55"/>
        <v>26.104448304506199</v>
      </c>
      <c r="J409" s="316">
        <v>27.501707239976362</v>
      </c>
      <c r="K409" s="37">
        <f t="shared" si="53"/>
        <v>6.0624483413697021</v>
      </c>
      <c r="L409" s="37">
        <f t="shared" si="50"/>
        <v>7.3901245281296672</v>
      </c>
      <c r="M409" s="45">
        <f t="shared" si="54"/>
        <v>3.4249667144410544E-2</v>
      </c>
    </row>
    <row r="410" spans="1:13" s="6" customFormat="1" ht="16.5" customHeight="1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48"/>
        <v>4215</v>
      </c>
      <c r="G410" s="70">
        <f t="shared" si="51"/>
        <v>3.4567227537360593E-2</v>
      </c>
      <c r="H410" s="316">
        <f t="shared" si="52"/>
        <v>78.437533021851038</v>
      </c>
      <c r="I410" s="37">
        <f t="shared" si="55"/>
        <v>28.84148089213463</v>
      </c>
      <c r="J410" s="316">
        <v>30.385241419790397</v>
      </c>
      <c r="K410" s="37">
        <f t="shared" si="53"/>
        <v>6.6980916799143619</v>
      </c>
      <c r="L410" s="37">
        <f t="shared" si="50"/>
        <v>8.1649737578156074</v>
      </c>
      <c r="M410" s="45">
        <f t="shared" si="54"/>
        <v>3.4249667144410537E-2</v>
      </c>
    </row>
    <row r="411" spans="1:13" s="6" customFormat="1" ht="16.5" customHeight="1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48"/>
        <v>12662</v>
      </c>
      <c r="G411" s="70">
        <f t="shared" si="51"/>
        <v>0.10384109966264765</v>
      </c>
      <c r="H411" s="316">
        <f t="shared" si="52"/>
        <v>235.62895447750367</v>
      </c>
      <c r="I411" s="37">
        <f t="shared" si="55"/>
        <v>86.640766561378101</v>
      </c>
      <c r="J411" s="316">
        <v>91.278274462013286</v>
      </c>
      <c r="K411" s="37">
        <f t="shared" si="53"/>
        <v>20.121289881631238</v>
      </c>
      <c r="L411" s="37">
        <f t="shared" si="50"/>
        <v>24.52785236570848</v>
      </c>
      <c r="M411" s="45">
        <f t="shared" si="54"/>
        <v>3.4249667144410544E-2</v>
      </c>
    </row>
    <row r="412" spans="1:13" s="6" customFormat="1" ht="16.5" customHeight="1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48"/>
        <v>3976</v>
      </c>
      <c r="G412" s="70">
        <f t="shared" si="51"/>
        <v>3.260718782646399E-2</v>
      </c>
      <c r="H412" s="316">
        <f t="shared" si="52"/>
        <v>73.989948112664237</v>
      </c>
      <c r="I412" s="37">
        <f t="shared" si="55"/>
        <v>27.206103921026642</v>
      </c>
      <c r="J412" s="316">
        <v>28.66232974735151</v>
      </c>
      <c r="K412" s="37">
        <f t="shared" si="53"/>
        <v>6.3182947851339275</v>
      </c>
      <c r="L412" s="37">
        <f t="shared" si="50"/>
        <v>7.7020013430782583</v>
      </c>
      <c r="M412" s="45">
        <f t="shared" si="54"/>
        <v>3.4249667144410537E-2</v>
      </c>
    </row>
    <row r="413" spans="1:13" s="6" customFormat="1" ht="16.5" customHeight="1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48"/>
        <v>12839</v>
      </c>
      <c r="G413" s="70">
        <f t="shared" si="51"/>
        <v>0.10529267718912756</v>
      </c>
      <c r="H413" s="316">
        <f t="shared" si="52"/>
        <v>238.92277259016504</v>
      </c>
      <c r="I413" s="37">
        <f t="shared" si="55"/>
        <v>87.851903481403696</v>
      </c>
      <c r="J413" s="316">
        <v>92.554238336580994</v>
      </c>
      <c r="K413" s="37">
        <f t="shared" si="53"/>
        <v>20.402562058937249</v>
      </c>
      <c r="L413" s="37">
        <f t="shared" si="50"/>
        <v>24.870723149844508</v>
      </c>
      <c r="M413" s="45">
        <f t="shared" si="54"/>
        <v>3.4249667144410544E-2</v>
      </c>
    </row>
    <row r="414" spans="1:13" s="6" customFormat="1" ht="16.5" customHeight="1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48"/>
        <v>10313</v>
      </c>
      <c r="G414" s="70">
        <f t="shared" si="51"/>
        <v>8.4576943675634592E-2</v>
      </c>
      <c r="H414" s="316">
        <f t="shared" si="52"/>
        <v>191.91608020269274</v>
      </c>
      <c r="I414" s="37">
        <f t="shared" si="55"/>
        <v>70.567542690530132</v>
      </c>
      <c r="J414" s="316">
        <v>74.344719991055371</v>
      </c>
      <c r="K414" s="37">
        <f t="shared" si="53"/>
        <v>16.388474376027716</v>
      </c>
      <c r="L414" s="37">
        <f t="shared" si="50"/>
        <v>19.977550264377786</v>
      </c>
      <c r="M414" s="45">
        <f t="shared" si="54"/>
        <v>3.4249667144410544E-2</v>
      </c>
    </row>
    <row r="415" spans="1:13" s="6" customFormat="1" ht="16.5" customHeight="1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48"/>
        <v>6385</v>
      </c>
      <c r="G415" s="70">
        <f t="shared" si="51"/>
        <v>5.2363403991944814E-2</v>
      </c>
      <c r="H415" s="316">
        <f t="shared" si="52"/>
        <v>118.81937090024174</v>
      </c>
      <c r="I415" s="37">
        <f t="shared" si="55"/>
        <v>43.68988268001889</v>
      </c>
      <c r="J415" s="316">
        <v>46.02841434528154</v>
      </c>
      <c r="K415" s="37">
        <f t="shared" si="53"/>
        <v>10.146456791519148</v>
      </c>
      <c r="L415" s="37">
        <f t="shared" si="50"/>
        <v>12.368530828861841</v>
      </c>
      <c r="M415" s="45">
        <f t="shared" si="54"/>
        <v>3.4249667144410544E-2</v>
      </c>
    </row>
    <row r="416" spans="1:13" s="6" customFormat="1" ht="16.5" customHeight="1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48"/>
        <v>3041.2</v>
      </c>
      <c r="G416" s="70">
        <f t="shared" si="51"/>
        <v>2.4940890245936188E-2</v>
      </c>
      <c r="H416" s="316">
        <f t="shared" si="52"/>
        <v>56.594122283761187</v>
      </c>
      <c r="I416" s="37">
        <f t="shared" si="55"/>
        <v>20.809658763738991</v>
      </c>
      <c r="J416" s="316">
        <v>21.92351036912611</v>
      </c>
      <c r="K416" s="37">
        <f t="shared" si="53"/>
        <v>4.8327963029550558</v>
      </c>
      <c r="L416" s="37">
        <f t="shared" si="50"/>
        <v>5.891178693302213</v>
      </c>
      <c r="M416" s="45">
        <f t="shared" si="54"/>
        <v>3.4364925014708461E-2</v>
      </c>
    </row>
    <row r="417" spans="1:13" s="6" customFormat="1" ht="16.5" customHeight="1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48"/>
        <v>3886</v>
      </c>
      <c r="G417" s="70">
        <f t="shared" si="51"/>
        <v>3.1869097558762341E-2</v>
      </c>
      <c r="H417" s="316">
        <f t="shared" si="52"/>
        <v>72.315125343514396</v>
      </c>
      <c r="I417" s="37">
        <f t="shared" si="55"/>
        <v>26.590271588810246</v>
      </c>
      <c r="J417" s="316">
        <v>28.013534556893351</v>
      </c>
      <c r="K417" s="37">
        <f t="shared" si="53"/>
        <v>6.1752750339613796</v>
      </c>
      <c r="L417" s="37">
        <f t="shared" si="50"/>
        <v>7.5276602663989225</v>
      </c>
      <c r="M417" s="45">
        <f t="shared" si="54"/>
        <v>3.4249667144410544E-2</v>
      </c>
    </row>
    <row r="418" spans="1:13" s="6" customFormat="1" ht="16.5" customHeight="1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48"/>
        <v>4071</v>
      </c>
      <c r="G418" s="70">
        <f t="shared" si="51"/>
        <v>3.3386283109037955E-2</v>
      </c>
      <c r="H418" s="316">
        <f t="shared" si="52"/>
        <v>75.757816591211295</v>
      </c>
      <c r="I418" s="37">
        <f t="shared" si="55"/>
        <v>27.856149160588394</v>
      </c>
      <c r="J418" s="316">
        <v>29.347169115057341</v>
      </c>
      <c r="K418" s="37">
        <f t="shared" si="53"/>
        <v>6.4692600780382845</v>
      </c>
      <c r="L418" s="37">
        <f t="shared" si="50"/>
        <v>7.8860280351286693</v>
      </c>
      <c r="M418" s="45">
        <f t="shared" si="54"/>
        <v>3.4249667144410544E-2</v>
      </c>
    </row>
    <row r="419" spans="1:13" s="6" customFormat="1" ht="16.5" customHeight="1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48"/>
        <v>352.6</v>
      </c>
      <c r="G419" s="70">
        <f t="shared" si="51"/>
        <v>2.8916736487955745E-3</v>
      </c>
      <c r="H419" s="316">
        <f t="shared" si="52"/>
        <v>6.5615834266915023</v>
      </c>
      <c r="I419" s="37">
        <f t="shared" si="55"/>
        <v>2.4126942259944655</v>
      </c>
      <c r="J419" s="316">
        <v>2.5418353795060722</v>
      </c>
      <c r="K419" s="37">
        <f t="shared" si="53"/>
        <v>0.56031960292711847</v>
      </c>
      <c r="L419" s="37">
        <f t="shared" si="50"/>
        <v>0.68302959596815749</v>
      </c>
      <c r="M419" s="45">
        <f t="shared" si="54"/>
        <v>7.4962337896456593E-2</v>
      </c>
    </row>
    <row r="420" spans="1:13" s="6" customFormat="1" ht="16.5" customHeight="1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48"/>
        <v>656.95</v>
      </c>
      <c r="G420" s="70">
        <f t="shared" si="51"/>
        <v>5.3876489040733198E-3</v>
      </c>
      <c r="H420" s="316">
        <f t="shared" si="52"/>
        <v>12.225275757699892</v>
      </c>
      <c r="I420" s="37">
        <f t="shared" si="55"/>
        <v>4.4952338961062503</v>
      </c>
      <c r="J420" s="316">
        <v>4.7358444485720756</v>
      </c>
      <c r="K420" s="37">
        <f t="shared" si="53"/>
        <v>1.0439647281422872</v>
      </c>
      <c r="L420" s="37">
        <f t="shared" si="50"/>
        <v>1.2725930036054482</v>
      </c>
      <c r="M420" s="45">
        <f t="shared" si="54"/>
        <v>3.4249667144410537E-2</v>
      </c>
    </row>
    <row r="421" spans="1:13" s="6" customFormat="1" ht="16.5" customHeight="1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48"/>
        <v>485.16</v>
      </c>
      <c r="G421" s="70">
        <f t="shared" si="51"/>
        <v>3.9787986030903602E-3</v>
      </c>
      <c r="H421" s="316">
        <f t="shared" si="52"/>
        <v>9.0284112742304288</v>
      </c>
      <c r="I421" s="37">
        <f t="shared" si="55"/>
        <v>3.319746825534529</v>
      </c>
      <c r="J421" s="316">
        <v>3.4974386066964436</v>
      </c>
      <c r="K421" s="37">
        <f t="shared" si="53"/>
        <v>0.7709718053208191</v>
      </c>
      <c r="L421" s="37">
        <f t="shared" si="50"/>
        <v>0.93981463068607851</v>
      </c>
      <c r="M421" s="45">
        <f t="shared" si="54"/>
        <v>3.4249667144410544E-2</v>
      </c>
    </row>
    <row r="422" spans="1:13" s="6" customFormat="1" ht="16.5" customHeight="1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48"/>
        <v>286.92</v>
      </c>
      <c r="G422" s="70">
        <f t="shared" si="51"/>
        <v>2.3530317734328596E-3</v>
      </c>
      <c r="H422" s="316">
        <f t="shared" si="52"/>
        <v>5.3393349880497052</v>
      </c>
      <c r="I422" s="37">
        <f t="shared" si="55"/>
        <v>1.9632734751058767</v>
      </c>
      <c r="J422" s="316">
        <v>2.0683590671806074</v>
      </c>
      <c r="K422" s="37">
        <f t="shared" si="53"/>
        <v>0.45594696673808521</v>
      </c>
      <c r="L422" s="37">
        <f t="shared" si="50"/>
        <v>0.55579935245372591</v>
      </c>
      <c r="M422" s="45">
        <f t="shared" si="54"/>
        <v>3.4249667144410544E-2</v>
      </c>
    </row>
    <row r="423" spans="1:13" s="6" customFormat="1" ht="16.5" customHeight="1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48"/>
        <v>226.94</v>
      </c>
      <c r="G423" s="70">
        <f t="shared" si="51"/>
        <v>1.8611356150245821E-3</v>
      </c>
      <c r="H423" s="316">
        <f t="shared" si="52"/>
        <v>4.2231586581207301</v>
      </c>
      <c r="I423" s="37">
        <f t="shared" si="55"/>
        <v>1.5528554385909925</v>
      </c>
      <c r="J423" s="316">
        <v>1.6359731169174929</v>
      </c>
      <c r="K423" s="37">
        <f t="shared" si="53"/>
        <v>0.36063224812331329</v>
      </c>
      <c r="L423" s="37">
        <f t="shared" si="50"/>
        <v>0.43961071046231892</v>
      </c>
      <c r="M423" s="45">
        <f t="shared" si="54"/>
        <v>3.4249667144410544E-2</v>
      </c>
    </row>
    <row r="424" spans="1:13" s="6" customFormat="1" ht="16.5" customHeight="1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48"/>
        <v>307.14999999999998</v>
      </c>
      <c r="G424" s="70">
        <f t="shared" si="51"/>
        <v>2.518938063606241E-3</v>
      </c>
      <c r="H424" s="316">
        <f t="shared" si="52"/>
        <v>5.7157979282708302</v>
      </c>
      <c r="I424" s="37">
        <f t="shared" si="55"/>
        <v>2.1016988982251843</v>
      </c>
      <c r="J424" s="316">
        <v>2.2141938083247021</v>
      </c>
      <c r="K424" s="37">
        <f t="shared" si="53"/>
        <v>0.48809462858498137</v>
      </c>
      <c r="L424" s="37">
        <f t="shared" si="50"/>
        <v>0.59498735224509236</v>
      </c>
      <c r="M424" s="45">
        <f t="shared" si="54"/>
        <v>3.4249667144410544E-2</v>
      </c>
    </row>
    <row r="425" spans="1:13" s="6" customFormat="1" ht="16.5" customHeight="1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48"/>
        <v>329.65</v>
      </c>
      <c r="G425" s="70">
        <f t="shared" si="51"/>
        <v>2.7034606305316533E-3</v>
      </c>
      <c r="H425" s="316">
        <f t="shared" si="52"/>
        <v>6.1345036205582906</v>
      </c>
      <c r="I425" s="37">
        <f t="shared" si="55"/>
        <v>2.2556569812792837</v>
      </c>
      <c r="J425" s="316">
        <v>2.3763926059392415</v>
      </c>
      <c r="K425" s="37">
        <f t="shared" si="53"/>
        <v>0.52384956637811853</v>
      </c>
      <c r="L425" s="37">
        <f t="shared" si="50"/>
        <v>0.63857262141492654</v>
      </c>
      <c r="M425" s="45">
        <f t="shared" si="54"/>
        <v>3.4249667144410544E-2</v>
      </c>
    </row>
    <row r="426" spans="1:13" s="6" customFormat="1" ht="16.5" customHeight="1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48"/>
        <v>255.16</v>
      </c>
      <c r="G426" s="70">
        <f t="shared" si="51"/>
        <v>2.0925679189639215E-3</v>
      </c>
      <c r="H426" s="316">
        <f t="shared" si="52"/>
        <v>4.7483086419586034</v>
      </c>
      <c r="I426" s="37">
        <f t="shared" si="55"/>
        <v>1.7459530876481786</v>
      </c>
      <c r="J426" s="316">
        <v>1.8394064533033732</v>
      </c>
      <c r="K426" s="37">
        <f t="shared" si="53"/>
        <v>0.40547688565763906</v>
      </c>
      <c r="L426" s="37">
        <f t="shared" si="50"/>
        <v>0.49427632361666207</v>
      </c>
      <c r="M426" s="45">
        <f t="shared" si="54"/>
        <v>3.4249667144410544E-2</v>
      </c>
    </row>
    <row r="427" spans="1:13" s="6" customFormat="1" ht="16.5" customHeight="1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48"/>
        <v>509.32</v>
      </c>
      <c r="G427" s="70">
        <f t="shared" si="51"/>
        <v>4.1769348349533801E-3</v>
      </c>
      <c r="H427" s="316">
        <f t="shared" si="52"/>
        <v>9.4780081420377638</v>
      </c>
      <c r="I427" s="37">
        <f t="shared" si="55"/>
        <v>3.4850635938272858</v>
      </c>
      <c r="J427" s="316">
        <v>3.6716040711572111</v>
      </c>
      <c r="K427" s="37">
        <f t="shared" si="53"/>
        <v>0.80936466296891652</v>
      </c>
      <c r="L427" s="37">
        <f t="shared" si="50"/>
        <v>0.98661552415910925</v>
      </c>
      <c r="M427" s="45">
        <f t="shared" si="54"/>
        <v>3.4249667144410544E-2</v>
      </c>
    </row>
    <row r="428" spans="1:13" s="6" customFormat="1" ht="16.5" customHeight="1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48"/>
        <v>509.19</v>
      </c>
      <c r="G428" s="70">
        <f t="shared" si="51"/>
        <v>4.1758687045667002E-3</v>
      </c>
      <c r="H428" s="316">
        <f t="shared" si="52"/>
        <v>9.4755889535934372</v>
      </c>
      <c r="I428" s="37">
        <f t="shared" si="55"/>
        <v>3.4841740582363072</v>
      </c>
      <c r="J428" s="316">
        <v>3.6706669225487718</v>
      </c>
      <c r="K428" s="37">
        <f t="shared" si="53"/>
        <v>0.80915807888388958</v>
      </c>
      <c r="L428" s="37">
        <f t="shared" si="50"/>
        <v>0.98636369815946146</v>
      </c>
      <c r="M428" s="45">
        <f t="shared" si="54"/>
        <v>3.4249667144410544E-2</v>
      </c>
    </row>
    <row r="429" spans="1:13" s="6" customFormat="1" ht="16.5" customHeight="1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48"/>
        <v>291.43</v>
      </c>
      <c r="G429" s="70">
        <f t="shared" si="51"/>
        <v>2.3900182968476865E-3</v>
      </c>
      <c r="H429" s="316">
        <f t="shared" si="52"/>
        <v>5.4232622179259913</v>
      </c>
      <c r="I429" s="37">
        <f t="shared" si="55"/>
        <v>1.9941335175313872</v>
      </c>
      <c r="J429" s="316">
        <v>2.1008709150580107</v>
      </c>
      <c r="K429" s="37">
        <f t="shared" si="53"/>
        <v>0.46311384538017625</v>
      </c>
      <c r="L429" s="37">
        <f t="shared" si="50"/>
        <v>0.56453577751843487</v>
      </c>
      <c r="M429" s="45">
        <f t="shared" si="54"/>
        <v>3.424966714441055E-2</v>
      </c>
    </row>
    <row r="430" spans="1:13" s="6" customFormat="1" ht="16.5" customHeight="1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48"/>
        <v>449.48</v>
      </c>
      <c r="G430" s="70">
        <f t="shared" si="51"/>
        <v>3.6861868169615281E-3</v>
      </c>
      <c r="H430" s="316">
        <f t="shared" si="52"/>
        <v>8.3644370919719133</v>
      </c>
      <c r="I430" s="37">
        <f t="shared" si="55"/>
        <v>3.0756035187180726</v>
      </c>
      <c r="J430" s="316">
        <v>3.2402273578570311</v>
      </c>
      <c r="K430" s="37">
        <f t="shared" si="53"/>
        <v>0.71427241952263532</v>
      </c>
      <c r="L430" s="37">
        <f t="shared" si="50"/>
        <v>0.87069807939809252</v>
      </c>
      <c r="M430" s="45">
        <f t="shared" si="54"/>
        <v>3.4249667144410544E-2</v>
      </c>
    </row>
    <row r="431" spans="1:13" s="6" customFormat="1" ht="16.5" customHeight="1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48"/>
        <v>467.46</v>
      </c>
      <c r="G431" s="70">
        <f t="shared" si="51"/>
        <v>3.8336408504423686E-3</v>
      </c>
      <c r="H431" s="316">
        <f t="shared" si="52"/>
        <v>8.6990294629642921</v>
      </c>
      <c r="I431" s="37">
        <f t="shared" si="55"/>
        <v>3.1986331335319704</v>
      </c>
      <c r="J431" s="316">
        <v>3.369842219239672</v>
      </c>
      <c r="K431" s="37">
        <f t="shared" si="53"/>
        <v>0.74284458759021776</v>
      </c>
      <c r="L431" s="37">
        <f t="shared" si="50"/>
        <v>0.9055275522724755</v>
      </c>
      <c r="M431" s="45">
        <f t="shared" si="54"/>
        <v>3.4249667144410544E-2</v>
      </c>
    </row>
    <row r="432" spans="1:13" s="6" customFormat="1" ht="16.5" customHeight="1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48"/>
        <v>558.4</v>
      </c>
      <c r="G432" s="70">
        <f t="shared" si="51"/>
        <v>4.5794400609400132E-3</v>
      </c>
      <c r="H432" s="316">
        <f t="shared" si="52"/>
        <v>10.391344825480813</v>
      </c>
      <c r="I432" s="37">
        <f t="shared" si="55"/>
        <v>3.8208974923292951</v>
      </c>
      <c r="J432" s="316">
        <v>4.0254137150203926</v>
      </c>
      <c r="K432" s="37">
        <f t="shared" si="53"/>
        <v>0.88735810060834641</v>
      </c>
      <c r="L432" s="37">
        <f t="shared" si="50"/>
        <v>1.0816895246415743</v>
      </c>
      <c r="M432" s="45">
        <f t="shared" si="54"/>
        <v>4.4559678782476346E-2</v>
      </c>
    </row>
    <row r="433" spans="1:14" s="6" customFormat="1" ht="16.5" customHeight="1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48"/>
        <v>331.42</v>
      </c>
      <c r="G433" s="70">
        <f t="shared" si="51"/>
        <v>2.7179764057964528E-3</v>
      </c>
      <c r="H433" s="316">
        <f t="shared" si="52"/>
        <v>6.1674418016849053</v>
      </c>
      <c r="I433" s="37">
        <f t="shared" si="55"/>
        <v>2.2677683504795398</v>
      </c>
      <c r="J433" s="316">
        <v>2.3891522446849192</v>
      </c>
      <c r="K433" s="37">
        <f t="shared" si="53"/>
        <v>0.52666228815117866</v>
      </c>
      <c r="L433" s="37">
        <f t="shared" si="50"/>
        <v>0.64200132925628683</v>
      </c>
      <c r="M433" s="45">
        <f t="shared" si="54"/>
        <v>3.4249667144410544E-2</v>
      </c>
    </row>
    <row r="434" spans="1:14" s="6" customFormat="1" ht="16.5" customHeight="1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48"/>
        <v>154.9</v>
      </c>
      <c r="G434" s="70">
        <f t="shared" si="51"/>
        <v>1.2703353607442839E-3</v>
      </c>
      <c r="H434" s="316">
        <f t="shared" si="52"/>
        <v>2.8825560771256771</v>
      </c>
      <c r="I434" s="37">
        <f t="shared" si="55"/>
        <v>1.0599158695591115</v>
      </c>
      <c r="J434" s="316">
        <v>1.1166486111329852</v>
      </c>
      <c r="K434" s="37">
        <f t="shared" si="53"/>
        <v>0.2461528828514199</v>
      </c>
      <c r="L434" s="37">
        <f t="shared" si="50"/>
        <v>0.30006036419588089</v>
      </c>
      <c r="M434" s="45">
        <f t="shared" si="54"/>
        <v>3.4249667144410544E-2</v>
      </c>
    </row>
    <row r="435" spans="1:14" s="6" customFormat="1" ht="16.5" customHeight="1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48"/>
        <v>119.9</v>
      </c>
      <c r="G435" s="70">
        <f t="shared" si="51"/>
        <v>9.8330025663808675E-4</v>
      </c>
      <c r="H435" s="316">
        <f t="shared" si="52"/>
        <v>2.231236111345182</v>
      </c>
      <c r="I435" s="37">
        <f t="shared" si="55"/>
        <v>0.82042551814162346</v>
      </c>
      <c r="J435" s="316">
        <v>0.86433937039925701</v>
      </c>
      <c r="K435" s="37">
        <f t="shared" si="53"/>
        <v>0.19053409072876207</v>
      </c>
      <c r="L435" s="37">
        <f t="shared" si="50"/>
        <v>0.23226105659836097</v>
      </c>
      <c r="M435" s="45">
        <f t="shared" si="54"/>
        <v>3.424966714441055E-2</v>
      </c>
    </row>
    <row r="436" spans="1:14" s="6" customFormat="1" ht="16.5" customHeight="1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48"/>
        <v>300.3</v>
      </c>
      <c r="G436" s="70">
        <f t="shared" si="51"/>
        <v>2.4627611932311715E-3</v>
      </c>
      <c r="H436" s="316">
        <f t="shared" si="52"/>
        <v>5.5883253063966487</v>
      </c>
      <c r="I436" s="37">
        <f t="shared" si="55"/>
        <v>2.0548272151620477</v>
      </c>
      <c r="J436" s="316">
        <v>2.164813285495387</v>
      </c>
      <c r="K436" s="37">
        <f t="shared" si="53"/>
        <v>0.47720923641240409</v>
      </c>
      <c r="L436" s="37">
        <f t="shared" si="50"/>
        <v>0.58171805918672059</v>
      </c>
      <c r="M436" s="45">
        <f t="shared" si="54"/>
        <v>3.6641165099631237E-2</v>
      </c>
    </row>
    <row r="437" spans="1:14" s="6" customFormat="1" ht="16.5" customHeight="1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48"/>
        <v>226.84</v>
      </c>
      <c r="G437" s="70">
        <f t="shared" si="51"/>
        <v>1.8603155147271359E-3</v>
      </c>
      <c r="H437" s="316">
        <f t="shared" si="52"/>
        <v>4.2212977439327863</v>
      </c>
      <c r="I437" s="37">
        <f t="shared" si="55"/>
        <v>1.5521711804440856</v>
      </c>
      <c r="J437" s="316">
        <v>1.6352522333725394</v>
      </c>
      <c r="K437" s="37">
        <f t="shared" si="53"/>
        <v>0.36047333728867714</v>
      </c>
      <c r="L437" s="37">
        <f t="shared" si="50"/>
        <v>0.43941699815489749</v>
      </c>
      <c r="M437" s="45">
        <f t="shared" si="54"/>
        <v>3.4249667144410544E-2</v>
      </c>
    </row>
    <row r="438" spans="1:14" s="69" customFormat="1" ht="16.5" customHeight="1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48"/>
        <v>216.3</v>
      </c>
      <c r="G438" s="70">
        <f t="shared" si="51"/>
        <v>1.7738769433762983E-3</v>
      </c>
      <c r="H438" s="316">
        <f t="shared" si="52"/>
        <v>4.0251573885234597</v>
      </c>
      <c r="I438" s="37">
        <f t="shared" si="55"/>
        <v>1.4800503717600761</v>
      </c>
      <c r="J438" s="316">
        <v>1.5592711077344397</v>
      </c>
      <c r="K438" s="37">
        <f t="shared" si="53"/>
        <v>0.34372413531802531</v>
      </c>
      <c r="L438" s="37">
        <f t="shared" si="50"/>
        <v>0.4189997209526729</v>
      </c>
      <c r="M438" s="45">
        <f t="shared" si="54"/>
        <v>3.4249667144410544E-2</v>
      </c>
      <c r="N438" s="6"/>
    </row>
    <row r="439" spans="1:14" s="6" customFormat="1" ht="16.5" customHeight="1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48"/>
        <v>307.64999999999998</v>
      </c>
      <c r="G439" s="70">
        <f t="shared" si="51"/>
        <v>2.5230385650934725E-3</v>
      </c>
      <c r="H439" s="316">
        <f t="shared" si="52"/>
        <v>5.7251024992105517</v>
      </c>
      <c r="I439" s="37">
        <f t="shared" si="55"/>
        <v>2.1051201889597202</v>
      </c>
      <c r="J439" s="316">
        <v>2.2177982260494695</v>
      </c>
      <c r="K439" s="37">
        <f t="shared" si="53"/>
        <v>0.48888918275816218</v>
      </c>
      <c r="L439" s="37">
        <f t="shared" si="50"/>
        <v>0.5959559137821997</v>
      </c>
      <c r="M439" s="45">
        <f t="shared" si="54"/>
        <v>3.4249667144410544E-2</v>
      </c>
    </row>
    <row r="440" spans="1:14" s="6" customFormat="1" ht="16.5" customHeight="1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48"/>
        <v>350.66</v>
      </c>
      <c r="G440" s="70">
        <f t="shared" si="51"/>
        <v>2.8757637030251168E-3</v>
      </c>
      <c r="H440" s="316">
        <f t="shared" si="52"/>
        <v>6.5254816914453837</v>
      </c>
      <c r="I440" s="37">
        <f t="shared" si="55"/>
        <v>2.3994196179444676</v>
      </c>
      <c r="J440" s="316">
        <v>2.5278502387339743</v>
      </c>
      <c r="K440" s="37">
        <f t="shared" si="53"/>
        <v>0.55723673273517693</v>
      </c>
      <c r="L440" s="37">
        <f t="shared" si="50"/>
        <v>0.67927157720418074</v>
      </c>
      <c r="M440" s="45">
        <f t="shared" si="54"/>
        <v>3.4249667144410544E-2</v>
      </c>
    </row>
    <row r="441" spans="1:14" s="6" customFormat="1" ht="16.5" customHeight="1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48"/>
        <v>485.8</v>
      </c>
      <c r="G441" s="70">
        <f t="shared" si="51"/>
        <v>3.9840472449940156E-3</v>
      </c>
      <c r="H441" s="316">
        <f t="shared" si="52"/>
        <v>9.0403211250332713</v>
      </c>
      <c r="I441" s="37">
        <f t="shared" si="55"/>
        <v>3.3241260776747343</v>
      </c>
      <c r="J441" s="316">
        <v>3.5020522613841458</v>
      </c>
      <c r="K441" s="37">
        <f t="shared" si="53"/>
        <v>0.77198883466249046</v>
      </c>
      <c r="L441" s="37">
        <f t="shared" si="50"/>
        <v>0.94105438945357589</v>
      </c>
      <c r="M441" s="45">
        <f t="shared" si="54"/>
        <v>3.4249667144410544E-2</v>
      </c>
    </row>
    <row r="442" spans="1:14" s="6" customFormat="1" ht="16.5" customHeight="1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48"/>
        <v>402.96</v>
      </c>
      <c r="G442" s="70">
        <f t="shared" si="51"/>
        <v>3.3046761585895194E-3</v>
      </c>
      <c r="H442" s="316">
        <f t="shared" si="52"/>
        <v>7.4987398117402364</v>
      </c>
      <c r="I442" s="37">
        <f t="shared" si="55"/>
        <v>2.7572866287768849</v>
      </c>
      <c r="J442" s="316">
        <v>2.9048723327446586</v>
      </c>
      <c r="K442" s="37">
        <f t="shared" si="53"/>
        <v>0.64034709924989119</v>
      </c>
      <c r="L442" s="37">
        <f t="shared" si="50"/>
        <v>0.78058311398561742</v>
      </c>
      <c r="M442" s="45">
        <f t="shared" si="54"/>
        <v>3.4249667144410544E-2</v>
      </c>
    </row>
    <row r="443" spans="1:14" s="6" customFormat="1" ht="16.5" customHeight="1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48"/>
        <v>526.67999999999995</v>
      </c>
      <c r="G443" s="70">
        <f t="shared" si="51"/>
        <v>4.3193042465900534E-3</v>
      </c>
      <c r="H443" s="316">
        <f t="shared" si="52"/>
        <v>9.8010628450648891</v>
      </c>
      <c r="I443" s="37">
        <f t="shared" si="55"/>
        <v>3.60385080813036</v>
      </c>
      <c r="J443" s="316">
        <v>3.79674945456114</v>
      </c>
      <c r="K443" s="37">
        <f t="shared" si="53"/>
        <v>0.83695158386175472</v>
      </c>
      <c r="L443" s="37">
        <f t="shared" si="50"/>
        <v>1.020243980727479</v>
      </c>
      <c r="M443" s="45">
        <f t="shared" si="54"/>
        <v>3.4249667144410544E-2</v>
      </c>
    </row>
    <row r="444" spans="1:14" s="6" customFormat="1" ht="16.5" customHeight="1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48"/>
        <v>198.5</v>
      </c>
      <c r="G444" s="70">
        <f t="shared" si="51"/>
        <v>1.6278990904308609E-3</v>
      </c>
      <c r="H444" s="316">
        <f t="shared" si="52"/>
        <v>3.6939146630693793</v>
      </c>
      <c r="I444" s="37">
        <f t="shared" si="55"/>
        <v>1.3582524216106109</v>
      </c>
      <c r="J444" s="316">
        <v>1.430953836732715</v>
      </c>
      <c r="K444" s="37">
        <f t="shared" si="53"/>
        <v>0.31543800675278794</v>
      </c>
      <c r="L444" s="37">
        <f t="shared" si="50"/>
        <v>0.38451893023164851</v>
      </c>
      <c r="M444" s="45">
        <f t="shared" si="54"/>
        <v>3.4249667144410544E-2</v>
      </c>
    </row>
    <row r="445" spans="1:14" s="6" customFormat="1" ht="16.5" customHeight="1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48"/>
        <v>879.8</v>
      </c>
      <c r="G445" s="70">
        <f t="shared" si="51"/>
        <v>7.2152424169323491E-3</v>
      </c>
      <c r="H445" s="316">
        <f t="shared" si="52"/>
        <v>16.372323025533703</v>
      </c>
      <c r="I445" s="37">
        <f t="shared" si="55"/>
        <v>6.0201031764887434</v>
      </c>
      <c r="J445" s="316">
        <v>6.3423334285009698</v>
      </c>
      <c r="K445" s="37">
        <f t="shared" si="53"/>
        <v>1.3980975231289814</v>
      </c>
      <c r="L445" s="37">
        <f t="shared" si="50"/>
        <v>1.7042808806942285</v>
      </c>
      <c r="M445" s="45">
        <f t="shared" si="54"/>
        <v>4.5115821460776161E-2</v>
      </c>
    </row>
    <row r="446" spans="1:14" s="6" customFormat="1" ht="16.5" customHeight="1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48"/>
        <v>1786.8</v>
      </c>
      <c r="G446" s="70">
        <f t="shared" si="51"/>
        <v>1.4653552114770086E-2</v>
      </c>
      <c r="H446" s="316">
        <f t="shared" si="52"/>
        <v>33.250814710188244</v>
      </c>
      <c r="I446" s="37">
        <f t="shared" si="55"/>
        <v>12.226324568936219</v>
      </c>
      <c r="J446" s="316">
        <v>12.880747181229294</v>
      </c>
      <c r="K446" s="37">
        <f t="shared" si="53"/>
        <v>2.8394187932789996</v>
      </c>
      <c r="L446" s="37">
        <f t="shared" si="50"/>
        <v>3.4612515090071008</v>
      </c>
      <c r="M446" s="45">
        <f t="shared" si="54"/>
        <v>3.9741090495248231E-2</v>
      </c>
    </row>
    <row r="447" spans="1:14" s="6" customFormat="1" ht="16.5" customHeight="1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48"/>
        <v>776.28</v>
      </c>
      <c r="G447" s="70">
        <f t="shared" si="51"/>
        <v>6.3662745890159626E-3</v>
      </c>
      <c r="H447" s="316">
        <f t="shared" si="52"/>
        <v>14.445904658173792</v>
      </c>
      <c r="I447" s="37">
        <f t="shared" si="55"/>
        <v>5.3117591428105033</v>
      </c>
      <c r="J447" s="316">
        <v>5.5960747827650978</v>
      </c>
      <c r="K447" s="37">
        <f t="shared" si="53"/>
        <v>1.2335930271136231</v>
      </c>
      <c r="L447" s="37">
        <f t="shared" si="50"/>
        <v>1.5037499000515067</v>
      </c>
      <c r="M447" s="45">
        <f t="shared" si="54"/>
        <v>4.9173876619928648E-2</v>
      </c>
    </row>
    <row r="448" spans="1:14" s="6" customFormat="1" ht="16.5" customHeight="1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ref="F448:F510" si="56">C448+D448+E448</f>
        <v>475.29</v>
      </c>
      <c r="G448" s="70">
        <f t="shared" si="51"/>
        <v>3.8978547037324123E-3</v>
      </c>
      <c r="H448" s="316">
        <f t="shared" si="52"/>
        <v>8.8447390438803293</v>
      </c>
      <c r="I448" s="37">
        <f t="shared" si="55"/>
        <v>3.2522105464347972</v>
      </c>
      <c r="J448" s="316">
        <v>3.4262874008095316</v>
      </c>
      <c r="K448" s="37">
        <f t="shared" si="53"/>
        <v>0.75528730594222959</v>
      </c>
      <c r="L448" s="37">
        <f t="shared" si="50"/>
        <v>0.92069522594357789</v>
      </c>
      <c r="M448" s="45">
        <f t="shared" si="54"/>
        <v>3.4249667144410544E-2</v>
      </c>
    </row>
    <row r="449" spans="1:14" s="6" customFormat="1" ht="16.5" customHeight="1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si="56"/>
        <v>487.96</v>
      </c>
      <c r="G449" s="70">
        <f t="shared" si="51"/>
        <v>4.0017614114188551E-3</v>
      </c>
      <c r="H449" s="316">
        <f t="shared" si="52"/>
        <v>9.0805168714928666</v>
      </c>
      <c r="I449" s="37">
        <f t="shared" si="55"/>
        <v>3.3389060536479271</v>
      </c>
      <c r="J449" s="316">
        <v>3.5176233459551409</v>
      </c>
      <c r="K449" s="37">
        <f t="shared" si="53"/>
        <v>0.77542130869063164</v>
      </c>
      <c r="L449" s="37">
        <f t="shared" ref="L449:L512" si="57">K449*1.219</f>
        <v>0.94523857529388</v>
      </c>
      <c r="M449" s="45">
        <f t="shared" si="54"/>
        <v>3.4249667144410537E-2</v>
      </c>
    </row>
    <row r="450" spans="1:14" s="6" customFormat="1" ht="16.5" customHeight="1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56"/>
        <v>1058.94</v>
      </c>
      <c r="G450" s="70">
        <f t="shared" ref="G450:G513" si="58">2/243872.61*F450</f>
        <v>8.684370089777611E-3</v>
      </c>
      <c r="H450" s="316">
        <f t="shared" ref="H450:H513" si="59">G450*2269.13</f>
        <v>19.70596470181707</v>
      </c>
      <c r="I450" s="37">
        <f t="shared" si="55"/>
        <v>7.2458832208581372</v>
      </c>
      <c r="J450" s="316">
        <v>7.6337242109306853</v>
      </c>
      <c r="K450" s="37">
        <f t="shared" si="53"/>
        <v>1.6827703922962078</v>
      </c>
      <c r="L450" s="37">
        <f t="shared" si="57"/>
        <v>2.0512971082090776</v>
      </c>
      <c r="M450" s="45">
        <f t="shared" si="54"/>
        <v>5.1397798489175923E-2</v>
      </c>
    </row>
    <row r="451" spans="1:14" s="6" customFormat="1" ht="16.5" customHeight="1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56"/>
        <v>435.39</v>
      </c>
      <c r="G451" s="70">
        <f t="shared" si="58"/>
        <v>3.5706346850513473E-3</v>
      </c>
      <c r="H451" s="316">
        <f t="shared" si="59"/>
        <v>8.1022342828905636</v>
      </c>
      <c r="I451" s="37">
        <f t="shared" si="55"/>
        <v>2.9791915458188605</v>
      </c>
      <c r="J451" s="316">
        <v>3.1386548663730816</v>
      </c>
      <c r="K451" s="37">
        <f t="shared" si="53"/>
        <v>0.6918818829223996</v>
      </c>
      <c r="L451" s="37">
        <f t="shared" si="57"/>
        <v>0.84340401528240516</v>
      </c>
      <c r="M451" s="45">
        <f t="shared" si="54"/>
        <v>3.4249667144410544E-2</v>
      </c>
    </row>
    <row r="452" spans="1:14" s="6" customFormat="1" ht="16.5" customHeight="1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56"/>
        <v>539.61</v>
      </c>
      <c r="G452" s="70">
        <f t="shared" si="58"/>
        <v>4.4253432150498581E-3</v>
      </c>
      <c r="H452" s="316">
        <f t="shared" si="59"/>
        <v>10.041679049566085</v>
      </c>
      <c r="I452" s="37">
        <f t="shared" si="55"/>
        <v>3.6923253865254497</v>
      </c>
      <c r="J452" s="316">
        <v>3.8899596969236292</v>
      </c>
      <c r="K452" s="37">
        <f t="shared" ref="K452:K515" si="60">G452*193.77</f>
        <v>0.85749875478021109</v>
      </c>
      <c r="L452" s="37">
        <f t="shared" si="57"/>
        <v>1.0452909820770775</v>
      </c>
      <c r="M452" s="45">
        <f t="shared" si="54"/>
        <v>3.7125535621613415E-2</v>
      </c>
    </row>
    <row r="453" spans="1:14" s="6" customFormat="1" ht="16.5" customHeight="1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56"/>
        <v>466.35</v>
      </c>
      <c r="G453" s="70">
        <f t="shared" si="58"/>
        <v>3.824537737140715E-3</v>
      </c>
      <c r="H453" s="316">
        <f t="shared" si="59"/>
        <v>8.6783733154781117</v>
      </c>
      <c r="I453" s="37">
        <f t="shared" si="55"/>
        <v>3.1910378681013021</v>
      </c>
      <c r="J453" s="316">
        <v>3.3618404118906886</v>
      </c>
      <c r="K453" s="37">
        <f t="shared" si="60"/>
        <v>0.74108067732575644</v>
      </c>
      <c r="L453" s="37">
        <f t="shared" si="57"/>
        <v>0.9033773456600972</v>
      </c>
      <c r="M453" s="45">
        <f t="shared" si="54"/>
        <v>3.8225038345807962E-2</v>
      </c>
    </row>
    <row r="454" spans="1:14" s="6" customFormat="1" ht="16.5" customHeight="1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56"/>
        <v>270.3</v>
      </c>
      <c r="G454" s="70">
        <f t="shared" si="58"/>
        <v>2.2167311039972882E-3</v>
      </c>
      <c r="H454" s="316">
        <f t="shared" si="59"/>
        <v>5.0300510500133671</v>
      </c>
      <c r="I454" s="37">
        <f t="shared" si="55"/>
        <v>1.8495497710899151</v>
      </c>
      <c r="J454" s="316">
        <v>1.9485482220093344</v>
      </c>
      <c r="K454" s="37">
        <f t="shared" si="60"/>
        <v>0.42953598602155457</v>
      </c>
      <c r="L454" s="37">
        <f t="shared" si="57"/>
        <v>0.52360436696027501</v>
      </c>
      <c r="M454" s="45">
        <f t="shared" si="54"/>
        <v>3.4249667144410544E-2</v>
      </c>
    </row>
    <row r="455" spans="1:14" s="6" customFormat="1" ht="16.5" customHeight="1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56"/>
        <v>1056.99</v>
      </c>
      <c r="G455" s="70">
        <f t="shared" si="58"/>
        <v>8.6683781339774082E-3</v>
      </c>
      <c r="H455" s="316">
        <f t="shared" si="59"/>
        <v>19.669676875152156</v>
      </c>
      <c r="I455" s="37">
        <f t="shared" si="55"/>
        <v>7.2325401869934485</v>
      </c>
      <c r="J455" s="316">
        <v>7.6196669818040919</v>
      </c>
      <c r="K455" s="37">
        <f t="shared" si="60"/>
        <v>1.6796716310208024</v>
      </c>
      <c r="L455" s="37">
        <f t="shared" si="57"/>
        <v>2.0475197182143581</v>
      </c>
      <c r="M455" s="45">
        <f t="shared" ref="M455:M518" si="61">(K455+J455+I455+H455)/C455</f>
        <v>3.4249667144410544E-2</v>
      </c>
    </row>
    <row r="456" spans="1:14" s="6" customFormat="1" ht="16.5" customHeight="1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56"/>
        <v>353.79999999999995</v>
      </c>
      <c r="G456" s="70">
        <f t="shared" si="58"/>
        <v>2.9015148523649295E-3</v>
      </c>
      <c r="H456" s="316">
        <f t="shared" si="59"/>
        <v>6.5839143969468328</v>
      </c>
      <c r="I456" s="37">
        <f t="shared" si="55"/>
        <v>2.4209053237573506</v>
      </c>
      <c r="J456" s="316">
        <v>2.5504859820455139</v>
      </c>
      <c r="K456" s="37">
        <f t="shared" si="60"/>
        <v>0.56222653294275238</v>
      </c>
      <c r="L456" s="37">
        <f t="shared" si="57"/>
        <v>0.68535414365721514</v>
      </c>
      <c r="M456" s="45">
        <f t="shared" si="61"/>
        <v>3.758539775338849E-2</v>
      </c>
    </row>
    <row r="457" spans="1:14" s="6" customFormat="1" ht="16.5" customHeight="1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56"/>
        <v>239.3</v>
      </c>
      <c r="G457" s="70">
        <f t="shared" si="58"/>
        <v>1.9625000117889421E-3</v>
      </c>
      <c r="H457" s="316">
        <f t="shared" si="59"/>
        <v>4.4531676517506424</v>
      </c>
      <c r="I457" s="37">
        <f t="shared" si="55"/>
        <v>1.6374297455487112</v>
      </c>
      <c r="J457" s="316">
        <v>1.7250743230737466</v>
      </c>
      <c r="K457" s="37">
        <f t="shared" si="60"/>
        <v>0.38027362728434333</v>
      </c>
      <c r="L457" s="37">
        <f t="shared" si="57"/>
        <v>0.46355355165961454</v>
      </c>
      <c r="M457" s="45">
        <f t="shared" si="61"/>
        <v>3.4249667144410544E-2</v>
      </c>
    </row>
    <row r="458" spans="1:14" s="6" customFormat="1" ht="16.5" customHeight="1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56"/>
        <v>144.6</v>
      </c>
      <c r="G458" s="70">
        <f t="shared" si="58"/>
        <v>1.1858650301073172E-3</v>
      </c>
      <c r="H458" s="316">
        <f t="shared" si="59"/>
        <v>2.6908819157674166</v>
      </c>
      <c r="I458" s="37">
        <f t="shared" si="55"/>
        <v>0.9894372804276792</v>
      </c>
      <c r="J458" s="316">
        <v>1.0423976060027738</v>
      </c>
      <c r="K458" s="37">
        <f t="shared" si="60"/>
        <v>0.22978506688389486</v>
      </c>
      <c r="L458" s="37">
        <f t="shared" si="57"/>
        <v>0.28010799653146784</v>
      </c>
      <c r="M458" s="45">
        <f t="shared" si="61"/>
        <v>5.3714770814335837E-2</v>
      </c>
    </row>
    <row r="459" spans="1:14" s="69" customFormat="1" ht="16.5" customHeight="1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56"/>
        <v>375.5</v>
      </c>
      <c r="G459" s="70">
        <f t="shared" si="58"/>
        <v>3.0794766169107719E-3</v>
      </c>
      <c r="H459" s="316">
        <f t="shared" si="59"/>
        <v>6.9877327757307404</v>
      </c>
      <c r="I459" s="37">
        <f t="shared" si="55"/>
        <v>2.5693893416361933</v>
      </c>
      <c r="J459" s="316">
        <v>2.7069177113004255</v>
      </c>
      <c r="K459" s="37">
        <f t="shared" si="60"/>
        <v>0.59671018405880027</v>
      </c>
      <c r="L459" s="37">
        <f t="shared" si="57"/>
        <v>0.72738971436767763</v>
      </c>
      <c r="M459" s="45">
        <f t="shared" si="61"/>
        <v>3.4249667144410544E-2</v>
      </c>
      <c r="N459" s="6"/>
    </row>
    <row r="460" spans="1:14" s="6" customFormat="1" ht="16.5" customHeight="1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56"/>
        <v>993.91</v>
      </c>
      <c r="G460" s="70">
        <f t="shared" si="58"/>
        <v>8.1510588663482961E-3</v>
      </c>
      <c r="H460" s="316">
        <f t="shared" si="59"/>
        <v>18.495812205396909</v>
      </c>
      <c r="I460" s="37">
        <f t="shared" si="55"/>
        <v>6.8009101479244443</v>
      </c>
      <c r="J460" s="316">
        <v>7.1649336416474183</v>
      </c>
      <c r="K460" s="37">
        <f t="shared" si="60"/>
        <v>1.5794306765323094</v>
      </c>
      <c r="L460" s="37">
        <f t="shared" si="57"/>
        <v>1.9253259946928853</v>
      </c>
      <c r="M460" s="45">
        <f t="shared" si="61"/>
        <v>3.5118885260134611E-2</v>
      </c>
    </row>
    <row r="461" spans="1:14" s="6" customFormat="1" ht="16.5" customHeight="1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56"/>
        <v>716.19999999999993</v>
      </c>
      <c r="G461" s="70">
        <f t="shared" si="58"/>
        <v>5.8735583303102384E-3</v>
      </c>
      <c r="H461" s="316">
        <f t="shared" si="59"/>
        <v>13.327867414056872</v>
      </c>
      <c r="I461" s="37">
        <f t="shared" si="55"/>
        <v>4.9006568481487118</v>
      </c>
      <c r="J461" s="316">
        <v>5.1629679489570295</v>
      </c>
      <c r="K461" s="37">
        <f t="shared" si="60"/>
        <v>1.138119397664215</v>
      </c>
      <c r="L461" s="37">
        <f t="shared" si="57"/>
        <v>1.3873675457526782</v>
      </c>
      <c r="M461" s="45">
        <f t="shared" si="61"/>
        <v>4.1981193922346102E-2</v>
      </c>
    </row>
    <row r="462" spans="1:14" s="6" customFormat="1" ht="16.5" customHeight="1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56"/>
        <v>472.2</v>
      </c>
      <c r="G462" s="70">
        <f t="shared" si="58"/>
        <v>3.8725136045413221E-3</v>
      </c>
      <c r="H462" s="316">
        <f t="shared" si="59"/>
        <v>8.7872367954728503</v>
      </c>
      <c r="I462" s="37">
        <f t="shared" si="55"/>
        <v>3.2310669696953673</v>
      </c>
      <c r="J462" s="316">
        <v>3.4040120992704685</v>
      </c>
      <c r="K462" s="37">
        <f t="shared" si="60"/>
        <v>0.75037696115197206</v>
      </c>
      <c r="L462" s="37">
        <f t="shared" si="57"/>
        <v>0.91470951564425396</v>
      </c>
      <c r="M462" s="45">
        <f t="shared" si="61"/>
        <v>3.4249667144410544E-2</v>
      </c>
    </row>
    <row r="463" spans="1:14" s="6" customFormat="1" ht="16.5" customHeight="1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56"/>
        <v>337.29999999999995</v>
      </c>
      <c r="G463" s="70">
        <f t="shared" si="58"/>
        <v>2.7661983032862933E-3</v>
      </c>
      <c r="H463" s="316">
        <f t="shared" si="59"/>
        <v>6.2768635559360266</v>
      </c>
      <c r="I463" s="37">
        <f t="shared" si="55"/>
        <v>2.308002729517677</v>
      </c>
      <c r="J463" s="316">
        <v>2.4315401971281849</v>
      </c>
      <c r="K463" s="37">
        <f t="shared" si="60"/>
        <v>0.53600624522778506</v>
      </c>
      <c r="L463" s="37">
        <f t="shared" si="57"/>
        <v>0.65339161293267001</v>
      </c>
      <c r="M463" s="45">
        <f t="shared" si="61"/>
        <v>4.4143724599960549E-2</v>
      </c>
    </row>
    <row r="464" spans="1:14" s="6" customFormat="1" ht="16.5" customHeight="1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56"/>
        <v>395.5</v>
      </c>
      <c r="G464" s="70">
        <f t="shared" si="58"/>
        <v>3.2434966764000274E-3</v>
      </c>
      <c r="H464" s="316">
        <f t="shared" si="59"/>
        <v>7.3599156133195942</v>
      </c>
      <c r="I464" s="37">
        <f t="shared" si="55"/>
        <v>2.706240971017615</v>
      </c>
      <c r="J464" s="316">
        <v>2.8510944202911275</v>
      </c>
      <c r="K464" s="37">
        <f t="shared" si="60"/>
        <v>0.62849235098603329</v>
      </c>
      <c r="L464" s="37">
        <f t="shared" si="57"/>
        <v>0.76613217585197468</v>
      </c>
      <c r="M464" s="45">
        <f t="shared" si="61"/>
        <v>3.4249667144410544E-2</v>
      </c>
    </row>
    <row r="465" spans="1:13" s="6" customFormat="1" ht="16.5" customHeight="1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56"/>
        <v>464.09999999999997</v>
      </c>
      <c r="G465" s="70">
        <f t="shared" si="58"/>
        <v>3.8060854804481733E-3</v>
      </c>
      <c r="H465" s="316">
        <f t="shared" si="59"/>
        <v>8.6365027462493646</v>
      </c>
      <c r="I465" s="37">
        <f t="shared" si="55"/>
        <v>3.1756420597958916</v>
      </c>
      <c r="J465" s="316">
        <v>3.3456205321292338</v>
      </c>
      <c r="K465" s="37">
        <f t="shared" si="60"/>
        <v>0.73750518354644257</v>
      </c>
      <c r="L465" s="37">
        <f t="shared" si="57"/>
        <v>0.89901881874311351</v>
      </c>
      <c r="M465" s="45">
        <f t="shared" si="61"/>
        <v>4.2062107757927847E-2</v>
      </c>
    </row>
    <row r="466" spans="1:13" s="6" customFormat="1" ht="16.5" customHeight="1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56"/>
        <v>350.27000000000004</v>
      </c>
      <c r="G466" s="70">
        <f t="shared" si="58"/>
        <v>2.8725653118650764E-3</v>
      </c>
      <c r="H466" s="316">
        <f t="shared" si="59"/>
        <v>6.5182241261124014</v>
      </c>
      <c r="I466" s="37">
        <f t="shared" ref="I466:I527" si="62">H466*0.3677</f>
        <v>2.39675101117153</v>
      </c>
      <c r="J466" s="316">
        <v>2.5250387929086555</v>
      </c>
      <c r="K466" s="37">
        <f t="shared" si="60"/>
        <v>0.55661698048009589</v>
      </c>
      <c r="L466" s="37">
        <f t="shared" si="57"/>
        <v>0.67851609920523692</v>
      </c>
      <c r="M466" s="45">
        <f t="shared" si="61"/>
        <v>4.6480553702722513E-2</v>
      </c>
    </row>
    <row r="467" spans="1:13" s="6" customFormat="1" ht="16.5" customHeight="1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56"/>
        <v>396.61</v>
      </c>
      <c r="G467" s="70">
        <f t="shared" si="58"/>
        <v>3.2525997897016813E-3</v>
      </c>
      <c r="H467" s="316">
        <f t="shared" si="59"/>
        <v>7.3805717608057764</v>
      </c>
      <c r="I467" s="37">
        <f t="shared" si="62"/>
        <v>2.7138362364482842</v>
      </c>
      <c r="J467" s="316">
        <v>2.8590962276401113</v>
      </c>
      <c r="K467" s="37">
        <f t="shared" si="60"/>
        <v>0.63025626125049483</v>
      </c>
      <c r="L467" s="37">
        <f t="shared" si="57"/>
        <v>0.76828238246435321</v>
      </c>
      <c r="M467" s="45">
        <f t="shared" si="61"/>
        <v>3.4249667144410544E-2</v>
      </c>
    </row>
    <row r="468" spans="1:13" s="6" customFormat="1" ht="16.5" customHeight="1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56"/>
        <v>380.01000000000005</v>
      </c>
      <c r="G468" s="70">
        <f t="shared" si="58"/>
        <v>3.1164631403255995E-3</v>
      </c>
      <c r="H468" s="316">
        <f t="shared" si="59"/>
        <v>7.0716600056070282</v>
      </c>
      <c r="I468" s="37">
        <f t="shared" si="62"/>
        <v>2.6002493840617045</v>
      </c>
      <c r="J468" s="316">
        <v>2.7394295591778293</v>
      </c>
      <c r="K468" s="37">
        <f t="shared" si="60"/>
        <v>0.60387706270089148</v>
      </c>
      <c r="L468" s="37">
        <f t="shared" si="57"/>
        <v>0.73612613943238681</v>
      </c>
      <c r="M468" s="45">
        <f t="shared" si="61"/>
        <v>3.7626018361849763E-2</v>
      </c>
    </row>
    <row r="469" spans="1:13" s="6" customFormat="1" ht="16.5" customHeight="1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56"/>
        <v>501.9</v>
      </c>
      <c r="G469" s="70">
        <f t="shared" si="58"/>
        <v>4.1160833928828664E-3</v>
      </c>
      <c r="H469" s="316">
        <f t="shared" si="59"/>
        <v>9.3399283092922989</v>
      </c>
      <c r="I469" s="37">
        <f t="shared" si="62"/>
        <v>3.4342916393267786</v>
      </c>
      <c r="J469" s="316">
        <v>3.6181145121216605</v>
      </c>
      <c r="K469" s="37">
        <f t="shared" si="60"/>
        <v>0.79757347903891307</v>
      </c>
      <c r="L469" s="37">
        <f t="shared" si="57"/>
        <v>0.97224207094843507</v>
      </c>
      <c r="M469" s="45">
        <f t="shared" si="61"/>
        <v>3.4249667144410544E-2</v>
      </c>
    </row>
    <row r="470" spans="1:13" s="6" customFormat="1" ht="16.5" customHeight="1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56"/>
        <v>406.9</v>
      </c>
      <c r="G470" s="70">
        <f t="shared" si="58"/>
        <v>3.336988110308903E-3</v>
      </c>
      <c r="H470" s="316">
        <f t="shared" si="59"/>
        <v>7.5720598307452418</v>
      </c>
      <c r="I470" s="37">
        <f t="shared" si="62"/>
        <v>2.7842463997650255</v>
      </c>
      <c r="J470" s="316">
        <v>2.9332751444158269</v>
      </c>
      <c r="K470" s="37">
        <f t="shared" si="60"/>
        <v>0.64660818613455617</v>
      </c>
      <c r="L470" s="37">
        <f t="shared" si="57"/>
        <v>0.78821537889802407</v>
      </c>
      <c r="M470" s="45">
        <f t="shared" si="61"/>
        <v>3.424966714441055E-2</v>
      </c>
    </row>
    <row r="471" spans="1:13" s="6" customFormat="1" ht="16.5" customHeight="1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56"/>
        <v>583.66999999999996</v>
      </c>
      <c r="G471" s="70">
        <f t="shared" si="58"/>
        <v>4.7866794061046875E-3</v>
      </c>
      <c r="H471" s="316">
        <f t="shared" si="59"/>
        <v>10.86159784077433</v>
      </c>
      <c r="I471" s="37">
        <f t="shared" si="62"/>
        <v>3.9938095260527215</v>
      </c>
      <c r="J471" s="316">
        <v>4.2075809868301448</v>
      </c>
      <c r="K471" s="37">
        <f t="shared" si="60"/>
        <v>0.92751486852090537</v>
      </c>
      <c r="L471" s="37">
        <f t="shared" si="57"/>
        <v>1.1306406247269838</v>
      </c>
      <c r="M471" s="45">
        <f t="shared" si="61"/>
        <v>3.4249667144410544E-2</v>
      </c>
    </row>
    <row r="472" spans="1:13" s="6" customFormat="1" ht="16.5" customHeight="1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56"/>
        <v>634.80999999999995</v>
      </c>
      <c r="G472" s="70">
        <f t="shared" si="58"/>
        <v>5.2060786982187131E-3</v>
      </c>
      <c r="H472" s="316">
        <f t="shared" si="59"/>
        <v>11.813269356489029</v>
      </c>
      <c r="I472" s="37">
        <f t="shared" si="62"/>
        <v>4.3437391423810165</v>
      </c>
      <c r="J472" s="316">
        <v>4.5762408317193684</v>
      </c>
      <c r="K472" s="37">
        <f t="shared" si="60"/>
        <v>1.0087818693538402</v>
      </c>
      <c r="L472" s="37">
        <f t="shared" si="57"/>
        <v>1.2297050987423312</v>
      </c>
      <c r="M472" s="45">
        <f t="shared" si="61"/>
        <v>3.4249667144410544E-2</v>
      </c>
    </row>
    <row r="473" spans="1:13" s="6" customFormat="1" ht="16.5" customHeight="1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56"/>
        <v>312.74</v>
      </c>
      <c r="G473" s="70">
        <f t="shared" si="58"/>
        <v>2.5647816702334884E-3</v>
      </c>
      <c r="H473" s="316">
        <f t="shared" si="59"/>
        <v>5.8198230313769157</v>
      </c>
      <c r="I473" s="37">
        <f t="shared" si="62"/>
        <v>2.1399489286372919</v>
      </c>
      <c r="J473" s="316">
        <v>2.2544911984876035</v>
      </c>
      <c r="K473" s="37">
        <f t="shared" si="60"/>
        <v>0.4969777442411431</v>
      </c>
      <c r="L473" s="37">
        <f t="shared" si="57"/>
        <v>0.60581587022995353</v>
      </c>
      <c r="M473" s="45">
        <f t="shared" si="61"/>
        <v>3.4249667144410544E-2</v>
      </c>
    </row>
    <row r="474" spans="1:13" s="6" customFormat="1" ht="16.5" customHeight="1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56"/>
        <v>359.3</v>
      </c>
      <c r="G474" s="70">
        <f t="shared" si="58"/>
        <v>2.9466203687244751E-3</v>
      </c>
      <c r="H474" s="316">
        <f t="shared" si="59"/>
        <v>6.6862646772837682</v>
      </c>
      <c r="I474" s="37">
        <f t="shared" si="62"/>
        <v>2.4585395218372419</v>
      </c>
      <c r="J474" s="316">
        <v>2.5901345770179569</v>
      </c>
      <c r="K474" s="37">
        <f t="shared" si="60"/>
        <v>0.57096662884774152</v>
      </c>
      <c r="L474" s="37">
        <f t="shared" si="57"/>
        <v>0.69600832056539697</v>
      </c>
      <c r="M474" s="45">
        <f t="shared" si="61"/>
        <v>3.4249667144410544E-2</v>
      </c>
    </row>
    <row r="475" spans="1:13" s="6" customFormat="1" ht="16.5" customHeight="1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56"/>
        <v>417.17</v>
      </c>
      <c r="G475" s="70">
        <f t="shared" si="58"/>
        <v>3.4212124108566359E-3</v>
      </c>
      <c r="H475" s="316">
        <f t="shared" si="59"/>
        <v>7.763175717847119</v>
      </c>
      <c r="I475" s="37">
        <f t="shared" si="62"/>
        <v>2.8545197114523857</v>
      </c>
      <c r="J475" s="316">
        <v>3.0073098844825528</v>
      </c>
      <c r="K475" s="37">
        <f t="shared" si="60"/>
        <v>0.6629283288516904</v>
      </c>
      <c r="L475" s="37">
        <f t="shared" si="57"/>
        <v>0.80810963287021065</v>
      </c>
      <c r="M475" s="45">
        <f t="shared" si="61"/>
        <v>3.6479520112936266E-2</v>
      </c>
    </row>
    <row r="476" spans="1:13" s="6" customFormat="1" ht="16.5" customHeight="1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56"/>
        <v>249.3</v>
      </c>
      <c r="G476" s="70">
        <f t="shared" si="58"/>
        <v>2.0445100415335698E-3</v>
      </c>
      <c r="H476" s="316">
        <f t="shared" si="59"/>
        <v>4.6392590705450694</v>
      </c>
      <c r="I476" s="37">
        <f t="shared" si="62"/>
        <v>1.7058555602394221</v>
      </c>
      <c r="J476" s="316">
        <v>1.7971626775690974</v>
      </c>
      <c r="K476" s="37">
        <f t="shared" si="60"/>
        <v>0.39616471074795984</v>
      </c>
      <c r="L476" s="37">
        <f t="shared" si="57"/>
        <v>0.48292478240176306</v>
      </c>
      <c r="M476" s="45">
        <f t="shared" si="61"/>
        <v>4.3674895238371092E-2</v>
      </c>
    </row>
    <row r="477" spans="1:13" s="6" customFormat="1" ht="16.5" customHeight="1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56"/>
        <v>534.94000000000005</v>
      </c>
      <c r="G477" s="70">
        <f t="shared" si="58"/>
        <v>4.3870445311591172E-3</v>
      </c>
      <c r="H477" s="316">
        <f t="shared" si="59"/>
        <v>9.9547743569890876</v>
      </c>
      <c r="I477" s="37">
        <f t="shared" si="62"/>
        <v>3.660370531064888</v>
      </c>
      <c r="J477" s="316">
        <v>3.8562944353743003</v>
      </c>
      <c r="K477" s="37">
        <f t="shared" si="60"/>
        <v>0.85007761880270216</v>
      </c>
      <c r="L477" s="37">
        <f t="shared" si="57"/>
        <v>1.036244617320494</v>
      </c>
      <c r="M477" s="45">
        <f t="shared" si="61"/>
        <v>3.7395429934749112E-2</v>
      </c>
    </row>
    <row r="478" spans="1:13" s="6" customFormat="1" ht="16.5" customHeight="1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56"/>
        <v>382.94</v>
      </c>
      <c r="G478" s="70">
        <f t="shared" si="58"/>
        <v>3.1404920790407747E-3</v>
      </c>
      <c r="H478" s="316">
        <f t="shared" si="59"/>
        <v>7.1261847913137935</v>
      </c>
      <c r="I478" s="37">
        <f t="shared" si="62"/>
        <v>2.6202981477660821</v>
      </c>
      <c r="J478" s="316">
        <v>2.7605514470449664</v>
      </c>
      <c r="K478" s="37">
        <f t="shared" si="60"/>
        <v>0.60853315015573095</v>
      </c>
      <c r="L478" s="37">
        <f t="shared" si="57"/>
        <v>0.74180191003983609</v>
      </c>
      <c r="M478" s="45">
        <f t="shared" si="61"/>
        <v>4.2522265388018975E-2</v>
      </c>
    </row>
    <row r="479" spans="1:13" s="6" customFormat="1" ht="16.5" customHeight="1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56"/>
        <v>367.5</v>
      </c>
      <c r="G479" s="70">
        <f t="shared" si="58"/>
        <v>3.0138685931150695E-3</v>
      </c>
      <c r="H479" s="316">
        <f t="shared" si="59"/>
        <v>6.8388596406951976</v>
      </c>
      <c r="I479" s="37">
        <f t="shared" si="62"/>
        <v>2.5146486898836242</v>
      </c>
      <c r="J479" s="316">
        <v>2.6492470277041447</v>
      </c>
      <c r="K479" s="37">
        <f t="shared" si="60"/>
        <v>0.58399731728790705</v>
      </c>
      <c r="L479" s="37">
        <f t="shared" si="57"/>
        <v>0.71189272977395879</v>
      </c>
      <c r="M479" s="45">
        <f t="shared" si="61"/>
        <v>3.4249667144410544E-2</v>
      </c>
    </row>
    <row r="480" spans="1:13" s="6" customFormat="1" ht="16.5" customHeight="1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56"/>
        <v>131.4</v>
      </c>
      <c r="G480" s="70">
        <f t="shared" si="58"/>
        <v>1.0776117908444086E-3</v>
      </c>
      <c r="H480" s="316">
        <f t="shared" si="59"/>
        <v>2.4452412429587733</v>
      </c>
      <c r="I480" s="37">
        <f t="shared" si="62"/>
        <v>0.899115205035941</v>
      </c>
      <c r="J480" s="316">
        <v>0.94724097806891061</v>
      </c>
      <c r="K480" s="37">
        <f t="shared" si="60"/>
        <v>0.20880883671192108</v>
      </c>
      <c r="L480" s="37">
        <f t="shared" si="57"/>
        <v>0.25453797195183181</v>
      </c>
      <c r="M480" s="45">
        <f t="shared" si="61"/>
        <v>3.424966714441055E-2</v>
      </c>
    </row>
    <row r="481" spans="1:13" s="6" customFormat="1" ht="16.5" customHeight="1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56"/>
        <v>471.36</v>
      </c>
      <c r="G481" s="70">
        <f t="shared" si="58"/>
        <v>3.8656247620427737E-3</v>
      </c>
      <c r="H481" s="316">
        <f t="shared" si="59"/>
        <v>8.7716051162941202</v>
      </c>
      <c r="I481" s="37">
        <f t="shared" si="62"/>
        <v>3.2253192012613483</v>
      </c>
      <c r="J481" s="316">
        <v>3.3979566774928589</v>
      </c>
      <c r="K481" s="37">
        <f t="shared" si="60"/>
        <v>0.74904211014102828</v>
      </c>
      <c r="L481" s="37">
        <f t="shared" si="57"/>
        <v>0.91308233226191349</v>
      </c>
      <c r="M481" s="45">
        <f t="shared" si="61"/>
        <v>3.4249667144410544E-2</v>
      </c>
    </row>
    <row r="482" spans="1:13" s="6" customFormat="1" ht="16.5" customHeight="1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56"/>
        <v>530.79999999999995</v>
      </c>
      <c r="G482" s="70">
        <f t="shared" si="58"/>
        <v>4.3530923788448403E-3</v>
      </c>
      <c r="H482" s="316">
        <f t="shared" si="59"/>
        <v>9.877732509608192</v>
      </c>
      <c r="I482" s="37">
        <f t="shared" si="62"/>
        <v>3.6320422437829323</v>
      </c>
      <c r="J482" s="316">
        <v>3.8264498566132246</v>
      </c>
      <c r="K482" s="37">
        <f t="shared" si="60"/>
        <v>0.84349871024876477</v>
      </c>
      <c r="L482" s="37">
        <f t="shared" si="57"/>
        <v>1.0282249277932443</v>
      </c>
      <c r="M482" s="45">
        <f t="shared" si="61"/>
        <v>3.4249667144410544E-2</v>
      </c>
    </row>
    <row r="483" spans="1:13" s="6" customFormat="1" ht="16.5" customHeight="1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56"/>
        <v>330.15</v>
      </c>
      <c r="G483" s="70">
        <f t="shared" si="58"/>
        <v>2.7075611320188848E-3</v>
      </c>
      <c r="H483" s="316">
        <f t="shared" si="59"/>
        <v>6.1438081914980121</v>
      </c>
      <c r="I483" s="37">
        <f t="shared" si="62"/>
        <v>2.2590782720138192</v>
      </c>
      <c r="J483" s="316">
        <v>2.3799970236640093</v>
      </c>
      <c r="K483" s="37">
        <f t="shared" si="60"/>
        <v>0.52464412055129939</v>
      </c>
      <c r="L483" s="37">
        <f t="shared" si="57"/>
        <v>0.63954118295203399</v>
      </c>
      <c r="M483" s="45">
        <f t="shared" si="61"/>
        <v>3.4249667144410544E-2</v>
      </c>
    </row>
    <row r="484" spans="1:13" s="6" customFormat="1" ht="16.5" customHeight="1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56"/>
        <v>242.1</v>
      </c>
      <c r="G484" s="70">
        <f t="shared" si="58"/>
        <v>1.9854628201174378E-3</v>
      </c>
      <c r="H484" s="316">
        <f t="shared" si="59"/>
        <v>4.505273249013082</v>
      </c>
      <c r="I484" s="37">
        <f t="shared" si="62"/>
        <v>1.6565889736621104</v>
      </c>
      <c r="J484" s="316">
        <v>1.7452590623324449</v>
      </c>
      <c r="K484" s="37">
        <f t="shared" si="60"/>
        <v>0.38472313065415598</v>
      </c>
      <c r="L484" s="37">
        <f t="shared" si="57"/>
        <v>0.46897749626741619</v>
      </c>
      <c r="M484" s="45">
        <f t="shared" si="61"/>
        <v>3.4249667144410544E-2</v>
      </c>
    </row>
    <row r="485" spans="1:13" s="6" customFormat="1" ht="16.5" customHeight="1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56"/>
        <v>528.74</v>
      </c>
      <c r="G485" s="70">
        <f t="shared" si="58"/>
        <v>4.3361983127174477E-3</v>
      </c>
      <c r="H485" s="316">
        <f t="shared" si="59"/>
        <v>9.8393976773365424</v>
      </c>
      <c r="I485" s="37">
        <f t="shared" si="62"/>
        <v>3.617946525956647</v>
      </c>
      <c r="J485" s="316">
        <v>3.8115996555871825</v>
      </c>
      <c r="K485" s="37">
        <f t="shared" si="60"/>
        <v>0.84022514705525986</v>
      </c>
      <c r="L485" s="37">
        <f t="shared" si="57"/>
        <v>1.0242344542603619</v>
      </c>
      <c r="M485" s="45">
        <f t="shared" si="61"/>
        <v>3.424966714441055E-2</v>
      </c>
    </row>
    <row r="486" spans="1:13" s="6" customFormat="1" ht="16.5" customHeight="1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56"/>
        <v>140.6</v>
      </c>
      <c r="G486" s="70">
        <f t="shared" si="58"/>
        <v>1.153061018209466E-3</v>
      </c>
      <c r="H486" s="316">
        <f t="shared" si="59"/>
        <v>2.6164453482496457</v>
      </c>
      <c r="I486" s="37">
        <f t="shared" si="62"/>
        <v>0.96206695455139479</v>
      </c>
      <c r="J486" s="316">
        <v>1.0135622642046334</v>
      </c>
      <c r="K486" s="37">
        <f t="shared" si="60"/>
        <v>0.22342863349844824</v>
      </c>
      <c r="L486" s="37">
        <f t="shared" si="57"/>
        <v>0.27235950423460842</v>
      </c>
      <c r="M486" s="45">
        <f t="shared" si="61"/>
        <v>3.4249667144410544E-2</v>
      </c>
    </row>
    <row r="487" spans="1:13" s="6" customFormat="1" ht="16.5" customHeight="1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56"/>
        <v>183.6</v>
      </c>
      <c r="G487" s="70">
        <f t="shared" si="58"/>
        <v>1.5057041461113655E-3</v>
      </c>
      <c r="H487" s="316">
        <f t="shared" si="59"/>
        <v>3.4166384490656827</v>
      </c>
      <c r="I487" s="37">
        <f t="shared" si="62"/>
        <v>1.2562979577214517</v>
      </c>
      <c r="J487" s="316">
        <v>1.3235421885346421</v>
      </c>
      <c r="K487" s="37">
        <f t="shared" si="60"/>
        <v>0.2917602923919993</v>
      </c>
      <c r="L487" s="37">
        <f t="shared" si="57"/>
        <v>0.35565579642584716</v>
      </c>
      <c r="M487" s="45">
        <f t="shared" si="61"/>
        <v>3.4249667144410544E-2</v>
      </c>
    </row>
    <row r="488" spans="1:13" s="6" customFormat="1" ht="16.5" customHeight="1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56"/>
        <v>384.7</v>
      </c>
      <c r="G488" s="70">
        <f t="shared" si="58"/>
        <v>3.1549258442758292E-3</v>
      </c>
      <c r="H488" s="316">
        <f t="shared" si="59"/>
        <v>7.1589368810216127</v>
      </c>
      <c r="I488" s="37">
        <f t="shared" si="62"/>
        <v>2.6323410911516474</v>
      </c>
      <c r="J488" s="316">
        <v>2.773238997436148</v>
      </c>
      <c r="K488" s="37">
        <f t="shared" si="60"/>
        <v>0.61132998084532741</v>
      </c>
      <c r="L488" s="37">
        <f t="shared" si="57"/>
        <v>0.74521124665045413</v>
      </c>
      <c r="M488" s="45">
        <f t="shared" si="61"/>
        <v>3.4249667144410544E-2</v>
      </c>
    </row>
    <row r="489" spans="1:13" s="6" customFormat="1" ht="16.5" customHeight="1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70">
        <f t="shared" si="58"/>
        <v>1.5589040524067056E-2</v>
      </c>
      <c r="H489" s="316">
        <f t="shared" si="59"/>
        <v>35.373559524376283</v>
      </c>
      <c r="I489" s="37">
        <f t="shared" si="62"/>
        <v>13.006857837113159</v>
      </c>
      <c r="J489" s="316">
        <v>13.703059040957761</v>
      </c>
      <c r="K489" s="37">
        <f t="shared" si="60"/>
        <v>3.0206883823484736</v>
      </c>
      <c r="L489" s="37">
        <f t="shared" si="57"/>
        <v>3.6822191380827896</v>
      </c>
      <c r="M489" s="45">
        <f t="shared" si="61"/>
        <v>3.8829444544719989E-2</v>
      </c>
    </row>
    <row r="490" spans="1:13" s="6" customFormat="1" ht="16.5" customHeight="1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70">
        <f t="shared" si="58"/>
        <v>2.9720434779453094E-3</v>
      </c>
      <c r="H490" s="316">
        <f t="shared" si="59"/>
        <v>6.7439530171100399</v>
      </c>
      <c r="I490" s="37">
        <f t="shared" si="62"/>
        <v>2.4797515243913617</v>
      </c>
      <c r="J490" s="316">
        <v>2.6124819669115156</v>
      </c>
      <c r="K490" s="37">
        <f t="shared" si="60"/>
        <v>0.57589286472146262</v>
      </c>
      <c r="L490" s="37">
        <f t="shared" si="57"/>
        <v>0.70201340209546292</v>
      </c>
      <c r="M490" s="45">
        <f t="shared" si="61"/>
        <v>3.4249667144410537E-2</v>
      </c>
    </row>
    <row r="491" spans="1:13" s="6" customFormat="1" ht="16.5" customHeight="1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56"/>
        <v>196.1</v>
      </c>
      <c r="G491" s="70">
        <f t="shared" si="58"/>
        <v>1.6082166832921501E-3</v>
      </c>
      <c r="H491" s="316">
        <f t="shared" si="59"/>
        <v>3.6492527225587166</v>
      </c>
      <c r="I491" s="37">
        <f t="shared" si="62"/>
        <v>1.3418302260848403</v>
      </c>
      <c r="J491" s="316">
        <v>1.4136526316538307</v>
      </c>
      <c r="K491" s="37">
        <f t="shared" si="60"/>
        <v>0.31162414672151995</v>
      </c>
      <c r="L491" s="37">
        <f t="shared" si="57"/>
        <v>0.37986983485353282</v>
      </c>
      <c r="M491" s="45">
        <f t="shared" si="61"/>
        <v>4.2998461760684434E-2</v>
      </c>
    </row>
    <row r="492" spans="1:13" s="6" customFormat="1" ht="16.5" customHeight="1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56"/>
        <v>98.48</v>
      </c>
      <c r="G492" s="70">
        <f t="shared" si="58"/>
        <v>8.0763477292509404E-4</v>
      </c>
      <c r="H492" s="316">
        <f t="shared" si="59"/>
        <v>1.8326282922875188</v>
      </c>
      <c r="I492" s="37">
        <f t="shared" si="62"/>
        <v>0.67385742307412066</v>
      </c>
      <c r="J492" s="316">
        <v>0.70992611507021552</v>
      </c>
      <c r="K492" s="37">
        <f t="shared" si="60"/>
        <v>0.15649538994969547</v>
      </c>
      <c r="L492" s="37">
        <f t="shared" si="57"/>
        <v>0.19076788034867881</v>
      </c>
      <c r="M492" s="45">
        <f t="shared" si="61"/>
        <v>3.4249667144410544E-2</v>
      </c>
    </row>
    <row r="493" spans="1:13" s="6" customFormat="1" ht="16.5" customHeight="1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56"/>
        <v>2328.6</v>
      </c>
      <c r="G493" s="70">
        <f t="shared" si="58"/>
        <v>1.9096855526334017E-2</v>
      </c>
      <c r="H493" s="316">
        <f t="shared" si="59"/>
        <v>43.333247780470309</v>
      </c>
      <c r="I493" s="37">
        <f t="shared" si="62"/>
        <v>15.933635208878934</v>
      </c>
      <c r="J493" s="316">
        <v>16.786494227787404</v>
      </c>
      <c r="K493" s="37">
        <f t="shared" si="60"/>
        <v>3.7003976953377427</v>
      </c>
      <c r="L493" s="37">
        <f t="shared" si="57"/>
        <v>4.5107847906167082</v>
      </c>
      <c r="M493" s="45">
        <f t="shared" si="61"/>
        <v>3.424966714441055E-2</v>
      </c>
    </row>
    <row r="494" spans="1:13" s="6" customFormat="1" ht="16.5" customHeight="1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56"/>
        <v>479.01</v>
      </c>
      <c r="G494" s="70">
        <f t="shared" si="58"/>
        <v>3.9283624347974137E-3</v>
      </c>
      <c r="H494" s="316">
        <f t="shared" si="59"/>
        <v>8.9139650516718554</v>
      </c>
      <c r="I494" s="37">
        <f t="shared" si="62"/>
        <v>3.2776649494997416</v>
      </c>
      <c r="J494" s="316">
        <v>3.4531042686818023</v>
      </c>
      <c r="K494" s="37">
        <f t="shared" si="60"/>
        <v>0.76119878899069493</v>
      </c>
      <c r="L494" s="37">
        <f t="shared" si="57"/>
        <v>0.92790132377965717</v>
      </c>
      <c r="M494" s="45">
        <f t="shared" si="61"/>
        <v>3.4249667144410544E-2</v>
      </c>
    </row>
    <row r="495" spans="1:13" s="6" customFormat="1" ht="16.5" customHeight="1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56"/>
        <v>479.14</v>
      </c>
      <c r="G495" s="70">
        <f t="shared" si="58"/>
        <v>3.9294285651840935E-3</v>
      </c>
      <c r="H495" s="316">
        <f t="shared" si="59"/>
        <v>8.9163842401161819</v>
      </c>
      <c r="I495" s="37">
        <f t="shared" si="62"/>
        <v>3.2785544850907202</v>
      </c>
      <c r="J495" s="316">
        <v>3.4540414172902416</v>
      </c>
      <c r="K495" s="37">
        <f t="shared" si="60"/>
        <v>0.76140537307572187</v>
      </c>
      <c r="L495" s="37">
        <f t="shared" si="57"/>
        <v>0.92815314977930508</v>
      </c>
      <c r="M495" s="45">
        <f t="shared" si="61"/>
        <v>3.4249667144410544E-2</v>
      </c>
    </row>
    <row r="496" spans="1:13" s="6" customFormat="1" ht="16.5" customHeight="1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56"/>
        <v>1158.5899999999999</v>
      </c>
      <c r="G496" s="70">
        <f t="shared" si="58"/>
        <v>9.5016000361828248E-3</v>
      </c>
      <c r="H496" s="316">
        <f t="shared" si="59"/>
        <v>21.560365690103534</v>
      </c>
      <c r="I496" s="37">
        <f t="shared" si="62"/>
        <v>7.9277464642510704</v>
      </c>
      <c r="J496" s="316">
        <v>8.3520846634768571</v>
      </c>
      <c r="K496" s="37">
        <f t="shared" si="60"/>
        <v>1.841125039011146</v>
      </c>
      <c r="L496" s="37">
        <f t="shared" si="57"/>
        <v>2.2443314225545872</v>
      </c>
      <c r="M496" s="45">
        <f t="shared" si="61"/>
        <v>3.4249667144410544E-2</v>
      </c>
    </row>
    <row r="497" spans="1:13" s="6" customFormat="1" ht="16.5" customHeight="1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56"/>
        <v>368.99</v>
      </c>
      <c r="G497" s="70">
        <f t="shared" si="58"/>
        <v>3.0260880875470192E-3</v>
      </c>
      <c r="H497" s="316">
        <f t="shared" si="59"/>
        <v>6.8665872620955684</v>
      </c>
      <c r="I497" s="37">
        <f t="shared" si="62"/>
        <v>2.5248441362725407</v>
      </c>
      <c r="J497" s="316">
        <v>2.6599881925239521</v>
      </c>
      <c r="K497" s="37">
        <f t="shared" si="60"/>
        <v>0.58636508872398596</v>
      </c>
      <c r="L497" s="37">
        <f t="shared" si="57"/>
        <v>0.71477904315453888</v>
      </c>
      <c r="M497" s="45">
        <f t="shared" si="61"/>
        <v>3.4249667144410544E-2</v>
      </c>
    </row>
    <row r="498" spans="1:13" s="6" customFormat="1" ht="16.5" customHeight="1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56"/>
        <v>346.24</v>
      </c>
      <c r="G498" s="70">
        <f t="shared" si="58"/>
        <v>2.839515269877991E-3</v>
      </c>
      <c r="H498" s="316">
        <f t="shared" si="59"/>
        <v>6.4432292843382459</v>
      </c>
      <c r="I498" s="37">
        <f t="shared" si="62"/>
        <v>2.3691754078511731</v>
      </c>
      <c r="J498" s="316">
        <v>2.4959871860470288</v>
      </c>
      <c r="K498" s="37">
        <f t="shared" si="60"/>
        <v>0.55021287384425832</v>
      </c>
      <c r="L498" s="37">
        <f t="shared" si="57"/>
        <v>0.67070949321615092</v>
      </c>
      <c r="M498" s="45">
        <f t="shared" si="61"/>
        <v>3.4249667144410544E-2</v>
      </c>
    </row>
    <row r="499" spans="1:13" s="6" customFormat="1" ht="16.5" customHeight="1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56"/>
        <v>151.5</v>
      </c>
      <c r="G499" s="70">
        <f t="shared" si="58"/>
        <v>1.2424519506311104E-3</v>
      </c>
      <c r="H499" s="316">
        <f t="shared" si="59"/>
        <v>2.8192849947355718</v>
      </c>
      <c r="I499" s="37">
        <f t="shared" si="62"/>
        <v>1.0366510925642698</v>
      </c>
      <c r="J499" s="316">
        <v>1.0921385706045659</v>
      </c>
      <c r="K499" s="37">
        <f t="shared" si="60"/>
        <v>0.24074991447379027</v>
      </c>
      <c r="L499" s="37">
        <f t="shared" si="57"/>
        <v>0.29347414574355035</v>
      </c>
      <c r="M499" s="45">
        <f t="shared" si="61"/>
        <v>3.4249667144410544E-2</v>
      </c>
    </row>
    <row r="500" spans="1:13" s="6" customFormat="1" ht="16.5" customHeight="1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56"/>
        <v>123.6</v>
      </c>
      <c r="G500" s="70">
        <f t="shared" si="58"/>
        <v>1.013643967643599E-3</v>
      </c>
      <c r="H500" s="316">
        <f t="shared" si="59"/>
        <v>2.3000899362991198</v>
      </c>
      <c r="I500" s="37">
        <f t="shared" si="62"/>
        <v>0.84574306957718648</v>
      </c>
      <c r="J500" s="316">
        <v>0.89101206156253687</v>
      </c>
      <c r="K500" s="37">
        <f t="shared" si="60"/>
        <v>0.19641379161030018</v>
      </c>
      <c r="L500" s="37">
        <f t="shared" si="57"/>
        <v>0.23942841197295592</v>
      </c>
      <c r="M500" s="45">
        <f t="shared" si="61"/>
        <v>4.2631005629900749E-2</v>
      </c>
    </row>
    <row r="501" spans="1:13" s="6" customFormat="1" ht="16.5" customHeight="1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56"/>
        <v>624.51</v>
      </c>
      <c r="G501" s="70">
        <f t="shared" si="58"/>
        <v>5.1216083675817477E-3</v>
      </c>
      <c r="H501" s="316">
        <f t="shared" si="59"/>
        <v>11.621595195130771</v>
      </c>
      <c r="I501" s="37">
        <f t="shared" si="62"/>
        <v>4.2732605532495853</v>
      </c>
      <c r="J501" s="316">
        <v>4.5019898265891571</v>
      </c>
      <c r="K501" s="37">
        <f t="shared" si="60"/>
        <v>0.99241405338631528</v>
      </c>
      <c r="L501" s="37">
        <f t="shared" si="57"/>
        <v>1.2097527310779184</v>
      </c>
      <c r="M501" s="45">
        <f t="shared" si="61"/>
        <v>3.424966714441055E-2</v>
      </c>
    </row>
    <row r="502" spans="1:13" s="6" customFormat="1" ht="16.5" customHeight="1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56"/>
        <v>202.5</v>
      </c>
      <c r="G502" s="70">
        <f t="shared" si="58"/>
        <v>1.6607031023287118E-3</v>
      </c>
      <c r="H502" s="316">
        <f t="shared" si="59"/>
        <v>3.7683512305871503</v>
      </c>
      <c r="I502" s="37">
        <f t="shared" si="62"/>
        <v>1.3856227474868952</v>
      </c>
      <c r="J502" s="316">
        <v>1.4597891785308552</v>
      </c>
      <c r="K502" s="37">
        <f t="shared" si="60"/>
        <v>0.32179444013823449</v>
      </c>
      <c r="L502" s="37">
        <f t="shared" si="57"/>
        <v>0.39226742252850788</v>
      </c>
      <c r="M502" s="45">
        <f t="shared" si="61"/>
        <v>3.4249667144410544E-2</v>
      </c>
    </row>
    <row r="503" spans="1:13" s="6" customFormat="1" ht="16.5" customHeight="1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56"/>
        <v>132.5</v>
      </c>
      <c r="G503" s="70">
        <f t="shared" si="58"/>
        <v>1.0866328941163176E-3</v>
      </c>
      <c r="H503" s="316">
        <f t="shared" si="59"/>
        <v>2.46571129902616</v>
      </c>
      <c r="I503" s="37">
        <f t="shared" si="62"/>
        <v>0.90664204465191911</v>
      </c>
      <c r="J503" s="316">
        <v>0.95517069706339919</v>
      </c>
      <c r="K503" s="37">
        <f t="shared" si="60"/>
        <v>0.21055685589291886</v>
      </c>
      <c r="L503" s="37">
        <f t="shared" si="57"/>
        <v>0.25666880733346814</v>
      </c>
      <c r="M503" s="45">
        <f t="shared" si="61"/>
        <v>3.424966714441055E-2</v>
      </c>
    </row>
    <row r="504" spans="1:13" s="6" customFormat="1" ht="16.5" customHeight="1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56"/>
        <v>156.1</v>
      </c>
      <c r="G504" s="70">
        <f t="shared" si="58"/>
        <v>1.2801765643136391E-3</v>
      </c>
      <c r="H504" s="316">
        <f t="shared" si="59"/>
        <v>2.904887047381008</v>
      </c>
      <c r="I504" s="37">
        <f t="shared" si="62"/>
        <v>1.0681269673219966</v>
      </c>
      <c r="J504" s="316">
        <v>1.1252992136724274</v>
      </c>
      <c r="K504" s="37">
        <f t="shared" si="60"/>
        <v>0.24805981286705386</v>
      </c>
      <c r="L504" s="37">
        <f t="shared" si="57"/>
        <v>0.30238491188493866</v>
      </c>
      <c r="M504" s="45">
        <f t="shared" si="61"/>
        <v>3.4249667144410544E-2</v>
      </c>
    </row>
    <row r="505" spans="1:13" s="6" customFormat="1" ht="16.5" customHeight="1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56"/>
        <v>138</v>
      </c>
      <c r="G505" s="70">
        <f t="shared" si="58"/>
        <v>1.1317384104758629E-3</v>
      </c>
      <c r="H505" s="316">
        <f t="shared" si="59"/>
        <v>2.568061579363095</v>
      </c>
      <c r="I505" s="37">
        <f t="shared" si="62"/>
        <v>0.9442762427318101</v>
      </c>
      <c r="J505" s="316">
        <v>0.99481929203584218</v>
      </c>
      <c r="K505" s="37">
        <f t="shared" si="60"/>
        <v>0.21929695179790798</v>
      </c>
      <c r="L505" s="37">
        <f t="shared" si="57"/>
        <v>0.26732298424164985</v>
      </c>
      <c r="M505" s="45">
        <f t="shared" si="61"/>
        <v>3.4249667144410544E-2</v>
      </c>
    </row>
    <row r="506" spans="1:13" s="6" customFormat="1" ht="16.5" customHeight="1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56"/>
        <v>137.69999999999999</v>
      </c>
      <c r="G506" s="70">
        <f t="shared" si="58"/>
        <v>1.1292781095835239E-3</v>
      </c>
      <c r="H506" s="316">
        <f t="shared" si="59"/>
        <v>2.5624788367992619</v>
      </c>
      <c r="I506" s="37">
        <f t="shared" si="62"/>
        <v>0.94222346829108872</v>
      </c>
      <c r="J506" s="316">
        <v>0.99265664140098153</v>
      </c>
      <c r="K506" s="37">
        <f t="shared" si="60"/>
        <v>0.21882021929399945</v>
      </c>
      <c r="L506" s="37">
        <f t="shared" si="57"/>
        <v>0.26674184731938533</v>
      </c>
      <c r="M506" s="45">
        <f t="shared" si="61"/>
        <v>3.4249667144410544E-2</v>
      </c>
    </row>
    <row r="507" spans="1:13" s="6" customFormat="1" ht="16.5" customHeight="1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56"/>
        <v>184.88</v>
      </c>
      <c r="G507" s="70">
        <f t="shared" si="58"/>
        <v>1.5162014299186777E-3</v>
      </c>
      <c r="H507" s="316">
        <f t="shared" si="59"/>
        <v>3.4404581506713692</v>
      </c>
      <c r="I507" s="37">
        <f t="shared" si="62"/>
        <v>1.2650564620018625</v>
      </c>
      <c r="J507" s="316">
        <v>1.3327694979100468</v>
      </c>
      <c r="K507" s="37">
        <f t="shared" si="60"/>
        <v>0.29379435107534219</v>
      </c>
      <c r="L507" s="37">
        <f t="shared" si="57"/>
        <v>0.35813531396084214</v>
      </c>
      <c r="M507" s="45">
        <f t="shared" si="61"/>
        <v>3.4249667144410544E-2</v>
      </c>
    </row>
    <row r="508" spans="1:13" s="6" customFormat="1" ht="16.5" customHeight="1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56"/>
        <v>657.19</v>
      </c>
      <c r="G508" s="70">
        <f t="shared" si="58"/>
        <v>5.3896171447871911E-3</v>
      </c>
      <c r="H508" s="316">
        <f t="shared" si="59"/>
        <v>12.22974195175096</v>
      </c>
      <c r="I508" s="37">
        <f t="shared" si="62"/>
        <v>4.4968761156588277</v>
      </c>
      <c r="J508" s="316">
        <v>4.7375745690799649</v>
      </c>
      <c r="K508" s="37">
        <f t="shared" si="60"/>
        <v>1.044346114145414</v>
      </c>
      <c r="L508" s="37">
        <f t="shared" si="57"/>
        <v>1.2730579131432598</v>
      </c>
      <c r="M508" s="45">
        <f t="shared" si="61"/>
        <v>3.5609705501803805E-2</v>
      </c>
    </row>
    <row r="509" spans="1:13" s="6" customFormat="1" ht="16.5" customHeight="1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56"/>
        <v>815.3</v>
      </c>
      <c r="G509" s="70">
        <f t="shared" si="58"/>
        <v>6.6862777250794999E-3</v>
      </c>
      <c r="H509" s="316">
        <f t="shared" si="59"/>
        <v>15.172033374309647</v>
      </c>
      <c r="I509" s="37">
        <f t="shared" si="62"/>
        <v>5.5787566717336574</v>
      </c>
      <c r="J509" s="316">
        <v>5.8773635420059573</v>
      </c>
      <c r="K509" s="37">
        <f t="shared" si="60"/>
        <v>1.2956000347886547</v>
      </c>
      <c r="L509" s="37">
        <f t="shared" si="57"/>
        <v>1.5793364424073701</v>
      </c>
      <c r="M509" s="45">
        <f t="shared" si="61"/>
        <v>3.4249667144410544E-2</v>
      </c>
    </row>
    <row r="510" spans="1:13" s="6" customFormat="1" ht="16.5" customHeight="1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56"/>
        <v>800.4</v>
      </c>
      <c r="G510" s="70">
        <f t="shared" si="58"/>
        <v>6.564082780760005E-3</v>
      </c>
      <c r="H510" s="316">
        <f t="shared" si="59"/>
        <v>14.89475716030595</v>
      </c>
      <c r="I510" s="37">
        <f t="shared" si="62"/>
        <v>5.4768022078444982</v>
      </c>
      <c r="J510" s="316">
        <v>5.7699518938078844</v>
      </c>
      <c r="K510" s="37">
        <f t="shared" si="60"/>
        <v>1.2719223204278662</v>
      </c>
      <c r="L510" s="37">
        <f t="shared" si="57"/>
        <v>1.550473308601569</v>
      </c>
      <c r="M510" s="45">
        <f t="shared" si="61"/>
        <v>3.4249667144410544E-2</v>
      </c>
    </row>
    <row r="511" spans="1:13" s="6" customFormat="1" ht="16.5" customHeight="1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ref="F511:F535" si="63">C511+D511+E511</f>
        <v>285.10000000000002</v>
      </c>
      <c r="G511" s="70">
        <f t="shared" si="58"/>
        <v>2.3381059480193371E-3</v>
      </c>
      <c r="H511" s="316">
        <f t="shared" si="59"/>
        <v>5.3054663498291186</v>
      </c>
      <c r="I511" s="37">
        <f t="shared" si="62"/>
        <v>1.950819976832167</v>
      </c>
      <c r="J511" s="316">
        <v>2.0552389866624536</v>
      </c>
      <c r="K511" s="37">
        <f t="shared" si="60"/>
        <v>0.453054789547707</v>
      </c>
      <c r="L511" s="37">
        <f t="shared" si="57"/>
        <v>0.55227378845865482</v>
      </c>
      <c r="M511" s="45">
        <f t="shared" si="61"/>
        <v>3.4249667144410537E-2</v>
      </c>
    </row>
    <row r="512" spans="1:13" s="6" customFormat="1" ht="16.5" customHeight="1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si="63"/>
        <v>415.84</v>
      </c>
      <c r="G512" s="70">
        <f t="shared" si="58"/>
        <v>3.4103050769005998E-3</v>
      </c>
      <c r="H512" s="316">
        <f t="shared" si="59"/>
        <v>7.7384255591474584</v>
      </c>
      <c r="I512" s="37">
        <f t="shared" si="62"/>
        <v>2.8454190780985207</v>
      </c>
      <c r="J512" s="316">
        <v>2.9977221333346709</v>
      </c>
      <c r="K512" s="37">
        <f t="shared" si="60"/>
        <v>0.66081481475102921</v>
      </c>
      <c r="L512" s="37">
        <f t="shared" si="57"/>
        <v>0.80553325918150465</v>
      </c>
      <c r="M512" s="45">
        <f t="shared" si="61"/>
        <v>3.4249667144410544E-2</v>
      </c>
    </row>
    <row r="513" spans="1:13" s="6" customFormat="1" ht="16.5" customHeight="1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63"/>
        <v>516.34</v>
      </c>
      <c r="G513" s="70">
        <f t="shared" si="58"/>
        <v>4.2345058758341096E-3</v>
      </c>
      <c r="H513" s="316">
        <f t="shared" si="59"/>
        <v>9.6086443180314536</v>
      </c>
      <c r="I513" s="37">
        <f t="shared" si="62"/>
        <v>3.5330985157401655</v>
      </c>
      <c r="J513" s="316">
        <v>3.7222100960129474</v>
      </c>
      <c r="K513" s="37">
        <f t="shared" si="60"/>
        <v>0.82052020356037547</v>
      </c>
      <c r="L513" s="37">
        <f t="shared" ref="L513:L576" si="64">K513*1.219</f>
        <v>1.0002141281400978</v>
      </c>
      <c r="M513" s="45">
        <f t="shared" si="61"/>
        <v>3.424966714441055E-2</v>
      </c>
    </row>
    <row r="514" spans="1:13" s="6" customFormat="1" ht="16.5" customHeight="1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63"/>
        <v>605.14</v>
      </c>
      <c r="G514" s="70">
        <f t="shared" ref="G514:G534" si="65">2/243872.61*F514</f>
        <v>4.9627549399664031E-3</v>
      </c>
      <c r="H514" s="316">
        <f t="shared" ref="H514:H534" si="66">G514*2269.13</f>
        <v>11.261136116925965</v>
      </c>
      <c r="I514" s="37">
        <f t="shared" si="62"/>
        <v>4.1407197501936777</v>
      </c>
      <c r="J514" s="316">
        <v>4.3623546839316631</v>
      </c>
      <c r="K514" s="37">
        <f t="shared" si="60"/>
        <v>0.96163302471728995</v>
      </c>
      <c r="L514" s="37">
        <f t="shared" si="64"/>
        <v>1.1722306571303764</v>
      </c>
      <c r="M514" s="45">
        <f t="shared" si="61"/>
        <v>3.4249667144410544E-2</v>
      </c>
    </row>
    <row r="515" spans="1:13" s="6" customFormat="1" ht="16.5" customHeight="1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63"/>
        <v>476.1</v>
      </c>
      <c r="G515" s="70">
        <f t="shared" si="65"/>
        <v>3.9044975161417273E-3</v>
      </c>
      <c r="H515" s="316">
        <f t="shared" si="66"/>
        <v>8.8598124488026784</v>
      </c>
      <c r="I515" s="37">
        <f t="shared" si="62"/>
        <v>3.2577530374247452</v>
      </c>
      <c r="J515" s="316">
        <v>3.4321265575236555</v>
      </c>
      <c r="K515" s="37">
        <f t="shared" si="60"/>
        <v>0.75657448370278257</v>
      </c>
      <c r="L515" s="37">
        <f t="shared" si="64"/>
        <v>0.92226429563369205</v>
      </c>
      <c r="M515" s="45">
        <f t="shared" si="61"/>
        <v>3.4249667144410544E-2</v>
      </c>
    </row>
    <row r="516" spans="1:13" s="6" customFormat="1" ht="16.5" customHeight="1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63"/>
        <v>417.52</v>
      </c>
      <c r="G516" s="70">
        <f t="shared" si="65"/>
        <v>3.4240827618976974E-3</v>
      </c>
      <c r="H516" s="316">
        <f t="shared" si="66"/>
        <v>7.7696889175049222</v>
      </c>
      <c r="I516" s="37">
        <f t="shared" si="62"/>
        <v>2.8569146149665601</v>
      </c>
      <c r="J516" s="316">
        <v>3.0098329768898897</v>
      </c>
      <c r="K516" s="37">
        <f t="shared" ref="K516:K533" si="67">G516*193.77</f>
        <v>0.66348451677291687</v>
      </c>
      <c r="L516" s="37">
        <f t="shared" si="64"/>
        <v>0.8087876259461857</v>
      </c>
      <c r="M516" s="45">
        <f t="shared" si="61"/>
        <v>3.4249667144410544E-2</v>
      </c>
    </row>
    <row r="517" spans="1:13" s="6" customFormat="1" ht="16.5" customHeight="1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63"/>
        <v>273.56</v>
      </c>
      <c r="G517" s="70">
        <f t="shared" si="65"/>
        <v>2.2434663736940366E-3</v>
      </c>
      <c r="H517" s="316">
        <f t="shared" si="66"/>
        <v>5.0907168525403499</v>
      </c>
      <c r="I517" s="37">
        <f t="shared" si="62"/>
        <v>1.8718565866790868</v>
      </c>
      <c r="J517" s="316">
        <v>1.9720490255748186</v>
      </c>
      <c r="K517" s="37">
        <f t="shared" si="67"/>
        <v>0.43471647923069351</v>
      </c>
      <c r="L517" s="37">
        <f t="shared" si="64"/>
        <v>0.5299193881822154</v>
      </c>
      <c r="M517" s="45">
        <f t="shared" si="61"/>
        <v>3.424966714441055E-2</v>
      </c>
    </row>
    <row r="518" spans="1:13" s="6" customFormat="1" ht="16.5" customHeight="1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63"/>
        <v>645.95000000000005</v>
      </c>
      <c r="G518" s="70">
        <f t="shared" si="65"/>
        <v>5.2974378713542295E-3</v>
      </c>
      <c r="H518" s="316">
        <f t="shared" si="66"/>
        <v>12.020575197026023</v>
      </c>
      <c r="I518" s="37">
        <f t="shared" si="62"/>
        <v>4.4199654999464686</v>
      </c>
      <c r="J518" s="316">
        <v>4.6565472586271905</v>
      </c>
      <c r="K518" s="37">
        <f t="shared" si="67"/>
        <v>1.0264845363323092</v>
      </c>
      <c r="L518" s="37">
        <f t="shared" si="64"/>
        <v>1.251284649789085</v>
      </c>
      <c r="M518" s="45">
        <f t="shared" si="61"/>
        <v>3.4249667144410544E-2</v>
      </c>
    </row>
    <row r="519" spans="1:13" s="6" customFormat="1" ht="16.5" customHeight="1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63"/>
        <v>867.68</v>
      </c>
      <c r="G519" s="70">
        <f t="shared" si="65"/>
        <v>7.1158462608818598E-3</v>
      </c>
      <c r="H519" s="316">
        <f t="shared" si="66"/>
        <v>16.146780225954856</v>
      </c>
      <c r="I519" s="37">
        <f t="shared" si="62"/>
        <v>5.9371710890836011</v>
      </c>
      <c r="J519" s="316">
        <v>6.2549623428526049</v>
      </c>
      <c r="K519" s="37">
        <f t="shared" si="67"/>
        <v>1.378837529971078</v>
      </c>
      <c r="L519" s="37">
        <f t="shared" si="64"/>
        <v>1.6808029490347443</v>
      </c>
      <c r="M519" s="45">
        <f t="shared" ref="M519:M582" si="68">(K519+J519+I519+H519)/C519</f>
        <v>3.4249667144410544E-2</v>
      </c>
    </row>
    <row r="520" spans="1:13" s="6" customFormat="1" ht="16.5" customHeight="1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63"/>
        <v>556.85</v>
      </c>
      <c r="G520" s="70">
        <f t="shared" si="65"/>
        <v>4.5667285063295962E-3</v>
      </c>
      <c r="H520" s="316">
        <f t="shared" si="66"/>
        <v>10.362500655567677</v>
      </c>
      <c r="I520" s="37">
        <f t="shared" si="62"/>
        <v>3.8102914910522352</v>
      </c>
      <c r="J520" s="316">
        <v>4.0142400200736139</v>
      </c>
      <c r="K520" s="37">
        <f t="shared" si="67"/>
        <v>0.88489498267148592</v>
      </c>
      <c r="L520" s="37">
        <f t="shared" si="64"/>
        <v>1.0786869838765414</v>
      </c>
      <c r="M520" s="45">
        <f t="shared" si="68"/>
        <v>3.5954241020576885E-2</v>
      </c>
    </row>
    <row r="521" spans="1:13" s="6" customFormat="1" ht="16.5" customHeight="1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63"/>
        <v>335.18</v>
      </c>
      <c r="G521" s="70">
        <f t="shared" si="65"/>
        <v>2.7488121769804327E-3</v>
      </c>
      <c r="H521" s="316">
        <f t="shared" si="66"/>
        <v>6.2374121751516096</v>
      </c>
      <c r="I521" s="37">
        <f t="shared" si="62"/>
        <v>2.293496456803247</v>
      </c>
      <c r="J521" s="316">
        <v>2.4162574659751708</v>
      </c>
      <c r="K521" s="37">
        <f t="shared" si="67"/>
        <v>0.53263733553349846</v>
      </c>
      <c r="L521" s="37">
        <f t="shared" si="64"/>
        <v>0.64928491201533467</v>
      </c>
      <c r="M521" s="45">
        <f t="shared" si="68"/>
        <v>3.4249667144410544E-2</v>
      </c>
    </row>
    <row r="522" spans="1:13" s="6" customFormat="1" ht="16.5" customHeight="1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63"/>
        <v>274.58999999999997</v>
      </c>
      <c r="G522" s="70">
        <f t="shared" si="65"/>
        <v>2.2519134067577329E-3</v>
      </c>
      <c r="H522" s="316">
        <f t="shared" si="66"/>
        <v>5.1098842686761747</v>
      </c>
      <c r="I522" s="37">
        <f t="shared" si="62"/>
        <v>1.8789044455922297</v>
      </c>
      <c r="J522" s="316">
        <v>1.9794741260878397</v>
      </c>
      <c r="K522" s="37">
        <f t="shared" si="67"/>
        <v>0.43635326082744591</v>
      </c>
      <c r="L522" s="37">
        <f t="shared" si="64"/>
        <v>0.5319146249486566</v>
      </c>
      <c r="M522" s="45">
        <f t="shared" si="68"/>
        <v>3.424966714441055E-2</v>
      </c>
    </row>
    <row r="523" spans="1:13" s="6" customFormat="1" ht="16.5" customHeight="1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63"/>
        <v>345.54</v>
      </c>
      <c r="G523" s="70">
        <f t="shared" si="65"/>
        <v>2.8337745677958675E-3</v>
      </c>
      <c r="H523" s="316">
        <f t="shared" si="66"/>
        <v>6.4302028850226369</v>
      </c>
      <c r="I523" s="37">
        <f t="shared" si="62"/>
        <v>2.3643856008228239</v>
      </c>
      <c r="J523" s="316">
        <v>2.4909410012323545</v>
      </c>
      <c r="K523" s="37">
        <f t="shared" si="67"/>
        <v>0.54910049800180527</v>
      </c>
      <c r="L523" s="37">
        <f t="shared" si="64"/>
        <v>0.66935350706420071</v>
      </c>
      <c r="M523" s="45">
        <f t="shared" si="68"/>
        <v>3.4249667144410544E-2</v>
      </c>
    </row>
    <row r="524" spans="1:13" s="6" customFormat="1" ht="16.5" customHeight="1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63"/>
        <v>212.4</v>
      </c>
      <c r="G524" s="70">
        <f t="shared" si="65"/>
        <v>1.7418930317758933E-3</v>
      </c>
      <c r="H524" s="316">
        <f t="shared" si="66"/>
        <v>3.952581735193633</v>
      </c>
      <c r="I524" s="37">
        <f t="shared" si="62"/>
        <v>1.4533643040306989</v>
      </c>
      <c r="J524" s="316">
        <v>1.5311566494812527</v>
      </c>
      <c r="K524" s="37">
        <f t="shared" si="67"/>
        <v>0.33752661276721485</v>
      </c>
      <c r="L524" s="37">
        <f t="shared" si="64"/>
        <v>0.41144494096323492</v>
      </c>
      <c r="M524" s="45">
        <f t="shared" si="68"/>
        <v>3.4249667144410544E-2</v>
      </c>
    </row>
    <row r="525" spans="1:13" s="6" customFormat="1" ht="16.5" customHeight="1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63"/>
        <v>257.2</v>
      </c>
      <c r="G525" s="70">
        <f t="shared" si="65"/>
        <v>2.1092979650318257E-3</v>
      </c>
      <c r="H525" s="316">
        <f t="shared" si="66"/>
        <v>4.7862712913926666</v>
      </c>
      <c r="I525" s="37">
        <f t="shared" si="62"/>
        <v>1.7599119538450836</v>
      </c>
      <c r="J525" s="316">
        <v>1.8541124776204245</v>
      </c>
      <c r="K525" s="37">
        <f t="shared" si="67"/>
        <v>0.40871866668421691</v>
      </c>
      <c r="L525" s="37">
        <f t="shared" si="64"/>
        <v>0.49822805468806047</v>
      </c>
      <c r="M525" s="45">
        <f t="shared" si="68"/>
        <v>3.4249667144410544E-2</v>
      </c>
    </row>
    <row r="526" spans="1:13" s="6" customFormat="1" ht="16.5" customHeight="1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63"/>
        <v>406.14</v>
      </c>
      <c r="G526" s="70">
        <f t="shared" si="65"/>
        <v>3.330755348048311E-3</v>
      </c>
      <c r="H526" s="316">
        <f t="shared" si="66"/>
        <v>7.5579168829168646</v>
      </c>
      <c r="I526" s="37">
        <f t="shared" si="62"/>
        <v>2.7790460378485311</v>
      </c>
      <c r="J526" s="316">
        <v>2.9277964294741805</v>
      </c>
      <c r="K526" s="37">
        <f t="shared" si="67"/>
        <v>0.64540046379132121</v>
      </c>
      <c r="L526" s="37">
        <f t="shared" si="64"/>
        <v>0.78674316536162059</v>
      </c>
      <c r="M526" s="45">
        <f t="shared" si="68"/>
        <v>3.8667259170597927E-2</v>
      </c>
    </row>
    <row r="527" spans="1:13" s="6" customFormat="1" ht="16.5" customHeight="1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63"/>
        <v>253.51</v>
      </c>
      <c r="G527" s="70">
        <f t="shared" si="65"/>
        <v>2.0790362640560581E-3</v>
      </c>
      <c r="H527" s="316">
        <f t="shared" si="66"/>
        <v>4.7176035578575233</v>
      </c>
      <c r="I527" s="37">
        <f t="shared" si="62"/>
        <v>1.7346628282242114</v>
      </c>
      <c r="J527" s="316">
        <v>1.8275118748116403</v>
      </c>
      <c r="K527" s="37">
        <f t="shared" si="67"/>
        <v>0.40285485688614242</v>
      </c>
      <c r="L527" s="37">
        <f t="shared" si="64"/>
        <v>0.49108007054420766</v>
      </c>
      <c r="M527" s="45">
        <f t="shared" si="68"/>
        <v>3.4249667144410544E-2</v>
      </c>
    </row>
    <row r="528" spans="1:13" s="6" customFormat="1" ht="16.5" customHeight="1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63"/>
        <v>354.64</v>
      </c>
      <c r="G528" s="70">
        <f t="shared" si="65"/>
        <v>2.9084036948634783E-3</v>
      </c>
      <c r="H528" s="316">
        <f t="shared" si="66"/>
        <v>6.5995460761255647</v>
      </c>
      <c r="I528" s="37">
        <f t="shared" ref="I528:I534" si="69">H528*0.3677</f>
        <v>2.4266530921913705</v>
      </c>
      <c r="J528" s="316">
        <v>2.5565414038231236</v>
      </c>
      <c r="K528" s="37">
        <f t="shared" si="67"/>
        <v>0.56356138395369626</v>
      </c>
      <c r="L528" s="37">
        <f t="shared" si="64"/>
        <v>0.68698132703955583</v>
      </c>
      <c r="M528" s="45">
        <f t="shared" si="68"/>
        <v>3.4249667144410544E-2</v>
      </c>
    </row>
    <row r="529" spans="1:13" s="6" customFormat="1" ht="16.5" customHeight="1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63"/>
        <v>286.98</v>
      </c>
      <c r="G529" s="70">
        <f t="shared" si="65"/>
        <v>2.3535238336113273E-3</v>
      </c>
      <c r="H529" s="316">
        <f t="shared" si="66"/>
        <v>5.3404515365624716</v>
      </c>
      <c r="I529" s="37">
        <f t="shared" si="69"/>
        <v>1.963684029994021</v>
      </c>
      <c r="J529" s="316">
        <v>2.0687915973075799</v>
      </c>
      <c r="K529" s="37">
        <f t="shared" si="67"/>
        <v>0.4560423132388669</v>
      </c>
      <c r="L529" s="37">
        <f t="shared" si="64"/>
        <v>0.55591557983817874</v>
      </c>
      <c r="M529" s="45">
        <f t="shared" si="68"/>
        <v>3.4249667144410544E-2</v>
      </c>
    </row>
    <row r="530" spans="1:13" s="6" customFormat="1" ht="16.5" customHeight="1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63"/>
        <v>128.9</v>
      </c>
      <c r="G530" s="70">
        <f t="shared" si="65"/>
        <v>1.0571092834082516E-3</v>
      </c>
      <c r="H530" s="316">
        <f t="shared" si="66"/>
        <v>2.3987183882601659</v>
      </c>
      <c r="I530" s="37">
        <f t="shared" si="69"/>
        <v>0.88200875136326307</v>
      </c>
      <c r="J530" s="316">
        <v>0.92921888944507292</v>
      </c>
      <c r="K530" s="37">
        <f t="shared" si="67"/>
        <v>0.20483606584601693</v>
      </c>
      <c r="L530" s="37">
        <f t="shared" si="64"/>
        <v>0.24969516426629465</v>
      </c>
      <c r="M530" s="45">
        <f t="shared" si="68"/>
        <v>3.4249667144410537E-2</v>
      </c>
    </row>
    <row r="531" spans="1:13" s="6" customFormat="1" ht="16.5" customHeight="1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63"/>
        <v>2048.73</v>
      </c>
      <c r="G531" s="70">
        <f t="shared" si="65"/>
        <v>1.680164082387112E-2</v>
      </c>
      <c r="H531" s="316">
        <f t="shared" si="66"/>
        <v>38.12510724267068</v>
      </c>
      <c r="I531" s="37">
        <f t="shared" si="69"/>
        <v>14.018601933130009</v>
      </c>
      <c r="J531" s="316">
        <v>14.768957450526022</v>
      </c>
      <c r="K531" s="37">
        <f t="shared" si="67"/>
        <v>3.2556539424415072</v>
      </c>
      <c r="L531" s="37">
        <f t="shared" si="64"/>
        <v>3.9686421558361977</v>
      </c>
      <c r="M531" s="45">
        <f t="shared" si="68"/>
        <v>3.424966714441055E-2</v>
      </c>
    </row>
    <row r="532" spans="1:13" s="6" customFormat="1" ht="16.5" customHeight="1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63"/>
        <v>2056.27</v>
      </c>
      <c r="G532" s="70">
        <f t="shared" si="65"/>
        <v>1.6863476386298568E-2</v>
      </c>
      <c r="H532" s="316">
        <f t="shared" si="66"/>
        <v>38.265420172441672</v>
      </c>
      <c r="I532" s="37">
        <f t="shared" si="69"/>
        <v>14.070194997406803</v>
      </c>
      <c r="J532" s="316">
        <v>14.823312069815517</v>
      </c>
      <c r="K532" s="37">
        <f t="shared" si="67"/>
        <v>3.2676358193730737</v>
      </c>
      <c r="L532" s="37">
        <f t="shared" si="64"/>
        <v>3.9832480638157772</v>
      </c>
      <c r="M532" s="45">
        <f t="shared" si="68"/>
        <v>3.4249667144410544E-2</v>
      </c>
    </row>
    <row r="533" spans="1:13" s="6" customFormat="1" ht="16.5" customHeight="1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63"/>
        <v>75.900000000000006</v>
      </c>
      <c r="G533" s="70">
        <f t="shared" si="65"/>
        <v>6.2245612576172467E-4</v>
      </c>
      <c r="H533" s="316">
        <f t="shared" si="66"/>
        <v>1.4124338686497024</v>
      </c>
      <c r="I533" s="37">
        <f t="shared" si="69"/>
        <v>0.51935193350249564</v>
      </c>
      <c r="J533" s="316">
        <v>0.54715061061971326</v>
      </c>
      <c r="K533" s="37">
        <f t="shared" si="67"/>
        <v>0.1206133234888494</v>
      </c>
      <c r="L533" s="37">
        <f t="shared" si="64"/>
        <v>0.14702764133290744</v>
      </c>
      <c r="M533" s="45">
        <f t="shared" si="68"/>
        <v>3.4249667144410544E-2</v>
      </c>
    </row>
    <row r="534" spans="1:13" s="6" customFormat="1" ht="16.5" customHeight="1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63"/>
        <v>903</v>
      </c>
      <c r="G534" s="70">
        <f t="shared" si="65"/>
        <v>7.4055056859398853E-3</v>
      </c>
      <c r="H534" s="316">
        <f t="shared" si="66"/>
        <v>16.804055117136773</v>
      </c>
      <c r="I534" s="37">
        <f t="shared" si="69"/>
        <v>6.178851066571192</v>
      </c>
      <c r="J534" s="316">
        <v>6.5095784109301844</v>
      </c>
      <c r="K534" s="37">
        <f>G534*193.77*1.08</f>
        <v>1.5497620237057377</v>
      </c>
      <c r="L534" s="37">
        <f t="shared" si="64"/>
        <v>1.8891599068972944</v>
      </c>
      <c r="M534" s="45">
        <f t="shared" si="68"/>
        <v>3.4376795812119477E-2</v>
      </c>
    </row>
    <row r="535" spans="1:13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63"/>
        <v>243872.61000000004</v>
      </c>
      <c r="G535" s="70">
        <f>2/243872.61*F535</f>
        <v>2.0000000000000004</v>
      </c>
      <c r="H535" s="316">
        <f>G535*2269.13</f>
        <v>4538.2600000000011</v>
      </c>
      <c r="I535" s="64">
        <f t="shared" ref="I535:I594" si="70">H535*0.3677</f>
        <v>1668.7182020000005</v>
      </c>
      <c r="J535" s="316">
        <f>SUM(J385:J534)</f>
        <v>1758.0375161386446</v>
      </c>
      <c r="K535" s="37">
        <f>G535*193.77*1.08</f>
        <v>418.54320000000018</v>
      </c>
      <c r="L535" s="37">
        <f t="shared" si="64"/>
        <v>510.20416080000024</v>
      </c>
      <c r="M535" s="45">
        <f t="shared" si="68"/>
        <v>3.4778695294468101E-2</v>
      </c>
    </row>
    <row r="536" spans="1:13" s="6" customFormat="1" ht="15.75">
      <c r="A536" s="9" t="s">
        <v>245</v>
      </c>
      <c r="B536" s="8"/>
      <c r="C536" s="8"/>
      <c r="D536" s="8"/>
      <c r="E536" s="8"/>
      <c r="F536" s="40"/>
      <c r="G536" s="61"/>
      <c r="H536" s="316"/>
      <c r="I536" s="37"/>
      <c r="J536" s="316"/>
      <c r="K536" s="37"/>
      <c r="L536" s="37">
        <f t="shared" si="64"/>
        <v>0</v>
      </c>
      <c r="M536" s="45" t="e">
        <f t="shared" si="68"/>
        <v>#DIV/0!</v>
      </c>
    </row>
    <row r="537" spans="1:13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ref="F537:F581" si="71">C537+D537+E537</f>
        <v>4713.8</v>
      </c>
      <c r="G537" s="70">
        <f t="shared" ref="G537:G600" si="72">2/246324.39*F537</f>
        <v>3.8273108075087485E-2</v>
      </c>
      <c r="H537" s="316">
        <f t="shared" ref="H537:H600" si="73">G537*2269.13</f>
        <v>86.846657726423274</v>
      </c>
      <c r="I537" s="37">
        <f t="shared" si="70"/>
        <v>31.933516046005842</v>
      </c>
      <c r="J537" s="316">
        <v>40.153621479356353</v>
      </c>
      <c r="K537" s="37">
        <f t="shared" ref="K537:K572" si="74">G537*193.77</f>
        <v>7.4161801517097024</v>
      </c>
      <c r="L537" s="37">
        <f t="shared" si="64"/>
        <v>9.0403236049341285</v>
      </c>
      <c r="M537" s="45">
        <f t="shared" si="68"/>
        <v>3.8444644188466645E-2</v>
      </c>
    </row>
    <row r="538" spans="1:13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71"/>
        <v>14312.59</v>
      </c>
      <c r="G538" s="70">
        <f t="shared" si="72"/>
        <v>0.11620927996614544</v>
      </c>
      <c r="H538" s="316">
        <f t="shared" si="73"/>
        <v>263.6939634495796</v>
      </c>
      <c r="I538" s="37">
        <f t="shared" si="70"/>
        <v>96.960270360410419</v>
      </c>
      <c r="J538" s="316">
        <v>121.91911435555625</v>
      </c>
      <c r="K538" s="37">
        <f t="shared" si="74"/>
        <v>22.517872179040005</v>
      </c>
      <c r="L538" s="37">
        <f t="shared" si="64"/>
        <v>27.449286186249768</v>
      </c>
      <c r="M538" s="45">
        <f t="shared" si="68"/>
        <v>3.5289994357735832E-2</v>
      </c>
    </row>
    <row r="539" spans="1:13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71"/>
        <v>4226.7</v>
      </c>
      <c r="G539" s="70">
        <f t="shared" si="72"/>
        <v>3.4318160698581242E-2</v>
      </c>
      <c r="H539" s="316">
        <f t="shared" si="73"/>
        <v>77.872367985971664</v>
      </c>
      <c r="I539" s="37">
        <f t="shared" si="70"/>
        <v>28.633669708441783</v>
      </c>
      <c r="J539" s="316">
        <v>36.004351458864512</v>
      </c>
      <c r="K539" s="37">
        <f t="shared" si="74"/>
        <v>6.6498299985640879</v>
      </c>
      <c r="L539" s="37">
        <f t="shared" si="64"/>
        <v>8.1061427682496241</v>
      </c>
      <c r="M539" s="45">
        <f t="shared" si="68"/>
        <v>3.5289994357735839E-2</v>
      </c>
    </row>
    <row r="540" spans="1:13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71"/>
        <v>4136.82</v>
      </c>
      <c r="G540" s="70">
        <f t="shared" si="72"/>
        <v>3.3588391307900929E-2</v>
      </c>
      <c r="H540" s="316">
        <f t="shared" si="73"/>
        <v>76.216426368497238</v>
      </c>
      <c r="I540" s="37">
        <f t="shared" si="70"/>
        <v>28.024779975696436</v>
      </c>
      <c r="J540" s="316">
        <v>35.238725531043094</v>
      </c>
      <c r="K540" s="37">
        <f t="shared" si="74"/>
        <v>6.5084225837319636</v>
      </c>
      <c r="L540" s="37">
        <f t="shared" si="64"/>
        <v>7.9337671295692642</v>
      </c>
      <c r="M540" s="45">
        <f t="shared" si="68"/>
        <v>3.5289994357735832E-2</v>
      </c>
    </row>
    <row r="541" spans="1:13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71"/>
        <v>7984.78</v>
      </c>
      <c r="G541" s="70">
        <f t="shared" si="72"/>
        <v>6.4831420063599862E-2</v>
      </c>
      <c r="H541" s="316">
        <f t="shared" si="73"/>
        <v>147.11092020891635</v>
      </c>
      <c r="I541" s="37">
        <f t="shared" si="70"/>
        <v>54.09268536081855</v>
      </c>
      <c r="J541" s="316">
        <v>68.016851312303245</v>
      </c>
      <c r="K541" s="37">
        <f t="shared" si="74"/>
        <v>12.562384265723747</v>
      </c>
      <c r="L541" s="37">
        <f t="shared" si="64"/>
        <v>15.313546419917248</v>
      </c>
      <c r="M541" s="45">
        <f t="shared" si="68"/>
        <v>3.5289994357735832E-2</v>
      </c>
    </row>
    <row r="542" spans="1:13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71"/>
        <v>4209.92</v>
      </c>
      <c r="G542" s="70">
        <f t="shared" si="72"/>
        <v>3.4181917592488502E-2</v>
      </c>
      <c r="H542" s="316">
        <f t="shared" si="73"/>
        <v>77.563214666643432</v>
      </c>
      <c r="I542" s="37">
        <f t="shared" si="70"/>
        <v>28.519994032924792</v>
      </c>
      <c r="J542" s="316">
        <v>35.861414175054499</v>
      </c>
      <c r="K542" s="37">
        <f t="shared" si="74"/>
        <v>6.623430171896497</v>
      </c>
      <c r="L542" s="37">
        <f t="shared" si="64"/>
        <v>8.0739613795418297</v>
      </c>
      <c r="M542" s="45">
        <f t="shared" si="68"/>
        <v>3.5289994357735832E-2</v>
      </c>
    </row>
    <row r="543" spans="1:13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71"/>
        <v>8071.9</v>
      </c>
      <c r="G543" s="70">
        <f t="shared" si="72"/>
        <v>6.5538779980334055E-2</v>
      </c>
      <c r="H543" s="316">
        <f t="shared" si="73"/>
        <v>148.71601181677542</v>
      </c>
      <c r="I543" s="37">
        <f t="shared" si="70"/>
        <v>54.682877545028326</v>
      </c>
      <c r="J543" s="316">
        <v>68.758966697614781</v>
      </c>
      <c r="K543" s="37">
        <f t="shared" si="74"/>
        <v>12.69944939678933</v>
      </c>
      <c r="L543" s="37">
        <f t="shared" si="64"/>
        <v>15.480628814686193</v>
      </c>
      <c r="M543" s="45">
        <f t="shared" si="68"/>
        <v>3.5289994357735839E-2</v>
      </c>
    </row>
    <row r="544" spans="1:13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71"/>
        <v>4461.2</v>
      </c>
      <c r="G544" s="70">
        <f t="shared" si="72"/>
        <v>3.6222154046540007E-2</v>
      </c>
      <c r="H544" s="316">
        <f t="shared" si="73"/>
        <v>82.192776411625331</v>
      </c>
      <c r="I544" s="37">
        <f t="shared" si="70"/>
        <v>30.222283886554635</v>
      </c>
      <c r="J544" s="316">
        <v>38.001895740953067</v>
      </c>
      <c r="K544" s="37">
        <f t="shared" si="74"/>
        <v>7.0187667895980574</v>
      </c>
      <c r="L544" s="37">
        <f t="shared" si="64"/>
        <v>8.5558767165200322</v>
      </c>
      <c r="M544" s="45">
        <f t="shared" si="68"/>
        <v>3.7426773524005967E-2</v>
      </c>
    </row>
    <row r="545" spans="1:13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71"/>
        <v>10161.57</v>
      </c>
      <c r="G545" s="70">
        <f t="shared" si="72"/>
        <v>8.2505593538666613E-2</v>
      </c>
      <c r="H545" s="316">
        <f t="shared" si="73"/>
        <v>187.21591746639459</v>
      </c>
      <c r="I545" s="37">
        <f t="shared" si="70"/>
        <v>68.839292852393299</v>
      </c>
      <c r="J545" s="316">
        <v>86.559428786962357</v>
      </c>
      <c r="K545" s="37">
        <f t="shared" si="74"/>
        <v>15.98710885998743</v>
      </c>
      <c r="L545" s="37">
        <f t="shared" si="64"/>
        <v>19.488285700324678</v>
      </c>
      <c r="M545" s="45">
        <f t="shared" si="68"/>
        <v>3.5289994357735832E-2</v>
      </c>
    </row>
    <row r="546" spans="1:13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71"/>
        <v>7889.76</v>
      </c>
      <c r="G546" s="70">
        <f t="shared" si="72"/>
        <v>6.4059917087382207E-2</v>
      </c>
      <c r="H546" s="316">
        <f t="shared" si="73"/>
        <v>145.36027966049159</v>
      </c>
      <c r="I546" s="37">
        <f t="shared" si="70"/>
        <v>53.448974831162758</v>
      </c>
      <c r="J546" s="316">
        <v>67.207441258213464</v>
      </c>
      <c r="K546" s="37">
        <f t="shared" si="74"/>
        <v>12.412890134022051</v>
      </c>
      <c r="L546" s="37">
        <f t="shared" si="64"/>
        <v>15.131313073372882</v>
      </c>
      <c r="M546" s="45">
        <f t="shared" si="68"/>
        <v>3.5289994357735832E-2</v>
      </c>
    </row>
    <row r="547" spans="1:13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71"/>
        <v>7084.55</v>
      </c>
      <c r="G547" s="70">
        <f t="shared" si="72"/>
        <v>5.7522115451092759E-2</v>
      </c>
      <c r="H547" s="316">
        <f t="shared" si="73"/>
        <v>130.52515783353812</v>
      </c>
      <c r="I547" s="37">
        <f t="shared" si="70"/>
        <v>47.994100535391972</v>
      </c>
      <c r="J547" s="316">
        <v>60.348410847209067</v>
      </c>
      <c r="K547" s="37">
        <f t="shared" si="74"/>
        <v>11.146060310958244</v>
      </c>
      <c r="L547" s="37">
        <f t="shared" si="64"/>
        <v>13.587047519058101</v>
      </c>
      <c r="M547" s="45">
        <f t="shared" si="68"/>
        <v>3.5402429822374154E-2</v>
      </c>
    </row>
    <row r="548" spans="1:13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71"/>
        <v>4792.88</v>
      </c>
      <c r="G548" s="70">
        <f t="shared" si="72"/>
        <v>3.8915188219891657E-2</v>
      </c>
      <c r="H548" s="316">
        <f t="shared" si="73"/>
        <v>88.303621045402764</v>
      </c>
      <c r="I548" s="37">
        <f t="shared" si="70"/>
        <v>32.469241458394599</v>
      </c>
      <c r="J548" s="316">
        <v>40.82724963213915</v>
      </c>
      <c r="K548" s="37">
        <f t="shared" si="74"/>
        <v>7.5405960213684065</v>
      </c>
      <c r="L548" s="37">
        <f t="shared" si="64"/>
        <v>9.1919865500480888</v>
      </c>
      <c r="M548" s="45">
        <f t="shared" si="68"/>
        <v>3.5289994357735832E-2</v>
      </c>
    </row>
    <row r="549" spans="1:13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71"/>
        <v>4816.47</v>
      </c>
      <c r="G549" s="70">
        <f t="shared" si="72"/>
        <v>3.9106724267134081E-2</v>
      </c>
      <c r="H549" s="316">
        <f t="shared" si="73"/>
        <v>88.738241236281965</v>
      </c>
      <c r="I549" s="37">
        <f t="shared" si="70"/>
        <v>32.629051302580883</v>
      </c>
      <c r="J549" s="316">
        <v>41.028196624098506</v>
      </c>
      <c r="K549" s="37">
        <f t="shared" si="74"/>
        <v>7.5777099612425713</v>
      </c>
      <c r="L549" s="37">
        <f t="shared" si="64"/>
        <v>9.2372284427546951</v>
      </c>
      <c r="M549" s="45">
        <f t="shared" si="68"/>
        <v>3.5289994357735832E-2</v>
      </c>
    </row>
    <row r="550" spans="1:13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71"/>
        <v>5818.22</v>
      </c>
      <c r="G550" s="70">
        <f t="shared" si="72"/>
        <v>4.7240307790876894E-2</v>
      </c>
      <c r="H550" s="316">
        <f t="shared" si="73"/>
        <v>107.19439961751249</v>
      </c>
      <c r="I550" s="37">
        <f t="shared" si="70"/>
        <v>39.415380739359342</v>
      </c>
      <c r="J550" s="316">
        <v>49.561416174555717</v>
      </c>
      <c r="K550" s="37">
        <f t="shared" si="74"/>
        <v>9.1537544406382167</v>
      </c>
      <c r="L550" s="37">
        <f t="shared" si="64"/>
        <v>11.158426663137988</v>
      </c>
      <c r="M550" s="45">
        <f t="shared" si="68"/>
        <v>3.5289994357735832E-2</v>
      </c>
    </row>
    <row r="551" spans="1:13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71"/>
        <v>16414.989999999998</v>
      </c>
      <c r="G551" s="70">
        <f t="shared" si="72"/>
        <v>0.13327945316336717</v>
      </c>
      <c r="H551" s="316">
        <f t="shared" si="73"/>
        <v>302.42840555659137</v>
      </c>
      <c r="I551" s="37">
        <f t="shared" si="70"/>
        <v>111.20292472315866</v>
      </c>
      <c r="J551" s="316">
        <v>139.8280145630743</v>
      </c>
      <c r="K551" s="37">
        <f t="shared" si="74"/>
        <v>25.825559639465659</v>
      </c>
      <c r="L551" s="37">
        <f t="shared" si="64"/>
        <v>31.48135720050864</v>
      </c>
      <c r="M551" s="45">
        <f t="shared" si="68"/>
        <v>3.930902424372705E-2</v>
      </c>
    </row>
    <row r="552" spans="1:13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71"/>
        <v>14876.619999999999</v>
      </c>
      <c r="G552" s="70">
        <f t="shared" si="72"/>
        <v>0.1207888508320268</v>
      </c>
      <c r="H552" s="316">
        <f t="shared" si="73"/>
        <v>274.085605088477</v>
      </c>
      <c r="I552" s="37">
        <f t="shared" si="70"/>
        <v>100.781276991033</v>
      </c>
      <c r="J552" s="316">
        <v>126.72369815694819</v>
      </c>
      <c r="K552" s="37">
        <f t="shared" si="74"/>
        <v>23.405255625721836</v>
      </c>
      <c r="L552" s="37">
        <f t="shared" si="64"/>
        <v>28.531006607754918</v>
      </c>
      <c r="M552" s="45">
        <f t="shared" si="68"/>
        <v>3.6460525498414477E-2</v>
      </c>
    </row>
    <row r="553" spans="1:13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>
        <f t="shared" si="71"/>
        <v>351.06</v>
      </c>
      <c r="G553" s="70">
        <f t="shared" si="72"/>
        <v>2.8503876534516125E-3</v>
      </c>
      <c r="H553" s="316">
        <f t="shared" si="73"/>
        <v>6.4679001360766577</v>
      </c>
      <c r="I553" s="37">
        <f t="shared" si="70"/>
        <v>2.3782468800353871</v>
      </c>
      <c r="J553" s="316">
        <v>2.9904387875053762</v>
      </c>
      <c r="K553" s="37">
        <f t="shared" si="74"/>
        <v>0.55231961560931897</v>
      </c>
      <c r="L553" s="37">
        <f t="shared" si="64"/>
        <v>0.67327761142775988</v>
      </c>
      <c r="M553" s="45">
        <f t="shared" si="68"/>
        <v>3.5289994357735825E-2</v>
      </c>
    </row>
    <row r="554" spans="1:13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>
        <f t="shared" si="71"/>
        <v>377.1</v>
      </c>
      <c r="G554" s="70">
        <f t="shared" si="72"/>
        <v>3.0618161685085263E-3</v>
      </c>
      <c r="H554" s="316">
        <f t="shared" si="73"/>
        <v>6.9476589224477525</v>
      </c>
      <c r="I554" s="37">
        <f t="shared" si="70"/>
        <v>2.5546541857840386</v>
      </c>
      <c r="J554" s="316">
        <v>3.2122556450984945</v>
      </c>
      <c r="K554" s="37">
        <f t="shared" si="74"/>
        <v>0.59328811897189715</v>
      </c>
      <c r="L554" s="37">
        <f t="shared" si="64"/>
        <v>0.72321821702674272</v>
      </c>
      <c r="M554" s="45">
        <f t="shared" si="68"/>
        <v>3.5289994357735825E-2</v>
      </c>
    </row>
    <row r="555" spans="1:13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>
        <f t="shared" si="71"/>
        <v>82.9</v>
      </c>
      <c r="G555" s="70">
        <f t="shared" si="72"/>
        <v>6.7309615584554977E-4</v>
      </c>
      <c r="H555" s="316">
        <f t="shared" si="73"/>
        <v>1.5273426801138124</v>
      </c>
      <c r="I555" s="37">
        <f t="shared" si="70"/>
        <v>0.56160390347784883</v>
      </c>
      <c r="J555" s="316">
        <v>0.70616810654644724</v>
      </c>
      <c r="K555" s="37">
        <f t="shared" si="74"/>
        <v>0.13042584211819219</v>
      </c>
      <c r="L555" s="37">
        <f t="shared" si="64"/>
        <v>0.15898910154207629</v>
      </c>
      <c r="M555" s="45">
        <f t="shared" si="68"/>
        <v>3.5289994357735832E-2</v>
      </c>
    </row>
    <row r="556" spans="1:13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>
        <f t="shared" si="71"/>
        <v>56.1</v>
      </c>
      <c r="G556" s="70">
        <f t="shared" si="72"/>
        <v>4.5549691607883405E-4</v>
      </c>
      <c r="H556" s="316">
        <f t="shared" si="73"/>
        <v>1.0335817171819648</v>
      </c>
      <c r="I556" s="37">
        <f t="shared" si="70"/>
        <v>0.38004799740780848</v>
      </c>
      <c r="J556" s="316">
        <v>0.4778773314506114</v>
      </c>
      <c r="K556" s="37">
        <f t="shared" si="74"/>
        <v>8.8261637428595677E-2</v>
      </c>
      <c r="L556" s="37">
        <f t="shared" si="64"/>
        <v>0.10759093602545813</v>
      </c>
      <c r="M556" s="45">
        <f t="shared" si="68"/>
        <v>3.5289994357735839E-2</v>
      </c>
    </row>
    <row r="557" spans="1:13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>
        <f t="shared" si="71"/>
        <v>87</v>
      </c>
      <c r="G557" s="70">
        <f t="shared" si="72"/>
        <v>7.0638559178001E-4</v>
      </c>
      <c r="H557" s="316">
        <f t="shared" si="73"/>
        <v>1.6028807378757741</v>
      </c>
      <c r="I557" s="37">
        <f t="shared" si="70"/>
        <v>0.58937924731692215</v>
      </c>
      <c r="J557" s="316">
        <v>0.74109318781110833</v>
      </c>
      <c r="K557" s="37">
        <f t="shared" si="74"/>
        <v>0.13687633611921254</v>
      </c>
      <c r="L557" s="37">
        <f t="shared" si="64"/>
        <v>0.16685225372932011</v>
      </c>
      <c r="M557" s="45">
        <f t="shared" si="68"/>
        <v>3.5289994357735825E-2</v>
      </c>
    </row>
    <row r="558" spans="1:13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 t="shared" si="71"/>
        <v>4409.5</v>
      </c>
      <c r="G558" s="70">
        <f t="shared" si="72"/>
        <v>3.5802382378781084E-2</v>
      </c>
      <c r="H558" s="316">
        <f t="shared" si="73"/>
        <v>81.240259927163521</v>
      </c>
      <c r="I558" s="37">
        <f t="shared" si="70"/>
        <v>29.872043575218029</v>
      </c>
      <c r="J558" s="316">
        <v>37.561498984518195</v>
      </c>
      <c r="K558" s="37">
        <f t="shared" si="74"/>
        <v>6.9374276335364113</v>
      </c>
      <c r="L558" s="37">
        <f t="shared" si="64"/>
        <v>8.4567242852808864</v>
      </c>
      <c r="M558" s="45">
        <f t="shared" si="68"/>
        <v>3.6063693276886175E-2</v>
      </c>
    </row>
    <row r="559" spans="1:13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>
        <f t="shared" si="71"/>
        <v>354.7</v>
      </c>
      <c r="G559" s="70">
        <f t="shared" si="72"/>
        <v>2.8799421770617189E-3</v>
      </c>
      <c r="H559" s="316">
        <f t="shared" si="73"/>
        <v>6.5349631922360585</v>
      </c>
      <c r="I559" s="37">
        <f t="shared" si="70"/>
        <v>2.402905965785199</v>
      </c>
      <c r="J559" s="316">
        <v>3.0214454450183927</v>
      </c>
      <c r="K559" s="37">
        <f t="shared" si="74"/>
        <v>0.55804639564924929</v>
      </c>
      <c r="L559" s="37">
        <f t="shared" si="64"/>
        <v>0.68025855629643495</v>
      </c>
      <c r="M559" s="45">
        <f t="shared" si="68"/>
        <v>3.5289994357735839E-2</v>
      </c>
    </row>
    <row r="560" spans="1:13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>
        <f t="shared" si="71"/>
        <v>352.4</v>
      </c>
      <c r="G560" s="70">
        <f t="shared" si="72"/>
        <v>2.8612676154399484E-3</v>
      </c>
      <c r="H560" s="316">
        <f t="shared" si="73"/>
        <v>6.4925881842232505</v>
      </c>
      <c r="I560" s="37">
        <f t="shared" si="70"/>
        <v>2.3873246753388893</v>
      </c>
      <c r="J560" s="316">
        <v>3.0018533262601674</v>
      </c>
      <c r="K560" s="37">
        <f t="shared" si="74"/>
        <v>0.55442782584379879</v>
      </c>
      <c r="L560" s="37">
        <f t="shared" si="64"/>
        <v>0.6758475197035908</v>
      </c>
      <c r="M560" s="45">
        <f t="shared" si="68"/>
        <v>3.5289994357735832E-2</v>
      </c>
    </row>
    <row r="561" spans="1:13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>
        <f t="shared" si="71"/>
        <v>216.7</v>
      </c>
      <c r="G561" s="70">
        <f t="shared" si="72"/>
        <v>1.7594684797554961E-3</v>
      </c>
      <c r="H561" s="316">
        <f t="shared" si="73"/>
        <v>3.992462711467589</v>
      </c>
      <c r="I561" s="37">
        <f t="shared" si="70"/>
        <v>1.4680285390066325</v>
      </c>
      <c r="J561" s="316">
        <v>1.8459183195249103</v>
      </c>
      <c r="K561" s="37">
        <f t="shared" si="74"/>
        <v>0.34093220732222251</v>
      </c>
      <c r="L561" s="37">
        <f t="shared" si="64"/>
        <v>0.41559636072578926</v>
      </c>
      <c r="M561" s="45">
        <f t="shared" si="68"/>
        <v>3.5289994357735832E-2</v>
      </c>
    </row>
    <row r="562" spans="1:13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>
        <f t="shared" si="71"/>
        <v>42.7</v>
      </c>
      <c r="G562" s="70">
        <f t="shared" si="72"/>
        <v>3.4669729619547616E-4</v>
      </c>
      <c r="H562" s="316">
        <f t="shared" si="73"/>
        <v>0.78670123571604089</v>
      </c>
      <c r="I562" s="37">
        <f t="shared" si="70"/>
        <v>0.28927004437278825</v>
      </c>
      <c r="J562" s="316">
        <v>0.36373194390269353</v>
      </c>
      <c r="K562" s="37">
        <f t="shared" si="74"/>
        <v>6.7179535083797426E-2</v>
      </c>
      <c r="L562" s="37">
        <f t="shared" si="64"/>
        <v>8.1891853267149067E-2</v>
      </c>
      <c r="M562" s="45">
        <f t="shared" si="68"/>
        <v>3.5289994357735832E-2</v>
      </c>
    </row>
    <row r="563" spans="1:13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>
        <f t="shared" si="71"/>
        <v>79.7</v>
      </c>
      <c r="G563" s="70">
        <f t="shared" si="72"/>
        <v>6.4711415706743443E-4</v>
      </c>
      <c r="H563" s="316">
        <f t="shared" si="73"/>
        <v>1.4683861472264275</v>
      </c>
      <c r="I563" s="37">
        <f t="shared" si="70"/>
        <v>0.53992558633515741</v>
      </c>
      <c r="J563" s="316">
        <v>0.67890950653500393</v>
      </c>
      <c r="K563" s="37">
        <f t="shared" si="74"/>
        <v>0.12539131021495678</v>
      </c>
      <c r="L563" s="37">
        <f t="shared" si="64"/>
        <v>0.15285200715203232</v>
      </c>
      <c r="M563" s="45">
        <f t="shared" si="68"/>
        <v>3.5289994357735825E-2</v>
      </c>
    </row>
    <row r="564" spans="1:13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>
        <f t="shared" si="71"/>
        <v>23.5</v>
      </c>
      <c r="G564" s="70">
        <f t="shared" si="72"/>
        <v>1.908053035267843E-4</v>
      </c>
      <c r="H564" s="316">
        <f t="shared" si="73"/>
        <v>0.43296203839173208</v>
      </c>
      <c r="I564" s="37">
        <f t="shared" si="70"/>
        <v>0.15920014151663989</v>
      </c>
      <c r="J564" s="316">
        <v>0.20018034383403507</v>
      </c>
      <c r="K564" s="37">
        <f t="shared" si="74"/>
        <v>3.6972343664384996E-2</v>
      </c>
      <c r="L564" s="37">
        <f t="shared" si="64"/>
        <v>4.5069286926885312E-2</v>
      </c>
      <c r="M564" s="45">
        <f t="shared" si="68"/>
        <v>3.5289994357735832E-2</v>
      </c>
    </row>
    <row r="565" spans="1:13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>
        <f t="shared" si="71"/>
        <v>29</v>
      </c>
      <c r="G565" s="70">
        <f t="shared" si="72"/>
        <v>2.3546186392666999E-4</v>
      </c>
      <c r="H565" s="316">
        <f t="shared" si="73"/>
        <v>0.53429357929192467</v>
      </c>
      <c r="I565" s="37">
        <f t="shared" si="70"/>
        <v>0.19645974910564071</v>
      </c>
      <c r="J565" s="316">
        <v>0.24703106260370283</v>
      </c>
      <c r="K565" s="37">
        <f t="shared" si="74"/>
        <v>4.5625445373070846E-2</v>
      </c>
      <c r="L565" s="37">
        <f t="shared" si="64"/>
        <v>5.5617417909773363E-2</v>
      </c>
      <c r="M565" s="45">
        <f t="shared" si="68"/>
        <v>3.5289994357735832E-2</v>
      </c>
    </row>
    <row r="566" spans="1:13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>
        <f t="shared" si="71"/>
        <v>84.7</v>
      </c>
      <c r="G566" s="70">
        <f t="shared" si="72"/>
        <v>6.8771103015823965E-4</v>
      </c>
      <c r="H566" s="316">
        <f t="shared" si="73"/>
        <v>1.5605057298629663</v>
      </c>
      <c r="I566" s="37">
        <f t="shared" si="70"/>
        <v>0.57379795687061275</v>
      </c>
      <c r="J566" s="316">
        <v>0.72150106905288369</v>
      </c>
      <c r="K566" s="37">
        <f t="shared" si="74"/>
        <v>0.1332577663137621</v>
      </c>
      <c r="L566" s="37">
        <f t="shared" si="64"/>
        <v>0.16244121713647602</v>
      </c>
      <c r="M566" s="45">
        <f t="shared" si="68"/>
        <v>3.5289994357735832E-2</v>
      </c>
    </row>
    <row r="567" spans="1:13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>
        <f t="shared" si="71"/>
        <v>177.23</v>
      </c>
      <c r="G567" s="70">
        <f t="shared" si="72"/>
        <v>1.4389967635766801E-3</v>
      </c>
      <c r="H567" s="316">
        <f t="shared" si="73"/>
        <v>3.2652707261347524</v>
      </c>
      <c r="I567" s="37">
        <f t="shared" si="70"/>
        <v>1.2006400459997486</v>
      </c>
      <c r="J567" s="316">
        <v>1.5097005250087672</v>
      </c>
      <c r="K567" s="37">
        <f t="shared" si="74"/>
        <v>0.27883440287825334</v>
      </c>
      <c r="L567" s="37">
        <f t="shared" si="64"/>
        <v>0.33989913710859082</v>
      </c>
      <c r="M567" s="45">
        <f t="shared" si="68"/>
        <v>3.5289994357735832E-2</v>
      </c>
    </row>
    <row r="568" spans="1:13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>
        <f t="shared" si="71"/>
        <v>108.36</v>
      </c>
      <c r="G568" s="70">
        <f t="shared" si="72"/>
        <v>8.7981543362392967E-4</v>
      </c>
      <c r="H568" s="316">
        <f t="shared" si="73"/>
        <v>1.9964155948990676</v>
      </c>
      <c r="I568" s="37">
        <f t="shared" si="70"/>
        <v>0.73408201424438724</v>
      </c>
      <c r="J568" s="316">
        <v>0.92304434288749093</v>
      </c>
      <c r="K568" s="37">
        <f t="shared" si="74"/>
        <v>0.17048183657330887</v>
      </c>
      <c r="L568" s="37">
        <f t="shared" si="64"/>
        <v>0.20781735878286353</v>
      </c>
      <c r="M568" s="45">
        <f t="shared" si="68"/>
        <v>3.5289994357735832E-2</v>
      </c>
    </row>
    <row r="569" spans="1:13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>
        <f t="shared" si="71"/>
        <v>76.2</v>
      </c>
      <c r="G569" s="70">
        <f t="shared" si="72"/>
        <v>6.1869634590387083E-4</v>
      </c>
      <c r="H569" s="316">
        <f t="shared" si="73"/>
        <v>1.4039024393808506</v>
      </c>
      <c r="I569" s="37">
        <f t="shared" si="70"/>
        <v>0.51621492696033877</v>
      </c>
      <c r="J569" s="316">
        <v>0.64909541277248817</v>
      </c>
      <c r="K569" s="37">
        <f t="shared" si="74"/>
        <v>0.11988479094579306</v>
      </c>
      <c r="L569" s="37">
        <f t="shared" si="64"/>
        <v>0.14613956016292176</v>
      </c>
      <c r="M569" s="45">
        <f t="shared" si="68"/>
        <v>3.5289994357735832E-2</v>
      </c>
    </row>
    <row r="570" spans="1:13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>
        <f t="shared" si="71"/>
        <v>98.5</v>
      </c>
      <c r="G570" s="70">
        <f t="shared" si="72"/>
        <v>7.9975839988886185E-4</v>
      </c>
      <c r="H570" s="316">
        <f t="shared" si="73"/>
        <v>1.8147557779398131</v>
      </c>
      <c r="I570" s="37">
        <f t="shared" si="70"/>
        <v>0.66728569954846939</v>
      </c>
      <c r="J570" s="316">
        <v>0.8390537816022321</v>
      </c>
      <c r="K570" s="37">
        <f t="shared" si="74"/>
        <v>0.15496918514646477</v>
      </c>
      <c r="L570" s="37">
        <f t="shared" si="64"/>
        <v>0.18890743669354057</v>
      </c>
      <c r="M570" s="45">
        <f t="shared" si="68"/>
        <v>3.5289994357735832E-2</v>
      </c>
    </row>
    <row r="571" spans="1:13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>
        <f t="shared" si="71"/>
        <v>93.4</v>
      </c>
      <c r="G571" s="70">
        <f t="shared" si="72"/>
        <v>7.5834958933624068E-4</v>
      </c>
      <c r="H571" s="316">
        <f t="shared" si="73"/>
        <v>1.7207938036505439</v>
      </c>
      <c r="I571" s="37">
        <f t="shared" si="70"/>
        <v>0.63273588160230509</v>
      </c>
      <c r="J571" s="316">
        <v>0.79561038783399463</v>
      </c>
      <c r="K571" s="37">
        <f t="shared" si="74"/>
        <v>0.14694539992568337</v>
      </c>
      <c r="L571" s="37">
        <f t="shared" si="64"/>
        <v>0.17912644250940804</v>
      </c>
      <c r="M571" s="45">
        <f t="shared" si="68"/>
        <v>3.5289994357735832E-2</v>
      </c>
    </row>
    <row r="572" spans="1:13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>
        <f t="shared" si="71"/>
        <v>92.7</v>
      </c>
      <c r="G572" s="70">
        <f t="shared" si="72"/>
        <v>7.526660271035279E-4</v>
      </c>
      <c r="H572" s="316">
        <f t="shared" si="73"/>
        <v>1.7078970620814284</v>
      </c>
      <c r="I572" s="37">
        <f t="shared" si="70"/>
        <v>0.62799374972734123</v>
      </c>
      <c r="J572" s="316">
        <v>0.78964756908149147</v>
      </c>
      <c r="K572" s="37">
        <f t="shared" si="74"/>
        <v>0.14584409607185062</v>
      </c>
      <c r="L572" s="37">
        <f t="shared" si="64"/>
        <v>0.1777839531115859</v>
      </c>
      <c r="M572" s="45">
        <f t="shared" si="68"/>
        <v>3.5289994357735832E-2</v>
      </c>
    </row>
    <row r="573" spans="1:13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>
        <f t="shared" si="71"/>
        <v>346.6</v>
      </c>
      <c r="G573" s="70">
        <f t="shared" si="72"/>
        <v>2.8141752426546146E-3</v>
      </c>
      <c r="H573" s="316">
        <f t="shared" si="73"/>
        <v>6.3857294683648664</v>
      </c>
      <c r="I573" s="37">
        <f t="shared" si="70"/>
        <v>2.3480327255177618</v>
      </c>
      <c r="J573" s="316">
        <v>2.9524471137394275</v>
      </c>
      <c r="K573" s="37">
        <f t="shared" ref="K573:K600" si="75">G573*193.77</f>
        <v>0.54530273676918473</v>
      </c>
      <c r="L573" s="37">
        <f t="shared" si="64"/>
        <v>0.66472403612163622</v>
      </c>
      <c r="M573" s="45">
        <f t="shared" si="68"/>
        <v>3.5289994357735832E-2</v>
      </c>
    </row>
    <row r="574" spans="1:13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>
        <f t="shared" si="71"/>
        <v>195</v>
      </c>
      <c r="G574" s="70">
        <f t="shared" si="72"/>
        <v>1.5832780505414016E-3</v>
      </c>
      <c r="H574" s="316">
        <f t="shared" si="73"/>
        <v>3.5926637228250109</v>
      </c>
      <c r="I574" s="37">
        <f t="shared" si="70"/>
        <v>1.3210224508827566</v>
      </c>
      <c r="J574" s="316">
        <v>1.6610709381973121</v>
      </c>
      <c r="K574" s="37">
        <f t="shared" si="75"/>
        <v>0.30679178785340738</v>
      </c>
      <c r="L574" s="37">
        <f t="shared" si="64"/>
        <v>0.3739791893933036</v>
      </c>
      <c r="M574" s="45">
        <f t="shared" si="68"/>
        <v>3.5289994357735832E-2</v>
      </c>
    </row>
    <row r="575" spans="1:13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>
        <f t="shared" si="71"/>
        <v>68.099999999999994</v>
      </c>
      <c r="G575" s="70">
        <f t="shared" si="72"/>
        <v>5.5292941149676642E-4</v>
      </c>
      <c r="H575" s="316">
        <f t="shared" si="73"/>
        <v>1.2546687155096576</v>
      </c>
      <c r="I575" s="37">
        <f t="shared" si="70"/>
        <v>0.46134168669290115</v>
      </c>
      <c r="J575" s="316">
        <v>0.58009708149352279</v>
      </c>
      <c r="K575" s="37">
        <f t="shared" si="75"/>
        <v>0.10714113206572844</v>
      </c>
      <c r="L575" s="37">
        <f t="shared" si="64"/>
        <v>0.13060503998812298</v>
      </c>
      <c r="M575" s="45">
        <f t="shared" si="68"/>
        <v>3.5289994357735832E-2</v>
      </c>
    </row>
    <row r="576" spans="1:13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>
        <f t="shared" si="71"/>
        <v>293.2</v>
      </c>
      <c r="G576" s="70">
        <f t="shared" si="72"/>
        <v>2.380600638044815E-3</v>
      </c>
      <c r="H576" s="316">
        <f t="shared" si="73"/>
        <v>5.4018923258066316</v>
      </c>
      <c r="I576" s="37">
        <f t="shared" si="70"/>
        <v>1.9862758081990985</v>
      </c>
      <c r="J576" s="316">
        <v>2.497569226048471</v>
      </c>
      <c r="K576" s="37">
        <f t="shared" si="75"/>
        <v>0.46128898563394383</v>
      </c>
      <c r="L576" s="37">
        <f t="shared" si="64"/>
        <v>0.56231127348777754</v>
      </c>
      <c r="M576" s="45">
        <f t="shared" si="68"/>
        <v>3.5289994357735832E-2</v>
      </c>
    </row>
    <row r="577" spans="1:13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>
        <f t="shared" si="71"/>
        <v>95.9</v>
      </c>
      <c r="G577" s="70">
        <f t="shared" si="72"/>
        <v>7.7864802588164324E-4</v>
      </c>
      <c r="H577" s="316">
        <f t="shared" si="73"/>
        <v>1.7668535949688131</v>
      </c>
      <c r="I577" s="37">
        <f t="shared" si="70"/>
        <v>0.64967206687003265</v>
      </c>
      <c r="J577" s="316">
        <v>0.81690616909293456</v>
      </c>
      <c r="K577" s="37">
        <f t="shared" si="75"/>
        <v>0.15087862797508603</v>
      </c>
      <c r="L577" s="37">
        <f t="shared" ref="L577:L640" si="76">K577*1.219</f>
        <v>0.18392104750162988</v>
      </c>
      <c r="M577" s="45">
        <f t="shared" si="68"/>
        <v>3.5289994357735832E-2</v>
      </c>
    </row>
    <row r="578" spans="1:13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 t="shared" si="71"/>
        <v>4501</v>
      </c>
      <c r="G578" s="70">
        <f t="shared" si="72"/>
        <v>3.6545305156342814E-2</v>
      </c>
      <c r="H578" s="316">
        <f t="shared" si="73"/>
        <v>82.926048289412179</v>
      </c>
      <c r="I578" s="37">
        <f t="shared" si="70"/>
        <v>30.49190795601686</v>
      </c>
      <c r="J578" s="316">
        <v>38.340924578595398</v>
      </c>
      <c r="K578" s="37">
        <f t="shared" si="75"/>
        <v>7.0813837801445478</v>
      </c>
      <c r="L578" s="37">
        <f t="shared" si="76"/>
        <v>8.632206827996205</v>
      </c>
      <c r="M578" s="45">
        <f t="shared" si="68"/>
        <v>3.5289994357735832E-2</v>
      </c>
    </row>
    <row r="579" spans="1:13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>
        <f t="shared" si="71"/>
        <v>195.86</v>
      </c>
      <c r="G579" s="70">
        <f t="shared" si="72"/>
        <v>1.5902607127130204E-3</v>
      </c>
      <c r="H579" s="316">
        <f t="shared" si="73"/>
        <v>3.608508291038496</v>
      </c>
      <c r="I579" s="37">
        <f t="shared" si="70"/>
        <v>1.326848498614855</v>
      </c>
      <c r="J579" s="316">
        <v>1.6683966869503875</v>
      </c>
      <c r="K579" s="37">
        <f t="shared" si="75"/>
        <v>0.30814481830240198</v>
      </c>
      <c r="L579" s="37">
        <f t="shared" si="76"/>
        <v>0.37562853351062803</v>
      </c>
      <c r="M579" s="45">
        <f t="shared" si="68"/>
        <v>3.5289994357735832E-2</v>
      </c>
    </row>
    <row r="580" spans="1:13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>
        <f t="shared" si="71"/>
        <v>148</v>
      </c>
      <c r="G580" s="70">
        <f t="shared" si="72"/>
        <v>1.2016674434878331E-3</v>
      </c>
      <c r="H580" s="316">
        <f t="shared" si="73"/>
        <v>2.7267396460415467</v>
      </c>
      <c r="I580" s="37">
        <f t="shared" si="70"/>
        <v>1.0026221678494769</v>
      </c>
      <c r="J580" s="316">
        <v>1.260710250529242</v>
      </c>
      <c r="K580" s="37">
        <f t="shared" si="75"/>
        <v>0.23284710052463742</v>
      </c>
      <c r="L580" s="37">
        <f t="shared" si="76"/>
        <v>0.28384061553953305</v>
      </c>
      <c r="M580" s="45">
        <f t="shared" si="68"/>
        <v>3.5289994357735832E-2</v>
      </c>
    </row>
    <row r="581" spans="1:13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>
        <f t="shared" si="71"/>
        <v>74.95</v>
      </c>
      <c r="G581" s="70">
        <f t="shared" si="72"/>
        <v>6.0854712763116949E-4</v>
      </c>
      <c r="H581" s="316">
        <f t="shared" si="73"/>
        <v>1.3808725437217158</v>
      </c>
      <c r="I581" s="37">
        <f t="shared" si="70"/>
        <v>0.50774683432647494</v>
      </c>
      <c r="J581" s="316">
        <v>0.63844752214301825</v>
      </c>
      <c r="K581" s="37">
        <f t="shared" si="75"/>
        <v>0.11791817692109172</v>
      </c>
      <c r="L581" s="37">
        <f t="shared" si="76"/>
        <v>0.14374225766681081</v>
      </c>
      <c r="M581" s="45">
        <f t="shared" si="68"/>
        <v>3.5289994357735832E-2</v>
      </c>
    </row>
    <row r="582" spans="1:13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>
        <f t="shared" ref="F582:F638" si="77">C582+D582+E582</f>
        <v>87.3</v>
      </c>
      <c r="G582" s="70">
        <f t="shared" si="72"/>
        <v>7.0882140416545826E-4</v>
      </c>
      <c r="H582" s="316">
        <f t="shared" si="73"/>
        <v>1.6084079128339663</v>
      </c>
      <c r="I582" s="37">
        <f t="shared" si="70"/>
        <v>0.59141158954904949</v>
      </c>
      <c r="J582" s="316">
        <v>0.74364868156218134</v>
      </c>
      <c r="K582" s="37">
        <f t="shared" si="75"/>
        <v>0.13734832348514087</v>
      </c>
      <c r="L582" s="37">
        <f t="shared" si="76"/>
        <v>0.16742760632838674</v>
      </c>
      <c r="M582" s="45">
        <f t="shared" si="68"/>
        <v>3.5289994357735832E-2</v>
      </c>
    </row>
    <row r="583" spans="1:13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>
        <f t="shared" si="77"/>
        <v>92.6</v>
      </c>
      <c r="G583" s="70">
        <f t="shared" si="72"/>
        <v>7.5185408964171174E-4</v>
      </c>
      <c r="H583" s="316">
        <f t="shared" si="73"/>
        <v>1.7060546704286974</v>
      </c>
      <c r="I583" s="37">
        <f t="shared" si="70"/>
        <v>0.62731630231663205</v>
      </c>
      <c r="J583" s="316">
        <v>0.78879573783113388</v>
      </c>
      <c r="K583" s="37">
        <f t="shared" si="75"/>
        <v>0.14568676694987448</v>
      </c>
      <c r="L583" s="37">
        <f t="shared" si="76"/>
        <v>0.177592168911897</v>
      </c>
      <c r="M583" s="45">
        <f t="shared" ref="M583:M646" si="78">(K583+J583+I583+H583)/C583</f>
        <v>3.5289994357735832E-2</v>
      </c>
    </row>
    <row r="584" spans="1:13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>
        <f t="shared" si="77"/>
        <v>110.7</v>
      </c>
      <c r="G584" s="70">
        <f t="shared" si="72"/>
        <v>8.9881477023042648E-4</v>
      </c>
      <c r="H584" s="316">
        <f t="shared" si="73"/>
        <v>2.0395275595729676</v>
      </c>
      <c r="I584" s="37">
        <f t="shared" si="70"/>
        <v>0.74993428365498027</v>
      </c>
      <c r="J584" s="37">
        <v>0.94297719414585868</v>
      </c>
      <c r="K584" s="37">
        <f t="shared" si="75"/>
        <v>0.17416333802754974</v>
      </c>
      <c r="L584" s="37">
        <f t="shared" si="76"/>
        <v>0.21230510905558314</v>
      </c>
      <c r="M584" s="45">
        <f t="shared" si="78"/>
        <v>3.5289994357735832E-2</v>
      </c>
    </row>
    <row r="585" spans="1:13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>
        <f t="shared" si="77"/>
        <v>78.7</v>
      </c>
      <c r="G585" s="70">
        <f t="shared" si="72"/>
        <v>6.3899478244927338E-4</v>
      </c>
      <c r="H585" s="316">
        <f t="shared" si="73"/>
        <v>1.4499622306991198</v>
      </c>
      <c r="I585" s="37">
        <f t="shared" si="70"/>
        <v>0.53315111222806644</v>
      </c>
      <c r="J585" s="37">
        <v>0.67039119403142811</v>
      </c>
      <c r="K585" s="37">
        <f t="shared" si="75"/>
        <v>0.12381801899519571</v>
      </c>
      <c r="L585" s="37">
        <f t="shared" si="76"/>
        <v>0.15093416515514357</v>
      </c>
      <c r="M585" s="45">
        <f t="shared" si="78"/>
        <v>3.5289994357735832E-2</v>
      </c>
    </row>
    <row r="586" spans="1:13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>
        <f t="shared" si="77"/>
        <v>114</v>
      </c>
      <c r="G586" s="70">
        <f t="shared" si="72"/>
        <v>9.2560870647035787E-4</v>
      </c>
      <c r="H586" s="316">
        <f t="shared" si="73"/>
        <v>2.1003264841130833</v>
      </c>
      <c r="I586" s="37">
        <f t="shared" si="70"/>
        <v>0.77229004820838076</v>
      </c>
      <c r="J586" s="37">
        <v>0.97108762540765925</v>
      </c>
      <c r="K586" s="37">
        <f t="shared" si="75"/>
        <v>0.17935519905276126</v>
      </c>
      <c r="L586" s="37">
        <f t="shared" si="76"/>
        <v>0.218633987645316</v>
      </c>
      <c r="M586" s="45">
        <f t="shared" si="78"/>
        <v>3.5289994357735832E-2</v>
      </c>
    </row>
    <row r="587" spans="1:13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>
        <f t="shared" si="77"/>
        <v>25.1</v>
      </c>
      <c r="G587" s="70">
        <f t="shared" si="72"/>
        <v>2.0379630291584197E-4</v>
      </c>
      <c r="H587" s="316">
        <f t="shared" si="73"/>
        <v>0.46244030483542453</v>
      </c>
      <c r="I587" s="37">
        <f t="shared" si="70"/>
        <v>0.17003930008798562</v>
      </c>
      <c r="J587" s="37">
        <v>0.21380964383975659</v>
      </c>
      <c r="K587" s="37">
        <f t="shared" si="75"/>
        <v>3.9489609616002702E-2</v>
      </c>
      <c r="L587" s="37">
        <f t="shared" si="76"/>
        <v>4.8137834121907294E-2</v>
      </c>
      <c r="M587" s="45">
        <f t="shared" si="78"/>
        <v>3.5289994357735832E-2</v>
      </c>
    </row>
    <row r="588" spans="1:13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>
        <f t="shared" si="77"/>
        <v>66.599999999999994</v>
      </c>
      <c r="G588" s="70">
        <f t="shared" si="72"/>
        <v>5.407503495695248E-4</v>
      </c>
      <c r="H588" s="316">
        <f t="shared" si="73"/>
        <v>1.2270328407186959</v>
      </c>
      <c r="I588" s="37">
        <f t="shared" si="70"/>
        <v>0.45117997553226452</v>
      </c>
      <c r="J588" s="37">
        <v>0.5673196127381589</v>
      </c>
      <c r="K588" s="37">
        <f t="shared" si="75"/>
        <v>0.10478119523608682</v>
      </c>
      <c r="L588" s="37">
        <f t="shared" si="76"/>
        <v>0.12772827699278985</v>
      </c>
      <c r="M588" s="45">
        <f t="shared" si="78"/>
        <v>3.5289994357735832E-2</v>
      </c>
    </row>
    <row r="589" spans="1:13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>
        <f t="shared" si="77"/>
        <v>156.4</v>
      </c>
      <c r="G589" s="70">
        <f t="shared" si="72"/>
        <v>1.2698701902803858E-3</v>
      </c>
      <c r="H589" s="316">
        <f t="shared" si="73"/>
        <v>2.8815005448709319</v>
      </c>
      <c r="I589" s="37">
        <f t="shared" si="70"/>
        <v>1.0595277503490417</v>
      </c>
      <c r="J589" s="37">
        <v>1.3322640755592801</v>
      </c>
      <c r="K589" s="37">
        <f t="shared" si="75"/>
        <v>0.24606274677063036</v>
      </c>
      <c r="L589" s="37">
        <f t="shared" si="76"/>
        <v>0.29995048831339843</v>
      </c>
      <c r="M589" s="45">
        <f t="shared" si="78"/>
        <v>3.5289994357735825E-2</v>
      </c>
    </row>
    <row r="590" spans="1:13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>
        <f t="shared" si="77"/>
        <v>72.7</v>
      </c>
      <c r="G590" s="70">
        <f t="shared" si="72"/>
        <v>5.9027853474030723E-4</v>
      </c>
      <c r="H590" s="316">
        <f t="shared" si="73"/>
        <v>1.3394187315352735</v>
      </c>
      <c r="I590" s="37">
        <f t="shared" si="70"/>
        <v>0.49250426758552007</v>
      </c>
      <c r="J590" s="37">
        <v>0.6192813190099723</v>
      </c>
      <c r="K590" s="37">
        <f t="shared" si="75"/>
        <v>0.11437827167662934</v>
      </c>
      <c r="L590" s="37">
        <f t="shared" si="76"/>
        <v>0.13942711317381118</v>
      </c>
      <c r="M590" s="45">
        <f t="shared" si="78"/>
        <v>3.5289994357735832E-2</v>
      </c>
    </row>
    <row r="591" spans="1:13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>
        <f t="shared" si="77"/>
        <v>59.6</v>
      </c>
      <c r="G591" s="70">
        <f t="shared" si="72"/>
        <v>4.8391472724239765E-4</v>
      </c>
      <c r="H591" s="316">
        <f t="shared" si="73"/>
        <v>1.0980654250275419</v>
      </c>
      <c r="I591" s="37">
        <f t="shared" si="70"/>
        <v>0.40375865678262718</v>
      </c>
      <c r="J591" s="37">
        <v>0.50769142521312716</v>
      </c>
      <c r="K591" s="37">
        <f t="shared" si="75"/>
        <v>9.3768156697759397E-2</v>
      </c>
      <c r="L591" s="37">
        <f t="shared" si="76"/>
        <v>0.11430338301456872</v>
      </c>
      <c r="M591" s="45">
        <f t="shared" si="78"/>
        <v>3.5289994357735832E-2</v>
      </c>
    </row>
    <row r="592" spans="1:13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>
        <f t="shared" si="77"/>
        <v>176</v>
      </c>
      <c r="G592" s="70">
        <f t="shared" si="72"/>
        <v>1.4290099327963421E-3</v>
      </c>
      <c r="H592" s="316">
        <f t="shared" si="73"/>
        <v>3.242609308806164</v>
      </c>
      <c r="I592" s="37">
        <f t="shared" si="70"/>
        <v>1.1923074428480267</v>
      </c>
      <c r="J592" s="37">
        <v>1.499223000629369</v>
      </c>
      <c r="K592" s="37">
        <f t="shared" si="75"/>
        <v>0.27689925467794724</v>
      </c>
      <c r="L592" s="37">
        <f t="shared" si="76"/>
        <v>0.3375401914524177</v>
      </c>
      <c r="M592" s="45">
        <f t="shared" si="78"/>
        <v>3.5289994357735832E-2</v>
      </c>
    </row>
    <row r="593" spans="1:13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>
        <f t="shared" si="77"/>
        <v>149</v>
      </c>
      <c r="G593" s="70">
        <f t="shared" si="72"/>
        <v>1.2097868181059942E-3</v>
      </c>
      <c r="H593" s="316">
        <f t="shared" si="73"/>
        <v>2.7451635625688549</v>
      </c>
      <c r="I593" s="37">
        <f t="shared" si="70"/>
        <v>1.0093966419565681</v>
      </c>
      <c r="J593" s="37">
        <v>1.2692285630328179</v>
      </c>
      <c r="K593" s="37">
        <f t="shared" si="75"/>
        <v>0.23442039174439852</v>
      </c>
      <c r="L593" s="37">
        <f t="shared" si="76"/>
        <v>0.28575845753642182</v>
      </c>
      <c r="M593" s="45">
        <f t="shared" si="78"/>
        <v>3.5289994357735832E-2</v>
      </c>
    </row>
    <row r="594" spans="1:13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>
        <f t="shared" si="77"/>
        <v>224.8</v>
      </c>
      <c r="G594" s="70">
        <f t="shared" si="72"/>
        <v>1.8252354141626006E-3</v>
      </c>
      <c r="H594" s="316">
        <f t="shared" si="73"/>
        <v>4.1416964353387824</v>
      </c>
      <c r="I594" s="37">
        <f t="shared" si="70"/>
        <v>1.5229017792740704</v>
      </c>
      <c r="J594" s="37">
        <v>1.914916650803876</v>
      </c>
      <c r="K594" s="37">
        <f t="shared" si="75"/>
        <v>0.35367586620228714</v>
      </c>
      <c r="L594" s="37">
        <f t="shared" si="76"/>
        <v>0.43113088090058804</v>
      </c>
      <c r="M594" s="45">
        <f t="shared" si="78"/>
        <v>3.5289994357735832E-2</v>
      </c>
    </row>
    <row r="595" spans="1:13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>
        <f t="shared" si="77"/>
        <v>243.4</v>
      </c>
      <c r="G595" s="70">
        <f t="shared" si="72"/>
        <v>1.9762557820603957E-3</v>
      </c>
      <c r="H595" s="316">
        <f t="shared" si="73"/>
        <v>4.484381282746706</v>
      </c>
      <c r="I595" s="37">
        <f t="shared" ref="I595:I654" si="79">H595*0.3677</f>
        <v>1.6489069976659638</v>
      </c>
      <c r="J595" s="37">
        <v>2.0733572633703883</v>
      </c>
      <c r="K595" s="37">
        <f t="shared" si="75"/>
        <v>0.38293908288984291</v>
      </c>
      <c r="L595" s="37">
        <f t="shared" si="76"/>
        <v>0.46680274204271854</v>
      </c>
      <c r="M595" s="45">
        <f t="shared" si="78"/>
        <v>3.5289994357735832E-2</v>
      </c>
    </row>
    <row r="596" spans="1:13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>
        <f t="shared" si="77"/>
        <v>169.9</v>
      </c>
      <c r="G596" s="70">
        <f t="shared" si="72"/>
        <v>1.3794817476255597E-3</v>
      </c>
      <c r="H596" s="316">
        <f t="shared" si="73"/>
        <v>3.1302234179895865</v>
      </c>
      <c r="I596" s="37">
        <f t="shared" si="79"/>
        <v>1.150983150794771</v>
      </c>
      <c r="J596" s="37">
        <v>1.4472612943575556</v>
      </c>
      <c r="K596" s="37">
        <f t="shared" si="75"/>
        <v>0.26730217823740471</v>
      </c>
      <c r="L596" s="37">
        <f t="shared" si="76"/>
        <v>0.32584135527139635</v>
      </c>
      <c r="M596" s="45">
        <f t="shared" si="78"/>
        <v>3.5289994357735832E-2</v>
      </c>
    </row>
    <row r="597" spans="1:13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>
        <f t="shared" si="77"/>
        <v>377.1</v>
      </c>
      <c r="G597" s="70">
        <f t="shared" si="72"/>
        <v>3.0618161685085263E-3</v>
      </c>
      <c r="H597" s="316">
        <f t="shared" si="73"/>
        <v>6.9476589224477525</v>
      </c>
      <c r="I597" s="37">
        <f t="shared" si="79"/>
        <v>2.5546541857840386</v>
      </c>
      <c r="J597" s="37">
        <v>3.2122556450984945</v>
      </c>
      <c r="K597" s="37">
        <f t="shared" si="75"/>
        <v>0.59328811897189715</v>
      </c>
      <c r="L597" s="37">
        <f t="shared" si="76"/>
        <v>0.72321821702674272</v>
      </c>
      <c r="M597" s="45">
        <f t="shared" si="78"/>
        <v>3.5289994357735825E-2</v>
      </c>
    </row>
    <row r="598" spans="1:13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>
        <f t="shared" si="77"/>
        <v>87.1</v>
      </c>
      <c r="G598" s="70">
        <f t="shared" si="72"/>
        <v>7.0719752924182605E-4</v>
      </c>
      <c r="H598" s="316">
        <f t="shared" si="73"/>
        <v>1.6047231295285047</v>
      </c>
      <c r="I598" s="37">
        <f t="shared" si="79"/>
        <v>0.59005669472763123</v>
      </c>
      <c r="J598" s="37">
        <v>0.74194501906146615</v>
      </c>
      <c r="K598" s="37">
        <f t="shared" si="75"/>
        <v>0.13703366524118865</v>
      </c>
      <c r="L598" s="37">
        <f t="shared" si="76"/>
        <v>0.16704403792900899</v>
      </c>
      <c r="M598" s="45">
        <f t="shared" si="78"/>
        <v>3.5289994357735832E-2</v>
      </c>
    </row>
    <row r="599" spans="1:13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>
        <f t="shared" si="77"/>
        <v>348.2</v>
      </c>
      <c r="G599" s="70">
        <f t="shared" si="72"/>
        <v>2.8271662420436719E-3</v>
      </c>
      <c r="H599" s="316">
        <f t="shared" si="73"/>
        <v>6.4152077348085577</v>
      </c>
      <c r="I599" s="37">
        <f t="shared" si="79"/>
        <v>2.358871884089107</v>
      </c>
      <c r="J599" s="37">
        <v>2.966076413745149</v>
      </c>
      <c r="K599" s="37">
        <f t="shared" si="75"/>
        <v>0.54782000272080233</v>
      </c>
      <c r="L599" s="37">
        <f t="shared" si="76"/>
        <v>0.66779258331665814</v>
      </c>
      <c r="M599" s="45">
        <f t="shared" si="78"/>
        <v>3.5289994357735832E-2</v>
      </c>
    </row>
    <row r="600" spans="1:13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>
        <f t="shared" si="77"/>
        <v>227.7</v>
      </c>
      <c r="G600" s="70">
        <f t="shared" si="72"/>
        <v>1.8487816005552675E-3</v>
      </c>
      <c r="H600" s="316">
        <f t="shared" si="73"/>
        <v>4.195125793267974</v>
      </c>
      <c r="I600" s="37">
        <f t="shared" si="79"/>
        <v>1.5425477541846342</v>
      </c>
      <c r="J600" s="37">
        <v>1.9396197570642459</v>
      </c>
      <c r="K600" s="37">
        <f t="shared" si="75"/>
        <v>0.35823841073959423</v>
      </c>
      <c r="L600" s="37">
        <f t="shared" si="76"/>
        <v>0.43669262269156539</v>
      </c>
      <c r="M600" s="45">
        <f t="shared" si="78"/>
        <v>3.5289994357735832E-2</v>
      </c>
    </row>
    <row r="601" spans="1:13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>
        <f t="shared" si="77"/>
        <v>409.2</v>
      </c>
      <c r="G601" s="70">
        <f t="shared" ref="G601:G664" si="80">2/246324.39*F601</f>
        <v>3.3224480937514953E-3</v>
      </c>
      <c r="H601" s="316">
        <f t="shared" ref="H601:H664" si="81">G601*2269.13</f>
        <v>7.5390666429743307</v>
      </c>
      <c r="I601" s="37">
        <f t="shared" si="79"/>
        <v>2.7721148046216615</v>
      </c>
      <c r="J601" s="316">
        <v>3.4856934764632825</v>
      </c>
      <c r="K601" s="37">
        <f t="shared" ref="K601:K664" si="82">G601*193.77</f>
        <v>0.64379076712622729</v>
      </c>
      <c r="L601" s="37">
        <f t="shared" si="76"/>
        <v>0.78478094512687113</v>
      </c>
      <c r="M601" s="45">
        <f t="shared" si="78"/>
        <v>3.5289994357735832E-2</v>
      </c>
    </row>
    <row r="602" spans="1:13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>
        <f t="shared" si="77"/>
        <v>177.6</v>
      </c>
      <c r="G602" s="70">
        <f t="shared" si="80"/>
        <v>1.4420009321853995E-3</v>
      </c>
      <c r="H602" s="316">
        <f t="shared" si="81"/>
        <v>3.2720875752498557</v>
      </c>
      <c r="I602" s="37">
        <f t="shared" si="79"/>
        <v>1.2031466014193721</v>
      </c>
      <c r="J602" s="316">
        <v>1.5128523006350905</v>
      </c>
      <c r="K602" s="37">
        <f t="shared" si="82"/>
        <v>0.2794165206295649</v>
      </c>
      <c r="L602" s="37">
        <f t="shared" si="76"/>
        <v>0.34060873864743962</v>
      </c>
      <c r="M602" s="45">
        <f t="shared" si="78"/>
        <v>3.5289994357735832E-2</v>
      </c>
    </row>
    <row r="603" spans="1:13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>
        <f t="shared" si="77"/>
        <v>383.9</v>
      </c>
      <c r="G603" s="70">
        <f t="shared" si="80"/>
        <v>3.1170279159120208E-3</v>
      </c>
      <c r="H603" s="316">
        <f t="shared" si="81"/>
        <v>7.0729415548334442</v>
      </c>
      <c r="I603" s="37">
        <f t="shared" si="79"/>
        <v>2.6007206097122575</v>
      </c>
      <c r="J603" s="316">
        <v>3.2701801701228104</v>
      </c>
      <c r="K603" s="37">
        <f t="shared" si="82"/>
        <v>0.60398649926627235</v>
      </c>
      <c r="L603" s="37">
        <f t="shared" si="76"/>
        <v>0.73625954260558601</v>
      </c>
      <c r="M603" s="45">
        <f t="shared" si="78"/>
        <v>3.5289994357735825E-2</v>
      </c>
    </row>
    <row r="604" spans="1:13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>
        <f t="shared" si="77"/>
        <v>123.2</v>
      </c>
      <c r="G604" s="70">
        <f t="shared" si="80"/>
        <v>1.0003069529574394E-3</v>
      </c>
      <c r="H604" s="316">
        <f t="shared" si="81"/>
        <v>2.2698265161643145</v>
      </c>
      <c r="I604" s="37">
        <f t="shared" si="79"/>
        <v>0.83461520999361849</v>
      </c>
      <c r="J604" s="316">
        <v>1.049456100440558</v>
      </c>
      <c r="K604" s="37">
        <f t="shared" si="82"/>
        <v>0.19382947827456304</v>
      </c>
      <c r="L604" s="37">
        <f t="shared" si="76"/>
        <v>0.23627813401669237</v>
      </c>
      <c r="M604" s="45">
        <f t="shared" si="78"/>
        <v>3.5289994357735825E-2</v>
      </c>
    </row>
    <row r="605" spans="1:13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>
        <f t="shared" si="77"/>
        <v>423.7</v>
      </c>
      <c r="G605" s="70">
        <f t="shared" si="80"/>
        <v>3.4401790257148302E-3</v>
      </c>
      <c r="H605" s="316">
        <f t="shared" si="81"/>
        <v>7.806213432620293</v>
      </c>
      <c r="I605" s="37">
        <f t="shared" si="79"/>
        <v>2.8703446791744818</v>
      </c>
      <c r="J605" s="316">
        <v>3.6092090077651342</v>
      </c>
      <c r="K605" s="37">
        <f t="shared" si="82"/>
        <v>0.66660348981276274</v>
      </c>
      <c r="L605" s="37">
        <f t="shared" si="76"/>
        <v>0.81258965408175787</v>
      </c>
      <c r="M605" s="45">
        <f t="shared" si="78"/>
        <v>3.5289994357735832E-2</v>
      </c>
    </row>
    <row r="606" spans="1:13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>
        <f t="shared" si="77"/>
        <v>138.80000000000001</v>
      </c>
      <c r="G606" s="70">
        <f t="shared" si="80"/>
        <v>1.1269691970007517E-3</v>
      </c>
      <c r="H606" s="316">
        <f t="shared" si="81"/>
        <v>2.557239613990316</v>
      </c>
      <c r="I606" s="37">
        <f t="shared" si="79"/>
        <v>0.94029700606423927</v>
      </c>
      <c r="J606" s="316">
        <v>1.1823417754963432</v>
      </c>
      <c r="K606" s="37">
        <f t="shared" si="82"/>
        <v>0.21837282130283567</v>
      </c>
      <c r="L606" s="37">
        <f t="shared" si="76"/>
        <v>0.2661964691681567</v>
      </c>
      <c r="M606" s="45">
        <f t="shared" si="78"/>
        <v>3.5289994357735832E-2</v>
      </c>
    </row>
    <row r="607" spans="1:13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>
        <f t="shared" si="77"/>
        <v>341.6</v>
      </c>
      <c r="G607" s="70">
        <f t="shared" si="80"/>
        <v>2.7735783695638093E-3</v>
      </c>
      <c r="H607" s="316">
        <f t="shared" si="81"/>
        <v>6.2936098857283271</v>
      </c>
      <c r="I607" s="37">
        <f t="shared" si="79"/>
        <v>2.314160354982306</v>
      </c>
      <c r="J607" s="316">
        <v>2.9098555512215483</v>
      </c>
      <c r="K607" s="37">
        <f t="shared" si="82"/>
        <v>0.53743628067037941</v>
      </c>
      <c r="L607" s="37">
        <f t="shared" si="76"/>
        <v>0.65513482613719254</v>
      </c>
      <c r="M607" s="45">
        <f t="shared" si="78"/>
        <v>0.17754141491314521</v>
      </c>
    </row>
    <row r="608" spans="1:13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>
        <f t="shared" si="77"/>
        <v>353.3</v>
      </c>
      <c r="G608" s="70">
        <f t="shared" si="80"/>
        <v>2.8685750525962936E-3</v>
      </c>
      <c r="H608" s="316">
        <f t="shared" si="81"/>
        <v>6.5091697090978275</v>
      </c>
      <c r="I608" s="37">
        <f t="shared" si="79"/>
        <v>2.3934217020352713</v>
      </c>
      <c r="J608" s="316">
        <v>3.0095198075133864</v>
      </c>
      <c r="K608" s="37">
        <f t="shared" si="82"/>
        <v>0.55584378794158384</v>
      </c>
      <c r="L608" s="37">
        <f t="shared" si="76"/>
        <v>0.67757357750079072</v>
      </c>
      <c r="M608" s="45">
        <f t="shared" si="78"/>
        <v>3.5289994357735825E-2</v>
      </c>
    </row>
    <row r="609" spans="1:13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>
        <f t="shared" si="77"/>
        <v>354.5</v>
      </c>
      <c r="G609" s="70">
        <f t="shared" si="80"/>
        <v>2.8783183021380866E-3</v>
      </c>
      <c r="H609" s="316">
        <f t="shared" si="81"/>
        <v>6.5312784089305964</v>
      </c>
      <c r="I609" s="37">
        <f t="shared" si="79"/>
        <v>2.4015510709637806</v>
      </c>
      <c r="J609" s="316">
        <v>3.0197417825176776</v>
      </c>
      <c r="K609" s="37">
        <f t="shared" si="82"/>
        <v>0.55773173740529702</v>
      </c>
      <c r="L609" s="37">
        <f t="shared" si="76"/>
        <v>0.67987498789705714</v>
      </c>
      <c r="M609" s="45">
        <f t="shared" si="78"/>
        <v>3.5289994357735832E-2</v>
      </c>
    </row>
    <row r="610" spans="1:13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>
        <f t="shared" si="77"/>
        <v>404.4</v>
      </c>
      <c r="G610" s="70">
        <f t="shared" si="80"/>
        <v>3.2834750955843223E-3</v>
      </c>
      <c r="H610" s="316">
        <f t="shared" si="81"/>
        <v>7.4506318436432535</v>
      </c>
      <c r="I610" s="37">
        <f t="shared" si="79"/>
        <v>2.7395973289076245</v>
      </c>
      <c r="J610" s="316">
        <v>3.4448055764461176</v>
      </c>
      <c r="K610" s="37">
        <f t="shared" si="82"/>
        <v>0.63623896927137413</v>
      </c>
      <c r="L610" s="37">
        <f t="shared" si="76"/>
        <v>0.77557530354180515</v>
      </c>
      <c r="M610" s="45">
        <f t="shared" si="78"/>
        <v>3.5289994357735832E-2</v>
      </c>
    </row>
    <row r="611" spans="1:13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>
        <f t="shared" si="77"/>
        <v>348.3</v>
      </c>
      <c r="G611" s="70">
        <f t="shared" si="80"/>
        <v>2.8279781795054883E-3</v>
      </c>
      <c r="H611" s="316">
        <f t="shared" si="81"/>
        <v>6.4170501264612891</v>
      </c>
      <c r="I611" s="37">
        <f t="shared" si="79"/>
        <v>2.3595493314998164</v>
      </c>
      <c r="J611" s="316">
        <v>2.9669282449955068</v>
      </c>
      <c r="K611" s="37">
        <f t="shared" si="82"/>
        <v>0.54797733184277853</v>
      </c>
      <c r="L611" s="37">
        <f t="shared" si="76"/>
        <v>0.66798436751634704</v>
      </c>
      <c r="M611" s="45">
        <f t="shared" si="78"/>
        <v>3.5289994357735832E-2</v>
      </c>
    </row>
    <row r="612" spans="1:13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>
        <f t="shared" si="77"/>
        <v>73.400000000000006</v>
      </c>
      <c r="G612" s="70">
        <f t="shared" si="80"/>
        <v>5.9596209697302001E-4</v>
      </c>
      <c r="H612" s="316">
        <f t="shared" si="81"/>
        <v>1.3523154731043889</v>
      </c>
      <c r="I612" s="37">
        <f t="shared" si="79"/>
        <v>0.49724639946048382</v>
      </c>
      <c r="J612" s="316">
        <v>0.62524413776247545</v>
      </c>
      <c r="K612" s="37">
        <f t="shared" si="82"/>
        <v>0.11547957553046209</v>
      </c>
      <c r="L612" s="37">
        <f t="shared" si="76"/>
        <v>0.14076960257163329</v>
      </c>
      <c r="M612" s="45">
        <f t="shared" si="78"/>
        <v>3.5289994357735825E-2</v>
      </c>
    </row>
    <row r="613" spans="1:13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>
        <f t="shared" si="77"/>
        <v>117.2</v>
      </c>
      <c r="G613" s="70">
        <f t="shared" si="80"/>
        <v>9.5159070524847322E-4</v>
      </c>
      <c r="H613" s="316">
        <f t="shared" si="81"/>
        <v>2.159283017000468</v>
      </c>
      <c r="I613" s="37">
        <f t="shared" si="79"/>
        <v>0.79396836535107218</v>
      </c>
      <c r="J613" s="316">
        <v>0.99834622541910256</v>
      </c>
      <c r="K613" s="37">
        <f t="shared" si="82"/>
        <v>0.18438973095599667</v>
      </c>
      <c r="L613" s="37">
        <f t="shared" si="76"/>
        <v>0.22477108203535995</v>
      </c>
      <c r="M613" s="45">
        <f t="shared" si="78"/>
        <v>3.5289994357735832E-2</v>
      </c>
    </row>
    <row r="614" spans="1:13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>
        <f t="shared" si="77"/>
        <v>65.900000000000006</v>
      </c>
      <c r="G614" s="70">
        <f t="shared" si="80"/>
        <v>5.3506678733681223E-4</v>
      </c>
      <c r="H614" s="316">
        <f t="shared" si="81"/>
        <v>1.2141360991495809</v>
      </c>
      <c r="I614" s="37">
        <f t="shared" si="79"/>
        <v>0.44643784365730094</v>
      </c>
      <c r="J614" s="316">
        <v>0.56135679398565574</v>
      </c>
      <c r="K614" s="37">
        <f t="shared" si="82"/>
        <v>0.10367989138225411</v>
      </c>
      <c r="L614" s="37">
        <f t="shared" si="76"/>
        <v>0.12638578759496777</v>
      </c>
      <c r="M614" s="45">
        <f t="shared" si="78"/>
        <v>3.5289994357735832E-2</v>
      </c>
    </row>
    <row r="615" spans="1:13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>
        <f t="shared" si="77"/>
        <v>212.3</v>
      </c>
      <c r="G615" s="70">
        <f t="shared" si="80"/>
        <v>1.7237432314355877E-3</v>
      </c>
      <c r="H615" s="316">
        <f t="shared" si="81"/>
        <v>3.9113974787474355</v>
      </c>
      <c r="I615" s="37">
        <f t="shared" si="79"/>
        <v>1.4382208529354321</v>
      </c>
      <c r="J615" s="316">
        <v>1.8084377445091764</v>
      </c>
      <c r="K615" s="37">
        <f t="shared" si="82"/>
        <v>0.33400972595527384</v>
      </c>
      <c r="L615" s="37">
        <f t="shared" si="76"/>
        <v>0.40715785593947884</v>
      </c>
      <c r="M615" s="45">
        <f t="shared" si="78"/>
        <v>3.5289994357735832E-2</v>
      </c>
    </row>
    <row r="616" spans="1:13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>
        <f t="shared" si="77"/>
        <v>200.1</v>
      </c>
      <c r="G616" s="70">
        <f t="shared" si="80"/>
        <v>1.6246868610940229E-3</v>
      </c>
      <c r="H616" s="316">
        <f t="shared" si="81"/>
        <v>3.6866256971142803</v>
      </c>
      <c r="I616" s="37">
        <f t="shared" si="79"/>
        <v>1.3555722688289209</v>
      </c>
      <c r="J616" s="316">
        <v>1.7045143319655496</v>
      </c>
      <c r="K616" s="37">
        <f t="shared" si="82"/>
        <v>0.31481557307418884</v>
      </c>
      <c r="L616" s="37">
        <f t="shared" si="76"/>
        <v>0.38376018357743624</v>
      </c>
      <c r="M616" s="45">
        <f t="shared" si="78"/>
        <v>3.5289994357735825E-2</v>
      </c>
    </row>
    <row r="617" spans="1:13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>
        <f t="shared" si="77"/>
        <v>79.099999999999994</v>
      </c>
      <c r="G617" s="70">
        <f t="shared" si="80"/>
        <v>6.422425322965378E-4</v>
      </c>
      <c r="H617" s="316">
        <f t="shared" si="81"/>
        <v>1.4573317973100428</v>
      </c>
      <c r="I617" s="37">
        <f t="shared" si="79"/>
        <v>0.53586090187090274</v>
      </c>
      <c r="J617" s="316">
        <v>0.67379851903285837</v>
      </c>
      <c r="K617" s="37">
        <f t="shared" si="82"/>
        <v>0.12444733548310014</v>
      </c>
      <c r="L617" s="37">
        <f t="shared" si="76"/>
        <v>0.15170130195389908</v>
      </c>
      <c r="M617" s="45">
        <f t="shared" si="78"/>
        <v>3.5289994357735832E-2</v>
      </c>
    </row>
    <row r="618" spans="1:13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 t="shared" si="77"/>
        <v>3257.2000000000003</v>
      </c>
      <c r="G618" s="70">
        <f t="shared" si="80"/>
        <v>2.6446427006274122E-2</v>
      </c>
      <c r="H618" s="316">
        <f t="shared" si="81"/>
        <v>60.010380912746804</v>
      </c>
      <c r="I618" s="37">
        <f t="shared" si="79"/>
        <v>22.065817061617</v>
      </c>
      <c r="J618" s="316">
        <v>27.745847486647616</v>
      </c>
      <c r="K618" s="37">
        <f t="shared" si="82"/>
        <v>5.1245241610057368</v>
      </c>
      <c r="L618" s="37">
        <f t="shared" si="76"/>
        <v>6.2467949522659936</v>
      </c>
      <c r="M618" s="45">
        <f t="shared" si="78"/>
        <v>3.8849050162909682E-2</v>
      </c>
    </row>
    <row r="619" spans="1:13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 t="shared" si="77"/>
        <v>4789.17</v>
      </c>
      <c r="G619" s="70">
        <f t="shared" si="80"/>
        <v>3.8885065340058284E-2</v>
      </c>
      <c r="H619" s="316">
        <f t="shared" si="81"/>
        <v>88.235268315086458</v>
      </c>
      <c r="I619" s="37">
        <f t="shared" si="79"/>
        <v>32.444108159457294</v>
      </c>
      <c r="J619" s="316">
        <v>40.795646692750879</v>
      </c>
      <c r="K619" s="37">
        <f t="shared" si="82"/>
        <v>7.534759110943094</v>
      </c>
      <c r="L619" s="37">
        <f t="shared" si="76"/>
        <v>9.1848713562396327</v>
      </c>
      <c r="M619" s="45">
        <f t="shared" si="78"/>
        <v>3.5289994357735832E-2</v>
      </c>
    </row>
    <row r="620" spans="1:13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 t="shared" si="77"/>
        <v>6316.36</v>
      </c>
      <c r="G620" s="70">
        <f t="shared" si="80"/>
        <v>5.1284893063167629E-2</v>
      </c>
      <c r="H620" s="316">
        <f t="shared" si="81"/>
        <v>116.37208939642557</v>
      </c>
      <c r="I620" s="37">
        <f t="shared" si="79"/>
        <v>42.790017271065686</v>
      </c>
      <c r="J620" s="316">
        <v>53.804728365087044</v>
      </c>
      <c r="K620" s="37">
        <f t="shared" si="82"/>
        <v>9.9374737288499926</v>
      </c>
      <c r="L620" s="37">
        <f t="shared" si="76"/>
        <v>12.113780475468142</v>
      </c>
      <c r="M620" s="45">
        <f t="shared" si="78"/>
        <v>3.538478162526007E-2</v>
      </c>
    </row>
    <row r="621" spans="1:13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 t="shared" si="77"/>
        <v>4812.1099999999997</v>
      </c>
      <c r="G621" s="70">
        <f t="shared" si="80"/>
        <v>3.9071323793798893E-2</v>
      </c>
      <c r="H621" s="316">
        <f t="shared" si="81"/>
        <v>88.657912960222887</v>
      </c>
      <c r="I621" s="37">
        <f t="shared" si="79"/>
        <v>32.599514595473956</v>
      </c>
      <c r="J621" s="316">
        <v>40.991056781582905</v>
      </c>
      <c r="K621" s="37">
        <f t="shared" si="82"/>
        <v>7.570850411524412</v>
      </c>
      <c r="L621" s="37">
        <f t="shared" si="76"/>
        <v>9.2288666516482589</v>
      </c>
      <c r="M621" s="45">
        <f t="shared" si="78"/>
        <v>3.5289994357735832E-2</v>
      </c>
    </row>
    <row r="622" spans="1:13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 t="shared" si="77"/>
        <v>11145.01</v>
      </c>
      <c r="G622" s="70">
        <f t="shared" si="80"/>
        <v>9.0490511313150904E-2</v>
      </c>
      <c r="H622" s="316">
        <f t="shared" si="81"/>
        <v>205.33473393601011</v>
      </c>
      <c r="I622" s="37">
        <f t="shared" si="79"/>
        <v>75.50158166827093</v>
      </c>
      <c r="J622" s="316">
        <v>94.936678035479119</v>
      </c>
      <c r="K622" s="37">
        <f t="shared" si="82"/>
        <v>17.534346377149252</v>
      </c>
      <c r="L622" s="37">
        <f t="shared" si="76"/>
        <v>21.374368233744939</v>
      </c>
      <c r="M622" s="45">
        <f t="shared" si="78"/>
        <v>3.5289994357735825E-2</v>
      </c>
    </row>
    <row r="623" spans="1:13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>
        <f t="shared" si="77"/>
        <v>74.5</v>
      </c>
      <c r="G623" s="70">
        <f t="shared" si="80"/>
        <v>6.0489340905299711E-4</v>
      </c>
      <c r="H623" s="316">
        <f t="shared" si="81"/>
        <v>1.3725817812844274</v>
      </c>
      <c r="I623" s="37">
        <f t="shared" si="79"/>
        <v>0.50469832097828404</v>
      </c>
      <c r="J623" s="316">
        <v>0.63461428151640897</v>
      </c>
      <c r="K623" s="37">
        <f t="shared" si="82"/>
        <v>0.11721019587219926</v>
      </c>
      <c r="L623" s="37">
        <f t="shared" si="76"/>
        <v>0.14287922876821091</v>
      </c>
      <c r="M623" s="45">
        <f t="shared" si="78"/>
        <v>3.5289994357735832E-2</v>
      </c>
    </row>
    <row r="624" spans="1:13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>
        <f t="shared" si="77"/>
        <v>227.9</v>
      </c>
      <c r="G624" s="70">
        <f t="shared" si="80"/>
        <v>1.8504054754788998E-3</v>
      </c>
      <c r="H624" s="316">
        <f t="shared" si="81"/>
        <v>4.198810576573436</v>
      </c>
      <c r="I624" s="37">
        <f t="shared" si="79"/>
        <v>1.5439026490060526</v>
      </c>
      <c r="J624" s="316">
        <v>1.9413234195649611</v>
      </c>
      <c r="K624" s="37">
        <f t="shared" si="82"/>
        <v>0.35855306898354644</v>
      </c>
      <c r="L624" s="37">
        <f t="shared" si="76"/>
        <v>0.43707619109094314</v>
      </c>
      <c r="M624" s="45">
        <f t="shared" si="78"/>
        <v>3.5289994357735825E-2</v>
      </c>
    </row>
    <row r="625" spans="1:13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>
        <f t="shared" si="77"/>
        <v>374.6</v>
      </c>
      <c r="G625" s="70">
        <f t="shared" si="80"/>
        <v>3.0415177319631235E-3</v>
      </c>
      <c r="H625" s="316">
        <f t="shared" si="81"/>
        <v>6.9015991311294824</v>
      </c>
      <c r="I625" s="37">
        <f t="shared" si="79"/>
        <v>2.5377180005163109</v>
      </c>
      <c r="J625" s="316">
        <v>3.1909598638395544</v>
      </c>
      <c r="K625" s="37">
        <f t="shared" si="82"/>
        <v>0.58935489092249449</v>
      </c>
      <c r="L625" s="37">
        <f t="shared" si="76"/>
        <v>0.71842361203452088</v>
      </c>
      <c r="M625" s="45">
        <f t="shared" si="78"/>
        <v>3.5289994357735832E-2</v>
      </c>
    </row>
    <row r="626" spans="1:13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>
        <f t="shared" si="77"/>
        <v>738.4</v>
      </c>
      <c r="G626" s="70">
        <f t="shared" si="80"/>
        <v>5.9953462180501078E-3</v>
      </c>
      <c r="H626" s="316">
        <f t="shared" si="81"/>
        <v>13.604219963764042</v>
      </c>
      <c r="I626" s="37">
        <f t="shared" si="79"/>
        <v>5.0022716806760386</v>
      </c>
      <c r="J626" s="316">
        <v>6.2899219526404888</v>
      </c>
      <c r="K626" s="37">
        <f t="shared" si="82"/>
        <v>1.1617182366715695</v>
      </c>
      <c r="L626" s="37">
        <f t="shared" si="76"/>
        <v>1.4161345305026434</v>
      </c>
      <c r="M626" s="45">
        <f t="shared" si="78"/>
        <v>3.6810470170577959E-2</v>
      </c>
    </row>
    <row r="627" spans="1:13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>
        <f t="shared" si="77"/>
        <v>442.3</v>
      </c>
      <c r="G627" s="70">
        <f t="shared" si="80"/>
        <v>3.5911993936126253E-3</v>
      </c>
      <c r="H627" s="316">
        <f t="shared" si="81"/>
        <v>8.1488982800282166</v>
      </c>
      <c r="I627" s="37">
        <f t="shared" si="79"/>
        <v>2.9963498975663754</v>
      </c>
      <c r="J627" s="316">
        <v>3.7676496203316474</v>
      </c>
      <c r="K627" s="37">
        <f t="shared" si="82"/>
        <v>0.69586670650031845</v>
      </c>
      <c r="L627" s="37">
        <f t="shared" si="76"/>
        <v>0.84826151522388826</v>
      </c>
      <c r="M627" s="45">
        <f t="shared" si="78"/>
        <v>4.7085262456792031E-2</v>
      </c>
    </row>
    <row r="628" spans="1:13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>
        <f t="shared" si="77"/>
        <v>1043.4000000000001</v>
      </c>
      <c r="G628" s="70">
        <f t="shared" si="80"/>
        <v>8.4717554765892239E-3</v>
      </c>
      <c r="H628" s="316">
        <f t="shared" si="81"/>
        <v>19.223514504592906</v>
      </c>
      <c r="I628" s="37">
        <f t="shared" si="79"/>
        <v>7.068486283338812</v>
      </c>
      <c r="J628" s="316">
        <v>8.888007266231158</v>
      </c>
      <c r="K628" s="37">
        <f t="shared" si="82"/>
        <v>1.6415720586986939</v>
      </c>
      <c r="L628" s="37">
        <f t="shared" si="76"/>
        <v>2.0010763395537081</v>
      </c>
      <c r="M628" s="45">
        <f t="shared" si="78"/>
        <v>3.9213610343835532E-2</v>
      </c>
    </row>
    <row r="629" spans="1:13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>
        <f t="shared" si="77"/>
        <v>473.6</v>
      </c>
      <c r="G629" s="70">
        <f t="shared" si="80"/>
        <v>3.8453358191610659E-3</v>
      </c>
      <c r="H629" s="316">
        <f t="shared" si="81"/>
        <v>8.7255668673329492</v>
      </c>
      <c r="I629" s="37">
        <f t="shared" si="79"/>
        <v>3.2083909371183257</v>
      </c>
      <c r="J629" s="316">
        <v>4.0342728016935743</v>
      </c>
      <c r="K629" s="37">
        <f t="shared" si="82"/>
        <v>0.74511072167883974</v>
      </c>
      <c r="L629" s="37">
        <f t="shared" si="76"/>
        <v>0.90828996972650566</v>
      </c>
      <c r="M629" s="45">
        <f t="shared" si="78"/>
        <v>3.8483401629803564E-2</v>
      </c>
    </row>
    <row r="630" spans="1:13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>
        <f t="shared" si="77"/>
        <v>345.2</v>
      </c>
      <c r="G630" s="70">
        <f t="shared" si="80"/>
        <v>2.8028081181891889E-3</v>
      </c>
      <c r="H630" s="316">
        <f t="shared" si="81"/>
        <v>6.3599359852266346</v>
      </c>
      <c r="I630" s="37">
        <f t="shared" si="79"/>
        <v>2.3385484617678336</v>
      </c>
      <c r="J630" s="316">
        <v>2.9405214762344216</v>
      </c>
      <c r="K630" s="37">
        <f t="shared" si="82"/>
        <v>0.54310012906151917</v>
      </c>
      <c r="L630" s="37">
        <f t="shared" si="76"/>
        <v>0.66203905732599189</v>
      </c>
      <c r="M630" s="45">
        <f t="shared" si="78"/>
        <v>3.5289994357735832E-2</v>
      </c>
    </row>
    <row r="631" spans="1:13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>
        <f t="shared" si="77"/>
        <v>864.9</v>
      </c>
      <c r="G631" s="70">
        <f t="shared" si="80"/>
        <v>7.0224471072474785E-3</v>
      </c>
      <c r="H631" s="316">
        <f t="shared" si="81"/>
        <v>15.934845404468472</v>
      </c>
      <c r="I631" s="37">
        <f t="shared" si="79"/>
        <v>5.8592426552230581</v>
      </c>
      <c r="J631" s="316">
        <v>7.3674884843428474</v>
      </c>
      <c r="K631" s="37">
        <f t="shared" si="82"/>
        <v>1.3607395759713439</v>
      </c>
      <c r="L631" s="37">
        <f t="shared" si="76"/>
        <v>1.6587415431090684</v>
      </c>
      <c r="M631" s="45">
        <f t="shared" si="78"/>
        <v>3.5289994357735832E-2</v>
      </c>
    </row>
    <row r="632" spans="1:13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>
        <f t="shared" si="77"/>
        <v>1116.9000000000001</v>
      </c>
      <c r="G632" s="70">
        <f t="shared" si="80"/>
        <v>9.0685295110240604E-3</v>
      </c>
      <c r="H632" s="316">
        <f t="shared" si="81"/>
        <v>20.577672369350026</v>
      </c>
      <c r="I632" s="37">
        <f t="shared" si="79"/>
        <v>7.5664101302100049</v>
      </c>
      <c r="J632" s="316">
        <v>9.51410323524399</v>
      </c>
      <c r="K632" s="37">
        <f t="shared" si="82"/>
        <v>1.7572089633511323</v>
      </c>
      <c r="L632" s="37">
        <f t="shared" si="76"/>
        <v>2.1420377263250305</v>
      </c>
      <c r="M632" s="45">
        <f t="shared" si="78"/>
        <v>3.5289994357735832E-2</v>
      </c>
    </row>
    <row r="633" spans="1:13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>
        <f t="shared" si="77"/>
        <v>506.2</v>
      </c>
      <c r="G633" s="70">
        <f t="shared" si="80"/>
        <v>4.1100274317131154E-3</v>
      </c>
      <c r="H633" s="316">
        <f t="shared" si="81"/>
        <v>9.3261865461231821</v>
      </c>
      <c r="I633" s="37">
        <f t="shared" si="79"/>
        <v>3.4292387930094943</v>
      </c>
      <c r="J633" s="316">
        <v>4.3119697893101501</v>
      </c>
      <c r="K633" s="37">
        <f t="shared" si="82"/>
        <v>0.79640001544305039</v>
      </c>
      <c r="L633" s="37">
        <f t="shared" si="76"/>
        <v>0.97081161882507849</v>
      </c>
      <c r="M633" s="45">
        <f t="shared" si="78"/>
        <v>3.776700876085809E-2</v>
      </c>
    </row>
    <row r="634" spans="1:13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>
        <f t="shared" si="77"/>
        <v>369.5</v>
      </c>
      <c r="G634" s="70">
        <f t="shared" si="80"/>
        <v>3.0001089214105022E-3</v>
      </c>
      <c r="H634" s="316">
        <f t="shared" si="81"/>
        <v>6.8076371568402134</v>
      </c>
      <c r="I634" s="37">
        <f t="shared" si="79"/>
        <v>2.5031681825701466</v>
      </c>
      <c r="J634" s="316">
        <v>3.147516470071317</v>
      </c>
      <c r="K634" s="37">
        <f t="shared" si="82"/>
        <v>0.58133110570171309</v>
      </c>
      <c r="L634" s="37">
        <f t="shared" si="76"/>
        <v>0.70864261785038829</v>
      </c>
      <c r="M634" s="45">
        <f t="shared" si="78"/>
        <v>3.5289994357735832E-2</v>
      </c>
    </row>
    <row r="635" spans="1:13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>
        <f t="shared" si="77"/>
        <v>510.1</v>
      </c>
      <c r="G635" s="70">
        <f t="shared" si="80"/>
        <v>4.1416929927239436E-3</v>
      </c>
      <c r="H635" s="316">
        <f t="shared" si="81"/>
        <v>9.3980398205796831</v>
      </c>
      <c r="I635" s="37">
        <f t="shared" si="79"/>
        <v>3.4556592420271497</v>
      </c>
      <c r="J635" s="316">
        <v>4.3451912080740964</v>
      </c>
      <c r="K635" s="37">
        <f t="shared" si="82"/>
        <v>0.80253585120011861</v>
      </c>
      <c r="L635" s="37">
        <f t="shared" si="76"/>
        <v>0.97829120261294467</v>
      </c>
      <c r="M635" s="45">
        <f t="shared" si="78"/>
        <v>3.5289994357735825E-2</v>
      </c>
    </row>
    <row r="636" spans="1:13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>
        <f t="shared" si="77"/>
        <v>312</v>
      </c>
      <c r="G636" s="70">
        <f t="shared" si="80"/>
        <v>2.5332448808662428E-3</v>
      </c>
      <c r="H636" s="316">
        <f t="shared" si="81"/>
        <v>5.7482619565200181</v>
      </c>
      <c r="I636" s="37">
        <f t="shared" si="79"/>
        <v>2.1136359214124107</v>
      </c>
      <c r="J636" s="316">
        <v>2.6577135011156994</v>
      </c>
      <c r="K636" s="37">
        <f t="shared" si="82"/>
        <v>0.49086686056545192</v>
      </c>
      <c r="L636" s="37">
        <f t="shared" si="76"/>
        <v>0.59836670302928596</v>
      </c>
      <c r="M636" s="45">
        <f t="shared" si="78"/>
        <v>3.5289994357735832E-2</v>
      </c>
    </row>
    <row r="637" spans="1:13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>
        <f t="shared" si="77"/>
        <v>488.2</v>
      </c>
      <c r="G637" s="70">
        <f t="shared" si="80"/>
        <v>3.9638786885862172E-3</v>
      </c>
      <c r="H637" s="316">
        <f t="shared" si="81"/>
        <v>8.9945560486316438</v>
      </c>
      <c r="I637" s="37">
        <f t="shared" si="79"/>
        <v>3.3072982590818558</v>
      </c>
      <c r="J637" s="316">
        <v>4.1586401642457833</v>
      </c>
      <c r="K637" s="37">
        <f t="shared" si="82"/>
        <v>0.76808077348735138</v>
      </c>
      <c r="L637" s="37">
        <f t="shared" si="76"/>
        <v>0.93629046288108142</v>
      </c>
      <c r="M637" s="45">
        <f t="shared" si="78"/>
        <v>3.5289994357735839E-2</v>
      </c>
    </row>
    <row r="638" spans="1:13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>
        <f t="shared" si="77"/>
        <v>223.7</v>
      </c>
      <c r="G638" s="70">
        <f t="shared" si="80"/>
        <v>1.8163041020826233E-3</v>
      </c>
      <c r="H638" s="316">
        <f t="shared" si="81"/>
        <v>4.1214301271587432</v>
      </c>
      <c r="I638" s="37">
        <f t="shared" si="79"/>
        <v>1.5154498577562701</v>
      </c>
      <c r="J638" s="316">
        <v>1.9055465070499422</v>
      </c>
      <c r="K638" s="37">
        <f t="shared" si="82"/>
        <v>0.35194524586054993</v>
      </c>
      <c r="L638" s="37">
        <f t="shared" si="76"/>
        <v>0.42902125470401037</v>
      </c>
      <c r="M638" s="45">
        <f t="shared" si="78"/>
        <v>3.5289994357735832E-2</v>
      </c>
    </row>
    <row r="639" spans="1:13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>
        <f t="shared" ref="F639:F697" si="83">C639+D639+E639</f>
        <v>388.5</v>
      </c>
      <c r="G639" s="70">
        <f t="shared" si="80"/>
        <v>3.1543770391555619E-3</v>
      </c>
      <c r="H639" s="316">
        <f t="shared" si="81"/>
        <v>7.1576915708590603</v>
      </c>
      <c r="I639" s="37">
        <f t="shared" si="79"/>
        <v>2.6318831906048765</v>
      </c>
      <c r="J639" s="316">
        <v>3.3093644076392601</v>
      </c>
      <c r="K639" s="37">
        <f t="shared" si="82"/>
        <v>0.61122363887717324</v>
      </c>
      <c r="L639" s="37">
        <f t="shared" si="76"/>
        <v>0.74508161579127419</v>
      </c>
      <c r="M639" s="45">
        <f t="shared" si="78"/>
        <v>3.5289994357735832E-2</v>
      </c>
    </row>
    <row r="640" spans="1:13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>
        <f t="shared" si="83"/>
        <v>528.32000000000005</v>
      </c>
      <c r="G640" s="70">
        <f t="shared" si="80"/>
        <v>4.289627998266838E-3</v>
      </c>
      <c r="H640" s="316">
        <f t="shared" si="81"/>
        <v>9.733723579707231</v>
      </c>
      <c r="I640" s="37">
        <f t="shared" si="79"/>
        <v>3.5790901602583491</v>
      </c>
      <c r="J640" s="316">
        <v>4.5003948618892515</v>
      </c>
      <c r="K640" s="37">
        <f t="shared" si="82"/>
        <v>0.83120121722416529</v>
      </c>
      <c r="L640" s="37">
        <f t="shared" si="76"/>
        <v>1.0132342837962576</v>
      </c>
      <c r="M640" s="45">
        <f t="shared" si="78"/>
        <v>3.5289994357735825E-2</v>
      </c>
    </row>
    <row r="641" spans="1:13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>
        <f t="shared" si="83"/>
        <v>262.17</v>
      </c>
      <c r="G641" s="70">
        <f t="shared" si="80"/>
        <v>2.1286564436432784E-3</v>
      </c>
      <c r="H641" s="316">
        <f t="shared" si="81"/>
        <v>4.8301981959642726</v>
      </c>
      <c r="I641" s="37">
        <f t="shared" si="79"/>
        <v>1.7760638766560632</v>
      </c>
      <c r="J641" s="316">
        <v>2.2332459890625094</v>
      </c>
      <c r="K641" s="37">
        <f t="shared" si="82"/>
        <v>0.41246975908475808</v>
      </c>
      <c r="L641" s="37">
        <f t="shared" ref="L641:L704" si="84">K641*1.219</f>
        <v>0.50280063632432015</v>
      </c>
      <c r="M641" s="45">
        <f t="shared" si="78"/>
        <v>3.5289994357735832E-2</v>
      </c>
    </row>
    <row r="642" spans="1:13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>
        <f t="shared" si="83"/>
        <v>513.29999999999995</v>
      </c>
      <c r="G642" s="70">
        <f t="shared" si="80"/>
        <v>4.1676749915020581E-3</v>
      </c>
      <c r="H642" s="316">
        <f t="shared" si="81"/>
        <v>9.4569963534670656</v>
      </c>
      <c r="I642" s="37">
        <f t="shared" si="79"/>
        <v>3.4773375591698401</v>
      </c>
      <c r="J642" s="316">
        <v>4.3724498080855394</v>
      </c>
      <c r="K642" s="37">
        <f t="shared" si="82"/>
        <v>0.80757038310335383</v>
      </c>
      <c r="L642" s="37">
        <f t="shared" si="84"/>
        <v>0.9844282970029884</v>
      </c>
      <c r="M642" s="45">
        <f t="shared" si="78"/>
        <v>3.5289994357735825E-2</v>
      </c>
    </row>
    <row r="643" spans="1:13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>
        <f t="shared" si="83"/>
        <v>577.70000000000005</v>
      </c>
      <c r="G643" s="70">
        <f t="shared" si="80"/>
        <v>4.6905627169116296E-3</v>
      </c>
      <c r="H643" s="316">
        <f t="shared" si="81"/>
        <v>10.643496577825687</v>
      </c>
      <c r="I643" s="37">
        <f t="shared" si="79"/>
        <v>3.9136136916665052</v>
      </c>
      <c r="J643" s="316">
        <v>4.921029133315832</v>
      </c>
      <c r="K643" s="37">
        <f t="shared" si="82"/>
        <v>0.9088903376559665</v>
      </c>
      <c r="L643" s="37">
        <f t="shared" si="84"/>
        <v>1.1079373216026231</v>
      </c>
      <c r="M643" s="45">
        <f t="shared" si="78"/>
        <v>3.5289994357735832E-2</v>
      </c>
    </row>
    <row r="644" spans="1:13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>
        <f t="shared" si="83"/>
        <v>432.4</v>
      </c>
      <c r="G644" s="70">
        <f t="shared" si="80"/>
        <v>3.5108175848928311E-3</v>
      </c>
      <c r="H644" s="316">
        <f t="shared" si="81"/>
        <v>7.9665015064078704</v>
      </c>
      <c r="I644" s="37">
        <f t="shared" si="79"/>
        <v>2.9292826039061741</v>
      </c>
      <c r="J644" s="316">
        <v>3.6833183265462446</v>
      </c>
      <c r="K644" s="37">
        <f t="shared" si="82"/>
        <v>0.6802911234246839</v>
      </c>
      <c r="L644" s="37">
        <f t="shared" si="84"/>
        <v>0.8292748794546897</v>
      </c>
      <c r="M644" s="45">
        <f t="shared" si="78"/>
        <v>3.5289994357735832E-2</v>
      </c>
    </row>
    <row r="645" spans="1:13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>
        <f t="shared" si="83"/>
        <v>488.9</v>
      </c>
      <c r="G645" s="70">
        <f t="shared" si="80"/>
        <v>3.9695622508189293E-3</v>
      </c>
      <c r="H645" s="316">
        <f t="shared" si="81"/>
        <v>9.0074527902007571</v>
      </c>
      <c r="I645" s="37">
        <f t="shared" si="79"/>
        <v>3.3120403909568186</v>
      </c>
      <c r="J645" s="316">
        <v>4.1646029829982867</v>
      </c>
      <c r="K645" s="37">
        <f t="shared" si="82"/>
        <v>0.76918207734118393</v>
      </c>
      <c r="L645" s="37">
        <f t="shared" si="84"/>
        <v>0.93763295227890331</v>
      </c>
      <c r="M645" s="45">
        <f t="shared" si="78"/>
        <v>3.5289994357735832E-2</v>
      </c>
    </row>
    <row r="646" spans="1:13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>
        <f t="shared" si="83"/>
        <v>540.1</v>
      </c>
      <c r="G646" s="70">
        <f t="shared" si="80"/>
        <v>4.3852742312687747E-3</v>
      </c>
      <c r="H646" s="316">
        <f t="shared" si="81"/>
        <v>9.9507573163989154</v>
      </c>
      <c r="I646" s="37">
        <f t="shared" si="79"/>
        <v>3.6588934652398812</v>
      </c>
      <c r="J646" s="316">
        <v>4.6007405831813761</v>
      </c>
      <c r="K646" s="37">
        <f t="shared" si="82"/>
        <v>0.84973458779295052</v>
      </c>
      <c r="L646" s="37">
        <f t="shared" si="84"/>
        <v>1.0358264625196067</v>
      </c>
      <c r="M646" s="45">
        <f t="shared" si="78"/>
        <v>3.5289994357735832E-2</v>
      </c>
    </row>
    <row r="647" spans="1:13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>
        <f t="shared" si="83"/>
        <v>236.8</v>
      </c>
      <c r="G647" s="70">
        <f t="shared" si="80"/>
        <v>1.9226679095805329E-3</v>
      </c>
      <c r="H647" s="316">
        <f t="shared" si="81"/>
        <v>4.3627834336664746</v>
      </c>
      <c r="I647" s="37">
        <f t="shared" si="79"/>
        <v>1.6041954685591628</v>
      </c>
      <c r="J647" s="316">
        <v>2.0171364008467871</v>
      </c>
      <c r="K647" s="37">
        <f t="shared" si="82"/>
        <v>0.37255536083941987</v>
      </c>
      <c r="L647" s="37">
        <f t="shared" si="84"/>
        <v>0.45414498486325283</v>
      </c>
      <c r="M647" s="45">
        <f t="shared" ref="M647:M710" si="85">(K647+J647+I647+H647)/C647</f>
        <v>3.5289994357735825E-2</v>
      </c>
    </row>
    <row r="648" spans="1:13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>
        <f t="shared" si="83"/>
        <v>375.5</v>
      </c>
      <c r="G648" s="70">
        <f t="shared" si="80"/>
        <v>3.0488251691194682E-3</v>
      </c>
      <c r="H648" s="316">
        <f t="shared" si="81"/>
        <v>6.9181806560040595</v>
      </c>
      <c r="I648" s="37">
        <f t="shared" si="79"/>
        <v>2.5438150272126929</v>
      </c>
      <c r="J648" s="316">
        <v>3.198626345092773</v>
      </c>
      <c r="K648" s="37">
        <f t="shared" si="82"/>
        <v>0.59077085302027943</v>
      </c>
      <c r="L648" s="37">
        <f t="shared" si="84"/>
        <v>0.72014966983172068</v>
      </c>
      <c r="M648" s="45">
        <f t="shared" si="85"/>
        <v>3.5289994357735832E-2</v>
      </c>
    </row>
    <row r="649" spans="1:13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>
        <f t="shared" si="83"/>
        <v>618.54</v>
      </c>
      <c r="G649" s="70">
        <f t="shared" si="80"/>
        <v>5.0221579763173258E-3</v>
      </c>
      <c r="H649" s="316">
        <f t="shared" si="81"/>
        <v>11.395929328800934</v>
      </c>
      <c r="I649" s="37">
        <f t="shared" si="79"/>
        <v>4.1902832142001039</v>
      </c>
      <c r="J649" s="316">
        <v>5.2689170159618746</v>
      </c>
      <c r="K649" s="37">
        <f t="shared" si="82"/>
        <v>0.97314355107100825</v>
      </c>
      <c r="L649" s="37">
        <f t="shared" si="84"/>
        <v>1.1862619887555592</v>
      </c>
      <c r="M649" s="45">
        <f t="shared" si="85"/>
        <v>3.9498178036396062E-2</v>
      </c>
    </row>
    <row r="650" spans="1:13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>
        <f t="shared" si="83"/>
        <v>473.5</v>
      </c>
      <c r="G650" s="70">
        <f t="shared" si="80"/>
        <v>3.8445238816992499E-3</v>
      </c>
      <c r="H650" s="316">
        <f t="shared" si="81"/>
        <v>8.7237244756802195</v>
      </c>
      <c r="I650" s="37">
        <f t="shared" si="79"/>
        <v>3.2077134897076167</v>
      </c>
      <c r="J650" s="316">
        <v>4.0334209704432169</v>
      </c>
      <c r="K650" s="37">
        <f t="shared" si="82"/>
        <v>0.74495339255686366</v>
      </c>
      <c r="L650" s="37">
        <f t="shared" si="84"/>
        <v>0.90809818552681687</v>
      </c>
      <c r="M650" s="45">
        <f t="shared" si="85"/>
        <v>3.5289994357735839E-2</v>
      </c>
    </row>
    <row r="651" spans="1:13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>
        <f t="shared" si="83"/>
        <v>281.8</v>
      </c>
      <c r="G651" s="70">
        <f t="shared" si="80"/>
        <v>2.2880397673977794E-3</v>
      </c>
      <c r="H651" s="316">
        <f t="shared" si="81"/>
        <v>5.1918596773953238</v>
      </c>
      <c r="I651" s="37">
        <f t="shared" si="79"/>
        <v>1.9090468033782606</v>
      </c>
      <c r="J651" s="316">
        <v>2.4004604635077054</v>
      </c>
      <c r="K651" s="37">
        <f t="shared" si="82"/>
        <v>0.44335346572866774</v>
      </c>
      <c r="L651" s="37">
        <f t="shared" si="84"/>
        <v>0.54044787472324596</v>
      </c>
      <c r="M651" s="45">
        <f t="shared" si="85"/>
        <v>3.5289994357735825E-2</v>
      </c>
    </row>
    <row r="652" spans="1:13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>
        <f t="shared" si="83"/>
        <v>295.89999999999998</v>
      </c>
      <c r="G652" s="70">
        <f t="shared" si="80"/>
        <v>2.4025229495138497E-3</v>
      </c>
      <c r="H652" s="316">
        <f t="shared" si="81"/>
        <v>5.451636900430362</v>
      </c>
      <c r="I652" s="37">
        <f t="shared" si="79"/>
        <v>2.0045668882882444</v>
      </c>
      <c r="J652" s="316">
        <v>2.5205686698081262</v>
      </c>
      <c r="K652" s="37">
        <f t="shared" si="82"/>
        <v>0.4655368719272987</v>
      </c>
      <c r="L652" s="37">
        <f t="shared" si="84"/>
        <v>0.56748944687937719</v>
      </c>
      <c r="M652" s="45">
        <f t="shared" si="85"/>
        <v>3.5289994357735825E-2</v>
      </c>
    </row>
    <row r="653" spans="1:13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>
        <f t="shared" si="83"/>
        <v>346.1</v>
      </c>
      <c r="G653" s="70">
        <f t="shared" si="80"/>
        <v>2.8101155553455341E-3</v>
      </c>
      <c r="H653" s="316">
        <f t="shared" si="81"/>
        <v>6.3765175101012117</v>
      </c>
      <c r="I653" s="37">
        <f t="shared" si="79"/>
        <v>2.3446454884642156</v>
      </c>
      <c r="J653" s="316">
        <v>2.9481879574876397</v>
      </c>
      <c r="K653" s="37">
        <f t="shared" si="82"/>
        <v>0.54451609115930422</v>
      </c>
      <c r="L653" s="37">
        <f t="shared" si="84"/>
        <v>0.66376511512319192</v>
      </c>
      <c r="M653" s="45">
        <f t="shared" si="85"/>
        <v>3.5289994357735832E-2</v>
      </c>
    </row>
    <row r="654" spans="1:13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>
        <f t="shared" si="83"/>
        <v>665.4</v>
      </c>
      <c r="G654" s="70">
        <f t="shared" si="80"/>
        <v>5.4026318709243524E-3</v>
      </c>
      <c r="H654" s="316">
        <f t="shared" si="81"/>
        <v>12.259274057270575</v>
      </c>
      <c r="I654" s="37">
        <f t="shared" si="79"/>
        <v>4.5077350708583905</v>
      </c>
      <c r="J654" s="316">
        <v>5.6680851398794436</v>
      </c>
      <c r="K654" s="37">
        <f t="shared" si="82"/>
        <v>1.0468679776290117</v>
      </c>
      <c r="L654" s="37">
        <f t="shared" si="84"/>
        <v>1.2761320647297654</v>
      </c>
      <c r="M654" s="45">
        <f t="shared" si="85"/>
        <v>3.7131502602209709E-2</v>
      </c>
    </row>
    <row r="655" spans="1:13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>
        <f t="shared" si="83"/>
        <v>415.51</v>
      </c>
      <c r="G655" s="70">
        <f t="shared" si="80"/>
        <v>3.3736813475920913E-3</v>
      </c>
      <c r="H655" s="316">
        <f t="shared" si="81"/>
        <v>7.6553215562616428</v>
      </c>
      <c r="I655" s="37">
        <f t="shared" ref="I655:I716" si="86">H655*0.3677</f>
        <v>2.8148617362374062</v>
      </c>
      <c r="J655" s="316">
        <v>3.5394440283608466</v>
      </c>
      <c r="K655" s="37">
        <f t="shared" si="82"/>
        <v>0.65371823472291957</v>
      </c>
      <c r="L655" s="37">
        <f t="shared" si="84"/>
        <v>0.79688252812723903</v>
      </c>
      <c r="M655" s="45">
        <f t="shared" si="85"/>
        <v>3.5289994357735832E-2</v>
      </c>
    </row>
    <row r="656" spans="1:13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>
        <f t="shared" si="83"/>
        <v>1654.8</v>
      </c>
      <c r="G656" s="70">
        <f t="shared" si="80"/>
        <v>1.3435941118132878E-2</v>
      </c>
      <c r="H656" s="316">
        <f t="shared" si="81"/>
        <v>30.487897069388861</v>
      </c>
      <c r="I656" s="37">
        <f t="shared" si="86"/>
        <v>11.210399752414284</v>
      </c>
      <c r="J656" s="316">
        <v>14.096103530917498</v>
      </c>
      <c r="K656" s="37">
        <f t="shared" si="82"/>
        <v>2.603482310460608</v>
      </c>
      <c r="L656" s="37">
        <f t="shared" si="84"/>
        <v>3.1736449364514812</v>
      </c>
      <c r="M656" s="45">
        <f t="shared" si="85"/>
        <v>3.8771665557815194E-2</v>
      </c>
    </row>
    <row r="657" spans="1:13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 t="shared" si="83"/>
        <v>3220.9</v>
      </c>
      <c r="G657" s="70">
        <f t="shared" si="80"/>
        <v>2.6151693707634874E-2</v>
      </c>
      <c r="H657" s="316">
        <f t="shared" si="81"/>
        <v>59.341592742805524</v>
      </c>
      <c r="I657" s="37">
        <f t="shared" si="86"/>
        <v>21.819903651529593</v>
      </c>
      <c r="J657" s="316">
        <v>27.436632742767809</v>
      </c>
      <c r="K657" s="37">
        <f t="shared" si="82"/>
        <v>5.0674136897284097</v>
      </c>
      <c r="L657" s="37">
        <f t="shared" si="84"/>
        <v>6.1771772877789317</v>
      </c>
      <c r="M657" s="45">
        <f t="shared" si="85"/>
        <v>3.5289994357735832E-2</v>
      </c>
    </row>
    <row r="658" spans="1:13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 t="shared" si="83"/>
        <v>3593.47</v>
      </c>
      <c r="G658" s="70">
        <f t="shared" si="80"/>
        <v>2.9176729109123129E-2</v>
      </c>
      <c r="H658" s="316">
        <f t="shared" si="81"/>
        <v>66.205791323384574</v>
      </c>
      <c r="I658" s="37">
        <f t="shared" si="86"/>
        <v>24.34386946960851</v>
      </c>
      <c r="J658" s="316">
        <v>30.610300432225102</v>
      </c>
      <c r="K658" s="37">
        <f t="shared" si="82"/>
        <v>5.6535747994747894</v>
      </c>
      <c r="L658" s="37">
        <f t="shared" si="84"/>
        <v>6.8917076805597688</v>
      </c>
      <c r="M658" s="45">
        <f t="shared" si="85"/>
        <v>3.5289994357735832E-2</v>
      </c>
    </row>
    <row r="659" spans="1:13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 t="shared" si="83"/>
        <v>5258.9</v>
      </c>
      <c r="G659" s="70">
        <f t="shared" si="80"/>
        <v>4.2698979179447059E-2</v>
      </c>
      <c r="H659" s="316">
        <f t="shared" si="81"/>
        <v>96.889534625458708</v>
      </c>
      <c r="I659" s="37">
        <f t="shared" si="86"/>
        <v>35.626281881781168</v>
      </c>
      <c r="J659" s="316">
        <v>44.796953625055615</v>
      </c>
      <c r="K659" s="37">
        <f t="shared" si="82"/>
        <v>8.2737811956014564</v>
      </c>
      <c r="L659" s="37">
        <f t="shared" si="84"/>
        <v>10.085739277438176</v>
      </c>
      <c r="M659" s="45">
        <f t="shared" si="85"/>
        <v>3.5289994357735832E-2</v>
      </c>
    </row>
    <row r="660" spans="1:13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 t="shared" si="83"/>
        <v>3743.95</v>
      </c>
      <c r="G660" s="70">
        <f t="shared" si="80"/>
        <v>3.0398532601664002E-2</v>
      </c>
      <c r="H660" s="316">
        <f t="shared" si="81"/>
        <v>68.978222282413839</v>
      </c>
      <c r="I660" s="37">
        <f t="shared" si="86"/>
        <v>25.363292333243571</v>
      </c>
      <c r="J660" s="316">
        <v>31.892136097763213</v>
      </c>
      <c r="K660" s="37">
        <f t="shared" si="82"/>
        <v>5.8903236622244339</v>
      </c>
      <c r="L660" s="37">
        <f t="shared" si="84"/>
        <v>7.1803045442515856</v>
      </c>
      <c r="M660" s="45">
        <f t="shared" si="85"/>
        <v>3.5289994357735825E-2</v>
      </c>
    </row>
    <row r="661" spans="1:13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>
        <f t="shared" si="83"/>
        <v>3185.57</v>
      </c>
      <c r="G661" s="70">
        <f t="shared" si="80"/>
        <v>2.5864836202375247E-2</v>
      </c>
      <c r="H661" s="316">
        <f t="shared" si="81"/>
        <v>58.690675771895748</v>
      </c>
      <c r="I661" s="37">
        <f t="shared" si="86"/>
        <v>21.580561481326068</v>
      </c>
      <c r="J661" s="316">
        <v>27.135680762016474</v>
      </c>
      <c r="K661" s="37">
        <f t="shared" si="82"/>
        <v>5.0118293109342522</v>
      </c>
      <c r="L661" s="37">
        <f t="shared" si="84"/>
        <v>6.1094199300288539</v>
      </c>
      <c r="M661" s="45">
        <f t="shared" si="85"/>
        <v>3.5961685863135674E-2</v>
      </c>
    </row>
    <row r="662" spans="1:13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>
        <f t="shared" si="83"/>
        <v>272.89999999999998</v>
      </c>
      <c r="G662" s="70">
        <f t="shared" si="80"/>
        <v>2.2157773332961463E-3</v>
      </c>
      <c r="H662" s="316">
        <f t="shared" si="81"/>
        <v>5.0278868203022844</v>
      </c>
      <c r="I662" s="37">
        <f t="shared" si="86"/>
        <v>1.8487539838251501</v>
      </c>
      <c r="J662" s="316">
        <v>2.3246474822258794</v>
      </c>
      <c r="K662" s="37">
        <f t="shared" si="82"/>
        <v>0.42935117387279426</v>
      </c>
      <c r="L662" s="37">
        <f t="shared" si="84"/>
        <v>0.52337908095093622</v>
      </c>
      <c r="M662" s="45">
        <f t="shared" si="85"/>
        <v>3.5289994357735832E-2</v>
      </c>
    </row>
    <row r="663" spans="1:13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>
        <f t="shared" si="83"/>
        <v>604.1</v>
      </c>
      <c r="G663" s="70">
        <f t="shared" si="80"/>
        <v>4.9049142068310807E-3</v>
      </c>
      <c r="H663" s="316">
        <f t="shared" si="81"/>
        <v>11.129887974146611</v>
      </c>
      <c r="I663" s="37">
        <f t="shared" si="86"/>
        <v>4.0924598080937091</v>
      </c>
      <c r="J663" s="316">
        <v>5.1459125834102375</v>
      </c>
      <c r="K663" s="37">
        <f t="shared" si="82"/>
        <v>0.95042522585765854</v>
      </c>
      <c r="L663" s="37">
        <f t="shared" si="84"/>
        <v>1.1585683503204858</v>
      </c>
      <c r="M663" s="45">
        <f t="shared" si="85"/>
        <v>3.5289994357735825E-2</v>
      </c>
    </row>
    <row r="664" spans="1:13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>
        <f t="shared" si="83"/>
        <v>464.8</v>
      </c>
      <c r="G664" s="70">
        <f t="shared" si="80"/>
        <v>3.7738853225212487E-3</v>
      </c>
      <c r="H664" s="316">
        <f t="shared" si="81"/>
        <v>8.5634364018926412</v>
      </c>
      <c r="I664" s="37">
        <f t="shared" si="86"/>
        <v>3.1487755649759244</v>
      </c>
      <c r="J664" s="316">
        <v>3.9593116516621061</v>
      </c>
      <c r="K664" s="37">
        <f t="shared" si="82"/>
        <v>0.73126575894494239</v>
      </c>
      <c r="L664" s="37">
        <f t="shared" si="84"/>
        <v>0.89141296015388483</v>
      </c>
      <c r="M664" s="45">
        <f t="shared" si="85"/>
        <v>3.5289994357735832E-2</v>
      </c>
    </row>
    <row r="665" spans="1:13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>
        <f t="shared" si="83"/>
        <v>83.39</v>
      </c>
      <c r="G665" s="70">
        <f t="shared" ref="G665:G728" si="87">2/246324.39*F665</f>
        <v>6.7707464940844862E-4</v>
      </c>
      <c r="H665" s="316">
        <f t="shared" ref="H665:H728" si="88">G665*2269.13</f>
        <v>1.5363703992121931</v>
      </c>
      <c r="I665" s="37">
        <f t="shared" si="86"/>
        <v>0.56492339579032347</v>
      </c>
      <c r="J665" s="316">
        <v>0.71034207967319918</v>
      </c>
      <c r="K665" s="37">
        <f t="shared" ref="K665:K728" si="89">G665*193.77</f>
        <v>0.13119675481587509</v>
      </c>
      <c r="L665" s="37">
        <f t="shared" si="84"/>
        <v>0.15992884412055175</v>
      </c>
      <c r="M665" s="45">
        <f t="shared" si="85"/>
        <v>3.5289994357735825E-2</v>
      </c>
    </row>
    <row r="666" spans="1:13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>
        <f t="shared" si="83"/>
        <v>489.6</v>
      </c>
      <c r="G666" s="70">
        <f t="shared" si="87"/>
        <v>3.9752458130516422E-3</v>
      </c>
      <c r="H666" s="316">
        <f t="shared" si="88"/>
        <v>9.0203495317698739</v>
      </c>
      <c r="I666" s="37">
        <f t="shared" si="86"/>
        <v>3.3167825228317827</v>
      </c>
      <c r="J666" s="316">
        <v>4.1705658017507901</v>
      </c>
      <c r="K666" s="37">
        <f t="shared" si="89"/>
        <v>0.77028338119501671</v>
      </c>
      <c r="L666" s="37">
        <f t="shared" si="84"/>
        <v>0.93897544167672542</v>
      </c>
      <c r="M666" s="45">
        <f t="shared" si="85"/>
        <v>3.5289994357735832E-2</v>
      </c>
    </row>
    <row r="667" spans="1:13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>
        <f t="shared" si="83"/>
        <v>127.92</v>
      </c>
      <c r="G667" s="70">
        <f t="shared" si="87"/>
        <v>1.0386304011551595E-3</v>
      </c>
      <c r="H667" s="316">
        <f t="shared" si="88"/>
        <v>2.3567874021732069</v>
      </c>
      <c r="I667" s="37">
        <f t="shared" si="86"/>
        <v>0.8665907277790883</v>
      </c>
      <c r="J667" s="316">
        <v>1.0896625354574367</v>
      </c>
      <c r="K667" s="37">
        <f t="shared" si="89"/>
        <v>0.20125541283183526</v>
      </c>
      <c r="L667" s="37">
        <f t="shared" si="84"/>
        <v>0.2453303482420072</v>
      </c>
      <c r="M667" s="45">
        <f t="shared" si="85"/>
        <v>3.5289994357735832E-2</v>
      </c>
    </row>
    <row r="668" spans="1:13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>
        <f t="shared" si="83"/>
        <v>129.1</v>
      </c>
      <c r="G668" s="70">
        <f t="shared" si="87"/>
        <v>1.0482112632045895E-3</v>
      </c>
      <c r="H668" s="316">
        <f t="shared" si="88"/>
        <v>2.37852762367543</v>
      </c>
      <c r="I668" s="37">
        <f t="shared" si="86"/>
        <v>0.87458460722545572</v>
      </c>
      <c r="J668" s="316">
        <v>1.0997141442116563</v>
      </c>
      <c r="K668" s="37">
        <f t="shared" si="89"/>
        <v>0.20311189647115332</v>
      </c>
      <c r="L668" s="37">
        <f t="shared" si="84"/>
        <v>0.24759340179833592</v>
      </c>
      <c r="M668" s="45">
        <f t="shared" si="85"/>
        <v>3.5289994357735832E-2</v>
      </c>
    </row>
    <row r="669" spans="1:13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>
        <f t="shared" si="83"/>
        <v>136.4</v>
      </c>
      <c r="G669" s="70">
        <f t="shared" si="87"/>
        <v>1.1074826979171652E-3</v>
      </c>
      <c r="H669" s="316">
        <f t="shared" si="88"/>
        <v>2.5130222143247769</v>
      </c>
      <c r="I669" s="37">
        <f t="shared" si="86"/>
        <v>0.92403826820722057</v>
      </c>
      <c r="J669" s="316">
        <v>1.161897825487761</v>
      </c>
      <c r="K669" s="37">
        <f t="shared" si="89"/>
        <v>0.21459692237540912</v>
      </c>
      <c r="L669" s="37">
        <f t="shared" si="84"/>
        <v>0.26159364837562371</v>
      </c>
      <c r="M669" s="45">
        <f t="shared" si="85"/>
        <v>3.5289994357735832E-2</v>
      </c>
    </row>
    <row r="670" spans="1:13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>
        <f t="shared" si="83"/>
        <v>68.2</v>
      </c>
      <c r="G670" s="70">
        <f t="shared" si="87"/>
        <v>5.5374134895858258E-4</v>
      </c>
      <c r="H670" s="316">
        <f t="shared" si="88"/>
        <v>1.2565111071623885</v>
      </c>
      <c r="I670" s="37">
        <f t="shared" si="86"/>
        <v>0.46201913410361029</v>
      </c>
      <c r="J670" s="316">
        <v>0.5809489127438805</v>
      </c>
      <c r="K670" s="37">
        <f t="shared" si="89"/>
        <v>0.10729846118770456</v>
      </c>
      <c r="L670" s="37">
        <f t="shared" si="84"/>
        <v>0.13079682418781186</v>
      </c>
      <c r="M670" s="45">
        <f t="shared" si="85"/>
        <v>3.5289994357735832E-2</v>
      </c>
    </row>
    <row r="671" spans="1:13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>
        <f t="shared" si="83"/>
        <v>117.1</v>
      </c>
      <c r="G671" s="70">
        <f t="shared" si="87"/>
        <v>9.5077876778665706E-4</v>
      </c>
      <c r="H671" s="316">
        <f t="shared" si="88"/>
        <v>2.1574406253477374</v>
      </c>
      <c r="I671" s="37">
        <f t="shared" si="86"/>
        <v>0.79329091794036311</v>
      </c>
      <c r="J671" s="316">
        <v>0.99749439416874486</v>
      </c>
      <c r="K671" s="37">
        <f t="shared" si="89"/>
        <v>0.18423240183402054</v>
      </c>
      <c r="L671" s="37">
        <f t="shared" si="84"/>
        <v>0.22457929783567104</v>
      </c>
      <c r="M671" s="45">
        <f t="shared" si="85"/>
        <v>3.5289994357735832E-2</v>
      </c>
    </row>
    <row r="672" spans="1:13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>
        <f t="shared" si="83"/>
        <v>291.16000000000003</v>
      </c>
      <c r="G672" s="70">
        <f t="shared" si="87"/>
        <v>2.3640371138237671E-3</v>
      </c>
      <c r="H672" s="316">
        <f t="shared" si="88"/>
        <v>5.3643075360909247</v>
      </c>
      <c r="I672" s="37">
        <f t="shared" si="86"/>
        <v>1.9724558810206332</v>
      </c>
      <c r="J672" s="316">
        <v>2.4801918685411768</v>
      </c>
      <c r="K672" s="37">
        <f t="shared" si="89"/>
        <v>0.45807947154563139</v>
      </c>
      <c r="L672" s="37">
        <f t="shared" si="84"/>
        <v>0.55839887581412473</v>
      </c>
      <c r="M672" s="45">
        <f t="shared" si="85"/>
        <v>3.5289994357735832E-2</v>
      </c>
    </row>
    <row r="673" spans="1:13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>
        <f t="shared" si="83"/>
        <v>455.20000000000005</v>
      </c>
      <c r="G673" s="70">
        <f t="shared" si="87"/>
        <v>3.6959393261869031E-3</v>
      </c>
      <c r="H673" s="316">
        <f t="shared" si="88"/>
        <v>8.3865668032304885</v>
      </c>
      <c r="I673" s="37">
        <f t="shared" si="86"/>
        <v>3.0837406135478509</v>
      </c>
      <c r="J673" s="316">
        <v>3.8775358516277771</v>
      </c>
      <c r="K673" s="37">
        <f t="shared" si="89"/>
        <v>0.71616216323523629</v>
      </c>
      <c r="L673" s="37">
        <f t="shared" si="84"/>
        <v>0.87300167698375308</v>
      </c>
      <c r="M673" s="45">
        <f t="shared" si="85"/>
        <v>4.0658074997826761E-2</v>
      </c>
    </row>
    <row r="674" spans="1:13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>
        <f t="shared" si="83"/>
        <v>120</v>
      </c>
      <c r="G674" s="70">
        <f t="shared" si="87"/>
        <v>9.7432495417932414E-4</v>
      </c>
      <c r="H674" s="316">
        <f t="shared" si="88"/>
        <v>2.2108699832769299</v>
      </c>
      <c r="I674" s="37">
        <f t="shared" si="86"/>
        <v>0.81293689285092718</v>
      </c>
      <c r="J674" s="316">
        <v>1.0221975004291151</v>
      </c>
      <c r="K674" s="37">
        <f t="shared" si="89"/>
        <v>0.18879494637132765</v>
      </c>
      <c r="L674" s="37">
        <f t="shared" si="84"/>
        <v>0.23014103962664842</v>
      </c>
      <c r="M674" s="45">
        <f t="shared" si="85"/>
        <v>3.5289994357735832E-2</v>
      </c>
    </row>
    <row r="675" spans="1:13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>
        <f t="shared" si="83"/>
        <v>390.8</v>
      </c>
      <c r="G675" s="70">
        <f t="shared" si="87"/>
        <v>3.1730516007773325E-3</v>
      </c>
      <c r="H675" s="316">
        <f t="shared" si="88"/>
        <v>7.2000665788718692</v>
      </c>
      <c r="I675" s="37">
        <f t="shared" si="86"/>
        <v>2.6474644810511867</v>
      </c>
      <c r="J675" s="316">
        <v>3.328956526397485</v>
      </c>
      <c r="K675" s="37">
        <f t="shared" si="89"/>
        <v>0.61484220868262374</v>
      </c>
      <c r="L675" s="37">
        <f t="shared" si="84"/>
        <v>0.74949265238411844</v>
      </c>
      <c r="M675" s="45">
        <f t="shared" si="85"/>
        <v>3.5289994357735832E-2</v>
      </c>
    </row>
    <row r="676" spans="1:13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>
        <f t="shared" si="83"/>
        <v>105.1</v>
      </c>
      <c r="G676" s="70">
        <f t="shared" si="87"/>
        <v>8.5334627236872463E-4</v>
      </c>
      <c r="H676" s="316">
        <f t="shared" si="88"/>
        <v>1.9363536270200443</v>
      </c>
      <c r="I676" s="37">
        <f t="shared" si="86"/>
        <v>0.71199722865527038</v>
      </c>
      <c r="J676" s="316">
        <v>0.89527464412583324</v>
      </c>
      <c r="K676" s="37">
        <f t="shared" si="89"/>
        <v>0.16535290719688778</v>
      </c>
      <c r="L676" s="37">
        <f t="shared" si="84"/>
        <v>0.20156519387300623</v>
      </c>
      <c r="M676" s="45">
        <f t="shared" si="85"/>
        <v>3.5289994357735832E-2</v>
      </c>
    </row>
    <row r="677" spans="1:13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>
        <f t="shared" si="83"/>
        <v>168.5</v>
      </c>
      <c r="G677" s="70">
        <f t="shared" si="87"/>
        <v>1.3681146231601343E-3</v>
      </c>
      <c r="H677" s="316">
        <f t="shared" si="88"/>
        <v>3.1044299348513555</v>
      </c>
      <c r="I677" s="37">
        <f t="shared" si="86"/>
        <v>1.1414988870448435</v>
      </c>
      <c r="J677" s="316">
        <v>1.4353356568525493</v>
      </c>
      <c r="K677" s="37">
        <f t="shared" si="89"/>
        <v>0.26509957052973926</v>
      </c>
      <c r="L677" s="37">
        <f t="shared" si="84"/>
        <v>0.32315637647575218</v>
      </c>
      <c r="M677" s="45">
        <f t="shared" si="85"/>
        <v>3.5289994357735832E-2</v>
      </c>
    </row>
    <row r="678" spans="1:13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>
        <f t="shared" si="83"/>
        <v>73.3</v>
      </c>
      <c r="G678" s="70">
        <f t="shared" si="87"/>
        <v>5.9515015951120374E-4</v>
      </c>
      <c r="H678" s="316">
        <f t="shared" si="88"/>
        <v>1.3504730814516579</v>
      </c>
      <c r="I678" s="37">
        <f t="shared" si="86"/>
        <v>0.49656895204977464</v>
      </c>
      <c r="J678" s="316">
        <v>0.62439230651211775</v>
      </c>
      <c r="K678" s="37">
        <f t="shared" si="89"/>
        <v>0.11532224640848596</v>
      </c>
      <c r="L678" s="37">
        <f t="shared" si="84"/>
        <v>0.14057781837194439</v>
      </c>
      <c r="M678" s="45">
        <f t="shared" si="85"/>
        <v>3.5289994357735832E-2</v>
      </c>
    </row>
    <row r="679" spans="1:13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>
        <f t="shared" si="83"/>
        <v>87.3</v>
      </c>
      <c r="G679" s="70">
        <f t="shared" si="87"/>
        <v>7.0882140416545826E-4</v>
      </c>
      <c r="H679" s="316">
        <f t="shared" si="88"/>
        <v>1.6084079128339663</v>
      </c>
      <c r="I679" s="37">
        <f t="shared" si="86"/>
        <v>0.59141158954904949</v>
      </c>
      <c r="J679" s="316">
        <v>0.74364868156218134</v>
      </c>
      <c r="K679" s="37">
        <f t="shared" si="89"/>
        <v>0.13734832348514087</v>
      </c>
      <c r="L679" s="37">
        <f t="shared" si="84"/>
        <v>0.16742760632838674</v>
      </c>
      <c r="M679" s="45">
        <f t="shared" si="85"/>
        <v>3.5289994357735832E-2</v>
      </c>
    </row>
    <row r="680" spans="1:13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>
        <f t="shared" si="83"/>
        <v>227.3</v>
      </c>
      <c r="G680" s="70">
        <f t="shared" si="87"/>
        <v>1.8455338507080033E-3</v>
      </c>
      <c r="H680" s="316">
        <f t="shared" si="88"/>
        <v>4.1877562266570516</v>
      </c>
      <c r="I680" s="37">
        <f t="shared" si="86"/>
        <v>1.5398379645417979</v>
      </c>
      <c r="J680" s="316">
        <v>1.9362124320628156</v>
      </c>
      <c r="K680" s="37">
        <f t="shared" si="89"/>
        <v>0.3576090942516898</v>
      </c>
      <c r="L680" s="37">
        <f t="shared" si="84"/>
        <v>0.43592548589280988</v>
      </c>
      <c r="M680" s="45">
        <f t="shared" si="85"/>
        <v>3.5289994357735832E-2</v>
      </c>
    </row>
    <row r="681" spans="1:13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>
        <f t="shared" si="83"/>
        <v>53.5</v>
      </c>
      <c r="G681" s="70">
        <f t="shared" si="87"/>
        <v>4.3438654207161534E-4</v>
      </c>
      <c r="H681" s="316">
        <f t="shared" si="88"/>
        <v>0.98567953421096455</v>
      </c>
      <c r="I681" s="37">
        <f t="shared" si="86"/>
        <v>0.36243436472937168</v>
      </c>
      <c r="J681" s="316">
        <v>0.45572971894131381</v>
      </c>
      <c r="K681" s="37">
        <f t="shared" si="89"/>
        <v>8.417108025721691E-2</v>
      </c>
      <c r="L681" s="37">
        <f t="shared" si="84"/>
        <v>0.10260454683354742</v>
      </c>
      <c r="M681" s="45">
        <f t="shared" si="85"/>
        <v>3.5289994357735832E-2</v>
      </c>
    </row>
    <row r="682" spans="1:13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>
        <f t="shared" si="83"/>
        <v>1851.82</v>
      </c>
      <c r="G682" s="70">
        <f t="shared" si="87"/>
        <v>1.5035620305402966E-2</v>
      </c>
      <c r="H682" s="316">
        <f t="shared" si="88"/>
        <v>34.117777103599032</v>
      </c>
      <c r="I682" s="37">
        <f t="shared" si="86"/>
        <v>12.545106640993366</v>
      </c>
      <c r="J682" s="316">
        <v>15.774381460372034</v>
      </c>
      <c r="K682" s="37">
        <f t="shared" si="89"/>
        <v>2.9134521465779328</v>
      </c>
      <c r="L682" s="37">
        <f t="shared" si="84"/>
        <v>3.5514981666785004</v>
      </c>
      <c r="M682" s="45">
        <f t="shared" si="85"/>
        <v>3.5289994357735825E-2</v>
      </c>
    </row>
    <row r="683" spans="1:13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>
        <f t="shared" si="83"/>
        <v>933.25</v>
      </c>
      <c r="G683" s="70">
        <f t="shared" si="87"/>
        <v>7.5774063623987855E-3</v>
      </c>
      <c r="H683" s="316">
        <f t="shared" si="88"/>
        <v>17.194120099109956</v>
      </c>
      <c r="I683" s="37">
        <f t="shared" si="86"/>
        <v>6.3222779604427313</v>
      </c>
      <c r="J683" s="316">
        <v>7.9497151439622646</v>
      </c>
      <c r="K683" s="37">
        <f t="shared" si="89"/>
        <v>1.4682740308420128</v>
      </c>
      <c r="L683" s="37">
        <f t="shared" si="84"/>
        <v>1.7898260435964137</v>
      </c>
      <c r="M683" s="45">
        <f t="shared" si="85"/>
        <v>3.5289994357735825E-2</v>
      </c>
    </row>
    <row r="684" spans="1:13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>
        <f t="shared" si="83"/>
        <v>1158.5</v>
      </c>
      <c r="G684" s="70">
        <f t="shared" si="87"/>
        <v>9.4062954951395581E-3</v>
      </c>
      <c r="H684" s="316">
        <f t="shared" si="88"/>
        <v>21.344107296886026</v>
      </c>
      <c r="I684" s="37">
        <f t="shared" si="86"/>
        <v>7.8482282530649927</v>
      </c>
      <c r="J684" s="316">
        <v>9.8684650353927488</v>
      </c>
      <c r="K684" s="37">
        <f t="shared" si="89"/>
        <v>1.8226578780931924</v>
      </c>
      <c r="L684" s="37">
        <f t="shared" si="84"/>
        <v>2.2218199533956016</v>
      </c>
      <c r="M684" s="45">
        <f t="shared" si="85"/>
        <v>3.5289994357735832E-2</v>
      </c>
    </row>
    <row r="685" spans="1:13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 t="shared" si="83"/>
        <v>3775.6499999999996</v>
      </c>
      <c r="G685" s="70">
        <f t="shared" si="87"/>
        <v>3.0655916777059707E-2</v>
      </c>
      <c r="H685" s="316">
        <f t="shared" si="88"/>
        <v>69.562260436329495</v>
      </c>
      <c r="I685" s="37">
        <f t="shared" si="86"/>
        <v>25.578043162438359</v>
      </c>
      <c r="J685" s="316">
        <v>32.162166604126568</v>
      </c>
      <c r="K685" s="37">
        <f t="shared" si="89"/>
        <v>5.9401969938908596</v>
      </c>
      <c r="L685" s="37">
        <f t="shared" si="84"/>
        <v>7.2411001355529585</v>
      </c>
      <c r="M685" s="45">
        <f t="shared" si="85"/>
        <v>3.6365853026592961E-2</v>
      </c>
    </row>
    <row r="686" spans="1:13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>
        <f t="shared" si="83"/>
        <v>79.3</v>
      </c>
      <c r="G686" s="70">
        <f t="shared" si="87"/>
        <v>6.4386640722017001E-4</v>
      </c>
      <c r="H686" s="316">
        <f t="shared" si="88"/>
        <v>1.4610165806155044</v>
      </c>
      <c r="I686" s="37">
        <f t="shared" si="86"/>
        <v>0.537215796692321</v>
      </c>
      <c r="J686" s="316">
        <v>0.67550218153357355</v>
      </c>
      <c r="K686" s="37">
        <f t="shared" si="89"/>
        <v>0.12476199372705235</v>
      </c>
      <c r="L686" s="37">
        <f t="shared" si="84"/>
        <v>0.15208487035327684</v>
      </c>
      <c r="M686" s="45">
        <f t="shared" si="85"/>
        <v>3.5289994357735832E-2</v>
      </c>
    </row>
    <row r="687" spans="1:13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>
        <f t="shared" si="83"/>
        <v>377.9</v>
      </c>
      <c r="G687" s="70">
        <f t="shared" si="87"/>
        <v>3.0683116682030547E-3</v>
      </c>
      <c r="H687" s="316">
        <f t="shared" si="88"/>
        <v>6.9623980556695981</v>
      </c>
      <c r="I687" s="37">
        <f t="shared" si="86"/>
        <v>2.5600737650697116</v>
      </c>
      <c r="J687" s="316">
        <v>3.2190702951013548</v>
      </c>
      <c r="K687" s="37">
        <f t="shared" si="89"/>
        <v>0.5945467519477059</v>
      </c>
      <c r="L687" s="37">
        <f t="shared" si="84"/>
        <v>0.72475249062425351</v>
      </c>
      <c r="M687" s="45">
        <f t="shared" si="85"/>
        <v>3.5289994357735832E-2</v>
      </c>
    </row>
    <row r="688" spans="1:13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>
        <f t="shared" si="83"/>
        <v>86.1</v>
      </c>
      <c r="G688" s="70">
        <f t="shared" si="87"/>
        <v>6.99078154623665E-4</v>
      </c>
      <c r="H688" s="316">
        <f t="shared" si="88"/>
        <v>1.586299213001197</v>
      </c>
      <c r="I688" s="37">
        <f t="shared" si="86"/>
        <v>0.58328222062054014</v>
      </c>
      <c r="J688" s="316">
        <v>0.73342670655789</v>
      </c>
      <c r="K688" s="37">
        <f t="shared" si="89"/>
        <v>0.13546037402142758</v>
      </c>
      <c r="L688" s="37">
        <f t="shared" si="84"/>
        <v>0.16512619593212022</v>
      </c>
      <c r="M688" s="45">
        <f t="shared" si="85"/>
        <v>3.5289994357735832E-2</v>
      </c>
    </row>
    <row r="689" spans="1:13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>
        <f t="shared" si="83"/>
        <v>59.7</v>
      </c>
      <c r="G689" s="70">
        <f t="shared" si="87"/>
        <v>4.8472666470421376E-4</v>
      </c>
      <c r="H689" s="316">
        <f t="shared" si="88"/>
        <v>1.0999078166802727</v>
      </c>
      <c r="I689" s="37">
        <f t="shared" si="86"/>
        <v>0.40443610419333631</v>
      </c>
      <c r="J689" s="316">
        <v>0.50854325646348475</v>
      </c>
      <c r="K689" s="37">
        <f t="shared" si="89"/>
        <v>9.3925485819735505E-2</v>
      </c>
      <c r="L689" s="37">
        <f t="shared" si="84"/>
        <v>0.11449516721425759</v>
      </c>
      <c r="M689" s="45">
        <f t="shared" si="85"/>
        <v>3.5289994357735832E-2</v>
      </c>
    </row>
    <row r="690" spans="1:13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>
        <f t="shared" si="83"/>
        <v>66.099999999999994</v>
      </c>
      <c r="G690" s="70">
        <f t="shared" si="87"/>
        <v>5.3669066226044433E-4</v>
      </c>
      <c r="H690" s="316">
        <f t="shared" si="88"/>
        <v>1.2178208824550421</v>
      </c>
      <c r="I690" s="37">
        <f t="shared" si="86"/>
        <v>0.44779273847871898</v>
      </c>
      <c r="J690" s="316">
        <v>0.56306045648637082</v>
      </c>
      <c r="K690" s="37">
        <f t="shared" si="89"/>
        <v>0.1039945496262063</v>
      </c>
      <c r="L690" s="37">
        <f t="shared" si="84"/>
        <v>0.1267693559943455</v>
      </c>
      <c r="M690" s="45">
        <f t="shared" si="85"/>
        <v>3.5289994357735832E-2</v>
      </c>
    </row>
    <row r="691" spans="1:13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>
        <f t="shared" si="83"/>
        <v>111.6</v>
      </c>
      <c r="G691" s="70">
        <f t="shared" si="87"/>
        <v>9.0612220738677137E-4</v>
      </c>
      <c r="H691" s="316">
        <f t="shared" si="88"/>
        <v>2.0561090844475447</v>
      </c>
      <c r="I691" s="37">
        <f t="shared" si="86"/>
        <v>0.75603131035136228</v>
      </c>
      <c r="J691" s="316">
        <v>0.95064367539907701</v>
      </c>
      <c r="K691" s="37">
        <f t="shared" si="89"/>
        <v>0.17557930012533471</v>
      </c>
      <c r="L691" s="37">
        <f t="shared" si="84"/>
        <v>0.21403116685278303</v>
      </c>
      <c r="M691" s="45">
        <f t="shared" si="85"/>
        <v>3.5289994357735832E-2</v>
      </c>
    </row>
    <row r="692" spans="1:13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>
        <f t="shared" si="83"/>
        <v>119.2</v>
      </c>
      <c r="G692" s="70">
        <f t="shared" si="87"/>
        <v>9.678294544847953E-4</v>
      </c>
      <c r="H692" s="316">
        <f t="shared" si="88"/>
        <v>2.1961308500550838</v>
      </c>
      <c r="I692" s="37">
        <f t="shared" si="86"/>
        <v>0.80751731356525436</v>
      </c>
      <c r="J692" s="316">
        <v>1.0153828504262543</v>
      </c>
      <c r="K692" s="37">
        <f t="shared" si="89"/>
        <v>0.18753631339551879</v>
      </c>
      <c r="L692" s="37">
        <f t="shared" si="84"/>
        <v>0.22860676602913743</v>
      </c>
      <c r="M692" s="45">
        <f t="shared" si="85"/>
        <v>3.5289994357735832E-2</v>
      </c>
    </row>
    <row r="693" spans="1:13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>
        <f t="shared" si="83"/>
        <v>139.6</v>
      </c>
      <c r="G693" s="70">
        <f t="shared" si="87"/>
        <v>1.1334646966952803E-3</v>
      </c>
      <c r="H693" s="316">
        <f t="shared" si="88"/>
        <v>2.5719787472121616</v>
      </c>
      <c r="I693" s="37">
        <f t="shared" si="86"/>
        <v>0.94571658534991188</v>
      </c>
      <c r="J693" s="316">
        <v>1.1891564254992038</v>
      </c>
      <c r="K693" s="37">
        <f t="shared" si="89"/>
        <v>0.21963145427864447</v>
      </c>
      <c r="L693" s="37">
        <f t="shared" si="84"/>
        <v>0.26773074276566761</v>
      </c>
      <c r="M693" s="45">
        <f t="shared" si="85"/>
        <v>3.5289994357735825E-2</v>
      </c>
    </row>
    <row r="694" spans="1:13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>
        <f t="shared" si="83"/>
        <v>66.5</v>
      </c>
      <c r="G694" s="70">
        <f t="shared" si="87"/>
        <v>5.3993841210770875E-4</v>
      </c>
      <c r="H694" s="316">
        <f t="shared" si="88"/>
        <v>1.2251904490659653</v>
      </c>
      <c r="I694" s="37">
        <f t="shared" si="86"/>
        <v>0.4505025281215555</v>
      </c>
      <c r="J694" s="316">
        <v>0.5664677814878013</v>
      </c>
      <c r="K694" s="37">
        <f t="shared" si="89"/>
        <v>0.10462386611411073</v>
      </c>
      <c r="L694" s="37">
        <f t="shared" si="84"/>
        <v>0.127536492793101</v>
      </c>
      <c r="M694" s="45">
        <f t="shared" si="85"/>
        <v>3.5289994357735832E-2</v>
      </c>
    </row>
    <row r="695" spans="1:13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>
        <f t="shared" si="83"/>
        <v>67</v>
      </c>
      <c r="G695" s="70">
        <f t="shared" si="87"/>
        <v>5.4399809941678933E-4</v>
      </c>
      <c r="H695" s="316">
        <f t="shared" si="88"/>
        <v>1.2344024073296191</v>
      </c>
      <c r="I695" s="37">
        <f t="shared" si="86"/>
        <v>0.45388976517510099</v>
      </c>
      <c r="J695" s="316">
        <v>0.57072693773958927</v>
      </c>
      <c r="K695" s="37">
        <f t="shared" si="89"/>
        <v>0.10541051172399127</v>
      </c>
      <c r="L695" s="37">
        <f t="shared" si="84"/>
        <v>0.12849541379154536</v>
      </c>
      <c r="M695" s="45">
        <f t="shared" si="85"/>
        <v>3.5289994357735832E-2</v>
      </c>
    </row>
    <row r="696" spans="1:13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>
        <f t="shared" si="83"/>
        <v>212.2</v>
      </c>
      <c r="G696" s="70">
        <f t="shared" si="87"/>
        <v>1.7229312939737714E-3</v>
      </c>
      <c r="H696" s="316">
        <f t="shared" si="88"/>
        <v>3.909555087094704</v>
      </c>
      <c r="I696" s="37">
        <f t="shared" si="86"/>
        <v>1.4375434055247227</v>
      </c>
      <c r="J696" s="316">
        <v>1.8075859132588183</v>
      </c>
      <c r="K696" s="37">
        <f t="shared" si="89"/>
        <v>0.3338523968332977</v>
      </c>
      <c r="L696" s="37">
        <f t="shared" si="84"/>
        <v>0.40696607173978994</v>
      </c>
      <c r="M696" s="45">
        <f t="shared" si="85"/>
        <v>3.5289994357735825E-2</v>
      </c>
    </row>
    <row r="697" spans="1:13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>
        <f t="shared" si="83"/>
        <v>41.6</v>
      </c>
      <c r="G697" s="70">
        <f t="shared" si="87"/>
        <v>3.3776598411549901E-4</v>
      </c>
      <c r="H697" s="316">
        <f t="shared" si="88"/>
        <v>0.76643492753600229</v>
      </c>
      <c r="I697" s="37">
        <f t="shared" si="86"/>
        <v>0.28181812285498808</v>
      </c>
      <c r="J697" s="316">
        <v>0.3543618001487599</v>
      </c>
      <c r="K697" s="37">
        <f t="shared" si="89"/>
        <v>6.5448914742060244E-2</v>
      </c>
      <c r="L697" s="37">
        <f t="shared" si="84"/>
        <v>7.9782227070571449E-2</v>
      </c>
      <c r="M697" s="45">
        <f t="shared" si="85"/>
        <v>3.5289994357735825E-2</v>
      </c>
    </row>
    <row r="698" spans="1:13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>
        <f t="shared" ref="F698:F744" si="90">C698+D698+E698</f>
        <v>466.8</v>
      </c>
      <c r="G698" s="70">
        <f t="shared" si="87"/>
        <v>3.790124071757571E-3</v>
      </c>
      <c r="H698" s="316">
        <f t="shared" si="88"/>
        <v>8.6002842349472584</v>
      </c>
      <c r="I698" s="37">
        <f t="shared" si="86"/>
        <v>3.1623245131901072</v>
      </c>
      <c r="J698" s="316">
        <v>3.9763482766692579</v>
      </c>
      <c r="K698" s="37">
        <f t="shared" si="89"/>
        <v>0.73441234138446454</v>
      </c>
      <c r="L698" s="37">
        <f t="shared" si="84"/>
        <v>0.89524864414766236</v>
      </c>
      <c r="M698" s="45">
        <f t="shared" si="85"/>
        <v>3.5289994357735832E-2</v>
      </c>
    </row>
    <row r="699" spans="1:13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>
        <f t="shared" si="90"/>
        <v>681.36</v>
      </c>
      <c r="G699" s="70">
        <f t="shared" si="87"/>
        <v>5.5322170898302022E-3</v>
      </c>
      <c r="H699" s="316">
        <f t="shared" si="88"/>
        <v>12.553319765046407</v>
      </c>
      <c r="I699" s="37">
        <f t="shared" si="86"/>
        <v>4.6158556776075645</v>
      </c>
      <c r="J699" s="316">
        <v>5.8040374074365157</v>
      </c>
      <c r="K699" s="37">
        <f t="shared" si="89"/>
        <v>1.0719777054963984</v>
      </c>
      <c r="L699" s="37">
        <f t="shared" si="84"/>
        <v>1.3067408230001096</v>
      </c>
      <c r="M699" s="45">
        <f t="shared" si="85"/>
        <v>3.5289994357735832E-2</v>
      </c>
    </row>
    <row r="700" spans="1:13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>
        <f t="shared" si="90"/>
        <v>58.2</v>
      </c>
      <c r="G700" s="70">
        <f t="shared" si="87"/>
        <v>4.7254760277697224E-4</v>
      </c>
      <c r="H700" s="316">
        <f t="shared" si="88"/>
        <v>1.0722719418893112</v>
      </c>
      <c r="I700" s="37">
        <f t="shared" si="86"/>
        <v>0.39427439303269973</v>
      </c>
      <c r="J700" s="316">
        <v>0.49576578770812091</v>
      </c>
      <c r="K700" s="37">
        <f t="shared" si="89"/>
        <v>9.156554899009392E-2</v>
      </c>
      <c r="L700" s="37">
        <f t="shared" si="84"/>
        <v>0.11161840421892449</v>
      </c>
      <c r="M700" s="45">
        <f t="shared" si="85"/>
        <v>3.5289994357735832E-2</v>
      </c>
    </row>
    <row r="701" spans="1:13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>
        <f t="shared" si="90"/>
        <v>504.2</v>
      </c>
      <c r="G701" s="70">
        <f t="shared" si="87"/>
        <v>4.0937886824767931E-3</v>
      </c>
      <c r="H701" s="316">
        <f t="shared" si="88"/>
        <v>9.2893387130685667</v>
      </c>
      <c r="I701" s="37">
        <f t="shared" si="86"/>
        <v>3.4156898447953123</v>
      </c>
      <c r="J701" s="316">
        <v>4.2949331643029982</v>
      </c>
      <c r="K701" s="37">
        <f t="shared" si="89"/>
        <v>0.79325343300352824</v>
      </c>
      <c r="L701" s="37">
        <f t="shared" si="84"/>
        <v>0.96697593483130095</v>
      </c>
      <c r="M701" s="45">
        <f t="shared" si="85"/>
        <v>3.5289994357735832E-2</v>
      </c>
    </row>
    <row r="702" spans="1:13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>
        <f t="shared" si="90"/>
        <v>166.6</v>
      </c>
      <c r="G702" s="70">
        <f t="shared" si="87"/>
        <v>1.3526878113856282E-3</v>
      </c>
      <c r="H702" s="316">
        <f t="shared" si="88"/>
        <v>3.0694244934494708</v>
      </c>
      <c r="I702" s="37">
        <f t="shared" si="86"/>
        <v>1.1286273862413705</v>
      </c>
      <c r="J702" s="316">
        <v>1.4191508630957548</v>
      </c>
      <c r="K702" s="37">
        <f t="shared" si="89"/>
        <v>0.26211031721219319</v>
      </c>
      <c r="L702" s="37">
        <f t="shared" si="84"/>
        <v>0.31951247668166349</v>
      </c>
      <c r="M702" s="45">
        <f t="shared" si="85"/>
        <v>3.5289994357735832E-2</v>
      </c>
    </row>
    <row r="703" spans="1:13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>
        <f t="shared" si="90"/>
        <v>37.799999999999997</v>
      </c>
      <c r="G703" s="70">
        <f t="shared" si="87"/>
        <v>3.0691236056648705E-4</v>
      </c>
      <c r="H703" s="316">
        <f t="shared" si="88"/>
        <v>0.69642404473223274</v>
      </c>
      <c r="I703" s="37">
        <f t="shared" si="86"/>
        <v>0.25607512124804199</v>
      </c>
      <c r="J703" s="316">
        <v>0.32199221263517125</v>
      </c>
      <c r="K703" s="37">
        <f t="shared" si="89"/>
        <v>5.9470408106968201E-2</v>
      </c>
      <c r="L703" s="37">
        <f t="shared" si="84"/>
        <v>7.2494427482394236E-2</v>
      </c>
      <c r="M703" s="45">
        <f t="shared" si="85"/>
        <v>3.5289994357735832E-2</v>
      </c>
    </row>
    <row r="704" spans="1:13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>
        <f t="shared" si="90"/>
        <v>55.5</v>
      </c>
      <c r="G704" s="70">
        <f t="shared" si="87"/>
        <v>4.5062529130793742E-4</v>
      </c>
      <c r="H704" s="316">
        <f t="shared" si="88"/>
        <v>1.0225273672655801</v>
      </c>
      <c r="I704" s="37">
        <f t="shared" si="86"/>
        <v>0.37598331294355386</v>
      </c>
      <c r="J704" s="316">
        <v>0.47276634394846573</v>
      </c>
      <c r="K704" s="37">
        <f t="shared" si="89"/>
        <v>8.7317662696739046E-2</v>
      </c>
      <c r="L704" s="37">
        <f t="shared" si="84"/>
        <v>0.1064402308273249</v>
      </c>
      <c r="M704" s="45">
        <f t="shared" si="85"/>
        <v>3.5289994357735832E-2</v>
      </c>
    </row>
    <row r="705" spans="1:13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>
        <f t="shared" si="90"/>
        <v>146.19999999999999</v>
      </c>
      <c r="G705" s="70">
        <f t="shared" si="87"/>
        <v>1.1870525691751431E-3</v>
      </c>
      <c r="H705" s="316">
        <f t="shared" si="88"/>
        <v>2.6935765962923925</v>
      </c>
      <c r="I705" s="37">
        <f t="shared" si="86"/>
        <v>0.99042811445671286</v>
      </c>
      <c r="J705" s="316">
        <v>1.2453772880228053</v>
      </c>
      <c r="K705" s="37">
        <f t="shared" si="89"/>
        <v>0.23001517632906748</v>
      </c>
      <c r="L705" s="37">
        <f t="shared" ref="L705:L747" si="91">K705*1.219</f>
        <v>0.28038849994513326</v>
      </c>
      <c r="M705" s="45">
        <f t="shared" si="85"/>
        <v>3.5289994357735832E-2</v>
      </c>
    </row>
    <row r="706" spans="1:13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>
        <f t="shared" si="90"/>
        <v>47.9</v>
      </c>
      <c r="G706" s="70">
        <f t="shared" si="87"/>
        <v>3.8891804420991354E-4</v>
      </c>
      <c r="H706" s="316">
        <f t="shared" si="88"/>
        <v>0.88250560165804115</v>
      </c>
      <c r="I706" s="37">
        <f t="shared" si="86"/>
        <v>0.32449730972966173</v>
      </c>
      <c r="J706" s="316">
        <v>0.40802716892128843</v>
      </c>
      <c r="K706" s="37">
        <f t="shared" si="89"/>
        <v>7.5360649426554946E-2</v>
      </c>
      <c r="L706" s="37">
        <f t="shared" si="91"/>
        <v>9.1864631650970488E-2</v>
      </c>
      <c r="M706" s="45">
        <f t="shared" si="85"/>
        <v>3.5289994357735832E-2</v>
      </c>
    </row>
    <row r="707" spans="1:13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>
        <f t="shared" si="90"/>
        <v>72.400000000000006</v>
      </c>
      <c r="G707" s="70">
        <f t="shared" si="87"/>
        <v>5.8784272235485897E-4</v>
      </c>
      <c r="H707" s="316">
        <f t="shared" si="88"/>
        <v>1.3338915565770812</v>
      </c>
      <c r="I707" s="37">
        <f t="shared" si="86"/>
        <v>0.49047192535339279</v>
      </c>
      <c r="J707" s="316">
        <v>0.61672582525889952</v>
      </c>
      <c r="K707" s="37">
        <f t="shared" si="89"/>
        <v>0.11390628431070103</v>
      </c>
      <c r="L707" s="37">
        <f t="shared" si="91"/>
        <v>0.13885176057474458</v>
      </c>
      <c r="M707" s="45">
        <f t="shared" si="85"/>
        <v>3.5289994357735832E-2</v>
      </c>
    </row>
    <row r="708" spans="1:13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>
        <f t="shared" si="90"/>
        <v>73</v>
      </c>
      <c r="G708" s="70">
        <f t="shared" si="87"/>
        <v>5.9271434712575548E-4</v>
      </c>
      <c r="H708" s="316">
        <f t="shared" si="88"/>
        <v>1.3449459064934657</v>
      </c>
      <c r="I708" s="37">
        <f t="shared" si="86"/>
        <v>0.49453660981764735</v>
      </c>
      <c r="J708" s="316">
        <v>0.62183681276104508</v>
      </c>
      <c r="K708" s="37">
        <f t="shared" si="89"/>
        <v>0.11485025904255765</v>
      </c>
      <c r="L708" s="37">
        <f t="shared" si="91"/>
        <v>0.14000246577287778</v>
      </c>
      <c r="M708" s="45">
        <f t="shared" si="85"/>
        <v>3.5289994357735832E-2</v>
      </c>
    </row>
    <row r="709" spans="1:13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>
        <f t="shared" si="90"/>
        <v>110</v>
      </c>
      <c r="G709" s="70">
        <f t="shared" si="87"/>
        <v>8.931312079977138E-4</v>
      </c>
      <c r="H709" s="316">
        <f t="shared" si="88"/>
        <v>2.0266308180038526</v>
      </c>
      <c r="I709" s="37">
        <f t="shared" si="86"/>
        <v>0.74519215178001663</v>
      </c>
      <c r="J709" s="316">
        <v>0.93701437539335553</v>
      </c>
      <c r="K709" s="37">
        <f t="shared" si="89"/>
        <v>0.17306203417371702</v>
      </c>
      <c r="L709" s="37">
        <f t="shared" si="91"/>
        <v>0.21096261965776106</v>
      </c>
      <c r="M709" s="45">
        <f t="shared" si="85"/>
        <v>3.5289994357735832E-2</v>
      </c>
    </row>
    <row r="710" spans="1:13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>
        <f t="shared" si="90"/>
        <v>382</v>
      </c>
      <c r="G710" s="70">
        <f t="shared" si="87"/>
        <v>3.1016011041375153E-3</v>
      </c>
      <c r="H710" s="316">
        <f t="shared" si="88"/>
        <v>7.0379361134315603</v>
      </c>
      <c r="I710" s="37">
        <f t="shared" si="86"/>
        <v>2.5878491089087849</v>
      </c>
      <c r="J710" s="316">
        <v>3.2539953763660168</v>
      </c>
      <c r="K710" s="37">
        <f t="shared" si="89"/>
        <v>0.60099724594872639</v>
      </c>
      <c r="L710" s="37">
        <f t="shared" si="91"/>
        <v>0.73261564281149749</v>
      </c>
      <c r="M710" s="45">
        <f t="shared" si="85"/>
        <v>3.5289994357735832E-2</v>
      </c>
    </row>
    <row r="711" spans="1:13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>
        <f t="shared" si="90"/>
        <v>226.9</v>
      </c>
      <c r="G711" s="70">
        <f t="shared" si="87"/>
        <v>1.8422861008607387E-3</v>
      </c>
      <c r="H711" s="316">
        <f t="shared" si="88"/>
        <v>4.1803866600461284</v>
      </c>
      <c r="I711" s="37">
        <f t="shared" si="86"/>
        <v>1.5371281748989616</v>
      </c>
      <c r="J711" s="316">
        <v>1.9328051070613852</v>
      </c>
      <c r="K711" s="37">
        <f t="shared" si="89"/>
        <v>0.35697977776378537</v>
      </c>
      <c r="L711" s="37">
        <f t="shared" si="91"/>
        <v>0.43515834909405438</v>
      </c>
      <c r="M711" s="45">
        <f t="shared" ref="M711:M774" si="92">(K711+J711+I711+H711)/C711</f>
        <v>3.5289994357735832E-2</v>
      </c>
    </row>
    <row r="712" spans="1:13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>
        <f t="shared" si="90"/>
        <v>142.6</v>
      </c>
      <c r="G712" s="70">
        <f t="shared" si="87"/>
        <v>1.1578228205497635E-3</v>
      </c>
      <c r="H712" s="316">
        <f t="shared" si="88"/>
        <v>2.6272504967940851</v>
      </c>
      <c r="I712" s="37">
        <f t="shared" si="86"/>
        <v>0.96604000767118514</v>
      </c>
      <c r="J712" s="316">
        <v>1.2147113630099318</v>
      </c>
      <c r="K712" s="37">
        <f t="shared" si="89"/>
        <v>0.2243513279379277</v>
      </c>
      <c r="L712" s="37">
        <f t="shared" si="91"/>
        <v>0.27348426875633386</v>
      </c>
      <c r="M712" s="45">
        <f t="shared" si="92"/>
        <v>3.5289994357735832E-2</v>
      </c>
    </row>
    <row r="713" spans="1:13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>
        <f t="shared" si="90"/>
        <v>428.31</v>
      </c>
      <c r="G713" s="70">
        <f t="shared" si="87"/>
        <v>3.4776093427045527E-3</v>
      </c>
      <c r="H713" s="316">
        <f t="shared" si="88"/>
        <v>7.8911476878111824</v>
      </c>
      <c r="I713" s="37">
        <f t="shared" si="86"/>
        <v>2.9015750048081719</v>
      </c>
      <c r="J713" s="316">
        <v>3.6484784284066194</v>
      </c>
      <c r="K713" s="37">
        <f t="shared" si="89"/>
        <v>0.67385636233586121</v>
      </c>
      <c r="L713" s="37">
        <f t="shared" si="91"/>
        <v>0.82143090568741484</v>
      </c>
      <c r="M713" s="45">
        <f t="shared" si="92"/>
        <v>3.5289994357735832E-2</v>
      </c>
    </row>
    <row r="714" spans="1:13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>
        <f t="shared" si="90"/>
        <v>744.3</v>
      </c>
      <c r="G714" s="70">
        <f t="shared" si="87"/>
        <v>6.0432505282972575E-3</v>
      </c>
      <c r="H714" s="316">
        <f t="shared" si="88"/>
        <v>13.712921071275156</v>
      </c>
      <c r="I714" s="37">
        <f t="shared" si="86"/>
        <v>5.0422410779078755</v>
      </c>
      <c r="J714" s="316">
        <v>6.3401799964115853</v>
      </c>
      <c r="K714" s="37">
        <f t="shared" si="89"/>
        <v>1.1710006548681597</v>
      </c>
      <c r="L714" s="37">
        <f t="shared" si="91"/>
        <v>1.4274497982842869</v>
      </c>
      <c r="M714" s="45">
        <f t="shared" si="92"/>
        <v>3.5289994357735832E-2</v>
      </c>
    </row>
    <row r="715" spans="1:13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>
        <f t="shared" si="90"/>
        <v>1084.5899999999999</v>
      </c>
      <c r="G715" s="70">
        <f t="shared" si="87"/>
        <v>8.8061925171112748E-3</v>
      </c>
      <c r="H715" s="316">
        <f t="shared" si="88"/>
        <v>19.982395626352709</v>
      </c>
      <c r="I715" s="37">
        <f t="shared" si="86"/>
        <v>7.3475268718098912</v>
      </c>
      <c r="J715" s="316">
        <v>9.23887655825345</v>
      </c>
      <c r="K715" s="37">
        <f t="shared" si="89"/>
        <v>1.7063759240406517</v>
      </c>
      <c r="L715" s="37">
        <f t="shared" si="91"/>
        <v>2.0800722514055545</v>
      </c>
      <c r="M715" s="45">
        <f t="shared" si="92"/>
        <v>3.5289994357735825E-2</v>
      </c>
    </row>
    <row r="716" spans="1:13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>
        <f t="shared" si="90"/>
        <v>1069.71</v>
      </c>
      <c r="G716" s="70">
        <f t="shared" si="87"/>
        <v>8.6853762227930408E-3</v>
      </c>
      <c r="H716" s="316">
        <f t="shared" si="88"/>
        <v>19.708247748426373</v>
      </c>
      <c r="I716" s="37">
        <f t="shared" si="86"/>
        <v>7.2467226970963781</v>
      </c>
      <c r="J716" s="316">
        <v>9.1121240682002398</v>
      </c>
      <c r="K716" s="37">
        <f t="shared" si="89"/>
        <v>1.6829653506906077</v>
      </c>
      <c r="L716" s="37">
        <f t="shared" si="91"/>
        <v>2.0515347624918507</v>
      </c>
      <c r="M716" s="45">
        <f t="shared" si="92"/>
        <v>3.5289994357735832E-2</v>
      </c>
    </row>
    <row r="717" spans="1:13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>
        <f t="shared" si="90"/>
        <v>196.8</v>
      </c>
      <c r="G717" s="70">
        <f t="shared" si="87"/>
        <v>1.5978929248540916E-3</v>
      </c>
      <c r="H717" s="316">
        <f t="shared" si="88"/>
        <v>3.6258267725741651</v>
      </c>
      <c r="I717" s="37">
        <f t="shared" ref="I717:I745" si="93">H717*0.3677</f>
        <v>1.3332165042755206</v>
      </c>
      <c r="J717" s="316">
        <v>1.6764039007037488</v>
      </c>
      <c r="K717" s="37">
        <f t="shared" si="89"/>
        <v>0.30962371204897732</v>
      </c>
      <c r="L717" s="37">
        <f t="shared" si="91"/>
        <v>0.37743130498770339</v>
      </c>
      <c r="M717" s="45">
        <f t="shared" si="92"/>
        <v>3.5289994357735832E-2</v>
      </c>
    </row>
    <row r="718" spans="1:13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>
        <f t="shared" si="90"/>
        <v>625.9</v>
      </c>
      <c r="G718" s="70">
        <f t="shared" si="87"/>
        <v>5.0819165735069916E-3</v>
      </c>
      <c r="H718" s="316">
        <f t="shared" si="88"/>
        <v>11.53152935444192</v>
      </c>
      <c r="I718" s="37">
        <f t="shared" si="93"/>
        <v>4.2401433436282945</v>
      </c>
      <c r="J718" s="316">
        <v>5.3316117959881932</v>
      </c>
      <c r="K718" s="37">
        <f t="shared" si="89"/>
        <v>0.98472297444844981</v>
      </c>
      <c r="L718" s="37">
        <f t="shared" si="91"/>
        <v>1.2003773058526603</v>
      </c>
      <c r="M718" s="45">
        <f t="shared" si="92"/>
        <v>3.5289994357735839E-2</v>
      </c>
    </row>
    <row r="719" spans="1:13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>
        <f t="shared" si="90"/>
        <v>127.5</v>
      </c>
      <c r="G719" s="70">
        <f t="shared" si="87"/>
        <v>1.0352202638155318E-3</v>
      </c>
      <c r="H719" s="316">
        <f t="shared" si="88"/>
        <v>2.3490493572317379</v>
      </c>
      <c r="I719" s="37">
        <f t="shared" si="93"/>
        <v>0.86374544865411007</v>
      </c>
      <c r="J719" s="316">
        <v>1.0860848442059348</v>
      </c>
      <c r="K719" s="37">
        <f t="shared" si="89"/>
        <v>0.2005946305195356</v>
      </c>
      <c r="L719" s="37">
        <f t="shared" si="91"/>
        <v>0.24452485460331391</v>
      </c>
      <c r="M719" s="45">
        <f t="shared" si="92"/>
        <v>3.5289994357735832E-2</v>
      </c>
    </row>
    <row r="720" spans="1:13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>
        <f t="shared" si="90"/>
        <v>561.25</v>
      </c>
      <c r="G720" s="70">
        <f t="shared" si="87"/>
        <v>4.5569990044428809E-3</v>
      </c>
      <c r="H720" s="316">
        <f t="shared" si="88"/>
        <v>10.340423150951475</v>
      </c>
      <c r="I720" s="37">
        <f t="shared" si="93"/>
        <v>3.8021735926048574</v>
      </c>
      <c r="J720" s="316">
        <v>4.7809028926320076</v>
      </c>
      <c r="K720" s="37">
        <f t="shared" si="89"/>
        <v>0.88300969709089705</v>
      </c>
      <c r="L720" s="37">
        <f t="shared" si="91"/>
        <v>1.0763888207538035</v>
      </c>
      <c r="M720" s="45">
        <f t="shared" si="92"/>
        <v>3.5289994357735832E-2</v>
      </c>
    </row>
    <row r="721" spans="1:13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>
        <f t="shared" si="90"/>
        <v>122.9</v>
      </c>
      <c r="G721" s="70">
        <f t="shared" si="87"/>
        <v>9.9787114057199111E-4</v>
      </c>
      <c r="H721" s="316">
        <f t="shared" si="88"/>
        <v>2.2642993412061223</v>
      </c>
      <c r="I721" s="37">
        <f t="shared" si="93"/>
        <v>0.83258286776149126</v>
      </c>
      <c r="J721" s="316">
        <v>1.0469006066894853</v>
      </c>
      <c r="K721" s="37">
        <f t="shared" si="89"/>
        <v>0.19335749090863472</v>
      </c>
      <c r="L721" s="37">
        <f t="shared" si="91"/>
        <v>0.23570278141762574</v>
      </c>
      <c r="M721" s="45">
        <f t="shared" si="92"/>
        <v>3.5289994357735825E-2</v>
      </c>
    </row>
    <row r="722" spans="1:13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>
        <f t="shared" si="90"/>
        <v>82.5</v>
      </c>
      <c r="G722" s="70">
        <f t="shared" si="87"/>
        <v>6.6984840599828535E-4</v>
      </c>
      <c r="H722" s="316">
        <f t="shared" si="88"/>
        <v>1.5199731135028893</v>
      </c>
      <c r="I722" s="37">
        <f t="shared" si="93"/>
        <v>0.55889411383501242</v>
      </c>
      <c r="J722" s="316">
        <v>0.70276078154501664</v>
      </c>
      <c r="K722" s="37">
        <f t="shared" si="89"/>
        <v>0.12979652563028776</v>
      </c>
      <c r="L722" s="37">
        <f t="shared" si="91"/>
        <v>0.15822196474332079</v>
      </c>
      <c r="M722" s="45">
        <f t="shared" si="92"/>
        <v>3.5289994357735832E-2</v>
      </c>
    </row>
    <row r="723" spans="1:13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>
        <f t="shared" si="90"/>
        <v>118.7</v>
      </c>
      <c r="G723" s="70">
        <f t="shared" si="87"/>
        <v>9.6376976717571484E-4</v>
      </c>
      <c r="H723" s="316">
        <f t="shared" si="88"/>
        <v>2.18691889179143</v>
      </c>
      <c r="I723" s="37">
        <f t="shared" si="93"/>
        <v>0.80413007651170887</v>
      </c>
      <c r="J723" s="316">
        <v>1.0111236941744663</v>
      </c>
      <c r="K723" s="37">
        <f t="shared" si="89"/>
        <v>0.18674966778563828</v>
      </c>
      <c r="L723" s="37">
        <f t="shared" si="91"/>
        <v>0.22764784503069307</v>
      </c>
      <c r="M723" s="45">
        <f t="shared" si="92"/>
        <v>3.5289994357735832E-2</v>
      </c>
    </row>
    <row r="724" spans="1:13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>
        <f t="shared" si="90"/>
        <v>113.8</v>
      </c>
      <c r="G724" s="70">
        <f t="shared" si="87"/>
        <v>9.2398483154672566E-4</v>
      </c>
      <c r="H724" s="316">
        <f t="shared" si="88"/>
        <v>2.0966417008076217</v>
      </c>
      <c r="I724" s="37">
        <f t="shared" si="93"/>
        <v>0.7709351533869625</v>
      </c>
      <c r="J724" s="316">
        <v>0.96938396290694429</v>
      </c>
      <c r="K724" s="37">
        <f t="shared" si="89"/>
        <v>0.17904054080880905</v>
      </c>
      <c r="L724" s="37">
        <f t="shared" si="91"/>
        <v>0.21825041924593824</v>
      </c>
      <c r="M724" s="45">
        <f t="shared" si="92"/>
        <v>3.5289994357735825E-2</v>
      </c>
    </row>
    <row r="725" spans="1:13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>
        <f t="shared" si="90"/>
        <v>294</v>
      </c>
      <c r="G725" s="70">
        <f t="shared" si="87"/>
        <v>2.3870961377393442E-3</v>
      </c>
      <c r="H725" s="316">
        <f t="shared" si="88"/>
        <v>5.4166314590284781</v>
      </c>
      <c r="I725" s="37">
        <f t="shared" si="93"/>
        <v>1.9916953874847716</v>
      </c>
      <c r="J725" s="316">
        <v>2.5043838760513322</v>
      </c>
      <c r="K725" s="37">
        <f t="shared" si="89"/>
        <v>0.46254761860975274</v>
      </c>
      <c r="L725" s="37">
        <f t="shared" si="91"/>
        <v>0.56384554708528867</v>
      </c>
      <c r="M725" s="45">
        <f t="shared" si="92"/>
        <v>3.5289994357735832E-2</v>
      </c>
    </row>
    <row r="726" spans="1:13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>
        <f t="shared" si="90"/>
        <v>38.6</v>
      </c>
      <c r="G726" s="70">
        <f t="shared" si="87"/>
        <v>3.1340786026101594E-4</v>
      </c>
      <c r="H726" s="316">
        <f t="shared" si="88"/>
        <v>0.71116317795407913</v>
      </c>
      <c r="I726" s="37">
        <f t="shared" si="93"/>
        <v>0.26149470053371493</v>
      </c>
      <c r="J726" s="316">
        <v>0.32880686263803205</v>
      </c>
      <c r="K726" s="37">
        <f t="shared" si="89"/>
        <v>6.072904108277706E-2</v>
      </c>
      <c r="L726" s="37">
        <f t="shared" si="91"/>
        <v>7.4028701079905238E-2</v>
      </c>
      <c r="M726" s="45">
        <f t="shared" si="92"/>
        <v>3.5289994357735832E-2</v>
      </c>
    </row>
    <row r="727" spans="1:13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>
        <f t="shared" si="90"/>
        <v>295.8</v>
      </c>
      <c r="G727" s="70">
        <f t="shared" si="87"/>
        <v>2.4017110120520342E-3</v>
      </c>
      <c r="H727" s="316">
        <f t="shared" si="88"/>
        <v>5.4497945087776323</v>
      </c>
      <c r="I727" s="37">
        <f t="shared" si="93"/>
        <v>2.0038894408775354</v>
      </c>
      <c r="J727" s="316">
        <v>2.5197168385577693</v>
      </c>
      <c r="K727" s="37">
        <f t="shared" si="89"/>
        <v>0.46537954280532268</v>
      </c>
      <c r="L727" s="37">
        <f t="shared" si="91"/>
        <v>0.5672976626796884</v>
      </c>
      <c r="M727" s="45">
        <f t="shared" si="92"/>
        <v>3.5289994357735832E-2</v>
      </c>
    </row>
    <row r="728" spans="1:13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 t="shared" si="90"/>
        <v>2954.3</v>
      </c>
      <c r="G728" s="70">
        <f t="shared" si="87"/>
        <v>2.3987068434433146E-2</v>
      </c>
      <c r="H728" s="316">
        <f t="shared" si="88"/>
        <v>54.429776596625288</v>
      </c>
      <c r="I728" s="37">
        <f t="shared" si="93"/>
        <v>20.013828854579121</v>
      </c>
      <c r="J728" s="316">
        <v>25.16565062931446</v>
      </c>
      <c r="K728" s="37">
        <f t="shared" si="89"/>
        <v>4.6479742505401109</v>
      </c>
      <c r="L728" s="37">
        <f t="shared" si="91"/>
        <v>5.6658806114083955</v>
      </c>
      <c r="M728" s="45">
        <f t="shared" si="92"/>
        <v>3.7976625626000425E-2</v>
      </c>
    </row>
    <row r="729" spans="1:13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>
        <f t="shared" si="90"/>
        <v>601.58000000000004</v>
      </c>
      <c r="G729" s="70">
        <f t="shared" ref="G729:G745" si="94">2/246324.39*F729</f>
        <v>4.8844533827933157E-3</v>
      </c>
      <c r="H729" s="316">
        <f t="shared" ref="H729:H745" si="95">G729*2269.13</f>
        <v>11.083459704497796</v>
      </c>
      <c r="I729" s="37">
        <f t="shared" si="93"/>
        <v>4.0753881333438402</v>
      </c>
      <c r="J729" s="316">
        <v>5.1244464359012252</v>
      </c>
      <c r="K729" s="37">
        <f t="shared" ref="K729:K744" si="96">G729*193.77</f>
        <v>0.94646053198386082</v>
      </c>
      <c r="L729" s="37">
        <f t="shared" si="91"/>
        <v>1.1537353884883264</v>
      </c>
      <c r="M729" s="45">
        <f t="shared" si="92"/>
        <v>3.5289994357735825E-2</v>
      </c>
    </row>
    <row r="730" spans="1:13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>
        <f t="shared" si="90"/>
        <v>392.31</v>
      </c>
      <c r="G730" s="70">
        <f t="shared" si="94"/>
        <v>3.1853118564507555E-3</v>
      </c>
      <c r="H730" s="316">
        <f t="shared" si="95"/>
        <v>7.2278866928281031</v>
      </c>
      <c r="I730" s="37">
        <f t="shared" si="93"/>
        <v>2.6576939369528936</v>
      </c>
      <c r="J730" s="316">
        <v>3.3418191782778845</v>
      </c>
      <c r="K730" s="37">
        <f t="shared" si="96"/>
        <v>0.61721787842446296</v>
      </c>
      <c r="L730" s="37">
        <f t="shared" si="91"/>
        <v>0.75238859379942036</v>
      </c>
      <c r="M730" s="45">
        <f t="shared" si="92"/>
        <v>3.5289994357735832E-2</v>
      </c>
    </row>
    <row r="731" spans="1:13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>
        <f t="shared" si="90"/>
        <v>600.88</v>
      </c>
      <c r="G731" s="70">
        <f t="shared" si="94"/>
        <v>4.8787698205606019E-3</v>
      </c>
      <c r="H731" s="316">
        <f t="shared" si="95"/>
        <v>11.07056296292868</v>
      </c>
      <c r="I731" s="37">
        <f t="shared" si="93"/>
        <v>4.0706460014688757</v>
      </c>
      <c r="J731" s="316">
        <v>5.1184836171487227</v>
      </c>
      <c r="K731" s="37">
        <f t="shared" si="96"/>
        <v>0.94535922813002793</v>
      </c>
      <c r="L731" s="37">
        <f t="shared" si="91"/>
        <v>1.1523928990905041</v>
      </c>
      <c r="M731" s="45">
        <f t="shared" si="92"/>
        <v>3.5289994357735832E-2</v>
      </c>
    </row>
    <row r="732" spans="1:13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>
        <f t="shared" si="90"/>
        <v>307.3</v>
      </c>
      <c r="G732" s="70">
        <f t="shared" si="94"/>
        <v>2.4950838201608858E-3</v>
      </c>
      <c r="H732" s="316">
        <f t="shared" si="95"/>
        <v>5.6616695488416706</v>
      </c>
      <c r="I732" s="37">
        <f t="shared" si="93"/>
        <v>2.0817958931090823</v>
      </c>
      <c r="J732" s="316">
        <v>2.6176774323488923</v>
      </c>
      <c r="K732" s="37">
        <f t="shared" si="96"/>
        <v>0.48347239183257484</v>
      </c>
      <c r="L732" s="37">
        <f t="shared" si="91"/>
        <v>0.58935284564390877</v>
      </c>
      <c r="M732" s="45">
        <f t="shared" si="92"/>
        <v>3.5289994357735825E-2</v>
      </c>
    </row>
    <row r="733" spans="1:13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>
        <f t="shared" si="90"/>
        <v>800.1</v>
      </c>
      <c r="G733" s="70">
        <f t="shared" si="94"/>
        <v>6.4963116319906441E-3</v>
      </c>
      <c r="H733" s="316">
        <f t="shared" si="95"/>
        <v>14.74097561349893</v>
      </c>
      <c r="I733" s="37">
        <f t="shared" si="93"/>
        <v>5.4202567330835567</v>
      </c>
      <c r="J733" s="316">
        <v>6.8155018341111253</v>
      </c>
      <c r="K733" s="37">
        <f t="shared" si="96"/>
        <v>1.2587903049308271</v>
      </c>
      <c r="L733" s="37">
        <f t="shared" si="91"/>
        <v>1.5344653817106784</v>
      </c>
      <c r="M733" s="45">
        <f t="shared" si="92"/>
        <v>3.7005929863203717E-2</v>
      </c>
    </row>
    <row r="734" spans="1:13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>
        <f t="shared" si="90"/>
        <v>325.2</v>
      </c>
      <c r="G734" s="70">
        <f t="shared" si="94"/>
        <v>2.6404206258259684E-3</v>
      </c>
      <c r="H734" s="316">
        <f t="shared" si="95"/>
        <v>5.9914576546804801</v>
      </c>
      <c r="I734" s="37">
        <f t="shared" si="93"/>
        <v>2.2030589796260127</v>
      </c>
      <c r="J734" s="316">
        <v>2.7701552261629017</v>
      </c>
      <c r="K734" s="37">
        <f t="shared" si="96"/>
        <v>0.51163430466629789</v>
      </c>
      <c r="L734" s="37">
        <f t="shared" si="91"/>
        <v>0.62368221738821716</v>
      </c>
      <c r="M734" s="45">
        <f t="shared" si="92"/>
        <v>3.5289994357735832E-2</v>
      </c>
    </row>
    <row r="735" spans="1:13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>
        <f t="shared" si="90"/>
        <v>420.25</v>
      </c>
      <c r="G735" s="70">
        <f t="shared" si="94"/>
        <v>3.4121671832821748E-3</v>
      </c>
      <c r="H735" s="316">
        <f t="shared" si="95"/>
        <v>7.7426509206010818</v>
      </c>
      <c r="I735" s="37">
        <f t="shared" si="93"/>
        <v>2.8469727435050181</v>
      </c>
      <c r="J735" s="316">
        <v>3.5798208296277974</v>
      </c>
      <c r="K735" s="37">
        <f t="shared" si="96"/>
        <v>0.6611756351045871</v>
      </c>
      <c r="L735" s="37">
        <f t="shared" si="91"/>
        <v>0.80597309919249172</v>
      </c>
      <c r="M735" s="45">
        <f t="shared" si="92"/>
        <v>4.0482107626145715E-2</v>
      </c>
    </row>
    <row r="736" spans="1:13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>
        <f t="shared" si="90"/>
        <v>468.48</v>
      </c>
      <c r="G736" s="70">
        <f t="shared" si="94"/>
        <v>3.8037646211160816E-3</v>
      </c>
      <c r="H736" s="316">
        <f t="shared" si="95"/>
        <v>8.6312364147131344</v>
      </c>
      <c r="I736" s="37">
        <f t="shared" si="93"/>
        <v>3.1737056296900197</v>
      </c>
      <c r="J736" s="316">
        <v>3.9906590416752659</v>
      </c>
      <c r="K736" s="37">
        <f t="shared" si="96"/>
        <v>0.73705547063366317</v>
      </c>
      <c r="L736" s="37">
        <f t="shared" si="91"/>
        <v>0.8984706187024355</v>
      </c>
      <c r="M736" s="45">
        <f t="shared" si="92"/>
        <v>3.5289994357735832E-2</v>
      </c>
    </row>
    <row r="737" spans="1:13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>
        <f t="shared" si="90"/>
        <v>1026.08</v>
      </c>
      <c r="G737" s="70">
        <f t="shared" si="94"/>
        <v>8.3311279082026735E-3</v>
      </c>
      <c r="H737" s="316">
        <f t="shared" si="95"/>
        <v>18.904412270339932</v>
      </c>
      <c r="I737" s="37">
        <f t="shared" si="93"/>
        <v>6.9511523918039932</v>
      </c>
      <c r="J737" s="316">
        <v>8.7404700936692201</v>
      </c>
      <c r="K737" s="37">
        <f t="shared" si="96"/>
        <v>1.6143226547724321</v>
      </c>
      <c r="L737" s="37">
        <f t="shared" si="91"/>
        <v>1.9678593161675948</v>
      </c>
      <c r="M737" s="45">
        <f t="shared" si="92"/>
        <v>3.6320043943294321E-2</v>
      </c>
    </row>
    <row r="738" spans="1:13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>
        <f t="shared" si="90"/>
        <v>1242.02</v>
      </c>
      <c r="G738" s="70">
        <f t="shared" si="94"/>
        <v>1.0084425663248367E-2</v>
      </c>
      <c r="H738" s="316">
        <f t="shared" si="95"/>
        <v>22.88287280524677</v>
      </c>
      <c r="I738" s="37">
        <f t="shared" si="93"/>
        <v>8.4140323304892384</v>
      </c>
      <c r="J738" s="316">
        <v>10.579914495691412</v>
      </c>
      <c r="K738" s="37">
        <f t="shared" si="96"/>
        <v>1.9540591607676361</v>
      </c>
      <c r="L738" s="37">
        <f t="shared" si="91"/>
        <v>2.3819981169757485</v>
      </c>
      <c r="M738" s="45">
        <f t="shared" si="92"/>
        <v>3.9305974955336699E-2</v>
      </c>
    </row>
    <row r="739" spans="1:13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>
        <f t="shared" si="90"/>
        <v>827.02</v>
      </c>
      <c r="G739" s="70">
        <f t="shared" si="94"/>
        <v>6.7148851967115388E-3</v>
      </c>
      <c r="H739" s="316">
        <f t="shared" si="95"/>
        <v>15.236947446414055</v>
      </c>
      <c r="I739" s="37">
        <f t="shared" si="93"/>
        <v>5.6026255760464485</v>
      </c>
      <c r="J739" s="316">
        <v>7.0448148067073895</v>
      </c>
      <c r="K739" s="37">
        <f t="shared" si="96"/>
        <v>1.3011433045667951</v>
      </c>
      <c r="L739" s="37">
        <f t="shared" si="91"/>
        <v>1.5860936882669232</v>
      </c>
      <c r="M739" s="45">
        <f t="shared" si="92"/>
        <v>4.2994506840892552E-2</v>
      </c>
    </row>
    <row r="740" spans="1:13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>
        <f t="shared" si="90"/>
        <v>487.41</v>
      </c>
      <c r="G740" s="70">
        <f t="shared" si="94"/>
        <v>3.9574643826378701E-3</v>
      </c>
      <c r="H740" s="316">
        <f t="shared" si="95"/>
        <v>8.9800011545750706</v>
      </c>
      <c r="I740" s="37">
        <f t="shared" si="93"/>
        <v>3.3019464245372538</v>
      </c>
      <c r="J740" s="316">
        <v>4.1519106973679589</v>
      </c>
      <c r="K740" s="37">
        <f t="shared" si="96"/>
        <v>0.7668378734237401</v>
      </c>
      <c r="L740" s="37">
        <f t="shared" si="91"/>
        <v>0.9347753677035392</v>
      </c>
      <c r="M740" s="45">
        <f t="shared" si="92"/>
        <v>3.5289994357735839E-2</v>
      </c>
    </row>
    <row r="741" spans="1:13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>
        <f t="shared" si="90"/>
        <v>685</v>
      </c>
      <c r="G741" s="70">
        <f t="shared" si="94"/>
        <v>5.5617716134403082E-3</v>
      </c>
      <c r="H741" s="316">
        <f t="shared" si="95"/>
        <v>12.620382821205807</v>
      </c>
      <c r="I741" s="37">
        <f t="shared" si="93"/>
        <v>4.6405147633573751</v>
      </c>
      <c r="J741" s="316">
        <v>5.8350440649495319</v>
      </c>
      <c r="K741" s="37">
        <f t="shared" si="96"/>
        <v>1.0777044855363285</v>
      </c>
      <c r="L741" s="37">
        <f t="shared" si="91"/>
        <v>1.3137217678687845</v>
      </c>
      <c r="M741" s="45">
        <f t="shared" si="92"/>
        <v>5.5380632611796196E-2</v>
      </c>
    </row>
    <row r="742" spans="1:13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>
        <f t="shared" si="90"/>
        <v>636.55999999999995</v>
      </c>
      <c r="G742" s="70">
        <f t="shared" si="94"/>
        <v>5.1684691069365874E-3</v>
      </c>
      <c r="H742" s="316">
        <f t="shared" si="95"/>
        <v>11.727928304623019</v>
      </c>
      <c r="I742" s="37">
        <f t="shared" si="93"/>
        <v>4.3123592376098845</v>
      </c>
      <c r="J742" s="316">
        <v>5.4224170072763123</v>
      </c>
      <c r="K742" s="37">
        <f t="shared" si="96"/>
        <v>1.0014942588511027</v>
      </c>
      <c r="L742" s="37">
        <f t="shared" si="91"/>
        <v>1.2208215015394943</v>
      </c>
      <c r="M742" s="45">
        <f t="shared" si="92"/>
        <v>3.5289994357735825E-2</v>
      </c>
    </row>
    <row r="743" spans="1:13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>
        <f t="shared" si="90"/>
        <v>505.1</v>
      </c>
      <c r="G743" s="70">
        <f t="shared" si="94"/>
        <v>4.1010961196331387E-3</v>
      </c>
      <c r="H743" s="316">
        <f t="shared" si="95"/>
        <v>9.3059202379431447</v>
      </c>
      <c r="I743" s="37">
        <f t="shared" si="93"/>
        <v>3.4217868714916944</v>
      </c>
      <c r="J743" s="316">
        <v>4.3025996455562172</v>
      </c>
      <c r="K743" s="37">
        <f t="shared" si="96"/>
        <v>0.79466939510131329</v>
      </c>
      <c r="L743" s="37">
        <f t="shared" si="91"/>
        <v>0.96870199262850099</v>
      </c>
      <c r="M743" s="45">
        <f t="shared" si="92"/>
        <v>3.6010052828469433E-2</v>
      </c>
    </row>
    <row r="744" spans="1:13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>
        <f t="shared" si="90"/>
        <v>536.88</v>
      </c>
      <c r="G744" s="70">
        <f t="shared" si="94"/>
        <v>4.3591298449982959E-3</v>
      </c>
      <c r="H744" s="316">
        <f t="shared" si="95"/>
        <v>9.8914323051809845</v>
      </c>
      <c r="I744" s="37">
        <f t="shared" si="93"/>
        <v>3.6370796586150482</v>
      </c>
      <c r="J744" s="316">
        <v>4.5733116169198613</v>
      </c>
      <c r="K744" s="37">
        <f t="shared" si="96"/>
        <v>0.8446685900653198</v>
      </c>
      <c r="L744" s="37">
        <f t="shared" si="91"/>
        <v>1.0296510112896249</v>
      </c>
      <c r="M744" s="45">
        <f t="shared" si="92"/>
        <v>3.5289994357735832E-2</v>
      </c>
    </row>
    <row r="745" spans="1:13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>
        <f>C745+D745+E745</f>
        <v>132.6</v>
      </c>
      <c r="G745" s="70">
        <f t="shared" si="94"/>
        <v>1.0766290743681531E-3</v>
      </c>
      <c r="H745" s="316">
        <f t="shared" si="95"/>
        <v>2.4430113315210074</v>
      </c>
      <c r="I745" s="37">
        <f t="shared" si="93"/>
        <v>0.89829526660027448</v>
      </c>
      <c r="J745" s="316">
        <v>0</v>
      </c>
      <c r="K745" s="37">
        <f>G745*193.77*1.08</f>
        <v>0.22530788899954241</v>
      </c>
      <c r="L745" s="37">
        <f t="shared" si="91"/>
        <v>0.27465031669044221</v>
      </c>
      <c r="M745" s="45">
        <v>0</v>
      </c>
    </row>
    <row r="746" spans="1:13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>C746+D746+E746</f>
        <v>380.2</v>
      </c>
      <c r="G746" s="70"/>
      <c r="H746" s="316"/>
      <c r="I746" s="37"/>
      <c r="J746" s="316"/>
      <c r="K746" s="37"/>
      <c r="L746" s="37">
        <f t="shared" si="91"/>
        <v>0</v>
      </c>
      <c r="M746" s="45">
        <f t="shared" si="92"/>
        <v>0</v>
      </c>
    </row>
    <row r="747" spans="1:13" s="69" customFormat="1" ht="15.75">
      <c r="A747" s="248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3">
        <f>C747+D747+E747</f>
        <v>246324.39000000004</v>
      </c>
      <c r="G747" s="70">
        <f>2/246324.39*F747</f>
        <v>2</v>
      </c>
      <c r="H747" s="316">
        <f>G747*2269.13</f>
        <v>4538.26</v>
      </c>
      <c r="I747" s="316">
        <f>H747*0.3677</f>
        <v>1668.7182020000002</v>
      </c>
      <c r="J747" s="316">
        <v>1752.2607417230154</v>
      </c>
      <c r="K747" s="37">
        <f>G747*193.77*1.08</f>
        <v>418.54320000000007</v>
      </c>
      <c r="L747" s="37">
        <f t="shared" si="91"/>
        <v>510.20416080000012</v>
      </c>
      <c r="M747" s="45">
        <f t="shared" si="92"/>
        <v>3.47584753938944E-2</v>
      </c>
    </row>
    <row r="748" spans="1:13" s="6" customFormat="1" ht="15.75">
      <c r="A748" s="9" t="s">
        <v>593</v>
      </c>
      <c r="B748" s="8"/>
      <c r="C748" s="8"/>
      <c r="D748" s="8"/>
      <c r="E748" s="8"/>
      <c r="F748" s="40"/>
      <c r="G748" s="61"/>
      <c r="H748" s="316"/>
      <c r="I748" s="37"/>
      <c r="J748" s="316"/>
      <c r="K748" s="37"/>
      <c r="L748" s="37"/>
      <c r="M748" s="45" t="e">
        <f t="shared" si="92"/>
        <v>#DIV/0!</v>
      </c>
    </row>
    <row r="749" spans="1:13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40">
        <f t="shared" ref="F749:F809" si="97">C749+D749+E749</f>
        <v>4275.08</v>
      </c>
      <c r="G749" s="221">
        <f t="shared" ref="G749:G812" si="98">2/271319.02*F749</f>
        <v>3.1513308576744822E-2</v>
      </c>
      <c r="H749" s="316">
        <f t="shared" ref="H749:H812" si="99">G749*2269.13</f>
        <v>71.507793890748985</v>
      </c>
      <c r="I749" s="37">
        <f t="shared" ref="I749:I809" si="100">H749*0.3677</f>
        <v>26.293415813628403</v>
      </c>
      <c r="J749" s="316">
        <v>27.595427815153982</v>
      </c>
      <c r="K749" s="37">
        <f t="shared" ref="K749:K812" si="101">G749*193.77</f>
        <v>6.1063338029158443</v>
      </c>
      <c r="L749" s="37"/>
      <c r="M749" s="45">
        <f t="shared" si="92"/>
        <v>3.0760353331972079E-2</v>
      </c>
    </row>
    <row r="750" spans="1:13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40">
        <f t="shared" si="97"/>
        <v>4574.41</v>
      </c>
      <c r="G750" s="221">
        <f t="shared" si="98"/>
        <v>3.3719788608996153E-2</v>
      </c>
      <c r="H750" s="316">
        <f t="shared" si="99"/>
        <v>76.51458392633144</v>
      </c>
      <c r="I750" s="37">
        <f t="shared" si="100"/>
        <v>28.134412509712071</v>
      </c>
      <c r="J750" s="316">
        <v>29.527588010497706</v>
      </c>
      <c r="K750" s="37">
        <f t="shared" si="101"/>
        <v>6.5338834387651845</v>
      </c>
      <c r="L750" s="37"/>
      <c r="M750" s="45">
        <f t="shared" si="92"/>
        <v>3.0760353331972079E-2</v>
      </c>
    </row>
    <row r="751" spans="1:13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40">
        <f t="shared" si="97"/>
        <v>8527.85</v>
      </c>
      <c r="G751" s="221">
        <f t="shared" si="98"/>
        <v>6.2862161303693348E-2</v>
      </c>
      <c r="H751" s="316">
        <f t="shared" si="99"/>
        <v>142.6424160790497</v>
      </c>
      <c r="I751" s="37">
        <f t="shared" si="100"/>
        <v>52.449616392266577</v>
      </c>
      <c r="J751" s="316">
        <v>55.046845694925217</v>
      </c>
      <c r="K751" s="37">
        <f t="shared" si="101"/>
        <v>12.180800995816661</v>
      </c>
      <c r="L751" s="37"/>
      <c r="M751" s="45">
        <f t="shared" si="92"/>
        <v>3.0760353331972086E-2</v>
      </c>
    </row>
    <row r="752" spans="1:13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40">
        <f t="shared" si="97"/>
        <v>5131.3999999999996</v>
      </c>
      <c r="G752" s="221">
        <f t="shared" si="98"/>
        <v>3.7825582592772147E-2</v>
      </c>
      <c r="H752" s="316">
        <f t="shared" si="99"/>
        <v>85.831164228737066</v>
      </c>
      <c r="I752" s="37">
        <f t="shared" si="100"/>
        <v>31.560119086906621</v>
      </c>
      <c r="J752" s="316">
        <v>33.122930633036376</v>
      </c>
      <c r="K752" s="37">
        <f t="shared" si="101"/>
        <v>7.3294631390014597</v>
      </c>
      <c r="L752" s="37"/>
      <c r="M752" s="45">
        <f t="shared" si="92"/>
        <v>3.0760353331972082E-2</v>
      </c>
    </row>
    <row r="753" spans="1:13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40">
        <f t="shared" si="97"/>
        <v>4290.1499999999996</v>
      </c>
      <c r="G753" s="221">
        <f t="shared" si="98"/>
        <v>3.1624395517866749E-2</v>
      </c>
      <c r="H753" s="316">
        <f t="shared" si="99"/>
        <v>71.759864601456982</v>
      </c>
      <c r="I753" s="37">
        <f t="shared" si="100"/>
        <v>26.386102213955734</v>
      </c>
      <c r="J753" s="316">
        <v>27.692703912250263</v>
      </c>
      <c r="K753" s="37">
        <f t="shared" si="101"/>
        <v>6.1278591194970407</v>
      </c>
      <c r="L753" s="37"/>
      <c r="M753" s="45">
        <f t="shared" si="92"/>
        <v>3.0760353331972082E-2</v>
      </c>
    </row>
    <row r="754" spans="1:13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40">
        <f t="shared" si="97"/>
        <v>5185.3900000000003</v>
      </c>
      <c r="G754" s="221">
        <f t="shared" si="98"/>
        <v>3.8223564274999962E-2</v>
      </c>
      <c r="H754" s="316">
        <f t="shared" si="99"/>
        <v>86.734236403330669</v>
      </c>
      <c r="I754" s="37">
        <f t="shared" si="100"/>
        <v>31.892178725504689</v>
      </c>
      <c r="J754" s="316">
        <v>33.471433385672626</v>
      </c>
      <c r="K754" s="37">
        <f t="shared" si="101"/>
        <v>7.4065800495667427</v>
      </c>
      <c r="L754" s="37"/>
      <c r="M754" s="45">
        <f t="shared" si="92"/>
        <v>3.0760353331972079E-2</v>
      </c>
    </row>
    <row r="755" spans="1:13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40">
        <f t="shared" si="97"/>
        <v>4246.38</v>
      </c>
      <c r="G755" s="221">
        <f t="shared" si="98"/>
        <v>3.1301749505066027E-2</v>
      </c>
      <c r="H755" s="316">
        <f t="shared" si="99"/>
        <v>71.027738854430481</v>
      </c>
      <c r="I755" s="37">
        <f t="shared" si="100"/>
        <v>26.116899576774088</v>
      </c>
      <c r="J755" s="316">
        <v>27.410170749018402</v>
      </c>
      <c r="K755" s="37">
        <f t="shared" si="101"/>
        <v>6.0653400015966445</v>
      </c>
      <c r="L755" s="37"/>
      <c r="M755" s="45">
        <f t="shared" si="92"/>
        <v>3.0760353331972082E-2</v>
      </c>
    </row>
    <row r="756" spans="1:13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40">
        <f t="shared" si="97"/>
        <v>4446.42</v>
      </c>
      <c r="G756" s="221">
        <f t="shared" si="98"/>
        <v>3.2776323606063446E-2</v>
      </c>
      <c r="H756" s="316">
        <f t="shared" si="99"/>
        <v>74.37373918422675</v>
      </c>
      <c r="I756" s="37">
        <f t="shared" si="100"/>
        <v>27.347223898040177</v>
      </c>
      <c r="J756" s="316">
        <v>28.70141895493347</v>
      </c>
      <c r="K756" s="37">
        <f t="shared" si="101"/>
        <v>6.3510682251469142</v>
      </c>
      <c r="L756" s="37"/>
      <c r="M756" s="45">
        <f t="shared" si="92"/>
        <v>3.0760353331972079E-2</v>
      </c>
    </row>
    <row r="757" spans="1:13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40">
        <f t="shared" si="97"/>
        <v>2920.24</v>
      </c>
      <c r="G757" s="221">
        <f t="shared" si="98"/>
        <v>2.1526246114260621E-2</v>
      </c>
      <c r="H757" s="316">
        <f t="shared" si="99"/>
        <v>48.845850845252201</v>
      </c>
      <c r="I757" s="37">
        <f t="shared" si="100"/>
        <v>17.960619355799235</v>
      </c>
      <c r="J757" s="316">
        <v>18.850003303546426</v>
      </c>
      <c r="K757" s="37">
        <f t="shared" si="101"/>
        <v>4.171140709560281</v>
      </c>
      <c r="L757" s="37"/>
      <c r="M757" s="45">
        <f t="shared" si="92"/>
        <v>3.0760353331972082E-2</v>
      </c>
    </row>
    <row r="758" spans="1:13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40">
        <f t="shared" si="97"/>
        <v>4278.99</v>
      </c>
      <c r="G758" s="221">
        <f t="shared" si="98"/>
        <v>3.1542130735987474E-2</v>
      </c>
      <c r="H758" s="316">
        <f t="shared" si="99"/>
        <v>71.573195116951254</v>
      </c>
      <c r="I758" s="37">
        <f t="shared" si="100"/>
        <v>26.317463844502978</v>
      </c>
      <c r="J758" s="316">
        <v>27.620666669808688</v>
      </c>
      <c r="K758" s="37">
        <f t="shared" si="101"/>
        <v>6.1119186727122932</v>
      </c>
      <c r="L758" s="37"/>
      <c r="M758" s="45">
        <f t="shared" si="92"/>
        <v>3.0760353331972082E-2</v>
      </c>
    </row>
    <row r="759" spans="1:13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40">
        <f t="shared" si="97"/>
        <v>8595.7800000000007</v>
      </c>
      <c r="G759" s="221">
        <f t="shared" si="98"/>
        <v>6.3362900249307991E-2</v>
      </c>
      <c r="H759" s="316">
        <f t="shared" si="99"/>
        <v>143.77865784271225</v>
      </c>
      <c r="I759" s="37">
        <f t="shared" si="100"/>
        <v>52.867412488765297</v>
      </c>
      <c r="J759" s="316">
        <v>55.485330451113043</v>
      </c>
      <c r="K759" s="37">
        <f t="shared" si="101"/>
        <v>12.277829181308411</v>
      </c>
      <c r="L759" s="37"/>
      <c r="M759" s="45">
        <f t="shared" si="92"/>
        <v>3.0760353331972082E-2</v>
      </c>
    </row>
    <row r="760" spans="1:13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40">
        <f t="shared" si="97"/>
        <v>4516.6000000000004</v>
      </c>
      <c r="G760" s="221">
        <f t="shared" si="98"/>
        <v>3.3293648193186018E-2</v>
      </c>
      <c r="H760" s="316">
        <f t="shared" si="99"/>
        <v>75.547615924604187</v>
      </c>
      <c r="I760" s="37">
        <f t="shared" si="100"/>
        <v>27.778858375476961</v>
      </c>
      <c r="J760" s="316">
        <v>29.154427348710318</v>
      </c>
      <c r="K760" s="37">
        <f t="shared" si="101"/>
        <v>6.4513102103936548</v>
      </c>
      <c r="L760" s="37"/>
      <c r="M760" s="45">
        <f t="shared" si="92"/>
        <v>3.0760353331972082E-2</v>
      </c>
    </row>
    <row r="761" spans="1:13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40">
        <f t="shared" si="97"/>
        <v>5874.29</v>
      </c>
      <c r="G761" s="221">
        <f t="shared" si="98"/>
        <v>4.3301719134913576E-2</v>
      </c>
      <c r="H761" s="316">
        <f t="shared" si="99"/>
        <v>98.25722994060645</v>
      </c>
      <c r="I761" s="37">
        <f t="shared" si="100"/>
        <v>36.129183449160998</v>
      </c>
      <c r="J761" s="316">
        <v>37.918248467930638</v>
      </c>
      <c r="K761" s="37">
        <f t="shared" si="101"/>
        <v>8.3905741167722034</v>
      </c>
      <c r="L761" s="37"/>
      <c r="M761" s="45">
        <f t="shared" si="92"/>
        <v>3.0760353331972082E-2</v>
      </c>
    </row>
    <row r="762" spans="1:13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40">
        <f t="shared" si="97"/>
        <v>5810.95</v>
      </c>
      <c r="G762" s="221">
        <f t="shared" si="98"/>
        <v>4.2834814897975082E-2</v>
      </c>
      <c r="H762" s="316">
        <f t="shared" si="99"/>
        <v>97.197763529442199</v>
      </c>
      <c r="I762" s="37">
        <f t="shared" si="100"/>
        <v>35.739617649775901</v>
      </c>
      <c r="J762" s="316">
        <v>37.509391932424435</v>
      </c>
      <c r="K762" s="37">
        <f t="shared" si="101"/>
        <v>8.3001020827806329</v>
      </c>
      <c r="L762" s="37"/>
      <c r="M762" s="45">
        <f t="shared" si="92"/>
        <v>3.0760353331972086E-2</v>
      </c>
    </row>
    <row r="763" spans="1:13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40">
        <f t="shared" si="97"/>
        <v>4535.62</v>
      </c>
      <c r="G763" s="221">
        <f t="shared" si="98"/>
        <v>3.3433852149399625E-2</v>
      </c>
      <c r="H763" s="316">
        <f t="shared" si="99"/>
        <v>75.86575692776718</v>
      </c>
      <c r="I763" s="37">
        <f t="shared" si="100"/>
        <v>27.895838822339993</v>
      </c>
      <c r="J763" s="316">
        <v>29.277200498462886</v>
      </c>
      <c r="K763" s="37">
        <f t="shared" si="101"/>
        <v>6.4784775309891653</v>
      </c>
      <c r="L763" s="37"/>
      <c r="M763" s="45">
        <f t="shared" si="92"/>
        <v>3.2331439365677582E-2</v>
      </c>
    </row>
    <row r="764" spans="1:13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40">
        <f t="shared" si="97"/>
        <v>6970.5</v>
      </c>
      <c r="G764" s="221">
        <f t="shared" si="98"/>
        <v>5.1382317391534142E-2</v>
      </c>
      <c r="H764" s="316">
        <f t="shared" si="99"/>
        <v>116.59315786265188</v>
      </c>
      <c r="I764" s="37">
        <f t="shared" si="100"/>
        <v>42.871304146097096</v>
      </c>
      <c r="J764" s="316">
        <v>44.994229250804864</v>
      </c>
      <c r="K764" s="37">
        <f t="shared" si="101"/>
        <v>9.9563516409575712</v>
      </c>
      <c r="L764" s="37"/>
      <c r="M764" s="45">
        <f t="shared" si="92"/>
        <v>3.5620666993473007E-2</v>
      </c>
    </row>
    <row r="765" spans="1:13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40">
        <f t="shared" si="97"/>
        <v>7328.65</v>
      </c>
      <c r="G765" s="221">
        <f t="shared" si="98"/>
        <v>5.4022382949783614E-2</v>
      </c>
      <c r="H765" s="316">
        <f t="shared" si="99"/>
        <v>122.5838098228425</v>
      </c>
      <c r="I765" s="37">
        <f t="shared" si="100"/>
        <v>45.074066871859188</v>
      </c>
      <c r="J765" s="316">
        <v>47.306069607475941</v>
      </c>
      <c r="K765" s="37">
        <f t="shared" si="101"/>
        <v>10.467917144179571</v>
      </c>
      <c r="L765" s="37"/>
      <c r="M765" s="45">
        <f t="shared" si="92"/>
        <v>3.1050579319484749E-2</v>
      </c>
    </row>
    <row r="766" spans="1:13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40">
        <f t="shared" si="97"/>
        <v>6535.5999999999995</v>
      </c>
      <c r="G766" s="221">
        <f t="shared" si="98"/>
        <v>4.8176497172958972E-2</v>
      </c>
      <c r="H766" s="316">
        <f t="shared" si="99"/>
        <v>109.3187350300764</v>
      </c>
      <c r="I766" s="37">
        <f t="shared" si="100"/>
        <v>40.196498870559097</v>
      </c>
      <c r="J766" s="316">
        <v>42.18697147859698</v>
      </c>
      <c r="K766" s="37">
        <f t="shared" si="101"/>
        <v>9.3351598572042604</v>
      </c>
      <c r="L766" s="37"/>
      <c r="M766" s="45">
        <f t="shared" si="92"/>
        <v>3.1587795430274138E-2</v>
      </c>
    </row>
    <row r="767" spans="1:13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40">
        <f t="shared" si="97"/>
        <v>11062.33</v>
      </c>
      <c r="G767" s="221">
        <f t="shared" si="98"/>
        <v>8.1544817609911752E-2</v>
      </c>
      <c r="H767" s="316">
        <f t="shared" si="99"/>
        <v>185.03579198317905</v>
      </c>
      <c r="I767" s="37">
        <f t="shared" si="100"/>
        <v>68.037660712214944</v>
      </c>
      <c r="J767" s="316">
        <v>71.406787471208119</v>
      </c>
      <c r="K767" s="37">
        <f t="shared" si="101"/>
        <v>15.800939308272602</v>
      </c>
      <c r="L767" s="37"/>
      <c r="M767" s="45">
        <f t="shared" si="92"/>
        <v>3.0760353331972086E-2</v>
      </c>
    </row>
    <row r="768" spans="1:13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40">
        <f t="shared" si="97"/>
        <v>8492.94</v>
      </c>
      <c r="G768" s="221">
        <f t="shared" si="98"/>
        <v>6.260482586145269E-2</v>
      </c>
      <c r="H768" s="316">
        <f t="shared" si="99"/>
        <v>142.05848850699815</v>
      </c>
      <c r="I768" s="37">
        <f t="shared" si="100"/>
        <v>52.23490622402322</v>
      </c>
      <c r="J768" s="316">
        <v>54.821503389043926</v>
      </c>
      <c r="K768" s="37">
        <f t="shared" si="101"/>
        <v>12.130937107173688</v>
      </c>
      <c r="L768" s="37"/>
      <c r="M768" s="45">
        <f t="shared" si="92"/>
        <v>3.0760353331972086E-2</v>
      </c>
    </row>
    <row r="769" spans="1:13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40">
        <f t="shared" si="97"/>
        <v>3876.37</v>
      </c>
      <c r="G769" s="221">
        <f t="shared" si="98"/>
        <v>2.8574259187579255E-2</v>
      </c>
      <c r="H769" s="316">
        <f t="shared" si="99"/>
        <v>64.838708750311724</v>
      </c>
      <c r="I769" s="37">
        <f t="shared" si="100"/>
        <v>23.841193207489624</v>
      </c>
      <c r="J769" s="316">
        <v>25.02177468487805</v>
      </c>
      <c r="K769" s="37">
        <f t="shared" si="101"/>
        <v>5.536834202777233</v>
      </c>
      <c r="L769" s="37"/>
      <c r="M769" s="45">
        <f t="shared" si="92"/>
        <v>3.0760353331972086E-2</v>
      </c>
    </row>
    <row r="770" spans="1:13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40">
        <f t="shared" si="97"/>
        <v>5695.76</v>
      </c>
      <c r="G770" s="221">
        <f t="shared" si="98"/>
        <v>4.1985703766731872E-2</v>
      </c>
      <c r="H770" s="316">
        <f t="shared" si="99"/>
        <v>95.271019988204301</v>
      </c>
      <c r="I770" s="37">
        <f t="shared" si="100"/>
        <v>35.031154049662725</v>
      </c>
      <c r="J770" s="316">
        <v>36.765846237366659</v>
      </c>
      <c r="K770" s="37">
        <f t="shared" si="101"/>
        <v>8.1355698188796346</v>
      </c>
      <c r="L770" s="37"/>
      <c r="M770" s="45">
        <f t="shared" si="92"/>
        <v>3.1011351142212686E-2</v>
      </c>
    </row>
    <row r="771" spans="1:13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40">
        <f t="shared" si="97"/>
        <v>5815.2</v>
      </c>
      <c r="G771" s="221">
        <f t="shared" si="98"/>
        <v>4.2866143331934482E-2</v>
      </c>
      <c r="H771" s="316">
        <f t="shared" si="99"/>
        <v>97.268851818792498</v>
      </c>
      <c r="I771" s="37">
        <f t="shared" si="100"/>
        <v>35.765756813770004</v>
      </c>
      <c r="J771" s="316">
        <v>37.536825470092595</v>
      </c>
      <c r="K771" s="37">
        <f t="shared" si="101"/>
        <v>8.3061725934289452</v>
      </c>
      <c r="L771" s="37"/>
      <c r="M771" s="45">
        <f t="shared" si="92"/>
        <v>3.0760353331972082E-2</v>
      </c>
    </row>
    <row r="772" spans="1:13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40">
        <f t="shared" si="97"/>
        <v>5690.31</v>
      </c>
      <c r="G772" s="221">
        <f t="shared" si="98"/>
        <v>4.1945529657301583E-2</v>
      </c>
      <c r="H772" s="316">
        <f t="shared" si="99"/>
        <v>95.179859711272741</v>
      </c>
      <c r="I772" s="37">
        <f t="shared" si="100"/>
        <v>34.997634415834987</v>
      </c>
      <c r="J772" s="316">
        <v>36.730666759651022</v>
      </c>
      <c r="K772" s="37">
        <f t="shared" si="101"/>
        <v>8.1277852816953278</v>
      </c>
      <c r="L772" s="37"/>
      <c r="M772" s="45">
        <f t="shared" si="92"/>
        <v>3.0760353331972082E-2</v>
      </c>
    </row>
    <row r="773" spans="1:13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40">
        <f t="shared" si="97"/>
        <v>3955.02</v>
      </c>
      <c r="G773" s="221">
        <f t="shared" si="98"/>
        <v>2.9154019500733857E-2</v>
      </c>
      <c r="H773" s="316">
        <f t="shared" si="99"/>
        <v>66.154260269700217</v>
      </c>
      <c r="I773" s="37">
        <f t="shared" si="100"/>
        <v>24.32492150116877</v>
      </c>
      <c r="J773" s="316">
        <v>25.529456505490028</v>
      </c>
      <c r="K773" s="37">
        <f t="shared" si="101"/>
        <v>5.6491743586571994</v>
      </c>
      <c r="L773" s="37"/>
      <c r="M773" s="45">
        <f t="shared" si="92"/>
        <v>3.0760353331972079E-2</v>
      </c>
    </row>
    <row r="774" spans="1:13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40">
        <f t="shared" si="97"/>
        <v>3905.27</v>
      </c>
      <c r="G774" s="221">
        <f t="shared" si="98"/>
        <v>2.8787292538503196E-2</v>
      </c>
      <c r="H774" s="316">
        <f t="shared" si="99"/>
        <v>65.32210911789376</v>
      </c>
      <c r="I774" s="37">
        <f t="shared" si="100"/>
        <v>24.018939522649536</v>
      </c>
      <c r="J774" s="316">
        <v>25.208322741021551</v>
      </c>
      <c r="K774" s="37">
        <f t="shared" si="101"/>
        <v>5.5781136751857643</v>
      </c>
      <c r="L774" s="37"/>
      <c r="M774" s="45">
        <f t="shared" si="92"/>
        <v>3.0760353331972082E-2</v>
      </c>
    </row>
    <row r="775" spans="1:13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40">
        <f t="shared" si="97"/>
        <v>4859.2700000000004</v>
      </c>
      <c r="G775" s="221">
        <f t="shared" si="98"/>
        <v>3.5819604537861004E-2</v>
      </c>
      <c r="H775" s="316">
        <f t="shared" si="99"/>
        <v>81.279339244996549</v>
      </c>
      <c r="I775" s="37">
        <f t="shared" si="100"/>
        <v>29.886413040385232</v>
      </c>
      <c r="J775" s="316">
        <v>31.366345078768891</v>
      </c>
      <c r="K775" s="37">
        <f t="shared" si="101"/>
        <v>6.9407647713013274</v>
      </c>
      <c r="L775" s="37"/>
      <c r="M775" s="45">
        <f t="shared" ref="M775:M838" si="102">(K775+J775+I775+H775)/C775</f>
        <v>3.5843349823976481E-2</v>
      </c>
    </row>
    <row r="776" spans="1:13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40">
        <f t="shared" si="97"/>
        <v>4953.4199999999992</v>
      </c>
      <c r="G776" s="221">
        <f t="shared" si="98"/>
        <v>3.6513621492514595E-2</v>
      </c>
      <c r="H776" s="316">
        <f t="shared" si="99"/>
        <v>82.854153937309647</v>
      </c>
      <c r="I776" s="37">
        <f t="shared" si="100"/>
        <v>30.465472402748759</v>
      </c>
      <c r="J776" s="316">
        <v>31.97407862499416</v>
      </c>
      <c r="K776" s="37">
        <f t="shared" si="101"/>
        <v>7.075244436604553</v>
      </c>
      <c r="L776" s="37"/>
      <c r="M776" s="45">
        <f t="shared" si="102"/>
        <v>3.5699312437714292E-2</v>
      </c>
    </row>
    <row r="777" spans="1:13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40">
        <f t="shared" si="97"/>
        <v>10932.24</v>
      </c>
      <c r="G777" s="221">
        <f t="shared" si="98"/>
        <v>8.0585872674904982E-2</v>
      </c>
      <c r="H777" s="316">
        <f t="shared" si="99"/>
        <v>182.85982126280715</v>
      </c>
      <c r="I777" s="37">
        <f t="shared" si="100"/>
        <v>67.237556278334196</v>
      </c>
      <c r="J777" s="316">
        <v>70.567063020560781</v>
      </c>
      <c r="K777" s="37">
        <f t="shared" si="101"/>
        <v>15.61512454821634</v>
      </c>
      <c r="L777" s="37"/>
      <c r="M777" s="45">
        <f t="shared" si="102"/>
        <v>3.0760353331972079E-2</v>
      </c>
    </row>
    <row r="778" spans="1:13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40">
        <f t="shared" si="97"/>
        <v>4713.08</v>
      </c>
      <c r="G778" s="221">
        <f t="shared" si="98"/>
        <v>3.4741980123619787E-2</v>
      </c>
      <c r="H778" s="316">
        <f t="shared" si="99"/>
        <v>78.834069357909371</v>
      </c>
      <c r="I778" s="37">
        <f t="shared" si="100"/>
        <v>28.98728730290328</v>
      </c>
      <c r="J778" s="316">
        <v>30.422695932484523</v>
      </c>
      <c r="K778" s="37">
        <f t="shared" si="101"/>
        <v>6.7319534885538062</v>
      </c>
      <c r="L778" s="37"/>
      <c r="M778" s="45">
        <f t="shared" si="102"/>
        <v>3.0760353331972082E-2</v>
      </c>
    </row>
    <row r="779" spans="1:13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40">
        <f t="shared" si="97"/>
        <v>4688.58</v>
      </c>
      <c r="G779" s="221">
        <f t="shared" si="98"/>
        <v>3.456138091608911E-2</v>
      </c>
      <c r="H779" s="316">
        <f t="shared" si="99"/>
        <v>78.424266278125287</v>
      </c>
      <c r="I779" s="37">
        <f t="shared" si="100"/>
        <v>28.836602710466671</v>
      </c>
      <c r="J779" s="316">
        <v>30.264549656515118</v>
      </c>
      <c r="K779" s="37">
        <f t="shared" si="101"/>
        <v>6.6969587801105872</v>
      </c>
      <c r="L779" s="37"/>
      <c r="M779" s="45">
        <f t="shared" si="102"/>
        <v>3.0760353331972086E-2</v>
      </c>
    </row>
    <row r="780" spans="1:13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40">
        <f t="shared" si="97"/>
        <v>2330.62</v>
      </c>
      <c r="G780" s="221">
        <f t="shared" si="98"/>
        <v>1.7179923471638662E-2</v>
      </c>
      <c r="H780" s="316">
        <f t="shared" si="99"/>
        <v>38.983479747199439</v>
      </c>
      <c r="I780" s="37">
        <f t="shared" si="100"/>
        <v>14.334225503045236</v>
      </c>
      <c r="J780" s="316">
        <v>15.044035661216673</v>
      </c>
      <c r="K780" s="37">
        <f t="shared" si="101"/>
        <v>3.3289537710994237</v>
      </c>
      <c r="L780" s="37"/>
      <c r="M780" s="45">
        <f t="shared" si="102"/>
        <v>3.0760353331972082E-2</v>
      </c>
    </row>
    <row r="781" spans="1:13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40">
        <f t="shared" si="97"/>
        <v>2305.7800000000002</v>
      </c>
      <c r="G781" s="221">
        <f t="shared" si="98"/>
        <v>1.6996817989391236E-2</v>
      </c>
      <c r="H781" s="316">
        <f t="shared" si="99"/>
        <v>38.567989604267339</v>
      </c>
      <c r="I781" s="37">
        <f t="shared" si="100"/>
        <v>14.181449777489101</v>
      </c>
      <c r="J781" s="316">
        <v>14.88369470223382</v>
      </c>
      <c r="K781" s="37">
        <f t="shared" si="101"/>
        <v>3.29347342180434</v>
      </c>
      <c r="L781" s="37"/>
      <c r="M781" s="45">
        <f t="shared" si="102"/>
        <v>3.0760353331972089E-2</v>
      </c>
    </row>
    <row r="782" spans="1:13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40">
        <f t="shared" si="97"/>
        <v>2216.46</v>
      </c>
      <c r="G782" s="221">
        <f t="shared" si="98"/>
        <v>1.6338404878507965E-2</v>
      </c>
      <c r="H782" s="316">
        <f t="shared" si="99"/>
        <v>37.07396466196878</v>
      </c>
      <c r="I782" s="37">
        <f t="shared" si="100"/>
        <v>13.632096806205922</v>
      </c>
      <c r="J782" s="316">
        <v>14.307138564699656</v>
      </c>
      <c r="K782" s="37">
        <f t="shared" si="101"/>
        <v>3.1658927133084886</v>
      </c>
      <c r="L782" s="37"/>
      <c r="M782" s="45">
        <f t="shared" si="102"/>
        <v>3.0760353331972082E-2</v>
      </c>
    </row>
    <row r="783" spans="1:13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40">
        <f t="shared" si="97"/>
        <v>5853.7699999999995</v>
      </c>
      <c r="G783" s="221">
        <f t="shared" si="98"/>
        <v>4.3150458084361347E-2</v>
      </c>
      <c r="H783" s="316">
        <f t="shared" si="99"/>
        <v>97.913998952966864</v>
      </c>
      <c r="I783" s="37">
        <f t="shared" si="100"/>
        <v>36.002977415005915</v>
      </c>
      <c r="J783" s="316">
        <v>37.78579289311871</v>
      </c>
      <c r="K783" s="37">
        <f t="shared" si="101"/>
        <v>8.3612642630066993</v>
      </c>
      <c r="L783" s="37"/>
      <c r="M783" s="45">
        <f t="shared" si="102"/>
        <v>3.1403577954173742E-2</v>
      </c>
    </row>
    <row r="784" spans="1:13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40">
        <f t="shared" si="97"/>
        <v>5132.7700000000004</v>
      </c>
      <c r="G784" s="221">
        <f t="shared" si="98"/>
        <v>3.7835681405601423E-2</v>
      </c>
      <c r="H784" s="316">
        <f t="shared" si="99"/>
        <v>85.854079747892357</v>
      </c>
      <c r="I784" s="37">
        <f t="shared" si="100"/>
        <v>31.568545123300023</v>
      </c>
      <c r="J784" s="316">
        <v>33.131773914590589</v>
      </c>
      <c r="K784" s="37">
        <f t="shared" si="101"/>
        <v>7.3314199859633886</v>
      </c>
      <c r="L784" s="37"/>
      <c r="M784" s="45">
        <f t="shared" si="102"/>
        <v>3.4199069626320779E-2</v>
      </c>
    </row>
    <row r="785" spans="1:13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40">
        <f t="shared" si="97"/>
        <v>4658.3100000000004</v>
      </c>
      <c r="G785" s="221">
        <f t="shared" si="98"/>
        <v>3.4338248752335904E-2</v>
      </c>
      <c r="H785" s="316">
        <f t="shared" si="99"/>
        <v>77.917950391387976</v>
      </c>
      <c r="I785" s="37">
        <f t="shared" si="100"/>
        <v>28.650430358913361</v>
      </c>
      <c r="J785" s="316">
        <v>30.069158318817415</v>
      </c>
      <c r="K785" s="37">
        <f t="shared" si="101"/>
        <v>6.653722460740128</v>
      </c>
      <c r="L785" s="37"/>
      <c r="M785" s="45">
        <f t="shared" si="102"/>
        <v>3.213377740224365E-2</v>
      </c>
    </row>
    <row r="786" spans="1:13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40">
        <f t="shared" si="97"/>
        <v>4519.6099999999997</v>
      </c>
      <c r="G786" s="221">
        <f t="shared" si="98"/>
        <v>3.3315836095825495E-2</v>
      </c>
      <c r="H786" s="316">
        <f t="shared" si="99"/>
        <v>75.597963160120514</v>
      </c>
      <c r="I786" s="37">
        <f t="shared" si="100"/>
        <v>27.797371053976317</v>
      </c>
      <c r="J786" s="316">
        <v>29.17385674832941</v>
      </c>
      <c r="K786" s="37">
        <f t="shared" si="101"/>
        <v>6.4556095602881065</v>
      </c>
      <c r="L786" s="37"/>
      <c r="M786" s="45">
        <f t="shared" si="102"/>
        <v>3.0760353331972086E-2</v>
      </c>
    </row>
    <row r="787" spans="1:13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40">
        <f t="shared" si="97"/>
        <v>7164.75</v>
      </c>
      <c r="G787" s="221">
        <f t="shared" si="98"/>
        <v>5.2814211108384509E-2</v>
      </c>
      <c r="H787" s="316">
        <f t="shared" si="99"/>
        <v>119.84231085236854</v>
      </c>
      <c r="I787" s="37">
        <f t="shared" si="100"/>
        <v>44.066017700415912</v>
      </c>
      <c r="J787" s="316">
        <v>46.248103295990838</v>
      </c>
      <c r="K787" s="37">
        <f t="shared" si="101"/>
        <v>10.233809686471666</v>
      </c>
      <c r="L787" s="37"/>
      <c r="M787" s="45">
        <f t="shared" si="102"/>
        <v>3.0760353331972079E-2</v>
      </c>
    </row>
    <row r="788" spans="1:13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40">
        <f t="shared" si="97"/>
        <v>4422.5</v>
      </c>
      <c r="G788" s="221">
        <f t="shared" si="98"/>
        <v>3.2599999808343695E-2</v>
      </c>
      <c r="H788" s="316">
        <f t="shared" si="99"/>
        <v>73.973637565106927</v>
      </c>
      <c r="I788" s="37">
        <f t="shared" si="100"/>
        <v>27.200106532689819</v>
      </c>
      <c r="J788" s="316">
        <v>28.547016549987021</v>
      </c>
      <c r="K788" s="37">
        <f t="shared" si="101"/>
        <v>6.3169019628627581</v>
      </c>
      <c r="L788" s="37"/>
      <c r="M788" s="45">
        <f t="shared" si="102"/>
        <v>3.0760353331972079E-2</v>
      </c>
    </row>
    <row r="789" spans="1:13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40">
        <f t="shared" si="97"/>
        <v>9048.7900000000009</v>
      </c>
      <c r="G789" s="221">
        <f t="shared" si="98"/>
        <v>6.6702216453531346E-2</v>
      </c>
      <c r="H789" s="316">
        <f t="shared" si="99"/>
        <v>151.3560004212016</v>
      </c>
      <c r="I789" s="37">
        <f t="shared" si="100"/>
        <v>55.653601354875832</v>
      </c>
      <c r="J789" s="316">
        <v>58.409487368537491</v>
      </c>
      <c r="K789" s="37">
        <f t="shared" si="101"/>
        <v>12.924888482200769</v>
      </c>
      <c r="L789" s="37"/>
      <c r="M789" s="45">
        <f t="shared" si="102"/>
        <v>3.0760353331972082E-2</v>
      </c>
    </row>
    <row r="790" spans="1:13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40">
        <f t="shared" si="97"/>
        <v>4583.33</v>
      </c>
      <c r="G790" s="221">
        <f t="shared" si="98"/>
        <v>3.3785541463329773E-2</v>
      </c>
      <c r="H790" s="316">
        <f t="shared" si="99"/>
        <v>76.663785700685494</v>
      </c>
      <c r="I790" s="37">
        <f t="shared" si="100"/>
        <v>28.18927400214206</v>
      </c>
      <c r="J790" s="316">
        <v>29.585166164850648</v>
      </c>
      <c r="K790" s="37">
        <f t="shared" si="101"/>
        <v>6.5466243693494102</v>
      </c>
      <c r="L790" s="37"/>
      <c r="M790" s="45">
        <f t="shared" si="102"/>
        <v>3.0760353331972086E-2</v>
      </c>
    </row>
    <row r="791" spans="1:13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40">
        <f t="shared" si="97"/>
        <v>2213.66</v>
      </c>
      <c r="G791" s="221">
        <f t="shared" si="98"/>
        <v>1.6317764969075884E-2</v>
      </c>
      <c r="H791" s="316">
        <f t="shared" si="99"/>
        <v>37.02713002427916</v>
      </c>
      <c r="I791" s="37">
        <f t="shared" si="100"/>
        <v>13.614875709927448</v>
      </c>
      <c r="J791" s="316">
        <v>14.289064704588863</v>
      </c>
      <c r="K791" s="37">
        <f t="shared" si="101"/>
        <v>3.1618933180578344</v>
      </c>
      <c r="L791" s="37"/>
      <c r="M791" s="45">
        <f t="shared" si="102"/>
        <v>3.2549840224886377E-2</v>
      </c>
    </row>
    <row r="792" spans="1:13" s="6" customFormat="1" ht="15.75">
      <c r="A792" s="8">
        <v>44</v>
      </c>
      <c r="B792" s="8" t="s">
        <v>388</v>
      </c>
      <c r="C792" s="32">
        <v>41.2</v>
      </c>
      <c r="D792" s="55"/>
      <c r="E792" s="55"/>
      <c r="F792" s="40">
        <f t="shared" si="97"/>
        <v>41.2</v>
      </c>
      <c r="G792" s="221">
        <f t="shared" si="98"/>
        <v>3.0370152450056762E-4</v>
      </c>
      <c r="H792" s="316">
        <f t="shared" si="99"/>
        <v>0.68913824028997306</v>
      </c>
      <c r="I792" s="37">
        <f t="shared" si="100"/>
        <v>0.2533961309546231</v>
      </c>
      <c r="J792" s="316">
        <v>0.26594394163017865</v>
      </c>
      <c r="K792" s="37">
        <f t="shared" si="101"/>
        <v>5.8848244402474992E-2</v>
      </c>
      <c r="L792" s="37"/>
      <c r="M792" s="45">
        <f t="shared" si="102"/>
        <v>3.0760353331972082E-2</v>
      </c>
    </row>
    <row r="793" spans="1:13" s="6" customFormat="1" ht="15.75">
      <c r="A793" s="8">
        <v>45</v>
      </c>
      <c r="B793" s="8" t="s">
        <v>389</v>
      </c>
      <c r="C793" s="32">
        <v>21</v>
      </c>
      <c r="D793" s="55"/>
      <c r="E793" s="55"/>
      <c r="F793" s="40">
        <f t="shared" si="97"/>
        <v>21</v>
      </c>
      <c r="G793" s="221">
        <f t="shared" si="98"/>
        <v>1.5479932074058059E-4</v>
      </c>
      <c r="H793" s="316">
        <f t="shared" si="99"/>
        <v>0.35125978267207364</v>
      </c>
      <c r="I793" s="37">
        <f t="shared" si="100"/>
        <v>0.12915822208852148</v>
      </c>
      <c r="J793" s="316">
        <v>0.13555395083091631</v>
      </c>
      <c r="K793" s="37">
        <f t="shared" si="101"/>
        <v>2.99954643799023E-2</v>
      </c>
      <c r="L793" s="37"/>
      <c r="M793" s="45">
        <f t="shared" si="102"/>
        <v>3.0760353331972086E-2</v>
      </c>
    </row>
    <row r="794" spans="1:13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40">
        <f t="shared" si="97"/>
        <v>113.2</v>
      </c>
      <c r="G794" s="221">
        <f t="shared" si="98"/>
        <v>8.3444205275398685E-4</v>
      </c>
      <c r="H794" s="316">
        <f t="shared" si="99"/>
        <v>1.8934574951656542</v>
      </c>
      <c r="I794" s="37">
        <f t="shared" si="100"/>
        <v>0.69622432097241105</v>
      </c>
      <c r="J794" s="316">
        <v>0.73070034447903454</v>
      </c>
      <c r="K794" s="37">
        <f t="shared" si="101"/>
        <v>0.16168983656214003</v>
      </c>
      <c r="L794" s="37"/>
      <c r="M794" s="45">
        <f t="shared" si="102"/>
        <v>3.0760353331972082E-2</v>
      </c>
    </row>
    <row r="795" spans="1:13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40">
        <f t="shared" si="97"/>
        <v>149.19999999999999</v>
      </c>
      <c r="G795" s="221">
        <f t="shared" si="98"/>
        <v>1.0998123168806963E-3</v>
      </c>
      <c r="H795" s="316">
        <f t="shared" si="99"/>
        <v>2.4956171226034947</v>
      </c>
      <c r="I795" s="37">
        <f t="shared" si="100"/>
        <v>0.91763841598130502</v>
      </c>
      <c r="J795" s="316">
        <v>0.96307854590346254</v>
      </c>
      <c r="K795" s="37">
        <f t="shared" si="101"/>
        <v>0.21311063264197252</v>
      </c>
      <c r="L795" s="37"/>
      <c r="M795" s="45">
        <f t="shared" si="102"/>
        <v>3.0760353331972082E-2</v>
      </c>
    </row>
    <row r="796" spans="1:13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40">
        <f t="shared" si="97"/>
        <v>685</v>
      </c>
      <c r="G796" s="221">
        <f t="shared" si="98"/>
        <v>5.0494064146332238E-3</v>
      </c>
      <c r="H796" s="316">
        <f t="shared" si="99"/>
        <v>11.457759577636688</v>
      </c>
      <c r="I796" s="37">
        <f t="shared" si="100"/>
        <v>4.2130181966970106</v>
      </c>
      <c r="J796" s="316">
        <v>4.4216407771036987</v>
      </c>
      <c r="K796" s="37">
        <f t="shared" si="101"/>
        <v>0.97842348096347986</v>
      </c>
      <c r="L796" s="37"/>
      <c r="M796" s="45">
        <f t="shared" si="102"/>
        <v>3.432292235282762E-2</v>
      </c>
    </row>
    <row r="797" spans="1:13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40">
        <f t="shared" si="97"/>
        <v>480.56</v>
      </c>
      <c r="G797" s="221">
        <f t="shared" si="98"/>
        <v>3.5423981702425431E-3</v>
      </c>
      <c r="H797" s="316">
        <f t="shared" si="99"/>
        <v>8.0381619600424621</v>
      </c>
      <c r="I797" s="37">
        <f t="shared" si="100"/>
        <v>2.9556321527076137</v>
      </c>
      <c r="J797" s="316">
        <v>3.1019907910145306</v>
      </c>
      <c r="K797" s="37">
        <f t="shared" si="101"/>
        <v>0.68641049344789762</v>
      </c>
      <c r="L797" s="37"/>
      <c r="M797" s="45">
        <f t="shared" si="102"/>
        <v>3.2764862570291035E-2</v>
      </c>
    </row>
    <row r="798" spans="1:13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40">
        <f t="shared" si="97"/>
        <v>514.09</v>
      </c>
      <c r="G798" s="221">
        <f t="shared" si="98"/>
        <v>3.7895610856916702E-3</v>
      </c>
      <c r="H798" s="316">
        <f t="shared" si="99"/>
        <v>8.5990067463755402</v>
      </c>
      <c r="I798" s="37">
        <f t="shared" si="100"/>
        <v>3.1618547806422863</v>
      </c>
      <c r="J798" s="316">
        <v>3.3184252658412272</v>
      </c>
      <c r="K798" s="37">
        <f t="shared" si="101"/>
        <v>0.73430325157447496</v>
      </c>
      <c r="L798" s="37"/>
      <c r="M798" s="45">
        <f t="shared" si="102"/>
        <v>3.0760353331972082E-2</v>
      </c>
    </row>
    <row r="799" spans="1:13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40">
        <f t="shared" si="97"/>
        <v>550.09999999999991</v>
      </c>
      <c r="G799" s="221">
        <f t="shared" si="98"/>
        <v>4.0550050637806366E-3</v>
      </c>
      <c r="H799" s="316">
        <f t="shared" si="99"/>
        <v>9.2013336403765571</v>
      </c>
      <c r="I799" s="37">
        <f t="shared" si="100"/>
        <v>3.3833303795664604</v>
      </c>
      <c r="J799" s="316">
        <v>3.5508680167660502</v>
      </c>
      <c r="K799" s="37">
        <f t="shared" si="101"/>
        <v>0.78573833120877401</v>
      </c>
      <c r="L799" s="37"/>
      <c r="M799" s="45">
        <f t="shared" si="102"/>
        <v>3.2397607443840404E-2</v>
      </c>
    </row>
    <row r="800" spans="1:13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40">
        <f t="shared" si="97"/>
        <v>1211.25</v>
      </c>
      <c r="G800" s="221">
        <f t="shared" si="98"/>
        <v>8.9286036784299166E-3</v>
      </c>
      <c r="H800" s="316">
        <f t="shared" si="99"/>
        <v>20.260162464835677</v>
      </c>
      <c r="I800" s="37">
        <f t="shared" si="100"/>
        <v>7.4496617383200787</v>
      </c>
      <c r="J800" s="316">
        <v>7.8185582354260657</v>
      </c>
      <c r="K800" s="37">
        <f t="shared" si="101"/>
        <v>1.730095534769365</v>
      </c>
      <c r="L800" s="37"/>
      <c r="M800" s="45">
        <f t="shared" si="102"/>
        <v>3.0760353331972086E-2</v>
      </c>
    </row>
    <row r="801" spans="1:13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40">
        <f t="shared" si="97"/>
        <v>337.37</v>
      </c>
      <c r="G801" s="221">
        <f t="shared" si="98"/>
        <v>2.486887944678556E-3</v>
      </c>
      <c r="H801" s="316">
        <f t="shared" si="99"/>
        <v>5.6430720419084519</v>
      </c>
      <c r="I801" s="37">
        <f t="shared" si="100"/>
        <v>2.0749575898097379</v>
      </c>
      <c r="J801" s="316">
        <v>2.1777064948488682</v>
      </c>
      <c r="K801" s="37">
        <f t="shared" si="101"/>
        <v>0.4818842770403638</v>
      </c>
      <c r="L801" s="37"/>
      <c r="M801" s="45">
        <f t="shared" si="102"/>
        <v>3.3894961634410366E-2</v>
      </c>
    </row>
    <row r="802" spans="1:13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40">
        <f t="shared" si="97"/>
        <v>238.68</v>
      </c>
      <c r="G802" s="221">
        <f t="shared" si="98"/>
        <v>1.7594048511600845E-3</v>
      </c>
      <c r="H802" s="316">
        <f t="shared" si="99"/>
        <v>3.9923183299128828</v>
      </c>
      <c r="I802" s="37">
        <f t="shared" si="100"/>
        <v>1.4679754499089672</v>
      </c>
      <c r="J802" s="316">
        <v>1.5406674754439573</v>
      </c>
      <c r="K802" s="37">
        <f t="shared" si="101"/>
        <v>0.34091987800928958</v>
      </c>
      <c r="L802" s="37"/>
      <c r="M802" s="45">
        <f t="shared" si="102"/>
        <v>3.5031401532947308E-2</v>
      </c>
    </row>
    <row r="803" spans="1:13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40">
        <f t="shared" si="97"/>
        <v>741.27</v>
      </c>
      <c r="G803" s="221">
        <f t="shared" si="98"/>
        <v>5.464194880255722E-3</v>
      </c>
      <c r="H803" s="316">
        <f t="shared" si="99"/>
        <v>12.398968528634667</v>
      </c>
      <c r="I803" s="37">
        <f t="shared" si="100"/>
        <v>4.5591007279789677</v>
      </c>
      <c r="J803" s="316">
        <v>4.7848608158301582</v>
      </c>
      <c r="K803" s="37">
        <f t="shared" si="101"/>
        <v>1.0587970419471513</v>
      </c>
      <c r="L803" s="37"/>
      <c r="M803" s="45">
        <f t="shared" si="102"/>
        <v>4.8641609135377573E-2</v>
      </c>
    </row>
    <row r="804" spans="1:13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40">
        <f t="shared" si="97"/>
        <v>733.6</v>
      </c>
      <c r="G804" s="221">
        <f t="shared" si="98"/>
        <v>5.4076562712042824E-3</v>
      </c>
      <c r="H804" s="316">
        <f t="shared" si="99"/>
        <v>12.270675074677774</v>
      </c>
      <c r="I804" s="37">
        <f t="shared" si="100"/>
        <v>4.5119272249590177</v>
      </c>
      <c r="J804" s="316">
        <v>4.7353513490266765</v>
      </c>
      <c r="K804" s="37">
        <f t="shared" si="101"/>
        <v>1.0478415556712539</v>
      </c>
      <c r="L804" s="37"/>
      <c r="M804" s="45">
        <f t="shared" si="102"/>
        <v>3.7659871836339648E-2</v>
      </c>
    </row>
    <row r="805" spans="1:13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40">
        <f t="shared" si="97"/>
        <v>220.5</v>
      </c>
      <c r="G805" s="221">
        <f t="shared" si="98"/>
        <v>1.6253928677760962E-3</v>
      </c>
      <c r="H805" s="316">
        <f t="shared" si="99"/>
        <v>3.6882277180567735</v>
      </c>
      <c r="I805" s="37">
        <f t="shared" si="100"/>
        <v>1.3561613319294756</v>
      </c>
      <c r="J805" s="316">
        <v>1.4233164837246213</v>
      </c>
      <c r="K805" s="37">
        <f t="shared" si="101"/>
        <v>0.31495237598897419</v>
      </c>
      <c r="L805" s="37"/>
      <c r="M805" s="45">
        <f t="shared" si="102"/>
        <v>3.0760353331972086E-2</v>
      </c>
    </row>
    <row r="806" spans="1:13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40">
        <f t="shared" si="97"/>
        <v>330.61</v>
      </c>
      <c r="G806" s="221">
        <f t="shared" si="98"/>
        <v>2.4370573061925404E-3</v>
      </c>
      <c r="H806" s="316">
        <f t="shared" si="99"/>
        <v>5.5299998452006793</v>
      </c>
      <c r="I806" s="37">
        <f t="shared" si="100"/>
        <v>2.03338094308029</v>
      </c>
      <c r="J806" s="316">
        <v>2.1340710325813923</v>
      </c>
      <c r="K806" s="37">
        <f t="shared" si="101"/>
        <v>0.47222859422092855</v>
      </c>
      <c r="L806" s="37"/>
      <c r="M806" s="45">
        <f t="shared" si="102"/>
        <v>3.0760353331972079E-2</v>
      </c>
    </row>
    <row r="807" spans="1:13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40">
        <f t="shared" si="97"/>
        <v>1037.5</v>
      </c>
      <c r="G807" s="221">
        <f t="shared" si="98"/>
        <v>7.6478235842072553E-3</v>
      </c>
      <c r="H807" s="316">
        <f t="shared" si="99"/>
        <v>17.353905929632209</v>
      </c>
      <c r="I807" s="37">
        <f t="shared" si="100"/>
        <v>6.381031210325764</v>
      </c>
      <c r="J807" s="316">
        <v>6.6970106660512227</v>
      </c>
      <c r="K807" s="37">
        <f t="shared" si="101"/>
        <v>1.48191877591184</v>
      </c>
      <c r="L807" s="37"/>
      <c r="M807" s="45">
        <f t="shared" si="102"/>
        <v>3.362894265745104E-2</v>
      </c>
    </row>
    <row r="808" spans="1:13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40">
        <f t="shared" si="97"/>
        <v>230.10000000000002</v>
      </c>
      <c r="G808" s="221">
        <f t="shared" si="98"/>
        <v>1.6961582715432188E-3</v>
      </c>
      <c r="H808" s="316">
        <f t="shared" si="99"/>
        <v>3.8488036187068642</v>
      </c>
      <c r="I808" s="37">
        <f t="shared" si="100"/>
        <v>1.4152050905985141</v>
      </c>
      <c r="J808" s="316">
        <v>1.4852840041044688</v>
      </c>
      <c r="K808" s="37">
        <f t="shared" si="101"/>
        <v>0.32866458827692951</v>
      </c>
      <c r="L808" s="37"/>
      <c r="M808" s="45">
        <f t="shared" si="102"/>
        <v>3.3418117571703383E-2</v>
      </c>
    </row>
    <row r="809" spans="1:13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40">
        <f t="shared" si="97"/>
        <v>1331.77</v>
      </c>
      <c r="G809" s="221">
        <f t="shared" si="98"/>
        <v>9.8170043515563334E-3</v>
      </c>
      <c r="H809" s="316">
        <f t="shared" si="99"/>
        <v>22.276059084247024</v>
      </c>
      <c r="I809" s="37">
        <f t="shared" si="100"/>
        <v>8.1909069252776305</v>
      </c>
      <c r="J809" s="316">
        <v>8.596508814194733</v>
      </c>
      <c r="K809" s="37">
        <f t="shared" si="101"/>
        <v>1.9022409332010708</v>
      </c>
      <c r="L809" s="37"/>
      <c r="M809" s="45">
        <f t="shared" si="102"/>
        <v>3.0760353331972082E-2</v>
      </c>
    </row>
    <row r="810" spans="1:13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40">
        <f t="shared" ref="F810:F871" si="103">C810+D810+E810</f>
        <v>483.9</v>
      </c>
      <c r="G810" s="221">
        <f t="shared" si="98"/>
        <v>3.5670186336365212E-3</v>
      </c>
      <c r="H810" s="316">
        <f t="shared" si="99"/>
        <v>8.0940289921436399</v>
      </c>
      <c r="I810" s="37">
        <f t="shared" ref="I810:I871" si="104">H810*0.3677</f>
        <v>2.9761744604112166</v>
      </c>
      <c r="J810" s="316">
        <v>3.1235503241466858</v>
      </c>
      <c r="K810" s="37">
        <f t="shared" si="101"/>
        <v>0.69118120063974875</v>
      </c>
      <c r="L810" s="37"/>
      <c r="M810" s="45">
        <f t="shared" si="102"/>
        <v>3.0760353331972086E-2</v>
      </c>
    </row>
    <row r="811" spans="1:13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40">
        <f t="shared" si="103"/>
        <v>665.8</v>
      </c>
      <c r="G811" s="221">
        <f t="shared" si="98"/>
        <v>4.9078756070989786E-3</v>
      </c>
      <c r="H811" s="316">
        <f t="shared" si="99"/>
        <v>11.136607776336506</v>
      </c>
      <c r="I811" s="37">
        <f t="shared" si="104"/>
        <v>4.0949306793589333</v>
      </c>
      <c r="J811" s="316">
        <v>4.2977057363440032</v>
      </c>
      <c r="K811" s="37">
        <f t="shared" si="101"/>
        <v>0.9509990563875691</v>
      </c>
      <c r="L811" s="37"/>
      <c r="M811" s="45">
        <f t="shared" si="102"/>
        <v>3.0760353331972079E-2</v>
      </c>
    </row>
    <row r="812" spans="1:13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40">
        <f t="shared" si="103"/>
        <v>59.2</v>
      </c>
      <c r="G812" s="221">
        <f t="shared" si="98"/>
        <v>4.3638665656392246E-4</v>
      </c>
      <c r="H812" s="316">
        <f t="shared" si="99"/>
        <v>0.9902180540088934</v>
      </c>
      <c r="I812" s="37">
        <f t="shared" si="104"/>
        <v>0.36410317845907014</v>
      </c>
      <c r="J812" s="316">
        <v>0.38213304234239265</v>
      </c>
      <c r="K812" s="37">
        <f t="shared" si="101"/>
        <v>8.4558642442391266E-2</v>
      </c>
      <c r="L812" s="37"/>
      <c r="M812" s="45">
        <f t="shared" si="102"/>
        <v>3.0760353331972082E-2</v>
      </c>
    </row>
    <row r="813" spans="1:13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40">
        <f t="shared" si="103"/>
        <v>421.78</v>
      </c>
      <c r="G813" s="221">
        <f t="shared" ref="G813:G876" si="105">2/271319.02*F813</f>
        <v>3.1091075000934322E-3</v>
      </c>
      <c r="H813" s="316">
        <f t="shared" ref="H813:H876" si="106">G813*2269.13</f>
        <v>7.0549691016870106</v>
      </c>
      <c r="I813" s="37">
        <f t="shared" si="104"/>
        <v>2.5941121386903139</v>
      </c>
      <c r="J813" s="316">
        <v>2.7225688276887561</v>
      </c>
      <c r="K813" s="37">
        <f t="shared" ref="K813:K832" si="107">G813*193.77</f>
        <v>0.60245176029310443</v>
      </c>
      <c r="L813" s="37"/>
      <c r="M813" s="45">
        <f t="shared" si="102"/>
        <v>3.5664692474460351E-2</v>
      </c>
    </row>
    <row r="814" spans="1:13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40">
        <f t="shared" si="103"/>
        <v>212.60000000000002</v>
      </c>
      <c r="G814" s="221">
        <f t="shared" si="105"/>
        <v>1.5671588375927351E-3</v>
      </c>
      <c r="H814" s="316">
        <f t="shared" si="106"/>
        <v>3.5560871331468031</v>
      </c>
      <c r="I814" s="37">
        <f t="shared" si="104"/>
        <v>1.3075732388580796</v>
      </c>
      <c r="J814" s="316">
        <v>1.3723223784120386</v>
      </c>
      <c r="K814" s="37">
        <f t="shared" si="107"/>
        <v>0.3036683679603443</v>
      </c>
      <c r="L814" s="37"/>
      <c r="M814" s="45">
        <f t="shared" si="102"/>
        <v>3.5197261132278071E-2</v>
      </c>
    </row>
    <row r="815" spans="1:13" s="6" customFormat="1" ht="15.75">
      <c r="A815" s="8">
        <v>68</v>
      </c>
      <c r="B815" s="8" t="s">
        <v>827</v>
      </c>
      <c r="C815" s="8">
        <v>205.2</v>
      </c>
      <c r="D815" s="55"/>
      <c r="E815" s="56"/>
      <c r="F815" s="40">
        <f t="shared" si="103"/>
        <v>205.2</v>
      </c>
      <c r="G815" s="221">
        <f t="shared" si="105"/>
        <v>1.5126105055222445E-3</v>
      </c>
      <c r="H815" s="316">
        <f t="shared" si="106"/>
        <v>3.4323098763956907</v>
      </c>
      <c r="I815" s="37">
        <f t="shared" si="104"/>
        <v>1.2620603415506957</v>
      </c>
      <c r="J815" s="316">
        <v>1.3245557481192394</v>
      </c>
      <c r="K815" s="37">
        <f t="shared" si="107"/>
        <v>0.29309853765504534</v>
      </c>
      <c r="L815" s="37"/>
      <c r="M815" s="45">
        <f t="shared" si="102"/>
        <v>3.0760353331972086E-2</v>
      </c>
    </row>
    <row r="816" spans="1:13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40">
        <f t="shared" si="103"/>
        <v>177.45</v>
      </c>
      <c r="G816" s="221">
        <f t="shared" si="105"/>
        <v>1.3080542602579058E-3</v>
      </c>
      <c r="H816" s="316">
        <f t="shared" si="106"/>
        <v>2.9681451635790221</v>
      </c>
      <c r="I816" s="37">
        <f t="shared" si="104"/>
        <v>1.0913869766480064</v>
      </c>
      <c r="J816" s="316">
        <v>1.1454308845212426</v>
      </c>
      <c r="K816" s="37">
        <f t="shared" si="107"/>
        <v>0.25346167401017444</v>
      </c>
      <c r="L816" s="37"/>
      <c r="M816" s="45">
        <f t="shared" si="102"/>
        <v>3.0760353331972082E-2</v>
      </c>
    </row>
    <row r="817" spans="1:13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40">
        <f t="shared" si="103"/>
        <v>200</v>
      </c>
      <c r="G817" s="221">
        <f t="shared" si="105"/>
        <v>1.4742792451483866E-3</v>
      </c>
      <c r="H817" s="316">
        <f t="shared" si="106"/>
        <v>3.3453312635435588</v>
      </c>
      <c r="I817" s="37">
        <f t="shared" si="104"/>
        <v>1.2300783056049667</v>
      </c>
      <c r="J817" s="316">
        <v>1.2909900079134886</v>
      </c>
      <c r="K817" s="37">
        <f t="shared" si="107"/>
        <v>0.28567108933240287</v>
      </c>
      <c r="L817" s="37"/>
      <c r="M817" s="45">
        <f t="shared" si="102"/>
        <v>3.0760353331972086E-2</v>
      </c>
    </row>
    <row r="818" spans="1:13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40">
        <f t="shared" si="103"/>
        <v>542.18000000000006</v>
      </c>
      <c r="G818" s="221">
        <f t="shared" si="105"/>
        <v>3.9966236056727614E-3</v>
      </c>
      <c r="H818" s="316">
        <f t="shared" si="106"/>
        <v>9.0688585223402338</v>
      </c>
      <c r="I818" s="37">
        <f t="shared" si="104"/>
        <v>3.3346192786645044</v>
      </c>
      <c r="J818" s="316">
        <v>3.4997448124526769</v>
      </c>
      <c r="K818" s="37">
        <f t="shared" si="107"/>
        <v>0.774425756071211</v>
      </c>
      <c r="L818" s="37"/>
      <c r="M818" s="45">
        <f t="shared" si="102"/>
        <v>4.1550770764683408E-2</v>
      </c>
    </row>
    <row r="819" spans="1:13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40">
        <f t="shared" si="103"/>
        <v>204.3</v>
      </c>
      <c r="G819" s="221">
        <f t="shared" si="105"/>
        <v>1.505976248919077E-3</v>
      </c>
      <c r="H819" s="316">
        <f t="shared" si="106"/>
        <v>3.4172558857097455</v>
      </c>
      <c r="I819" s="37">
        <f t="shared" si="104"/>
        <v>1.2565249891754735</v>
      </c>
      <c r="J819" s="316">
        <v>1.3187462930836287</v>
      </c>
      <c r="K819" s="37">
        <f t="shared" si="107"/>
        <v>0.29181301775304958</v>
      </c>
      <c r="L819" s="37"/>
      <c r="M819" s="45">
        <f t="shared" si="102"/>
        <v>3.0760353331972082E-2</v>
      </c>
    </row>
    <row r="820" spans="1:13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40">
        <f t="shared" si="103"/>
        <v>306.39999999999998</v>
      </c>
      <c r="G820" s="221">
        <f t="shared" si="105"/>
        <v>2.2585958035673281E-3</v>
      </c>
      <c r="H820" s="316">
        <f t="shared" si="106"/>
        <v>5.1250474957487313</v>
      </c>
      <c r="I820" s="37">
        <f t="shared" si="104"/>
        <v>1.8844799641868086</v>
      </c>
      <c r="J820" s="316">
        <v>1.9777966921234642</v>
      </c>
      <c r="K820" s="37">
        <f t="shared" si="107"/>
        <v>0.4376481088572412</v>
      </c>
      <c r="L820" s="37"/>
      <c r="M820" s="45">
        <f t="shared" si="102"/>
        <v>3.0760353331972082E-2</v>
      </c>
    </row>
    <row r="821" spans="1:13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40">
        <f t="shared" si="103"/>
        <v>301.42</v>
      </c>
      <c r="G821" s="221">
        <f t="shared" si="105"/>
        <v>2.2218862503631336E-3</v>
      </c>
      <c r="H821" s="316">
        <f t="shared" si="106"/>
        <v>5.0417487472864977</v>
      </c>
      <c r="I821" s="37">
        <f t="shared" si="104"/>
        <v>1.8538510143772453</v>
      </c>
      <c r="J821" s="316">
        <v>1.9456510409264189</v>
      </c>
      <c r="K821" s="37">
        <f t="shared" si="107"/>
        <v>0.43053489873286444</v>
      </c>
      <c r="L821" s="37"/>
      <c r="M821" s="45">
        <f t="shared" si="102"/>
        <v>3.0760353331972082E-2</v>
      </c>
    </row>
    <row r="822" spans="1:13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40">
        <f t="shared" si="103"/>
        <v>394.72</v>
      </c>
      <c r="G822" s="221">
        <f t="shared" si="105"/>
        <v>2.9096375182248559E-3</v>
      </c>
      <c r="H822" s="316">
        <f t="shared" si="106"/>
        <v>6.6023457817295679</v>
      </c>
      <c r="I822" s="37">
        <f t="shared" si="104"/>
        <v>2.4276825439419625</v>
      </c>
      <c r="J822" s="316">
        <v>2.5478978796180614</v>
      </c>
      <c r="K822" s="37">
        <f t="shared" si="107"/>
        <v>0.56380046190643041</v>
      </c>
      <c r="L822" s="37"/>
      <c r="M822" s="45">
        <f t="shared" si="102"/>
        <v>3.0760353331972082E-2</v>
      </c>
    </row>
    <row r="823" spans="1:13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40">
        <f t="shared" si="103"/>
        <v>680.89</v>
      </c>
      <c r="G823" s="221">
        <f t="shared" si="105"/>
        <v>5.0191099761454248E-3</v>
      </c>
      <c r="H823" s="316">
        <f t="shared" si="106"/>
        <v>11.389013020170868</v>
      </c>
      <c r="I823" s="37">
        <f t="shared" si="104"/>
        <v>4.1877400875168282</v>
      </c>
      <c r="J823" s="316">
        <v>4.3951109324410762</v>
      </c>
      <c r="K823" s="37">
        <f t="shared" si="107"/>
        <v>0.97255294007769899</v>
      </c>
      <c r="L823" s="37"/>
      <c r="M823" s="45">
        <f t="shared" si="102"/>
        <v>3.0760353331972079E-2</v>
      </c>
    </row>
    <row r="824" spans="1:13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40">
        <f t="shared" si="103"/>
        <v>581.98</v>
      </c>
      <c r="G824" s="221">
        <f t="shared" si="105"/>
        <v>4.2900051754572897E-3</v>
      </c>
      <c r="H824" s="316">
        <f t="shared" si="106"/>
        <v>9.7345794437853996</v>
      </c>
      <c r="I824" s="37">
        <f t="shared" si="104"/>
        <v>3.5794048614798917</v>
      </c>
      <c r="J824" s="316">
        <v>3.7566518240274611</v>
      </c>
      <c r="K824" s="37">
        <f t="shared" si="107"/>
        <v>0.83127430284835901</v>
      </c>
      <c r="L824" s="37"/>
      <c r="M824" s="45">
        <f t="shared" si="102"/>
        <v>3.0760353331972079E-2</v>
      </c>
    </row>
    <row r="825" spans="1:13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40">
        <f t="shared" si="103"/>
        <v>260.39999999999998</v>
      </c>
      <c r="G825" s="221">
        <f t="shared" si="105"/>
        <v>1.9195115771831991E-3</v>
      </c>
      <c r="H825" s="316">
        <f t="shared" si="106"/>
        <v>4.3556213051337132</v>
      </c>
      <c r="I825" s="37">
        <f t="shared" si="104"/>
        <v>1.6015619538976664</v>
      </c>
      <c r="J825" s="316">
        <v>1.680868990303362</v>
      </c>
      <c r="K825" s="37">
        <f t="shared" si="107"/>
        <v>0.37194375831078852</v>
      </c>
      <c r="L825" s="37"/>
      <c r="M825" s="45">
        <f t="shared" si="102"/>
        <v>3.0760353331972082E-2</v>
      </c>
    </row>
    <row r="826" spans="1:13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40">
        <f t="shared" si="103"/>
        <v>135.71</v>
      </c>
      <c r="G826" s="221">
        <f t="shared" si="105"/>
        <v>1.0003721817954377E-3</v>
      </c>
      <c r="H826" s="316">
        <f t="shared" si="106"/>
        <v>2.2699745288774817</v>
      </c>
      <c r="I826" s="37">
        <f t="shared" si="104"/>
        <v>0.83466963426825014</v>
      </c>
      <c r="J826" s="316">
        <v>0.87600126986969773</v>
      </c>
      <c r="K826" s="37">
        <f t="shared" si="107"/>
        <v>0.19384211766650197</v>
      </c>
      <c r="L826" s="37"/>
      <c r="M826" s="45">
        <f t="shared" si="102"/>
        <v>3.0760353331972079E-2</v>
      </c>
    </row>
    <row r="827" spans="1:13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40">
        <f t="shared" si="103"/>
        <v>201.8</v>
      </c>
      <c r="G827" s="221">
        <f t="shared" si="105"/>
        <v>1.4875477583547222E-3</v>
      </c>
      <c r="H827" s="316">
        <f t="shared" si="106"/>
        <v>3.3754392449154511</v>
      </c>
      <c r="I827" s="37">
        <f t="shared" si="104"/>
        <v>1.2411490103554115</v>
      </c>
      <c r="J827" s="316">
        <v>1.30260891798471</v>
      </c>
      <c r="K827" s="37">
        <f t="shared" si="107"/>
        <v>0.28824212913639452</v>
      </c>
      <c r="L827" s="37"/>
      <c r="M827" s="45">
        <f t="shared" si="102"/>
        <v>3.0760353331972082E-2</v>
      </c>
    </row>
    <row r="828" spans="1:13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40">
        <f t="shared" si="103"/>
        <v>1437.1</v>
      </c>
      <c r="G828" s="221">
        <f t="shared" si="105"/>
        <v>1.0593433516013731E-2</v>
      </c>
      <c r="H828" s="316">
        <f t="shared" si="106"/>
        <v>24.037877794192237</v>
      </c>
      <c r="I828" s="37">
        <f t="shared" si="104"/>
        <v>8.8387276649244857</v>
      </c>
      <c r="J828" s="316">
        <v>9.2764087018623727</v>
      </c>
      <c r="K828" s="37">
        <f t="shared" si="107"/>
        <v>2.0526896123979808</v>
      </c>
      <c r="L828" s="37"/>
      <c r="M828" s="45">
        <f t="shared" si="102"/>
        <v>3.0760353331972086E-2</v>
      </c>
    </row>
    <row r="829" spans="1:13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40">
        <f t="shared" si="103"/>
        <v>213.86</v>
      </c>
      <c r="G829" s="221">
        <f t="shared" si="105"/>
        <v>1.5764467968371698E-3</v>
      </c>
      <c r="H829" s="316">
        <f t="shared" si="106"/>
        <v>3.5771627201071272</v>
      </c>
      <c r="I829" s="37">
        <f t="shared" si="104"/>
        <v>1.3153227321833907</v>
      </c>
      <c r="J829" s="316">
        <v>1.3804556154618934</v>
      </c>
      <c r="K829" s="37">
        <f t="shared" si="107"/>
        <v>0.30546809582313839</v>
      </c>
      <c r="L829" s="37"/>
      <c r="M829" s="45">
        <f t="shared" si="102"/>
        <v>3.3247797248436017E-2</v>
      </c>
    </row>
    <row r="830" spans="1:13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40">
        <f t="shared" si="103"/>
        <v>397.89</v>
      </c>
      <c r="G830" s="221">
        <f t="shared" si="105"/>
        <v>2.9330048442604575E-3</v>
      </c>
      <c r="H830" s="316">
        <f t="shared" si="106"/>
        <v>6.6553692822567321</v>
      </c>
      <c r="I830" s="37">
        <f t="shared" si="104"/>
        <v>2.4471792850858005</v>
      </c>
      <c r="J830" s="316">
        <v>2.56836007124349</v>
      </c>
      <c r="K830" s="37">
        <f t="shared" si="107"/>
        <v>0.56832834867234883</v>
      </c>
      <c r="L830" s="37"/>
      <c r="M830" s="45">
        <f t="shared" si="102"/>
        <v>3.0760353331972082E-2</v>
      </c>
    </row>
    <row r="831" spans="1:13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40">
        <f t="shared" si="103"/>
        <v>352.17</v>
      </c>
      <c r="G831" s="221">
        <f t="shared" si="105"/>
        <v>2.5959846088195364E-3</v>
      </c>
      <c r="H831" s="316">
        <f t="shared" si="106"/>
        <v>5.8906265554106749</v>
      </c>
      <c r="I831" s="37">
        <f t="shared" si="104"/>
        <v>2.1659833844245053</v>
      </c>
      <c r="J831" s="316">
        <v>2.2732397554344663</v>
      </c>
      <c r="K831" s="37">
        <f t="shared" si="107"/>
        <v>0.50302393765096165</v>
      </c>
      <c r="L831" s="37"/>
      <c r="M831" s="45">
        <f t="shared" si="102"/>
        <v>3.0760353331972079E-2</v>
      </c>
    </row>
    <row r="832" spans="1:13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40">
        <f t="shared" si="103"/>
        <v>653.07000000000005</v>
      </c>
      <c r="G832" s="221">
        <f t="shared" si="105"/>
        <v>4.8140377331452842E-3</v>
      </c>
      <c r="H832" s="316">
        <f t="shared" si="106"/>
        <v>10.923677441411959</v>
      </c>
      <c r="I832" s="37">
        <f t="shared" si="104"/>
        <v>4.0166361952071776</v>
      </c>
      <c r="J832" s="316">
        <v>4.2155342223403105</v>
      </c>
      <c r="K832" s="37">
        <f t="shared" si="107"/>
        <v>0.93281609155156175</v>
      </c>
      <c r="L832" s="37"/>
      <c r="M832" s="45">
        <f t="shared" si="102"/>
        <v>3.0760353331972082E-2</v>
      </c>
    </row>
    <row r="833" spans="1:13" s="6" customFormat="1" ht="15.75">
      <c r="A833" s="8">
        <v>87</v>
      </c>
      <c r="B833" s="8" t="s">
        <v>916</v>
      </c>
      <c r="C833" s="17">
        <v>786.94</v>
      </c>
      <c r="D833" s="55"/>
      <c r="E833" s="55"/>
      <c r="F833" s="40">
        <f t="shared" si="103"/>
        <v>786.94</v>
      </c>
      <c r="G833" s="221">
        <f t="shared" si="105"/>
        <v>5.800846545885357E-3</v>
      </c>
      <c r="H833" s="316">
        <f t="shared" si="106"/>
        <v>13.162874922664841</v>
      </c>
      <c r="I833" s="37">
        <f t="shared" si="104"/>
        <v>4.839989109063862</v>
      </c>
      <c r="J833" s="316">
        <v>5.0796583841372041</v>
      </c>
      <c r="K833" s="37">
        <f t="shared" ref="K833:K858" si="108">G833*193.77</f>
        <v>1.1240300351962056</v>
      </c>
      <c r="L833" s="37"/>
      <c r="M833" s="45">
        <f t="shared" si="102"/>
        <v>3.0760353331972082E-2</v>
      </c>
    </row>
    <row r="834" spans="1:13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40">
        <f t="shared" si="103"/>
        <v>3342.78</v>
      </c>
      <c r="G834" s="221">
        <f t="shared" si="105"/>
        <v>2.4640955875485621E-2</v>
      </c>
      <c r="H834" s="316">
        <f t="shared" si="106"/>
        <v>55.913532205740687</v>
      </c>
      <c r="I834" s="37">
        <f t="shared" si="104"/>
        <v>20.559405792050853</v>
      </c>
      <c r="J834" s="316">
        <v>21.577477893265257</v>
      </c>
      <c r="K834" s="37">
        <f t="shared" si="108"/>
        <v>4.7746780199928489</v>
      </c>
      <c r="L834" s="37"/>
      <c r="M834" s="45">
        <f t="shared" si="102"/>
        <v>3.1413473308439736E-2</v>
      </c>
    </row>
    <row r="835" spans="1:13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40">
        <f t="shared" si="103"/>
        <v>139.80000000000001</v>
      </c>
      <c r="G835" s="221">
        <f t="shared" si="105"/>
        <v>1.0305211923587222E-3</v>
      </c>
      <c r="H835" s="316">
        <f t="shared" si="106"/>
        <v>2.3383865532169477</v>
      </c>
      <c r="I835" s="37">
        <f t="shared" si="104"/>
        <v>0.85982473561787176</v>
      </c>
      <c r="J835" s="316">
        <v>0.90240201553152866</v>
      </c>
      <c r="K835" s="37">
        <f t="shared" si="108"/>
        <v>0.19968409144334962</v>
      </c>
      <c r="L835" s="37"/>
      <c r="M835" s="45">
        <f t="shared" si="102"/>
        <v>3.0760353331972082E-2</v>
      </c>
    </row>
    <row r="836" spans="1:13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40">
        <f t="shared" si="103"/>
        <v>3135.2999999999997</v>
      </c>
      <c r="G836" s="221">
        <f t="shared" si="105"/>
        <v>2.311153858656868E-2</v>
      </c>
      <c r="H836" s="316">
        <f t="shared" si="106"/>
        <v>52.443085552940595</v>
      </c>
      <c r="I836" s="37">
        <f t="shared" si="104"/>
        <v>19.283322557816259</v>
      </c>
      <c r="J836" s="316">
        <v>20.238204859055802</v>
      </c>
      <c r="K836" s="37">
        <f t="shared" si="108"/>
        <v>4.4783228319194137</v>
      </c>
      <c r="L836" s="37"/>
      <c r="M836" s="45">
        <f t="shared" si="102"/>
        <v>3.352554517389094E-2</v>
      </c>
    </row>
    <row r="837" spans="1:13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40">
        <f t="shared" si="103"/>
        <v>230.5</v>
      </c>
      <c r="G837" s="221">
        <f t="shared" si="105"/>
        <v>1.6991068300335156E-3</v>
      </c>
      <c r="H837" s="316">
        <f t="shared" si="106"/>
        <v>3.8554942812339514</v>
      </c>
      <c r="I837" s="37">
        <f t="shared" si="104"/>
        <v>1.417665247209724</v>
      </c>
      <c r="J837" s="316">
        <v>1.4878659841202955</v>
      </c>
      <c r="K837" s="37">
        <f t="shared" si="108"/>
        <v>0.32923593045559435</v>
      </c>
      <c r="L837" s="37"/>
      <c r="M837" s="45">
        <f t="shared" si="102"/>
        <v>3.0760353331972086E-2</v>
      </c>
    </row>
    <row r="838" spans="1:13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40">
        <f t="shared" si="103"/>
        <v>65.900000000000006</v>
      </c>
      <c r="G838" s="221">
        <f t="shared" si="105"/>
        <v>4.8577501127639342E-4</v>
      </c>
      <c r="H838" s="316">
        <f t="shared" si="106"/>
        <v>1.1022866513376026</v>
      </c>
      <c r="I838" s="37">
        <f t="shared" si="104"/>
        <v>0.40531080169683653</v>
      </c>
      <c r="J838" s="316">
        <v>0.42538120760749454</v>
      </c>
      <c r="K838" s="37">
        <f t="shared" si="108"/>
        <v>9.4128623935026759E-2</v>
      </c>
      <c r="L838" s="37"/>
      <c r="M838" s="45">
        <f t="shared" si="102"/>
        <v>3.0760353331972079E-2</v>
      </c>
    </row>
    <row r="839" spans="1:13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40">
        <f t="shared" si="103"/>
        <v>75.900000000000006</v>
      </c>
      <c r="G839" s="221">
        <f t="shared" si="105"/>
        <v>5.5948897353381272E-4</v>
      </c>
      <c r="H839" s="316">
        <f t="shared" si="106"/>
        <v>1.2695532145147805</v>
      </c>
      <c r="I839" s="37">
        <f t="shared" si="104"/>
        <v>0.46681471697708482</v>
      </c>
      <c r="J839" s="316">
        <v>0.48993070800316901</v>
      </c>
      <c r="K839" s="37">
        <f t="shared" si="108"/>
        <v>0.10841217840164689</v>
      </c>
      <c r="L839" s="37"/>
      <c r="M839" s="45">
        <f t="shared" ref="M839:M902" si="109">(K839+J839+I839+H839)/C839</f>
        <v>3.0760353331972082E-2</v>
      </c>
    </row>
    <row r="840" spans="1:13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40">
        <f t="shared" si="103"/>
        <v>115.8</v>
      </c>
      <c r="G840" s="221">
        <f t="shared" si="105"/>
        <v>8.5360768294091578E-4</v>
      </c>
      <c r="H840" s="316">
        <f t="shared" si="106"/>
        <v>1.9369468015917204</v>
      </c>
      <c r="I840" s="37">
        <f t="shared" si="104"/>
        <v>0.71221533894527567</v>
      </c>
      <c r="J840" s="316">
        <v>0.74748321458190981</v>
      </c>
      <c r="K840" s="37">
        <f t="shared" si="108"/>
        <v>0.16540356072346127</v>
      </c>
      <c r="L840" s="37"/>
      <c r="M840" s="45">
        <f t="shared" si="109"/>
        <v>3.0760353331972082E-2</v>
      </c>
    </row>
    <row r="841" spans="1:13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40">
        <f t="shared" si="103"/>
        <v>43.6</v>
      </c>
      <c r="G841" s="221">
        <f t="shared" si="105"/>
        <v>3.2139287544234827E-4</v>
      </c>
      <c r="H841" s="316">
        <f t="shared" si="106"/>
        <v>0.72928221545249572</v>
      </c>
      <c r="I841" s="37">
        <f t="shared" si="104"/>
        <v>0.26815707062188271</v>
      </c>
      <c r="J841" s="316">
        <v>0.28143582172514053</v>
      </c>
      <c r="K841" s="37">
        <f t="shared" si="108"/>
        <v>6.2276297474463831E-2</v>
      </c>
      <c r="L841" s="37"/>
      <c r="M841" s="45">
        <f t="shared" si="109"/>
        <v>3.0760353331972082E-2</v>
      </c>
    </row>
    <row r="842" spans="1:13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40">
        <f t="shared" si="103"/>
        <v>229.9</v>
      </c>
      <c r="G842" s="221">
        <f t="shared" si="105"/>
        <v>1.6946839922980703E-3</v>
      </c>
      <c r="H842" s="316">
        <f t="shared" si="106"/>
        <v>3.8454582874433205</v>
      </c>
      <c r="I842" s="37">
        <f t="shared" si="104"/>
        <v>1.4139750122929091</v>
      </c>
      <c r="J842" s="316">
        <v>1.4839930140965552</v>
      </c>
      <c r="K842" s="37">
        <f t="shared" si="108"/>
        <v>0.3283789171875971</v>
      </c>
      <c r="L842" s="37"/>
      <c r="M842" s="45">
        <f t="shared" si="109"/>
        <v>3.0760353331972082E-2</v>
      </c>
    </row>
    <row r="843" spans="1:13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40">
        <f t="shared" si="103"/>
        <v>274.3</v>
      </c>
      <c r="G843" s="221">
        <f t="shared" si="105"/>
        <v>2.021973984721012E-3</v>
      </c>
      <c r="H843" s="316">
        <f t="shared" si="106"/>
        <v>4.5881218279499905</v>
      </c>
      <c r="I843" s="37">
        <f t="shared" si="104"/>
        <v>1.6870523961372117</v>
      </c>
      <c r="J843" s="316">
        <v>1.7705927958533496</v>
      </c>
      <c r="K843" s="37">
        <f t="shared" si="108"/>
        <v>0.39179789901939049</v>
      </c>
      <c r="L843" s="37"/>
      <c r="M843" s="45">
        <f t="shared" si="109"/>
        <v>3.0760353331972082E-2</v>
      </c>
    </row>
    <row r="844" spans="1:13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40">
        <f t="shared" si="103"/>
        <v>282</v>
      </c>
      <c r="G844" s="221">
        <f t="shared" si="105"/>
        <v>2.0787337356592251E-3</v>
      </c>
      <c r="H844" s="316">
        <f t="shared" si="106"/>
        <v>4.7169170815964172</v>
      </c>
      <c r="I844" s="37">
        <f t="shared" si="104"/>
        <v>1.7344104109030027</v>
      </c>
      <c r="J844" s="316">
        <v>1.820295911158019</v>
      </c>
      <c r="K844" s="37">
        <f t="shared" si="108"/>
        <v>0.40279623595868808</v>
      </c>
      <c r="L844" s="37"/>
      <c r="M844" s="45">
        <f t="shared" si="109"/>
        <v>3.0760353331972082E-2</v>
      </c>
    </row>
    <row r="845" spans="1:13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40">
        <f t="shared" si="103"/>
        <v>181.2</v>
      </c>
      <c r="G845" s="221">
        <f t="shared" si="105"/>
        <v>1.335696996104438E-3</v>
      </c>
      <c r="H845" s="316">
        <f t="shared" si="106"/>
        <v>3.0308701247704635</v>
      </c>
      <c r="I845" s="37">
        <f t="shared" si="104"/>
        <v>1.1144509448780995</v>
      </c>
      <c r="J845" s="316">
        <v>1.1696369471696206</v>
      </c>
      <c r="K845" s="37">
        <f t="shared" si="108"/>
        <v>0.25881800693515694</v>
      </c>
      <c r="L845" s="37"/>
      <c r="M845" s="45">
        <f t="shared" si="109"/>
        <v>3.0760353331972079E-2</v>
      </c>
    </row>
    <row r="846" spans="1:13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40">
        <f t="shared" si="103"/>
        <v>171</v>
      </c>
      <c r="G846" s="221">
        <f t="shared" si="105"/>
        <v>1.2605087546018704E-3</v>
      </c>
      <c r="H846" s="316">
        <f t="shared" si="106"/>
        <v>2.8602582303297424</v>
      </c>
      <c r="I846" s="37">
        <f t="shared" si="104"/>
        <v>1.0517169512922464</v>
      </c>
      <c r="J846" s="316">
        <v>1.1037964567660328</v>
      </c>
      <c r="K846" s="37">
        <f t="shared" si="108"/>
        <v>0.24424878137920444</v>
      </c>
      <c r="L846" s="37"/>
      <c r="M846" s="45">
        <f t="shared" si="109"/>
        <v>3.0760353331972082E-2</v>
      </c>
    </row>
    <row r="847" spans="1:13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40">
        <f t="shared" si="103"/>
        <v>160.5</v>
      </c>
      <c r="G847" s="221">
        <f t="shared" si="105"/>
        <v>1.1831090942315801E-3</v>
      </c>
      <c r="H847" s="316">
        <f t="shared" si="106"/>
        <v>2.6846283389937056</v>
      </c>
      <c r="I847" s="37">
        <f t="shared" si="104"/>
        <v>0.98713784024798557</v>
      </c>
      <c r="J847" s="316">
        <v>1.0360194813505745</v>
      </c>
      <c r="K847" s="37">
        <f t="shared" si="108"/>
        <v>0.22925104918925329</v>
      </c>
      <c r="L847" s="37"/>
      <c r="M847" s="45">
        <f t="shared" si="109"/>
        <v>3.0760353331972079E-2</v>
      </c>
    </row>
    <row r="848" spans="1:13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40">
        <f t="shared" si="103"/>
        <v>165.6</v>
      </c>
      <c r="G848" s="221">
        <f t="shared" si="105"/>
        <v>1.220703214982864E-3</v>
      </c>
      <c r="H848" s="316">
        <f t="shared" si="106"/>
        <v>2.7699342862140663</v>
      </c>
      <c r="I848" s="37">
        <f t="shared" si="104"/>
        <v>1.0185048370409122</v>
      </c>
      <c r="J848" s="316">
        <v>1.0689397265523686</v>
      </c>
      <c r="K848" s="37">
        <f t="shared" si="108"/>
        <v>0.23653566196722958</v>
      </c>
      <c r="L848" s="37"/>
      <c r="M848" s="45">
        <f t="shared" si="109"/>
        <v>3.0760353331972079E-2</v>
      </c>
    </row>
    <row r="849" spans="1:13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40">
        <f t="shared" si="103"/>
        <v>158.6</v>
      </c>
      <c r="G849" s="221">
        <f t="shared" si="105"/>
        <v>1.1691034414026704E-3</v>
      </c>
      <c r="H849" s="316">
        <f t="shared" si="106"/>
        <v>2.6528476919900417</v>
      </c>
      <c r="I849" s="37">
        <f t="shared" si="104"/>
        <v>0.9754520963447384</v>
      </c>
      <c r="J849" s="316">
        <v>1.0237550762753964</v>
      </c>
      <c r="K849" s="37">
        <f t="shared" si="108"/>
        <v>0.22653717384059546</v>
      </c>
      <c r="L849" s="37"/>
      <c r="M849" s="45">
        <f t="shared" si="109"/>
        <v>3.0760353331972079E-2</v>
      </c>
    </row>
    <row r="850" spans="1:13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40">
        <f t="shared" si="103"/>
        <v>414.61</v>
      </c>
      <c r="G850" s="221">
        <f t="shared" si="105"/>
        <v>3.0562545891548629E-3</v>
      </c>
      <c r="H850" s="316">
        <f t="shared" si="106"/>
        <v>6.9350389758889746</v>
      </c>
      <c r="I850" s="37">
        <f t="shared" si="104"/>
        <v>2.5500138314343763</v>
      </c>
      <c r="J850" s="316">
        <v>2.6762868359050578</v>
      </c>
      <c r="K850" s="37">
        <f t="shared" si="108"/>
        <v>0.59221045174053777</v>
      </c>
      <c r="L850" s="37"/>
      <c r="M850" s="45">
        <f t="shared" si="109"/>
        <v>3.0760353331972086E-2</v>
      </c>
    </row>
    <row r="851" spans="1:13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40">
        <f t="shared" si="103"/>
        <v>148.1</v>
      </c>
      <c r="G851" s="221">
        <f t="shared" si="105"/>
        <v>1.0917037810323801E-3</v>
      </c>
      <c r="H851" s="316">
        <f t="shared" si="106"/>
        <v>2.4772178006540049</v>
      </c>
      <c r="I851" s="37">
        <f t="shared" si="104"/>
        <v>0.91087298530047767</v>
      </c>
      <c r="J851" s="316">
        <v>0.9559781008599384</v>
      </c>
      <c r="K851" s="37">
        <f t="shared" si="108"/>
        <v>0.21153944165064431</v>
      </c>
      <c r="L851" s="37"/>
      <c r="M851" s="45">
        <f t="shared" si="109"/>
        <v>3.0760353331972082E-2</v>
      </c>
    </row>
    <row r="852" spans="1:13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40">
        <f t="shared" si="103"/>
        <v>27.8</v>
      </c>
      <c r="G852" s="221">
        <f t="shared" si="105"/>
        <v>2.0492481507562575E-4</v>
      </c>
      <c r="H852" s="316">
        <f t="shared" si="106"/>
        <v>0.46500104563255468</v>
      </c>
      <c r="I852" s="37">
        <f t="shared" si="104"/>
        <v>0.17098088447909038</v>
      </c>
      <c r="J852" s="316">
        <v>0.17944761109997492</v>
      </c>
      <c r="K852" s="37">
        <f t="shared" si="108"/>
        <v>3.9708281417204006E-2</v>
      </c>
      <c r="L852" s="37"/>
      <c r="M852" s="45">
        <f t="shared" si="109"/>
        <v>3.0760353331972086E-2</v>
      </c>
    </row>
    <row r="853" spans="1:13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40">
        <f t="shared" si="103"/>
        <v>140.9</v>
      </c>
      <c r="G853" s="221">
        <f t="shared" si="105"/>
        <v>1.0386297282070384E-3</v>
      </c>
      <c r="H853" s="316">
        <f t="shared" si="106"/>
        <v>2.356785875166437</v>
      </c>
      <c r="I853" s="37">
        <f t="shared" si="104"/>
        <v>0.86659016629869901</v>
      </c>
      <c r="J853" s="316">
        <v>0.90950246057505291</v>
      </c>
      <c r="K853" s="37">
        <f t="shared" si="108"/>
        <v>0.20125528243467783</v>
      </c>
      <c r="L853" s="37"/>
      <c r="M853" s="45">
        <f t="shared" si="109"/>
        <v>3.0760353331972086E-2</v>
      </c>
    </row>
    <row r="854" spans="1:13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40">
        <f t="shared" si="103"/>
        <v>66.599999999999994</v>
      </c>
      <c r="G854" s="221">
        <f t="shared" si="105"/>
        <v>4.9093498863441267E-4</v>
      </c>
      <c r="H854" s="316">
        <f t="shared" si="106"/>
        <v>1.1139953107600049</v>
      </c>
      <c r="I854" s="37">
        <f t="shared" si="104"/>
        <v>0.40961607576645381</v>
      </c>
      <c r="J854" s="316">
        <v>0.42989967263519169</v>
      </c>
      <c r="K854" s="37">
        <f t="shared" si="108"/>
        <v>9.5128472747690151E-2</v>
      </c>
      <c r="L854" s="37"/>
      <c r="M854" s="45">
        <f t="shared" si="109"/>
        <v>3.0760353331972079E-2</v>
      </c>
    </row>
    <row r="855" spans="1:13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40">
        <f t="shared" si="103"/>
        <v>97.5</v>
      </c>
      <c r="G855" s="221">
        <f t="shared" si="105"/>
        <v>7.1871113200983841E-4</v>
      </c>
      <c r="H855" s="316">
        <f t="shared" si="106"/>
        <v>1.6308489909774848</v>
      </c>
      <c r="I855" s="37">
        <f t="shared" si="104"/>
        <v>0.59966317398242119</v>
      </c>
      <c r="J855" s="316">
        <v>0.62935762885782576</v>
      </c>
      <c r="K855" s="37">
        <f t="shared" si="108"/>
        <v>0.13926465604954641</v>
      </c>
      <c r="L855" s="37"/>
      <c r="M855" s="45">
        <f t="shared" si="109"/>
        <v>3.0760353331972086E-2</v>
      </c>
    </row>
    <row r="856" spans="1:13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40">
        <f t="shared" si="103"/>
        <v>522.6</v>
      </c>
      <c r="G856" s="221">
        <f t="shared" si="105"/>
        <v>3.8522916675727344E-3</v>
      </c>
      <c r="H856" s="316">
        <f t="shared" si="106"/>
        <v>8.7413505916393195</v>
      </c>
      <c r="I856" s="37">
        <f t="shared" si="104"/>
        <v>3.2141946125457781</v>
      </c>
      <c r="J856" s="316">
        <v>3.3733568906779459</v>
      </c>
      <c r="K856" s="37">
        <f t="shared" si="108"/>
        <v>0.7464585564255688</v>
      </c>
      <c r="L856" s="37"/>
      <c r="M856" s="45">
        <f t="shared" si="109"/>
        <v>3.0760353331972086E-2</v>
      </c>
    </row>
    <row r="857" spans="1:13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40">
        <f t="shared" si="103"/>
        <v>71.8</v>
      </c>
      <c r="G857" s="221">
        <f t="shared" si="105"/>
        <v>5.2926624900827073E-4</v>
      </c>
      <c r="H857" s="316">
        <f t="shared" si="106"/>
        <v>1.2009739236121375</v>
      </c>
      <c r="I857" s="37">
        <f t="shared" si="104"/>
        <v>0.44159811171218299</v>
      </c>
      <c r="J857" s="316">
        <v>0.46346541284094239</v>
      </c>
      <c r="K857" s="37">
        <f t="shared" si="108"/>
        <v>0.10255592107033262</v>
      </c>
      <c r="L857" s="37"/>
      <c r="M857" s="45">
        <f t="shared" si="109"/>
        <v>3.0760353331972082E-2</v>
      </c>
    </row>
    <row r="858" spans="1:13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40">
        <f t="shared" si="103"/>
        <v>199</v>
      </c>
      <c r="G858" s="221">
        <f t="shared" si="105"/>
        <v>1.4669078489226446E-3</v>
      </c>
      <c r="H858" s="316">
        <f t="shared" si="106"/>
        <v>3.3286046072258406</v>
      </c>
      <c r="I858" s="37">
        <f t="shared" si="104"/>
        <v>1.2239279140769417</v>
      </c>
      <c r="J858" s="316">
        <v>1.2845350578739212</v>
      </c>
      <c r="K858" s="37">
        <f t="shared" si="108"/>
        <v>0.28424273388574084</v>
      </c>
      <c r="L858" s="37"/>
      <c r="M858" s="45">
        <f t="shared" si="109"/>
        <v>3.0760353331972082E-2</v>
      </c>
    </row>
    <row r="859" spans="1:13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40">
        <f t="shared" si="103"/>
        <v>128.5</v>
      </c>
      <c r="G859" s="221">
        <f t="shared" si="105"/>
        <v>9.472244150078383E-4</v>
      </c>
      <c r="H859" s="316">
        <f t="shared" si="106"/>
        <v>2.1493753368267363</v>
      </c>
      <c r="I859" s="37">
        <f t="shared" si="104"/>
        <v>0.790325311351191</v>
      </c>
      <c r="J859" s="316">
        <v>0.82946108008441644</v>
      </c>
      <c r="K859" s="37">
        <f t="shared" ref="K859:K874" si="110">G859*193.77</f>
        <v>0.18354367489606885</v>
      </c>
      <c r="L859" s="37"/>
      <c r="M859" s="45">
        <f t="shared" si="109"/>
        <v>3.0760353331972079E-2</v>
      </c>
    </row>
    <row r="860" spans="1:13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40">
        <f t="shared" si="103"/>
        <v>43.4</v>
      </c>
      <c r="G860" s="221">
        <f t="shared" si="105"/>
        <v>3.1991859619719988E-4</v>
      </c>
      <c r="H860" s="316">
        <f t="shared" si="106"/>
        <v>0.72593688418895219</v>
      </c>
      <c r="I860" s="37">
        <f t="shared" si="104"/>
        <v>0.26692699231627776</v>
      </c>
      <c r="J860" s="316">
        <v>0.28014483171722704</v>
      </c>
      <c r="K860" s="37">
        <f t="shared" si="110"/>
        <v>6.1990626385131427E-2</v>
      </c>
      <c r="L860" s="37"/>
      <c r="M860" s="45">
        <f t="shared" si="109"/>
        <v>3.0760353331972082E-2</v>
      </c>
    </row>
    <row r="861" spans="1:13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40">
        <f t="shared" si="103"/>
        <v>35.4</v>
      </c>
      <c r="G861" s="221">
        <f t="shared" si="105"/>
        <v>2.609474263912644E-4</v>
      </c>
      <c r="H861" s="316">
        <f t="shared" si="106"/>
        <v>0.59212363364720977</v>
      </c>
      <c r="I861" s="37">
        <f t="shared" si="104"/>
        <v>0.21772386009207906</v>
      </c>
      <c r="J861" s="316">
        <v>0.22850523140068746</v>
      </c>
      <c r="K861" s="37">
        <f t="shared" si="110"/>
        <v>5.0563782811835302E-2</v>
      </c>
      <c r="L861" s="37"/>
      <c r="M861" s="45">
        <f t="shared" si="109"/>
        <v>3.0760353331972079E-2</v>
      </c>
    </row>
    <row r="862" spans="1:13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40">
        <f t="shared" si="103"/>
        <v>407.14</v>
      </c>
      <c r="G862" s="221">
        <f t="shared" si="105"/>
        <v>3.0011902593485703E-3</v>
      </c>
      <c r="H862" s="316">
        <f t="shared" si="106"/>
        <v>6.8100908531956215</v>
      </c>
      <c r="I862" s="37">
        <f t="shared" si="104"/>
        <v>2.5040704067200301</v>
      </c>
      <c r="J862" s="316">
        <v>2.6280683591094887</v>
      </c>
      <c r="K862" s="37">
        <f t="shared" si="110"/>
        <v>0.58154063655397248</v>
      </c>
      <c r="L862" s="37"/>
      <c r="M862" s="45">
        <f t="shared" si="109"/>
        <v>3.0760353331972079E-2</v>
      </c>
    </row>
    <row r="863" spans="1:13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40">
        <f t="shared" si="103"/>
        <v>207.4</v>
      </c>
      <c r="G863" s="221">
        <f t="shared" si="105"/>
        <v>1.5288275772188768E-3</v>
      </c>
      <c r="H863" s="316">
        <f t="shared" si="106"/>
        <v>3.4691085202946703</v>
      </c>
      <c r="I863" s="37">
        <f t="shared" si="104"/>
        <v>1.2755912029123504</v>
      </c>
      <c r="J863" s="316">
        <v>1.3387566382062879</v>
      </c>
      <c r="K863" s="37">
        <f t="shared" si="110"/>
        <v>0.29624091963770177</v>
      </c>
      <c r="L863" s="37"/>
      <c r="M863" s="45">
        <f t="shared" si="109"/>
        <v>3.0760353331972082E-2</v>
      </c>
    </row>
    <row r="864" spans="1:13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40">
        <f t="shared" si="103"/>
        <v>619.29999999999995</v>
      </c>
      <c r="G864" s="221">
        <f t="shared" si="105"/>
        <v>4.5651056826019783E-3</v>
      </c>
      <c r="H864" s="316">
        <f t="shared" si="106"/>
        <v>10.358818257562627</v>
      </c>
      <c r="I864" s="37">
        <f t="shared" si="104"/>
        <v>3.8089374733057779</v>
      </c>
      <c r="J864" s="316">
        <v>3.9975505595041176</v>
      </c>
      <c r="K864" s="37">
        <f t="shared" si="110"/>
        <v>0.88458052811778543</v>
      </c>
      <c r="L864" s="37"/>
      <c r="M864" s="45">
        <f t="shared" si="109"/>
        <v>4.9034457705251756E-2</v>
      </c>
    </row>
    <row r="865" spans="1:13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40">
        <f t="shared" si="103"/>
        <v>326.7</v>
      </c>
      <c r="G865" s="221">
        <f t="shared" si="105"/>
        <v>2.4082351469498892E-3</v>
      </c>
      <c r="H865" s="316">
        <f t="shared" si="106"/>
        <v>5.4645986189984024</v>
      </c>
      <c r="I865" s="37">
        <f t="shared" si="104"/>
        <v>2.0093329122057129</v>
      </c>
      <c r="J865" s="316">
        <v>2.1088321779266836</v>
      </c>
      <c r="K865" s="37">
        <f t="shared" si="110"/>
        <v>0.46664372442448004</v>
      </c>
      <c r="L865" s="37"/>
      <c r="M865" s="45">
        <f t="shared" si="109"/>
        <v>3.0760353331972079E-2</v>
      </c>
    </row>
    <row r="866" spans="1:13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40">
        <f t="shared" si="103"/>
        <v>485.4</v>
      </c>
      <c r="G866" s="221">
        <f t="shared" si="105"/>
        <v>3.5780757279751342E-3</v>
      </c>
      <c r="H866" s="316">
        <f t="shared" si="106"/>
        <v>8.1191189766202161</v>
      </c>
      <c r="I866" s="37">
        <f t="shared" si="104"/>
        <v>2.9854000477032536</v>
      </c>
      <c r="J866" s="316">
        <v>3.1332327492060368</v>
      </c>
      <c r="K866" s="37">
        <f t="shared" si="110"/>
        <v>0.69332373380974177</v>
      </c>
      <c r="L866" s="37"/>
      <c r="M866" s="45">
        <f t="shared" si="109"/>
        <v>3.0760353331972082E-2</v>
      </c>
    </row>
    <row r="867" spans="1:13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40">
        <f t="shared" si="103"/>
        <v>133.6</v>
      </c>
      <c r="G867" s="221">
        <f t="shared" si="105"/>
        <v>9.8481853575912211E-4</v>
      </c>
      <c r="H867" s="316">
        <f t="shared" si="106"/>
        <v>2.2346812840470966</v>
      </c>
      <c r="I867" s="37">
        <f t="shared" si="104"/>
        <v>0.82169230814411753</v>
      </c>
      <c r="J867" s="316">
        <v>0.86238132528621037</v>
      </c>
      <c r="K867" s="37">
        <f t="shared" si="110"/>
        <v>0.19082828767404511</v>
      </c>
      <c r="L867" s="37"/>
      <c r="M867" s="45">
        <f t="shared" si="109"/>
        <v>3.0760353331972079E-2</v>
      </c>
    </row>
    <row r="868" spans="1:13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40">
        <f t="shared" si="103"/>
        <v>562.28</v>
      </c>
      <c r="G868" s="221">
        <f t="shared" si="105"/>
        <v>4.1447886698101734E-3</v>
      </c>
      <c r="H868" s="316">
        <f t="shared" si="106"/>
        <v>9.4050643143263599</v>
      </c>
      <c r="I868" s="37">
        <f t="shared" si="104"/>
        <v>3.4582421483778027</v>
      </c>
      <c r="J868" s="316">
        <v>3.6294893082479813</v>
      </c>
      <c r="K868" s="37">
        <f t="shared" si="110"/>
        <v>0.80313570054911732</v>
      </c>
      <c r="L868" s="37"/>
      <c r="M868" s="45">
        <f t="shared" si="109"/>
        <v>3.0760353331972082E-2</v>
      </c>
    </row>
    <row r="869" spans="1:13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40">
        <f t="shared" si="103"/>
        <v>156.78</v>
      </c>
      <c r="G869" s="221">
        <f t="shared" si="105"/>
        <v>1.1556875002718201E-3</v>
      </c>
      <c r="H869" s="316">
        <f t="shared" si="106"/>
        <v>2.6224051774917956</v>
      </c>
      <c r="I869" s="37">
        <f t="shared" si="104"/>
        <v>0.9642583837637333</v>
      </c>
      <c r="J869" s="316">
        <v>1.0120070672033836</v>
      </c>
      <c r="K869" s="37">
        <f t="shared" si="110"/>
        <v>0.22393756692767061</v>
      </c>
      <c r="L869" s="37"/>
      <c r="M869" s="45">
        <f t="shared" si="109"/>
        <v>3.0760353331972082E-2</v>
      </c>
    </row>
    <row r="870" spans="1:13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40">
        <f t="shared" si="103"/>
        <v>169.82</v>
      </c>
      <c r="G870" s="221">
        <f t="shared" si="105"/>
        <v>1.2518105070554949E-3</v>
      </c>
      <c r="H870" s="316">
        <f t="shared" si="106"/>
        <v>2.8405207758748352</v>
      </c>
      <c r="I870" s="37">
        <f t="shared" si="104"/>
        <v>1.044459489289177</v>
      </c>
      <c r="J870" s="316">
        <v>1.0961796157193431</v>
      </c>
      <c r="K870" s="37">
        <f t="shared" si="110"/>
        <v>0.24256332195214328</v>
      </c>
      <c r="L870" s="37"/>
      <c r="M870" s="45">
        <f t="shared" si="109"/>
        <v>3.0760353331972079E-2</v>
      </c>
    </row>
    <row r="871" spans="1:13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40">
        <f t="shared" si="103"/>
        <v>263.20999999999998</v>
      </c>
      <c r="G871" s="221">
        <f t="shared" si="105"/>
        <v>1.940225200577534E-3</v>
      </c>
      <c r="H871" s="316">
        <f t="shared" si="106"/>
        <v>4.4026232093865003</v>
      </c>
      <c r="I871" s="37">
        <f t="shared" si="104"/>
        <v>1.6188445540914163</v>
      </c>
      <c r="J871" s="316">
        <v>1.6990073999145465</v>
      </c>
      <c r="K871" s="37">
        <f t="shared" si="110"/>
        <v>0.37595743711590879</v>
      </c>
      <c r="L871" s="37"/>
      <c r="M871" s="45">
        <f t="shared" si="109"/>
        <v>3.0760353331972086E-2</v>
      </c>
    </row>
    <row r="872" spans="1:13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40">
        <f t="shared" ref="F872:F879" si="111">C872+D872+E872</f>
        <v>83.5</v>
      </c>
      <c r="G872" s="221">
        <f t="shared" si="105"/>
        <v>6.1551158484945143E-4</v>
      </c>
      <c r="H872" s="316">
        <f t="shared" si="106"/>
        <v>1.3966758025294357</v>
      </c>
      <c r="I872" s="37">
        <f t="shared" ref="I872:I879" si="112">H872*0.3677</f>
        <v>0.51355769259007356</v>
      </c>
      <c r="J872" s="316">
        <v>0.53898832830388144</v>
      </c>
      <c r="K872" s="37">
        <f t="shared" si="110"/>
        <v>0.11926767979627821</v>
      </c>
      <c r="L872" s="37"/>
      <c r="M872" s="45">
        <f t="shared" si="109"/>
        <v>3.0760353331972086E-2</v>
      </c>
    </row>
    <row r="873" spans="1:13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40">
        <f t="shared" si="111"/>
        <v>1770.4</v>
      </c>
      <c r="G873" s="221">
        <f t="shared" si="105"/>
        <v>1.3050319878053518E-2</v>
      </c>
      <c r="H873" s="316">
        <f t="shared" si="106"/>
        <v>29.612872344887581</v>
      </c>
      <c r="I873" s="37">
        <f t="shared" si="112"/>
        <v>10.888653161215164</v>
      </c>
      <c r="J873" s="316">
        <v>11.427843550050202</v>
      </c>
      <c r="K873" s="37">
        <f t="shared" si="110"/>
        <v>2.5287604827704304</v>
      </c>
      <c r="L873" s="37"/>
      <c r="M873" s="45">
        <f t="shared" si="109"/>
        <v>3.0760353331972079E-2</v>
      </c>
    </row>
    <row r="874" spans="1:13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40">
        <f t="shared" si="111"/>
        <v>4761.2</v>
      </c>
      <c r="G874" s="221">
        <f t="shared" si="105"/>
        <v>3.5096691710002487E-2</v>
      </c>
      <c r="H874" s="316">
        <f t="shared" si="106"/>
        <v>79.638956059917945</v>
      </c>
      <c r="I874" s="37">
        <f t="shared" si="112"/>
        <v>29.28324414323183</v>
      </c>
      <c r="J874" s="316">
        <v>30.733308128388508</v>
      </c>
      <c r="K874" s="37">
        <f t="shared" si="110"/>
        <v>6.8006859526471821</v>
      </c>
      <c r="L874" s="37"/>
      <c r="M874" s="45">
        <f t="shared" si="109"/>
        <v>3.4647786677119818E-2</v>
      </c>
    </row>
    <row r="875" spans="1:13" s="6" customFormat="1" ht="15.75">
      <c r="A875" s="8">
        <v>130</v>
      </c>
      <c r="B875" s="195" t="s">
        <v>1382</v>
      </c>
      <c r="C875" s="158">
        <v>725.2</v>
      </c>
      <c r="D875" s="160"/>
      <c r="E875" s="160"/>
      <c r="F875" s="40">
        <f t="shared" si="111"/>
        <v>725.2</v>
      </c>
      <c r="G875" s="221">
        <f t="shared" si="105"/>
        <v>5.3457365429080504E-3</v>
      </c>
      <c r="H875" s="316">
        <f t="shared" si="106"/>
        <v>12.130171161608946</v>
      </c>
      <c r="I875" s="37">
        <f t="shared" si="112"/>
        <v>4.4602639361236101</v>
      </c>
      <c r="J875" s="316">
        <v>4.6811297686943103</v>
      </c>
      <c r="K875" s="37">
        <f>G875*193.77</f>
        <v>1.035843369919293</v>
      </c>
      <c r="L875" s="37"/>
      <c r="M875" s="45">
        <f t="shared" si="109"/>
        <v>3.0760353331972086E-2</v>
      </c>
    </row>
    <row r="876" spans="1:13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 t="shared" si="111"/>
        <v>2911.81</v>
      </c>
      <c r="G876" s="221">
        <f t="shared" si="105"/>
        <v>2.1464105244077616E-2</v>
      </c>
      <c r="H876" s="316">
        <f t="shared" si="106"/>
        <v>48.704845132493844</v>
      </c>
      <c r="I876" s="37">
        <f t="shared" si="112"/>
        <v>17.908771555217989</v>
      </c>
      <c r="J876" s="316">
        <v>4.6811297686943103</v>
      </c>
      <c r="K876" s="37">
        <f>G876*193.77</f>
        <v>4.1590996731449197</v>
      </c>
      <c r="L876" s="37"/>
      <c r="M876" s="45">
        <f t="shared" si="109"/>
        <v>2.6283120836819947E-2</v>
      </c>
    </row>
    <row r="877" spans="1:13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 t="shared" si="111"/>
        <v>2933</v>
      </c>
      <c r="G877" s="221">
        <f>2/271319.02*F877</f>
        <v>2.1620305130101089E-2</v>
      </c>
      <c r="H877" s="316">
        <f>G877*2269.13</f>
        <v>49.059282979866289</v>
      </c>
      <c r="I877" s="37">
        <f t="shared" si="112"/>
        <v>18.039098351696836</v>
      </c>
      <c r="J877" s="316">
        <v>4.6811297686943103</v>
      </c>
      <c r="K877" s="37">
        <f>G877*193.77</f>
        <v>4.1893665250596879</v>
      </c>
      <c r="L877" s="37"/>
      <c r="M877" s="45">
        <f t="shared" si="109"/>
        <v>2.5901424352307235E-2</v>
      </c>
    </row>
    <row r="878" spans="1:13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 t="shared" si="111"/>
        <v>3120.67</v>
      </c>
      <c r="G878" s="221">
        <f>2/271319.02*F878</f>
        <v>2.3003695059786076E-2</v>
      </c>
      <c r="H878" s="316">
        <f>G878*2269.13</f>
        <v>52.19837457101238</v>
      </c>
      <c r="I878" s="37">
        <f t="shared" si="112"/>
        <v>19.193342329761254</v>
      </c>
      <c r="J878" s="316">
        <v>4.6811297686943103</v>
      </c>
      <c r="K878" s="37">
        <f>G878*193.77</f>
        <v>4.4574259917347483</v>
      </c>
      <c r="L878" s="37"/>
      <c r="M878" s="45">
        <f t="shared" si="109"/>
        <v>2.580544327378502E-2</v>
      </c>
    </row>
    <row r="879" spans="1:13" s="69" customFormat="1" ht="15.75">
      <c r="A879" s="63"/>
      <c r="B879" s="63" t="s">
        <v>681</v>
      </c>
      <c r="C879" s="77">
        <f>SUM(C749:C875)</f>
        <v>265493.51999999984</v>
      </c>
      <c r="D879" s="77">
        <f>SUM(D749:D875)</f>
        <v>216.9</v>
      </c>
      <c r="E879" s="77">
        <f>SUM(E749:E875)</f>
        <v>5608.6</v>
      </c>
      <c r="F879" s="63">
        <f t="shared" si="111"/>
        <v>271319.01999999984</v>
      </c>
      <c r="G879" s="221">
        <f>2/271319.02*F879</f>
        <v>1.9999999999999989</v>
      </c>
      <c r="H879" s="316">
        <f>G879*2269.13</f>
        <v>4538.2599999999975</v>
      </c>
      <c r="I879" s="64">
        <f t="shared" si="112"/>
        <v>1668.7182019999991</v>
      </c>
      <c r="J879" s="316">
        <f>SUM(J536:J875)</f>
        <v>5600.7500636421664</v>
      </c>
      <c r="K879" s="316">
        <f>SUM(K749:K875)</f>
        <v>387.54000000000008</v>
      </c>
      <c r="L879" s="316"/>
      <c r="M879" s="45">
        <f t="shared" si="109"/>
        <v>4.5934334915753015E-2</v>
      </c>
    </row>
    <row r="880" spans="1:13" s="6" customFormat="1" ht="15.75">
      <c r="A880" s="9" t="s">
        <v>392</v>
      </c>
      <c r="B880" s="8"/>
      <c r="C880" s="8"/>
      <c r="D880" s="8"/>
      <c r="E880" s="8"/>
      <c r="F880" s="40"/>
      <c r="G880" s="61"/>
      <c r="H880" s="316"/>
      <c r="I880" s="37"/>
      <c r="J880" s="316"/>
      <c r="K880" s="37"/>
      <c r="L880" s="37"/>
      <c r="M880" s="45" t="e">
        <f t="shared" si="109"/>
        <v>#DIV/0!</v>
      </c>
    </row>
    <row r="881" spans="1:13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8">
        <f t="shared" ref="F881:F941" si="113">C881+D881+E881</f>
        <v>4265.91</v>
      </c>
      <c r="G881" s="70">
        <f t="shared" ref="G881:G944" si="114">4/282420.13*F881</f>
        <v>6.0419347586873492E-2</v>
      </c>
      <c r="H881" s="316">
        <f t="shared" ref="H881:H944" si="115">G881*2269.13</f>
        <v>137.09935418980226</v>
      </c>
      <c r="I881" s="7">
        <f t="shared" ref="I881:I943" si="116">H881*0.3677</f>
        <v>50.411432535590293</v>
      </c>
      <c r="J881" s="316">
        <v>52.709750244607385</v>
      </c>
      <c r="K881" s="37">
        <f>G881*793.77</f>
        <v>47.959065534032568</v>
      </c>
      <c r="L881" s="37">
        <f>K881*1.219</f>
        <v>58.462100885985706</v>
      </c>
      <c r="M881" s="45">
        <f t="shared" si="109"/>
        <v>6.7554074629805241E-2</v>
      </c>
    </row>
    <row r="882" spans="1:13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8">
        <f t="shared" si="113"/>
        <v>9865.73</v>
      </c>
      <c r="G882" s="70">
        <f t="shared" si="114"/>
        <v>0.13973125782499993</v>
      </c>
      <c r="H882" s="316">
        <f t="shared" si="115"/>
        <v>317.06838906844212</v>
      </c>
      <c r="I882" s="7">
        <f t="shared" si="116"/>
        <v>116.58604666046618</v>
      </c>
      <c r="J882" s="316">
        <v>121.90134444485007</v>
      </c>
      <c r="K882" s="37">
        <f>G882*2793.77</f>
        <v>390.37699617375006</v>
      </c>
      <c r="L882" s="37">
        <f t="shared" ref="L882:L945" si="117">K882*1.219</f>
        <v>475.86955833580134</v>
      </c>
      <c r="M882" s="45">
        <f t="shared" si="109"/>
        <v>9.5880667355330879E-2</v>
      </c>
    </row>
    <row r="883" spans="1:13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8">
        <f t="shared" si="113"/>
        <v>4252.49</v>
      </c>
      <c r="G883" s="70">
        <f t="shared" si="114"/>
        <v>6.0229276149685214E-2</v>
      </c>
      <c r="H883" s="316">
        <f t="shared" si="115"/>
        <v>136.66805738953522</v>
      </c>
      <c r="I883" s="7">
        <f t="shared" si="116"/>
        <v>50.252844702132101</v>
      </c>
      <c r="J883" s="316">
        <v>52.543932201497562</v>
      </c>
      <c r="K883" s="37">
        <f>G883*793.77</f>
        <v>47.808192529335628</v>
      </c>
      <c r="L883" s="37">
        <f t="shared" si="117"/>
        <v>58.278186693260132</v>
      </c>
      <c r="M883" s="45">
        <f t="shared" si="109"/>
        <v>6.7554074629805255E-2</v>
      </c>
    </row>
    <row r="884" spans="1:13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8">
        <f t="shared" si="113"/>
        <v>5951.3</v>
      </c>
      <c r="G884" s="70">
        <f t="shared" si="114"/>
        <v>8.4290025643710312E-2</v>
      </c>
      <c r="H884" s="316">
        <f t="shared" si="115"/>
        <v>191.26502588891239</v>
      </c>
      <c r="I884" s="7">
        <f t="shared" si="116"/>
        <v>70.328150019353089</v>
      </c>
      <c r="J884" s="316">
        <v>73.534494780886604</v>
      </c>
      <c r="K884" s="37">
        <f>G884*793.77</f>
        <v>66.906893655207938</v>
      </c>
      <c r="L884" s="37">
        <f t="shared" si="117"/>
        <v>81.559503365698475</v>
      </c>
      <c r="M884" s="45">
        <f t="shared" si="109"/>
        <v>6.7635901876543114E-2</v>
      </c>
    </row>
    <row r="885" spans="1:13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8">
        <f t="shared" si="113"/>
        <v>4295.57</v>
      </c>
      <c r="G885" s="70">
        <f t="shared" si="114"/>
        <v>6.083943095699304E-2</v>
      </c>
      <c r="H885" s="316">
        <f t="shared" si="115"/>
        <v>138.05257796744164</v>
      </c>
      <c r="I885" s="7">
        <f t="shared" si="116"/>
        <v>50.76193291862829</v>
      </c>
      <c r="J885" s="316">
        <v>53.076230360750259</v>
      </c>
      <c r="K885" s="37">
        <f>G885*793.77</f>
        <v>48.292515110732367</v>
      </c>
      <c r="L885" s="37">
        <f t="shared" si="117"/>
        <v>58.86857591998276</v>
      </c>
      <c r="M885" s="45">
        <f t="shared" si="109"/>
        <v>6.7554074629805255E-2</v>
      </c>
    </row>
    <row r="886" spans="1:13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8">
        <f t="shared" si="113"/>
        <v>7972.34</v>
      </c>
      <c r="G886" s="70">
        <f t="shared" si="114"/>
        <v>0.11291461412470846</v>
      </c>
      <c r="H886" s="316">
        <f t="shared" si="115"/>
        <v>256.21793834879975</v>
      </c>
      <c r="I886" s="7">
        <f t="shared" si="116"/>
        <v>94.211335930853679</v>
      </c>
      <c r="J886" s="316">
        <v>98.506543800758408</v>
      </c>
      <c r="K886" s="37">
        <f>G886*793.77</f>
        <v>89.628233253769835</v>
      </c>
      <c r="L886" s="37">
        <f t="shared" si="117"/>
        <v>109.25681633634544</v>
      </c>
      <c r="M886" s="45">
        <f t="shared" si="109"/>
        <v>6.7554074629805255E-2</v>
      </c>
    </row>
    <row r="887" spans="1:13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8">
        <f t="shared" si="113"/>
        <v>3946.89</v>
      </c>
      <c r="G887" s="70">
        <f t="shared" si="114"/>
        <v>5.5900972781224904E-2</v>
      </c>
      <c r="H887" s="316">
        <f t="shared" si="115"/>
        <v>126.84657436706087</v>
      </c>
      <c r="I887" s="7">
        <f t="shared" si="116"/>
        <v>46.641485394768281</v>
      </c>
      <c r="J887" s="316">
        <v>48.76792668924999</v>
      </c>
      <c r="K887" s="37">
        <f t="shared" ref="K887:K892" si="118">G887*793.77</f>
        <v>44.372515164552894</v>
      </c>
      <c r="L887" s="37">
        <f t="shared" si="117"/>
        <v>54.090095985589983</v>
      </c>
      <c r="M887" s="45">
        <f t="shared" si="109"/>
        <v>6.7677533413956936E-2</v>
      </c>
    </row>
    <row r="888" spans="1:13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8">
        <f t="shared" si="113"/>
        <v>8036.22</v>
      </c>
      <c r="G888" s="70">
        <f t="shared" si="114"/>
        <v>0.11381936549636175</v>
      </c>
      <c r="H888" s="316">
        <f t="shared" si="115"/>
        <v>258.27093682875937</v>
      </c>
      <c r="I888" s="7">
        <f t="shared" si="116"/>
        <v>94.966223471934825</v>
      </c>
      <c r="J888" s="316">
        <v>99.295847570792347</v>
      </c>
      <c r="K888" s="37">
        <f t="shared" si="118"/>
        <v>90.346397750047061</v>
      </c>
      <c r="L888" s="37">
        <f t="shared" si="117"/>
        <v>110.13225885730738</v>
      </c>
      <c r="M888" s="45">
        <f t="shared" si="109"/>
        <v>6.7554074629805255E-2</v>
      </c>
    </row>
    <row r="889" spans="1:13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8">
        <f t="shared" si="113"/>
        <v>3993.05</v>
      </c>
      <c r="G889" s="70">
        <f t="shared" si="114"/>
        <v>5.6554750541330037E-2</v>
      </c>
      <c r="H889" s="316">
        <f t="shared" si="115"/>
        <v>128.33008109584824</v>
      </c>
      <c r="I889" s="7">
        <f t="shared" si="116"/>
        <v>47.186970818943401</v>
      </c>
      <c r="J889" s="316">
        <v>49.338281448560693</v>
      </c>
      <c r="K889" s="37">
        <f t="shared" si="118"/>
        <v>44.891464337191543</v>
      </c>
      <c r="L889" s="37">
        <f t="shared" si="117"/>
        <v>54.722695027036494</v>
      </c>
      <c r="M889" s="45">
        <f t="shared" si="109"/>
        <v>6.7554074629805255E-2</v>
      </c>
    </row>
    <row r="890" spans="1:13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8">
        <f t="shared" si="113"/>
        <v>8196.09</v>
      </c>
      <c r="G890" s="70">
        <f t="shared" si="114"/>
        <v>0.11608365168587664</v>
      </c>
      <c r="H890" s="316">
        <f t="shared" si="115"/>
        <v>263.40889654997329</v>
      </c>
      <c r="I890" s="7">
        <f t="shared" si="116"/>
        <v>96.855451261425188</v>
      </c>
      <c r="J890" s="316">
        <v>101.27120752250379</v>
      </c>
      <c r="K890" s="37">
        <f t="shared" si="118"/>
        <v>92.143720198698304</v>
      </c>
      <c r="L890" s="37">
        <f t="shared" si="117"/>
        <v>112.32319492221325</v>
      </c>
      <c r="M890" s="45">
        <f t="shared" si="109"/>
        <v>6.7554074629805255E-2</v>
      </c>
    </row>
    <row r="891" spans="1:13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8">
        <f t="shared" si="113"/>
        <v>3935.64</v>
      </c>
      <c r="G891" s="70">
        <f t="shared" si="114"/>
        <v>5.574163569714382E-2</v>
      </c>
      <c r="H891" s="316">
        <f t="shared" si="115"/>
        <v>126.48501780945996</v>
      </c>
      <c r="I891" s="7">
        <f t="shared" si="116"/>
        <v>46.508541048538433</v>
      </c>
      <c r="J891" s="316">
        <v>48.628921250726485</v>
      </c>
      <c r="K891" s="37">
        <f t="shared" si="118"/>
        <v>44.246038167321849</v>
      </c>
      <c r="L891" s="37">
        <f t="shared" si="117"/>
        <v>53.935920525965336</v>
      </c>
      <c r="M891" s="45">
        <f t="shared" si="109"/>
        <v>6.7554074629805255E-2</v>
      </c>
    </row>
    <row r="892" spans="1:13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8">
        <f t="shared" si="113"/>
        <v>4128.3999999999996</v>
      </c>
      <c r="G892" s="70">
        <f t="shared" si="114"/>
        <v>5.8471752704029975E-2</v>
      </c>
      <c r="H892" s="316">
        <f t="shared" si="115"/>
        <v>132.68000821329554</v>
      </c>
      <c r="I892" s="7">
        <f t="shared" si="116"/>
        <v>48.786439020028773</v>
      </c>
      <c r="J892" s="316">
        <v>51.010671324485777</v>
      </c>
      <c r="K892" s="37">
        <f t="shared" si="118"/>
        <v>46.413123143877876</v>
      </c>
      <c r="L892" s="37">
        <f t="shared" si="117"/>
        <v>56.577597112387132</v>
      </c>
      <c r="M892" s="45">
        <f t="shared" si="109"/>
        <v>7.0522996434958768E-2</v>
      </c>
    </row>
    <row r="893" spans="1:13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8">
        <f t="shared" si="113"/>
        <v>18171.13</v>
      </c>
      <c r="G893" s="70">
        <f t="shared" si="114"/>
        <v>0.25736309943629021</v>
      </c>
      <c r="H893" s="316">
        <f t="shared" si="115"/>
        <v>583.99032982386927</v>
      </c>
      <c r="I893" s="7">
        <f t="shared" si="116"/>
        <v>214.73324427623675</v>
      </c>
      <c r="J893" s="316">
        <v>224.52319058824324</v>
      </c>
      <c r="K893" s="37">
        <f>G893*793.77</f>
        <v>204.28710743954409</v>
      </c>
      <c r="L893" s="37">
        <f t="shared" si="117"/>
        <v>249.02598396880427</v>
      </c>
      <c r="M893" s="45">
        <f t="shared" si="109"/>
        <v>6.8420097960824836E-2</v>
      </c>
    </row>
    <row r="894" spans="1:13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8">
        <f t="shared" si="113"/>
        <v>3212.3</v>
      </c>
      <c r="G894" s="70">
        <f t="shared" si="114"/>
        <v>4.5496756906102977E-2</v>
      </c>
      <c r="H894" s="316">
        <f t="shared" si="115"/>
        <v>103.23805599834546</v>
      </c>
      <c r="I894" s="7">
        <f t="shared" si="116"/>
        <v>37.960633190591629</v>
      </c>
      <c r="J894" s="316">
        <v>39.69130401502899</v>
      </c>
      <c r="K894" s="37">
        <f>G894*1793.77</f>
        <v>81.610717635460333</v>
      </c>
      <c r="L894" s="37">
        <f t="shared" si="117"/>
        <v>99.483464797626155</v>
      </c>
      <c r="M894" s="45">
        <f t="shared" si="109"/>
        <v>8.1717370992568067E-2</v>
      </c>
    </row>
    <row r="895" spans="1:13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8">
        <f t="shared" si="113"/>
        <v>4181.6099999999997</v>
      </c>
      <c r="G895" s="70">
        <f t="shared" si="114"/>
        <v>5.9225381703492591E-2</v>
      </c>
      <c r="H895" s="316">
        <f t="shared" si="115"/>
        <v>134.39009038484616</v>
      </c>
      <c r="I895" s="7">
        <f t="shared" si="116"/>
        <v>49.415236234507937</v>
      </c>
      <c r="J895" s="316">
        <v>51.668136158604533</v>
      </c>
      <c r="K895" s="37">
        <f>G895*1793.77</f>
        <v>106.23671293827391</v>
      </c>
      <c r="L895" s="37">
        <f t="shared" si="117"/>
        <v>129.5025530717559</v>
      </c>
      <c r="M895" s="45">
        <f t="shared" si="109"/>
        <v>8.5452966186498627E-2</v>
      </c>
    </row>
    <row r="896" spans="1:13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8">
        <f t="shared" si="113"/>
        <v>6299.01</v>
      </c>
      <c r="G896" s="70">
        <f t="shared" si="114"/>
        <v>8.9214745422006567E-2</v>
      </c>
      <c r="H896" s="316">
        <f t="shared" si="115"/>
        <v>202.43985527943778</v>
      </c>
      <c r="I896" s="7">
        <f t="shared" si="116"/>
        <v>74.437134786249274</v>
      </c>
      <c r="J896" s="316">
        <v>77.830813094576399</v>
      </c>
      <c r="K896" s="37">
        <f>G896*793.77</f>
        <v>70.815988473626149</v>
      </c>
      <c r="L896" s="37">
        <f t="shared" si="117"/>
        <v>86.324689949350287</v>
      </c>
      <c r="M896" s="45">
        <f t="shared" si="109"/>
        <v>6.7554074629805255E-2</v>
      </c>
    </row>
    <row r="897" spans="1:13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8">
        <f t="shared" si="113"/>
        <v>147.65</v>
      </c>
      <c r="G897" s="70">
        <f t="shared" si="114"/>
        <v>2.0912107079619291E-3</v>
      </c>
      <c r="H897" s="316">
        <f t="shared" si="115"/>
        <v>4.7452289537576524</v>
      </c>
      <c r="I897" s="7">
        <f t="shared" si="116"/>
        <v>1.7448206862966888</v>
      </c>
      <c r="J897" s="316">
        <v>1.824369155377465</v>
      </c>
      <c r="K897" s="37">
        <f>G897*2793.77</f>
        <v>5.8423617395827989</v>
      </c>
      <c r="L897" s="37">
        <f t="shared" si="117"/>
        <v>7.1218389605514325</v>
      </c>
      <c r="M897" s="45">
        <f t="shared" si="109"/>
        <v>9.5880667355330879E-2</v>
      </c>
    </row>
    <row r="898" spans="1:13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8">
        <f t="shared" si="113"/>
        <v>4248.3</v>
      </c>
      <c r="G898" s="70">
        <f t="shared" si="114"/>
        <v>6.0169931937925247E-2</v>
      </c>
      <c r="H898" s="316">
        <f t="shared" si="115"/>
        <v>136.53339765830432</v>
      </c>
      <c r="I898" s="7">
        <f t="shared" si="116"/>
        <v>50.203330318958507</v>
      </c>
      <c r="J898" s="316">
        <v>52.492160398171919</v>
      </c>
      <c r="K898" s="37">
        <f>G898*793.77</f>
        <v>47.761086874366924</v>
      </c>
      <c r="L898" s="37">
        <f t="shared" si="117"/>
        <v>58.220764899853286</v>
      </c>
      <c r="M898" s="45">
        <f t="shared" si="109"/>
        <v>6.7554074629805255E-2</v>
      </c>
    </row>
    <row r="899" spans="1:13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8">
        <f t="shared" si="113"/>
        <v>4085.47</v>
      </c>
      <c r="G899" s="70">
        <f t="shared" si="114"/>
        <v>5.786372239117657E-2</v>
      </c>
      <c r="H899" s="316">
        <f t="shared" si="115"/>
        <v>131.30030838949048</v>
      </c>
      <c r="I899" s="7">
        <f t="shared" si="116"/>
        <v>48.279123394815656</v>
      </c>
      <c r="J899" s="316">
        <v>50.48022657108006</v>
      </c>
      <c r="K899" s="37">
        <f>G899*2793.77</f>
        <v>161.65793170479736</v>
      </c>
      <c r="L899" s="37">
        <f t="shared" si="117"/>
        <v>197.061018748148</v>
      </c>
      <c r="M899" s="45">
        <f t="shared" si="109"/>
        <v>9.5880667355330879E-2</v>
      </c>
    </row>
    <row r="900" spans="1:13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8">
        <f t="shared" si="113"/>
        <v>4100.95</v>
      </c>
      <c r="G900" s="70">
        <f t="shared" si="114"/>
        <v>5.808297021887214E-2</v>
      </c>
      <c r="H900" s="316">
        <f t="shared" si="115"/>
        <v>131.79781021274934</v>
      </c>
      <c r="I900" s="7">
        <f t="shared" si="116"/>
        <v>48.462054815227937</v>
      </c>
      <c r="J900" s="316">
        <v>50.67149805448841</v>
      </c>
      <c r="K900" s="37">
        <f>G900*793.77</f>
        <v>46.104519270634135</v>
      </c>
      <c r="L900" s="37">
        <f t="shared" si="117"/>
        <v>56.201408990903012</v>
      </c>
      <c r="M900" s="45">
        <f t="shared" si="109"/>
        <v>7.0070917342986816E-2</v>
      </c>
    </row>
    <row r="901" spans="1:13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8">
        <f t="shared" si="113"/>
        <v>7076.23</v>
      </c>
      <c r="G901" s="70">
        <f t="shared" si="114"/>
        <v>0.10022274262107307</v>
      </c>
      <c r="H901" s="316">
        <f t="shared" si="115"/>
        <v>227.41843196375555</v>
      </c>
      <c r="I901" s="7">
        <f t="shared" si="116"/>
        <v>83.621757433072929</v>
      </c>
      <c r="J901" s="316">
        <v>87.434173710509157</v>
      </c>
      <c r="K901" s="37">
        <f>G901*1993.77</f>
        <v>199.82109755561686</v>
      </c>
      <c r="L901" s="37">
        <f t="shared" si="117"/>
        <v>243.58191792029697</v>
      </c>
      <c r="M901" s="45">
        <f t="shared" si="109"/>
        <v>8.4550030265120632E-2</v>
      </c>
    </row>
    <row r="902" spans="1:13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8">
        <f t="shared" si="113"/>
        <v>4062.74</v>
      </c>
      <c r="G902" s="70">
        <f t="shared" si="114"/>
        <v>5.7541790664850975E-2</v>
      </c>
      <c r="H902" s="316">
        <f t="shared" si="115"/>
        <v>130.56980345133329</v>
      </c>
      <c r="I902" s="7">
        <f t="shared" si="116"/>
        <v>48.010516729055254</v>
      </c>
      <c r="J902" s="316">
        <v>50.199373805067665</v>
      </c>
      <c r="K902" s="37">
        <f>G902*1793.77</f>
        <v>103.21673784088973</v>
      </c>
      <c r="L902" s="37">
        <f t="shared" si="117"/>
        <v>125.8212034280446</v>
      </c>
      <c r="M902" s="45">
        <f t="shared" si="109"/>
        <v>8.1717370992568067E-2</v>
      </c>
    </row>
    <row r="903" spans="1:13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8">
        <f t="shared" si="113"/>
        <v>6379.08</v>
      </c>
      <c r="G903" s="70">
        <f t="shared" si="114"/>
        <v>9.0348800561772982E-2</v>
      </c>
      <c r="H903" s="316">
        <f t="shared" si="115"/>
        <v>205.01317381873594</v>
      </c>
      <c r="I903" s="7">
        <f t="shared" si="116"/>
        <v>75.383344013149213</v>
      </c>
      <c r="J903" s="316">
        <v>78.820161135694406</v>
      </c>
      <c r="K903" s="37">
        <f>G903*1793.77</f>
        <v>162.06496798369153</v>
      </c>
      <c r="L903" s="37">
        <f t="shared" si="117"/>
        <v>197.55719597211998</v>
      </c>
      <c r="M903" s="45">
        <f t="shared" ref="M903:M966" si="119">(K903+J903+I903+H903)/C903</f>
        <v>8.1717370992568067E-2</v>
      </c>
    </row>
    <row r="904" spans="1:13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8">
        <f t="shared" si="113"/>
        <v>6509.3399999999992</v>
      </c>
      <c r="G904" s="70">
        <f t="shared" si="114"/>
        <v>9.2193711545986462E-2</v>
      </c>
      <c r="H904" s="316">
        <f t="shared" si="115"/>
        <v>209.19951668034426</v>
      </c>
      <c r="I904" s="7">
        <f t="shared" si="116"/>
        <v>76.922662283362584</v>
      </c>
      <c r="J904" s="316">
        <v>80.429658773211955</v>
      </c>
      <c r="K904" s="37">
        <f>G904*1293.77</f>
        <v>119.27745818685091</v>
      </c>
      <c r="L904" s="37">
        <f t="shared" si="117"/>
        <v>145.39922152977127</v>
      </c>
      <c r="M904" s="45">
        <f t="shared" si="119"/>
        <v>7.4858827034420927E-2</v>
      </c>
    </row>
    <row r="905" spans="1:13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8">
        <f t="shared" si="113"/>
        <v>4249.6000000000004</v>
      </c>
      <c r="G905" s="70">
        <f t="shared" si="114"/>
        <v>6.0188344223196841E-2</v>
      </c>
      <c r="H905" s="316">
        <f t="shared" si="115"/>
        <v>136.57517752718266</v>
      </c>
      <c r="I905" s="7">
        <f t="shared" si="116"/>
        <v>50.218692776745065</v>
      </c>
      <c r="J905" s="316">
        <v>52.508223248845745</v>
      </c>
      <c r="K905" s="37">
        <f>G905*2193.77</f>
        <v>132.03938390652254</v>
      </c>
      <c r="L905" s="37">
        <f t="shared" si="117"/>
        <v>160.956008982051</v>
      </c>
      <c r="M905" s="45">
        <f t="shared" si="119"/>
        <v>8.7382689537673183E-2</v>
      </c>
    </row>
    <row r="906" spans="1:13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8">
        <f t="shared" si="113"/>
        <v>2807.52</v>
      </c>
      <c r="G906" s="70">
        <f t="shared" si="114"/>
        <v>3.9763737804383845E-2</v>
      </c>
      <c r="H906" s="316">
        <f t="shared" si="115"/>
        <v>90.22909036406152</v>
      </c>
      <c r="I906" s="7">
        <f t="shared" si="116"/>
        <v>33.177236526865421</v>
      </c>
      <c r="J906" s="316">
        <v>34.689826556758142</v>
      </c>
      <c r="K906" s="37">
        <f>G906*793.77</f>
        <v>31.563262156985765</v>
      </c>
      <c r="L906" s="37">
        <f t="shared" si="117"/>
        <v>38.475616569365648</v>
      </c>
      <c r="M906" s="45">
        <f t="shared" si="119"/>
        <v>6.7554074629805269E-2</v>
      </c>
    </row>
    <row r="907" spans="1:13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8">
        <f t="shared" si="113"/>
        <v>4226.7</v>
      </c>
      <c r="G907" s="70">
        <f t="shared" si="114"/>
        <v>5.9864004736489562E-2</v>
      </c>
      <c r="H907" s="316">
        <f t="shared" si="115"/>
        <v>135.83920906771056</v>
      </c>
      <c r="I907" s="7">
        <f t="shared" si="116"/>
        <v>49.948077174197174</v>
      </c>
      <c r="J907" s="316">
        <v>52.225269956206773</v>
      </c>
      <c r="K907" s="37">
        <f>G907*793.77</f>
        <v>47.518251039683321</v>
      </c>
      <c r="L907" s="37">
        <f t="shared" si="117"/>
        <v>57.924748017373972</v>
      </c>
      <c r="M907" s="45">
        <f t="shared" si="119"/>
        <v>6.7554074629805241E-2</v>
      </c>
    </row>
    <row r="908" spans="1:13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8">
        <f t="shared" si="113"/>
        <v>4709.3599999999997</v>
      </c>
      <c r="G908" s="70">
        <f t="shared" si="114"/>
        <v>6.670006135894066E-2</v>
      </c>
      <c r="H908" s="316">
        <f t="shared" si="115"/>
        <v>151.35111023141303</v>
      </c>
      <c r="I908" s="7">
        <f t="shared" si="116"/>
        <v>55.651803232090579</v>
      </c>
      <c r="J908" s="316">
        <v>58.189035730229705</v>
      </c>
      <c r="K908" s="37">
        <f>G908*1293.77</f>
        <v>86.294538384356656</v>
      </c>
      <c r="L908" s="37">
        <f t="shared" si="117"/>
        <v>105.19304229053077</v>
      </c>
      <c r="M908" s="45">
        <f t="shared" si="119"/>
        <v>7.4635722811186661E-2</v>
      </c>
    </row>
    <row r="909" spans="1:13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54">
        <v>5649.9</v>
      </c>
      <c r="G909" s="70">
        <f t="shared" si="114"/>
        <v>8.0021208119973597E-2</v>
      </c>
      <c r="H909" s="316">
        <f t="shared" si="115"/>
        <v>181.57852398127571</v>
      </c>
      <c r="I909" s="7">
        <f t="shared" si="116"/>
        <v>66.766423267915087</v>
      </c>
      <c r="J909" s="316">
        <v>69.81038463235447</v>
      </c>
      <c r="K909" s="37">
        <f>G909*1793.77</f>
        <v>143.53964248936504</v>
      </c>
      <c r="L909" s="37">
        <f t="shared" si="117"/>
        <v>174.97482419453598</v>
      </c>
      <c r="M909" s="45">
        <f t="shared" si="119"/>
        <v>8.0722255137363988E-2</v>
      </c>
    </row>
    <row r="910" spans="1:13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8">
        <f t="shared" si="113"/>
        <v>3555.12</v>
      </c>
      <c r="G910" s="70">
        <f t="shared" si="114"/>
        <v>5.0352218165185321E-2</v>
      </c>
      <c r="H910" s="316">
        <f t="shared" si="115"/>
        <v>114.25572880516697</v>
      </c>
      <c r="I910" s="7">
        <f t="shared" si="116"/>
        <v>42.011831481659897</v>
      </c>
      <c r="J910" s="316">
        <v>43.927201298107228</v>
      </c>
      <c r="K910" s="37">
        <f>G910*793.77</f>
        <v>39.968080212979153</v>
      </c>
      <c r="L910" s="37">
        <f t="shared" si="117"/>
        <v>48.721089779621593</v>
      </c>
      <c r="M910" s="45">
        <f t="shared" si="119"/>
        <v>6.7554074629805255E-2</v>
      </c>
    </row>
    <row r="911" spans="1:13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8">
        <f t="shared" si="113"/>
        <v>342.6</v>
      </c>
      <c r="G911" s="70">
        <f t="shared" si="114"/>
        <v>4.8523453338825389E-3</v>
      </c>
      <c r="H911" s="316">
        <f t="shared" si="115"/>
        <v>11.010602367472886</v>
      </c>
      <c r="I911" s="7">
        <f t="shared" si="116"/>
        <v>4.0485984905197805</v>
      </c>
      <c r="J911" s="316">
        <v>4.2331789545026712</v>
      </c>
      <c r="K911" s="37">
        <f>G911*1893.77</f>
        <v>9.1892260229467357</v>
      </c>
      <c r="L911" s="37">
        <f t="shared" si="117"/>
        <v>11.201666521972072</v>
      </c>
      <c r="M911" s="45">
        <f t="shared" si="119"/>
        <v>8.3133700628844343E-2</v>
      </c>
    </row>
    <row r="912" spans="1:13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8">
        <f t="shared" si="113"/>
        <v>361.6</v>
      </c>
      <c r="G912" s="70">
        <f t="shared" si="114"/>
        <v>5.1214479647750319E-3</v>
      </c>
      <c r="H912" s="316">
        <f t="shared" si="115"/>
        <v>11.621231220309969</v>
      </c>
      <c r="I912" s="7">
        <f t="shared" si="116"/>
        <v>4.2731267197079763</v>
      </c>
      <c r="J912" s="316">
        <v>4.4679436951201579</v>
      </c>
      <c r="K912" s="37">
        <f>G912*1293.77</f>
        <v>6.6259757333869933</v>
      </c>
      <c r="L912" s="37">
        <f t="shared" si="117"/>
        <v>8.0770644189987451</v>
      </c>
      <c r="M912" s="45">
        <f t="shared" si="119"/>
        <v>7.4635722811186661E-2</v>
      </c>
    </row>
    <row r="913" spans="1:13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8">
        <f t="shared" si="113"/>
        <v>7926.65</v>
      </c>
      <c r="G913" s="70">
        <f t="shared" si="114"/>
        <v>0.11226749311389382</v>
      </c>
      <c r="H913" s="316">
        <f t="shared" si="115"/>
        <v>254.74953664952989</v>
      </c>
      <c r="I913" s="7">
        <f t="shared" si="116"/>
        <v>93.671404626032142</v>
      </c>
      <c r="J913" s="316">
        <v>97.941996379768241</v>
      </c>
      <c r="K913" s="37">
        <f>G913*2293.77</f>
        <v>257.51580767985621</v>
      </c>
      <c r="L913" s="37">
        <f t="shared" si="117"/>
        <v>313.91176956174473</v>
      </c>
      <c r="M913" s="45">
        <f t="shared" si="119"/>
        <v>9.1119938552728111E-2</v>
      </c>
    </row>
    <row r="914" spans="1:13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8">
        <f t="shared" si="113"/>
        <v>4021.5</v>
      </c>
      <c r="G914" s="70">
        <f t="shared" si="114"/>
        <v>5.6957696322850637E-2</v>
      </c>
      <c r="H914" s="316">
        <f t="shared" si="115"/>
        <v>129.24441745707009</v>
      </c>
      <c r="I914" s="7">
        <f t="shared" si="116"/>
        <v>47.523172298964674</v>
      </c>
      <c r="J914" s="316">
        <v>49.68981075753792</v>
      </c>
      <c r="K914" s="37">
        <f>G914*793.77</f>
        <v>45.211310610189152</v>
      </c>
      <c r="L914" s="37">
        <f t="shared" si="117"/>
        <v>55.112587633820581</v>
      </c>
      <c r="M914" s="45">
        <f t="shared" si="119"/>
        <v>6.7554074629805241E-2</v>
      </c>
    </row>
    <row r="915" spans="1:13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8">
        <f t="shared" si="113"/>
        <v>4138.7700000000004</v>
      </c>
      <c r="G915" s="70">
        <f t="shared" si="114"/>
        <v>5.8618626087311838E-2</v>
      </c>
      <c r="H915" s="316">
        <f t="shared" si="115"/>
        <v>133.0132830135019</v>
      </c>
      <c r="I915" s="7">
        <f t="shared" si="116"/>
        <v>48.908984164064655</v>
      </c>
      <c r="J915" s="316">
        <v>51.138803448707016</v>
      </c>
      <c r="K915" s="37">
        <f>G915*793.77</f>
        <v>46.529706829325519</v>
      </c>
      <c r="L915" s="37">
        <f t="shared" si="117"/>
        <v>56.71971262494781</v>
      </c>
      <c r="M915" s="45">
        <f t="shared" si="119"/>
        <v>6.7554074629805241E-2</v>
      </c>
    </row>
    <row r="916" spans="1:13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8">
        <f t="shared" si="113"/>
        <v>361.5</v>
      </c>
      <c r="G916" s="70">
        <f t="shared" si="114"/>
        <v>5.1200316351387555E-3</v>
      </c>
      <c r="H916" s="316">
        <f t="shared" si="115"/>
        <v>11.618017384242405</v>
      </c>
      <c r="I916" s="7">
        <f t="shared" si="116"/>
        <v>4.2719449921859329</v>
      </c>
      <c r="J916" s="316">
        <v>4.4667080912221699</v>
      </c>
      <c r="K916" s="37">
        <f>G916*1793.77</f>
        <v>9.1841591461628447</v>
      </c>
      <c r="L916" s="37">
        <f t="shared" si="117"/>
        <v>11.195489999172509</v>
      </c>
      <c r="M916" s="45">
        <f t="shared" si="119"/>
        <v>8.1717370992568053E-2</v>
      </c>
    </row>
    <row r="917" spans="1:13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8">
        <f t="shared" si="113"/>
        <v>5864.56</v>
      </c>
      <c r="G917" s="70">
        <f t="shared" si="114"/>
        <v>8.3061501317204273E-2</v>
      </c>
      <c r="H917" s="316">
        <f t="shared" si="115"/>
        <v>188.47734448390773</v>
      </c>
      <c r="I917" s="7">
        <f t="shared" si="116"/>
        <v>69.303119566732875</v>
      </c>
      <c r="J917" s="316">
        <v>72.462731959772867</v>
      </c>
      <c r="K917" s="37">
        <f>G917*1293.77</f>
        <v>107.46247855915936</v>
      </c>
      <c r="L917" s="37">
        <f t="shared" si="117"/>
        <v>130.99676136361526</v>
      </c>
      <c r="M917" s="45">
        <f t="shared" si="119"/>
        <v>7.6992270014665243E-2</v>
      </c>
    </row>
    <row r="918" spans="1:13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8">
        <f t="shared" si="113"/>
        <v>135.35</v>
      </c>
      <c r="G918" s="70">
        <f t="shared" si="114"/>
        <v>1.9170021626999463E-3</v>
      </c>
      <c r="H918" s="316">
        <f t="shared" si="115"/>
        <v>4.3499271174473293</v>
      </c>
      <c r="I918" s="7">
        <f t="shared" si="116"/>
        <v>1.5994682010853831</v>
      </c>
      <c r="J918" s="316">
        <v>1.6723898759250921</v>
      </c>
      <c r="K918" s="37">
        <f>G918*793.77</f>
        <v>1.5216588066863364</v>
      </c>
      <c r="L918" s="37">
        <f t="shared" si="117"/>
        <v>1.8549020853506442</v>
      </c>
      <c r="M918" s="45">
        <f t="shared" si="119"/>
        <v>6.7554074629805241E-2</v>
      </c>
    </row>
    <row r="919" spans="1:13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8">
        <f t="shared" si="113"/>
        <v>37.4</v>
      </c>
      <c r="G919" s="70">
        <f t="shared" si="114"/>
        <v>5.2970728396732906E-4</v>
      </c>
      <c r="H919" s="316">
        <f t="shared" si="115"/>
        <v>1.2019746892687855</v>
      </c>
      <c r="I919" s="7">
        <f t="shared" si="116"/>
        <v>0.44196609324413244</v>
      </c>
      <c r="J919" s="316">
        <v>0.46211585784705167</v>
      </c>
      <c r="K919" s="37">
        <f>G919*793.77</f>
        <v>0.4204657507947468</v>
      </c>
      <c r="L919" s="37">
        <f t="shared" si="117"/>
        <v>0.51254775021879639</v>
      </c>
      <c r="M919" s="45">
        <f t="shared" si="119"/>
        <v>6.7554074629805255E-2</v>
      </c>
    </row>
    <row r="920" spans="1:13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8">
        <f t="shared" si="113"/>
        <v>236.9</v>
      </c>
      <c r="G920" s="70">
        <f t="shared" si="114"/>
        <v>3.3552849083385095E-3</v>
      </c>
      <c r="H920" s="316">
        <f t="shared" si="115"/>
        <v>7.6135776440581626</v>
      </c>
      <c r="I920" s="7">
        <f t="shared" si="116"/>
        <v>2.7995124997201866</v>
      </c>
      <c r="J920" s="316">
        <v>2.9271456343306563</v>
      </c>
      <c r="K920" s="37">
        <f>G920*1793.77</f>
        <v>6.0186094100303684</v>
      </c>
      <c r="L920" s="37">
        <f t="shared" si="117"/>
        <v>7.3366848708270194</v>
      </c>
      <c r="M920" s="45">
        <f t="shared" si="119"/>
        <v>9.2009720475947604E-2</v>
      </c>
    </row>
    <row r="921" spans="1:13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8">
        <f t="shared" si="113"/>
        <v>362.6</v>
      </c>
      <c r="G921" s="70">
        <f t="shared" si="114"/>
        <v>5.1356112611377954E-3</v>
      </c>
      <c r="H921" s="316">
        <f t="shared" si="115"/>
        <v>11.653369580985606</v>
      </c>
      <c r="I921" s="7">
        <f t="shared" si="116"/>
        <v>4.2849439949284074</v>
      </c>
      <c r="J921" s="316">
        <v>4.4802997341000257</v>
      </c>
      <c r="K921" s="37">
        <f>G921*1793.77</f>
        <v>9.2121054118911427</v>
      </c>
      <c r="L921" s="37">
        <f t="shared" si="117"/>
        <v>11.229556497095304</v>
      </c>
      <c r="M921" s="45">
        <f t="shared" si="119"/>
        <v>9.9699591931040318E-2</v>
      </c>
    </row>
    <row r="922" spans="1:13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8">
        <f t="shared" si="113"/>
        <v>494.9</v>
      </c>
      <c r="G922" s="70">
        <f t="shared" si="114"/>
        <v>7.0094153699313145E-3</v>
      </c>
      <c r="H922" s="316">
        <f t="shared" si="115"/>
        <v>15.905274698372244</v>
      </c>
      <c r="I922" s="7">
        <f t="shared" si="116"/>
        <v>5.8483695065914745</v>
      </c>
      <c r="J922" s="316">
        <v>6.1150036911365211</v>
      </c>
      <c r="K922" s="37">
        <f>G922*2793.77</f>
        <v>19.582694378053009</v>
      </c>
      <c r="L922" s="37">
        <f t="shared" si="117"/>
        <v>23.871304446846619</v>
      </c>
      <c r="M922" s="45">
        <f t="shared" si="119"/>
        <v>9.5880667355330879E-2</v>
      </c>
    </row>
    <row r="923" spans="1:13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8">
        <f t="shared" si="113"/>
        <v>277.2</v>
      </c>
      <c r="G923" s="70">
        <f t="shared" si="114"/>
        <v>3.9260657517578507E-3</v>
      </c>
      <c r="H923" s="316">
        <f t="shared" si="115"/>
        <v>8.9087535792862926</v>
      </c>
      <c r="I923" s="7">
        <f t="shared" si="116"/>
        <v>3.27574869110357</v>
      </c>
      <c r="J923" s="316">
        <v>3.4250940052193242</v>
      </c>
      <c r="K923" s="37">
        <f>G923*2793.77</f>
        <v>10.968524715288531</v>
      </c>
      <c r="L923" s="37">
        <f t="shared" si="117"/>
        <v>13.370631627936721</v>
      </c>
      <c r="M923" s="45">
        <f t="shared" si="119"/>
        <v>9.5880667355330865E-2</v>
      </c>
    </row>
    <row r="924" spans="1:13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8">
        <f t="shared" si="113"/>
        <v>7127.52</v>
      </c>
      <c r="G924" s="70">
        <f t="shared" si="114"/>
        <v>0.10094917809151918</v>
      </c>
      <c r="H924" s="316">
        <f t="shared" si="115"/>
        <v>229.06680848280894</v>
      </c>
      <c r="I924" s="7">
        <f t="shared" si="116"/>
        <v>84.227865479128852</v>
      </c>
      <c r="J924" s="316">
        <v>88.067914949786584</v>
      </c>
      <c r="K924" s="37">
        <f>G924*793.77</f>
        <v>80.130429093705175</v>
      </c>
      <c r="L924" s="37">
        <f t="shared" si="117"/>
        <v>97.678993065226621</v>
      </c>
      <c r="M924" s="45">
        <f t="shared" si="119"/>
        <v>6.7554074629805255E-2</v>
      </c>
    </row>
    <row r="925" spans="1:13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8">
        <f t="shared" si="113"/>
        <v>52.9</v>
      </c>
      <c r="G925" s="70">
        <f t="shared" si="114"/>
        <v>7.4923837759015256E-4</v>
      </c>
      <c r="H925" s="316">
        <f t="shared" si="115"/>
        <v>1.7001192797411429</v>
      </c>
      <c r="I925" s="7">
        <f t="shared" si="116"/>
        <v>0.62513385916081832</v>
      </c>
      <c r="J925" s="316">
        <v>0.65363446203500086</v>
      </c>
      <c r="K925" s="37">
        <f>G925*793.77</f>
        <v>0.59472294697973538</v>
      </c>
      <c r="L925" s="37">
        <f t="shared" si="117"/>
        <v>0.7249672723682975</v>
      </c>
      <c r="M925" s="45">
        <f t="shared" si="119"/>
        <v>6.7554074629805241E-2</v>
      </c>
    </row>
    <row r="926" spans="1:13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8">
        <f t="shared" si="113"/>
        <v>119.9</v>
      </c>
      <c r="G926" s="70">
        <f t="shared" si="114"/>
        <v>1.698179233895261E-3</v>
      </c>
      <c r="H926" s="316">
        <f t="shared" si="115"/>
        <v>3.8533894450087538</v>
      </c>
      <c r="I926" s="7">
        <f t="shared" si="116"/>
        <v>1.4168912989297189</v>
      </c>
      <c r="J926" s="316">
        <v>1.4814890736861364</v>
      </c>
      <c r="K926" s="37">
        <f>G926*793.77</f>
        <v>1.3479637304890413</v>
      </c>
      <c r="L926" s="37">
        <f t="shared" si="117"/>
        <v>1.6431677874661414</v>
      </c>
      <c r="M926" s="45">
        <f t="shared" si="119"/>
        <v>6.7554074629805255E-2</v>
      </c>
    </row>
    <row r="927" spans="1:13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8">
        <f t="shared" si="113"/>
        <v>75.3</v>
      </c>
      <c r="G927" s="70">
        <f t="shared" si="114"/>
        <v>1.0664962161160395E-3</v>
      </c>
      <c r="H927" s="316">
        <f t="shared" si="115"/>
        <v>2.4200185588753889</v>
      </c>
      <c r="I927" s="7">
        <f t="shared" si="116"/>
        <v>0.88984082409848053</v>
      </c>
      <c r="J927" s="316">
        <v>0.93040973518403725</v>
      </c>
      <c r="K927" s="37">
        <f>G927*1793.77</f>
        <v>1.9130489175824681</v>
      </c>
      <c r="L927" s="37">
        <f t="shared" si="117"/>
        <v>2.3320066305330287</v>
      </c>
      <c r="M927" s="45">
        <f t="shared" si="119"/>
        <v>8.1717370992568067E-2</v>
      </c>
    </row>
    <row r="928" spans="1:13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8">
        <f t="shared" si="113"/>
        <v>120.8</v>
      </c>
      <c r="G928" s="70">
        <f t="shared" si="114"/>
        <v>1.7109262006217473E-3</v>
      </c>
      <c r="H928" s="316">
        <f t="shared" si="115"/>
        <v>3.8823139696168254</v>
      </c>
      <c r="I928" s="7">
        <f t="shared" si="116"/>
        <v>1.4275268466281068</v>
      </c>
      <c r="J928" s="316">
        <v>1.4926095087680171</v>
      </c>
      <c r="K928" s="37">
        <f>G928*793.77</f>
        <v>1.3580818902675242</v>
      </c>
      <c r="L928" s="37">
        <f t="shared" si="117"/>
        <v>1.6555018242361121</v>
      </c>
      <c r="M928" s="45">
        <f t="shared" si="119"/>
        <v>6.7554074629805255E-2</v>
      </c>
    </row>
    <row r="929" spans="1:13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8">
        <f t="shared" si="113"/>
        <v>429.7</v>
      </c>
      <c r="G929" s="70">
        <f t="shared" si="114"/>
        <v>6.085968447079179E-3</v>
      </c>
      <c r="H929" s="316">
        <f t="shared" si="115"/>
        <v>13.809853582320779</v>
      </c>
      <c r="I929" s="7">
        <f t="shared" si="116"/>
        <v>5.0778831622193508</v>
      </c>
      <c r="J929" s="316">
        <v>5.3093899496491472</v>
      </c>
      <c r="K929" s="37">
        <f>G929*793.77</f>
        <v>4.8308591742380402</v>
      </c>
      <c r="L929" s="37">
        <f t="shared" si="117"/>
        <v>5.8888173333961715</v>
      </c>
      <c r="M929" s="45">
        <f t="shared" si="119"/>
        <v>6.7554074629805255E-2</v>
      </c>
    </row>
    <row r="930" spans="1:13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8">
        <f t="shared" si="113"/>
        <v>249.1</v>
      </c>
      <c r="G930" s="70">
        <f t="shared" si="114"/>
        <v>3.5280771239642158E-3</v>
      </c>
      <c r="H930" s="316">
        <f t="shared" si="115"/>
        <v>8.0056656443009206</v>
      </c>
      <c r="I930" s="7">
        <f t="shared" si="116"/>
        <v>2.9436832574094489</v>
      </c>
      <c r="J930" s="316">
        <v>3.0778893098850419</v>
      </c>
      <c r="K930" s="37">
        <f>G930*1993.77</f>
        <v>7.0341743274461344</v>
      </c>
      <c r="L930" s="37">
        <f t="shared" si="117"/>
        <v>8.5746585051568385</v>
      </c>
      <c r="M930" s="45">
        <f t="shared" si="119"/>
        <v>8.4550030265120618E-2</v>
      </c>
    </row>
    <row r="931" spans="1:13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8">
        <f t="shared" si="113"/>
        <v>103</v>
      </c>
      <c r="G931" s="70">
        <f t="shared" si="114"/>
        <v>1.4588195253645694E-3</v>
      </c>
      <c r="H931" s="316">
        <f t="shared" si="115"/>
        <v>3.3102511495905054</v>
      </c>
      <c r="I931" s="7">
        <f t="shared" si="116"/>
        <v>1.2171793477044288</v>
      </c>
      <c r="J931" s="316">
        <v>1.2726720149263724</v>
      </c>
      <c r="K931" s="37">
        <f>G931*2293.77</f>
        <v>3.3461964626954885</v>
      </c>
      <c r="L931" s="37">
        <f t="shared" si="117"/>
        <v>4.0790134880258009</v>
      </c>
      <c r="M931" s="45">
        <f t="shared" si="119"/>
        <v>0.18004525541174796</v>
      </c>
    </row>
    <row r="932" spans="1:13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8">
        <f t="shared" si="113"/>
        <v>176.5</v>
      </c>
      <c r="G932" s="70">
        <f t="shared" si="114"/>
        <v>2.4998218080276358E-3</v>
      </c>
      <c r="H932" s="316">
        <f t="shared" si="115"/>
        <v>5.6724206592497497</v>
      </c>
      <c r="I932" s="7">
        <f t="shared" si="116"/>
        <v>2.0857490764061333</v>
      </c>
      <c r="J932" s="316">
        <v>2.1808408799466474</v>
      </c>
      <c r="K932" s="37">
        <f>G932*2293.77</f>
        <v>5.7340162685995502</v>
      </c>
      <c r="L932" s="37">
        <f t="shared" si="117"/>
        <v>6.9897658314228517</v>
      </c>
      <c r="M932" s="45">
        <f t="shared" si="119"/>
        <v>0.21951018045100951</v>
      </c>
    </row>
    <row r="933" spans="1:13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8">
        <f t="shared" si="113"/>
        <v>109.5</v>
      </c>
      <c r="G933" s="70">
        <f t="shared" si="114"/>
        <v>1.5508809517225278E-3</v>
      </c>
      <c r="H933" s="316">
        <f t="shared" si="115"/>
        <v>3.5191504939821394</v>
      </c>
      <c r="I933" s="7">
        <f t="shared" si="116"/>
        <v>1.2939916366372328</v>
      </c>
      <c r="J933" s="316">
        <v>1.3529862682955123</v>
      </c>
      <c r="K933" s="37">
        <f>G933*993.77</f>
        <v>1.5412189633932964</v>
      </c>
      <c r="L933" s="37">
        <f t="shared" si="117"/>
        <v>1.8787459163764284</v>
      </c>
      <c r="M933" s="45">
        <f t="shared" si="119"/>
        <v>7.038673390235782E-2</v>
      </c>
    </row>
    <row r="934" spans="1:13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8">
        <f t="shared" si="113"/>
        <v>111.4</v>
      </c>
      <c r="G934" s="70">
        <f t="shared" si="114"/>
        <v>1.5777912148117771E-3</v>
      </c>
      <c r="H934" s="316">
        <f t="shared" si="115"/>
        <v>3.5802133792658482</v>
      </c>
      <c r="I934" s="7">
        <f t="shared" si="116"/>
        <v>1.3164444595560525</v>
      </c>
      <c r="J934" s="316">
        <v>1.3764627423572608</v>
      </c>
      <c r="K934" s="37">
        <f>G934*793.77</f>
        <v>1.2524033325811443</v>
      </c>
      <c r="L934" s="37">
        <f t="shared" si="117"/>
        <v>1.526679662416415</v>
      </c>
      <c r="M934" s="45">
        <f t="shared" si="119"/>
        <v>6.7554074629805255E-2</v>
      </c>
    </row>
    <row r="935" spans="1:13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8">
        <f t="shared" si="113"/>
        <v>92.9</v>
      </c>
      <c r="G935" s="70">
        <f t="shared" si="114"/>
        <v>1.315770232100665E-3</v>
      </c>
      <c r="H935" s="316">
        <f t="shared" si="115"/>
        <v>2.9856537067665823</v>
      </c>
      <c r="I935" s="7">
        <f t="shared" si="116"/>
        <v>1.0978248679780724</v>
      </c>
      <c r="J935" s="316">
        <v>1.1478760212297088</v>
      </c>
      <c r="K935" s="37">
        <f>G935*793.77</f>
        <v>1.0444189371345449</v>
      </c>
      <c r="L935" s="37">
        <f t="shared" si="117"/>
        <v>1.2731466843670103</v>
      </c>
      <c r="M935" s="45">
        <f t="shared" si="119"/>
        <v>6.7554074629805255E-2</v>
      </c>
    </row>
    <row r="936" spans="1:13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8">
        <f t="shared" si="113"/>
        <v>101.8</v>
      </c>
      <c r="G936" s="70">
        <f t="shared" si="114"/>
        <v>1.4418235697292541E-3</v>
      </c>
      <c r="H936" s="316">
        <f t="shared" si="115"/>
        <v>3.2716851167797425</v>
      </c>
      <c r="I936" s="7">
        <f t="shared" si="116"/>
        <v>1.2029986174399114</v>
      </c>
      <c r="J936" s="316">
        <v>1.2578447681505311</v>
      </c>
      <c r="K936" s="37">
        <f>G936*1793.77</f>
        <v>2.586299864673244</v>
      </c>
      <c r="L936" s="37">
        <f t="shared" si="117"/>
        <v>3.1526995350366849</v>
      </c>
      <c r="M936" s="45">
        <f t="shared" si="119"/>
        <v>8.1717370992568067E-2</v>
      </c>
    </row>
    <row r="937" spans="1:13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8">
        <f t="shared" si="113"/>
        <v>202</v>
      </c>
      <c r="G937" s="70">
        <f t="shared" si="114"/>
        <v>2.8609858652780874E-3</v>
      </c>
      <c r="H937" s="316">
        <f t="shared" si="115"/>
        <v>6.4919488564784666</v>
      </c>
      <c r="I937" s="7">
        <f t="shared" si="116"/>
        <v>2.3870895945271324</v>
      </c>
      <c r="J937" s="316">
        <v>2.495919873933274</v>
      </c>
      <c r="K937" s="37">
        <f>G937*793.77</f>
        <v>2.2709647502817876</v>
      </c>
      <c r="L937" s="37">
        <f t="shared" si="117"/>
        <v>2.7683060305934992</v>
      </c>
      <c r="M937" s="45">
        <f t="shared" si="119"/>
        <v>6.7554074629805255E-2</v>
      </c>
    </row>
    <row r="938" spans="1:13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8">
        <f t="shared" si="113"/>
        <v>214.1</v>
      </c>
      <c r="G938" s="70">
        <f t="shared" si="114"/>
        <v>3.0323617512675173E-3</v>
      </c>
      <c r="H938" s="316">
        <f t="shared" si="115"/>
        <v>6.8808230206536622</v>
      </c>
      <c r="I938" s="7">
        <f t="shared" si="116"/>
        <v>2.5300786246943519</v>
      </c>
      <c r="J938" s="316">
        <v>2.645427945589673</v>
      </c>
      <c r="K938" s="37">
        <f>G938*793.77</f>
        <v>2.406997787303617</v>
      </c>
      <c r="L938" s="37">
        <f t="shared" si="117"/>
        <v>2.9341303027231094</v>
      </c>
      <c r="M938" s="45">
        <f t="shared" si="119"/>
        <v>6.7554074629805255E-2</v>
      </c>
    </row>
    <row r="939" spans="1:13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8">
        <f t="shared" si="113"/>
        <v>161.19999999999999</v>
      </c>
      <c r="G939" s="70">
        <f t="shared" si="114"/>
        <v>2.2831233736773648E-3</v>
      </c>
      <c r="H939" s="316">
        <f t="shared" si="115"/>
        <v>5.1807037409125192</v>
      </c>
      <c r="I939" s="7">
        <f t="shared" si="116"/>
        <v>1.9049447655335334</v>
      </c>
      <c r="J939" s="316">
        <v>1.9917934835546718</v>
      </c>
      <c r="K939" s="37">
        <f>G939*793.77</f>
        <v>1.8122748403238818</v>
      </c>
      <c r="L939" s="37">
        <f t="shared" si="117"/>
        <v>2.2091630303548122</v>
      </c>
      <c r="M939" s="45">
        <f t="shared" si="119"/>
        <v>6.7554074629805255E-2</v>
      </c>
    </row>
    <row r="940" spans="1:13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8">
        <f t="shared" si="113"/>
        <v>134.9</v>
      </c>
      <c r="G940" s="70">
        <f t="shared" si="114"/>
        <v>1.9106286793367031E-3</v>
      </c>
      <c r="H940" s="316">
        <f t="shared" si="115"/>
        <v>4.3354648551432931</v>
      </c>
      <c r="I940" s="7">
        <f t="shared" si="116"/>
        <v>1.594150427236189</v>
      </c>
      <c r="J940" s="316">
        <v>1.6668296583841518</v>
      </c>
      <c r="K940" s="37">
        <f>G940*1793.77</f>
        <v>3.4272284061337981</v>
      </c>
      <c r="L940" s="37">
        <f t="shared" si="117"/>
        <v>4.1777914270770999</v>
      </c>
      <c r="M940" s="45">
        <f t="shared" si="119"/>
        <v>8.1717370992568067E-2</v>
      </c>
    </row>
    <row r="941" spans="1:13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8">
        <f t="shared" si="113"/>
        <v>80.599999999999994</v>
      </c>
      <c r="G941" s="70">
        <f t="shared" si="114"/>
        <v>1.1415616868386824E-3</v>
      </c>
      <c r="H941" s="316">
        <f t="shared" si="115"/>
        <v>2.5903518704562596</v>
      </c>
      <c r="I941" s="7">
        <f t="shared" si="116"/>
        <v>0.95247238276676671</v>
      </c>
      <c r="J941" s="316">
        <v>0.99589674177733589</v>
      </c>
      <c r="K941" s="37">
        <f>G941*1793.77</f>
        <v>2.0476991070006232</v>
      </c>
      <c r="L941" s="37">
        <f t="shared" si="117"/>
        <v>2.4961452114337597</v>
      </c>
      <c r="M941" s="45">
        <f t="shared" si="119"/>
        <v>8.1717370992568067E-2</v>
      </c>
    </row>
    <row r="942" spans="1:13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8">
        <f t="shared" ref="F942:F1000" si="120">C942+D942+E942</f>
        <v>249.4</v>
      </c>
      <c r="G942" s="70">
        <f t="shared" si="114"/>
        <v>3.5323261128730448E-3</v>
      </c>
      <c r="H942" s="316">
        <f t="shared" si="115"/>
        <v>8.0153071525036133</v>
      </c>
      <c r="I942" s="7">
        <f t="shared" si="116"/>
        <v>2.9472284399755786</v>
      </c>
      <c r="J942" s="316">
        <v>3.0815961215790026</v>
      </c>
      <c r="K942" s="37">
        <f>G942*2793.77</f>
        <v>9.8685067243613265</v>
      </c>
      <c r="L942" s="37">
        <f t="shared" si="117"/>
        <v>12.029709696996457</v>
      </c>
      <c r="M942" s="45">
        <f t="shared" si="119"/>
        <v>9.5880667355330879E-2</v>
      </c>
    </row>
    <row r="943" spans="1:13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8">
        <f t="shared" si="120"/>
        <v>110.5</v>
      </c>
      <c r="G943" s="70">
        <f t="shared" si="114"/>
        <v>1.5650442480852904E-3</v>
      </c>
      <c r="H943" s="316">
        <f t="shared" si="115"/>
        <v>3.5512888546577752</v>
      </c>
      <c r="I943" s="7">
        <f t="shared" si="116"/>
        <v>1.3058089118576641</v>
      </c>
      <c r="J943" s="316">
        <v>1.3653423072753801</v>
      </c>
      <c r="K943" s="37">
        <f>G943*793.77</f>
        <v>1.2422851728026609</v>
      </c>
      <c r="L943" s="37">
        <f t="shared" si="117"/>
        <v>1.5143456256464438</v>
      </c>
      <c r="M943" s="45">
        <f t="shared" si="119"/>
        <v>6.7554074629805255E-2</v>
      </c>
    </row>
    <row r="944" spans="1:13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8">
        <f t="shared" si="120"/>
        <v>168.5</v>
      </c>
      <c r="G944" s="70">
        <f t="shared" si="114"/>
        <v>2.3865154371255333E-3</v>
      </c>
      <c r="H944" s="316">
        <f t="shared" si="115"/>
        <v>5.4153137738446615</v>
      </c>
      <c r="I944" s="7">
        <f t="shared" ref="I944:I1002" si="121">H944*0.3677</f>
        <v>1.9912108746426822</v>
      </c>
      <c r="J944" s="316">
        <v>2.0819925681077063</v>
      </c>
      <c r="K944" s="37">
        <f>G944*1793.77</f>
        <v>4.2808597956526677</v>
      </c>
      <c r="L944" s="37">
        <f t="shared" si="117"/>
        <v>5.2183680909006025</v>
      </c>
      <c r="M944" s="45">
        <f t="shared" si="119"/>
        <v>8.1717370992568053E-2</v>
      </c>
    </row>
    <row r="945" spans="1:14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8">
        <f t="shared" si="120"/>
        <v>130</v>
      </c>
      <c r="G945" s="70">
        <f t="shared" ref="G945:G1008" si="122">4/282420.13*F945</f>
        <v>1.8412285271591652E-3</v>
      </c>
      <c r="H945" s="316">
        <f t="shared" ref="H945:H1008" si="123">G945*2269.13</f>
        <v>4.1779868878326765</v>
      </c>
      <c r="I945" s="7">
        <f t="shared" si="121"/>
        <v>1.5362457786560753</v>
      </c>
      <c r="J945" s="316">
        <v>1.6062850673828</v>
      </c>
      <c r="K945" s="37">
        <f>G945*1793.77</f>
        <v>3.3027404951622956</v>
      </c>
      <c r="L945" s="37">
        <f t="shared" si="117"/>
        <v>4.0260406636028385</v>
      </c>
      <c r="M945" s="45">
        <f t="shared" si="119"/>
        <v>8.1717370992568053E-2</v>
      </c>
    </row>
    <row r="946" spans="1:14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8">
        <f t="shared" si="120"/>
        <v>175.8</v>
      </c>
      <c r="G946" s="70">
        <f t="shared" si="122"/>
        <v>2.4899075005737023E-3</v>
      </c>
      <c r="H946" s="316">
        <f t="shared" si="123"/>
        <v>5.6499238067768056</v>
      </c>
      <c r="I946" s="7">
        <f t="shared" si="121"/>
        <v>2.0774769837518314</v>
      </c>
      <c r="J946" s="316">
        <v>2.1721916526607403</v>
      </c>
      <c r="K946" s="37">
        <f>G946*1793.77</f>
        <v>4.46632137730409</v>
      </c>
      <c r="L946" s="37">
        <f t="shared" ref="L946:L1009" si="124">K946*1.219</f>
        <v>5.4444457589336857</v>
      </c>
      <c r="M946" s="45">
        <f t="shared" si="119"/>
        <v>8.1717370992568067E-2</v>
      </c>
    </row>
    <row r="947" spans="1:14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8">
        <f t="shared" si="120"/>
        <v>129.80000000000001</v>
      </c>
      <c r="G947" s="70">
        <f t="shared" si="122"/>
        <v>1.8383958678866129E-3</v>
      </c>
      <c r="H947" s="316">
        <f t="shared" si="123"/>
        <v>4.1715592156975498</v>
      </c>
      <c r="I947" s="7">
        <f t="shared" si="121"/>
        <v>1.5338823236119892</v>
      </c>
      <c r="J947" s="316">
        <v>1.6038138595868268</v>
      </c>
      <c r="K947" s="37">
        <f>G947*1793.77</f>
        <v>3.2976593559389697</v>
      </c>
      <c r="L947" s="37">
        <f t="shared" si="124"/>
        <v>4.0198467548896044</v>
      </c>
      <c r="M947" s="45">
        <f t="shared" si="119"/>
        <v>8.1717370992568067E-2</v>
      </c>
    </row>
    <row r="948" spans="1:14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8">
        <f t="shared" si="120"/>
        <v>152.30000000000001</v>
      </c>
      <c r="G948" s="70">
        <f t="shared" si="122"/>
        <v>2.157070036048776E-3</v>
      </c>
      <c r="H948" s="316">
        <f t="shared" si="123"/>
        <v>4.8946723308993594</v>
      </c>
      <c r="I948" s="7">
        <f t="shared" si="121"/>
        <v>1.7997710160716947</v>
      </c>
      <c r="J948" s="316">
        <v>1.8818247366338496</v>
      </c>
      <c r="K948" s="37">
        <f>G948*793.77</f>
        <v>1.712217482514437</v>
      </c>
      <c r="L948" s="37">
        <f t="shared" si="124"/>
        <v>2.087193111185099</v>
      </c>
      <c r="M948" s="45">
        <f t="shared" si="119"/>
        <v>6.7554074629805255E-2</v>
      </c>
    </row>
    <row r="949" spans="1:14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8">
        <f t="shared" si="120"/>
        <v>239.4</v>
      </c>
      <c r="G949" s="70">
        <f t="shared" si="122"/>
        <v>3.3906931492454166E-3</v>
      </c>
      <c r="H949" s="316">
        <f t="shared" si="123"/>
        <v>7.6939235457472526</v>
      </c>
      <c r="I949" s="7">
        <f t="shared" si="121"/>
        <v>2.8290556877712651</v>
      </c>
      <c r="J949" s="316">
        <v>2.9580357317803254</v>
      </c>
      <c r="K949" s="37">
        <f>G949*793.77</f>
        <v>2.691430501076534</v>
      </c>
      <c r="L949" s="37">
        <f t="shared" si="124"/>
        <v>3.2808537808122953</v>
      </c>
      <c r="M949" s="45">
        <f t="shared" si="119"/>
        <v>6.7554074629805255E-2</v>
      </c>
    </row>
    <row r="950" spans="1:14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8">
        <f t="shared" si="120"/>
        <v>84.2</v>
      </c>
      <c r="G950" s="70">
        <f t="shared" si="122"/>
        <v>1.1925495537446287E-3</v>
      </c>
      <c r="H950" s="316">
        <f t="shared" si="123"/>
        <v>2.7060499688885495</v>
      </c>
      <c r="I950" s="7">
        <f t="shared" si="121"/>
        <v>0.99501457356031975</v>
      </c>
      <c r="J950" s="316">
        <v>1.0403784821048598</v>
      </c>
      <c r="K950" s="37">
        <f>G950*793.77</f>
        <v>0.94661005927587394</v>
      </c>
      <c r="L950" s="37">
        <f t="shared" si="124"/>
        <v>1.1539176622572904</v>
      </c>
      <c r="M950" s="45">
        <f t="shared" si="119"/>
        <v>6.7554074629805255E-2</v>
      </c>
    </row>
    <row r="951" spans="1:14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8">
        <f t="shared" si="120"/>
        <v>193.9</v>
      </c>
      <c r="G951" s="70">
        <f t="shared" si="122"/>
        <v>2.7462631647397089E-3</v>
      </c>
      <c r="H951" s="316">
        <f t="shared" si="123"/>
        <v>6.231628135005816</v>
      </c>
      <c r="I951" s="7">
        <f t="shared" si="121"/>
        <v>2.2913696652416387</v>
      </c>
      <c r="J951" s="316">
        <v>2.3958359581963458</v>
      </c>
      <c r="K951" s="37">
        <f>G951*793.77</f>
        <v>2.1799013122754389</v>
      </c>
      <c r="L951" s="37">
        <f t="shared" si="124"/>
        <v>2.6572996996637603</v>
      </c>
      <c r="M951" s="45">
        <f t="shared" si="119"/>
        <v>6.7554074629805255E-2</v>
      </c>
    </row>
    <row r="952" spans="1:14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8">
        <f t="shared" si="120"/>
        <v>252.4</v>
      </c>
      <c r="G952" s="70">
        <f t="shared" si="122"/>
        <v>3.5748160019613332E-3</v>
      </c>
      <c r="H952" s="316">
        <f t="shared" si="123"/>
        <v>8.1117222345305198</v>
      </c>
      <c r="I952" s="7">
        <f t="shared" si="121"/>
        <v>2.9826802656368723</v>
      </c>
      <c r="J952" s="316">
        <v>3.1186642385186056</v>
      </c>
      <c r="K952" s="37">
        <f>G952*793.77</f>
        <v>2.8375816978768476</v>
      </c>
      <c r="L952" s="37">
        <f t="shared" si="124"/>
        <v>3.4590120897118775</v>
      </c>
      <c r="M952" s="45">
        <f t="shared" si="119"/>
        <v>6.7554074629805255E-2</v>
      </c>
    </row>
    <row r="953" spans="1:14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8">
        <f t="shared" si="120"/>
        <v>79</v>
      </c>
      <c r="G953" s="70">
        <f t="shared" si="122"/>
        <v>1.1189004126582619E-3</v>
      </c>
      <c r="H953" s="316">
        <f t="shared" si="123"/>
        <v>2.5389304933752417</v>
      </c>
      <c r="I953" s="7">
        <f t="shared" si="121"/>
        <v>0.93356474241407639</v>
      </c>
      <c r="J953" s="316">
        <v>0.97612707940954768</v>
      </c>
      <c r="K953" s="37">
        <f t="shared" ref="K953:K959" si="125">G953*1793.77</f>
        <v>2.0070499932140105</v>
      </c>
      <c r="L953" s="37">
        <f t="shared" si="124"/>
        <v>2.4465939417278788</v>
      </c>
      <c r="M953" s="45">
        <f t="shared" si="119"/>
        <v>8.1717370992568053E-2</v>
      </c>
    </row>
    <row r="954" spans="1:14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8">
        <f t="shared" si="120"/>
        <v>549.69000000000005</v>
      </c>
      <c r="G954" s="70">
        <f t="shared" si="122"/>
        <v>7.78542237764709E-3</v>
      </c>
      <c r="H954" s="316">
        <f t="shared" si="123"/>
        <v>17.666135479790341</v>
      </c>
      <c r="I954" s="7">
        <f t="shared" si="121"/>
        <v>6.4958380159189089</v>
      </c>
      <c r="J954" s="316">
        <v>6.7919910668434724</v>
      </c>
      <c r="K954" s="37">
        <f t="shared" si="125"/>
        <v>13.965257098352021</v>
      </c>
      <c r="L954" s="37">
        <f t="shared" si="124"/>
        <v>17.023648402891116</v>
      </c>
      <c r="M954" s="45">
        <f t="shared" si="119"/>
        <v>8.1717370992568053E-2</v>
      </c>
      <c r="N954" s="37">
        <f>I954*1793.77</f>
        <v>11652.039357814861</v>
      </c>
    </row>
    <row r="955" spans="1:14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8">
        <f t="shared" si="120"/>
        <v>192.1</v>
      </c>
      <c r="G955" s="70">
        <f t="shared" si="122"/>
        <v>2.7207692312867355E-3</v>
      </c>
      <c r="H955" s="316">
        <f t="shared" si="123"/>
        <v>6.1737790857896702</v>
      </c>
      <c r="I955" s="7">
        <f t="shared" si="121"/>
        <v>2.2700985698448619</v>
      </c>
      <c r="J955" s="316">
        <v>2.3735950880325833</v>
      </c>
      <c r="K955" s="37">
        <f t="shared" si="125"/>
        <v>4.8804342240052074</v>
      </c>
      <c r="L955" s="37">
        <f t="shared" si="124"/>
        <v>5.9492493190623481</v>
      </c>
      <c r="M955" s="45">
        <f t="shared" si="119"/>
        <v>8.1717370992568053E-2</v>
      </c>
    </row>
    <row r="956" spans="1:14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8">
        <f t="shared" si="120"/>
        <v>166.8</v>
      </c>
      <c r="G956" s="70">
        <f t="shared" si="122"/>
        <v>2.3624378333088366E-3</v>
      </c>
      <c r="H956" s="316">
        <f t="shared" si="123"/>
        <v>5.3606785606960807</v>
      </c>
      <c r="I956" s="7">
        <f t="shared" si="121"/>
        <v>1.9711215067679491</v>
      </c>
      <c r="J956" s="316">
        <v>2.0609873018419314</v>
      </c>
      <c r="K956" s="37">
        <f t="shared" si="125"/>
        <v>4.2376701122543921</v>
      </c>
      <c r="L956" s="37">
        <f t="shared" si="124"/>
        <v>5.1657198668381046</v>
      </c>
      <c r="M956" s="45">
        <f t="shared" si="119"/>
        <v>8.1717370992568053E-2</v>
      </c>
    </row>
    <row r="957" spans="1:14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8">
        <f t="shared" si="120"/>
        <v>119.9</v>
      </c>
      <c r="G957" s="70">
        <f t="shared" si="122"/>
        <v>1.698179233895261E-3</v>
      </c>
      <c r="H957" s="316">
        <f t="shared" si="123"/>
        <v>3.8533894450087538</v>
      </c>
      <c r="I957" s="7">
        <f t="shared" si="121"/>
        <v>1.4168912989297189</v>
      </c>
      <c r="J957" s="316">
        <v>1.4814890736861364</v>
      </c>
      <c r="K957" s="37">
        <f t="shared" si="125"/>
        <v>3.0461429643843023</v>
      </c>
      <c r="L957" s="37">
        <f t="shared" si="124"/>
        <v>3.713248273584465</v>
      </c>
      <c r="M957" s="45">
        <f t="shared" si="119"/>
        <v>8.1717370992568067E-2</v>
      </c>
    </row>
    <row r="958" spans="1:14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8">
        <f t="shared" si="120"/>
        <v>188.7</v>
      </c>
      <c r="G958" s="70">
        <f t="shared" si="122"/>
        <v>2.6726140236533421E-3</v>
      </c>
      <c r="H958" s="316">
        <f t="shared" si="123"/>
        <v>6.0645086594925086</v>
      </c>
      <c r="I958" s="7">
        <f t="shared" si="121"/>
        <v>2.2299198340953956</v>
      </c>
      <c r="J958" s="316">
        <v>2.3315845555010335</v>
      </c>
      <c r="K958" s="37">
        <f t="shared" si="125"/>
        <v>4.7940548572086552</v>
      </c>
      <c r="L958" s="37">
        <f t="shared" si="124"/>
        <v>5.8439528709373514</v>
      </c>
      <c r="M958" s="45">
        <f t="shared" si="119"/>
        <v>8.1717370992568067E-2</v>
      </c>
    </row>
    <row r="959" spans="1:14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8">
        <f t="shared" si="120"/>
        <v>4734.5</v>
      </c>
      <c r="G959" s="70">
        <f t="shared" si="122"/>
        <v>6.7056126629500529E-2</v>
      </c>
      <c r="H959" s="316">
        <f t="shared" si="123"/>
        <v>152.15906861879853</v>
      </c>
      <c r="I959" s="7">
        <f t="shared" si="121"/>
        <v>55.948889531132224</v>
      </c>
      <c r="J959" s="316">
        <v>58.499666550183584</v>
      </c>
      <c r="K959" s="37">
        <f t="shared" si="125"/>
        <v>120.28326826419917</v>
      </c>
      <c r="L959" s="37">
        <f t="shared" si="124"/>
        <v>146.6253040140588</v>
      </c>
      <c r="M959" s="45">
        <f t="shared" si="119"/>
        <v>8.1717370992568053E-2</v>
      </c>
    </row>
    <row r="960" spans="1:14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8">
        <f t="shared" si="120"/>
        <v>66.3</v>
      </c>
      <c r="G960" s="70">
        <f t="shared" si="122"/>
        <v>9.3902654885117428E-4</v>
      </c>
      <c r="H960" s="316">
        <f t="shared" si="123"/>
        <v>2.1307733127946653</v>
      </c>
      <c r="I960" s="7">
        <f t="shared" si="121"/>
        <v>0.7834853471145985</v>
      </c>
      <c r="J960" s="316">
        <v>0.81920538436522794</v>
      </c>
      <c r="K960" s="37">
        <f>G960*793.77</f>
        <v>0.74537110368159665</v>
      </c>
      <c r="L960" s="37">
        <f t="shared" si="124"/>
        <v>0.9086073753878664</v>
      </c>
      <c r="M960" s="45">
        <f t="shared" si="119"/>
        <v>6.7554074629805255E-2</v>
      </c>
    </row>
    <row r="961" spans="1:13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8">
        <f t="shared" si="120"/>
        <v>19.8</v>
      </c>
      <c r="G961" s="70">
        <f t="shared" si="122"/>
        <v>2.8043326798270364E-4</v>
      </c>
      <c r="H961" s="316">
        <f t="shared" si="123"/>
        <v>0.6363395413775923</v>
      </c>
      <c r="I961" s="7">
        <f t="shared" si="121"/>
        <v>0.2339820493645407</v>
      </c>
      <c r="J961" s="316">
        <v>0.24464957180138033</v>
      </c>
      <c r="K961" s="37">
        <f>G961*793.77</f>
        <v>0.22259951512663068</v>
      </c>
      <c r="L961" s="37">
        <f t="shared" si="124"/>
        <v>0.27134880893936281</v>
      </c>
      <c r="M961" s="45">
        <f t="shared" si="119"/>
        <v>6.7554074629805241E-2</v>
      </c>
    </row>
    <row r="962" spans="1:13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8">
        <f t="shared" si="120"/>
        <v>61.2</v>
      </c>
      <c r="G962" s="70">
        <f t="shared" si="122"/>
        <v>8.6679373740108402E-4</v>
      </c>
      <c r="H962" s="316">
        <f t="shared" si="123"/>
        <v>1.9668676733489219</v>
      </c>
      <c r="I962" s="7">
        <f t="shared" si="121"/>
        <v>0.72321724349039862</v>
      </c>
      <c r="J962" s="316">
        <v>0.75618958556790283</v>
      </c>
      <c r="K962" s="37">
        <f>G962*793.77</f>
        <v>0.6880348649368585</v>
      </c>
      <c r="L962" s="37">
        <f t="shared" si="124"/>
        <v>0.83871450035803052</v>
      </c>
      <c r="M962" s="45">
        <f t="shared" si="119"/>
        <v>6.7554074629805241E-2</v>
      </c>
    </row>
    <row r="963" spans="1:13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8">
        <f t="shared" si="120"/>
        <v>47.1</v>
      </c>
      <c r="G963" s="70">
        <f t="shared" si="122"/>
        <v>6.6709125868612837E-4</v>
      </c>
      <c r="H963" s="316">
        <f t="shared" si="123"/>
        <v>1.5137167878224544</v>
      </c>
      <c r="I963" s="7">
        <f t="shared" si="121"/>
        <v>0.55659366288231649</v>
      </c>
      <c r="J963" s="316">
        <v>0.58196943595176842</v>
      </c>
      <c r="K963" s="37">
        <f>G963*793.77</f>
        <v>0.52951702840728809</v>
      </c>
      <c r="L963" s="37">
        <f t="shared" si="124"/>
        <v>0.64548125762848418</v>
      </c>
      <c r="M963" s="45">
        <f t="shared" si="119"/>
        <v>6.7554074629805255E-2</v>
      </c>
    </row>
    <row r="964" spans="1:13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8">
        <f t="shared" si="120"/>
        <v>282.8</v>
      </c>
      <c r="G964" s="70">
        <f t="shared" si="122"/>
        <v>4.0053802113893229E-3</v>
      </c>
      <c r="H964" s="316">
        <f t="shared" si="123"/>
        <v>9.0887283990698542</v>
      </c>
      <c r="I964" s="7">
        <f t="shared" si="121"/>
        <v>3.3419254323379857</v>
      </c>
      <c r="J964" s="316">
        <v>3.4942878235065833</v>
      </c>
      <c r="K964" s="37">
        <f>G964*2793.77</f>
        <v>11.190111073173149</v>
      </c>
      <c r="L964" s="37">
        <f t="shared" si="124"/>
        <v>13.640745398198069</v>
      </c>
      <c r="M964" s="45">
        <f t="shared" si="119"/>
        <v>9.5880667355330879E-2</v>
      </c>
    </row>
    <row r="965" spans="1:13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8">
        <f t="shared" si="120"/>
        <v>46.6</v>
      </c>
      <c r="G965" s="70">
        <f t="shared" si="122"/>
        <v>6.6000961050474694E-4</v>
      </c>
      <c r="H965" s="316">
        <f t="shared" si="123"/>
        <v>1.4976476074846365</v>
      </c>
      <c r="I965" s="7">
        <f t="shared" si="121"/>
        <v>0.55068502527210095</v>
      </c>
      <c r="J965" s="316">
        <v>0.5757914164618344</v>
      </c>
      <c r="K965" s="37">
        <f t="shared" ref="K965:K1000" si="126">G965*793.77</f>
        <v>0.52389582853035299</v>
      </c>
      <c r="L965" s="37">
        <f t="shared" si="124"/>
        <v>0.63862901497850033</v>
      </c>
      <c r="M965" s="45">
        <f t="shared" si="119"/>
        <v>6.7554074629805255E-2</v>
      </c>
    </row>
    <row r="966" spans="1:13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8">
        <f t="shared" si="120"/>
        <v>3266.45</v>
      </c>
      <c r="G966" s="70">
        <f t="shared" si="122"/>
        <v>4.6263699404146576E-2</v>
      </c>
      <c r="H966" s="316">
        <f t="shared" si="123"/>
        <v>104.97834822893113</v>
      </c>
      <c r="I966" s="7">
        <f t="shared" si="121"/>
        <v>38.60053864377798</v>
      </c>
      <c r="J966" s="316">
        <v>40.360383525788819</v>
      </c>
      <c r="K966" s="37">
        <f>G966*1793.77</f>
        <v>82.986436080176006</v>
      </c>
      <c r="L966" s="37">
        <f t="shared" si="124"/>
        <v>101.16046558173456</v>
      </c>
      <c r="M966" s="45">
        <f t="shared" si="119"/>
        <v>8.1717370992568067E-2</v>
      </c>
    </row>
    <row r="967" spans="1:13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8">
        <f t="shared" si="120"/>
        <v>3257.47</v>
      </c>
      <c r="G967" s="70">
        <f t="shared" si="122"/>
        <v>4.6136513002808965E-2</v>
      </c>
      <c r="H967" s="316">
        <f t="shared" si="123"/>
        <v>104.68974575006391</v>
      </c>
      <c r="I967" s="7">
        <f t="shared" si="121"/>
        <v>38.494419512298499</v>
      </c>
      <c r="J967" s="316">
        <v>40.249426295749608</v>
      </c>
      <c r="K967" s="37">
        <f>G967*1293.77</f>
        <v>59.690036427644152</v>
      </c>
      <c r="L967" s="37">
        <f t="shared" si="124"/>
        <v>72.762154405298233</v>
      </c>
      <c r="M967" s="45">
        <f t="shared" ref="M967:M1030" si="127">(K967+J967+I967+H967)/C967</f>
        <v>7.4635722811186647E-2</v>
      </c>
    </row>
    <row r="968" spans="1:13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8">
        <f t="shared" si="120"/>
        <v>24.3</v>
      </c>
      <c r="G968" s="70">
        <f t="shared" si="122"/>
        <v>3.4416810161513628E-4</v>
      </c>
      <c r="H968" s="316">
        <f t="shared" si="123"/>
        <v>0.78096216441795419</v>
      </c>
      <c r="I968" s="7">
        <f t="shared" si="121"/>
        <v>0.28715978785648177</v>
      </c>
      <c r="J968" s="316">
        <v>0.3002517472107849</v>
      </c>
      <c r="K968" s="37">
        <f>G968*1793.77</f>
        <v>0.61735841563418303</v>
      </c>
      <c r="L968" s="37">
        <f t="shared" si="124"/>
        <v>0.75255990865806921</v>
      </c>
      <c r="M968" s="45">
        <f t="shared" si="127"/>
        <v>8.1717370992568053E-2</v>
      </c>
    </row>
    <row r="969" spans="1:13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8">
        <f t="shared" si="120"/>
        <v>4572.4000000000005</v>
      </c>
      <c r="G969" s="70">
        <f t="shared" si="122"/>
        <v>6.4760256289096679E-2</v>
      </c>
      <c r="H969" s="316">
        <f t="shared" si="123"/>
        <v>146.94944035327796</v>
      </c>
      <c r="I969" s="7">
        <f t="shared" si="121"/>
        <v>54.03330921790031</v>
      </c>
      <c r="J969" s="316">
        <v>56.496752631547039</v>
      </c>
      <c r="K969" s="37">
        <f>G969*2793.77</f>
        <v>180.92526121278962</v>
      </c>
      <c r="L969" s="37">
        <f t="shared" si="124"/>
        <v>220.54789341839057</v>
      </c>
      <c r="M969" s="45">
        <f t="shared" si="127"/>
        <v>0.10431750902191855</v>
      </c>
    </row>
    <row r="970" spans="1:13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8">
        <f t="shared" si="120"/>
        <v>140.30000000000001</v>
      </c>
      <c r="G970" s="70">
        <f t="shared" si="122"/>
        <v>1.9871104796956225E-3</v>
      </c>
      <c r="H970" s="316">
        <f t="shared" si="123"/>
        <v>4.509012002791728</v>
      </c>
      <c r="I970" s="7">
        <f t="shared" si="121"/>
        <v>1.6579637134265186</v>
      </c>
      <c r="J970" s="316">
        <v>1.7335522688754372</v>
      </c>
      <c r="K970" s="37">
        <f t="shared" si="126"/>
        <v>1.5773086854679943</v>
      </c>
      <c r="L970" s="37">
        <f t="shared" si="124"/>
        <v>1.9227392875854852</v>
      </c>
      <c r="M970" s="45">
        <f t="shared" si="127"/>
        <v>6.7554074629805255E-2</v>
      </c>
    </row>
    <row r="971" spans="1:13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8">
        <f t="shared" si="120"/>
        <v>427.4</v>
      </c>
      <c r="G971" s="70">
        <f t="shared" si="122"/>
        <v>6.0533928654448246E-3</v>
      </c>
      <c r="H971" s="316">
        <f t="shared" si="123"/>
        <v>13.735935352766816</v>
      </c>
      <c r="I971" s="7">
        <f t="shared" si="121"/>
        <v>5.0507034292123585</v>
      </c>
      <c r="J971" s="316">
        <v>5.2809710599954514</v>
      </c>
      <c r="K971" s="37">
        <f>G971*793.77</f>
        <v>4.8050016548041388</v>
      </c>
      <c r="L971" s="37">
        <f t="shared" si="124"/>
        <v>5.8572970172062453</v>
      </c>
      <c r="M971" s="45">
        <f t="shared" si="127"/>
        <v>6.7554074629805255E-2</v>
      </c>
    </row>
    <row r="972" spans="1:13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8">
        <f t="shared" si="120"/>
        <v>954</v>
      </c>
      <c r="G972" s="70">
        <f t="shared" si="122"/>
        <v>1.3511784730075721E-2</v>
      </c>
      <c r="H972" s="316">
        <f t="shared" si="123"/>
        <v>30.659996084556724</v>
      </c>
      <c r="I972" s="7">
        <f t="shared" si="121"/>
        <v>11.273680560291508</v>
      </c>
      <c r="J972" s="316">
        <v>11.787661186793779</v>
      </c>
      <c r="K972" s="37">
        <f>G972*793.77</f>
        <v>10.725249365192205</v>
      </c>
      <c r="L972" s="37">
        <f t="shared" si="124"/>
        <v>13.074078976169298</v>
      </c>
      <c r="M972" s="45">
        <f t="shared" si="127"/>
        <v>6.7554074629805255E-2</v>
      </c>
    </row>
    <row r="973" spans="1:13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8">
        <f t="shared" si="120"/>
        <v>202.5</v>
      </c>
      <c r="G973" s="70">
        <f t="shared" si="122"/>
        <v>2.8680675134594691E-3</v>
      </c>
      <c r="H973" s="316">
        <f t="shared" si="123"/>
        <v>6.5080180368162859</v>
      </c>
      <c r="I973" s="7">
        <f t="shared" si="121"/>
        <v>2.3929982321373484</v>
      </c>
      <c r="J973" s="316">
        <v>2.5020978934232079</v>
      </c>
      <c r="K973" s="37">
        <f t="shared" si="126"/>
        <v>2.2765859501587227</v>
      </c>
      <c r="L973" s="37">
        <f t="shared" si="124"/>
        <v>2.7751582732434832</v>
      </c>
      <c r="M973" s="45">
        <f t="shared" si="127"/>
        <v>6.7554074629805255E-2</v>
      </c>
    </row>
    <row r="974" spans="1:13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8">
        <f t="shared" si="120"/>
        <v>308.2</v>
      </c>
      <c r="G974" s="70">
        <f t="shared" si="122"/>
        <v>4.3651279390034981E-3</v>
      </c>
      <c r="H974" s="316">
        <f t="shared" si="123"/>
        <v>9.9050427602310087</v>
      </c>
      <c r="I974" s="7">
        <f t="shared" si="121"/>
        <v>3.6420842229369423</v>
      </c>
      <c r="J974" s="316">
        <v>3.8081312135952228</v>
      </c>
      <c r="K974" s="37">
        <f>G974*793.77</f>
        <v>3.4649076041428066</v>
      </c>
      <c r="L974" s="37">
        <f t="shared" si="124"/>
        <v>4.2237223694500816</v>
      </c>
      <c r="M974" s="45">
        <f t="shared" si="127"/>
        <v>6.7554074629805269E-2</v>
      </c>
    </row>
    <row r="975" spans="1:13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8">
        <f t="shared" si="120"/>
        <v>44.1</v>
      </c>
      <c r="G975" s="70">
        <f t="shared" si="122"/>
        <v>6.2460136959783987E-4</v>
      </c>
      <c r="H975" s="316">
        <f t="shared" si="123"/>
        <v>1.4173017057955464</v>
      </c>
      <c r="I975" s="7">
        <f t="shared" si="121"/>
        <v>0.52114183722102247</v>
      </c>
      <c r="J975" s="316">
        <v>0.54490131901216521</v>
      </c>
      <c r="K975" s="37">
        <f>G975*1793.77</f>
        <v>1.1203911987435171</v>
      </c>
      <c r="L975" s="37">
        <f t="shared" si="124"/>
        <v>1.3657568712683474</v>
      </c>
      <c r="M975" s="45">
        <f t="shared" si="127"/>
        <v>8.1717370992568039E-2</v>
      </c>
    </row>
    <row r="976" spans="1:13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8">
        <f t="shared" si="120"/>
        <v>236.79</v>
      </c>
      <c r="G976" s="70">
        <f t="shared" si="122"/>
        <v>3.3537269457386055E-3</v>
      </c>
      <c r="H976" s="316">
        <f t="shared" si="123"/>
        <v>7.6100424243838427</v>
      </c>
      <c r="I976" s="7">
        <f t="shared" si="121"/>
        <v>2.798212599445939</v>
      </c>
      <c r="J976" s="316">
        <v>2.9257864700428708</v>
      </c>
      <c r="K976" s="37">
        <f>G976*793.77</f>
        <v>2.662087837718933</v>
      </c>
      <c r="L976" s="37">
        <f t="shared" si="124"/>
        <v>3.2450850741793795</v>
      </c>
      <c r="M976" s="45">
        <f t="shared" si="127"/>
        <v>6.7554074629805255E-2</v>
      </c>
    </row>
    <row r="977" spans="1:13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8">
        <f t="shared" si="120"/>
        <v>571.4</v>
      </c>
      <c r="G977" s="70">
        <f t="shared" si="122"/>
        <v>8.0929075416826691E-3</v>
      </c>
      <c r="H977" s="316">
        <f t="shared" si="123"/>
        <v>18.363859290058397</v>
      </c>
      <c r="I977" s="7">
        <f t="shared" si="121"/>
        <v>6.7523910609544728</v>
      </c>
      <c r="J977" s="316">
        <v>7.0602406730963994</v>
      </c>
      <c r="K977" s="37">
        <f>G977*793.77</f>
        <v>6.4239072193614524</v>
      </c>
      <c r="L977" s="37">
        <f t="shared" si="124"/>
        <v>7.8307429004016109</v>
      </c>
      <c r="M977" s="45">
        <f t="shared" si="127"/>
        <v>6.7554074629805255E-2</v>
      </c>
    </row>
    <row r="978" spans="1:13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8">
        <f t="shared" si="120"/>
        <v>654.29999999999995</v>
      </c>
      <c r="G978" s="70">
        <f t="shared" si="122"/>
        <v>9.267044810155705E-3</v>
      </c>
      <c r="H978" s="316">
        <f t="shared" si="123"/>
        <v>21.028129390068617</v>
      </c>
      <c r="I978" s="7">
        <f t="shared" si="121"/>
        <v>7.7320431767282312</v>
      </c>
      <c r="J978" s="316">
        <v>8.08455630452743</v>
      </c>
      <c r="K978" s="37">
        <f>G978*1793.77</f>
        <v>16.622946969112999</v>
      </c>
      <c r="L978" s="37">
        <f t="shared" si="124"/>
        <v>20.263372355348746</v>
      </c>
      <c r="M978" s="45">
        <f t="shared" si="127"/>
        <v>8.1717370992568067E-2</v>
      </c>
    </row>
    <row r="979" spans="1:13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8">
        <f t="shared" si="120"/>
        <v>559.79999999999995</v>
      </c>
      <c r="G979" s="70">
        <f t="shared" si="122"/>
        <v>7.9286133038746209E-3</v>
      </c>
      <c r="H979" s="316">
        <f t="shared" si="123"/>
        <v>17.99105430622102</v>
      </c>
      <c r="I979" s="7">
        <f t="shared" si="121"/>
        <v>6.6153106683974698</v>
      </c>
      <c r="J979" s="316">
        <v>6.9169106209299338</v>
      </c>
      <c r="K979" s="37">
        <f>G979*1793.77</f>
        <v>14.222108686091179</v>
      </c>
      <c r="L979" s="37">
        <f t="shared" si="124"/>
        <v>17.33675048834515</v>
      </c>
      <c r="M979" s="45">
        <f t="shared" si="127"/>
        <v>8.1717370992568067E-2</v>
      </c>
    </row>
    <row r="980" spans="1:13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8">
        <f t="shared" si="120"/>
        <v>681</v>
      </c>
      <c r="G980" s="70">
        <f t="shared" si="122"/>
        <v>9.6452048230414728E-3</v>
      </c>
      <c r="H980" s="316">
        <f t="shared" si="123"/>
        <v>21.886223620108098</v>
      </c>
      <c r="I980" s="7">
        <f t="shared" si="121"/>
        <v>8.0475644251137481</v>
      </c>
      <c r="J980" s="316">
        <v>8.4144625452898989</v>
      </c>
      <c r="K980" s="37">
        <f t="shared" si="126"/>
        <v>7.6560742323856292</v>
      </c>
      <c r="L980" s="37">
        <f t="shared" si="124"/>
        <v>9.3327544892780825</v>
      </c>
      <c r="M980" s="45">
        <f t="shared" si="127"/>
        <v>7.3127205250194519E-2</v>
      </c>
    </row>
    <row r="981" spans="1:13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8">
        <f t="shared" si="120"/>
        <v>373.3</v>
      </c>
      <c r="G981" s="70">
        <f t="shared" si="122"/>
        <v>5.2871585322193573E-3</v>
      </c>
      <c r="H981" s="316">
        <f t="shared" si="123"/>
        <v>11.997250040214912</v>
      </c>
      <c r="I981" s="7">
        <f t="shared" si="121"/>
        <v>4.4113888397870236</v>
      </c>
      <c r="J981" s="316">
        <v>4.6125093511846096</v>
      </c>
      <c r="K981" s="37">
        <f>G981*793.77</f>
        <v>4.196787828119759</v>
      </c>
      <c r="L981" s="37">
        <f t="shared" si="124"/>
        <v>5.1158843624779866</v>
      </c>
      <c r="M981" s="45">
        <f t="shared" si="127"/>
        <v>6.7554074629805255E-2</v>
      </c>
    </row>
    <row r="982" spans="1:13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8">
        <f t="shared" si="120"/>
        <v>395.4</v>
      </c>
      <c r="G982" s="70">
        <f t="shared" si="122"/>
        <v>5.6001673818364146E-3</v>
      </c>
      <c r="H982" s="316">
        <f t="shared" si="123"/>
        <v>12.707507811146463</v>
      </c>
      <c r="I982" s="7">
        <f t="shared" si="121"/>
        <v>4.6725506221585551</v>
      </c>
      <c r="J982" s="316">
        <v>4.8855778126396849</v>
      </c>
      <c r="K982" s="37">
        <f t="shared" si="126"/>
        <v>4.4452448626802905</v>
      </c>
      <c r="L982" s="37">
        <f t="shared" si="124"/>
        <v>5.4187534876072743</v>
      </c>
      <c r="M982" s="45">
        <f t="shared" si="127"/>
        <v>6.7554074629805255E-2</v>
      </c>
    </row>
    <row r="983" spans="1:13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8">
        <f t="shared" si="120"/>
        <v>359.5</v>
      </c>
      <c r="G983" s="70">
        <f t="shared" si="122"/>
        <v>5.0917050424132302E-3</v>
      </c>
      <c r="H983" s="316">
        <f t="shared" si="123"/>
        <v>11.553740662891133</v>
      </c>
      <c r="I983" s="7">
        <f t="shared" si="121"/>
        <v>4.2483104417450699</v>
      </c>
      <c r="J983" s="316">
        <v>4.4419960132624352</v>
      </c>
      <c r="K983" s="37">
        <f t="shared" si="126"/>
        <v>4.0416427115163494</v>
      </c>
      <c r="L983" s="37">
        <f t="shared" si="124"/>
        <v>4.9267624653384301</v>
      </c>
      <c r="M983" s="45">
        <f t="shared" si="127"/>
        <v>6.7554074629805255E-2</v>
      </c>
    </row>
    <row r="984" spans="1:13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8">
        <f t="shared" si="120"/>
        <v>581.70000000000005</v>
      </c>
      <c r="G984" s="70">
        <f t="shared" si="122"/>
        <v>8.2387894942191273E-3</v>
      </c>
      <c r="H984" s="316">
        <f t="shared" si="123"/>
        <v>18.694884405017451</v>
      </c>
      <c r="I984" s="7">
        <f t="shared" si="121"/>
        <v>6.8741089957249173</v>
      </c>
      <c r="J984" s="316">
        <v>7.1875078745890377</v>
      </c>
      <c r="K984" s="37">
        <f>G984*993.77</f>
        <v>8.1874618356701419</v>
      </c>
      <c r="L984" s="37">
        <f t="shared" si="124"/>
        <v>9.9805159776819039</v>
      </c>
      <c r="M984" s="45">
        <f t="shared" si="127"/>
        <v>8.5836400651994868E-2</v>
      </c>
    </row>
    <row r="985" spans="1:13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8">
        <f t="shared" si="120"/>
        <v>397</v>
      </c>
      <c r="G985" s="70">
        <f t="shared" si="122"/>
        <v>5.6228286560168353E-3</v>
      </c>
      <c r="H985" s="316">
        <f t="shared" si="123"/>
        <v>12.758929188227482</v>
      </c>
      <c r="I985" s="7">
        <f t="shared" si="121"/>
        <v>4.6914582625112455</v>
      </c>
      <c r="J985" s="316">
        <v>4.9053474750074733</v>
      </c>
      <c r="K985" s="37">
        <f t="shared" si="126"/>
        <v>4.4632327022864828</v>
      </c>
      <c r="L985" s="37">
        <f t="shared" si="124"/>
        <v>5.440680664087223</v>
      </c>
      <c r="M985" s="45">
        <f t="shared" si="127"/>
        <v>6.7554074629805255E-2</v>
      </c>
    </row>
    <row r="986" spans="1:13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8">
        <f t="shared" si="120"/>
        <v>271.5</v>
      </c>
      <c r="G986" s="70">
        <f t="shared" si="122"/>
        <v>3.845334962490103E-3</v>
      </c>
      <c r="H986" s="316">
        <f t="shared" si="123"/>
        <v>8.7255649234351687</v>
      </c>
      <c r="I986" s="7">
        <f t="shared" si="121"/>
        <v>3.2083902223471119</v>
      </c>
      <c r="J986" s="316">
        <v>3.3546645830340784</v>
      </c>
      <c r="K986" s="37">
        <f>G986*793.77</f>
        <v>3.0523115331757689</v>
      </c>
      <c r="L986" s="37">
        <f t="shared" si="124"/>
        <v>3.7207677589412627</v>
      </c>
      <c r="M986" s="45">
        <f t="shared" si="127"/>
        <v>6.7554074629805269E-2</v>
      </c>
    </row>
    <row r="987" spans="1:13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8">
        <f t="shared" si="120"/>
        <v>258.60000000000002</v>
      </c>
      <c r="G987" s="70">
        <f t="shared" si="122"/>
        <v>3.6626284394104627E-3</v>
      </c>
      <c r="H987" s="316">
        <f t="shared" si="123"/>
        <v>8.310980070719463</v>
      </c>
      <c r="I987" s="7">
        <f t="shared" si="121"/>
        <v>3.0559473720035468</v>
      </c>
      <c r="J987" s="316">
        <v>3.1952716801937857</v>
      </c>
      <c r="K987" s="37">
        <f>G987*793.77</f>
        <v>2.9072845763508428</v>
      </c>
      <c r="L987" s="37">
        <f t="shared" si="124"/>
        <v>3.5439798985716777</v>
      </c>
      <c r="M987" s="45">
        <f t="shared" si="127"/>
        <v>6.7554074629805241E-2</v>
      </c>
    </row>
    <row r="988" spans="1:13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8">
        <f t="shared" si="120"/>
        <v>737.4</v>
      </c>
      <c r="G988" s="70">
        <f t="shared" si="122"/>
        <v>1.0444014737901295E-2</v>
      </c>
      <c r="H988" s="316">
        <f t="shared" si="123"/>
        <v>23.698827162213966</v>
      </c>
      <c r="I988" s="7">
        <f t="shared" si="121"/>
        <v>8.7140587475460762</v>
      </c>
      <c r="J988" s="316">
        <v>9.1113431437544357</v>
      </c>
      <c r="K988" s="37">
        <f t="shared" si="126"/>
        <v>8.2901455785039104</v>
      </c>
      <c r="L988" s="37">
        <f t="shared" si="124"/>
        <v>10.105687460196268</v>
      </c>
      <c r="M988" s="45">
        <f t="shared" si="127"/>
        <v>6.7554074629805241E-2</v>
      </c>
    </row>
    <row r="989" spans="1:13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8">
        <f t="shared" si="120"/>
        <v>473.4</v>
      </c>
      <c r="G989" s="70">
        <f t="shared" si="122"/>
        <v>6.7049044981319136E-3</v>
      </c>
      <c r="H989" s="316">
        <f t="shared" si="123"/>
        <v>15.21429994384607</v>
      </c>
      <c r="I989" s="7">
        <f t="shared" si="121"/>
        <v>5.5942980893522005</v>
      </c>
      <c r="J989" s="316">
        <v>5.8493488530693654</v>
      </c>
      <c r="K989" s="37">
        <f t="shared" si="126"/>
        <v>5.322152043482169</v>
      </c>
      <c r="L989" s="37">
        <f t="shared" si="124"/>
        <v>6.4877033410047646</v>
      </c>
      <c r="M989" s="45">
        <f t="shared" si="127"/>
        <v>6.7554074629805255E-2</v>
      </c>
    </row>
    <row r="990" spans="1:13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8">
        <f t="shared" si="120"/>
        <v>320.60000000000002</v>
      </c>
      <c r="G990" s="70">
        <f t="shared" si="122"/>
        <v>4.5407528139017571E-3</v>
      </c>
      <c r="H990" s="316">
        <f t="shared" si="123"/>
        <v>10.303558432608895</v>
      </c>
      <c r="I990" s="7">
        <f t="shared" si="121"/>
        <v>3.788618435670291</v>
      </c>
      <c r="J990" s="316">
        <v>3.9613460969455825</v>
      </c>
      <c r="K990" s="37">
        <f t="shared" si="126"/>
        <v>3.6043133610907976</v>
      </c>
      <c r="L990" s="37">
        <f t="shared" si="124"/>
        <v>4.3936579871696821</v>
      </c>
      <c r="M990" s="45">
        <f t="shared" si="127"/>
        <v>6.7554074629805255E-2</v>
      </c>
    </row>
    <row r="991" spans="1:13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8">
        <f t="shared" si="120"/>
        <v>963.8</v>
      </c>
      <c r="G991" s="70">
        <f t="shared" si="122"/>
        <v>1.3650585034430795E-2</v>
      </c>
      <c r="H991" s="316">
        <f t="shared" si="123"/>
        <v>30.974952019177952</v>
      </c>
      <c r="I991" s="7">
        <f t="shared" si="121"/>
        <v>11.389489857451734</v>
      </c>
      <c r="J991" s="316">
        <v>11.908750368796481</v>
      </c>
      <c r="K991" s="37">
        <f t="shared" si="126"/>
        <v>10.835424882780131</v>
      </c>
      <c r="L991" s="37">
        <f t="shared" si="124"/>
        <v>13.208382932108981</v>
      </c>
      <c r="M991" s="45">
        <f t="shared" si="127"/>
        <v>6.7554074629805255E-2</v>
      </c>
    </row>
    <row r="992" spans="1:13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8">
        <f t="shared" si="120"/>
        <v>143.69999999999999</v>
      </c>
      <c r="G992" s="70">
        <f t="shared" si="122"/>
        <v>2.0352656873290154E-3</v>
      </c>
      <c r="H992" s="316">
        <f t="shared" si="123"/>
        <v>4.6182824290888886</v>
      </c>
      <c r="I992" s="7">
        <f t="shared" si="121"/>
        <v>1.6981424491759844</v>
      </c>
      <c r="J992" s="316">
        <v>1.7755628014069871</v>
      </c>
      <c r="K992" s="37">
        <f t="shared" si="126"/>
        <v>1.6155328446311525</v>
      </c>
      <c r="L992" s="37">
        <f t="shared" si="124"/>
        <v>1.969334537605375</v>
      </c>
      <c r="M992" s="45">
        <f t="shared" si="127"/>
        <v>6.7554074629805241E-2</v>
      </c>
    </row>
    <row r="993" spans="1:13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8">
        <f t="shared" si="120"/>
        <v>136.80000000000001</v>
      </c>
      <c r="G993" s="70">
        <f t="shared" si="122"/>
        <v>1.9375389424259525E-3</v>
      </c>
      <c r="H993" s="316">
        <f t="shared" si="123"/>
        <v>4.3965277404270022</v>
      </c>
      <c r="I993" s="7">
        <f t="shared" si="121"/>
        <v>1.6166032501550089</v>
      </c>
      <c r="J993" s="316">
        <v>1.6903061324459006</v>
      </c>
      <c r="K993" s="37">
        <f>G993*1793.77</f>
        <v>3.475499228755401</v>
      </c>
      <c r="L993" s="37">
        <f t="shared" si="124"/>
        <v>4.2366335598528337</v>
      </c>
      <c r="M993" s="45">
        <f t="shared" si="127"/>
        <v>8.1717370992568081E-2</v>
      </c>
    </row>
    <row r="994" spans="1:13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8">
        <f t="shared" si="120"/>
        <v>128.1</v>
      </c>
      <c r="G994" s="70">
        <f t="shared" si="122"/>
        <v>1.8143182640699158E-3</v>
      </c>
      <c r="H994" s="316">
        <f t="shared" si="123"/>
        <v>4.1169240025489682</v>
      </c>
      <c r="I994" s="7">
        <f t="shared" si="121"/>
        <v>1.5137929557372558</v>
      </c>
      <c r="J994" s="316">
        <v>1.5828085933210514</v>
      </c>
      <c r="K994" s="37">
        <f t="shared" si="126"/>
        <v>1.4401514084707769</v>
      </c>
      <c r="L994" s="37">
        <f t="shared" si="124"/>
        <v>1.7555445669258771</v>
      </c>
      <c r="M994" s="45">
        <f t="shared" si="127"/>
        <v>6.7554074629805241E-2</v>
      </c>
    </row>
    <row r="995" spans="1:13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8">
        <f t="shared" si="120"/>
        <v>72.5</v>
      </c>
      <c r="G995" s="70">
        <f t="shared" si="122"/>
        <v>1.0268389863003038E-3</v>
      </c>
      <c r="H995" s="316">
        <f t="shared" si="123"/>
        <v>2.3300311489836085</v>
      </c>
      <c r="I995" s="7">
        <f t="shared" si="121"/>
        <v>0.85675245348127294</v>
      </c>
      <c r="J995" s="316">
        <v>0.89581282604040768</v>
      </c>
      <c r="K995" s="37">
        <f t="shared" si="126"/>
        <v>0.81507398215559212</v>
      </c>
      <c r="L995" s="37">
        <f t="shared" si="124"/>
        <v>0.99357518424766689</v>
      </c>
      <c r="M995" s="45">
        <f t="shared" si="127"/>
        <v>6.7554074629805255E-2</v>
      </c>
    </row>
    <row r="996" spans="1:13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8">
        <f t="shared" si="120"/>
        <v>237.6</v>
      </c>
      <c r="G996" s="70">
        <f t="shared" si="122"/>
        <v>3.3651992157924435E-3</v>
      </c>
      <c r="H996" s="316">
        <f t="shared" si="123"/>
        <v>7.6360744965311076</v>
      </c>
      <c r="I996" s="7">
        <f t="shared" si="121"/>
        <v>2.8077845923744884</v>
      </c>
      <c r="J996" s="316">
        <v>2.9357948616165639</v>
      </c>
      <c r="K996" s="37">
        <f t="shared" si="126"/>
        <v>2.6711941815195677</v>
      </c>
      <c r="L996" s="37">
        <f t="shared" si="124"/>
        <v>3.256185707272353</v>
      </c>
      <c r="M996" s="45">
        <f t="shared" si="127"/>
        <v>6.7554074629805255E-2</v>
      </c>
    </row>
    <row r="997" spans="1:13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8">
        <f t="shared" si="120"/>
        <v>106.4</v>
      </c>
      <c r="G997" s="70">
        <f t="shared" si="122"/>
        <v>1.506974732997963E-3</v>
      </c>
      <c r="H997" s="316">
        <f t="shared" si="123"/>
        <v>3.4195215758876678</v>
      </c>
      <c r="I997" s="7">
        <f t="shared" si="121"/>
        <v>1.2573580834538955</v>
      </c>
      <c r="J997" s="316">
        <v>1.3146825474579225</v>
      </c>
      <c r="K997" s="37">
        <f t="shared" si="126"/>
        <v>1.1961913338117931</v>
      </c>
      <c r="L997" s="37">
        <f t="shared" si="124"/>
        <v>1.458157235916576</v>
      </c>
      <c r="M997" s="45">
        <f t="shared" si="127"/>
        <v>6.7554074629805255E-2</v>
      </c>
    </row>
    <row r="998" spans="1:13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8">
        <f t="shared" si="120"/>
        <v>348.62</v>
      </c>
      <c r="G998" s="70">
        <f t="shared" si="122"/>
        <v>4.9376083779863709E-3</v>
      </c>
      <c r="H998" s="316">
        <f t="shared" si="123"/>
        <v>11.204075298740214</v>
      </c>
      <c r="I998" s="7">
        <f t="shared" si="121"/>
        <v>4.1197384873467771</v>
      </c>
      <c r="J998" s="316">
        <v>4.307562309161475</v>
      </c>
      <c r="K998" s="37">
        <f t="shared" si="126"/>
        <v>3.9193254021942416</v>
      </c>
      <c r="L998" s="37">
        <f t="shared" si="124"/>
        <v>4.7776576652747806</v>
      </c>
      <c r="M998" s="45">
        <f t="shared" si="127"/>
        <v>6.7554074629805255E-2</v>
      </c>
    </row>
    <row r="999" spans="1:13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8">
        <f t="shared" si="120"/>
        <v>360.12</v>
      </c>
      <c r="G999" s="70">
        <f t="shared" si="122"/>
        <v>5.1004862861581427E-3</v>
      </c>
      <c r="H999" s="316">
        <f t="shared" si="123"/>
        <v>11.573666446510027</v>
      </c>
      <c r="I999" s="7">
        <f t="shared" si="121"/>
        <v>4.2556371523817367</v>
      </c>
      <c r="J999" s="316">
        <v>4.4496567574299535</v>
      </c>
      <c r="K999" s="37">
        <f t="shared" si="126"/>
        <v>4.0486129993637485</v>
      </c>
      <c r="L999" s="37">
        <f t="shared" si="124"/>
        <v>4.93525924622441</v>
      </c>
      <c r="M999" s="45">
        <f t="shared" si="127"/>
        <v>6.7554074629805241E-2</v>
      </c>
    </row>
    <row r="1000" spans="1:13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8">
        <f t="shared" si="120"/>
        <v>301.69</v>
      </c>
      <c r="G1000" s="70">
        <f t="shared" si="122"/>
        <v>4.2729248796819124E-3</v>
      </c>
      <c r="H1000" s="316">
        <f t="shared" si="123"/>
        <v>9.6958220322326181</v>
      </c>
      <c r="I1000" s="7">
        <f t="shared" si="121"/>
        <v>3.565153761251934</v>
      </c>
      <c r="J1000" s="316">
        <v>3.727693399836284</v>
      </c>
      <c r="K1000" s="37">
        <f t="shared" si="126"/>
        <v>3.3917195817451113</v>
      </c>
      <c r="L1000" s="37">
        <f t="shared" si="124"/>
        <v>4.1345061701472909</v>
      </c>
      <c r="M1000" s="45">
        <f t="shared" si="127"/>
        <v>6.7554074629805255E-2</v>
      </c>
    </row>
    <row r="1001" spans="1:13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8">
        <f t="shared" ref="F1001:F1062" si="128">C1001+D1001+E1001</f>
        <v>136.1</v>
      </c>
      <c r="G1001" s="70">
        <f t="shared" si="122"/>
        <v>1.9276246349720183E-3</v>
      </c>
      <c r="H1001" s="316">
        <f t="shared" si="123"/>
        <v>4.3740308879540564</v>
      </c>
      <c r="I1001" s="7">
        <f t="shared" si="121"/>
        <v>1.6083311575007067</v>
      </c>
      <c r="J1001" s="316">
        <v>1.6816569051599928</v>
      </c>
      <c r="K1001" s="37">
        <f>G1001*793.77</f>
        <v>1.530090606501739</v>
      </c>
      <c r="L1001" s="37">
        <f t="shared" si="124"/>
        <v>1.8651804493256199</v>
      </c>
      <c r="M1001" s="45">
        <f t="shared" si="127"/>
        <v>6.7554074629805255E-2</v>
      </c>
    </row>
    <row r="1002" spans="1:13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8">
        <f t="shared" si="128"/>
        <v>113.9</v>
      </c>
      <c r="G1002" s="70">
        <f t="shared" si="122"/>
        <v>1.6131994557186842E-3</v>
      </c>
      <c r="H1002" s="316">
        <f t="shared" si="123"/>
        <v>3.6605592809549381</v>
      </c>
      <c r="I1002" s="7">
        <f t="shared" si="121"/>
        <v>1.3459876476071309</v>
      </c>
      <c r="J1002" s="316">
        <v>1.4073528398069304</v>
      </c>
      <c r="K1002" s="37">
        <f t="shared" ref="K1002:K1065" si="129">G1002*793.77</f>
        <v>1.2805093319658198</v>
      </c>
      <c r="L1002" s="37">
        <f t="shared" si="124"/>
        <v>1.5609408756663345</v>
      </c>
      <c r="M1002" s="45">
        <f t="shared" si="127"/>
        <v>6.7554074629805269E-2</v>
      </c>
    </row>
    <row r="1003" spans="1:13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8">
        <f t="shared" si="128"/>
        <v>566.45000000000005</v>
      </c>
      <c r="G1003" s="70">
        <f t="shared" si="122"/>
        <v>8.0227992246869936E-3</v>
      </c>
      <c r="H1003" s="316">
        <f t="shared" si="123"/>
        <v>18.204774404713998</v>
      </c>
      <c r="I1003" s="7">
        <f t="shared" ref="I1003:I1064" si="130">H1003*0.3677</f>
        <v>6.6938955486133374</v>
      </c>
      <c r="J1003" s="316">
        <v>6.9990782801460556</v>
      </c>
      <c r="K1003" s="37">
        <f t="shared" si="129"/>
        <v>6.3682573405797944</v>
      </c>
      <c r="L1003" s="37">
        <f t="shared" si="124"/>
        <v>7.7629056981667697</v>
      </c>
      <c r="M1003" s="45">
        <f t="shared" si="127"/>
        <v>6.7554074629805241E-2</v>
      </c>
    </row>
    <row r="1004" spans="1:13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8">
        <f t="shared" si="128"/>
        <v>760.45</v>
      </c>
      <c r="G1004" s="70">
        <f t="shared" si="122"/>
        <v>1.0770478719062979E-2</v>
      </c>
      <c r="H1004" s="316">
        <f t="shared" si="123"/>
        <v>24.439616375787381</v>
      </c>
      <c r="I1004" s="7">
        <f t="shared" si="130"/>
        <v>8.9864469413770198</v>
      </c>
      <c r="J1004" s="316">
        <v>9.3961498422403871</v>
      </c>
      <c r="K1004" s="37">
        <f t="shared" si="129"/>
        <v>8.5492828928306217</v>
      </c>
      <c r="L1004" s="37">
        <f t="shared" si="124"/>
        <v>10.421575846360529</v>
      </c>
      <c r="M1004" s="45">
        <f t="shared" si="127"/>
        <v>6.7554074629805255E-2</v>
      </c>
    </row>
    <row r="1005" spans="1:13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8">
        <f t="shared" si="128"/>
        <v>275.3</v>
      </c>
      <c r="G1005" s="70">
        <f t="shared" si="122"/>
        <v>3.8991554886686017E-3</v>
      </c>
      <c r="H1005" s="316">
        <f t="shared" si="123"/>
        <v>8.8476906940025852</v>
      </c>
      <c r="I1005" s="7">
        <f t="shared" si="130"/>
        <v>3.2532958681847508</v>
      </c>
      <c r="J1005" s="316">
        <v>3.4016175311575756</v>
      </c>
      <c r="K1005" s="37">
        <f t="shared" si="129"/>
        <v>3.0950326522404761</v>
      </c>
      <c r="L1005" s="37">
        <f t="shared" si="124"/>
        <v>3.7728448030811408</v>
      </c>
      <c r="M1005" s="45">
        <f t="shared" si="127"/>
        <v>6.7554074629805255E-2</v>
      </c>
    </row>
    <row r="1006" spans="1:13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8">
        <f t="shared" si="128"/>
        <v>384.4</v>
      </c>
      <c r="G1006" s="70">
        <f t="shared" si="122"/>
        <v>5.4443711218460237E-3</v>
      </c>
      <c r="H1006" s="316">
        <f t="shared" si="123"/>
        <v>12.353985843714469</v>
      </c>
      <c r="I1006" s="7">
        <f t="shared" si="130"/>
        <v>4.5425605947338106</v>
      </c>
      <c r="J1006" s="316">
        <v>4.7496613838611408</v>
      </c>
      <c r="K1006" s="37">
        <f t="shared" si="129"/>
        <v>4.3215784653877183</v>
      </c>
      <c r="L1006" s="37">
        <f t="shared" si="124"/>
        <v>5.2680041493076288</v>
      </c>
      <c r="M1006" s="45">
        <f t="shared" si="127"/>
        <v>6.7554074629805255E-2</v>
      </c>
    </row>
    <row r="1007" spans="1:13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8">
        <f t="shared" si="128"/>
        <v>207.2</v>
      </c>
      <c r="G1007" s="70">
        <f t="shared" si="122"/>
        <v>2.9346350063644542E-3</v>
      </c>
      <c r="H1007" s="316">
        <f t="shared" si="123"/>
        <v>6.6590683319917741</v>
      </c>
      <c r="I1007" s="7">
        <f t="shared" si="130"/>
        <v>2.4485394256733755</v>
      </c>
      <c r="J1007" s="316">
        <v>2.5601712766285853</v>
      </c>
      <c r="K1007" s="37">
        <f t="shared" si="129"/>
        <v>2.3294252290019126</v>
      </c>
      <c r="L1007" s="37">
        <f t="shared" si="124"/>
        <v>2.8395693541533316</v>
      </c>
      <c r="M1007" s="45">
        <f t="shared" si="127"/>
        <v>6.7554074629805255E-2</v>
      </c>
    </row>
    <row r="1008" spans="1:13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8">
        <f t="shared" si="128"/>
        <v>603.70000000000005</v>
      </c>
      <c r="G1008" s="70">
        <f t="shared" si="122"/>
        <v>8.5503820141999091E-3</v>
      </c>
      <c r="H1008" s="316">
        <f t="shared" si="123"/>
        <v>19.40192833988144</v>
      </c>
      <c r="I1008" s="7">
        <f t="shared" si="130"/>
        <v>7.1340890505744063</v>
      </c>
      <c r="J1008" s="316">
        <v>7.4593407321461269</v>
      </c>
      <c r="K1008" s="37">
        <f>G1008*1793.77</f>
        <v>15.337418745611371</v>
      </c>
      <c r="L1008" s="37">
        <f t="shared" si="124"/>
        <v>18.696313450900263</v>
      </c>
      <c r="M1008" s="45">
        <f t="shared" si="127"/>
        <v>8.1717370992568067E-2</v>
      </c>
    </row>
    <row r="1009" spans="1:13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8">
        <f t="shared" si="128"/>
        <v>477.8</v>
      </c>
      <c r="G1009" s="70">
        <f t="shared" ref="G1009:G1072" si="131">4/282420.13*F1009</f>
        <v>6.7672230021280705E-3</v>
      </c>
      <c r="H1009" s="316">
        <f t="shared" ref="H1009:H1072" si="132">G1009*2269.13</f>
        <v>15.355708730818868</v>
      </c>
      <c r="I1009" s="7">
        <f t="shared" si="130"/>
        <v>5.6462941003220983</v>
      </c>
      <c r="J1009" s="316">
        <v>5.9037154245807839</v>
      </c>
      <c r="K1009" s="37">
        <f>G1009*1793.77</f>
        <v>12.138841604527268</v>
      </c>
      <c r="L1009" s="37">
        <f t="shared" si="124"/>
        <v>14.79724791591874</v>
      </c>
      <c r="M1009" s="45">
        <f t="shared" si="127"/>
        <v>8.1717370992568067E-2</v>
      </c>
    </row>
    <row r="1010" spans="1:13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8">
        <f t="shared" si="128"/>
        <v>481.5</v>
      </c>
      <c r="G1010" s="70">
        <f t="shared" si="131"/>
        <v>6.8196271986702929E-3</v>
      </c>
      <c r="H1010" s="316">
        <f t="shared" si="132"/>
        <v>15.474620665318723</v>
      </c>
      <c r="I1010" s="7">
        <f t="shared" si="130"/>
        <v>5.6900180186376943</v>
      </c>
      <c r="J1010" s="316">
        <v>5.949432768806294</v>
      </c>
      <c r="K1010" s="37">
        <f>G1010*793.77</f>
        <v>5.4132154814885185</v>
      </c>
      <c r="L1010" s="37">
        <f t="shared" ref="L1010:L1073" si="133">K1010*1.219</f>
        <v>6.5987096719345049</v>
      </c>
      <c r="M1010" s="45">
        <f t="shared" si="127"/>
        <v>6.7554074629805255E-2</v>
      </c>
    </row>
    <row r="1011" spans="1:13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8">
        <f t="shared" si="128"/>
        <v>539.4</v>
      </c>
      <c r="G1011" s="70">
        <f t="shared" si="131"/>
        <v>7.639682058074259E-3</v>
      </c>
      <c r="H1011" s="316">
        <f t="shared" si="132"/>
        <v>17.335431748438044</v>
      </c>
      <c r="I1011" s="7">
        <f t="shared" si="130"/>
        <v>6.3742382539006694</v>
      </c>
      <c r="J1011" s="316">
        <v>6.6648474257406329</v>
      </c>
      <c r="K1011" s="37">
        <f t="shared" si="129"/>
        <v>6.0641504272376041</v>
      </c>
      <c r="L1011" s="37">
        <f t="shared" si="133"/>
        <v>7.3921993708026399</v>
      </c>
      <c r="M1011" s="45">
        <f t="shared" si="127"/>
        <v>6.7554074629805255E-2</v>
      </c>
    </row>
    <row r="1012" spans="1:13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8">
        <f t="shared" si="128"/>
        <v>120.6</v>
      </c>
      <c r="G1012" s="70">
        <f t="shared" si="131"/>
        <v>1.7080935413491948E-3</v>
      </c>
      <c r="H1012" s="316">
        <f t="shared" si="132"/>
        <v>3.8758862974816988</v>
      </c>
      <c r="I1012" s="7">
        <f t="shared" si="130"/>
        <v>1.4251633915840207</v>
      </c>
      <c r="J1012" s="316">
        <v>1.4901383009720437</v>
      </c>
      <c r="K1012" s="37">
        <f t="shared" si="129"/>
        <v>1.3558334103167504</v>
      </c>
      <c r="L1012" s="37">
        <f t="shared" si="133"/>
        <v>1.6527609271761188</v>
      </c>
      <c r="M1012" s="45">
        <f t="shared" si="127"/>
        <v>6.7554074629805269E-2</v>
      </c>
    </row>
    <row r="1013" spans="1:13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8">
        <f t="shared" si="128"/>
        <v>98.1</v>
      </c>
      <c r="G1013" s="70">
        <f t="shared" si="131"/>
        <v>1.3894193731870317E-3</v>
      </c>
      <c r="H1013" s="316">
        <f t="shared" si="132"/>
        <v>3.1527731822798892</v>
      </c>
      <c r="I1013" s="7">
        <f t="shared" si="130"/>
        <v>1.1592746991243152</v>
      </c>
      <c r="J1013" s="316">
        <v>1.2121274239250204</v>
      </c>
      <c r="K1013" s="37">
        <f t="shared" si="129"/>
        <v>1.1028794158546702</v>
      </c>
      <c r="L1013" s="37">
        <f t="shared" si="133"/>
        <v>1.3444100079268431</v>
      </c>
      <c r="M1013" s="45">
        <f t="shared" si="127"/>
        <v>6.7554074629805255E-2</v>
      </c>
    </row>
    <row r="1014" spans="1:13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8">
        <f t="shared" si="128"/>
        <v>95.2</v>
      </c>
      <c r="G1014" s="70">
        <f t="shared" si="131"/>
        <v>1.3483458137350196E-3</v>
      </c>
      <c r="H1014" s="316">
        <f t="shared" si="132"/>
        <v>3.0595719363205451</v>
      </c>
      <c r="I1014" s="7">
        <f t="shared" si="130"/>
        <v>1.1250046009850645</v>
      </c>
      <c r="J1014" s="316">
        <v>1.1762949108834044</v>
      </c>
      <c r="K1014" s="37">
        <f t="shared" si="129"/>
        <v>1.0702764565684464</v>
      </c>
      <c r="L1014" s="37">
        <f t="shared" si="133"/>
        <v>1.3046670005569363</v>
      </c>
      <c r="M1014" s="45">
        <f t="shared" si="127"/>
        <v>6.7554074629805255E-2</v>
      </c>
    </row>
    <row r="1015" spans="1:13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8">
        <f t="shared" si="128"/>
        <v>2329.16</v>
      </c>
      <c r="G1015" s="70">
        <f t="shared" si="131"/>
        <v>3.2988583356292622E-2</v>
      </c>
      <c r="H1015" s="316">
        <f t="shared" si="132"/>
        <v>74.855384151264275</v>
      </c>
      <c r="I1015" s="7">
        <f t="shared" si="130"/>
        <v>27.524324752419876</v>
      </c>
      <c r="J1015" s="316">
        <v>28.779191750348634</v>
      </c>
      <c r="K1015" s="37">
        <f>G1015*1793.77</f>
        <v>59.173931167017017</v>
      </c>
      <c r="L1015" s="37">
        <f t="shared" si="133"/>
        <v>72.133022092593748</v>
      </c>
      <c r="M1015" s="45">
        <f t="shared" si="127"/>
        <v>8.1717370992568053E-2</v>
      </c>
    </row>
    <row r="1016" spans="1:13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8">
        <f t="shared" si="128"/>
        <v>188</v>
      </c>
      <c r="G1016" s="70">
        <f t="shared" si="131"/>
        <v>2.6626997161994081E-3</v>
      </c>
      <c r="H1016" s="316">
        <f t="shared" si="132"/>
        <v>6.0420118070195628</v>
      </c>
      <c r="I1016" s="7">
        <f t="shared" si="130"/>
        <v>2.2216477414410933</v>
      </c>
      <c r="J1016" s="316">
        <v>2.3229353282151264</v>
      </c>
      <c r="K1016" s="37">
        <f>G1016*1793.77</f>
        <v>4.7762708699270124</v>
      </c>
      <c r="L1016" s="37">
        <f t="shared" si="133"/>
        <v>5.8222741904410285</v>
      </c>
      <c r="M1016" s="45">
        <f t="shared" si="127"/>
        <v>8.1717370992568053E-2</v>
      </c>
    </row>
    <row r="1017" spans="1:13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8">
        <f t="shared" si="128"/>
        <v>110.1</v>
      </c>
      <c r="G1017" s="70">
        <f t="shared" si="131"/>
        <v>1.5593789295401852E-3</v>
      </c>
      <c r="H1017" s="316">
        <f t="shared" si="132"/>
        <v>3.5384335103875206</v>
      </c>
      <c r="I1017" s="7">
        <f t="shared" si="130"/>
        <v>1.3010820017694915</v>
      </c>
      <c r="J1017" s="316">
        <v>1.360399891683433</v>
      </c>
      <c r="K1017" s="37">
        <f>G1017*1793.77</f>
        <v>2.7971671424412978</v>
      </c>
      <c r="L1017" s="37">
        <f t="shared" si="133"/>
        <v>3.4097467466359421</v>
      </c>
      <c r="M1017" s="45">
        <f t="shared" si="127"/>
        <v>8.1717370992568053E-2</v>
      </c>
    </row>
    <row r="1018" spans="1:13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8">
        <f t="shared" si="128"/>
        <v>215.8</v>
      </c>
      <c r="G1018" s="70">
        <f t="shared" si="131"/>
        <v>3.0564393550842144E-3</v>
      </c>
      <c r="H1018" s="316">
        <f t="shared" si="132"/>
        <v>6.9354582338022439</v>
      </c>
      <c r="I1018" s="7">
        <f t="shared" si="130"/>
        <v>2.5501679925690852</v>
      </c>
      <c r="J1018" s="316">
        <v>2.6664332118554483</v>
      </c>
      <c r="K1018" s="37">
        <f t="shared" si="129"/>
        <v>2.4261098668851968</v>
      </c>
      <c r="L1018" s="37">
        <f t="shared" si="133"/>
        <v>2.9574279277330553</v>
      </c>
      <c r="M1018" s="45">
        <f t="shared" si="127"/>
        <v>6.7554074629805255E-2</v>
      </c>
    </row>
    <row r="1019" spans="1:13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8">
        <f t="shared" si="128"/>
        <v>1481.3</v>
      </c>
      <c r="G1019" s="70">
        <f t="shared" si="131"/>
        <v>2.0980090902160551E-2</v>
      </c>
      <c r="H1019" s="316">
        <f t="shared" si="132"/>
        <v>47.606553668819572</v>
      </c>
      <c r="I1019" s="7">
        <f t="shared" si="130"/>
        <v>17.504929784024959</v>
      </c>
      <c r="J1019" s="316">
        <v>18.303000540878013</v>
      </c>
      <c r="K1019" s="37">
        <f t="shared" si="129"/>
        <v>16.65336675540798</v>
      </c>
      <c r="L1019" s="37">
        <f t="shared" si="133"/>
        <v>20.300454074842328</v>
      </c>
      <c r="M1019" s="45">
        <f t="shared" si="127"/>
        <v>6.7554074629805255E-2</v>
      </c>
    </row>
    <row r="1020" spans="1:13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8">
        <f t="shared" si="128"/>
        <v>152.6</v>
      </c>
      <c r="G1020" s="70">
        <f t="shared" si="131"/>
        <v>2.1613190249576046E-3</v>
      </c>
      <c r="H1020" s="316">
        <f t="shared" si="132"/>
        <v>4.9043138391020493</v>
      </c>
      <c r="I1020" s="7">
        <f t="shared" si="130"/>
        <v>1.8033161986378237</v>
      </c>
      <c r="J1020" s="316">
        <v>1.8855315483278097</v>
      </c>
      <c r="K1020" s="37">
        <f t="shared" si="129"/>
        <v>1.7155902024405978</v>
      </c>
      <c r="L1020" s="37">
        <f t="shared" si="133"/>
        <v>2.0913044567750889</v>
      </c>
      <c r="M1020" s="45">
        <f t="shared" si="127"/>
        <v>6.7554074629805255E-2</v>
      </c>
    </row>
    <row r="1021" spans="1:13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8">
        <f t="shared" si="128"/>
        <v>110.9</v>
      </c>
      <c r="G1021" s="70">
        <f t="shared" si="131"/>
        <v>1.5707095666303956E-3</v>
      </c>
      <c r="H1021" s="316">
        <f t="shared" si="132"/>
        <v>3.5641441989280298</v>
      </c>
      <c r="I1021" s="7">
        <f t="shared" si="130"/>
        <v>1.3105358219458367</v>
      </c>
      <c r="J1021" s="316">
        <v>1.3702847228673272</v>
      </c>
      <c r="K1021" s="37">
        <f t="shared" si="129"/>
        <v>1.246782132704209</v>
      </c>
      <c r="L1021" s="37">
        <f t="shared" si="133"/>
        <v>1.519827419766431</v>
      </c>
      <c r="M1021" s="45">
        <f t="shared" si="127"/>
        <v>6.7554074629805255E-2</v>
      </c>
    </row>
    <row r="1022" spans="1:13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8">
        <f t="shared" si="128"/>
        <v>59.5</v>
      </c>
      <c r="G1022" s="70">
        <f t="shared" si="131"/>
        <v>8.4271613358438712E-4</v>
      </c>
      <c r="H1022" s="316">
        <f t="shared" si="132"/>
        <v>1.9122324602003404</v>
      </c>
      <c r="I1022" s="7">
        <f t="shared" si="130"/>
        <v>0.70312787561566525</v>
      </c>
      <c r="J1022" s="316">
        <v>0.73518431930212769</v>
      </c>
      <c r="K1022" s="37">
        <f t="shared" si="129"/>
        <v>0.66892278535527894</v>
      </c>
      <c r="L1022" s="37">
        <f t="shared" si="133"/>
        <v>0.81541687534808505</v>
      </c>
      <c r="M1022" s="45">
        <f t="shared" si="127"/>
        <v>6.7554074629805241E-2</v>
      </c>
    </row>
    <row r="1023" spans="1:13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8">
        <f t="shared" si="128"/>
        <v>38.700000000000003</v>
      </c>
      <c r="G1023" s="70">
        <f t="shared" si="131"/>
        <v>5.4811956923892077E-4</v>
      </c>
      <c r="H1023" s="316">
        <f t="shared" si="132"/>
        <v>1.2437545581471123</v>
      </c>
      <c r="I1023" s="7">
        <f t="shared" si="130"/>
        <v>0.45732855103069325</v>
      </c>
      <c r="J1023" s="316">
        <v>0.47817870852087974</v>
      </c>
      <c r="K1023" s="37">
        <f t="shared" si="129"/>
        <v>0.43508087047477811</v>
      </c>
      <c r="L1023" s="37">
        <f t="shared" si="133"/>
        <v>0.53036358110875459</v>
      </c>
      <c r="M1023" s="45">
        <f t="shared" si="127"/>
        <v>6.7554074629805255E-2</v>
      </c>
    </row>
    <row r="1024" spans="1:13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8">
        <f t="shared" si="128"/>
        <v>72.3</v>
      </c>
      <c r="G1024" s="70">
        <f t="shared" si="131"/>
        <v>1.0240063270277511E-3</v>
      </c>
      <c r="H1024" s="316">
        <f t="shared" si="132"/>
        <v>2.323603476848481</v>
      </c>
      <c r="I1024" s="7">
        <f t="shared" si="130"/>
        <v>0.85438899843718652</v>
      </c>
      <c r="J1024" s="316">
        <v>0.89334161824443403</v>
      </c>
      <c r="K1024" s="37">
        <f t="shared" si="129"/>
        <v>0.81282550220481797</v>
      </c>
      <c r="L1024" s="37">
        <f t="shared" si="133"/>
        <v>0.99083428718767319</v>
      </c>
      <c r="M1024" s="45">
        <f t="shared" si="127"/>
        <v>6.7554074629805255E-2</v>
      </c>
    </row>
    <row r="1025" spans="1:13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8">
        <f t="shared" si="128"/>
        <v>99.09</v>
      </c>
      <c r="G1025" s="70">
        <f t="shared" si="131"/>
        <v>1.4034410365861669E-3</v>
      </c>
      <c r="H1025" s="316">
        <f t="shared" si="132"/>
        <v>3.1845901593487689</v>
      </c>
      <c r="I1025" s="7">
        <f t="shared" si="130"/>
        <v>1.1709738015925424</v>
      </c>
      <c r="J1025" s="316">
        <v>1.2243599025150895</v>
      </c>
      <c r="K1025" s="37">
        <f t="shared" si="129"/>
        <v>1.1140093916110017</v>
      </c>
      <c r="L1025" s="37">
        <f t="shared" si="133"/>
        <v>1.3579774483738112</v>
      </c>
      <c r="M1025" s="45">
        <f t="shared" si="127"/>
        <v>6.7554074629805241E-2</v>
      </c>
    </row>
    <row r="1026" spans="1:13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8">
        <f t="shared" si="128"/>
        <v>78.7</v>
      </c>
      <c r="G1026" s="70">
        <f t="shared" si="131"/>
        <v>1.1146514237494333E-3</v>
      </c>
      <c r="H1026" s="316">
        <f t="shared" si="132"/>
        <v>2.5292889851725517</v>
      </c>
      <c r="I1026" s="7">
        <f t="shared" si="130"/>
        <v>0.93001955984794737</v>
      </c>
      <c r="J1026" s="316">
        <v>0.97242026771558743</v>
      </c>
      <c r="K1026" s="37">
        <f t="shared" si="129"/>
        <v>0.8847768606295876</v>
      </c>
      <c r="L1026" s="37">
        <f t="shared" si="133"/>
        <v>1.0785429931074673</v>
      </c>
      <c r="M1026" s="45">
        <f t="shared" si="127"/>
        <v>6.7554074629805255E-2</v>
      </c>
    </row>
    <row r="1027" spans="1:13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8">
        <f t="shared" si="128"/>
        <v>557.9</v>
      </c>
      <c r="G1027" s="70">
        <f t="shared" si="131"/>
        <v>7.9017030407853711E-3</v>
      </c>
      <c r="H1027" s="316">
        <f t="shared" si="132"/>
        <v>17.929991420937309</v>
      </c>
      <c r="I1027" s="7">
        <f t="shared" si="130"/>
        <v>6.5928578454786493</v>
      </c>
      <c r="J1027" s="316">
        <v>6.8934341468681852</v>
      </c>
      <c r="K1027" s="37">
        <f t="shared" si="129"/>
        <v>6.2721348226842037</v>
      </c>
      <c r="L1027" s="37">
        <f t="shared" si="133"/>
        <v>7.6457323488520448</v>
      </c>
      <c r="M1027" s="45">
        <f t="shared" si="127"/>
        <v>6.7554074629805241E-2</v>
      </c>
    </row>
    <row r="1028" spans="1:13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8">
        <f t="shared" si="128"/>
        <v>122.5</v>
      </c>
      <c r="G1028" s="70">
        <f t="shared" si="131"/>
        <v>1.7350038044384442E-3</v>
      </c>
      <c r="H1028" s="316">
        <f t="shared" si="132"/>
        <v>3.9369491827654071</v>
      </c>
      <c r="I1028" s="7">
        <f t="shared" si="130"/>
        <v>1.4476162145028404</v>
      </c>
      <c r="J1028" s="316">
        <v>1.5136147750337923</v>
      </c>
      <c r="K1028" s="37">
        <f t="shared" si="129"/>
        <v>1.3771939698491038</v>
      </c>
      <c r="L1028" s="37">
        <f t="shared" si="133"/>
        <v>1.6787994492460576</v>
      </c>
      <c r="M1028" s="45">
        <f t="shared" si="127"/>
        <v>6.7554074629805255E-2</v>
      </c>
    </row>
    <row r="1029" spans="1:13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8">
        <f t="shared" si="128"/>
        <v>275.5</v>
      </c>
      <c r="G1029" s="70">
        <f t="shared" si="131"/>
        <v>3.901988147941154E-3</v>
      </c>
      <c r="H1029" s="316">
        <f t="shared" si="132"/>
        <v>8.8541183661377119</v>
      </c>
      <c r="I1029" s="7">
        <f t="shared" si="130"/>
        <v>3.2556593232288371</v>
      </c>
      <c r="J1029" s="316">
        <v>3.4040887389535492</v>
      </c>
      <c r="K1029" s="37">
        <f t="shared" si="129"/>
        <v>3.0972811321912497</v>
      </c>
      <c r="L1029" s="37">
        <f t="shared" si="133"/>
        <v>3.7755857001411335</v>
      </c>
      <c r="M1029" s="45">
        <f t="shared" si="127"/>
        <v>7.577828811283123E-2</v>
      </c>
    </row>
    <row r="1030" spans="1:13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8">
        <f t="shared" si="128"/>
        <v>189.1</v>
      </c>
      <c r="G1030" s="70">
        <f t="shared" si="131"/>
        <v>2.6782793421984471E-3</v>
      </c>
      <c r="H1030" s="316">
        <f t="shared" si="132"/>
        <v>6.0773640037627628</v>
      </c>
      <c r="I1030" s="7">
        <f t="shared" si="130"/>
        <v>2.2346467441835682</v>
      </c>
      <c r="J1030" s="316">
        <v>2.3365269710929804</v>
      </c>
      <c r="K1030" s="37">
        <f t="shared" si="129"/>
        <v>2.1259377934568615</v>
      </c>
      <c r="L1030" s="37">
        <f t="shared" si="133"/>
        <v>2.5915181702239143</v>
      </c>
      <c r="M1030" s="45">
        <f t="shared" si="127"/>
        <v>6.7554074629805255E-2</v>
      </c>
    </row>
    <row r="1031" spans="1:13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8">
        <f t="shared" si="128"/>
        <v>590.4</v>
      </c>
      <c r="G1031" s="70">
        <f t="shared" si="131"/>
        <v>8.3620101725751621E-3</v>
      </c>
      <c r="H1031" s="316">
        <f t="shared" si="132"/>
        <v>18.974488142895478</v>
      </c>
      <c r="I1031" s="7">
        <f t="shared" si="130"/>
        <v>6.9769192901426678</v>
      </c>
      <c r="J1031" s="316">
        <v>7.295005413713886</v>
      </c>
      <c r="K1031" s="37">
        <f>G1031*1793.77</f>
        <v>14.999522987260148</v>
      </c>
      <c r="L1031" s="37">
        <f t="shared" si="133"/>
        <v>18.284418521470123</v>
      </c>
      <c r="M1031" s="45">
        <f t="shared" ref="M1031:M1094" si="134">(K1031+J1031+I1031+H1031)/C1031</f>
        <v>8.1717370992568053E-2</v>
      </c>
    </row>
    <row r="1032" spans="1:13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8">
        <f t="shared" si="128"/>
        <v>761.4</v>
      </c>
      <c r="G1032" s="70">
        <f t="shared" si="131"/>
        <v>1.0783933850607602E-2</v>
      </c>
      <c r="H1032" s="316">
        <f t="shared" si="132"/>
        <v>24.470147818429229</v>
      </c>
      <c r="I1032" s="7">
        <f t="shared" si="130"/>
        <v>8.9976733528364274</v>
      </c>
      <c r="J1032" s="316">
        <v>9.4078880792712614</v>
      </c>
      <c r="K1032" s="37">
        <f t="shared" si="129"/>
        <v>8.5599631725967971</v>
      </c>
      <c r="L1032" s="37">
        <f t="shared" si="133"/>
        <v>10.434595107395497</v>
      </c>
      <c r="M1032" s="45">
        <f t="shared" si="134"/>
        <v>6.7554074629805241E-2</v>
      </c>
    </row>
    <row r="1033" spans="1:13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8">
        <f t="shared" si="128"/>
        <v>577.12</v>
      </c>
      <c r="G1033" s="70">
        <f t="shared" si="131"/>
        <v>8.1739215968776729E-3</v>
      </c>
      <c r="H1033" s="316">
        <f t="shared" si="132"/>
        <v>18.547690713123036</v>
      </c>
      <c r="I1033" s="7">
        <f t="shared" si="130"/>
        <v>6.8199858752153411</v>
      </c>
      <c r="J1033" s="316">
        <v>7.130917216061242</v>
      </c>
      <c r="K1033" s="37">
        <f t="shared" si="129"/>
        <v>6.4882137459535905</v>
      </c>
      <c r="L1033" s="37">
        <f t="shared" si="133"/>
        <v>7.9091325563174273</v>
      </c>
      <c r="M1033" s="45">
        <f t="shared" si="134"/>
        <v>7.2355902806787428E-2</v>
      </c>
    </row>
    <row r="1034" spans="1:13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8">
        <f t="shared" si="128"/>
        <v>136.80000000000001</v>
      </c>
      <c r="G1034" s="70">
        <f t="shared" si="131"/>
        <v>1.9375389424259525E-3</v>
      </c>
      <c r="H1034" s="316">
        <f t="shared" si="132"/>
        <v>4.3965277404270022</v>
      </c>
      <c r="I1034" s="7">
        <f t="shared" si="130"/>
        <v>1.6166032501550089</v>
      </c>
      <c r="J1034" s="316">
        <v>1.6903061324459006</v>
      </c>
      <c r="K1034" s="37">
        <f t="shared" si="129"/>
        <v>1.5379602863294484</v>
      </c>
      <c r="L1034" s="37">
        <f t="shared" si="133"/>
        <v>1.8747735890355977</v>
      </c>
      <c r="M1034" s="45">
        <f t="shared" si="134"/>
        <v>8.9896861958729202E-2</v>
      </c>
    </row>
    <row r="1035" spans="1:13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8">
        <f t="shared" si="128"/>
        <v>578</v>
      </c>
      <c r="G1035" s="70">
        <f t="shared" si="131"/>
        <v>8.1863852976769031E-3</v>
      </c>
      <c r="H1035" s="316">
        <f t="shared" si="132"/>
        <v>18.575972470517591</v>
      </c>
      <c r="I1035" s="7">
        <f t="shared" si="130"/>
        <v>6.8303850774093187</v>
      </c>
      <c r="J1035" s="316">
        <v>7.141790530363525</v>
      </c>
      <c r="K1035" s="37">
        <f t="shared" si="129"/>
        <v>6.4981070577369948</v>
      </c>
      <c r="L1035" s="37">
        <f t="shared" si="133"/>
        <v>7.9211925033813975</v>
      </c>
      <c r="M1035" s="45">
        <f t="shared" si="134"/>
        <v>6.7554074629805241E-2</v>
      </c>
    </row>
    <row r="1036" spans="1:13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8">
        <f t="shared" si="128"/>
        <v>150</v>
      </c>
      <c r="G1036" s="70">
        <f t="shared" si="131"/>
        <v>2.1244944544144212E-3</v>
      </c>
      <c r="H1036" s="316">
        <f t="shared" si="132"/>
        <v>4.8207541013453961</v>
      </c>
      <c r="I1036" s="7">
        <f t="shared" si="130"/>
        <v>1.7725912830647022</v>
      </c>
      <c r="J1036" s="316">
        <v>1.8534058469801538</v>
      </c>
      <c r="K1036" s="37">
        <f t="shared" si="129"/>
        <v>1.686359963080535</v>
      </c>
      <c r="L1036" s="37">
        <f t="shared" si="133"/>
        <v>2.0556727949951723</v>
      </c>
      <c r="M1036" s="45">
        <f t="shared" si="134"/>
        <v>6.7554074629805241E-2</v>
      </c>
    </row>
    <row r="1037" spans="1:13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8">
        <f t="shared" si="128"/>
        <v>106.6</v>
      </c>
      <c r="G1037" s="70">
        <f t="shared" si="131"/>
        <v>1.5098073922705155E-3</v>
      </c>
      <c r="H1037" s="316">
        <f t="shared" si="132"/>
        <v>3.4259492480227949</v>
      </c>
      <c r="I1037" s="7">
        <f t="shared" si="130"/>
        <v>1.2597215384979819</v>
      </c>
      <c r="J1037" s="316">
        <v>1.3171537552538959</v>
      </c>
      <c r="K1037" s="37">
        <f t="shared" si="129"/>
        <v>1.1984398137625671</v>
      </c>
      <c r="L1037" s="37">
        <f t="shared" si="133"/>
        <v>1.4608981329765693</v>
      </c>
      <c r="M1037" s="45">
        <f t="shared" si="134"/>
        <v>6.7554074629805269E-2</v>
      </c>
    </row>
    <row r="1038" spans="1:13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8">
        <f t="shared" si="128"/>
        <v>128.4</v>
      </c>
      <c r="G1038" s="70">
        <f t="shared" si="131"/>
        <v>1.8185672529787448E-3</v>
      </c>
      <c r="H1038" s="316">
        <f t="shared" si="132"/>
        <v>4.126565510751659</v>
      </c>
      <c r="I1038" s="7">
        <f t="shared" si="130"/>
        <v>1.517338138303385</v>
      </c>
      <c r="J1038" s="316">
        <v>1.5865154050150116</v>
      </c>
      <c r="K1038" s="37">
        <f t="shared" si="129"/>
        <v>1.4435241283969382</v>
      </c>
      <c r="L1038" s="37">
        <f t="shared" si="133"/>
        <v>1.7596559125158677</v>
      </c>
      <c r="M1038" s="45">
        <f t="shared" si="134"/>
        <v>6.7554074629805241E-2</v>
      </c>
    </row>
    <row r="1039" spans="1:13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8">
        <f t="shared" si="128"/>
        <v>57.7</v>
      </c>
      <c r="G1039" s="70">
        <f t="shared" si="131"/>
        <v>8.172222001314142E-4</v>
      </c>
      <c r="H1039" s="316">
        <f t="shared" si="132"/>
        <v>1.8543834109841959</v>
      </c>
      <c r="I1039" s="7">
        <f t="shared" si="130"/>
        <v>0.68185678021888885</v>
      </c>
      <c r="J1039" s="316">
        <v>0.71294344913836594</v>
      </c>
      <c r="K1039" s="37">
        <f t="shared" si="129"/>
        <v>0.64868646579831268</v>
      </c>
      <c r="L1039" s="37">
        <f t="shared" si="133"/>
        <v>0.79074880180814322</v>
      </c>
      <c r="M1039" s="45">
        <f t="shared" si="134"/>
        <v>6.7554074629805255E-2</v>
      </c>
    </row>
    <row r="1040" spans="1:13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8">
        <f t="shared" si="128"/>
        <v>256.5</v>
      </c>
      <c r="G1040" s="70">
        <f t="shared" si="131"/>
        <v>3.6328855170486606E-3</v>
      </c>
      <c r="H1040" s="316">
        <f t="shared" si="132"/>
        <v>8.2434895133006272</v>
      </c>
      <c r="I1040" s="7">
        <f t="shared" si="130"/>
        <v>3.0311310940406408</v>
      </c>
      <c r="J1040" s="316">
        <v>3.169323998336063</v>
      </c>
      <c r="K1040" s="37">
        <f t="shared" si="129"/>
        <v>2.8836755368677154</v>
      </c>
      <c r="L1040" s="37">
        <f t="shared" si="133"/>
        <v>3.5152004794417451</v>
      </c>
      <c r="M1040" s="45">
        <f t="shared" si="134"/>
        <v>7.8122723816704431E-2</v>
      </c>
    </row>
    <row r="1041" spans="1:13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8">
        <f t="shared" si="128"/>
        <v>118.5</v>
      </c>
      <c r="G1041" s="70">
        <f t="shared" si="131"/>
        <v>1.6783506189873929E-3</v>
      </c>
      <c r="H1041" s="316">
        <f t="shared" si="132"/>
        <v>3.808395740062863</v>
      </c>
      <c r="I1041" s="7">
        <f t="shared" si="130"/>
        <v>1.4003471136211147</v>
      </c>
      <c r="J1041" s="316">
        <v>1.4641906191143215</v>
      </c>
      <c r="K1041" s="37">
        <f t="shared" si="129"/>
        <v>1.3322243708336228</v>
      </c>
      <c r="L1041" s="37">
        <f t="shared" si="133"/>
        <v>1.6239815080461864</v>
      </c>
      <c r="M1041" s="45">
        <f t="shared" si="134"/>
        <v>8.8259733667386125E-2</v>
      </c>
    </row>
    <row r="1042" spans="1:13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8">
        <f t="shared" si="128"/>
        <v>142.1</v>
      </c>
      <c r="G1042" s="70">
        <f t="shared" si="131"/>
        <v>2.0126044131485951E-3</v>
      </c>
      <c r="H1042" s="316">
        <f t="shared" si="132"/>
        <v>4.5668610520078721</v>
      </c>
      <c r="I1042" s="7">
        <f t="shared" si="130"/>
        <v>1.6792348088232947</v>
      </c>
      <c r="J1042" s="316">
        <v>1.7557931390391992</v>
      </c>
      <c r="K1042" s="37">
        <f t="shared" si="129"/>
        <v>1.5975450050249602</v>
      </c>
      <c r="L1042" s="37">
        <f t="shared" si="133"/>
        <v>1.9474073611254266</v>
      </c>
      <c r="M1042" s="45">
        <f t="shared" si="134"/>
        <v>6.7554074629805255E-2</v>
      </c>
    </row>
    <row r="1043" spans="1:13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8">
        <f t="shared" si="128"/>
        <v>259.7</v>
      </c>
      <c r="G1043" s="70">
        <f t="shared" si="131"/>
        <v>3.6782080654095017E-3</v>
      </c>
      <c r="H1043" s="316">
        <f t="shared" si="132"/>
        <v>8.3463322674626621</v>
      </c>
      <c r="I1043" s="7">
        <f t="shared" si="130"/>
        <v>3.0689463747460213</v>
      </c>
      <c r="J1043" s="316">
        <v>3.2088633230716397</v>
      </c>
      <c r="K1043" s="37">
        <f t="shared" si="129"/>
        <v>2.9196512160801</v>
      </c>
      <c r="L1043" s="37">
        <f t="shared" si="133"/>
        <v>3.559054832401642</v>
      </c>
      <c r="M1043" s="45">
        <f t="shared" si="134"/>
        <v>6.7554074629805241E-2</v>
      </c>
    </row>
    <row r="1044" spans="1:13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8">
        <f t="shared" si="128"/>
        <v>309.39999999999998</v>
      </c>
      <c r="G1044" s="70">
        <f t="shared" si="131"/>
        <v>4.3821238946388126E-3</v>
      </c>
      <c r="H1044" s="316">
        <f t="shared" si="132"/>
        <v>9.9436087930417685</v>
      </c>
      <c r="I1044" s="7">
        <f t="shared" si="130"/>
        <v>3.6562649532014584</v>
      </c>
      <c r="J1044" s="316">
        <v>3.8229584603710633</v>
      </c>
      <c r="K1044" s="37">
        <f t="shared" si="129"/>
        <v>3.47839848384745</v>
      </c>
      <c r="L1044" s="37">
        <f t="shared" si="133"/>
        <v>4.2401677518100422</v>
      </c>
      <c r="M1044" s="45">
        <f t="shared" si="134"/>
        <v>0.10230656236153568</v>
      </c>
    </row>
    <row r="1045" spans="1:13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8">
        <f t="shared" si="128"/>
        <v>432.1</v>
      </c>
      <c r="G1045" s="70">
        <f t="shared" si="131"/>
        <v>6.1199603583498106E-3</v>
      </c>
      <c r="H1045" s="316">
        <f t="shared" si="132"/>
        <v>13.886985647942307</v>
      </c>
      <c r="I1045" s="7">
        <f t="shared" si="130"/>
        <v>5.1062446227483864</v>
      </c>
      <c r="J1045" s="316">
        <v>5.3390444432008302</v>
      </c>
      <c r="K1045" s="37">
        <f t="shared" si="129"/>
        <v>4.8578409336473287</v>
      </c>
      <c r="L1045" s="37">
        <f t="shared" si="133"/>
        <v>5.9217080981160946</v>
      </c>
      <c r="M1045" s="45">
        <f t="shared" si="134"/>
        <v>6.7554074629805255E-2</v>
      </c>
    </row>
    <row r="1046" spans="1:13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8">
        <f t="shared" si="128"/>
        <v>241.89999999999998</v>
      </c>
      <c r="G1046" s="70">
        <f t="shared" si="131"/>
        <v>3.4261013901523232E-3</v>
      </c>
      <c r="H1046" s="316">
        <f t="shared" si="132"/>
        <v>7.7742694474363416</v>
      </c>
      <c r="I1046" s="7">
        <f t="shared" si="130"/>
        <v>2.8585988758223428</v>
      </c>
      <c r="J1046" s="316">
        <v>2.9889258292299945</v>
      </c>
      <c r="K1046" s="37">
        <f t="shared" si="129"/>
        <v>2.7195365004612095</v>
      </c>
      <c r="L1046" s="37">
        <f t="shared" si="133"/>
        <v>3.3151149940622147</v>
      </c>
      <c r="M1046" s="45">
        <f t="shared" si="134"/>
        <v>9.9520893136113828E-2</v>
      </c>
    </row>
    <row r="1047" spans="1:13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8">
        <f t="shared" si="128"/>
        <v>278.3</v>
      </c>
      <c r="G1047" s="70">
        <f t="shared" si="131"/>
        <v>3.9416453777568897E-3</v>
      </c>
      <c r="H1047" s="316">
        <f t="shared" si="132"/>
        <v>8.9441057760294918</v>
      </c>
      <c r="I1047" s="7">
        <f t="shared" si="130"/>
        <v>3.2887476938460445</v>
      </c>
      <c r="J1047" s="316">
        <v>3.4386856480971786</v>
      </c>
      <c r="K1047" s="37">
        <f t="shared" si="129"/>
        <v>3.1287598515020862</v>
      </c>
      <c r="L1047" s="37">
        <f t="shared" si="133"/>
        <v>3.8139582589810432</v>
      </c>
      <c r="M1047" s="45">
        <f t="shared" si="134"/>
        <v>6.7554074629805255E-2</v>
      </c>
    </row>
    <row r="1048" spans="1:13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8">
        <f t="shared" si="128"/>
        <v>150</v>
      </c>
      <c r="G1048" s="70">
        <f t="shared" si="131"/>
        <v>2.1244944544144212E-3</v>
      </c>
      <c r="H1048" s="316">
        <f t="shared" si="132"/>
        <v>4.8207541013453961</v>
      </c>
      <c r="I1048" s="7">
        <f t="shared" si="130"/>
        <v>1.7725912830647022</v>
      </c>
      <c r="J1048" s="316">
        <v>1.8534058469801538</v>
      </c>
      <c r="K1048" s="37">
        <f t="shared" si="129"/>
        <v>1.686359963080535</v>
      </c>
      <c r="L1048" s="37">
        <f t="shared" si="133"/>
        <v>2.0556727949951723</v>
      </c>
      <c r="M1048" s="45">
        <f t="shared" si="134"/>
        <v>6.7554074629805241E-2</v>
      </c>
    </row>
    <row r="1049" spans="1:13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8">
        <f t="shared" si="128"/>
        <v>140.6</v>
      </c>
      <c r="G1049" s="70">
        <f t="shared" si="131"/>
        <v>1.9913594686044511E-3</v>
      </c>
      <c r="H1049" s="316">
        <f t="shared" si="132"/>
        <v>4.5186535109944179</v>
      </c>
      <c r="I1049" s="7">
        <f t="shared" si="130"/>
        <v>1.6615088959926476</v>
      </c>
      <c r="J1049" s="316">
        <v>1.7372590805693975</v>
      </c>
      <c r="K1049" s="37">
        <f>G1049*1793.77</f>
        <v>3.5720408739986063</v>
      </c>
      <c r="L1049" s="37">
        <f t="shared" si="133"/>
        <v>4.3543178254043013</v>
      </c>
      <c r="M1049" s="45">
        <f t="shared" si="134"/>
        <v>8.1717370992568067E-2</v>
      </c>
    </row>
    <row r="1050" spans="1:13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8">
        <f t="shared" si="128"/>
        <v>209.1</v>
      </c>
      <c r="G1050" s="70">
        <f t="shared" si="131"/>
        <v>2.9615452694537036E-3</v>
      </c>
      <c r="H1050" s="316">
        <f t="shared" si="132"/>
        <v>6.7201312172754823</v>
      </c>
      <c r="I1050" s="7">
        <f t="shared" si="130"/>
        <v>2.4709922485921951</v>
      </c>
      <c r="J1050" s="316">
        <v>2.5836477506903344</v>
      </c>
      <c r="K1050" s="37">
        <f t="shared" si="129"/>
        <v>2.3507857885342665</v>
      </c>
      <c r="L1050" s="37">
        <f t="shared" si="133"/>
        <v>2.8656078762232711</v>
      </c>
      <c r="M1050" s="45">
        <f t="shared" si="134"/>
        <v>6.7554074629805255E-2</v>
      </c>
    </row>
    <row r="1051" spans="1:13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8">
        <f t="shared" si="128"/>
        <v>463.5</v>
      </c>
      <c r="G1051" s="70">
        <f t="shared" si="131"/>
        <v>6.5646878641405625E-3</v>
      </c>
      <c r="H1051" s="316">
        <f t="shared" si="132"/>
        <v>14.896130173157275</v>
      </c>
      <c r="I1051" s="7">
        <f t="shared" si="130"/>
        <v>5.4773070646699304</v>
      </c>
      <c r="J1051" s="316">
        <v>5.7270240671686752</v>
      </c>
      <c r="K1051" s="37">
        <f>G1051*1293.77</f>
        <v>8.4931962179891354</v>
      </c>
      <c r="L1051" s="37">
        <f t="shared" si="133"/>
        <v>10.353206189728757</v>
      </c>
      <c r="M1051" s="45">
        <f t="shared" si="134"/>
        <v>7.4635722811186647E-2</v>
      </c>
    </row>
    <row r="1052" spans="1:13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8">
        <f t="shared" si="128"/>
        <v>126</v>
      </c>
      <c r="G1052" s="70">
        <f t="shared" si="131"/>
        <v>1.7845753417081141E-3</v>
      </c>
      <c r="H1052" s="316">
        <f t="shared" si="132"/>
        <v>4.0494334451301333</v>
      </c>
      <c r="I1052" s="7">
        <f t="shared" si="130"/>
        <v>1.4889766777743501</v>
      </c>
      <c r="J1052" s="316">
        <v>1.5568609114633294</v>
      </c>
      <c r="K1052" s="37">
        <f>G1052*993.77</f>
        <v>1.7734574373292726</v>
      </c>
      <c r="L1052" s="37">
        <f t="shared" si="133"/>
        <v>2.1618446161043834</v>
      </c>
      <c r="M1052" s="45">
        <f t="shared" si="134"/>
        <v>7.038673390235782E-2</v>
      </c>
    </row>
    <row r="1053" spans="1:13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8">
        <f t="shared" si="128"/>
        <v>725.1</v>
      </c>
      <c r="G1053" s="70">
        <f t="shared" si="131"/>
        <v>1.0269806192639314E-2</v>
      </c>
      <c r="H1053" s="316">
        <f t="shared" si="132"/>
        <v>23.303525325903646</v>
      </c>
      <c r="I1053" s="7">
        <f t="shared" si="130"/>
        <v>8.5687062623347714</v>
      </c>
      <c r="J1053" s="316">
        <v>8.9593638643020643</v>
      </c>
      <c r="K1053" s="37">
        <f t="shared" si="129"/>
        <v>8.1518640615313078</v>
      </c>
      <c r="L1053" s="37">
        <f t="shared" si="133"/>
        <v>9.9371222910066646</v>
      </c>
      <c r="M1053" s="45">
        <f t="shared" si="134"/>
        <v>6.7554074629805255E-2</v>
      </c>
    </row>
    <row r="1054" spans="1:13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8">
        <f t="shared" si="128"/>
        <v>466.88</v>
      </c>
      <c r="G1054" s="70">
        <f t="shared" si="131"/>
        <v>6.6125598058467006E-3</v>
      </c>
      <c r="H1054" s="316">
        <f t="shared" si="132"/>
        <v>15.004757832240925</v>
      </c>
      <c r="I1054" s="7">
        <f t="shared" si="130"/>
        <v>5.5172494549149889</v>
      </c>
      <c r="J1054" s="316">
        <v>5.7687874789206282</v>
      </c>
      <c r="K1054" s="37">
        <f t="shared" si="129"/>
        <v>5.2488515970869356</v>
      </c>
      <c r="L1054" s="37">
        <f t="shared" si="133"/>
        <v>6.3983500968489748</v>
      </c>
      <c r="M1054" s="45">
        <f t="shared" si="134"/>
        <v>6.7554074629805255E-2</v>
      </c>
    </row>
    <row r="1055" spans="1:13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8">
        <f t="shared" si="128"/>
        <v>138.1</v>
      </c>
      <c r="G1055" s="70">
        <f t="shared" si="131"/>
        <v>1.955951227697544E-3</v>
      </c>
      <c r="H1055" s="316">
        <f t="shared" si="132"/>
        <v>4.438307609305328</v>
      </c>
      <c r="I1055" s="7">
        <f t="shared" si="130"/>
        <v>1.6319657079415693</v>
      </c>
      <c r="J1055" s="316">
        <v>1.7063689831197284</v>
      </c>
      <c r="K1055" s="37">
        <f t="shared" si="129"/>
        <v>1.5525754060094794</v>
      </c>
      <c r="L1055" s="37">
        <f t="shared" si="133"/>
        <v>1.8925894199255555</v>
      </c>
      <c r="M1055" s="45">
        <f t="shared" si="134"/>
        <v>6.7554074629805255E-2</v>
      </c>
    </row>
    <row r="1056" spans="1:13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8">
        <f t="shared" si="128"/>
        <v>139.30000000000001</v>
      </c>
      <c r="G1056" s="70">
        <f t="shared" si="131"/>
        <v>1.9729471833328594E-3</v>
      </c>
      <c r="H1056" s="316">
        <f t="shared" si="132"/>
        <v>4.4768736421160913</v>
      </c>
      <c r="I1056" s="7">
        <f t="shared" si="130"/>
        <v>1.6461464382060869</v>
      </c>
      <c r="J1056" s="316">
        <v>1.7211962298955696</v>
      </c>
      <c r="K1056" s="37">
        <f t="shared" si="129"/>
        <v>1.5660662857141237</v>
      </c>
      <c r="L1056" s="37">
        <f t="shared" si="133"/>
        <v>1.9090348022855168</v>
      </c>
      <c r="M1056" s="45">
        <f t="shared" si="134"/>
        <v>6.7554074629805241E-2</v>
      </c>
    </row>
    <row r="1057" spans="1:13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8">
        <f t="shared" si="128"/>
        <v>807</v>
      </c>
      <c r="G1057" s="70">
        <f t="shared" si="131"/>
        <v>1.1429780164749588E-2</v>
      </c>
      <c r="H1057" s="316">
        <f t="shared" si="132"/>
        <v>25.935657065238232</v>
      </c>
      <c r="I1057" s="7">
        <f t="shared" si="130"/>
        <v>9.5365411028880978</v>
      </c>
      <c r="J1057" s="316">
        <v>9.9713234567532272</v>
      </c>
      <c r="K1057" s="37">
        <f>G1057*1793.77</f>
        <v>20.502396766122867</v>
      </c>
      <c r="L1057" s="37">
        <f t="shared" si="133"/>
        <v>24.992421657903776</v>
      </c>
      <c r="M1057" s="45">
        <f t="shared" si="134"/>
        <v>8.1717370992568053E-2</v>
      </c>
    </row>
    <row r="1058" spans="1:13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8">
        <f t="shared" si="128"/>
        <v>1555.2</v>
      </c>
      <c r="G1058" s="70">
        <f t="shared" si="131"/>
        <v>2.2026758503368722E-2</v>
      </c>
      <c r="H1058" s="316">
        <f t="shared" si="132"/>
        <v>49.981578522749068</v>
      </c>
      <c r="I1058" s="7">
        <f t="shared" si="130"/>
        <v>18.378226422814834</v>
      </c>
      <c r="J1058" s="316">
        <v>19.216111821490234</v>
      </c>
      <c r="K1058" s="37">
        <f t="shared" si="129"/>
        <v>17.484180097218989</v>
      </c>
      <c r="L1058" s="37">
        <f t="shared" si="133"/>
        <v>21.313215538509947</v>
      </c>
      <c r="M1058" s="45">
        <f t="shared" si="134"/>
        <v>6.7554074629805255E-2</v>
      </c>
    </row>
    <row r="1059" spans="1:13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8">
        <f t="shared" si="128"/>
        <v>1514.3</v>
      </c>
      <c r="G1059" s="70">
        <f t="shared" si="131"/>
        <v>2.1447479682131721E-2</v>
      </c>
      <c r="H1059" s="316">
        <f t="shared" si="132"/>
        <v>48.667119571115556</v>
      </c>
      <c r="I1059" s="7">
        <f t="shared" si="130"/>
        <v>17.894899866299191</v>
      </c>
      <c r="J1059" s="316">
        <v>18.710749827213647</v>
      </c>
      <c r="K1059" s="37">
        <f t="shared" si="129"/>
        <v>17.024365947285695</v>
      </c>
      <c r="L1059" s="37">
        <f t="shared" si="133"/>
        <v>20.752702089741263</v>
      </c>
      <c r="M1059" s="45">
        <f t="shared" si="134"/>
        <v>6.7554074629805241E-2</v>
      </c>
    </row>
    <row r="1060" spans="1:13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8">
        <f t="shared" si="128"/>
        <v>394</v>
      </c>
      <c r="G1060" s="70">
        <f t="shared" si="131"/>
        <v>5.5803387669285474E-3</v>
      </c>
      <c r="H1060" s="316">
        <f t="shared" si="132"/>
        <v>12.662514106200575</v>
      </c>
      <c r="I1060" s="7">
        <f t="shared" si="130"/>
        <v>4.6560064368499523</v>
      </c>
      <c r="J1060" s="316">
        <v>4.8682793580678707</v>
      </c>
      <c r="K1060" s="37">
        <f t="shared" si="129"/>
        <v>4.4295055030248731</v>
      </c>
      <c r="L1060" s="37">
        <f t="shared" si="133"/>
        <v>5.3995672081873209</v>
      </c>
      <c r="M1060" s="45">
        <f t="shared" si="134"/>
        <v>6.7554074629805255E-2</v>
      </c>
    </row>
    <row r="1061" spans="1:13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8">
        <f t="shared" si="128"/>
        <v>572.5</v>
      </c>
      <c r="G1061" s="70">
        <f t="shared" si="131"/>
        <v>8.1084871676817081E-3</v>
      </c>
      <c r="H1061" s="316">
        <f t="shared" si="132"/>
        <v>18.399211486801594</v>
      </c>
      <c r="I1061" s="7">
        <f t="shared" si="130"/>
        <v>6.7653900636969464</v>
      </c>
      <c r="J1061" s="316">
        <v>7.0738323159742542</v>
      </c>
      <c r="K1061" s="37">
        <f t="shared" si="129"/>
        <v>6.4362738590907096</v>
      </c>
      <c r="L1061" s="37">
        <f t="shared" si="133"/>
        <v>7.8458178342315756</v>
      </c>
      <c r="M1061" s="45">
        <f t="shared" si="134"/>
        <v>6.7554074629805255E-2</v>
      </c>
    </row>
    <row r="1062" spans="1:13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8">
        <f t="shared" si="128"/>
        <v>351.9</v>
      </c>
      <c r="G1062" s="70">
        <f t="shared" si="131"/>
        <v>4.9840639900562327E-3</v>
      </c>
      <c r="H1062" s="316">
        <f t="shared" si="132"/>
        <v>11.3094891217563</v>
      </c>
      <c r="I1062" s="7">
        <f t="shared" si="130"/>
        <v>4.1584991500697921</v>
      </c>
      <c r="J1062" s="316">
        <v>4.3480901170154409</v>
      </c>
      <c r="K1062" s="37">
        <f t="shared" si="129"/>
        <v>3.9562004733869358</v>
      </c>
      <c r="L1062" s="37">
        <f t="shared" si="133"/>
        <v>4.8226083770586747</v>
      </c>
      <c r="M1062" s="45">
        <f t="shared" si="134"/>
        <v>6.7554074629805255E-2</v>
      </c>
    </row>
    <row r="1063" spans="1:13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8">
        <f t="shared" ref="F1063:F1125" si="135">C1063+D1063+E1063</f>
        <v>449.4</v>
      </c>
      <c r="G1063" s="70">
        <f t="shared" si="131"/>
        <v>6.3649853854256064E-3</v>
      </c>
      <c r="H1063" s="316">
        <f t="shared" si="132"/>
        <v>14.442979287630807</v>
      </c>
      <c r="I1063" s="7">
        <f t="shared" si="130"/>
        <v>5.3106834840618484</v>
      </c>
      <c r="J1063" s="316">
        <v>5.5528039175525405</v>
      </c>
      <c r="K1063" s="37">
        <f t="shared" si="129"/>
        <v>5.0523344493892832</v>
      </c>
      <c r="L1063" s="37">
        <f t="shared" si="133"/>
        <v>6.158795693805537</v>
      </c>
      <c r="M1063" s="45">
        <f t="shared" si="134"/>
        <v>6.7554074629805241E-2</v>
      </c>
    </row>
    <row r="1064" spans="1:13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8">
        <f t="shared" si="135"/>
        <v>1394.3</v>
      </c>
      <c r="G1064" s="70">
        <f t="shared" si="131"/>
        <v>1.9747884118600185E-2</v>
      </c>
      <c r="H1064" s="316">
        <f t="shared" si="132"/>
        <v>44.810516290039239</v>
      </c>
      <c r="I1064" s="7">
        <f t="shared" si="130"/>
        <v>16.47682683984743</v>
      </c>
      <c r="J1064" s="316">
        <v>17.228025149629524</v>
      </c>
      <c r="K1064" s="37">
        <f t="shared" si="129"/>
        <v>15.675277976821269</v>
      </c>
      <c r="L1064" s="37">
        <f t="shared" si="133"/>
        <v>19.108163853745129</v>
      </c>
      <c r="M1064" s="45">
        <f t="shared" si="134"/>
        <v>6.7554074629805255E-2</v>
      </c>
    </row>
    <row r="1065" spans="1:13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8">
        <f t="shared" si="135"/>
        <v>398.7</v>
      </c>
      <c r="G1065" s="70">
        <f t="shared" si="131"/>
        <v>5.6469062598335324E-3</v>
      </c>
      <c r="H1065" s="316">
        <f t="shared" si="132"/>
        <v>12.813564401376064</v>
      </c>
      <c r="I1065" s="7">
        <f t="shared" ref="I1065:I1127" si="136">H1065*0.3677</f>
        <v>4.7115476303859793</v>
      </c>
      <c r="J1065" s="316">
        <v>4.9263527412732495</v>
      </c>
      <c r="K1065" s="37">
        <f t="shared" si="129"/>
        <v>4.4823447818680631</v>
      </c>
      <c r="L1065" s="37">
        <f t="shared" si="133"/>
        <v>5.4639782890971693</v>
      </c>
      <c r="M1065" s="45">
        <f t="shared" si="134"/>
        <v>6.7554074629805255E-2</v>
      </c>
    </row>
    <row r="1066" spans="1:13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8">
        <f t="shared" si="135"/>
        <v>359.4</v>
      </c>
      <c r="G1066" s="70">
        <f t="shared" si="131"/>
        <v>5.0902887127769539E-3</v>
      </c>
      <c r="H1066" s="316">
        <f t="shared" si="132"/>
        <v>11.550526826823569</v>
      </c>
      <c r="I1066" s="7">
        <f t="shared" si="136"/>
        <v>4.2471287142230265</v>
      </c>
      <c r="J1066" s="316">
        <v>4.4407604093644482</v>
      </c>
      <c r="K1066" s="37">
        <f>G1066*793.77</f>
        <v>4.0405184715409623</v>
      </c>
      <c r="L1066" s="37">
        <f t="shared" si="133"/>
        <v>4.9253920168084333</v>
      </c>
      <c r="M1066" s="45">
        <f t="shared" si="134"/>
        <v>6.7554074629805255E-2</v>
      </c>
    </row>
    <row r="1067" spans="1:13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8">
        <f t="shared" si="135"/>
        <v>694.9</v>
      </c>
      <c r="G1067" s="70">
        <f t="shared" si="131"/>
        <v>9.8420746424838761E-3</v>
      </c>
      <c r="H1067" s="316">
        <f t="shared" si="132"/>
        <v>22.332946833499438</v>
      </c>
      <c r="I1067" s="7">
        <f t="shared" si="136"/>
        <v>8.2118245506777434</v>
      </c>
      <c r="J1067" s="316">
        <v>8.5862114871100594</v>
      </c>
      <c r="K1067" s="37">
        <f>G1067*793.77</f>
        <v>7.8123435889644259</v>
      </c>
      <c r="L1067" s="37">
        <f t="shared" si="133"/>
        <v>9.5232468349476367</v>
      </c>
      <c r="M1067" s="45">
        <f t="shared" si="134"/>
        <v>6.7554074629805255E-2</v>
      </c>
    </row>
    <row r="1068" spans="1:13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8">
        <f t="shared" si="135"/>
        <v>629.6</v>
      </c>
      <c r="G1068" s="70">
        <f t="shared" si="131"/>
        <v>8.917211389995466E-3</v>
      </c>
      <c r="H1068" s="316">
        <f t="shared" si="132"/>
        <v>20.234311881380414</v>
      </c>
      <c r="I1068" s="7">
        <f t="shared" si="136"/>
        <v>7.440156478783579</v>
      </c>
      <c r="J1068" s="316">
        <v>7.7793621417246994</v>
      </c>
      <c r="K1068" s="37">
        <f>G1068*1793.77</f>
        <v>15.995426275032166</v>
      </c>
      <c r="L1068" s="37">
        <f t="shared" si="133"/>
        <v>19.49842462926421</v>
      </c>
      <c r="M1068" s="45">
        <f t="shared" si="134"/>
        <v>8.1717370992568081E-2</v>
      </c>
    </row>
    <row r="1069" spans="1:13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8">
        <f t="shared" si="135"/>
        <v>969.07</v>
      </c>
      <c r="G1069" s="70">
        <f t="shared" si="131"/>
        <v>1.3725225606262556E-2</v>
      </c>
      <c r="H1069" s="316">
        <f t="shared" si="132"/>
        <v>31.144321179938554</v>
      </c>
      <c r="I1069" s="7">
        <f t="shared" si="136"/>
        <v>11.451766897863408</v>
      </c>
      <c r="J1069" s="316">
        <v>11.973866694220385</v>
      </c>
      <c r="K1069" s="37">
        <f t="shared" ref="K1069:K1132" si="137">G1069*793.77</f>
        <v>10.894672329483029</v>
      </c>
      <c r="L1069" s="37">
        <f t="shared" si="133"/>
        <v>13.280605569639814</v>
      </c>
      <c r="M1069" s="45">
        <f t="shared" si="134"/>
        <v>6.7554074629805241E-2</v>
      </c>
    </row>
    <row r="1070" spans="1:13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8">
        <f t="shared" si="135"/>
        <v>315.7</v>
      </c>
      <c r="G1070" s="70">
        <f t="shared" si="131"/>
        <v>4.4713526617242184E-3</v>
      </c>
      <c r="H1070" s="316">
        <f t="shared" si="132"/>
        <v>10.146080465298276</v>
      </c>
      <c r="I1070" s="7">
        <f t="shared" si="136"/>
        <v>3.7307137870901763</v>
      </c>
      <c r="J1070" s="316">
        <v>3.90080150594423</v>
      </c>
      <c r="K1070" s="37">
        <f t="shared" si="137"/>
        <v>3.5492256022968327</v>
      </c>
      <c r="L1070" s="37">
        <f t="shared" si="133"/>
        <v>4.3265060091998393</v>
      </c>
      <c r="M1070" s="45">
        <f t="shared" si="134"/>
        <v>6.7554074629805255E-2</v>
      </c>
    </row>
    <row r="1071" spans="1:13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8">
        <f t="shared" si="135"/>
        <v>677.4</v>
      </c>
      <c r="G1071" s="70">
        <f t="shared" si="131"/>
        <v>9.5942169561355276E-3</v>
      </c>
      <c r="H1071" s="316">
        <f t="shared" si="132"/>
        <v>21.770525521675811</v>
      </c>
      <c r="I1071" s="7">
        <f t="shared" si="136"/>
        <v>8.0050222343201956</v>
      </c>
      <c r="J1071" s="316">
        <v>8.3699808049623741</v>
      </c>
      <c r="K1071" s="37">
        <f t="shared" si="137"/>
        <v>7.6156015932716974</v>
      </c>
      <c r="L1071" s="37">
        <f t="shared" si="133"/>
        <v>9.2834183421981997</v>
      </c>
      <c r="M1071" s="45">
        <f t="shared" si="134"/>
        <v>6.7554074629805255E-2</v>
      </c>
    </row>
    <row r="1072" spans="1:13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8">
        <f t="shared" si="135"/>
        <v>255.8</v>
      </c>
      <c r="G1072" s="70">
        <f t="shared" si="131"/>
        <v>3.622971209594727E-3</v>
      </c>
      <c r="H1072" s="316">
        <f t="shared" si="132"/>
        <v>8.2209926608276831</v>
      </c>
      <c r="I1072" s="7">
        <f t="shared" si="136"/>
        <v>3.0228590013863395</v>
      </c>
      <c r="J1072" s="316">
        <v>3.1606747710501559</v>
      </c>
      <c r="K1072" s="37">
        <f t="shared" si="137"/>
        <v>2.8758058570400062</v>
      </c>
      <c r="L1072" s="37">
        <f t="shared" si="133"/>
        <v>3.505607339731768</v>
      </c>
      <c r="M1072" s="45">
        <f t="shared" si="134"/>
        <v>6.7554074629805255E-2</v>
      </c>
    </row>
    <row r="1073" spans="1:13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8">
        <f t="shared" si="135"/>
        <v>352.5</v>
      </c>
      <c r="G1073" s="70">
        <f t="shared" ref="G1073:G1136" si="138">4/282420.13*F1073</f>
        <v>4.9925619678738908E-3</v>
      </c>
      <c r="H1073" s="316">
        <f t="shared" ref="H1073:H1136" si="139">G1073*2269.13</f>
        <v>11.328772138161682</v>
      </c>
      <c r="I1073" s="7">
        <f t="shared" si="136"/>
        <v>4.1655895152020506</v>
      </c>
      <c r="J1073" s="316">
        <v>4.3555037404033614</v>
      </c>
      <c r="K1073" s="37">
        <f>G1073*2793.77</f>
        <v>13.948069848987039</v>
      </c>
      <c r="L1073" s="37">
        <f t="shared" si="133"/>
        <v>17.002697145915203</v>
      </c>
      <c r="M1073" s="45">
        <f t="shared" si="134"/>
        <v>0.20141796926551928</v>
      </c>
    </row>
    <row r="1074" spans="1:13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8">
        <f t="shared" si="135"/>
        <v>642.9</v>
      </c>
      <c r="G1074" s="70">
        <f t="shared" si="138"/>
        <v>9.1055832316202095E-3</v>
      </c>
      <c r="H1074" s="316">
        <f t="shared" si="139"/>
        <v>20.661752078366366</v>
      </c>
      <c r="I1074" s="7">
        <f t="shared" si="136"/>
        <v>7.5973262392153131</v>
      </c>
      <c r="J1074" s="316">
        <v>7.9436974601569394</v>
      </c>
      <c r="K1074" s="37">
        <f t="shared" si="137"/>
        <v>7.2277388017631736</v>
      </c>
      <c r="L1074" s="37">
        <f t="shared" ref="L1074:L1137" si="140">K1074*1.219</f>
        <v>8.8106135993493098</v>
      </c>
      <c r="M1074" s="45">
        <f t="shared" si="134"/>
        <v>6.7554074629805241E-2</v>
      </c>
    </row>
    <row r="1075" spans="1:13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8">
        <f t="shared" si="135"/>
        <v>324.39999999999998</v>
      </c>
      <c r="G1075" s="70">
        <f t="shared" si="138"/>
        <v>4.594573340080255E-3</v>
      </c>
      <c r="H1075" s="316">
        <f t="shared" si="139"/>
        <v>10.42568420317631</v>
      </c>
      <c r="I1075" s="7">
        <f t="shared" si="136"/>
        <v>3.8335240815079294</v>
      </c>
      <c r="J1075" s="316">
        <v>4.0082990450690792</v>
      </c>
      <c r="K1075" s="37">
        <f t="shared" si="137"/>
        <v>3.6470344801555039</v>
      </c>
      <c r="L1075" s="37">
        <f t="shared" si="140"/>
        <v>4.4457350313095594</v>
      </c>
      <c r="M1075" s="45">
        <f t="shared" si="134"/>
        <v>6.7554074629805255E-2</v>
      </c>
    </row>
    <row r="1076" spans="1:13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8">
        <f t="shared" si="135"/>
        <v>505</v>
      </c>
      <c r="G1076" s="70">
        <f t="shared" si="138"/>
        <v>7.1524646631952191E-3</v>
      </c>
      <c r="H1076" s="316">
        <f t="shared" si="139"/>
        <v>16.229872141196168</v>
      </c>
      <c r="I1076" s="7">
        <f t="shared" si="136"/>
        <v>5.9677239863178313</v>
      </c>
      <c r="J1076" s="316">
        <v>6.2397996848331845</v>
      </c>
      <c r="K1076" s="37">
        <f t="shared" si="137"/>
        <v>5.6774118757044691</v>
      </c>
      <c r="L1076" s="37">
        <f t="shared" si="140"/>
        <v>6.9207650764837485</v>
      </c>
      <c r="M1076" s="45">
        <f t="shared" si="134"/>
        <v>6.7554074629805255E-2</v>
      </c>
    </row>
    <row r="1077" spans="1:13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8">
        <f t="shared" si="135"/>
        <v>548.70000000000005</v>
      </c>
      <c r="G1077" s="70">
        <f t="shared" si="138"/>
        <v>7.7714007142479545E-3</v>
      </c>
      <c r="H1077" s="316">
        <f t="shared" si="139"/>
        <v>17.634318502721463</v>
      </c>
      <c r="I1077" s="7">
        <f t="shared" si="136"/>
        <v>6.4841389134506828</v>
      </c>
      <c r="J1077" s="316">
        <v>6.7797585882534035</v>
      </c>
      <c r="K1077" s="37">
        <f t="shared" si="137"/>
        <v>6.1687047449485988</v>
      </c>
      <c r="L1077" s="37">
        <f t="shared" si="140"/>
        <v>7.5196510840923425</v>
      </c>
      <c r="M1077" s="45">
        <f t="shared" si="134"/>
        <v>6.7554074629805255E-2</v>
      </c>
    </row>
    <row r="1078" spans="1:13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8">
        <f t="shared" si="135"/>
        <v>222.33</v>
      </c>
      <c r="G1078" s="70">
        <f t="shared" si="138"/>
        <v>3.1489256803330559E-3</v>
      </c>
      <c r="H1078" s="316">
        <f t="shared" si="139"/>
        <v>7.1453217290141477</v>
      </c>
      <c r="I1078" s="7">
        <f t="shared" si="136"/>
        <v>2.6273347997585024</v>
      </c>
      <c r="J1078" s="316">
        <v>2.747118146393984</v>
      </c>
      <c r="K1078" s="37">
        <f t="shared" si="137"/>
        <v>2.4995227372779696</v>
      </c>
      <c r="L1078" s="37">
        <f t="shared" si="140"/>
        <v>3.0469182167418452</v>
      </c>
      <c r="M1078" s="45">
        <f t="shared" si="134"/>
        <v>6.7554074629805255E-2</v>
      </c>
    </row>
    <row r="1079" spans="1:13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8">
        <f t="shared" si="135"/>
        <v>461.2</v>
      </c>
      <c r="G1079" s="70">
        <f t="shared" si="138"/>
        <v>6.5321122825062073E-3</v>
      </c>
      <c r="H1079" s="316">
        <f t="shared" si="139"/>
        <v>14.82221194360331</v>
      </c>
      <c r="I1079" s="7">
        <f t="shared" si="136"/>
        <v>5.4501273316629373</v>
      </c>
      <c r="J1079" s="316">
        <v>5.6986051775149793</v>
      </c>
      <c r="K1079" s="37">
        <f>G1079*1793.77</f>
        <v>11.71710704899116</v>
      </c>
      <c r="L1079" s="37">
        <f t="shared" si="140"/>
        <v>14.283153492720224</v>
      </c>
      <c r="M1079" s="45">
        <f t="shared" si="134"/>
        <v>8.1717370992568053E-2</v>
      </c>
    </row>
    <row r="1080" spans="1:13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8">
        <f t="shared" si="135"/>
        <v>446.5</v>
      </c>
      <c r="G1080" s="70">
        <f t="shared" si="138"/>
        <v>6.3239118259735948E-3</v>
      </c>
      <c r="H1080" s="316">
        <f t="shared" si="139"/>
        <v>14.349778041671463</v>
      </c>
      <c r="I1080" s="7">
        <f t="shared" si="136"/>
        <v>5.2764133859225977</v>
      </c>
      <c r="J1080" s="316">
        <v>5.516971404510925</v>
      </c>
      <c r="K1080" s="37">
        <f t="shared" si="137"/>
        <v>5.0197314901030605</v>
      </c>
      <c r="L1080" s="37">
        <f t="shared" si="140"/>
        <v>6.1190526864356309</v>
      </c>
      <c r="M1080" s="45">
        <f t="shared" si="134"/>
        <v>6.7554074629805255E-2</v>
      </c>
    </row>
    <row r="1081" spans="1:13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8">
        <f t="shared" si="135"/>
        <v>291.5</v>
      </c>
      <c r="G1081" s="70">
        <f t="shared" si="138"/>
        <v>4.1286008897453586E-3</v>
      </c>
      <c r="H1081" s="316">
        <f t="shared" si="139"/>
        <v>9.3683321369478865</v>
      </c>
      <c r="I1081" s="7">
        <f t="shared" si="136"/>
        <v>3.4447357267557379</v>
      </c>
      <c r="J1081" s="316">
        <v>3.601785362631432</v>
      </c>
      <c r="K1081" s="37">
        <f>G1081*1793.77</f>
        <v>7.4057604179985317</v>
      </c>
      <c r="L1081" s="37">
        <f t="shared" si="140"/>
        <v>9.0276219495402099</v>
      </c>
      <c r="M1081" s="45">
        <f t="shared" si="134"/>
        <v>8.1717370992568067E-2</v>
      </c>
    </row>
    <row r="1082" spans="1:13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8">
        <f t="shared" si="135"/>
        <v>361.5</v>
      </c>
      <c r="G1082" s="70">
        <f t="shared" si="138"/>
        <v>5.1200316351387555E-3</v>
      </c>
      <c r="H1082" s="316">
        <f t="shared" si="139"/>
        <v>11.618017384242405</v>
      </c>
      <c r="I1082" s="7">
        <f t="shared" si="136"/>
        <v>4.2719449921859329</v>
      </c>
      <c r="J1082" s="316">
        <v>4.4667080912221699</v>
      </c>
      <c r="K1082" s="37">
        <f t="shared" si="137"/>
        <v>4.0641275110240898</v>
      </c>
      <c r="L1082" s="37">
        <f t="shared" si="140"/>
        <v>4.954171435938366</v>
      </c>
      <c r="M1082" s="45">
        <f t="shared" si="134"/>
        <v>6.7554074629805255E-2</v>
      </c>
    </row>
    <row r="1083" spans="1:13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8">
        <f t="shared" si="135"/>
        <v>485.90000000000003</v>
      </c>
      <c r="G1083" s="70">
        <f t="shared" si="138"/>
        <v>6.8819457026664498E-3</v>
      </c>
      <c r="H1083" s="316">
        <f t="shared" si="139"/>
        <v>15.616029452291523</v>
      </c>
      <c r="I1083" s="7">
        <f t="shared" si="136"/>
        <v>5.742014029607593</v>
      </c>
      <c r="J1083" s="316">
        <v>6.0037993403177126</v>
      </c>
      <c r="K1083" s="37">
        <f t="shared" si="137"/>
        <v>5.4626820404055474</v>
      </c>
      <c r="L1083" s="37">
        <f t="shared" si="140"/>
        <v>6.6590094072543629</v>
      </c>
      <c r="M1083" s="45">
        <f t="shared" si="134"/>
        <v>6.9162504978133948E-2</v>
      </c>
    </row>
    <row r="1084" spans="1:13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8">
        <f t="shared" si="135"/>
        <v>430.5</v>
      </c>
      <c r="G1084" s="70">
        <f t="shared" si="138"/>
        <v>6.0972990841693898E-3</v>
      </c>
      <c r="H1084" s="316">
        <f t="shared" si="139"/>
        <v>13.835564270861289</v>
      </c>
      <c r="I1084" s="7">
        <f t="shared" si="136"/>
        <v>5.087336982395696</v>
      </c>
      <c r="J1084" s="316">
        <v>5.3192747808330418</v>
      </c>
      <c r="K1084" s="37">
        <f t="shared" si="137"/>
        <v>4.8398530940411364</v>
      </c>
      <c r="L1084" s="37">
        <f t="shared" si="140"/>
        <v>5.8997809216361459</v>
      </c>
      <c r="M1084" s="45">
        <f t="shared" si="134"/>
        <v>7.2832529747385827E-2</v>
      </c>
    </row>
    <row r="1085" spans="1:13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8">
        <f t="shared" si="135"/>
        <v>96.4</v>
      </c>
      <c r="G1085" s="70">
        <f t="shared" si="138"/>
        <v>1.365341769370335E-3</v>
      </c>
      <c r="H1085" s="316">
        <f t="shared" si="139"/>
        <v>3.0981379691313085</v>
      </c>
      <c r="I1085" s="7">
        <f t="shared" si="136"/>
        <v>1.1391853312495821</v>
      </c>
      <c r="J1085" s="316">
        <v>1.1911221576592455</v>
      </c>
      <c r="K1085" s="37">
        <f t="shared" si="137"/>
        <v>1.0837673362730909</v>
      </c>
      <c r="L1085" s="37">
        <f t="shared" si="140"/>
        <v>1.3211123829168978</v>
      </c>
      <c r="M1085" s="45">
        <f t="shared" si="134"/>
        <v>6.7554074629805255E-2</v>
      </c>
    </row>
    <row r="1086" spans="1:13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8">
        <f t="shared" si="135"/>
        <v>76.2</v>
      </c>
      <c r="G1086" s="70">
        <f t="shared" si="138"/>
        <v>1.0792431828425262E-3</v>
      </c>
      <c r="H1086" s="316">
        <f t="shared" si="139"/>
        <v>2.4489430834834613</v>
      </c>
      <c r="I1086" s="7">
        <f t="shared" si="136"/>
        <v>0.90047637179686879</v>
      </c>
      <c r="J1086" s="316">
        <v>0.94153017026591812</v>
      </c>
      <c r="K1086" s="37">
        <f t="shared" si="137"/>
        <v>0.85667086124491199</v>
      </c>
      <c r="L1086" s="37">
        <f t="shared" si="140"/>
        <v>1.0442817798575479</v>
      </c>
      <c r="M1086" s="45">
        <f t="shared" si="134"/>
        <v>6.7554074629805255E-2</v>
      </c>
    </row>
    <row r="1087" spans="1:13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8">
        <f t="shared" si="135"/>
        <v>84.3</v>
      </c>
      <c r="G1087" s="70">
        <f t="shared" si="138"/>
        <v>1.1939658833809048E-3</v>
      </c>
      <c r="H1087" s="316">
        <f t="shared" si="139"/>
        <v>2.7092638049561129</v>
      </c>
      <c r="I1087" s="7">
        <f t="shared" si="136"/>
        <v>0.99619630108236279</v>
      </c>
      <c r="J1087" s="316">
        <v>1.0416140860028464</v>
      </c>
      <c r="K1087" s="37">
        <f t="shared" si="137"/>
        <v>0.94773429925126085</v>
      </c>
      <c r="L1087" s="37">
        <f t="shared" si="140"/>
        <v>1.155288110787287</v>
      </c>
      <c r="M1087" s="45">
        <f t="shared" si="134"/>
        <v>6.7554074629805269E-2</v>
      </c>
    </row>
    <row r="1088" spans="1:13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8">
        <f t="shared" si="135"/>
        <v>236.4</v>
      </c>
      <c r="G1088" s="70">
        <f t="shared" si="138"/>
        <v>3.3482032601571282E-3</v>
      </c>
      <c r="H1088" s="316">
        <f t="shared" si="139"/>
        <v>7.5975084637203443</v>
      </c>
      <c r="I1088" s="7">
        <f t="shared" si="136"/>
        <v>2.7936038621099706</v>
      </c>
      <c r="J1088" s="316">
        <v>2.9209676148407224</v>
      </c>
      <c r="K1088" s="37">
        <f t="shared" si="137"/>
        <v>2.6577033018149234</v>
      </c>
      <c r="L1088" s="37">
        <f t="shared" si="140"/>
        <v>3.2397403249123919</v>
      </c>
      <c r="M1088" s="45">
        <f t="shared" si="134"/>
        <v>6.7554074629805241E-2</v>
      </c>
    </row>
    <row r="1089" spans="1:13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8">
        <f t="shared" si="135"/>
        <v>84.3</v>
      </c>
      <c r="G1089" s="70">
        <f t="shared" si="138"/>
        <v>1.1939658833809048E-3</v>
      </c>
      <c r="H1089" s="316">
        <f t="shared" si="139"/>
        <v>2.7092638049561129</v>
      </c>
      <c r="I1089" s="7">
        <f t="shared" si="136"/>
        <v>0.99619630108236279</v>
      </c>
      <c r="J1089" s="316">
        <v>1.0416140860028464</v>
      </c>
      <c r="K1089" s="37">
        <f t="shared" si="137"/>
        <v>0.94773429925126085</v>
      </c>
      <c r="L1089" s="37">
        <f t="shared" si="140"/>
        <v>1.155288110787287</v>
      </c>
      <c r="M1089" s="45">
        <f t="shared" si="134"/>
        <v>6.7554074629805269E-2</v>
      </c>
    </row>
    <row r="1090" spans="1:13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8">
        <f t="shared" si="135"/>
        <v>84.3</v>
      </c>
      <c r="G1090" s="70">
        <f t="shared" si="138"/>
        <v>1.1939658833809048E-3</v>
      </c>
      <c r="H1090" s="316">
        <f t="shared" si="139"/>
        <v>2.7092638049561129</v>
      </c>
      <c r="I1090" s="7">
        <f t="shared" si="136"/>
        <v>0.99619630108236279</v>
      </c>
      <c r="J1090" s="316">
        <v>1.0416140860028464</v>
      </c>
      <c r="K1090" s="37">
        <f t="shared" si="137"/>
        <v>0.94773429925126085</v>
      </c>
      <c r="L1090" s="37">
        <f t="shared" si="140"/>
        <v>1.155288110787287</v>
      </c>
      <c r="M1090" s="45">
        <f t="shared" si="134"/>
        <v>6.7554074629805269E-2</v>
      </c>
    </row>
    <row r="1091" spans="1:13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8">
        <f t="shared" si="135"/>
        <v>176.6</v>
      </c>
      <c r="G1091" s="70">
        <f t="shared" si="138"/>
        <v>2.5012381376639122E-3</v>
      </c>
      <c r="H1091" s="316">
        <f t="shared" si="139"/>
        <v>5.675634495317313</v>
      </c>
      <c r="I1091" s="7">
        <f t="shared" si="136"/>
        <v>2.0869308039281762</v>
      </c>
      <c r="J1091" s="316">
        <v>2.1820764838446345</v>
      </c>
      <c r="K1091" s="37">
        <f t="shared" si="137"/>
        <v>1.9854077965334835</v>
      </c>
      <c r="L1091" s="37">
        <f t="shared" si="140"/>
        <v>2.4202121039743165</v>
      </c>
      <c r="M1091" s="45">
        <f t="shared" si="134"/>
        <v>6.7554074629805241E-2</v>
      </c>
    </row>
    <row r="1092" spans="1:13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8">
        <f t="shared" si="135"/>
        <v>111.5</v>
      </c>
      <c r="G1092" s="70">
        <f t="shared" si="138"/>
        <v>1.5792075444480533E-3</v>
      </c>
      <c r="H1092" s="316">
        <f t="shared" si="139"/>
        <v>3.5834272153334115</v>
      </c>
      <c r="I1092" s="7">
        <f t="shared" si="136"/>
        <v>1.3176261870780954</v>
      </c>
      <c r="J1092" s="316">
        <v>1.3776983462552477</v>
      </c>
      <c r="K1092" s="37">
        <f t="shared" si="137"/>
        <v>1.2535275725565311</v>
      </c>
      <c r="L1092" s="37">
        <f t="shared" si="140"/>
        <v>1.5280501109464115</v>
      </c>
      <c r="M1092" s="45">
        <f t="shared" si="134"/>
        <v>6.7554074629805255E-2</v>
      </c>
    </row>
    <row r="1093" spans="1:13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8">
        <f t="shared" si="135"/>
        <v>94.2</v>
      </c>
      <c r="G1093" s="70">
        <f t="shared" si="138"/>
        <v>1.3341825173722567E-3</v>
      </c>
      <c r="H1093" s="316">
        <f t="shared" si="139"/>
        <v>3.0274335756449089</v>
      </c>
      <c r="I1093" s="7">
        <f t="shared" si="136"/>
        <v>1.113187325764633</v>
      </c>
      <c r="J1093" s="316">
        <v>1.1639388719035368</v>
      </c>
      <c r="K1093" s="37">
        <f t="shared" si="137"/>
        <v>1.0590340568145762</v>
      </c>
      <c r="L1093" s="37">
        <f t="shared" si="140"/>
        <v>1.2909625152569684</v>
      </c>
      <c r="M1093" s="45">
        <f t="shared" si="134"/>
        <v>6.7554074629805255E-2</v>
      </c>
    </row>
    <row r="1094" spans="1:13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8">
        <f t="shared" si="135"/>
        <v>131.4</v>
      </c>
      <c r="G1094" s="70">
        <f t="shared" si="138"/>
        <v>1.8610571420670332E-3</v>
      </c>
      <c r="H1094" s="316">
        <f t="shared" si="139"/>
        <v>4.2229805927785673</v>
      </c>
      <c r="I1094" s="7">
        <f t="shared" si="136"/>
        <v>1.5527899639646794</v>
      </c>
      <c r="J1094" s="316">
        <v>1.6235835219546149</v>
      </c>
      <c r="K1094" s="37">
        <f>G1094*1793.77</f>
        <v>3.338308469725582</v>
      </c>
      <c r="L1094" s="37">
        <f t="shared" si="140"/>
        <v>4.0693980245954844</v>
      </c>
      <c r="M1094" s="45">
        <f t="shared" si="134"/>
        <v>8.1717370992568067E-2</v>
      </c>
    </row>
    <row r="1095" spans="1:13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8">
        <f t="shared" si="135"/>
        <v>87.9</v>
      </c>
      <c r="G1095" s="70">
        <f t="shared" si="138"/>
        <v>1.2449537502868511E-3</v>
      </c>
      <c r="H1095" s="316">
        <f t="shared" si="139"/>
        <v>2.8249619033884028</v>
      </c>
      <c r="I1095" s="7">
        <f t="shared" si="136"/>
        <v>1.0387384918759157</v>
      </c>
      <c r="J1095" s="316">
        <v>1.0860958263303702</v>
      </c>
      <c r="K1095" s="37">
        <f t="shared" si="137"/>
        <v>0.9882069383651938</v>
      </c>
      <c r="L1095" s="37">
        <f t="shared" si="140"/>
        <v>1.2046242578671713</v>
      </c>
      <c r="M1095" s="45">
        <f t="shared" ref="M1095:M1158" si="141">(K1095+J1095+I1095+H1095)/C1095</f>
        <v>6.7554074629805255E-2</v>
      </c>
    </row>
    <row r="1096" spans="1:13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8">
        <f t="shared" si="135"/>
        <v>69.599999999999994</v>
      </c>
      <c r="G1096" s="70">
        <f t="shared" si="138"/>
        <v>9.8576542684829151E-4</v>
      </c>
      <c r="H1096" s="316">
        <f t="shared" si="139"/>
        <v>2.236829903024264</v>
      </c>
      <c r="I1096" s="7">
        <f t="shared" si="136"/>
        <v>0.82248235534202196</v>
      </c>
      <c r="J1096" s="316">
        <v>0.8599803129987913</v>
      </c>
      <c r="K1096" s="37">
        <f>G1096*1793.77</f>
        <v>1.7682364497176599</v>
      </c>
      <c r="L1096" s="37">
        <f t="shared" si="140"/>
        <v>2.1554802322058277</v>
      </c>
      <c r="M1096" s="45">
        <f t="shared" si="141"/>
        <v>8.1717370992568067E-2</v>
      </c>
    </row>
    <row r="1097" spans="1:13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8">
        <f t="shared" si="135"/>
        <v>101.5</v>
      </c>
      <c r="G1097" s="70">
        <f t="shared" si="138"/>
        <v>1.4375745808204252E-3</v>
      </c>
      <c r="H1097" s="316">
        <f t="shared" si="139"/>
        <v>3.2620436085770517</v>
      </c>
      <c r="I1097" s="7">
        <f t="shared" si="136"/>
        <v>1.199453434873782</v>
      </c>
      <c r="J1097" s="316">
        <v>1.2541379564565707</v>
      </c>
      <c r="K1097" s="37">
        <f t="shared" si="137"/>
        <v>1.1411035750178289</v>
      </c>
      <c r="L1097" s="37">
        <f t="shared" si="140"/>
        <v>1.3910052579467336</v>
      </c>
      <c r="M1097" s="45">
        <f t="shared" si="141"/>
        <v>6.7554074629805255E-2</v>
      </c>
    </row>
    <row r="1098" spans="1:13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8">
        <f t="shared" si="135"/>
        <v>237.8</v>
      </c>
      <c r="G1098" s="70">
        <f t="shared" si="138"/>
        <v>3.3680318750649962E-3</v>
      </c>
      <c r="H1098" s="316">
        <f t="shared" si="139"/>
        <v>7.6425021686662351</v>
      </c>
      <c r="I1098" s="7">
        <f t="shared" si="136"/>
        <v>2.8101480474185747</v>
      </c>
      <c r="J1098" s="316">
        <v>2.9382660694125375</v>
      </c>
      <c r="K1098" s="37">
        <f t="shared" si="137"/>
        <v>2.6734426614703422</v>
      </c>
      <c r="L1098" s="37">
        <f t="shared" si="140"/>
        <v>3.2589266043323475</v>
      </c>
      <c r="M1098" s="45">
        <f t="shared" si="141"/>
        <v>6.7554074629805241E-2</v>
      </c>
    </row>
    <row r="1099" spans="1:13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8">
        <f t="shared" si="135"/>
        <v>96.6</v>
      </c>
      <c r="G1099" s="70">
        <f t="shared" si="138"/>
        <v>1.3681744286428872E-3</v>
      </c>
      <c r="H1099" s="316">
        <f t="shared" si="139"/>
        <v>3.1045656412664351</v>
      </c>
      <c r="I1099" s="7">
        <f t="shared" si="136"/>
        <v>1.1415487862936682</v>
      </c>
      <c r="J1099" s="316">
        <v>1.1935933654552189</v>
      </c>
      <c r="K1099" s="37">
        <f t="shared" si="137"/>
        <v>1.0860158162238647</v>
      </c>
      <c r="L1099" s="37">
        <f t="shared" si="140"/>
        <v>1.3238532799768912</v>
      </c>
      <c r="M1099" s="45">
        <f t="shared" si="141"/>
        <v>6.7554074629805241E-2</v>
      </c>
    </row>
    <row r="1100" spans="1:13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8">
        <f t="shared" si="135"/>
        <v>120.2</v>
      </c>
      <c r="G1100" s="70">
        <f t="shared" si="138"/>
        <v>1.7024282228040898E-3</v>
      </c>
      <c r="H1100" s="316">
        <f t="shared" si="139"/>
        <v>3.8630309532114446</v>
      </c>
      <c r="I1100" s="7">
        <f t="shared" si="136"/>
        <v>1.4204364814958483</v>
      </c>
      <c r="J1100" s="316">
        <v>1.4851958853800966</v>
      </c>
      <c r="K1100" s="37">
        <f t="shared" si="137"/>
        <v>1.3513364504152023</v>
      </c>
      <c r="L1100" s="37">
        <f t="shared" si="140"/>
        <v>1.6472791330561318</v>
      </c>
      <c r="M1100" s="45">
        <f t="shared" si="141"/>
        <v>6.7554074629805255E-2</v>
      </c>
    </row>
    <row r="1101" spans="1:13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8">
        <f t="shared" si="135"/>
        <v>340.3</v>
      </c>
      <c r="G1101" s="70">
        <f t="shared" si="138"/>
        <v>4.8197697522481845E-3</v>
      </c>
      <c r="H1101" s="316">
        <f t="shared" si="139"/>
        <v>10.936684137918924</v>
      </c>
      <c r="I1101" s="7">
        <f t="shared" si="136"/>
        <v>4.0214187575127882</v>
      </c>
      <c r="J1101" s="316">
        <v>4.2047600648489754</v>
      </c>
      <c r="K1101" s="37">
        <f t="shared" si="137"/>
        <v>3.8257886362420415</v>
      </c>
      <c r="L1101" s="37">
        <f t="shared" si="140"/>
        <v>4.6636363475790485</v>
      </c>
      <c r="M1101" s="45">
        <f t="shared" si="141"/>
        <v>6.7554074629805255E-2</v>
      </c>
    </row>
    <row r="1102" spans="1:13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8">
        <f t="shared" si="135"/>
        <v>264.89999999999998</v>
      </c>
      <c r="G1102" s="70">
        <f t="shared" si="138"/>
        <v>3.7518572064958681E-3</v>
      </c>
      <c r="H1102" s="316">
        <f t="shared" si="139"/>
        <v>8.5134517429759704</v>
      </c>
      <c r="I1102" s="7">
        <f t="shared" si="136"/>
        <v>3.1303962058922647</v>
      </c>
      <c r="J1102" s="316">
        <v>3.2731147257669515</v>
      </c>
      <c r="K1102" s="37">
        <f t="shared" si="137"/>
        <v>2.9781116948002251</v>
      </c>
      <c r="L1102" s="37">
        <f t="shared" si="140"/>
        <v>3.6303181559614748</v>
      </c>
      <c r="M1102" s="45">
        <f t="shared" si="141"/>
        <v>6.7554074629805269E-2</v>
      </c>
    </row>
    <row r="1103" spans="1:13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8">
        <f t="shared" si="135"/>
        <v>299.7</v>
      </c>
      <c r="G1103" s="70">
        <f t="shared" si="138"/>
        <v>4.2447399199200143E-3</v>
      </c>
      <c r="H1103" s="316">
        <f t="shared" si="139"/>
        <v>9.6318666944881031</v>
      </c>
      <c r="I1103" s="7">
        <f t="shared" si="136"/>
        <v>3.541637383563276</v>
      </c>
      <c r="J1103" s="316">
        <v>3.7031048822663477</v>
      </c>
      <c r="K1103" s="37">
        <f t="shared" si="137"/>
        <v>3.3693472062349095</v>
      </c>
      <c r="L1103" s="37">
        <f t="shared" si="140"/>
        <v>4.1072342444003551</v>
      </c>
      <c r="M1103" s="45">
        <f t="shared" si="141"/>
        <v>6.7554074629805269E-2</v>
      </c>
    </row>
    <row r="1104" spans="1:13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8">
        <f t="shared" si="135"/>
        <v>143.69999999999999</v>
      </c>
      <c r="G1104" s="70">
        <f t="shared" si="138"/>
        <v>2.0352656873290154E-3</v>
      </c>
      <c r="H1104" s="316">
        <f t="shared" si="139"/>
        <v>4.6182824290888886</v>
      </c>
      <c r="I1104" s="7">
        <f t="shared" si="136"/>
        <v>1.6981424491759844</v>
      </c>
      <c r="J1104" s="316">
        <v>1.7755628014069871</v>
      </c>
      <c r="K1104" s="37">
        <f t="shared" si="137"/>
        <v>1.6155328446311525</v>
      </c>
      <c r="L1104" s="37">
        <f t="shared" si="140"/>
        <v>1.969334537605375</v>
      </c>
      <c r="M1104" s="45">
        <f t="shared" si="141"/>
        <v>6.7554074629805241E-2</v>
      </c>
    </row>
    <row r="1105" spans="1:13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8">
        <f t="shared" si="135"/>
        <v>295.10000000000002</v>
      </c>
      <c r="G1105" s="70">
        <f t="shared" si="138"/>
        <v>4.1795887566513056E-3</v>
      </c>
      <c r="H1105" s="316">
        <f t="shared" si="139"/>
        <v>9.4840302353801782</v>
      </c>
      <c r="I1105" s="7">
        <f t="shared" si="136"/>
        <v>3.4872779175492918</v>
      </c>
      <c r="J1105" s="316">
        <v>3.6462671029589564</v>
      </c>
      <c r="K1105" s="37">
        <f t="shared" si="137"/>
        <v>3.3176321673671065</v>
      </c>
      <c r="L1105" s="37">
        <f t="shared" si="140"/>
        <v>4.0441936120205035</v>
      </c>
      <c r="M1105" s="45">
        <f t="shared" si="141"/>
        <v>6.7554074629805255E-2</v>
      </c>
    </row>
    <row r="1106" spans="1:13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8">
        <f t="shared" si="135"/>
        <v>148.69999999999999</v>
      </c>
      <c r="G1106" s="70">
        <f t="shared" si="138"/>
        <v>2.1060821691428295E-3</v>
      </c>
      <c r="H1106" s="316">
        <f t="shared" si="139"/>
        <v>4.7789742324670694</v>
      </c>
      <c r="I1106" s="7">
        <f t="shared" si="136"/>
        <v>1.7572288252781416</v>
      </c>
      <c r="J1106" s="316">
        <v>1.8373429963063259</v>
      </c>
      <c r="K1106" s="37">
        <f t="shared" si="137"/>
        <v>1.6717448434005038</v>
      </c>
      <c r="L1106" s="37">
        <f t="shared" si="140"/>
        <v>2.0378569641052144</v>
      </c>
      <c r="M1106" s="45">
        <f t="shared" si="141"/>
        <v>6.7554074629805255E-2</v>
      </c>
    </row>
    <row r="1107" spans="1:13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8">
        <f t="shared" si="135"/>
        <v>339.7</v>
      </c>
      <c r="G1107" s="70">
        <f t="shared" si="138"/>
        <v>4.8112717744305264E-3</v>
      </c>
      <c r="H1107" s="316">
        <f t="shared" si="139"/>
        <v>10.91740112151354</v>
      </c>
      <c r="I1107" s="7">
        <f t="shared" si="136"/>
        <v>4.0143283923805289</v>
      </c>
      <c r="J1107" s="316">
        <v>4.1973464414610548</v>
      </c>
      <c r="K1107" s="37">
        <f t="shared" si="137"/>
        <v>3.8190431963897189</v>
      </c>
      <c r="L1107" s="37">
        <f t="shared" si="140"/>
        <v>4.6554136563990678</v>
      </c>
      <c r="M1107" s="45">
        <f t="shared" si="141"/>
        <v>6.7554074629805241E-2</v>
      </c>
    </row>
    <row r="1108" spans="1:13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8">
        <f t="shared" si="135"/>
        <v>197.6</v>
      </c>
      <c r="G1108" s="70">
        <f t="shared" si="138"/>
        <v>2.7986673612819309E-3</v>
      </c>
      <c r="H1108" s="316">
        <f t="shared" si="139"/>
        <v>6.3505400695056684</v>
      </c>
      <c r="I1108" s="7">
        <f t="shared" si="136"/>
        <v>2.3350935835572346</v>
      </c>
      <c r="J1108" s="316">
        <v>2.4415533024218559</v>
      </c>
      <c r="K1108" s="37">
        <f t="shared" si="137"/>
        <v>2.2214981913647582</v>
      </c>
      <c r="L1108" s="37">
        <f t="shared" si="140"/>
        <v>2.7080062952736403</v>
      </c>
      <c r="M1108" s="45">
        <f t="shared" si="141"/>
        <v>6.7554074629805255E-2</v>
      </c>
    </row>
    <row r="1109" spans="1:13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8">
        <f t="shared" si="135"/>
        <v>251</v>
      </c>
      <c r="G1109" s="70">
        <f t="shared" si="138"/>
        <v>3.5549873870534651E-3</v>
      </c>
      <c r="H1109" s="316">
        <f t="shared" si="139"/>
        <v>8.0667285295846298</v>
      </c>
      <c r="I1109" s="7">
        <f t="shared" si="136"/>
        <v>2.9661360803282686</v>
      </c>
      <c r="J1109" s="316">
        <v>3.101365783946791</v>
      </c>
      <c r="K1109" s="37">
        <f>G1109*1793.77</f>
        <v>6.3768297252748942</v>
      </c>
      <c r="L1109" s="37">
        <f t="shared" si="140"/>
        <v>7.7733554351100969</v>
      </c>
      <c r="M1109" s="45">
        <f t="shared" si="141"/>
        <v>8.1717370992568067E-2</v>
      </c>
    </row>
    <row r="1110" spans="1:13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8">
        <f t="shared" si="135"/>
        <v>172.7</v>
      </c>
      <c r="G1110" s="70">
        <f t="shared" si="138"/>
        <v>2.4460012818491371E-3</v>
      </c>
      <c r="H1110" s="316">
        <f t="shared" si="139"/>
        <v>5.5502948886823331</v>
      </c>
      <c r="I1110" s="7">
        <f t="shared" si="136"/>
        <v>2.0408434305684939</v>
      </c>
      <c r="J1110" s="316">
        <v>2.1338879318231503</v>
      </c>
      <c r="K1110" s="37">
        <f t="shared" si="137"/>
        <v>1.9415624374933895</v>
      </c>
      <c r="L1110" s="37">
        <f t="shared" si="140"/>
        <v>2.366764611304442</v>
      </c>
      <c r="M1110" s="45">
        <f t="shared" si="141"/>
        <v>6.7554074629805255E-2</v>
      </c>
    </row>
    <row r="1111" spans="1:13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8">
        <f t="shared" si="135"/>
        <v>294.2</v>
      </c>
      <c r="G1111" s="70">
        <f t="shared" si="138"/>
        <v>4.1668417899248184E-3</v>
      </c>
      <c r="H1111" s="316">
        <f t="shared" si="139"/>
        <v>9.4551057107721039</v>
      </c>
      <c r="I1111" s="7">
        <f t="shared" si="136"/>
        <v>3.4766423698509028</v>
      </c>
      <c r="J1111" s="316">
        <v>3.6351466678770747</v>
      </c>
      <c r="K1111" s="37">
        <f>G1111*1793.77</f>
        <v>7.4743557975134411</v>
      </c>
      <c r="L1111" s="37">
        <f t="shared" si="140"/>
        <v>9.1112397171688855</v>
      </c>
      <c r="M1111" s="45">
        <f t="shared" si="141"/>
        <v>8.1717370992568053E-2</v>
      </c>
    </row>
    <row r="1112" spans="1:13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8">
        <f t="shared" si="135"/>
        <v>200.9</v>
      </c>
      <c r="G1112" s="70">
        <f t="shared" si="138"/>
        <v>2.8454062392790484E-3</v>
      </c>
      <c r="H1112" s="316">
        <f t="shared" si="139"/>
        <v>6.4565966597352675</v>
      </c>
      <c r="I1112" s="7">
        <f t="shared" si="136"/>
        <v>2.374090591784658</v>
      </c>
      <c r="J1112" s="316">
        <v>2.4823282310554196</v>
      </c>
      <c r="K1112" s="37">
        <f t="shared" si="137"/>
        <v>2.2585981105525303</v>
      </c>
      <c r="L1112" s="37">
        <f t="shared" si="140"/>
        <v>2.7532310967635345</v>
      </c>
      <c r="M1112" s="45">
        <f t="shared" si="141"/>
        <v>6.7554074629805255E-2</v>
      </c>
    </row>
    <row r="1113" spans="1:13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8">
        <f t="shared" si="135"/>
        <v>297.8</v>
      </c>
      <c r="G1113" s="70">
        <f t="shared" si="138"/>
        <v>4.2178296568307645E-3</v>
      </c>
      <c r="H1113" s="316">
        <f t="shared" si="139"/>
        <v>9.5708038092043939</v>
      </c>
      <c r="I1113" s="7">
        <f t="shared" si="136"/>
        <v>3.5191845606444558</v>
      </c>
      <c r="J1113" s="316">
        <v>3.6796284082045987</v>
      </c>
      <c r="K1113" s="37">
        <f t="shared" si="137"/>
        <v>3.3479866467025556</v>
      </c>
      <c r="L1113" s="37">
        <f t="shared" si="140"/>
        <v>4.0811957223304152</v>
      </c>
      <c r="M1113" s="45">
        <f t="shared" si="141"/>
        <v>6.7554074629805255E-2</v>
      </c>
    </row>
    <row r="1114" spans="1:13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8">
        <f t="shared" si="135"/>
        <v>124.6</v>
      </c>
      <c r="G1114" s="70">
        <f t="shared" si="138"/>
        <v>1.7647467268002461E-3</v>
      </c>
      <c r="H1114" s="316">
        <f t="shared" si="139"/>
        <v>4.0044397401842424</v>
      </c>
      <c r="I1114" s="7">
        <f t="shared" si="136"/>
        <v>1.4724324924657461</v>
      </c>
      <c r="J1114" s="316">
        <v>1.5395624568915143</v>
      </c>
      <c r="K1114" s="37">
        <f>G1114*1793.77</f>
        <v>3.1655497361324771</v>
      </c>
      <c r="L1114" s="37">
        <f t="shared" si="140"/>
        <v>3.8588051283454901</v>
      </c>
      <c r="M1114" s="45">
        <f t="shared" si="141"/>
        <v>8.1717370992568053E-2</v>
      </c>
    </row>
    <row r="1115" spans="1:13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8">
        <f t="shared" si="135"/>
        <v>132.19999999999999</v>
      </c>
      <c r="G1115" s="70">
        <f t="shared" si="138"/>
        <v>1.8723877791572434E-3</v>
      </c>
      <c r="H1115" s="316">
        <f t="shared" si="139"/>
        <v>4.2486912813190756</v>
      </c>
      <c r="I1115" s="7">
        <f t="shared" si="136"/>
        <v>1.5622437841410242</v>
      </c>
      <c r="J1115" s="316">
        <v>1.6334683531385088</v>
      </c>
      <c r="K1115" s="37">
        <f>G1115*793.77</f>
        <v>1.486245247461645</v>
      </c>
      <c r="L1115" s="37">
        <f t="shared" si="140"/>
        <v>1.8117329566557454</v>
      </c>
      <c r="M1115" s="45">
        <f t="shared" si="141"/>
        <v>6.7554074629805255E-2</v>
      </c>
    </row>
    <row r="1116" spans="1:13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8">
        <f t="shared" si="135"/>
        <v>225.4</v>
      </c>
      <c r="G1116" s="70">
        <f t="shared" si="138"/>
        <v>3.1924070001667373E-3</v>
      </c>
      <c r="H1116" s="316">
        <f t="shared" si="139"/>
        <v>7.2439864962883487</v>
      </c>
      <c r="I1116" s="7">
        <f t="shared" si="136"/>
        <v>2.6636138346852261</v>
      </c>
      <c r="J1116" s="316">
        <v>2.7850511860621778</v>
      </c>
      <c r="K1116" s="37">
        <f t="shared" si="137"/>
        <v>2.5340369045223508</v>
      </c>
      <c r="L1116" s="37">
        <f t="shared" si="140"/>
        <v>3.0889909866127456</v>
      </c>
      <c r="M1116" s="45">
        <f t="shared" si="141"/>
        <v>6.7554074629805241E-2</v>
      </c>
    </row>
    <row r="1117" spans="1:13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8">
        <f t="shared" si="135"/>
        <v>415.6</v>
      </c>
      <c r="G1117" s="70">
        <f t="shared" si="138"/>
        <v>5.8862659683642238E-3</v>
      </c>
      <c r="H1117" s="316">
        <f t="shared" si="139"/>
        <v>13.356702696794311</v>
      </c>
      <c r="I1117" s="7">
        <f t="shared" si="136"/>
        <v>4.9112595816112687</v>
      </c>
      <c r="J1117" s="316">
        <v>5.1351698000330135</v>
      </c>
      <c r="K1117" s="37">
        <f t="shared" si="137"/>
        <v>4.6723413377084695</v>
      </c>
      <c r="L1117" s="37">
        <f t="shared" si="140"/>
        <v>5.6955840906666246</v>
      </c>
      <c r="M1117" s="45">
        <f t="shared" si="141"/>
        <v>6.7554074629805241E-2</v>
      </c>
    </row>
    <row r="1118" spans="1:13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8">
        <f t="shared" si="135"/>
        <v>1495</v>
      </c>
      <c r="G1118" s="70">
        <f t="shared" si="138"/>
        <v>2.1174128062330402E-2</v>
      </c>
      <c r="H1118" s="316">
        <f t="shared" si="139"/>
        <v>48.046849210075784</v>
      </c>
      <c r="I1118" s="7">
        <f t="shared" si="136"/>
        <v>17.666826454544868</v>
      </c>
      <c r="J1118" s="316">
        <v>18.472278274902202</v>
      </c>
      <c r="K1118" s="37">
        <f t="shared" si="137"/>
        <v>16.807387632036004</v>
      </c>
      <c r="L1118" s="37">
        <f t="shared" si="140"/>
        <v>20.488205523451892</v>
      </c>
      <c r="M1118" s="45">
        <f t="shared" si="141"/>
        <v>6.7554074629805255E-2</v>
      </c>
    </row>
    <row r="1119" spans="1:13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8">
        <f t="shared" si="135"/>
        <v>288.60000000000002</v>
      </c>
      <c r="G1119" s="70">
        <f t="shared" si="138"/>
        <v>4.087527330293347E-3</v>
      </c>
      <c r="H1119" s="316">
        <f t="shared" si="139"/>
        <v>9.2751308909885424</v>
      </c>
      <c r="I1119" s="7">
        <f t="shared" si="136"/>
        <v>3.4104656286164872</v>
      </c>
      <c r="J1119" s="316">
        <v>3.5659528495898165</v>
      </c>
      <c r="K1119" s="37">
        <f t="shared" si="137"/>
        <v>3.2445565689669498</v>
      </c>
      <c r="L1119" s="37">
        <f t="shared" si="140"/>
        <v>3.955114457570712</v>
      </c>
      <c r="M1119" s="45">
        <f t="shared" si="141"/>
        <v>6.7554074629805255E-2</v>
      </c>
    </row>
    <row r="1120" spans="1:13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8">
        <f t="shared" si="135"/>
        <v>272.10000000000002</v>
      </c>
      <c r="G1120" s="70">
        <f t="shared" si="138"/>
        <v>3.8538329403077607E-3</v>
      </c>
      <c r="H1120" s="316">
        <f t="shared" si="139"/>
        <v>8.7448479398405485</v>
      </c>
      <c r="I1120" s="7">
        <f t="shared" si="136"/>
        <v>3.2154805874793699</v>
      </c>
      <c r="J1120" s="316">
        <v>3.3620782064219994</v>
      </c>
      <c r="K1120" s="37">
        <f t="shared" si="137"/>
        <v>3.059056973028091</v>
      </c>
      <c r="L1120" s="37">
        <f t="shared" si="140"/>
        <v>3.728990450121243</v>
      </c>
      <c r="M1120" s="45">
        <f t="shared" si="141"/>
        <v>6.7554074629805241E-2</v>
      </c>
    </row>
    <row r="1121" spans="1:13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8">
        <f t="shared" si="135"/>
        <v>313.7</v>
      </c>
      <c r="G1121" s="70">
        <f t="shared" si="138"/>
        <v>4.4430260689986931E-3</v>
      </c>
      <c r="H1121" s="316">
        <f t="shared" si="139"/>
        <v>10.081803743947004</v>
      </c>
      <c r="I1121" s="7">
        <f t="shared" si="136"/>
        <v>3.7070792366493137</v>
      </c>
      <c r="J1121" s="316">
        <v>3.8760894279844949</v>
      </c>
      <c r="K1121" s="37">
        <f t="shared" si="137"/>
        <v>3.5267408027890927</v>
      </c>
      <c r="L1121" s="37">
        <f t="shared" si="140"/>
        <v>4.2990970385999043</v>
      </c>
      <c r="M1121" s="45">
        <f t="shared" si="141"/>
        <v>7.3607895836644358E-2</v>
      </c>
    </row>
    <row r="1122" spans="1:13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8">
        <f t="shared" si="135"/>
        <v>860.41000000000008</v>
      </c>
      <c r="G1122" s="70">
        <f t="shared" si="138"/>
        <v>1.218624182348475E-2</v>
      </c>
      <c r="H1122" s="316">
        <f t="shared" si="139"/>
        <v>27.652166908923952</v>
      </c>
      <c r="I1122" s="7">
        <f t="shared" si="136"/>
        <v>10.167701772411338</v>
      </c>
      <c r="J1122" s="316">
        <v>10.631259498667962</v>
      </c>
      <c r="K1122" s="37">
        <f t="shared" si="137"/>
        <v>9.6730731722274896</v>
      </c>
      <c r="L1122" s="37">
        <f t="shared" si="140"/>
        <v>11.791476196945311</v>
      </c>
      <c r="M1122" s="45">
        <f t="shared" si="141"/>
        <v>7.9436117248952096E-2</v>
      </c>
    </row>
    <row r="1123" spans="1:13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8">
        <f t="shared" si="135"/>
        <v>294</v>
      </c>
      <c r="G1123" s="70">
        <f t="shared" si="138"/>
        <v>4.1640091306522657E-3</v>
      </c>
      <c r="H1123" s="316">
        <f t="shared" si="139"/>
        <v>9.4486780386369755</v>
      </c>
      <c r="I1123" s="7">
        <f t="shared" si="136"/>
        <v>3.4742789148068161</v>
      </c>
      <c r="J1123" s="316">
        <v>3.6326754600811015</v>
      </c>
      <c r="K1123" s="37">
        <f t="shared" si="137"/>
        <v>3.3052655276378489</v>
      </c>
      <c r="L1123" s="37">
        <f t="shared" si="140"/>
        <v>4.0291186781905379</v>
      </c>
      <c r="M1123" s="45">
        <f t="shared" si="141"/>
        <v>6.7554074629805241E-2</v>
      </c>
    </row>
    <row r="1124" spans="1:13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8">
        <f t="shared" si="135"/>
        <v>1119.54</v>
      </c>
      <c r="G1124" s="70">
        <f t="shared" si="138"/>
        <v>1.5856376809967477E-2</v>
      </c>
      <c r="H1124" s="316">
        <f t="shared" si="139"/>
        <v>35.980180310801501</v>
      </c>
      <c r="I1124" s="7">
        <f t="shared" si="136"/>
        <v>13.229912300281713</v>
      </c>
      <c r="J1124" s="316">
        <v>13.833079879521076</v>
      </c>
      <c r="K1124" s="37">
        <f t="shared" si="137"/>
        <v>12.586316220447884</v>
      </c>
      <c r="L1124" s="37">
        <f t="shared" si="140"/>
        <v>15.342719472725971</v>
      </c>
      <c r="M1124" s="45">
        <f t="shared" si="141"/>
        <v>6.7554074629805255E-2</v>
      </c>
    </row>
    <row r="1125" spans="1:13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8">
        <f t="shared" si="135"/>
        <v>542.66</v>
      </c>
      <c r="G1125" s="70">
        <f t="shared" si="138"/>
        <v>7.6858544042168655E-3</v>
      </c>
      <c r="H1125" s="316">
        <f t="shared" si="139"/>
        <v>17.440202804240617</v>
      </c>
      <c r="I1125" s="7">
        <f t="shared" si="136"/>
        <v>6.4127625711192753</v>
      </c>
      <c r="J1125" s="316">
        <v>6.705128112815002</v>
      </c>
      <c r="K1125" s="37">
        <f t="shared" si="137"/>
        <v>6.1008006504352208</v>
      </c>
      <c r="L1125" s="37">
        <f t="shared" si="140"/>
        <v>7.4368759928805348</v>
      </c>
      <c r="M1125" s="45">
        <f t="shared" si="141"/>
        <v>6.7554074629805241E-2</v>
      </c>
    </row>
    <row r="1126" spans="1:13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8">
        <f t="shared" ref="F1126:F1145" si="142">C1126+D1126+E1126</f>
        <v>507.72</v>
      </c>
      <c r="G1126" s="70">
        <f t="shared" si="138"/>
        <v>7.1909888293019341E-3</v>
      </c>
      <c r="H1126" s="316">
        <f t="shared" si="139"/>
        <v>16.317288482233899</v>
      </c>
      <c r="I1126" s="7">
        <f t="shared" si="136"/>
        <v>5.9998669749174054</v>
      </c>
      <c r="J1126" s="316">
        <v>6.2734081108584254</v>
      </c>
      <c r="K1126" s="37">
        <f t="shared" si="137"/>
        <v>5.7079912030349957</v>
      </c>
      <c r="L1126" s="37">
        <f t="shared" si="140"/>
        <v>6.9580412764996602</v>
      </c>
      <c r="M1126" s="45">
        <f t="shared" si="141"/>
        <v>6.7554074629805241E-2</v>
      </c>
    </row>
    <row r="1127" spans="1:13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8">
        <f t="shared" si="142"/>
        <v>517.03</v>
      </c>
      <c r="G1127" s="70">
        <f t="shared" si="138"/>
        <v>7.3228491184392551E-3</v>
      </c>
      <c r="H1127" s="316">
        <f t="shared" si="139"/>
        <v>16.616496620124067</v>
      </c>
      <c r="I1127" s="7">
        <f t="shared" si="136"/>
        <v>6.1098858072196203</v>
      </c>
      <c r="J1127" s="316">
        <v>6.3884428337609922</v>
      </c>
      <c r="K1127" s="37">
        <f t="shared" si="137"/>
        <v>5.8126579447435276</v>
      </c>
      <c r="L1127" s="37">
        <f t="shared" si="140"/>
        <v>7.0856300346423602</v>
      </c>
      <c r="M1127" s="45">
        <f t="shared" si="141"/>
        <v>6.7554074629805241E-2</v>
      </c>
    </row>
    <row r="1128" spans="1:13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8">
        <f t="shared" si="142"/>
        <v>497.81</v>
      </c>
      <c r="G1128" s="70">
        <f t="shared" si="138"/>
        <v>7.0506305623469542E-3</v>
      </c>
      <c r="H1128" s="316">
        <f t="shared" si="139"/>
        <v>15.998797327938345</v>
      </c>
      <c r="I1128" s="7">
        <f t="shared" ref="I1128:I1144" si="143">H1128*0.3677</f>
        <v>5.8827577774829294</v>
      </c>
      <c r="J1128" s="316">
        <v>6.1509597645679355</v>
      </c>
      <c r="K1128" s="37">
        <f t="shared" si="137"/>
        <v>5.5965790214741418</v>
      </c>
      <c r="L1128" s="37">
        <f t="shared" si="140"/>
        <v>6.8222298271769795</v>
      </c>
      <c r="M1128" s="45">
        <f t="shared" si="141"/>
        <v>6.7554074629805255E-2</v>
      </c>
    </row>
    <row r="1129" spans="1:13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8">
        <f t="shared" si="142"/>
        <v>301.3</v>
      </c>
      <c r="G1129" s="70">
        <f t="shared" si="138"/>
        <v>4.267401194100435E-3</v>
      </c>
      <c r="H1129" s="316">
        <f t="shared" si="139"/>
        <v>9.6832880715691214</v>
      </c>
      <c r="I1129" s="7">
        <f t="shared" si="143"/>
        <v>3.5605450239159664</v>
      </c>
      <c r="J1129" s="316">
        <v>3.722874544634136</v>
      </c>
      <c r="K1129" s="37">
        <f t="shared" si="137"/>
        <v>3.3873350458411022</v>
      </c>
      <c r="L1129" s="37">
        <f t="shared" si="140"/>
        <v>4.1291614208803038</v>
      </c>
      <c r="M1129" s="45">
        <f t="shared" si="141"/>
        <v>6.7554074629805255E-2</v>
      </c>
    </row>
    <row r="1130" spans="1:13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8">
        <f t="shared" si="142"/>
        <v>493.5</v>
      </c>
      <c r="G1130" s="70">
        <f t="shared" si="138"/>
        <v>6.9895867550234464E-3</v>
      </c>
      <c r="H1130" s="316">
        <f t="shared" si="139"/>
        <v>15.860280993426354</v>
      </c>
      <c r="I1130" s="7">
        <f t="shared" si="143"/>
        <v>5.8318253212828708</v>
      </c>
      <c r="J1130" s="316">
        <v>6.097705236564706</v>
      </c>
      <c r="K1130" s="37">
        <f t="shared" si="137"/>
        <v>5.5481242785349609</v>
      </c>
      <c r="L1130" s="37">
        <f t="shared" si="140"/>
        <v>6.7631634955341182</v>
      </c>
      <c r="M1130" s="45">
        <f t="shared" si="141"/>
        <v>6.7554074629805255E-2</v>
      </c>
    </row>
    <row r="1131" spans="1:13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8">
        <f t="shared" si="142"/>
        <v>264.8</v>
      </c>
      <c r="G1131" s="70">
        <f t="shared" si="138"/>
        <v>3.7504408768595922E-3</v>
      </c>
      <c r="H1131" s="316">
        <f t="shared" si="139"/>
        <v>8.5102379069084062</v>
      </c>
      <c r="I1131" s="7">
        <f t="shared" si="143"/>
        <v>3.1292144783702214</v>
      </c>
      <c r="J1131" s="316">
        <v>3.2718791218689649</v>
      </c>
      <c r="K1131" s="37">
        <f t="shared" si="137"/>
        <v>2.9769874548248385</v>
      </c>
      <c r="L1131" s="37">
        <f t="shared" si="140"/>
        <v>3.6289477074314784</v>
      </c>
      <c r="M1131" s="45">
        <f t="shared" si="141"/>
        <v>6.7554074629805255E-2</v>
      </c>
    </row>
    <row r="1132" spans="1:13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8">
        <f t="shared" si="142"/>
        <v>544.79999999999995</v>
      </c>
      <c r="G1132" s="70">
        <f t="shared" si="138"/>
        <v>7.7161638584331777E-3</v>
      </c>
      <c r="H1132" s="316">
        <f t="shared" si="139"/>
        <v>17.508978896086479</v>
      </c>
      <c r="I1132" s="7">
        <f t="shared" si="143"/>
        <v>6.4380515400909983</v>
      </c>
      <c r="J1132" s="316">
        <v>6.7315700362319184</v>
      </c>
      <c r="K1132" s="37">
        <f t="shared" si="137"/>
        <v>6.1248593859085032</v>
      </c>
      <c r="L1132" s="37">
        <f t="shared" si="140"/>
        <v>7.4662035914224658</v>
      </c>
      <c r="M1132" s="45">
        <f t="shared" si="141"/>
        <v>6.7554074629805255E-2</v>
      </c>
    </row>
    <row r="1133" spans="1:13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8">
        <f t="shared" si="142"/>
        <v>205</v>
      </c>
      <c r="G1133" s="70">
        <f t="shared" si="138"/>
        <v>2.9034757543663758E-3</v>
      </c>
      <c r="H1133" s="316">
        <f t="shared" si="139"/>
        <v>6.5883639385053749</v>
      </c>
      <c r="I1133" s="7">
        <f t="shared" si="143"/>
        <v>2.4225414201884266</v>
      </c>
      <c r="J1133" s="316">
        <v>2.532987990872877</v>
      </c>
      <c r="K1133" s="37">
        <f t="shared" ref="K1133:K1145" si="144">G1133*793.77</f>
        <v>2.3046919495433982</v>
      </c>
      <c r="L1133" s="37">
        <f t="shared" si="140"/>
        <v>2.8094194864934026</v>
      </c>
      <c r="M1133" s="45">
        <f t="shared" si="141"/>
        <v>6.7554074629805255E-2</v>
      </c>
    </row>
    <row r="1134" spans="1:13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8">
        <f t="shared" si="142"/>
        <v>577.32000000000005</v>
      </c>
      <c r="G1134" s="70">
        <f t="shared" si="138"/>
        <v>8.1767542561502256E-3</v>
      </c>
      <c r="H1134" s="316">
        <f t="shared" si="139"/>
        <v>18.554118385258164</v>
      </c>
      <c r="I1134" s="7">
        <f t="shared" si="143"/>
        <v>6.8223493302594278</v>
      </c>
      <c r="J1134" s="316">
        <v>7.1333884238572161</v>
      </c>
      <c r="K1134" s="37">
        <f t="shared" si="144"/>
        <v>6.4904622259043645</v>
      </c>
      <c r="L1134" s="37">
        <f t="shared" si="140"/>
        <v>7.9118734533774209</v>
      </c>
      <c r="M1134" s="45">
        <f t="shared" si="141"/>
        <v>6.7554074629805255E-2</v>
      </c>
    </row>
    <row r="1135" spans="1:13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8">
        <f t="shared" si="142"/>
        <v>353</v>
      </c>
      <c r="G1135" s="70">
        <f t="shared" si="138"/>
        <v>4.9996436160552717E-3</v>
      </c>
      <c r="H1135" s="316">
        <f t="shared" si="139"/>
        <v>11.344841318499499</v>
      </c>
      <c r="I1135" s="7">
        <f t="shared" si="143"/>
        <v>4.1714981528122665</v>
      </c>
      <c r="J1135" s="316">
        <v>4.3616817598932949</v>
      </c>
      <c r="K1135" s="37">
        <f t="shared" si="144"/>
        <v>3.968567113116193</v>
      </c>
      <c r="L1135" s="37">
        <f t="shared" si="140"/>
        <v>4.8376833108886395</v>
      </c>
      <c r="M1135" s="45">
        <f t="shared" si="141"/>
        <v>6.7554074629805255E-2</v>
      </c>
    </row>
    <row r="1136" spans="1:13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8">
        <f t="shared" si="142"/>
        <v>646.29999999999995</v>
      </c>
      <c r="G1136" s="70">
        <f t="shared" si="138"/>
        <v>9.1537384392536038E-3</v>
      </c>
      <c r="H1136" s="316">
        <f t="shared" si="139"/>
        <v>20.771022504663531</v>
      </c>
      <c r="I1136" s="7">
        <f t="shared" si="143"/>
        <v>7.6375049749647808</v>
      </c>
      <c r="J1136" s="316">
        <v>7.9857079926884893</v>
      </c>
      <c r="K1136" s="37">
        <f>G1136*1793.77</f>
        <v>16.419701400179935</v>
      </c>
      <c r="L1136" s="37">
        <f t="shared" si="140"/>
        <v>20.015616006819343</v>
      </c>
      <c r="M1136" s="45">
        <f t="shared" si="141"/>
        <v>8.4732772136205267E-2</v>
      </c>
    </row>
    <row r="1137" spans="1:13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8">
        <f t="shared" si="142"/>
        <v>281.89999999999998</v>
      </c>
      <c r="G1137" s="70">
        <f t="shared" ref="G1137:G1145" si="145">4/282420.13*F1137</f>
        <v>3.9926332446628358E-3</v>
      </c>
      <c r="H1137" s="316">
        <f t="shared" ref="H1137:H1145" si="146">G1137*2269.13</f>
        <v>9.0598038744617817</v>
      </c>
      <c r="I1137" s="7">
        <f t="shared" si="143"/>
        <v>3.3312898846395975</v>
      </c>
      <c r="J1137" s="316">
        <v>3.4831673884247025</v>
      </c>
      <c r="K1137" s="37">
        <f t="shared" si="144"/>
        <v>3.169232490616019</v>
      </c>
      <c r="L1137" s="37">
        <f t="shared" si="140"/>
        <v>3.8632944060609273</v>
      </c>
      <c r="M1137" s="45">
        <f t="shared" si="141"/>
        <v>6.7554074629805269E-2</v>
      </c>
    </row>
    <row r="1138" spans="1:13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8">
        <f t="shared" si="142"/>
        <v>305.10000000000002</v>
      </c>
      <c r="G1138" s="70">
        <f t="shared" si="145"/>
        <v>4.3212217202789338E-3</v>
      </c>
      <c r="H1138" s="316">
        <f t="shared" si="146"/>
        <v>9.805413842136538</v>
      </c>
      <c r="I1138" s="7">
        <f t="shared" si="143"/>
        <v>3.6054506697536053</v>
      </c>
      <c r="J1138" s="316">
        <v>3.7698274927576332</v>
      </c>
      <c r="K1138" s="37">
        <f t="shared" si="144"/>
        <v>3.430056164905809</v>
      </c>
      <c r="L1138" s="37">
        <f t="shared" ref="L1138:L1146" si="147">K1138*1.219</f>
        <v>4.181238465020181</v>
      </c>
      <c r="M1138" s="45">
        <f t="shared" si="141"/>
        <v>6.7554074629805255E-2</v>
      </c>
    </row>
    <row r="1139" spans="1:13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8">
        <f t="shared" si="142"/>
        <v>369.45</v>
      </c>
      <c r="G1139" s="70">
        <f t="shared" si="145"/>
        <v>5.2326298412227199E-3</v>
      </c>
      <c r="H1139" s="316">
        <f t="shared" si="146"/>
        <v>11.87351735161371</v>
      </c>
      <c r="I1139" s="7">
        <f t="shared" si="143"/>
        <v>4.3658923301883616</v>
      </c>
      <c r="J1139" s="316">
        <v>4.5649386011121189</v>
      </c>
      <c r="K1139" s="37">
        <f t="shared" si="144"/>
        <v>4.1535045890673583</v>
      </c>
      <c r="L1139" s="37">
        <f t="shared" si="147"/>
        <v>5.0631220940731101</v>
      </c>
      <c r="M1139" s="45">
        <f t="shared" si="141"/>
        <v>6.7554074629805255E-2</v>
      </c>
    </row>
    <row r="1140" spans="1:13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8">
        <f t="shared" si="142"/>
        <v>453.11</v>
      </c>
      <c r="G1140" s="70">
        <f t="shared" si="145"/>
        <v>6.4175312149314569E-3</v>
      </c>
      <c r="H1140" s="316">
        <f t="shared" si="146"/>
        <v>14.562212605737418</v>
      </c>
      <c r="I1140" s="7">
        <f t="shared" si="143"/>
        <v>5.3545255751296494</v>
      </c>
      <c r="J1140" s="316">
        <v>5.5986448221678504</v>
      </c>
      <c r="K1140" s="37">
        <f t="shared" si="144"/>
        <v>5.0940437524761428</v>
      </c>
      <c r="L1140" s="37">
        <f t="shared" si="147"/>
        <v>6.2096393342684184</v>
      </c>
      <c r="M1140" s="45">
        <f t="shared" si="141"/>
        <v>6.7554074629805255E-2</v>
      </c>
    </row>
    <row r="1141" spans="1:13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8">
        <f t="shared" si="142"/>
        <v>729</v>
      </c>
      <c r="G1141" s="70">
        <f t="shared" si="145"/>
        <v>1.0325043048454089E-2</v>
      </c>
      <c r="H1141" s="316">
        <f t="shared" si="146"/>
        <v>23.428864932538627</v>
      </c>
      <c r="I1141" s="7">
        <f t="shared" si="143"/>
        <v>8.6147936356944541</v>
      </c>
      <c r="J1141" s="316">
        <v>9.0075524163235468</v>
      </c>
      <c r="K1141" s="37">
        <f>G1141*2793.77</f>
        <v>28.84579551747958</v>
      </c>
      <c r="L1141" s="37">
        <f t="shared" si="147"/>
        <v>35.16302473580761</v>
      </c>
      <c r="M1141" s="45">
        <f t="shared" si="141"/>
        <v>0.19908005269734036</v>
      </c>
    </row>
    <row r="1142" spans="1:13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8">
        <f t="shared" si="142"/>
        <v>422.76</v>
      </c>
      <c r="G1142" s="70">
        <f t="shared" si="145"/>
        <v>5.9876751703216054E-3</v>
      </c>
      <c r="H1142" s="316">
        <f t="shared" si="146"/>
        <v>13.586813359231865</v>
      </c>
      <c r="I1142" s="7">
        <f t="shared" si="143"/>
        <v>4.9958712721895573</v>
      </c>
      <c r="J1142" s="316">
        <v>5.223639039128865</v>
      </c>
      <c r="K1142" s="37">
        <f t="shared" si="144"/>
        <v>4.7528369199461808</v>
      </c>
      <c r="L1142" s="37">
        <f t="shared" si="147"/>
        <v>5.7937082054143945</v>
      </c>
      <c r="M1142" s="45">
        <f t="shared" si="141"/>
        <v>6.7554074629805255E-2</v>
      </c>
    </row>
    <row r="1143" spans="1:13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8">
        <f t="shared" si="142"/>
        <v>152.30000000000001</v>
      </c>
      <c r="G1143" s="70">
        <f t="shared" si="145"/>
        <v>2.157070036048776E-3</v>
      </c>
      <c r="H1143" s="316">
        <f t="shared" si="146"/>
        <v>4.8946723308993594</v>
      </c>
      <c r="I1143" s="7">
        <f t="shared" si="143"/>
        <v>1.7997710160716947</v>
      </c>
      <c r="J1143" s="316">
        <v>1.8818247366338496</v>
      </c>
      <c r="K1143" s="37">
        <f t="shared" si="144"/>
        <v>1.712217482514437</v>
      </c>
      <c r="L1143" s="37">
        <f t="shared" si="147"/>
        <v>2.087193111185099</v>
      </c>
      <c r="M1143" s="45">
        <f t="shared" si="141"/>
        <v>6.7554074629805255E-2</v>
      </c>
    </row>
    <row r="1144" spans="1:13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8">
        <f t="shared" si="142"/>
        <v>252.6</v>
      </c>
      <c r="G1144" s="70">
        <f t="shared" si="145"/>
        <v>3.5776486612338855E-3</v>
      </c>
      <c r="H1144" s="316">
        <f t="shared" si="146"/>
        <v>8.1181499066656464</v>
      </c>
      <c r="I1144" s="7">
        <f t="shared" si="143"/>
        <v>2.9850437206809586</v>
      </c>
      <c r="J1144" s="316">
        <v>3.1211354463145788</v>
      </c>
      <c r="K1144" s="37">
        <f t="shared" si="144"/>
        <v>2.8398301778276211</v>
      </c>
      <c r="L1144" s="37">
        <f t="shared" si="147"/>
        <v>3.4617529867718706</v>
      </c>
      <c r="M1144" s="45">
        <f t="shared" si="141"/>
        <v>6.7554074629805241E-2</v>
      </c>
    </row>
    <row r="1145" spans="1:13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8">
        <f t="shared" si="142"/>
        <v>143.69999999999999</v>
      </c>
      <c r="G1145" s="70">
        <f t="shared" si="145"/>
        <v>2.0352656873290154E-3</v>
      </c>
      <c r="H1145" s="316">
        <f t="shared" si="146"/>
        <v>4.6182824290888886</v>
      </c>
      <c r="I1145" s="7">
        <f>H1145*0.3677</f>
        <v>1.6981424491759844</v>
      </c>
      <c r="J1145" s="316">
        <v>1.7755628014069871</v>
      </c>
      <c r="K1145" s="37">
        <f t="shared" si="144"/>
        <v>1.6155328446311525</v>
      </c>
      <c r="L1145" s="37">
        <f t="shared" si="147"/>
        <v>1.969334537605375</v>
      </c>
      <c r="M1145" s="45">
        <f t="shared" si="141"/>
        <v>6.7554074629805241E-2</v>
      </c>
    </row>
    <row r="1146" spans="1:13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>C1146+D1146+E1146</f>
        <v>282420.12999999971</v>
      </c>
      <c r="G1146" s="70">
        <f>4/282420.13*F1146</f>
        <v>3.999999999999996</v>
      </c>
      <c r="H1146" s="316">
        <f>G1146*2269.13</f>
        <v>9076.5199999999913</v>
      </c>
      <c r="I1146" s="64">
        <f>H1146*0.3677</f>
        <v>3337.4364039999969</v>
      </c>
      <c r="J1146" s="316">
        <f>SUM(J880:J1145)</f>
        <v>3488.3542064676726</v>
      </c>
      <c r="K1146" s="37">
        <f>G1146*193.77*1.08</f>
        <v>837.08639999999923</v>
      </c>
      <c r="L1146" s="37">
        <f t="shared" si="147"/>
        <v>1020.4083215999991</v>
      </c>
      <c r="M1146" s="45">
        <f t="shared" si="141"/>
        <v>5.9925964104299123E-2</v>
      </c>
    </row>
    <row r="1147" spans="1:13" s="59" customFormat="1" ht="15.75">
      <c r="A1147" s="60" t="s">
        <v>634</v>
      </c>
      <c r="B1147" s="58"/>
      <c r="C1147" s="8"/>
      <c r="D1147" s="8"/>
      <c r="E1147" s="8"/>
      <c r="F1147" s="40"/>
      <c r="G1147" s="227"/>
      <c r="H1147" s="316"/>
      <c r="I1147" s="37"/>
      <c r="J1147" s="316"/>
      <c r="K1147" s="37"/>
      <c r="L1147" s="37"/>
      <c r="M1147" s="45" t="e">
        <f t="shared" si="141"/>
        <v>#DIV/0!</v>
      </c>
    </row>
    <row r="1148" spans="1:13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>
        <f t="shared" ref="F1148:F1201" si="148">C1148+D1148+E1148</f>
        <v>219.1</v>
      </c>
      <c r="G1148" s="70">
        <f t="shared" ref="G1148:G1201" si="149">2/173207.23*F1148</f>
        <v>2.529917486700757E-3</v>
      </c>
      <c r="H1148" s="316">
        <f t="shared" ref="H1148:H1201" si="150">G1148*2269.13</f>
        <v>5.7407116665972886</v>
      </c>
      <c r="I1148" s="37">
        <f t="shared" ref="I1148:I1201" si="151">H1148*0.3677</f>
        <v>2.110859679807823</v>
      </c>
      <c r="J1148" s="316">
        <v>2.2243256789509607</v>
      </c>
      <c r="K1148" s="37">
        <f t="shared" ref="K1148:K1195" si="152">G1148*193.77</f>
        <v>0.4902221113980057</v>
      </c>
      <c r="L1148" s="37"/>
      <c r="M1148" s="45">
        <f t="shared" si="141"/>
        <v>4.8225098752871197E-2</v>
      </c>
    </row>
    <row r="1149" spans="1:13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>
        <f t="shared" si="148"/>
        <v>265.10000000000002</v>
      </c>
      <c r="G1149" s="70">
        <f t="shared" si="149"/>
        <v>3.0610731434247865E-3</v>
      </c>
      <c r="H1149" s="316">
        <f t="shared" si="150"/>
        <v>6.945972901939486</v>
      </c>
      <c r="I1149" s="37">
        <f t="shared" si="151"/>
        <v>2.5540342360431492</v>
      </c>
      <c r="J1149" s="316">
        <v>2.6913223984020984</v>
      </c>
      <c r="K1149" s="37">
        <f t="shared" si="152"/>
        <v>0.59314414300142093</v>
      </c>
      <c r="L1149" s="37"/>
      <c r="M1149" s="45">
        <f t="shared" si="141"/>
        <v>4.8225098752871197E-2</v>
      </c>
    </row>
    <row r="1150" spans="1:13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>
        <f t="shared" si="148"/>
        <v>352.7</v>
      </c>
      <c r="G1150" s="70">
        <f t="shared" si="149"/>
        <v>4.0725782636209813E-3</v>
      </c>
      <c r="H1150" s="316">
        <f t="shared" si="150"/>
        <v>9.2412095153302776</v>
      </c>
      <c r="I1150" s="37">
        <f t="shared" si="151"/>
        <v>3.3979927387869435</v>
      </c>
      <c r="J1150" s="316">
        <v>3.5806465858786112</v>
      </c>
      <c r="K1150" s="37">
        <f t="shared" si="152"/>
        <v>0.7891434901418376</v>
      </c>
      <c r="L1150" s="37"/>
      <c r="M1150" s="45">
        <f t="shared" si="141"/>
        <v>4.822509875287119E-2</v>
      </c>
    </row>
    <row r="1151" spans="1:13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>
        <f t="shared" si="148"/>
        <v>350.15</v>
      </c>
      <c r="G1151" s="70">
        <f t="shared" si="149"/>
        <v>4.0431337652591052E-3</v>
      </c>
      <c r="H1151" s="316">
        <f t="shared" si="150"/>
        <v>9.1743961207623936</v>
      </c>
      <c r="I1151" s="37">
        <f t="shared" si="151"/>
        <v>3.3734254536043324</v>
      </c>
      <c r="J1151" s="316">
        <v>3.5547587242568639</v>
      </c>
      <c r="K1151" s="37">
        <f t="shared" si="152"/>
        <v>0.7834380296942568</v>
      </c>
      <c r="L1151" s="37"/>
      <c r="M1151" s="45">
        <f t="shared" si="141"/>
        <v>4.822509875287119E-2</v>
      </c>
    </row>
    <row r="1152" spans="1:13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>
        <f t="shared" si="148"/>
        <v>348.6</v>
      </c>
      <c r="G1152" s="70">
        <f t="shared" si="149"/>
        <v>4.0252361289999268E-3</v>
      </c>
      <c r="H1152" s="316">
        <f t="shared" si="150"/>
        <v>9.1337840573976035</v>
      </c>
      <c r="I1152" s="37">
        <f t="shared" si="151"/>
        <v>3.3584923979050991</v>
      </c>
      <c r="J1152" s="316">
        <v>3.5390229652318803</v>
      </c>
      <c r="K1152" s="37">
        <f t="shared" si="152"/>
        <v>0.77997000471631583</v>
      </c>
      <c r="L1152" s="37"/>
      <c r="M1152" s="45">
        <f t="shared" si="141"/>
        <v>4.822509875287119E-2</v>
      </c>
    </row>
    <row r="1153" spans="1:13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>
        <f t="shared" si="148"/>
        <v>430.37</v>
      </c>
      <c r="G1153" s="70">
        <f t="shared" si="149"/>
        <v>4.9694230431374022E-3</v>
      </c>
      <c r="H1153" s="316">
        <f t="shared" si="150"/>
        <v>11.276266909874375</v>
      </c>
      <c r="I1153" s="37">
        <f t="shared" si="151"/>
        <v>4.1462833427608077</v>
      </c>
      <c r="J1153" s="316">
        <v>4.3691603945692608</v>
      </c>
      <c r="K1153" s="37">
        <f t="shared" si="152"/>
        <v>0.96292510306873447</v>
      </c>
      <c r="L1153" s="37"/>
      <c r="M1153" s="45">
        <f t="shared" si="141"/>
        <v>4.8225098752871197E-2</v>
      </c>
    </row>
    <row r="1154" spans="1:13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>
        <f t="shared" si="148"/>
        <v>79.3</v>
      </c>
      <c r="G1154" s="70">
        <f t="shared" si="149"/>
        <v>9.1566616474381569E-4</v>
      </c>
      <c r="H1154" s="316">
        <f t="shared" si="150"/>
        <v>2.0777655644051345</v>
      </c>
      <c r="I1154" s="37">
        <f t="shared" si="151"/>
        <v>0.76399439803176805</v>
      </c>
      <c r="J1154" s="316">
        <v>0.80506173592337371</v>
      </c>
      <c r="K1154" s="37">
        <f t="shared" si="152"/>
        <v>0.17742863274240916</v>
      </c>
      <c r="L1154" s="37"/>
      <c r="M1154" s="45">
        <f t="shared" si="141"/>
        <v>4.822509875287119E-2</v>
      </c>
    </row>
    <row r="1155" spans="1:13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>
        <f t="shared" si="148"/>
        <v>70.099999999999994</v>
      </c>
      <c r="G1155" s="70">
        <f t="shared" si="149"/>
        <v>8.0943503339900985E-4</v>
      </c>
      <c r="H1155" s="316">
        <f t="shared" si="150"/>
        <v>1.8367133173366954</v>
      </c>
      <c r="I1155" s="37">
        <f t="shared" si="151"/>
        <v>0.67535948678470292</v>
      </c>
      <c r="J1155" s="316">
        <v>0.7116623920331463</v>
      </c>
      <c r="K1155" s="37">
        <f t="shared" si="152"/>
        <v>0.15684422642172616</v>
      </c>
      <c r="L1155" s="37"/>
      <c r="M1155" s="45">
        <f t="shared" si="141"/>
        <v>4.8225098752871197E-2</v>
      </c>
    </row>
    <row r="1156" spans="1:13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>
        <f t="shared" si="148"/>
        <v>326.92</v>
      </c>
      <c r="G1156" s="70">
        <f t="shared" si="149"/>
        <v>3.7749001586134712E-3</v>
      </c>
      <c r="H1156" s="316">
        <f t="shared" si="150"/>
        <v>8.5657391969145866</v>
      </c>
      <c r="I1156" s="37">
        <f t="shared" si="151"/>
        <v>3.1496223027054939</v>
      </c>
      <c r="J1156" s="316">
        <v>3.31892538093404</v>
      </c>
      <c r="K1156" s="37">
        <f t="shared" si="152"/>
        <v>0.73146240373453231</v>
      </c>
      <c r="L1156" s="37"/>
      <c r="M1156" s="45">
        <f t="shared" si="141"/>
        <v>4.8225098752871197E-2</v>
      </c>
    </row>
    <row r="1157" spans="1:13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>
        <f t="shared" si="148"/>
        <v>322.55</v>
      </c>
      <c r="G1157" s="70">
        <f t="shared" si="149"/>
        <v>3.7244403712246884E-3</v>
      </c>
      <c r="H1157" s="316">
        <f t="shared" si="150"/>
        <v>8.4512393795570784</v>
      </c>
      <c r="I1157" s="37">
        <f t="shared" si="151"/>
        <v>3.107520719863138</v>
      </c>
      <c r="J1157" s="316">
        <v>3.2745606925861819</v>
      </c>
      <c r="K1157" s="37">
        <f t="shared" si="152"/>
        <v>0.72168481073220792</v>
      </c>
      <c r="L1157" s="37"/>
      <c r="M1157" s="45">
        <f t="shared" si="141"/>
        <v>4.8225098752871204E-2</v>
      </c>
    </row>
    <row r="1158" spans="1:13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>
        <f t="shared" si="148"/>
        <v>415.5</v>
      </c>
      <c r="G1158" s="70">
        <f t="shared" si="149"/>
        <v>4.7977212036703085E-3</v>
      </c>
      <c r="H1158" s="316">
        <f t="shared" si="150"/>
        <v>10.886653114884407</v>
      </c>
      <c r="I1158" s="37">
        <f t="shared" si="151"/>
        <v>4.0030223503429969</v>
      </c>
      <c r="J1158" s="316">
        <v>4.2181986289553821</v>
      </c>
      <c r="K1158" s="37">
        <f t="shared" si="152"/>
        <v>0.92965443763519573</v>
      </c>
      <c r="L1158" s="37"/>
      <c r="M1158" s="45">
        <f t="shared" si="141"/>
        <v>4.8225098752871197E-2</v>
      </c>
    </row>
    <row r="1159" spans="1:13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>
        <f t="shared" si="148"/>
        <v>372.82</v>
      </c>
      <c r="G1159" s="70">
        <f t="shared" si="149"/>
        <v>4.3049011291272305E-3</v>
      </c>
      <c r="H1159" s="316">
        <f t="shared" si="150"/>
        <v>9.7683802991364725</v>
      </c>
      <c r="I1159" s="37">
        <f t="shared" si="151"/>
        <v>3.5918334359924811</v>
      </c>
      <c r="J1159" s="316">
        <v>3.7849068901255003</v>
      </c>
      <c r="K1159" s="37">
        <f t="shared" si="152"/>
        <v>0.83416069179098351</v>
      </c>
      <c r="L1159" s="37"/>
      <c r="M1159" s="45">
        <f t="shared" ref="M1159:M1222" si="153">(K1159+J1159+I1159+H1159)/C1159</f>
        <v>4.822509875287119E-2</v>
      </c>
    </row>
    <row r="1160" spans="1:13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>
        <f t="shared" si="148"/>
        <v>282.76</v>
      </c>
      <c r="G1160" s="70">
        <f t="shared" si="149"/>
        <v>3.2649907281584027E-3</v>
      </c>
      <c r="H1160" s="316">
        <f t="shared" si="150"/>
        <v>7.4086884109860769</v>
      </c>
      <c r="I1160" s="37">
        <f t="shared" si="151"/>
        <v>2.7241747287195808</v>
      </c>
      <c r="J1160" s="316">
        <v>0</v>
      </c>
      <c r="K1160" s="37">
        <f t="shared" si="152"/>
        <v>0.63265725339525369</v>
      </c>
      <c r="L1160" s="37"/>
      <c r="M1160" s="45">
        <v>0</v>
      </c>
    </row>
    <row r="1161" spans="1:13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>
        <f t="shared" si="148"/>
        <v>180.5</v>
      </c>
      <c r="G1161" s="70">
        <f t="shared" si="149"/>
        <v>2.0842086095366804E-3</v>
      </c>
      <c r="H1161" s="316">
        <f t="shared" si="150"/>
        <v>4.7293402821579678</v>
      </c>
      <c r="I1161" s="37">
        <f t="shared" si="151"/>
        <v>1.7389784217494848</v>
      </c>
      <c r="J1161" s="316">
        <v>1.8324545187158761</v>
      </c>
      <c r="K1161" s="37">
        <f t="shared" si="152"/>
        <v>0.40385710226992261</v>
      </c>
      <c r="L1161" s="37"/>
      <c r="M1161" s="45">
        <f t="shared" si="153"/>
        <v>4.8225098752871204E-2</v>
      </c>
    </row>
    <row r="1162" spans="1:13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40">
        <f t="shared" si="148"/>
        <v>5520.77</v>
      </c>
      <c r="G1162" s="70">
        <f t="shared" si="149"/>
        <v>6.3747569890702599E-2</v>
      </c>
      <c r="H1162" s="316">
        <f t="shared" si="150"/>
        <v>144.65152326608998</v>
      </c>
      <c r="I1162" s="37">
        <f t="shared" si="151"/>
        <v>53.18836510494129</v>
      </c>
      <c r="J1162" s="316">
        <v>56.047423453135991</v>
      </c>
      <c r="K1162" s="37">
        <f t="shared" si="152"/>
        <v>12.352366617721444</v>
      </c>
      <c r="L1162" s="37"/>
      <c r="M1162" s="45">
        <f t="shared" si="153"/>
        <v>4.822509875287119E-2</v>
      </c>
    </row>
    <row r="1163" spans="1:13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40">
        <f t="shared" si="148"/>
        <v>5310.85</v>
      </c>
      <c r="G1163" s="70">
        <f t="shared" si="149"/>
        <v>6.1323652598104593E-2</v>
      </c>
      <c r="H1163" s="316">
        <f t="shared" si="150"/>
        <v>139.15133981993708</v>
      </c>
      <c r="I1163" s="37">
        <f t="shared" si="151"/>
        <v>51.165947651790866</v>
      </c>
      <c r="J1163" s="316">
        <v>53.916294076023327</v>
      </c>
      <c r="K1163" s="37">
        <f t="shared" si="152"/>
        <v>11.882684163934728</v>
      </c>
      <c r="L1163" s="37"/>
      <c r="M1163" s="45">
        <f t="shared" si="153"/>
        <v>4.822509875287119E-2</v>
      </c>
    </row>
    <row r="1164" spans="1:13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40">
        <f t="shared" si="148"/>
        <v>5405.43</v>
      </c>
      <c r="G1164" s="70">
        <f t="shared" si="149"/>
        <v>6.2415754815777609E-2</v>
      </c>
      <c r="H1164" s="316">
        <f t="shared" si="150"/>
        <v>141.62946172512545</v>
      </c>
      <c r="I1164" s="37">
        <f t="shared" si="151"/>
        <v>52.077153076328635</v>
      </c>
      <c r="J1164" s="316">
        <v>54.876479939625249</v>
      </c>
      <c r="K1164" s="37">
        <f t="shared" si="152"/>
        <v>12.094300810653229</v>
      </c>
      <c r="L1164" s="37"/>
      <c r="M1164" s="45">
        <f t="shared" si="153"/>
        <v>4.8225098752871197E-2</v>
      </c>
    </row>
    <row r="1165" spans="1:13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>
        <f t="shared" si="148"/>
        <v>349.2</v>
      </c>
      <c r="G1165" s="70">
        <f t="shared" si="149"/>
        <v>4.0321642462615437E-3</v>
      </c>
      <c r="H1165" s="316">
        <f t="shared" si="150"/>
        <v>9.1495048561194565</v>
      </c>
      <c r="I1165" s="37">
        <f t="shared" si="151"/>
        <v>3.3642729355951242</v>
      </c>
      <c r="J1165" s="316">
        <v>3.5451142267899378</v>
      </c>
      <c r="K1165" s="37">
        <f t="shared" si="152"/>
        <v>0.78131246599809934</v>
      </c>
      <c r="L1165" s="37"/>
      <c r="M1165" s="45">
        <f t="shared" si="153"/>
        <v>4.8225098752871183E-2</v>
      </c>
    </row>
    <row r="1166" spans="1:13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>
        <f t="shared" si="148"/>
        <v>433.4</v>
      </c>
      <c r="G1166" s="70">
        <f t="shared" si="149"/>
        <v>5.004410035308572E-3</v>
      </c>
      <c r="H1166" s="316">
        <f t="shared" si="150"/>
        <v>11.35565694341974</v>
      </c>
      <c r="I1166" s="37">
        <f t="shared" si="151"/>
        <v>4.1754750580954392</v>
      </c>
      <c r="J1166" s="316">
        <v>4.3999212654374542</v>
      </c>
      <c r="K1166" s="37">
        <f t="shared" si="152"/>
        <v>0.96970453254174205</v>
      </c>
      <c r="L1166" s="37"/>
      <c r="M1166" s="45">
        <f t="shared" si="153"/>
        <v>4.8225098752871204E-2</v>
      </c>
    </row>
    <row r="1167" spans="1:13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>
        <f t="shared" si="148"/>
        <v>360.2</v>
      </c>
      <c r="G1167" s="70">
        <f t="shared" si="149"/>
        <v>4.1591797293912035E-3</v>
      </c>
      <c r="H1167" s="316">
        <f t="shared" si="150"/>
        <v>9.4377194993534612</v>
      </c>
      <c r="I1167" s="37">
        <f t="shared" si="151"/>
        <v>3.4702494599122677</v>
      </c>
      <c r="J1167" s="316">
        <v>3.6567873553543406</v>
      </c>
      <c r="K1167" s="37">
        <f t="shared" si="152"/>
        <v>0.80592425616413355</v>
      </c>
      <c r="L1167" s="37"/>
      <c r="M1167" s="45">
        <f t="shared" si="153"/>
        <v>4.822509875287119E-2</v>
      </c>
    </row>
    <row r="1168" spans="1:13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>
        <f t="shared" si="148"/>
        <v>31.8</v>
      </c>
      <c r="G1168" s="70">
        <f t="shared" si="149"/>
        <v>3.6719021486574199E-4</v>
      </c>
      <c r="H1168" s="316">
        <f t="shared" si="150"/>
        <v>0.8332023322583012</v>
      </c>
      <c r="I1168" s="37">
        <f t="shared" si="151"/>
        <v>0.30636849757137735</v>
      </c>
      <c r="J1168" s="316">
        <v>0.3228368625770906</v>
      </c>
      <c r="K1168" s="37">
        <f t="shared" si="152"/>
        <v>7.115044793453483E-2</v>
      </c>
      <c r="L1168" s="37"/>
      <c r="M1168" s="45">
        <f t="shared" si="153"/>
        <v>4.8225098752871197E-2</v>
      </c>
    </row>
    <row r="1169" spans="1:13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>
        <f t="shared" si="148"/>
        <v>357.19</v>
      </c>
      <c r="G1169" s="70">
        <f t="shared" si="149"/>
        <v>4.1244236744620872E-3</v>
      </c>
      <c r="H1169" s="316">
        <f t="shared" si="150"/>
        <v>9.3588534924321571</v>
      </c>
      <c r="I1169" s="37">
        <f t="shared" si="151"/>
        <v>3.4412504291673045</v>
      </c>
      <c r="J1169" s="316">
        <v>3.6262295265380815</v>
      </c>
      <c r="K1169" s="37">
        <f t="shared" si="152"/>
        <v>0.79918957540051871</v>
      </c>
      <c r="L1169" s="37"/>
      <c r="M1169" s="45">
        <f t="shared" si="153"/>
        <v>4.8225098752871197E-2</v>
      </c>
    </row>
    <row r="1170" spans="1:13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>
        <f t="shared" si="148"/>
        <v>306.39999999999998</v>
      </c>
      <c r="G1170" s="70">
        <f t="shared" si="149"/>
        <v>3.5379585482661429E-3</v>
      </c>
      <c r="H1170" s="316">
        <f t="shared" si="150"/>
        <v>8.0280878806271527</v>
      </c>
      <c r="I1170" s="37">
        <f t="shared" si="151"/>
        <v>2.9519279137066041</v>
      </c>
      <c r="J1170" s="316">
        <v>3.1106042356484451</v>
      </c>
      <c r="K1170" s="37">
        <f t="shared" si="152"/>
        <v>0.68555022789753051</v>
      </c>
      <c r="L1170" s="37"/>
      <c r="M1170" s="45">
        <f t="shared" si="153"/>
        <v>4.822509875287119E-2</v>
      </c>
    </row>
    <row r="1171" spans="1:13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>
        <f t="shared" si="148"/>
        <v>407.2</v>
      </c>
      <c r="G1171" s="70">
        <f t="shared" si="149"/>
        <v>4.701882248217929E-3</v>
      </c>
      <c r="H1171" s="316">
        <f t="shared" si="150"/>
        <v>10.669182065898749</v>
      </c>
      <c r="I1171" s="37">
        <f t="shared" si="151"/>
        <v>3.9230582456309704</v>
      </c>
      <c r="J1171" s="316">
        <v>4.1339361774022425</v>
      </c>
      <c r="K1171" s="37">
        <f t="shared" si="152"/>
        <v>0.91108372323718811</v>
      </c>
      <c r="L1171" s="37"/>
      <c r="M1171" s="45">
        <f t="shared" si="153"/>
        <v>4.822509875287119E-2</v>
      </c>
    </row>
    <row r="1172" spans="1:13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>
        <f t="shared" si="148"/>
        <v>52.3</v>
      </c>
      <c r="G1172" s="70">
        <f t="shared" si="149"/>
        <v>6.0390088797101593E-4</v>
      </c>
      <c r="H1172" s="316">
        <f t="shared" si="150"/>
        <v>1.3703296219216714</v>
      </c>
      <c r="I1172" s="37">
        <f t="shared" si="151"/>
        <v>0.50387020198059862</v>
      </c>
      <c r="J1172" s="316">
        <v>0.53095496581074964</v>
      </c>
      <c r="K1172" s="37">
        <f t="shared" si="152"/>
        <v>0.11701787506214377</v>
      </c>
      <c r="L1172" s="37"/>
      <c r="M1172" s="45">
        <f t="shared" si="153"/>
        <v>4.822509875287119E-2</v>
      </c>
    </row>
    <row r="1173" spans="1:13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>
        <f t="shared" si="148"/>
        <v>122.2</v>
      </c>
      <c r="G1173" s="70">
        <f t="shared" si="149"/>
        <v>1.4110265489494867E-3</v>
      </c>
      <c r="H1173" s="316">
        <f t="shared" si="150"/>
        <v>3.2018026730177489</v>
      </c>
      <c r="I1173" s="37">
        <f t="shared" si="151"/>
        <v>1.1773028428686263</v>
      </c>
      <c r="J1173" s="316">
        <v>1.2405869373245433</v>
      </c>
      <c r="K1173" s="37">
        <f t="shared" si="152"/>
        <v>0.27341461438994202</v>
      </c>
      <c r="L1173" s="37"/>
      <c r="M1173" s="45">
        <f t="shared" si="153"/>
        <v>4.8225098752871197E-2</v>
      </c>
    </row>
    <row r="1174" spans="1:13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>
        <f t="shared" si="148"/>
        <v>77.900000000000006</v>
      </c>
      <c r="G1174" s="70">
        <f t="shared" si="149"/>
        <v>8.9950055780004098E-4</v>
      </c>
      <c r="H1174" s="316">
        <f t="shared" si="150"/>
        <v>2.0410837007208071</v>
      </c>
      <c r="I1174" s="37">
        <f t="shared" si="151"/>
        <v>0.75050647675504079</v>
      </c>
      <c r="J1174" s="316">
        <v>0.79084879228790439</v>
      </c>
      <c r="K1174" s="37">
        <f t="shared" si="152"/>
        <v>0.17429622308491394</v>
      </c>
      <c r="L1174" s="37"/>
      <c r="M1174" s="45">
        <f t="shared" si="153"/>
        <v>4.8225098752871197E-2</v>
      </c>
    </row>
    <row r="1175" spans="1:13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>
        <f t="shared" si="148"/>
        <v>205.19</v>
      </c>
      <c r="G1175" s="70">
        <f t="shared" si="149"/>
        <v>2.3693006348522515E-3</v>
      </c>
      <c r="H1175" s="316">
        <f t="shared" si="150"/>
        <v>5.3762511495622896</v>
      </c>
      <c r="I1175" s="37">
        <f t="shared" si="151"/>
        <v>1.9768475476940539</v>
      </c>
      <c r="J1175" s="316">
        <v>2.0831099318299757</v>
      </c>
      <c r="K1175" s="37">
        <f t="shared" si="152"/>
        <v>0.4590993840153208</v>
      </c>
      <c r="L1175" s="37"/>
      <c r="M1175" s="45">
        <f t="shared" si="153"/>
        <v>4.8225098752871197E-2</v>
      </c>
    </row>
    <row r="1176" spans="1:13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>
        <f t="shared" si="148"/>
        <v>289.10000000000002</v>
      </c>
      <c r="G1176" s="70">
        <f t="shared" si="149"/>
        <v>3.3381978338894976E-3</v>
      </c>
      <c r="H1176" s="316">
        <f t="shared" si="150"/>
        <v>7.5748048508136758</v>
      </c>
      <c r="I1176" s="37">
        <f t="shared" si="151"/>
        <v>2.7852557436441887</v>
      </c>
      <c r="J1176" s="316">
        <v>2.934972860724431</v>
      </c>
      <c r="K1176" s="37">
        <f t="shared" si="152"/>
        <v>0.64684259427276802</v>
      </c>
      <c r="L1176" s="37"/>
      <c r="M1176" s="45">
        <f t="shared" si="153"/>
        <v>4.822509875287119E-2</v>
      </c>
    </row>
    <row r="1177" spans="1:13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>
        <f t="shared" si="148"/>
        <v>117.92</v>
      </c>
      <c r="G1177" s="70">
        <f t="shared" si="149"/>
        <v>1.3616059791499466E-3</v>
      </c>
      <c r="H1177" s="316">
        <f t="shared" si="150"/>
        <v>3.0896609754685183</v>
      </c>
      <c r="I1177" s="37">
        <f t="shared" si="151"/>
        <v>1.1360683406797742</v>
      </c>
      <c r="J1177" s="316">
        <v>1.1971359382103939</v>
      </c>
      <c r="K1177" s="37">
        <f t="shared" si="152"/>
        <v>0.26383839057988517</v>
      </c>
      <c r="L1177" s="37"/>
      <c r="M1177" s="45">
        <f t="shared" si="153"/>
        <v>4.8225098752871197E-2</v>
      </c>
    </row>
    <row r="1178" spans="1:13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>
        <f t="shared" si="148"/>
        <v>242.85</v>
      </c>
      <c r="G1178" s="70">
        <f t="shared" si="149"/>
        <v>2.8041554616397937E-3</v>
      </c>
      <c r="H1178" s="316">
        <f t="shared" si="150"/>
        <v>6.362993282670705</v>
      </c>
      <c r="I1178" s="37">
        <f t="shared" si="151"/>
        <v>2.3396726300380184</v>
      </c>
      <c r="J1178" s="316">
        <v>2.4654381156241025</v>
      </c>
      <c r="K1178" s="37">
        <f t="shared" si="152"/>
        <v>0.54336120380194286</v>
      </c>
      <c r="L1178" s="37"/>
      <c r="M1178" s="45">
        <f t="shared" si="153"/>
        <v>4.822509875287119E-2</v>
      </c>
    </row>
    <row r="1179" spans="1:13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>
        <f t="shared" si="148"/>
        <v>415.2</v>
      </c>
      <c r="G1179" s="70">
        <f t="shared" si="149"/>
        <v>4.7942571450394992E-3</v>
      </c>
      <c r="H1179" s="316">
        <f t="shared" si="150"/>
        <v>10.878792715523479</v>
      </c>
      <c r="I1179" s="37">
        <f t="shared" si="151"/>
        <v>4.0001320814979833</v>
      </c>
      <c r="J1179" s="316">
        <v>0</v>
      </c>
      <c r="K1179" s="37">
        <f t="shared" si="152"/>
        <v>0.92898320699430381</v>
      </c>
      <c r="L1179" s="37"/>
      <c r="M1179" s="45">
        <f t="shared" si="153"/>
        <v>3.807299615610734E-2</v>
      </c>
    </row>
    <row r="1180" spans="1:13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40">
        <f t="shared" si="148"/>
        <v>8111.75</v>
      </c>
      <c r="G1180" s="70">
        <f t="shared" si="149"/>
        <v>9.3665258661546624E-2</v>
      </c>
      <c r="H1180" s="316">
        <f t="shared" si="150"/>
        <v>212.53864838667531</v>
      </c>
      <c r="I1180" s="37">
        <f t="shared" si="151"/>
        <v>78.150461011780521</v>
      </c>
      <c r="J1180" s="316">
        <v>82.351318239299204</v>
      </c>
      <c r="K1180" s="37">
        <f t="shared" si="152"/>
        <v>18.14951717084789</v>
      </c>
      <c r="L1180" s="37"/>
      <c r="M1180" s="45">
        <f t="shared" si="153"/>
        <v>4.8225098752871197E-2</v>
      </c>
    </row>
    <row r="1181" spans="1:13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40">
        <f t="shared" si="148"/>
        <v>6280.23</v>
      </c>
      <c r="G1181" s="70">
        <f t="shared" si="149"/>
        <v>7.2516949783216308E-2</v>
      </c>
      <c r="H1181" s="316">
        <f t="shared" si="150"/>
        <v>164.55038626158964</v>
      </c>
      <c r="I1181" s="37">
        <f t="shared" si="151"/>
        <v>60.505177028386512</v>
      </c>
      <c r="J1181" s="316">
        <v>63.757539291274263</v>
      </c>
      <c r="K1181" s="37">
        <f t="shared" si="152"/>
        <v>14.051609359493824</v>
      </c>
      <c r="L1181" s="37"/>
      <c r="M1181" s="45">
        <f t="shared" si="153"/>
        <v>4.822509875287119E-2</v>
      </c>
    </row>
    <row r="1182" spans="1:13" s="6" customFormat="1" ht="18">
      <c r="A1182" s="105">
        <v>37</v>
      </c>
      <c r="B1182" s="245" t="s">
        <v>514</v>
      </c>
      <c r="C1182" s="330">
        <v>8361.6299999999992</v>
      </c>
      <c r="D1182" s="330"/>
      <c r="E1182" s="330"/>
      <c r="F1182" s="40">
        <f t="shared" si="148"/>
        <v>8361.6299999999992</v>
      </c>
      <c r="G1182" s="70">
        <f t="shared" si="149"/>
        <v>9.6550588563768358E-2</v>
      </c>
      <c r="H1182" s="316">
        <f t="shared" si="150"/>
        <v>219.08583702770372</v>
      </c>
      <c r="I1182" s="37">
        <f t="shared" si="151"/>
        <v>80.557862275086663</v>
      </c>
      <c r="J1182" s="316">
        <v>84.888125636178557</v>
      </c>
      <c r="K1182" s="37">
        <f t="shared" si="152"/>
        <v>18.708607546001396</v>
      </c>
      <c r="L1182" s="37"/>
      <c r="M1182" s="45">
        <f t="shared" si="153"/>
        <v>4.8225098752871197E-2</v>
      </c>
    </row>
    <row r="1183" spans="1:13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40">
        <f t="shared" si="148"/>
        <v>6675.9</v>
      </c>
      <c r="G1183" s="70">
        <f t="shared" si="149"/>
        <v>7.708569671139015E-2</v>
      </c>
      <c r="H1183" s="316">
        <f t="shared" si="150"/>
        <v>174.91746697871673</v>
      </c>
      <c r="I1183" s="37">
        <f t="shared" si="151"/>
        <v>64.317152608074153</v>
      </c>
      <c r="J1183" s="316">
        <v>67.77442172573582</v>
      </c>
      <c r="K1183" s="37">
        <f t="shared" si="152"/>
        <v>14.93689545176607</v>
      </c>
      <c r="L1183" s="37"/>
      <c r="M1183" s="45">
        <f t="shared" si="153"/>
        <v>4.822509875287119E-2</v>
      </c>
    </row>
    <row r="1184" spans="1:13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148"/>
        <v>4537.7299999999996</v>
      </c>
      <c r="G1184" s="70">
        <f t="shared" si="149"/>
        <v>5.2396542569268026E-2</v>
      </c>
      <c r="H1184" s="316">
        <f t="shared" si="150"/>
        <v>118.89456664020317</v>
      </c>
      <c r="I1184" s="37">
        <f t="shared" si="151"/>
        <v>43.717532153602704</v>
      </c>
      <c r="J1184" s="316">
        <v>46.067500516413247</v>
      </c>
      <c r="K1184" s="37">
        <f t="shared" si="152"/>
        <v>10.152878053647067</v>
      </c>
      <c r="L1184" s="37"/>
      <c r="M1184" s="45">
        <f t="shared" si="153"/>
        <v>4.8746105092380254E-2</v>
      </c>
    </row>
    <row r="1185" spans="1:13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40">
        <f t="shared" si="148"/>
        <v>4352.13</v>
      </c>
      <c r="G1185" s="70">
        <f t="shared" si="149"/>
        <v>5.0253444963007605E-2</v>
      </c>
      <c r="H1185" s="316">
        <f t="shared" si="150"/>
        <v>114.03159956890946</v>
      </c>
      <c r="I1185" s="37">
        <f t="shared" si="151"/>
        <v>41.929419161488013</v>
      </c>
      <c r="J1185" s="316">
        <v>44.183270274453882</v>
      </c>
      <c r="K1185" s="37">
        <f t="shared" si="152"/>
        <v>9.737610030481985</v>
      </c>
      <c r="L1185" s="37"/>
      <c r="M1185" s="45">
        <f t="shared" si="153"/>
        <v>4.8225098752871197E-2</v>
      </c>
    </row>
    <row r="1186" spans="1:13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148"/>
        <v>4529.3500000000004</v>
      </c>
      <c r="G1186" s="70">
        <f t="shared" si="149"/>
        <v>5.2299779864847441E-2</v>
      </c>
      <c r="H1186" s="316">
        <f t="shared" si="150"/>
        <v>118.67499948472128</v>
      </c>
      <c r="I1186" s="37">
        <f t="shared" si="151"/>
        <v>43.636797310532017</v>
      </c>
      <c r="J1186" s="316">
        <v>45.982425896652373</v>
      </c>
      <c r="K1186" s="37">
        <f t="shared" si="152"/>
        <v>10.13412834441149</v>
      </c>
      <c r="L1186" s="37"/>
      <c r="M1186" s="45">
        <f t="shared" si="153"/>
        <v>4.8745230111964945E-2</v>
      </c>
    </row>
    <row r="1187" spans="1:13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148"/>
        <v>4151.1900000000005</v>
      </c>
      <c r="G1187" s="70">
        <f t="shared" si="149"/>
        <v>4.7933218492091818E-2</v>
      </c>
      <c r="H1187" s="316">
        <f t="shared" si="150"/>
        <v>108.76670407696031</v>
      </c>
      <c r="I1187" s="37">
        <f t="shared" si="151"/>
        <v>39.993517089098312</v>
      </c>
      <c r="J1187" s="316">
        <v>42.143306778660154</v>
      </c>
      <c r="K1187" s="37">
        <f t="shared" si="152"/>
        <v>9.2880197472126316</v>
      </c>
      <c r="L1187" s="37"/>
      <c r="M1187" s="45">
        <f t="shared" si="153"/>
        <v>4.8444495241720023E-2</v>
      </c>
    </row>
    <row r="1188" spans="1:13" s="6" customFormat="1" ht="18">
      <c r="A1188" s="105">
        <v>43</v>
      </c>
      <c r="B1188" s="245" t="s">
        <v>520</v>
      </c>
      <c r="C1188" s="330">
        <v>8136.02</v>
      </c>
      <c r="D1188" s="330"/>
      <c r="E1188" s="330"/>
      <c r="F1188" s="40">
        <f t="shared" si="148"/>
        <v>8136.02</v>
      </c>
      <c r="G1188" s="70">
        <f t="shared" si="149"/>
        <v>9.3945501004779067E-2</v>
      </c>
      <c r="H1188" s="316">
        <f t="shared" si="150"/>
        <v>213.17455469497435</v>
      </c>
      <c r="I1188" s="37">
        <f t="shared" si="151"/>
        <v>78.384283761342076</v>
      </c>
      <c r="J1188" s="316">
        <v>82.597709769322663</v>
      </c>
      <c r="K1188" s="37">
        <f t="shared" si="152"/>
        <v>18.20381972969604</v>
      </c>
      <c r="L1188" s="37"/>
      <c r="M1188" s="45">
        <f t="shared" si="153"/>
        <v>4.822509875287119E-2</v>
      </c>
    </row>
    <row r="1189" spans="1:13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48"/>
        <v>6240.13</v>
      </c>
      <c r="G1189" s="70">
        <f t="shared" si="149"/>
        <v>7.2053920612898198E-2</v>
      </c>
      <c r="H1189" s="316">
        <f t="shared" si="150"/>
        <v>163.4997128803457</v>
      </c>
      <c r="I1189" s="37">
        <f t="shared" si="151"/>
        <v>60.118844426103117</v>
      </c>
      <c r="J1189" s="316">
        <v>63.350439977144035</v>
      </c>
      <c r="K1189" s="37">
        <f t="shared" si="152"/>
        <v>13.961888197161285</v>
      </c>
      <c r="L1189" s="37"/>
      <c r="M1189" s="45">
        <f t="shared" si="153"/>
        <v>5.0814636875710952E-2</v>
      </c>
    </row>
    <row r="1190" spans="1:13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48"/>
        <v>6278.0199999999995</v>
      </c>
      <c r="G1190" s="70">
        <f t="shared" si="149"/>
        <v>7.249143121796936E-2</v>
      </c>
      <c r="H1190" s="316">
        <f t="shared" si="150"/>
        <v>164.49248131963083</v>
      </c>
      <c r="I1190" s="37">
        <f t="shared" si="151"/>
        <v>60.483885381228262</v>
      </c>
      <c r="J1190" s="316">
        <v>63.735103144535415</v>
      </c>
      <c r="K1190" s="37">
        <f t="shared" si="152"/>
        <v>14.046664627105924</v>
      </c>
      <c r="L1190" s="37"/>
      <c r="M1190" s="45">
        <f t="shared" si="153"/>
        <v>5.3662252295761097E-2</v>
      </c>
    </row>
    <row r="1191" spans="1:13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148"/>
        <v>3988.11</v>
      </c>
      <c r="G1191" s="70">
        <f t="shared" si="149"/>
        <v>4.6050156220384102E-2</v>
      </c>
      <c r="H1191" s="316">
        <f t="shared" si="150"/>
        <v>104.49379098436019</v>
      </c>
      <c r="I1191" s="37">
        <f t="shared" si="151"/>
        <v>38.422366944949246</v>
      </c>
      <c r="J1191" s="316">
        <v>40.487701887179902</v>
      </c>
      <c r="K1191" s="37">
        <f t="shared" si="152"/>
        <v>8.9231387708238277</v>
      </c>
      <c r="L1191" s="37"/>
      <c r="M1191" s="45">
        <f t="shared" si="153"/>
        <v>4.8225098752871197E-2</v>
      </c>
    </row>
    <row r="1192" spans="1:13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40">
        <f t="shared" si="148"/>
        <v>4150.55</v>
      </c>
      <c r="G1192" s="70">
        <f t="shared" si="149"/>
        <v>4.7925828500346088E-2</v>
      </c>
      <c r="H1192" s="316">
        <f t="shared" si="150"/>
        <v>108.74993522499032</v>
      </c>
      <c r="I1192" s="37">
        <f t="shared" si="151"/>
        <v>39.987351182228942</v>
      </c>
      <c r="J1192" s="316">
        <v>42.13680943299822</v>
      </c>
      <c r="K1192" s="37">
        <f t="shared" si="152"/>
        <v>9.2865877885120618</v>
      </c>
      <c r="L1192" s="37"/>
      <c r="M1192" s="45">
        <f t="shared" si="153"/>
        <v>4.8225098752871197E-2</v>
      </c>
    </row>
    <row r="1193" spans="1:13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40">
        <f t="shared" si="148"/>
        <v>14374.02</v>
      </c>
      <c r="G1193" s="70">
        <f t="shared" si="149"/>
        <v>0.16597482680139852</v>
      </c>
      <c r="H1193" s="316">
        <f t="shared" si="150"/>
        <v>376.61845873985743</v>
      </c>
      <c r="I1193" s="37">
        <f t="shared" si="151"/>
        <v>138.48260727864559</v>
      </c>
      <c r="J1193" s="316">
        <v>145.9265257679356</v>
      </c>
      <c r="K1193" s="37">
        <f t="shared" si="152"/>
        <v>32.160942189306994</v>
      </c>
      <c r="L1193" s="37"/>
      <c r="M1193" s="45">
        <f t="shared" si="153"/>
        <v>4.8225098752871204E-2</v>
      </c>
    </row>
    <row r="1194" spans="1:13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40">
        <f t="shared" si="148"/>
        <v>4120.28</v>
      </c>
      <c r="G1194" s="70">
        <f t="shared" si="149"/>
        <v>4.7576304984497463E-2</v>
      </c>
      <c r="H1194" s="316">
        <f t="shared" si="150"/>
        <v>107.95682092947273</v>
      </c>
      <c r="I1194" s="37">
        <f t="shared" si="151"/>
        <v>39.695723055767125</v>
      </c>
      <c r="J1194" s="316">
        <v>41.82950528739417</v>
      </c>
      <c r="K1194" s="37">
        <f t="shared" si="152"/>
        <v>9.2188606168460741</v>
      </c>
      <c r="L1194" s="37"/>
      <c r="M1194" s="45">
        <f t="shared" si="153"/>
        <v>4.822509875287119E-2</v>
      </c>
    </row>
    <row r="1195" spans="1:13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40">
        <f t="shared" si="148"/>
        <v>14371.39</v>
      </c>
      <c r="G1195" s="70">
        <f t="shared" si="149"/>
        <v>0.16594445855406842</v>
      </c>
      <c r="H1195" s="316">
        <f t="shared" si="150"/>
        <v>376.5495492387933</v>
      </c>
      <c r="I1195" s="37">
        <f t="shared" si="151"/>
        <v>138.45726925510431</v>
      </c>
      <c r="J1195" s="316">
        <v>145.8998257381061</v>
      </c>
      <c r="K1195" s="37">
        <f t="shared" si="152"/>
        <v>32.155057734021838</v>
      </c>
      <c r="L1195" s="37"/>
      <c r="M1195" s="45">
        <f t="shared" si="153"/>
        <v>4.8225098752871197E-2</v>
      </c>
    </row>
    <row r="1196" spans="1:13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148"/>
        <v>11511.4</v>
      </c>
      <c r="G1196" s="70">
        <f t="shared" si="149"/>
        <v>0.13292054840897807</v>
      </c>
      <c r="H1196" s="316">
        <f t="shared" si="150"/>
        <v>301.61400401126446</v>
      </c>
      <c r="I1196" s="37">
        <f t="shared" si="151"/>
        <v>110.90346927494195</v>
      </c>
      <c r="J1196" s="316">
        <v>116.86491383238744</v>
      </c>
      <c r="K1196" s="37">
        <f t="shared" ref="K1196:K1201" si="154">G1196*239.7</f>
        <v>31.861055453632044</v>
      </c>
      <c r="L1196" s="37"/>
      <c r="M1196" s="45">
        <f t="shared" si="153"/>
        <v>6.1937828875474638E-2</v>
      </c>
    </row>
    <row r="1197" spans="1:13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148"/>
        <v>6924.2000000000007</v>
      </c>
      <c r="G1197" s="70">
        <f t="shared" si="149"/>
        <v>7.9952782571489661E-2</v>
      </c>
      <c r="H1197" s="316">
        <f t="shared" si="150"/>
        <v>181.42325751644435</v>
      </c>
      <c r="I1197" s="37">
        <f t="shared" si="151"/>
        <v>66.70933178879659</v>
      </c>
      <c r="J1197" s="316">
        <v>70.295188800512292</v>
      </c>
      <c r="K1197" s="37">
        <f t="shared" si="154"/>
        <v>19.164681982386071</v>
      </c>
      <c r="L1197" s="37"/>
      <c r="M1197" s="45">
        <f t="shared" si="153"/>
        <v>4.9456125765538053E-2</v>
      </c>
    </row>
    <row r="1198" spans="1:13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148"/>
        <v>10867.230000000001</v>
      </c>
      <c r="G1198" s="70">
        <f t="shared" si="149"/>
        <v>0.12548240624828422</v>
      </c>
      <c r="H1198" s="316">
        <f t="shared" si="150"/>
        <v>284.73589249016919</v>
      </c>
      <c r="I1198" s="37">
        <f t="shared" si="151"/>
        <v>104.69738766863522</v>
      </c>
      <c r="J1198" s="316">
        <v>110.32523390263007</v>
      </c>
      <c r="K1198" s="37">
        <f t="shared" si="154"/>
        <v>30.078132777713726</v>
      </c>
      <c r="L1198" s="37"/>
      <c r="M1198" s="45">
        <f t="shared" si="153"/>
        <v>5.8623023694228518E-2</v>
      </c>
    </row>
    <row r="1199" spans="1:13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148"/>
        <v>7546</v>
      </c>
      <c r="G1199" s="70">
        <f t="shared" si="149"/>
        <v>8.7132621426946194E-2</v>
      </c>
      <c r="H1199" s="316">
        <f t="shared" si="150"/>
        <v>197.71524525852644</v>
      </c>
      <c r="I1199" s="37">
        <f t="shared" si="151"/>
        <v>72.699895681560179</v>
      </c>
      <c r="J1199" s="316">
        <v>76.607766195180048</v>
      </c>
      <c r="K1199" s="37">
        <f t="shared" si="154"/>
        <v>20.885689356039002</v>
      </c>
      <c r="L1199" s="37"/>
      <c r="M1199" s="45">
        <f t="shared" si="153"/>
        <v>5.4988879396661833E-2</v>
      </c>
    </row>
    <row r="1200" spans="1:13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148"/>
        <v>2503.4</v>
      </c>
      <c r="G1200" s="70">
        <f t="shared" si="149"/>
        <v>2.8906414587889891E-2</v>
      </c>
      <c r="H1200" s="316">
        <f t="shared" si="150"/>
        <v>65.592412533818589</v>
      </c>
      <c r="I1200" s="37">
        <f t="shared" si="151"/>
        <v>24.118330088685099</v>
      </c>
      <c r="J1200" s="316">
        <v>25.414773640738638</v>
      </c>
      <c r="K1200" s="37">
        <f t="shared" si="154"/>
        <v>6.9288675767172068</v>
      </c>
      <c r="L1200" s="37"/>
      <c r="M1200" s="45">
        <f t="shared" si="153"/>
        <v>4.8755446129248037E-2</v>
      </c>
    </row>
    <row r="1201" spans="1:13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 t="shared" si="148"/>
        <v>1175</v>
      </c>
      <c r="G1201" s="70">
        <f t="shared" si="149"/>
        <v>1.356756297066814E-2</v>
      </c>
      <c r="H1201" s="316">
        <f t="shared" si="150"/>
        <v>30.786564163632196</v>
      </c>
      <c r="I1201" s="37">
        <f t="shared" si="151"/>
        <v>11.32021964296756</v>
      </c>
      <c r="J1201" s="316">
        <v>11.92872055119753</v>
      </c>
      <c r="K1201" s="37">
        <f t="shared" si="154"/>
        <v>3.2521448440691527</v>
      </c>
      <c r="L1201" s="37"/>
      <c r="M1201" s="45">
        <f t="shared" si="153"/>
        <v>4.8755446129248037E-2</v>
      </c>
    </row>
    <row r="1202" spans="1:13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3">
        <f>C1202+D1202+E1202</f>
        <v>173207.23</v>
      </c>
      <c r="G1202" s="70">
        <f>2/173207.23*F1202</f>
        <v>2</v>
      </c>
      <c r="H1202" s="316">
        <f>G1202*2269.13</f>
        <v>4538.26</v>
      </c>
      <c r="I1202" s="64">
        <f>H1202*0.3677</f>
        <v>1668.7182020000002</v>
      </c>
      <c r="J1202" s="316">
        <f>SUM(J1147:J1201)</f>
        <v>1751.3318079328369</v>
      </c>
      <c r="K1202" s="153">
        <f>SUM(K1148:K1201)</f>
        <v>409.03351010232086</v>
      </c>
      <c r="L1202" s="153"/>
      <c r="M1202" s="45">
        <f t="shared" si="153"/>
        <v>5.0132431901510066E-2</v>
      </c>
    </row>
    <row r="1203" spans="1:13" s="6" customFormat="1" ht="15.75">
      <c r="A1203" s="1044" t="s">
        <v>618</v>
      </c>
      <c r="B1203" s="1045"/>
      <c r="C1203" s="8"/>
      <c r="D1203" s="8"/>
      <c r="E1203" s="8"/>
      <c r="F1203" s="40"/>
      <c r="G1203" s="61"/>
      <c r="H1203" s="316">
        <f>G1203*2077.52</f>
        <v>0</v>
      </c>
      <c r="I1203" s="37"/>
      <c r="J1203" s="316">
        <v>0</v>
      </c>
      <c r="K1203" s="37">
        <f t="shared" ref="K1203:K1231" si="155">G1203*193.77</f>
        <v>0</v>
      </c>
      <c r="L1203" s="37"/>
      <c r="M1203" s="45" t="e">
        <f t="shared" si="153"/>
        <v>#DIV/0!</v>
      </c>
    </row>
    <row r="1204" spans="1:13" s="6" customFormat="1" ht="15.75">
      <c r="A1204" s="8">
        <v>1</v>
      </c>
      <c r="B1204" s="8" t="s">
        <v>532</v>
      </c>
      <c r="C1204" s="386">
        <v>3898.29</v>
      </c>
      <c r="D1204" s="386">
        <v>123.1</v>
      </c>
      <c r="E1204" s="386">
        <v>374.5</v>
      </c>
      <c r="F1204" s="40">
        <f t="shared" ref="F1204:F1232" si="156">C1204+D1204+E1204</f>
        <v>4395.8899999999994</v>
      </c>
      <c r="G1204" s="221">
        <f t="shared" ref="G1204:G1231" si="157">1/93179.59*F1204</f>
        <v>4.7176532972510392E-2</v>
      </c>
      <c r="H1204" s="316">
        <f t="shared" ref="H1204:H1231" si="158">G1204*2269.13</f>
        <v>107.04968626391251</v>
      </c>
      <c r="I1204" s="37">
        <f t="shared" ref="I1204:I1232" si="159">H1204*0.3677</f>
        <v>39.362169639240634</v>
      </c>
      <c r="J1204" s="316">
        <v>41.287912964753403</v>
      </c>
      <c r="K1204" s="37">
        <f t="shared" si="155"/>
        <v>9.1413967940833398</v>
      </c>
      <c r="L1204" s="37"/>
      <c r="M1204" s="45">
        <f t="shared" si="153"/>
        <v>5.0494233538805444E-2</v>
      </c>
    </row>
    <row r="1205" spans="1:13" s="6" customFormat="1" ht="15.75">
      <c r="A1205" s="8">
        <v>2</v>
      </c>
      <c r="B1205" s="8" t="s">
        <v>533</v>
      </c>
      <c r="C1205" s="330">
        <v>3600.73</v>
      </c>
      <c r="D1205" s="330"/>
      <c r="E1205" s="330">
        <v>290.5</v>
      </c>
      <c r="F1205" s="40">
        <f t="shared" si="156"/>
        <v>3891.23</v>
      </c>
      <c r="G1205" s="221">
        <f t="shared" si="157"/>
        <v>4.1760540049596701E-2</v>
      </c>
      <c r="H1205" s="316">
        <f t="shared" si="158"/>
        <v>94.76009424274136</v>
      </c>
      <c r="I1205" s="37">
        <f t="shared" si="159"/>
        <v>34.843286653055998</v>
      </c>
      <c r="J1205" s="316">
        <v>36.547949463211637</v>
      </c>
      <c r="K1205" s="37">
        <f t="shared" si="155"/>
        <v>8.0919398454103533</v>
      </c>
      <c r="L1205" s="37"/>
      <c r="M1205" s="45">
        <f t="shared" si="153"/>
        <v>4.839109575125581E-2</v>
      </c>
    </row>
    <row r="1206" spans="1:13" s="6" customFormat="1" ht="15.75">
      <c r="A1206" s="8">
        <v>3</v>
      </c>
      <c r="B1206" s="8" t="s">
        <v>534</v>
      </c>
      <c r="C1206" s="330">
        <v>5868.42</v>
      </c>
      <c r="D1206" s="330">
        <v>489.8</v>
      </c>
      <c r="E1206" s="330"/>
      <c r="F1206" s="40">
        <f t="shared" si="156"/>
        <v>6358.22</v>
      </c>
      <c r="G1206" s="221">
        <f t="shared" si="157"/>
        <v>6.8236187774597418E-2</v>
      </c>
      <c r="H1206" s="316">
        <f t="shared" si="158"/>
        <v>154.83678076497225</v>
      </c>
      <c r="I1206" s="37">
        <f t="shared" si="159"/>
        <v>56.933484287280301</v>
      </c>
      <c r="J1206" s="316">
        <v>59.718881494021559</v>
      </c>
      <c r="K1206" s="37">
        <f t="shared" si="155"/>
        <v>13.222126105083742</v>
      </c>
      <c r="L1206" s="37"/>
      <c r="M1206" s="45">
        <f t="shared" si="153"/>
        <v>4.8515830947914063E-2</v>
      </c>
    </row>
    <row r="1207" spans="1:13" s="6" customFormat="1" ht="15.75">
      <c r="A1207" s="8">
        <v>4</v>
      </c>
      <c r="B1207" s="8" t="s">
        <v>535</v>
      </c>
      <c r="C1207" s="330">
        <v>4090.86</v>
      </c>
      <c r="D1207" s="330"/>
      <c r="E1207" s="330"/>
      <c r="F1207" s="40">
        <f t="shared" si="156"/>
        <v>4090.86</v>
      </c>
      <c r="G1207" s="221">
        <f t="shared" si="157"/>
        <v>4.3902962011316E-2</v>
      </c>
      <c r="H1207" s="316">
        <f t="shared" si="158"/>
        <v>99.621528188737486</v>
      </c>
      <c r="I1207" s="37">
        <f t="shared" si="159"/>
        <v>36.630835914998777</v>
      </c>
      <c r="J1207" s="316">
        <v>38.422952264727087</v>
      </c>
      <c r="K1207" s="37">
        <f t="shared" si="155"/>
        <v>8.5070769489327027</v>
      </c>
      <c r="L1207" s="37"/>
      <c r="M1207" s="45">
        <f t="shared" si="153"/>
        <v>4.4778455707943088E-2</v>
      </c>
    </row>
    <row r="1208" spans="1:13" s="6" customFormat="1" ht="15.75">
      <c r="A1208" s="8">
        <v>5</v>
      </c>
      <c r="B1208" s="8" t="s">
        <v>536</v>
      </c>
      <c r="C1208" s="330">
        <v>3274.15</v>
      </c>
      <c r="D1208" s="330"/>
      <c r="E1208" s="330"/>
      <c r="F1208" s="40">
        <f t="shared" si="156"/>
        <v>3274.15</v>
      </c>
      <c r="G1208" s="221">
        <f t="shared" si="157"/>
        <v>3.5138059740335841E-2</v>
      </c>
      <c r="H1208" s="316">
        <f t="shared" si="158"/>
        <v>79.732825498588269</v>
      </c>
      <c r="I1208" s="37">
        <f t="shared" si="159"/>
        <v>29.31775993583091</v>
      </c>
      <c r="J1208" s="316">
        <v>30.752093485857785</v>
      </c>
      <c r="K1208" s="37">
        <f t="shared" si="155"/>
        <v>6.8087018358848761</v>
      </c>
      <c r="L1208" s="37"/>
      <c r="M1208" s="45">
        <f t="shared" si="153"/>
        <v>4.4778455707943081E-2</v>
      </c>
    </row>
    <row r="1209" spans="1:13" s="6" customFormat="1" ht="15.75">
      <c r="A1209" s="8">
        <v>6</v>
      </c>
      <c r="B1209" s="8" t="s">
        <v>537</v>
      </c>
      <c r="C1209" s="330">
        <v>6596</v>
      </c>
      <c r="D1209" s="330"/>
      <c r="E1209" s="330"/>
      <c r="F1209" s="40">
        <f t="shared" si="156"/>
        <v>6596</v>
      </c>
      <c r="G1209" s="221">
        <f t="shared" si="157"/>
        <v>7.0788034160699786E-2</v>
      </c>
      <c r="H1209" s="316">
        <f t="shared" si="158"/>
        <v>160.62725195506872</v>
      </c>
      <c r="I1209" s="37">
        <f t="shared" si="159"/>
        <v>59.062640543878771</v>
      </c>
      <c r="J1209" s="316">
        <v>61.95220397132627</v>
      </c>
      <c r="K1209" s="37">
        <f t="shared" si="155"/>
        <v>13.716597379318799</v>
      </c>
      <c r="L1209" s="37"/>
      <c r="M1209" s="45">
        <f t="shared" si="153"/>
        <v>4.4778455707943081E-2</v>
      </c>
    </row>
    <row r="1210" spans="1:13" s="6" customFormat="1" ht="15.75">
      <c r="A1210" s="8">
        <v>7</v>
      </c>
      <c r="B1210" s="8" t="s">
        <v>538</v>
      </c>
      <c r="C1210" s="330">
        <v>7101.2</v>
      </c>
      <c r="D1210" s="330"/>
      <c r="E1210" s="330"/>
      <c r="F1210" s="40">
        <f t="shared" si="156"/>
        <v>7101.2</v>
      </c>
      <c r="G1210" s="221">
        <f t="shared" si="157"/>
        <v>7.62098223441421E-2</v>
      </c>
      <c r="H1210" s="316">
        <f t="shared" si="158"/>
        <v>172.92999417576317</v>
      </c>
      <c r="I1210" s="37">
        <f t="shared" si="159"/>
        <v>63.58635885842812</v>
      </c>
      <c r="J1210" s="316">
        <v>66.697239363429674</v>
      </c>
      <c r="K1210" s="37">
        <f t="shared" si="155"/>
        <v>14.767177275624416</v>
      </c>
      <c r="L1210" s="37"/>
      <c r="M1210" s="45">
        <f t="shared" si="153"/>
        <v>4.4778455707943081E-2</v>
      </c>
    </row>
    <row r="1211" spans="1:13" s="6" customFormat="1" ht="15.75">
      <c r="A1211" s="8">
        <v>8</v>
      </c>
      <c r="B1211" s="8" t="s">
        <v>539</v>
      </c>
      <c r="C1211" s="330">
        <v>7470.48</v>
      </c>
      <c r="D1211" s="330"/>
      <c r="E1211" s="330"/>
      <c r="F1211" s="40">
        <f t="shared" si="156"/>
        <v>7470.48</v>
      </c>
      <c r="G1211" s="221">
        <f t="shared" si="157"/>
        <v>8.017292198860286E-2</v>
      </c>
      <c r="H1211" s="316">
        <f t="shared" si="158"/>
        <v>181.92278247199843</v>
      </c>
      <c r="I1211" s="37">
        <f t="shared" si="159"/>
        <v>66.893007114953832</v>
      </c>
      <c r="J1211" s="316">
        <v>70.165661116390766</v>
      </c>
      <c r="K1211" s="37">
        <f t="shared" si="155"/>
        <v>15.535107093731577</v>
      </c>
      <c r="L1211" s="37"/>
      <c r="M1211" s="45">
        <f t="shared" si="153"/>
        <v>4.4778455707943081E-2</v>
      </c>
    </row>
    <row r="1212" spans="1:13" s="6" customFormat="1" ht="15.75">
      <c r="A1212" s="8">
        <v>9</v>
      </c>
      <c r="B1212" s="8" t="s">
        <v>540</v>
      </c>
      <c r="C1212" s="330">
        <v>2276.6</v>
      </c>
      <c r="D1212" s="330"/>
      <c r="E1212" s="330"/>
      <c r="F1212" s="40">
        <f t="shared" si="156"/>
        <v>2276.6</v>
      </c>
      <c r="G1212" s="221">
        <f t="shared" si="157"/>
        <v>2.4432389110104476E-2</v>
      </c>
      <c r="H1212" s="316">
        <f t="shared" si="158"/>
        <v>55.440267101411372</v>
      </c>
      <c r="I1212" s="37">
        <f t="shared" si="159"/>
        <v>20.385386213188962</v>
      </c>
      <c r="J1212" s="316">
        <v>21.38271491223793</v>
      </c>
      <c r="K1212" s="37">
        <f t="shared" si="155"/>
        <v>4.7342640378649445</v>
      </c>
      <c r="L1212" s="37"/>
      <c r="M1212" s="45">
        <f t="shared" si="153"/>
        <v>4.4778455707943081E-2</v>
      </c>
    </row>
    <row r="1213" spans="1:13" s="6" customFormat="1" ht="15.75">
      <c r="A1213" s="8">
        <v>10</v>
      </c>
      <c r="B1213" s="8" t="s">
        <v>541</v>
      </c>
      <c r="C1213" s="330">
        <v>4642.43</v>
      </c>
      <c r="D1213" s="330"/>
      <c r="E1213" s="330"/>
      <c r="F1213" s="40">
        <f t="shared" si="156"/>
        <v>4642.43</v>
      </c>
      <c r="G1213" s="221">
        <f t="shared" si="157"/>
        <v>4.9822391362743711E-2</v>
      </c>
      <c r="H1213" s="316">
        <f t="shared" si="158"/>
        <v>113.05348291294264</v>
      </c>
      <c r="I1213" s="37">
        <f t="shared" si="159"/>
        <v>41.569765667089015</v>
      </c>
      <c r="J1213" s="316">
        <v>43.603512777835697</v>
      </c>
      <c r="K1213" s="37">
        <f t="shared" si="155"/>
        <v>9.65408477435885</v>
      </c>
      <c r="L1213" s="37"/>
      <c r="M1213" s="45">
        <f t="shared" si="153"/>
        <v>4.4778455707943081E-2</v>
      </c>
    </row>
    <row r="1214" spans="1:13" s="6" customFormat="1" ht="15.75">
      <c r="A1214" s="8">
        <v>11</v>
      </c>
      <c r="B1214" s="8" t="s">
        <v>542</v>
      </c>
      <c r="C1214" s="330">
        <v>3634.2</v>
      </c>
      <c r="D1214" s="330"/>
      <c r="E1214" s="330"/>
      <c r="F1214" s="40">
        <f t="shared" si="156"/>
        <v>3634.2</v>
      </c>
      <c r="G1214" s="221">
        <f t="shared" si="157"/>
        <v>3.900210335761297E-2</v>
      </c>
      <c r="H1214" s="316">
        <f t="shared" si="158"/>
        <v>88.500842791860322</v>
      </c>
      <c r="I1214" s="37">
        <f t="shared" si="159"/>
        <v>32.541759894567043</v>
      </c>
      <c r="J1214" s="316">
        <v>34.133823479774705</v>
      </c>
      <c r="K1214" s="37">
        <f t="shared" si="155"/>
        <v>7.5574375676046657</v>
      </c>
      <c r="L1214" s="37"/>
      <c r="M1214" s="45">
        <f t="shared" si="153"/>
        <v>4.4778455707943081E-2</v>
      </c>
    </row>
    <row r="1215" spans="1:13" s="6" customFormat="1" ht="15.75">
      <c r="A1215" s="8">
        <v>12</v>
      </c>
      <c r="B1215" s="8" t="s">
        <v>543</v>
      </c>
      <c r="C1215" s="330">
        <v>5551.35</v>
      </c>
      <c r="D1215" s="330"/>
      <c r="E1215" s="330"/>
      <c r="F1215" s="40">
        <f t="shared" si="156"/>
        <v>5551.35</v>
      </c>
      <c r="G1215" s="221">
        <f t="shared" si="157"/>
        <v>5.9576888028805453E-2</v>
      </c>
      <c r="H1215" s="316">
        <f t="shared" si="158"/>
        <v>135.18770393280332</v>
      </c>
      <c r="I1215" s="37">
        <f t="shared" si="159"/>
        <v>49.708518736091783</v>
      </c>
      <c r="J1215" s="316">
        <v>52.14044383205308</v>
      </c>
      <c r="K1215" s="37">
        <f t="shared" si="155"/>
        <v>11.544213593341633</v>
      </c>
      <c r="L1215" s="37"/>
      <c r="M1215" s="45">
        <f t="shared" si="153"/>
        <v>4.4778455707943074E-2</v>
      </c>
    </row>
    <row r="1216" spans="1:13" s="6" customFormat="1" ht="15.75">
      <c r="A1216" s="8">
        <v>13</v>
      </c>
      <c r="B1216" s="8" t="s">
        <v>545</v>
      </c>
      <c r="C1216" s="330">
        <v>4556.37</v>
      </c>
      <c r="D1216" s="330"/>
      <c r="E1216" s="330"/>
      <c r="F1216" s="40">
        <f t="shared" si="156"/>
        <v>4556.37</v>
      </c>
      <c r="G1216" s="221">
        <f t="shared" si="157"/>
        <v>4.8898798545904738E-2</v>
      </c>
      <c r="H1216" s="316">
        <f t="shared" si="158"/>
        <v>110.95773074446882</v>
      </c>
      <c r="I1216" s="37">
        <f t="shared" si="159"/>
        <v>40.799157594741189</v>
      </c>
      <c r="J1216" s="316">
        <v>42.795203700550623</v>
      </c>
      <c r="K1216" s="37">
        <f t="shared" si="155"/>
        <v>9.4751201942399614</v>
      </c>
      <c r="L1216" s="37"/>
      <c r="M1216" s="45">
        <f t="shared" si="153"/>
        <v>4.4778455707943074E-2</v>
      </c>
    </row>
    <row r="1217" spans="1:13" s="6" customFormat="1" ht="15.75">
      <c r="A1217" s="8">
        <v>14</v>
      </c>
      <c r="B1217" s="8" t="s">
        <v>546</v>
      </c>
      <c r="C1217" s="330">
        <v>4596.6099999999997</v>
      </c>
      <c r="D1217" s="330"/>
      <c r="E1217" s="330"/>
      <c r="F1217" s="40">
        <f t="shared" si="156"/>
        <v>4596.6099999999997</v>
      </c>
      <c r="G1217" s="221">
        <f t="shared" si="157"/>
        <v>4.9330652774926355E-2</v>
      </c>
      <c r="H1217" s="316">
        <f t="shared" si="158"/>
        <v>111.93766413116865</v>
      </c>
      <c r="I1217" s="37">
        <f t="shared" si="159"/>
        <v>41.159479101030712</v>
      </c>
      <c r="J1217" s="316">
        <v>43.1731534712914</v>
      </c>
      <c r="K1217" s="37">
        <f t="shared" si="155"/>
        <v>9.5588005881974798</v>
      </c>
      <c r="L1217" s="37"/>
      <c r="M1217" s="45">
        <f t="shared" si="153"/>
        <v>4.4778455707943081E-2</v>
      </c>
    </row>
    <row r="1218" spans="1:13" s="6" customFormat="1" ht="15.75">
      <c r="A1218" s="8">
        <v>15</v>
      </c>
      <c r="B1218" s="8" t="s">
        <v>567</v>
      </c>
      <c r="C1218" s="330">
        <v>4490.43</v>
      </c>
      <c r="D1218" s="330"/>
      <c r="E1218" s="330"/>
      <c r="F1218" s="40">
        <f t="shared" si="156"/>
        <v>4490.43</v>
      </c>
      <c r="G1218" s="221">
        <f t="shared" si="157"/>
        <v>4.8191132843576588E-2</v>
      </c>
      <c r="H1218" s="316">
        <f t="shared" si="158"/>
        <v>109.35194526934495</v>
      </c>
      <c r="I1218" s="37">
        <f t="shared" si="159"/>
        <v>40.208710275538145</v>
      </c>
      <c r="J1218" s="316">
        <v>42.175869508635941</v>
      </c>
      <c r="K1218" s="37">
        <f t="shared" si="155"/>
        <v>9.3379958110998356</v>
      </c>
      <c r="L1218" s="37"/>
      <c r="M1218" s="45">
        <f t="shared" si="153"/>
        <v>4.4778455707943081E-2</v>
      </c>
    </row>
    <row r="1219" spans="1:13" s="6" customFormat="1" ht="15.75">
      <c r="A1219" s="8">
        <v>16</v>
      </c>
      <c r="B1219" s="8" t="s">
        <v>568</v>
      </c>
      <c r="C1219" s="330">
        <v>4338.5</v>
      </c>
      <c r="D1219" s="330"/>
      <c r="E1219" s="330"/>
      <c r="F1219" s="40">
        <f t="shared" si="156"/>
        <v>4338.5</v>
      </c>
      <c r="G1219" s="221">
        <f t="shared" si="157"/>
        <v>4.6560625561885387E-2</v>
      </c>
      <c r="H1219" s="316">
        <f t="shared" si="158"/>
        <v>105.65211228124099</v>
      </c>
      <c r="I1219" s="37">
        <f t="shared" si="159"/>
        <v>38.848281685812317</v>
      </c>
      <c r="J1219" s="316">
        <v>40.748883706731206</v>
      </c>
      <c r="K1219" s="37">
        <f t="shared" si="155"/>
        <v>9.0220524151265327</v>
      </c>
      <c r="L1219" s="37"/>
      <c r="M1219" s="45">
        <f t="shared" si="153"/>
        <v>4.4778455707943081E-2</v>
      </c>
    </row>
    <row r="1220" spans="1:13" s="6" customFormat="1" ht="15.75">
      <c r="A1220" s="8">
        <v>17</v>
      </c>
      <c r="B1220" s="8" t="s">
        <v>569</v>
      </c>
      <c r="C1220" s="330">
        <v>3131.06</v>
      </c>
      <c r="D1220" s="330"/>
      <c r="E1220" s="330"/>
      <c r="F1220" s="40">
        <f t="shared" si="156"/>
        <v>3131.06</v>
      </c>
      <c r="G1220" s="221">
        <f t="shared" si="157"/>
        <v>3.3602423019890942E-2</v>
      </c>
      <c r="H1220" s="316">
        <f t="shared" si="158"/>
        <v>76.248266147125136</v>
      </c>
      <c r="I1220" s="37">
        <f t="shared" si="159"/>
        <v>28.036487462297913</v>
      </c>
      <c r="J1220" s="316">
        <v>29.408136410924932</v>
      </c>
      <c r="K1220" s="37">
        <f t="shared" si="155"/>
        <v>6.5111415085642683</v>
      </c>
      <c r="L1220" s="37"/>
      <c r="M1220" s="45">
        <f t="shared" si="153"/>
        <v>4.4778455707943081E-2</v>
      </c>
    </row>
    <row r="1221" spans="1:13" s="6" customFormat="1" ht="15.75">
      <c r="A1221" s="8">
        <v>18</v>
      </c>
      <c r="B1221" s="8" t="s">
        <v>570</v>
      </c>
      <c r="C1221" s="330">
        <v>3376.98</v>
      </c>
      <c r="D1221" s="330"/>
      <c r="E1221" s="330"/>
      <c r="F1221" s="40">
        <f t="shared" si="156"/>
        <v>3376.98</v>
      </c>
      <c r="G1221" s="221">
        <f t="shared" si="157"/>
        <v>3.6241627592480286E-2</v>
      </c>
      <c r="H1221" s="316">
        <f t="shared" si="158"/>
        <v>82.236964418924799</v>
      </c>
      <c r="I1221" s="37">
        <f t="shared" si="159"/>
        <v>30.238531816838652</v>
      </c>
      <c r="J1221" s="316">
        <v>31.717912942251278</v>
      </c>
      <c r="K1221" s="37">
        <f t="shared" si="155"/>
        <v>7.0225401785949053</v>
      </c>
      <c r="L1221" s="37"/>
      <c r="M1221" s="45">
        <f t="shared" si="153"/>
        <v>4.4778455707943081E-2</v>
      </c>
    </row>
    <row r="1222" spans="1:13" s="6" customFormat="1" ht="15.75">
      <c r="A1222" s="8">
        <v>20</v>
      </c>
      <c r="B1222" s="8" t="s">
        <v>571</v>
      </c>
      <c r="C1222" s="330">
        <v>50.5</v>
      </c>
      <c r="D1222" s="330"/>
      <c r="E1222" s="330"/>
      <c r="F1222" s="40">
        <f t="shared" si="156"/>
        <v>50.5</v>
      </c>
      <c r="G1222" s="221">
        <f t="shared" si="157"/>
        <v>5.4196417906539405E-4</v>
      </c>
      <c r="H1222" s="316">
        <f t="shared" si="158"/>
        <v>1.2297871776426577</v>
      </c>
      <c r="I1222" s="37">
        <f t="shared" si="159"/>
        <v>0.45219274521920527</v>
      </c>
      <c r="J1222" s="316">
        <v>0.47431569141176128</v>
      </c>
      <c r="K1222" s="37">
        <f t="shared" si="155"/>
        <v>0.10501639897750141</v>
      </c>
      <c r="L1222" s="37"/>
      <c r="M1222" s="45">
        <f t="shared" si="153"/>
        <v>4.4778455707943081E-2</v>
      </c>
    </row>
    <row r="1223" spans="1:13" s="6" customFormat="1" ht="15.75">
      <c r="A1223" s="8">
        <v>22</v>
      </c>
      <c r="B1223" s="8" t="s">
        <v>356</v>
      </c>
      <c r="C1223" s="330">
        <v>306.8</v>
      </c>
      <c r="D1223" s="330"/>
      <c r="E1223" s="330"/>
      <c r="F1223" s="40">
        <f t="shared" si="156"/>
        <v>306.8</v>
      </c>
      <c r="G1223" s="221">
        <f t="shared" si="157"/>
        <v>3.2925665373715425E-3</v>
      </c>
      <c r="H1223" s="316">
        <f t="shared" si="158"/>
        <v>7.4712615069458881</v>
      </c>
      <c r="I1223" s="37">
        <f t="shared" si="159"/>
        <v>2.7471828561040033</v>
      </c>
      <c r="J1223" s="316">
        <v>2.8815852302005611</v>
      </c>
      <c r="K1223" s="37">
        <f t="shared" si="155"/>
        <v>0.63800061794648377</v>
      </c>
      <c r="L1223" s="37"/>
      <c r="M1223" s="45">
        <f t="shared" ref="M1223:M1232" si="160">(K1223+J1223+I1223+H1223)/C1223</f>
        <v>4.4778455707943074E-2</v>
      </c>
    </row>
    <row r="1224" spans="1:13" s="6" customFormat="1" ht="15.75">
      <c r="A1224" s="8">
        <v>23</v>
      </c>
      <c r="B1224" s="8" t="s">
        <v>357</v>
      </c>
      <c r="C1224" s="330">
        <v>304.18</v>
      </c>
      <c r="D1224" s="330"/>
      <c r="E1224" s="330"/>
      <c r="F1224" s="40">
        <f t="shared" si="156"/>
        <v>304.18</v>
      </c>
      <c r="G1224" s="221">
        <f t="shared" si="157"/>
        <v>3.2644487918437933E-3</v>
      </c>
      <c r="H1224" s="316">
        <f t="shared" si="158"/>
        <v>7.4074586870365069</v>
      </c>
      <c r="I1224" s="37">
        <f t="shared" si="159"/>
        <v>2.7237225592233236</v>
      </c>
      <c r="J1224" s="316">
        <v>2.8569771685867233</v>
      </c>
      <c r="K1224" s="37">
        <f t="shared" si="155"/>
        <v>0.63255224239557184</v>
      </c>
      <c r="L1224" s="37"/>
      <c r="M1224" s="45">
        <f t="shared" si="160"/>
        <v>4.4778455707943074E-2</v>
      </c>
    </row>
    <row r="1225" spans="1:13" s="6" customFormat="1" ht="15.75">
      <c r="A1225" s="8">
        <v>24</v>
      </c>
      <c r="B1225" s="8" t="s">
        <v>358</v>
      </c>
      <c r="C1225" s="330">
        <v>823.48</v>
      </c>
      <c r="D1225" s="330"/>
      <c r="E1225" s="330"/>
      <c r="F1225" s="40">
        <f t="shared" si="156"/>
        <v>823.48</v>
      </c>
      <c r="G1225" s="221">
        <f t="shared" si="157"/>
        <v>8.8375576668667469E-3</v>
      </c>
      <c r="H1225" s="316">
        <f t="shared" si="158"/>
        <v>20.053567228617343</v>
      </c>
      <c r="I1225" s="37">
        <f t="shared" si="159"/>
        <v>7.3736966699625972</v>
      </c>
      <c r="J1225" s="316">
        <v>7.7344452586882593</v>
      </c>
      <c r="K1225" s="37">
        <f t="shared" si="155"/>
        <v>1.7124535491087696</v>
      </c>
      <c r="L1225" s="37"/>
      <c r="M1225" s="45">
        <f t="shared" si="160"/>
        <v>4.4778455707943074E-2</v>
      </c>
    </row>
    <row r="1226" spans="1:13" s="6" customFormat="1" ht="15.75">
      <c r="A1226" s="8">
        <v>25</v>
      </c>
      <c r="B1226" s="8" t="s">
        <v>359</v>
      </c>
      <c r="C1226" s="330">
        <v>733.47</v>
      </c>
      <c r="D1226" s="330"/>
      <c r="E1226" s="330">
        <v>70</v>
      </c>
      <c r="F1226" s="40">
        <f t="shared" si="156"/>
        <v>803.47</v>
      </c>
      <c r="G1226" s="221">
        <f t="shared" si="157"/>
        <v>8.6228110683895486E-3</v>
      </c>
      <c r="H1226" s="316">
        <f t="shared" si="158"/>
        <v>19.566279279614776</v>
      </c>
      <c r="I1226" s="37">
        <f t="shared" si="159"/>
        <v>7.1945208911143537</v>
      </c>
      <c r="J1226" s="316">
        <v>7.5465035362100554</v>
      </c>
      <c r="K1226" s="37">
        <f t="shared" si="155"/>
        <v>1.6708421007218428</v>
      </c>
      <c r="L1226" s="37"/>
      <c r="M1226" s="45">
        <f t="shared" si="160"/>
        <v>4.9051966416705561E-2</v>
      </c>
    </row>
    <row r="1227" spans="1:13" s="6" customFormat="1" ht="15.75">
      <c r="A1227" s="8">
        <v>26</v>
      </c>
      <c r="B1227" s="8" t="s">
        <v>360</v>
      </c>
      <c r="C1227" s="330">
        <v>4465.32</v>
      </c>
      <c r="D1227" s="330"/>
      <c r="E1227" s="330"/>
      <c r="F1227" s="40">
        <f t="shared" si="156"/>
        <v>4465.32</v>
      </c>
      <c r="G1227" s="221">
        <f t="shared" si="157"/>
        <v>4.7921653228995748E-2</v>
      </c>
      <c r="H1227" s="316">
        <f t="shared" si="158"/>
        <v>108.74046099151113</v>
      </c>
      <c r="I1227" s="37">
        <f t="shared" si="159"/>
        <v>39.983867506578648</v>
      </c>
      <c r="J1227" s="316">
        <v>41.940026597520109</v>
      </c>
      <c r="K1227" s="37">
        <f t="shared" si="155"/>
        <v>9.2857787461825065</v>
      </c>
      <c r="L1227" s="37"/>
      <c r="M1227" s="45">
        <f t="shared" si="160"/>
        <v>4.4778455707943081E-2</v>
      </c>
    </row>
    <row r="1228" spans="1:13" s="6" customFormat="1" ht="15.75">
      <c r="A1228" s="8">
        <v>27</v>
      </c>
      <c r="B1228" s="8" t="s">
        <v>361</v>
      </c>
      <c r="C1228" s="330">
        <v>2218.6799999999998</v>
      </c>
      <c r="D1228" s="330"/>
      <c r="E1228" s="330"/>
      <c r="F1228" s="40">
        <f t="shared" si="156"/>
        <v>2218.6799999999998</v>
      </c>
      <c r="G1228" s="221">
        <f t="shared" si="157"/>
        <v>2.3810793758590264E-2</v>
      </c>
      <c r="H1228" s="316">
        <f t="shared" si="158"/>
        <v>54.029786441429927</v>
      </c>
      <c r="I1228" s="37">
        <f t="shared" si="159"/>
        <v>19.866752474513785</v>
      </c>
      <c r="J1228" s="316">
        <v>20.838707687553391</v>
      </c>
      <c r="K1228" s="37">
        <f t="shared" si="155"/>
        <v>4.6138175066020359</v>
      </c>
      <c r="L1228" s="37"/>
      <c r="M1228" s="45">
        <f t="shared" si="160"/>
        <v>4.4778455707943074E-2</v>
      </c>
    </row>
    <row r="1229" spans="1:13" s="6" customFormat="1" ht="15.75">
      <c r="A1229" s="8">
        <v>28</v>
      </c>
      <c r="B1229" s="8" t="s">
        <v>362</v>
      </c>
      <c r="C1229" s="330">
        <v>120.8</v>
      </c>
      <c r="D1229" s="330"/>
      <c r="E1229" s="330"/>
      <c r="F1229" s="40">
        <f t="shared" si="156"/>
        <v>120.8</v>
      </c>
      <c r="G1229" s="221">
        <f t="shared" si="157"/>
        <v>1.29642124418019E-3</v>
      </c>
      <c r="H1229" s="316">
        <f t="shared" si="158"/>
        <v>2.9417483378065947</v>
      </c>
      <c r="I1229" s="37">
        <f t="shared" si="159"/>
        <v>1.081680863811485</v>
      </c>
      <c r="J1229" s="316">
        <v>1.1346007034166485</v>
      </c>
      <c r="K1229" s="37">
        <f t="shared" si="155"/>
        <v>0.25120754448479543</v>
      </c>
      <c r="L1229" s="37"/>
      <c r="M1229" s="45">
        <f t="shared" si="160"/>
        <v>4.4778455707943081E-2</v>
      </c>
    </row>
    <row r="1230" spans="1:13" s="6" customFormat="1" ht="15.75">
      <c r="A1230" s="8">
        <v>30</v>
      </c>
      <c r="B1230" s="8" t="s">
        <v>363</v>
      </c>
      <c r="C1230" s="330">
        <v>174.6</v>
      </c>
      <c r="D1230" s="330"/>
      <c r="E1230" s="330"/>
      <c r="F1230" s="40">
        <f t="shared" si="156"/>
        <v>174.6</v>
      </c>
      <c r="G1230" s="221">
        <f t="shared" si="157"/>
        <v>1.8738009042538178E-3</v>
      </c>
      <c r="H1230" s="316">
        <f t="shared" si="158"/>
        <v>4.2518978458694656</v>
      </c>
      <c r="I1230" s="37">
        <f t="shared" si="159"/>
        <v>1.5634228379262025</v>
      </c>
      <c r="J1230" s="316">
        <v>1.6399112815939307</v>
      </c>
      <c r="K1230" s="37">
        <f t="shared" si="155"/>
        <v>0.36308640121726227</v>
      </c>
      <c r="L1230" s="37"/>
      <c r="M1230" s="45">
        <f t="shared" si="160"/>
        <v>4.4778455707943074E-2</v>
      </c>
    </row>
    <row r="1231" spans="1:13" s="6" customFormat="1" ht="15.75">
      <c r="A1231" s="8">
        <v>31</v>
      </c>
      <c r="B1231" s="8" t="s">
        <v>364</v>
      </c>
      <c r="C1231" s="330">
        <v>139.19999999999999</v>
      </c>
      <c r="D1231" s="330"/>
      <c r="E1231" s="330"/>
      <c r="F1231" s="40">
        <f t="shared" si="156"/>
        <v>139.19999999999999</v>
      </c>
      <c r="G1231" s="221">
        <f t="shared" si="157"/>
        <v>1.4938893807109473E-3</v>
      </c>
      <c r="H1231" s="316">
        <f t="shared" si="158"/>
        <v>3.389829210452632</v>
      </c>
      <c r="I1231" s="37">
        <f t="shared" si="159"/>
        <v>1.246440200683433</v>
      </c>
      <c r="J1231" s="316">
        <v>1.3074206781092506</v>
      </c>
      <c r="K1231" s="37">
        <f t="shared" si="155"/>
        <v>0.28947094530036027</v>
      </c>
      <c r="L1231" s="37"/>
      <c r="M1231" s="45">
        <f t="shared" si="160"/>
        <v>4.4778455707943074E-2</v>
      </c>
    </row>
    <row r="1232" spans="1:13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156"/>
        <v>93179.589999999967</v>
      </c>
      <c r="G1232" s="221">
        <f>1/93179.59*F1232</f>
        <v>0.99999999999999967</v>
      </c>
      <c r="H1232" s="316">
        <f>G1232*2269.13</f>
        <v>2269.1299999999992</v>
      </c>
      <c r="I1232" s="64">
        <f t="shared" si="159"/>
        <v>834.35910099999978</v>
      </c>
      <c r="J1232" s="316">
        <f>SUM(J1203:J1231)</f>
        <v>875.17904269929579</v>
      </c>
      <c r="K1232" s="316">
        <f>SUM(K1203:K1231)</f>
        <v>193.77</v>
      </c>
      <c r="L1232" s="316"/>
      <c r="M1232" s="45">
        <f t="shared" si="160"/>
        <v>4.5435711176602507E-2</v>
      </c>
    </row>
    <row r="1233" spans="2:13" s="6" customFormat="1" ht="15.75">
      <c r="F1233" s="34"/>
      <c r="G1233" s="67"/>
      <c r="H1233" s="34"/>
      <c r="I1233" s="34"/>
      <c r="J1233" s="34"/>
      <c r="K1233" s="34"/>
      <c r="L1233" s="34"/>
      <c r="M1233" s="110"/>
    </row>
    <row r="1234" spans="2:13" s="67" customFormat="1" ht="15.75">
      <c r="B1234" s="63" t="s">
        <v>667</v>
      </c>
      <c r="C1234" s="65">
        <f t="shared" ref="C1234:M1234" si="161">C1232+C1202+C1146+C879+C747+C535+C384+C90+C67</f>
        <v>1871681.0599999996</v>
      </c>
      <c r="D1234" s="65">
        <f t="shared" si="161"/>
        <v>10680.369999999999</v>
      </c>
      <c r="E1234" s="65">
        <f t="shared" si="161"/>
        <v>25132.499999999996</v>
      </c>
      <c r="F1234" s="65">
        <f t="shared" si="161"/>
        <v>1907493.9299999997</v>
      </c>
      <c r="G1234" s="65">
        <f t="shared" si="161"/>
        <v>18.001760280763669</v>
      </c>
      <c r="H1234" s="65">
        <f t="shared" si="161"/>
        <v>40848.334305889264</v>
      </c>
      <c r="I1234" s="65">
        <f t="shared" si="161"/>
        <v>15019.932524275482</v>
      </c>
      <c r="J1234" s="65">
        <f t="shared" si="161"/>
        <v>19896.210051114511</v>
      </c>
      <c r="K1234" s="65">
        <f t="shared" si="161"/>
        <v>3632.7688797322085</v>
      </c>
      <c r="L1234" s="65"/>
      <c r="M1234" s="65">
        <f t="shared" si="161"/>
        <v>0.38028530403862121</v>
      </c>
    </row>
    <row r="1235" spans="2:13" s="6" customFormat="1" ht="15.75">
      <c r="F1235" s="34"/>
      <c r="G1235" s="67"/>
      <c r="H1235" s="34"/>
      <c r="I1235" s="34"/>
      <c r="J1235" s="34"/>
      <c r="K1235" s="34"/>
      <c r="L1235" s="34"/>
      <c r="M1235" s="34"/>
    </row>
    <row r="1236" spans="2:13" s="6" customFormat="1" ht="15.75">
      <c r="F1236" s="34"/>
      <c r="G1236" s="67"/>
      <c r="H1236" s="34"/>
      <c r="I1236" s="34"/>
      <c r="J1236" s="34"/>
      <c r="K1236" s="34"/>
      <c r="L1236" s="34"/>
      <c r="M1236" s="34"/>
    </row>
    <row r="1237" spans="2:13" s="6" customFormat="1" ht="15.75">
      <c r="F1237" s="34"/>
      <c r="G1237" s="67"/>
      <c r="H1237" s="34"/>
      <c r="I1237" s="34"/>
      <c r="J1237" s="34"/>
      <c r="K1237" s="34"/>
      <c r="L1237" s="34"/>
      <c r="M1237" s="34"/>
    </row>
    <row r="1238" spans="2:13" s="6" customFormat="1" ht="15.75">
      <c r="F1238" s="34"/>
      <c r="G1238" s="67"/>
      <c r="H1238" s="34"/>
      <c r="I1238" s="34"/>
      <c r="J1238" s="34"/>
      <c r="K1238" s="34"/>
      <c r="L1238" s="34"/>
      <c r="M1238" s="34"/>
    </row>
    <row r="1239" spans="2:13" s="6" customFormat="1" ht="15.75">
      <c r="F1239" s="34"/>
      <c r="G1239" s="67"/>
      <c r="H1239" s="34"/>
      <c r="I1239" s="34"/>
      <c r="J1239" s="34"/>
      <c r="K1239" s="34"/>
      <c r="L1239" s="34"/>
      <c r="M1239" s="34"/>
    </row>
    <row r="1240" spans="2:13" s="6" customFormat="1" ht="15.75">
      <c r="F1240" s="34"/>
      <c r="G1240" s="67"/>
      <c r="H1240" s="34"/>
      <c r="I1240" s="34"/>
      <c r="J1240" s="34"/>
      <c r="K1240" s="34"/>
      <c r="L1240" s="34"/>
      <c r="M1240" s="34"/>
    </row>
    <row r="1241" spans="2:13" s="6" customFormat="1" ht="15.75">
      <c r="F1241" s="34"/>
      <c r="G1241" s="67"/>
      <c r="H1241" s="34"/>
      <c r="I1241" s="34"/>
      <c r="J1241" s="34"/>
      <c r="K1241" s="34"/>
      <c r="L1241" s="34"/>
      <c r="M1241" s="34"/>
    </row>
    <row r="1242" spans="2:13" s="6" customFormat="1" ht="15.75">
      <c r="F1242" s="34"/>
      <c r="G1242" s="67"/>
      <c r="H1242" s="34"/>
      <c r="I1242" s="34"/>
      <c r="J1242" s="34"/>
      <c r="K1242" s="34"/>
      <c r="L1242" s="34"/>
      <c r="M1242" s="34"/>
    </row>
    <row r="1243" spans="2:13" s="6" customFormat="1" ht="15.75">
      <c r="F1243" s="34"/>
      <c r="G1243" s="67"/>
      <c r="H1243" s="34"/>
      <c r="I1243" s="34"/>
      <c r="J1243" s="34"/>
      <c r="K1243" s="34"/>
      <c r="L1243" s="34"/>
      <c r="M1243" s="34"/>
    </row>
    <row r="1244" spans="2:13" s="6" customFormat="1" ht="15.75">
      <c r="F1244" s="34"/>
      <c r="G1244" s="67"/>
      <c r="H1244" s="34"/>
      <c r="I1244" s="34"/>
      <c r="J1244" s="34"/>
      <c r="K1244" s="34"/>
      <c r="L1244" s="34"/>
      <c r="M1244" s="34"/>
    </row>
    <row r="1245" spans="2:13" s="6" customFormat="1" ht="15.75">
      <c r="F1245" s="34"/>
      <c r="G1245" s="67"/>
      <c r="H1245" s="34"/>
      <c r="I1245" s="34"/>
      <c r="J1245" s="34"/>
      <c r="K1245" s="34"/>
      <c r="L1245" s="34"/>
      <c r="M1245" s="34"/>
    </row>
    <row r="1246" spans="2:13" s="6" customFormat="1" ht="15.75">
      <c r="F1246" s="34"/>
      <c r="G1246" s="67"/>
      <c r="H1246" s="34"/>
      <c r="I1246" s="34"/>
      <c r="J1246" s="34"/>
      <c r="K1246" s="34"/>
      <c r="L1246" s="34"/>
      <c r="M1246" s="34"/>
    </row>
    <row r="1247" spans="2:13" s="6" customFormat="1" ht="15.75">
      <c r="F1247" s="34"/>
      <c r="G1247" s="67"/>
      <c r="H1247" s="34"/>
      <c r="I1247" s="34"/>
      <c r="J1247" s="34"/>
      <c r="K1247" s="34"/>
      <c r="L1247" s="34"/>
      <c r="M1247" s="34"/>
    </row>
    <row r="1248" spans="2:13" s="6" customFormat="1" ht="15.75">
      <c r="F1248" s="34"/>
      <c r="G1248" s="67"/>
      <c r="H1248" s="34"/>
      <c r="I1248" s="34"/>
      <c r="J1248" s="34"/>
      <c r="K1248" s="34"/>
      <c r="L1248" s="34"/>
      <c r="M1248" s="34"/>
    </row>
    <row r="1249" spans="6:13" s="6" customFormat="1" ht="15.75">
      <c r="F1249" s="34"/>
      <c r="G1249" s="67"/>
      <c r="H1249" s="34"/>
      <c r="I1249" s="34"/>
      <c r="J1249" s="34"/>
      <c r="K1249" s="34"/>
      <c r="L1249" s="34"/>
      <c r="M1249" s="34"/>
    </row>
    <row r="1250" spans="6:13" s="6" customFormat="1" ht="15.75">
      <c r="F1250" s="34"/>
      <c r="G1250" s="67"/>
      <c r="H1250" s="34"/>
      <c r="I1250" s="34"/>
      <c r="J1250" s="34"/>
      <c r="K1250" s="34"/>
      <c r="L1250" s="34"/>
      <c r="M1250" s="34"/>
    </row>
    <row r="1251" spans="6:13" s="6" customFormat="1" ht="15.75">
      <c r="F1251" s="34"/>
      <c r="G1251" s="67"/>
      <c r="H1251" s="34"/>
      <c r="I1251" s="34"/>
      <c r="J1251" s="34"/>
      <c r="K1251" s="34"/>
      <c r="L1251" s="34"/>
      <c r="M1251" s="34"/>
    </row>
    <row r="1252" spans="6:13" s="6" customFormat="1" ht="15.75">
      <c r="F1252" s="34"/>
      <c r="G1252" s="67"/>
      <c r="H1252" s="34"/>
      <c r="I1252" s="34"/>
      <c r="J1252" s="34"/>
      <c r="K1252" s="34"/>
      <c r="L1252" s="34"/>
      <c r="M1252" s="34"/>
    </row>
    <row r="1253" spans="6:13" s="6" customFormat="1" ht="15.75">
      <c r="F1253" s="34"/>
      <c r="G1253" s="67"/>
      <c r="H1253" s="34"/>
      <c r="I1253" s="34"/>
      <c r="J1253" s="34"/>
      <c r="K1253" s="34"/>
      <c r="L1253" s="34"/>
      <c r="M1253" s="34"/>
    </row>
    <row r="1254" spans="6:13" s="6" customFormat="1" ht="15.75">
      <c r="F1254" s="34"/>
      <c r="G1254" s="67"/>
      <c r="H1254" s="34"/>
      <c r="I1254" s="34"/>
      <c r="J1254" s="34"/>
      <c r="K1254" s="34"/>
      <c r="L1254" s="34"/>
      <c r="M1254" s="34"/>
    </row>
    <row r="1255" spans="6:13" s="6" customFormat="1" ht="15.75">
      <c r="F1255" s="34"/>
      <c r="G1255" s="67"/>
      <c r="H1255" s="34"/>
      <c r="I1255" s="34"/>
      <c r="J1255" s="34"/>
      <c r="K1255" s="34"/>
      <c r="L1255" s="34"/>
      <c r="M1255" s="34"/>
    </row>
    <row r="1256" spans="6:13" s="6" customFormat="1" ht="15.75">
      <c r="F1256" s="34"/>
      <c r="G1256" s="67"/>
      <c r="H1256" s="34"/>
      <c r="I1256" s="34"/>
      <c r="J1256" s="34"/>
      <c r="K1256" s="34"/>
      <c r="L1256" s="34"/>
      <c r="M1256" s="34"/>
    </row>
    <row r="1257" spans="6:13" s="6" customFormat="1" ht="15.75">
      <c r="F1257" s="34"/>
      <c r="G1257" s="67"/>
      <c r="H1257" s="34"/>
      <c r="I1257" s="34"/>
      <c r="J1257" s="34"/>
      <c r="K1257" s="34"/>
      <c r="L1257" s="34"/>
      <c r="M1257" s="34"/>
    </row>
    <row r="1258" spans="6:13" s="6" customFormat="1" ht="15.75">
      <c r="F1258" s="34"/>
      <c r="G1258" s="67"/>
      <c r="H1258" s="34"/>
      <c r="I1258" s="34"/>
      <c r="J1258" s="34"/>
      <c r="K1258" s="34"/>
      <c r="L1258" s="34"/>
      <c r="M1258" s="34"/>
    </row>
    <row r="1259" spans="6:13" s="6" customFormat="1" ht="15.75">
      <c r="F1259" s="34"/>
      <c r="G1259" s="67"/>
      <c r="H1259" s="34"/>
      <c r="I1259" s="34"/>
      <c r="J1259" s="34"/>
      <c r="K1259" s="34"/>
      <c r="L1259" s="34"/>
      <c r="M1259" s="34"/>
    </row>
    <row r="1260" spans="6:13" s="6" customFormat="1" ht="15.75">
      <c r="F1260" s="34"/>
      <c r="G1260" s="67"/>
      <c r="H1260" s="34"/>
      <c r="I1260" s="34"/>
      <c r="J1260" s="34"/>
      <c r="K1260" s="34"/>
      <c r="L1260" s="34"/>
      <c r="M1260" s="34"/>
    </row>
    <row r="1261" spans="6:13" s="6" customFormat="1" ht="15.75">
      <c r="F1261" s="34"/>
      <c r="G1261" s="67"/>
      <c r="H1261" s="34"/>
      <c r="I1261" s="34"/>
      <c r="J1261" s="34"/>
      <c r="K1261" s="34"/>
      <c r="L1261" s="34"/>
      <c r="M1261" s="34"/>
    </row>
    <row r="1262" spans="6:13" s="6" customFormat="1" ht="15.75">
      <c r="F1262" s="34"/>
      <c r="G1262" s="67"/>
      <c r="H1262" s="34"/>
      <c r="I1262" s="34"/>
      <c r="J1262" s="34"/>
      <c r="K1262" s="34"/>
      <c r="L1262" s="34"/>
      <c r="M1262" s="34"/>
    </row>
    <row r="1263" spans="6:13" s="6" customFormat="1" ht="15.75">
      <c r="F1263" s="34"/>
      <c r="G1263" s="67"/>
      <c r="H1263" s="34"/>
      <c r="I1263" s="34"/>
      <c r="J1263" s="34"/>
      <c r="K1263" s="34"/>
      <c r="L1263" s="34"/>
      <c r="M1263" s="34"/>
    </row>
    <row r="1264" spans="6:13" s="6" customFormat="1" ht="15.75">
      <c r="F1264" s="34"/>
      <c r="G1264" s="67"/>
      <c r="H1264" s="34"/>
      <c r="I1264" s="34"/>
      <c r="J1264" s="34"/>
      <c r="K1264" s="34"/>
      <c r="L1264" s="34"/>
      <c r="M1264" s="34"/>
    </row>
    <row r="1265" spans="6:13" s="6" customFormat="1" ht="15.75">
      <c r="F1265" s="34"/>
      <c r="G1265" s="67"/>
      <c r="H1265" s="34"/>
      <c r="I1265" s="34"/>
      <c r="J1265" s="34"/>
      <c r="K1265" s="34"/>
      <c r="L1265" s="34"/>
      <c r="M1265" s="34"/>
    </row>
    <row r="1266" spans="6:13" s="6" customFormat="1" ht="15.75">
      <c r="F1266" s="34"/>
      <c r="G1266" s="67"/>
      <c r="H1266" s="34"/>
      <c r="I1266" s="34"/>
      <c r="J1266" s="34"/>
      <c r="K1266" s="34"/>
      <c r="L1266" s="34"/>
      <c r="M1266" s="34"/>
    </row>
    <row r="1267" spans="6:13" s="6" customFormat="1" ht="15.75">
      <c r="F1267" s="34"/>
      <c r="G1267" s="67"/>
      <c r="H1267" s="34"/>
      <c r="I1267" s="34"/>
      <c r="J1267" s="34"/>
      <c r="K1267" s="34"/>
      <c r="L1267" s="34"/>
      <c r="M1267" s="34"/>
    </row>
    <row r="1268" spans="6:13" s="6" customFormat="1" ht="15.75">
      <c r="F1268" s="34"/>
      <c r="G1268" s="67"/>
      <c r="H1268" s="34"/>
      <c r="I1268" s="34"/>
      <c r="J1268" s="34"/>
      <c r="K1268" s="34"/>
      <c r="L1268" s="34"/>
      <c r="M1268" s="34"/>
    </row>
    <row r="1269" spans="6:13" s="6" customFormat="1" ht="15.75">
      <c r="F1269" s="34"/>
      <c r="G1269" s="67"/>
      <c r="H1269" s="34"/>
      <c r="I1269" s="34"/>
      <c r="J1269" s="34"/>
      <c r="K1269" s="34"/>
      <c r="L1269" s="34"/>
      <c r="M1269" s="34"/>
    </row>
    <row r="1270" spans="6:13" s="6" customFormat="1" ht="15.75">
      <c r="F1270" s="34"/>
      <c r="G1270" s="67"/>
      <c r="H1270" s="34"/>
      <c r="I1270" s="34"/>
      <c r="J1270" s="34"/>
      <c r="K1270" s="34"/>
      <c r="L1270" s="34"/>
      <c r="M1270" s="34"/>
    </row>
    <row r="1271" spans="6:13" s="6" customFormat="1" ht="15.75">
      <c r="F1271" s="34"/>
      <c r="G1271" s="67"/>
      <c r="H1271" s="34"/>
      <c r="I1271" s="34"/>
      <c r="J1271" s="34"/>
      <c r="K1271" s="34"/>
      <c r="L1271" s="34"/>
      <c r="M1271" s="34"/>
    </row>
    <row r="1272" spans="6:13" s="6" customFormat="1" ht="15.75">
      <c r="F1272" s="34"/>
      <c r="G1272" s="67"/>
      <c r="H1272" s="34"/>
      <c r="I1272" s="34"/>
      <c r="J1272" s="34"/>
      <c r="K1272" s="34"/>
      <c r="L1272" s="34"/>
      <c r="M1272" s="34"/>
    </row>
    <row r="1273" spans="6:13" s="6" customFormat="1" ht="15.75">
      <c r="F1273" s="34"/>
      <c r="G1273" s="67"/>
      <c r="H1273" s="34"/>
      <c r="I1273" s="34"/>
      <c r="J1273" s="34"/>
      <c r="K1273" s="34"/>
      <c r="L1273" s="34"/>
      <c r="M1273" s="34"/>
    </row>
    <row r="1274" spans="6:13" s="6" customFormat="1" ht="15.75">
      <c r="F1274" s="34"/>
      <c r="G1274" s="67"/>
      <c r="H1274" s="34"/>
      <c r="I1274" s="34"/>
      <c r="J1274" s="34"/>
      <c r="K1274" s="34"/>
      <c r="L1274" s="34"/>
      <c r="M1274" s="34"/>
    </row>
    <row r="1275" spans="6:13" s="6" customFormat="1" ht="15.75">
      <c r="F1275" s="34"/>
      <c r="G1275" s="67"/>
      <c r="H1275" s="34"/>
      <c r="I1275" s="34"/>
      <c r="J1275" s="34"/>
      <c r="K1275" s="34"/>
      <c r="L1275" s="34"/>
      <c r="M1275" s="34"/>
    </row>
    <row r="1276" spans="6:13" s="6" customFormat="1" ht="15.75">
      <c r="F1276" s="34"/>
      <c r="G1276" s="67"/>
      <c r="H1276" s="34"/>
      <c r="I1276" s="34"/>
      <c r="J1276" s="34"/>
      <c r="K1276" s="34"/>
      <c r="L1276" s="34"/>
      <c r="M1276" s="34"/>
    </row>
    <row r="1277" spans="6:13" s="6" customFormat="1" ht="15.75">
      <c r="F1277" s="34"/>
      <c r="G1277" s="67"/>
      <c r="H1277" s="34"/>
      <c r="I1277" s="34"/>
      <c r="J1277" s="34"/>
      <c r="K1277" s="34"/>
      <c r="L1277" s="34"/>
      <c r="M1277" s="34"/>
    </row>
    <row r="1278" spans="6:13" s="6" customFormat="1" ht="15.75">
      <c r="F1278" s="34"/>
      <c r="G1278" s="67"/>
      <c r="H1278" s="34"/>
      <c r="I1278" s="34"/>
      <c r="J1278" s="34"/>
      <c r="K1278" s="34"/>
      <c r="L1278" s="34"/>
      <c r="M1278" s="34"/>
    </row>
    <row r="1279" spans="6:13" s="6" customFormat="1" ht="15.75">
      <c r="F1279" s="34"/>
      <c r="G1279" s="67"/>
      <c r="H1279" s="34"/>
      <c r="I1279" s="34"/>
      <c r="J1279" s="34"/>
      <c r="K1279" s="34"/>
      <c r="L1279" s="34"/>
      <c r="M1279" s="34"/>
    </row>
    <row r="1280" spans="6:13" s="6" customFormat="1" ht="15.75">
      <c r="F1280" s="34"/>
      <c r="G1280" s="67"/>
      <c r="H1280" s="34"/>
      <c r="I1280" s="34"/>
      <c r="J1280" s="34"/>
      <c r="K1280" s="34"/>
      <c r="L1280" s="34"/>
      <c r="M1280" s="34"/>
    </row>
    <row r="1281" spans="6:13" s="6" customFormat="1" ht="15.75">
      <c r="F1281" s="34"/>
      <c r="G1281" s="67"/>
      <c r="H1281" s="34"/>
      <c r="I1281" s="34"/>
      <c r="J1281" s="34"/>
      <c r="K1281" s="34"/>
      <c r="L1281" s="34"/>
      <c r="M1281" s="34"/>
    </row>
    <row r="1282" spans="6:13" s="6" customFormat="1" ht="15.75">
      <c r="F1282" s="34"/>
      <c r="G1282" s="67"/>
      <c r="H1282" s="34"/>
      <c r="I1282" s="34"/>
      <c r="J1282" s="34"/>
      <c r="K1282" s="34"/>
      <c r="L1282" s="34"/>
      <c r="M1282" s="34"/>
    </row>
    <row r="1283" spans="6:13" s="6" customFormat="1" ht="15.75">
      <c r="F1283" s="34"/>
      <c r="G1283" s="67"/>
      <c r="H1283" s="34"/>
      <c r="I1283" s="34"/>
      <c r="J1283" s="34"/>
      <c r="K1283" s="34"/>
      <c r="L1283" s="34"/>
      <c r="M1283" s="34"/>
    </row>
    <row r="1284" spans="6:13" s="6" customFormat="1" ht="15.75">
      <c r="F1284" s="34"/>
      <c r="G1284" s="67"/>
      <c r="H1284" s="34"/>
      <c r="I1284" s="34"/>
      <c r="J1284" s="34"/>
      <c r="K1284" s="34"/>
      <c r="L1284" s="34"/>
      <c r="M1284" s="34"/>
    </row>
    <row r="1285" spans="6:13" s="6" customFormat="1" ht="15.75">
      <c r="F1285" s="34"/>
      <c r="G1285" s="67"/>
      <c r="H1285" s="34"/>
      <c r="I1285" s="34"/>
      <c r="J1285" s="34"/>
      <c r="K1285" s="34"/>
      <c r="L1285" s="34"/>
      <c r="M1285" s="34"/>
    </row>
    <row r="1286" spans="6:13" s="6" customFormat="1" ht="15.75">
      <c r="F1286" s="34"/>
      <c r="G1286" s="67"/>
      <c r="H1286" s="34"/>
      <c r="I1286" s="34"/>
      <c r="J1286" s="34"/>
      <c r="K1286" s="34"/>
      <c r="L1286" s="34"/>
      <c r="M1286" s="34"/>
    </row>
    <row r="1287" spans="6:13" s="6" customFormat="1" ht="15.75">
      <c r="F1287" s="34"/>
      <c r="G1287" s="67"/>
      <c r="H1287" s="34"/>
      <c r="I1287" s="34"/>
      <c r="J1287" s="34"/>
      <c r="K1287" s="34"/>
      <c r="L1287" s="34"/>
      <c r="M1287" s="34"/>
    </row>
    <row r="1288" spans="6:13" s="6" customFormat="1" ht="15.75">
      <c r="F1288" s="34"/>
      <c r="G1288" s="67"/>
      <c r="H1288" s="34"/>
      <c r="I1288" s="34"/>
      <c r="J1288" s="34"/>
      <c r="K1288" s="34"/>
      <c r="L1288" s="34"/>
      <c r="M1288" s="34"/>
    </row>
    <row r="1289" spans="6:13" s="6" customFormat="1" ht="15.75">
      <c r="F1289" s="34"/>
      <c r="G1289" s="67"/>
      <c r="H1289" s="34"/>
      <c r="I1289" s="34"/>
      <c r="J1289" s="34"/>
      <c r="K1289" s="34"/>
      <c r="L1289" s="34"/>
      <c r="M1289" s="34"/>
    </row>
    <row r="1290" spans="6:13" s="6" customFormat="1" ht="15.75">
      <c r="F1290" s="34"/>
      <c r="G1290" s="67"/>
      <c r="H1290" s="34"/>
      <c r="I1290" s="34"/>
      <c r="J1290" s="34"/>
      <c r="K1290" s="34"/>
      <c r="L1290" s="34"/>
      <c r="M1290" s="34"/>
    </row>
    <row r="1291" spans="6:13" s="6" customFormat="1" ht="15.75">
      <c r="F1291" s="34"/>
      <c r="G1291" s="67"/>
      <c r="H1291" s="34"/>
      <c r="I1291" s="34"/>
      <c r="J1291" s="34"/>
      <c r="K1291" s="34"/>
      <c r="L1291" s="34"/>
      <c r="M1291" s="34"/>
    </row>
    <row r="1292" spans="6:13" s="6" customFormat="1" ht="15.75">
      <c r="F1292" s="34"/>
      <c r="G1292" s="67"/>
      <c r="H1292" s="34"/>
      <c r="I1292" s="34"/>
      <c r="J1292" s="34"/>
      <c r="K1292" s="34"/>
      <c r="L1292" s="34"/>
      <c r="M1292" s="34"/>
    </row>
    <row r="1293" spans="6:13" s="6" customFormat="1" ht="15.75">
      <c r="F1293" s="34"/>
      <c r="G1293" s="67"/>
      <c r="H1293" s="34"/>
      <c r="I1293" s="34"/>
      <c r="J1293" s="34"/>
      <c r="K1293" s="34"/>
      <c r="L1293" s="34"/>
      <c r="M1293" s="34"/>
    </row>
    <row r="1294" spans="6:13" s="6" customFormat="1" ht="15.75">
      <c r="F1294" s="34"/>
      <c r="G1294" s="67"/>
      <c r="H1294" s="34"/>
      <c r="I1294" s="34"/>
      <c r="J1294" s="34"/>
      <c r="K1294" s="34"/>
      <c r="L1294" s="34"/>
      <c r="M1294" s="34"/>
    </row>
    <row r="1295" spans="6:13" s="6" customFormat="1" ht="15.75">
      <c r="F1295" s="34"/>
      <c r="G1295" s="67"/>
      <c r="H1295" s="34"/>
      <c r="I1295" s="34"/>
      <c r="J1295" s="34"/>
      <c r="K1295" s="34"/>
      <c r="L1295" s="34"/>
      <c r="M1295" s="34"/>
    </row>
    <row r="1296" spans="6:13" s="6" customFormat="1" ht="15.75">
      <c r="F1296" s="34"/>
      <c r="G1296" s="67"/>
      <c r="H1296" s="34"/>
      <c r="I1296" s="34"/>
      <c r="J1296" s="34"/>
      <c r="K1296" s="34"/>
      <c r="L1296" s="34"/>
      <c r="M1296" s="34"/>
    </row>
    <row r="1297" spans="6:13" s="6" customFormat="1" ht="15.75">
      <c r="F1297" s="34"/>
      <c r="G1297" s="67"/>
      <c r="H1297" s="34"/>
      <c r="I1297" s="34"/>
      <c r="J1297" s="34"/>
      <c r="K1297" s="34"/>
      <c r="L1297" s="34"/>
      <c r="M1297" s="34"/>
    </row>
    <row r="1298" spans="6:13" s="6" customFormat="1" ht="15.75">
      <c r="F1298" s="34"/>
      <c r="G1298" s="67"/>
      <c r="H1298" s="34"/>
      <c r="I1298" s="34"/>
      <c r="J1298" s="34"/>
      <c r="K1298" s="34"/>
      <c r="L1298" s="34"/>
      <c r="M1298" s="34"/>
    </row>
    <row r="1299" spans="6:13" s="6" customFormat="1" ht="15.75">
      <c r="F1299" s="34"/>
      <c r="G1299" s="67"/>
      <c r="H1299" s="34"/>
      <c r="I1299" s="34"/>
      <c r="J1299" s="34"/>
      <c r="K1299" s="34"/>
      <c r="L1299" s="34"/>
      <c r="M1299" s="34"/>
    </row>
    <row r="1300" spans="6:13" s="6" customFormat="1" ht="15.75">
      <c r="F1300" s="34"/>
      <c r="G1300" s="67"/>
      <c r="H1300" s="34"/>
      <c r="I1300" s="34"/>
      <c r="J1300" s="34"/>
      <c r="K1300" s="34"/>
      <c r="L1300" s="34"/>
      <c r="M1300" s="34"/>
    </row>
    <row r="1301" spans="6:13" s="6" customFormat="1" ht="15.75">
      <c r="F1301" s="34"/>
      <c r="G1301" s="67"/>
      <c r="H1301" s="34"/>
      <c r="I1301" s="34"/>
      <c r="J1301" s="34"/>
      <c r="K1301" s="34"/>
      <c r="L1301" s="34"/>
      <c r="M1301" s="34"/>
    </row>
    <row r="1302" spans="6:13" s="6" customFormat="1" ht="15.75">
      <c r="F1302" s="34"/>
      <c r="G1302" s="67"/>
      <c r="H1302" s="34"/>
      <c r="I1302" s="34"/>
      <c r="J1302" s="34"/>
      <c r="K1302" s="34"/>
      <c r="L1302" s="34"/>
      <c r="M1302" s="34"/>
    </row>
    <row r="1303" spans="6:13" s="6" customFormat="1" ht="15.75">
      <c r="F1303" s="34"/>
      <c r="G1303" s="67"/>
      <c r="H1303" s="34"/>
      <c r="I1303" s="34"/>
      <c r="J1303" s="34"/>
      <c r="K1303" s="34"/>
      <c r="L1303" s="34"/>
      <c r="M1303" s="34"/>
    </row>
    <row r="1304" spans="6:13" s="6" customFormat="1" ht="15.75">
      <c r="F1304" s="34"/>
      <c r="G1304" s="67"/>
      <c r="H1304" s="34"/>
      <c r="I1304" s="34"/>
      <c r="J1304" s="34"/>
      <c r="K1304" s="34"/>
      <c r="L1304" s="34"/>
      <c r="M1304" s="34"/>
    </row>
    <row r="1305" spans="6:13" s="6" customFormat="1" ht="15.75">
      <c r="F1305" s="34"/>
      <c r="G1305" s="67"/>
      <c r="H1305" s="34"/>
      <c r="I1305" s="34"/>
      <c r="J1305" s="34"/>
      <c r="K1305" s="34"/>
      <c r="L1305" s="34"/>
      <c r="M1305" s="34"/>
    </row>
    <row r="1306" spans="6:13" s="6" customFormat="1" ht="15.75">
      <c r="F1306" s="34"/>
      <c r="G1306" s="67"/>
      <c r="H1306" s="34"/>
      <c r="I1306" s="34"/>
      <c r="J1306" s="34"/>
      <c r="K1306" s="34"/>
      <c r="L1306" s="34"/>
      <c r="M1306" s="34"/>
    </row>
    <row r="1307" spans="6:13" s="6" customFormat="1" ht="15.75">
      <c r="F1307" s="34"/>
      <c r="G1307" s="67"/>
      <c r="H1307" s="34"/>
      <c r="I1307" s="34"/>
      <c r="J1307" s="34"/>
      <c r="K1307" s="34"/>
      <c r="L1307" s="34"/>
      <c r="M1307" s="34"/>
    </row>
    <row r="1308" spans="6:13" s="6" customFormat="1" ht="15.75">
      <c r="F1308" s="34"/>
      <c r="G1308" s="67"/>
      <c r="H1308" s="34"/>
      <c r="I1308" s="34"/>
      <c r="J1308" s="34"/>
      <c r="K1308" s="34"/>
      <c r="L1308" s="34"/>
      <c r="M1308" s="34"/>
    </row>
    <row r="1309" spans="6:13" s="6" customFormat="1" ht="15.75">
      <c r="F1309" s="34"/>
      <c r="G1309" s="67"/>
      <c r="H1309" s="34"/>
      <c r="I1309" s="34"/>
      <c r="J1309" s="34"/>
      <c r="K1309" s="34"/>
      <c r="L1309" s="34"/>
      <c r="M1309" s="34"/>
    </row>
    <row r="1310" spans="6:13" s="6" customFormat="1" ht="15.75">
      <c r="F1310" s="34"/>
      <c r="G1310" s="67"/>
      <c r="H1310" s="34"/>
      <c r="I1310" s="34"/>
      <c r="J1310" s="34"/>
      <c r="K1310" s="34"/>
      <c r="L1310" s="34"/>
      <c r="M1310" s="34"/>
    </row>
    <row r="1311" spans="6:13" s="6" customFormat="1" ht="15.75">
      <c r="F1311" s="34"/>
      <c r="G1311" s="67"/>
      <c r="H1311" s="34"/>
      <c r="I1311" s="34"/>
      <c r="J1311" s="34"/>
      <c r="K1311" s="34"/>
      <c r="L1311" s="34"/>
      <c r="M1311" s="34"/>
    </row>
    <row r="1312" spans="6:13" s="6" customFormat="1" ht="15.75">
      <c r="F1312" s="34"/>
      <c r="G1312" s="67"/>
      <c r="H1312" s="34"/>
      <c r="I1312" s="34"/>
      <c r="J1312" s="34"/>
      <c r="K1312" s="34"/>
      <c r="L1312" s="34"/>
      <c r="M1312" s="34"/>
    </row>
    <row r="1313" spans="6:13" s="6" customFormat="1" ht="15.75">
      <c r="F1313" s="34"/>
      <c r="G1313" s="67"/>
      <c r="H1313" s="34"/>
      <c r="I1313" s="34"/>
      <c r="J1313" s="34"/>
      <c r="K1313" s="34"/>
      <c r="L1313" s="34"/>
      <c r="M1313" s="34"/>
    </row>
    <row r="1314" spans="6:13" s="6" customFormat="1" ht="15.75">
      <c r="F1314" s="34"/>
      <c r="G1314" s="67"/>
      <c r="H1314" s="34"/>
      <c r="I1314" s="34"/>
      <c r="J1314" s="34"/>
      <c r="K1314" s="34"/>
      <c r="L1314" s="34"/>
      <c r="M1314" s="34"/>
    </row>
    <row r="1315" spans="6:13" s="6" customFormat="1" ht="15.75">
      <c r="F1315" s="34"/>
      <c r="G1315" s="67"/>
      <c r="H1315" s="34"/>
      <c r="I1315" s="34"/>
      <c r="J1315" s="34"/>
      <c r="K1315" s="34"/>
      <c r="L1315" s="34"/>
      <c r="M1315" s="34"/>
    </row>
    <row r="1316" spans="6:13" s="6" customFormat="1" ht="15.75">
      <c r="F1316" s="34"/>
      <c r="G1316" s="67"/>
      <c r="H1316" s="34"/>
      <c r="I1316" s="34"/>
      <c r="J1316" s="34"/>
      <c r="K1316" s="34"/>
      <c r="L1316" s="34"/>
      <c r="M1316" s="34"/>
    </row>
    <row r="1317" spans="6:13" s="6" customFormat="1" ht="15.75">
      <c r="F1317" s="34"/>
      <c r="G1317" s="67"/>
      <c r="H1317" s="34"/>
      <c r="I1317" s="34"/>
      <c r="J1317" s="34"/>
      <c r="K1317" s="34"/>
      <c r="L1317" s="34"/>
      <c r="M1317" s="34"/>
    </row>
    <row r="1318" spans="6:13" s="6" customFormat="1" ht="15.75">
      <c r="F1318" s="34"/>
      <c r="G1318" s="67"/>
      <c r="H1318" s="34"/>
      <c r="I1318" s="34"/>
      <c r="J1318" s="34"/>
      <c r="K1318" s="34"/>
      <c r="L1318" s="34"/>
      <c r="M1318" s="34"/>
    </row>
    <row r="1319" spans="6:13" s="6" customFormat="1" ht="15.75">
      <c r="F1319" s="34"/>
      <c r="G1319" s="67"/>
      <c r="H1319" s="34"/>
      <c r="I1319" s="34"/>
      <c r="J1319" s="34"/>
      <c r="K1319" s="34"/>
      <c r="L1319" s="34"/>
      <c r="M1319" s="34"/>
    </row>
    <row r="1320" spans="6:13" s="6" customFormat="1" ht="15.75">
      <c r="F1320" s="34"/>
      <c r="G1320" s="67"/>
      <c r="H1320" s="34"/>
      <c r="I1320" s="34"/>
      <c r="J1320" s="34"/>
      <c r="K1320" s="34"/>
      <c r="L1320" s="34"/>
      <c r="M1320" s="34"/>
    </row>
    <row r="1321" spans="6:13" s="6" customFormat="1" ht="15.75">
      <c r="F1321" s="34"/>
      <c r="G1321" s="67"/>
      <c r="H1321" s="34"/>
      <c r="I1321" s="34"/>
      <c r="J1321" s="34"/>
      <c r="K1321" s="34"/>
      <c r="L1321" s="34"/>
      <c r="M1321" s="34"/>
    </row>
    <row r="1322" spans="6:13" s="6" customFormat="1" ht="15.75">
      <c r="F1322" s="34"/>
      <c r="G1322" s="67"/>
      <c r="H1322" s="34"/>
      <c r="I1322" s="34"/>
      <c r="J1322" s="34"/>
      <c r="K1322" s="34"/>
      <c r="L1322" s="34"/>
      <c r="M1322" s="34"/>
    </row>
    <row r="1323" spans="6:13" s="6" customFormat="1" ht="15.75">
      <c r="F1323" s="34"/>
      <c r="G1323" s="67"/>
      <c r="H1323" s="34"/>
      <c r="I1323" s="34"/>
      <c r="J1323" s="34"/>
      <c r="K1323" s="34"/>
      <c r="L1323" s="34"/>
      <c r="M1323" s="34"/>
    </row>
    <row r="1324" spans="6:13" s="6" customFormat="1" ht="15.75">
      <c r="F1324" s="34"/>
      <c r="G1324" s="67"/>
      <c r="H1324" s="34"/>
      <c r="I1324" s="34"/>
      <c r="J1324" s="34"/>
      <c r="K1324" s="34"/>
      <c r="L1324" s="34"/>
      <c r="M1324" s="34"/>
    </row>
    <row r="1325" spans="6:13" s="6" customFormat="1" ht="15.75">
      <c r="F1325" s="34"/>
      <c r="G1325" s="67"/>
      <c r="H1325" s="34"/>
      <c r="I1325" s="34"/>
      <c r="J1325" s="34"/>
      <c r="K1325" s="34"/>
      <c r="L1325" s="34"/>
      <c r="M1325" s="34"/>
    </row>
    <row r="1326" spans="6:13" s="6" customFormat="1" ht="15.75">
      <c r="F1326" s="34"/>
      <c r="G1326" s="67"/>
      <c r="H1326" s="34"/>
      <c r="I1326" s="34"/>
      <c r="J1326" s="34"/>
      <c r="K1326" s="34"/>
      <c r="L1326" s="34"/>
      <c r="M1326" s="34"/>
    </row>
    <row r="1327" spans="6:13" s="6" customFormat="1" ht="15.75">
      <c r="F1327" s="34"/>
      <c r="G1327" s="67"/>
      <c r="H1327" s="34"/>
      <c r="I1327" s="34"/>
      <c r="J1327" s="34"/>
      <c r="K1327" s="34"/>
      <c r="L1327" s="34"/>
      <c r="M1327" s="34"/>
    </row>
    <row r="1328" spans="6:13" s="6" customFormat="1" ht="15.75">
      <c r="F1328" s="34"/>
      <c r="G1328" s="67"/>
      <c r="H1328" s="34"/>
      <c r="I1328" s="34"/>
      <c r="J1328" s="34"/>
      <c r="K1328" s="34"/>
      <c r="L1328" s="34"/>
      <c r="M1328" s="34"/>
    </row>
    <row r="1329" spans="6:13" s="6" customFormat="1" ht="15.75">
      <c r="F1329" s="34"/>
      <c r="G1329" s="67"/>
      <c r="H1329" s="34"/>
      <c r="I1329" s="34"/>
      <c r="J1329" s="34"/>
      <c r="K1329" s="34"/>
      <c r="L1329" s="34"/>
      <c r="M1329" s="34"/>
    </row>
    <row r="1330" spans="6:13" s="6" customFormat="1" ht="15.75">
      <c r="F1330" s="34"/>
      <c r="G1330" s="67"/>
      <c r="H1330" s="34"/>
      <c r="I1330" s="34"/>
      <c r="J1330" s="34"/>
      <c r="K1330" s="34"/>
      <c r="L1330" s="34"/>
      <c r="M1330" s="34"/>
    </row>
    <row r="1331" spans="6:13" s="6" customFormat="1" ht="15.75">
      <c r="F1331" s="34"/>
      <c r="G1331" s="67"/>
      <c r="H1331" s="34"/>
      <c r="I1331" s="34"/>
      <c r="J1331" s="34"/>
      <c r="K1331" s="34"/>
      <c r="L1331" s="34"/>
      <c r="M1331" s="34"/>
    </row>
    <row r="1332" spans="6:13" s="6" customFormat="1" ht="15.75">
      <c r="F1332" s="34"/>
      <c r="G1332" s="67"/>
      <c r="H1332" s="34"/>
      <c r="I1332" s="34"/>
      <c r="J1332" s="34"/>
      <c r="K1332" s="34"/>
      <c r="L1332" s="34"/>
      <c r="M1332" s="34"/>
    </row>
    <row r="1333" spans="6:13" s="6" customFormat="1" ht="15.75">
      <c r="F1333" s="34"/>
      <c r="G1333" s="67"/>
      <c r="H1333" s="34"/>
      <c r="I1333" s="34"/>
      <c r="J1333" s="34"/>
      <c r="K1333" s="34"/>
      <c r="L1333" s="34"/>
      <c r="M1333" s="34"/>
    </row>
    <row r="1334" spans="6:13" s="6" customFormat="1" ht="15.75">
      <c r="F1334" s="34"/>
      <c r="G1334" s="67"/>
      <c r="H1334" s="34"/>
      <c r="I1334" s="34"/>
      <c r="J1334" s="34"/>
      <c r="K1334" s="34"/>
      <c r="L1334" s="34"/>
      <c r="M1334" s="34"/>
    </row>
    <row r="1335" spans="6:13" s="6" customFormat="1" ht="15.75">
      <c r="F1335" s="34"/>
      <c r="G1335" s="67"/>
      <c r="H1335" s="34"/>
      <c r="I1335" s="34"/>
      <c r="J1335" s="34"/>
      <c r="K1335" s="34"/>
      <c r="L1335" s="34"/>
      <c r="M1335" s="34"/>
    </row>
    <row r="1336" spans="6:13" s="6" customFormat="1" ht="15.75">
      <c r="F1336" s="34"/>
      <c r="G1336" s="67"/>
      <c r="H1336" s="34"/>
      <c r="I1336" s="34"/>
      <c r="J1336" s="34"/>
      <c r="K1336" s="34"/>
      <c r="L1336" s="34"/>
      <c r="M1336" s="34"/>
    </row>
    <row r="1337" spans="6:13" s="6" customFormat="1" ht="15.75">
      <c r="F1337" s="34"/>
      <c r="G1337" s="67"/>
      <c r="H1337" s="34"/>
      <c r="I1337" s="34"/>
      <c r="J1337" s="34"/>
      <c r="K1337" s="34"/>
      <c r="L1337" s="34"/>
      <c r="M1337" s="34"/>
    </row>
    <row r="1338" spans="6:13" s="6" customFormat="1" ht="15.75">
      <c r="F1338" s="34"/>
      <c r="G1338" s="67"/>
      <c r="H1338" s="34"/>
      <c r="I1338" s="34"/>
      <c r="J1338" s="34"/>
      <c r="K1338" s="34"/>
      <c r="L1338" s="34"/>
      <c r="M1338" s="34"/>
    </row>
    <row r="1339" spans="6:13" s="6" customFormat="1" ht="15.75">
      <c r="F1339" s="34"/>
      <c r="G1339" s="67"/>
      <c r="H1339" s="34"/>
      <c r="I1339" s="34"/>
      <c r="J1339" s="34"/>
      <c r="K1339" s="34"/>
      <c r="L1339" s="34"/>
      <c r="M1339" s="34"/>
    </row>
    <row r="1340" spans="6:13" s="6" customFormat="1" ht="15.75">
      <c r="F1340" s="34"/>
      <c r="G1340" s="67"/>
      <c r="H1340" s="34"/>
      <c r="I1340" s="34"/>
      <c r="J1340" s="34"/>
      <c r="K1340" s="34"/>
      <c r="L1340" s="34"/>
      <c r="M1340" s="34"/>
    </row>
    <row r="1341" spans="6:13" s="6" customFormat="1" ht="15.75">
      <c r="F1341" s="34"/>
      <c r="G1341" s="67"/>
      <c r="H1341" s="34"/>
      <c r="I1341" s="34"/>
      <c r="J1341" s="34"/>
      <c r="K1341" s="34"/>
      <c r="L1341" s="34"/>
      <c r="M1341" s="34"/>
    </row>
    <row r="1342" spans="6:13" s="6" customFormat="1" ht="15.75">
      <c r="F1342" s="34"/>
      <c r="G1342" s="67"/>
      <c r="H1342" s="34"/>
      <c r="I1342" s="34"/>
      <c r="J1342" s="34"/>
      <c r="K1342" s="34"/>
      <c r="L1342" s="34"/>
      <c r="M1342" s="34"/>
    </row>
    <row r="1343" spans="6:13" s="6" customFormat="1" ht="15.75">
      <c r="F1343" s="34"/>
      <c r="G1343" s="67"/>
      <c r="H1343" s="34"/>
      <c r="I1343" s="34"/>
      <c r="J1343" s="34"/>
      <c r="K1343" s="34"/>
      <c r="L1343" s="34"/>
      <c r="M1343" s="34"/>
    </row>
    <row r="1344" spans="6:13" s="6" customFormat="1" ht="15.75">
      <c r="F1344" s="34"/>
      <c r="G1344" s="67"/>
      <c r="H1344" s="34"/>
      <c r="I1344" s="34"/>
      <c r="J1344" s="34"/>
      <c r="K1344" s="34"/>
      <c r="L1344" s="34"/>
      <c r="M1344" s="34"/>
    </row>
    <row r="1345" spans="6:13" s="6" customFormat="1" ht="15.75">
      <c r="F1345" s="34"/>
      <c r="G1345" s="67"/>
      <c r="H1345" s="34"/>
      <c r="I1345" s="34"/>
      <c r="J1345" s="34"/>
      <c r="K1345" s="34"/>
      <c r="L1345" s="34"/>
      <c r="M1345" s="34"/>
    </row>
    <row r="1346" spans="6:13" s="6" customFormat="1" ht="15.75">
      <c r="F1346" s="34"/>
      <c r="G1346" s="67"/>
      <c r="H1346" s="34"/>
      <c r="I1346" s="34"/>
      <c r="J1346" s="34"/>
      <c r="K1346" s="34"/>
      <c r="L1346" s="34"/>
      <c r="M1346" s="34"/>
    </row>
    <row r="1347" spans="6:13" s="6" customFormat="1" ht="15.75">
      <c r="F1347" s="34"/>
      <c r="G1347" s="67"/>
      <c r="H1347" s="34"/>
      <c r="I1347" s="34"/>
      <c r="J1347" s="34"/>
      <c r="K1347" s="34"/>
      <c r="L1347" s="34"/>
      <c r="M1347" s="34"/>
    </row>
    <row r="1348" spans="6:13" s="6" customFormat="1" ht="15.75">
      <c r="F1348" s="34"/>
      <c r="G1348" s="67"/>
      <c r="H1348" s="34"/>
      <c r="I1348" s="34"/>
      <c r="J1348" s="34"/>
      <c r="K1348" s="34"/>
      <c r="L1348" s="34"/>
      <c r="M1348" s="34"/>
    </row>
    <row r="1349" spans="6:13" s="6" customFormat="1" ht="15.75">
      <c r="F1349" s="34"/>
      <c r="G1349" s="67"/>
      <c r="H1349" s="34"/>
      <c r="I1349" s="34"/>
      <c r="J1349" s="34"/>
      <c r="K1349" s="34"/>
      <c r="L1349" s="34"/>
      <c r="M1349" s="34"/>
    </row>
    <row r="1350" spans="6:13" s="6" customFormat="1" ht="15.75">
      <c r="F1350" s="34"/>
      <c r="G1350" s="67"/>
      <c r="H1350" s="34"/>
      <c r="I1350" s="34"/>
      <c r="J1350" s="34"/>
      <c r="K1350" s="34"/>
      <c r="L1350" s="34"/>
      <c r="M1350" s="34"/>
    </row>
    <row r="1351" spans="6:13" s="6" customFormat="1" ht="15.75">
      <c r="F1351" s="34"/>
      <c r="G1351" s="67"/>
      <c r="H1351" s="34"/>
      <c r="I1351" s="34"/>
      <c r="J1351" s="34"/>
      <c r="K1351" s="34"/>
      <c r="L1351" s="34"/>
      <c r="M1351" s="34"/>
    </row>
    <row r="1352" spans="6:13" s="6" customFormat="1" ht="15.75">
      <c r="F1352" s="34"/>
      <c r="G1352" s="67"/>
      <c r="H1352" s="34"/>
      <c r="I1352" s="34"/>
      <c r="J1352" s="34"/>
      <c r="K1352" s="34"/>
      <c r="L1352" s="34"/>
      <c r="M1352" s="34"/>
    </row>
    <row r="1353" spans="6:13" s="6" customFormat="1" ht="15.75">
      <c r="F1353" s="34"/>
      <c r="G1353" s="67"/>
      <c r="H1353" s="34"/>
      <c r="I1353" s="34"/>
      <c r="J1353" s="34"/>
      <c r="K1353" s="34"/>
      <c r="L1353" s="34"/>
      <c r="M1353" s="34"/>
    </row>
    <row r="1354" spans="6:13" s="6" customFormat="1" ht="15.75">
      <c r="F1354" s="34"/>
      <c r="G1354" s="67"/>
      <c r="H1354" s="34"/>
      <c r="I1354" s="34"/>
      <c r="J1354" s="34"/>
      <c r="K1354" s="34"/>
      <c r="L1354" s="34"/>
      <c r="M1354" s="34"/>
    </row>
    <row r="1355" spans="6:13" s="6" customFormat="1" ht="15.75">
      <c r="F1355" s="34"/>
      <c r="G1355" s="67"/>
      <c r="H1355" s="34"/>
      <c r="I1355" s="34"/>
      <c r="J1355" s="34"/>
      <c r="K1355" s="34"/>
      <c r="L1355" s="34"/>
      <c r="M1355" s="34"/>
    </row>
    <row r="1356" spans="6:13" s="6" customFormat="1" ht="15.75">
      <c r="F1356" s="34"/>
      <c r="G1356" s="67"/>
      <c r="H1356" s="34"/>
      <c r="I1356" s="34"/>
      <c r="J1356" s="34"/>
      <c r="K1356" s="34"/>
      <c r="L1356" s="34"/>
      <c r="M1356" s="34"/>
    </row>
    <row r="1357" spans="6:13" s="6" customFormat="1" ht="15.75">
      <c r="F1357" s="34"/>
      <c r="G1357" s="67"/>
      <c r="H1357" s="34"/>
      <c r="I1357" s="34"/>
      <c r="J1357" s="34"/>
      <c r="K1357" s="34"/>
      <c r="L1357" s="34"/>
      <c r="M1357" s="34"/>
    </row>
    <row r="1358" spans="6:13" s="6" customFormat="1" ht="15.75">
      <c r="F1358" s="34"/>
      <c r="G1358" s="67"/>
      <c r="H1358" s="34"/>
      <c r="I1358" s="34"/>
      <c r="J1358" s="34"/>
      <c r="K1358" s="34"/>
      <c r="L1358" s="34"/>
      <c r="M1358" s="34"/>
    </row>
    <row r="1359" spans="6:13" s="6" customFormat="1" ht="15.75">
      <c r="F1359" s="34"/>
      <c r="G1359" s="67"/>
      <c r="H1359" s="34"/>
      <c r="I1359" s="34"/>
      <c r="J1359" s="34"/>
      <c r="K1359" s="34"/>
      <c r="L1359" s="34"/>
      <c r="M1359" s="34"/>
    </row>
    <row r="1360" spans="6:13" s="6" customFormat="1" ht="15.75">
      <c r="F1360" s="34"/>
      <c r="G1360" s="67"/>
      <c r="H1360" s="34"/>
      <c r="I1360" s="34"/>
      <c r="J1360" s="34"/>
      <c r="K1360" s="34"/>
      <c r="L1360" s="34"/>
      <c r="M1360" s="34"/>
    </row>
    <row r="1361" spans="6:13" s="6" customFormat="1" ht="15.75">
      <c r="F1361" s="34"/>
      <c r="G1361" s="67"/>
      <c r="H1361" s="34"/>
      <c r="I1361" s="34"/>
      <c r="J1361" s="34"/>
      <c r="K1361" s="34"/>
      <c r="L1361" s="34"/>
      <c r="M1361" s="34"/>
    </row>
    <row r="1362" spans="6:13" s="6" customFormat="1" ht="15.75">
      <c r="F1362" s="34"/>
      <c r="G1362" s="67"/>
      <c r="H1362" s="34"/>
      <c r="I1362" s="34"/>
      <c r="J1362" s="34"/>
      <c r="K1362" s="34"/>
      <c r="L1362" s="34"/>
      <c r="M1362" s="34"/>
    </row>
    <row r="1363" spans="6:13" s="6" customFormat="1" ht="15.75">
      <c r="F1363" s="34"/>
      <c r="G1363" s="67"/>
      <c r="H1363" s="34"/>
      <c r="I1363" s="34"/>
      <c r="J1363" s="34"/>
      <c r="K1363" s="34"/>
      <c r="L1363" s="34"/>
      <c r="M1363" s="34"/>
    </row>
    <row r="1364" spans="6:13" s="6" customFormat="1" ht="15.75">
      <c r="F1364" s="34"/>
      <c r="G1364" s="67"/>
      <c r="H1364" s="34"/>
      <c r="I1364" s="34"/>
      <c r="J1364" s="34"/>
      <c r="K1364" s="34"/>
      <c r="L1364" s="34"/>
      <c r="M1364" s="34"/>
    </row>
    <row r="1365" spans="6:13" s="6" customFormat="1" ht="15.75">
      <c r="F1365" s="34"/>
      <c r="G1365" s="67"/>
      <c r="H1365" s="34"/>
      <c r="I1365" s="34"/>
      <c r="J1365" s="34"/>
      <c r="K1365" s="34"/>
      <c r="L1365" s="34"/>
      <c r="M1365" s="34"/>
    </row>
    <row r="1366" spans="6:13" s="6" customFormat="1" ht="15.75">
      <c r="F1366" s="34"/>
      <c r="G1366" s="67"/>
      <c r="H1366" s="34"/>
      <c r="I1366" s="34"/>
      <c r="J1366" s="34"/>
      <c r="K1366" s="34"/>
      <c r="L1366" s="34"/>
      <c r="M1366" s="34"/>
    </row>
    <row r="1367" spans="6:13" s="6" customFormat="1" ht="15.75">
      <c r="F1367" s="34"/>
      <c r="G1367" s="67"/>
      <c r="H1367" s="34"/>
      <c r="I1367" s="34"/>
      <c r="J1367" s="34"/>
      <c r="K1367" s="34"/>
      <c r="L1367" s="34"/>
      <c r="M1367" s="34"/>
    </row>
    <row r="1368" spans="6:13" s="6" customFormat="1" ht="15.75">
      <c r="F1368" s="34"/>
      <c r="G1368" s="67"/>
      <c r="H1368" s="34"/>
      <c r="I1368" s="34"/>
      <c r="J1368" s="34"/>
      <c r="K1368" s="34"/>
      <c r="L1368" s="34"/>
      <c r="M1368" s="34"/>
    </row>
    <row r="1369" spans="6:13" s="6" customFormat="1" ht="15.75">
      <c r="F1369" s="34"/>
      <c r="G1369" s="67"/>
      <c r="H1369" s="34"/>
      <c r="I1369" s="34"/>
      <c r="J1369" s="34"/>
      <c r="K1369" s="34"/>
      <c r="L1369" s="34"/>
      <c r="M1369" s="34"/>
    </row>
    <row r="1370" spans="6:13" s="6" customFormat="1" ht="15.75">
      <c r="F1370" s="34"/>
      <c r="G1370" s="67"/>
      <c r="H1370" s="34"/>
      <c r="I1370" s="34"/>
      <c r="J1370" s="34"/>
      <c r="K1370" s="34"/>
      <c r="L1370" s="34"/>
      <c r="M1370" s="34"/>
    </row>
    <row r="1371" spans="6:13" s="6" customFormat="1" ht="15.75">
      <c r="F1371" s="34"/>
      <c r="G1371" s="67"/>
      <c r="H1371" s="34"/>
      <c r="I1371" s="34"/>
      <c r="J1371" s="34"/>
      <c r="K1371" s="34"/>
      <c r="L1371" s="34"/>
      <c r="M1371" s="34"/>
    </row>
    <row r="1372" spans="6:13" s="6" customFormat="1" ht="15.75">
      <c r="F1372" s="34"/>
      <c r="G1372" s="67"/>
      <c r="H1372" s="34"/>
      <c r="I1372" s="34"/>
      <c r="J1372" s="34"/>
      <c r="K1372" s="34"/>
      <c r="L1372" s="34"/>
      <c r="M1372" s="34"/>
    </row>
    <row r="1373" spans="6:13" s="6" customFormat="1" ht="15.75">
      <c r="F1373" s="34"/>
      <c r="G1373" s="67"/>
      <c r="H1373" s="34"/>
      <c r="I1373" s="34"/>
      <c r="J1373" s="34"/>
      <c r="K1373" s="34"/>
      <c r="L1373" s="34"/>
      <c r="M1373" s="34"/>
    </row>
    <row r="1374" spans="6:13" s="6" customFormat="1" ht="15.75">
      <c r="F1374" s="34"/>
      <c r="G1374" s="67"/>
      <c r="H1374" s="34"/>
      <c r="I1374" s="34"/>
      <c r="J1374" s="34"/>
      <c r="K1374" s="34"/>
      <c r="L1374" s="34"/>
      <c r="M1374" s="34"/>
    </row>
    <row r="1375" spans="6:13" s="6" customFormat="1" ht="15.75">
      <c r="F1375" s="34"/>
      <c r="G1375" s="67"/>
      <c r="H1375" s="34"/>
      <c r="I1375" s="34"/>
      <c r="J1375" s="34"/>
      <c r="K1375" s="34"/>
      <c r="L1375" s="34"/>
      <c r="M1375" s="34"/>
    </row>
    <row r="1376" spans="6:13" s="6" customFormat="1" ht="15.75">
      <c r="F1376" s="34"/>
      <c r="G1376" s="67"/>
      <c r="H1376" s="34"/>
      <c r="I1376" s="34"/>
      <c r="J1376" s="34"/>
      <c r="K1376" s="34"/>
      <c r="L1376" s="34"/>
      <c r="M1376" s="34"/>
    </row>
    <row r="1377" spans="6:13" s="6" customFormat="1" ht="15.75">
      <c r="F1377" s="34"/>
      <c r="G1377" s="67"/>
      <c r="H1377" s="34"/>
      <c r="I1377" s="34"/>
      <c r="J1377" s="34"/>
      <c r="K1377" s="34"/>
      <c r="L1377" s="34"/>
      <c r="M1377" s="34"/>
    </row>
    <row r="1378" spans="6:13" s="6" customFormat="1" ht="15.75">
      <c r="F1378" s="34"/>
      <c r="G1378" s="67"/>
      <c r="H1378" s="34"/>
      <c r="I1378" s="34"/>
      <c r="J1378" s="34"/>
      <c r="K1378" s="34"/>
      <c r="L1378" s="34"/>
      <c r="M1378" s="34"/>
    </row>
    <row r="1379" spans="6:13" s="6" customFormat="1" ht="15.75">
      <c r="F1379" s="34"/>
      <c r="G1379" s="67"/>
      <c r="H1379" s="34"/>
      <c r="I1379" s="34"/>
      <c r="J1379" s="34"/>
      <c r="K1379" s="34"/>
      <c r="L1379" s="34"/>
      <c r="M1379" s="34"/>
    </row>
    <row r="1380" spans="6:13" s="6" customFormat="1" ht="15.75">
      <c r="F1380" s="34"/>
      <c r="G1380" s="67"/>
      <c r="H1380" s="34"/>
      <c r="I1380" s="34"/>
      <c r="J1380" s="34"/>
      <c r="K1380" s="34"/>
      <c r="L1380" s="34"/>
      <c r="M1380" s="34"/>
    </row>
    <row r="1381" spans="6:13" s="6" customFormat="1" ht="15.75">
      <c r="F1381" s="34"/>
      <c r="G1381" s="67"/>
      <c r="H1381" s="34"/>
      <c r="I1381" s="34"/>
      <c r="J1381" s="34"/>
      <c r="K1381" s="34"/>
      <c r="L1381" s="34"/>
      <c r="M1381" s="34"/>
    </row>
    <row r="1382" spans="6:13" s="6" customFormat="1" ht="15.75">
      <c r="F1382" s="34"/>
      <c r="G1382" s="67"/>
      <c r="H1382" s="34"/>
      <c r="I1382" s="34"/>
      <c r="J1382" s="34"/>
      <c r="K1382" s="34"/>
      <c r="L1382" s="34"/>
      <c r="M1382" s="34"/>
    </row>
    <row r="1383" spans="6:13" s="6" customFormat="1" ht="15.75">
      <c r="F1383" s="34"/>
      <c r="G1383" s="67"/>
      <c r="H1383" s="34"/>
      <c r="I1383" s="34"/>
      <c r="J1383" s="34"/>
      <c r="K1383" s="34"/>
      <c r="L1383" s="34"/>
      <c r="M1383" s="34"/>
    </row>
    <row r="1384" spans="6:13" s="6" customFormat="1" ht="15.75">
      <c r="F1384" s="34"/>
      <c r="G1384" s="67"/>
      <c r="H1384" s="34"/>
      <c r="I1384" s="34"/>
      <c r="J1384" s="34"/>
      <c r="K1384" s="34"/>
      <c r="L1384" s="34"/>
      <c r="M1384" s="34"/>
    </row>
    <row r="1385" spans="6:13" s="6" customFormat="1" ht="15.75">
      <c r="F1385" s="34"/>
      <c r="G1385" s="67"/>
      <c r="H1385" s="34"/>
      <c r="I1385" s="34"/>
      <c r="J1385" s="34"/>
      <c r="K1385" s="34"/>
      <c r="L1385" s="34"/>
      <c r="M1385" s="34"/>
    </row>
    <row r="1386" spans="6:13" s="6" customFormat="1" ht="15.75">
      <c r="F1386" s="34"/>
      <c r="G1386" s="67"/>
      <c r="H1386" s="34"/>
      <c r="I1386" s="34"/>
      <c r="J1386" s="34"/>
      <c r="K1386" s="34"/>
      <c r="L1386" s="34"/>
      <c r="M1386" s="34"/>
    </row>
    <row r="1387" spans="6:13" s="6" customFormat="1" ht="15.75">
      <c r="F1387" s="34"/>
      <c r="G1387" s="67"/>
      <c r="H1387" s="34"/>
      <c r="I1387" s="34"/>
      <c r="J1387" s="34"/>
      <c r="K1387" s="34"/>
      <c r="L1387" s="34"/>
      <c r="M1387" s="34"/>
    </row>
    <row r="1388" spans="6:13" s="6" customFormat="1" ht="15.75">
      <c r="F1388" s="34"/>
      <c r="G1388" s="67"/>
      <c r="H1388" s="34"/>
      <c r="I1388" s="34"/>
      <c r="J1388" s="34"/>
      <c r="K1388" s="34"/>
      <c r="L1388" s="34"/>
      <c r="M1388" s="34"/>
    </row>
    <row r="1389" spans="6:13" s="6" customFormat="1" ht="15.75">
      <c r="F1389" s="34"/>
      <c r="G1389" s="67"/>
      <c r="H1389" s="34"/>
      <c r="I1389" s="34"/>
      <c r="J1389" s="34"/>
      <c r="K1389" s="34"/>
      <c r="L1389" s="34"/>
      <c r="M1389" s="34"/>
    </row>
    <row r="1390" spans="6:13" s="6" customFormat="1" ht="15.75">
      <c r="F1390" s="34"/>
      <c r="G1390" s="67"/>
      <c r="H1390" s="34"/>
      <c r="I1390" s="34"/>
      <c r="J1390" s="34"/>
      <c r="K1390" s="34"/>
      <c r="L1390" s="34"/>
      <c r="M1390" s="34"/>
    </row>
    <row r="1391" spans="6:13" s="6" customFormat="1" ht="15.75">
      <c r="F1391" s="34"/>
      <c r="G1391" s="67"/>
      <c r="H1391" s="34"/>
      <c r="I1391" s="34"/>
      <c r="J1391" s="34"/>
      <c r="K1391" s="34"/>
      <c r="L1391" s="34"/>
      <c r="M1391" s="34"/>
    </row>
    <row r="1392" spans="6:13" s="6" customFormat="1" ht="15.75">
      <c r="F1392" s="34"/>
      <c r="G1392" s="67"/>
      <c r="H1392" s="34"/>
      <c r="I1392" s="34"/>
      <c r="J1392" s="34"/>
      <c r="K1392" s="34"/>
      <c r="L1392" s="34"/>
      <c r="M1392" s="34"/>
    </row>
    <row r="1393" spans="6:13" s="6" customFormat="1" ht="15.75">
      <c r="F1393" s="34"/>
      <c r="G1393" s="67"/>
      <c r="H1393" s="34"/>
      <c r="I1393" s="34"/>
      <c r="J1393" s="34"/>
      <c r="K1393" s="34"/>
      <c r="L1393" s="34"/>
      <c r="M1393" s="34"/>
    </row>
    <row r="1394" spans="6:13" s="6" customFormat="1" ht="15.75">
      <c r="F1394" s="34"/>
      <c r="G1394" s="67"/>
      <c r="H1394" s="34"/>
      <c r="I1394" s="34"/>
      <c r="J1394" s="34"/>
      <c r="K1394" s="34"/>
      <c r="L1394" s="34"/>
      <c r="M1394" s="34"/>
    </row>
    <row r="1395" spans="6:13" s="6" customFormat="1" ht="15.75">
      <c r="F1395" s="34"/>
      <c r="G1395" s="67"/>
      <c r="H1395" s="34"/>
      <c r="I1395" s="34"/>
      <c r="J1395" s="34"/>
      <c r="K1395" s="34"/>
      <c r="L1395" s="34"/>
      <c r="M1395" s="34"/>
    </row>
    <row r="1396" spans="6:13" s="6" customFormat="1" ht="15.75">
      <c r="F1396" s="34"/>
      <c r="G1396" s="67"/>
      <c r="H1396" s="34"/>
      <c r="I1396" s="34"/>
      <c r="J1396" s="34"/>
      <c r="K1396" s="34"/>
      <c r="L1396" s="34"/>
      <c r="M1396" s="34"/>
    </row>
    <row r="1397" spans="6:13" s="6" customFormat="1" ht="15.75">
      <c r="F1397" s="34"/>
      <c r="G1397" s="67"/>
      <c r="H1397" s="34"/>
      <c r="I1397" s="34"/>
      <c r="J1397" s="34"/>
      <c r="K1397" s="34"/>
      <c r="L1397" s="34"/>
      <c r="M1397" s="34"/>
    </row>
    <row r="1398" spans="6:13" s="6" customFormat="1" ht="15.75">
      <c r="F1398" s="34"/>
      <c r="G1398" s="67"/>
      <c r="H1398" s="34"/>
      <c r="I1398" s="34"/>
      <c r="J1398" s="34"/>
      <c r="K1398" s="34"/>
      <c r="L1398" s="34"/>
      <c r="M1398" s="34"/>
    </row>
    <row r="1399" spans="6:13" s="6" customFormat="1" ht="15.75">
      <c r="F1399" s="34"/>
      <c r="G1399" s="67"/>
      <c r="H1399" s="34"/>
      <c r="I1399" s="34"/>
      <c r="J1399" s="34"/>
      <c r="K1399" s="34"/>
      <c r="L1399" s="34"/>
      <c r="M1399" s="34"/>
    </row>
    <row r="1400" spans="6:13" s="6" customFormat="1" ht="15.75">
      <c r="F1400" s="34"/>
      <c r="G1400" s="67"/>
      <c r="H1400" s="34"/>
      <c r="I1400" s="34"/>
      <c r="J1400" s="34"/>
      <c r="K1400" s="34"/>
      <c r="L1400" s="34"/>
      <c r="M1400" s="34"/>
    </row>
    <row r="1401" spans="6:13" s="6" customFormat="1" ht="15.75">
      <c r="F1401" s="34"/>
      <c r="G1401" s="67"/>
      <c r="H1401" s="34"/>
      <c r="I1401" s="34"/>
      <c r="J1401" s="34"/>
      <c r="K1401" s="34"/>
      <c r="L1401" s="34"/>
      <c r="M1401" s="34"/>
    </row>
    <row r="1402" spans="6:13" s="6" customFormat="1" ht="15.75">
      <c r="F1402" s="34"/>
      <c r="G1402" s="67"/>
      <c r="H1402" s="34"/>
      <c r="I1402" s="34"/>
      <c r="J1402" s="34"/>
      <c r="K1402" s="34"/>
      <c r="L1402" s="34"/>
      <c r="M1402" s="34"/>
    </row>
    <row r="1403" spans="6:13" s="6" customFormat="1" ht="15.75">
      <c r="F1403" s="34"/>
      <c r="G1403" s="67"/>
      <c r="H1403" s="34"/>
      <c r="I1403" s="34"/>
      <c r="J1403" s="34"/>
      <c r="K1403" s="34"/>
      <c r="L1403" s="34"/>
      <c r="M1403" s="34"/>
    </row>
    <row r="1404" spans="6:13" s="6" customFormat="1" ht="15.75">
      <c r="F1404" s="34"/>
      <c r="G1404" s="67"/>
      <c r="H1404" s="34"/>
      <c r="I1404" s="34"/>
      <c r="J1404" s="34"/>
      <c r="K1404" s="34"/>
      <c r="L1404" s="34"/>
      <c r="M1404" s="34"/>
    </row>
    <row r="1405" spans="6:13" s="6" customFormat="1" ht="15.75">
      <c r="F1405" s="34"/>
      <c r="G1405" s="67"/>
      <c r="H1405" s="34"/>
      <c r="I1405" s="34"/>
      <c r="J1405" s="34"/>
      <c r="K1405" s="34"/>
      <c r="L1405" s="34"/>
      <c r="M1405" s="34"/>
    </row>
    <row r="1406" spans="6:13" s="6" customFormat="1" ht="15.75">
      <c r="F1406" s="34"/>
      <c r="G1406" s="67"/>
      <c r="H1406" s="34"/>
      <c r="I1406" s="34"/>
      <c r="J1406" s="34"/>
      <c r="K1406" s="34"/>
      <c r="L1406" s="34"/>
      <c r="M1406" s="34"/>
    </row>
    <row r="1407" spans="6:13" s="6" customFormat="1" ht="15.75">
      <c r="F1407" s="34"/>
      <c r="G1407" s="67"/>
      <c r="H1407" s="34"/>
      <c r="I1407" s="34"/>
      <c r="J1407" s="34"/>
      <c r="K1407" s="34"/>
      <c r="L1407" s="34"/>
      <c r="M1407" s="34"/>
    </row>
    <row r="1408" spans="6:13" s="6" customFormat="1" ht="15.75">
      <c r="F1408" s="34"/>
      <c r="G1408" s="67"/>
      <c r="H1408" s="34"/>
      <c r="I1408" s="34"/>
      <c r="J1408" s="34"/>
      <c r="K1408" s="34"/>
      <c r="L1408" s="34"/>
      <c r="M1408" s="34"/>
    </row>
    <row r="1409" spans="6:13" s="6" customFormat="1" ht="15.75">
      <c r="F1409" s="34"/>
      <c r="G1409" s="67"/>
      <c r="H1409" s="34"/>
      <c r="I1409" s="34"/>
      <c r="J1409" s="34"/>
      <c r="K1409" s="34"/>
      <c r="L1409" s="34"/>
      <c r="M1409" s="34"/>
    </row>
    <row r="1410" spans="6:13" s="6" customFormat="1" ht="15.75">
      <c r="F1410" s="34"/>
      <c r="G1410" s="67"/>
      <c r="H1410" s="34"/>
      <c r="I1410" s="34"/>
      <c r="J1410" s="34"/>
      <c r="K1410" s="34"/>
      <c r="L1410" s="34"/>
      <c r="M1410" s="34"/>
    </row>
    <row r="1411" spans="6:13" s="6" customFormat="1" ht="15.75">
      <c r="F1411" s="34"/>
      <c r="G1411" s="67"/>
      <c r="H1411" s="34"/>
      <c r="I1411" s="34"/>
      <c r="J1411" s="34"/>
      <c r="K1411" s="34"/>
      <c r="L1411" s="34"/>
      <c r="M1411" s="34"/>
    </row>
    <row r="1412" spans="6:13" s="6" customFormat="1" ht="15.75">
      <c r="F1412" s="34"/>
      <c r="G1412" s="67"/>
      <c r="H1412" s="34"/>
      <c r="I1412" s="34"/>
      <c r="J1412" s="34"/>
      <c r="K1412" s="34"/>
      <c r="L1412" s="34"/>
      <c r="M1412" s="34"/>
    </row>
    <row r="1413" spans="6:13" s="6" customFormat="1" ht="15.75">
      <c r="F1413" s="34"/>
      <c r="G1413" s="67"/>
      <c r="H1413" s="34"/>
      <c r="I1413" s="34"/>
      <c r="J1413" s="34"/>
      <c r="K1413" s="34"/>
      <c r="L1413" s="34"/>
      <c r="M1413" s="34"/>
    </row>
    <row r="1414" spans="6:13" s="6" customFormat="1" ht="15.75">
      <c r="F1414" s="34"/>
      <c r="G1414" s="67"/>
      <c r="H1414" s="34"/>
      <c r="I1414" s="34"/>
      <c r="J1414" s="34"/>
      <c r="K1414" s="34"/>
      <c r="L1414" s="34"/>
      <c r="M1414" s="34"/>
    </row>
    <row r="1415" spans="6:13" s="6" customFormat="1" ht="15.75">
      <c r="F1415" s="34"/>
      <c r="G1415" s="67"/>
      <c r="H1415" s="34"/>
      <c r="I1415" s="34"/>
      <c r="J1415" s="34"/>
      <c r="K1415" s="34"/>
      <c r="L1415" s="34"/>
      <c r="M1415" s="34"/>
    </row>
    <row r="1416" spans="6:13" s="6" customFormat="1" ht="15.75">
      <c r="F1416" s="34"/>
      <c r="G1416" s="67"/>
      <c r="H1416" s="34"/>
      <c r="I1416" s="34"/>
      <c r="J1416" s="34"/>
      <c r="K1416" s="34"/>
      <c r="L1416" s="34"/>
      <c r="M1416" s="34"/>
    </row>
    <row r="1417" spans="6:13" s="6" customFormat="1" ht="15.75">
      <c r="F1417" s="34"/>
      <c r="G1417" s="67"/>
      <c r="H1417" s="34"/>
      <c r="I1417" s="34"/>
      <c r="J1417" s="34"/>
      <c r="K1417" s="34"/>
      <c r="L1417" s="34"/>
      <c r="M1417" s="34"/>
    </row>
    <row r="1418" spans="6:13" s="6" customFormat="1" ht="15.75">
      <c r="F1418" s="34"/>
      <c r="G1418" s="67"/>
      <c r="H1418" s="34"/>
      <c r="I1418" s="34"/>
      <c r="J1418" s="34"/>
      <c r="K1418" s="34"/>
      <c r="L1418" s="34"/>
      <c r="M1418" s="34"/>
    </row>
    <row r="1419" spans="6:13" s="6" customFormat="1" ht="15.75">
      <c r="F1419" s="34"/>
      <c r="G1419" s="67"/>
      <c r="H1419" s="34"/>
      <c r="I1419" s="34"/>
      <c r="J1419" s="34"/>
      <c r="K1419" s="34"/>
      <c r="L1419" s="34"/>
      <c r="M1419" s="34"/>
    </row>
    <row r="1420" spans="6:13" s="6" customFormat="1" ht="15.75">
      <c r="F1420" s="34"/>
      <c r="G1420" s="67"/>
      <c r="H1420" s="34"/>
      <c r="I1420" s="34"/>
      <c r="J1420" s="34"/>
      <c r="K1420" s="34"/>
      <c r="L1420" s="34"/>
      <c r="M1420" s="34"/>
    </row>
    <row r="1421" spans="6:13" s="6" customFormat="1" ht="15.75">
      <c r="F1421" s="34"/>
      <c r="G1421" s="67"/>
      <c r="H1421" s="34"/>
      <c r="I1421" s="34"/>
      <c r="J1421" s="34"/>
      <c r="K1421" s="34"/>
      <c r="L1421" s="34"/>
      <c r="M1421" s="34"/>
    </row>
    <row r="1422" spans="6:13" s="6" customFormat="1" ht="15.75">
      <c r="F1422" s="34"/>
      <c r="G1422" s="67"/>
      <c r="H1422" s="34"/>
      <c r="I1422" s="34"/>
      <c r="J1422" s="34"/>
      <c r="K1422" s="34"/>
      <c r="L1422" s="34"/>
      <c r="M1422" s="34"/>
    </row>
    <row r="1423" spans="6:13" s="6" customFormat="1" ht="15.75">
      <c r="F1423" s="34"/>
      <c r="G1423" s="67"/>
      <c r="H1423" s="34"/>
      <c r="I1423" s="34"/>
      <c r="J1423" s="34"/>
      <c r="K1423" s="34"/>
      <c r="L1423" s="34"/>
      <c r="M1423" s="34"/>
    </row>
    <row r="1424" spans="6:13" s="6" customFormat="1" ht="15.75">
      <c r="F1424" s="34"/>
      <c r="G1424" s="67"/>
      <c r="H1424" s="34"/>
      <c r="I1424" s="34"/>
      <c r="J1424" s="34"/>
      <c r="K1424" s="34"/>
      <c r="L1424" s="34"/>
      <c r="M1424" s="34"/>
    </row>
    <row r="1425" spans="6:13" s="6" customFormat="1" ht="15.75">
      <c r="F1425" s="34"/>
      <c r="G1425" s="67"/>
      <c r="H1425" s="34"/>
      <c r="I1425" s="34"/>
      <c r="J1425" s="34"/>
      <c r="K1425" s="34"/>
      <c r="L1425" s="34"/>
      <c r="M1425" s="34"/>
    </row>
    <row r="1426" spans="6:13" s="6" customFormat="1" ht="15.75">
      <c r="F1426" s="34"/>
      <c r="G1426" s="67"/>
      <c r="H1426" s="34"/>
      <c r="I1426" s="34"/>
      <c r="J1426" s="34"/>
      <c r="K1426" s="34"/>
      <c r="L1426" s="34"/>
      <c r="M1426" s="34"/>
    </row>
    <row r="1427" spans="6:13" s="6" customFormat="1" ht="15.75">
      <c r="F1427" s="34"/>
      <c r="G1427" s="67"/>
      <c r="H1427" s="34"/>
      <c r="I1427" s="34"/>
      <c r="J1427" s="34"/>
      <c r="K1427" s="34"/>
      <c r="L1427" s="34"/>
      <c r="M1427" s="34"/>
    </row>
    <row r="1428" spans="6:13" s="6" customFormat="1" ht="15.75">
      <c r="F1428" s="34"/>
      <c r="G1428" s="67"/>
      <c r="H1428" s="34"/>
      <c r="I1428" s="34"/>
      <c r="J1428" s="34"/>
      <c r="K1428" s="34"/>
      <c r="L1428" s="34"/>
      <c r="M1428" s="34"/>
    </row>
    <row r="1429" spans="6:13" s="6" customFormat="1" ht="15.75">
      <c r="F1429" s="34"/>
      <c r="G1429" s="67"/>
      <c r="H1429" s="34"/>
      <c r="I1429" s="34"/>
      <c r="J1429" s="34"/>
      <c r="K1429" s="34"/>
      <c r="L1429" s="34"/>
      <c r="M1429" s="34"/>
    </row>
    <row r="1430" spans="6:13" s="6" customFormat="1" ht="15.75">
      <c r="F1430" s="34"/>
      <c r="G1430" s="67"/>
      <c r="H1430" s="34"/>
      <c r="I1430" s="34"/>
      <c r="J1430" s="34"/>
      <c r="K1430" s="34"/>
      <c r="L1430" s="34"/>
      <c r="M1430" s="34"/>
    </row>
    <row r="1431" spans="6:13" s="6" customFormat="1" ht="15.75">
      <c r="F1431" s="34"/>
      <c r="G1431" s="67"/>
      <c r="H1431" s="34"/>
      <c r="I1431" s="34"/>
      <c r="J1431" s="34"/>
      <c r="K1431" s="34"/>
      <c r="L1431" s="34"/>
      <c r="M1431" s="34"/>
    </row>
    <row r="1432" spans="6:13" s="6" customFormat="1" ht="15.75">
      <c r="F1432" s="34"/>
      <c r="G1432" s="67"/>
      <c r="H1432" s="34"/>
      <c r="I1432" s="34"/>
      <c r="J1432" s="34"/>
      <c r="K1432" s="34"/>
      <c r="L1432" s="34"/>
      <c r="M1432" s="34"/>
    </row>
    <row r="1433" spans="6:13" s="6" customFormat="1" ht="15.75">
      <c r="F1433" s="34"/>
      <c r="G1433" s="67"/>
      <c r="H1433" s="34"/>
      <c r="I1433" s="34"/>
      <c r="J1433" s="34"/>
      <c r="K1433" s="34"/>
      <c r="L1433" s="34"/>
      <c r="M1433" s="34"/>
    </row>
    <row r="1434" spans="6:13" s="6" customFormat="1" ht="15.75">
      <c r="F1434" s="34"/>
      <c r="G1434" s="67"/>
      <c r="H1434" s="34"/>
      <c r="I1434" s="34"/>
      <c r="J1434" s="34"/>
      <c r="K1434" s="34"/>
      <c r="L1434" s="34"/>
      <c r="M1434" s="34"/>
    </row>
    <row r="1435" spans="6:13" s="6" customFormat="1" ht="15.75">
      <c r="F1435" s="34"/>
      <c r="G1435" s="67"/>
      <c r="H1435" s="34"/>
      <c r="I1435" s="34"/>
      <c r="J1435" s="34"/>
      <c r="K1435" s="34"/>
      <c r="L1435" s="34"/>
      <c r="M1435" s="34"/>
    </row>
    <row r="1436" spans="6:13" s="6" customFormat="1" ht="15.75">
      <c r="F1436" s="34"/>
      <c r="G1436" s="67"/>
      <c r="H1436" s="34"/>
      <c r="I1436" s="34"/>
      <c r="J1436" s="34"/>
      <c r="K1436" s="34"/>
      <c r="L1436" s="34"/>
      <c r="M1436" s="34"/>
    </row>
    <row r="1437" spans="6:13" s="6" customFormat="1" ht="15.75">
      <c r="F1437" s="34"/>
      <c r="G1437" s="67"/>
      <c r="H1437" s="34"/>
      <c r="I1437" s="34"/>
      <c r="J1437" s="34"/>
      <c r="K1437" s="34"/>
      <c r="L1437" s="34"/>
      <c r="M1437" s="34"/>
    </row>
    <row r="1438" spans="6:13" s="6" customFormat="1" ht="15.75">
      <c r="F1438" s="34"/>
      <c r="G1438" s="67"/>
      <c r="H1438" s="34"/>
      <c r="I1438" s="34"/>
      <c r="J1438" s="34"/>
      <c r="K1438" s="34"/>
      <c r="L1438" s="34"/>
      <c r="M1438" s="34"/>
    </row>
    <row r="1439" spans="6:13" s="6" customFormat="1" ht="15.75">
      <c r="F1439" s="34"/>
      <c r="G1439" s="67"/>
      <c r="H1439" s="34"/>
      <c r="I1439" s="34"/>
      <c r="J1439" s="34"/>
      <c r="K1439" s="34"/>
      <c r="L1439" s="34"/>
      <c r="M1439" s="34"/>
    </row>
    <row r="1440" spans="6:13" s="6" customFormat="1" ht="15.75">
      <c r="F1440" s="34"/>
      <c r="G1440" s="67"/>
      <c r="H1440" s="34"/>
      <c r="I1440" s="34"/>
      <c r="J1440" s="34"/>
      <c r="K1440" s="34"/>
      <c r="L1440" s="34"/>
      <c r="M1440" s="34"/>
    </row>
    <row r="1441" spans="6:13" s="6" customFormat="1" ht="15.75">
      <c r="F1441" s="34"/>
      <c r="G1441" s="67"/>
      <c r="H1441" s="34"/>
      <c r="I1441" s="34"/>
      <c r="J1441" s="34"/>
      <c r="K1441" s="34"/>
      <c r="L1441" s="34"/>
      <c r="M1441" s="34"/>
    </row>
    <row r="1442" spans="6:13" s="6" customFormat="1" ht="15.75">
      <c r="F1442" s="34"/>
      <c r="G1442" s="67"/>
      <c r="H1442" s="34"/>
      <c r="I1442" s="34"/>
      <c r="J1442" s="34"/>
      <c r="K1442" s="34"/>
      <c r="L1442" s="34"/>
      <c r="M1442" s="34"/>
    </row>
    <row r="1443" spans="6:13" s="6" customFormat="1" ht="15.75">
      <c r="F1443" s="34"/>
      <c r="G1443" s="67"/>
      <c r="H1443" s="34"/>
      <c r="I1443" s="34"/>
      <c r="J1443" s="34"/>
      <c r="K1443" s="34"/>
      <c r="L1443" s="34"/>
      <c r="M1443" s="34"/>
    </row>
    <row r="1444" spans="6:13" s="6" customFormat="1" ht="15.75">
      <c r="F1444" s="34"/>
      <c r="G1444" s="67"/>
      <c r="H1444" s="34"/>
      <c r="I1444" s="34"/>
      <c r="J1444" s="34"/>
      <c r="K1444" s="34"/>
      <c r="L1444" s="34"/>
      <c r="M1444" s="34"/>
    </row>
    <row r="1445" spans="6:13" s="6" customFormat="1" ht="15.75">
      <c r="F1445" s="34"/>
      <c r="G1445" s="67"/>
      <c r="H1445" s="34"/>
      <c r="I1445" s="34"/>
      <c r="J1445" s="34"/>
      <c r="K1445" s="34"/>
      <c r="L1445" s="34"/>
      <c r="M1445" s="34"/>
    </row>
    <row r="1446" spans="6:13" s="6" customFormat="1" ht="15.75">
      <c r="F1446" s="34"/>
      <c r="G1446" s="67"/>
      <c r="H1446" s="34"/>
      <c r="I1446" s="34"/>
      <c r="J1446" s="34"/>
      <c r="K1446" s="34"/>
      <c r="L1446" s="34"/>
      <c r="M1446" s="34"/>
    </row>
    <row r="1447" spans="6:13" s="6" customFormat="1" ht="15.75">
      <c r="F1447" s="34"/>
      <c r="G1447" s="67"/>
      <c r="H1447" s="34"/>
      <c r="I1447" s="34"/>
      <c r="J1447" s="34"/>
      <c r="K1447" s="34"/>
      <c r="L1447" s="34"/>
      <c r="M1447" s="34"/>
    </row>
    <row r="1448" spans="6:13" s="6" customFormat="1" ht="15.75">
      <c r="F1448" s="34"/>
      <c r="G1448" s="67"/>
      <c r="H1448" s="34"/>
      <c r="I1448" s="34"/>
      <c r="J1448" s="34"/>
      <c r="K1448" s="34"/>
      <c r="L1448" s="34"/>
      <c r="M1448" s="34"/>
    </row>
    <row r="1449" spans="6:13" s="6" customFormat="1" ht="15.75">
      <c r="F1449" s="34"/>
      <c r="G1449" s="67"/>
      <c r="H1449" s="34"/>
      <c r="I1449" s="34"/>
      <c r="J1449" s="34"/>
      <c r="K1449" s="34"/>
      <c r="L1449" s="34"/>
      <c r="M1449" s="34"/>
    </row>
    <row r="1450" spans="6:13" s="6" customFormat="1" ht="15.75">
      <c r="F1450" s="34"/>
      <c r="G1450" s="67"/>
      <c r="H1450" s="34"/>
      <c r="I1450" s="34"/>
      <c r="J1450" s="34"/>
      <c r="K1450" s="34"/>
      <c r="L1450" s="34"/>
      <c r="M1450" s="34"/>
    </row>
    <row r="1451" spans="6:13" s="6" customFormat="1" ht="15.75">
      <c r="F1451" s="34"/>
      <c r="G1451" s="67"/>
      <c r="H1451" s="34"/>
      <c r="I1451" s="34"/>
      <c r="J1451" s="34"/>
      <c r="K1451" s="34"/>
      <c r="L1451" s="34"/>
      <c r="M1451" s="34"/>
    </row>
    <row r="1452" spans="6:13" s="6" customFormat="1" ht="15.75">
      <c r="F1452" s="34"/>
      <c r="G1452" s="67"/>
      <c r="H1452" s="34"/>
      <c r="I1452" s="34"/>
      <c r="J1452" s="34"/>
      <c r="K1452" s="34"/>
      <c r="L1452" s="34"/>
      <c r="M1452" s="34"/>
    </row>
    <row r="1453" spans="6:13" s="6" customFormat="1" ht="15.75">
      <c r="F1453" s="34"/>
      <c r="G1453" s="67"/>
      <c r="H1453" s="34"/>
      <c r="I1453" s="34"/>
      <c r="J1453" s="34"/>
      <c r="K1453" s="34"/>
      <c r="L1453" s="34"/>
      <c r="M1453" s="34"/>
    </row>
    <row r="1454" spans="6:13" s="6" customFormat="1" ht="15.75">
      <c r="F1454" s="34"/>
      <c r="G1454" s="67"/>
      <c r="H1454" s="34"/>
      <c r="I1454" s="34"/>
      <c r="J1454" s="34"/>
      <c r="K1454" s="34"/>
      <c r="L1454" s="34"/>
      <c r="M1454" s="34"/>
    </row>
    <row r="1455" spans="6:13" s="6" customFormat="1" ht="15.75">
      <c r="F1455" s="34"/>
      <c r="G1455" s="67"/>
      <c r="H1455" s="34"/>
      <c r="I1455" s="34"/>
      <c r="J1455" s="34"/>
      <c r="K1455" s="34"/>
      <c r="L1455" s="34"/>
      <c r="M1455" s="34"/>
    </row>
    <row r="1456" spans="6:13" s="6" customFormat="1" ht="15.75">
      <c r="F1456" s="34"/>
      <c r="G1456" s="67"/>
      <c r="H1456" s="34"/>
      <c r="I1456" s="34"/>
      <c r="J1456" s="34"/>
      <c r="K1456" s="34"/>
      <c r="L1456" s="34"/>
      <c r="M1456" s="34"/>
    </row>
    <row r="1457" spans="6:13" s="6" customFormat="1" ht="15.75">
      <c r="F1457" s="34"/>
      <c r="G1457" s="67"/>
      <c r="H1457" s="34"/>
      <c r="I1457" s="34"/>
      <c r="J1457" s="34"/>
      <c r="K1457" s="34"/>
      <c r="L1457" s="34"/>
      <c r="M1457" s="34"/>
    </row>
    <row r="1458" spans="6:13" s="6" customFormat="1" ht="15.75">
      <c r="F1458" s="34"/>
      <c r="G1458" s="67"/>
      <c r="H1458" s="34"/>
      <c r="I1458" s="34"/>
      <c r="J1458" s="34"/>
      <c r="K1458" s="34"/>
      <c r="L1458" s="34"/>
      <c r="M1458" s="34"/>
    </row>
    <row r="1459" spans="6:13" s="6" customFormat="1" ht="15.75">
      <c r="F1459" s="34"/>
      <c r="G1459" s="67"/>
      <c r="H1459" s="34"/>
      <c r="I1459" s="34"/>
      <c r="J1459" s="34"/>
      <c r="K1459" s="34"/>
      <c r="L1459" s="34"/>
      <c r="M1459" s="34"/>
    </row>
    <row r="1460" spans="6:13" s="6" customFormat="1" ht="15.75">
      <c r="F1460" s="34"/>
      <c r="G1460" s="67"/>
      <c r="H1460" s="34"/>
      <c r="I1460" s="34"/>
      <c r="J1460" s="34"/>
      <c r="K1460" s="34"/>
      <c r="L1460" s="34"/>
      <c r="M1460" s="34"/>
    </row>
    <row r="1461" spans="6:13" s="6" customFormat="1" ht="15.75">
      <c r="F1461" s="34"/>
      <c r="G1461" s="67"/>
      <c r="H1461" s="34"/>
      <c r="I1461" s="34"/>
      <c r="J1461" s="34"/>
      <c r="K1461" s="34"/>
      <c r="L1461" s="34"/>
      <c r="M1461" s="34"/>
    </row>
    <row r="1462" spans="6:13" s="6" customFormat="1" ht="15.75">
      <c r="F1462" s="34"/>
      <c r="G1462" s="67"/>
      <c r="H1462" s="34"/>
      <c r="I1462" s="34"/>
      <c r="J1462" s="34"/>
      <c r="K1462" s="34"/>
      <c r="L1462" s="34"/>
      <c r="M1462" s="34"/>
    </row>
    <row r="1463" spans="6:13" s="6" customFormat="1" ht="15.75">
      <c r="F1463" s="34"/>
      <c r="G1463" s="67"/>
      <c r="H1463" s="34"/>
      <c r="I1463" s="34"/>
      <c r="J1463" s="34"/>
      <c r="K1463" s="34"/>
      <c r="L1463" s="34"/>
      <c r="M1463" s="34"/>
    </row>
    <row r="1464" spans="6:13" s="6" customFormat="1" ht="15.75">
      <c r="F1464" s="34"/>
      <c r="G1464" s="67"/>
      <c r="H1464" s="34"/>
      <c r="I1464" s="34"/>
      <c r="J1464" s="34"/>
      <c r="K1464" s="34"/>
      <c r="L1464" s="34"/>
      <c r="M1464" s="34"/>
    </row>
    <row r="1465" spans="6:13" s="6" customFormat="1" ht="15.75">
      <c r="F1465" s="34"/>
      <c r="G1465" s="67"/>
      <c r="H1465" s="34"/>
      <c r="I1465" s="34"/>
      <c r="J1465" s="34"/>
      <c r="K1465" s="34"/>
      <c r="L1465" s="34"/>
      <c r="M1465" s="34"/>
    </row>
    <row r="1466" spans="6:13" s="6" customFormat="1" ht="15.75">
      <c r="F1466" s="34"/>
      <c r="G1466" s="67"/>
      <c r="H1466" s="34"/>
      <c r="I1466" s="34"/>
      <c r="J1466" s="34"/>
      <c r="K1466" s="34"/>
      <c r="L1466" s="34"/>
      <c r="M1466" s="34"/>
    </row>
    <row r="1467" spans="6:13" s="6" customFormat="1" ht="15.75">
      <c r="F1467" s="34"/>
      <c r="G1467" s="67"/>
      <c r="H1467" s="34"/>
      <c r="I1467" s="34"/>
      <c r="J1467" s="34"/>
      <c r="K1467" s="34"/>
      <c r="L1467" s="34"/>
      <c r="M1467" s="34"/>
    </row>
    <row r="1468" spans="6:13" s="6" customFormat="1" ht="15.75">
      <c r="F1468" s="34"/>
      <c r="G1468" s="67"/>
      <c r="H1468" s="34"/>
      <c r="I1468" s="34"/>
      <c r="J1468" s="34"/>
      <c r="K1468" s="34"/>
      <c r="L1468" s="34"/>
      <c r="M1468" s="34"/>
    </row>
    <row r="1469" spans="6:13" s="6" customFormat="1" ht="15.75">
      <c r="F1469" s="34"/>
      <c r="G1469" s="67"/>
      <c r="H1469" s="34"/>
      <c r="I1469" s="34"/>
      <c r="J1469" s="34"/>
      <c r="K1469" s="34"/>
      <c r="L1469" s="34"/>
      <c r="M1469" s="34"/>
    </row>
    <row r="1470" spans="6:13" s="6" customFormat="1" ht="15.75">
      <c r="F1470" s="34"/>
      <c r="G1470" s="67"/>
      <c r="H1470" s="34"/>
      <c r="I1470" s="34"/>
      <c r="J1470" s="34"/>
      <c r="K1470" s="34"/>
      <c r="L1470" s="34"/>
      <c r="M1470" s="34"/>
    </row>
    <row r="1471" spans="6:13" s="6" customFormat="1" ht="15.75">
      <c r="F1471" s="34"/>
      <c r="G1471" s="67"/>
      <c r="H1471" s="34"/>
      <c r="I1471" s="34"/>
      <c r="J1471" s="34"/>
      <c r="K1471" s="34"/>
      <c r="L1471" s="34"/>
      <c r="M1471" s="34"/>
    </row>
    <row r="1472" spans="6:13" s="6" customFormat="1" ht="15.75">
      <c r="F1472" s="34"/>
      <c r="G1472" s="67"/>
      <c r="H1472" s="34"/>
      <c r="I1472" s="34"/>
      <c r="J1472" s="34"/>
      <c r="K1472" s="34"/>
      <c r="L1472" s="34"/>
      <c r="M1472" s="34"/>
    </row>
    <row r="1473" spans="6:13" s="6" customFormat="1" ht="15.75">
      <c r="F1473" s="34"/>
      <c r="G1473" s="67"/>
      <c r="H1473" s="34"/>
      <c r="I1473" s="34"/>
      <c r="J1473" s="34"/>
      <c r="K1473" s="34"/>
      <c r="L1473" s="34"/>
      <c r="M1473" s="34"/>
    </row>
    <row r="1474" spans="6:13" s="6" customFormat="1" ht="15.75">
      <c r="F1474" s="34"/>
      <c r="G1474" s="67"/>
      <c r="H1474" s="34"/>
      <c r="I1474" s="34"/>
      <c r="J1474" s="34"/>
      <c r="K1474" s="34"/>
      <c r="L1474" s="34"/>
      <c r="M1474" s="34"/>
    </row>
    <row r="1475" spans="6:13" s="6" customFormat="1" ht="15.75">
      <c r="F1475" s="34"/>
      <c r="G1475" s="67"/>
      <c r="H1475" s="34"/>
      <c r="I1475" s="34"/>
      <c r="J1475" s="34"/>
      <c r="K1475" s="34"/>
      <c r="L1475" s="34"/>
      <c r="M1475" s="34"/>
    </row>
    <row r="1476" spans="6:13" s="6" customFormat="1" ht="15.75">
      <c r="F1476" s="34"/>
      <c r="G1476" s="67"/>
      <c r="H1476" s="34"/>
      <c r="I1476" s="34"/>
      <c r="J1476" s="34"/>
      <c r="K1476" s="34"/>
      <c r="L1476" s="34"/>
      <c r="M1476" s="34"/>
    </row>
    <row r="1477" spans="6:13" s="6" customFormat="1" ht="15.75">
      <c r="F1477" s="34"/>
      <c r="G1477" s="67"/>
      <c r="H1477" s="34"/>
      <c r="I1477" s="34"/>
      <c r="J1477" s="34"/>
      <c r="K1477" s="34"/>
      <c r="L1477" s="34"/>
      <c r="M1477" s="34"/>
    </row>
    <row r="1478" spans="6:13" s="6" customFormat="1" ht="15.75">
      <c r="F1478" s="34"/>
      <c r="G1478" s="67"/>
      <c r="H1478" s="34"/>
      <c r="I1478" s="34"/>
      <c r="J1478" s="34"/>
      <c r="K1478" s="34"/>
      <c r="L1478" s="34"/>
      <c r="M1478" s="34"/>
    </row>
    <row r="1479" spans="6:13" s="6" customFormat="1" ht="15.75">
      <c r="F1479" s="34"/>
      <c r="G1479" s="67"/>
      <c r="H1479" s="34"/>
      <c r="I1479" s="34"/>
      <c r="J1479" s="34"/>
      <c r="K1479" s="34"/>
      <c r="L1479" s="34"/>
      <c r="M1479" s="34"/>
    </row>
    <row r="1480" spans="6:13" s="6" customFormat="1" ht="15.75">
      <c r="F1480" s="34"/>
      <c r="G1480" s="67"/>
      <c r="H1480" s="34"/>
      <c r="I1480" s="34"/>
      <c r="J1480" s="34"/>
      <c r="K1480" s="34"/>
      <c r="L1480" s="34"/>
      <c r="M1480" s="34"/>
    </row>
    <row r="1481" spans="6:13" s="6" customFormat="1" ht="15.75">
      <c r="F1481" s="34"/>
      <c r="G1481" s="67"/>
      <c r="H1481" s="34"/>
      <c r="I1481" s="34"/>
      <c r="J1481" s="34"/>
      <c r="K1481" s="34"/>
      <c r="L1481" s="34"/>
      <c r="M1481" s="34"/>
    </row>
    <row r="1482" spans="6:13" s="6" customFormat="1" ht="15.75">
      <c r="F1482" s="34"/>
      <c r="G1482" s="67"/>
      <c r="H1482" s="34"/>
      <c r="I1482" s="34"/>
      <c r="J1482" s="34"/>
      <c r="K1482" s="34"/>
      <c r="L1482" s="34"/>
      <c r="M1482" s="34"/>
    </row>
    <row r="1483" spans="6:13" s="6" customFormat="1" ht="15.75">
      <c r="F1483" s="34"/>
      <c r="G1483" s="67"/>
      <c r="H1483" s="34"/>
      <c r="I1483" s="34"/>
      <c r="J1483" s="34"/>
      <c r="K1483" s="34"/>
      <c r="L1483" s="34"/>
      <c r="M1483" s="34"/>
    </row>
    <row r="1484" spans="6:13" s="6" customFormat="1" ht="15.75">
      <c r="F1484" s="34"/>
      <c r="G1484" s="67"/>
      <c r="H1484" s="34"/>
      <c r="I1484" s="34"/>
      <c r="J1484" s="34"/>
      <c r="K1484" s="34"/>
      <c r="L1484" s="34"/>
      <c r="M1484" s="34"/>
    </row>
    <row r="1485" spans="6:13" s="6" customFormat="1" ht="15.75">
      <c r="F1485" s="34"/>
      <c r="G1485" s="67"/>
      <c r="H1485" s="34"/>
      <c r="I1485" s="34"/>
      <c r="J1485" s="34"/>
      <c r="K1485" s="34"/>
      <c r="L1485" s="34"/>
      <c r="M1485" s="34"/>
    </row>
    <row r="1486" spans="6:13" s="6" customFormat="1" ht="15.75">
      <c r="F1486" s="34"/>
      <c r="G1486" s="67"/>
      <c r="H1486" s="34"/>
      <c r="I1486" s="34"/>
      <c r="J1486" s="34"/>
      <c r="K1486" s="34"/>
      <c r="L1486" s="34"/>
      <c r="M1486" s="34"/>
    </row>
    <row r="1487" spans="6:13" s="6" customFormat="1" ht="15.75">
      <c r="F1487" s="34"/>
      <c r="G1487" s="67"/>
      <c r="H1487" s="34"/>
      <c r="I1487" s="34"/>
      <c r="J1487" s="34"/>
      <c r="K1487" s="34"/>
      <c r="L1487" s="34"/>
      <c r="M1487" s="34"/>
    </row>
    <row r="1488" spans="6:13" s="6" customFormat="1" ht="15.75">
      <c r="F1488" s="34"/>
      <c r="G1488" s="67"/>
      <c r="H1488" s="34"/>
      <c r="I1488" s="34"/>
      <c r="J1488" s="34"/>
      <c r="K1488" s="34"/>
      <c r="L1488" s="34"/>
      <c r="M1488" s="34"/>
    </row>
    <row r="1489" spans="6:13" s="6" customFormat="1" ht="15.75">
      <c r="F1489" s="34"/>
      <c r="G1489" s="67"/>
      <c r="H1489" s="34"/>
      <c r="I1489" s="34"/>
      <c r="J1489" s="34"/>
      <c r="K1489" s="34"/>
      <c r="L1489" s="34"/>
      <c r="M1489" s="34"/>
    </row>
  </sheetData>
  <mergeCells count="1">
    <mergeCell ref="A1203:B120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1464"/>
  <sheetViews>
    <sheetView view="pageBreakPreview" zoomScale="75" zoomScaleNormal="100" workbookViewId="0">
      <pane ySplit="1680" topLeftCell="A1216" activePane="bottomLeft"/>
      <selection activeCell="L1" sqref="L1:L65536"/>
      <selection pane="bottomLeft" activeCell="K1218" sqref="K1218"/>
    </sheetView>
  </sheetViews>
  <sheetFormatPr defaultRowHeight="12.75"/>
  <cols>
    <col min="1" max="1" width="9.140625" style="734"/>
    <col min="2" max="2" width="26.28515625" style="695" customWidth="1"/>
    <col min="3" max="5" width="13.7109375" style="734" customWidth="1"/>
    <col min="6" max="6" width="13.7109375" style="735" customWidth="1"/>
    <col min="7" max="7" width="11.28515625" style="543" customWidth="1"/>
    <col min="8" max="8" width="11.28515625" style="735" customWidth="1"/>
    <col min="9" max="9" width="9.28515625" style="735" customWidth="1"/>
    <col min="10" max="10" width="9.140625" style="735"/>
    <col min="11" max="11" width="12" style="735" customWidth="1"/>
    <col min="12" max="12" width="12" style="735" hidden="1" customWidth="1"/>
    <col min="13" max="13" width="11.5703125" style="735" customWidth="1"/>
    <col min="14" max="22" width="9.140625" style="734"/>
  </cols>
  <sheetData>
    <row r="1" spans="1:14" s="6" customFormat="1" ht="15.75">
      <c r="A1" s="5" t="s">
        <v>630</v>
      </c>
      <c r="B1" s="8"/>
      <c r="C1" s="8"/>
      <c r="D1" s="8"/>
      <c r="E1" s="8"/>
      <c r="F1" s="40"/>
      <c r="G1" s="61"/>
      <c r="H1" s="40"/>
      <c r="I1" s="40"/>
      <c r="J1" s="40"/>
      <c r="K1" s="40"/>
      <c r="L1" s="40"/>
      <c r="M1" s="40"/>
    </row>
    <row r="2" spans="1:14" s="6" customFormat="1" ht="18" customHeight="1">
      <c r="B2" s="5" t="s">
        <v>672</v>
      </c>
      <c r="C2" s="16"/>
      <c r="D2" s="16"/>
      <c r="E2" s="16"/>
      <c r="F2" s="43"/>
      <c r="G2" s="228"/>
      <c r="H2" s="47"/>
      <c r="I2" s="43"/>
      <c r="J2" s="43"/>
      <c r="K2" s="43">
        <v>560.71</v>
      </c>
      <c r="L2" s="43"/>
      <c r="M2" s="43"/>
    </row>
    <row r="3" spans="1:14" s="6" customFormat="1" ht="65.25" customHeight="1">
      <c r="A3" s="8" t="s">
        <v>574</v>
      </c>
      <c r="B3" s="8" t="s">
        <v>674</v>
      </c>
      <c r="C3" s="15" t="s">
        <v>1331</v>
      </c>
      <c r="D3" s="15" t="s">
        <v>610</v>
      </c>
      <c r="E3" s="15" t="s">
        <v>611</v>
      </c>
      <c r="F3" s="44" t="s">
        <v>575</v>
      </c>
      <c r="G3" s="223" t="s">
        <v>631</v>
      </c>
      <c r="H3" s="44" t="s">
        <v>578</v>
      </c>
      <c r="I3" s="44" t="s">
        <v>579</v>
      </c>
      <c r="J3" s="44" t="s">
        <v>580</v>
      </c>
      <c r="K3" s="44" t="s">
        <v>581</v>
      </c>
      <c r="L3" s="44">
        <v>1.29</v>
      </c>
      <c r="M3" s="44" t="s">
        <v>632</v>
      </c>
    </row>
    <row r="4" spans="1:14" s="2" customFormat="1" ht="17.25" customHeight="1">
      <c r="A4" s="3">
        <v>1</v>
      </c>
      <c r="B4" s="3">
        <v>2</v>
      </c>
      <c r="C4" s="4">
        <v>3</v>
      </c>
      <c r="D4" s="4">
        <v>4</v>
      </c>
      <c r="E4" s="4">
        <v>5</v>
      </c>
      <c r="F4" s="36">
        <v>6</v>
      </c>
      <c r="G4" s="229">
        <v>7</v>
      </c>
      <c r="H4" s="36">
        <v>8</v>
      </c>
      <c r="I4" s="36">
        <v>9</v>
      </c>
      <c r="J4" s="36">
        <v>10</v>
      </c>
      <c r="K4" s="36">
        <v>11</v>
      </c>
      <c r="L4" s="36"/>
      <c r="M4" s="36">
        <v>12</v>
      </c>
    </row>
    <row r="5" spans="1:14" s="6" customFormat="1" ht="15.75">
      <c r="A5" s="9" t="s">
        <v>682</v>
      </c>
      <c r="B5" s="8"/>
      <c r="C5" s="8"/>
      <c r="D5" s="8"/>
      <c r="E5" s="8"/>
      <c r="F5" s="40"/>
      <c r="G5" s="223"/>
      <c r="H5" s="37"/>
      <c r="I5" s="37"/>
      <c r="J5" s="37"/>
      <c r="K5" s="37"/>
      <c r="L5" s="37"/>
      <c r="M5" s="37"/>
    </row>
    <row r="6" spans="1:14" s="6" customFormat="1" ht="15.75">
      <c r="A6" s="309">
        <f>1</f>
        <v>1</v>
      </c>
      <c r="B6" s="305" t="s">
        <v>683</v>
      </c>
      <c r="C6" s="386">
        <v>9570.0499999999993</v>
      </c>
      <c r="D6" s="386"/>
      <c r="E6" s="386"/>
      <c r="F6" s="40">
        <f>C6+D6+E6</f>
        <v>9570.0499999999993</v>
      </c>
      <c r="G6" s="72">
        <f t="shared" ref="G6:G66" si="0">3/248309.63*F6</f>
        <v>0.11562237839909793</v>
      </c>
      <c r="H6" s="37">
        <f t="shared" ref="H6:H66" si="1">G6*2588.49</f>
        <v>299.287370262281</v>
      </c>
      <c r="I6" s="37">
        <f>H6*0.3677</f>
        <v>110.04796604544073</v>
      </c>
      <c r="J6" s="37">
        <v>114.62887123954219</v>
      </c>
      <c r="K6" s="37">
        <f>G6*560.71</f>
        <v>64.830623792158207</v>
      </c>
      <c r="L6" s="37"/>
      <c r="M6" s="45">
        <f>(K6+J6+I6+H6)/F6</f>
        <v>6.1524739300152259E-2</v>
      </c>
      <c r="N6" s="6" t="s">
        <v>2</v>
      </c>
    </row>
    <row r="7" spans="1:14" s="6" customFormat="1" ht="15.75">
      <c r="A7" s="309">
        <f>1</f>
        <v>1</v>
      </c>
      <c r="B7" s="305" t="s">
        <v>684</v>
      </c>
      <c r="C7" s="330">
        <v>4259.1400000000003</v>
      </c>
      <c r="D7" s="330"/>
      <c r="E7" s="330"/>
      <c r="F7" s="40">
        <f t="shared" ref="F7:F55" si="2">C7+D7+E7</f>
        <v>4259.1400000000003</v>
      </c>
      <c r="G7" s="72">
        <f t="shared" si="0"/>
        <v>5.1457609598145673E-2</v>
      </c>
      <c r="H7" s="37">
        <f t="shared" si="1"/>
        <v>133.19750786870409</v>
      </c>
      <c r="I7" s="37">
        <f t="shared" ref="I7:I69" si="3">H7*0.3677</f>
        <v>48.976723643322501</v>
      </c>
      <c r="J7" s="37">
        <v>51.015450353047669</v>
      </c>
      <c r="K7" s="37">
        <f t="shared" ref="K7:K59" si="4">G7*560.71</f>
        <v>28.852796277776264</v>
      </c>
      <c r="L7" s="37"/>
      <c r="M7" s="45">
        <f t="shared" ref="M7:M55" si="5">(K7+J7+I7+H7)/F7</f>
        <v>6.1524739300152266E-2</v>
      </c>
      <c r="N7" s="6" t="s">
        <v>3</v>
      </c>
    </row>
    <row r="8" spans="1:14" s="6" customFormat="1" ht="15.75">
      <c r="A8" s="309">
        <f>1</f>
        <v>1</v>
      </c>
      <c r="B8" s="305" t="s">
        <v>685</v>
      </c>
      <c r="C8" s="330">
        <v>8696.41</v>
      </c>
      <c r="D8" s="330"/>
      <c r="E8" s="330"/>
      <c r="F8" s="40">
        <f t="shared" si="2"/>
        <v>8696.41</v>
      </c>
      <c r="G8" s="72">
        <f t="shared" si="0"/>
        <v>0.10506733065487633</v>
      </c>
      <c r="H8" s="37">
        <f t="shared" si="1"/>
        <v>271.96573472684082</v>
      </c>
      <c r="I8" s="37">
        <f t="shared" si="3"/>
        <v>100.00180065905938</v>
      </c>
      <c r="J8" s="37">
        <v>104.1645197398412</v>
      </c>
      <c r="K8" s="37">
        <f t="shared" si="4"/>
        <v>58.912302971495713</v>
      </c>
      <c r="L8" s="37"/>
      <c r="M8" s="45">
        <f t="shared" si="5"/>
        <v>6.1524739300152266E-2</v>
      </c>
      <c r="N8" s="6" t="s">
        <v>4</v>
      </c>
    </row>
    <row r="9" spans="1:14" s="6" customFormat="1" ht="15.75">
      <c r="A9" s="309">
        <v>4</v>
      </c>
      <c r="B9" s="305" t="s">
        <v>686</v>
      </c>
      <c r="C9" s="330">
        <v>2719.72</v>
      </c>
      <c r="D9" s="330"/>
      <c r="E9" s="330"/>
      <c r="F9" s="40">
        <f t="shared" si="2"/>
        <v>2719.72</v>
      </c>
      <c r="G9" s="72">
        <f t="shared" si="0"/>
        <v>3.2858814215139379E-2</v>
      </c>
      <c r="H9" s="37">
        <f t="shared" si="1"/>
        <v>85.054712007746119</v>
      </c>
      <c r="I9" s="37">
        <f t="shared" si="3"/>
        <v>31.274617605248249</v>
      </c>
      <c r="J9" s="37">
        <v>32.576468637844918</v>
      </c>
      <c r="K9" s="37">
        <f t="shared" si="4"/>
        <v>18.424265718570801</v>
      </c>
      <c r="L9" s="37"/>
      <c r="M9" s="45">
        <f t="shared" si="5"/>
        <v>6.1524739300152266E-2</v>
      </c>
    </row>
    <row r="10" spans="1:14" s="6" customFormat="1" ht="15.75">
      <c r="A10" s="309">
        <f>1</f>
        <v>1</v>
      </c>
      <c r="B10" s="305" t="s">
        <v>687</v>
      </c>
      <c r="C10" s="330">
        <v>4138.7</v>
      </c>
      <c r="D10" s="330"/>
      <c r="E10" s="330"/>
      <c r="F10" s="40">
        <f t="shared" si="2"/>
        <v>4138.7</v>
      </c>
      <c r="G10" s="72">
        <f t="shared" si="0"/>
        <v>5.000249084177686E-2</v>
      </c>
      <c r="H10" s="37">
        <f t="shared" si="1"/>
        <v>129.43094751903098</v>
      </c>
      <c r="I10" s="37">
        <f t="shared" si="3"/>
        <v>47.591759402747698</v>
      </c>
      <c r="J10" s="37">
        <v>49.572834979868794</v>
      </c>
      <c r="K10" s="37">
        <f t="shared" si="4"/>
        <v>28.036896639892706</v>
      </c>
      <c r="L10" s="37"/>
      <c r="M10" s="45">
        <f t="shared" si="5"/>
        <v>6.1524739300152266E-2</v>
      </c>
    </row>
    <row r="11" spans="1:14" s="6" customFormat="1" ht="15.75">
      <c r="A11" s="309">
        <f>1+1</f>
        <v>2</v>
      </c>
      <c r="B11" s="305" t="s">
        <v>688</v>
      </c>
      <c r="C11" s="330">
        <v>4166.1899999999996</v>
      </c>
      <c r="D11" s="330"/>
      <c r="E11" s="330"/>
      <c r="F11" s="40">
        <f t="shared" si="2"/>
        <v>4166.1899999999996</v>
      </c>
      <c r="G11" s="72">
        <f t="shared" si="0"/>
        <v>5.0334616502791293E-2</v>
      </c>
      <c r="H11" s="37">
        <f t="shared" si="1"/>
        <v>130.29065147131021</v>
      </c>
      <c r="I11" s="37">
        <f t="shared" si="3"/>
        <v>47.907872546000767</v>
      </c>
      <c r="J11" s="37">
        <v>49.902106788310228</v>
      </c>
      <c r="K11" s="37">
        <f t="shared" si="4"/>
        <v>28.223122819280107</v>
      </c>
      <c r="L11" s="37"/>
      <c r="M11" s="45">
        <f t="shared" si="5"/>
        <v>6.1524739300152259E-2</v>
      </c>
    </row>
    <row r="12" spans="1:14" s="6" customFormat="1" ht="15.75">
      <c r="A12" s="309">
        <v>5</v>
      </c>
      <c r="B12" s="305" t="s">
        <v>689</v>
      </c>
      <c r="C12" s="330">
        <v>3572.8</v>
      </c>
      <c r="D12" s="330"/>
      <c r="E12" s="330"/>
      <c r="F12" s="40">
        <f t="shared" si="2"/>
        <v>3572.8</v>
      </c>
      <c r="G12" s="72">
        <f t="shared" si="0"/>
        <v>4.3165462410781251E-2</v>
      </c>
      <c r="H12" s="37">
        <f t="shared" si="1"/>
        <v>111.73336779568315</v>
      </c>
      <c r="I12" s="37">
        <f t="shared" si="3"/>
        <v>41.084359338472694</v>
      </c>
      <c r="J12" s="37">
        <v>42.794555009078991</v>
      </c>
      <c r="K12" s="37">
        <f t="shared" si="4"/>
        <v>24.203306428349158</v>
      </c>
      <c r="L12" s="37"/>
      <c r="M12" s="45">
        <f t="shared" si="5"/>
        <v>6.1524739300152252E-2</v>
      </c>
    </row>
    <row r="13" spans="1:14" s="6" customFormat="1" ht="15.75">
      <c r="A13" s="309">
        <v>6</v>
      </c>
      <c r="B13" s="305" t="s">
        <v>690</v>
      </c>
      <c r="C13" s="330">
        <v>6443.05</v>
      </c>
      <c r="D13" s="330"/>
      <c r="E13" s="330"/>
      <c r="F13" s="40">
        <f t="shared" si="2"/>
        <v>6443.05</v>
      </c>
      <c r="G13" s="72">
        <f t="shared" si="0"/>
        <v>7.7842933437579531E-2</v>
      </c>
      <c r="H13" s="37">
        <f t="shared" si="1"/>
        <v>201.49565477384022</v>
      </c>
      <c r="I13" s="37">
        <f t="shared" si="3"/>
        <v>74.08995226034105</v>
      </c>
      <c r="J13" s="37">
        <v>77.174053305879539</v>
      </c>
      <c r="K13" s="37">
        <f t="shared" si="4"/>
        <v>43.647311207785222</v>
      </c>
      <c r="L13" s="37"/>
      <c r="M13" s="45">
        <f t="shared" si="5"/>
        <v>6.1524739300152259E-2</v>
      </c>
    </row>
    <row r="14" spans="1:14" s="6" customFormat="1" ht="15.75">
      <c r="A14" s="309">
        <f>1</f>
        <v>1</v>
      </c>
      <c r="B14" s="305" t="s">
        <v>691</v>
      </c>
      <c r="C14" s="330">
        <v>6459.7</v>
      </c>
      <c r="D14" s="330"/>
      <c r="E14" s="330"/>
      <c r="F14" s="40">
        <f t="shared" si="2"/>
        <v>6459.7</v>
      </c>
      <c r="G14" s="72">
        <f t="shared" si="0"/>
        <v>7.8044093577844725E-2</v>
      </c>
      <c r="H14" s="37">
        <f t="shared" si="1"/>
        <v>202.01635578531528</v>
      </c>
      <c r="I14" s="37">
        <f t="shared" si="3"/>
        <v>74.281414022260435</v>
      </c>
      <c r="J14" s="37">
        <v>77.373484939584515</v>
      </c>
      <c r="K14" s="37">
        <f t="shared" si="4"/>
        <v>43.76010371003332</v>
      </c>
      <c r="L14" s="37"/>
      <c r="M14" s="45">
        <f t="shared" si="5"/>
        <v>6.1524739300152259E-2</v>
      </c>
    </row>
    <row r="15" spans="1:14" s="6" customFormat="1" ht="15.75">
      <c r="A15" s="309">
        <f>1+1</f>
        <v>2</v>
      </c>
      <c r="B15" s="305" t="s">
        <v>692</v>
      </c>
      <c r="C15" s="330">
        <v>4374.04</v>
      </c>
      <c r="D15" s="330"/>
      <c r="E15" s="330"/>
      <c r="F15" s="40">
        <f t="shared" si="2"/>
        <v>4374.04</v>
      </c>
      <c r="G15" s="72">
        <f t="shared" si="0"/>
        <v>5.2845795791327144E-2</v>
      </c>
      <c r="H15" s="37">
        <f t="shared" si="1"/>
        <v>136.79081394789239</v>
      </c>
      <c r="I15" s="37">
        <f t="shared" si="3"/>
        <v>50.297982288640036</v>
      </c>
      <c r="J15" s="37">
        <v>52.391708293750526</v>
      </c>
      <c r="K15" s="37">
        <f t="shared" si="4"/>
        <v>29.631166158155043</v>
      </c>
      <c r="L15" s="37"/>
      <c r="M15" s="45">
        <f t="shared" si="5"/>
        <v>6.1524739300152259E-2</v>
      </c>
    </row>
    <row r="16" spans="1:14" s="6" customFormat="1" ht="15.75">
      <c r="A16" s="309">
        <v>7</v>
      </c>
      <c r="B16" s="305" t="s">
        <v>693</v>
      </c>
      <c r="C16" s="330">
        <v>3413.87</v>
      </c>
      <c r="D16" s="330"/>
      <c r="E16" s="330">
        <v>85.7</v>
      </c>
      <c r="F16" s="40">
        <f t="shared" si="2"/>
        <v>3499.5699999999997</v>
      </c>
      <c r="G16" s="72">
        <f t="shared" si="0"/>
        <v>4.2280720244317546E-2</v>
      </c>
      <c r="H16" s="37">
        <f t="shared" si="1"/>
        <v>109.44322154521352</v>
      </c>
      <c r="I16" s="37">
        <f t="shared" si="3"/>
        <v>40.24227256217501</v>
      </c>
      <c r="J16" s="37">
        <v>41.917415157054009</v>
      </c>
      <c r="K16" s="37">
        <f t="shared" si="4"/>
        <v>23.707222648191294</v>
      </c>
      <c r="L16" s="37"/>
      <c r="M16" s="45">
        <f t="shared" si="5"/>
        <v>6.1524739300152259E-2</v>
      </c>
    </row>
    <row r="17" spans="1:13" s="6" customFormat="1" ht="15.75">
      <c r="A17" s="309">
        <v>8</v>
      </c>
      <c r="B17" s="305" t="s">
        <v>694</v>
      </c>
      <c r="C17" s="330">
        <v>3466.61</v>
      </c>
      <c r="D17" s="330">
        <v>97.8</v>
      </c>
      <c r="E17" s="330"/>
      <c r="F17" s="40">
        <f t="shared" si="2"/>
        <v>3564.4100000000003</v>
      </c>
      <c r="G17" s="72">
        <f t="shared" si="0"/>
        <v>4.3064097030791761E-2</v>
      </c>
      <c r="H17" s="37">
        <f t="shared" si="1"/>
        <v>111.47098452323415</v>
      </c>
      <c r="I17" s="37">
        <f t="shared" si="3"/>
        <v>40.987881009193202</v>
      </c>
      <c r="J17" s="37">
        <v>42.694060630293123</v>
      </c>
      <c r="K17" s="37">
        <f t="shared" si="4"/>
        <v>24.14646984613525</v>
      </c>
      <c r="L17" s="37"/>
      <c r="M17" s="45">
        <f t="shared" si="5"/>
        <v>6.1524739300152259E-2</v>
      </c>
    </row>
    <row r="18" spans="1:13" s="6" customFormat="1" ht="15.75">
      <c r="A18" s="309">
        <f>1</f>
        <v>1</v>
      </c>
      <c r="B18" s="305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2"/>
        <v>6484.8600000000006</v>
      </c>
      <c r="G18" s="72">
        <f t="shared" si="0"/>
        <v>7.8348068900912157E-2</v>
      </c>
      <c r="H18" s="37">
        <f t="shared" si="1"/>
        <v>202.80319286932209</v>
      </c>
      <c r="I18" s="37">
        <f t="shared" si="3"/>
        <v>74.570734018049734</v>
      </c>
      <c r="J18" s="37">
        <v>77.674848297183161</v>
      </c>
      <c r="K18" s="37">
        <f t="shared" si="4"/>
        <v>43.930545713430462</v>
      </c>
      <c r="L18" s="37"/>
      <c r="M18" s="45">
        <f t="shared" si="5"/>
        <v>6.1524739300152259E-2</v>
      </c>
    </row>
    <row r="19" spans="1:13" s="6" customFormat="1" ht="15.75">
      <c r="A19" s="309">
        <f>1+1</f>
        <v>2</v>
      </c>
      <c r="B19" s="305" t="s">
        <v>696</v>
      </c>
      <c r="C19" s="330">
        <v>5966.95</v>
      </c>
      <c r="D19" s="330"/>
      <c r="E19" s="330">
        <v>49.5</v>
      </c>
      <c r="F19" s="40">
        <f t="shared" si="2"/>
        <v>6016.45</v>
      </c>
      <c r="G19" s="72">
        <f t="shared" si="0"/>
        <v>7.2688884438352225E-2</v>
      </c>
      <c r="H19" s="37">
        <f t="shared" si="1"/>
        <v>188.15445047983033</v>
      </c>
      <c r="I19" s="37">
        <f t="shared" si="3"/>
        <v>69.184391441433618</v>
      </c>
      <c r="J19" s="37">
        <v>72.064291447708598</v>
      </c>
      <c r="K19" s="37">
        <f t="shared" si="4"/>
        <v>40.757384393428481</v>
      </c>
      <c r="L19" s="37"/>
      <c r="M19" s="45">
        <f t="shared" si="5"/>
        <v>6.1524739300152252E-2</v>
      </c>
    </row>
    <row r="20" spans="1:13" s="6" customFormat="1" ht="15.75">
      <c r="A20" s="309">
        <v>15</v>
      </c>
      <c r="B20" s="305" t="s">
        <v>697</v>
      </c>
      <c r="C20" s="330">
        <v>8566.1200000000008</v>
      </c>
      <c r="D20" s="330"/>
      <c r="E20" s="330"/>
      <c r="F20" s="40">
        <f t="shared" si="2"/>
        <v>8566.1200000000008</v>
      </c>
      <c r="G20" s="72">
        <f t="shared" si="0"/>
        <v>0.10349320725096325</v>
      </c>
      <c r="H20" s="37">
        <f t="shared" si="1"/>
        <v>267.89113203704585</v>
      </c>
      <c r="I20" s="37">
        <f t="shared" si="3"/>
        <v>98.503569250021769</v>
      </c>
      <c r="J20" s="37">
        <v>102.6039222890651</v>
      </c>
      <c r="K20" s="37">
        <f t="shared" si="4"/>
        <v>58.02967623768761</v>
      </c>
      <c r="L20" s="37"/>
      <c r="M20" s="45">
        <f t="shared" si="5"/>
        <v>6.1524739300152266E-2</v>
      </c>
    </row>
    <row r="21" spans="1:13" s="6" customFormat="1" ht="15.75">
      <c r="A21" s="309">
        <v>16</v>
      </c>
      <c r="B21" s="305" t="s">
        <v>698</v>
      </c>
      <c r="C21" s="330">
        <v>5774.55</v>
      </c>
      <c r="D21" s="330">
        <v>201.5</v>
      </c>
      <c r="E21" s="330"/>
      <c r="F21" s="40">
        <f t="shared" si="2"/>
        <v>5976.05</v>
      </c>
      <c r="G21" s="72">
        <f t="shared" si="0"/>
        <v>7.2200784158069103E-2</v>
      </c>
      <c r="H21" s="37">
        <f t="shared" si="1"/>
        <v>186.89100778532028</v>
      </c>
      <c r="I21" s="37">
        <f t="shared" si="3"/>
        <v>68.71982356266227</v>
      </c>
      <c r="J21" s="37">
        <v>71.580385261421441</v>
      </c>
      <c r="K21" s="37">
        <f t="shared" si="4"/>
        <v>40.48370168527093</v>
      </c>
      <c r="L21" s="37"/>
      <c r="M21" s="45">
        <f t="shared" si="5"/>
        <v>6.1524739300152266E-2</v>
      </c>
    </row>
    <row r="22" spans="1:13" s="6" customFormat="1" ht="15.75">
      <c r="A22" s="309">
        <v>17</v>
      </c>
      <c r="B22" s="305" t="s">
        <v>699</v>
      </c>
      <c r="C22" s="330">
        <v>3226.62</v>
      </c>
      <c r="D22" s="330"/>
      <c r="E22" s="330"/>
      <c r="F22" s="40">
        <f t="shared" si="2"/>
        <v>3226.62</v>
      </c>
      <c r="G22" s="72">
        <f t="shared" si="0"/>
        <v>3.8983022929879922E-2</v>
      </c>
      <c r="H22" s="37">
        <f t="shared" si="1"/>
        <v>100.90716502376488</v>
      </c>
      <c r="I22" s="37">
        <f t="shared" si="3"/>
        <v>37.103564579238345</v>
      </c>
      <c r="J22" s="37">
        <v>38.648053930641083</v>
      </c>
      <c r="K22" s="37">
        <f t="shared" si="4"/>
        <v>21.858170787012973</v>
      </c>
      <c r="L22" s="37"/>
      <c r="M22" s="45">
        <f t="shared" si="5"/>
        <v>6.1524739300152259E-2</v>
      </c>
    </row>
    <row r="23" spans="1:13" s="6" customFormat="1" ht="15.75">
      <c r="A23" s="309">
        <v>18</v>
      </c>
      <c r="B23" s="305" t="s">
        <v>700</v>
      </c>
      <c r="C23" s="330">
        <v>3233.9</v>
      </c>
      <c r="D23" s="330"/>
      <c r="E23" s="330"/>
      <c r="F23" s="40">
        <f t="shared" si="2"/>
        <v>3233.9</v>
      </c>
      <c r="G23" s="72">
        <f t="shared" si="0"/>
        <v>3.9070977633851742E-2</v>
      </c>
      <c r="H23" s="37">
        <f t="shared" si="1"/>
        <v>101.13483489544889</v>
      </c>
      <c r="I23" s="37">
        <f t="shared" si="3"/>
        <v>37.187278791056556</v>
      </c>
      <c r="J23" s="37">
        <v>38.735252867179959</v>
      </c>
      <c r="K23" s="37">
        <f t="shared" si="4"/>
        <v>21.907487869077013</v>
      </c>
      <c r="L23" s="37"/>
      <c r="M23" s="45">
        <f t="shared" si="5"/>
        <v>6.1524739300152266E-2</v>
      </c>
    </row>
    <row r="24" spans="1:13" s="6" customFormat="1" ht="15.75">
      <c r="A24" s="309">
        <v>19</v>
      </c>
      <c r="B24" s="305" t="s">
        <v>701</v>
      </c>
      <c r="C24" s="330">
        <v>6095.4</v>
      </c>
      <c r="D24" s="330"/>
      <c r="E24" s="330"/>
      <c r="F24" s="40">
        <f t="shared" si="2"/>
        <v>6095.4</v>
      </c>
      <c r="G24" s="72">
        <f t="shared" si="0"/>
        <v>7.3642733872222352E-2</v>
      </c>
      <c r="H24" s="37">
        <f t="shared" si="1"/>
        <v>190.62348020090883</v>
      </c>
      <c r="I24" s="37">
        <f t="shared" si="3"/>
        <v>70.092253669874182</v>
      </c>
      <c r="J24" s="37">
        <v>73.009944749871266</v>
      </c>
      <c r="K24" s="37">
        <f t="shared" si="4"/>
        <v>41.2922173094938</v>
      </c>
      <c r="L24" s="37"/>
      <c r="M24" s="45">
        <f t="shared" si="5"/>
        <v>6.1524739300152266E-2</v>
      </c>
    </row>
    <row r="25" spans="1:13" s="6" customFormat="1" ht="15.75">
      <c r="A25" s="309">
        <v>20</v>
      </c>
      <c r="B25" s="305" t="s">
        <v>702</v>
      </c>
      <c r="C25" s="330">
        <v>6384.91</v>
      </c>
      <c r="D25" s="330"/>
      <c r="E25" s="330"/>
      <c r="F25" s="40">
        <f t="shared" si="2"/>
        <v>6384.91</v>
      </c>
      <c r="G25" s="72">
        <f t="shared" si="0"/>
        <v>7.7140503974815644E-2</v>
      </c>
      <c r="H25" s="37">
        <f t="shared" si="1"/>
        <v>199.67742313377053</v>
      </c>
      <c r="I25" s="37">
        <f t="shared" si="3"/>
        <v>73.421388486287427</v>
      </c>
      <c r="J25" s="37">
        <v>76.477659601158336</v>
      </c>
      <c r="K25" s="37">
        <f t="shared" si="4"/>
        <v>43.253451983718882</v>
      </c>
      <c r="L25" s="37"/>
      <c r="M25" s="45">
        <f t="shared" si="5"/>
        <v>6.1524739300152266E-2</v>
      </c>
    </row>
    <row r="26" spans="1:13" s="6" customFormat="1" ht="15.75">
      <c r="A26" s="309">
        <v>21</v>
      </c>
      <c r="B26" s="305" t="s">
        <v>703</v>
      </c>
      <c r="C26" s="330">
        <v>3929.49</v>
      </c>
      <c r="D26" s="330">
        <v>464.4</v>
      </c>
      <c r="E26" s="330"/>
      <c r="F26" s="40">
        <f t="shared" si="2"/>
        <v>4393.8899999999994</v>
      </c>
      <c r="G26" s="72">
        <f t="shared" si="0"/>
        <v>5.3085617339931598E-2</v>
      </c>
      <c r="H26" s="37">
        <f t="shared" si="1"/>
        <v>137.41158962823954</v>
      </c>
      <c r="I26" s="37">
        <f t="shared" si="3"/>
        <v>50.526241506303684</v>
      </c>
      <c r="J26" s="37">
        <v>52.629469130329731</v>
      </c>
      <c r="K26" s="37">
        <f t="shared" si="4"/>
        <v>29.76563649867305</v>
      </c>
      <c r="L26" s="37"/>
      <c r="M26" s="45">
        <f t="shared" si="5"/>
        <v>6.1524739300152266E-2</v>
      </c>
    </row>
    <row r="27" spans="1:13" s="6" customFormat="1" ht="15.75">
      <c r="A27" s="309">
        <v>22</v>
      </c>
      <c r="B27" s="305" t="s">
        <v>704</v>
      </c>
      <c r="C27" s="330">
        <v>7174.09</v>
      </c>
      <c r="D27" s="330"/>
      <c r="E27" s="330"/>
      <c r="F27" s="40">
        <f t="shared" si="2"/>
        <v>7174.09</v>
      </c>
      <c r="G27" s="72">
        <f t="shared" si="0"/>
        <v>8.6675132172682953E-2</v>
      </c>
      <c r="H27" s="37">
        <f t="shared" si="1"/>
        <v>224.35771287766809</v>
      </c>
      <c r="I27" s="37">
        <f t="shared" si="3"/>
        <v>82.496331025118565</v>
      </c>
      <c r="J27" s="37">
        <v>85.930359702497626</v>
      </c>
      <c r="K27" s="37">
        <f t="shared" si="4"/>
        <v>48.599613360545064</v>
      </c>
      <c r="L27" s="37"/>
      <c r="M27" s="45">
        <f t="shared" si="5"/>
        <v>6.1524739300152259E-2</v>
      </c>
    </row>
    <row r="28" spans="1:13" s="6" customFormat="1" ht="15.75">
      <c r="A28" s="309">
        <v>23</v>
      </c>
      <c r="B28" s="305" t="s">
        <v>705</v>
      </c>
      <c r="C28" s="330">
        <v>3836.07</v>
      </c>
      <c r="D28" s="330"/>
      <c r="E28" s="330">
        <v>416</v>
      </c>
      <c r="F28" s="40">
        <f t="shared" si="2"/>
        <v>4252.07</v>
      </c>
      <c r="G28" s="72">
        <f t="shared" si="0"/>
        <v>5.137219204909612E-2</v>
      </c>
      <c r="H28" s="37">
        <f t="shared" si="1"/>
        <v>132.9764053971648</v>
      </c>
      <c r="I28" s="37">
        <f t="shared" si="3"/>
        <v>48.895424264537496</v>
      </c>
      <c r="J28" s="37">
        <v>50.930766770447406</v>
      </c>
      <c r="K28" s="37">
        <f t="shared" si="4"/>
        <v>28.804901803848686</v>
      </c>
      <c r="L28" s="37"/>
      <c r="M28" s="45">
        <f t="shared" si="5"/>
        <v>6.1524739300152252E-2</v>
      </c>
    </row>
    <row r="29" spans="1:13" s="6" customFormat="1" ht="15.75">
      <c r="A29" s="309">
        <v>24</v>
      </c>
      <c r="B29" s="305" t="s">
        <v>706</v>
      </c>
      <c r="C29" s="330">
        <v>2413.89</v>
      </c>
      <c r="D29" s="330"/>
      <c r="E29" s="330"/>
      <c r="F29" s="40">
        <f t="shared" si="2"/>
        <v>2413.89</v>
      </c>
      <c r="G29" s="72">
        <f t="shared" si="0"/>
        <v>2.9163870930015885E-2</v>
      </c>
      <c r="H29" s="37">
        <f t="shared" si="1"/>
        <v>75.490388263636817</v>
      </c>
      <c r="I29" s="37">
        <f t="shared" si="3"/>
        <v>27.757815764539259</v>
      </c>
      <c r="J29" s="37">
        <v>28.91327485189926</v>
      </c>
      <c r="K29" s="37">
        <f t="shared" si="4"/>
        <v>16.352474069169208</v>
      </c>
      <c r="L29" s="37"/>
      <c r="M29" s="45">
        <f t="shared" si="5"/>
        <v>6.1524739300152259E-2</v>
      </c>
    </row>
    <row r="30" spans="1:13" s="6" customFormat="1" ht="15.75">
      <c r="A30" s="309">
        <v>25</v>
      </c>
      <c r="B30" s="305" t="s">
        <v>707</v>
      </c>
      <c r="C30" s="330">
        <v>6323.28</v>
      </c>
      <c r="D30" s="330"/>
      <c r="E30" s="330"/>
      <c r="F30" s="40">
        <f t="shared" si="2"/>
        <v>6323.28</v>
      </c>
      <c r="G30" s="72">
        <f t="shared" si="0"/>
        <v>7.639590941358175E-2</v>
      </c>
      <c r="H30" s="37">
        <f t="shared" si="1"/>
        <v>197.7500475579622</v>
      </c>
      <c r="I30" s="37">
        <f t="shared" si="3"/>
        <v>72.712692487062711</v>
      </c>
      <c r="J30" s="37">
        <v>75.73946310955246</v>
      </c>
      <c r="K30" s="37">
        <f t="shared" si="4"/>
        <v>42.835950367289428</v>
      </c>
      <c r="L30" s="37"/>
      <c r="M30" s="45">
        <f t="shared" si="5"/>
        <v>6.1524739300152259E-2</v>
      </c>
    </row>
    <row r="31" spans="1:13" s="6" customFormat="1" ht="15.75">
      <c r="A31" s="309">
        <v>26</v>
      </c>
      <c r="B31" s="305" t="s">
        <v>708</v>
      </c>
      <c r="C31" s="330">
        <v>4396.59</v>
      </c>
      <c r="D31" s="330"/>
      <c r="E31" s="330"/>
      <c r="F31" s="40">
        <f t="shared" si="2"/>
        <v>4396.59</v>
      </c>
      <c r="G31" s="72">
        <f t="shared" si="0"/>
        <v>5.3118237903217853E-2</v>
      </c>
      <c r="H31" s="37">
        <f t="shared" si="1"/>
        <v>137.49602763010037</v>
      </c>
      <c r="I31" s="37">
        <f t="shared" si="3"/>
        <v>50.557289359587912</v>
      </c>
      <c r="J31" s="37">
        <v>52.66180939525487</v>
      </c>
      <c r="K31" s="37">
        <f t="shared" si="4"/>
        <v>29.783927174713284</v>
      </c>
      <c r="L31" s="37"/>
      <c r="M31" s="45">
        <f t="shared" si="5"/>
        <v>6.1524739300152259E-2</v>
      </c>
    </row>
    <row r="32" spans="1:13" s="6" customFormat="1" ht="15.75">
      <c r="A32" s="309">
        <v>27</v>
      </c>
      <c r="B32" s="305" t="s">
        <v>709</v>
      </c>
      <c r="C32" s="330">
        <v>6702.46</v>
      </c>
      <c r="D32" s="330"/>
      <c r="E32" s="330"/>
      <c r="F32" s="40">
        <f t="shared" si="2"/>
        <v>6702.46</v>
      </c>
      <c r="G32" s="72">
        <f t="shared" si="0"/>
        <v>8.0977044667981668E-2</v>
      </c>
      <c r="H32" s="37">
        <f t="shared" si="1"/>
        <v>209.60827035262386</v>
      </c>
      <c r="I32" s="37">
        <f t="shared" si="3"/>
        <v>77.072961008659803</v>
      </c>
      <c r="J32" s="37">
        <v>80.281234092630868</v>
      </c>
      <c r="K32" s="37">
        <f t="shared" si="4"/>
        <v>45.404638715784003</v>
      </c>
      <c r="L32" s="37"/>
      <c r="M32" s="45">
        <f t="shared" si="5"/>
        <v>6.1524739300152266E-2</v>
      </c>
    </row>
    <row r="33" spans="1:13" s="6" customFormat="1" ht="15.75">
      <c r="A33" s="309">
        <v>28</v>
      </c>
      <c r="B33" s="305" t="s">
        <v>710</v>
      </c>
      <c r="C33" s="330">
        <v>6185.24</v>
      </c>
      <c r="D33" s="330"/>
      <c r="E33" s="330"/>
      <c r="F33" s="40">
        <f t="shared" si="2"/>
        <v>6185.24</v>
      </c>
      <c r="G33" s="72">
        <f t="shared" si="0"/>
        <v>7.4728152911347018E-2</v>
      </c>
      <c r="H33" s="37">
        <f t="shared" si="1"/>
        <v>193.43307652949264</v>
      </c>
      <c r="I33" s="37">
        <f t="shared" si="3"/>
        <v>71.125342239894451</v>
      </c>
      <c r="J33" s="37">
        <v>74.086037120565308</v>
      </c>
      <c r="K33" s="37">
        <f t="shared" si="4"/>
        <v>41.900822618921389</v>
      </c>
      <c r="L33" s="37"/>
      <c r="M33" s="45">
        <f t="shared" si="5"/>
        <v>6.1524739300152273E-2</v>
      </c>
    </row>
    <row r="34" spans="1:13" s="6" customFormat="1" ht="15.75">
      <c r="A34" s="309">
        <v>29</v>
      </c>
      <c r="B34" s="305" t="s">
        <v>711</v>
      </c>
      <c r="C34" s="330">
        <v>6856.85</v>
      </c>
      <c r="D34" s="330"/>
      <c r="E34" s="330"/>
      <c r="F34" s="40">
        <f t="shared" si="2"/>
        <v>6856.85</v>
      </c>
      <c r="G34" s="72">
        <f t="shared" si="0"/>
        <v>8.2842336803449795E-2</v>
      </c>
      <c r="H34" s="37">
        <f t="shared" si="1"/>
        <v>214.43656039236174</v>
      </c>
      <c r="I34" s="37">
        <f t="shared" si="3"/>
        <v>78.848323256271414</v>
      </c>
      <c r="J34" s="37">
        <v>82.130498352553545</v>
      </c>
      <c r="K34" s="37">
        <f t="shared" si="4"/>
        <v>46.450526669062334</v>
      </c>
      <c r="L34" s="37"/>
      <c r="M34" s="45">
        <f t="shared" si="5"/>
        <v>6.1524739300152259E-2</v>
      </c>
    </row>
    <row r="35" spans="1:13" s="6" customFormat="1" ht="15.75">
      <c r="A35" s="309">
        <v>30</v>
      </c>
      <c r="B35" s="305" t="s">
        <v>712</v>
      </c>
      <c r="C35" s="330">
        <v>6358.97</v>
      </c>
      <c r="D35" s="330"/>
      <c r="E35" s="330"/>
      <c r="F35" s="40">
        <f t="shared" si="2"/>
        <v>6358.97</v>
      </c>
      <c r="G35" s="72">
        <f t="shared" si="0"/>
        <v>7.6827104933465534E-2</v>
      </c>
      <c r="H35" s="37">
        <f t="shared" si="1"/>
        <v>198.86619284922619</v>
      </c>
      <c r="I35" s="37">
        <f t="shared" si="3"/>
        <v>73.123099110660476</v>
      </c>
      <c r="J35" s="37">
        <v>76.166953500359114</v>
      </c>
      <c r="K35" s="37">
        <f t="shared" si="4"/>
        <v>43.077726007243463</v>
      </c>
      <c r="L35" s="37"/>
      <c r="M35" s="45">
        <f t="shared" si="5"/>
        <v>6.1524739300152266E-2</v>
      </c>
    </row>
    <row r="36" spans="1:13" s="6" customFormat="1" ht="15.75">
      <c r="A36" s="309">
        <v>31</v>
      </c>
      <c r="B36" s="305" t="s">
        <v>713</v>
      </c>
      <c r="C36" s="330">
        <v>4302.43</v>
      </c>
      <c r="D36" s="330"/>
      <c r="E36" s="330"/>
      <c r="F36" s="40">
        <f t="shared" si="2"/>
        <v>4302.43</v>
      </c>
      <c r="G36" s="72">
        <f t="shared" si="0"/>
        <v>5.1980625962835196E-2</v>
      </c>
      <c r="H36" s="37">
        <f t="shared" si="1"/>
        <v>134.55133049853927</v>
      </c>
      <c r="I36" s="37">
        <f t="shared" si="3"/>
        <v>49.474524224312894</v>
      </c>
      <c r="J36" s="37">
        <v>51.533972600680627</v>
      </c>
      <c r="K36" s="37">
        <f t="shared" si="4"/>
        <v>29.146056783621326</v>
      </c>
      <c r="L36" s="37"/>
      <c r="M36" s="45">
        <f t="shared" si="5"/>
        <v>6.1524739300152266E-2</v>
      </c>
    </row>
    <row r="37" spans="1:13" s="6" customFormat="1" ht="15.75">
      <c r="A37" s="309">
        <v>32</v>
      </c>
      <c r="B37" s="305" t="s">
        <v>714</v>
      </c>
      <c r="C37" s="330">
        <v>4355.7</v>
      </c>
      <c r="D37" s="330"/>
      <c r="E37" s="330"/>
      <c r="F37" s="40">
        <f t="shared" si="2"/>
        <v>4355.7</v>
      </c>
      <c r="G37" s="72">
        <f t="shared" si="0"/>
        <v>5.2624217594782773E-2</v>
      </c>
      <c r="H37" s="37">
        <f t="shared" si="1"/>
        <v>136.21726100191924</v>
      </c>
      <c r="I37" s="37">
        <f t="shared" si="3"/>
        <v>50.087086870405706</v>
      </c>
      <c r="J37" s="37">
        <v>52.172034049777587</v>
      </c>
      <c r="K37" s="37">
        <f t="shared" si="4"/>
        <v>29.50692504757065</v>
      </c>
      <c r="L37" s="37"/>
      <c r="M37" s="45">
        <f t="shared" si="5"/>
        <v>6.1524739300152266E-2</v>
      </c>
    </row>
    <row r="38" spans="1:13" s="6" customFormat="1" ht="15.75">
      <c r="A38" s="309">
        <v>33</v>
      </c>
      <c r="B38" s="305" t="s">
        <v>715</v>
      </c>
      <c r="C38" s="330">
        <v>61.3</v>
      </c>
      <c r="D38" s="330"/>
      <c r="E38" s="330"/>
      <c r="F38" s="40"/>
      <c r="G38" s="72">
        <f t="shared" si="0"/>
        <v>0</v>
      </c>
      <c r="H38" s="37">
        <f t="shared" si="1"/>
        <v>0</v>
      </c>
      <c r="I38" s="37">
        <f t="shared" si="3"/>
        <v>0</v>
      </c>
      <c r="J38" s="37">
        <v>0</v>
      </c>
      <c r="K38" s="37">
        <f t="shared" si="4"/>
        <v>0</v>
      </c>
      <c r="L38" s="37"/>
      <c r="M38" s="45"/>
    </row>
    <row r="39" spans="1:13" s="6" customFormat="1" ht="15.75">
      <c r="A39" s="309">
        <v>34</v>
      </c>
      <c r="B39" s="305" t="s">
        <v>716</v>
      </c>
      <c r="C39" s="330">
        <v>105.7</v>
      </c>
      <c r="D39" s="330"/>
      <c r="E39" s="330"/>
      <c r="F39" s="40"/>
      <c r="G39" s="72">
        <f t="shared" si="0"/>
        <v>0</v>
      </c>
      <c r="H39" s="37">
        <f t="shared" si="1"/>
        <v>0</v>
      </c>
      <c r="I39" s="37">
        <f t="shared" si="3"/>
        <v>0</v>
      </c>
      <c r="J39" s="37">
        <v>0</v>
      </c>
      <c r="K39" s="37">
        <f t="shared" si="4"/>
        <v>0</v>
      </c>
      <c r="L39" s="37"/>
      <c r="M39" s="45"/>
    </row>
    <row r="40" spans="1:13" s="6" customFormat="1" ht="15.75">
      <c r="A40" s="309">
        <v>35</v>
      </c>
      <c r="B40" s="305" t="s">
        <v>717</v>
      </c>
      <c r="C40" s="330">
        <v>124.1</v>
      </c>
      <c r="D40" s="330"/>
      <c r="E40" s="330"/>
      <c r="F40" s="40"/>
      <c r="G40" s="72">
        <f t="shared" si="0"/>
        <v>0</v>
      </c>
      <c r="H40" s="37">
        <f t="shared" si="1"/>
        <v>0</v>
      </c>
      <c r="I40" s="37">
        <f t="shared" si="3"/>
        <v>0</v>
      </c>
      <c r="J40" s="37">
        <v>0</v>
      </c>
      <c r="K40" s="37">
        <f t="shared" si="4"/>
        <v>0</v>
      </c>
      <c r="L40" s="37"/>
      <c r="M40" s="45"/>
    </row>
    <row r="41" spans="1:13" s="6" customFormat="1" ht="15.75">
      <c r="A41" s="309">
        <v>36</v>
      </c>
      <c r="B41" s="305" t="s">
        <v>718</v>
      </c>
      <c r="C41" s="330">
        <v>2349.19</v>
      </c>
      <c r="D41" s="330"/>
      <c r="E41" s="330"/>
      <c r="F41" s="40">
        <f t="shared" si="2"/>
        <v>2349.19</v>
      </c>
      <c r="G41" s="72">
        <f t="shared" si="0"/>
        <v>2.8382185580156517E-2</v>
      </c>
      <c r="H41" s="37">
        <f t="shared" si="1"/>
        <v>73.467003552379339</v>
      </c>
      <c r="I41" s="37">
        <f t="shared" si="3"/>
        <v>27.013817206209886</v>
      </c>
      <c r="J41" s="37">
        <v>28.138306281285907</v>
      </c>
      <c r="K41" s="37">
        <f t="shared" si="4"/>
        <v>15.914175276649562</v>
      </c>
      <c r="L41" s="37"/>
      <c r="M41" s="45">
        <f t="shared" si="5"/>
        <v>6.1524739300152259E-2</v>
      </c>
    </row>
    <row r="42" spans="1:13" s="6" customFormat="1" ht="15.75">
      <c r="A42" s="309">
        <v>37</v>
      </c>
      <c r="B42" s="305" t="s">
        <v>719</v>
      </c>
      <c r="C42" s="330">
        <v>3321.01</v>
      </c>
      <c r="D42" s="330"/>
      <c r="E42" s="330"/>
      <c r="F42" s="40">
        <f t="shared" si="2"/>
        <v>3321.01</v>
      </c>
      <c r="G42" s="72">
        <f t="shared" si="0"/>
        <v>4.0123413658986973E-2</v>
      </c>
      <c r="H42" s="37">
        <f t="shared" si="1"/>
        <v>103.85905502215118</v>
      </c>
      <c r="I42" s="37">
        <f t="shared" si="3"/>
        <v>38.188974531644995</v>
      </c>
      <c r="J42" s="37">
        <v>39.778645636671918</v>
      </c>
      <c r="K42" s="37">
        <f t="shared" si="4"/>
        <v>22.497599272730586</v>
      </c>
      <c r="L42" s="37"/>
      <c r="M42" s="45">
        <f t="shared" si="5"/>
        <v>6.1524739300152266E-2</v>
      </c>
    </row>
    <row r="43" spans="1:13" s="6" customFormat="1" ht="15.75">
      <c r="A43" s="309">
        <v>38</v>
      </c>
      <c r="B43" s="305" t="s">
        <v>720</v>
      </c>
      <c r="C43" s="330">
        <v>3969.9</v>
      </c>
      <c r="D43" s="330"/>
      <c r="E43" s="330"/>
      <c r="F43" s="40">
        <f t="shared" si="2"/>
        <v>3969.9</v>
      </c>
      <c r="G43" s="72">
        <f t="shared" si="0"/>
        <v>4.7963101551881014E-2</v>
      </c>
      <c r="H43" s="37">
        <f t="shared" si="1"/>
        <v>124.15200873602848</v>
      </c>
      <c r="I43" s="37">
        <f t="shared" si="3"/>
        <v>45.650693612237674</v>
      </c>
      <c r="J43" s="37">
        <v>47.550969528253106</v>
      </c>
      <c r="K43" s="37">
        <f t="shared" si="4"/>
        <v>26.893390671155206</v>
      </c>
      <c r="L43" s="37"/>
      <c r="M43" s="45">
        <f t="shared" si="5"/>
        <v>6.1524739300152259E-2</v>
      </c>
    </row>
    <row r="44" spans="1:13" s="6" customFormat="1" ht="15.75">
      <c r="A44" s="309">
        <v>39</v>
      </c>
      <c r="B44" s="305" t="s">
        <v>721</v>
      </c>
      <c r="C44" s="330">
        <v>6582.1</v>
      </c>
      <c r="D44" s="330"/>
      <c r="E44" s="330"/>
      <c r="F44" s="40">
        <f t="shared" si="2"/>
        <v>6582.1</v>
      </c>
      <c r="G44" s="72">
        <f t="shared" si="0"/>
        <v>7.9522892446821342E-2</v>
      </c>
      <c r="H44" s="37">
        <f t="shared" si="1"/>
        <v>205.84421186967256</v>
      </c>
      <c r="I44" s="37">
        <f t="shared" si="3"/>
        <v>75.688916704478601</v>
      </c>
      <c r="J44" s="37">
        <v>78.83957694952386</v>
      </c>
      <c r="K44" s="37">
        <f t="shared" si="4"/>
        <v>44.589281023857197</v>
      </c>
      <c r="L44" s="37"/>
      <c r="M44" s="45">
        <f t="shared" si="5"/>
        <v>6.1524739300152259E-2</v>
      </c>
    </row>
    <row r="45" spans="1:13" s="6" customFormat="1" ht="15.75">
      <c r="A45" s="309">
        <v>40</v>
      </c>
      <c r="B45" s="305" t="s">
        <v>722</v>
      </c>
      <c r="C45" s="330">
        <v>8461.27</v>
      </c>
      <c r="D45" s="330">
        <v>287.3</v>
      </c>
      <c r="E45" s="330"/>
      <c r="F45" s="40">
        <f t="shared" si="2"/>
        <v>8748.57</v>
      </c>
      <c r="G45" s="72">
        <f t="shared" si="0"/>
        <v>0.10569751161080623</v>
      </c>
      <c r="H45" s="37">
        <f t="shared" si="1"/>
        <v>273.5969518294558</v>
      </c>
      <c r="I45" s="37">
        <f t="shared" si="3"/>
        <v>100.60159918769091</v>
      </c>
      <c r="J45" s="37">
        <v>104.78928574669116</v>
      </c>
      <c r="K45" s="37">
        <f t="shared" si="4"/>
        <v>59.265651735295165</v>
      </c>
      <c r="L45" s="37"/>
      <c r="M45" s="45">
        <f t="shared" si="5"/>
        <v>6.1524739300152259E-2</v>
      </c>
    </row>
    <row r="46" spans="1:13" s="6" customFormat="1" ht="15.75">
      <c r="A46" s="309">
        <v>41</v>
      </c>
      <c r="B46" s="305" t="s">
        <v>723</v>
      </c>
      <c r="C46" s="330">
        <v>3715.24</v>
      </c>
      <c r="D46" s="330"/>
      <c r="E46" s="330">
        <v>109.3</v>
      </c>
      <c r="F46" s="40">
        <f t="shared" si="2"/>
        <v>3824.54</v>
      </c>
      <c r="G46" s="72">
        <f t="shared" si="0"/>
        <v>4.6206907078070229E-2</v>
      </c>
      <c r="H46" s="37">
        <f t="shared" si="1"/>
        <v>119.606116902514</v>
      </c>
      <c r="I46" s="37">
        <f t="shared" si="3"/>
        <v>43.979169185054403</v>
      </c>
      <c r="J46" s="37">
        <v>45.809865487691155</v>
      </c>
      <c r="K46" s="37">
        <f t="shared" si="4"/>
        <v>25.908674867744761</v>
      </c>
      <c r="L46" s="37"/>
      <c r="M46" s="45">
        <f t="shared" si="5"/>
        <v>6.1524739300152259E-2</v>
      </c>
    </row>
    <row r="47" spans="1:13" s="6" customFormat="1" ht="15.75">
      <c r="A47" s="309">
        <v>42</v>
      </c>
      <c r="B47" s="305" t="s">
        <v>724</v>
      </c>
      <c r="C47" s="330">
        <v>355.8</v>
      </c>
      <c r="D47" s="330"/>
      <c r="E47" s="330"/>
      <c r="F47" s="40"/>
      <c r="G47" s="72">
        <f t="shared" si="0"/>
        <v>0</v>
      </c>
      <c r="H47" s="37">
        <f t="shared" si="1"/>
        <v>0</v>
      </c>
      <c r="I47" s="37">
        <f t="shared" si="3"/>
        <v>0</v>
      </c>
      <c r="J47" s="37">
        <v>0</v>
      </c>
      <c r="K47" s="37">
        <f t="shared" si="4"/>
        <v>0</v>
      </c>
      <c r="L47" s="37"/>
      <c r="M47" s="45"/>
    </row>
    <row r="48" spans="1:13" s="6" customFormat="1" ht="15.75">
      <c r="A48" s="309">
        <v>43</v>
      </c>
      <c r="B48" s="305" t="s">
        <v>725</v>
      </c>
      <c r="C48" s="330">
        <v>907.4</v>
      </c>
      <c r="D48" s="330"/>
      <c r="E48" s="330"/>
      <c r="F48" s="40">
        <f t="shared" si="2"/>
        <v>907.4</v>
      </c>
      <c r="G48" s="72">
        <f t="shared" si="0"/>
        <v>1.0962925602200769E-2</v>
      </c>
      <c r="H48" s="37">
        <f t="shared" si="1"/>
        <v>28.377423292040664</v>
      </c>
      <c r="I48" s="37">
        <f t="shared" si="3"/>
        <v>10.434378544483353</v>
      </c>
      <c r="J48" s="37">
        <v>10.868724590024147</v>
      </c>
      <c r="K48" s="37">
        <f t="shared" si="4"/>
        <v>6.147022014409993</v>
      </c>
      <c r="L48" s="37"/>
      <c r="M48" s="45">
        <f t="shared" si="5"/>
        <v>6.1524739300152252E-2</v>
      </c>
    </row>
    <row r="49" spans="1:13" s="6" customFormat="1" ht="15.75">
      <c r="A49" s="309">
        <v>44</v>
      </c>
      <c r="B49" s="305" t="s">
        <v>726</v>
      </c>
      <c r="C49" s="330">
        <v>2273.6</v>
      </c>
      <c r="D49" s="330"/>
      <c r="E49" s="330"/>
      <c r="F49" s="40"/>
      <c r="G49" s="72">
        <f t="shared" si="0"/>
        <v>0</v>
      </c>
      <c r="H49" s="37">
        <f t="shared" si="1"/>
        <v>0</v>
      </c>
      <c r="I49" s="37">
        <f t="shared" si="3"/>
        <v>0</v>
      </c>
      <c r="J49" s="37">
        <v>0</v>
      </c>
      <c r="K49" s="37">
        <f t="shared" si="4"/>
        <v>0</v>
      </c>
      <c r="L49" s="37"/>
      <c r="M49" s="45"/>
    </row>
    <row r="50" spans="1:13" s="6" customFormat="1" ht="15.75">
      <c r="A50" s="309">
        <v>45</v>
      </c>
      <c r="B50" s="305" t="s">
        <v>727</v>
      </c>
      <c r="C50" s="330">
        <v>154.1</v>
      </c>
      <c r="D50" s="330"/>
      <c r="E50" s="330"/>
      <c r="F50" s="40"/>
      <c r="G50" s="72">
        <f t="shared" si="0"/>
        <v>0</v>
      </c>
      <c r="H50" s="37">
        <f t="shared" si="1"/>
        <v>0</v>
      </c>
      <c r="I50" s="37">
        <f t="shared" si="3"/>
        <v>0</v>
      </c>
      <c r="J50" s="37">
        <v>0</v>
      </c>
      <c r="K50" s="37">
        <f t="shared" si="4"/>
        <v>0</v>
      </c>
      <c r="L50" s="37"/>
      <c r="M50" s="45"/>
    </row>
    <row r="51" spans="1:13" s="6" customFormat="1" ht="15.75">
      <c r="A51" s="309">
        <v>46</v>
      </c>
      <c r="B51" s="305" t="s">
        <v>728</v>
      </c>
      <c r="C51" s="330">
        <v>93.9</v>
      </c>
      <c r="D51" s="330"/>
      <c r="E51" s="330"/>
      <c r="F51" s="40"/>
      <c r="G51" s="72">
        <f t="shared" si="0"/>
        <v>0</v>
      </c>
      <c r="H51" s="37">
        <f t="shared" si="1"/>
        <v>0</v>
      </c>
      <c r="I51" s="37">
        <f t="shared" si="3"/>
        <v>0</v>
      </c>
      <c r="J51" s="37">
        <v>0</v>
      </c>
      <c r="K51" s="37">
        <f t="shared" si="4"/>
        <v>0</v>
      </c>
      <c r="L51" s="37"/>
      <c r="M51" s="45"/>
    </row>
    <row r="52" spans="1:13" s="6" customFormat="1" ht="15.75">
      <c r="A52" s="309">
        <v>47</v>
      </c>
      <c r="B52" s="305" t="s">
        <v>729</v>
      </c>
      <c r="C52" s="330">
        <v>296.10000000000002</v>
      </c>
      <c r="D52" s="330"/>
      <c r="E52" s="330"/>
      <c r="F52" s="40"/>
      <c r="G52" s="72">
        <f t="shared" si="0"/>
        <v>0</v>
      </c>
      <c r="H52" s="37">
        <f t="shared" si="1"/>
        <v>0</v>
      </c>
      <c r="I52" s="37">
        <f t="shared" si="3"/>
        <v>0</v>
      </c>
      <c r="J52" s="37">
        <v>0</v>
      </c>
      <c r="K52" s="37">
        <f t="shared" si="4"/>
        <v>0</v>
      </c>
      <c r="L52" s="37"/>
      <c r="M52" s="45"/>
    </row>
    <row r="53" spans="1:13" s="6" customFormat="1" ht="15.75">
      <c r="A53" s="309">
        <v>48</v>
      </c>
      <c r="B53" s="305" t="s">
        <v>647</v>
      </c>
      <c r="C53" s="330">
        <v>4177.21</v>
      </c>
      <c r="D53" s="330">
        <v>6.6</v>
      </c>
      <c r="E53" s="330"/>
      <c r="F53" s="40">
        <f t="shared" si="2"/>
        <v>4183.8100000000004</v>
      </c>
      <c r="G53" s="72">
        <f t="shared" si="0"/>
        <v>5.054749588245934E-2</v>
      </c>
      <c r="H53" s="37">
        <f t="shared" si="1"/>
        <v>130.84168761678717</v>
      </c>
      <c r="I53" s="37">
        <f t="shared" si="3"/>
        <v>48.110488536692642</v>
      </c>
      <c r="J53" s="37">
        <v>50.113156961636477</v>
      </c>
      <c r="K53" s="37">
        <f t="shared" si="4"/>
        <v>28.342486416253777</v>
      </c>
      <c r="L53" s="37"/>
      <c r="M53" s="45">
        <f t="shared" si="5"/>
        <v>6.1524739300152266E-2</v>
      </c>
    </row>
    <row r="54" spans="1:13" s="6" customFormat="1" ht="15.75">
      <c r="A54" s="309">
        <v>49</v>
      </c>
      <c r="B54" s="305" t="s">
        <v>648</v>
      </c>
      <c r="C54" s="330">
        <v>4140.68</v>
      </c>
      <c r="D54" s="330"/>
      <c r="E54" s="330"/>
      <c r="F54" s="40">
        <f t="shared" si="2"/>
        <v>4140.68</v>
      </c>
      <c r="G54" s="72">
        <f t="shared" si="0"/>
        <v>5.0026412588186776E-2</v>
      </c>
      <c r="H54" s="37">
        <f t="shared" si="1"/>
        <v>129.49286872039559</v>
      </c>
      <c r="I54" s="37">
        <f t="shared" si="3"/>
        <v>47.614527828489464</v>
      </c>
      <c r="J54" s="37">
        <v>49.596551174147223</v>
      </c>
      <c r="K54" s="37">
        <f t="shared" si="4"/>
        <v>28.050309802322211</v>
      </c>
      <c r="L54" s="37"/>
      <c r="M54" s="45">
        <f t="shared" si="5"/>
        <v>6.1524739300152266E-2</v>
      </c>
    </row>
    <row r="55" spans="1:13" s="6" customFormat="1" ht="15.75">
      <c r="A55" s="309">
        <v>50</v>
      </c>
      <c r="B55" s="305" t="s">
        <v>1354</v>
      </c>
      <c r="C55" s="818">
        <v>7831.81</v>
      </c>
      <c r="D55" s="330"/>
      <c r="E55" s="330"/>
      <c r="F55" s="40">
        <f t="shared" si="2"/>
        <v>7831.81</v>
      </c>
      <c r="G55" s="72">
        <f t="shared" si="0"/>
        <v>9.4621501389213145E-2</v>
      </c>
      <c r="H55" s="37">
        <f t="shared" si="1"/>
        <v>244.9268101309643</v>
      </c>
      <c r="I55" s="37">
        <f t="shared" si="3"/>
        <v>90.059588085155582</v>
      </c>
      <c r="J55" s="37">
        <v>93.808448238259899</v>
      </c>
      <c r="K55" s="37">
        <f t="shared" si="4"/>
        <v>53.055222043945705</v>
      </c>
      <c r="L55" s="37"/>
      <c r="M55" s="45">
        <f t="shared" si="5"/>
        <v>6.1524739300152259E-2</v>
      </c>
    </row>
    <row r="56" spans="1:13" s="6" customFormat="1" ht="15.75">
      <c r="A56" s="309">
        <v>51</v>
      </c>
      <c r="B56" s="305" t="s">
        <v>1374</v>
      </c>
      <c r="C56" s="818">
        <v>996.1</v>
      </c>
      <c r="D56" s="330"/>
      <c r="E56" s="330"/>
      <c r="F56" s="40">
        <f t="shared" ref="F56:F66" si="6">C56+D56+E56</f>
        <v>996.1</v>
      </c>
      <c r="G56" s="72">
        <f t="shared" si="0"/>
        <v>1.203457151460457E-2</v>
      </c>
      <c r="H56" s="37">
        <f t="shared" si="1"/>
        <v>31.151368019838781</v>
      </c>
      <c r="I56" s="37">
        <f t="shared" si="3"/>
        <v>11.45435802089472</v>
      </c>
      <c r="J56" s="37">
        <v>11.931162182194241</v>
      </c>
      <c r="K56" s="37">
        <f t="shared" si="4"/>
        <v>6.7479045939539288</v>
      </c>
      <c r="L56" s="37"/>
      <c r="M56" s="45">
        <f>(K56+J56+I56+H56)/F56</f>
        <v>6.1524739300152259E-2</v>
      </c>
    </row>
    <row r="57" spans="1:13" s="6" customFormat="1" ht="15.75">
      <c r="A57" s="309">
        <v>52</v>
      </c>
      <c r="B57" s="305" t="s">
        <v>1376</v>
      </c>
      <c r="C57" s="818">
        <v>533.79999999999995</v>
      </c>
      <c r="D57" s="330"/>
      <c r="E57" s="330"/>
      <c r="F57" s="40">
        <f t="shared" si="6"/>
        <v>533.79999999999995</v>
      </c>
      <c r="G57" s="72">
        <f t="shared" si="0"/>
        <v>6.4492061785924289E-3</v>
      </c>
      <c r="H57" s="37">
        <f t="shared" si="1"/>
        <v>16.693705701224715</v>
      </c>
      <c r="I57" s="37">
        <f t="shared" si="3"/>
        <v>6.1382755863403284</v>
      </c>
      <c r="J57" s="37">
        <v>6.3937901544576707</v>
      </c>
      <c r="K57" s="37">
        <f t="shared" si="4"/>
        <v>3.6161343963985608</v>
      </c>
      <c r="L57" s="37"/>
      <c r="M57" s="45">
        <f>(K57+J57+I57+H57)/F57</f>
        <v>6.1524739300152266E-2</v>
      </c>
    </row>
    <row r="58" spans="1:13" s="6" customFormat="1" ht="15.75">
      <c r="A58" s="309">
        <v>53</v>
      </c>
      <c r="B58" s="305" t="s">
        <v>1375</v>
      </c>
      <c r="C58" s="818">
        <v>987.3</v>
      </c>
      <c r="D58" s="330"/>
      <c r="E58" s="330"/>
      <c r="F58" s="40">
        <f t="shared" si="6"/>
        <v>987.3</v>
      </c>
      <c r="G58" s="72">
        <f t="shared" si="0"/>
        <v>1.192825264167161E-2</v>
      </c>
      <c r="H58" s="37">
        <f t="shared" si="1"/>
        <v>30.876162680440544</v>
      </c>
      <c r="I58" s="37">
        <f t="shared" si="3"/>
        <v>11.353165017597989</v>
      </c>
      <c r="J58" s="37">
        <v>11.825756874290104</v>
      </c>
      <c r="K58" s="37">
        <f t="shared" si="4"/>
        <v>6.6882905387116889</v>
      </c>
      <c r="L58" s="37"/>
      <c r="M58" s="45">
        <f>(K58+J58+I58+H58)/F58</f>
        <v>6.1524739300152259E-2</v>
      </c>
    </row>
    <row r="59" spans="1:13" s="6" customFormat="1" ht="15.75">
      <c r="A59" s="309">
        <v>54</v>
      </c>
      <c r="B59" s="305" t="s">
        <v>1377</v>
      </c>
      <c r="C59" s="818">
        <v>442.6</v>
      </c>
      <c r="D59" s="330"/>
      <c r="E59" s="330"/>
      <c r="F59" s="40">
        <v>0</v>
      </c>
      <c r="G59" s="72">
        <f t="shared" si="0"/>
        <v>0</v>
      </c>
      <c r="H59" s="37">
        <v>0</v>
      </c>
      <c r="I59" s="37">
        <f t="shared" si="3"/>
        <v>0</v>
      </c>
      <c r="J59" s="37">
        <v>4.3899999999999997</v>
      </c>
      <c r="K59" s="37">
        <f t="shared" si="4"/>
        <v>0</v>
      </c>
      <c r="L59" s="37"/>
      <c r="M59" s="45">
        <v>0</v>
      </c>
    </row>
    <row r="60" spans="1:13" s="6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8">
        <f t="shared" si="6"/>
        <v>7013.2</v>
      </c>
      <c r="G60" s="72">
        <f t="shared" si="0"/>
        <v>8.4731309051525719E-2</v>
      </c>
      <c r="H60" s="37">
        <f t="shared" si="1"/>
        <v>219.32614616678379</v>
      </c>
      <c r="I60" s="37">
        <f t="shared" si="3"/>
        <v>80.646223945526401</v>
      </c>
      <c r="J60" s="37">
        <v>84.003239249236671</v>
      </c>
      <c r="K60" s="37">
        <f t="shared" ref="K60:K66" si="7">G60*560.71</f>
        <v>47.509692298280989</v>
      </c>
      <c r="L60" s="37"/>
      <c r="M60" s="45">
        <f t="shared" ref="M60:M66" si="8">(K60+J60+I60+H60)/F60</f>
        <v>6.1524739300152266E-2</v>
      </c>
    </row>
    <row r="61" spans="1:13" s="6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8">
        <f t="shared" si="6"/>
        <v>8402.66</v>
      </c>
      <c r="G61" s="72">
        <f t="shared" si="0"/>
        <v>0.10151833418623354</v>
      </c>
      <c r="H61" s="37">
        <f t="shared" si="1"/>
        <v>262.77919285772367</v>
      </c>
      <c r="I61" s="37">
        <f t="shared" si="3"/>
        <v>96.623909213784998</v>
      </c>
      <c r="J61" s="37">
        <v>100.64601869474576</v>
      </c>
      <c r="K61" s="37">
        <f t="shared" si="7"/>
        <v>56.922345161563015</v>
      </c>
      <c r="L61" s="37"/>
      <c r="M61" s="45">
        <f>(K61+J61+I61+H61)/F61</f>
        <v>6.1524739300152273E-2</v>
      </c>
    </row>
    <row r="62" spans="1:13" s="6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8">
        <f t="shared" si="6"/>
        <v>2601.63</v>
      </c>
      <c r="G62" s="72">
        <f t="shared" si="0"/>
        <v>3.1432087430519715E-2</v>
      </c>
      <c r="H62" s="37">
        <f t="shared" si="1"/>
        <v>81.361643993025965</v>
      </c>
      <c r="I62" s="37">
        <f t="shared" si="3"/>
        <v>29.916676496235649</v>
      </c>
      <c r="J62" s="37">
        <v>31.16200127302681</v>
      </c>
      <c r="K62" s="37">
        <f t="shared" si="7"/>
        <v>17.624285743166709</v>
      </c>
      <c r="L62" s="37"/>
      <c r="M62" s="45">
        <f t="shared" si="8"/>
        <v>6.1524739300152252E-2</v>
      </c>
    </row>
    <row r="63" spans="1:13" s="6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8">
        <f t="shared" si="6"/>
        <v>2594.2600000000002</v>
      </c>
      <c r="G63" s="72">
        <f t="shared" si="0"/>
        <v>3.1343045374438362E-2</v>
      </c>
      <c r="H63" s="37">
        <f t="shared" si="1"/>
        <v>81.131159521279955</v>
      </c>
      <c r="I63" s="37">
        <f t="shared" si="3"/>
        <v>29.831927355974642</v>
      </c>
      <c r="J63" s="37">
        <v>31.073724327657093</v>
      </c>
      <c r="K63" s="37">
        <f t="shared" si="7"/>
        <v>17.574358971901336</v>
      </c>
      <c r="L63" s="37"/>
      <c r="M63" s="45">
        <f t="shared" si="8"/>
        <v>6.1524739300152266E-2</v>
      </c>
    </row>
    <row r="64" spans="1:13" s="6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8">
        <f t="shared" si="6"/>
        <v>2653.52</v>
      </c>
      <c r="G64" s="72">
        <f t="shared" si="0"/>
        <v>3.2059006330120987E-2</v>
      </c>
      <c r="H64" s="37">
        <f t="shared" si="1"/>
        <v>82.984417295454861</v>
      </c>
      <c r="I64" s="37">
        <f t="shared" si="3"/>
        <v>30.513370239538755</v>
      </c>
      <c r="J64" s="37">
        <v>31.78353325338426</v>
      </c>
      <c r="K64" s="37">
        <f t="shared" si="7"/>
        <v>17.975805439362141</v>
      </c>
      <c r="L64" s="37"/>
      <c r="M64" s="45">
        <f t="shared" si="8"/>
        <v>6.1524739300152252E-2</v>
      </c>
    </row>
    <row r="65" spans="1:14" s="6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8">
        <f t="shared" si="6"/>
        <v>2150.9</v>
      </c>
      <c r="G65" s="72">
        <f t="shared" si="0"/>
        <v>2.5986507249034202E-2</v>
      </c>
      <c r="H65" s="37">
        <f t="shared" si="1"/>
        <v>67.265814149052531</v>
      </c>
      <c r="I65" s="37">
        <f t="shared" si="3"/>
        <v>24.733639862606619</v>
      </c>
      <c r="J65" s="37">
        <v>25.763213269432381</v>
      </c>
      <c r="K65" s="37">
        <f t="shared" si="7"/>
        <v>14.570894479605968</v>
      </c>
      <c r="L65" s="37"/>
      <c r="M65" s="45">
        <f t="shared" si="8"/>
        <v>6.1524739300152259E-2</v>
      </c>
    </row>
    <row r="66" spans="1:14" s="6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8">
        <f t="shared" si="6"/>
        <v>3353.7</v>
      </c>
      <c r="G66" s="72">
        <f t="shared" si="0"/>
        <v>4.0518364108552696E-2</v>
      </c>
      <c r="H66" s="37">
        <f t="shared" si="1"/>
        <v>104.88138031134756</v>
      </c>
      <c r="I66" s="37">
        <f t="shared" si="3"/>
        <v>38.564883540482498</v>
      </c>
      <c r="J66" s="37">
        <v>40.170202399783982</v>
      </c>
      <c r="K66" s="37">
        <f t="shared" si="7"/>
        <v>22.719051939306585</v>
      </c>
      <c r="L66" s="37"/>
      <c r="M66" s="45">
        <f t="shared" si="8"/>
        <v>6.1524739300152259E-2</v>
      </c>
    </row>
    <row r="67" spans="1:14" s="6" customFormat="1" ht="15.75">
      <c r="A67" s="378"/>
      <c r="B67" s="63" t="s">
        <v>749</v>
      </c>
      <c r="C67" s="65">
        <f>SUM(C6:C66)</f>
        <v>249781.08</v>
      </c>
      <c r="D67" s="65">
        <f>SUM(D6:D66)</f>
        <v>1319.2</v>
      </c>
      <c r="E67" s="65">
        <f>SUM(E6:E66)</f>
        <v>1116.55</v>
      </c>
      <c r="F67" s="65">
        <f>SUM(F6:F66)</f>
        <v>248309.63</v>
      </c>
      <c r="G67" s="72">
        <f>3/248309.63*F67</f>
        <v>3</v>
      </c>
      <c r="H67" s="37">
        <f>G67*2588.49</f>
        <v>7765.4699999999993</v>
      </c>
      <c r="I67" s="64">
        <f t="shared" si="3"/>
        <v>2855.363319</v>
      </c>
      <c r="J67" s="37">
        <f>SUM(J6:J66)</f>
        <v>2978.6119324672682</v>
      </c>
      <c r="K67" s="65">
        <f>SUM(K6:K66)</f>
        <v>1682.1300000000006</v>
      </c>
      <c r="L67" s="65"/>
      <c r="M67" s="73">
        <f>(K67+J67+I67+H67)/F67</f>
        <v>6.1542418840007405E-2</v>
      </c>
    </row>
    <row r="68" spans="1:14" s="6" customFormat="1" ht="21" thickBot="1">
      <c r="A68" s="774" t="s">
        <v>984</v>
      </c>
      <c r="B68" s="783"/>
      <c r="C68" s="783"/>
      <c r="D68" s="783"/>
      <c r="E68" s="783"/>
      <c r="F68" s="783"/>
      <c r="G68" s="783"/>
      <c r="H68" s="37">
        <f>G68*2077.52</f>
        <v>0</v>
      </c>
      <c r="I68" s="783"/>
      <c r="J68" s="37">
        <v>0</v>
      </c>
      <c r="K68" s="783"/>
      <c r="L68" s="783"/>
      <c r="M68" s="783"/>
      <c r="N68" s="784"/>
    </row>
    <row r="69" spans="1:14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ref="F69:F79" si="9">C69+D69+E69</f>
        <v>6328.85</v>
      </c>
      <c r="G69" s="72">
        <f t="shared" ref="G69:G88" si="10">2/112765.42*F69</f>
        <v>0.11224806328039216</v>
      </c>
      <c r="H69" s="37">
        <f t="shared" ref="H69:H89" si="11">G69*2269.13</f>
        <v>254.70544783143629</v>
      </c>
      <c r="I69" s="37">
        <f t="shared" si="3"/>
        <v>93.655193167619132</v>
      </c>
      <c r="J69" s="37">
        <v>105.0627490202254</v>
      </c>
      <c r="K69" s="37">
        <f t="shared" ref="K69:K87" si="12">G69*560.71</f>
        <v>62.938611561948697</v>
      </c>
      <c r="L69" s="37"/>
      <c r="M69" s="73">
        <f t="shared" ref="M69:M90" si="13">(K69+J69+I69+H69)/F69</f>
        <v>8.1588598494391484E-2</v>
      </c>
      <c r="N69" s="6" t="s">
        <v>559</v>
      </c>
    </row>
    <row r="70" spans="1:14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9"/>
        <v>7565.74</v>
      </c>
      <c r="G70" s="72">
        <f t="shared" si="10"/>
        <v>0.13418546217448574</v>
      </c>
      <c r="H70" s="37">
        <f t="shared" si="11"/>
        <v>304.48425778399081</v>
      </c>
      <c r="I70" s="37">
        <f>G70*H70/F70</f>
        <v>5.4003125742624076E-3</v>
      </c>
      <c r="J70" s="37">
        <v>125.59587330593709</v>
      </c>
      <c r="K70" s="37">
        <f t="shared" si="12"/>
        <v>75.239130495855903</v>
      </c>
      <c r="L70" s="37"/>
      <c r="M70" s="73">
        <f t="shared" si="13"/>
        <v>6.6791174676681733E-2</v>
      </c>
      <c r="N70" s="6" t="s">
        <v>560</v>
      </c>
    </row>
    <row r="71" spans="1:14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9"/>
        <v>7217.2</v>
      </c>
      <c r="G71" s="72">
        <f t="shared" si="10"/>
        <v>0.12800377988216599</v>
      </c>
      <c r="H71" s="37">
        <f t="shared" si="11"/>
        <v>290.45721704401933</v>
      </c>
      <c r="I71" s="37">
        <f t="shared" ref="I71:I87" si="14">H71*0.3677</f>
        <v>106.80111870708592</v>
      </c>
      <c r="J71" s="37">
        <v>119.80989788488756</v>
      </c>
      <c r="K71" s="37">
        <f t="shared" si="12"/>
        <v>71.772999417729295</v>
      </c>
      <c r="L71" s="37"/>
      <c r="M71" s="73">
        <f t="shared" si="13"/>
        <v>8.158859849439147E-2</v>
      </c>
      <c r="N71" s="6" t="s">
        <v>550</v>
      </c>
    </row>
    <row r="72" spans="1:14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9"/>
        <v>6435.2</v>
      </c>
      <c r="G72" s="72">
        <f t="shared" si="10"/>
        <v>0.11413427981734116</v>
      </c>
      <c r="H72" s="37">
        <f t="shared" si="11"/>
        <v>258.98551836192337</v>
      </c>
      <c r="I72" s="37">
        <f t="shared" si="14"/>
        <v>95.228975101679225</v>
      </c>
      <c r="J72" s="37">
        <v>106.82822353112405</v>
      </c>
      <c r="K72" s="37">
        <f t="shared" si="12"/>
        <v>63.996232036381365</v>
      </c>
      <c r="L72" s="37"/>
      <c r="M72" s="73">
        <f t="shared" si="13"/>
        <v>8.158859849439147E-2</v>
      </c>
    </row>
    <row r="73" spans="1:14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9"/>
        <v>8881.51</v>
      </c>
      <c r="G73" s="72">
        <f t="shared" si="10"/>
        <v>0.15752187150990082</v>
      </c>
      <c r="H73" s="37">
        <f t="shared" si="11"/>
        <v>357.4376042992613</v>
      </c>
      <c r="I73" s="37">
        <f t="shared" si="14"/>
        <v>131.42980710083839</v>
      </c>
      <c r="J73" s="37">
        <v>147.4384534395067</v>
      </c>
      <c r="K73" s="37">
        <f t="shared" si="12"/>
        <v>88.324088574316491</v>
      </c>
      <c r="L73" s="37"/>
      <c r="M73" s="73">
        <f t="shared" si="13"/>
        <v>8.158859849439147E-2</v>
      </c>
    </row>
    <row r="74" spans="1:14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9"/>
        <v>7938.92</v>
      </c>
      <c r="G74" s="72">
        <f t="shared" si="10"/>
        <v>0.14080415787038258</v>
      </c>
      <c r="H74" s="37">
        <f t="shared" si="11"/>
        <v>319.50293874842123</v>
      </c>
      <c r="I74" s="37">
        <f t="shared" si="14"/>
        <v>117.48123057779449</v>
      </c>
      <c r="J74" s="37">
        <v>131.79088767337632</v>
      </c>
      <c r="K74" s="37">
        <f t="shared" si="12"/>
        <v>78.950299359502225</v>
      </c>
      <c r="L74" s="37"/>
      <c r="M74" s="73">
        <f t="shared" si="13"/>
        <v>8.1588598494391457E-2</v>
      </c>
    </row>
    <row r="75" spans="1:14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9"/>
        <v>7102.99</v>
      </c>
      <c r="G75" s="72">
        <f t="shared" si="10"/>
        <v>0.12597815890722527</v>
      </c>
      <c r="H75" s="37">
        <f t="shared" si="11"/>
        <v>285.8608197211521</v>
      </c>
      <c r="I75" s="37">
        <f t="shared" si="14"/>
        <v>105.11102341146763</v>
      </c>
      <c r="J75" s="37">
        <v>117.91394260618765</v>
      </c>
      <c r="K75" s="37">
        <f t="shared" si="12"/>
        <v>70.637213480870287</v>
      </c>
      <c r="L75" s="37"/>
      <c r="M75" s="73">
        <f t="shared" si="13"/>
        <v>8.158859849439147E-2</v>
      </c>
    </row>
    <row r="76" spans="1:14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9"/>
        <v>2982.2</v>
      </c>
      <c r="G76" s="72">
        <f t="shared" si="10"/>
        <v>5.2892101142353737E-2</v>
      </c>
      <c r="H76" s="37">
        <f t="shared" si="11"/>
        <v>120.01905346514914</v>
      </c>
      <c r="I76" s="37">
        <f t="shared" si="14"/>
        <v>44.131005959135344</v>
      </c>
      <c r="J76" s="37">
        <v>49.506328974160574</v>
      </c>
      <c r="K76" s="37">
        <f t="shared" si="12"/>
        <v>29.657130031529167</v>
      </c>
      <c r="L76" s="37"/>
      <c r="M76" s="73">
        <f t="shared" si="13"/>
        <v>8.158859849439147E-2</v>
      </c>
    </row>
    <row r="77" spans="1:14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9"/>
        <v>2528.85</v>
      </c>
      <c r="G77" s="72">
        <f t="shared" si="10"/>
        <v>4.4851515650808547E-2</v>
      </c>
      <c r="H77" s="37">
        <f t="shared" si="11"/>
        <v>101.77391970871921</v>
      </c>
      <c r="I77" s="37">
        <f t="shared" si="14"/>
        <v>37.422270276896057</v>
      </c>
      <c r="J77" s="37">
        <v>41.97961394603221</v>
      </c>
      <c r="K77" s="37">
        <f t="shared" si="12"/>
        <v>25.148693340564861</v>
      </c>
      <c r="L77" s="37"/>
      <c r="M77" s="73">
        <f t="shared" si="13"/>
        <v>8.1588270269969496E-2</v>
      </c>
    </row>
    <row r="78" spans="1:14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9"/>
        <v>4250.83</v>
      </c>
      <c r="G78" s="72">
        <f t="shared" si="10"/>
        <v>7.5392438568490233E-2</v>
      </c>
      <c r="H78" s="37">
        <f t="shared" si="11"/>
        <v>171.07524412891826</v>
      </c>
      <c r="I78" s="37">
        <f t="shared" si="14"/>
        <v>62.904367266203245</v>
      </c>
      <c r="J78" s="37">
        <v>70.566356513054458</v>
      </c>
      <c r="K78" s="37">
        <f t="shared" si="12"/>
        <v>42.273294229738163</v>
      </c>
      <c r="L78" s="37"/>
      <c r="M78" s="73">
        <f t="shared" si="13"/>
        <v>8.1588598494391484E-2</v>
      </c>
    </row>
    <row r="79" spans="1:14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9"/>
        <v>2862.08</v>
      </c>
      <c r="G79" s="72">
        <f t="shared" si="10"/>
        <v>5.0761660799915433E-2</v>
      </c>
      <c r="H79" s="37">
        <f t="shared" si="11"/>
        <v>115.18480737091211</v>
      </c>
      <c r="I79" s="37">
        <f t="shared" si="14"/>
        <v>42.353453670284388</v>
      </c>
      <c r="J79" s="37">
        <v>47.51226411051087</v>
      </c>
      <c r="K79" s="37">
        <f t="shared" si="12"/>
        <v>28.462570827120583</v>
      </c>
      <c r="L79" s="37"/>
      <c r="M79" s="73">
        <f t="shared" si="13"/>
        <v>8.158859849439147E-2</v>
      </c>
    </row>
    <row r="80" spans="1:14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89" si="15">C80+D80+E80</f>
        <v>6415.24</v>
      </c>
      <c r="G80" s="72">
        <f t="shared" si="10"/>
        <v>0.11378027058294997</v>
      </c>
      <c r="H80" s="37">
        <f t="shared" si="11"/>
        <v>258.18222538788928</v>
      </c>
      <c r="I80" s="37">
        <f t="shared" si="14"/>
        <v>94.933604275126896</v>
      </c>
      <c r="J80" s="37">
        <v>105.61040303164567</v>
      </c>
      <c r="K80" s="37">
        <f t="shared" si="12"/>
        <v>63.797735518565879</v>
      </c>
      <c r="L80" s="37"/>
      <c r="M80" s="73">
        <f t="shared" si="13"/>
        <v>8.1450416229669934E-2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5"/>
        <v>2523.4899999999998</v>
      </c>
      <c r="G81" s="72">
        <f t="shared" si="10"/>
        <v>4.4756451046783663E-2</v>
      </c>
      <c r="H81" s="37">
        <f t="shared" si="11"/>
        <v>101.55820576378822</v>
      </c>
      <c r="I81" s="37">
        <f t="shared" si="14"/>
        <v>37.342952259344933</v>
      </c>
      <c r="J81" s="37">
        <v>41.891464725036705</v>
      </c>
      <c r="K81" s="37">
        <f t="shared" si="12"/>
        <v>25.09538966644207</v>
      </c>
      <c r="L81" s="37"/>
      <c r="M81" s="73">
        <f t="shared" si="13"/>
        <v>8.158859849439147E-2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5"/>
        <v>2727.04</v>
      </c>
      <c r="G82" s="72">
        <f t="shared" si="10"/>
        <v>4.8366600328363069E-2</v>
      </c>
      <c r="H82" s="37">
        <f t="shared" si="11"/>
        <v>109.7501038030985</v>
      </c>
      <c r="I82" s="37">
        <f t="shared" si="14"/>
        <v>40.355113168399321</v>
      </c>
      <c r="J82" s="37">
        <v>45.270518196531036</v>
      </c>
      <c r="K82" s="37">
        <f t="shared" si="12"/>
        <v>27.119636470116458</v>
      </c>
      <c r="L82" s="37"/>
      <c r="M82" s="73">
        <f t="shared" si="13"/>
        <v>8.1588598494391457E-2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5"/>
        <v>11075.779999999999</v>
      </c>
      <c r="G83" s="72">
        <f t="shared" si="10"/>
        <v>0.19643929850126038</v>
      </c>
      <c r="H83" s="37">
        <f t="shared" si="11"/>
        <v>445.74630540816497</v>
      </c>
      <c r="I83" s="37">
        <f t="shared" si="14"/>
        <v>163.90091649858226</v>
      </c>
      <c r="J83" s="37">
        <v>183.86466646282213</v>
      </c>
      <c r="K83" s="37">
        <f t="shared" si="12"/>
        <v>110.14547906264171</v>
      </c>
      <c r="L83" s="37"/>
      <c r="M83" s="73">
        <f t="shared" si="13"/>
        <v>8.158859849439147E-2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5"/>
        <v>6438.12</v>
      </c>
      <c r="G84" s="72">
        <f t="shared" si="10"/>
        <v>0.11418606874341442</v>
      </c>
      <c r="H84" s="37">
        <f t="shared" si="11"/>
        <v>259.10303416774394</v>
      </c>
      <c r="I84" s="37">
        <f t="shared" si="14"/>
        <v>95.272185663479448</v>
      </c>
      <c r="J84" s="37">
        <v>106.87669730236829</v>
      </c>
      <c r="K84" s="37">
        <f t="shared" si="12"/>
        <v>64.0252706051199</v>
      </c>
      <c r="L84" s="37"/>
      <c r="M84" s="73">
        <f t="shared" si="13"/>
        <v>8.1588598494391457E-2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5"/>
        <v>6322.5</v>
      </c>
      <c r="G85" s="72">
        <f t="shared" si="10"/>
        <v>0.1121354401021164</v>
      </c>
      <c r="H85" s="37">
        <f t="shared" si="11"/>
        <v>254.4498911989154</v>
      </c>
      <c r="I85" s="37">
        <f t="shared" si="14"/>
        <v>93.561224993841194</v>
      </c>
      <c r="J85" s="37">
        <v>104.95733516837578</v>
      </c>
      <c r="K85" s="37">
        <f t="shared" si="12"/>
        <v>62.875462619657689</v>
      </c>
      <c r="L85" s="37"/>
      <c r="M85" s="73">
        <f t="shared" si="13"/>
        <v>8.1588598494391484E-2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5"/>
        <v>3207.6099999999997</v>
      </c>
      <c r="G86" s="72">
        <f t="shared" si="10"/>
        <v>5.6889957932139114E-2</v>
      </c>
      <c r="H86" s="37">
        <f t="shared" si="11"/>
        <v>129.09071024255482</v>
      </c>
      <c r="I86" s="37">
        <f t="shared" si="14"/>
        <v>47.46665415618741</v>
      </c>
      <c r="J86" s="37">
        <v>50.846163932079058</v>
      </c>
      <c r="K86" s="37">
        <f t="shared" si="12"/>
        <v>31.898768312129725</v>
      </c>
      <c r="L86" s="37"/>
      <c r="M86" s="73">
        <f t="shared" si="13"/>
        <v>8.0839720740037285E-2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5"/>
        <v>2997.37</v>
      </c>
      <c r="G87" s="72">
        <f t="shared" si="10"/>
        <v>5.3161155254864471E-2</v>
      </c>
      <c r="H87" s="37">
        <f t="shared" si="11"/>
        <v>120.62957222347062</v>
      </c>
      <c r="I87" s="37">
        <f t="shared" si="14"/>
        <v>44.355493706570151</v>
      </c>
      <c r="J87" s="37">
        <v>49.758160176138311</v>
      </c>
      <c r="K87" s="37">
        <f t="shared" si="12"/>
        <v>29.807991362955061</v>
      </c>
      <c r="L87" s="37"/>
      <c r="M87" s="73">
        <f t="shared" si="13"/>
        <v>8.158859849439147E-2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15"/>
        <v>6397.6</v>
      </c>
      <c r="G88" s="72">
        <f t="shared" si="10"/>
        <v>0.11346740871448002</v>
      </c>
      <c r="H88" s="37">
        <f t="shared" si="11"/>
        <v>257.47230113628808</v>
      </c>
      <c r="I88" s="37">
        <f>H88*0.3677</f>
        <v>94.672565127813129</v>
      </c>
      <c r="J88" s="37">
        <v>106.20404072332163</v>
      </c>
      <c r="K88" s="37">
        <f>G88*560.71</f>
        <v>63.622310740296101</v>
      </c>
      <c r="L88" s="37"/>
      <c r="M88" s="73">
        <f t="shared" si="13"/>
        <v>8.1588598494391484E-2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15"/>
        <v>566.29999999999995</v>
      </c>
      <c r="G89" s="72">
        <f>2/112765.42*F89</f>
        <v>1.0043859190166629E-2</v>
      </c>
      <c r="H89" s="37">
        <f t="shared" si="11"/>
        <v>22.790822204182806</v>
      </c>
      <c r="I89" s="37">
        <f>H89*0.3677</f>
        <v>8.3801853244780187</v>
      </c>
      <c r="J89" s="37">
        <v>0</v>
      </c>
      <c r="K89" s="37">
        <f>G89*560.71</f>
        <v>5.631692286518331</v>
      </c>
      <c r="L89" s="37"/>
      <c r="M89" s="73">
        <f t="shared" si="13"/>
        <v>6.4987991903901032E-2</v>
      </c>
      <c r="S89" s="6">
        <v>2</v>
      </c>
    </row>
    <row r="90" spans="1:19" s="69" customFormat="1" ht="15.75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5">
        <f>SUM(F69:F89)</f>
        <v>112765.42</v>
      </c>
      <c r="G90" s="72">
        <f>2/112765.42*F90</f>
        <v>1.9999999999999998</v>
      </c>
      <c r="H90" s="37">
        <f>G90*2269.13</f>
        <v>4538.2599999999993</v>
      </c>
      <c r="I90" s="37">
        <f>H90*0.3677</f>
        <v>1668.7182019999998</v>
      </c>
      <c r="J90" s="37">
        <f>SUM(J68:J89)</f>
        <v>1859.2840407233216</v>
      </c>
      <c r="K90" s="65">
        <f>SUM(K69:K89)</f>
        <v>1121.4199999999998</v>
      </c>
      <c r="L90" s="65"/>
      <c r="M90" s="73">
        <f t="shared" si="13"/>
        <v>8.1476061036471287E-2</v>
      </c>
    </row>
    <row r="91" spans="1:19" s="6" customFormat="1" ht="15.75">
      <c r="A91" s="9" t="s">
        <v>50</v>
      </c>
      <c r="B91" s="8"/>
      <c r="C91" s="8"/>
      <c r="D91" s="8"/>
      <c r="E91" s="8"/>
      <c r="F91" s="40"/>
      <c r="G91" s="66"/>
      <c r="H91" s="37">
        <f>G91*2077.52</f>
        <v>0</v>
      </c>
      <c r="I91" s="37"/>
      <c r="J91" s="37">
        <v>0</v>
      </c>
      <c r="K91" s="37"/>
      <c r="L91" s="37"/>
      <c r="M91" s="73">
        <v>0</v>
      </c>
    </row>
    <row r="92" spans="1:19" s="6" customFormat="1" ht="15.75">
      <c r="A92" s="275">
        <v>1</v>
      </c>
      <c r="B92" s="249" t="s">
        <v>51</v>
      </c>
      <c r="C92" s="535"/>
      <c r="D92" s="413"/>
      <c r="E92" s="413"/>
      <c r="F92" s="40">
        <f t="shared" ref="F92:F155" si="16">C92+D92+E92</f>
        <v>0</v>
      </c>
      <c r="G92" s="72">
        <f t="shared" ref="G92:G155" si="17">0.5/33487.15*F92</f>
        <v>0</v>
      </c>
      <c r="H92" s="37">
        <f t="shared" ref="H92:H155" si="18">G92*2269.13</f>
        <v>0</v>
      </c>
      <c r="I92" s="96">
        <f t="shared" ref="I92:I155" si="19">H92*0.3677</f>
        <v>0</v>
      </c>
      <c r="J92" s="37">
        <v>0</v>
      </c>
      <c r="K92" s="37">
        <f t="shared" ref="K92:K155" si="20">G92*560.71</f>
        <v>0</v>
      </c>
      <c r="L92" s="37">
        <f t="shared" ref="L92:L155" si="21">K92*1.219</f>
        <v>0</v>
      </c>
      <c r="M92" s="73">
        <v>0</v>
      </c>
    </row>
    <row r="93" spans="1:19" s="6" customFormat="1" ht="15.75">
      <c r="A93" s="268">
        <v>2</v>
      </c>
      <c r="B93" s="176" t="s">
        <v>52</v>
      </c>
      <c r="C93" s="535"/>
      <c r="D93" s="413"/>
      <c r="E93" s="413"/>
      <c r="F93" s="40">
        <f t="shared" si="16"/>
        <v>0</v>
      </c>
      <c r="G93" s="72">
        <f t="shared" si="17"/>
        <v>0</v>
      </c>
      <c r="H93" s="37">
        <f t="shared" si="18"/>
        <v>0</v>
      </c>
      <c r="I93" s="96">
        <f t="shared" si="19"/>
        <v>0</v>
      </c>
      <c r="J93" s="37">
        <v>0</v>
      </c>
      <c r="K93" s="37">
        <f t="shared" si="20"/>
        <v>0</v>
      </c>
      <c r="L93" s="37">
        <f t="shared" si="21"/>
        <v>0</v>
      </c>
      <c r="M93" s="73">
        <v>0</v>
      </c>
    </row>
    <row r="94" spans="1:19" s="6" customFormat="1" ht="15.75">
      <c r="A94" s="268">
        <v>3</v>
      </c>
      <c r="B94" s="176" t="s">
        <v>53</v>
      </c>
      <c r="C94" s="535"/>
      <c r="D94" s="413"/>
      <c r="E94" s="413"/>
      <c r="F94" s="40">
        <f t="shared" si="16"/>
        <v>0</v>
      </c>
      <c r="G94" s="72">
        <f t="shared" si="17"/>
        <v>0</v>
      </c>
      <c r="H94" s="37">
        <f t="shared" si="18"/>
        <v>0</v>
      </c>
      <c r="I94" s="96">
        <f t="shared" si="19"/>
        <v>0</v>
      </c>
      <c r="J94" s="37">
        <v>0</v>
      </c>
      <c r="K94" s="37">
        <f t="shared" si="20"/>
        <v>0</v>
      </c>
      <c r="L94" s="37">
        <f t="shared" si="21"/>
        <v>0</v>
      </c>
      <c r="M94" s="73">
        <v>0</v>
      </c>
    </row>
    <row r="95" spans="1:19" s="6" customFormat="1" ht="15.75">
      <c r="A95" s="268">
        <v>4</v>
      </c>
      <c r="B95" s="176" t="s">
        <v>54</v>
      </c>
      <c r="C95" s="535"/>
      <c r="D95" s="413"/>
      <c r="E95" s="413"/>
      <c r="F95" s="40">
        <f t="shared" si="16"/>
        <v>0</v>
      </c>
      <c r="G95" s="72">
        <f t="shared" si="17"/>
        <v>0</v>
      </c>
      <c r="H95" s="37">
        <f t="shared" si="18"/>
        <v>0</v>
      </c>
      <c r="I95" s="96">
        <f t="shared" si="19"/>
        <v>0</v>
      </c>
      <c r="J95" s="37">
        <v>0</v>
      </c>
      <c r="K95" s="37">
        <f t="shared" si="20"/>
        <v>0</v>
      </c>
      <c r="L95" s="37">
        <f t="shared" si="21"/>
        <v>0</v>
      </c>
      <c r="M95" s="73">
        <v>0</v>
      </c>
    </row>
    <row r="96" spans="1:19" s="6" customFormat="1" ht="15.75">
      <c r="A96" s="268">
        <v>5</v>
      </c>
      <c r="B96" s="176" t="s">
        <v>55</v>
      </c>
      <c r="C96" s="535"/>
      <c r="D96" s="413"/>
      <c r="E96" s="413"/>
      <c r="F96" s="40">
        <f t="shared" si="16"/>
        <v>0</v>
      </c>
      <c r="G96" s="72">
        <f t="shared" si="17"/>
        <v>0</v>
      </c>
      <c r="H96" s="37">
        <f t="shared" si="18"/>
        <v>0</v>
      </c>
      <c r="I96" s="96">
        <f t="shared" si="19"/>
        <v>0</v>
      </c>
      <c r="J96" s="37">
        <v>0</v>
      </c>
      <c r="K96" s="37">
        <f t="shared" si="20"/>
        <v>0</v>
      </c>
      <c r="L96" s="37">
        <f t="shared" si="21"/>
        <v>0</v>
      </c>
      <c r="M96" s="73">
        <v>0</v>
      </c>
    </row>
    <row r="97" spans="1:13" s="6" customFormat="1" ht="15.75">
      <c r="A97" s="268">
        <v>6</v>
      </c>
      <c r="B97" s="176" t="s">
        <v>56</v>
      </c>
      <c r="C97" s="535"/>
      <c r="D97" s="413"/>
      <c r="E97" s="413"/>
      <c r="F97" s="40">
        <f t="shared" si="16"/>
        <v>0</v>
      </c>
      <c r="G97" s="72">
        <f t="shared" si="17"/>
        <v>0</v>
      </c>
      <c r="H97" s="37">
        <f t="shared" si="18"/>
        <v>0</v>
      </c>
      <c r="I97" s="96">
        <f t="shared" si="19"/>
        <v>0</v>
      </c>
      <c r="J97" s="37">
        <v>0</v>
      </c>
      <c r="K97" s="37">
        <f t="shared" si="20"/>
        <v>0</v>
      </c>
      <c r="L97" s="37">
        <f t="shared" si="21"/>
        <v>0</v>
      </c>
      <c r="M97" s="73">
        <v>0</v>
      </c>
    </row>
    <row r="98" spans="1:13" s="6" customFormat="1" ht="15.75">
      <c r="A98" s="268">
        <v>7</v>
      </c>
      <c r="B98" s="176" t="s">
        <v>57</v>
      </c>
      <c r="C98" s="535"/>
      <c r="D98" s="413"/>
      <c r="E98" s="413"/>
      <c r="F98" s="40">
        <f t="shared" si="16"/>
        <v>0</v>
      </c>
      <c r="G98" s="72">
        <f t="shared" si="17"/>
        <v>0</v>
      </c>
      <c r="H98" s="37">
        <f t="shared" si="18"/>
        <v>0</v>
      </c>
      <c r="I98" s="96">
        <f t="shared" si="19"/>
        <v>0</v>
      </c>
      <c r="J98" s="37">
        <v>0</v>
      </c>
      <c r="K98" s="37">
        <f t="shared" si="20"/>
        <v>0</v>
      </c>
      <c r="L98" s="37">
        <f t="shared" si="21"/>
        <v>0</v>
      </c>
      <c r="M98" s="73">
        <v>0</v>
      </c>
    </row>
    <row r="99" spans="1:13" s="6" customFormat="1" ht="15.75">
      <c r="A99" s="275">
        <v>8</v>
      </c>
      <c r="B99" s="176" t="s">
        <v>58</v>
      </c>
      <c r="C99" s="535"/>
      <c r="D99" s="413"/>
      <c r="E99" s="413"/>
      <c r="F99" s="40">
        <f t="shared" si="16"/>
        <v>0</v>
      </c>
      <c r="G99" s="72">
        <f t="shared" si="17"/>
        <v>0</v>
      </c>
      <c r="H99" s="37">
        <f t="shared" si="18"/>
        <v>0</v>
      </c>
      <c r="I99" s="96">
        <f t="shared" si="19"/>
        <v>0</v>
      </c>
      <c r="J99" s="37">
        <v>0</v>
      </c>
      <c r="K99" s="37">
        <f t="shared" si="20"/>
        <v>0</v>
      </c>
      <c r="L99" s="37">
        <f t="shared" si="21"/>
        <v>0</v>
      </c>
      <c r="M99" s="73">
        <v>0</v>
      </c>
    </row>
    <row r="100" spans="1:13" s="6" customFormat="1" ht="15.75">
      <c r="A100" s="268">
        <v>9</v>
      </c>
      <c r="B100" s="176" t="s">
        <v>59</v>
      </c>
      <c r="C100" s="535"/>
      <c r="D100" s="413"/>
      <c r="E100" s="413"/>
      <c r="F100" s="40">
        <f t="shared" si="16"/>
        <v>0</v>
      </c>
      <c r="G100" s="72">
        <f t="shared" si="17"/>
        <v>0</v>
      </c>
      <c r="H100" s="37">
        <f t="shared" si="18"/>
        <v>0</v>
      </c>
      <c r="I100" s="96">
        <f t="shared" si="19"/>
        <v>0</v>
      </c>
      <c r="J100" s="37">
        <v>0</v>
      </c>
      <c r="K100" s="37">
        <f t="shared" si="20"/>
        <v>0</v>
      </c>
      <c r="L100" s="37">
        <f t="shared" si="21"/>
        <v>0</v>
      </c>
      <c r="M100" s="73">
        <v>0</v>
      </c>
    </row>
    <row r="101" spans="1:13" s="6" customFormat="1" ht="15.75">
      <c r="A101" s="268">
        <v>10</v>
      </c>
      <c r="B101" s="274" t="s">
        <v>60</v>
      </c>
      <c r="C101" s="535"/>
      <c r="D101" s="413"/>
      <c r="E101" s="413"/>
      <c r="F101" s="40">
        <f t="shared" si="16"/>
        <v>0</v>
      </c>
      <c r="G101" s="72">
        <f t="shared" si="17"/>
        <v>0</v>
      </c>
      <c r="H101" s="37">
        <f t="shared" si="18"/>
        <v>0</v>
      </c>
      <c r="I101" s="96">
        <f t="shared" si="19"/>
        <v>0</v>
      </c>
      <c r="J101" s="37">
        <v>0</v>
      </c>
      <c r="K101" s="37">
        <f t="shared" si="20"/>
        <v>0</v>
      </c>
      <c r="L101" s="37">
        <f t="shared" si="21"/>
        <v>0</v>
      </c>
      <c r="M101" s="73">
        <v>0</v>
      </c>
    </row>
    <row r="102" spans="1:13" s="6" customFormat="1" ht="15.75">
      <c r="A102" s="268">
        <v>11</v>
      </c>
      <c r="B102" s="176" t="s">
        <v>61</v>
      </c>
      <c r="C102" s="535"/>
      <c r="D102" s="413"/>
      <c r="E102" s="413"/>
      <c r="F102" s="40">
        <f t="shared" si="16"/>
        <v>0</v>
      </c>
      <c r="G102" s="72">
        <f t="shared" si="17"/>
        <v>0</v>
      </c>
      <c r="H102" s="37">
        <f t="shared" si="18"/>
        <v>0</v>
      </c>
      <c r="I102" s="96">
        <f t="shared" si="19"/>
        <v>0</v>
      </c>
      <c r="J102" s="37">
        <v>0</v>
      </c>
      <c r="K102" s="37">
        <f t="shared" si="20"/>
        <v>0</v>
      </c>
      <c r="L102" s="37">
        <f t="shared" si="21"/>
        <v>0</v>
      </c>
      <c r="M102" s="73">
        <v>0</v>
      </c>
    </row>
    <row r="103" spans="1:13" s="6" customFormat="1" ht="15.75">
      <c r="A103" s="268">
        <v>12</v>
      </c>
      <c r="B103" s="176" t="s">
        <v>62</v>
      </c>
      <c r="C103" s="535"/>
      <c r="D103" s="413"/>
      <c r="E103" s="413"/>
      <c r="F103" s="40">
        <f t="shared" si="16"/>
        <v>0</v>
      </c>
      <c r="G103" s="72">
        <f t="shared" si="17"/>
        <v>0</v>
      </c>
      <c r="H103" s="37">
        <f t="shared" si="18"/>
        <v>0</v>
      </c>
      <c r="I103" s="96">
        <f t="shared" si="19"/>
        <v>0</v>
      </c>
      <c r="J103" s="37">
        <v>0</v>
      </c>
      <c r="K103" s="37">
        <f t="shared" si="20"/>
        <v>0</v>
      </c>
      <c r="L103" s="37">
        <f t="shared" si="21"/>
        <v>0</v>
      </c>
      <c r="M103" s="73">
        <v>0</v>
      </c>
    </row>
    <row r="104" spans="1:13" s="6" customFormat="1" ht="15.75">
      <c r="A104" s="268">
        <v>13</v>
      </c>
      <c r="B104" s="176" t="s">
        <v>63</v>
      </c>
      <c r="C104" s="535"/>
      <c r="D104" s="413"/>
      <c r="E104" s="413"/>
      <c r="F104" s="40">
        <f t="shared" si="16"/>
        <v>0</v>
      </c>
      <c r="G104" s="72">
        <f t="shared" si="17"/>
        <v>0</v>
      </c>
      <c r="H104" s="37">
        <f t="shared" si="18"/>
        <v>0</v>
      </c>
      <c r="I104" s="96">
        <f t="shared" si="19"/>
        <v>0</v>
      </c>
      <c r="J104" s="37">
        <v>0</v>
      </c>
      <c r="K104" s="37">
        <f t="shared" si="20"/>
        <v>0</v>
      </c>
      <c r="L104" s="37">
        <f t="shared" si="21"/>
        <v>0</v>
      </c>
      <c r="M104" s="73">
        <v>0</v>
      </c>
    </row>
    <row r="105" spans="1:13" s="6" customFormat="1" ht="15.75">
      <c r="A105" s="268">
        <v>14</v>
      </c>
      <c r="B105" s="176" t="s">
        <v>64</v>
      </c>
      <c r="C105" s="535"/>
      <c r="D105" s="413"/>
      <c r="E105" s="413"/>
      <c r="F105" s="40">
        <f t="shared" si="16"/>
        <v>0</v>
      </c>
      <c r="G105" s="72">
        <f t="shared" si="17"/>
        <v>0</v>
      </c>
      <c r="H105" s="37">
        <f t="shared" si="18"/>
        <v>0</v>
      </c>
      <c r="I105" s="96">
        <f t="shared" si="19"/>
        <v>0</v>
      </c>
      <c r="J105" s="37">
        <v>0</v>
      </c>
      <c r="K105" s="37">
        <f t="shared" si="20"/>
        <v>0</v>
      </c>
      <c r="L105" s="37">
        <f t="shared" si="21"/>
        <v>0</v>
      </c>
      <c r="M105" s="73">
        <v>0</v>
      </c>
    </row>
    <row r="106" spans="1:13" s="6" customFormat="1" ht="15.75">
      <c r="A106" s="275">
        <v>15</v>
      </c>
      <c r="B106" s="176" t="s">
        <v>67</v>
      </c>
      <c r="C106" s="535"/>
      <c r="D106" s="413"/>
      <c r="E106" s="413"/>
      <c r="F106" s="40">
        <f t="shared" si="16"/>
        <v>0</v>
      </c>
      <c r="G106" s="72">
        <f t="shared" si="17"/>
        <v>0</v>
      </c>
      <c r="H106" s="37">
        <f t="shared" si="18"/>
        <v>0</v>
      </c>
      <c r="I106" s="96">
        <f t="shared" si="19"/>
        <v>0</v>
      </c>
      <c r="J106" s="37">
        <v>0</v>
      </c>
      <c r="K106" s="37">
        <f t="shared" si="20"/>
        <v>0</v>
      </c>
      <c r="L106" s="37">
        <f t="shared" si="21"/>
        <v>0</v>
      </c>
      <c r="M106" s="73">
        <v>0</v>
      </c>
    </row>
    <row r="107" spans="1:13" s="6" customFormat="1" ht="15.75">
      <c r="A107" s="268">
        <v>16</v>
      </c>
      <c r="B107" s="176" t="s">
        <v>68</v>
      </c>
      <c r="C107" s="535"/>
      <c r="D107" s="413"/>
      <c r="E107" s="413"/>
      <c r="F107" s="40">
        <f t="shared" si="16"/>
        <v>0</v>
      </c>
      <c r="G107" s="72">
        <f t="shared" si="17"/>
        <v>0</v>
      </c>
      <c r="H107" s="37">
        <f t="shared" si="18"/>
        <v>0</v>
      </c>
      <c r="I107" s="96">
        <f t="shared" si="19"/>
        <v>0</v>
      </c>
      <c r="J107" s="37">
        <v>0</v>
      </c>
      <c r="K107" s="37">
        <f t="shared" si="20"/>
        <v>0</v>
      </c>
      <c r="L107" s="37">
        <f t="shared" si="21"/>
        <v>0</v>
      </c>
      <c r="M107" s="73">
        <v>0</v>
      </c>
    </row>
    <row r="108" spans="1:13" s="6" customFormat="1" ht="15.75">
      <c r="A108" s="268">
        <v>17</v>
      </c>
      <c r="B108" s="176" t="s">
        <v>69</v>
      </c>
      <c r="C108" s="535"/>
      <c r="D108" s="413"/>
      <c r="E108" s="413"/>
      <c r="F108" s="40">
        <f t="shared" si="16"/>
        <v>0</v>
      </c>
      <c r="G108" s="72">
        <f t="shared" si="17"/>
        <v>0</v>
      </c>
      <c r="H108" s="37">
        <f t="shared" si="18"/>
        <v>0</v>
      </c>
      <c r="I108" s="96">
        <f t="shared" si="19"/>
        <v>0</v>
      </c>
      <c r="J108" s="37">
        <v>0</v>
      </c>
      <c r="K108" s="37">
        <f t="shared" si="20"/>
        <v>0</v>
      </c>
      <c r="L108" s="37">
        <f t="shared" si="21"/>
        <v>0</v>
      </c>
      <c r="M108" s="73">
        <v>0</v>
      </c>
    </row>
    <row r="109" spans="1:13" s="6" customFormat="1" ht="15.75">
      <c r="A109" s="268">
        <v>18</v>
      </c>
      <c r="B109" s="176" t="s">
        <v>70</v>
      </c>
      <c r="C109" s="535"/>
      <c r="D109" s="413"/>
      <c r="E109" s="413"/>
      <c r="F109" s="40">
        <f t="shared" si="16"/>
        <v>0</v>
      </c>
      <c r="G109" s="72">
        <f t="shared" si="17"/>
        <v>0</v>
      </c>
      <c r="H109" s="37">
        <f t="shared" si="18"/>
        <v>0</v>
      </c>
      <c r="I109" s="96">
        <f t="shared" si="19"/>
        <v>0</v>
      </c>
      <c r="J109" s="37">
        <v>0</v>
      </c>
      <c r="K109" s="37">
        <f t="shared" si="20"/>
        <v>0</v>
      </c>
      <c r="L109" s="37">
        <f t="shared" si="21"/>
        <v>0</v>
      </c>
      <c r="M109" s="73">
        <v>0</v>
      </c>
    </row>
    <row r="110" spans="1:13" s="6" customFormat="1" ht="15.75">
      <c r="A110" s="268">
        <v>19</v>
      </c>
      <c r="B110" s="176" t="s">
        <v>71</v>
      </c>
      <c r="C110" s="535"/>
      <c r="D110" s="413"/>
      <c r="E110" s="413"/>
      <c r="F110" s="40">
        <f t="shared" si="16"/>
        <v>0</v>
      </c>
      <c r="G110" s="72">
        <f t="shared" si="17"/>
        <v>0</v>
      </c>
      <c r="H110" s="37">
        <f t="shared" si="18"/>
        <v>0</v>
      </c>
      <c r="I110" s="96">
        <f t="shared" si="19"/>
        <v>0</v>
      </c>
      <c r="J110" s="37">
        <v>0</v>
      </c>
      <c r="K110" s="37">
        <f t="shared" si="20"/>
        <v>0</v>
      </c>
      <c r="L110" s="37">
        <f t="shared" si="21"/>
        <v>0</v>
      </c>
      <c r="M110" s="73">
        <v>0</v>
      </c>
    </row>
    <row r="111" spans="1:13" s="6" customFormat="1" ht="15.75">
      <c r="A111" s="268">
        <v>20</v>
      </c>
      <c r="B111" s="176" t="s">
        <v>72</v>
      </c>
      <c r="C111" s="535"/>
      <c r="D111" s="413"/>
      <c r="E111" s="413"/>
      <c r="F111" s="40">
        <f t="shared" si="16"/>
        <v>0</v>
      </c>
      <c r="G111" s="72">
        <f t="shared" si="17"/>
        <v>0</v>
      </c>
      <c r="H111" s="37">
        <f t="shared" si="18"/>
        <v>0</v>
      </c>
      <c r="I111" s="96">
        <f t="shared" si="19"/>
        <v>0</v>
      </c>
      <c r="J111" s="37">
        <v>0</v>
      </c>
      <c r="K111" s="37">
        <f t="shared" si="20"/>
        <v>0</v>
      </c>
      <c r="L111" s="37">
        <f t="shared" si="21"/>
        <v>0</v>
      </c>
      <c r="M111" s="73">
        <v>0</v>
      </c>
    </row>
    <row r="112" spans="1:13" s="6" customFormat="1" ht="15.75">
      <c r="A112" s="268">
        <v>21</v>
      </c>
      <c r="B112" s="176" t="s">
        <v>73</v>
      </c>
      <c r="C112" s="535"/>
      <c r="D112" s="413"/>
      <c r="E112" s="413"/>
      <c r="F112" s="40">
        <f t="shared" si="16"/>
        <v>0</v>
      </c>
      <c r="G112" s="72">
        <f t="shared" si="17"/>
        <v>0</v>
      </c>
      <c r="H112" s="37">
        <f t="shared" si="18"/>
        <v>0</v>
      </c>
      <c r="I112" s="96">
        <f t="shared" si="19"/>
        <v>0</v>
      </c>
      <c r="J112" s="37">
        <v>0</v>
      </c>
      <c r="K112" s="37">
        <f t="shared" si="20"/>
        <v>0</v>
      </c>
      <c r="L112" s="37">
        <f t="shared" si="21"/>
        <v>0</v>
      </c>
      <c r="M112" s="73">
        <v>0</v>
      </c>
    </row>
    <row r="113" spans="1:13" s="6" customFormat="1" ht="15.75">
      <c r="A113" s="275">
        <v>22</v>
      </c>
      <c r="B113" s="176" t="s">
        <v>74</v>
      </c>
      <c r="C113" s="535"/>
      <c r="D113" s="413"/>
      <c r="E113" s="413"/>
      <c r="F113" s="40">
        <f t="shared" si="16"/>
        <v>0</v>
      </c>
      <c r="G113" s="72">
        <f t="shared" si="17"/>
        <v>0</v>
      </c>
      <c r="H113" s="37">
        <f t="shared" si="18"/>
        <v>0</v>
      </c>
      <c r="I113" s="96">
        <f t="shared" si="19"/>
        <v>0</v>
      </c>
      <c r="J113" s="37">
        <v>0</v>
      </c>
      <c r="K113" s="37">
        <f t="shared" si="20"/>
        <v>0</v>
      </c>
      <c r="L113" s="37">
        <f t="shared" si="21"/>
        <v>0</v>
      </c>
      <c r="M113" s="73">
        <v>0</v>
      </c>
    </row>
    <row r="114" spans="1:13" s="6" customFormat="1" ht="15.75">
      <c r="A114" s="268">
        <v>23</v>
      </c>
      <c r="B114" s="176" t="s">
        <v>75</v>
      </c>
      <c r="C114" s="535"/>
      <c r="D114" s="413"/>
      <c r="E114" s="413"/>
      <c r="F114" s="40">
        <f t="shared" si="16"/>
        <v>0</v>
      </c>
      <c r="G114" s="72">
        <f t="shared" si="17"/>
        <v>0</v>
      </c>
      <c r="H114" s="37">
        <f t="shared" si="18"/>
        <v>0</v>
      </c>
      <c r="I114" s="96">
        <f t="shared" si="19"/>
        <v>0</v>
      </c>
      <c r="J114" s="37">
        <v>0</v>
      </c>
      <c r="K114" s="37">
        <f t="shared" si="20"/>
        <v>0</v>
      </c>
      <c r="L114" s="37">
        <f t="shared" si="21"/>
        <v>0</v>
      </c>
      <c r="M114" s="73">
        <v>0</v>
      </c>
    </row>
    <row r="115" spans="1:13" s="6" customFormat="1" ht="15.75">
      <c r="A115" s="268">
        <v>24</v>
      </c>
      <c r="B115" s="176" t="s">
        <v>76</v>
      </c>
      <c r="C115" s="535"/>
      <c r="D115" s="413"/>
      <c r="E115" s="413"/>
      <c r="F115" s="40">
        <f t="shared" si="16"/>
        <v>0</v>
      </c>
      <c r="G115" s="72">
        <f t="shared" si="17"/>
        <v>0</v>
      </c>
      <c r="H115" s="37">
        <f t="shared" si="18"/>
        <v>0</v>
      </c>
      <c r="I115" s="96">
        <f t="shared" si="19"/>
        <v>0</v>
      </c>
      <c r="J115" s="37">
        <v>0</v>
      </c>
      <c r="K115" s="37">
        <f t="shared" si="20"/>
        <v>0</v>
      </c>
      <c r="L115" s="37">
        <f t="shared" si="21"/>
        <v>0</v>
      </c>
      <c r="M115" s="73">
        <v>0</v>
      </c>
    </row>
    <row r="116" spans="1:13" s="6" customFormat="1" ht="15.75">
      <c r="A116" s="268">
        <v>25</v>
      </c>
      <c r="B116" s="176" t="s">
        <v>77</v>
      </c>
      <c r="C116" s="535"/>
      <c r="D116" s="413"/>
      <c r="E116" s="413"/>
      <c r="F116" s="40">
        <f t="shared" si="16"/>
        <v>0</v>
      </c>
      <c r="G116" s="72">
        <f t="shared" si="17"/>
        <v>0</v>
      </c>
      <c r="H116" s="37">
        <f t="shared" si="18"/>
        <v>0</v>
      </c>
      <c r="I116" s="96">
        <f t="shared" si="19"/>
        <v>0</v>
      </c>
      <c r="J116" s="37">
        <v>0</v>
      </c>
      <c r="K116" s="37">
        <f t="shared" si="20"/>
        <v>0</v>
      </c>
      <c r="L116" s="37">
        <f t="shared" si="21"/>
        <v>0</v>
      </c>
      <c r="M116" s="73">
        <v>0</v>
      </c>
    </row>
    <row r="117" spans="1:13" s="6" customFormat="1" ht="15.75">
      <c r="A117" s="268">
        <v>26</v>
      </c>
      <c r="B117" s="176" t="s">
        <v>78</v>
      </c>
      <c r="C117" s="535"/>
      <c r="D117" s="413"/>
      <c r="E117" s="413"/>
      <c r="F117" s="40">
        <f t="shared" si="16"/>
        <v>0</v>
      </c>
      <c r="G117" s="72">
        <f t="shared" si="17"/>
        <v>0</v>
      </c>
      <c r="H117" s="37">
        <f t="shared" si="18"/>
        <v>0</v>
      </c>
      <c r="I117" s="96">
        <f t="shared" si="19"/>
        <v>0</v>
      </c>
      <c r="J117" s="37">
        <v>0</v>
      </c>
      <c r="K117" s="37">
        <f t="shared" si="20"/>
        <v>0</v>
      </c>
      <c r="L117" s="37">
        <f t="shared" si="21"/>
        <v>0</v>
      </c>
      <c r="M117" s="73">
        <v>0</v>
      </c>
    </row>
    <row r="118" spans="1:13" s="6" customFormat="1" ht="15.75">
      <c r="A118" s="268">
        <v>27</v>
      </c>
      <c r="B118" s="176" t="s">
        <v>79</v>
      </c>
      <c r="C118" s="535"/>
      <c r="D118" s="413"/>
      <c r="E118" s="413"/>
      <c r="F118" s="40">
        <f t="shared" si="16"/>
        <v>0</v>
      </c>
      <c r="G118" s="72">
        <f t="shared" si="17"/>
        <v>0</v>
      </c>
      <c r="H118" s="37">
        <f t="shared" si="18"/>
        <v>0</v>
      </c>
      <c r="I118" s="96">
        <f t="shared" si="19"/>
        <v>0</v>
      </c>
      <c r="J118" s="37">
        <v>0</v>
      </c>
      <c r="K118" s="37">
        <f t="shared" si="20"/>
        <v>0</v>
      </c>
      <c r="L118" s="37">
        <f t="shared" si="21"/>
        <v>0</v>
      </c>
      <c r="M118" s="73">
        <v>0</v>
      </c>
    </row>
    <row r="119" spans="1:13" s="6" customFormat="1" ht="15.75">
      <c r="A119" s="268">
        <v>28</v>
      </c>
      <c r="B119" s="176" t="s">
        <v>80</v>
      </c>
      <c r="C119" s="535"/>
      <c r="D119" s="413"/>
      <c r="E119" s="413"/>
      <c r="F119" s="40">
        <f t="shared" si="16"/>
        <v>0</v>
      </c>
      <c r="G119" s="72">
        <f t="shared" si="17"/>
        <v>0</v>
      </c>
      <c r="H119" s="37">
        <f t="shared" si="18"/>
        <v>0</v>
      </c>
      <c r="I119" s="96">
        <f t="shared" si="19"/>
        <v>0</v>
      </c>
      <c r="J119" s="37">
        <v>0</v>
      </c>
      <c r="K119" s="37">
        <f t="shared" si="20"/>
        <v>0</v>
      </c>
      <c r="L119" s="37">
        <f t="shared" si="21"/>
        <v>0</v>
      </c>
      <c r="M119" s="73">
        <v>0</v>
      </c>
    </row>
    <row r="120" spans="1:13" s="6" customFormat="1" ht="15.75">
      <c r="A120" s="275">
        <v>29</v>
      </c>
      <c r="B120" s="176" t="s">
        <v>81</v>
      </c>
      <c r="C120" s="535"/>
      <c r="D120" s="413"/>
      <c r="E120" s="413"/>
      <c r="F120" s="40">
        <f t="shared" si="16"/>
        <v>0</v>
      </c>
      <c r="G120" s="72">
        <f t="shared" si="17"/>
        <v>0</v>
      </c>
      <c r="H120" s="37">
        <f t="shared" si="18"/>
        <v>0</v>
      </c>
      <c r="I120" s="96">
        <f t="shared" si="19"/>
        <v>0</v>
      </c>
      <c r="J120" s="37">
        <v>0</v>
      </c>
      <c r="K120" s="37">
        <f t="shared" si="20"/>
        <v>0</v>
      </c>
      <c r="L120" s="37">
        <f t="shared" si="21"/>
        <v>0</v>
      </c>
      <c r="M120" s="73">
        <v>0</v>
      </c>
    </row>
    <row r="121" spans="1:13" s="6" customFormat="1" ht="15.75">
      <c r="A121" s="268">
        <v>30</v>
      </c>
      <c r="B121" s="176" t="s">
        <v>82</v>
      </c>
      <c r="C121" s="535"/>
      <c r="D121" s="413"/>
      <c r="E121" s="413"/>
      <c r="F121" s="40">
        <f t="shared" si="16"/>
        <v>0</v>
      </c>
      <c r="G121" s="72">
        <f t="shared" si="17"/>
        <v>0</v>
      </c>
      <c r="H121" s="37">
        <f t="shared" si="18"/>
        <v>0</v>
      </c>
      <c r="I121" s="96">
        <f t="shared" si="19"/>
        <v>0</v>
      </c>
      <c r="J121" s="37">
        <v>0</v>
      </c>
      <c r="K121" s="37">
        <f t="shared" si="20"/>
        <v>0</v>
      </c>
      <c r="L121" s="37">
        <f t="shared" si="21"/>
        <v>0</v>
      </c>
      <c r="M121" s="73">
        <v>0</v>
      </c>
    </row>
    <row r="122" spans="1:13" s="6" customFormat="1" ht="15.75">
      <c r="A122" s="268">
        <v>31</v>
      </c>
      <c r="B122" s="176" t="s">
        <v>83</v>
      </c>
      <c r="C122" s="535"/>
      <c r="D122" s="413"/>
      <c r="E122" s="413"/>
      <c r="F122" s="40">
        <f t="shared" si="16"/>
        <v>0</v>
      </c>
      <c r="G122" s="72">
        <f t="shared" si="17"/>
        <v>0</v>
      </c>
      <c r="H122" s="37">
        <f t="shared" si="18"/>
        <v>0</v>
      </c>
      <c r="I122" s="96">
        <f t="shared" si="19"/>
        <v>0</v>
      </c>
      <c r="J122" s="37">
        <v>0</v>
      </c>
      <c r="K122" s="37">
        <f t="shared" si="20"/>
        <v>0</v>
      </c>
      <c r="L122" s="37">
        <f t="shared" si="21"/>
        <v>0</v>
      </c>
      <c r="M122" s="73">
        <v>0</v>
      </c>
    </row>
    <row r="123" spans="1:13" s="6" customFormat="1" ht="15.75">
      <c r="A123" s="268">
        <v>32</v>
      </c>
      <c r="B123" s="176" t="s">
        <v>84</v>
      </c>
      <c r="C123" s="535"/>
      <c r="D123" s="413"/>
      <c r="E123" s="413"/>
      <c r="F123" s="40">
        <f t="shared" si="16"/>
        <v>0</v>
      </c>
      <c r="G123" s="72">
        <f t="shared" si="17"/>
        <v>0</v>
      </c>
      <c r="H123" s="37">
        <f t="shared" si="18"/>
        <v>0</v>
      </c>
      <c r="I123" s="96">
        <f t="shared" si="19"/>
        <v>0</v>
      </c>
      <c r="J123" s="37">
        <v>0</v>
      </c>
      <c r="K123" s="37">
        <f t="shared" si="20"/>
        <v>0</v>
      </c>
      <c r="L123" s="37">
        <f t="shared" si="21"/>
        <v>0</v>
      </c>
      <c r="M123" s="73">
        <v>0</v>
      </c>
    </row>
    <row r="124" spans="1:13" s="6" customFormat="1" ht="15.75">
      <c r="A124" s="268">
        <v>33</v>
      </c>
      <c r="B124" s="176" t="s">
        <v>85</v>
      </c>
      <c r="C124" s="535"/>
      <c r="D124" s="413"/>
      <c r="E124" s="413"/>
      <c r="F124" s="40">
        <f t="shared" si="16"/>
        <v>0</v>
      </c>
      <c r="G124" s="72">
        <f t="shared" si="17"/>
        <v>0</v>
      </c>
      <c r="H124" s="37">
        <f t="shared" si="18"/>
        <v>0</v>
      </c>
      <c r="I124" s="96">
        <f t="shared" si="19"/>
        <v>0</v>
      </c>
      <c r="J124" s="37">
        <v>0</v>
      </c>
      <c r="K124" s="37">
        <f t="shared" si="20"/>
        <v>0</v>
      </c>
      <c r="L124" s="37">
        <f t="shared" si="21"/>
        <v>0</v>
      </c>
      <c r="M124" s="73">
        <v>0</v>
      </c>
    </row>
    <row r="125" spans="1:13" s="6" customFormat="1" ht="15.75">
      <c r="A125" s="268">
        <v>34</v>
      </c>
      <c r="B125" s="176" t="s">
        <v>86</v>
      </c>
      <c r="C125" s="535"/>
      <c r="D125" s="413"/>
      <c r="E125" s="413"/>
      <c r="F125" s="40">
        <f t="shared" si="16"/>
        <v>0</v>
      </c>
      <c r="G125" s="72">
        <f t="shared" si="17"/>
        <v>0</v>
      </c>
      <c r="H125" s="37">
        <f t="shared" si="18"/>
        <v>0</v>
      </c>
      <c r="I125" s="96">
        <f t="shared" si="19"/>
        <v>0</v>
      </c>
      <c r="J125" s="37">
        <v>0</v>
      </c>
      <c r="K125" s="37">
        <f t="shared" si="20"/>
        <v>0</v>
      </c>
      <c r="L125" s="37">
        <f t="shared" si="21"/>
        <v>0</v>
      </c>
      <c r="M125" s="73">
        <v>0</v>
      </c>
    </row>
    <row r="126" spans="1:13" s="6" customFormat="1" ht="15.75">
      <c r="A126" s="268">
        <v>35</v>
      </c>
      <c r="B126" s="176" t="s">
        <v>87</v>
      </c>
      <c r="C126" s="535"/>
      <c r="D126" s="413"/>
      <c r="E126" s="413"/>
      <c r="F126" s="40">
        <f t="shared" si="16"/>
        <v>0</v>
      </c>
      <c r="G126" s="72">
        <f t="shared" si="17"/>
        <v>0</v>
      </c>
      <c r="H126" s="37">
        <f t="shared" si="18"/>
        <v>0</v>
      </c>
      <c r="I126" s="96">
        <f t="shared" si="19"/>
        <v>0</v>
      </c>
      <c r="J126" s="37">
        <v>0</v>
      </c>
      <c r="K126" s="37">
        <f t="shared" si="20"/>
        <v>0</v>
      </c>
      <c r="L126" s="37">
        <f t="shared" si="21"/>
        <v>0</v>
      </c>
      <c r="M126" s="73">
        <v>0</v>
      </c>
    </row>
    <row r="127" spans="1:13" s="6" customFormat="1" ht="15.75">
      <c r="A127" s="275">
        <v>36</v>
      </c>
      <c r="B127" s="176" t="s">
        <v>88</v>
      </c>
      <c r="C127" s="535"/>
      <c r="D127" s="413"/>
      <c r="E127" s="413"/>
      <c r="F127" s="40">
        <f t="shared" si="16"/>
        <v>0</v>
      </c>
      <c r="G127" s="72">
        <f t="shared" si="17"/>
        <v>0</v>
      </c>
      <c r="H127" s="37">
        <f t="shared" si="18"/>
        <v>0</v>
      </c>
      <c r="I127" s="96">
        <f t="shared" si="19"/>
        <v>0</v>
      </c>
      <c r="J127" s="37">
        <v>0</v>
      </c>
      <c r="K127" s="37">
        <f t="shared" si="20"/>
        <v>0</v>
      </c>
      <c r="L127" s="37">
        <f t="shared" si="21"/>
        <v>0</v>
      </c>
      <c r="M127" s="73">
        <v>0</v>
      </c>
    </row>
    <row r="128" spans="1:13" s="6" customFormat="1" ht="15.75">
      <c r="A128" s="268">
        <v>37</v>
      </c>
      <c r="B128" s="176" t="s">
        <v>89</v>
      </c>
      <c r="C128" s="535"/>
      <c r="D128" s="413"/>
      <c r="E128" s="413"/>
      <c r="F128" s="40">
        <f t="shared" si="16"/>
        <v>0</v>
      </c>
      <c r="G128" s="72">
        <f t="shared" si="17"/>
        <v>0</v>
      </c>
      <c r="H128" s="37">
        <f t="shared" si="18"/>
        <v>0</v>
      </c>
      <c r="I128" s="96">
        <f t="shared" si="19"/>
        <v>0</v>
      </c>
      <c r="J128" s="37">
        <v>0</v>
      </c>
      <c r="K128" s="37">
        <f t="shared" si="20"/>
        <v>0</v>
      </c>
      <c r="L128" s="37">
        <f t="shared" si="21"/>
        <v>0</v>
      </c>
      <c r="M128" s="73">
        <v>0</v>
      </c>
    </row>
    <row r="129" spans="1:13" s="6" customFormat="1" ht="15.75">
      <c r="A129" s="268">
        <v>38</v>
      </c>
      <c r="B129" s="176" t="s">
        <v>90</v>
      </c>
      <c r="C129" s="535"/>
      <c r="D129" s="413"/>
      <c r="E129" s="413"/>
      <c r="F129" s="40">
        <f t="shared" si="16"/>
        <v>0</v>
      </c>
      <c r="G129" s="72">
        <f t="shared" si="17"/>
        <v>0</v>
      </c>
      <c r="H129" s="37">
        <f t="shared" si="18"/>
        <v>0</v>
      </c>
      <c r="I129" s="96">
        <f t="shared" si="19"/>
        <v>0</v>
      </c>
      <c r="J129" s="37">
        <v>0</v>
      </c>
      <c r="K129" s="37">
        <f t="shared" si="20"/>
        <v>0</v>
      </c>
      <c r="L129" s="37">
        <f t="shared" si="21"/>
        <v>0</v>
      </c>
      <c r="M129" s="73">
        <v>0</v>
      </c>
    </row>
    <row r="130" spans="1:13" s="6" customFormat="1" ht="15.75">
      <c r="A130" s="268">
        <v>39</v>
      </c>
      <c r="B130" s="176" t="s">
        <v>91</v>
      </c>
      <c r="C130" s="535"/>
      <c r="D130" s="413"/>
      <c r="E130" s="413"/>
      <c r="F130" s="40">
        <f t="shared" si="16"/>
        <v>0</v>
      </c>
      <c r="G130" s="72">
        <f t="shared" si="17"/>
        <v>0</v>
      </c>
      <c r="H130" s="37">
        <f t="shared" si="18"/>
        <v>0</v>
      </c>
      <c r="I130" s="96">
        <f t="shared" si="19"/>
        <v>0</v>
      </c>
      <c r="J130" s="37">
        <v>0</v>
      </c>
      <c r="K130" s="37">
        <f t="shared" si="20"/>
        <v>0</v>
      </c>
      <c r="L130" s="37">
        <f t="shared" si="21"/>
        <v>0</v>
      </c>
      <c r="M130" s="73">
        <v>0</v>
      </c>
    </row>
    <row r="131" spans="1:13" s="6" customFormat="1" ht="15.75">
      <c r="A131" s="268">
        <v>40</v>
      </c>
      <c r="B131" s="176" t="s">
        <v>92</v>
      </c>
      <c r="C131" s="535"/>
      <c r="D131" s="413"/>
      <c r="E131" s="413"/>
      <c r="F131" s="40">
        <f t="shared" si="16"/>
        <v>0</v>
      </c>
      <c r="G131" s="72">
        <f t="shared" si="17"/>
        <v>0</v>
      </c>
      <c r="H131" s="37">
        <f t="shared" si="18"/>
        <v>0</v>
      </c>
      <c r="I131" s="96">
        <f t="shared" si="19"/>
        <v>0</v>
      </c>
      <c r="J131" s="37">
        <v>0</v>
      </c>
      <c r="K131" s="37">
        <f t="shared" si="20"/>
        <v>0</v>
      </c>
      <c r="L131" s="37">
        <f t="shared" si="21"/>
        <v>0</v>
      </c>
      <c r="M131" s="73">
        <v>0</v>
      </c>
    </row>
    <row r="132" spans="1:13" s="6" customFormat="1" ht="15.75">
      <c r="A132" s="268">
        <v>41</v>
      </c>
      <c r="B132" s="176" t="s">
        <v>93</v>
      </c>
      <c r="C132" s="535"/>
      <c r="D132" s="413"/>
      <c r="E132" s="413"/>
      <c r="F132" s="40">
        <f t="shared" si="16"/>
        <v>0</v>
      </c>
      <c r="G132" s="72">
        <f t="shared" si="17"/>
        <v>0</v>
      </c>
      <c r="H132" s="37">
        <f t="shared" si="18"/>
        <v>0</v>
      </c>
      <c r="I132" s="96">
        <f t="shared" si="19"/>
        <v>0</v>
      </c>
      <c r="J132" s="37">
        <v>0</v>
      </c>
      <c r="K132" s="37">
        <f t="shared" si="20"/>
        <v>0</v>
      </c>
      <c r="L132" s="37">
        <f t="shared" si="21"/>
        <v>0</v>
      </c>
      <c r="M132" s="73">
        <v>0</v>
      </c>
    </row>
    <row r="133" spans="1:13" s="6" customFormat="1" ht="15.75">
      <c r="A133" s="268">
        <v>42</v>
      </c>
      <c r="B133" s="176" t="s">
        <v>94</v>
      </c>
      <c r="C133" s="535"/>
      <c r="D133" s="413"/>
      <c r="E133" s="413"/>
      <c r="F133" s="40">
        <f t="shared" si="16"/>
        <v>0</v>
      </c>
      <c r="G133" s="72">
        <f t="shared" si="17"/>
        <v>0</v>
      </c>
      <c r="H133" s="37">
        <f t="shared" si="18"/>
        <v>0</v>
      </c>
      <c r="I133" s="96">
        <f t="shared" si="19"/>
        <v>0</v>
      </c>
      <c r="J133" s="37">
        <v>0</v>
      </c>
      <c r="K133" s="37">
        <f t="shared" si="20"/>
        <v>0</v>
      </c>
      <c r="L133" s="37">
        <f t="shared" si="21"/>
        <v>0</v>
      </c>
      <c r="M133" s="73">
        <v>0</v>
      </c>
    </row>
    <row r="134" spans="1:13" s="6" customFormat="1" ht="15.75">
      <c r="A134" s="275">
        <v>43</v>
      </c>
      <c r="B134" s="176" t="s">
        <v>95</v>
      </c>
      <c r="C134" s="535"/>
      <c r="D134" s="413"/>
      <c r="E134" s="413"/>
      <c r="F134" s="40">
        <f t="shared" si="16"/>
        <v>0</v>
      </c>
      <c r="G134" s="72">
        <f t="shared" si="17"/>
        <v>0</v>
      </c>
      <c r="H134" s="37">
        <f t="shared" si="18"/>
        <v>0</v>
      </c>
      <c r="I134" s="96">
        <f t="shared" si="19"/>
        <v>0</v>
      </c>
      <c r="J134" s="37">
        <v>0</v>
      </c>
      <c r="K134" s="37">
        <f t="shared" si="20"/>
        <v>0</v>
      </c>
      <c r="L134" s="37">
        <f t="shared" si="21"/>
        <v>0</v>
      </c>
      <c r="M134" s="73">
        <v>0</v>
      </c>
    </row>
    <row r="135" spans="1:13" s="6" customFormat="1" ht="15.75">
      <c r="A135" s="268">
        <v>44</v>
      </c>
      <c r="B135" s="176" t="s">
        <v>96</v>
      </c>
      <c r="C135" s="535"/>
      <c r="D135" s="413"/>
      <c r="E135" s="413"/>
      <c r="F135" s="40">
        <f t="shared" si="16"/>
        <v>0</v>
      </c>
      <c r="G135" s="72">
        <f t="shared" si="17"/>
        <v>0</v>
      </c>
      <c r="H135" s="37">
        <f t="shared" si="18"/>
        <v>0</v>
      </c>
      <c r="I135" s="96">
        <f t="shared" si="19"/>
        <v>0</v>
      </c>
      <c r="J135" s="37">
        <v>0</v>
      </c>
      <c r="K135" s="37">
        <f t="shared" si="20"/>
        <v>0</v>
      </c>
      <c r="L135" s="37">
        <f t="shared" si="21"/>
        <v>0</v>
      </c>
      <c r="M135" s="73">
        <v>0</v>
      </c>
    </row>
    <row r="136" spans="1:13" s="6" customFormat="1" ht="15.75">
      <c r="A136" s="268">
        <v>45</v>
      </c>
      <c r="B136" s="176" t="s">
        <v>97</v>
      </c>
      <c r="C136" s="535"/>
      <c r="D136" s="413"/>
      <c r="E136" s="413"/>
      <c r="F136" s="40">
        <f t="shared" si="16"/>
        <v>0</v>
      </c>
      <c r="G136" s="72">
        <f t="shared" si="17"/>
        <v>0</v>
      </c>
      <c r="H136" s="37">
        <f t="shared" si="18"/>
        <v>0</v>
      </c>
      <c r="I136" s="96">
        <f t="shared" si="19"/>
        <v>0</v>
      </c>
      <c r="J136" s="37">
        <v>0</v>
      </c>
      <c r="K136" s="37">
        <f t="shared" si="20"/>
        <v>0</v>
      </c>
      <c r="L136" s="37">
        <f t="shared" si="21"/>
        <v>0</v>
      </c>
      <c r="M136" s="73">
        <v>0</v>
      </c>
    </row>
    <row r="137" spans="1:13" s="6" customFormat="1" ht="15.75">
      <c r="A137" s="268">
        <v>46</v>
      </c>
      <c r="B137" s="176" t="s">
        <v>98</v>
      </c>
      <c r="C137" s="535"/>
      <c r="D137" s="413"/>
      <c r="E137" s="413"/>
      <c r="F137" s="40">
        <f t="shared" si="16"/>
        <v>0</v>
      </c>
      <c r="G137" s="72">
        <f t="shared" si="17"/>
        <v>0</v>
      </c>
      <c r="H137" s="37">
        <f t="shared" si="18"/>
        <v>0</v>
      </c>
      <c r="I137" s="96">
        <f t="shared" si="19"/>
        <v>0</v>
      </c>
      <c r="J137" s="37">
        <v>0</v>
      </c>
      <c r="K137" s="37">
        <f t="shared" si="20"/>
        <v>0</v>
      </c>
      <c r="L137" s="37">
        <f t="shared" si="21"/>
        <v>0</v>
      </c>
      <c r="M137" s="73">
        <v>0</v>
      </c>
    </row>
    <row r="138" spans="1:13" s="6" customFormat="1" ht="15.75">
      <c r="A138" s="268">
        <v>47</v>
      </c>
      <c r="B138" s="176" t="s">
        <v>99</v>
      </c>
      <c r="C138" s="535"/>
      <c r="D138" s="413"/>
      <c r="E138" s="413"/>
      <c r="F138" s="40">
        <f t="shared" si="16"/>
        <v>0</v>
      </c>
      <c r="G138" s="72">
        <f t="shared" si="17"/>
        <v>0</v>
      </c>
      <c r="H138" s="37">
        <f t="shared" si="18"/>
        <v>0</v>
      </c>
      <c r="I138" s="96">
        <f t="shared" si="19"/>
        <v>0</v>
      </c>
      <c r="J138" s="37">
        <v>0</v>
      </c>
      <c r="K138" s="37">
        <f t="shared" si="20"/>
        <v>0</v>
      </c>
      <c r="L138" s="37">
        <f t="shared" si="21"/>
        <v>0</v>
      </c>
      <c r="M138" s="73">
        <v>0</v>
      </c>
    </row>
    <row r="139" spans="1:13" s="6" customFormat="1" ht="15.75">
      <c r="A139" s="268">
        <v>48</v>
      </c>
      <c r="B139" s="176" t="s">
        <v>100</v>
      </c>
      <c r="C139" s="535"/>
      <c r="D139" s="413"/>
      <c r="E139" s="413"/>
      <c r="F139" s="40">
        <f t="shared" si="16"/>
        <v>0</v>
      </c>
      <c r="G139" s="72">
        <f t="shared" si="17"/>
        <v>0</v>
      </c>
      <c r="H139" s="37">
        <f t="shared" si="18"/>
        <v>0</v>
      </c>
      <c r="I139" s="96">
        <f t="shared" si="19"/>
        <v>0</v>
      </c>
      <c r="J139" s="37">
        <v>0</v>
      </c>
      <c r="K139" s="37">
        <f t="shared" si="20"/>
        <v>0</v>
      </c>
      <c r="L139" s="37">
        <f t="shared" si="21"/>
        <v>0</v>
      </c>
      <c r="M139" s="73">
        <v>0</v>
      </c>
    </row>
    <row r="140" spans="1:13" s="6" customFormat="1" ht="15.75">
      <c r="A140" s="268">
        <v>49</v>
      </c>
      <c r="B140" s="176" t="s">
        <v>101</v>
      </c>
      <c r="C140" s="535"/>
      <c r="D140" s="413"/>
      <c r="E140" s="413"/>
      <c r="F140" s="40">
        <f t="shared" si="16"/>
        <v>0</v>
      </c>
      <c r="G140" s="72">
        <f t="shared" si="17"/>
        <v>0</v>
      </c>
      <c r="H140" s="37">
        <f t="shared" si="18"/>
        <v>0</v>
      </c>
      <c r="I140" s="96">
        <f t="shared" si="19"/>
        <v>0</v>
      </c>
      <c r="J140" s="37">
        <v>0</v>
      </c>
      <c r="K140" s="37">
        <f t="shared" si="20"/>
        <v>0</v>
      </c>
      <c r="L140" s="37">
        <f t="shared" si="21"/>
        <v>0</v>
      </c>
      <c r="M140" s="73">
        <v>0</v>
      </c>
    </row>
    <row r="141" spans="1:13" s="6" customFormat="1" ht="15.75">
      <c r="A141" s="275">
        <v>50</v>
      </c>
      <c r="B141" s="274" t="s">
        <v>102</v>
      </c>
      <c r="C141" s="535"/>
      <c r="D141" s="413"/>
      <c r="E141" s="413"/>
      <c r="F141" s="40">
        <f t="shared" si="16"/>
        <v>0</v>
      </c>
      <c r="G141" s="72">
        <f t="shared" si="17"/>
        <v>0</v>
      </c>
      <c r="H141" s="37">
        <f t="shared" si="18"/>
        <v>0</v>
      </c>
      <c r="I141" s="96">
        <f t="shared" si="19"/>
        <v>0</v>
      </c>
      <c r="J141" s="37">
        <v>0</v>
      </c>
      <c r="K141" s="37">
        <f t="shared" si="20"/>
        <v>0</v>
      </c>
      <c r="L141" s="37">
        <f t="shared" si="21"/>
        <v>0</v>
      </c>
      <c r="M141" s="73">
        <v>0</v>
      </c>
    </row>
    <row r="142" spans="1:13" s="6" customFormat="1" ht="15.75">
      <c r="A142" s="268">
        <v>51</v>
      </c>
      <c r="B142" s="176" t="s">
        <v>103</v>
      </c>
      <c r="C142" s="535"/>
      <c r="D142" s="413"/>
      <c r="E142" s="413"/>
      <c r="F142" s="40">
        <f t="shared" si="16"/>
        <v>0</v>
      </c>
      <c r="G142" s="72">
        <f t="shared" si="17"/>
        <v>0</v>
      </c>
      <c r="H142" s="37">
        <f t="shared" si="18"/>
        <v>0</v>
      </c>
      <c r="I142" s="96">
        <f t="shared" si="19"/>
        <v>0</v>
      </c>
      <c r="J142" s="37">
        <v>0</v>
      </c>
      <c r="K142" s="37">
        <f t="shared" si="20"/>
        <v>0</v>
      </c>
      <c r="L142" s="37">
        <f t="shared" si="21"/>
        <v>0</v>
      </c>
      <c r="M142" s="73">
        <v>0</v>
      </c>
    </row>
    <row r="143" spans="1:13" s="6" customFormat="1" ht="15.75">
      <c r="A143" s="268">
        <v>52</v>
      </c>
      <c r="B143" s="176" t="s">
        <v>104</v>
      </c>
      <c r="C143" s="535"/>
      <c r="D143" s="413"/>
      <c r="E143" s="413"/>
      <c r="F143" s="40">
        <f t="shared" si="16"/>
        <v>0</v>
      </c>
      <c r="G143" s="72">
        <f t="shared" si="17"/>
        <v>0</v>
      </c>
      <c r="H143" s="37">
        <f t="shared" si="18"/>
        <v>0</v>
      </c>
      <c r="I143" s="96">
        <f t="shared" si="19"/>
        <v>0</v>
      </c>
      <c r="J143" s="37">
        <v>0</v>
      </c>
      <c r="K143" s="37">
        <f t="shared" si="20"/>
        <v>0</v>
      </c>
      <c r="L143" s="37">
        <f t="shared" si="21"/>
        <v>0</v>
      </c>
      <c r="M143" s="73">
        <v>0</v>
      </c>
    </row>
    <row r="144" spans="1:13" s="6" customFormat="1" ht="15.75">
      <c r="A144" s="268">
        <v>53</v>
      </c>
      <c r="B144" s="176" t="s">
        <v>105</v>
      </c>
      <c r="C144" s="535"/>
      <c r="D144" s="413"/>
      <c r="E144" s="413"/>
      <c r="F144" s="40">
        <f>C144+D144+E144</f>
        <v>0</v>
      </c>
      <c r="G144" s="72">
        <f t="shared" si="17"/>
        <v>0</v>
      </c>
      <c r="H144" s="37">
        <f t="shared" si="18"/>
        <v>0</v>
      </c>
      <c r="I144" s="96">
        <f t="shared" si="19"/>
        <v>0</v>
      </c>
      <c r="J144" s="37">
        <v>0</v>
      </c>
      <c r="K144" s="37">
        <f t="shared" si="20"/>
        <v>0</v>
      </c>
      <c r="L144" s="37">
        <f t="shared" si="21"/>
        <v>0</v>
      </c>
      <c r="M144" s="73">
        <v>0</v>
      </c>
    </row>
    <row r="145" spans="1:13" s="6" customFormat="1" ht="15.75">
      <c r="A145" s="268">
        <v>54</v>
      </c>
      <c r="B145" s="176" t="s">
        <v>106</v>
      </c>
      <c r="C145" s="535">
        <v>8219.0300000000007</v>
      </c>
      <c r="D145" s="413">
        <v>69.3</v>
      </c>
      <c r="E145" s="413">
        <v>122.5</v>
      </c>
      <c r="F145" s="40">
        <f t="shared" si="16"/>
        <v>8410.83</v>
      </c>
      <c r="G145" s="72">
        <f t="shared" si="17"/>
        <v>0.12558294748881285</v>
      </c>
      <c r="H145" s="37">
        <f t="shared" si="18"/>
        <v>284.96403363528992</v>
      </c>
      <c r="I145" s="96">
        <f t="shared" si="19"/>
        <v>104.78127516769611</v>
      </c>
      <c r="J145" s="37">
        <v>116.91300586592577</v>
      </c>
      <c r="K145" s="37">
        <f t="shared" si="20"/>
        <v>70.415614486452256</v>
      </c>
      <c r="L145" s="37">
        <f t="shared" si="21"/>
        <v>85.836634058985311</v>
      </c>
      <c r="M145" s="73">
        <f>(K145+J145+I145+H145)/F145</f>
        <v>6.8610818332478979E-2</v>
      </c>
    </row>
    <row r="146" spans="1:13" s="6" customFormat="1" ht="15.75">
      <c r="A146" s="268">
        <v>55</v>
      </c>
      <c r="B146" s="176" t="s">
        <v>1347</v>
      </c>
      <c r="C146" s="535">
        <v>953.56</v>
      </c>
      <c r="D146" s="413"/>
      <c r="E146" s="413"/>
      <c r="F146" s="40">
        <f t="shared" si="16"/>
        <v>953.56</v>
      </c>
      <c r="G146" s="72">
        <f t="shared" si="17"/>
        <v>1.4237700132737481E-2</v>
      </c>
      <c r="H146" s="37">
        <f t="shared" si="18"/>
        <v>32.307192502198603</v>
      </c>
      <c r="I146" s="96">
        <f t="shared" si="19"/>
        <v>11.879354683058427</v>
      </c>
      <c r="J146" s="37">
        <v>13.254763902434382</v>
      </c>
      <c r="K146" s="37">
        <f t="shared" si="20"/>
        <v>7.9832208414272339</v>
      </c>
      <c r="L146" s="37">
        <f t="shared" si="21"/>
        <v>9.7315462056997983</v>
      </c>
      <c r="M146" s="73">
        <f>(K146+J146+I146+H146)/F146</f>
        <v>6.8610818332478965E-2</v>
      </c>
    </row>
    <row r="147" spans="1:13" s="6" customFormat="1" ht="15.75">
      <c r="A147" s="268">
        <v>56</v>
      </c>
      <c r="B147" s="176" t="s">
        <v>1348</v>
      </c>
      <c r="C147" s="535">
        <v>1663</v>
      </c>
      <c r="D147" s="413"/>
      <c r="E147" s="413">
        <v>57.1</v>
      </c>
      <c r="F147" s="40">
        <f t="shared" si="16"/>
        <v>1720.1</v>
      </c>
      <c r="G147" s="72">
        <f t="shared" si="17"/>
        <v>2.5682985861740993E-2</v>
      </c>
      <c r="H147" s="37">
        <f t="shared" si="18"/>
        <v>58.278033708452341</v>
      </c>
      <c r="I147" s="96">
        <f t="shared" si="19"/>
        <v>21.428832994597926</v>
      </c>
      <c r="J147" s="37">
        <v>23.909894908110012</v>
      </c>
      <c r="K147" s="37">
        <f t="shared" si="20"/>
        <v>14.400707002536793</v>
      </c>
      <c r="L147" s="37">
        <f t="shared" si="21"/>
        <v>17.554461836092351</v>
      </c>
      <c r="M147" s="73">
        <f>(K147+J147+I147+H147)/F147</f>
        <v>6.8610818332478979E-2</v>
      </c>
    </row>
    <row r="148" spans="1:13" s="6" customFormat="1" ht="15.75">
      <c r="A148" s="275">
        <v>57</v>
      </c>
      <c r="B148" s="176" t="s">
        <v>1350</v>
      </c>
      <c r="C148" s="535"/>
      <c r="D148" s="413"/>
      <c r="E148" s="413"/>
      <c r="F148" s="40">
        <f t="shared" si="16"/>
        <v>0</v>
      </c>
      <c r="G148" s="72">
        <f t="shared" si="17"/>
        <v>0</v>
      </c>
      <c r="H148" s="37">
        <f t="shared" si="18"/>
        <v>0</v>
      </c>
      <c r="I148" s="96">
        <f t="shared" si="19"/>
        <v>0</v>
      </c>
      <c r="J148" s="37">
        <v>0</v>
      </c>
      <c r="K148" s="37">
        <f t="shared" si="20"/>
        <v>0</v>
      </c>
      <c r="L148" s="37">
        <f t="shared" si="21"/>
        <v>0</v>
      </c>
      <c r="M148" s="73">
        <v>0</v>
      </c>
    </row>
    <row r="149" spans="1:13" s="6" customFormat="1" ht="15.75">
      <c r="A149" s="268">
        <v>58</v>
      </c>
      <c r="B149" s="176" t="s">
        <v>1351</v>
      </c>
      <c r="C149" s="535"/>
      <c r="D149" s="413"/>
      <c r="E149" s="413"/>
      <c r="F149" s="40">
        <f t="shared" si="16"/>
        <v>0</v>
      </c>
      <c r="G149" s="72">
        <f t="shared" si="17"/>
        <v>0</v>
      </c>
      <c r="H149" s="37">
        <f t="shared" si="18"/>
        <v>0</v>
      </c>
      <c r="I149" s="96">
        <f t="shared" si="19"/>
        <v>0</v>
      </c>
      <c r="J149" s="37">
        <v>0</v>
      </c>
      <c r="K149" s="37">
        <f t="shared" si="20"/>
        <v>0</v>
      </c>
      <c r="L149" s="37">
        <f t="shared" si="21"/>
        <v>0</v>
      </c>
      <c r="M149" s="73">
        <v>0</v>
      </c>
    </row>
    <row r="150" spans="1:13" s="6" customFormat="1" ht="15.75">
      <c r="A150" s="268">
        <v>59</v>
      </c>
      <c r="B150" s="176" t="s">
        <v>107</v>
      </c>
      <c r="C150" s="535"/>
      <c r="D150" s="413"/>
      <c r="E150" s="413"/>
      <c r="F150" s="40">
        <f t="shared" si="16"/>
        <v>0</v>
      </c>
      <c r="G150" s="72">
        <f t="shared" si="17"/>
        <v>0</v>
      </c>
      <c r="H150" s="37">
        <f t="shared" si="18"/>
        <v>0</v>
      </c>
      <c r="I150" s="96">
        <f t="shared" si="19"/>
        <v>0</v>
      </c>
      <c r="J150" s="37">
        <v>0</v>
      </c>
      <c r="K150" s="37">
        <f t="shared" si="20"/>
        <v>0</v>
      </c>
      <c r="L150" s="37">
        <f t="shared" si="21"/>
        <v>0</v>
      </c>
      <c r="M150" s="73">
        <v>0</v>
      </c>
    </row>
    <row r="151" spans="1:13" s="6" customFormat="1" ht="15.75">
      <c r="A151" s="268">
        <v>60</v>
      </c>
      <c r="B151" s="176" t="s">
        <v>108</v>
      </c>
      <c r="C151" s="535"/>
      <c r="D151" s="413"/>
      <c r="E151" s="413"/>
      <c r="F151" s="40">
        <f t="shared" si="16"/>
        <v>0</v>
      </c>
      <c r="G151" s="72">
        <f t="shared" si="17"/>
        <v>0</v>
      </c>
      <c r="H151" s="37">
        <f t="shared" si="18"/>
        <v>0</v>
      </c>
      <c r="I151" s="96">
        <f t="shared" si="19"/>
        <v>0</v>
      </c>
      <c r="J151" s="37">
        <v>0</v>
      </c>
      <c r="K151" s="37">
        <f t="shared" si="20"/>
        <v>0</v>
      </c>
      <c r="L151" s="37">
        <f t="shared" si="21"/>
        <v>0</v>
      </c>
      <c r="M151" s="73">
        <v>0</v>
      </c>
    </row>
    <row r="152" spans="1:13" s="6" customFormat="1" ht="15.75">
      <c r="A152" s="268">
        <v>61</v>
      </c>
      <c r="B152" s="176" t="s">
        <v>109</v>
      </c>
      <c r="C152" s="535"/>
      <c r="D152" s="413"/>
      <c r="E152" s="413"/>
      <c r="F152" s="40">
        <f t="shared" si="16"/>
        <v>0</v>
      </c>
      <c r="G152" s="72">
        <f t="shared" si="17"/>
        <v>0</v>
      </c>
      <c r="H152" s="37">
        <f t="shared" si="18"/>
        <v>0</v>
      </c>
      <c r="I152" s="96">
        <f t="shared" si="19"/>
        <v>0</v>
      </c>
      <c r="J152" s="37">
        <v>0</v>
      </c>
      <c r="K152" s="37">
        <f t="shared" si="20"/>
        <v>0</v>
      </c>
      <c r="L152" s="37">
        <f t="shared" si="21"/>
        <v>0</v>
      </c>
      <c r="M152" s="73">
        <v>0</v>
      </c>
    </row>
    <row r="153" spans="1:13" s="6" customFormat="1" ht="15.75">
      <c r="A153" s="268">
        <v>62</v>
      </c>
      <c r="B153" s="176" t="s">
        <v>110</v>
      </c>
      <c r="C153" s="535"/>
      <c r="D153" s="413"/>
      <c r="E153" s="413"/>
      <c r="F153" s="40">
        <f t="shared" si="16"/>
        <v>0</v>
      </c>
      <c r="G153" s="72">
        <f t="shared" si="17"/>
        <v>0</v>
      </c>
      <c r="H153" s="37">
        <f t="shared" si="18"/>
        <v>0</v>
      </c>
      <c r="I153" s="96">
        <f t="shared" si="19"/>
        <v>0</v>
      </c>
      <c r="J153" s="37">
        <v>0</v>
      </c>
      <c r="K153" s="37">
        <f t="shared" si="20"/>
        <v>0</v>
      </c>
      <c r="L153" s="37">
        <f t="shared" si="21"/>
        <v>0</v>
      </c>
      <c r="M153" s="73">
        <v>0</v>
      </c>
    </row>
    <row r="154" spans="1:13" s="6" customFormat="1" ht="15.75">
      <c r="A154" s="268">
        <v>63</v>
      </c>
      <c r="B154" s="176" t="s">
        <v>111</v>
      </c>
      <c r="C154" s="535"/>
      <c r="D154" s="413"/>
      <c r="E154" s="413"/>
      <c r="F154" s="40">
        <f t="shared" si="16"/>
        <v>0</v>
      </c>
      <c r="G154" s="72">
        <f t="shared" si="17"/>
        <v>0</v>
      </c>
      <c r="H154" s="37">
        <f t="shared" si="18"/>
        <v>0</v>
      </c>
      <c r="I154" s="96">
        <f t="shared" si="19"/>
        <v>0</v>
      </c>
      <c r="J154" s="37">
        <v>0</v>
      </c>
      <c r="K154" s="37">
        <f t="shared" si="20"/>
        <v>0</v>
      </c>
      <c r="L154" s="37">
        <f t="shared" si="21"/>
        <v>0</v>
      </c>
      <c r="M154" s="73">
        <v>0</v>
      </c>
    </row>
    <row r="155" spans="1:13" s="6" customFormat="1" ht="15.75">
      <c r="A155" s="275">
        <v>64</v>
      </c>
      <c r="B155" s="176" t="s">
        <v>112</v>
      </c>
      <c r="C155" s="535"/>
      <c r="D155" s="413"/>
      <c r="E155" s="413"/>
      <c r="F155" s="40">
        <f t="shared" si="16"/>
        <v>0</v>
      </c>
      <c r="G155" s="72">
        <f t="shared" si="17"/>
        <v>0</v>
      </c>
      <c r="H155" s="37">
        <f t="shared" si="18"/>
        <v>0</v>
      </c>
      <c r="I155" s="96">
        <f t="shared" si="19"/>
        <v>0</v>
      </c>
      <c r="J155" s="37">
        <v>0</v>
      </c>
      <c r="K155" s="37">
        <f t="shared" si="20"/>
        <v>0</v>
      </c>
      <c r="L155" s="37">
        <f t="shared" si="21"/>
        <v>0</v>
      </c>
      <c r="M155" s="73">
        <v>0</v>
      </c>
    </row>
    <row r="156" spans="1:13" s="6" customFormat="1" ht="15.75">
      <c r="A156" s="268">
        <v>65</v>
      </c>
      <c r="B156" s="176" t="s">
        <v>113</v>
      </c>
      <c r="C156" s="535"/>
      <c r="D156" s="413"/>
      <c r="E156" s="413"/>
      <c r="F156" s="40">
        <f t="shared" ref="F156:F219" si="22">C156+D156+E156</f>
        <v>0</v>
      </c>
      <c r="G156" s="72">
        <f t="shared" ref="G156:G219" si="23">0.5/33487.15*F156</f>
        <v>0</v>
      </c>
      <c r="H156" s="37">
        <f t="shared" ref="H156:H219" si="24">G156*2269.13</f>
        <v>0</v>
      </c>
      <c r="I156" s="96">
        <f t="shared" ref="I156:I219" si="25">H156*0.3677</f>
        <v>0</v>
      </c>
      <c r="J156" s="37">
        <v>0</v>
      </c>
      <c r="K156" s="37">
        <f t="shared" ref="K156:K181" si="26">G156*560.71</f>
        <v>0</v>
      </c>
      <c r="L156" s="37">
        <f t="shared" ref="L156:L219" si="27">K156*1.219</f>
        <v>0</v>
      </c>
      <c r="M156" s="73">
        <v>0</v>
      </c>
    </row>
    <row r="157" spans="1:13" s="6" customFormat="1" ht="15.75">
      <c r="A157" s="268">
        <v>66</v>
      </c>
      <c r="B157" s="176" t="s">
        <v>114</v>
      </c>
      <c r="C157" s="535"/>
      <c r="D157" s="413"/>
      <c r="E157" s="413"/>
      <c r="F157" s="40">
        <f t="shared" si="22"/>
        <v>0</v>
      </c>
      <c r="G157" s="72">
        <f t="shared" si="23"/>
        <v>0</v>
      </c>
      <c r="H157" s="37">
        <f t="shared" si="24"/>
        <v>0</v>
      </c>
      <c r="I157" s="96">
        <f t="shared" si="25"/>
        <v>0</v>
      </c>
      <c r="J157" s="37">
        <v>0</v>
      </c>
      <c r="K157" s="37">
        <f t="shared" si="26"/>
        <v>0</v>
      </c>
      <c r="L157" s="37">
        <f t="shared" si="27"/>
        <v>0</v>
      </c>
      <c r="M157" s="73">
        <v>0</v>
      </c>
    </row>
    <row r="158" spans="1:13" s="6" customFormat="1" ht="15.75">
      <c r="A158" s="268">
        <v>67</v>
      </c>
      <c r="B158" s="176" t="s">
        <v>115</v>
      </c>
      <c r="C158" s="535"/>
      <c r="D158" s="413"/>
      <c r="E158" s="413"/>
      <c r="F158" s="40">
        <f t="shared" si="22"/>
        <v>0</v>
      </c>
      <c r="G158" s="72">
        <f t="shared" si="23"/>
        <v>0</v>
      </c>
      <c r="H158" s="37">
        <f t="shared" si="24"/>
        <v>0</v>
      </c>
      <c r="I158" s="96">
        <f t="shared" si="25"/>
        <v>0</v>
      </c>
      <c r="J158" s="37">
        <v>0</v>
      </c>
      <c r="K158" s="37">
        <f t="shared" si="26"/>
        <v>0</v>
      </c>
      <c r="L158" s="37">
        <f t="shared" si="27"/>
        <v>0</v>
      </c>
      <c r="M158" s="73">
        <v>0</v>
      </c>
    </row>
    <row r="159" spans="1:13" s="6" customFormat="1" ht="15.75">
      <c r="A159" s="268">
        <v>68</v>
      </c>
      <c r="B159" s="176" t="s">
        <v>116</v>
      </c>
      <c r="C159" s="535"/>
      <c r="D159" s="413"/>
      <c r="E159" s="413"/>
      <c r="F159" s="40">
        <f t="shared" si="22"/>
        <v>0</v>
      </c>
      <c r="G159" s="72">
        <f t="shared" si="23"/>
        <v>0</v>
      </c>
      <c r="H159" s="37">
        <f t="shared" si="24"/>
        <v>0</v>
      </c>
      <c r="I159" s="96">
        <f t="shared" si="25"/>
        <v>0</v>
      </c>
      <c r="J159" s="37">
        <v>0</v>
      </c>
      <c r="K159" s="37">
        <f t="shared" si="26"/>
        <v>0</v>
      </c>
      <c r="L159" s="37">
        <f t="shared" si="27"/>
        <v>0</v>
      </c>
      <c r="M159" s="73">
        <v>0</v>
      </c>
    </row>
    <row r="160" spans="1:13" s="6" customFormat="1" ht="15.75">
      <c r="A160" s="268">
        <v>69</v>
      </c>
      <c r="B160" s="176" t="s">
        <v>117</v>
      </c>
      <c r="C160" s="535"/>
      <c r="D160" s="413"/>
      <c r="E160" s="413"/>
      <c r="F160" s="40">
        <f t="shared" si="22"/>
        <v>0</v>
      </c>
      <c r="G160" s="72">
        <f t="shared" si="23"/>
        <v>0</v>
      </c>
      <c r="H160" s="37">
        <f t="shared" si="24"/>
        <v>0</v>
      </c>
      <c r="I160" s="96">
        <f t="shared" si="25"/>
        <v>0</v>
      </c>
      <c r="J160" s="37">
        <v>0</v>
      </c>
      <c r="K160" s="37">
        <f t="shared" si="26"/>
        <v>0</v>
      </c>
      <c r="L160" s="37">
        <f t="shared" si="27"/>
        <v>0</v>
      </c>
      <c r="M160" s="73">
        <v>0</v>
      </c>
    </row>
    <row r="161" spans="1:13" s="6" customFormat="1" ht="15.75">
      <c r="A161" s="268">
        <v>70</v>
      </c>
      <c r="B161" s="176" t="s">
        <v>118</v>
      </c>
      <c r="C161" s="535"/>
      <c r="D161" s="413"/>
      <c r="E161" s="413"/>
      <c r="F161" s="40">
        <f t="shared" si="22"/>
        <v>0</v>
      </c>
      <c r="G161" s="72">
        <f t="shared" si="23"/>
        <v>0</v>
      </c>
      <c r="H161" s="37">
        <f t="shared" si="24"/>
        <v>0</v>
      </c>
      <c r="I161" s="96">
        <f t="shared" si="25"/>
        <v>0</v>
      </c>
      <c r="J161" s="37">
        <v>0</v>
      </c>
      <c r="K161" s="37">
        <f t="shared" si="26"/>
        <v>0</v>
      </c>
      <c r="L161" s="37">
        <f t="shared" si="27"/>
        <v>0</v>
      </c>
      <c r="M161" s="73">
        <v>0</v>
      </c>
    </row>
    <row r="162" spans="1:13" s="6" customFormat="1" ht="15.75">
      <c r="A162" s="275">
        <v>71</v>
      </c>
      <c r="B162" s="176" t="s">
        <v>119</v>
      </c>
      <c r="C162" s="535"/>
      <c r="D162" s="413"/>
      <c r="E162" s="413"/>
      <c r="F162" s="40">
        <f t="shared" si="22"/>
        <v>0</v>
      </c>
      <c r="G162" s="72">
        <f t="shared" si="23"/>
        <v>0</v>
      </c>
      <c r="H162" s="37">
        <f t="shared" si="24"/>
        <v>0</v>
      </c>
      <c r="I162" s="96">
        <f t="shared" si="25"/>
        <v>0</v>
      </c>
      <c r="J162" s="37">
        <v>0</v>
      </c>
      <c r="K162" s="37">
        <f t="shared" si="26"/>
        <v>0</v>
      </c>
      <c r="L162" s="37">
        <f t="shared" si="27"/>
        <v>0</v>
      </c>
      <c r="M162" s="73">
        <v>0</v>
      </c>
    </row>
    <row r="163" spans="1:13" s="6" customFormat="1" ht="15.75">
      <c r="A163" s="268">
        <v>72</v>
      </c>
      <c r="B163" s="176" t="s">
        <v>120</v>
      </c>
      <c r="C163" s="535"/>
      <c r="D163" s="413"/>
      <c r="E163" s="413"/>
      <c r="F163" s="40">
        <f t="shared" si="22"/>
        <v>0</v>
      </c>
      <c r="G163" s="72">
        <f t="shared" si="23"/>
        <v>0</v>
      </c>
      <c r="H163" s="37">
        <f t="shared" si="24"/>
        <v>0</v>
      </c>
      <c r="I163" s="96">
        <f t="shared" si="25"/>
        <v>0</v>
      </c>
      <c r="J163" s="37">
        <v>0</v>
      </c>
      <c r="K163" s="37">
        <f t="shared" si="26"/>
        <v>0</v>
      </c>
      <c r="L163" s="37">
        <f t="shared" si="27"/>
        <v>0</v>
      </c>
      <c r="M163" s="73">
        <v>0</v>
      </c>
    </row>
    <row r="164" spans="1:13" s="6" customFormat="1" ht="15.75">
      <c r="A164" s="268">
        <v>73</v>
      </c>
      <c r="B164" s="176" t="s">
        <v>122</v>
      </c>
      <c r="C164" s="535"/>
      <c r="D164" s="413"/>
      <c r="E164" s="413"/>
      <c r="F164" s="40">
        <f t="shared" si="22"/>
        <v>0</v>
      </c>
      <c r="G164" s="72">
        <f t="shared" si="23"/>
        <v>0</v>
      </c>
      <c r="H164" s="37">
        <f t="shared" si="24"/>
        <v>0</v>
      </c>
      <c r="I164" s="96">
        <f t="shared" si="25"/>
        <v>0</v>
      </c>
      <c r="J164" s="37">
        <v>0</v>
      </c>
      <c r="K164" s="37">
        <f t="shared" si="26"/>
        <v>0</v>
      </c>
      <c r="L164" s="37">
        <f t="shared" si="27"/>
        <v>0</v>
      </c>
      <c r="M164" s="73">
        <v>0</v>
      </c>
    </row>
    <row r="165" spans="1:13" s="6" customFormat="1" ht="15.75">
      <c r="A165" s="268">
        <v>74</v>
      </c>
      <c r="B165" s="176" t="s">
        <v>123</v>
      </c>
      <c r="C165" s="535"/>
      <c r="D165" s="413"/>
      <c r="E165" s="413"/>
      <c r="F165" s="40">
        <f t="shared" si="22"/>
        <v>0</v>
      </c>
      <c r="G165" s="72">
        <f t="shared" si="23"/>
        <v>0</v>
      </c>
      <c r="H165" s="37">
        <f t="shared" si="24"/>
        <v>0</v>
      </c>
      <c r="I165" s="96">
        <f t="shared" si="25"/>
        <v>0</v>
      </c>
      <c r="J165" s="37">
        <v>0</v>
      </c>
      <c r="K165" s="37">
        <f t="shared" si="26"/>
        <v>0</v>
      </c>
      <c r="L165" s="37">
        <f t="shared" si="27"/>
        <v>0</v>
      </c>
      <c r="M165" s="73">
        <v>0</v>
      </c>
    </row>
    <row r="166" spans="1:13" s="6" customFormat="1" ht="15.75">
      <c r="A166" s="268">
        <v>75</v>
      </c>
      <c r="B166" s="176" t="s">
        <v>124</v>
      </c>
      <c r="C166" s="535"/>
      <c r="D166" s="413"/>
      <c r="E166" s="413"/>
      <c r="F166" s="40">
        <f t="shared" si="22"/>
        <v>0</v>
      </c>
      <c r="G166" s="72">
        <f t="shared" si="23"/>
        <v>0</v>
      </c>
      <c r="H166" s="37">
        <f t="shared" si="24"/>
        <v>0</v>
      </c>
      <c r="I166" s="96">
        <f t="shared" si="25"/>
        <v>0</v>
      </c>
      <c r="J166" s="37">
        <v>0</v>
      </c>
      <c r="K166" s="37">
        <f t="shared" si="26"/>
        <v>0</v>
      </c>
      <c r="L166" s="37">
        <f t="shared" si="27"/>
        <v>0</v>
      </c>
      <c r="M166" s="73">
        <v>0</v>
      </c>
    </row>
    <row r="167" spans="1:13" s="6" customFormat="1" ht="15.75">
      <c r="A167" s="268">
        <v>76</v>
      </c>
      <c r="B167" s="176" t="s">
        <v>125</v>
      </c>
      <c r="C167" s="535"/>
      <c r="D167" s="413"/>
      <c r="E167" s="413"/>
      <c r="F167" s="40">
        <f t="shared" si="22"/>
        <v>0</v>
      </c>
      <c r="G167" s="72">
        <f t="shared" si="23"/>
        <v>0</v>
      </c>
      <c r="H167" s="37">
        <f t="shared" si="24"/>
        <v>0</v>
      </c>
      <c r="I167" s="96">
        <f t="shared" si="25"/>
        <v>0</v>
      </c>
      <c r="J167" s="37">
        <v>0</v>
      </c>
      <c r="K167" s="37">
        <f t="shared" si="26"/>
        <v>0</v>
      </c>
      <c r="L167" s="37">
        <f t="shared" si="27"/>
        <v>0</v>
      </c>
      <c r="M167" s="73">
        <v>0</v>
      </c>
    </row>
    <row r="168" spans="1:13" s="6" customFormat="1" ht="15.75">
      <c r="A168" s="268">
        <v>77</v>
      </c>
      <c r="B168" s="274" t="s">
        <v>126</v>
      </c>
      <c r="C168" s="535">
        <v>3146.6</v>
      </c>
      <c r="D168" s="413"/>
      <c r="E168" s="413"/>
      <c r="F168" s="40">
        <f t="shared" si="22"/>
        <v>3146.6</v>
      </c>
      <c r="G168" s="72">
        <f t="shared" si="23"/>
        <v>4.6982200635169009E-2</v>
      </c>
      <c r="H168" s="37">
        <f t="shared" si="24"/>
        <v>106.60872092728106</v>
      </c>
      <c r="I168" s="96">
        <f t="shared" si="25"/>
        <v>39.200026684961244</v>
      </c>
      <c r="J168" s="37">
        <v>43.738663634590409</v>
      </c>
      <c r="K168" s="37">
        <f t="shared" si="26"/>
        <v>26.343389718145616</v>
      </c>
      <c r="L168" s="37">
        <f t="shared" si="27"/>
        <v>32.112592066419509</v>
      </c>
      <c r="M168" s="73">
        <f>(K168+J168+I168+H168)/F168</f>
        <v>6.8610818332478965E-2</v>
      </c>
    </row>
    <row r="169" spans="1:13" s="6" customFormat="1" ht="15.75">
      <c r="A169" s="275">
        <v>78</v>
      </c>
      <c r="B169" s="176" t="s">
        <v>127</v>
      </c>
      <c r="C169" s="535"/>
      <c r="D169" s="413"/>
      <c r="E169" s="413"/>
      <c r="F169" s="40">
        <f t="shared" si="22"/>
        <v>0</v>
      </c>
      <c r="G169" s="72">
        <f t="shared" si="23"/>
        <v>0</v>
      </c>
      <c r="H169" s="37">
        <f t="shared" si="24"/>
        <v>0</v>
      </c>
      <c r="I169" s="96">
        <f t="shared" si="25"/>
        <v>0</v>
      </c>
      <c r="J169" s="37">
        <v>0</v>
      </c>
      <c r="K169" s="37">
        <f t="shared" si="26"/>
        <v>0</v>
      </c>
      <c r="L169" s="37">
        <f t="shared" si="27"/>
        <v>0</v>
      </c>
      <c r="M169" s="73">
        <v>0</v>
      </c>
    </row>
    <row r="170" spans="1:13" s="6" customFormat="1" ht="15.75">
      <c r="A170" s="268">
        <v>79</v>
      </c>
      <c r="B170" s="176" t="s">
        <v>128</v>
      </c>
      <c r="C170" s="535"/>
      <c r="D170" s="413"/>
      <c r="E170" s="413"/>
      <c r="F170" s="40">
        <f t="shared" si="22"/>
        <v>0</v>
      </c>
      <c r="G170" s="72">
        <f t="shared" si="23"/>
        <v>0</v>
      </c>
      <c r="H170" s="37">
        <f t="shared" si="24"/>
        <v>0</v>
      </c>
      <c r="I170" s="96">
        <f t="shared" si="25"/>
        <v>0</v>
      </c>
      <c r="J170" s="37">
        <v>0</v>
      </c>
      <c r="K170" s="37">
        <f t="shared" si="26"/>
        <v>0</v>
      </c>
      <c r="L170" s="37">
        <f t="shared" si="27"/>
        <v>0</v>
      </c>
      <c r="M170" s="73">
        <v>0</v>
      </c>
    </row>
    <row r="171" spans="1:13" s="6" customFormat="1" ht="15.75">
      <c r="A171" s="268">
        <v>80</v>
      </c>
      <c r="B171" s="176" t="s">
        <v>129</v>
      </c>
      <c r="C171" s="535"/>
      <c r="D171" s="413"/>
      <c r="E171" s="413"/>
      <c r="F171" s="40">
        <f t="shared" si="22"/>
        <v>0</v>
      </c>
      <c r="G171" s="72">
        <f t="shared" si="23"/>
        <v>0</v>
      </c>
      <c r="H171" s="37">
        <f t="shared" si="24"/>
        <v>0</v>
      </c>
      <c r="I171" s="96">
        <f t="shared" si="25"/>
        <v>0</v>
      </c>
      <c r="J171" s="37">
        <v>0</v>
      </c>
      <c r="K171" s="37">
        <f t="shared" si="26"/>
        <v>0</v>
      </c>
      <c r="L171" s="37">
        <f t="shared" si="27"/>
        <v>0</v>
      </c>
      <c r="M171" s="73">
        <v>0</v>
      </c>
    </row>
    <row r="172" spans="1:13" s="6" customFormat="1" ht="15.75">
      <c r="A172" s="268">
        <v>81</v>
      </c>
      <c r="B172" s="176" t="s">
        <v>130</v>
      </c>
      <c r="C172" s="535"/>
      <c r="D172" s="413"/>
      <c r="E172" s="413"/>
      <c r="F172" s="40">
        <f t="shared" si="22"/>
        <v>0</v>
      </c>
      <c r="G172" s="72">
        <f t="shared" si="23"/>
        <v>0</v>
      </c>
      <c r="H172" s="37">
        <f t="shared" si="24"/>
        <v>0</v>
      </c>
      <c r="I172" s="96">
        <f t="shared" si="25"/>
        <v>0</v>
      </c>
      <c r="J172" s="37">
        <v>0</v>
      </c>
      <c r="K172" s="37">
        <f t="shared" si="26"/>
        <v>0</v>
      </c>
      <c r="L172" s="37">
        <f t="shared" si="27"/>
        <v>0</v>
      </c>
      <c r="M172" s="73">
        <v>0</v>
      </c>
    </row>
    <row r="173" spans="1:13" s="6" customFormat="1" ht="15.75">
      <c r="A173" s="268">
        <v>82</v>
      </c>
      <c r="B173" s="176" t="s">
        <v>131</v>
      </c>
      <c r="C173" s="535"/>
      <c r="D173" s="413"/>
      <c r="E173" s="413"/>
      <c r="F173" s="40">
        <f t="shared" si="22"/>
        <v>0</v>
      </c>
      <c r="G173" s="72">
        <f t="shared" si="23"/>
        <v>0</v>
      </c>
      <c r="H173" s="37">
        <f t="shared" si="24"/>
        <v>0</v>
      </c>
      <c r="I173" s="96">
        <f t="shared" si="25"/>
        <v>0</v>
      </c>
      <c r="J173" s="37">
        <v>0</v>
      </c>
      <c r="K173" s="37">
        <f t="shared" si="26"/>
        <v>0</v>
      </c>
      <c r="L173" s="37">
        <f t="shared" si="27"/>
        <v>0</v>
      </c>
      <c r="M173" s="73">
        <v>0</v>
      </c>
    </row>
    <row r="174" spans="1:13" s="6" customFormat="1" ht="15.75">
      <c r="A174" s="268">
        <v>83</v>
      </c>
      <c r="B174" s="176" t="s">
        <v>132</v>
      </c>
      <c r="C174" s="535"/>
      <c r="D174" s="413"/>
      <c r="E174" s="413"/>
      <c r="F174" s="40">
        <f t="shared" si="22"/>
        <v>0</v>
      </c>
      <c r="G174" s="72">
        <f t="shared" si="23"/>
        <v>0</v>
      </c>
      <c r="H174" s="37">
        <f t="shared" si="24"/>
        <v>0</v>
      </c>
      <c r="I174" s="96">
        <f t="shared" si="25"/>
        <v>0</v>
      </c>
      <c r="J174" s="37">
        <v>0</v>
      </c>
      <c r="K174" s="37">
        <f t="shared" si="26"/>
        <v>0</v>
      </c>
      <c r="L174" s="37">
        <f t="shared" si="27"/>
        <v>0</v>
      </c>
      <c r="M174" s="73">
        <v>0</v>
      </c>
    </row>
    <row r="175" spans="1:13" s="6" customFormat="1" ht="15.75">
      <c r="A175" s="268">
        <v>84</v>
      </c>
      <c r="B175" s="176" t="s">
        <v>133</v>
      </c>
      <c r="C175" s="535"/>
      <c r="D175" s="413"/>
      <c r="E175" s="413"/>
      <c r="F175" s="40">
        <f t="shared" si="22"/>
        <v>0</v>
      </c>
      <c r="G175" s="72">
        <f t="shared" si="23"/>
        <v>0</v>
      </c>
      <c r="H175" s="37">
        <f t="shared" si="24"/>
        <v>0</v>
      </c>
      <c r="I175" s="96">
        <f t="shared" si="25"/>
        <v>0</v>
      </c>
      <c r="J175" s="37">
        <v>0</v>
      </c>
      <c r="K175" s="37">
        <f t="shared" si="26"/>
        <v>0</v>
      </c>
      <c r="L175" s="37">
        <f t="shared" si="27"/>
        <v>0</v>
      </c>
      <c r="M175" s="73">
        <v>0</v>
      </c>
    </row>
    <row r="176" spans="1:13" s="6" customFormat="1" ht="15.75">
      <c r="A176" s="275">
        <v>85</v>
      </c>
      <c r="B176" s="176" t="s">
        <v>134</v>
      </c>
      <c r="C176" s="535"/>
      <c r="D176" s="413"/>
      <c r="E176" s="413"/>
      <c r="F176" s="40">
        <f t="shared" si="22"/>
        <v>0</v>
      </c>
      <c r="G176" s="72">
        <f t="shared" si="23"/>
        <v>0</v>
      </c>
      <c r="H176" s="37">
        <f t="shared" si="24"/>
        <v>0</v>
      </c>
      <c r="I176" s="96">
        <f t="shared" si="25"/>
        <v>0</v>
      </c>
      <c r="J176" s="37">
        <v>0</v>
      </c>
      <c r="K176" s="37">
        <f t="shared" si="26"/>
        <v>0</v>
      </c>
      <c r="L176" s="37">
        <f t="shared" si="27"/>
        <v>0</v>
      </c>
      <c r="M176" s="73">
        <v>0</v>
      </c>
    </row>
    <row r="177" spans="1:13" s="6" customFormat="1" ht="15.75">
      <c r="A177" s="268">
        <v>86</v>
      </c>
      <c r="B177" s="176" t="s">
        <v>135</v>
      </c>
      <c r="C177" s="535"/>
      <c r="D177" s="413"/>
      <c r="E177" s="413"/>
      <c r="F177" s="40">
        <f t="shared" si="22"/>
        <v>0</v>
      </c>
      <c r="G177" s="72">
        <f t="shared" si="23"/>
        <v>0</v>
      </c>
      <c r="H177" s="37">
        <f t="shared" si="24"/>
        <v>0</v>
      </c>
      <c r="I177" s="96">
        <f t="shared" si="25"/>
        <v>0</v>
      </c>
      <c r="J177" s="37">
        <v>0</v>
      </c>
      <c r="K177" s="37">
        <f t="shared" si="26"/>
        <v>0</v>
      </c>
      <c r="L177" s="37">
        <f t="shared" si="27"/>
        <v>0</v>
      </c>
      <c r="M177" s="73">
        <v>0</v>
      </c>
    </row>
    <row r="178" spans="1:13" s="6" customFormat="1" ht="15.75">
      <c r="A178" s="268">
        <v>87</v>
      </c>
      <c r="B178" s="176" t="s">
        <v>136</v>
      </c>
      <c r="C178" s="535"/>
      <c r="D178" s="413"/>
      <c r="E178" s="413"/>
      <c r="F178" s="40">
        <f t="shared" si="22"/>
        <v>0</v>
      </c>
      <c r="G178" s="72">
        <f t="shared" si="23"/>
        <v>0</v>
      </c>
      <c r="H178" s="37">
        <f t="shared" si="24"/>
        <v>0</v>
      </c>
      <c r="I178" s="96">
        <f t="shared" si="25"/>
        <v>0</v>
      </c>
      <c r="J178" s="37">
        <v>0</v>
      </c>
      <c r="K178" s="37">
        <f t="shared" si="26"/>
        <v>0</v>
      </c>
      <c r="L178" s="37">
        <f t="shared" si="27"/>
        <v>0</v>
      </c>
      <c r="M178" s="73">
        <v>0</v>
      </c>
    </row>
    <row r="179" spans="1:13" s="6" customFormat="1" ht="15.75">
      <c r="A179" s="268">
        <v>88</v>
      </c>
      <c r="B179" s="176" t="s">
        <v>137</v>
      </c>
      <c r="C179" s="535"/>
      <c r="D179" s="413"/>
      <c r="E179" s="413"/>
      <c r="F179" s="40">
        <f t="shared" si="22"/>
        <v>0</v>
      </c>
      <c r="G179" s="72">
        <f t="shared" si="23"/>
        <v>0</v>
      </c>
      <c r="H179" s="37">
        <f t="shared" si="24"/>
        <v>0</v>
      </c>
      <c r="I179" s="96">
        <f t="shared" si="25"/>
        <v>0</v>
      </c>
      <c r="J179" s="37">
        <v>0</v>
      </c>
      <c r="K179" s="37">
        <f t="shared" si="26"/>
        <v>0</v>
      </c>
      <c r="L179" s="37">
        <f t="shared" si="27"/>
        <v>0</v>
      </c>
      <c r="M179" s="73">
        <v>0</v>
      </c>
    </row>
    <row r="180" spans="1:13" s="6" customFormat="1" ht="15.75">
      <c r="A180" s="268">
        <v>89</v>
      </c>
      <c r="B180" s="176" t="s">
        <v>138</v>
      </c>
      <c r="C180" s="535"/>
      <c r="D180" s="413"/>
      <c r="E180" s="413"/>
      <c r="F180" s="40">
        <f t="shared" si="22"/>
        <v>0</v>
      </c>
      <c r="G180" s="72">
        <f t="shared" si="23"/>
        <v>0</v>
      </c>
      <c r="H180" s="37">
        <f t="shared" si="24"/>
        <v>0</v>
      </c>
      <c r="I180" s="96">
        <f t="shared" si="25"/>
        <v>0</v>
      </c>
      <c r="J180" s="37">
        <v>0</v>
      </c>
      <c r="K180" s="37">
        <f t="shared" si="26"/>
        <v>0</v>
      </c>
      <c r="L180" s="37">
        <f t="shared" si="27"/>
        <v>0</v>
      </c>
      <c r="M180" s="73">
        <v>0</v>
      </c>
    </row>
    <row r="181" spans="1:13" s="6" customFormat="1" ht="15.75">
      <c r="A181" s="268">
        <v>90</v>
      </c>
      <c r="B181" s="176" t="s">
        <v>139</v>
      </c>
      <c r="C181" s="535"/>
      <c r="D181" s="413"/>
      <c r="E181" s="413"/>
      <c r="F181" s="40">
        <f t="shared" si="22"/>
        <v>0</v>
      </c>
      <c r="G181" s="72">
        <f t="shared" si="23"/>
        <v>0</v>
      </c>
      <c r="H181" s="37">
        <f t="shared" si="24"/>
        <v>0</v>
      </c>
      <c r="I181" s="96">
        <f t="shared" si="25"/>
        <v>0</v>
      </c>
      <c r="J181" s="37">
        <v>0</v>
      </c>
      <c r="K181" s="37">
        <f t="shared" si="26"/>
        <v>0</v>
      </c>
      <c r="L181" s="37">
        <f t="shared" si="27"/>
        <v>0</v>
      </c>
      <c r="M181" s="73">
        <v>0</v>
      </c>
    </row>
    <row r="182" spans="1:13" s="6" customFormat="1" ht="15.75">
      <c r="A182" s="268">
        <v>91</v>
      </c>
      <c r="B182" s="176" t="s">
        <v>140</v>
      </c>
      <c r="C182" s="535"/>
      <c r="D182" s="413"/>
      <c r="E182" s="413"/>
      <c r="F182" s="40">
        <f t="shared" si="22"/>
        <v>0</v>
      </c>
      <c r="G182" s="72">
        <f t="shared" si="23"/>
        <v>0</v>
      </c>
      <c r="H182" s="37">
        <f t="shared" si="24"/>
        <v>0</v>
      </c>
      <c r="I182" s="96">
        <f t="shared" si="25"/>
        <v>0</v>
      </c>
      <c r="J182" s="37">
        <v>0</v>
      </c>
      <c r="K182" s="37">
        <f t="shared" ref="K182:K220" si="28">G182*560.71</f>
        <v>0</v>
      </c>
      <c r="L182" s="37">
        <f t="shared" si="27"/>
        <v>0</v>
      </c>
      <c r="M182" s="73">
        <v>0</v>
      </c>
    </row>
    <row r="183" spans="1:13" s="6" customFormat="1" ht="15.75">
      <c r="A183" s="275">
        <v>92</v>
      </c>
      <c r="B183" s="176" t="s">
        <v>141</v>
      </c>
      <c r="C183" s="535"/>
      <c r="D183" s="413"/>
      <c r="E183" s="413"/>
      <c r="F183" s="40">
        <f t="shared" si="22"/>
        <v>0</v>
      </c>
      <c r="G183" s="72">
        <f t="shared" si="23"/>
        <v>0</v>
      </c>
      <c r="H183" s="37">
        <f t="shared" si="24"/>
        <v>0</v>
      </c>
      <c r="I183" s="96">
        <f t="shared" si="25"/>
        <v>0</v>
      </c>
      <c r="J183" s="37">
        <v>0</v>
      </c>
      <c r="K183" s="37">
        <f t="shared" si="28"/>
        <v>0</v>
      </c>
      <c r="L183" s="37">
        <f t="shared" si="27"/>
        <v>0</v>
      </c>
      <c r="M183" s="73">
        <v>0</v>
      </c>
    </row>
    <row r="184" spans="1:13" s="6" customFormat="1" ht="15.75">
      <c r="A184" s="268">
        <v>93</v>
      </c>
      <c r="B184" s="176" t="s">
        <v>145</v>
      </c>
      <c r="C184" s="535"/>
      <c r="D184" s="413"/>
      <c r="E184" s="413"/>
      <c r="F184" s="40">
        <f t="shared" si="22"/>
        <v>0</v>
      </c>
      <c r="G184" s="72">
        <f t="shared" si="23"/>
        <v>0</v>
      </c>
      <c r="H184" s="37">
        <f t="shared" si="24"/>
        <v>0</v>
      </c>
      <c r="I184" s="96">
        <f t="shared" si="25"/>
        <v>0</v>
      </c>
      <c r="J184" s="37">
        <v>0</v>
      </c>
      <c r="K184" s="37">
        <f t="shared" si="28"/>
        <v>0</v>
      </c>
      <c r="L184" s="37">
        <f t="shared" si="27"/>
        <v>0</v>
      </c>
      <c r="M184" s="73">
        <v>0</v>
      </c>
    </row>
    <row r="185" spans="1:13" s="6" customFormat="1" ht="15.75">
      <c r="A185" s="268">
        <v>94</v>
      </c>
      <c r="B185" s="176" t="s">
        <v>146</v>
      </c>
      <c r="C185" s="535"/>
      <c r="D185" s="413"/>
      <c r="E185" s="413"/>
      <c r="F185" s="40">
        <f t="shared" si="22"/>
        <v>0</v>
      </c>
      <c r="G185" s="72">
        <f t="shared" si="23"/>
        <v>0</v>
      </c>
      <c r="H185" s="37">
        <f t="shared" si="24"/>
        <v>0</v>
      </c>
      <c r="I185" s="96">
        <f t="shared" si="25"/>
        <v>0</v>
      </c>
      <c r="J185" s="37">
        <v>0</v>
      </c>
      <c r="K185" s="37">
        <f t="shared" si="28"/>
        <v>0</v>
      </c>
      <c r="L185" s="37">
        <f t="shared" si="27"/>
        <v>0</v>
      </c>
      <c r="M185" s="73">
        <v>0</v>
      </c>
    </row>
    <row r="186" spans="1:13" s="6" customFormat="1" ht="15.75">
      <c r="A186" s="268">
        <v>95</v>
      </c>
      <c r="B186" s="176" t="s">
        <v>147</v>
      </c>
      <c r="C186" s="535">
        <v>6095.81</v>
      </c>
      <c r="D186" s="413"/>
      <c r="E186" s="413"/>
      <c r="F186" s="40">
        <f t="shared" si="22"/>
        <v>6095.81</v>
      </c>
      <c r="G186" s="72">
        <f t="shared" si="23"/>
        <v>9.1017151355072018E-2</v>
      </c>
      <c r="H186" s="37">
        <f t="shared" si="24"/>
        <v>206.52974865433458</v>
      </c>
      <c r="I186" s="96">
        <f t="shared" si="25"/>
        <v>75.940988580198834</v>
      </c>
      <c r="J186" s="37">
        <v>84.733548328472821</v>
      </c>
      <c r="K186" s="37">
        <f t="shared" si="28"/>
        <v>51.034226936302431</v>
      </c>
      <c r="L186" s="37">
        <f t="shared" si="27"/>
        <v>62.210722635352667</v>
      </c>
      <c r="M186" s="73">
        <f>(K186+J186+I186+H186)/F186</f>
        <v>6.8610818332478979E-2</v>
      </c>
    </row>
    <row r="187" spans="1:13" s="6" customFormat="1" ht="15.75">
      <c r="A187" s="268">
        <v>96</v>
      </c>
      <c r="B187" s="176" t="s">
        <v>148</v>
      </c>
      <c r="C187" s="535"/>
      <c r="D187" s="413"/>
      <c r="E187" s="413"/>
      <c r="F187" s="40">
        <f t="shared" si="22"/>
        <v>0</v>
      </c>
      <c r="G187" s="72">
        <f t="shared" si="23"/>
        <v>0</v>
      </c>
      <c r="H187" s="37">
        <f t="shared" si="24"/>
        <v>0</v>
      </c>
      <c r="I187" s="96">
        <f t="shared" si="25"/>
        <v>0</v>
      </c>
      <c r="J187" s="37">
        <v>0</v>
      </c>
      <c r="K187" s="37">
        <f t="shared" si="28"/>
        <v>0</v>
      </c>
      <c r="L187" s="37">
        <f t="shared" si="27"/>
        <v>0</v>
      </c>
      <c r="M187" s="73">
        <v>0</v>
      </c>
    </row>
    <row r="188" spans="1:13" s="6" customFormat="1" ht="15.75">
      <c r="A188" s="268">
        <v>97</v>
      </c>
      <c r="B188" s="176" t="s">
        <v>149</v>
      </c>
      <c r="C188" s="535"/>
      <c r="D188" s="413"/>
      <c r="E188" s="413"/>
      <c r="F188" s="40">
        <f t="shared" si="22"/>
        <v>0</v>
      </c>
      <c r="G188" s="72">
        <f t="shared" si="23"/>
        <v>0</v>
      </c>
      <c r="H188" s="37">
        <f t="shared" si="24"/>
        <v>0</v>
      </c>
      <c r="I188" s="96">
        <f t="shared" si="25"/>
        <v>0</v>
      </c>
      <c r="J188" s="37">
        <v>0</v>
      </c>
      <c r="K188" s="37">
        <f t="shared" si="28"/>
        <v>0</v>
      </c>
      <c r="L188" s="37">
        <f t="shared" si="27"/>
        <v>0</v>
      </c>
      <c r="M188" s="73">
        <v>0</v>
      </c>
    </row>
    <row r="189" spans="1:13" s="6" customFormat="1" ht="15.75">
      <c r="A189" s="268">
        <v>98</v>
      </c>
      <c r="B189" s="176" t="s">
        <v>150</v>
      </c>
      <c r="C189" s="535">
        <v>4159.58</v>
      </c>
      <c r="D189" s="413"/>
      <c r="E189" s="413"/>
      <c r="F189" s="40">
        <f t="shared" si="22"/>
        <v>4159.58</v>
      </c>
      <c r="G189" s="72">
        <f t="shared" si="23"/>
        <v>6.2107106755875011E-2</v>
      </c>
      <c r="H189" s="37">
        <f t="shared" si="24"/>
        <v>140.92909915295866</v>
      </c>
      <c r="I189" s="96">
        <f t="shared" si="25"/>
        <v>51.819629758542902</v>
      </c>
      <c r="J189" s="37">
        <v>57.819382978824628</v>
      </c>
      <c r="K189" s="37">
        <f t="shared" si="28"/>
        <v>34.824075829086681</v>
      </c>
      <c r="L189" s="37">
        <f t="shared" si="27"/>
        <v>42.450548435656664</v>
      </c>
      <c r="M189" s="73">
        <f>(K189+J189+I189+H189)/F189</f>
        <v>6.8610818332478965E-2</v>
      </c>
    </row>
    <row r="190" spans="1:13" s="6" customFormat="1" ht="15.75">
      <c r="A190" s="275">
        <v>99</v>
      </c>
      <c r="B190" s="176" t="s">
        <v>151</v>
      </c>
      <c r="C190" s="535"/>
      <c r="D190" s="413"/>
      <c r="E190" s="413"/>
      <c r="F190" s="40">
        <f t="shared" si="22"/>
        <v>0</v>
      </c>
      <c r="G190" s="72">
        <f t="shared" si="23"/>
        <v>0</v>
      </c>
      <c r="H190" s="37">
        <f t="shared" si="24"/>
        <v>0</v>
      </c>
      <c r="I190" s="96">
        <f t="shared" si="25"/>
        <v>0</v>
      </c>
      <c r="J190" s="37">
        <v>0</v>
      </c>
      <c r="K190" s="37">
        <f t="shared" si="28"/>
        <v>0</v>
      </c>
      <c r="L190" s="37">
        <f t="shared" si="27"/>
        <v>0</v>
      </c>
      <c r="M190" s="73">
        <v>0</v>
      </c>
    </row>
    <row r="191" spans="1:13" s="6" customFormat="1" ht="15.75">
      <c r="A191" s="268">
        <v>100</v>
      </c>
      <c r="B191" s="176" t="s">
        <v>152</v>
      </c>
      <c r="C191" s="535"/>
      <c r="D191" s="413"/>
      <c r="E191" s="413"/>
      <c r="F191" s="40">
        <f t="shared" si="22"/>
        <v>0</v>
      </c>
      <c r="G191" s="72">
        <f t="shared" si="23"/>
        <v>0</v>
      </c>
      <c r="H191" s="37">
        <f t="shared" si="24"/>
        <v>0</v>
      </c>
      <c r="I191" s="96">
        <f t="shared" si="25"/>
        <v>0</v>
      </c>
      <c r="J191" s="37">
        <v>0</v>
      </c>
      <c r="K191" s="37">
        <f t="shared" si="28"/>
        <v>0</v>
      </c>
      <c r="L191" s="37">
        <f t="shared" si="27"/>
        <v>0</v>
      </c>
      <c r="M191" s="73">
        <v>0</v>
      </c>
    </row>
    <row r="192" spans="1:13" s="6" customFormat="1" ht="15.75">
      <c r="A192" s="268">
        <v>101</v>
      </c>
      <c r="B192" s="176" t="s">
        <v>153</v>
      </c>
      <c r="C192" s="535"/>
      <c r="D192" s="413"/>
      <c r="E192" s="413"/>
      <c r="F192" s="40">
        <f t="shared" si="22"/>
        <v>0</v>
      </c>
      <c r="G192" s="72">
        <f t="shared" si="23"/>
        <v>0</v>
      </c>
      <c r="H192" s="37">
        <f t="shared" si="24"/>
        <v>0</v>
      </c>
      <c r="I192" s="96">
        <f t="shared" si="25"/>
        <v>0</v>
      </c>
      <c r="J192" s="37">
        <v>0</v>
      </c>
      <c r="K192" s="37">
        <f t="shared" si="28"/>
        <v>0</v>
      </c>
      <c r="L192" s="37">
        <f t="shared" si="27"/>
        <v>0</v>
      </c>
      <c r="M192" s="73">
        <v>0</v>
      </c>
    </row>
    <row r="193" spans="1:13" s="6" customFormat="1" ht="15.75">
      <c r="A193" s="268">
        <v>102</v>
      </c>
      <c r="B193" s="176" t="s">
        <v>154</v>
      </c>
      <c r="C193" s="535"/>
      <c r="D193" s="413"/>
      <c r="E193" s="413"/>
      <c r="F193" s="40">
        <f t="shared" si="22"/>
        <v>0</v>
      </c>
      <c r="G193" s="72">
        <f t="shared" si="23"/>
        <v>0</v>
      </c>
      <c r="H193" s="37">
        <f t="shared" si="24"/>
        <v>0</v>
      </c>
      <c r="I193" s="96">
        <f t="shared" si="25"/>
        <v>0</v>
      </c>
      <c r="J193" s="37">
        <v>0</v>
      </c>
      <c r="K193" s="37">
        <f t="shared" si="28"/>
        <v>0</v>
      </c>
      <c r="L193" s="37">
        <f t="shared" si="27"/>
        <v>0</v>
      </c>
      <c r="M193" s="73">
        <v>0</v>
      </c>
    </row>
    <row r="194" spans="1:13" s="6" customFormat="1" ht="15.75">
      <c r="A194" s="268">
        <v>103</v>
      </c>
      <c r="B194" s="176" t="s">
        <v>155</v>
      </c>
      <c r="C194" s="535"/>
      <c r="D194" s="413"/>
      <c r="E194" s="413"/>
      <c r="F194" s="40">
        <f t="shared" si="22"/>
        <v>0</v>
      </c>
      <c r="G194" s="72">
        <f t="shared" si="23"/>
        <v>0</v>
      </c>
      <c r="H194" s="37">
        <f t="shared" si="24"/>
        <v>0</v>
      </c>
      <c r="I194" s="96">
        <f t="shared" si="25"/>
        <v>0</v>
      </c>
      <c r="J194" s="37">
        <v>0</v>
      </c>
      <c r="K194" s="37">
        <f t="shared" si="28"/>
        <v>0</v>
      </c>
      <c r="L194" s="37">
        <f t="shared" si="27"/>
        <v>0</v>
      </c>
      <c r="M194" s="73">
        <v>0</v>
      </c>
    </row>
    <row r="195" spans="1:13" s="6" customFormat="1" ht="15.75">
      <c r="A195" s="268">
        <v>104</v>
      </c>
      <c r="B195" s="176" t="s">
        <v>156</v>
      </c>
      <c r="C195" s="535"/>
      <c r="D195" s="413"/>
      <c r="E195" s="413"/>
      <c r="F195" s="40">
        <f t="shared" si="22"/>
        <v>0</v>
      </c>
      <c r="G195" s="72">
        <f t="shared" si="23"/>
        <v>0</v>
      </c>
      <c r="H195" s="37">
        <f t="shared" si="24"/>
        <v>0</v>
      </c>
      <c r="I195" s="96">
        <f t="shared" si="25"/>
        <v>0</v>
      </c>
      <c r="J195" s="37">
        <v>0</v>
      </c>
      <c r="K195" s="37">
        <f t="shared" si="28"/>
        <v>0</v>
      </c>
      <c r="L195" s="37">
        <f t="shared" si="27"/>
        <v>0</v>
      </c>
      <c r="M195" s="73">
        <v>0</v>
      </c>
    </row>
    <row r="196" spans="1:13" s="6" customFormat="1" ht="15.75">
      <c r="A196" s="268">
        <v>105</v>
      </c>
      <c r="B196" s="176" t="s">
        <v>157</v>
      </c>
      <c r="C196" s="535"/>
      <c r="D196" s="413"/>
      <c r="E196" s="413"/>
      <c r="F196" s="40">
        <f t="shared" si="22"/>
        <v>0</v>
      </c>
      <c r="G196" s="72">
        <f t="shared" si="23"/>
        <v>0</v>
      </c>
      <c r="H196" s="37">
        <f t="shared" si="24"/>
        <v>0</v>
      </c>
      <c r="I196" s="96">
        <f t="shared" si="25"/>
        <v>0</v>
      </c>
      <c r="J196" s="37">
        <v>0</v>
      </c>
      <c r="K196" s="37">
        <f t="shared" si="28"/>
        <v>0</v>
      </c>
      <c r="L196" s="37">
        <f t="shared" si="27"/>
        <v>0</v>
      </c>
      <c r="M196" s="73">
        <v>0</v>
      </c>
    </row>
    <row r="197" spans="1:13" s="6" customFormat="1" ht="15.75">
      <c r="A197" s="275">
        <v>106</v>
      </c>
      <c r="B197" s="176" t="s">
        <v>158</v>
      </c>
      <c r="C197" s="535"/>
      <c r="D197" s="413"/>
      <c r="E197" s="413"/>
      <c r="F197" s="40">
        <f t="shared" si="22"/>
        <v>0</v>
      </c>
      <c r="G197" s="72">
        <f t="shared" si="23"/>
        <v>0</v>
      </c>
      <c r="H197" s="37">
        <f t="shared" si="24"/>
        <v>0</v>
      </c>
      <c r="I197" s="96">
        <f t="shared" si="25"/>
        <v>0</v>
      </c>
      <c r="J197" s="37">
        <v>0</v>
      </c>
      <c r="K197" s="37">
        <f t="shared" si="28"/>
        <v>0</v>
      </c>
      <c r="L197" s="37">
        <f t="shared" si="27"/>
        <v>0</v>
      </c>
      <c r="M197" s="73">
        <v>0</v>
      </c>
    </row>
    <row r="198" spans="1:13" s="6" customFormat="1" ht="15.75">
      <c r="A198" s="268">
        <v>107</v>
      </c>
      <c r="B198" s="176" t="s">
        <v>159</v>
      </c>
      <c r="C198" s="535"/>
      <c r="D198" s="413"/>
      <c r="E198" s="413"/>
      <c r="F198" s="40">
        <f t="shared" si="22"/>
        <v>0</v>
      </c>
      <c r="G198" s="72">
        <f t="shared" si="23"/>
        <v>0</v>
      </c>
      <c r="H198" s="37">
        <f t="shared" si="24"/>
        <v>0</v>
      </c>
      <c r="I198" s="96">
        <f t="shared" si="25"/>
        <v>0</v>
      </c>
      <c r="J198" s="37">
        <v>0</v>
      </c>
      <c r="K198" s="37">
        <f t="shared" si="28"/>
        <v>0</v>
      </c>
      <c r="L198" s="37">
        <f t="shared" si="27"/>
        <v>0</v>
      </c>
      <c r="M198" s="73">
        <v>0</v>
      </c>
    </row>
    <row r="199" spans="1:13" s="6" customFormat="1" ht="15.75">
      <c r="A199" s="268">
        <v>108</v>
      </c>
      <c r="B199" s="176" t="s">
        <v>160</v>
      </c>
      <c r="C199" s="535"/>
      <c r="D199" s="413"/>
      <c r="E199" s="413"/>
      <c r="F199" s="40">
        <f t="shared" si="22"/>
        <v>0</v>
      </c>
      <c r="G199" s="72">
        <f t="shared" si="23"/>
        <v>0</v>
      </c>
      <c r="H199" s="37">
        <f t="shared" si="24"/>
        <v>0</v>
      </c>
      <c r="I199" s="96">
        <f t="shared" si="25"/>
        <v>0</v>
      </c>
      <c r="J199" s="37">
        <v>0</v>
      </c>
      <c r="K199" s="37">
        <f t="shared" si="28"/>
        <v>0</v>
      </c>
      <c r="L199" s="37">
        <f t="shared" si="27"/>
        <v>0</v>
      </c>
      <c r="M199" s="73">
        <v>0</v>
      </c>
    </row>
    <row r="200" spans="1:13" s="6" customFormat="1" ht="15.75">
      <c r="A200" s="268">
        <v>109</v>
      </c>
      <c r="B200" s="176" t="s">
        <v>161</v>
      </c>
      <c r="C200" s="535"/>
      <c r="D200" s="413"/>
      <c r="E200" s="413"/>
      <c r="F200" s="40">
        <f t="shared" si="22"/>
        <v>0</v>
      </c>
      <c r="G200" s="72">
        <f t="shared" si="23"/>
        <v>0</v>
      </c>
      <c r="H200" s="37">
        <f t="shared" si="24"/>
        <v>0</v>
      </c>
      <c r="I200" s="96">
        <f t="shared" si="25"/>
        <v>0</v>
      </c>
      <c r="J200" s="37">
        <v>0</v>
      </c>
      <c r="K200" s="37">
        <f t="shared" si="28"/>
        <v>0</v>
      </c>
      <c r="L200" s="37">
        <f t="shared" si="27"/>
        <v>0</v>
      </c>
      <c r="M200" s="73">
        <v>0</v>
      </c>
    </row>
    <row r="201" spans="1:13" s="6" customFormat="1" ht="15.75">
      <c r="A201" s="268">
        <v>110</v>
      </c>
      <c r="B201" s="176" t="s">
        <v>162</v>
      </c>
      <c r="C201" s="535"/>
      <c r="D201" s="413"/>
      <c r="E201" s="413"/>
      <c r="F201" s="40">
        <f t="shared" si="22"/>
        <v>0</v>
      </c>
      <c r="G201" s="72">
        <f t="shared" si="23"/>
        <v>0</v>
      </c>
      <c r="H201" s="37">
        <f t="shared" si="24"/>
        <v>0</v>
      </c>
      <c r="I201" s="96">
        <f t="shared" si="25"/>
        <v>0</v>
      </c>
      <c r="J201" s="37">
        <v>0</v>
      </c>
      <c r="K201" s="37">
        <f t="shared" si="28"/>
        <v>0</v>
      </c>
      <c r="L201" s="37">
        <f t="shared" si="27"/>
        <v>0</v>
      </c>
      <c r="M201" s="73">
        <v>0</v>
      </c>
    </row>
    <row r="202" spans="1:13" s="6" customFormat="1" ht="15.75">
      <c r="A202" s="268">
        <v>111</v>
      </c>
      <c r="B202" s="176" t="s">
        <v>163</v>
      </c>
      <c r="C202" s="535"/>
      <c r="D202" s="413"/>
      <c r="E202" s="413"/>
      <c r="F202" s="40">
        <f t="shared" si="22"/>
        <v>0</v>
      </c>
      <c r="G202" s="72">
        <f t="shared" si="23"/>
        <v>0</v>
      </c>
      <c r="H202" s="37">
        <f t="shared" si="24"/>
        <v>0</v>
      </c>
      <c r="I202" s="96">
        <f t="shared" si="25"/>
        <v>0</v>
      </c>
      <c r="J202" s="37">
        <v>0</v>
      </c>
      <c r="K202" s="37">
        <f t="shared" si="28"/>
        <v>0</v>
      </c>
      <c r="L202" s="37">
        <f t="shared" si="27"/>
        <v>0</v>
      </c>
      <c r="M202" s="73">
        <v>0</v>
      </c>
    </row>
    <row r="203" spans="1:13" s="6" customFormat="1" ht="15.75">
      <c r="A203" s="268">
        <v>112</v>
      </c>
      <c r="B203" s="176" t="s">
        <v>164</v>
      </c>
      <c r="C203" s="535"/>
      <c r="D203" s="413"/>
      <c r="E203" s="413"/>
      <c r="F203" s="40">
        <f t="shared" si="22"/>
        <v>0</v>
      </c>
      <c r="G203" s="72">
        <f t="shared" si="23"/>
        <v>0</v>
      </c>
      <c r="H203" s="37">
        <f t="shared" si="24"/>
        <v>0</v>
      </c>
      <c r="I203" s="96">
        <f t="shared" si="25"/>
        <v>0</v>
      </c>
      <c r="J203" s="37">
        <v>0</v>
      </c>
      <c r="K203" s="37">
        <f t="shared" si="28"/>
        <v>0</v>
      </c>
      <c r="L203" s="37">
        <f t="shared" si="27"/>
        <v>0</v>
      </c>
      <c r="M203" s="73">
        <v>0</v>
      </c>
    </row>
    <row r="204" spans="1:13" s="6" customFormat="1" ht="15.75">
      <c r="A204" s="275">
        <v>113</v>
      </c>
      <c r="B204" s="176" t="s">
        <v>165</v>
      </c>
      <c r="C204" s="535"/>
      <c r="D204" s="413"/>
      <c r="E204" s="413"/>
      <c r="F204" s="40">
        <f t="shared" si="22"/>
        <v>0</v>
      </c>
      <c r="G204" s="72">
        <f t="shared" si="23"/>
        <v>0</v>
      </c>
      <c r="H204" s="37">
        <f t="shared" si="24"/>
        <v>0</v>
      </c>
      <c r="I204" s="96">
        <f t="shared" si="25"/>
        <v>0</v>
      </c>
      <c r="J204" s="37">
        <v>0</v>
      </c>
      <c r="K204" s="37">
        <f t="shared" si="28"/>
        <v>0</v>
      </c>
      <c r="L204" s="37">
        <f t="shared" si="27"/>
        <v>0</v>
      </c>
      <c r="M204" s="73">
        <v>0</v>
      </c>
    </row>
    <row r="205" spans="1:13" s="6" customFormat="1" ht="15.75">
      <c r="A205" s="268">
        <v>114</v>
      </c>
      <c r="B205" s="176" t="s">
        <v>166</v>
      </c>
      <c r="C205" s="535"/>
      <c r="D205" s="413"/>
      <c r="E205" s="413"/>
      <c r="F205" s="40">
        <f t="shared" si="22"/>
        <v>0</v>
      </c>
      <c r="G205" s="72">
        <f t="shared" si="23"/>
        <v>0</v>
      </c>
      <c r="H205" s="37">
        <f t="shared" si="24"/>
        <v>0</v>
      </c>
      <c r="I205" s="96">
        <f t="shared" si="25"/>
        <v>0</v>
      </c>
      <c r="J205" s="37">
        <v>0</v>
      </c>
      <c r="K205" s="37">
        <f t="shared" si="28"/>
        <v>0</v>
      </c>
      <c r="L205" s="37">
        <f t="shared" si="27"/>
        <v>0</v>
      </c>
      <c r="M205" s="73">
        <v>0</v>
      </c>
    </row>
    <row r="206" spans="1:13" s="6" customFormat="1" ht="15.75">
      <c r="A206" s="268">
        <v>115</v>
      </c>
      <c r="B206" s="176" t="s">
        <v>167</v>
      </c>
      <c r="C206" s="535"/>
      <c r="D206" s="413"/>
      <c r="E206" s="413"/>
      <c r="F206" s="40">
        <f t="shared" si="22"/>
        <v>0</v>
      </c>
      <c r="G206" s="72">
        <f t="shared" si="23"/>
        <v>0</v>
      </c>
      <c r="H206" s="37">
        <f t="shared" si="24"/>
        <v>0</v>
      </c>
      <c r="I206" s="96">
        <f t="shared" si="25"/>
        <v>0</v>
      </c>
      <c r="J206" s="37">
        <v>0</v>
      </c>
      <c r="K206" s="37">
        <f t="shared" si="28"/>
        <v>0</v>
      </c>
      <c r="L206" s="37">
        <f t="shared" si="27"/>
        <v>0</v>
      </c>
      <c r="M206" s="73">
        <v>0</v>
      </c>
    </row>
    <row r="207" spans="1:13" s="6" customFormat="1" ht="15.75">
      <c r="A207" s="268">
        <v>116</v>
      </c>
      <c r="B207" s="176" t="s">
        <v>168</v>
      </c>
      <c r="C207" s="535"/>
      <c r="D207" s="413"/>
      <c r="E207" s="413"/>
      <c r="F207" s="40">
        <f t="shared" si="22"/>
        <v>0</v>
      </c>
      <c r="G207" s="72">
        <f t="shared" si="23"/>
        <v>0</v>
      </c>
      <c r="H207" s="37">
        <f t="shared" si="24"/>
        <v>0</v>
      </c>
      <c r="I207" s="96">
        <f t="shared" si="25"/>
        <v>0</v>
      </c>
      <c r="J207" s="37">
        <v>0</v>
      </c>
      <c r="K207" s="37">
        <f t="shared" si="28"/>
        <v>0</v>
      </c>
      <c r="L207" s="37">
        <f t="shared" si="27"/>
        <v>0</v>
      </c>
      <c r="M207" s="73">
        <v>0</v>
      </c>
    </row>
    <row r="208" spans="1:13" s="6" customFormat="1" ht="15.75">
      <c r="A208" s="268">
        <v>117</v>
      </c>
      <c r="B208" s="176" t="s">
        <v>169</v>
      </c>
      <c r="C208" s="535">
        <v>2427.7199999999998</v>
      </c>
      <c r="D208" s="413"/>
      <c r="E208" s="413"/>
      <c r="F208" s="40">
        <f t="shared" si="22"/>
        <v>2427.7199999999998</v>
      </c>
      <c r="G208" s="72">
        <f t="shared" si="23"/>
        <v>3.62485311529945E-2</v>
      </c>
      <c r="H208" s="37">
        <f t="shared" si="24"/>
        <v>82.252629495194412</v>
      </c>
      <c r="I208" s="96">
        <f t="shared" si="25"/>
        <v>30.244291865382987</v>
      </c>
      <c r="J208" s="37">
        <v>33.74602061875288</v>
      </c>
      <c r="K208" s="37">
        <f t="shared" si="28"/>
        <v>20.324913902795547</v>
      </c>
      <c r="L208" s="37">
        <f t="shared" si="27"/>
        <v>24.776070047507773</v>
      </c>
      <c r="M208" s="73">
        <f>(K208+J208+I208+H208)/F208</f>
        <v>6.8610818332478965E-2</v>
      </c>
    </row>
    <row r="209" spans="1:13" s="6" customFormat="1" ht="15.75">
      <c r="A209" s="268">
        <v>118</v>
      </c>
      <c r="B209" s="176" t="s">
        <v>170</v>
      </c>
      <c r="C209" s="535"/>
      <c r="D209" s="413"/>
      <c r="E209" s="413"/>
      <c r="F209" s="40">
        <f t="shared" si="22"/>
        <v>0</v>
      </c>
      <c r="G209" s="72">
        <f t="shared" si="23"/>
        <v>0</v>
      </c>
      <c r="H209" s="37">
        <f t="shared" si="24"/>
        <v>0</v>
      </c>
      <c r="I209" s="96">
        <f t="shared" si="25"/>
        <v>0</v>
      </c>
      <c r="J209" s="37">
        <v>0</v>
      </c>
      <c r="K209" s="37">
        <f t="shared" si="28"/>
        <v>0</v>
      </c>
      <c r="L209" s="37">
        <f t="shared" si="27"/>
        <v>0</v>
      </c>
      <c r="M209" s="73">
        <v>0</v>
      </c>
    </row>
    <row r="210" spans="1:13" s="6" customFormat="1" ht="15.75">
      <c r="A210" s="268">
        <v>119</v>
      </c>
      <c r="B210" s="176" t="s">
        <v>171</v>
      </c>
      <c r="C210" s="535"/>
      <c r="D210" s="413"/>
      <c r="E210" s="413"/>
      <c r="F210" s="40">
        <f t="shared" si="22"/>
        <v>0</v>
      </c>
      <c r="G210" s="72">
        <f t="shared" si="23"/>
        <v>0</v>
      </c>
      <c r="H210" s="37">
        <f t="shared" si="24"/>
        <v>0</v>
      </c>
      <c r="I210" s="96">
        <f t="shared" si="25"/>
        <v>0</v>
      </c>
      <c r="J210" s="37">
        <v>0</v>
      </c>
      <c r="K210" s="37">
        <f t="shared" si="28"/>
        <v>0</v>
      </c>
      <c r="L210" s="37">
        <f t="shared" si="27"/>
        <v>0</v>
      </c>
      <c r="M210" s="73">
        <v>0</v>
      </c>
    </row>
    <row r="211" spans="1:13" s="6" customFormat="1" ht="15.75">
      <c r="A211" s="275">
        <v>120</v>
      </c>
      <c r="B211" s="176" t="s">
        <v>172</v>
      </c>
      <c r="C211" s="535"/>
      <c r="D211" s="413"/>
      <c r="E211" s="413"/>
      <c r="F211" s="40">
        <f t="shared" si="22"/>
        <v>0</v>
      </c>
      <c r="G211" s="72">
        <f t="shared" si="23"/>
        <v>0</v>
      </c>
      <c r="H211" s="37">
        <f t="shared" si="24"/>
        <v>0</v>
      </c>
      <c r="I211" s="96">
        <f t="shared" si="25"/>
        <v>0</v>
      </c>
      <c r="J211" s="37">
        <v>0</v>
      </c>
      <c r="K211" s="37">
        <f t="shared" si="28"/>
        <v>0</v>
      </c>
      <c r="L211" s="37">
        <f t="shared" si="27"/>
        <v>0</v>
      </c>
      <c r="M211" s="73">
        <v>0</v>
      </c>
    </row>
    <row r="212" spans="1:13" s="6" customFormat="1" ht="15.75">
      <c r="A212" s="268">
        <v>121</v>
      </c>
      <c r="B212" s="176" t="s">
        <v>173</v>
      </c>
      <c r="C212" s="535"/>
      <c r="D212" s="413"/>
      <c r="E212" s="413"/>
      <c r="F212" s="40">
        <f t="shared" si="22"/>
        <v>0</v>
      </c>
      <c r="G212" s="72">
        <f t="shared" si="23"/>
        <v>0</v>
      </c>
      <c r="H212" s="37">
        <f t="shared" si="24"/>
        <v>0</v>
      </c>
      <c r="I212" s="96">
        <f t="shared" si="25"/>
        <v>0</v>
      </c>
      <c r="J212" s="37">
        <v>0</v>
      </c>
      <c r="K212" s="37">
        <f t="shared" si="28"/>
        <v>0</v>
      </c>
      <c r="L212" s="37">
        <f t="shared" si="27"/>
        <v>0</v>
      </c>
      <c r="M212" s="73">
        <v>0</v>
      </c>
    </row>
    <row r="213" spans="1:13" s="6" customFormat="1" ht="15.75">
      <c r="A213" s="268">
        <v>122</v>
      </c>
      <c r="B213" s="176" t="s">
        <v>174</v>
      </c>
      <c r="C213" s="535"/>
      <c r="D213" s="413"/>
      <c r="E213" s="413"/>
      <c r="F213" s="40">
        <f t="shared" si="22"/>
        <v>0</v>
      </c>
      <c r="G213" s="72">
        <f t="shared" si="23"/>
        <v>0</v>
      </c>
      <c r="H213" s="37">
        <f t="shared" si="24"/>
        <v>0</v>
      </c>
      <c r="I213" s="96">
        <f t="shared" si="25"/>
        <v>0</v>
      </c>
      <c r="J213" s="37">
        <v>0</v>
      </c>
      <c r="K213" s="37">
        <f t="shared" si="28"/>
        <v>0</v>
      </c>
      <c r="L213" s="37">
        <f t="shared" si="27"/>
        <v>0</v>
      </c>
      <c r="M213" s="73">
        <v>0</v>
      </c>
    </row>
    <row r="214" spans="1:13" s="6" customFormat="1" ht="15.75">
      <c r="A214" s="268">
        <v>123</v>
      </c>
      <c r="B214" s="176" t="s">
        <v>175</v>
      </c>
      <c r="C214" s="535"/>
      <c r="D214" s="413"/>
      <c r="E214" s="413"/>
      <c r="F214" s="40">
        <f t="shared" si="22"/>
        <v>0</v>
      </c>
      <c r="G214" s="72">
        <f t="shared" si="23"/>
        <v>0</v>
      </c>
      <c r="H214" s="37">
        <f t="shared" si="24"/>
        <v>0</v>
      </c>
      <c r="I214" s="96">
        <f t="shared" si="25"/>
        <v>0</v>
      </c>
      <c r="J214" s="37">
        <v>0</v>
      </c>
      <c r="K214" s="37">
        <f t="shared" si="28"/>
        <v>0</v>
      </c>
      <c r="L214" s="37">
        <f t="shared" si="27"/>
        <v>0</v>
      </c>
      <c r="M214" s="73">
        <v>0</v>
      </c>
    </row>
    <row r="215" spans="1:13" s="6" customFormat="1" ht="15.75">
      <c r="A215" s="268">
        <v>124</v>
      </c>
      <c r="B215" s="176" t="s">
        <v>176</v>
      </c>
      <c r="C215" s="535"/>
      <c r="D215" s="413"/>
      <c r="E215" s="413"/>
      <c r="F215" s="40">
        <f t="shared" si="22"/>
        <v>0</v>
      </c>
      <c r="G215" s="72">
        <f t="shared" si="23"/>
        <v>0</v>
      </c>
      <c r="H215" s="37">
        <f t="shared" si="24"/>
        <v>0</v>
      </c>
      <c r="I215" s="96">
        <f t="shared" si="25"/>
        <v>0</v>
      </c>
      <c r="J215" s="37">
        <v>0</v>
      </c>
      <c r="K215" s="37">
        <f t="shared" si="28"/>
        <v>0</v>
      </c>
      <c r="L215" s="37">
        <f t="shared" si="27"/>
        <v>0</v>
      </c>
      <c r="M215" s="73">
        <v>0</v>
      </c>
    </row>
    <row r="216" spans="1:13" s="6" customFormat="1" ht="15.75">
      <c r="A216" s="268">
        <v>125</v>
      </c>
      <c r="B216" s="176" t="s">
        <v>177</v>
      </c>
      <c r="C216" s="535"/>
      <c r="D216" s="413"/>
      <c r="E216" s="413"/>
      <c r="F216" s="40">
        <f t="shared" si="22"/>
        <v>0</v>
      </c>
      <c r="G216" s="72">
        <f t="shared" si="23"/>
        <v>0</v>
      </c>
      <c r="H216" s="37">
        <f t="shared" si="24"/>
        <v>0</v>
      </c>
      <c r="I216" s="96">
        <f t="shared" si="25"/>
        <v>0</v>
      </c>
      <c r="J216" s="37">
        <v>0</v>
      </c>
      <c r="K216" s="37">
        <f t="shared" si="28"/>
        <v>0</v>
      </c>
      <c r="L216" s="37">
        <f t="shared" si="27"/>
        <v>0</v>
      </c>
      <c r="M216" s="73">
        <v>0</v>
      </c>
    </row>
    <row r="217" spans="1:13" s="6" customFormat="1" ht="15.75">
      <c r="A217" s="268">
        <v>126</v>
      </c>
      <c r="B217" s="176" t="s">
        <v>178</v>
      </c>
      <c r="C217" s="535"/>
      <c r="D217" s="413"/>
      <c r="E217" s="413"/>
      <c r="F217" s="40">
        <f t="shared" si="22"/>
        <v>0</v>
      </c>
      <c r="G217" s="72">
        <f t="shared" si="23"/>
        <v>0</v>
      </c>
      <c r="H217" s="37">
        <f t="shared" si="24"/>
        <v>0</v>
      </c>
      <c r="I217" s="96">
        <f t="shared" si="25"/>
        <v>0</v>
      </c>
      <c r="J217" s="37">
        <v>0</v>
      </c>
      <c r="K217" s="37">
        <f t="shared" si="28"/>
        <v>0</v>
      </c>
      <c r="L217" s="37">
        <f t="shared" si="27"/>
        <v>0</v>
      </c>
      <c r="M217" s="73">
        <v>0</v>
      </c>
    </row>
    <row r="218" spans="1:13" s="6" customFormat="1" ht="15.75">
      <c r="A218" s="275">
        <v>127</v>
      </c>
      <c r="B218" s="176" t="s">
        <v>179</v>
      </c>
      <c r="C218" s="535"/>
      <c r="D218" s="413"/>
      <c r="E218" s="413"/>
      <c r="F218" s="40">
        <f t="shared" si="22"/>
        <v>0</v>
      </c>
      <c r="G218" s="72">
        <f t="shared" si="23"/>
        <v>0</v>
      </c>
      <c r="H218" s="37">
        <f t="shared" si="24"/>
        <v>0</v>
      </c>
      <c r="I218" s="96">
        <f t="shared" si="25"/>
        <v>0</v>
      </c>
      <c r="J218" s="37">
        <v>0</v>
      </c>
      <c r="K218" s="37">
        <f t="shared" si="28"/>
        <v>0</v>
      </c>
      <c r="L218" s="37">
        <f t="shared" si="27"/>
        <v>0</v>
      </c>
      <c r="M218" s="73">
        <v>0</v>
      </c>
    </row>
    <row r="219" spans="1:13" s="6" customFormat="1" ht="15.75">
      <c r="A219" s="268">
        <v>128</v>
      </c>
      <c r="B219" s="176" t="s">
        <v>180</v>
      </c>
      <c r="C219" s="535"/>
      <c r="D219" s="413"/>
      <c r="E219" s="413"/>
      <c r="F219" s="40">
        <f t="shared" si="22"/>
        <v>0</v>
      </c>
      <c r="G219" s="72">
        <f t="shared" si="23"/>
        <v>0</v>
      </c>
      <c r="H219" s="37">
        <f t="shared" si="24"/>
        <v>0</v>
      </c>
      <c r="I219" s="96">
        <f t="shared" si="25"/>
        <v>0</v>
      </c>
      <c r="J219" s="37">
        <v>0</v>
      </c>
      <c r="K219" s="37">
        <f t="shared" si="28"/>
        <v>0</v>
      </c>
      <c r="L219" s="37">
        <f t="shared" si="27"/>
        <v>0</v>
      </c>
      <c r="M219" s="73">
        <v>0</v>
      </c>
    </row>
    <row r="220" spans="1:13" s="6" customFormat="1" ht="15.75">
      <c r="A220" s="268">
        <v>129</v>
      </c>
      <c r="B220" s="176" t="s">
        <v>181</v>
      </c>
      <c r="C220" s="535"/>
      <c r="D220" s="413"/>
      <c r="E220" s="413"/>
      <c r="F220" s="40">
        <f t="shared" ref="F220:F283" si="29">C220+D220+E220</f>
        <v>0</v>
      </c>
      <c r="G220" s="72">
        <f t="shared" ref="G220:G283" si="30">0.5/33487.15*F220</f>
        <v>0</v>
      </c>
      <c r="H220" s="37">
        <f t="shared" ref="H220:H283" si="31">G220*2269.13</f>
        <v>0</v>
      </c>
      <c r="I220" s="96">
        <f t="shared" ref="I220:I283" si="32">H220*0.3677</f>
        <v>0</v>
      </c>
      <c r="J220" s="37">
        <v>0</v>
      </c>
      <c r="K220" s="37">
        <f t="shared" si="28"/>
        <v>0</v>
      </c>
      <c r="L220" s="37">
        <f t="shared" ref="L220:L283" si="33">K220*1.219</f>
        <v>0</v>
      </c>
      <c r="M220" s="73">
        <v>0</v>
      </c>
    </row>
    <row r="221" spans="1:13" s="6" customFormat="1" ht="15.75">
      <c r="A221" s="268">
        <v>130</v>
      </c>
      <c r="B221" s="176" t="s">
        <v>182</v>
      </c>
      <c r="C221" s="535"/>
      <c r="D221" s="413"/>
      <c r="E221" s="413"/>
      <c r="F221" s="40">
        <f t="shared" si="29"/>
        <v>0</v>
      </c>
      <c r="G221" s="72">
        <f t="shared" si="30"/>
        <v>0</v>
      </c>
      <c r="H221" s="37">
        <f t="shared" si="31"/>
        <v>0</v>
      </c>
      <c r="I221" s="96">
        <f t="shared" si="32"/>
        <v>0</v>
      </c>
      <c r="J221" s="37">
        <v>0</v>
      </c>
      <c r="K221" s="37">
        <f t="shared" ref="K221:K284" si="34">G221*560.71</f>
        <v>0</v>
      </c>
      <c r="L221" s="37">
        <f t="shared" si="33"/>
        <v>0</v>
      </c>
      <c r="M221" s="73">
        <v>0</v>
      </c>
    </row>
    <row r="222" spans="1:13" s="6" customFormat="1" ht="15.75">
      <c r="A222" s="268">
        <v>131</v>
      </c>
      <c r="B222" s="176" t="s">
        <v>183</v>
      </c>
      <c r="C222" s="535"/>
      <c r="D222" s="413"/>
      <c r="E222" s="413"/>
      <c r="F222" s="40">
        <f t="shared" si="29"/>
        <v>0</v>
      </c>
      <c r="G222" s="72">
        <f t="shared" si="30"/>
        <v>0</v>
      </c>
      <c r="H222" s="37">
        <f t="shared" si="31"/>
        <v>0</v>
      </c>
      <c r="I222" s="96">
        <f t="shared" si="32"/>
        <v>0</v>
      </c>
      <c r="J222" s="37">
        <v>0</v>
      </c>
      <c r="K222" s="37">
        <f t="shared" si="34"/>
        <v>0</v>
      </c>
      <c r="L222" s="37">
        <f t="shared" si="33"/>
        <v>0</v>
      </c>
      <c r="M222" s="73">
        <v>0</v>
      </c>
    </row>
    <row r="223" spans="1:13" s="6" customFormat="1" ht="15.75">
      <c r="A223" s="268">
        <v>132</v>
      </c>
      <c r="B223" s="176" t="s">
        <v>184</v>
      </c>
      <c r="C223" s="535"/>
      <c r="D223" s="413"/>
      <c r="E223" s="413"/>
      <c r="F223" s="40">
        <f t="shared" si="29"/>
        <v>0</v>
      </c>
      <c r="G223" s="72">
        <f t="shared" si="30"/>
        <v>0</v>
      </c>
      <c r="H223" s="37">
        <f t="shared" si="31"/>
        <v>0</v>
      </c>
      <c r="I223" s="96">
        <f t="shared" si="32"/>
        <v>0</v>
      </c>
      <c r="J223" s="37">
        <v>0</v>
      </c>
      <c r="K223" s="37">
        <f t="shared" si="34"/>
        <v>0</v>
      </c>
      <c r="L223" s="37">
        <f t="shared" si="33"/>
        <v>0</v>
      </c>
      <c r="M223" s="73">
        <v>0</v>
      </c>
    </row>
    <row r="224" spans="1:13" s="6" customFormat="1" ht="15.75">
      <c r="A224" s="268">
        <v>133</v>
      </c>
      <c r="B224" s="176" t="s">
        <v>185</v>
      </c>
      <c r="C224" s="535"/>
      <c r="D224" s="413"/>
      <c r="E224" s="413"/>
      <c r="F224" s="40">
        <f t="shared" si="29"/>
        <v>0</v>
      </c>
      <c r="G224" s="72">
        <f t="shared" si="30"/>
        <v>0</v>
      </c>
      <c r="H224" s="37">
        <f t="shared" si="31"/>
        <v>0</v>
      </c>
      <c r="I224" s="96">
        <f t="shared" si="32"/>
        <v>0</v>
      </c>
      <c r="J224" s="37">
        <v>0</v>
      </c>
      <c r="K224" s="37">
        <f t="shared" si="34"/>
        <v>0</v>
      </c>
      <c r="L224" s="37">
        <f t="shared" si="33"/>
        <v>0</v>
      </c>
      <c r="M224" s="73">
        <v>0</v>
      </c>
    </row>
    <row r="225" spans="1:13" s="6" customFormat="1" ht="15.75">
      <c r="A225" s="275">
        <v>134</v>
      </c>
      <c r="B225" s="176" t="s">
        <v>186</v>
      </c>
      <c r="C225" s="535"/>
      <c r="D225" s="413"/>
      <c r="E225" s="413"/>
      <c r="F225" s="40">
        <f t="shared" si="29"/>
        <v>0</v>
      </c>
      <c r="G225" s="72">
        <f t="shared" si="30"/>
        <v>0</v>
      </c>
      <c r="H225" s="37">
        <f t="shared" si="31"/>
        <v>0</v>
      </c>
      <c r="I225" s="96">
        <f t="shared" si="32"/>
        <v>0</v>
      </c>
      <c r="J225" s="37">
        <v>0</v>
      </c>
      <c r="K225" s="37">
        <f t="shared" si="34"/>
        <v>0</v>
      </c>
      <c r="L225" s="37">
        <f t="shared" si="33"/>
        <v>0</v>
      </c>
      <c r="M225" s="73">
        <v>0</v>
      </c>
    </row>
    <row r="226" spans="1:13" s="6" customFormat="1" ht="15.75">
      <c r="A226" s="268">
        <v>135</v>
      </c>
      <c r="B226" s="176" t="s">
        <v>187</v>
      </c>
      <c r="C226" s="535"/>
      <c r="D226" s="413"/>
      <c r="E226" s="413"/>
      <c r="F226" s="40">
        <f t="shared" si="29"/>
        <v>0</v>
      </c>
      <c r="G226" s="72">
        <f t="shared" si="30"/>
        <v>0</v>
      </c>
      <c r="H226" s="37">
        <f t="shared" si="31"/>
        <v>0</v>
      </c>
      <c r="I226" s="96">
        <f t="shared" si="32"/>
        <v>0</v>
      </c>
      <c r="J226" s="37">
        <v>0</v>
      </c>
      <c r="K226" s="37">
        <f t="shared" si="34"/>
        <v>0</v>
      </c>
      <c r="L226" s="37">
        <f t="shared" si="33"/>
        <v>0</v>
      </c>
      <c r="M226" s="73">
        <v>0</v>
      </c>
    </row>
    <row r="227" spans="1:13" s="6" customFormat="1" ht="15.75">
      <c r="A227" s="268">
        <v>136</v>
      </c>
      <c r="B227" s="176" t="s">
        <v>188</v>
      </c>
      <c r="C227" s="535"/>
      <c r="D227" s="413"/>
      <c r="E227" s="413"/>
      <c r="F227" s="40">
        <f t="shared" si="29"/>
        <v>0</v>
      </c>
      <c r="G227" s="72">
        <f t="shared" si="30"/>
        <v>0</v>
      </c>
      <c r="H227" s="37">
        <f t="shared" si="31"/>
        <v>0</v>
      </c>
      <c r="I227" s="96">
        <f t="shared" si="32"/>
        <v>0</v>
      </c>
      <c r="J227" s="37">
        <v>0</v>
      </c>
      <c r="K227" s="37">
        <f t="shared" si="34"/>
        <v>0</v>
      </c>
      <c r="L227" s="37">
        <f t="shared" si="33"/>
        <v>0</v>
      </c>
      <c r="M227" s="73">
        <v>0</v>
      </c>
    </row>
    <row r="228" spans="1:13" s="6" customFormat="1" ht="15.75">
      <c r="A228" s="268">
        <v>137</v>
      </c>
      <c r="B228" s="176" t="s">
        <v>189</v>
      </c>
      <c r="C228" s="535"/>
      <c r="D228" s="413"/>
      <c r="E228" s="413"/>
      <c r="F228" s="40">
        <f t="shared" si="29"/>
        <v>0</v>
      </c>
      <c r="G228" s="72">
        <f t="shared" si="30"/>
        <v>0</v>
      </c>
      <c r="H228" s="37">
        <f t="shared" si="31"/>
        <v>0</v>
      </c>
      <c r="I228" s="96">
        <f t="shared" si="32"/>
        <v>0</v>
      </c>
      <c r="J228" s="37">
        <v>0</v>
      </c>
      <c r="K228" s="37">
        <f t="shared" si="34"/>
        <v>0</v>
      </c>
      <c r="L228" s="37">
        <f t="shared" si="33"/>
        <v>0</v>
      </c>
      <c r="M228" s="73">
        <v>0</v>
      </c>
    </row>
    <row r="229" spans="1:13" s="6" customFormat="1" ht="15.75">
      <c r="A229" s="268">
        <v>138</v>
      </c>
      <c r="B229" s="176" t="s">
        <v>190</v>
      </c>
      <c r="C229" s="535"/>
      <c r="D229" s="413"/>
      <c r="E229" s="413"/>
      <c r="F229" s="40">
        <f t="shared" si="29"/>
        <v>0</v>
      </c>
      <c r="G229" s="72">
        <f t="shared" si="30"/>
        <v>0</v>
      </c>
      <c r="H229" s="37">
        <f t="shared" si="31"/>
        <v>0</v>
      </c>
      <c r="I229" s="96">
        <f t="shared" si="32"/>
        <v>0</v>
      </c>
      <c r="J229" s="37">
        <v>0</v>
      </c>
      <c r="K229" s="37">
        <f t="shared" si="34"/>
        <v>0</v>
      </c>
      <c r="L229" s="37">
        <f t="shared" si="33"/>
        <v>0</v>
      </c>
      <c r="M229" s="73">
        <v>0</v>
      </c>
    </row>
    <row r="230" spans="1:13" s="6" customFormat="1" ht="15.75">
      <c r="A230" s="268">
        <v>139</v>
      </c>
      <c r="B230" s="176" t="s">
        <v>191</v>
      </c>
      <c r="C230" s="535"/>
      <c r="D230" s="413"/>
      <c r="E230" s="413"/>
      <c r="F230" s="40">
        <f t="shared" si="29"/>
        <v>0</v>
      </c>
      <c r="G230" s="72">
        <f t="shared" si="30"/>
        <v>0</v>
      </c>
      <c r="H230" s="37">
        <f t="shared" si="31"/>
        <v>0</v>
      </c>
      <c r="I230" s="96">
        <f t="shared" si="32"/>
        <v>0</v>
      </c>
      <c r="J230" s="37">
        <v>0</v>
      </c>
      <c r="K230" s="37">
        <f t="shared" si="34"/>
        <v>0</v>
      </c>
      <c r="L230" s="37">
        <f t="shared" si="33"/>
        <v>0</v>
      </c>
      <c r="M230" s="73">
        <v>0</v>
      </c>
    </row>
    <row r="231" spans="1:13" s="6" customFormat="1" ht="15.75">
      <c r="A231" s="268">
        <v>140</v>
      </c>
      <c r="B231" s="176" t="s">
        <v>192</v>
      </c>
      <c r="C231" s="535"/>
      <c r="D231" s="413"/>
      <c r="E231" s="413"/>
      <c r="F231" s="40">
        <f t="shared" si="29"/>
        <v>0</v>
      </c>
      <c r="G231" s="72">
        <f t="shared" si="30"/>
        <v>0</v>
      </c>
      <c r="H231" s="37">
        <f t="shared" si="31"/>
        <v>0</v>
      </c>
      <c r="I231" s="96">
        <f t="shared" si="32"/>
        <v>0</v>
      </c>
      <c r="J231" s="37">
        <v>0</v>
      </c>
      <c r="K231" s="37">
        <f t="shared" si="34"/>
        <v>0</v>
      </c>
      <c r="L231" s="37">
        <f t="shared" si="33"/>
        <v>0</v>
      </c>
      <c r="M231" s="73">
        <v>0</v>
      </c>
    </row>
    <row r="232" spans="1:13" s="6" customFormat="1" ht="15.75">
      <c r="A232" s="275">
        <v>141</v>
      </c>
      <c r="B232" s="274" t="s">
        <v>193</v>
      </c>
      <c r="C232" s="535"/>
      <c r="D232" s="413"/>
      <c r="E232" s="413"/>
      <c r="F232" s="40">
        <f t="shared" si="29"/>
        <v>0</v>
      </c>
      <c r="G232" s="72">
        <f t="shared" si="30"/>
        <v>0</v>
      </c>
      <c r="H232" s="37">
        <f t="shared" si="31"/>
        <v>0</v>
      </c>
      <c r="I232" s="96">
        <f t="shared" si="32"/>
        <v>0</v>
      </c>
      <c r="J232" s="37">
        <v>0</v>
      </c>
      <c r="K232" s="37">
        <f t="shared" si="34"/>
        <v>0</v>
      </c>
      <c r="L232" s="37">
        <f t="shared" si="33"/>
        <v>0</v>
      </c>
      <c r="M232" s="73">
        <v>0</v>
      </c>
    </row>
    <row r="233" spans="1:13" s="6" customFormat="1" ht="15.75">
      <c r="A233" s="268">
        <v>142</v>
      </c>
      <c r="B233" s="176" t="s">
        <v>194</v>
      </c>
      <c r="C233" s="535"/>
      <c r="D233" s="413"/>
      <c r="E233" s="413"/>
      <c r="F233" s="40">
        <f t="shared" si="29"/>
        <v>0</v>
      </c>
      <c r="G233" s="72">
        <f t="shared" si="30"/>
        <v>0</v>
      </c>
      <c r="H233" s="37">
        <f t="shared" si="31"/>
        <v>0</v>
      </c>
      <c r="I233" s="96">
        <f t="shared" si="32"/>
        <v>0</v>
      </c>
      <c r="J233" s="37">
        <v>0</v>
      </c>
      <c r="K233" s="37">
        <f t="shared" si="34"/>
        <v>0</v>
      </c>
      <c r="L233" s="37">
        <f t="shared" si="33"/>
        <v>0</v>
      </c>
      <c r="M233" s="73">
        <v>0</v>
      </c>
    </row>
    <row r="234" spans="1:13" s="6" customFormat="1" ht="15.75">
      <c r="A234" s="268">
        <v>143</v>
      </c>
      <c r="B234" s="176" t="s">
        <v>195</v>
      </c>
      <c r="C234" s="535"/>
      <c r="D234" s="413"/>
      <c r="E234" s="413"/>
      <c r="F234" s="40">
        <f t="shared" si="29"/>
        <v>0</v>
      </c>
      <c r="G234" s="72">
        <f t="shared" si="30"/>
        <v>0</v>
      </c>
      <c r="H234" s="37">
        <f t="shared" si="31"/>
        <v>0</v>
      </c>
      <c r="I234" s="96">
        <f t="shared" si="32"/>
        <v>0</v>
      </c>
      <c r="J234" s="37">
        <v>0</v>
      </c>
      <c r="K234" s="37">
        <f t="shared" si="34"/>
        <v>0</v>
      </c>
      <c r="L234" s="37">
        <f t="shared" si="33"/>
        <v>0</v>
      </c>
      <c r="M234" s="73">
        <v>0</v>
      </c>
    </row>
    <row r="235" spans="1:13" s="6" customFormat="1" ht="15.75">
      <c r="A235" s="268">
        <v>144</v>
      </c>
      <c r="B235" s="176" t="s">
        <v>196</v>
      </c>
      <c r="C235" s="535"/>
      <c r="D235" s="413"/>
      <c r="E235" s="413"/>
      <c r="F235" s="40">
        <f t="shared" si="29"/>
        <v>0</v>
      </c>
      <c r="G235" s="72">
        <f t="shared" si="30"/>
        <v>0</v>
      </c>
      <c r="H235" s="37">
        <f t="shared" si="31"/>
        <v>0</v>
      </c>
      <c r="I235" s="96">
        <f t="shared" si="32"/>
        <v>0</v>
      </c>
      <c r="J235" s="37">
        <v>0</v>
      </c>
      <c r="K235" s="37">
        <f t="shared" si="34"/>
        <v>0</v>
      </c>
      <c r="L235" s="37">
        <f t="shared" si="33"/>
        <v>0</v>
      </c>
      <c r="M235" s="73">
        <v>0</v>
      </c>
    </row>
    <row r="236" spans="1:13" s="6" customFormat="1" ht="15.75">
      <c r="A236" s="268">
        <v>145</v>
      </c>
      <c r="B236" s="176" t="s">
        <v>197</v>
      </c>
      <c r="C236" s="535"/>
      <c r="D236" s="413"/>
      <c r="E236" s="413"/>
      <c r="F236" s="40">
        <f t="shared" si="29"/>
        <v>0</v>
      </c>
      <c r="G236" s="72">
        <f t="shared" si="30"/>
        <v>0</v>
      </c>
      <c r="H236" s="37">
        <f t="shared" si="31"/>
        <v>0</v>
      </c>
      <c r="I236" s="96">
        <f t="shared" si="32"/>
        <v>0</v>
      </c>
      <c r="J236" s="37">
        <v>0</v>
      </c>
      <c r="K236" s="37">
        <f t="shared" si="34"/>
        <v>0</v>
      </c>
      <c r="L236" s="37">
        <f t="shared" si="33"/>
        <v>0</v>
      </c>
      <c r="M236" s="73">
        <v>0</v>
      </c>
    </row>
    <row r="237" spans="1:13" s="6" customFormat="1" ht="15.75">
      <c r="A237" s="268">
        <v>146</v>
      </c>
      <c r="B237" s="176" t="s">
        <v>198</v>
      </c>
      <c r="C237" s="535"/>
      <c r="D237" s="413"/>
      <c r="E237" s="413"/>
      <c r="F237" s="40">
        <f t="shared" si="29"/>
        <v>0</v>
      </c>
      <c r="G237" s="72">
        <f t="shared" si="30"/>
        <v>0</v>
      </c>
      <c r="H237" s="37">
        <f t="shared" si="31"/>
        <v>0</v>
      </c>
      <c r="I237" s="96">
        <f t="shared" si="32"/>
        <v>0</v>
      </c>
      <c r="J237" s="37">
        <v>0</v>
      </c>
      <c r="K237" s="37">
        <f t="shared" si="34"/>
        <v>0</v>
      </c>
      <c r="L237" s="37">
        <f t="shared" si="33"/>
        <v>0</v>
      </c>
      <c r="M237" s="73">
        <v>0</v>
      </c>
    </row>
    <row r="238" spans="1:13" s="6" customFormat="1" ht="15.75">
      <c r="A238" s="268">
        <v>147</v>
      </c>
      <c r="B238" s="176" t="s">
        <v>199</v>
      </c>
      <c r="C238" s="535"/>
      <c r="D238" s="413"/>
      <c r="E238" s="413"/>
      <c r="F238" s="40">
        <f t="shared" si="29"/>
        <v>0</v>
      </c>
      <c r="G238" s="72">
        <f t="shared" si="30"/>
        <v>0</v>
      </c>
      <c r="H238" s="37">
        <f t="shared" si="31"/>
        <v>0</v>
      </c>
      <c r="I238" s="96">
        <f t="shared" si="32"/>
        <v>0</v>
      </c>
      <c r="J238" s="37">
        <v>0</v>
      </c>
      <c r="K238" s="37">
        <f t="shared" si="34"/>
        <v>0</v>
      </c>
      <c r="L238" s="37">
        <f t="shared" si="33"/>
        <v>0</v>
      </c>
      <c r="M238" s="73">
        <v>0</v>
      </c>
    </row>
    <row r="239" spans="1:13" s="6" customFormat="1" ht="15.75">
      <c r="A239" s="275">
        <v>148</v>
      </c>
      <c r="B239" s="176" t="s">
        <v>200</v>
      </c>
      <c r="C239" s="535"/>
      <c r="D239" s="413"/>
      <c r="E239" s="413"/>
      <c r="F239" s="40">
        <f t="shared" si="29"/>
        <v>0</v>
      </c>
      <c r="G239" s="72">
        <f t="shared" si="30"/>
        <v>0</v>
      </c>
      <c r="H239" s="37">
        <f t="shared" si="31"/>
        <v>0</v>
      </c>
      <c r="I239" s="96">
        <f t="shared" si="32"/>
        <v>0</v>
      </c>
      <c r="J239" s="37">
        <v>0</v>
      </c>
      <c r="K239" s="37">
        <f t="shared" si="34"/>
        <v>0</v>
      </c>
      <c r="L239" s="37">
        <f t="shared" si="33"/>
        <v>0</v>
      </c>
      <c r="M239" s="73">
        <v>0</v>
      </c>
    </row>
    <row r="240" spans="1:13" s="6" customFormat="1" ht="15.75">
      <c r="A240" s="268">
        <v>149</v>
      </c>
      <c r="B240" s="176" t="s">
        <v>201</v>
      </c>
      <c r="C240" s="535"/>
      <c r="D240" s="413"/>
      <c r="E240" s="413"/>
      <c r="F240" s="40">
        <f t="shared" si="29"/>
        <v>0</v>
      </c>
      <c r="G240" s="72">
        <f t="shared" si="30"/>
        <v>0</v>
      </c>
      <c r="H240" s="37">
        <f t="shared" si="31"/>
        <v>0</v>
      </c>
      <c r="I240" s="96">
        <f t="shared" si="32"/>
        <v>0</v>
      </c>
      <c r="J240" s="37">
        <v>0</v>
      </c>
      <c r="K240" s="37">
        <f t="shared" si="34"/>
        <v>0</v>
      </c>
      <c r="L240" s="37">
        <f t="shared" si="33"/>
        <v>0</v>
      </c>
      <c r="M240" s="73">
        <v>0</v>
      </c>
    </row>
    <row r="241" spans="1:13" s="6" customFormat="1" ht="15.75">
      <c r="A241" s="268">
        <v>150</v>
      </c>
      <c r="B241" s="176" t="s">
        <v>202</v>
      </c>
      <c r="C241" s="535"/>
      <c r="D241" s="413"/>
      <c r="E241" s="413"/>
      <c r="F241" s="40">
        <f t="shared" si="29"/>
        <v>0</v>
      </c>
      <c r="G241" s="72">
        <f t="shared" si="30"/>
        <v>0</v>
      </c>
      <c r="H241" s="37">
        <f t="shared" si="31"/>
        <v>0</v>
      </c>
      <c r="I241" s="96">
        <f t="shared" si="32"/>
        <v>0</v>
      </c>
      <c r="J241" s="37">
        <v>0</v>
      </c>
      <c r="K241" s="37">
        <f t="shared" si="34"/>
        <v>0</v>
      </c>
      <c r="L241" s="37">
        <f t="shared" si="33"/>
        <v>0</v>
      </c>
      <c r="M241" s="73">
        <v>0</v>
      </c>
    </row>
    <row r="242" spans="1:13" s="6" customFormat="1" ht="15.75">
      <c r="A242" s="268">
        <v>151</v>
      </c>
      <c r="B242" s="176" t="s">
        <v>203</v>
      </c>
      <c r="C242" s="535"/>
      <c r="D242" s="413"/>
      <c r="E242" s="413"/>
      <c r="F242" s="40">
        <f t="shared" si="29"/>
        <v>0</v>
      </c>
      <c r="G242" s="72">
        <f t="shared" si="30"/>
        <v>0</v>
      </c>
      <c r="H242" s="37">
        <f t="shared" si="31"/>
        <v>0</v>
      </c>
      <c r="I242" s="96">
        <f t="shared" si="32"/>
        <v>0</v>
      </c>
      <c r="J242" s="37">
        <v>0</v>
      </c>
      <c r="K242" s="37">
        <f t="shared" si="34"/>
        <v>0</v>
      </c>
      <c r="L242" s="37">
        <f t="shared" si="33"/>
        <v>0</v>
      </c>
      <c r="M242" s="73">
        <v>0</v>
      </c>
    </row>
    <row r="243" spans="1:13" s="6" customFormat="1" ht="15.75">
      <c r="A243" s="268">
        <v>152</v>
      </c>
      <c r="B243" s="176" t="s">
        <v>204</v>
      </c>
      <c r="C243" s="535"/>
      <c r="D243" s="413"/>
      <c r="E243" s="413"/>
      <c r="F243" s="40">
        <f t="shared" si="29"/>
        <v>0</v>
      </c>
      <c r="G243" s="72">
        <f t="shared" si="30"/>
        <v>0</v>
      </c>
      <c r="H243" s="37">
        <f t="shared" si="31"/>
        <v>0</v>
      </c>
      <c r="I243" s="96">
        <f t="shared" si="32"/>
        <v>0</v>
      </c>
      <c r="J243" s="37">
        <v>0</v>
      </c>
      <c r="K243" s="37">
        <f t="shared" si="34"/>
        <v>0</v>
      </c>
      <c r="L243" s="37">
        <f t="shared" si="33"/>
        <v>0</v>
      </c>
      <c r="M243" s="73">
        <v>0</v>
      </c>
    </row>
    <row r="244" spans="1:13" s="6" customFormat="1" ht="15.75">
      <c r="A244" s="268">
        <v>153</v>
      </c>
      <c r="B244" s="176" t="s">
        <v>205</v>
      </c>
      <c r="C244" s="535"/>
      <c r="D244" s="413"/>
      <c r="E244" s="413"/>
      <c r="F244" s="40">
        <f t="shared" si="29"/>
        <v>0</v>
      </c>
      <c r="G244" s="72">
        <f t="shared" si="30"/>
        <v>0</v>
      </c>
      <c r="H244" s="37">
        <f t="shared" si="31"/>
        <v>0</v>
      </c>
      <c r="I244" s="96">
        <f t="shared" si="32"/>
        <v>0</v>
      </c>
      <c r="J244" s="37">
        <v>0</v>
      </c>
      <c r="K244" s="37">
        <f t="shared" si="34"/>
        <v>0</v>
      </c>
      <c r="L244" s="37">
        <f t="shared" si="33"/>
        <v>0</v>
      </c>
      <c r="M244" s="73">
        <v>0</v>
      </c>
    </row>
    <row r="245" spans="1:13" s="6" customFormat="1" ht="15.75">
      <c r="A245" s="268">
        <v>154</v>
      </c>
      <c r="B245" s="176" t="s">
        <v>206</v>
      </c>
      <c r="C245" s="535"/>
      <c r="D245" s="413"/>
      <c r="E245" s="413"/>
      <c r="F245" s="40">
        <f t="shared" si="29"/>
        <v>0</v>
      </c>
      <c r="G245" s="72">
        <f t="shared" si="30"/>
        <v>0</v>
      </c>
      <c r="H245" s="37">
        <f t="shared" si="31"/>
        <v>0</v>
      </c>
      <c r="I245" s="96">
        <f t="shared" si="32"/>
        <v>0</v>
      </c>
      <c r="J245" s="37">
        <v>0</v>
      </c>
      <c r="K245" s="37">
        <f t="shared" si="34"/>
        <v>0</v>
      </c>
      <c r="L245" s="37">
        <f t="shared" si="33"/>
        <v>0</v>
      </c>
      <c r="M245" s="73">
        <v>0</v>
      </c>
    </row>
    <row r="246" spans="1:13" s="6" customFormat="1" ht="15.75">
      <c r="A246" s="275">
        <v>155</v>
      </c>
      <c r="B246" s="176" t="s">
        <v>207</v>
      </c>
      <c r="C246" s="535"/>
      <c r="D246" s="413"/>
      <c r="E246" s="413"/>
      <c r="F246" s="40">
        <f t="shared" si="29"/>
        <v>0</v>
      </c>
      <c r="G246" s="72">
        <f t="shared" si="30"/>
        <v>0</v>
      </c>
      <c r="H246" s="37">
        <f t="shared" si="31"/>
        <v>0</v>
      </c>
      <c r="I246" s="96">
        <f t="shared" si="32"/>
        <v>0</v>
      </c>
      <c r="J246" s="37">
        <v>0</v>
      </c>
      <c r="K246" s="37">
        <f t="shared" si="34"/>
        <v>0</v>
      </c>
      <c r="L246" s="37">
        <f t="shared" si="33"/>
        <v>0</v>
      </c>
      <c r="M246" s="73">
        <v>0</v>
      </c>
    </row>
    <row r="247" spans="1:13" s="6" customFormat="1" ht="15.75">
      <c r="A247" s="268">
        <v>156</v>
      </c>
      <c r="B247" s="176" t="s">
        <v>208</v>
      </c>
      <c r="C247" s="535"/>
      <c r="D247" s="413"/>
      <c r="E247" s="413"/>
      <c r="F247" s="40">
        <f t="shared" si="29"/>
        <v>0</v>
      </c>
      <c r="G247" s="72">
        <f t="shared" si="30"/>
        <v>0</v>
      </c>
      <c r="H247" s="37">
        <f t="shared" si="31"/>
        <v>0</v>
      </c>
      <c r="I247" s="96">
        <f t="shared" si="32"/>
        <v>0</v>
      </c>
      <c r="J247" s="37">
        <v>0</v>
      </c>
      <c r="K247" s="37">
        <f t="shared" si="34"/>
        <v>0</v>
      </c>
      <c r="L247" s="37">
        <f t="shared" si="33"/>
        <v>0</v>
      </c>
      <c r="M247" s="73">
        <v>0</v>
      </c>
    </row>
    <row r="248" spans="1:13" s="6" customFormat="1" ht="15.75">
      <c r="A248" s="268">
        <v>157</v>
      </c>
      <c r="B248" s="176" t="s">
        <v>209</v>
      </c>
      <c r="C248" s="535"/>
      <c r="D248" s="413"/>
      <c r="E248" s="413"/>
      <c r="F248" s="40">
        <f t="shared" si="29"/>
        <v>0</v>
      </c>
      <c r="G248" s="72">
        <f t="shared" si="30"/>
        <v>0</v>
      </c>
      <c r="H248" s="37">
        <f t="shared" si="31"/>
        <v>0</v>
      </c>
      <c r="I248" s="96">
        <f t="shared" si="32"/>
        <v>0</v>
      </c>
      <c r="J248" s="37">
        <v>0</v>
      </c>
      <c r="K248" s="37">
        <f t="shared" si="34"/>
        <v>0</v>
      </c>
      <c r="L248" s="37">
        <f t="shared" si="33"/>
        <v>0</v>
      </c>
      <c r="M248" s="73">
        <v>0</v>
      </c>
    </row>
    <row r="249" spans="1:13" s="6" customFormat="1" ht="15.75">
      <c r="A249" s="268">
        <v>158</v>
      </c>
      <c r="B249" s="176" t="s">
        <v>210</v>
      </c>
      <c r="C249" s="535"/>
      <c r="D249" s="413"/>
      <c r="E249" s="413"/>
      <c r="F249" s="40">
        <f t="shared" si="29"/>
        <v>0</v>
      </c>
      <c r="G249" s="72">
        <f t="shared" si="30"/>
        <v>0</v>
      </c>
      <c r="H249" s="37">
        <f t="shared" si="31"/>
        <v>0</v>
      </c>
      <c r="I249" s="96">
        <f t="shared" si="32"/>
        <v>0</v>
      </c>
      <c r="J249" s="37">
        <v>0</v>
      </c>
      <c r="K249" s="37">
        <f t="shared" si="34"/>
        <v>0</v>
      </c>
      <c r="L249" s="37">
        <f t="shared" si="33"/>
        <v>0</v>
      </c>
      <c r="M249" s="73">
        <v>0</v>
      </c>
    </row>
    <row r="250" spans="1:13" s="6" customFormat="1" ht="15.75">
      <c r="A250" s="268">
        <v>159</v>
      </c>
      <c r="B250" s="176" t="s">
        <v>211</v>
      </c>
      <c r="C250" s="535"/>
      <c r="D250" s="413"/>
      <c r="E250" s="413"/>
      <c r="F250" s="40">
        <f t="shared" si="29"/>
        <v>0</v>
      </c>
      <c r="G250" s="72">
        <f t="shared" si="30"/>
        <v>0</v>
      </c>
      <c r="H250" s="37">
        <f t="shared" si="31"/>
        <v>0</v>
      </c>
      <c r="I250" s="96">
        <f t="shared" si="32"/>
        <v>0</v>
      </c>
      <c r="J250" s="37">
        <v>0</v>
      </c>
      <c r="K250" s="37">
        <f t="shared" si="34"/>
        <v>0</v>
      </c>
      <c r="L250" s="37">
        <f t="shared" si="33"/>
        <v>0</v>
      </c>
      <c r="M250" s="73">
        <v>0</v>
      </c>
    </row>
    <row r="251" spans="1:13" s="6" customFormat="1" ht="15.75">
      <c r="A251" s="268">
        <v>160</v>
      </c>
      <c r="B251" s="122" t="s">
        <v>1203</v>
      </c>
      <c r="C251" s="330"/>
      <c r="D251" s="801"/>
      <c r="E251" s="801"/>
      <c r="F251" s="40">
        <f t="shared" si="29"/>
        <v>0</v>
      </c>
      <c r="G251" s="72">
        <f t="shared" si="30"/>
        <v>0</v>
      </c>
      <c r="H251" s="37">
        <f t="shared" si="31"/>
        <v>0</v>
      </c>
      <c r="I251" s="96">
        <f t="shared" si="32"/>
        <v>0</v>
      </c>
      <c r="J251" s="37">
        <v>0</v>
      </c>
      <c r="K251" s="37">
        <f t="shared" si="34"/>
        <v>0</v>
      </c>
      <c r="L251" s="37">
        <f t="shared" si="33"/>
        <v>0</v>
      </c>
      <c r="M251" s="73">
        <v>0</v>
      </c>
    </row>
    <row r="252" spans="1:13" s="6" customFormat="1" ht="15.75">
      <c r="A252" s="268">
        <v>161</v>
      </c>
      <c r="B252" s="122" t="s">
        <v>1204</v>
      </c>
      <c r="C252" s="330"/>
      <c r="D252" s="801"/>
      <c r="E252" s="801"/>
      <c r="F252" s="40">
        <f t="shared" si="29"/>
        <v>0</v>
      </c>
      <c r="G252" s="72">
        <f t="shared" si="30"/>
        <v>0</v>
      </c>
      <c r="H252" s="37">
        <f t="shared" si="31"/>
        <v>0</v>
      </c>
      <c r="I252" s="96">
        <f t="shared" si="32"/>
        <v>0</v>
      </c>
      <c r="J252" s="37">
        <v>0</v>
      </c>
      <c r="K252" s="37">
        <f t="shared" si="34"/>
        <v>0</v>
      </c>
      <c r="L252" s="37">
        <f t="shared" si="33"/>
        <v>0</v>
      </c>
      <c r="M252" s="73">
        <v>0</v>
      </c>
    </row>
    <row r="253" spans="1:13" s="6" customFormat="1" ht="15.75">
      <c r="A253" s="275">
        <v>162</v>
      </c>
      <c r="B253" s="122" t="s">
        <v>1205</v>
      </c>
      <c r="C253" s="330"/>
      <c r="D253" s="801"/>
      <c r="E253" s="801"/>
      <c r="F253" s="40">
        <f t="shared" si="29"/>
        <v>0</v>
      </c>
      <c r="G253" s="72">
        <f t="shared" si="30"/>
        <v>0</v>
      </c>
      <c r="H253" s="37">
        <f t="shared" si="31"/>
        <v>0</v>
      </c>
      <c r="I253" s="96">
        <f t="shared" si="32"/>
        <v>0</v>
      </c>
      <c r="J253" s="37">
        <v>0</v>
      </c>
      <c r="K253" s="37">
        <f t="shared" si="34"/>
        <v>0</v>
      </c>
      <c r="L253" s="37">
        <f t="shared" si="33"/>
        <v>0</v>
      </c>
      <c r="M253" s="73">
        <v>0</v>
      </c>
    </row>
    <row r="254" spans="1:13" s="6" customFormat="1" ht="15.75">
      <c r="A254" s="268">
        <v>163</v>
      </c>
      <c r="B254" s="122" t="s">
        <v>1206</v>
      </c>
      <c r="C254" s="330"/>
      <c r="D254" s="801"/>
      <c r="E254" s="801"/>
      <c r="F254" s="40">
        <f t="shared" si="29"/>
        <v>0</v>
      </c>
      <c r="G254" s="72">
        <f t="shared" si="30"/>
        <v>0</v>
      </c>
      <c r="H254" s="37">
        <f t="shared" si="31"/>
        <v>0</v>
      </c>
      <c r="I254" s="96">
        <f t="shared" si="32"/>
        <v>0</v>
      </c>
      <c r="J254" s="37">
        <v>0</v>
      </c>
      <c r="K254" s="37">
        <f t="shared" si="34"/>
        <v>0</v>
      </c>
      <c r="L254" s="37">
        <f t="shared" si="33"/>
        <v>0</v>
      </c>
      <c r="M254" s="73">
        <v>0</v>
      </c>
    </row>
    <row r="255" spans="1:13" s="6" customFormat="1" ht="15.75">
      <c r="A255" s="268">
        <v>164</v>
      </c>
      <c r="B255" s="122" t="s">
        <v>1207</v>
      </c>
      <c r="C255" s="330"/>
      <c r="D255" s="801"/>
      <c r="E255" s="801"/>
      <c r="F255" s="40">
        <f t="shared" si="29"/>
        <v>0</v>
      </c>
      <c r="G255" s="72">
        <f t="shared" si="30"/>
        <v>0</v>
      </c>
      <c r="H255" s="37">
        <f t="shared" si="31"/>
        <v>0</v>
      </c>
      <c r="I255" s="96">
        <f t="shared" si="32"/>
        <v>0</v>
      </c>
      <c r="J255" s="37">
        <v>0</v>
      </c>
      <c r="K255" s="37">
        <f t="shared" si="34"/>
        <v>0</v>
      </c>
      <c r="L255" s="37">
        <f t="shared" si="33"/>
        <v>0</v>
      </c>
      <c r="M255" s="73">
        <v>0</v>
      </c>
    </row>
    <row r="256" spans="1:13" s="6" customFormat="1" ht="15.75">
      <c r="A256" s="268">
        <v>165</v>
      </c>
      <c r="B256" s="122" t="s">
        <v>1208</v>
      </c>
      <c r="C256" s="330"/>
      <c r="D256" s="801"/>
      <c r="E256" s="801"/>
      <c r="F256" s="40">
        <f t="shared" si="29"/>
        <v>0</v>
      </c>
      <c r="G256" s="72">
        <f t="shared" si="30"/>
        <v>0</v>
      </c>
      <c r="H256" s="37">
        <f t="shared" si="31"/>
        <v>0</v>
      </c>
      <c r="I256" s="96">
        <f t="shared" si="32"/>
        <v>0</v>
      </c>
      <c r="J256" s="37">
        <v>0</v>
      </c>
      <c r="K256" s="37">
        <f t="shared" si="34"/>
        <v>0</v>
      </c>
      <c r="L256" s="37">
        <f t="shared" si="33"/>
        <v>0</v>
      </c>
      <c r="M256" s="73">
        <v>0</v>
      </c>
    </row>
    <row r="257" spans="1:14" s="6" customFormat="1" ht="15.75">
      <c r="A257" s="268">
        <v>166</v>
      </c>
      <c r="B257" s="122" t="s">
        <v>1209</v>
      </c>
      <c r="C257" s="330"/>
      <c r="D257" s="801"/>
      <c r="E257" s="801"/>
      <c r="F257" s="40">
        <f t="shared" si="29"/>
        <v>0</v>
      </c>
      <c r="G257" s="72">
        <f t="shared" si="30"/>
        <v>0</v>
      </c>
      <c r="H257" s="37">
        <f t="shared" si="31"/>
        <v>0</v>
      </c>
      <c r="I257" s="96">
        <f t="shared" si="32"/>
        <v>0</v>
      </c>
      <c r="J257" s="37">
        <v>0</v>
      </c>
      <c r="K257" s="37">
        <f t="shared" si="34"/>
        <v>0</v>
      </c>
      <c r="L257" s="37">
        <f t="shared" si="33"/>
        <v>0</v>
      </c>
      <c r="M257" s="73">
        <v>0</v>
      </c>
    </row>
    <row r="258" spans="1:14" s="6" customFormat="1" ht="15.75">
      <c r="A258" s="268">
        <v>167</v>
      </c>
      <c r="B258" s="122" t="s">
        <v>1210</v>
      </c>
      <c r="C258" s="330"/>
      <c r="D258" s="801"/>
      <c r="E258" s="801"/>
      <c r="F258" s="40">
        <f t="shared" si="29"/>
        <v>0</v>
      </c>
      <c r="G258" s="72">
        <f t="shared" si="30"/>
        <v>0</v>
      </c>
      <c r="H258" s="37">
        <f t="shared" si="31"/>
        <v>0</v>
      </c>
      <c r="I258" s="96">
        <f t="shared" si="32"/>
        <v>0</v>
      </c>
      <c r="J258" s="37">
        <v>0</v>
      </c>
      <c r="K258" s="37">
        <f t="shared" si="34"/>
        <v>0</v>
      </c>
      <c r="L258" s="37">
        <f t="shared" si="33"/>
        <v>0</v>
      </c>
      <c r="M258" s="73">
        <v>0</v>
      </c>
    </row>
    <row r="259" spans="1:14" s="6" customFormat="1" ht="15.75">
      <c r="A259" s="268">
        <v>168</v>
      </c>
      <c r="B259" s="273" t="s">
        <v>1211</v>
      </c>
      <c r="C259" s="330"/>
      <c r="D259" s="801"/>
      <c r="E259" s="801"/>
      <c r="F259" s="40">
        <f t="shared" si="29"/>
        <v>0</v>
      </c>
      <c r="G259" s="72">
        <f t="shared" si="30"/>
        <v>0</v>
      </c>
      <c r="H259" s="37">
        <f t="shared" si="31"/>
        <v>0</v>
      </c>
      <c r="I259" s="96">
        <f t="shared" si="32"/>
        <v>0</v>
      </c>
      <c r="J259" s="37">
        <v>0</v>
      </c>
      <c r="K259" s="37">
        <f t="shared" si="34"/>
        <v>0</v>
      </c>
      <c r="L259" s="37">
        <f t="shared" si="33"/>
        <v>0</v>
      </c>
      <c r="M259" s="73">
        <v>0</v>
      </c>
    </row>
    <row r="260" spans="1:14" s="6" customFormat="1" ht="15.75">
      <c r="A260" s="275">
        <v>169</v>
      </c>
      <c r="B260" s="273" t="s">
        <v>1212</v>
      </c>
      <c r="C260" s="330"/>
      <c r="D260" s="801"/>
      <c r="E260" s="801"/>
      <c r="F260" s="40">
        <f t="shared" si="29"/>
        <v>0</v>
      </c>
      <c r="G260" s="72">
        <f t="shared" si="30"/>
        <v>0</v>
      </c>
      <c r="H260" s="37">
        <f t="shared" si="31"/>
        <v>0</v>
      </c>
      <c r="I260" s="96">
        <f t="shared" si="32"/>
        <v>0</v>
      </c>
      <c r="J260" s="37">
        <v>0</v>
      </c>
      <c r="K260" s="37">
        <f t="shared" si="34"/>
        <v>0</v>
      </c>
      <c r="L260" s="37">
        <f t="shared" si="33"/>
        <v>0</v>
      </c>
      <c r="M260" s="73">
        <v>0</v>
      </c>
    </row>
    <row r="261" spans="1:14" s="6" customFormat="1" ht="15.75">
      <c r="A261" s="268">
        <v>170</v>
      </c>
      <c r="B261" s="122" t="s">
        <v>1213</v>
      </c>
      <c r="C261" s="330"/>
      <c r="D261" s="801"/>
      <c r="E261" s="801"/>
      <c r="F261" s="40">
        <f t="shared" si="29"/>
        <v>0</v>
      </c>
      <c r="G261" s="72">
        <f t="shared" si="30"/>
        <v>0</v>
      </c>
      <c r="H261" s="37">
        <f t="shared" si="31"/>
        <v>0</v>
      </c>
      <c r="I261" s="96">
        <f t="shared" si="32"/>
        <v>0</v>
      </c>
      <c r="J261" s="37">
        <v>0</v>
      </c>
      <c r="K261" s="37">
        <f t="shared" si="34"/>
        <v>0</v>
      </c>
      <c r="L261" s="37">
        <f t="shared" si="33"/>
        <v>0</v>
      </c>
      <c r="M261" s="73">
        <v>0</v>
      </c>
    </row>
    <row r="262" spans="1:14" s="6" customFormat="1" ht="15.75">
      <c r="A262" s="268">
        <v>171</v>
      </c>
      <c r="B262" s="122" t="s">
        <v>1214</v>
      </c>
      <c r="C262" s="330"/>
      <c r="D262" s="801"/>
      <c r="E262" s="801"/>
      <c r="F262" s="40">
        <f t="shared" si="29"/>
        <v>0</v>
      </c>
      <c r="G262" s="72">
        <f t="shared" si="30"/>
        <v>0</v>
      </c>
      <c r="H262" s="37">
        <f t="shared" si="31"/>
        <v>0</v>
      </c>
      <c r="I262" s="96">
        <f t="shared" si="32"/>
        <v>0</v>
      </c>
      <c r="J262" s="37">
        <v>0</v>
      </c>
      <c r="K262" s="37">
        <f t="shared" si="34"/>
        <v>0</v>
      </c>
      <c r="L262" s="37">
        <f t="shared" si="33"/>
        <v>0</v>
      </c>
      <c r="M262" s="73">
        <v>0</v>
      </c>
    </row>
    <row r="263" spans="1:14" s="6" customFormat="1" ht="15.75">
      <c r="A263" s="268">
        <v>172</v>
      </c>
      <c r="B263" s="273" t="s">
        <v>1215</v>
      </c>
      <c r="C263" s="330"/>
      <c r="D263" s="801"/>
      <c r="E263" s="801"/>
      <c r="F263" s="40">
        <f t="shared" si="29"/>
        <v>0</v>
      </c>
      <c r="G263" s="72">
        <f t="shared" si="30"/>
        <v>0</v>
      </c>
      <c r="H263" s="37">
        <f t="shared" si="31"/>
        <v>0</v>
      </c>
      <c r="I263" s="96">
        <f t="shared" si="32"/>
        <v>0</v>
      </c>
      <c r="J263" s="37">
        <v>0</v>
      </c>
      <c r="K263" s="37">
        <f t="shared" si="34"/>
        <v>0</v>
      </c>
      <c r="L263" s="37">
        <f t="shared" si="33"/>
        <v>0</v>
      </c>
      <c r="M263" s="73">
        <v>0</v>
      </c>
    </row>
    <row r="264" spans="1:14" s="6" customFormat="1" ht="15.75">
      <c r="A264" s="268">
        <v>173</v>
      </c>
      <c r="B264" s="122" t="s">
        <v>1216</v>
      </c>
      <c r="C264" s="330"/>
      <c r="D264" s="801"/>
      <c r="E264" s="801"/>
      <c r="F264" s="40">
        <f t="shared" si="29"/>
        <v>0</v>
      </c>
      <c r="G264" s="72">
        <f t="shared" si="30"/>
        <v>0</v>
      </c>
      <c r="H264" s="37">
        <f t="shared" si="31"/>
        <v>0</v>
      </c>
      <c r="I264" s="96">
        <f t="shared" si="32"/>
        <v>0</v>
      </c>
      <c r="J264" s="37">
        <v>0</v>
      </c>
      <c r="K264" s="37">
        <f t="shared" si="34"/>
        <v>0</v>
      </c>
      <c r="L264" s="37">
        <f t="shared" si="33"/>
        <v>0</v>
      </c>
      <c r="M264" s="73">
        <v>0</v>
      </c>
    </row>
    <row r="265" spans="1:14" s="6" customFormat="1" ht="15.75">
      <c r="A265" s="268">
        <v>174</v>
      </c>
      <c r="B265" s="122" t="s">
        <v>1217</v>
      </c>
      <c r="C265" s="330"/>
      <c r="D265" s="801"/>
      <c r="E265" s="801"/>
      <c r="F265" s="40">
        <f t="shared" si="29"/>
        <v>0</v>
      </c>
      <c r="G265" s="72">
        <f t="shared" si="30"/>
        <v>0</v>
      </c>
      <c r="H265" s="37">
        <f t="shared" si="31"/>
        <v>0</v>
      </c>
      <c r="I265" s="96">
        <f t="shared" si="32"/>
        <v>0</v>
      </c>
      <c r="J265" s="37">
        <v>0</v>
      </c>
      <c r="K265" s="37">
        <f t="shared" si="34"/>
        <v>0</v>
      </c>
      <c r="L265" s="37">
        <f t="shared" si="33"/>
        <v>0</v>
      </c>
      <c r="M265" s="73">
        <v>0</v>
      </c>
    </row>
    <row r="266" spans="1:14" s="6" customFormat="1" ht="15.75">
      <c r="A266" s="268">
        <v>175</v>
      </c>
      <c r="B266" s="122" t="s">
        <v>1218</v>
      </c>
      <c r="C266" s="330"/>
      <c r="D266" s="801"/>
      <c r="E266" s="801"/>
      <c r="F266" s="40">
        <f t="shared" si="29"/>
        <v>0</v>
      </c>
      <c r="G266" s="72">
        <f t="shared" si="30"/>
        <v>0</v>
      </c>
      <c r="H266" s="37">
        <f t="shared" si="31"/>
        <v>0</v>
      </c>
      <c r="I266" s="96">
        <f t="shared" si="32"/>
        <v>0</v>
      </c>
      <c r="J266" s="37">
        <v>0</v>
      </c>
      <c r="K266" s="37">
        <f t="shared" si="34"/>
        <v>0</v>
      </c>
      <c r="L266" s="37">
        <f t="shared" si="33"/>
        <v>0</v>
      </c>
      <c r="M266" s="73">
        <v>0</v>
      </c>
    </row>
    <row r="267" spans="1:14" s="6" customFormat="1" ht="15.75">
      <c r="A267" s="275">
        <v>176</v>
      </c>
      <c r="B267" s="122" t="s">
        <v>1219</v>
      </c>
      <c r="C267" s="330"/>
      <c r="D267" s="801"/>
      <c r="E267" s="801"/>
      <c r="F267" s="40">
        <f t="shared" si="29"/>
        <v>0</v>
      </c>
      <c r="G267" s="72">
        <f t="shared" si="30"/>
        <v>0</v>
      </c>
      <c r="H267" s="37">
        <f t="shared" si="31"/>
        <v>0</v>
      </c>
      <c r="I267" s="96">
        <f t="shared" si="32"/>
        <v>0</v>
      </c>
      <c r="J267" s="37">
        <v>0</v>
      </c>
      <c r="K267" s="37">
        <f t="shared" si="34"/>
        <v>0</v>
      </c>
      <c r="L267" s="37">
        <f t="shared" si="33"/>
        <v>0</v>
      </c>
      <c r="M267" s="73">
        <v>0</v>
      </c>
    </row>
    <row r="268" spans="1:14" s="6" customFormat="1" ht="15.75">
      <c r="A268" s="268">
        <v>177</v>
      </c>
      <c r="B268" s="122" t="s">
        <v>1220</v>
      </c>
      <c r="C268" s="330"/>
      <c r="D268" s="801"/>
      <c r="E268" s="801"/>
      <c r="F268" s="40">
        <f t="shared" si="29"/>
        <v>0</v>
      </c>
      <c r="G268" s="72">
        <f t="shared" si="30"/>
        <v>0</v>
      </c>
      <c r="H268" s="37">
        <f t="shared" si="31"/>
        <v>0</v>
      </c>
      <c r="I268" s="96">
        <f t="shared" si="32"/>
        <v>0</v>
      </c>
      <c r="J268" s="37">
        <v>0</v>
      </c>
      <c r="K268" s="37">
        <f t="shared" si="34"/>
        <v>0</v>
      </c>
      <c r="L268" s="37">
        <f t="shared" si="33"/>
        <v>0</v>
      </c>
      <c r="M268" s="73">
        <v>0</v>
      </c>
    </row>
    <row r="269" spans="1:14" s="6" customFormat="1" ht="15.75">
      <c r="A269" s="268">
        <v>178</v>
      </c>
      <c r="B269" s="122" t="s">
        <v>1221</v>
      </c>
      <c r="C269" s="330"/>
      <c r="D269" s="801"/>
      <c r="E269" s="801"/>
      <c r="F269" s="40">
        <f t="shared" si="29"/>
        <v>0</v>
      </c>
      <c r="G269" s="72">
        <f t="shared" si="30"/>
        <v>0</v>
      </c>
      <c r="H269" s="37">
        <f t="shared" si="31"/>
        <v>0</v>
      </c>
      <c r="I269" s="96">
        <f t="shared" si="32"/>
        <v>0</v>
      </c>
      <c r="J269" s="37">
        <v>0</v>
      </c>
      <c r="K269" s="37">
        <f t="shared" si="34"/>
        <v>0</v>
      </c>
      <c r="L269" s="37">
        <f t="shared" si="33"/>
        <v>0</v>
      </c>
      <c r="M269" s="73">
        <v>0</v>
      </c>
    </row>
    <row r="270" spans="1:14" s="6" customFormat="1" ht="15.75">
      <c r="A270" s="268">
        <v>179</v>
      </c>
      <c r="B270" s="122" t="s">
        <v>1222</v>
      </c>
      <c r="C270" s="330"/>
      <c r="D270" s="801"/>
      <c r="E270" s="801"/>
      <c r="F270" s="40">
        <f t="shared" si="29"/>
        <v>0</v>
      </c>
      <c r="G270" s="72">
        <f t="shared" si="30"/>
        <v>0</v>
      </c>
      <c r="H270" s="37">
        <f t="shared" si="31"/>
        <v>0</v>
      </c>
      <c r="I270" s="96">
        <f t="shared" si="32"/>
        <v>0</v>
      </c>
      <c r="J270" s="37">
        <v>0</v>
      </c>
      <c r="K270" s="37">
        <f t="shared" si="34"/>
        <v>0</v>
      </c>
      <c r="L270" s="37">
        <f t="shared" si="33"/>
        <v>0</v>
      </c>
      <c r="M270" s="73">
        <v>0</v>
      </c>
    </row>
    <row r="271" spans="1:14" s="6" customFormat="1" ht="15.75">
      <c r="A271" s="268">
        <v>180</v>
      </c>
      <c r="B271" s="122" t="s">
        <v>1223</v>
      </c>
      <c r="C271" s="330">
        <v>3583.55</v>
      </c>
      <c r="D271" s="801"/>
      <c r="E271" s="801"/>
      <c r="F271" s="40">
        <f t="shared" si="29"/>
        <v>3583.55</v>
      </c>
      <c r="G271" s="72">
        <f t="shared" si="30"/>
        <v>5.3506344971130715E-2</v>
      </c>
      <c r="H271" s="37">
        <f t="shared" si="31"/>
        <v>121.41285256434185</v>
      </c>
      <c r="I271" s="96">
        <f t="shared" si="32"/>
        <v>44.643505887908503</v>
      </c>
      <c r="J271" s="37">
        <v>49.81239689434198</v>
      </c>
      <c r="K271" s="37">
        <f t="shared" si="34"/>
        <v>30.001542688762704</v>
      </c>
      <c r="L271" s="37">
        <f t="shared" si="33"/>
        <v>36.571880537601736</v>
      </c>
      <c r="M271" s="73">
        <f>(K271+J271+I271+H271)/F271</f>
        <v>6.8610818332478979E-2</v>
      </c>
    </row>
    <row r="272" spans="1:14" s="6" customFormat="1" ht="15.75">
      <c r="A272" s="268">
        <v>181</v>
      </c>
      <c r="B272" s="122" t="s">
        <v>1224</v>
      </c>
      <c r="C272" s="330"/>
      <c r="D272" s="801"/>
      <c r="E272" s="801"/>
      <c r="F272" s="40">
        <f t="shared" si="29"/>
        <v>0</v>
      </c>
      <c r="G272" s="72">
        <f t="shared" si="30"/>
        <v>0</v>
      </c>
      <c r="H272" s="37">
        <f t="shared" si="31"/>
        <v>0</v>
      </c>
      <c r="I272" s="96">
        <f t="shared" si="32"/>
        <v>0</v>
      </c>
      <c r="J272" s="37">
        <v>0</v>
      </c>
      <c r="K272" s="37">
        <f t="shared" si="34"/>
        <v>0</v>
      </c>
      <c r="L272" s="37">
        <f t="shared" si="33"/>
        <v>0</v>
      </c>
      <c r="M272" s="73">
        <v>0</v>
      </c>
      <c r="N272" s="100"/>
    </row>
    <row r="273" spans="1:13" s="6" customFormat="1" ht="15.75">
      <c r="A273" s="268">
        <v>182</v>
      </c>
      <c r="B273" s="122" t="s">
        <v>1225</v>
      </c>
      <c r="C273" s="330"/>
      <c r="D273" s="801"/>
      <c r="E273" s="801"/>
      <c r="F273" s="40">
        <f t="shared" si="29"/>
        <v>0</v>
      </c>
      <c r="G273" s="72">
        <f t="shared" si="30"/>
        <v>0</v>
      </c>
      <c r="H273" s="37">
        <f t="shared" si="31"/>
        <v>0</v>
      </c>
      <c r="I273" s="96">
        <f t="shared" si="32"/>
        <v>0</v>
      </c>
      <c r="J273" s="37">
        <v>0</v>
      </c>
      <c r="K273" s="37">
        <f t="shared" si="34"/>
        <v>0</v>
      </c>
      <c r="L273" s="37">
        <f t="shared" si="33"/>
        <v>0</v>
      </c>
      <c r="M273" s="73">
        <v>0</v>
      </c>
    </row>
    <row r="274" spans="1:13" s="6" customFormat="1" ht="15.75">
      <c r="A274" s="275">
        <v>183</v>
      </c>
      <c r="B274" s="122" t="s">
        <v>1226</v>
      </c>
      <c r="C274" s="330"/>
      <c r="D274" s="801"/>
      <c r="E274" s="801"/>
      <c r="F274" s="40">
        <f t="shared" si="29"/>
        <v>0</v>
      </c>
      <c r="G274" s="72">
        <f t="shared" si="30"/>
        <v>0</v>
      </c>
      <c r="H274" s="37">
        <f t="shared" si="31"/>
        <v>0</v>
      </c>
      <c r="I274" s="96">
        <f t="shared" si="32"/>
        <v>0</v>
      </c>
      <c r="J274" s="37">
        <v>0</v>
      </c>
      <c r="K274" s="37">
        <f t="shared" si="34"/>
        <v>0</v>
      </c>
      <c r="L274" s="37">
        <f t="shared" si="33"/>
        <v>0</v>
      </c>
      <c r="M274" s="73">
        <v>0</v>
      </c>
    </row>
    <row r="275" spans="1:13" s="6" customFormat="1" ht="15.75">
      <c r="A275" s="268">
        <v>184</v>
      </c>
      <c r="B275" s="122" t="s">
        <v>1227</v>
      </c>
      <c r="C275" s="330"/>
      <c r="D275" s="801"/>
      <c r="E275" s="801"/>
      <c r="F275" s="40">
        <f t="shared" si="29"/>
        <v>0</v>
      </c>
      <c r="G275" s="72">
        <f t="shared" si="30"/>
        <v>0</v>
      </c>
      <c r="H275" s="37">
        <f t="shared" si="31"/>
        <v>0</v>
      </c>
      <c r="I275" s="96">
        <f t="shared" si="32"/>
        <v>0</v>
      </c>
      <c r="J275" s="37">
        <v>0</v>
      </c>
      <c r="K275" s="37">
        <f t="shared" si="34"/>
        <v>0</v>
      </c>
      <c r="L275" s="37">
        <f t="shared" si="33"/>
        <v>0</v>
      </c>
      <c r="M275" s="73">
        <v>0</v>
      </c>
    </row>
    <row r="276" spans="1:13" s="6" customFormat="1" ht="15.75">
      <c r="A276" s="268">
        <v>185</v>
      </c>
      <c r="B276" s="122" t="s">
        <v>1228</v>
      </c>
      <c r="C276" s="330"/>
      <c r="D276" s="801"/>
      <c r="E276" s="801"/>
      <c r="F276" s="40">
        <f t="shared" si="29"/>
        <v>0</v>
      </c>
      <c r="G276" s="72">
        <f t="shared" si="30"/>
        <v>0</v>
      </c>
      <c r="H276" s="37">
        <f t="shared" si="31"/>
        <v>0</v>
      </c>
      <c r="I276" s="96">
        <f t="shared" si="32"/>
        <v>0</v>
      </c>
      <c r="J276" s="37">
        <v>0</v>
      </c>
      <c r="K276" s="37">
        <f t="shared" si="34"/>
        <v>0</v>
      </c>
      <c r="L276" s="37">
        <f t="shared" si="33"/>
        <v>0</v>
      </c>
      <c r="M276" s="73">
        <v>0</v>
      </c>
    </row>
    <row r="277" spans="1:13" s="6" customFormat="1" ht="15.75">
      <c r="A277" s="268">
        <v>186</v>
      </c>
      <c r="B277" s="273" t="s">
        <v>1229</v>
      </c>
      <c r="C277" s="330"/>
      <c r="D277" s="801"/>
      <c r="E277" s="801"/>
      <c r="F277" s="40">
        <f t="shared" si="29"/>
        <v>0</v>
      </c>
      <c r="G277" s="72">
        <f t="shared" si="30"/>
        <v>0</v>
      </c>
      <c r="H277" s="37">
        <f t="shared" si="31"/>
        <v>0</v>
      </c>
      <c r="I277" s="96">
        <f t="shared" si="32"/>
        <v>0</v>
      </c>
      <c r="J277" s="37">
        <v>0</v>
      </c>
      <c r="K277" s="37">
        <f t="shared" si="34"/>
        <v>0</v>
      </c>
      <c r="L277" s="37">
        <f t="shared" si="33"/>
        <v>0</v>
      </c>
      <c r="M277" s="73">
        <v>0</v>
      </c>
    </row>
    <row r="278" spans="1:13" s="6" customFormat="1" ht="15.75">
      <c r="A278" s="268">
        <v>187</v>
      </c>
      <c r="B278" s="122" t="s">
        <v>1230</v>
      </c>
      <c r="C278" s="330"/>
      <c r="D278" s="801"/>
      <c r="E278" s="801"/>
      <c r="F278" s="40">
        <f t="shared" si="29"/>
        <v>0</v>
      </c>
      <c r="G278" s="72">
        <f t="shared" si="30"/>
        <v>0</v>
      </c>
      <c r="H278" s="37">
        <f t="shared" si="31"/>
        <v>0</v>
      </c>
      <c r="I278" s="96">
        <f t="shared" si="32"/>
        <v>0</v>
      </c>
      <c r="J278" s="37">
        <v>0</v>
      </c>
      <c r="K278" s="37">
        <f t="shared" si="34"/>
        <v>0</v>
      </c>
      <c r="L278" s="37">
        <f t="shared" si="33"/>
        <v>0</v>
      </c>
      <c r="M278" s="73">
        <v>0</v>
      </c>
    </row>
    <row r="279" spans="1:13" s="6" customFormat="1" ht="15.75">
      <c r="A279" s="268">
        <v>188</v>
      </c>
      <c r="B279" s="122" t="s">
        <v>1231</v>
      </c>
      <c r="C279" s="330"/>
      <c r="D279" s="801"/>
      <c r="E279" s="801"/>
      <c r="F279" s="40">
        <f t="shared" si="29"/>
        <v>0</v>
      </c>
      <c r="G279" s="72">
        <f t="shared" si="30"/>
        <v>0</v>
      </c>
      <c r="H279" s="37">
        <f t="shared" si="31"/>
        <v>0</v>
      </c>
      <c r="I279" s="96">
        <f t="shared" si="32"/>
        <v>0</v>
      </c>
      <c r="J279" s="37">
        <v>0</v>
      </c>
      <c r="K279" s="37">
        <f t="shared" si="34"/>
        <v>0</v>
      </c>
      <c r="L279" s="37">
        <f t="shared" si="33"/>
        <v>0</v>
      </c>
      <c r="M279" s="73">
        <v>0</v>
      </c>
    </row>
    <row r="280" spans="1:13" s="6" customFormat="1" ht="15.75">
      <c r="A280" s="268">
        <v>189</v>
      </c>
      <c r="B280" s="122" t="s">
        <v>1232</v>
      </c>
      <c r="C280" s="330"/>
      <c r="D280" s="801"/>
      <c r="E280" s="801"/>
      <c r="F280" s="40">
        <f t="shared" si="29"/>
        <v>0</v>
      </c>
      <c r="G280" s="72">
        <f t="shared" si="30"/>
        <v>0</v>
      </c>
      <c r="H280" s="37">
        <f t="shared" si="31"/>
        <v>0</v>
      </c>
      <c r="I280" s="96">
        <f t="shared" si="32"/>
        <v>0</v>
      </c>
      <c r="J280" s="37">
        <v>0</v>
      </c>
      <c r="K280" s="37">
        <f t="shared" si="34"/>
        <v>0</v>
      </c>
      <c r="L280" s="37">
        <f t="shared" si="33"/>
        <v>0</v>
      </c>
      <c r="M280" s="73">
        <v>0</v>
      </c>
    </row>
    <row r="281" spans="1:13" s="6" customFormat="1" ht="15.75">
      <c r="A281" s="275">
        <v>190</v>
      </c>
      <c r="B281" s="122" t="s">
        <v>1233</v>
      </c>
      <c r="C281" s="330"/>
      <c r="D281" s="801"/>
      <c r="E281" s="801"/>
      <c r="F281" s="40">
        <f t="shared" si="29"/>
        <v>0</v>
      </c>
      <c r="G281" s="72">
        <f t="shared" si="30"/>
        <v>0</v>
      </c>
      <c r="H281" s="37">
        <f t="shared" si="31"/>
        <v>0</v>
      </c>
      <c r="I281" s="96">
        <f t="shared" si="32"/>
        <v>0</v>
      </c>
      <c r="J281" s="37">
        <v>0</v>
      </c>
      <c r="K281" s="37">
        <f t="shared" si="34"/>
        <v>0</v>
      </c>
      <c r="L281" s="37">
        <f t="shared" si="33"/>
        <v>0</v>
      </c>
      <c r="M281" s="73">
        <v>0</v>
      </c>
    </row>
    <row r="282" spans="1:13" s="6" customFormat="1" ht="15.75">
      <c r="A282" s="268">
        <v>191</v>
      </c>
      <c r="B282" s="122" t="s">
        <v>1234</v>
      </c>
      <c r="C282" s="330"/>
      <c r="D282" s="801"/>
      <c r="E282" s="801"/>
      <c r="F282" s="40">
        <f t="shared" si="29"/>
        <v>0</v>
      </c>
      <c r="G282" s="72">
        <f t="shared" si="30"/>
        <v>0</v>
      </c>
      <c r="H282" s="37">
        <f t="shared" si="31"/>
        <v>0</v>
      </c>
      <c r="I282" s="96">
        <f t="shared" si="32"/>
        <v>0</v>
      </c>
      <c r="J282" s="37">
        <v>0</v>
      </c>
      <c r="K282" s="37">
        <f t="shared" si="34"/>
        <v>0</v>
      </c>
      <c r="L282" s="37">
        <f t="shared" si="33"/>
        <v>0</v>
      </c>
      <c r="M282" s="73">
        <v>0</v>
      </c>
    </row>
    <row r="283" spans="1:13" s="6" customFormat="1" ht="15.75">
      <c r="A283" s="268">
        <v>192</v>
      </c>
      <c r="B283" s="122" t="s">
        <v>1235</v>
      </c>
      <c r="C283" s="330"/>
      <c r="D283" s="801"/>
      <c r="E283" s="801"/>
      <c r="F283" s="40">
        <f t="shared" si="29"/>
        <v>0</v>
      </c>
      <c r="G283" s="72">
        <f t="shared" si="30"/>
        <v>0</v>
      </c>
      <c r="H283" s="37">
        <f t="shared" si="31"/>
        <v>0</v>
      </c>
      <c r="I283" s="96">
        <f t="shared" si="32"/>
        <v>0</v>
      </c>
      <c r="J283" s="37">
        <v>0</v>
      </c>
      <c r="K283" s="37">
        <f t="shared" si="34"/>
        <v>0</v>
      </c>
      <c r="L283" s="37">
        <f t="shared" si="33"/>
        <v>0</v>
      </c>
      <c r="M283" s="73">
        <v>0</v>
      </c>
    </row>
    <row r="284" spans="1:13" s="6" customFormat="1" ht="15.75">
      <c r="A284" s="268">
        <v>193</v>
      </c>
      <c r="B284" s="122" t="s">
        <v>1236</v>
      </c>
      <c r="C284" s="330"/>
      <c r="D284" s="801"/>
      <c r="E284" s="801"/>
      <c r="F284" s="40">
        <f t="shared" ref="F284:F347" si="35">C284+D284+E284</f>
        <v>0</v>
      </c>
      <c r="G284" s="72">
        <f t="shared" ref="G284:G347" si="36">0.5/33487.15*F284</f>
        <v>0</v>
      </c>
      <c r="H284" s="37">
        <f t="shared" ref="H284:H347" si="37">G284*2269.13</f>
        <v>0</v>
      </c>
      <c r="I284" s="96">
        <f t="shared" ref="I284:I347" si="38">H284*0.3677</f>
        <v>0</v>
      </c>
      <c r="J284" s="37">
        <v>0</v>
      </c>
      <c r="K284" s="37">
        <f t="shared" si="34"/>
        <v>0</v>
      </c>
      <c r="L284" s="37">
        <f t="shared" ref="L284:L347" si="39">K284*1.219</f>
        <v>0</v>
      </c>
      <c r="M284" s="73">
        <v>0</v>
      </c>
    </row>
    <row r="285" spans="1:13" s="6" customFormat="1" ht="15.75">
      <c r="A285" s="268">
        <v>194</v>
      </c>
      <c r="B285" s="122" t="s">
        <v>1237</v>
      </c>
      <c r="C285" s="330"/>
      <c r="D285" s="801"/>
      <c r="E285" s="801"/>
      <c r="F285" s="40">
        <f t="shared" si="35"/>
        <v>0</v>
      </c>
      <c r="G285" s="72">
        <f t="shared" si="36"/>
        <v>0</v>
      </c>
      <c r="H285" s="37">
        <f t="shared" si="37"/>
        <v>0</v>
      </c>
      <c r="I285" s="96">
        <f t="shared" si="38"/>
        <v>0</v>
      </c>
      <c r="J285" s="37">
        <v>0</v>
      </c>
      <c r="K285" s="37">
        <f t="shared" ref="K285:K348" si="40">G285*560.71</f>
        <v>0</v>
      </c>
      <c r="L285" s="37">
        <f t="shared" si="39"/>
        <v>0</v>
      </c>
      <c r="M285" s="73">
        <v>0</v>
      </c>
    </row>
    <row r="286" spans="1:13" s="6" customFormat="1" ht="15.75">
      <c r="A286" s="268">
        <v>195</v>
      </c>
      <c r="B286" s="122" t="s">
        <v>1238</v>
      </c>
      <c r="C286" s="330"/>
      <c r="D286" s="801"/>
      <c r="E286" s="801"/>
      <c r="F286" s="40">
        <f t="shared" si="35"/>
        <v>0</v>
      </c>
      <c r="G286" s="72">
        <f t="shared" si="36"/>
        <v>0</v>
      </c>
      <c r="H286" s="37">
        <f t="shared" si="37"/>
        <v>0</v>
      </c>
      <c r="I286" s="96">
        <f t="shared" si="38"/>
        <v>0</v>
      </c>
      <c r="J286" s="37">
        <v>0</v>
      </c>
      <c r="K286" s="37">
        <f t="shared" si="40"/>
        <v>0</v>
      </c>
      <c r="L286" s="37">
        <f t="shared" si="39"/>
        <v>0</v>
      </c>
      <c r="M286" s="73">
        <v>0</v>
      </c>
    </row>
    <row r="287" spans="1:13" s="6" customFormat="1" ht="15.75">
      <c r="A287" s="268">
        <v>196</v>
      </c>
      <c r="B287" s="122" t="s">
        <v>1239</v>
      </c>
      <c r="C287" s="330"/>
      <c r="D287" s="801"/>
      <c r="E287" s="801"/>
      <c r="F287" s="40">
        <f t="shared" si="35"/>
        <v>0</v>
      </c>
      <c r="G287" s="72">
        <f t="shared" si="36"/>
        <v>0</v>
      </c>
      <c r="H287" s="37">
        <f t="shared" si="37"/>
        <v>0</v>
      </c>
      <c r="I287" s="96">
        <f t="shared" si="38"/>
        <v>0</v>
      </c>
      <c r="J287" s="37">
        <v>0</v>
      </c>
      <c r="K287" s="37">
        <f t="shared" si="40"/>
        <v>0</v>
      </c>
      <c r="L287" s="37">
        <f t="shared" si="39"/>
        <v>0</v>
      </c>
      <c r="M287" s="73">
        <v>0</v>
      </c>
    </row>
    <row r="288" spans="1:13" s="6" customFormat="1" ht="15.75">
      <c r="A288" s="275">
        <v>197</v>
      </c>
      <c r="B288" s="122" t="s">
        <v>1240</v>
      </c>
      <c r="C288" s="330"/>
      <c r="D288" s="801"/>
      <c r="E288" s="801"/>
      <c r="F288" s="40">
        <f t="shared" si="35"/>
        <v>0</v>
      </c>
      <c r="G288" s="72">
        <f t="shared" si="36"/>
        <v>0</v>
      </c>
      <c r="H288" s="37">
        <f t="shared" si="37"/>
        <v>0</v>
      </c>
      <c r="I288" s="96">
        <f t="shared" si="38"/>
        <v>0</v>
      </c>
      <c r="J288" s="37">
        <v>0</v>
      </c>
      <c r="K288" s="37">
        <f t="shared" si="40"/>
        <v>0</v>
      </c>
      <c r="L288" s="37">
        <f t="shared" si="39"/>
        <v>0</v>
      </c>
      <c r="M288" s="73">
        <v>0</v>
      </c>
    </row>
    <row r="289" spans="1:13" s="6" customFormat="1" ht="15.75">
      <c r="A289" s="268">
        <v>198</v>
      </c>
      <c r="B289" s="122" t="s">
        <v>1241</v>
      </c>
      <c r="C289" s="330"/>
      <c r="D289" s="801"/>
      <c r="E289" s="801"/>
      <c r="F289" s="40">
        <f t="shared" si="35"/>
        <v>0</v>
      </c>
      <c r="G289" s="72">
        <f t="shared" si="36"/>
        <v>0</v>
      </c>
      <c r="H289" s="37">
        <f t="shared" si="37"/>
        <v>0</v>
      </c>
      <c r="I289" s="96">
        <f t="shared" si="38"/>
        <v>0</v>
      </c>
      <c r="J289" s="37">
        <v>0</v>
      </c>
      <c r="K289" s="37">
        <f t="shared" si="40"/>
        <v>0</v>
      </c>
      <c r="L289" s="37">
        <f t="shared" si="39"/>
        <v>0</v>
      </c>
      <c r="M289" s="73">
        <v>0</v>
      </c>
    </row>
    <row r="290" spans="1:13" s="6" customFormat="1" ht="15.75">
      <c r="A290" s="268">
        <v>199</v>
      </c>
      <c r="B290" s="122" t="s">
        <v>1242</v>
      </c>
      <c r="C290" s="330"/>
      <c r="D290" s="801"/>
      <c r="E290" s="801"/>
      <c r="F290" s="40">
        <f t="shared" si="35"/>
        <v>0</v>
      </c>
      <c r="G290" s="72">
        <f t="shared" si="36"/>
        <v>0</v>
      </c>
      <c r="H290" s="37">
        <f t="shared" si="37"/>
        <v>0</v>
      </c>
      <c r="I290" s="96">
        <f t="shared" si="38"/>
        <v>0</v>
      </c>
      <c r="J290" s="37">
        <v>0</v>
      </c>
      <c r="K290" s="37">
        <f t="shared" si="40"/>
        <v>0</v>
      </c>
      <c r="L290" s="37">
        <f t="shared" si="39"/>
        <v>0</v>
      </c>
      <c r="M290" s="73">
        <v>0</v>
      </c>
    </row>
    <row r="291" spans="1:13" s="6" customFormat="1" ht="15.75">
      <c r="A291" s="268">
        <v>200</v>
      </c>
      <c r="B291" s="122" t="s">
        <v>1243</v>
      </c>
      <c r="C291" s="330"/>
      <c r="D291" s="801"/>
      <c r="E291" s="801"/>
      <c r="F291" s="40">
        <f t="shared" si="35"/>
        <v>0</v>
      </c>
      <c r="G291" s="72">
        <f t="shared" si="36"/>
        <v>0</v>
      </c>
      <c r="H291" s="37">
        <f t="shared" si="37"/>
        <v>0</v>
      </c>
      <c r="I291" s="96">
        <f t="shared" si="38"/>
        <v>0</v>
      </c>
      <c r="J291" s="37">
        <v>0</v>
      </c>
      <c r="K291" s="37">
        <f t="shared" si="40"/>
        <v>0</v>
      </c>
      <c r="L291" s="37">
        <f t="shared" si="39"/>
        <v>0</v>
      </c>
      <c r="M291" s="73">
        <v>0</v>
      </c>
    </row>
    <row r="292" spans="1:13" s="6" customFormat="1" ht="15.75">
      <c r="A292" s="268">
        <v>201</v>
      </c>
      <c r="B292" s="122" t="s">
        <v>1244</v>
      </c>
      <c r="C292" s="330"/>
      <c r="D292" s="801"/>
      <c r="E292" s="801"/>
      <c r="F292" s="40">
        <f t="shared" si="35"/>
        <v>0</v>
      </c>
      <c r="G292" s="72">
        <f t="shared" si="36"/>
        <v>0</v>
      </c>
      <c r="H292" s="37">
        <f t="shared" si="37"/>
        <v>0</v>
      </c>
      <c r="I292" s="96">
        <f t="shared" si="38"/>
        <v>0</v>
      </c>
      <c r="J292" s="37">
        <v>0</v>
      </c>
      <c r="K292" s="37">
        <f t="shared" si="40"/>
        <v>0</v>
      </c>
      <c r="L292" s="37">
        <f t="shared" si="39"/>
        <v>0</v>
      </c>
      <c r="M292" s="73">
        <v>0</v>
      </c>
    </row>
    <row r="293" spans="1:13" s="6" customFormat="1" ht="15.75">
      <c r="A293" s="268">
        <v>202</v>
      </c>
      <c r="B293" s="122" t="s">
        <v>1245</v>
      </c>
      <c r="C293" s="330"/>
      <c r="D293" s="801"/>
      <c r="E293" s="801"/>
      <c r="F293" s="40">
        <f t="shared" si="35"/>
        <v>0</v>
      </c>
      <c r="G293" s="72">
        <f t="shared" si="36"/>
        <v>0</v>
      </c>
      <c r="H293" s="37">
        <f t="shared" si="37"/>
        <v>0</v>
      </c>
      <c r="I293" s="96">
        <f t="shared" si="38"/>
        <v>0</v>
      </c>
      <c r="J293" s="37">
        <v>0</v>
      </c>
      <c r="K293" s="37">
        <f t="shared" si="40"/>
        <v>0</v>
      </c>
      <c r="L293" s="37">
        <f t="shared" si="39"/>
        <v>0</v>
      </c>
      <c r="M293" s="73">
        <v>0</v>
      </c>
    </row>
    <row r="294" spans="1:13" s="6" customFormat="1" ht="15.75">
      <c r="A294" s="268">
        <v>203</v>
      </c>
      <c r="B294" s="122" t="s">
        <v>1246</v>
      </c>
      <c r="C294" s="330"/>
      <c r="D294" s="801"/>
      <c r="E294" s="801"/>
      <c r="F294" s="40">
        <f t="shared" si="35"/>
        <v>0</v>
      </c>
      <c r="G294" s="72">
        <f t="shared" si="36"/>
        <v>0</v>
      </c>
      <c r="H294" s="37">
        <f t="shared" si="37"/>
        <v>0</v>
      </c>
      <c r="I294" s="96">
        <f t="shared" si="38"/>
        <v>0</v>
      </c>
      <c r="J294" s="37">
        <v>0</v>
      </c>
      <c r="K294" s="37">
        <f t="shared" si="40"/>
        <v>0</v>
      </c>
      <c r="L294" s="37">
        <f t="shared" si="39"/>
        <v>0</v>
      </c>
      <c r="M294" s="73">
        <v>0</v>
      </c>
    </row>
    <row r="295" spans="1:13" s="6" customFormat="1" ht="15.75">
      <c r="A295" s="275">
        <v>204</v>
      </c>
      <c r="B295" s="122" t="s">
        <v>1247</v>
      </c>
      <c r="C295" s="330"/>
      <c r="D295" s="801"/>
      <c r="E295" s="801"/>
      <c r="F295" s="40">
        <f t="shared" si="35"/>
        <v>0</v>
      </c>
      <c r="G295" s="72">
        <f t="shared" si="36"/>
        <v>0</v>
      </c>
      <c r="H295" s="37">
        <f t="shared" si="37"/>
        <v>0</v>
      </c>
      <c r="I295" s="96">
        <f t="shared" si="38"/>
        <v>0</v>
      </c>
      <c r="J295" s="37">
        <v>0</v>
      </c>
      <c r="K295" s="37">
        <f t="shared" si="40"/>
        <v>0</v>
      </c>
      <c r="L295" s="37">
        <f t="shared" si="39"/>
        <v>0</v>
      </c>
      <c r="M295" s="73">
        <v>0</v>
      </c>
    </row>
    <row r="296" spans="1:13" s="6" customFormat="1" ht="15.75">
      <c r="A296" s="268">
        <v>205</v>
      </c>
      <c r="B296" s="122" t="s">
        <v>1248</v>
      </c>
      <c r="C296" s="330"/>
      <c r="D296" s="801"/>
      <c r="E296" s="801"/>
      <c r="F296" s="40">
        <f t="shared" si="35"/>
        <v>0</v>
      </c>
      <c r="G296" s="72">
        <f t="shared" si="36"/>
        <v>0</v>
      </c>
      <c r="H296" s="37">
        <f t="shared" si="37"/>
        <v>0</v>
      </c>
      <c r="I296" s="96">
        <f t="shared" si="38"/>
        <v>0</v>
      </c>
      <c r="J296" s="37">
        <v>0</v>
      </c>
      <c r="K296" s="37">
        <f t="shared" si="40"/>
        <v>0</v>
      </c>
      <c r="L296" s="37">
        <f t="shared" si="39"/>
        <v>0</v>
      </c>
      <c r="M296" s="73">
        <v>0</v>
      </c>
    </row>
    <row r="297" spans="1:13" s="6" customFormat="1" ht="15.75">
      <c r="A297" s="268">
        <v>206</v>
      </c>
      <c r="B297" s="122" t="s">
        <v>1249</v>
      </c>
      <c r="C297" s="330"/>
      <c r="D297" s="801"/>
      <c r="E297" s="801"/>
      <c r="F297" s="40">
        <f t="shared" si="35"/>
        <v>0</v>
      </c>
      <c r="G297" s="72">
        <f t="shared" si="36"/>
        <v>0</v>
      </c>
      <c r="H297" s="37">
        <f t="shared" si="37"/>
        <v>0</v>
      </c>
      <c r="I297" s="96">
        <f t="shared" si="38"/>
        <v>0</v>
      </c>
      <c r="J297" s="37">
        <v>0</v>
      </c>
      <c r="K297" s="37">
        <f t="shared" si="40"/>
        <v>0</v>
      </c>
      <c r="L297" s="37">
        <f t="shared" si="39"/>
        <v>0</v>
      </c>
      <c r="M297" s="73">
        <v>0</v>
      </c>
    </row>
    <row r="298" spans="1:13" s="6" customFormat="1" ht="15.75">
      <c r="A298" s="268">
        <v>207</v>
      </c>
      <c r="B298" s="122" t="s">
        <v>1250</v>
      </c>
      <c r="C298" s="330"/>
      <c r="D298" s="801"/>
      <c r="E298" s="801"/>
      <c r="F298" s="40">
        <f t="shared" si="35"/>
        <v>0</v>
      </c>
      <c r="G298" s="72">
        <f t="shared" si="36"/>
        <v>0</v>
      </c>
      <c r="H298" s="37">
        <f t="shared" si="37"/>
        <v>0</v>
      </c>
      <c r="I298" s="96">
        <f t="shared" si="38"/>
        <v>0</v>
      </c>
      <c r="J298" s="37">
        <v>0</v>
      </c>
      <c r="K298" s="37">
        <f t="shared" si="40"/>
        <v>0</v>
      </c>
      <c r="L298" s="37">
        <f t="shared" si="39"/>
        <v>0</v>
      </c>
      <c r="M298" s="73">
        <v>0</v>
      </c>
    </row>
    <row r="299" spans="1:13" s="6" customFormat="1" ht="15.75">
      <c r="A299" s="268">
        <v>208</v>
      </c>
      <c r="B299" s="122" t="s">
        <v>1251</v>
      </c>
      <c r="C299" s="330"/>
      <c r="D299" s="801"/>
      <c r="E299" s="801"/>
      <c r="F299" s="40">
        <f t="shared" si="35"/>
        <v>0</v>
      </c>
      <c r="G299" s="72">
        <f t="shared" si="36"/>
        <v>0</v>
      </c>
      <c r="H299" s="37">
        <f t="shared" si="37"/>
        <v>0</v>
      </c>
      <c r="I299" s="96">
        <f t="shared" si="38"/>
        <v>0</v>
      </c>
      <c r="J299" s="37">
        <v>0</v>
      </c>
      <c r="K299" s="37">
        <f t="shared" si="40"/>
        <v>0</v>
      </c>
      <c r="L299" s="37">
        <f t="shared" si="39"/>
        <v>0</v>
      </c>
      <c r="M299" s="73">
        <v>0</v>
      </c>
    </row>
    <row r="300" spans="1:13" s="6" customFormat="1" ht="15.75">
      <c r="A300" s="268">
        <v>209</v>
      </c>
      <c r="B300" s="122" t="s">
        <v>1252</v>
      </c>
      <c r="C300" s="330"/>
      <c r="D300" s="801"/>
      <c r="E300" s="801"/>
      <c r="F300" s="40">
        <f t="shared" si="35"/>
        <v>0</v>
      </c>
      <c r="G300" s="72">
        <f t="shared" si="36"/>
        <v>0</v>
      </c>
      <c r="H300" s="37">
        <f t="shared" si="37"/>
        <v>0</v>
      </c>
      <c r="I300" s="96">
        <f t="shared" si="38"/>
        <v>0</v>
      </c>
      <c r="J300" s="37">
        <v>0</v>
      </c>
      <c r="K300" s="37">
        <f t="shared" si="40"/>
        <v>0</v>
      </c>
      <c r="L300" s="37">
        <f t="shared" si="39"/>
        <v>0</v>
      </c>
      <c r="M300" s="73">
        <v>0</v>
      </c>
    </row>
    <row r="301" spans="1:13" s="6" customFormat="1" ht="15.75">
      <c r="A301" s="268">
        <v>210</v>
      </c>
      <c r="B301" s="122" t="s">
        <v>1253</v>
      </c>
      <c r="C301" s="330"/>
      <c r="D301" s="801"/>
      <c r="E301" s="801"/>
      <c r="F301" s="40">
        <f t="shared" si="35"/>
        <v>0</v>
      </c>
      <c r="G301" s="72">
        <f t="shared" si="36"/>
        <v>0</v>
      </c>
      <c r="H301" s="37">
        <f t="shared" si="37"/>
        <v>0</v>
      </c>
      <c r="I301" s="96">
        <f t="shared" si="38"/>
        <v>0</v>
      </c>
      <c r="J301" s="37">
        <v>0</v>
      </c>
      <c r="K301" s="37">
        <f t="shared" si="40"/>
        <v>0</v>
      </c>
      <c r="L301" s="37">
        <f t="shared" si="39"/>
        <v>0</v>
      </c>
      <c r="M301" s="73">
        <v>0</v>
      </c>
    </row>
    <row r="302" spans="1:13" s="6" customFormat="1" ht="15.75">
      <c r="A302" s="275">
        <v>211</v>
      </c>
      <c r="B302" s="122" t="s">
        <v>1254</v>
      </c>
      <c r="C302" s="330"/>
      <c r="D302" s="801"/>
      <c r="E302" s="801"/>
      <c r="F302" s="40">
        <f t="shared" si="35"/>
        <v>0</v>
      </c>
      <c r="G302" s="72">
        <f t="shared" si="36"/>
        <v>0</v>
      </c>
      <c r="H302" s="37">
        <f t="shared" si="37"/>
        <v>0</v>
      </c>
      <c r="I302" s="96">
        <f t="shared" si="38"/>
        <v>0</v>
      </c>
      <c r="J302" s="37">
        <v>0</v>
      </c>
      <c r="K302" s="37">
        <f t="shared" si="40"/>
        <v>0</v>
      </c>
      <c r="L302" s="37">
        <f t="shared" si="39"/>
        <v>0</v>
      </c>
      <c r="M302" s="73">
        <v>0</v>
      </c>
    </row>
    <row r="303" spans="1:13" s="6" customFormat="1" ht="15.75">
      <c r="A303" s="268">
        <v>212</v>
      </c>
      <c r="B303" s="122" t="s">
        <v>1255</v>
      </c>
      <c r="C303" s="330"/>
      <c r="D303" s="801"/>
      <c r="E303" s="801"/>
      <c r="F303" s="40">
        <f t="shared" si="35"/>
        <v>0</v>
      </c>
      <c r="G303" s="72">
        <f t="shared" si="36"/>
        <v>0</v>
      </c>
      <c r="H303" s="37">
        <f t="shared" si="37"/>
        <v>0</v>
      </c>
      <c r="I303" s="96">
        <f t="shared" si="38"/>
        <v>0</v>
      </c>
      <c r="J303" s="37">
        <v>0</v>
      </c>
      <c r="K303" s="37">
        <f t="shared" si="40"/>
        <v>0</v>
      </c>
      <c r="L303" s="37">
        <f t="shared" si="39"/>
        <v>0</v>
      </c>
      <c r="M303" s="73">
        <v>0</v>
      </c>
    </row>
    <row r="304" spans="1:13" s="6" customFormat="1" ht="15.75">
      <c r="A304" s="268">
        <v>213</v>
      </c>
      <c r="B304" s="122" t="s">
        <v>1256</v>
      </c>
      <c r="C304" s="330"/>
      <c r="D304" s="801"/>
      <c r="E304" s="801"/>
      <c r="F304" s="40">
        <f t="shared" si="35"/>
        <v>0</v>
      </c>
      <c r="G304" s="72">
        <f t="shared" si="36"/>
        <v>0</v>
      </c>
      <c r="H304" s="37">
        <f t="shared" si="37"/>
        <v>0</v>
      </c>
      <c r="I304" s="96">
        <f t="shared" si="38"/>
        <v>0</v>
      </c>
      <c r="J304" s="37">
        <v>0</v>
      </c>
      <c r="K304" s="37">
        <f t="shared" si="40"/>
        <v>0</v>
      </c>
      <c r="L304" s="37">
        <f t="shared" si="39"/>
        <v>0</v>
      </c>
      <c r="M304" s="73">
        <v>0</v>
      </c>
    </row>
    <row r="305" spans="1:13" s="6" customFormat="1" ht="15.75">
      <c r="A305" s="268">
        <v>214</v>
      </c>
      <c r="B305" s="122" t="s">
        <v>1257</v>
      </c>
      <c r="C305" s="330"/>
      <c r="D305" s="801"/>
      <c r="E305" s="801"/>
      <c r="F305" s="40">
        <f t="shared" si="35"/>
        <v>0</v>
      </c>
      <c r="G305" s="72">
        <f t="shared" si="36"/>
        <v>0</v>
      </c>
      <c r="H305" s="37">
        <f t="shared" si="37"/>
        <v>0</v>
      </c>
      <c r="I305" s="96">
        <f t="shared" si="38"/>
        <v>0</v>
      </c>
      <c r="J305" s="37">
        <v>0</v>
      </c>
      <c r="K305" s="37">
        <f t="shared" si="40"/>
        <v>0</v>
      </c>
      <c r="L305" s="37">
        <f t="shared" si="39"/>
        <v>0</v>
      </c>
      <c r="M305" s="73">
        <v>0</v>
      </c>
    </row>
    <row r="306" spans="1:13" s="6" customFormat="1" ht="15.75">
      <c r="A306" s="268">
        <v>215</v>
      </c>
      <c r="B306" s="122" t="s">
        <v>1258</v>
      </c>
      <c r="C306" s="330"/>
      <c r="D306" s="801"/>
      <c r="E306" s="801"/>
      <c r="F306" s="40">
        <f t="shared" si="35"/>
        <v>0</v>
      </c>
      <c r="G306" s="72">
        <f t="shared" si="36"/>
        <v>0</v>
      </c>
      <c r="H306" s="37">
        <f t="shared" si="37"/>
        <v>0</v>
      </c>
      <c r="I306" s="96">
        <f t="shared" si="38"/>
        <v>0</v>
      </c>
      <c r="J306" s="37">
        <v>0</v>
      </c>
      <c r="K306" s="37">
        <f t="shared" si="40"/>
        <v>0</v>
      </c>
      <c r="L306" s="37">
        <f t="shared" si="39"/>
        <v>0</v>
      </c>
      <c r="M306" s="73">
        <v>0</v>
      </c>
    </row>
    <row r="307" spans="1:13" s="6" customFormat="1" ht="15.75">
      <c r="A307" s="268">
        <v>216</v>
      </c>
      <c r="B307" s="122" t="s">
        <v>1259</v>
      </c>
      <c r="C307" s="330"/>
      <c r="D307" s="801"/>
      <c r="E307" s="801"/>
      <c r="F307" s="40">
        <f t="shared" si="35"/>
        <v>0</v>
      </c>
      <c r="G307" s="72">
        <f t="shared" si="36"/>
        <v>0</v>
      </c>
      <c r="H307" s="37">
        <f t="shared" si="37"/>
        <v>0</v>
      </c>
      <c r="I307" s="96">
        <f t="shared" si="38"/>
        <v>0</v>
      </c>
      <c r="J307" s="37">
        <v>0</v>
      </c>
      <c r="K307" s="37">
        <f t="shared" si="40"/>
        <v>0</v>
      </c>
      <c r="L307" s="37">
        <f t="shared" si="39"/>
        <v>0</v>
      </c>
      <c r="M307" s="73">
        <v>0</v>
      </c>
    </row>
    <row r="308" spans="1:13" s="6" customFormat="1" ht="15.75">
      <c r="A308" s="268">
        <v>217</v>
      </c>
      <c r="B308" s="122" t="s">
        <v>1260</v>
      </c>
      <c r="C308" s="330"/>
      <c r="D308" s="801"/>
      <c r="E308" s="801"/>
      <c r="F308" s="40">
        <f t="shared" si="35"/>
        <v>0</v>
      </c>
      <c r="G308" s="72">
        <f t="shared" si="36"/>
        <v>0</v>
      </c>
      <c r="H308" s="37">
        <f t="shared" si="37"/>
        <v>0</v>
      </c>
      <c r="I308" s="96">
        <f t="shared" si="38"/>
        <v>0</v>
      </c>
      <c r="J308" s="37">
        <v>0</v>
      </c>
      <c r="K308" s="37">
        <f t="shared" si="40"/>
        <v>0</v>
      </c>
      <c r="L308" s="37">
        <f t="shared" si="39"/>
        <v>0</v>
      </c>
      <c r="M308" s="73">
        <v>0</v>
      </c>
    </row>
    <row r="309" spans="1:13" s="6" customFormat="1" ht="15.75">
      <c r="A309" s="275">
        <v>218</v>
      </c>
      <c r="B309" s="122" t="s">
        <v>1261</v>
      </c>
      <c r="C309" s="330"/>
      <c r="D309" s="801"/>
      <c r="E309" s="801"/>
      <c r="F309" s="40">
        <f t="shared" si="35"/>
        <v>0</v>
      </c>
      <c r="G309" s="72">
        <f t="shared" si="36"/>
        <v>0</v>
      </c>
      <c r="H309" s="37">
        <f t="shared" si="37"/>
        <v>0</v>
      </c>
      <c r="I309" s="96">
        <f t="shared" si="38"/>
        <v>0</v>
      </c>
      <c r="J309" s="37">
        <v>0</v>
      </c>
      <c r="K309" s="37">
        <f t="shared" si="40"/>
        <v>0</v>
      </c>
      <c r="L309" s="37">
        <f t="shared" si="39"/>
        <v>0</v>
      </c>
      <c r="M309" s="73">
        <v>0</v>
      </c>
    </row>
    <row r="310" spans="1:13" s="6" customFormat="1" ht="15.75">
      <c r="A310" s="268">
        <v>219</v>
      </c>
      <c r="B310" s="122" t="s">
        <v>1262</v>
      </c>
      <c r="C310" s="330"/>
      <c r="D310" s="801"/>
      <c r="E310" s="801"/>
      <c r="F310" s="40">
        <f t="shared" si="35"/>
        <v>0</v>
      </c>
      <c r="G310" s="72">
        <f t="shared" si="36"/>
        <v>0</v>
      </c>
      <c r="H310" s="37">
        <f t="shared" si="37"/>
        <v>0</v>
      </c>
      <c r="I310" s="96">
        <f t="shared" si="38"/>
        <v>0</v>
      </c>
      <c r="J310" s="37">
        <v>0</v>
      </c>
      <c r="K310" s="37">
        <f t="shared" si="40"/>
        <v>0</v>
      </c>
      <c r="L310" s="37">
        <f t="shared" si="39"/>
        <v>0</v>
      </c>
      <c r="M310" s="73">
        <v>0</v>
      </c>
    </row>
    <row r="311" spans="1:13" s="6" customFormat="1" ht="15.75">
      <c r="A311" s="268">
        <v>220</v>
      </c>
      <c r="B311" s="122" t="s">
        <v>1263</v>
      </c>
      <c r="C311" s="330"/>
      <c r="D311" s="801"/>
      <c r="E311" s="801"/>
      <c r="F311" s="40">
        <f t="shared" si="35"/>
        <v>0</v>
      </c>
      <c r="G311" s="72">
        <f t="shared" si="36"/>
        <v>0</v>
      </c>
      <c r="H311" s="37">
        <f t="shared" si="37"/>
        <v>0</v>
      </c>
      <c r="I311" s="96">
        <f t="shared" si="38"/>
        <v>0</v>
      </c>
      <c r="J311" s="37">
        <v>0</v>
      </c>
      <c r="K311" s="37">
        <f t="shared" si="40"/>
        <v>0</v>
      </c>
      <c r="L311" s="37">
        <f t="shared" si="39"/>
        <v>0</v>
      </c>
      <c r="M311" s="73">
        <v>0</v>
      </c>
    </row>
    <row r="312" spans="1:13" s="6" customFormat="1" ht="15.75">
      <c r="A312" s="268">
        <v>221</v>
      </c>
      <c r="B312" s="122" t="s">
        <v>1264</v>
      </c>
      <c r="C312" s="330"/>
      <c r="D312" s="801"/>
      <c r="E312" s="801"/>
      <c r="F312" s="40">
        <f t="shared" si="35"/>
        <v>0</v>
      </c>
      <c r="G312" s="72">
        <f t="shared" si="36"/>
        <v>0</v>
      </c>
      <c r="H312" s="37">
        <f t="shared" si="37"/>
        <v>0</v>
      </c>
      <c r="I312" s="96">
        <f t="shared" si="38"/>
        <v>0</v>
      </c>
      <c r="J312" s="37">
        <v>0</v>
      </c>
      <c r="K312" s="37">
        <f t="shared" si="40"/>
        <v>0</v>
      </c>
      <c r="L312" s="37">
        <f t="shared" si="39"/>
        <v>0</v>
      </c>
      <c r="M312" s="73">
        <v>0</v>
      </c>
    </row>
    <row r="313" spans="1:13" s="6" customFormat="1" ht="15.75">
      <c r="A313" s="268">
        <v>222</v>
      </c>
      <c r="B313" s="122" t="s">
        <v>1265</v>
      </c>
      <c r="C313" s="330"/>
      <c r="D313" s="801"/>
      <c r="E313" s="801"/>
      <c r="F313" s="40">
        <f t="shared" si="35"/>
        <v>0</v>
      </c>
      <c r="G313" s="72">
        <f t="shared" si="36"/>
        <v>0</v>
      </c>
      <c r="H313" s="37">
        <f t="shared" si="37"/>
        <v>0</v>
      </c>
      <c r="I313" s="96">
        <f t="shared" si="38"/>
        <v>0</v>
      </c>
      <c r="J313" s="37">
        <v>0</v>
      </c>
      <c r="K313" s="37">
        <f t="shared" si="40"/>
        <v>0</v>
      </c>
      <c r="L313" s="37">
        <f t="shared" si="39"/>
        <v>0</v>
      </c>
      <c r="M313" s="73">
        <v>0</v>
      </c>
    </row>
    <row r="314" spans="1:13" s="6" customFormat="1" ht="15.75">
      <c r="A314" s="268">
        <v>223</v>
      </c>
      <c r="B314" s="122" t="s">
        <v>1266</v>
      </c>
      <c r="C314" s="330"/>
      <c r="D314" s="801"/>
      <c r="E314" s="801"/>
      <c r="F314" s="40">
        <f t="shared" si="35"/>
        <v>0</v>
      </c>
      <c r="G314" s="72">
        <f t="shared" si="36"/>
        <v>0</v>
      </c>
      <c r="H314" s="37">
        <f t="shared" si="37"/>
        <v>0</v>
      </c>
      <c r="I314" s="96">
        <f t="shared" si="38"/>
        <v>0</v>
      </c>
      <c r="J314" s="37">
        <v>0</v>
      </c>
      <c r="K314" s="37">
        <f t="shared" si="40"/>
        <v>0</v>
      </c>
      <c r="L314" s="37">
        <f t="shared" si="39"/>
        <v>0</v>
      </c>
      <c r="M314" s="73">
        <v>0</v>
      </c>
    </row>
    <row r="315" spans="1:13" s="6" customFormat="1" ht="15.75">
      <c r="A315" s="268">
        <v>224</v>
      </c>
      <c r="B315" s="122" t="s">
        <v>1267</v>
      </c>
      <c r="C315" s="330"/>
      <c r="D315" s="801"/>
      <c r="E315" s="801"/>
      <c r="F315" s="40">
        <f t="shared" si="35"/>
        <v>0</v>
      </c>
      <c r="G315" s="72">
        <f t="shared" si="36"/>
        <v>0</v>
      </c>
      <c r="H315" s="37">
        <f t="shared" si="37"/>
        <v>0</v>
      </c>
      <c r="I315" s="96">
        <f t="shared" si="38"/>
        <v>0</v>
      </c>
      <c r="J315" s="37">
        <v>0</v>
      </c>
      <c r="K315" s="37">
        <f t="shared" si="40"/>
        <v>0</v>
      </c>
      <c r="L315" s="37">
        <f t="shared" si="39"/>
        <v>0</v>
      </c>
      <c r="M315" s="73">
        <v>0</v>
      </c>
    </row>
    <row r="316" spans="1:13" s="6" customFormat="1" ht="15.75">
      <c r="A316" s="275">
        <v>225</v>
      </c>
      <c r="B316" s="122" t="s">
        <v>1268</v>
      </c>
      <c r="C316" s="330"/>
      <c r="D316" s="801"/>
      <c r="E316" s="801"/>
      <c r="F316" s="40">
        <f t="shared" si="35"/>
        <v>0</v>
      </c>
      <c r="G316" s="72">
        <f t="shared" si="36"/>
        <v>0</v>
      </c>
      <c r="H316" s="37">
        <f t="shared" si="37"/>
        <v>0</v>
      </c>
      <c r="I316" s="96">
        <f t="shared" si="38"/>
        <v>0</v>
      </c>
      <c r="J316" s="37">
        <v>0</v>
      </c>
      <c r="K316" s="37">
        <f t="shared" si="40"/>
        <v>0</v>
      </c>
      <c r="L316" s="37">
        <f t="shared" si="39"/>
        <v>0</v>
      </c>
      <c r="M316" s="73">
        <v>0</v>
      </c>
    </row>
    <row r="317" spans="1:13" s="6" customFormat="1" ht="15.75">
      <c r="A317" s="268">
        <v>226</v>
      </c>
      <c r="B317" s="122" t="s">
        <v>1269</v>
      </c>
      <c r="C317" s="330"/>
      <c r="D317" s="801"/>
      <c r="E317" s="801"/>
      <c r="F317" s="40">
        <f t="shared" si="35"/>
        <v>0</v>
      </c>
      <c r="G317" s="72">
        <f t="shared" si="36"/>
        <v>0</v>
      </c>
      <c r="H317" s="37">
        <f t="shared" si="37"/>
        <v>0</v>
      </c>
      <c r="I317" s="96">
        <f t="shared" si="38"/>
        <v>0</v>
      </c>
      <c r="J317" s="37">
        <v>0</v>
      </c>
      <c r="K317" s="37">
        <f t="shared" si="40"/>
        <v>0</v>
      </c>
      <c r="L317" s="37">
        <f t="shared" si="39"/>
        <v>0</v>
      </c>
      <c r="M317" s="73">
        <v>0</v>
      </c>
    </row>
    <row r="318" spans="1:13" s="6" customFormat="1" ht="15.75">
      <c r="A318" s="268">
        <v>227</v>
      </c>
      <c r="B318" s="122" t="s">
        <v>1270</v>
      </c>
      <c r="C318" s="330"/>
      <c r="D318" s="801"/>
      <c r="E318" s="801"/>
      <c r="F318" s="40">
        <f t="shared" si="35"/>
        <v>0</v>
      </c>
      <c r="G318" s="72">
        <f t="shared" si="36"/>
        <v>0</v>
      </c>
      <c r="H318" s="37">
        <f t="shared" si="37"/>
        <v>0</v>
      </c>
      <c r="I318" s="96">
        <f t="shared" si="38"/>
        <v>0</v>
      </c>
      <c r="J318" s="37">
        <v>0</v>
      </c>
      <c r="K318" s="37">
        <f t="shared" si="40"/>
        <v>0</v>
      </c>
      <c r="L318" s="37">
        <f t="shared" si="39"/>
        <v>0</v>
      </c>
      <c r="M318" s="73">
        <v>0</v>
      </c>
    </row>
    <row r="319" spans="1:13" s="6" customFormat="1" ht="15.75">
      <c r="A319" s="268">
        <v>228</v>
      </c>
      <c r="B319" s="122" t="s">
        <v>1271</v>
      </c>
      <c r="C319" s="330"/>
      <c r="D319" s="801"/>
      <c r="E319" s="801"/>
      <c r="F319" s="40">
        <f t="shared" si="35"/>
        <v>0</v>
      </c>
      <c r="G319" s="72">
        <f t="shared" si="36"/>
        <v>0</v>
      </c>
      <c r="H319" s="37">
        <f t="shared" si="37"/>
        <v>0</v>
      </c>
      <c r="I319" s="96">
        <f t="shared" si="38"/>
        <v>0</v>
      </c>
      <c r="J319" s="37">
        <v>0</v>
      </c>
      <c r="K319" s="37">
        <f t="shared" si="40"/>
        <v>0</v>
      </c>
      <c r="L319" s="37">
        <f t="shared" si="39"/>
        <v>0</v>
      </c>
      <c r="M319" s="73">
        <v>0</v>
      </c>
    </row>
    <row r="320" spans="1:13" s="6" customFormat="1" ht="15.75">
      <c r="A320" s="268">
        <v>229</v>
      </c>
      <c r="B320" s="122" t="s">
        <v>1272</v>
      </c>
      <c r="C320" s="330"/>
      <c r="D320" s="801"/>
      <c r="E320" s="801"/>
      <c r="F320" s="40">
        <f t="shared" si="35"/>
        <v>0</v>
      </c>
      <c r="G320" s="72">
        <f t="shared" si="36"/>
        <v>0</v>
      </c>
      <c r="H320" s="37">
        <f t="shared" si="37"/>
        <v>0</v>
      </c>
      <c r="I320" s="96">
        <f t="shared" si="38"/>
        <v>0</v>
      </c>
      <c r="J320" s="37">
        <v>0</v>
      </c>
      <c r="K320" s="37">
        <f t="shared" si="40"/>
        <v>0</v>
      </c>
      <c r="L320" s="37">
        <f t="shared" si="39"/>
        <v>0</v>
      </c>
      <c r="M320" s="73">
        <v>0</v>
      </c>
    </row>
    <row r="321" spans="1:13" s="6" customFormat="1" ht="15.75">
      <c r="A321" s="268">
        <v>230</v>
      </c>
      <c r="B321" s="122" t="s">
        <v>1273</v>
      </c>
      <c r="C321" s="330"/>
      <c r="D321" s="801"/>
      <c r="E321" s="801"/>
      <c r="F321" s="40">
        <f t="shared" si="35"/>
        <v>0</v>
      </c>
      <c r="G321" s="72">
        <f t="shared" si="36"/>
        <v>0</v>
      </c>
      <c r="H321" s="37">
        <f t="shared" si="37"/>
        <v>0</v>
      </c>
      <c r="I321" s="96">
        <f t="shared" si="38"/>
        <v>0</v>
      </c>
      <c r="J321" s="37">
        <v>0</v>
      </c>
      <c r="K321" s="37">
        <f t="shared" si="40"/>
        <v>0</v>
      </c>
      <c r="L321" s="37">
        <f t="shared" si="39"/>
        <v>0</v>
      </c>
      <c r="M321" s="73">
        <v>0</v>
      </c>
    </row>
    <row r="322" spans="1:13" s="6" customFormat="1" ht="15.75">
      <c r="A322" s="268">
        <v>231</v>
      </c>
      <c r="B322" s="122" t="s">
        <v>1274</v>
      </c>
      <c r="C322" s="330"/>
      <c r="D322" s="801"/>
      <c r="E322" s="801"/>
      <c r="F322" s="40">
        <f t="shared" si="35"/>
        <v>0</v>
      </c>
      <c r="G322" s="72">
        <f t="shared" si="36"/>
        <v>0</v>
      </c>
      <c r="H322" s="37">
        <f t="shared" si="37"/>
        <v>0</v>
      </c>
      <c r="I322" s="96">
        <f t="shared" si="38"/>
        <v>0</v>
      </c>
      <c r="J322" s="37">
        <v>0</v>
      </c>
      <c r="K322" s="37">
        <f t="shared" si="40"/>
        <v>0</v>
      </c>
      <c r="L322" s="37">
        <f t="shared" si="39"/>
        <v>0</v>
      </c>
      <c r="M322" s="73">
        <v>0</v>
      </c>
    </row>
    <row r="323" spans="1:13" s="6" customFormat="1" ht="15.75">
      <c r="A323" s="275">
        <v>232</v>
      </c>
      <c r="B323" s="122" t="s">
        <v>1275</v>
      </c>
      <c r="C323" s="330"/>
      <c r="D323" s="801"/>
      <c r="E323" s="801"/>
      <c r="F323" s="40">
        <f t="shared" si="35"/>
        <v>0</v>
      </c>
      <c r="G323" s="72">
        <f t="shared" si="36"/>
        <v>0</v>
      </c>
      <c r="H323" s="37">
        <f t="shared" si="37"/>
        <v>0</v>
      </c>
      <c r="I323" s="96">
        <f t="shared" si="38"/>
        <v>0</v>
      </c>
      <c r="J323" s="37">
        <v>0</v>
      </c>
      <c r="K323" s="37">
        <f t="shared" si="40"/>
        <v>0</v>
      </c>
      <c r="L323" s="37">
        <f t="shared" si="39"/>
        <v>0</v>
      </c>
      <c r="M323" s="73">
        <v>0</v>
      </c>
    </row>
    <row r="324" spans="1:13" s="6" customFormat="1" ht="15.75">
      <c r="A324" s="268">
        <v>233</v>
      </c>
      <c r="B324" s="122" t="s">
        <v>1276</v>
      </c>
      <c r="C324" s="330"/>
      <c r="D324" s="801"/>
      <c r="E324" s="801"/>
      <c r="F324" s="40">
        <f t="shared" si="35"/>
        <v>0</v>
      </c>
      <c r="G324" s="72">
        <f t="shared" si="36"/>
        <v>0</v>
      </c>
      <c r="H324" s="37">
        <f t="shared" si="37"/>
        <v>0</v>
      </c>
      <c r="I324" s="96">
        <f t="shared" si="38"/>
        <v>0</v>
      </c>
      <c r="J324" s="37">
        <v>0</v>
      </c>
      <c r="K324" s="37">
        <f t="shared" si="40"/>
        <v>0</v>
      </c>
      <c r="L324" s="37">
        <f t="shared" si="39"/>
        <v>0</v>
      </c>
      <c r="M324" s="73">
        <v>0</v>
      </c>
    </row>
    <row r="325" spans="1:13" s="6" customFormat="1" ht="15.75">
      <c r="A325" s="268">
        <v>234</v>
      </c>
      <c r="B325" s="122" t="s">
        <v>1277</v>
      </c>
      <c r="C325" s="330"/>
      <c r="D325" s="801"/>
      <c r="E325" s="801"/>
      <c r="F325" s="40">
        <f t="shared" si="35"/>
        <v>0</v>
      </c>
      <c r="G325" s="72">
        <f t="shared" si="36"/>
        <v>0</v>
      </c>
      <c r="H325" s="37">
        <f t="shared" si="37"/>
        <v>0</v>
      </c>
      <c r="I325" s="96">
        <f t="shared" si="38"/>
        <v>0</v>
      </c>
      <c r="J325" s="37">
        <v>0</v>
      </c>
      <c r="K325" s="37">
        <f t="shared" si="40"/>
        <v>0</v>
      </c>
      <c r="L325" s="37">
        <f t="shared" si="39"/>
        <v>0</v>
      </c>
      <c r="M325" s="73">
        <v>0</v>
      </c>
    </row>
    <row r="326" spans="1:13" s="6" customFormat="1" ht="15.75">
      <c r="A326" s="268">
        <v>235</v>
      </c>
      <c r="B326" s="122" t="s">
        <v>1278</v>
      </c>
      <c r="C326" s="330"/>
      <c r="D326" s="801"/>
      <c r="E326" s="801"/>
      <c r="F326" s="40">
        <f t="shared" si="35"/>
        <v>0</v>
      </c>
      <c r="G326" s="72">
        <f t="shared" si="36"/>
        <v>0</v>
      </c>
      <c r="H326" s="37">
        <f t="shared" si="37"/>
        <v>0</v>
      </c>
      <c r="I326" s="96">
        <f t="shared" si="38"/>
        <v>0</v>
      </c>
      <c r="J326" s="37">
        <v>0</v>
      </c>
      <c r="K326" s="37">
        <f t="shared" si="40"/>
        <v>0</v>
      </c>
      <c r="L326" s="37">
        <f t="shared" si="39"/>
        <v>0</v>
      </c>
      <c r="M326" s="73">
        <v>0</v>
      </c>
    </row>
    <row r="327" spans="1:13" s="6" customFormat="1" ht="15.75">
      <c r="A327" s="268">
        <v>236</v>
      </c>
      <c r="B327" s="122" t="s">
        <v>1279</v>
      </c>
      <c r="C327" s="330"/>
      <c r="D327" s="801"/>
      <c r="E327" s="801"/>
      <c r="F327" s="40">
        <f t="shared" si="35"/>
        <v>0</v>
      </c>
      <c r="G327" s="72">
        <f t="shared" si="36"/>
        <v>0</v>
      </c>
      <c r="H327" s="37">
        <f t="shared" si="37"/>
        <v>0</v>
      </c>
      <c r="I327" s="96">
        <f t="shared" si="38"/>
        <v>0</v>
      </c>
      <c r="J327" s="37">
        <v>0</v>
      </c>
      <c r="K327" s="37">
        <f t="shared" si="40"/>
        <v>0</v>
      </c>
      <c r="L327" s="37">
        <f t="shared" si="39"/>
        <v>0</v>
      </c>
      <c r="M327" s="73">
        <v>0</v>
      </c>
    </row>
    <row r="328" spans="1:13" s="6" customFormat="1" ht="15.75">
      <c r="A328" s="268">
        <v>237</v>
      </c>
      <c r="B328" s="122" t="s">
        <v>1280</v>
      </c>
      <c r="C328" s="330"/>
      <c r="D328" s="801"/>
      <c r="E328" s="801"/>
      <c r="F328" s="40">
        <f t="shared" si="35"/>
        <v>0</v>
      </c>
      <c r="G328" s="72">
        <f t="shared" si="36"/>
        <v>0</v>
      </c>
      <c r="H328" s="37">
        <f t="shared" si="37"/>
        <v>0</v>
      </c>
      <c r="I328" s="96">
        <f t="shared" si="38"/>
        <v>0</v>
      </c>
      <c r="J328" s="37">
        <v>0</v>
      </c>
      <c r="K328" s="37">
        <f t="shared" si="40"/>
        <v>0</v>
      </c>
      <c r="L328" s="37">
        <f t="shared" si="39"/>
        <v>0</v>
      </c>
      <c r="M328" s="73">
        <v>0</v>
      </c>
    </row>
    <row r="329" spans="1:13" s="6" customFormat="1" ht="15.75">
      <c r="A329" s="268">
        <v>238</v>
      </c>
      <c r="B329" s="122" t="s">
        <v>1281</v>
      </c>
      <c r="C329" s="330"/>
      <c r="D329" s="801"/>
      <c r="E329" s="801"/>
      <c r="F329" s="40">
        <f t="shared" si="35"/>
        <v>0</v>
      </c>
      <c r="G329" s="72">
        <f t="shared" si="36"/>
        <v>0</v>
      </c>
      <c r="H329" s="37">
        <f t="shared" si="37"/>
        <v>0</v>
      </c>
      <c r="I329" s="96">
        <f t="shared" si="38"/>
        <v>0</v>
      </c>
      <c r="J329" s="37">
        <v>0</v>
      </c>
      <c r="K329" s="37">
        <f t="shared" si="40"/>
        <v>0</v>
      </c>
      <c r="L329" s="37">
        <f t="shared" si="39"/>
        <v>0</v>
      </c>
      <c r="M329" s="73">
        <v>0</v>
      </c>
    </row>
    <row r="330" spans="1:13" s="6" customFormat="1" ht="15.75">
      <c r="A330" s="275">
        <v>239</v>
      </c>
      <c r="B330" s="122" t="s">
        <v>1282</v>
      </c>
      <c r="C330" s="330"/>
      <c r="D330" s="801"/>
      <c r="E330" s="801"/>
      <c r="F330" s="40">
        <f t="shared" si="35"/>
        <v>0</v>
      </c>
      <c r="G330" s="72">
        <f t="shared" si="36"/>
        <v>0</v>
      </c>
      <c r="H330" s="37">
        <f t="shared" si="37"/>
        <v>0</v>
      </c>
      <c r="I330" s="96">
        <f t="shared" si="38"/>
        <v>0</v>
      </c>
      <c r="J330" s="37">
        <v>0</v>
      </c>
      <c r="K330" s="37">
        <f t="shared" si="40"/>
        <v>0</v>
      </c>
      <c r="L330" s="37">
        <f t="shared" si="39"/>
        <v>0</v>
      </c>
      <c r="M330" s="73">
        <v>0</v>
      </c>
    </row>
    <row r="331" spans="1:13" s="6" customFormat="1" ht="15.75">
      <c r="A331" s="268">
        <v>240</v>
      </c>
      <c r="B331" s="122" t="s">
        <v>1283</v>
      </c>
      <c r="C331" s="330"/>
      <c r="D331" s="801"/>
      <c r="E331" s="801"/>
      <c r="F331" s="40">
        <f t="shared" si="35"/>
        <v>0</v>
      </c>
      <c r="G331" s="72">
        <f t="shared" si="36"/>
        <v>0</v>
      </c>
      <c r="H331" s="37">
        <f t="shared" si="37"/>
        <v>0</v>
      </c>
      <c r="I331" s="96">
        <f t="shared" si="38"/>
        <v>0</v>
      </c>
      <c r="J331" s="37">
        <v>0</v>
      </c>
      <c r="K331" s="37">
        <f t="shared" si="40"/>
        <v>0</v>
      </c>
      <c r="L331" s="37">
        <f t="shared" si="39"/>
        <v>0</v>
      </c>
      <c r="M331" s="73">
        <v>0</v>
      </c>
    </row>
    <row r="332" spans="1:13" s="6" customFormat="1" ht="15.75">
      <c r="A332" s="268">
        <v>241</v>
      </c>
      <c r="B332" s="122" t="s">
        <v>1284</v>
      </c>
      <c r="C332" s="330"/>
      <c r="D332" s="801"/>
      <c r="E332" s="801"/>
      <c r="F332" s="40">
        <f t="shared" si="35"/>
        <v>0</v>
      </c>
      <c r="G332" s="72">
        <f t="shared" si="36"/>
        <v>0</v>
      </c>
      <c r="H332" s="37">
        <f t="shared" si="37"/>
        <v>0</v>
      </c>
      <c r="I332" s="96">
        <f t="shared" si="38"/>
        <v>0</v>
      </c>
      <c r="J332" s="37">
        <v>0</v>
      </c>
      <c r="K332" s="37">
        <f t="shared" si="40"/>
        <v>0</v>
      </c>
      <c r="L332" s="37">
        <f t="shared" si="39"/>
        <v>0</v>
      </c>
      <c r="M332" s="73">
        <v>0</v>
      </c>
    </row>
    <row r="333" spans="1:13" s="6" customFormat="1" ht="15.75">
      <c r="A333" s="268">
        <v>242</v>
      </c>
      <c r="B333" s="122" t="s">
        <v>1285</v>
      </c>
      <c r="C333" s="330"/>
      <c r="D333" s="801"/>
      <c r="E333" s="801"/>
      <c r="F333" s="40">
        <f t="shared" si="35"/>
        <v>0</v>
      </c>
      <c r="G333" s="72">
        <f t="shared" si="36"/>
        <v>0</v>
      </c>
      <c r="H333" s="37">
        <f t="shared" si="37"/>
        <v>0</v>
      </c>
      <c r="I333" s="96">
        <f t="shared" si="38"/>
        <v>0</v>
      </c>
      <c r="J333" s="37">
        <v>0</v>
      </c>
      <c r="K333" s="37">
        <f t="shared" si="40"/>
        <v>0</v>
      </c>
      <c r="L333" s="37">
        <f t="shared" si="39"/>
        <v>0</v>
      </c>
      <c r="M333" s="73">
        <v>0</v>
      </c>
    </row>
    <row r="334" spans="1:13" s="6" customFormat="1" ht="15.75">
      <c r="A334" s="268">
        <v>243</v>
      </c>
      <c r="B334" s="122" t="s">
        <v>1286</v>
      </c>
      <c r="C334" s="330"/>
      <c r="D334" s="801"/>
      <c r="E334" s="801"/>
      <c r="F334" s="40">
        <f t="shared" si="35"/>
        <v>0</v>
      </c>
      <c r="G334" s="72">
        <f t="shared" si="36"/>
        <v>0</v>
      </c>
      <c r="H334" s="37">
        <f t="shared" si="37"/>
        <v>0</v>
      </c>
      <c r="I334" s="96">
        <f t="shared" si="38"/>
        <v>0</v>
      </c>
      <c r="J334" s="37">
        <v>0</v>
      </c>
      <c r="K334" s="37">
        <f t="shared" si="40"/>
        <v>0</v>
      </c>
      <c r="L334" s="37">
        <f t="shared" si="39"/>
        <v>0</v>
      </c>
      <c r="M334" s="73">
        <v>0</v>
      </c>
    </row>
    <row r="335" spans="1:13" s="6" customFormat="1" ht="15.75">
      <c r="A335" s="268">
        <v>244</v>
      </c>
      <c r="B335" s="122" t="s">
        <v>1287</v>
      </c>
      <c r="C335" s="330"/>
      <c r="D335" s="801"/>
      <c r="E335" s="801"/>
      <c r="F335" s="40">
        <f t="shared" si="35"/>
        <v>0</v>
      </c>
      <c r="G335" s="72">
        <f t="shared" si="36"/>
        <v>0</v>
      </c>
      <c r="H335" s="37">
        <f t="shared" si="37"/>
        <v>0</v>
      </c>
      <c r="I335" s="96">
        <f t="shared" si="38"/>
        <v>0</v>
      </c>
      <c r="J335" s="37">
        <v>0</v>
      </c>
      <c r="K335" s="37">
        <f t="shared" si="40"/>
        <v>0</v>
      </c>
      <c r="L335" s="37">
        <f t="shared" si="39"/>
        <v>0</v>
      </c>
      <c r="M335" s="73">
        <v>0</v>
      </c>
    </row>
    <row r="336" spans="1:13" s="6" customFormat="1" ht="15.75">
      <c r="A336" s="268">
        <v>245</v>
      </c>
      <c r="B336" s="122" t="s">
        <v>1288</v>
      </c>
      <c r="C336" s="330"/>
      <c r="D336" s="801"/>
      <c r="E336" s="801"/>
      <c r="F336" s="40">
        <f t="shared" si="35"/>
        <v>0</v>
      </c>
      <c r="G336" s="72">
        <f t="shared" si="36"/>
        <v>0</v>
      </c>
      <c r="H336" s="37">
        <f t="shared" si="37"/>
        <v>0</v>
      </c>
      <c r="I336" s="96">
        <f t="shared" si="38"/>
        <v>0</v>
      </c>
      <c r="J336" s="37">
        <v>0</v>
      </c>
      <c r="K336" s="37">
        <f t="shared" si="40"/>
        <v>0</v>
      </c>
      <c r="L336" s="37">
        <f t="shared" si="39"/>
        <v>0</v>
      </c>
      <c r="M336" s="73">
        <v>0</v>
      </c>
    </row>
    <row r="337" spans="1:13" s="6" customFormat="1" ht="15.75">
      <c r="A337" s="275">
        <v>246</v>
      </c>
      <c r="B337" s="122" t="s">
        <v>1289</v>
      </c>
      <c r="C337" s="330"/>
      <c r="D337" s="801"/>
      <c r="E337" s="801"/>
      <c r="F337" s="40">
        <f t="shared" si="35"/>
        <v>0</v>
      </c>
      <c r="G337" s="72">
        <f t="shared" si="36"/>
        <v>0</v>
      </c>
      <c r="H337" s="37">
        <f t="shared" si="37"/>
        <v>0</v>
      </c>
      <c r="I337" s="96">
        <f t="shared" si="38"/>
        <v>0</v>
      </c>
      <c r="J337" s="37">
        <v>0</v>
      </c>
      <c r="K337" s="37">
        <f t="shared" si="40"/>
        <v>0</v>
      </c>
      <c r="L337" s="37">
        <f t="shared" si="39"/>
        <v>0</v>
      </c>
      <c r="M337" s="73">
        <v>0</v>
      </c>
    </row>
    <row r="338" spans="1:13" s="6" customFormat="1" ht="15.75">
      <c r="A338" s="268">
        <v>247</v>
      </c>
      <c r="B338" s="122" t="s">
        <v>1290</v>
      </c>
      <c r="C338" s="330"/>
      <c r="D338" s="801"/>
      <c r="E338" s="801"/>
      <c r="F338" s="40">
        <f t="shared" si="35"/>
        <v>0</v>
      </c>
      <c r="G338" s="72">
        <f t="shared" si="36"/>
        <v>0</v>
      </c>
      <c r="H338" s="37">
        <f t="shared" si="37"/>
        <v>0</v>
      </c>
      <c r="I338" s="96">
        <f t="shared" si="38"/>
        <v>0</v>
      </c>
      <c r="J338" s="37">
        <v>0</v>
      </c>
      <c r="K338" s="37">
        <f t="shared" si="40"/>
        <v>0</v>
      </c>
      <c r="L338" s="37">
        <f t="shared" si="39"/>
        <v>0</v>
      </c>
      <c r="M338" s="73">
        <v>0</v>
      </c>
    </row>
    <row r="339" spans="1:13" s="6" customFormat="1" ht="15.75">
      <c r="A339" s="268">
        <v>248</v>
      </c>
      <c r="B339" s="122" t="s">
        <v>1291</v>
      </c>
      <c r="C339" s="330"/>
      <c r="D339" s="801"/>
      <c r="E339" s="801"/>
      <c r="F339" s="40">
        <f t="shared" si="35"/>
        <v>0</v>
      </c>
      <c r="G339" s="72">
        <f t="shared" si="36"/>
        <v>0</v>
      </c>
      <c r="H339" s="37">
        <f t="shared" si="37"/>
        <v>0</v>
      </c>
      <c r="I339" s="96">
        <f t="shared" si="38"/>
        <v>0</v>
      </c>
      <c r="J339" s="37">
        <v>0</v>
      </c>
      <c r="K339" s="37">
        <f t="shared" si="40"/>
        <v>0</v>
      </c>
      <c r="L339" s="37">
        <f t="shared" si="39"/>
        <v>0</v>
      </c>
      <c r="M339" s="73">
        <v>0</v>
      </c>
    </row>
    <row r="340" spans="1:13" s="6" customFormat="1" ht="15.75">
      <c r="A340" s="268">
        <v>249</v>
      </c>
      <c r="B340" s="122" t="s">
        <v>1292</v>
      </c>
      <c r="C340" s="330"/>
      <c r="D340" s="801"/>
      <c r="E340" s="801"/>
      <c r="F340" s="40">
        <f t="shared" si="35"/>
        <v>0</v>
      </c>
      <c r="G340" s="72">
        <f t="shared" si="36"/>
        <v>0</v>
      </c>
      <c r="H340" s="37">
        <f t="shared" si="37"/>
        <v>0</v>
      </c>
      <c r="I340" s="96">
        <f t="shared" si="38"/>
        <v>0</v>
      </c>
      <c r="J340" s="37">
        <v>0</v>
      </c>
      <c r="K340" s="37">
        <f t="shared" si="40"/>
        <v>0</v>
      </c>
      <c r="L340" s="37">
        <f t="shared" si="39"/>
        <v>0</v>
      </c>
      <c r="M340" s="73">
        <v>0</v>
      </c>
    </row>
    <row r="341" spans="1:13" s="6" customFormat="1" ht="15.75">
      <c r="A341" s="268">
        <v>250</v>
      </c>
      <c r="B341" s="122" t="s">
        <v>1293</v>
      </c>
      <c r="C341" s="330"/>
      <c r="D341" s="801"/>
      <c r="E341" s="801"/>
      <c r="F341" s="40">
        <f t="shared" si="35"/>
        <v>0</v>
      </c>
      <c r="G341" s="72">
        <f t="shared" si="36"/>
        <v>0</v>
      </c>
      <c r="H341" s="37">
        <f t="shared" si="37"/>
        <v>0</v>
      </c>
      <c r="I341" s="96">
        <f t="shared" si="38"/>
        <v>0</v>
      </c>
      <c r="J341" s="37">
        <v>0</v>
      </c>
      <c r="K341" s="37">
        <f t="shared" si="40"/>
        <v>0</v>
      </c>
      <c r="L341" s="37">
        <f t="shared" si="39"/>
        <v>0</v>
      </c>
      <c r="M341" s="73">
        <v>0</v>
      </c>
    </row>
    <row r="342" spans="1:13" s="6" customFormat="1" ht="15.75">
      <c r="A342" s="268">
        <v>251</v>
      </c>
      <c r="B342" s="122" t="s">
        <v>1294</v>
      </c>
      <c r="C342" s="330"/>
      <c r="D342" s="801"/>
      <c r="E342" s="801"/>
      <c r="F342" s="40">
        <f t="shared" si="35"/>
        <v>0</v>
      </c>
      <c r="G342" s="72">
        <f t="shared" si="36"/>
        <v>0</v>
      </c>
      <c r="H342" s="37">
        <f t="shared" si="37"/>
        <v>0</v>
      </c>
      <c r="I342" s="96">
        <f t="shared" si="38"/>
        <v>0</v>
      </c>
      <c r="J342" s="37">
        <v>0</v>
      </c>
      <c r="K342" s="37">
        <f t="shared" si="40"/>
        <v>0</v>
      </c>
      <c r="L342" s="37">
        <f t="shared" si="39"/>
        <v>0</v>
      </c>
      <c r="M342" s="73">
        <v>0</v>
      </c>
    </row>
    <row r="343" spans="1:13" s="6" customFormat="1" ht="15.75">
      <c r="A343" s="268">
        <v>252</v>
      </c>
      <c r="B343" s="122" t="s">
        <v>1295</v>
      </c>
      <c r="C343" s="330"/>
      <c r="D343" s="801"/>
      <c r="E343" s="801"/>
      <c r="F343" s="40">
        <f t="shared" si="35"/>
        <v>0</v>
      </c>
      <c r="G343" s="72">
        <f t="shared" si="36"/>
        <v>0</v>
      </c>
      <c r="H343" s="37">
        <f t="shared" si="37"/>
        <v>0</v>
      </c>
      <c r="I343" s="96">
        <f t="shared" si="38"/>
        <v>0</v>
      </c>
      <c r="J343" s="37">
        <v>0</v>
      </c>
      <c r="K343" s="37">
        <f t="shared" si="40"/>
        <v>0</v>
      </c>
      <c r="L343" s="37">
        <f t="shared" si="39"/>
        <v>0</v>
      </c>
      <c r="M343" s="73">
        <v>0</v>
      </c>
    </row>
    <row r="344" spans="1:13" s="6" customFormat="1" ht="15.75">
      <c r="A344" s="275">
        <v>253</v>
      </c>
      <c r="B344" s="122" t="s">
        <v>1296</v>
      </c>
      <c r="C344" s="330"/>
      <c r="D344" s="801"/>
      <c r="E344" s="801"/>
      <c r="F344" s="40">
        <f t="shared" si="35"/>
        <v>0</v>
      </c>
      <c r="G344" s="72">
        <f t="shared" si="36"/>
        <v>0</v>
      </c>
      <c r="H344" s="37">
        <f t="shared" si="37"/>
        <v>0</v>
      </c>
      <c r="I344" s="96">
        <f t="shared" si="38"/>
        <v>0</v>
      </c>
      <c r="J344" s="37">
        <v>0</v>
      </c>
      <c r="K344" s="37">
        <f t="shared" si="40"/>
        <v>0</v>
      </c>
      <c r="L344" s="37">
        <f t="shared" si="39"/>
        <v>0</v>
      </c>
      <c r="M344" s="73">
        <v>0</v>
      </c>
    </row>
    <row r="345" spans="1:13" s="6" customFormat="1" ht="15.75">
      <c r="A345" s="268">
        <v>254</v>
      </c>
      <c r="B345" s="122" t="s">
        <v>1297</v>
      </c>
      <c r="C345" s="330"/>
      <c r="D345" s="801"/>
      <c r="E345" s="801"/>
      <c r="F345" s="40">
        <f t="shared" si="35"/>
        <v>0</v>
      </c>
      <c r="G345" s="72">
        <f t="shared" si="36"/>
        <v>0</v>
      </c>
      <c r="H345" s="37">
        <f t="shared" si="37"/>
        <v>0</v>
      </c>
      <c r="I345" s="96">
        <f t="shared" si="38"/>
        <v>0</v>
      </c>
      <c r="J345" s="37">
        <v>0</v>
      </c>
      <c r="K345" s="37">
        <f t="shared" si="40"/>
        <v>0</v>
      </c>
      <c r="L345" s="37">
        <f t="shared" si="39"/>
        <v>0</v>
      </c>
      <c r="M345" s="73">
        <v>0</v>
      </c>
    </row>
    <row r="346" spans="1:13" s="6" customFormat="1" ht="15.75">
      <c r="A346" s="268">
        <v>255</v>
      </c>
      <c r="B346" s="122" t="s">
        <v>1298</v>
      </c>
      <c r="C346" s="330"/>
      <c r="D346" s="801"/>
      <c r="E346" s="801"/>
      <c r="F346" s="40">
        <f t="shared" si="35"/>
        <v>0</v>
      </c>
      <c r="G346" s="72">
        <f t="shared" si="36"/>
        <v>0</v>
      </c>
      <c r="H346" s="37">
        <f t="shared" si="37"/>
        <v>0</v>
      </c>
      <c r="I346" s="96">
        <f t="shared" si="38"/>
        <v>0</v>
      </c>
      <c r="J346" s="37">
        <v>0</v>
      </c>
      <c r="K346" s="37">
        <f t="shared" si="40"/>
        <v>0</v>
      </c>
      <c r="L346" s="37">
        <f t="shared" si="39"/>
        <v>0</v>
      </c>
      <c r="M346" s="73">
        <v>0</v>
      </c>
    </row>
    <row r="347" spans="1:13" s="6" customFormat="1" ht="15.75">
      <c r="A347" s="268">
        <v>256</v>
      </c>
      <c r="B347" s="122" t="s">
        <v>1299</v>
      </c>
      <c r="C347" s="330"/>
      <c r="D347" s="801"/>
      <c r="E347" s="801"/>
      <c r="F347" s="40">
        <f t="shared" si="35"/>
        <v>0</v>
      </c>
      <c r="G347" s="72">
        <f t="shared" si="36"/>
        <v>0</v>
      </c>
      <c r="H347" s="37">
        <f t="shared" si="37"/>
        <v>0</v>
      </c>
      <c r="I347" s="96">
        <f t="shared" si="38"/>
        <v>0</v>
      </c>
      <c r="J347" s="37">
        <v>0</v>
      </c>
      <c r="K347" s="37">
        <f t="shared" si="40"/>
        <v>0</v>
      </c>
      <c r="L347" s="37">
        <f t="shared" si="39"/>
        <v>0</v>
      </c>
      <c r="M347" s="73">
        <v>0</v>
      </c>
    </row>
    <row r="348" spans="1:13" s="6" customFormat="1" ht="15.75">
      <c r="A348" s="268">
        <v>257</v>
      </c>
      <c r="B348" s="122" t="s">
        <v>1300</v>
      </c>
      <c r="C348" s="330"/>
      <c r="D348" s="801"/>
      <c r="E348" s="801"/>
      <c r="F348" s="40">
        <f t="shared" ref="F348:F380" si="41">C348+D348+E348</f>
        <v>0</v>
      </c>
      <c r="G348" s="72">
        <f t="shared" ref="G348:G379" si="42">0.5/33487.15*F348</f>
        <v>0</v>
      </c>
      <c r="H348" s="37">
        <f t="shared" ref="H348:H383" si="43">G348*2269.13</f>
        <v>0</v>
      </c>
      <c r="I348" s="96">
        <f t="shared" ref="I348:I379" si="44">H348*0.3677</f>
        <v>0</v>
      </c>
      <c r="J348" s="37">
        <v>0</v>
      </c>
      <c r="K348" s="37">
        <f t="shared" si="40"/>
        <v>0</v>
      </c>
      <c r="L348" s="37">
        <f t="shared" ref="L348:L378" si="45">K348*1.219</f>
        <v>0</v>
      </c>
      <c r="M348" s="73">
        <v>0</v>
      </c>
    </row>
    <row r="349" spans="1:13" s="6" customFormat="1" ht="15.75">
      <c r="A349" s="268">
        <v>258</v>
      </c>
      <c r="B349" s="122" t="s">
        <v>1301</v>
      </c>
      <c r="C349" s="330"/>
      <c r="D349" s="801"/>
      <c r="E349" s="801"/>
      <c r="F349" s="40">
        <f t="shared" si="41"/>
        <v>0</v>
      </c>
      <c r="G349" s="72">
        <f t="shared" si="42"/>
        <v>0</v>
      </c>
      <c r="H349" s="37">
        <f t="shared" si="43"/>
        <v>0</v>
      </c>
      <c r="I349" s="96">
        <f t="shared" si="44"/>
        <v>0</v>
      </c>
      <c r="J349" s="37">
        <v>0</v>
      </c>
      <c r="K349" s="37">
        <f t="shared" ref="K349:K379" si="46">G349*560.71</f>
        <v>0</v>
      </c>
      <c r="L349" s="37">
        <f t="shared" si="45"/>
        <v>0</v>
      </c>
      <c r="M349" s="73">
        <v>0</v>
      </c>
    </row>
    <row r="350" spans="1:13" s="6" customFormat="1" ht="15.75">
      <c r="A350" s="268">
        <v>259</v>
      </c>
      <c r="B350" s="122" t="s">
        <v>1302</v>
      </c>
      <c r="C350" s="330"/>
      <c r="D350" s="801"/>
      <c r="E350" s="801"/>
      <c r="F350" s="40">
        <f t="shared" si="41"/>
        <v>0</v>
      </c>
      <c r="G350" s="72">
        <f t="shared" si="42"/>
        <v>0</v>
      </c>
      <c r="H350" s="37">
        <f t="shared" si="43"/>
        <v>0</v>
      </c>
      <c r="I350" s="96">
        <f t="shared" si="44"/>
        <v>0</v>
      </c>
      <c r="J350" s="37">
        <v>0</v>
      </c>
      <c r="K350" s="37">
        <f t="shared" si="46"/>
        <v>0</v>
      </c>
      <c r="L350" s="37">
        <f t="shared" si="45"/>
        <v>0</v>
      </c>
      <c r="M350" s="73">
        <v>0</v>
      </c>
    </row>
    <row r="351" spans="1:13" s="6" customFormat="1" ht="15.75">
      <c r="A351" s="275">
        <v>260</v>
      </c>
      <c r="B351" s="122" t="s">
        <v>1303</v>
      </c>
      <c r="C351" s="330"/>
      <c r="D351" s="801"/>
      <c r="E351" s="801"/>
      <c r="F351" s="40">
        <f t="shared" si="41"/>
        <v>0</v>
      </c>
      <c r="G351" s="72">
        <f t="shared" si="42"/>
        <v>0</v>
      </c>
      <c r="H351" s="37">
        <f t="shared" si="43"/>
        <v>0</v>
      </c>
      <c r="I351" s="96">
        <f t="shared" si="44"/>
        <v>0</v>
      </c>
      <c r="J351" s="37">
        <v>0</v>
      </c>
      <c r="K351" s="37">
        <f t="shared" si="46"/>
        <v>0</v>
      </c>
      <c r="L351" s="37">
        <f t="shared" si="45"/>
        <v>0</v>
      </c>
      <c r="M351" s="73">
        <v>0</v>
      </c>
    </row>
    <row r="352" spans="1:13" s="6" customFormat="1" ht="15.75">
      <c r="A352" s="268">
        <v>261</v>
      </c>
      <c r="B352" s="122" t="s">
        <v>1304</v>
      </c>
      <c r="C352" s="330"/>
      <c r="D352" s="801"/>
      <c r="E352" s="801"/>
      <c r="F352" s="40">
        <f t="shared" si="41"/>
        <v>0</v>
      </c>
      <c r="G352" s="72">
        <f t="shared" si="42"/>
        <v>0</v>
      </c>
      <c r="H352" s="37">
        <f t="shared" si="43"/>
        <v>0</v>
      </c>
      <c r="I352" s="96">
        <f t="shared" si="44"/>
        <v>0</v>
      </c>
      <c r="J352" s="37">
        <v>0</v>
      </c>
      <c r="K352" s="37">
        <f t="shared" si="46"/>
        <v>0</v>
      </c>
      <c r="L352" s="37">
        <f t="shared" si="45"/>
        <v>0</v>
      </c>
      <c r="M352" s="73">
        <v>0</v>
      </c>
    </row>
    <row r="353" spans="1:13" s="6" customFormat="1" ht="15.75">
      <c r="A353" s="268">
        <v>262</v>
      </c>
      <c r="B353" s="122" t="s">
        <v>1305</v>
      </c>
      <c r="C353" s="330"/>
      <c r="D353" s="801"/>
      <c r="E353" s="801"/>
      <c r="F353" s="40">
        <f t="shared" si="41"/>
        <v>0</v>
      </c>
      <c r="G353" s="72">
        <f t="shared" si="42"/>
        <v>0</v>
      </c>
      <c r="H353" s="37">
        <f t="shared" si="43"/>
        <v>0</v>
      </c>
      <c r="I353" s="96">
        <f t="shared" si="44"/>
        <v>0</v>
      </c>
      <c r="J353" s="37">
        <v>0</v>
      </c>
      <c r="K353" s="37">
        <f t="shared" si="46"/>
        <v>0</v>
      </c>
      <c r="L353" s="37">
        <f t="shared" si="45"/>
        <v>0</v>
      </c>
      <c r="M353" s="73">
        <v>0</v>
      </c>
    </row>
    <row r="354" spans="1:13" s="6" customFormat="1" ht="15.75">
      <c r="A354" s="268">
        <v>263</v>
      </c>
      <c r="B354" s="122" t="s">
        <v>1306</v>
      </c>
      <c r="C354" s="330"/>
      <c r="D354" s="801"/>
      <c r="E354" s="801"/>
      <c r="F354" s="40">
        <f t="shared" si="41"/>
        <v>0</v>
      </c>
      <c r="G354" s="72">
        <f t="shared" si="42"/>
        <v>0</v>
      </c>
      <c r="H354" s="37">
        <f t="shared" si="43"/>
        <v>0</v>
      </c>
      <c r="I354" s="96">
        <f t="shared" si="44"/>
        <v>0</v>
      </c>
      <c r="J354" s="37">
        <v>0</v>
      </c>
      <c r="K354" s="37">
        <f t="shared" si="46"/>
        <v>0</v>
      </c>
      <c r="L354" s="37">
        <f t="shared" si="45"/>
        <v>0</v>
      </c>
      <c r="M354" s="73">
        <v>0</v>
      </c>
    </row>
    <row r="355" spans="1:13" s="6" customFormat="1" ht="15.75">
      <c r="A355" s="268">
        <v>264</v>
      </c>
      <c r="B355" s="122" t="s">
        <v>1307</v>
      </c>
      <c r="C355" s="330"/>
      <c r="D355" s="801"/>
      <c r="E355" s="801"/>
      <c r="F355" s="40">
        <f t="shared" si="41"/>
        <v>0</v>
      </c>
      <c r="G355" s="72">
        <f t="shared" si="42"/>
        <v>0</v>
      </c>
      <c r="H355" s="37">
        <f t="shared" si="43"/>
        <v>0</v>
      </c>
      <c r="I355" s="96">
        <f t="shared" si="44"/>
        <v>0</v>
      </c>
      <c r="J355" s="37">
        <v>0</v>
      </c>
      <c r="K355" s="37">
        <f t="shared" si="46"/>
        <v>0</v>
      </c>
      <c r="L355" s="37">
        <f t="shared" si="45"/>
        <v>0</v>
      </c>
      <c r="M355" s="73">
        <v>0</v>
      </c>
    </row>
    <row r="356" spans="1:13" s="6" customFormat="1" ht="15.75">
      <c r="A356" s="268">
        <v>265</v>
      </c>
      <c r="B356" s="122" t="s">
        <v>1308</v>
      </c>
      <c r="C356" s="330"/>
      <c r="D356" s="801"/>
      <c r="E356" s="801"/>
      <c r="F356" s="40">
        <f t="shared" si="41"/>
        <v>0</v>
      </c>
      <c r="G356" s="72">
        <f t="shared" si="42"/>
        <v>0</v>
      </c>
      <c r="H356" s="37">
        <f t="shared" si="43"/>
        <v>0</v>
      </c>
      <c r="I356" s="96">
        <f t="shared" si="44"/>
        <v>0</v>
      </c>
      <c r="J356" s="37">
        <v>0</v>
      </c>
      <c r="K356" s="37">
        <f t="shared" si="46"/>
        <v>0</v>
      </c>
      <c r="L356" s="37">
        <f t="shared" si="45"/>
        <v>0</v>
      </c>
      <c r="M356" s="73">
        <v>0</v>
      </c>
    </row>
    <row r="357" spans="1:13" s="6" customFormat="1" ht="15.75">
      <c r="A357" s="268">
        <v>266</v>
      </c>
      <c r="B357" s="122" t="s">
        <v>1309</v>
      </c>
      <c r="C357" s="330"/>
      <c r="D357" s="801"/>
      <c r="E357" s="801"/>
      <c r="F357" s="40">
        <f t="shared" si="41"/>
        <v>0</v>
      </c>
      <c r="G357" s="72">
        <f t="shared" si="42"/>
        <v>0</v>
      </c>
      <c r="H357" s="37">
        <f t="shared" si="43"/>
        <v>0</v>
      </c>
      <c r="I357" s="96">
        <f t="shared" si="44"/>
        <v>0</v>
      </c>
      <c r="J357" s="37">
        <v>0</v>
      </c>
      <c r="K357" s="37">
        <f t="shared" si="46"/>
        <v>0</v>
      </c>
      <c r="L357" s="37">
        <f t="shared" si="45"/>
        <v>0</v>
      </c>
      <c r="M357" s="73">
        <v>0</v>
      </c>
    </row>
    <row r="358" spans="1:13" s="6" customFormat="1" ht="15.75">
      <c r="A358" s="275">
        <v>267</v>
      </c>
      <c r="B358" s="122" t="s">
        <v>1310</v>
      </c>
      <c r="C358" s="330"/>
      <c r="D358" s="801"/>
      <c r="E358" s="801"/>
      <c r="F358" s="40">
        <f t="shared" si="41"/>
        <v>0</v>
      </c>
      <c r="G358" s="72">
        <f t="shared" si="42"/>
        <v>0</v>
      </c>
      <c r="H358" s="37">
        <f t="shared" si="43"/>
        <v>0</v>
      </c>
      <c r="I358" s="96">
        <f t="shared" si="44"/>
        <v>0</v>
      </c>
      <c r="J358" s="37">
        <v>0</v>
      </c>
      <c r="K358" s="37">
        <f t="shared" si="46"/>
        <v>0</v>
      </c>
      <c r="L358" s="37">
        <f t="shared" si="45"/>
        <v>0</v>
      </c>
      <c r="M358" s="73">
        <v>0</v>
      </c>
    </row>
    <row r="359" spans="1:13" s="6" customFormat="1" ht="15.75">
      <c r="A359" s="268">
        <v>268</v>
      </c>
      <c r="B359" s="122" t="s">
        <v>1311</v>
      </c>
      <c r="C359" s="330"/>
      <c r="D359" s="801"/>
      <c r="E359" s="801"/>
      <c r="F359" s="40">
        <f t="shared" si="41"/>
        <v>0</v>
      </c>
      <c r="G359" s="72">
        <f t="shared" si="42"/>
        <v>0</v>
      </c>
      <c r="H359" s="37">
        <f t="shared" si="43"/>
        <v>0</v>
      </c>
      <c r="I359" s="96">
        <f t="shared" si="44"/>
        <v>0</v>
      </c>
      <c r="J359" s="37">
        <v>0</v>
      </c>
      <c r="K359" s="37">
        <f t="shared" si="46"/>
        <v>0</v>
      </c>
      <c r="L359" s="37">
        <f t="shared" si="45"/>
        <v>0</v>
      </c>
      <c r="M359" s="73">
        <v>0</v>
      </c>
    </row>
    <row r="360" spans="1:13" s="6" customFormat="1" ht="15.75">
      <c r="A360" s="268">
        <v>269</v>
      </c>
      <c r="B360" s="122" t="s">
        <v>1312</v>
      </c>
      <c r="C360" s="330"/>
      <c r="D360" s="801"/>
      <c r="E360" s="801"/>
      <c r="F360" s="40">
        <f t="shared" si="41"/>
        <v>0</v>
      </c>
      <c r="G360" s="72">
        <f t="shared" si="42"/>
        <v>0</v>
      </c>
      <c r="H360" s="37">
        <f t="shared" si="43"/>
        <v>0</v>
      </c>
      <c r="I360" s="96">
        <f t="shared" si="44"/>
        <v>0</v>
      </c>
      <c r="J360" s="37">
        <v>0</v>
      </c>
      <c r="K360" s="37">
        <f t="shared" si="46"/>
        <v>0</v>
      </c>
      <c r="L360" s="37">
        <f t="shared" si="45"/>
        <v>0</v>
      </c>
      <c r="M360" s="73">
        <v>0</v>
      </c>
    </row>
    <row r="361" spans="1:13" s="6" customFormat="1" ht="15.75">
      <c r="A361" s="268">
        <v>270</v>
      </c>
      <c r="B361" s="122" t="s">
        <v>1313</v>
      </c>
      <c r="C361" s="330"/>
      <c r="D361" s="801"/>
      <c r="E361" s="801"/>
      <c r="F361" s="40">
        <f t="shared" si="41"/>
        <v>0</v>
      </c>
      <c r="G361" s="72">
        <f t="shared" si="42"/>
        <v>0</v>
      </c>
      <c r="H361" s="37">
        <f t="shared" si="43"/>
        <v>0</v>
      </c>
      <c r="I361" s="96">
        <f t="shared" si="44"/>
        <v>0</v>
      </c>
      <c r="J361" s="37">
        <v>0</v>
      </c>
      <c r="K361" s="37">
        <f t="shared" si="46"/>
        <v>0</v>
      </c>
      <c r="L361" s="37">
        <f t="shared" si="45"/>
        <v>0</v>
      </c>
      <c r="M361" s="73">
        <v>0</v>
      </c>
    </row>
    <row r="362" spans="1:13" s="6" customFormat="1" ht="15.75">
      <c r="A362" s="268">
        <v>271</v>
      </c>
      <c r="B362" s="122" t="s">
        <v>1314</v>
      </c>
      <c r="C362" s="330"/>
      <c r="D362" s="260"/>
      <c r="E362" s="801"/>
      <c r="F362" s="40">
        <f t="shared" si="41"/>
        <v>0</v>
      </c>
      <c r="G362" s="72">
        <f t="shared" si="42"/>
        <v>0</v>
      </c>
      <c r="H362" s="37">
        <f t="shared" si="43"/>
        <v>0</v>
      </c>
      <c r="I362" s="96">
        <f t="shared" si="44"/>
        <v>0</v>
      </c>
      <c r="J362" s="37">
        <v>0</v>
      </c>
      <c r="K362" s="37">
        <f t="shared" si="46"/>
        <v>0</v>
      </c>
      <c r="L362" s="37">
        <f t="shared" si="45"/>
        <v>0</v>
      </c>
      <c r="M362" s="73">
        <v>0</v>
      </c>
    </row>
    <row r="363" spans="1:13" s="6" customFormat="1" ht="15.75">
      <c r="A363" s="268">
        <v>272</v>
      </c>
      <c r="B363" s="273" t="s">
        <v>1315</v>
      </c>
      <c r="C363" s="330"/>
      <c r="D363" s="801"/>
      <c r="E363" s="801"/>
      <c r="F363" s="40">
        <f t="shared" si="41"/>
        <v>0</v>
      </c>
      <c r="G363" s="72">
        <f t="shared" si="42"/>
        <v>0</v>
      </c>
      <c r="H363" s="37">
        <f t="shared" si="43"/>
        <v>0</v>
      </c>
      <c r="I363" s="96">
        <f t="shared" si="44"/>
        <v>0</v>
      </c>
      <c r="J363" s="37">
        <v>0</v>
      </c>
      <c r="K363" s="37">
        <f t="shared" si="46"/>
        <v>0</v>
      </c>
      <c r="L363" s="37">
        <f t="shared" si="45"/>
        <v>0</v>
      </c>
      <c r="M363" s="73">
        <v>0</v>
      </c>
    </row>
    <row r="364" spans="1:13" s="6" customFormat="1" ht="15.75">
      <c r="A364" s="268">
        <v>273</v>
      </c>
      <c r="B364" s="122" t="s">
        <v>1316</v>
      </c>
      <c r="C364" s="330"/>
      <c r="D364" s="801"/>
      <c r="E364" s="801"/>
      <c r="F364" s="40">
        <f t="shared" si="41"/>
        <v>0</v>
      </c>
      <c r="G364" s="72">
        <f t="shared" si="42"/>
        <v>0</v>
      </c>
      <c r="H364" s="37">
        <f t="shared" si="43"/>
        <v>0</v>
      </c>
      <c r="I364" s="96">
        <f t="shared" si="44"/>
        <v>0</v>
      </c>
      <c r="J364" s="37">
        <v>0</v>
      </c>
      <c r="K364" s="37">
        <f t="shared" si="46"/>
        <v>0</v>
      </c>
      <c r="L364" s="37">
        <f t="shared" si="45"/>
        <v>0</v>
      </c>
      <c r="M364" s="73">
        <v>0</v>
      </c>
    </row>
    <row r="365" spans="1:13" s="6" customFormat="1" ht="15.75">
      <c r="A365" s="275">
        <v>274</v>
      </c>
      <c r="B365" s="122" t="s">
        <v>1317</v>
      </c>
      <c r="C365" s="330"/>
      <c r="D365" s="801"/>
      <c r="E365" s="801"/>
      <c r="F365" s="40">
        <f t="shared" si="41"/>
        <v>0</v>
      </c>
      <c r="G365" s="72">
        <f t="shared" si="42"/>
        <v>0</v>
      </c>
      <c r="H365" s="37">
        <f t="shared" si="43"/>
        <v>0</v>
      </c>
      <c r="I365" s="96">
        <f t="shared" si="44"/>
        <v>0</v>
      </c>
      <c r="J365" s="37">
        <v>0</v>
      </c>
      <c r="K365" s="37">
        <f t="shared" si="46"/>
        <v>0</v>
      </c>
      <c r="L365" s="37">
        <f t="shared" si="45"/>
        <v>0</v>
      </c>
      <c r="M365" s="73">
        <v>0</v>
      </c>
    </row>
    <row r="366" spans="1:13" s="6" customFormat="1" ht="15.75">
      <c r="A366" s="268">
        <v>275</v>
      </c>
      <c r="B366" s="122" t="s">
        <v>1318</v>
      </c>
      <c r="C366" s="330"/>
      <c r="D366" s="801"/>
      <c r="E366" s="801"/>
      <c r="F366" s="40">
        <f t="shared" si="41"/>
        <v>0</v>
      </c>
      <c r="G366" s="72">
        <f t="shared" si="42"/>
        <v>0</v>
      </c>
      <c r="H366" s="37">
        <f t="shared" si="43"/>
        <v>0</v>
      </c>
      <c r="I366" s="96">
        <f t="shared" si="44"/>
        <v>0</v>
      </c>
      <c r="J366" s="37">
        <v>0</v>
      </c>
      <c r="K366" s="37">
        <f t="shared" si="46"/>
        <v>0</v>
      </c>
      <c r="L366" s="37">
        <f t="shared" si="45"/>
        <v>0</v>
      </c>
      <c r="M366" s="73">
        <v>0</v>
      </c>
    </row>
    <row r="367" spans="1:13" s="6" customFormat="1" ht="15.75">
      <c r="A367" s="268">
        <v>276</v>
      </c>
      <c r="B367" s="122" t="s">
        <v>1319</v>
      </c>
      <c r="C367" s="330"/>
      <c r="D367" s="801"/>
      <c r="E367" s="801"/>
      <c r="F367" s="40">
        <f t="shared" si="41"/>
        <v>0</v>
      </c>
      <c r="G367" s="72">
        <f t="shared" si="42"/>
        <v>0</v>
      </c>
      <c r="H367" s="37">
        <f t="shared" si="43"/>
        <v>0</v>
      </c>
      <c r="I367" s="96">
        <f t="shared" si="44"/>
        <v>0</v>
      </c>
      <c r="J367" s="37">
        <v>0</v>
      </c>
      <c r="K367" s="37">
        <f t="shared" si="46"/>
        <v>0</v>
      </c>
      <c r="L367" s="37">
        <f t="shared" si="45"/>
        <v>0</v>
      </c>
      <c r="M367" s="73">
        <v>0</v>
      </c>
    </row>
    <row r="368" spans="1:13" s="6" customFormat="1" ht="15.75">
      <c r="A368" s="268">
        <v>277</v>
      </c>
      <c r="B368" s="122" t="s">
        <v>1320</v>
      </c>
      <c r="C368" s="330"/>
      <c r="D368" s="801"/>
      <c r="E368" s="801"/>
      <c r="F368" s="40">
        <f t="shared" si="41"/>
        <v>0</v>
      </c>
      <c r="G368" s="72">
        <f t="shared" si="42"/>
        <v>0</v>
      </c>
      <c r="H368" s="37">
        <f t="shared" si="43"/>
        <v>0</v>
      </c>
      <c r="I368" s="96">
        <f t="shared" si="44"/>
        <v>0</v>
      </c>
      <c r="J368" s="37">
        <v>0</v>
      </c>
      <c r="K368" s="37">
        <f t="shared" si="46"/>
        <v>0</v>
      </c>
      <c r="L368" s="37">
        <f t="shared" si="45"/>
        <v>0</v>
      </c>
      <c r="M368" s="73">
        <v>0</v>
      </c>
    </row>
    <row r="369" spans="1:16" s="6" customFormat="1" ht="15.75">
      <c r="A369" s="268">
        <v>278</v>
      </c>
      <c r="B369" s="122" t="s">
        <v>1321</v>
      </c>
      <c r="C369" s="330"/>
      <c r="D369" s="801"/>
      <c r="E369" s="801"/>
      <c r="F369" s="40">
        <f t="shared" si="41"/>
        <v>0</v>
      </c>
      <c r="G369" s="72">
        <f t="shared" si="42"/>
        <v>0</v>
      </c>
      <c r="H369" s="37">
        <f t="shared" si="43"/>
        <v>0</v>
      </c>
      <c r="I369" s="96">
        <f t="shared" si="44"/>
        <v>0</v>
      </c>
      <c r="J369" s="37">
        <v>0</v>
      </c>
      <c r="K369" s="37">
        <f t="shared" si="46"/>
        <v>0</v>
      </c>
      <c r="L369" s="37">
        <f t="shared" si="45"/>
        <v>0</v>
      </c>
      <c r="M369" s="73">
        <v>0</v>
      </c>
    </row>
    <row r="370" spans="1:16" s="6" customFormat="1" ht="15.75">
      <c r="A370" s="268">
        <v>279</v>
      </c>
      <c r="B370" s="122" t="s">
        <v>1322</v>
      </c>
      <c r="C370" s="330"/>
      <c r="D370" s="801"/>
      <c r="E370" s="801"/>
      <c r="F370" s="40">
        <f t="shared" si="41"/>
        <v>0</v>
      </c>
      <c r="G370" s="72">
        <f t="shared" si="42"/>
        <v>0</v>
      </c>
      <c r="H370" s="37">
        <f t="shared" si="43"/>
        <v>0</v>
      </c>
      <c r="I370" s="96">
        <f t="shared" si="44"/>
        <v>0</v>
      </c>
      <c r="J370" s="37">
        <v>0</v>
      </c>
      <c r="K370" s="37">
        <f t="shared" si="46"/>
        <v>0</v>
      </c>
      <c r="L370" s="37">
        <f t="shared" si="45"/>
        <v>0</v>
      </c>
      <c r="M370" s="73">
        <v>0</v>
      </c>
    </row>
    <row r="371" spans="1:16" s="6" customFormat="1" ht="15.75">
      <c r="A371" s="268">
        <v>280</v>
      </c>
      <c r="B371" s="122" t="s">
        <v>1323</v>
      </c>
      <c r="C371" s="330"/>
      <c r="D371" s="801"/>
      <c r="E371" s="801"/>
      <c r="F371" s="40">
        <f t="shared" si="41"/>
        <v>0</v>
      </c>
      <c r="G371" s="72">
        <f t="shared" si="42"/>
        <v>0</v>
      </c>
      <c r="H371" s="37">
        <f t="shared" si="43"/>
        <v>0</v>
      </c>
      <c r="I371" s="96">
        <f t="shared" si="44"/>
        <v>0</v>
      </c>
      <c r="J371" s="37">
        <v>0</v>
      </c>
      <c r="K371" s="37">
        <f t="shared" si="46"/>
        <v>0</v>
      </c>
      <c r="L371" s="37">
        <f t="shared" si="45"/>
        <v>0</v>
      </c>
      <c r="M371" s="73">
        <v>0</v>
      </c>
    </row>
    <row r="372" spans="1:16" s="6" customFormat="1" ht="15.75">
      <c r="A372" s="275">
        <v>281</v>
      </c>
      <c r="B372" s="122" t="s">
        <v>1324</v>
      </c>
      <c r="C372" s="330"/>
      <c r="D372" s="801"/>
      <c r="E372" s="801"/>
      <c r="F372" s="40">
        <f t="shared" si="41"/>
        <v>0</v>
      </c>
      <c r="G372" s="72">
        <f t="shared" si="42"/>
        <v>0</v>
      </c>
      <c r="H372" s="37">
        <f t="shared" si="43"/>
        <v>0</v>
      </c>
      <c r="I372" s="96">
        <f t="shared" si="44"/>
        <v>0</v>
      </c>
      <c r="J372" s="37">
        <v>0</v>
      </c>
      <c r="K372" s="37">
        <f t="shared" si="46"/>
        <v>0</v>
      </c>
      <c r="L372" s="37">
        <f t="shared" si="45"/>
        <v>0</v>
      </c>
      <c r="M372" s="73">
        <v>0</v>
      </c>
    </row>
    <row r="373" spans="1:16" s="6" customFormat="1" ht="15.75">
      <c r="A373" s="268">
        <v>282</v>
      </c>
      <c r="B373" s="273" t="s">
        <v>1325</v>
      </c>
      <c r="C373" s="330"/>
      <c r="D373" s="801"/>
      <c r="E373" s="801"/>
      <c r="F373" s="40">
        <f t="shared" si="41"/>
        <v>0</v>
      </c>
      <c r="G373" s="72">
        <f t="shared" si="42"/>
        <v>0</v>
      </c>
      <c r="H373" s="37">
        <f t="shared" si="43"/>
        <v>0</v>
      </c>
      <c r="I373" s="96">
        <f t="shared" si="44"/>
        <v>0</v>
      </c>
      <c r="J373" s="37">
        <v>0</v>
      </c>
      <c r="K373" s="37">
        <f t="shared" si="46"/>
        <v>0</v>
      </c>
      <c r="L373" s="37">
        <f t="shared" si="45"/>
        <v>0</v>
      </c>
      <c r="M373" s="73">
        <v>0</v>
      </c>
    </row>
    <row r="374" spans="1:16" s="6" customFormat="1" ht="15.75">
      <c r="A374" s="268">
        <v>283</v>
      </c>
      <c r="B374" s="122" t="s">
        <v>1326</v>
      </c>
      <c r="C374" s="330"/>
      <c r="D374" s="801"/>
      <c r="E374" s="801"/>
      <c r="F374" s="40">
        <f t="shared" si="41"/>
        <v>0</v>
      </c>
      <c r="G374" s="72">
        <f t="shared" si="42"/>
        <v>0</v>
      </c>
      <c r="H374" s="37">
        <f t="shared" si="43"/>
        <v>0</v>
      </c>
      <c r="I374" s="96">
        <f t="shared" si="44"/>
        <v>0</v>
      </c>
      <c r="J374" s="37">
        <v>0</v>
      </c>
      <c r="K374" s="37">
        <f t="shared" si="46"/>
        <v>0</v>
      </c>
      <c r="L374" s="37">
        <f t="shared" si="45"/>
        <v>0</v>
      </c>
      <c r="M374" s="73">
        <v>0</v>
      </c>
    </row>
    <row r="375" spans="1:16" s="6" customFormat="1" ht="15.75">
      <c r="A375" s="268">
        <v>284</v>
      </c>
      <c r="B375" s="122" t="s">
        <v>1327</v>
      </c>
      <c r="C375" s="330"/>
      <c r="D375" s="801"/>
      <c r="E375" s="801"/>
      <c r="F375" s="40">
        <f t="shared" si="41"/>
        <v>0</v>
      </c>
      <c r="G375" s="72">
        <f t="shared" si="42"/>
        <v>0</v>
      </c>
      <c r="H375" s="37">
        <f t="shared" si="43"/>
        <v>0</v>
      </c>
      <c r="I375" s="96">
        <f t="shared" si="44"/>
        <v>0</v>
      </c>
      <c r="J375" s="37">
        <v>0</v>
      </c>
      <c r="K375" s="37">
        <f t="shared" si="46"/>
        <v>0</v>
      </c>
      <c r="L375" s="37">
        <f t="shared" si="45"/>
        <v>0</v>
      </c>
      <c r="M375" s="73">
        <v>0</v>
      </c>
    </row>
    <row r="376" spans="1:16" s="6" customFormat="1" ht="15.75">
      <c r="A376" s="268">
        <v>285</v>
      </c>
      <c r="B376" s="122" t="s">
        <v>1328</v>
      </c>
      <c r="C376" s="330"/>
      <c r="D376" s="801"/>
      <c r="E376" s="801"/>
      <c r="F376" s="40">
        <f t="shared" si="41"/>
        <v>0</v>
      </c>
      <c r="G376" s="72">
        <f t="shared" si="42"/>
        <v>0</v>
      </c>
      <c r="H376" s="37">
        <f t="shared" si="43"/>
        <v>0</v>
      </c>
      <c r="I376" s="96">
        <f t="shared" si="44"/>
        <v>0</v>
      </c>
      <c r="J376" s="37">
        <v>0</v>
      </c>
      <c r="K376" s="37">
        <f t="shared" si="46"/>
        <v>0</v>
      </c>
      <c r="L376" s="37">
        <f t="shared" si="45"/>
        <v>0</v>
      </c>
      <c r="M376" s="73">
        <v>0</v>
      </c>
    </row>
    <row r="377" spans="1:16" s="6" customFormat="1" ht="15.75">
      <c r="A377" s="268">
        <v>286</v>
      </c>
      <c r="B377" s="122" t="s">
        <v>1355</v>
      </c>
      <c r="C377" s="535">
        <v>74.599999999999994</v>
      </c>
      <c r="D377" s="413"/>
      <c r="E377" s="413"/>
      <c r="F377" s="40"/>
      <c r="G377" s="72">
        <f t="shared" si="42"/>
        <v>0</v>
      </c>
      <c r="H377" s="37">
        <f t="shared" si="43"/>
        <v>0</v>
      </c>
      <c r="I377" s="96">
        <f t="shared" si="44"/>
        <v>0</v>
      </c>
      <c r="J377" s="37">
        <v>1.0369618976483965</v>
      </c>
      <c r="K377" s="37">
        <f t="shared" si="46"/>
        <v>0</v>
      </c>
      <c r="L377" s="37">
        <f t="shared" si="45"/>
        <v>0</v>
      </c>
      <c r="M377" s="73">
        <v>0</v>
      </c>
      <c r="N377" s="5"/>
    </row>
    <row r="378" spans="1:16" s="6" customFormat="1" ht="15.75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40"/>
      <c r="G378" s="72">
        <f t="shared" si="42"/>
        <v>0</v>
      </c>
      <c r="H378" s="37">
        <f t="shared" si="43"/>
        <v>0</v>
      </c>
      <c r="I378" s="96">
        <f t="shared" si="44"/>
        <v>0</v>
      </c>
      <c r="J378" s="37">
        <v>8.0315896040381158</v>
      </c>
      <c r="K378" s="37">
        <f t="shared" si="46"/>
        <v>0</v>
      </c>
      <c r="L378" s="37">
        <f t="shared" si="45"/>
        <v>0</v>
      </c>
      <c r="M378" s="73">
        <v>0</v>
      </c>
    </row>
    <row r="379" spans="1:16" s="6" customFormat="1" ht="15.75">
      <c r="A379" s="275">
        <v>288</v>
      </c>
      <c r="B379" s="122" t="s">
        <v>1357</v>
      </c>
      <c r="C379" s="535">
        <v>379.4</v>
      </c>
      <c r="D379" s="413"/>
      <c r="E379" s="413"/>
      <c r="F379" s="40"/>
      <c r="G379" s="72">
        <f t="shared" si="42"/>
        <v>0</v>
      </c>
      <c r="H379" s="37">
        <f t="shared" si="43"/>
        <v>0</v>
      </c>
      <c r="I379" s="96">
        <f t="shared" si="44"/>
        <v>0</v>
      </c>
      <c r="J379" s="37">
        <v>5.2737713668606112</v>
      </c>
      <c r="K379" s="37">
        <f t="shared" si="46"/>
        <v>0</v>
      </c>
      <c r="L379" s="37">
        <f t="shared" ref="L379:L384" si="47">K379*1.219</f>
        <v>0</v>
      </c>
      <c r="M379" s="73">
        <v>0</v>
      </c>
      <c r="P379" s="6">
        <v>0</v>
      </c>
    </row>
    <row r="380" spans="1:16" s="6" customFormat="1" ht="15.75">
      <c r="A380" s="268">
        <v>289</v>
      </c>
      <c r="B380" s="291" t="s">
        <v>1395</v>
      </c>
      <c r="C380" s="538">
        <f>1893+1096.4</f>
        <v>2989.4</v>
      </c>
      <c r="D380" s="255"/>
      <c r="E380" s="255"/>
      <c r="F380" s="40">
        <f t="shared" si="41"/>
        <v>2989.4</v>
      </c>
      <c r="G380" s="72">
        <f>0.5/33487.15*F380</f>
        <v>4.4635031646467371E-2</v>
      </c>
      <c r="H380" s="37">
        <f t="shared" si="43"/>
        <v>101.28268935994851</v>
      </c>
      <c r="I380" s="96">
        <f>H380*0.3677</f>
        <v>37.241644877653066</v>
      </c>
      <c r="J380" s="37">
        <v>1.0369618976483965</v>
      </c>
      <c r="K380" s="37">
        <f t="shared" ref="K380:K411" si="48">G380*560.71</f>
        <v>25.027308594490723</v>
      </c>
      <c r="L380" s="37">
        <f t="shared" si="47"/>
        <v>30.508289176684194</v>
      </c>
      <c r="M380" s="73">
        <f>(K380+J380+I380+H380)/F380</f>
        <v>5.5057404405479592E-2</v>
      </c>
    </row>
    <row r="381" spans="1:16" s="6" customFormat="1" ht="15.75">
      <c r="A381" s="268">
        <v>290</v>
      </c>
      <c r="B381" s="292" t="s">
        <v>1396</v>
      </c>
      <c r="C381" s="586">
        <v>527.29999999999995</v>
      </c>
      <c r="D381" s="255"/>
      <c r="E381" s="255"/>
      <c r="F381" s="40"/>
      <c r="G381" s="72">
        <f>0.5/33487.15*F381</f>
        <v>0</v>
      </c>
      <c r="H381" s="37">
        <f t="shared" si="43"/>
        <v>0</v>
      </c>
      <c r="I381" s="96">
        <f>H381*0.3677</f>
        <v>0</v>
      </c>
      <c r="J381" s="37">
        <v>8.0315896040381158</v>
      </c>
      <c r="K381" s="37">
        <f t="shared" si="48"/>
        <v>0</v>
      </c>
      <c r="L381" s="37">
        <f t="shared" si="47"/>
        <v>0</v>
      </c>
      <c r="M381" s="73">
        <v>0</v>
      </c>
    </row>
    <row r="382" spans="1:16" s="6" customFormat="1" ht="15.75">
      <c r="A382" s="268">
        <v>291</v>
      </c>
      <c r="B382" s="301" t="s">
        <v>1400</v>
      </c>
      <c r="C382" s="538">
        <v>2299.1999999999998</v>
      </c>
      <c r="D382" s="255"/>
      <c r="E382" s="255"/>
      <c r="F382" s="40"/>
      <c r="G382" s="72">
        <f>0.5/33487.15*F382</f>
        <v>0</v>
      </c>
      <c r="H382" s="37">
        <f t="shared" si="43"/>
        <v>0</v>
      </c>
      <c r="I382" s="96">
        <f>H382*0.3677</f>
        <v>0</v>
      </c>
      <c r="J382" s="37">
        <v>11</v>
      </c>
      <c r="K382" s="37">
        <f t="shared" si="48"/>
        <v>0</v>
      </c>
      <c r="L382" s="37">
        <f t="shared" si="47"/>
        <v>0</v>
      </c>
      <c r="M382" s="73">
        <v>0</v>
      </c>
    </row>
    <row r="383" spans="1:16" s="6" customFormat="1" ht="15.75">
      <c r="A383" s="268">
        <v>292</v>
      </c>
      <c r="B383" s="302" t="s">
        <v>1401</v>
      </c>
      <c r="C383" s="539">
        <v>292.60000000000002</v>
      </c>
      <c r="D383" s="413"/>
      <c r="E383" s="413"/>
      <c r="F383" s="40"/>
      <c r="G383" s="72">
        <f>0.5/33487.15*F383</f>
        <v>0</v>
      </c>
      <c r="H383" s="37">
        <f t="shared" si="43"/>
        <v>0</v>
      </c>
      <c r="I383" s="96">
        <f>H383*0.3677</f>
        <v>0</v>
      </c>
      <c r="J383" s="37">
        <v>4</v>
      </c>
      <c r="K383" s="37">
        <f t="shared" si="48"/>
        <v>0</v>
      </c>
      <c r="L383" s="37">
        <f t="shared" si="47"/>
        <v>0</v>
      </c>
      <c r="M383" s="73">
        <v>0</v>
      </c>
    </row>
    <row r="384" spans="1:16" s="69" customFormat="1" ht="15.75">
      <c r="B384" s="63" t="s">
        <v>244</v>
      </c>
      <c r="C384" s="63">
        <f>SUM(C92:C383)</f>
        <v>37350.35</v>
      </c>
      <c r="D384" s="63">
        <f>SUM(D92:D383)</f>
        <v>69.3</v>
      </c>
      <c r="E384" s="63">
        <f>SUM(E92:E383)</f>
        <v>218.39999999999998</v>
      </c>
      <c r="F384" s="63">
        <f>SUM(F92:F383)</f>
        <v>33487.15</v>
      </c>
      <c r="G384" s="72">
        <f>0.5/33487.15*F384</f>
        <v>0.5</v>
      </c>
      <c r="H384" s="37">
        <f>G384*2269.13</f>
        <v>1134.5650000000001</v>
      </c>
      <c r="I384" s="64">
        <f>H384*0.3677</f>
        <v>417.17955050000006</v>
      </c>
      <c r="J384" s="37">
        <f>SUM(J91:J383)</f>
        <v>462.33855150168654</v>
      </c>
      <c r="K384" s="37">
        <f t="shared" si="48"/>
        <v>280.35500000000002</v>
      </c>
      <c r="L384" s="37">
        <f t="shared" si="47"/>
        <v>341.75274500000006</v>
      </c>
      <c r="M384" s="73">
        <f>(K384+J384+I384+H384)/F384</f>
        <v>6.8516971495086523E-2</v>
      </c>
    </row>
    <row r="385" spans="1:13" s="6" customFormat="1" ht="15.75">
      <c r="A385" s="5" t="s">
        <v>668</v>
      </c>
      <c r="B385" s="8"/>
      <c r="C385" s="8"/>
      <c r="D385" s="8"/>
      <c r="E385" s="8"/>
      <c r="F385" s="40"/>
      <c r="G385" s="223"/>
      <c r="H385" s="37">
        <f>G385*2077.52</f>
        <v>0</v>
      </c>
      <c r="I385" s="37"/>
      <c r="J385" s="37">
        <v>0</v>
      </c>
      <c r="K385" s="37">
        <f t="shared" si="48"/>
        <v>0</v>
      </c>
      <c r="L385" s="37"/>
      <c r="M385" s="73">
        <v>0</v>
      </c>
    </row>
    <row r="386" spans="1:13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ref="F386:F418" si="49">C386+D386+E386</f>
        <v>4235</v>
      </c>
      <c r="G386" s="66">
        <f t="shared" ref="G386:G449" si="50">2/188175.6*F386</f>
        <v>4.5011149160677583E-2</v>
      </c>
      <c r="H386" s="37">
        <f t="shared" ref="H386:H449" si="51">G386*2269.13</f>
        <v>102.13614889496833</v>
      </c>
      <c r="I386" s="37">
        <f t="shared" ref="I386:I449" si="52">H386*0.3677</f>
        <v>37.555461948679856</v>
      </c>
      <c r="J386" s="37">
        <v>39.454072685300325</v>
      </c>
      <c r="K386" s="37">
        <f t="shared" si="48"/>
        <v>25.238201445883529</v>
      </c>
      <c r="L386" s="37">
        <f>K386*1.219</f>
        <v>30.765367562532024</v>
      </c>
      <c r="M386" s="73">
        <f t="shared" ref="M386:M418" si="53">(K386+J386+I386+H386)/F386</f>
        <v>4.8260657609169311E-2</v>
      </c>
    </row>
    <row r="387" spans="1:13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49"/>
        <v>12601</v>
      </c>
      <c r="G387" s="66">
        <f t="shared" si="50"/>
        <v>0.13392809694774455</v>
      </c>
      <c r="H387" s="37">
        <f t="shared" si="51"/>
        <v>303.9002626270356</v>
      </c>
      <c r="I387" s="37">
        <f t="shared" si="52"/>
        <v>111.744126567961</v>
      </c>
      <c r="J387" s="37">
        <v>117.39333409857601</v>
      </c>
      <c r="K387" s="37">
        <f t="shared" si="48"/>
        <v>75.094823239569848</v>
      </c>
      <c r="L387" s="37">
        <f t="shared" ref="L387:L450" si="54">K387*1.219</f>
        <v>91.540589529035657</v>
      </c>
      <c r="M387" s="73">
        <f t="shared" si="53"/>
        <v>4.8260657609169304E-2</v>
      </c>
    </row>
    <row r="388" spans="1:13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49"/>
        <v>12482</v>
      </c>
      <c r="G388" s="66">
        <f t="shared" si="50"/>
        <v>0.13266332085562635</v>
      </c>
      <c r="H388" s="37">
        <f t="shared" si="51"/>
        <v>301.03032125312745</v>
      </c>
      <c r="I388" s="37">
        <f t="shared" si="52"/>
        <v>110.68884912477498</v>
      </c>
      <c r="J388" s="37">
        <v>116.28470726279072</v>
      </c>
      <c r="K388" s="37">
        <f t="shared" si="48"/>
        <v>74.38565063695826</v>
      </c>
      <c r="L388" s="37">
        <f t="shared" si="54"/>
        <v>90.676108126452121</v>
      </c>
      <c r="M388" s="73">
        <f t="shared" si="53"/>
        <v>4.8260657609169318E-2</v>
      </c>
    </row>
    <row r="389" spans="1:13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49"/>
        <v>6092</v>
      </c>
      <c r="G389" s="66">
        <f t="shared" si="50"/>
        <v>6.4748033220034903E-2</v>
      </c>
      <c r="H389" s="37">
        <f t="shared" si="51"/>
        <v>146.9217046205778</v>
      </c>
      <c r="I389" s="37">
        <f t="shared" si="52"/>
        <v>54.023110788986457</v>
      </c>
      <c r="J389" s="37">
        <v>56.754241038689393</v>
      </c>
      <c r="K389" s="37">
        <f t="shared" si="48"/>
        <v>36.304869706805775</v>
      </c>
      <c r="L389" s="37">
        <f t="shared" si="54"/>
        <v>44.25563617259624</v>
      </c>
      <c r="M389" s="73">
        <f t="shared" si="53"/>
        <v>4.8260657609169304E-2</v>
      </c>
    </row>
    <row r="390" spans="1:13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49"/>
        <v>12853.2</v>
      </c>
      <c r="G390" s="66">
        <f t="shared" si="50"/>
        <v>0.13660857199339341</v>
      </c>
      <c r="H390" s="37">
        <f t="shared" si="51"/>
        <v>309.98260896736878</v>
      </c>
      <c r="I390" s="37">
        <f t="shared" si="52"/>
        <v>113.98060531730151</v>
      </c>
      <c r="J390" s="37">
        <v>119.74287769508905</v>
      </c>
      <c r="K390" s="37">
        <f t="shared" si="48"/>
        <v>76.597792402415621</v>
      </c>
      <c r="L390" s="37">
        <f t="shared" si="54"/>
        <v>93.372708938544648</v>
      </c>
      <c r="M390" s="73">
        <f t="shared" si="53"/>
        <v>4.8260657609169304E-2</v>
      </c>
    </row>
    <row r="391" spans="1:13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49"/>
        <v>6317.1</v>
      </c>
      <c r="G391" s="66">
        <f t="shared" si="50"/>
        <v>6.7140479424537505E-2</v>
      </c>
      <c r="H391" s="37">
        <f t="shared" si="51"/>
        <v>152.35047607660078</v>
      </c>
      <c r="I391" s="37">
        <f t="shared" si="52"/>
        <v>56.019270053366114</v>
      </c>
      <c r="J391" s="37">
        <v>58.851315834784103</v>
      </c>
      <c r="K391" s="37">
        <f t="shared" si="48"/>
        <v>37.646338218132428</v>
      </c>
      <c r="L391" s="37">
        <f t="shared" si="54"/>
        <v>45.890886287903434</v>
      </c>
      <c r="M391" s="73">
        <f t="shared" si="53"/>
        <v>4.8260657609169304E-2</v>
      </c>
    </row>
    <row r="392" spans="1:13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49"/>
        <v>6243.1</v>
      </c>
      <c r="G392" s="66">
        <f t="shared" si="50"/>
        <v>6.6353980005909377E-2</v>
      </c>
      <c r="H392" s="37">
        <f t="shared" si="51"/>
        <v>150.56580665080915</v>
      </c>
      <c r="I392" s="37">
        <f t="shared" si="52"/>
        <v>55.363047105502531</v>
      </c>
      <c r="J392" s="37">
        <v>58.161917634379805</v>
      </c>
      <c r="K392" s="37">
        <f t="shared" si="48"/>
        <v>37.205340129113452</v>
      </c>
      <c r="L392" s="37">
        <f t="shared" si="54"/>
        <v>45.3533096173893</v>
      </c>
      <c r="M392" s="73">
        <f t="shared" si="53"/>
        <v>4.8260657609169318E-2</v>
      </c>
    </row>
    <row r="393" spans="1:13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49"/>
        <v>3918</v>
      </c>
      <c r="G393" s="66">
        <f t="shared" si="50"/>
        <v>4.1641955705203015E-2</v>
      </c>
      <c r="H393" s="37">
        <f t="shared" si="51"/>
        <v>94.491010949347327</v>
      </c>
      <c r="I393" s="37">
        <f t="shared" si="52"/>
        <v>34.744344726075013</v>
      </c>
      <c r="J393" s="37">
        <v>36.500839853838649</v>
      </c>
      <c r="K393" s="37">
        <f t="shared" si="48"/>
        <v>23.349060983464383</v>
      </c>
      <c r="L393" s="37">
        <f t="shared" si="54"/>
        <v>28.462505338843087</v>
      </c>
      <c r="M393" s="73">
        <f t="shared" si="53"/>
        <v>4.8260657609169318E-2</v>
      </c>
    </row>
    <row r="394" spans="1:13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49"/>
        <v>4332</v>
      </c>
      <c r="G394" s="66">
        <f t="shared" si="50"/>
        <v>4.6042101101311753E-2</v>
      </c>
      <c r="H394" s="37">
        <f t="shared" si="51"/>
        <v>104.47551287201954</v>
      </c>
      <c r="I394" s="37">
        <f t="shared" si="52"/>
        <v>38.415646083041587</v>
      </c>
      <c r="J394" s="37">
        <v>40.357743299343802</v>
      </c>
      <c r="K394" s="37">
        <f t="shared" si="48"/>
        <v>25.816266508516513</v>
      </c>
      <c r="L394" s="37">
        <f t="shared" si="54"/>
        <v>31.470028873881631</v>
      </c>
      <c r="M394" s="73">
        <f t="shared" si="53"/>
        <v>4.8260657609169304E-2</v>
      </c>
    </row>
    <row r="395" spans="1:13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49"/>
        <v>3911</v>
      </c>
      <c r="G395" s="66">
        <f t="shared" si="50"/>
        <v>4.1567557111548997E-2</v>
      </c>
      <c r="H395" s="37">
        <f t="shared" si="51"/>
        <v>94.322190868529177</v>
      </c>
      <c r="I395" s="37">
        <f t="shared" si="52"/>
        <v>34.682269582358181</v>
      </c>
      <c r="J395" s="37">
        <v>36.435626510557157</v>
      </c>
      <c r="K395" s="37">
        <f t="shared" si="48"/>
        <v>23.307344948016638</v>
      </c>
      <c r="L395" s="37">
        <f t="shared" si="54"/>
        <v>28.411653491632283</v>
      </c>
      <c r="M395" s="73">
        <f t="shared" si="53"/>
        <v>4.8260657609169311E-2</v>
      </c>
    </row>
    <row r="396" spans="1:13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49"/>
        <v>3338</v>
      </c>
      <c r="G396" s="66">
        <f t="shared" si="50"/>
        <v>3.5477500802441976E-2</v>
      </c>
      <c r="H396" s="37">
        <f t="shared" si="51"/>
        <v>80.503061395845165</v>
      </c>
      <c r="I396" s="37">
        <f t="shared" si="52"/>
        <v>29.600975675252268</v>
      </c>
      <c r="J396" s="37">
        <v>31.097448553372487</v>
      </c>
      <c r="K396" s="37">
        <f t="shared" si="48"/>
        <v>19.892589474937242</v>
      </c>
      <c r="L396" s="37">
        <f t="shared" si="54"/>
        <v>24.2490665699485</v>
      </c>
      <c r="M396" s="73">
        <f t="shared" si="53"/>
        <v>4.8260657609169318E-2</v>
      </c>
    </row>
    <row r="397" spans="1:13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49"/>
        <v>3353</v>
      </c>
      <c r="G397" s="66">
        <f t="shared" si="50"/>
        <v>3.5636926360271999E-2</v>
      </c>
      <c r="H397" s="37">
        <f t="shared" si="51"/>
        <v>80.864818711883999</v>
      </c>
      <c r="I397" s="37">
        <f t="shared" si="52"/>
        <v>29.733993840359748</v>
      </c>
      <c r="J397" s="37">
        <v>31.237191431832816</v>
      </c>
      <c r="K397" s="37">
        <f t="shared" si="48"/>
        <v>19.981980979468116</v>
      </c>
      <c r="L397" s="37">
        <f t="shared" si="54"/>
        <v>24.358034813971635</v>
      </c>
      <c r="M397" s="73">
        <f t="shared" si="53"/>
        <v>4.8260657609169311E-2</v>
      </c>
    </row>
    <row r="398" spans="1:13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49"/>
        <v>4050</v>
      </c>
      <c r="G398" s="66">
        <f t="shared" si="50"/>
        <v>4.3044900614107248E-2</v>
      </c>
      <c r="H398" s="37">
        <f t="shared" si="51"/>
        <v>97.674475330489187</v>
      </c>
      <c r="I398" s="37">
        <f t="shared" si="52"/>
        <v>35.914904579020877</v>
      </c>
      <c r="J398" s="37">
        <v>37.730577184289565</v>
      </c>
      <c r="K398" s="37">
        <f t="shared" si="48"/>
        <v>24.135706223336076</v>
      </c>
      <c r="L398" s="37">
        <f t="shared" si="54"/>
        <v>29.421425886246677</v>
      </c>
      <c r="M398" s="73">
        <f t="shared" si="53"/>
        <v>4.8260657609169311E-2</v>
      </c>
    </row>
    <row r="399" spans="1:13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49"/>
        <v>4035</v>
      </c>
      <c r="G399" s="66">
        <f t="shared" si="50"/>
        <v>4.2885475056277225E-2</v>
      </c>
      <c r="H399" s="37">
        <f t="shared" si="51"/>
        <v>97.31271801445034</v>
      </c>
      <c r="I399" s="37">
        <f t="shared" si="52"/>
        <v>35.781886413913391</v>
      </c>
      <c r="J399" s="37">
        <v>37.59083430582924</v>
      </c>
      <c r="K399" s="37">
        <f t="shared" si="48"/>
        <v>24.046314718805206</v>
      </c>
      <c r="L399" s="37">
        <f t="shared" si="54"/>
        <v>29.312457642223549</v>
      </c>
      <c r="M399" s="73">
        <f t="shared" si="53"/>
        <v>4.8260657609169318E-2</v>
      </c>
    </row>
    <row r="400" spans="1:13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49"/>
        <v>4018</v>
      </c>
      <c r="G400" s="66">
        <f t="shared" si="50"/>
        <v>4.2704792757403194E-2</v>
      </c>
      <c r="H400" s="37">
        <f t="shared" si="51"/>
        <v>96.902726389606315</v>
      </c>
      <c r="I400" s="37">
        <f t="shared" si="52"/>
        <v>35.631132493458246</v>
      </c>
      <c r="J400" s="37">
        <v>37.432459043574191</v>
      </c>
      <c r="K400" s="37">
        <f t="shared" si="48"/>
        <v>23.945004347003547</v>
      </c>
      <c r="L400" s="37">
        <f t="shared" si="54"/>
        <v>29.188960298997326</v>
      </c>
      <c r="M400" s="73">
        <f t="shared" si="53"/>
        <v>4.8260657609169311E-2</v>
      </c>
    </row>
    <row r="401" spans="1:13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49"/>
        <v>4031</v>
      </c>
      <c r="G401" s="66">
        <f t="shared" si="50"/>
        <v>4.2842961574189216E-2</v>
      </c>
      <c r="H401" s="37">
        <f t="shared" si="51"/>
        <v>97.216249396839984</v>
      </c>
      <c r="I401" s="37">
        <f t="shared" si="52"/>
        <v>35.746414903218067</v>
      </c>
      <c r="J401" s="37">
        <v>37.553569538239813</v>
      </c>
      <c r="K401" s="37">
        <f t="shared" si="48"/>
        <v>24.022476984263637</v>
      </c>
      <c r="L401" s="37">
        <f t="shared" si="54"/>
        <v>29.283399443817377</v>
      </c>
      <c r="M401" s="73">
        <f t="shared" si="53"/>
        <v>4.8260657609169311E-2</v>
      </c>
    </row>
    <row r="402" spans="1:13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49"/>
        <v>4302</v>
      </c>
      <c r="G402" s="66">
        <f t="shared" si="50"/>
        <v>4.57232499856517E-2</v>
      </c>
      <c r="H402" s="37">
        <f t="shared" si="51"/>
        <v>103.75199823994184</v>
      </c>
      <c r="I402" s="37">
        <f t="shared" si="52"/>
        <v>38.14960975282662</v>
      </c>
      <c r="J402" s="37">
        <v>40.078257542423138</v>
      </c>
      <c r="K402" s="37">
        <f t="shared" si="48"/>
        <v>25.637483499454767</v>
      </c>
      <c r="L402" s="37">
        <f t="shared" si="54"/>
        <v>31.252092385835365</v>
      </c>
      <c r="M402" s="73">
        <f t="shared" si="53"/>
        <v>4.8260657609169311E-2</v>
      </c>
    </row>
    <row r="403" spans="1:13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49"/>
        <v>4275</v>
      </c>
      <c r="G403" s="66">
        <f t="shared" si="50"/>
        <v>4.5436283981557656E-2</v>
      </c>
      <c r="H403" s="37">
        <f t="shared" si="51"/>
        <v>103.10083507107193</v>
      </c>
      <c r="I403" s="37">
        <f t="shared" si="52"/>
        <v>37.910177055633149</v>
      </c>
      <c r="J403" s="37">
        <v>39.826720361194546</v>
      </c>
      <c r="K403" s="37">
        <f t="shared" si="48"/>
        <v>25.476578791299193</v>
      </c>
      <c r="L403" s="37">
        <f t="shared" si="54"/>
        <v>31.05594954659372</v>
      </c>
      <c r="M403" s="73">
        <f t="shared" si="53"/>
        <v>4.8260657609169318E-2</v>
      </c>
    </row>
    <row r="404" spans="1:13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49"/>
        <v>4125</v>
      </c>
      <c r="G404" s="66">
        <f t="shared" si="50"/>
        <v>4.3842028403257384E-2</v>
      </c>
      <c r="H404" s="37">
        <f t="shared" si="51"/>
        <v>99.483261910683439</v>
      </c>
      <c r="I404" s="37">
        <f t="shared" si="52"/>
        <v>36.579995404558304</v>
      </c>
      <c r="J404" s="37">
        <v>38.429291576591226</v>
      </c>
      <c r="K404" s="37">
        <f t="shared" si="48"/>
        <v>24.582663745990448</v>
      </c>
      <c r="L404" s="37">
        <f t="shared" si="54"/>
        <v>29.966267106362359</v>
      </c>
      <c r="M404" s="73">
        <f t="shared" si="53"/>
        <v>4.8260657609169318E-2</v>
      </c>
    </row>
    <row r="405" spans="1:13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49"/>
        <v>3975</v>
      </c>
      <c r="G405" s="66">
        <f t="shared" si="50"/>
        <v>4.2247772824957112E-2</v>
      </c>
      <c r="H405" s="37">
        <f t="shared" si="51"/>
        <v>95.865688750294936</v>
      </c>
      <c r="I405" s="37">
        <f t="shared" si="52"/>
        <v>35.249813753483451</v>
      </c>
      <c r="J405" s="37">
        <v>37.031862791987905</v>
      </c>
      <c r="K405" s="37">
        <f t="shared" si="48"/>
        <v>23.688748700681703</v>
      </c>
      <c r="L405" s="37">
        <f t="shared" si="54"/>
        <v>28.876584666130999</v>
      </c>
      <c r="M405" s="73">
        <f t="shared" si="53"/>
        <v>4.8260657609169304E-2</v>
      </c>
    </row>
    <row r="406" spans="1:13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49"/>
        <v>3357</v>
      </c>
      <c r="G406" s="66">
        <f t="shared" si="50"/>
        <v>3.5679439842360008E-2</v>
      </c>
      <c r="H406" s="37">
        <f t="shared" si="51"/>
        <v>80.961287329494368</v>
      </c>
      <c r="I406" s="37">
        <f t="shared" si="52"/>
        <v>29.769465351055082</v>
      </c>
      <c r="J406" s="37">
        <v>31.274456199422239</v>
      </c>
      <c r="K406" s="37">
        <f t="shared" si="48"/>
        <v>20.005818714009681</v>
      </c>
      <c r="L406" s="37">
        <f t="shared" si="54"/>
        <v>24.387093012377804</v>
      </c>
      <c r="M406" s="73">
        <f t="shared" si="53"/>
        <v>4.8260657609169318E-2</v>
      </c>
    </row>
    <row r="407" spans="1:13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49"/>
        <v>6146</v>
      </c>
      <c r="G407" s="66">
        <f t="shared" si="50"/>
        <v>6.5321965228223006E-2</v>
      </c>
      <c r="H407" s="37">
        <f t="shared" si="51"/>
        <v>148.22403095831768</v>
      </c>
      <c r="I407" s="37">
        <f t="shared" si="52"/>
        <v>54.501976183373415</v>
      </c>
      <c r="J407" s="37">
        <v>57.257315401146592</v>
      </c>
      <c r="K407" s="37">
        <f t="shared" si="48"/>
        <v>36.626679123116922</v>
      </c>
      <c r="L407" s="37">
        <f t="shared" si="54"/>
        <v>44.647921851079531</v>
      </c>
      <c r="M407" s="73">
        <f t="shared" si="53"/>
        <v>4.8260657609169325E-2</v>
      </c>
    </row>
    <row r="408" spans="1:13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49"/>
        <v>983</v>
      </c>
      <c r="G408" s="66">
        <f t="shared" si="50"/>
        <v>1.0447688223127759E-2</v>
      </c>
      <c r="H408" s="37">
        <f t="shared" si="51"/>
        <v>23.707162777745893</v>
      </c>
      <c r="I408" s="37">
        <f t="shared" si="52"/>
        <v>8.7171237533771659</v>
      </c>
      <c r="J408" s="37">
        <v>9.1578166351004064</v>
      </c>
      <c r="K408" s="37">
        <f t="shared" si="48"/>
        <v>5.8581232635899667</v>
      </c>
      <c r="L408" s="37">
        <f t="shared" si="54"/>
        <v>7.1410522583161695</v>
      </c>
      <c r="M408" s="73">
        <f t="shared" si="53"/>
        <v>4.8260657609169311E-2</v>
      </c>
    </row>
    <row r="409" spans="1:13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49"/>
        <v>3815</v>
      </c>
      <c r="G409" s="66">
        <f t="shared" si="50"/>
        <v>4.0547233541436828E-2</v>
      </c>
      <c r="H409" s="37">
        <f t="shared" si="51"/>
        <v>92.006944045880559</v>
      </c>
      <c r="I409" s="37">
        <f t="shared" si="52"/>
        <v>33.830953325670286</v>
      </c>
      <c r="J409" s="37">
        <v>35.541272088411034</v>
      </c>
      <c r="K409" s="37">
        <f t="shared" si="48"/>
        <v>22.735239319019044</v>
      </c>
      <c r="L409" s="37">
        <f t="shared" si="54"/>
        <v>27.714256729884216</v>
      </c>
      <c r="M409" s="73">
        <f t="shared" si="53"/>
        <v>4.8260657609169311E-2</v>
      </c>
    </row>
    <row r="410" spans="1:13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49"/>
        <v>4215</v>
      </c>
      <c r="G410" s="66">
        <f t="shared" si="50"/>
        <v>4.4798581750237543E-2</v>
      </c>
      <c r="H410" s="37">
        <f t="shared" si="51"/>
        <v>101.65380580691652</v>
      </c>
      <c r="I410" s="37">
        <f t="shared" si="52"/>
        <v>37.378104395203209</v>
      </c>
      <c r="J410" s="37">
        <v>39.267748847353211</v>
      </c>
      <c r="K410" s="37">
        <f t="shared" si="48"/>
        <v>25.119012773175694</v>
      </c>
      <c r="L410" s="37">
        <f t="shared" si="54"/>
        <v>30.620076570501173</v>
      </c>
      <c r="M410" s="73">
        <f t="shared" si="53"/>
        <v>4.8260657609169311E-2</v>
      </c>
    </row>
    <row r="411" spans="1:13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49"/>
        <v>12662</v>
      </c>
      <c r="G411" s="66">
        <f t="shared" si="50"/>
        <v>0.13457642754958665</v>
      </c>
      <c r="H411" s="37">
        <f t="shared" si="51"/>
        <v>305.37140904559357</v>
      </c>
      <c r="I411" s="37">
        <f t="shared" si="52"/>
        <v>112.28506710606476</v>
      </c>
      <c r="J411" s="37">
        <v>117.96162180431467</v>
      </c>
      <c r="K411" s="37">
        <f t="shared" si="48"/>
        <v>75.458348691328737</v>
      </c>
      <c r="L411" s="37">
        <f t="shared" si="54"/>
        <v>91.983727054729741</v>
      </c>
      <c r="M411" s="73">
        <f t="shared" si="53"/>
        <v>4.8260657609169304E-2</v>
      </c>
    </row>
    <row r="412" spans="1:13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49"/>
        <v>3976</v>
      </c>
      <c r="G412" s="66">
        <f t="shared" si="50"/>
        <v>4.225840119547912E-2</v>
      </c>
      <c r="H412" s="37">
        <f t="shared" si="51"/>
        <v>95.889805904697539</v>
      </c>
      <c r="I412" s="37">
        <f t="shared" si="52"/>
        <v>35.258681631157287</v>
      </c>
      <c r="J412" s="37">
        <v>37.041178983885267</v>
      </c>
      <c r="K412" s="37">
        <f t="shared" ref="K412:K475" si="55">G412*560.71</f>
        <v>23.6947081343171</v>
      </c>
      <c r="L412" s="37">
        <f t="shared" si="54"/>
        <v>28.883849215732546</v>
      </c>
      <c r="M412" s="73">
        <f t="shared" si="53"/>
        <v>4.8260657609169311E-2</v>
      </c>
    </row>
    <row r="413" spans="1:13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49"/>
        <v>12839</v>
      </c>
      <c r="G413" s="66">
        <f t="shared" si="50"/>
        <v>0.13645764913198097</v>
      </c>
      <c r="H413" s="37">
        <f t="shared" si="51"/>
        <v>309.64014537485201</v>
      </c>
      <c r="I413" s="37">
        <f t="shared" si="52"/>
        <v>113.85468145433309</v>
      </c>
      <c r="J413" s="37">
        <v>119.61058777014659</v>
      </c>
      <c r="K413" s="37">
        <f t="shared" si="55"/>
        <v>76.513168444793052</v>
      </c>
      <c r="L413" s="37">
        <f t="shared" si="54"/>
        <v>93.269552334202743</v>
      </c>
      <c r="M413" s="73">
        <f t="shared" si="53"/>
        <v>4.8260657609169311E-2</v>
      </c>
    </row>
    <row r="414" spans="1:13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49"/>
        <v>10313</v>
      </c>
      <c r="G414" s="66">
        <f t="shared" si="50"/>
        <v>0.10961038519340446</v>
      </c>
      <c r="H414" s="37">
        <f t="shared" si="51"/>
        <v>248.72021335390988</v>
      </c>
      <c r="I414" s="37">
        <f t="shared" si="52"/>
        <v>91.45442245023267</v>
      </c>
      <c r="J414" s="37">
        <v>96.077887037426748</v>
      </c>
      <c r="K414" s="37">
        <f t="shared" si="55"/>
        <v>61.459639081793824</v>
      </c>
      <c r="L414" s="37">
        <f t="shared" si="54"/>
        <v>74.919300040706673</v>
      </c>
      <c r="M414" s="73">
        <f t="shared" si="53"/>
        <v>4.8260657609169311E-2</v>
      </c>
    </row>
    <row r="415" spans="1:13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49"/>
        <v>6385</v>
      </c>
      <c r="G415" s="66">
        <f t="shared" si="50"/>
        <v>6.7862145782981428E-2</v>
      </c>
      <c r="H415" s="37">
        <f t="shared" si="51"/>
        <v>153.98803086053667</v>
      </c>
      <c r="I415" s="37">
        <f t="shared" si="52"/>
        <v>56.621398947419337</v>
      </c>
      <c r="J415" s="37">
        <v>59.483885264614536</v>
      </c>
      <c r="K415" s="37">
        <f t="shared" si="55"/>
        <v>38.050983761975516</v>
      </c>
      <c r="L415" s="37">
        <f t="shared" si="54"/>
        <v>46.384149205848161</v>
      </c>
      <c r="M415" s="73">
        <f t="shared" si="53"/>
        <v>4.8260657609169304E-2</v>
      </c>
    </row>
    <row r="416" spans="1:13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49"/>
        <v>3041.2</v>
      </c>
      <c r="G416" s="66">
        <f t="shared" si="50"/>
        <v>3.2323000431511845E-2</v>
      </c>
      <c r="H416" s="37">
        <f t="shared" si="51"/>
        <v>73.345089969156476</v>
      </c>
      <c r="I416" s="37">
        <f t="shared" si="52"/>
        <v>26.968989581658839</v>
      </c>
      <c r="J416" s="37">
        <v>28.332402798237393</v>
      </c>
      <c r="K416" s="37">
        <f t="shared" si="55"/>
        <v>18.123829571953006</v>
      </c>
      <c r="L416" s="37">
        <f t="shared" si="54"/>
        <v>22.092948248210718</v>
      </c>
      <c r="M416" s="73">
        <f t="shared" si="53"/>
        <v>4.8260657609169318E-2</v>
      </c>
    </row>
    <row r="417" spans="1:13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49"/>
        <v>3886</v>
      </c>
      <c r="G417" s="66">
        <f t="shared" si="50"/>
        <v>4.1301847848498954E-2</v>
      </c>
      <c r="H417" s="37">
        <f t="shared" si="51"/>
        <v>93.71926200846444</v>
      </c>
      <c r="I417" s="37">
        <f t="shared" si="52"/>
        <v>34.460572640512375</v>
      </c>
      <c r="J417" s="37">
        <v>36.202721713123275</v>
      </c>
      <c r="K417" s="37">
        <f t="shared" si="55"/>
        <v>23.158359107131851</v>
      </c>
      <c r="L417" s="37">
        <f t="shared" si="54"/>
        <v>28.230039751593729</v>
      </c>
      <c r="M417" s="73">
        <f t="shared" si="53"/>
        <v>4.8260657609169311E-2</v>
      </c>
    </row>
    <row r="418" spans="1:13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49"/>
        <v>4071</v>
      </c>
      <c r="G418" s="66">
        <f t="shared" si="50"/>
        <v>4.3268096395069289E-2</v>
      </c>
      <c r="H418" s="37">
        <f t="shared" si="51"/>
        <v>98.180935572943582</v>
      </c>
      <c r="I418" s="37">
        <f t="shared" si="52"/>
        <v>36.10113001017136</v>
      </c>
      <c r="J418" s="37">
        <v>37.926217214134034</v>
      </c>
      <c r="K418" s="37">
        <f t="shared" si="55"/>
        <v>24.260854329679301</v>
      </c>
      <c r="L418" s="37">
        <f t="shared" si="54"/>
        <v>29.573981427879069</v>
      </c>
      <c r="M418" s="73">
        <f t="shared" si="53"/>
        <v>4.8260657609169311E-2</v>
      </c>
    </row>
    <row r="419" spans="1:13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/>
      <c r="G419" s="66">
        <f t="shared" si="50"/>
        <v>0</v>
      </c>
      <c r="H419" s="37">
        <f t="shared" si="51"/>
        <v>0</v>
      </c>
      <c r="I419" s="37">
        <f t="shared" si="52"/>
        <v>0</v>
      </c>
      <c r="J419" s="37">
        <v>0</v>
      </c>
      <c r="K419" s="37">
        <f t="shared" si="55"/>
        <v>0</v>
      </c>
      <c r="L419" s="37">
        <f t="shared" si="54"/>
        <v>0</v>
      </c>
      <c r="M419" s="73">
        <v>0</v>
      </c>
    </row>
    <row r="420" spans="1:13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/>
      <c r="G420" s="66">
        <f t="shared" si="50"/>
        <v>0</v>
      </c>
      <c r="H420" s="37">
        <f t="shared" si="51"/>
        <v>0</v>
      </c>
      <c r="I420" s="37">
        <f t="shared" si="52"/>
        <v>0</v>
      </c>
      <c r="J420" s="37">
        <v>0</v>
      </c>
      <c r="K420" s="37">
        <f t="shared" si="55"/>
        <v>0</v>
      </c>
      <c r="L420" s="37">
        <f t="shared" si="54"/>
        <v>0</v>
      </c>
      <c r="M420" s="73">
        <v>0</v>
      </c>
    </row>
    <row r="421" spans="1:13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/>
      <c r="G421" s="66">
        <f t="shared" si="50"/>
        <v>0</v>
      </c>
      <c r="H421" s="37">
        <f t="shared" si="51"/>
        <v>0</v>
      </c>
      <c r="I421" s="37">
        <f t="shared" si="52"/>
        <v>0</v>
      </c>
      <c r="J421" s="37">
        <v>0</v>
      </c>
      <c r="K421" s="37">
        <f t="shared" si="55"/>
        <v>0</v>
      </c>
      <c r="L421" s="37">
        <f t="shared" si="54"/>
        <v>0</v>
      </c>
      <c r="M421" s="73">
        <v>0</v>
      </c>
    </row>
    <row r="422" spans="1:13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/>
      <c r="G422" s="66">
        <f t="shared" si="50"/>
        <v>0</v>
      </c>
      <c r="H422" s="37">
        <f t="shared" si="51"/>
        <v>0</v>
      </c>
      <c r="I422" s="37">
        <f t="shared" si="52"/>
        <v>0</v>
      </c>
      <c r="J422" s="37">
        <v>0</v>
      </c>
      <c r="K422" s="37">
        <f t="shared" si="55"/>
        <v>0</v>
      </c>
      <c r="L422" s="37">
        <f t="shared" si="54"/>
        <v>0</v>
      </c>
      <c r="M422" s="73">
        <v>0</v>
      </c>
    </row>
    <row r="423" spans="1:13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/>
      <c r="G423" s="66">
        <f t="shared" si="50"/>
        <v>0</v>
      </c>
      <c r="H423" s="37">
        <f t="shared" si="51"/>
        <v>0</v>
      </c>
      <c r="I423" s="37">
        <f t="shared" si="52"/>
        <v>0</v>
      </c>
      <c r="J423" s="37">
        <v>0</v>
      </c>
      <c r="K423" s="37">
        <f t="shared" si="55"/>
        <v>0</v>
      </c>
      <c r="L423" s="37">
        <f t="shared" si="54"/>
        <v>0</v>
      </c>
      <c r="M423" s="73">
        <v>0</v>
      </c>
    </row>
    <row r="424" spans="1:13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/>
      <c r="G424" s="66">
        <f t="shared" si="50"/>
        <v>0</v>
      </c>
      <c r="H424" s="37">
        <f t="shared" si="51"/>
        <v>0</v>
      </c>
      <c r="I424" s="37">
        <f t="shared" si="52"/>
        <v>0</v>
      </c>
      <c r="J424" s="37">
        <v>0</v>
      </c>
      <c r="K424" s="37">
        <f t="shared" si="55"/>
        <v>0</v>
      </c>
      <c r="L424" s="37">
        <f t="shared" si="54"/>
        <v>0</v>
      </c>
      <c r="M424" s="73">
        <v>0</v>
      </c>
    </row>
    <row r="425" spans="1:13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/>
      <c r="G425" s="66">
        <f t="shared" si="50"/>
        <v>0</v>
      </c>
      <c r="H425" s="37">
        <f t="shared" si="51"/>
        <v>0</v>
      </c>
      <c r="I425" s="37">
        <f t="shared" si="52"/>
        <v>0</v>
      </c>
      <c r="J425" s="37">
        <v>0</v>
      </c>
      <c r="K425" s="37">
        <f t="shared" si="55"/>
        <v>0</v>
      </c>
      <c r="L425" s="37">
        <f t="shared" si="54"/>
        <v>0</v>
      </c>
      <c r="M425" s="73">
        <v>0</v>
      </c>
    </row>
    <row r="426" spans="1:13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/>
      <c r="G426" s="66">
        <f t="shared" si="50"/>
        <v>0</v>
      </c>
      <c r="H426" s="37">
        <f t="shared" si="51"/>
        <v>0</v>
      </c>
      <c r="I426" s="37">
        <f t="shared" si="52"/>
        <v>0</v>
      </c>
      <c r="J426" s="37">
        <v>0</v>
      </c>
      <c r="K426" s="37">
        <f t="shared" si="55"/>
        <v>0</v>
      </c>
      <c r="L426" s="37">
        <f t="shared" si="54"/>
        <v>0</v>
      </c>
      <c r="M426" s="73">
        <v>0</v>
      </c>
    </row>
    <row r="427" spans="1:13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/>
      <c r="G427" s="66">
        <f t="shared" si="50"/>
        <v>0</v>
      </c>
      <c r="H427" s="37">
        <f t="shared" si="51"/>
        <v>0</v>
      </c>
      <c r="I427" s="37">
        <f t="shared" si="52"/>
        <v>0</v>
      </c>
      <c r="J427" s="37">
        <v>0</v>
      </c>
      <c r="K427" s="37">
        <f t="shared" si="55"/>
        <v>0</v>
      </c>
      <c r="L427" s="37">
        <f t="shared" si="54"/>
        <v>0</v>
      </c>
      <c r="M427" s="73">
        <v>0</v>
      </c>
    </row>
    <row r="428" spans="1:13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/>
      <c r="G428" s="66">
        <f t="shared" si="50"/>
        <v>0</v>
      </c>
      <c r="H428" s="37">
        <f t="shared" si="51"/>
        <v>0</v>
      </c>
      <c r="I428" s="37">
        <f t="shared" si="52"/>
        <v>0</v>
      </c>
      <c r="J428" s="37">
        <v>0</v>
      </c>
      <c r="K428" s="37">
        <f t="shared" si="55"/>
        <v>0</v>
      </c>
      <c r="L428" s="37">
        <f t="shared" si="54"/>
        <v>0</v>
      </c>
      <c r="M428" s="73">
        <v>0</v>
      </c>
    </row>
    <row r="429" spans="1:13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/>
      <c r="G429" s="66">
        <f t="shared" si="50"/>
        <v>0</v>
      </c>
      <c r="H429" s="37">
        <f t="shared" si="51"/>
        <v>0</v>
      </c>
      <c r="I429" s="37">
        <f t="shared" si="52"/>
        <v>0</v>
      </c>
      <c r="J429" s="37">
        <v>0</v>
      </c>
      <c r="K429" s="37">
        <f t="shared" si="55"/>
        <v>0</v>
      </c>
      <c r="L429" s="37">
        <f t="shared" si="54"/>
        <v>0</v>
      </c>
      <c r="M429" s="73">
        <v>0</v>
      </c>
    </row>
    <row r="430" spans="1:13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/>
      <c r="G430" s="66">
        <f t="shared" si="50"/>
        <v>0</v>
      </c>
      <c r="H430" s="37">
        <f t="shared" si="51"/>
        <v>0</v>
      </c>
      <c r="I430" s="37">
        <f t="shared" si="52"/>
        <v>0</v>
      </c>
      <c r="J430" s="37">
        <v>0</v>
      </c>
      <c r="K430" s="37">
        <f t="shared" si="55"/>
        <v>0</v>
      </c>
      <c r="L430" s="37">
        <f t="shared" si="54"/>
        <v>0</v>
      </c>
      <c r="M430" s="73">
        <v>0</v>
      </c>
    </row>
    <row r="431" spans="1:13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/>
      <c r="G431" s="66">
        <f t="shared" si="50"/>
        <v>0</v>
      </c>
      <c r="H431" s="37">
        <f t="shared" si="51"/>
        <v>0</v>
      </c>
      <c r="I431" s="37">
        <f t="shared" si="52"/>
        <v>0</v>
      </c>
      <c r="J431" s="37">
        <v>0</v>
      </c>
      <c r="K431" s="37">
        <f t="shared" si="55"/>
        <v>0</v>
      </c>
      <c r="L431" s="37">
        <f t="shared" si="54"/>
        <v>0</v>
      </c>
      <c r="M431" s="73">
        <v>0</v>
      </c>
    </row>
    <row r="432" spans="1:13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/>
      <c r="G432" s="66">
        <f t="shared" si="50"/>
        <v>0</v>
      </c>
      <c r="H432" s="37">
        <f t="shared" si="51"/>
        <v>0</v>
      </c>
      <c r="I432" s="37">
        <f t="shared" si="52"/>
        <v>0</v>
      </c>
      <c r="J432" s="37">
        <v>0</v>
      </c>
      <c r="K432" s="37">
        <f t="shared" si="55"/>
        <v>0</v>
      </c>
      <c r="L432" s="37">
        <f t="shared" si="54"/>
        <v>0</v>
      </c>
      <c r="M432" s="73">
        <v>0</v>
      </c>
    </row>
    <row r="433" spans="1:13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/>
      <c r="G433" s="66">
        <f t="shared" si="50"/>
        <v>0</v>
      </c>
      <c r="H433" s="37">
        <f t="shared" si="51"/>
        <v>0</v>
      </c>
      <c r="I433" s="37">
        <f t="shared" si="52"/>
        <v>0</v>
      </c>
      <c r="J433" s="37">
        <v>0</v>
      </c>
      <c r="K433" s="37">
        <f t="shared" si="55"/>
        <v>0</v>
      </c>
      <c r="L433" s="37">
        <f t="shared" si="54"/>
        <v>0</v>
      </c>
      <c r="M433" s="73">
        <v>0</v>
      </c>
    </row>
    <row r="434" spans="1:13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/>
      <c r="G434" s="66">
        <f t="shared" si="50"/>
        <v>0</v>
      </c>
      <c r="H434" s="37">
        <f t="shared" si="51"/>
        <v>0</v>
      </c>
      <c r="I434" s="37">
        <f t="shared" si="52"/>
        <v>0</v>
      </c>
      <c r="J434" s="37">
        <v>0</v>
      </c>
      <c r="K434" s="37">
        <f t="shared" si="55"/>
        <v>0</v>
      </c>
      <c r="L434" s="37">
        <f t="shared" si="54"/>
        <v>0</v>
      </c>
      <c r="M434" s="73">
        <v>0</v>
      </c>
    </row>
    <row r="435" spans="1:13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/>
      <c r="G435" s="66">
        <f t="shared" si="50"/>
        <v>0</v>
      </c>
      <c r="H435" s="37">
        <f t="shared" si="51"/>
        <v>0</v>
      </c>
      <c r="I435" s="37">
        <f t="shared" si="52"/>
        <v>0</v>
      </c>
      <c r="J435" s="37">
        <v>0</v>
      </c>
      <c r="K435" s="37">
        <f t="shared" si="55"/>
        <v>0</v>
      </c>
      <c r="L435" s="37">
        <f t="shared" si="54"/>
        <v>0</v>
      </c>
      <c r="M435" s="73">
        <v>0</v>
      </c>
    </row>
    <row r="436" spans="1:13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/>
      <c r="G436" s="66">
        <f t="shared" si="50"/>
        <v>0</v>
      </c>
      <c r="H436" s="37">
        <f t="shared" si="51"/>
        <v>0</v>
      </c>
      <c r="I436" s="37">
        <f t="shared" si="52"/>
        <v>0</v>
      </c>
      <c r="J436" s="37">
        <v>0</v>
      </c>
      <c r="K436" s="37">
        <f t="shared" si="55"/>
        <v>0</v>
      </c>
      <c r="L436" s="37">
        <f t="shared" si="54"/>
        <v>0</v>
      </c>
      <c r="M436" s="73">
        <v>0</v>
      </c>
    </row>
    <row r="437" spans="1:13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/>
      <c r="G437" s="66">
        <f t="shared" si="50"/>
        <v>0</v>
      </c>
      <c r="H437" s="37">
        <f t="shared" si="51"/>
        <v>0</v>
      </c>
      <c r="I437" s="37">
        <f t="shared" si="52"/>
        <v>0</v>
      </c>
      <c r="J437" s="37">
        <v>0</v>
      </c>
      <c r="K437" s="37">
        <f t="shared" si="55"/>
        <v>0</v>
      </c>
      <c r="L437" s="37">
        <f t="shared" si="54"/>
        <v>0</v>
      </c>
      <c r="M437" s="73">
        <v>0</v>
      </c>
    </row>
    <row r="438" spans="1:13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/>
      <c r="G438" s="66">
        <f t="shared" si="50"/>
        <v>0</v>
      </c>
      <c r="H438" s="37">
        <f t="shared" si="51"/>
        <v>0</v>
      </c>
      <c r="I438" s="37">
        <f t="shared" si="52"/>
        <v>0</v>
      </c>
      <c r="J438" s="37">
        <v>0</v>
      </c>
      <c r="K438" s="37">
        <f t="shared" si="55"/>
        <v>0</v>
      </c>
      <c r="L438" s="37">
        <f t="shared" si="54"/>
        <v>0</v>
      </c>
      <c r="M438" s="73">
        <v>0</v>
      </c>
    </row>
    <row r="439" spans="1:13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/>
      <c r="G439" s="66">
        <f t="shared" si="50"/>
        <v>0</v>
      </c>
      <c r="H439" s="37">
        <f t="shared" si="51"/>
        <v>0</v>
      </c>
      <c r="I439" s="37">
        <f t="shared" si="52"/>
        <v>0</v>
      </c>
      <c r="J439" s="37">
        <v>0</v>
      </c>
      <c r="K439" s="37">
        <f t="shared" si="55"/>
        <v>0</v>
      </c>
      <c r="L439" s="37">
        <f t="shared" si="54"/>
        <v>0</v>
      </c>
      <c r="M439" s="73">
        <v>0</v>
      </c>
    </row>
    <row r="440" spans="1:13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/>
      <c r="G440" s="66">
        <f t="shared" si="50"/>
        <v>0</v>
      </c>
      <c r="H440" s="37">
        <f t="shared" si="51"/>
        <v>0</v>
      </c>
      <c r="I440" s="37">
        <f t="shared" si="52"/>
        <v>0</v>
      </c>
      <c r="J440" s="37">
        <v>0</v>
      </c>
      <c r="K440" s="37">
        <f t="shared" si="55"/>
        <v>0</v>
      </c>
      <c r="L440" s="37">
        <f t="shared" si="54"/>
        <v>0</v>
      </c>
      <c r="M440" s="73">
        <v>0</v>
      </c>
    </row>
    <row r="441" spans="1:13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/>
      <c r="G441" s="66">
        <f t="shared" si="50"/>
        <v>0</v>
      </c>
      <c r="H441" s="37">
        <f t="shared" si="51"/>
        <v>0</v>
      </c>
      <c r="I441" s="37">
        <f t="shared" si="52"/>
        <v>0</v>
      </c>
      <c r="J441" s="37">
        <v>0</v>
      </c>
      <c r="K441" s="37">
        <f t="shared" si="55"/>
        <v>0</v>
      </c>
      <c r="L441" s="37">
        <f t="shared" si="54"/>
        <v>0</v>
      </c>
      <c r="M441" s="73">
        <v>0</v>
      </c>
    </row>
    <row r="442" spans="1:13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/>
      <c r="G442" s="66">
        <f t="shared" si="50"/>
        <v>0</v>
      </c>
      <c r="H442" s="37">
        <f t="shared" si="51"/>
        <v>0</v>
      </c>
      <c r="I442" s="37">
        <f t="shared" si="52"/>
        <v>0</v>
      </c>
      <c r="J442" s="37">
        <v>0</v>
      </c>
      <c r="K442" s="37">
        <f t="shared" si="55"/>
        <v>0</v>
      </c>
      <c r="L442" s="37">
        <f t="shared" si="54"/>
        <v>0</v>
      </c>
      <c r="M442" s="73">
        <v>0</v>
      </c>
    </row>
    <row r="443" spans="1:13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/>
      <c r="G443" s="66">
        <f t="shared" si="50"/>
        <v>0</v>
      </c>
      <c r="H443" s="37">
        <f t="shared" si="51"/>
        <v>0</v>
      </c>
      <c r="I443" s="37">
        <f t="shared" si="52"/>
        <v>0</v>
      </c>
      <c r="J443" s="37">
        <v>0</v>
      </c>
      <c r="K443" s="37">
        <f t="shared" si="55"/>
        <v>0</v>
      </c>
      <c r="L443" s="37">
        <f t="shared" si="54"/>
        <v>0</v>
      </c>
      <c r="M443" s="73">
        <v>0</v>
      </c>
    </row>
    <row r="444" spans="1:13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/>
      <c r="G444" s="66">
        <f t="shared" si="50"/>
        <v>0</v>
      </c>
      <c r="H444" s="37">
        <f t="shared" si="51"/>
        <v>0</v>
      </c>
      <c r="I444" s="37">
        <f t="shared" si="52"/>
        <v>0</v>
      </c>
      <c r="J444" s="37">
        <v>0</v>
      </c>
      <c r="K444" s="37">
        <f t="shared" si="55"/>
        <v>0</v>
      </c>
      <c r="L444" s="37">
        <f t="shared" si="54"/>
        <v>0</v>
      </c>
      <c r="M444" s="73">
        <v>0</v>
      </c>
    </row>
    <row r="445" spans="1:13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/>
      <c r="G445" s="66">
        <f t="shared" si="50"/>
        <v>0</v>
      </c>
      <c r="H445" s="37">
        <f t="shared" si="51"/>
        <v>0</v>
      </c>
      <c r="I445" s="37">
        <f t="shared" si="52"/>
        <v>0</v>
      </c>
      <c r="J445" s="37">
        <v>0</v>
      </c>
      <c r="K445" s="37">
        <f t="shared" si="55"/>
        <v>0</v>
      </c>
      <c r="L445" s="37">
        <f t="shared" si="54"/>
        <v>0</v>
      </c>
      <c r="M445" s="73">
        <v>0</v>
      </c>
    </row>
    <row r="446" spans="1:13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/>
      <c r="G446" s="66">
        <f t="shared" si="50"/>
        <v>0</v>
      </c>
      <c r="H446" s="37">
        <f t="shared" si="51"/>
        <v>0</v>
      </c>
      <c r="I446" s="37">
        <f t="shared" si="52"/>
        <v>0</v>
      </c>
      <c r="J446" s="37">
        <v>0</v>
      </c>
      <c r="K446" s="37">
        <f t="shared" si="55"/>
        <v>0</v>
      </c>
      <c r="L446" s="37">
        <f t="shared" si="54"/>
        <v>0</v>
      </c>
      <c r="M446" s="73">
        <v>0</v>
      </c>
    </row>
    <row r="447" spans="1:13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/>
      <c r="G447" s="66">
        <f t="shared" si="50"/>
        <v>0</v>
      </c>
      <c r="H447" s="37">
        <f t="shared" si="51"/>
        <v>0</v>
      </c>
      <c r="I447" s="37">
        <f t="shared" si="52"/>
        <v>0</v>
      </c>
      <c r="J447" s="37">
        <v>0</v>
      </c>
      <c r="K447" s="37">
        <f t="shared" si="55"/>
        <v>0</v>
      </c>
      <c r="L447" s="37">
        <f t="shared" si="54"/>
        <v>0</v>
      </c>
      <c r="M447" s="73">
        <v>0</v>
      </c>
    </row>
    <row r="448" spans="1:13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/>
      <c r="G448" s="66">
        <f t="shared" si="50"/>
        <v>0</v>
      </c>
      <c r="H448" s="37">
        <f t="shared" si="51"/>
        <v>0</v>
      </c>
      <c r="I448" s="37">
        <f t="shared" si="52"/>
        <v>0</v>
      </c>
      <c r="J448" s="37">
        <v>0</v>
      </c>
      <c r="K448" s="37">
        <f t="shared" si="55"/>
        <v>0</v>
      </c>
      <c r="L448" s="37">
        <f t="shared" si="54"/>
        <v>0</v>
      </c>
      <c r="M448" s="73">
        <v>0</v>
      </c>
    </row>
    <row r="449" spans="1:13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/>
      <c r="G449" s="66">
        <f t="shared" si="50"/>
        <v>0</v>
      </c>
      <c r="H449" s="37">
        <f t="shared" si="51"/>
        <v>0</v>
      </c>
      <c r="I449" s="37">
        <f t="shared" si="52"/>
        <v>0</v>
      </c>
      <c r="J449" s="37">
        <v>0</v>
      </c>
      <c r="K449" s="37">
        <f t="shared" si="55"/>
        <v>0</v>
      </c>
      <c r="L449" s="37">
        <f t="shared" si="54"/>
        <v>0</v>
      </c>
      <c r="M449" s="73">
        <v>0</v>
      </c>
    </row>
    <row r="450" spans="1:13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/>
      <c r="G450" s="66">
        <f t="shared" ref="G450:G513" si="56">2/188175.6*F450</f>
        <v>0</v>
      </c>
      <c r="H450" s="37">
        <f t="shared" ref="H450:H513" si="57">G450*2269.13</f>
        <v>0</v>
      </c>
      <c r="I450" s="37">
        <f t="shared" ref="I450:I511" si="58">H450*0.3677</f>
        <v>0</v>
      </c>
      <c r="J450" s="37">
        <v>0</v>
      </c>
      <c r="K450" s="37">
        <f t="shared" si="55"/>
        <v>0</v>
      </c>
      <c r="L450" s="37">
        <f t="shared" si="54"/>
        <v>0</v>
      </c>
      <c r="M450" s="73">
        <v>0</v>
      </c>
    </row>
    <row r="451" spans="1:13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/>
      <c r="G451" s="66">
        <f t="shared" si="56"/>
        <v>0</v>
      </c>
      <c r="H451" s="37">
        <f t="shared" si="57"/>
        <v>0</v>
      </c>
      <c r="I451" s="37">
        <f t="shared" si="58"/>
        <v>0</v>
      </c>
      <c r="J451" s="37">
        <v>0</v>
      </c>
      <c r="K451" s="37">
        <f t="shared" si="55"/>
        <v>0</v>
      </c>
      <c r="L451" s="37">
        <f t="shared" ref="L451:L514" si="59">K451*1.219</f>
        <v>0</v>
      </c>
      <c r="M451" s="73">
        <v>0</v>
      </c>
    </row>
    <row r="452" spans="1:13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/>
      <c r="G452" s="66">
        <f t="shared" si="56"/>
        <v>0</v>
      </c>
      <c r="H452" s="37">
        <f t="shared" si="57"/>
        <v>0</v>
      </c>
      <c r="I452" s="37">
        <f t="shared" si="58"/>
        <v>0</v>
      </c>
      <c r="J452" s="37">
        <v>0</v>
      </c>
      <c r="K452" s="37">
        <f t="shared" si="55"/>
        <v>0</v>
      </c>
      <c r="L452" s="37">
        <f t="shared" si="59"/>
        <v>0</v>
      </c>
      <c r="M452" s="73">
        <v>0</v>
      </c>
    </row>
    <row r="453" spans="1:13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/>
      <c r="G453" s="66">
        <f t="shared" si="56"/>
        <v>0</v>
      </c>
      <c r="H453" s="37">
        <f t="shared" si="57"/>
        <v>0</v>
      </c>
      <c r="I453" s="37">
        <f t="shared" si="58"/>
        <v>0</v>
      </c>
      <c r="J453" s="37">
        <v>0</v>
      </c>
      <c r="K453" s="37">
        <f t="shared" si="55"/>
        <v>0</v>
      </c>
      <c r="L453" s="37">
        <f t="shared" si="59"/>
        <v>0</v>
      </c>
      <c r="M453" s="73">
        <v>0</v>
      </c>
    </row>
    <row r="454" spans="1:13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/>
      <c r="G454" s="66">
        <f t="shared" si="56"/>
        <v>0</v>
      </c>
      <c r="H454" s="37">
        <f t="shared" si="57"/>
        <v>0</v>
      </c>
      <c r="I454" s="37">
        <f t="shared" si="58"/>
        <v>0</v>
      </c>
      <c r="J454" s="37">
        <v>0</v>
      </c>
      <c r="K454" s="37">
        <f t="shared" si="55"/>
        <v>0</v>
      </c>
      <c r="L454" s="37">
        <f t="shared" si="59"/>
        <v>0</v>
      </c>
      <c r="M454" s="73">
        <v>0</v>
      </c>
    </row>
    <row r="455" spans="1:13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/>
      <c r="G455" s="66">
        <f t="shared" si="56"/>
        <v>0</v>
      </c>
      <c r="H455" s="37">
        <f t="shared" si="57"/>
        <v>0</v>
      </c>
      <c r="I455" s="37">
        <f t="shared" si="58"/>
        <v>0</v>
      </c>
      <c r="J455" s="37">
        <v>0</v>
      </c>
      <c r="K455" s="37">
        <f t="shared" si="55"/>
        <v>0</v>
      </c>
      <c r="L455" s="37">
        <f t="shared" si="59"/>
        <v>0</v>
      </c>
      <c r="M455" s="73">
        <v>0</v>
      </c>
    </row>
    <row r="456" spans="1:13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/>
      <c r="G456" s="66">
        <f t="shared" si="56"/>
        <v>0</v>
      </c>
      <c r="H456" s="37">
        <f t="shared" si="57"/>
        <v>0</v>
      </c>
      <c r="I456" s="37">
        <f t="shared" si="58"/>
        <v>0</v>
      </c>
      <c r="J456" s="37">
        <v>0</v>
      </c>
      <c r="K456" s="37">
        <f t="shared" si="55"/>
        <v>0</v>
      </c>
      <c r="L456" s="37">
        <f t="shared" si="59"/>
        <v>0</v>
      </c>
      <c r="M456" s="73">
        <v>0</v>
      </c>
    </row>
    <row r="457" spans="1:13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/>
      <c r="G457" s="66">
        <f t="shared" si="56"/>
        <v>0</v>
      </c>
      <c r="H457" s="37">
        <f t="shared" si="57"/>
        <v>0</v>
      </c>
      <c r="I457" s="37">
        <f t="shared" si="58"/>
        <v>0</v>
      </c>
      <c r="J457" s="37">
        <v>0</v>
      </c>
      <c r="K457" s="37">
        <f t="shared" si="55"/>
        <v>0</v>
      </c>
      <c r="L457" s="37">
        <f t="shared" si="59"/>
        <v>0</v>
      </c>
      <c r="M457" s="73">
        <v>0</v>
      </c>
    </row>
    <row r="458" spans="1:13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/>
      <c r="G458" s="66">
        <f t="shared" si="56"/>
        <v>0</v>
      </c>
      <c r="H458" s="37">
        <f t="shared" si="57"/>
        <v>0</v>
      </c>
      <c r="I458" s="37">
        <f t="shared" si="58"/>
        <v>0</v>
      </c>
      <c r="J458" s="37">
        <v>0</v>
      </c>
      <c r="K458" s="37">
        <f t="shared" si="55"/>
        <v>0</v>
      </c>
      <c r="L458" s="37">
        <f t="shared" si="59"/>
        <v>0</v>
      </c>
      <c r="M458" s="73">
        <v>0</v>
      </c>
    </row>
    <row r="459" spans="1:13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/>
      <c r="G459" s="66">
        <f t="shared" si="56"/>
        <v>0</v>
      </c>
      <c r="H459" s="37">
        <f t="shared" si="57"/>
        <v>0</v>
      </c>
      <c r="I459" s="37">
        <f t="shared" si="58"/>
        <v>0</v>
      </c>
      <c r="J459" s="37">
        <v>0</v>
      </c>
      <c r="K459" s="37">
        <f t="shared" si="55"/>
        <v>0</v>
      </c>
      <c r="L459" s="37">
        <f t="shared" si="59"/>
        <v>0</v>
      </c>
      <c r="M459" s="73">
        <v>0</v>
      </c>
    </row>
    <row r="460" spans="1:13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/>
      <c r="G460" s="66">
        <f t="shared" si="56"/>
        <v>0</v>
      </c>
      <c r="H460" s="37">
        <f t="shared" si="57"/>
        <v>0</v>
      </c>
      <c r="I460" s="37">
        <f t="shared" si="58"/>
        <v>0</v>
      </c>
      <c r="J460" s="37">
        <v>0</v>
      </c>
      <c r="K460" s="37">
        <f t="shared" si="55"/>
        <v>0</v>
      </c>
      <c r="L460" s="37">
        <f t="shared" si="59"/>
        <v>0</v>
      </c>
      <c r="M460" s="73">
        <v>0</v>
      </c>
    </row>
    <row r="461" spans="1:13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/>
      <c r="G461" s="66">
        <f t="shared" si="56"/>
        <v>0</v>
      </c>
      <c r="H461" s="37">
        <f t="shared" si="57"/>
        <v>0</v>
      </c>
      <c r="I461" s="37">
        <f t="shared" si="58"/>
        <v>0</v>
      </c>
      <c r="J461" s="37">
        <v>0</v>
      </c>
      <c r="K461" s="37">
        <f t="shared" si="55"/>
        <v>0</v>
      </c>
      <c r="L461" s="37">
        <f t="shared" si="59"/>
        <v>0</v>
      </c>
      <c r="M461" s="73">
        <v>0</v>
      </c>
    </row>
    <row r="462" spans="1:13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/>
      <c r="G462" s="66">
        <f t="shared" si="56"/>
        <v>0</v>
      </c>
      <c r="H462" s="37">
        <f t="shared" si="57"/>
        <v>0</v>
      </c>
      <c r="I462" s="37">
        <f t="shared" si="58"/>
        <v>0</v>
      </c>
      <c r="J462" s="37">
        <v>0</v>
      </c>
      <c r="K462" s="37">
        <f t="shared" si="55"/>
        <v>0</v>
      </c>
      <c r="L462" s="37">
        <f t="shared" si="59"/>
        <v>0</v>
      </c>
      <c r="M462" s="73">
        <v>0</v>
      </c>
    </row>
    <row r="463" spans="1:13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/>
      <c r="G463" s="66">
        <f t="shared" si="56"/>
        <v>0</v>
      </c>
      <c r="H463" s="37">
        <f t="shared" si="57"/>
        <v>0</v>
      </c>
      <c r="I463" s="37">
        <f t="shared" si="58"/>
        <v>0</v>
      </c>
      <c r="J463" s="37">
        <v>0</v>
      </c>
      <c r="K463" s="37">
        <f t="shared" si="55"/>
        <v>0</v>
      </c>
      <c r="L463" s="37">
        <f t="shared" si="59"/>
        <v>0</v>
      </c>
      <c r="M463" s="73">
        <v>0</v>
      </c>
    </row>
    <row r="464" spans="1:13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/>
      <c r="G464" s="66">
        <f t="shared" si="56"/>
        <v>0</v>
      </c>
      <c r="H464" s="37">
        <f t="shared" si="57"/>
        <v>0</v>
      </c>
      <c r="I464" s="37">
        <f t="shared" si="58"/>
        <v>0</v>
      </c>
      <c r="J464" s="37">
        <v>0</v>
      </c>
      <c r="K464" s="37">
        <f t="shared" si="55"/>
        <v>0</v>
      </c>
      <c r="L464" s="37">
        <f t="shared" si="59"/>
        <v>0</v>
      </c>
      <c r="M464" s="73">
        <v>0</v>
      </c>
    </row>
    <row r="465" spans="1:13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/>
      <c r="G465" s="66">
        <f t="shared" si="56"/>
        <v>0</v>
      </c>
      <c r="H465" s="37">
        <f t="shared" si="57"/>
        <v>0</v>
      </c>
      <c r="I465" s="37">
        <f t="shared" si="58"/>
        <v>0</v>
      </c>
      <c r="J465" s="37">
        <v>0</v>
      </c>
      <c r="K465" s="37">
        <f t="shared" si="55"/>
        <v>0</v>
      </c>
      <c r="L465" s="37">
        <f t="shared" si="59"/>
        <v>0</v>
      </c>
      <c r="M465" s="73">
        <v>0</v>
      </c>
    </row>
    <row r="466" spans="1:13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/>
      <c r="G466" s="66">
        <f t="shared" si="56"/>
        <v>0</v>
      </c>
      <c r="H466" s="37">
        <f t="shared" si="57"/>
        <v>0</v>
      </c>
      <c r="I466" s="37">
        <f t="shared" si="58"/>
        <v>0</v>
      </c>
      <c r="J466" s="37">
        <v>0</v>
      </c>
      <c r="K466" s="37">
        <f t="shared" si="55"/>
        <v>0</v>
      </c>
      <c r="L466" s="37">
        <f t="shared" si="59"/>
        <v>0</v>
      </c>
      <c r="M466" s="73">
        <v>0</v>
      </c>
    </row>
    <row r="467" spans="1:13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/>
      <c r="G467" s="66">
        <f t="shared" si="56"/>
        <v>0</v>
      </c>
      <c r="H467" s="37">
        <f t="shared" si="57"/>
        <v>0</v>
      </c>
      <c r="I467" s="37">
        <f t="shared" si="58"/>
        <v>0</v>
      </c>
      <c r="J467" s="37">
        <v>0</v>
      </c>
      <c r="K467" s="37">
        <f t="shared" si="55"/>
        <v>0</v>
      </c>
      <c r="L467" s="37">
        <f t="shared" si="59"/>
        <v>0</v>
      </c>
      <c r="M467" s="73">
        <v>0</v>
      </c>
    </row>
    <row r="468" spans="1:13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/>
      <c r="G468" s="66">
        <f t="shared" si="56"/>
        <v>0</v>
      </c>
      <c r="H468" s="37">
        <f t="shared" si="57"/>
        <v>0</v>
      </c>
      <c r="I468" s="37">
        <f t="shared" si="58"/>
        <v>0</v>
      </c>
      <c r="J468" s="37">
        <v>0</v>
      </c>
      <c r="K468" s="37">
        <f t="shared" si="55"/>
        <v>0</v>
      </c>
      <c r="L468" s="37">
        <f t="shared" si="59"/>
        <v>0</v>
      </c>
      <c r="M468" s="73">
        <v>0</v>
      </c>
    </row>
    <row r="469" spans="1:13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/>
      <c r="G469" s="66">
        <f t="shared" si="56"/>
        <v>0</v>
      </c>
      <c r="H469" s="37">
        <f t="shared" si="57"/>
        <v>0</v>
      </c>
      <c r="I469" s="37">
        <f t="shared" si="58"/>
        <v>0</v>
      </c>
      <c r="J469" s="37">
        <v>0</v>
      </c>
      <c r="K469" s="37">
        <f t="shared" si="55"/>
        <v>0</v>
      </c>
      <c r="L469" s="37">
        <f t="shared" si="59"/>
        <v>0</v>
      </c>
      <c r="M469" s="73">
        <v>0</v>
      </c>
    </row>
    <row r="470" spans="1:13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/>
      <c r="G470" s="66">
        <f t="shared" si="56"/>
        <v>0</v>
      </c>
      <c r="H470" s="37">
        <f t="shared" si="57"/>
        <v>0</v>
      </c>
      <c r="I470" s="37">
        <f t="shared" si="58"/>
        <v>0</v>
      </c>
      <c r="J470" s="37">
        <v>0</v>
      </c>
      <c r="K470" s="37">
        <f t="shared" si="55"/>
        <v>0</v>
      </c>
      <c r="L470" s="37">
        <f t="shared" si="59"/>
        <v>0</v>
      </c>
      <c r="M470" s="73">
        <v>0</v>
      </c>
    </row>
    <row r="471" spans="1:13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/>
      <c r="G471" s="66">
        <f t="shared" si="56"/>
        <v>0</v>
      </c>
      <c r="H471" s="37">
        <f t="shared" si="57"/>
        <v>0</v>
      </c>
      <c r="I471" s="37">
        <f t="shared" si="58"/>
        <v>0</v>
      </c>
      <c r="J471" s="37">
        <v>0</v>
      </c>
      <c r="K471" s="37">
        <f t="shared" si="55"/>
        <v>0</v>
      </c>
      <c r="L471" s="37">
        <f t="shared" si="59"/>
        <v>0</v>
      </c>
      <c r="M471" s="73">
        <v>0</v>
      </c>
    </row>
    <row r="472" spans="1:13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/>
      <c r="G472" s="66">
        <f t="shared" si="56"/>
        <v>0</v>
      </c>
      <c r="H472" s="37">
        <f t="shared" si="57"/>
        <v>0</v>
      </c>
      <c r="I472" s="37">
        <f t="shared" si="58"/>
        <v>0</v>
      </c>
      <c r="J472" s="37">
        <v>0</v>
      </c>
      <c r="K472" s="37">
        <f t="shared" si="55"/>
        <v>0</v>
      </c>
      <c r="L472" s="37">
        <f t="shared" si="59"/>
        <v>0</v>
      </c>
      <c r="M472" s="73">
        <v>0</v>
      </c>
    </row>
    <row r="473" spans="1:13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/>
      <c r="G473" s="66">
        <f t="shared" si="56"/>
        <v>0</v>
      </c>
      <c r="H473" s="37">
        <f t="shared" si="57"/>
        <v>0</v>
      </c>
      <c r="I473" s="37">
        <f t="shared" si="58"/>
        <v>0</v>
      </c>
      <c r="J473" s="37">
        <v>0</v>
      </c>
      <c r="K473" s="37">
        <f t="shared" si="55"/>
        <v>0</v>
      </c>
      <c r="L473" s="37">
        <f t="shared" si="59"/>
        <v>0</v>
      </c>
      <c r="M473" s="73">
        <v>0</v>
      </c>
    </row>
    <row r="474" spans="1:13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/>
      <c r="G474" s="66">
        <f t="shared" si="56"/>
        <v>0</v>
      </c>
      <c r="H474" s="37">
        <f t="shared" si="57"/>
        <v>0</v>
      </c>
      <c r="I474" s="37">
        <f t="shared" si="58"/>
        <v>0</v>
      </c>
      <c r="J474" s="37">
        <v>0</v>
      </c>
      <c r="K474" s="37">
        <f t="shared" si="55"/>
        <v>0</v>
      </c>
      <c r="L474" s="37">
        <f t="shared" si="59"/>
        <v>0</v>
      </c>
      <c r="M474" s="73">
        <v>0</v>
      </c>
    </row>
    <row r="475" spans="1:13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/>
      <c r="G475" s="66">
        <f t="shared" si="56"/>
        <v>0</v>
      </c>
      <c r="H475" s="37">
        <f t="shared" si="57"/>
        <v>0</v>
      </c>
      <c r="I475" s="37">
        <f t="shared" si="58"/>
        <v>0</v>
      </c>
      <c r="J475" s="37">
        <v>0</v>
      </c>
      <c r="K475" s="37">
        <f t="shared" si="55"/>
        <v>0</v>
      </c>
      <c r="L475" s="37">
        <f t="shared" si="59"/>
        <v>0</v>
      </c>
      <c r="M475" s="73">
        <v>0</v>
      </c>
    </row>
    <row r="476" spans="1:13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/>
      <c r="G476" s="66">
        <f t="shared" si="56"/>
        <v>0</v>
      </c>
      <c r="H476" s="37">
        <f t="shared" si="57"/>
        <v>0</v>
      </c>
      <c r="I476" s="37">
        <f t="shared" si="58"/>
        <v>0</v>
      </c>
      <c r="J476" s="37">
        <v>0</v>
      </c>
      <c r="K476" s="37">
        <f t="shared" ref="K476:K492" si="60">G476*560.71</f>
        <v>0</v>
      </c>
      <c r="L476" s="37">
        <f t="shared" si="59"/>
        <v>0</v>
      </c>
      <c r="M476" s="73">
        <v>0</v>
      </c>
    </row>
    <row r="477" spans="1:13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/>
      <c r="G477" s="66">
        <f t="shared" si="56"/>
        <v>0</v>
      </c>
      <c r="H477" s="37">
        <f t="shared" si="57"/>
        <v>0</v>
      </c>
      <c r="I477" s="37">
        <f t="shared" si="58"/>
        <v>0</v>
      </c>
      <c r="J477" s="37">
        <v>0</v>
      </c>
      <c r="K477" s="37">
        <f t="shared" si="60"/>
        <v>0</v>
      </c>
      <c r="L477" s="37">
        <f t="shared" si="59"/>
        <v>0</v>
      </c>
      <c r="M477" s="73">
        <v>0</v>
      </c>
    </row>
    <row r="478" spans="1:13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/>
      <c r="G478" s="66">
        <f t="shared" si="56"/>
        <v>0</v>
      </c>
      <c r="H478" s="37">
        <f t="shared" si="57"/>
        <v>0</v>
      </c>
      <c r="I478" s="37">
        <f t="shared" si="58"/>
        <v>0</v>
      </c>
      <c r="J478" s="37">
        <v>0</v>
      </c>
      <c r="K478" s="37">
        <f t="shared" si="60"/>
        <v>0</v>
      </c>
      <c r="L478" s="37">
        <f t="shared" si="59"/>
        <v>0</v>
      </c>
      <c r="M478" s="73">
        <v>0</v>
      </c>
    </row>
    <row r="479" spans="1:13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/>
      <c r="G479" s="66">
        <f t="shared" si="56"/>
        <v>0</v>
      </c>
      <c r="H479" s="37">
        <f t="shared" si="57"/>
        <v>0</v>
      </c>
      <c r="I479" s="37">
        <f t="shared" si="58"/>
        <v>0</v>
      </c>
      <c r="J479" s="37">
        <v>0</v>
      </c>
      <c r="K479" s="37">
        <f t="shared" si="60"/>
        <v>0</v>
      </c>
      <c r="L479" s="37">
        <f t="shared" si="59"/>
        <v>0</v>
      </c>
      <c r="M479" s="73">
        <v>0</v>
      </c>
    </row>
    <row r="480" spans="1:13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/>
      <c r="G480" s="66">
        <f t="shared" si="56"/>
        <v>0</v>
      </c>
      <c r="H480" s="37">
        <f t="shared" si="57"/>
        <v>0</v>
      </c>
      <c r="I480" s="37">
        <f t="shared" si="58"/>
        <v>0</v>
      </c>
      <c r="J480" s="37">
        <v>0</v>
      </c>
      <c r="K480" s="37">
        <f t="shared" si="60"/>
        <v>0</v>
      </c>
      <c r="L480" s="37">
        <f t="shared" si="59"/>
        <v>0</v>
      </c>
      <c r="M480" s="73">
        <v>0</v>
      </c>
    </row>
    <row r="481" spans="1:13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/>
      <c r="G481" s="66">
        <f t="shared" si="56"/>
        <v>0</v>
      </c>
      <c r="H481" s="37">
        <f t="shared" si="57"/>
        <v>0</v>
      </c>
      <c r="I481" s="37">
        <f t="shared" si="58"/>
        <v>0</v>
      </c>
      <c r="J481" s="37">
        <v>0</v>
      </c>
      <c r="K481" s="37">
        <f t="shared" si="60"/>
        <v>0</v>
      </c>
      <c r="L481" s="37">
        <f t="shared" si="59"/>
        <v>0</v>
      </c>
      <c r="M481" s="73">
        <v>0</v>
      </c>
    </row>
    <row r="482" spans="1:13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/>
      <c r="G482" s="66">
        <f t="shared" si="56"/>
        <v>0</v>
      </c>
      <c r="H482" s="37">
        <f t="shared" si="57"/>
        <v>0</v>
      </c>
      <c r="I482" s="37">
        <f t="shared" si="58"/>
        <v>0</v>
      </c>
      <c r="J482" s="37">
        <v>0</v>
      </c>
      <c r="K482" s="37">
        <f t="shared" si="60"/>
        <v>0</v>
      </c>
      <c r="L482" s="37">
        <f t="shared" si="59"/>
        <v>0</v>
      </c>
      <c r="M482" s="73">
        <v>0</v>
      </c>
    </row>
    <row r="483" spans="1:13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/>
      <c r="G483" s="66">
        <f t="shared" si="56"/>
        <v>0</v>
      </c>
      <c r="H483" s="37">
        <f t="shared" si="57"/>
        <v>0</v>
      </c>
      <c r="I483" s="37">
        <f t="shared" si="58"/>
        <v>0</v>
      </c>
      <c r="J483" s="37">
        <v>0</v>
      </c>
      <c r="K483" s="37">
        <f t="shared" si="60"/>
        <v>0</v>
      </c>
      <c r="L483" s="37">
        <f t="shared" si="59"/>
        <v>0</v>
      </c>
      <c r="M483" s="73">
        <v>0</v>
      </c>
    </row>
    <row r="484" spans="1:13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/>
      <c r="G484" s="66">
        <f t="shared" si="56"/>
        <v>0</v>
      </c>
      <c r="H484" s="37">
        <f t="shared" si="57"/>
        <v>0</v>
      </c>
      <c r="I484" s="37">
        <f t="shared" si="58"/>
        <v>0</v>
      </c>
      <c r="J484" s="37">
        <v>0</v>
      </c>
      <c r="K484" s="37">
        <f t="shared" si="60"/>
        <v>0</v>
      </c>
      <c r="L484" s="37">
        <f t="shared" si="59"/>
        <v>0</v>
      </c>
      <c r="M484" s="73">
        <v>0</v>
      </c>
    </row>
    <row r="485" spans="1:13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/>
      <c r="G485" s="66">
        <f t="shared" si="56"/>
        <v>0</v>
      </c>
      <c r="H485" s="37">
        <f t="shared" si="57"/>
        <v>0</v>
      </c>
      <c r="I485" s="37">
        <f t="shared" si="58"/>
        <v>0</v>
      </c>
      <c r="J485" s="37">
        <v>0</v>
      </c>
      <c r="K485" s="37">
        <f t="shared" si="60"/>
        <v>0</v>
      </c>
      <c r="L485" s="37">
        <f t="shared" si="59"/>
        <v>0</v>
      </c>
      <c r="M485" s="73">
        <v>0</v>
      </c>
    </row>
    <row r="486" spans="1:13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/>
      <c r="G486" s="66">
        <f t="shared" si="56"/>
        <v>0</v>
      </c>
      <c r="H486" s="37">
        <f t="shared" si="57"/>
        <v>0</v>
      </c>
      <c r="I486" s="37">
        <f t="shared" si="58"/>
        <v>0</v>
      </c>
      <c r="J486" s="37">
        <v>0</v>
      </c>
      <c r="K486" s="37">
        <f t="shared" si="60"/>
        <v>0</v>
      </c>
      <c r="L486" s="37">
        <f t="shared" si="59"/>
        <v>0</v>
      </c>
      <c r="M486" s="73">
        <v>0</v>
      </c>
    </row>
    <row r="487" spans="1:13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/>
      <c r="G487" s="66">
        <f t="shared" si="56"/>
        <v>0</v>
      </c>
      <c r="H487" s="37">
        <f t="shared" si="57"/>
        <v>0</v>
      </c>
      <c r="I487" s="37">
        <f t="shared" si="58"/>
        <v>0</v>
      </c>
      <c r="J487" s="37">
        <v>0</v>
      </c>
      <c r="K487" s="37">
        <f t="shared" si="60"/>
        <v>0</v>
      </c>
      <c r="L487" s="37">
        <f t="shared" si="59"/>
        <v>0</v>
      </c>
      <c r="M487" s="73">
        <v>0</v>
      </c>
    </row>
    <row r="488" spans="1:13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/>
      <c r="G488" s="66">
        <f t="shared" si="56"/>
        <v>0</v>
      </c>
      <c r="H488" s="37">
        <f t="shared" si="57"/>
        <v>0</v>
      </c>
      <c r="I488" s="37">
        <f t="shared" si="58"/>
        <v>0</v>
      </c>
      <c r="J488" s="37">
        <v>0</v>
      </c>
      <c r="K488" s="37">
        <f t="shared" si="60"/>
        <v>0</v>
      </c>
      <c r="L488" s="37">
        <f t="shared" si="59"/>
        <v>0</v>
      </c>
      <c r="M488" s="73">
        <v>0</v>
      </c>
    </row>
    <row r="489" spans="1:13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/>
      <c r="G489" s="66">
        <f t="shared" si="56"/>
        <v>0</v>
      </c>
      <c r="H489" s="37">
        <f t="shared" si="57"/>
        <v>0</v>
      </c>
      <c r="I489" s="37">
        <f t="shared" si="58"/>
        <v>0</v>
      </c>
      <c r="J489" s="37">
        <v>0</v>
      </c>
      <c r="K489" s="37">
        <f t="shared" si="60"/>
        <v>0</v>
      </c>
      <c r="L489" s="37">
        <f t="shared" si="59"/>
        <v>0</v>
      </c>
      <c r="M489" s="73">
        <v>0</v>
      </c>
    </row>
    <row r="490" spans="1:13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/>
      <c r="G490" s="66">
        <f t="shared" si="56"/>
        <v>0</v>
      </c>
      <c r="H490" s="37">
        <f t="shared" si="57"/>
        <v>0</v>
      </c>
      <c r="I490" s="37">
        <f t="shared" si="58"/>
        <v>0</v>
      </c>
      <c r="J490" s="37">
        <v>0</v>
      </c>
      <c r="K490" s="37">
        <f t="shared" si="60"/>
        <v>0</v>
      </c>
      <c r="L490" s="37">
        <f t="shared" si="59"/>
        <v>0</v>
      </c>
      <c r="M490" s="73">
        <v>0</v>
      </c>
    </row>
    <row r="491" spans="1:13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/>
      <c r="G491" s="66">
        <f t="shared" si="56"/>
        <v>0</v>
      </c>
      <c r="H491" s="37">
        <f t="shared" si="57"/>
        <v>0</v>
      </c>
      <c r="I491" s="37">
        <f t="shared" si="58"/>
        <v>0</v>
      </c>
      <c r="J491" s="37">
        <v>0</v>
      </c>
      <c r="K491" s="37">
        <f t="shared" si="60"/>
        <v>0</v>
      </c>
      <c r="L491" s="37">
        <f t="shared" si="59"/>
        <v>0</v>
      </c>
      <c r="M491" s="73">
        <v>0</v>
      </c>
    </row>
    <row r="492" spans="1:13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/>
      <c r="G492" s="66">
        <f t="shared" si="56"/>
        <v>0</v>
      </c>
      <c r="H492" s="37">
        <f t="shared" si="57"/>
        <v>0</v>
      </c>
      <c r="I492" s="37">
        <f t="shared" si="58"/>
        <v>0</v>
      </c>
      <c r="J492" s="37">
        <v>0</v>
      </c>
      <c r="K492" s="37">
        <f t="shared" si="60"/>
        <v>0</v>
      </c>
      <c r="L492" s="37">
        <f t="shared" si="59"/>
        <v>0</v>
      </c>
      <c r="M492" s="73">
        <v>0</v>
      </c>
    </row>
    <row r="493" spans="1:13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/>
      <c r="G493" s="66">
        <f t="shared" si="56"/>
        <v>0</v>
      </c>
      <c r="H493" s="37">
        <f t="shared" si="57"/>
        <v>0</v>
      </c>
      <c r="I493" s="37">
        <f t="shared" si="58"/>
        <v>0</v>
      </c>
      <c r="J493" s="37">
        <v>0</v>
      </c>
      <c r="K493" s="37">
        <f t="shared" ref="K493:K514" si="61">G493*560.71*1.08</f>
        <v>0</v>
      </c>
      <c r="L493" s="37">
        <f t="shared" si="59"/>
        <v>0</v>
      </c>
      <c r="M493" s="73">
        <v>0</v>
      </c>
    </row>
    <row r="494" spans="1:13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/>
      <c r="G494" s="66">
        <f t="shared" si="56"/>
        <v>0</v>
      </c>
      <c r="H494" s="37">
        <f t="shared" si="57"/>
        <v>0</v>
      </c>
      <c r="I494" s="37">
        <f t="shared" si="58"/>
        <v>0</v>
      </c>
      <c r="J494" s="37">
        <v>0</v>
      </c>
      <c r="K494" s="37">
        <f t="shared" si="61"/>
        <v>0</v>
      </c>
      <c r="L494" s="37">
        <f t="shared" si="59"/>
        <v>0</v>
      </c>
      <c r="M494" s="73">
        <v>0</v>
      </c>
    </row>
    <row r="495" spans="1:13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/>
      <c r="G495" s="66">
        <f t="shared" si="56"/>
        <v>0</v>
      </c>
      <c r="H495" s="37">
        <f t="shared" si="57"/>
        <v>0</v>
      </c>
      <c r="I495" s="37">
        <f t="shared" si="58"/>
        <v>0</v>
      </c>
      <c r="J495" s="37">
        <v>0</v>
      </c>
      <c r="K495" s="37">
        <f t="shared" si="61"/>
        <v>0</v>
      </c>
      <c r="L495" s="37">
        <f t="shared" si="59"/>
        <v>0</v>
      </c>
      <c r="M495" s="73">
        <v>0</v>
      </c>
    </row>
    <row r="496" spans="1:13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/>
      <c r="G496" s="66">
        <f t="shared" si="56"/>
        <v>0</v>
      </c>
      <c r="H496" s="37">
        <f t="shared" si="57"/>
        <v>0</v>
      </c>
      <c r="I496" s="37">
        <f t="shared" si="58"/>
        <v>0</v>
      </c>
      <c r="J496" s="37">
        <v>0</v>
      </c>
      <c r="K496" s="37">
        <f t="shared" si="61"/>
        <v>0</v>
      </c>
      <c r="L496" s="37">
        <f t="shared" si="59"/>
        <v>0</v>
      </c>
      <c r="M496" s="73">
        <v>0</v>
      </c>
    </row>
    <row r="497" spans="1:13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/>
      <c r="G497" s="66">
        <f t="shared" si="56"/>
        <v>0</v>
      </c>
      <c r="H497" s="37">
        <f t="shared" si="57"/>
        <v>0</v>
      </c>
      <c r="I497" s="37">
        <f t="shared" si="58"/>
        <v>0</v>
      </c>
      <c r="J497" s="37">
        <v>0</v>
      </c>
      <c r="K497" s="37">
        <f t="shared" si="61"/>
        <v>0</v>
      </c>
      <c r="L497" s="37">
        <f t="shared" si="59"/>
        <v>0</v>
      </c>
      <c r="M497" s="73">
        <v>0</v>
      </c>
    </row>
    <row r="498" spans="1:13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/>
      <c r="G498" s="66">
        <f t="shared" si="56"/>
        <v>0</v>
      </c>
      <c r="H498" s="37">
        <f t="shared" si="57"/>
        <v>0</v>
      </c>
      <c r="I498" s="37">
        <f t="shared" si="58"/>
        <v>0</v>
      </c>
      <c r="J498" s="37">
        <v>0</v>
      </c>
      <c r="K498" s="37">
        <f t="shared" si="61"/>
        <v>0</v>
      </c>
      <c r="L498" s="37">
        <f t="shared" si="59"/>
        <v>0</v>
      </c>
      <c r="M498" s="73">
        <v>0</v>
      </c>
    </row>
    <row r="499" spans="1:13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/>
      <c r="G499" s="66">
        <f t="shared" si="56"/>
        <v>0</v>
      </c>
      <c r="H499" s="37">
        <f t="shared" si="57"/>
        <v>0</v>
      </c>
      <c r="I499" s="37">
        <f t="shared" si="58"/>
        <v>0</v>
      </c>
      <c r="J499" s="37">
        <v>0</v>
      </c>
      <c r="K499" s="37">
        <f t="shared" si="61"/>
        <v>0</v>
      </c>
      <c r="L499" s="37">
        <f t="shared" si="59"/>
        <v>0</v>
      </c>
      <c r="M499" s="73">
        <v>0</v>
      </c>
    </row>
    <row r="500" spans="1:13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/>
      <c r="G500" s="66">
        <f t="shared" si="56"/>
        <v>0</v>
      </c>
      <c r="H500" s="37">
        <f t="shared" si="57"/>
        <v>0</v>
      </c>
      <c r="I500" s="37">
        <f t="shared" si="58"/>
        <v>0</v>
      </c>
      <c r="J500" s="37">
        <v>0</v>
      </c>
      <c r="K500" s="37">
        <f t="shared" si="61"/>
        <v>0</v>
      </c>
      <c r="L500" s="37">
        <f t="shared" si="59"/>
        <v>0</v>
      </c>
      <c r="M500" s="73">
        <v>0</v>
      </c>
    </row>
    <row r="501" spans="1:13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/>
      <c r="G501" s="66">
        <f t="shared" si="56"/>
        <v>0</v>
      </c>
      <c r="H501" s="37">
        <f t="shared" si="57"/>
        <v>0</v>
      </c>
      <c r="I501" s="37">
        <f t="shared" si="58"/>
        <v>0</v>
      </c>
      <c r="J501" s="37">
        <v>0</v>
      </c>
      <c r="K501" s="37">
        <f t="shared" si="61"/>
        <v>0</v>
      </c>
      <c r="L501" s="37">
        <f t="shared" si="59"/>
        <v>0</v>
      </c>
      <c r="M501" s="73">
        <v>0</v>
      </c>
    </row>
    <row r="502" spans="1:13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/>
      <c r="G502" s="66">
        <f t="shared" si="56"/>
        <v>0</v>
      </c>
      <c r="H502" s="37">
        <f t="shared" si="57"/>
        <v>0</v>
      </c>
      <c r="I502" s="37">
        <f t="shared" si="58"/>
        <v>0</v>
      </c>
      <c r="J502" s="37">
        <v>0</v>
      </c>
      <c r="K502" s="37">
        <f t="shared" si="61"/>
        <v>0</v>
      </c>
      <c r="L502" s="37">
        <f t="shared" si="59"/>
        <v>0</v>
      </c>
      <c r="M502" s="73">
        <v>0</v>
      </c>
    </row>
    <row r="503" spans="1:13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/>
      <c r="G503" s="66">
        <f t="shared" si="56"/>
        <v>0</v>
      </c>
      <c r="H503" s="37">
        <f t="shared" si="57"/>
        <v>0</v>
      </c>
      <c r="I503" s="37">
        <f t="shared" si="58"/>
        <v>0</v>
      </c>
      <c r="J503" s="37">
        <v>0</v>
      </c>
      <c r="K503" s="37">
        <f t="shared" si="61"/>
        <v>0</v>
      </c>
      <c r="L503" s="37">
        <f t="shared" si="59"/>
        <v>0</v>
      </c>
      <c r="M503" s="73">
        <v>0</v>
      </c>
    </row>
    <row r="504" spans="1:13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/>
      <c r="G504" s="66">
        <f t="shared" si="56"/>
        <v>0</v>
      </c>
      <c r="H504" s="37">
        <f t="shared" si="57"/>
        <v>0</v>
      </c>
      <c r="I504" s="37">
        <f t="shared" si="58"/>
        <v>0</v>
      </c>
      <c r="J504" s="37">
        <v>0</v>
      </c>
      <c r="K504" s="37">
        <f t="shared" si="61"/>
        <v>0</v>
      </c>
      <c r="L504" s="37">
        <f t="shared" si="59"/>
        <v>0</v>
      </c>
      <c r="M504" s="73">
        <v>0</v>
      </c>
    </row>
    <row r="505" spans="1:13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/>
      <c r="G505" s="66">
        <f t="shared" si="56"/>
        <v>0</v>
      </c>
      <c r="H505" s="37">
        <f t="shared" si="57"/>
        <v>0</v>
      </c>
      <c r="I505" s="37">
        <f t="shared" si="58"/>
        <v>0</v>
      </c>
      <c r="J505" s="37">
        <v>0</v>
      </c>
      <c r="K505" s="37">
        <f t="shared" si="61"/>
        <v>0</v>
      </c>
      <c r="L505" s="37">
        <f t="shared" si="59"/>
        <v>0</v>
      </c>
      <c r="M505" s="73">
        <v>0</v>
      </c>
    </row>
    <row r="506" spans="1:13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/>
      <c r="G506" s="66">
        <f t="shared" si="56"/>
        <v>0</v>
      </c>
      <c r="H506" s="37">
        <f t="shared" si="57"/>
        <v>0</v>
      </c>
      <c r="I506" s="37">
        <f t="shared" si="58"/>
        <v>0</v>
      </c>
      <c r="J506" s="37">
        <v>0</v>
      </c>
      <c r="K506" s="37">
        <f t="shared" si="61"/>
        <v>0</v>
      </c>
      <c r="L506" s="37">
        <f t="shared" si="59"/>
        <v>0</v>
      </c>
      <c r="M506" s="73">
        <v>0</v>
      </c>
    </row>
    <row r="507" spans="1:13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/>
      <c r="G507" s="66">
        <f t="shared" si="56"/>
        <v>0</v>
      </c>
      <c r="H507" s="37">
        <f t="shared" si="57"/>
        <v>0</v>
      </c>
      <c r="I507" s="37">
        <f t="shared" si="58"/>
        <v>0</v>
      </c>
      <c r="J507" s="37">
        <v>0</v>
      </c>
      <c r="K507" s="37">
        <f t="shared" si="61"/>
        <v>0</v>
      </c>
      <c r="L507" s="37">
        <f t="shared" si="59"/>
        <v>0</v>
      </c>
      <c r="M507" s="73">
        <v>0</v>
      </c>
    </row>
    <row r="508" spans="1:13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/>
      <c r="G508" s="66">
        <f t="shared" si="56"/>
        <v>0</v>
      </c>
      <c r="H508" s="37">
        <f t="shared" si="57"/>
        <v>0</v>
      </c>
      <c r="I508" s="37">
        <f t="shared" si="58"/>
        <v>0</v>
      </c>
      <c r="J508" s="37">
        <v>0</v>
      </c>
      <c r="K508" s="37">
        <f t="shared" si="61"/>
        <v>0</v>
      </c>
      <c r="L508" s="37">
        <f t="shared" si="59"/>
        <v>0</v>
      </c>
      <c r="M508" s="73">
        <v>0</v>
      </c>
    </row>
    <row r="509" spans="1:13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/>
      <c r="G509" s="66">
        <f t="shared" si="56"/>
        <v>0</v>
      </c>
      <c r="H509" s="37">
        <f t="shared" si="57"/>
        <v>0</v>
      </c>
      <c r="I509" s="37">
        <f t="shared" si="58"/>
        <v>0</v>
      </c>
      <c r="J509" s="37">
        <v>0</v>
      </c>
      <c r="K509" s="37">
        <f t="shared" si="61"/>
        <v>0</v>
      </c>
      <c r="L509" s="37">
        <f t="shared" si="59"/>
        <v>0</v>
      </c>
      <c r="M509" s="73">
        <v>0</v>
      </c>
    </row>
    <row r="510" spans="1:13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/>
      <c r="G510" s="66">
        <f t="shared" si="56"/>
        <v>0</v>
      </c>
      <c r="H510" s="37">
        <f t="shared" si="57"/>
        <v>0</v>
      </c>
      <c r="I510" s="37">
        <f t="shared" si="58"/>
        <v>0</v>
      </c>
      <c r="J510" s="37">
        <v>0</v>
      </c>
      <c r="K510" s="37">
        <f t="shared" si="61"/>
        <v>0</v>
      </c>
      <c r="L510" s="37">
        <f t="shared" si="59"/>
        <v>0</v>
      </c>
      <c r="M510" s="73">
        <v>0</v>
      </c>
    </row>
    <row r="511" spans="1:13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/>
      <c r="G511" s="66">
        <f t="shared" si="56"/>
        <v>0</v>
      </c>
      <c r="H511" s="37">
        <f t="shared" si="57"/>
        <v>0</v>
      </c>
      <c r="I511" s="37">
        <f t="shared" si="58"/>
        <v>0</v>
      </c>
      <c r="J511" s="37">
        <v>0</v>
      </c>
      <c r="K511" s="37">
        <f t="shared" si="61"/>
        <v>0</v>
      </c>
      <c r="L511" s="37">
        <f t="shared" si="59"/>
        <v>0</v>
      </c>
      <c r="M511" s="73">
        <v>0</v>
      </c>
    </row>
    <row r="512" spans="1:13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/>
      <c r="G512" s="66">
        <f t="shared" si="56"/>
        <v>0</v>
      </c>
      <c r="H512" s="37">
        <f t="shared" si="57"/>
        <v>0</v>
      </c>
      <c r="I512" s="37">
        <f t="shared" ref="I512:I535" si="62">H512*0.3677</f>
        <v>0</v>
      </c>
      <c r="J512" s="37">
        <v>0</v>
      </c>
      <c r="K512" s="37">
        <f t="shared" si="61"/>
        <v>0</v>
      </c>
      <c r="L512" s="37">
        <f t="shared" si="59"/>
        <v>0</v>
      </c>
      <c r="M512" s="73">
        <v>0</v>
      </c>
    </row>
    <row r="513" spans="1:13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/>
      <c r="G513" s="66">
        <f t="shared" si="56"/>
        <v>0</v>
      </c>
      <c r="H513" s="37">
        <f t="shared" si="57"/>
        <v>0</v>
      </c>
      <c r="I513" s="37">
        <f t="shared" si="62"/>
        <v>0</v>
      </c>
      <c r="J513" s="37">
        <v>0</v>
      </c>
      <c r="K513" s="37">
        <f t="shared" si="61"/>
        <v>0</v>
      </c>
      <c r="L513" s="37">
        <f t="shared" si="59"/>
        <v>0</v>
      </c>
      <c r="M513" s="73">
        <v>0</v>
      </c>
    </row>
    <row r="514" spans="1:13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/>
      <c r="G514" s="66">
        <f t="shared" ref="G514:G534" si="63">2/188175.6*F514</f>
        <v>0</v>
      </c>
      <c r="H514" s="37">
        <f t="shared" ref="H514:H534" si="64">G514*2269.13</f>
        <v>0</v>
      </c>
      <c r="I514" s="37">
        <f t="shared" si="62"/>
        <v>0</v>
      </c>
      <c r="J514" s="37">
        <v>0</v>
      </c>
      <c r="K514" s="37">
        <f t="shared" si="61"/>
        <v>0</v>
      </c>
      <c r="L514" s="37">
        <f t="shared" si="59"/>
        <v>0</v>
      </c>
      <c r="M514" s="73">
        <v>0</v>
      </c>
    </row>
    <row r="515" spans="1:13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/>
      <c r="G515" s="66">
        <f t="shared" si="63"/>
        <v>0</v>
      </c>
      <c r="H515" s="37">
        <f t="shared" si="64"/>
        <v>0</v>
      </c>
      <c r="I515" s="37">
        <f t="shared" si="62"/>
        <v>0</v>
      </c>
      <c r="J515" s="37">
        <v>0</v>
      </c>
      <c r="K515" s="37">
        <f t="shared" ref="K515:K535" si="65">G515*560.71*1.08</f>
        <v>0</v>
      </c>
      <c r="L515" s="37">
        <f t="shared" ref="L515:L578" si="66">K515*1.219</f>
        <v>0</v>
      </c>
      <c r="M515" s="73">
        <v>0</v>
      </c>
    </row>
    <row r="516" spans="1:13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/>
      <c r="G516" s="66">
        <f t="shared" si="63"/>
        <v>0</v>
      </c>
      <c r="H516" s="37">
        <f t="shared" si="64"/>
        <v>0</v>
      </c>
      <c r="I516" s="37">
        <f t="shared" si="62"/>
        <v>0</v>
      </c>
      <c r="J516" s="37">
        <v>0</v>
      </c>
      <c r="K516" s="37">
        <f t="shared" si="65"/>
        <v>0</v>
      </c>
      <c r="L516" s="37">
        <f t="shared" si="66"/>
        <v>0</v>
      </c>
      <c r="M516" s="73">
        <v>0</v>
      </c>
    </row>
    <row r="517" spans="1:13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/>
      <c r="G517" s="66">
        <f t="shared" si="63"/>
        <v>0</v>
      </c>
      <c r="H517" s="37">
        <f t="shared" si="64"/>
        <v>0</v>
      </c>
      <c r="I517" s="37">
        <f t="shared" si="62"/>
        <v>0</v>
      </c>
      <c r="J517" s="37">
        <v>0</v>
      </c>
      <c r="K517" s="37">
        <f t="shared" si="65"/>
        <v>0</v>
      </c>
      <c r="L517" s="37">
        <f t="shared" si="66"/>
        <v>0</v>
      </c>
      <c r="M517" s="73">
        <v>0</v>
      </c>
    </row>
    <row r="518" spans="1:13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/>
      <c r="G518" s="66">
        <f t="shared" si="63"/>
        <v>0</v>
      </c>
      <c r="H518" s="37">
        <f t="shared" si="64"/>
        <v>0</v>
      </c>
      <c r="I518" s="37">
        <f t="shared" si="62"/>
        <v>0</v>
      </c>
      <c r="J518" s="37">
        <v>0</v>
      </c>
      <c r="K518" s="37">
        <f t="shared" si="65"/>
        <v>0</v>
      </c>
      <c r="L518" s="37">
        <f t="shared" si="66"/>
        <v>0</v>
      </c>
      <c r="M518" s="73">
        <v>0</v>
      </c>
    </row>
    <row r="519" spans="1:13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/>
      <c r="G519" s="66">
        <f t="shared" si="63"/>
        <v>0</v>
      </c>
      <c r="H519" s="37">
        <f t="shared" si="64"/>
        <v>0</v>
      </c>
      <c r="I519" s="37">
        <f t="shared" si="62"/>
        <v>0</v>
      </c>
      <c r="J519" s="37">
        <v>0</v>
      </c>
      <c r="K519" s="37">
        <f t="shared" si="65"/>
        <v>0</v>
      </c>
      <c r="L519" s="37">
        <f t="shared" si="66"/>
        <v>0</v>
      </c>
      <c r="M519" s="73">
        <v>0</v>
      </c>
    </row>
    <row r="520" spans="1:13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/>
      <c r="G520" s="66">
        <f t="shared" si="63"/>
        <v>0</v>
      </c>
      <c r="H520" s="37">
        <f t="shared" si="64"/>
        <v>0</v>
      </c>
      <c r="I520" s="37">
        <f t="shared" si="62"/>
        <v>0</v>
      </c>
      <c r="J520" s="37">
        <v>0</v>
      </c>
      <c r="K520" s="37">
        <f t="shared" si="65"/>
        <v>0</v>
      </c>
      <c r="L520" s="37">
        <f t="shared" si="66"/>
        <v>0</v>
      </c>
      <c r="M520" s="73">
        <v>0</v>
      </c>
    </row>
    <row r="521" spans="1:13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/>
      <c r="G521" s="66">
        <f t="shared" si="63"/>
        <v>0</v>
      </c>
      <c r="H521" s="37">
        <f t="shared" si="64"/>
        <v>0</v>
      </c>
      <c r="I521" s="37">
        <f t="shared" si="62"/>
        <v>0</v>
      </c>
      <c r="J521" s="37">
        <v>0</v>
      </c>
      <c r="K521" s="37">
        <f t="shared" si="65"/>
        <v>0</v>
      </c>
      <c r="L521" s="37">
        <f t="shared" si="66"/>
        <v>0</v>
      </c>
      <c r="M521" s="73">
        <v>0</v>
      </c>
    </row>
    <row r="522" spans="1:13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/>
      <c r="G522" s="66">
        <f t="shared" si="63"/>
        <v>0</v>
      </c>
      <c r="H522" s="37">
        <f t="shared" si="64"/>
        <v>0</v>
      </c>
      <c r="I522" s="37">
        <f t="shared" si="62"/>
        <v>0</v>
      </c>
      <c r="J522" s="37">
        <v>0</v>
      </c>
      <c r="K522" s="37">
        <f t="shared" si="65"/>
        <v>0</v>
      </c>
      <c r="L522" s="37">
        <f t="shared" si="66"/>
        <v>0</v>
      </c>
      <c r="M522" s="73">
        <v>0</v>
      </c>
    </row>
    <row r="523" spans="1:13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/>
      <c r="G523" s="66">
        <f t="shared" si="63"/>
        <v>0</v>
      </c>
      <c r="H523" s="37">
        <f t="shared" si="64"/>
        <v>0</v>
      </c>
      <c r="I523" s="37">
        <f t="shared" si="62"/>
        <v>0</v>
      </c>
      <c r="J523" s="37">
        <v>0</v>
      </c>
      <c r="K523" s="37">
        <f t="shared" si="65"/>
        <v>0</v>
      </c>
      <c r="L523" s="37">
        <f t="shared" si="66"/>
        <v>0</v>
      </c>
      <c r="M523" s="73">
        <v>0</v>
      </c>
    </row>
    <row r="524" spans="1:13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/>
      <c r="G524" s="66">
        <f t="shared" si="63"/>
        <v>0</v>
      </c>
      <c r="H524" s="37">
        <f t="shared" si="64"/>
        <v>0</v>
      </c>
      <c r="I524" s="37">
        <f t="shared" si="62"/>
        <v>0</v>
      </c>
      <c r="J524" s="37">
        <v>0</v>
      </c>
      <c r="K524" s="37">
        <f t="shared" si="65"/>
        <v>0</v>
      </c>
      <c r="L524" s="37">
        <f t="shared" si="66"/>
        <v>0</v>
      </c>
      <c r="M524" s="73">
        <v>0</v>
      </c>
    </row>
    <row r="525" spans="1:13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/>
      <c r="G525" s="66">
        <f t="shared" si="63"/>
        <v>0</v>
      </c>
      <c r="H525" s="37">
        <f t="shared" si="64"/>
        <v>0</v>
      </c>
      <c r="I525" s="37">
        <f t="shared" si="62"/>
        <v>0</v>
      </c>
      <c r="J525" s="37">
        <v>0</v>
      </c>
      <c r="K525" s="37">
        <f t="shared" si="65"/>
        <v>0</v>
      </c>
      <c r="L525" s="37">
        <f t="shared" si="66"/>
        <v>0</v>
      </c>
      <c r="M525" s="73">
        <v>0</v>
      </c>
    </row>
    <row r="526" spans="1:13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/>
      <c r="G526" s="66">
        <f t="shared" si="63"/>
        <v>0</v>
      </c>
      <c r="H526" s="37">
        <f t="shared" si="64"/>
        <v>0</v>
      </c>
      <c r="I526" s="37">
        <f t="shared" si="62"/>
        <v>0</v>
      </c>
      <c r="J526" s="37">
        <v>0</v>
      </c>
      <c r="K526" s="37">
        <f t="shared" si="65"/>
        <v>0</v>
      </c>
      <c r="L526" s="37">
        <f t="shared" si="66"/>
        <v>0</v>
      </c>
      <c r="M526" s="73">
        <v>0</v>
      </c>
    </row>
    <row r="527" spans="1:13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/>
      <c r="G527" s="66">
        <f t="shared" si="63"/>
        <v>0</v>
      </c>
      <c r="H527" s="37">
        <f t="shared" si="64"/>
        <v>0</v>
      </c>
      <c r="I527" s="37">
        <f t="shared" si="62"/>
        <v>0</v>
      </c>
      <c r="J527" s="37">
        <v>0</v>
      </c>
      <c r="K527" s="37">
        <f t="shared" si="65"/>
        <v>0</v>
      </c>
      <c r="L527" s="37">
        <f t="shared" si="66"/>
        <v>0</v>
      </c>
      <c r="M527" s="73">
        <v>0</v>
      </c>
    </row>
    <row r="528" spans="1:13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/>
      <c r="G528" s="66">
        <f t="shared" si="63"/>
        <v>0</v>
      </c>
      <c r="H528" s="37">
        <f t="shared" si="64"/>
        <v>0</v>
      </c>
      <c r="I528" s="37">
        <f t="shared" si="62"/>
        <v>0</v>
      </c>
      <c r="J528" s="37">
        <v>0</v>
      </c>
      <c r="K528" s="37">
        <f t="shared" si="65"/>
        <v>0</v>
      </c>
      <c r="L528" s="37">
        <f t="shared" si="66"/>
        <v>0</v>
      </c>
      <c r="M528" s="73">
        <v>0</v>
      </c>
    </row>
    <row r="529" spans="1:13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/>
      <c r="G529" s="66">
        <f t="shared" si="63"/>
        <v>0</v>
      </c>
      <c r="H529" s="37">
        <f t="shared" si="64"/>
        <v>0</v>
      </c>
      <c r="I529" s="37">
        <f t="shared" si="62"/>
        <v>0</v>
      </c>
      <c r="J529" s="37">
        <v>0</v>
      </c>
      <c r="K529" s="37">
        <f t="shared" si="65"/>
        <v>0</v>
      </c>
      <c r="L529" s="37">
        <f t="shared" si="66"/>
        <v>0</v>
      </c>
      <c r="M529" s="73">
        <v>0</v>
      </c>
    </row>
    <row r="530" spans="1:13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/>
      <c r="G530" s="66">
        <f t="shared" si="63"/>
        <v>0</v>
      </c>
      <c r="H530" s="37">
        <f t="shared" si="64"/>
        <v>0</v>
      </c>
      <c r="I530" s="37">
        <f t="shared" si="62"/>
        <v>0</v>
      </c>
      <c r="J530" s="37">
        <v>0</v>
      </c>
      <c r="K530" s="37">
        <f t="shared" si="65"/>
        <v>0</v>
      </c>
      <c r="L530" s="37">
        <f t="shared" si="66"/>
        <v>0</v>
      </c>
      <c r="M530" s="73">
        <v>0</v>
      </c>
    </row>
    <row r="531" spans="1:13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/>
      <c r="G531" s="66">
        <f t="shared" si="63"/>
        <v>0</v>
      </c>
      <c r="H531" s="37">
        <f t="shared" si="64"/>
        <v>0</v>
      </c>
      <c r="I531" s="37">
        <f t="shared" si="62"/>
        <v>0</v>
      </c>
      <c r="J531" s="37">
        <v>0</v>
      </c>
      <c r="K531" s="37">
        <f t="shared" si="65"/>
        <v>0</v>
      </c>
      <c r="L531" s="37">
        <f t="shared" si="66"/>
        <v>0</v>
      </c>
      <c r="M531" s="73">
        <v>0</v>
      </c>
    </row>
    <row r="532" spans="1:13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/>
      <c r="G532" s="66">
        <f t="shared" si="63"/>
        <v>0</v>
      </c>
      <c r="H532" s="37">
        <f t="shared" si="64"/>
        <v>0</v>
      </c>
      <c r="I532" s="37">
        <f t="shared" si="62"/>
        <v>0</v>
      </c>
      <c r="J532" s="37">
        <v>0</v>
      </c>
      <c r="K532" s="37">
        <f t="shared" si="65"/>
        <v>0</v>
      </c>
      <c r="L532" s="37">
        <f t="shared" si="66"/>
        <v>0</v>
      </c>
      <c r="M532" s="73">
        <v>0</v>
      </c>
    </row>
    <row r="533" spans="1:13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/>
      <c r="G533" s="66">
        <f t="shared" si="63"/>
        <v>0</v>
      </c>
      <c r="H533" s="37">
        <f t="shared" si="64"/>
        <v>0</v>
      </c>
      <c r="I533" s="37">
        <f t="shared" si="62"/>
        <v>0</v>
      </c>
      <c r="J533" s="37">
        <v>0</v>
      </c>
      <c r="K533" s="37">
        <f t="shared" si="65"/>
        <v>0</v>
      </c>
      <c r="L533" s="37">
        <f t="shared" si="66"/>
        <v>0</v>
      </c>
      <c r="M533" s="73">
        <v>0</v>
      </c>
    </row>
    <row r="534" spans="1:13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/>
      <c r="G534" s="66">
        <f t="shared" si="63"/>
        <v>0</v>
      </c>
      <c r="H534" s="37">
        <f t="shared" si="64"/>
        <v>0</v>
      </c>
      <c r="I534" s="37">
        <f t="shared" si="62"/>
        <v>0</v>
      </c>
      <c r="J534" s="37">
        <v>0</v>
      </c>
      <c r="K534" s="37">
        <f t="shared" si="65"/>
        <v>0</v>
      </c>
      <c r="L534" s="37">
        <f t="shared" si="66"/>
        <v>0</v>
      </c>
      <c r="M534" s="73">
        <v>0</v>
      </c>
    </row>
    <row r="535" spans="1:13" s="69" customFormat="1" ht="15.75">
      <c r="A535" s="63"/>
      <c r="B535" s="63" t="s">
        <v>244</v>
      </c>
      <c r="C535" s="63">
        <f>C386+C387+C388+C389+C390+C391+C392+C393+C394+C395+C396+C397+C398+C399+C400+C401+C402+C403+C404+C405+C406+C407+C408+C409+C410+C411+C412+C413+C414+C415+C416+C417+C418</f>
        <v>187949.2</v>
      </c>
      <c r="D535" s="63">
        <f>D391+D392+D416+D417</f>
        <v>226.39999999999998</v>
      </c>
      <c r="E535" s="63">
        <f>SUM(E386:E534)</f>
        <v>2149.8700000000003</v>
      </c>
      <c r="F535" s="63">
        <f>SUM(F386:F534)</f>
        <v>188175.6</v>
      </c>
      <c r="G535" s="66">
        <f>2/188175.6*F535</f>
        <v>2</v>
      </c>
      <c r="H535" s="37">
        <f>G535*2269.13</f>
        <v>4538.26</v>
      </c>
      <c r="I535" s="37">
        <f t="shared" si="62"/>
        <v>1668.7182020000002</v>
      </c>
      <c r="J535" s="37">
        <f>SUM(J385:J534)</f>
        <v>1753.0800000000004</v>
      </c>
      <c r="K535" s="37">
        <f t="shared" si="65"/>
        <v>1211.1336000000001</v>
      </c>
      <c r="L535" s="37">
        <f t="shared" si="66"/>
        <v>1476.3718584000003</v>
      </c>
      <c r="M535" s="73">
        <f>(K535+J535+I535+H535)/F535</f>
        <v>4.8737412300000643E-2</v>
      </c>
    </row>
    <row r="536" spans="1:13" s="6" customFormat="1" ht="15.75">
      <c r="A536" s="9" t="s">
        <v>245</v>
      </c>
      <c r="B536" s="8"/>
      <c r="C536" s="8"/>
      <c r="D536" s="8"/>
      <c r="E536" s="8"/>
      <c r="F536" s="40"/>
      <c r="G536" s="223"/>
      <c r="H536" s="37"/>
      <c r="I536" s="37"/>
      <c r="J536" s="37"/>
      <c r="K536" s="37"/>
      <c r="L536" s="37">
        <f t="shared" si="66"/>
        <v>0</v>
      </c>
      <c r="M536" s="73">
        <v>0</v>
      </c>
    </row>
    <row r="537" spans="1:13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ref="F537:F552" si="67">C537+D537+E537</f>
        <v>4713.8</v>
      </c>
      <c r="G537" s="221">
        <f t="shared" ref="G537:G600" si="68">3/186130.49*F537</f>
        <v>7.597573078972715E-2</v>
      </c>
      <c r="H537" s="37">
        <f t="shared" ref="H537:H600" si="69">G537*2269.13</f>
        <v>172.39881000689357</v>
      </c>
      <c r="I537" s="37">
        <f t="shared" ref="I537:I552" si="70">H537*0.3677</f>
        <v>63.391042439534772</v>
      </c>
      <c r="J537" s="37">
        <v>66.725665423575848</v>
      </c>
      <c r="K537" s="37">
        <f t="shared" ref="K537:K600" si="71">G537*560.71</f>
        <v>42.600352011107915</v>
      </c>
      <c r="L537" s="37">
        <f t="shared" si="66"/>
        <v>51.929829101540555</v>
      </c>
      <c r="M537" s="73">
        <f t="shared" ref="M537:M552" si="72">(K537+J537+I537+H537)/F537</f>
        <v>7.321393989586153E-2</v>
      </c>
    </row>
    <row r="538" spans="1:13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67"/>
        <v>14312.59</v>
      </c>
      <c r="G538" s="221">
        <f t="shared" si="68"/>
        <v>0.23068638566416497</v>
      </c>
      <c r="H538" s="37">
        <f t="shared" si="69"/>
        <v>523.45739830212665</v>
      </c>
      <c r="I538" s="37">
        <f t="shared" si="70"/>
        <v>192.47528535569199</v>
      </c>
      <c r="J538" s="37">
        <v>202.59869995791524</v>
      </c>
      <c r="K538" s="37">
        <f t="shared" si="71"/>
        <v>129.34816330575396</v>
      </c>
      <c r="L538" s="37">
        <f t="shared" si="66"/>
        <v>157.67541106971407</v>
      </c>
      <c r="M538" s="73">
        <f t="shared" si="72"/>
        <v>7.321383110404811E-2</v>
      </c>
    </row>
    <row r="539" spans="1:13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67"/>
        <v>4226.7</v>
      </c>
      <c r="G539" s="221">
        <f t="shared" si="68"/>
        <v>6.8124787078140708E-2</v>
      </c>
      <c r="H539" s="37">
        <f t="shared" si="69"/>
        <v>154.58399810262142</v>
      </c>
      <c r="I539" s="37">
        <f t="shared" si="70"/>
        <v>56.8405361023339</v>
      </c>
      <c r="J539" s="37">
        <v>59.874740999183153</v>
      </c>
      <c r="K539" s="37">
        <f t="shared" si="71"/>
        <v>38.198249362584278</v>
      </c>
      <c r="L539" s="37">
        <f t="shared" si="66"/>
        <v>46.563665972990236</v>
      </c>
      <c r="M539" s="73">
        <f t="shared" si="72"/>
        <v>7.3224388900731713E-2</v>
      </c>
    </row>
    <row r="540" spans="1:13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67"/>
        <v>4136.82</v>
      </c>
      <c r="G540" s="221">
        <f t="shared" si="68"/>
        <v>6.6676125980219575E-2</v>
      </c>
      <c r="H540" s="37">
        <f t="shared" si="69"/>
        <v>151.29679774549564</v>
      </c>
      <c r="I540" s="37">
        <f t="shared" si="70"/>
        <v>55.631832531018752</v>
      </c>
      <c r="J540" s="37">
        <v>58.55913928836236</v>
      </c>
      <c r="K540" s="37">
        <f t="shared" si="71"/>
        <v>37.385970598368921</v>
      </c>
      <c r="L540" s="37">
        <f t="shared" si="66"/>
        <v>45.57349815941172</v>
      </c>
      <c r="M540" s="73">
        <f t="shared" si="72"/>
        <v>7.3214145204105005E-2</v>
      </c>
    </row>
    <row r="541" spans="1:13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67"/>
        <v>7984.78</v>
      </c>
      <c r="G541" s="221">
        <f t="shared" si="68"/>
        <v>0.12869648599753861</v>
      </c>
      <c r="H541" s="37">
        <f t="shared" si="69"/>
        <v>292.02905727159481</v>
      </c>
      <c r="I541" s="37">
        <f t="shared" si="70"/>
        <v>107.37908435876543</v>
      </c>
      <c r="J541" s="37">
        <v>113.01873681353538</v>
      </c>
      <c r="K541" s="37">
        <f t="shared" si="71"/>
        <v>72.161406663679884</v>
      </c>
      <c r="L541" s="37">
        <f t="shared" si="66"/>
        <v>87.964754723025791</v>
      </c>
      <c r="M541" s="73">
        <f t="shared" si="72"/>
        <v>7.3212823034269639E-2</v>
      </c>
    </row>
    <row r="542" spans="1:13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67"/>
        <v>4209.92</v>
      </c>
      <c r="G542" s="221">
        <f t="shared" si="68"/>
        <v>6.7854331657322769E-2</v>
      </c>
      <c r="H542" s="37">
        <f t="shared" si="69"/>
        <v>153.97029959358082</v>
      </c>
      <c r="I542" s="37">
        <f t="shared" si="70"/>
        <v>56.614879160559674</v>
      </c>
      <c r="J542" s="37">
        <v>59.593473450291306</v>
      </c>
      <c r="K542" s="37">
        <f t="shared" si="71"/>
        <v>38.046602303577451</v>
      </c>
      <c r="L542" s="37">
        <f t="shared" si="66"/>
        <v>46.378808208060917</v>
      </c>
      <c r="M542" s="73">
        <f t="shared" si="72"/>
        <v>7.321404076752272E-2</v>
      </c>
    </row>
    <row r="543" spans="1:13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67"/>
        <v>8071.9</v>
      </c>
      <c r="G543" s="221">
        <f t="shared" si="68"/>
        <v>0.13010066217522986</v>
      </c>
      <c r="H543" s="37">
        <f t="shared" si="69"/>
        <v>295.21531556167935</v>
      </c>
      <c r="I543" s="37">
        <f t="shared" si="70"/>
        <v>108.5506715320295</v>
      </c>
      <c r="J543" s="37">
        <v>114.25903186305248</v>
      </c>
      <c r="K543" s="37">
        <f t="shared" si="71"/>
        <v>72.948742288273138</v>
      </c>
      <c r="L543" s="37">
        <f t="shared" si="66"/>
        <v>88.924516849404966</v>
      </c>
      <c r="M543" s="73">
        <f t="shared" si="72"/>
        <v>7.3213711919750554E-2</v>
      </c>
    </row>
    <row r="544" spans="1:13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67"/>
        <v>4461.2</v>
      </c>
      <c r="G544" s="221">
        <f t="shared" si="68"/>
        <v>7.1904393525209109E-2</v>
      </c>
      <c r="H544" s="37">
        <f t="shared" si="69"/>
        <v>163.16041647985776</v>
      </c>
      <c r="I544" s="37">
        <f t="shared" si="70"/>
        <v>59.994085139643701</v>
      </c>
      <c r="J544" s="37">
        <v>63.154261166634917</v>
      </c>
      <c r="K544" s="37">
        <f t="shared" si="71"/>
        <v>40.317512493519999</v>
      </c>
      <c r="L544" s="37">
        <f t="shared" si="66"/>
        <v>49.147047729600885</v>
      </c>
      <c r="M544" s="73">
        <f t="shared" si="72"/>
        <v>7.3214891795852333E-2</v>
      </c>
    </row>
    <row r="545" spans="1:14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67"/>
        <v>10161.57</v>
      </c>
      <c r="G545" s="221">
        <f t="shared" si="68"/>
        <v>0.16378138799290756</v>
      </c>
      <c r="H545" s="37">
        <f t="shared" si="69"/>
        <v>371.64126093634633</v>
      </c>
      <c r="I545" s="37">
        <f t="shared" si="70"/>
        <v>136.65249164629455</v>
      </c>
      <c r="J545" s="37">
        <v>143.84096058344554</v>
      </c>
      <c r="K545" s="37">
        <f t="shared" si="71"/>
        <v>91.833862061503211</v>
      </c>
      <c r="L545" s="37">
        <f t="shared" si="66"/>
        <v>111.94547785297242</v>
      </c>
      <c r="M545" s="73">
        <f t="shared" si="72"/>
        <v>7.321393989586153E-2</v>
      </c>
    </row>
    <row r="546" spans="1:14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67"/>
        <v>7889.76</v>
      </c>
      <c r="G546" s="221">
        <f t="shared" si="68"/>
        <v>0.12716497979455166</v>
      </c>
      <c r="H546" s="37">
        <f t="shared" si="69"/>
        <v>288.55387060121103</v>
      </c>
      <c r="I546" s="37">
        <f t="shared" si="70"/>
        <v>106.1012582200653</v>
      </c>
      <c r="J546" s="37">
        <v>111.67921249790196</v>
      </c>
      <c r="K546" s="37">
        <f t="shared" si="71"/>
        <v>71.302675820603071</v>
      </c>
      <c r="L546" s="37">
        <f t="shared" si="66"/>
        <v>86.917961825315146</v>
      </c>
      <c r="M546" s="73">
        <f t="shared" si="72"/>
        <v>7.3213509300635429E-2</v>
      </c>
    </row>
    <row r="547" spans="1:14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67"/>
        <v>7084.55</v>
      </c>
      <c r="G547" s="221">
        <f t="shared" si="68"/>
        <v>0.1141868266719762</v>
      </c>
      <c r="H547" s="37">
        <f t="shared" si="69"/>
        <v>259.10475400618139</v>
      </c>
      <c r="I547" s="37">
        <f t="shared" si="70"/>
        <v>95.272818048072907</v>
      </c>
      <c r="J547" s="37">
        <v>100.29375125357878</v>
      </c>
      <c r="K547" s="37">
        <f t="shared" si="71"/>
        <v>64.025695583243774</v>
      </c>
      <c r="L547" s="37">
        <f t="shared" si="66"/>
        <v>78.047322915974163</v>
      </c>
      <c r="M547" s="73">
        <f t="shared" si="72"/>
        <v>7.3215238637750715E-2</v>
      </c>
    </row>
    <row r="548" spans="1:14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67"/>
        <v>4792.88</v>
      </c>
      <c r="G548" s="221">
        <f t="shared" si="68"/>
        <v>7.725032046066177E-2</v>
      </c>
      <c r="H548" s="37">
        <f t="shared" si="69"/>
        <v>175.29101966690146</v>
      </c>
      <c r="I548" s="37">
        <f t="shared" si="70"/>
        <v>64.454507931519672</v>
      </c>
      <c r="J548" s="37">
        <v>67.844507248659539</v>
      </c>
      <c r="K548" s="37">
        <f t="shared" si="71"/>
        <v>43.315027185497662</v>
      </c>
      <c r="L548" s="37">
        <f t="shared" si="66"/>
        <v>52.801018139121652</v>
      </c>
      <c r="M548" s="73">
        <f t="shared" si="72"/>
        <v>7.3213821759063102E-2</v>
      </c>
    </row>
    <row r="549" spans="1:14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67"/>
        <v>4816.47</v>
      </c>
      <c r="G549" s="221">
        <f t="shared" si="68"/>
        <v>7.7630537586829543E-2</v>
      </c>
      <c r="H549" s="37">
        <f t="shared" si="69"/>
        <v>176.15378175440253</v>
      </c>
      <c r="I549" s="37">
        <f t="shared" si="70"/>
        <v>64.771745551093815</v>
      </c>
      <c r="J549" s="37">
        <v>68.178999054412657</v>
      </c>
      <c r="K549" s="37">
        <f t="shared" si="71"/>
        <v>43.528218730311195</v>
      </c>
      <c r="L549" s="37">
        <f t="shared" si="66"/>
        <v>53.060898632249348</v>
      </c>
      <c r="M549" s="73">
        <f t="shared" si="72"/>
        <v>7.321393989586153E-2</v>
      </c>
    </row>
    <row r="550" spans="1:14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67"/>
        <v>5818.22</v>
      </c>
      <c r="G550" s="221">
        <f t="shared" si="68"/>
        <v>9.3776468326065232E-2</v>
      </c>
      <c r="H550" s="37">
        <f t="shared" si="69"/>
        <v>212.79099757272442</v>
      </c>
      <c r="I550" s="37">
        <f t="shared" si="70"/>
        <v>78.24324980749077</v>
      </c>
      <c r="J550" s="37">
        <v>82.459944804313579</v>
      </c>
      <c r="K550" s="37">
        <f t="shared" si="71"/>
        <v>52.581403555108039</v>
      </c>
      <c r="L550" s="37">
        <f t="shared" si="66"/>
        <v>64.09673093367671</v>
      </c>
      <c r="M550" s="73">
        <f t="shared" si="72"/>
        <v>7.323126243759033E-2</v>
      </c>
      <c r="N550" s="6" t="s">
        <v>633</v>
      </c>
    </row>
    <row r="551" spans="1:14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67"/>
        <v>16414.989999999998</v>
      </c>
      <c r="G551" s="221">
        <f t="shared" si="68"/>
        <v>0.26457229011754063</v>
      </c>
      <c r="H551" s="37">
        <f t="shared" si="69"/>
        <v>600.34892067441501</v>
      </c>
      <c r="I551" s="37">
        <f t="shared" si="70"/>
        <v>220.74829813198241</v>
      </c>
      <c r="J551" s="37">
        <v>232.35856189871947</v>
      </c>
      <c r="K551" s="37">
        <f t="shared" si="71"/>
        <v>148.34832879180621</v>
      </c>
      <c r="L551" s="37">
        <f t="shared" si="66"/>
        <v>180.83661279721179</v>
      </c>
      <c r="M551" s="73">
        <f t="shared" si="72"/>
        <v>7.3213819167536692E-2</v>
      </c>
      <c r="N551" s="6" t="s">
        <v>633</v>
      </c>
    </row>
    <row r="552" spans="1:14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67"/>
        <v>14876.619999999999</v>
      </c>
      <c r="G552" s="221">
        <f t="shared" si="68"/>
        <v>0.23977726593853591</v>
      </c>
      <c r="H552" s="37">
        <f t="shared" si="69"/>
        <v>544.08578745910995</v>
      </c>
      <c r="I552" s="37">
        <f t="shared" si="70"/>
        <v>200.06034404871474</v>
      </c>
      <c r="J552" s="37">
        <v>252.68114026097254</v>
      </c>
      <c r="K552" s="37">
        <f t="shared" si="71"/>
        <v>134.44551078439648</v>
      </c>
      <c r="L552" s="37">
        <f t="shared" si="66"/>
        <v>163.88907764617932</v>
      </c>
      <c r="M552" s="73">
        <f t="shared" si="72"/>
        <v>7.6043670037494668E-2</v>
      </c>
      <c r="N552" s="6" t="s">
        <v>633</v>
      </c>
    </row>
    <row r="553" spans="1:14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/>
      <c r="G553" s="221">
        <f t="shared" si="68"/>
        <v>0</v>
      </c>
      <c r="H553" s="37">
        <f t="shared" si="69"/>
        <v>0</v>
      </c>
      <c r="I553" s="37"/>
      <c r="J553" s="37">
        <v>0</v>
      </c>
      <c r="K553" s="37">
        <f t="shared" si="71"/>
        <v>0</v>
      </c>
      <c r="L553" s="37">
        <f t="shared" si="66"/>
        <v>0</v>
      </c>
      <c r="M553" s="73">
        <v>0</v>
      </c>
    </row>
    <row r="554" spans="1:14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/>
      <c r="G554" s="221">
        <f t="shared" si="68"/>
        <v>0</v>
      </c>
      <c r="H554" s="37">
        <f t="shared" si="69"/>
        <v>0</v>
      </c>
      <c r="I554" s="37"/>
      <c r="J554" s="37">
        <v>0</v>
      </c>
      <c r="K554" s="37">
        <f t="shared" si="71"/>
        <v>0</v>
      </c>
      <c r="L554" s="37">
        <f t="shared" si="66"/>
        <v>0</v>
      </c>
      <c r="M554" s="73">
        <v>0</v>
      </c>
    </row>
    <row r="555" spans="1:14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/>
      <c r="G555" s="221">
        <f t="shared" si="68"/>
        <v>0</v>
      </c>
      <c r="H555" s="37">
        <f t="shared" si="69"/>
        <v>0</v>
      </c>
      <c r="I555" s="37"/>
      <c r="J555" s="37">
        <v>0</v>
      </c>
      <c r="K555" s="37">
        <f t="shared" si="71"/>
        <v>0</v>
      </c>
      <c r="L555" s="37">
        <f t="shared" si="66"/>
        <v>0</v>
      </c>
      <c r="M555" s="73">
        <v>0</v>
      </c>
    </row>
    <row r="556" spans="1:14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/>
      <c r="G556" s="221">
        <f t="shared" si="68"/>
        <v>0</v>
      </c>
      <c r="H556" s="37">
        <f t="shared" si="69"/>
        <v>0</v>
      </c>
      <c r="I556" s="37"/>
      <c r="J556" s="37">
        <v>0</v>
      </c>
      <c r="K556" s="37">
        <f t="shared" si="71"/>
        <v>0</v>
      </c>
      <c r="L556" s="37">
        <f t="shared" si="66"/>
        <v>0</v>
      </c>
      <c r="M556" s="73">
        <v>0</v>
      </c>
    </row>
    <row r="557" spans="1:14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/>
      <c r="G557" s="221">
        <f t="shared" si="68"/>
        <v>0</v>
      </c>
      <c r="H557" s="37">
        <f t="shared" si="69"/>
        <v>0</v>
      </c>
      <c r="I557" s="37"/>
      <c r="J557" s="37">
        <v>0</v>
      </c>
      <c r="K557" s="37">
        <f t="shared" si="71"/>
        <v>0</v>
      </c>
      <c r="L557" s="37">
        <f t="shared" si="66"/>
        <v>0</v>
      </c>
      <c r="M557" s="73">
        <v>0</v>
      </c>
    </row>
    <row r="558" spans="1:14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>C558+D558+E558</f>
        <v>4409.5</v>
      </c>
      <c r="G558" s="221">
        <f t="shared" si="68"/>
        <v>7.1071107157134758E-2</v>
      </c>
      <c r="H558" s="37">
        <f t="shared" si="69"/>
        <v>161.26958138346919</v>
      </c>
      <c r="I558" s="37">
        <f>H558*0.3677</f>
        <v>59.298825074701625</v>
      </c>
      <c r="J558" s="37">
        <v>74.905214515255423</v>
      </c>
      <c r="K558" s="37">
        <f t="shared" si="71"/>
        <v>39.850280494077033</v>
      </c>
      <c r="L558" s="37">
        <f t="shared" si="66"/>
        <v>48.577491922279904</v>
      </c>
      <c r="M558" s="73">
        <f>(K558+J558+I558+H558)/F558</f>
        <v>7.6045787837057094E-2</v>
      </c>
    </row>
    <row r="559" spans="1:14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/>
      <c r="G559" s="221">
        <f t="shared" si="68"/>
        <v>0</v>
      </c>
      <c r="H559" s="37">
        <f t="shared" si="69"/>
        <v>0</v>
      </c>
      <c r="I559" s="37"/>
      <c r="J559" s="37">
        <v>0</v>
      </c>
      <c r="K559" s="37">
        <f t="shared" si="71"/>
        <v>0</v>
      </c>
      <c r="L559" s="37">
        <f t="shared" si="66"/>
        <v>0</v>
      </c>
      <c r="M559" s="73">
        <v>0</v>
      </c>
    </row>
    <row r="560" spans="1:14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/>
      <c r="G560" s="221">
        <f t="shared" si="68"/>
        <v>0</v>
      </c>
      <c r="H560" s="37">
        <f t="shared" si="69"/>
        <v>0</v>
      </c>
      <c r="I560" s="37"/>
      <c r="J560" s="37">
        <v>0</v>
      </c>
      <c r="K560" s="37">
        <f t="shared" si="71"/>
        <v>0</v>
      </c>
      <c r="L560" s="37">
        <f t="shared" si="66"/>
        <v>0</v>
      </c>
      <c r="M560" s="73">
        <v>0</v>
      </c>
    </row>
    <row r="561" spans="1:14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/>
      <c r="G561" s="221">
        <f t="shared" si="68"/>
        <v>0</v>
      </c>
      <c r="H561" s="37">
        <f t="shared" si="69"/>
        <v>0</v>
      </c>
      <c r="I561" s="37"/>
      <c r="J561" s="37">
        <v>0</v>
      </c>
      <c r="K561" s="37">
        <f t="shared" si="71"/>
        <v>0</v>
      </c>
      <c r="L561" s="37">
        <f t="shared" si="66"/>
        <v>0</v>
      </c>
      <c r="M561" s="73">
        <v>0</v>
      </c>
      <c r="N561" s="6" t="s">
        <v>633</v>
      </c>
    </row>
    <row r="562" spans="1:14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/>
      <c r="G562" s="221">
        <f t="shared" si="68"/>
        <v>0</v>
      </c>
      <c r="H562" s="37">
        <f t="shared" si="69"/>
        <v>0</v>
      </c>
      <c r="I562" s="37"/>
      <c r="J562" s="37">
        <v>0</v>
      </c>
      <c r="K562" s="37">
        <f t="shared" si="71"/>
        <v>0</v>
      </c>
      <c r="L562" s="37">
        <f t="shared" si="66"/>
        <v>0</v>
      </c>
      <c r="M562" s="73">
        <v>0</v>
      </c>
    </row>
    <row r="563" spans="1:14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/>
      <c r="G563" s="221">
        <f t="shared" si="68"/>
        <v>0</v>
      </c>
      <c r="H563" s="37">
        <f t="shared" si="69"/>
        <v>0</v>
      </c>
      <c r="I563" s="37"/>
      <c r="J563" s="37">
        <v>0</v>
      </c>
      <c r="K563" s="37">
        <f t="shared" si="71"/>
        <v>0</v>
      </c>
      <c r="L563" s="37">
        <f t="shared" si="66"/>
        <v>0</v>
      </c>
      <c r="M563" s="73">
        <v>0</v>
      </c>
    </row>
    <row r="564" spans="1:14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/>
      <c r="G564" s="221">
        <f t="shared" si="68"/>
        <v>0</v>
      </c>
      <c r="H564" s="37">
        <f t="shared" si="69"/>
        <v>0</v>
      </c>
      <c r="I564" s="37"/>
      <c r="J564" s="37">
        <v>0</v>
      </c>
      <c r="K564" s="37">
        <f t="shared" si="71"/>
        <v>0</v>
      </c>
      <c r="L564" s="37">
        <f t="shared" si="66"/>
        <v>0</v>
      </c>
      <c r="M564" s="73">
        <v>0</v>
      </c>
    </row>
    <row r="565" spans="1:14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/>
      <c r="G565" s="221">
        <f t="shared" si="68"/>
        <v>0</v>
      </c>
      <c r="H565" s="37">
        <f t="shared" si="69"/>
        <v>0</v>
      </c>
      <c r="I565" s="37"/>
      <c r="J565" s="37">
        <v>0</v>
      </c>
      <c r="K565" s="37">
        <f t="shared" si="71"/>
        <v>0</v>
      </c>
      <c r="L565" s="37">
        <f t="shared" si="66"/>
        <v>0</v>
      </c>
      <c r="M565" s="73">
        <v>0</v>
      </c>
    </row>
    <row r="566" spans="1:14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/>
      <c r="G566" s="221">
        <f t="shared" si="68"/>
        <v>0</v>
      </c>
      <c r="H566" s="37">
        <f t="shared" si="69"/>
        <v>0</v>
      </c>
      <c r="I566" s="37"/>
      <c r="J566" s="37">
        <v>0</v>
      </c>
      <c r="K566" s="37">
        <f t="shared" si="71"/>
        <v>0</v>
      </c>
      <c r="L566" s="37">
        <f t="shared" si="66"/>
        <v>0</v>
      </c>
      <c r="M566" s="73">
        <v>0</v>
      </c>
    </row>
    <row r="567" spans="1:14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/>
      <c r="G567" s="221">
        <f t="shared" si="68"/>
        <v>0</v>
      </c>
      <c r="H567" s="37">
        <f t="shared" si="69"/>
        <v>0</v>
      </c>
      <c r="I567" s="37"/>
      <c r="J567" s="37">
        <v>0</v>
      </c>
      <c r="K567" s="37">
        <f t="shared" si="71"/>
        <v>0</v>
      </c>
      <c r="L567" s="37">
        <f t="shared" si="66"/>
        <v>0</v>
      </c>
      <c r="M567" s="73">
        <v>0</v>
      </c>
    </row>
    <row r="568" spans="1:14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/>
      <c r="G568" s="221">
        <f t="shared" si="68"/>
        <v>0</v>
      </c>
      <c r="H568" s="37">
        <f t="shared" si="69"/>
        <v>0</v>
      </c>
      <c r="I568" s="37"/>
      <c r="J568" s="37">
        <v>0</v>
      </c>
      <c r="K568" s="37">
        <f t="shared" si="71"/>
        <v>0</v>
      </c>
      <c r="L568" s="37">
        <f t="shared" si="66"/>
        <v>0</v>
      </c>
      <c r="M568" s="73">
        <v>0</v>
      </c>
    </row>
    <row r="569" spans="1:14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/>
      <c r="G569" s="221">
        <f t="shared" si="68"/>
        <v>0</v>
      </c>
      <c r="H569" s="37">
        <f t="shared" si="69"/>
        <v>0</v>
      </c>
      <c r="I569" s="37"/>
      <c r="J569" s="37">
        <v>0</v>
      </c>
      <c r="K569" s="37">
        <f t="shared" si="71"/>
        <v>0</v>
      </c>
      <c r="L569" s="37">
        <f t="shared" si="66"/>
        <v>0</v>
      </c>
      <c r="M569" s="73">
        <v>0</v>
      </c>
    </row>
    <row r="570" spans="1:14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/>
      <c r="G570" s="221">
        <f t="shared" si="68"/>
        <v>0</v>
      </c>
      <c r="H570" s="37">
        <f t="shared" si="69"/>
        <v>0</v>
      </c>
      <c r="I570" s="37"/>
      <c r="J570" s="37">
        <v>0</v>
      </c>
      <c r="K570" s="37">
        <f t="shared" si="71"/>
        <v>0</v>
      </c>
      <c r="L570" s="37">
        <f t="shared" si="66"/>
        <v>0</v>
      </c>
      <c r="M570" s="73">
        <v>0</v>
      </c>
    </row>
    <row r="571" spans="1:14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/>
      <c r="G571" s="221">
        <f t="shared" si="68"/>
        <v>0</v>
      </c>
      <c r="H571" s="37">
        <f t="shared" si="69"/>
        <v>0</v>
      </c>
      <c r="I571" s="37"/>
      <c r="J571" s="37">
        <v>0</v>
      </c>
      <c r="K571" s="37">
        <f t="shared" si="71"/>
        <v>0</v>
      </c>
      <c r="L571" s="37">
        <f t="shared" si="66"/>
        <v>0</v>
      </c>
      <c r="M571" s="73">
        <v>0</v>
      </c>
    </row>
    <row r="572" spans="1:14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/>
      <c r="G572" s="221">
        <f t="shared" si="68"/>
        <v>0</v>
      </c>
      <c r="H572" s="37">
        <f t="shared" si="69"/>
        <v>0</v>
      </c>
      <c r="I572" s="37"/>
      <c r="J572" s="37">
        <v>0</v>
      </c>
      <c r="K572" s="37">
        <f t="shared" si="71"/>
        <v>0</v>
      </c>
      <c r="L572" s="37">
        <f t="shared" si="66"/>
        <v>0</v>
      </c>
      <c r="M572" s="73">
        <v>0</v>
      </c>
    </row>
    <row r="573" spans="1:14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/>
      <c r="G573" s="221">
        <f t="shared" si="68"/>
        <v>0</v>
      </c>
      <c r="H573" s="37">
        <f t="shared" si="69"/>
        <v>0</v>
      </c>
      <c r="I573" s="37"/>
      <c r="J573" s="37">
        <v>5.8875087536538819</v>
      </c>
      <c r="K573" s="37">
        <f t="shared" si="71"/>
        <v>0</v>
      </c>
      <c r="L573" s="37">
        <f t="shared" si="66"/>
        <v>0</v>
      </c>
      <c r="M573" s="73">
        <v>0</v>
      </c>
    </row>
    <row r="574" spans="1:14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/>
      <c r="G574" s="221">
        <f t="shared" si="68"/>
        <v>0</v>
      </c>
      <c r="H574" s="37">
        <f t="shared" si="69"/>
        <v>0</v>
      </c>
      <c r="I574" s="37"/>
      <c r="J574" s="37">
        <v>0</v>
      </c>
      <c r="K574" s="37">
        <f t="shared" si="71"/>
        <v>0</v>
      </c>
      <c r="L574" s="37">
        <f t="shared" si="66"/>
        <v>0</v>
      </c>
      <c r="M574" s="73">
        <v>0</v>
      </c>
    </row>
    <row r="575" spans="1:14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/>
      <c r="G575" s="221">
        <f t="shared" si="68"/>
        <v>0</v>
      </c>
      <c r="H575" s="37">
        <f t="shared" si="69"/>
        <v>0</v>
      </c>
      <c r="I575" s="37"/>
      <c r="J575" s="37">
        <v>0</v>
      </c>
      <c r="K575" s="37">
        <f t="shared" si="71"/>
        <v>0</v>
      </c>
      <c r="L575" s="37">
        <f t="shared" si="66"/>
        <v>0</v>
      </c>
      <c r="M575" s="73">
        <v>0</v>
      </c>
    </row>
    <row r="576" spans="1:14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/>
      <c r="G576" s="221">
        <f t="shared" si="68"/>
        <v>0</v>
      </c>
      <c r="H576" s="37">
        <f t="shared" si="69"/>
        <v>0</v>
      </c>
      <c r="I576" s="37"/>
      <c r="J576" s="37">
        <v>0</v>
      </c>
      <c r="K576" s="37">
        <f t="shared" si="71"/>
        <v>0</v>
      </c>
      <c r="L576" s="37">
        <f t="shared" si="66"/>
        <v>0</v>
      </c>
      <c r="M576" s="73">
        <v>0</v>
      </c>
    </row>
    <row r="577" spans="1:13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/>
      <c r="G577" s="221">
        <f t="shared" si="68"/>
        <v>0</v>
      </c>
      <c r="H577" s="37">
        <f t="shared" si="69"/>
        <v>0</v>
      </c>
      <c r="I577" s="37"/>
      <c r="J577" s="37">
        <v>0</v>
      </c>
      <c r="K577" s="37">
        <f t="shared" si="71"/>
        <v>0</v>
      </c>
      <c r="L577" s="37">
        <f t="shared" si="66"/>
        <v>0</v>
      </c>
      <c r="M577" s="73">
        <v>0</v>
      </c>
    </row>
    <row r="578" spans="1:13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>C578+D578+E578</f>
        <v>4501</v>
      </c>
      <c r="G578" s="221">
        <f t="shared" si="68"/>
        <v>7.2545878969103875E-2</v>
      </c>
      <c r="H578" s="37">
        <f t="shared" si="69"/>
        <v>164.61603034516267</v>
      </c>
      <c r="I578" s="37">
        <f>H578*0.3677</f>
        <v>60.52931435791632</v>
      </c>
      <c r="J578" s="37">
        <v>40.756271048953813</v>
      </c>
      <c r="K578" s="37">
        <f t="shared" si="71"/>
        <v>40.677199796766239</v>
      </c>
      <c r="L578" s="37">
        <f t="shared" si="66"/>
        <v>49.585506552258046</v>
      </c>
      <c r="M578" s="73">
        <f>(K578+J578+I578+H578)/F578</f>
        <v>6.8113489346545E-2</v>
      </c>
    </row>
    <row r="579" spans="1:13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/>
      <c r="G579" s="221">
        <f t="shared" si="68"/>
        <v>0</v>
      </c>
      <c r="H579" s="37">
        <f t="shared" si="69"/>
        <v>0</v>
      </c>
      <c r="I579" s="37"/>
      <c r="J579" s="37">
        <v>0</v>
      </c>
      <c r="K579" s="37">
        <f t="shared" si="71"/>
        <v>0</v>
      </c>
      <c r="L579" s="37">
        <f t="shared" ref="L579:L642" si="73">K579*1.219</f>
        <v>0</v>
      </c>
      <c r="M579" s="73">
        <v>0</v>
      </c>
    </row>
    <row r="580" spans="1:13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/>
      <c r="G580" s="221">
        <f t="shared" si="68"/>
        <v>0</v>
      </c>
      <c r="H580" s="37">
        <f t="shared" si="69"/>
        <v>0</v>
      </c>
      <c r="I580" s="37"/>
      <c r="J580" s="37">
        <v>0</v>
      </c>
      <c r="K580" s="37">
        <f t="shared" si="71"/>
        <v>0</v>
      </c>
      <c r="L580" s="37">
        <f t="shared" si="73"/>
        <v>0</v>
      </c>
      <c r="M580" s="73">
        <v>0</v>
      </c>
    </row>
    <row r="581" spans="1:13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/>
      <c r="G581" s="221">
        <f t="shared" si="68"/>
        <v>0</v>
      </c>
      <c r="H581" s="37">
        <f t="shared" si="69"/>
        <v>0</v>
      </c>
      <c r="I581" s="37"/>
      <c r="J581" s="37">
        <v>0</v>
      </c>
      <c r="K581" s="37">
        <f t="shared" si="71"/>
        <v>0</v>
      </c>
      <c r="L581" s="37">
        <f t="shared" si="73"/>
        <v>0</v>
      </c>
      <c r="M581" s="73">
        <v>0</v>
      </c>
    </row>
    <row r="582" spans="1:13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/>
      <c r="G582" s="221">
        <f t="shared" si="68"/>
        <v>0</v>
      </c>
      <c r="H582" s="37">
        <f t="shared" si="69"/>
        <v>0</v>
      </c>
      <c r="I582" s="37"/>
      <c r="J582" s="37">
        <v>0</v>
      </c>
      <c r="K582" s="37">
        <f t="shared" si="71"/>
        <v>0</v>
      </c>
      <c r="L582" s="37">
        <f t="shared" si="73"/>
        <v>0</v>
      </c>
      <c r="M582" s="73">
        <v>0</v>
      </c>
    </row>
    <row r="583" spans="1:13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/>
      <c r="G583" s="221">
        <f t="shared" si="68"/>
        <v>0</v>
      </c>
      <c r="H583" s="37">
        <f t="shared" si="69"/>
        <v>0</v>
      </c>
      <c r="I583" s="37"/>
      <c r="J583" s="37">
        <v>0</v>
      </c>
      <c r="K583" s="37">
        <f t="shared" si="71"/>
        <v>0</v>
      </c>
      <c r="L583" s="37">
        <f t="shared" si="73"/>
        <v>0</v>
      </c>
      <c r="M583" s="73">
        <v>0</v>
      </c>
    </row>
    <row r="584" spans="1:13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/>
      <c r="G584" s="221">
        <f t="shared" si="68"/>
        <v>0</v>
      </c>
      <c r="H584" s="37">
        <f t="shared" si="69"/>
        <v>0</v>
      </c>
      <c r="I584" s="37"/>
      <c r="J584" s="37">
        <v>0</v>
      </c>
      <c r="K584" s="37">
        <f t="shared" si="71"/>
        <v>0</v>
      </c>
      <c r="L584" s="37">
        <f t="shared" si="73"/>
        <v>0</v>
      </c>
      <c r="M584" s="73">
        <v>0</v>
      </c>
    </row>
    <row r="585" spans="1:13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/>
      <c r="G585" s="221">
        <f t="shared" si="68"/>
        <v>0</v>
      </c>
      <c r="H585" s="37">
        <f t="shared" si="69"/>
        <v>0</v>
      </c>
      <c r="I585" s="37"/>
      <c r="J585" s="37">
        <v>0</v>
      </c>
      <c r="K585" s="37">
        <f t="shared" si="71"/>
        <v>0</v>
      </c>
      <c r="L585" s="37">
        <f t="shared" si="73"/>
        <v>0</v>
      </c>
      <c r="M585" s="73">
        <v>0</v>
      </c>
    </row>
    <row r="586" spans="1:13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/>
      <c r="G586" s="221">
        <f t="shared" si="68"/>
        <v>0</v>
      </c>
      <c r="H586" s="37">
        <f t="shared" si="69"/>
        <v>0</v>
      </c>
      <c r="I586" s="37"/>
      <c r="J586" s="37">
        <v>0</v>
      </c>
      <c r="K586" s="37">
        <f t="shared" si="71"/>
        <v>0</v>
      </c>
      <c r="L586" s="37">
        <f t="shared" si="73"/>
        <v>0</v>
      </c>
      <c r="M586" s="73">
        <v>0</v>
      </c>
    </row>
    <row r="587" spans="1:13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/>
      <c r="G587" s="221">
        <f t="shared" si="68"/>
        <v>0</v>
      </c>
      <c r="H587" s="37">
        <f t="shared" si="69"/>
        <v>0</v>
      </c>
      <c r="I587" s="37"/>
      <c r="J587" s="37">
        <v>0</v>
      </c>
      <c r="K587" s="37">
        <f t="shared" si="71"/>
        <v>0</v>
      </c>
      <c r="L587" s="37">
        <f t="shared" si="73"/>
        <v>0</v>
      </c>
      <c r="M587" s="73">
        <v>0</v>
      </c>
    </row>
    <row r="588" spans="1:13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/>
      <c r="G588" s="221">
        <f t="shared" si="68"/>
        <v>0</v>
      </c>
      <c r="H588" s="37">
        <f t="shared" si="69"/>
        <v>0</v>
      </c>
      <c r="I588" s="37"/>
      <c r="J588" s="37">
        <v>0</v>
      </c>
      <c r="K588" s="37">
        <f t="shared" si="71"/>
        <v>0</v>
      </c>
      <c r="L588" s="37">
        <f t="shared" si="73"/>
        <v>0</v>
      </c>
      <c r="M588" s="73">
        <v>0</v>
      </c>
    </row>
    <row r="589" spans="1:13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/>
      <c r="G589" s="221">
        <f t="shared" si="68"/>
        <v>0</v>
      </c>
      <c r="H589" s="37">
        <f t="shared" si="69"/>
        <v>0</v>
      </c>
      <c r="I589" s="37"/>
      <c r="J589" s="37">
        <v>0</v>
      </c>
      <c r="K589" s="37">
        <f t="shared" si="71"/>
        <v>0</v>
      </c>
      <c r="L589" s="37">
        <f t="shared" si="73"/>
        <v>0</v>
      </c>
      <c r="M589" s="73">
        <v>0</v>
      </c>
    </row>
    <row r="590" spans="1:13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/>
      <c r="G590" s="221">
        <f t="shared" si="68"/>
        <v>0</v>
      </c>
      <c r="H590" s="37">
        <f t="shared" si="69"/>
        <v>0</v>
      </c>
      <c r="I590" s="37"/>
      <c r="J590" s="37">
        <v>0</v>
      </c>
      <c r="K590" s="37">
        <f t="shared" si="71"/>
        <v>0</v>
      </c>
      <c r="L590" s="37">
        <f t="shared" si="73"/>
        <v>0</v>
      </c>
      <c r="M590" s="73">
        <v>0</v>
      </c>
    </row>
    <row r="591" spans="1:13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/>
      <c r="G591" s="221">
        <f t="shared" si="68"/>
        <v>0</v>
      </c>
      <c r="H591" s="37">
        <f t="shared" si="69"/>
        <v>0</v>
      </c>
      <c r="I591" s="37"/>
      <c r="J591" s="37">
        <v>0</v>
      </c>
      <c r="K591" s="37">
        <f t="shared" si="71"/>
        <v>0</v>
      </c>
      <c r="L591" s="37">
        <f t="shared" si="73"/>
        <v>0</v>
      </c>
      <c r="M591" s="73">
        <v>0</v>
      </c>
    </row>
    <row r="592" spans="1:13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/>
      <c r="G592" s="221">
        <f t="shared" si="68"/>
        <v>0</v>
      </c>
      <c r="H592" s="37">
        <f t="shared" si="69"/>
        <v>0</v>
      </c>
      <c r="I592" s="37"/>
      <c r="J592" s="37">
        <v>0</v>
      </c>
      <c r="K592" s="37">
        <f t="shared" si="71"/>
        <v>0</v>
      </c>
      <c r="L592" s="37">
        <f t="shared" si="73"/>
        <v>0</v>
      </c>
      <c r="M592" s="73">
        <v>0</v>
      </c>
    </row>
    <row r="593" spans="1:13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/>
      <c r="G593" s="221">
        <f t="shared" si="68"/>
        <v>0</v>
      </c>
      <c r="H593" s="37">
        <f t="shared" si="69"/>
        <v>0</v>
      </c>
      <c r="I593" s="37"/>
      <c r="J593" s="37">
        <v>0</v>
      </c>
      <c r="K593" s="37">
        <f t="shared" si="71"/>
        <v>0</v>
      </c>
      <c r="L593" s="37">
        <f t="shared" si="73"/>
        <v>0</v>
      </c>
      <c r="M593" s="73">
        <v>0</v>
      </c>
    </row>
    <row r="594" spans="1:13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/>
      <c r="G594" s="221">
        <f t="shared" si="68"/>
        <v>0</v>
      </c>
      <c r="H594" s="37">
        <f t="shared" si="69"/>
        <v>0</v>
      </c>
      <c r="I594" s="37"/>
      <c r="J594" s="37">
        <v>0</v>
      </c>
      <c r="K594" s="37">
        <f t="shared" si="71"/>
        <v>0</v>
      </c>
      <c r="L594" s="37">
        <f t="shared" si="73"/>
        <v>0</v>
      </c>
      <c r="M594" s="73">
        <v>0</v>
      </c>
    </row>
    <row r="595" spans="1:13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/>
      <c r="G595" s="221">
        <f t="shared" si="68"/>
        <v>0</v>
      </c>
      <c r="H595" s="37">
        <f t="shared" si="69"/>
        <v>0</v>
      </c>
      <c r="I595" s="37"/>
      <c r="J595" s="37">
        <v>0</v>
      </c>
      <c r="K595" s="37">
        <f t="shared" si="71"/>
        <v>0</v>
      </c>
      <c r="L595" s="37">
        <f t="shared" si="73"/>
        <v>0</v>
      </c>
      <c r="M595" s="73">
        <v>0</v>
      </c>
    </row>
    <row r="596" spans="1:13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/>
      <c r="G596" s="221">
        <f t="shared" si="68"/>
        <v>0</v>
      </c>
      <c r="H596" s="37">
        <f t="shared" si="69"/>
        <v>0</v>
      </c>
      <c r="I596" s="37"/>
      <c r="J596" s="37">
        <v>0</v>
      </c>
      <c r="K596" s="37">
        <f t="shared" si="71"/>
        <v>0</v>
      </c>
      <c r="L596" s="37">
        <f t="shared" si="73"/>
        <v>0</v>
      </c>
      <c r="M596" s="73">
        <v>0</v>
      </c>
    </row>
    <row r="597" spans="1:13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/>
      <c r="G597" s="221">
        <f t="shared" si="68"/>
        <v>0</v>
      </c>
      <c r="H597" s="37">
        <f t="shared" si="69"/>
        <v>0</v>
      </c>
      <c r="I597" s="37"/>
      <c r="J597" s="37">
        <v>0</v>
      </c>
      <c r="K597" s="37">
        <f t="shared" si="71"/>
        <v>0</v>
      </c>
      <c r="L597" s="37">
        <f t="shared" si="73"/>
        <v>0</v>
      </c>
      <c r="M597" s="73">
        <v>0</v>
      </c>
    </row>
    <row r="598" spans="1:13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/>
      <c r="G598" s="221">
        <f t="shared" si="68"/>
        <v>0</v>
      </c>
      <c r="H598" s="37">
        <f t="shared" si="69"/>
        <v>0</v>
      </c>
      <c r="I598" s="37"/>
      <c r="J598" s="37">
        <v>0</v>
      </c>
      <c r="K598" s="37">
        <f t="shared" si="71"/>
        <v>0</v>
      </c>
      <c r="L598" s="37">
        <f t="shared" si="73"/>
        <v>0</v>
      </c>
      <c r="M598" s="73">
        <v>0</v>
      </c>
    </row>
    <row r="599" spans="1:13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/>
      <c r="G599" s="221">
        <f t="shared" si="68"/>
        <v>0</v>
      </c>
      <c r="H599" s="37">
        <f t="shared" si="69"/>
        <v>0</v>
      </c>
      <c r="I599" s="37"/>
      <c r="J599" s="37">
        <v>0</v>
      </c>
      <c r="K599" s="37">
        <f t="shared" si="71"/>
        <v>0</v>
      </c>
      <c r="L599" s="37">
        <f t="shared" si="73"/>
        <v>0</v>
      </c>
      <c r="M599" s="73">
        <v>0</v>
      </c>
    </row>
    <row r="600" spans="1:13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/>
      <c r="G600" s="221">
        <f t="shared" si="68"/>
        <v>0</v>
      </c>
      <c r="H600" s="37">
        <f t="shared" si="69"/>
        <v>0</v>
      </c>
      <c r="I600" s="37"/>
      <c r="J600" s="37">
        <v>0</v>
      </c>
      <c r="K600" s="37">
        <f t="shared" si="71"/>
        <v>0</v>
      </c>
      <c r="L600" s="37">
        <f t="shared" si="73"/>
        <v>0</v>
      </c>
      <c r="M600" s="73">
        <v>0</v>
      </c>
    </row>
    <row r="601" spans="1:13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/>
      <c r="G601" s="221">
        <f t="shared" ref="G601:G664" si="74">3/186130.49*F601</f>
        <v>0</v>
      </c>
      <c r="H601" s="37">
        <f t="shared" ref="H601:H664" si="75">G601*2269.13</f>
        <v>0</v>
      </c>
      <c r="I601" s="37"/>
      <c r="J601" s="37">
        <v>6.9508614598821934</v>
      </c>
      <c r="K601" s="37">
        <f>G601*560.71*1.08</f>
        <v>0</v>
      </c>
      <c r="L601" s="37">
        <f t="shared" si="73"/>
        <v>0</v>
      </c>
      <c r="M601" s="73">
        <v>0</v>
      </c>
    </row>
    <row r="602" spans="1:13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/>
      <c r="G602" s="221">
        <f t="shared" si="74"/>
        <v>0</v>
      </c>
      <c r="H602" s="37">
        <f t="shared" si="75"/>
        <v>0</v>
      </c>
      <c r="I602" s="37"/>
      <c r="J602" s="37">
        <v>3.0167961761365532</v>
      </c>
      <c r="K602" s="37">
        <f t="shared" ref="K602:K656" si="76">G602*560.71*1.08</f>
        <v>0</v>
      </c>
      <c r="L602" s="37">
        <f t="shared" si="73"/>
        <v>0</v>
      </c>
      <c r="M602" s="73">
        <v>0</v>
      </c>
    </row>
    <row r="603" spans="1:13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/>
      <c r="G603" s="221">
        <f t="shared" si="74"/>
        <v>0</v>
      </c>
      <c r="H603" s="37">
        <f t="shared" si="75"/>
        <v>0</v>
      </c>
      <c r="I603" s="37"/>
      <c r="J603" s="37">
        <v>6.52110389650238</v>
      </c>
      <c r="K603" s="37">
        <f t="shared" si="76"/>
        <v>0</v>
      </c>
      <c r="L603" s="37">
        <f t="shared" si="73"/>
        <v>0</v>
      </c>
      <c r="M603" s="73">
        <v>0</v>
      </c>
    </row>
    <row r="604" spans="1:13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/>
      <c r="G604" s="221">
        <f t="shared" si="74"/>
        <v>0</v>
      </c>
      <c r="H604" s="37">
        <f t="shared" si="75"/>
        <v>0</v>
      </c>
      <c r="I604" s="37"/>
      <c r="J604" s="37">
        <v>2.0927324825451765</v>
      </c>
      <c r="K604" s="37">
        <f t="shared" si="76"/>
        <v>0</v>
      </c>
      <c r="L604" s="37">
        <f t="shared" si="73"/>
        <v>0</v>
      </c>
      <c r="M604" s="73">
        <v>0</v>
      </c>
    </row>
    <row r="605" spans="1:13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/>
      <c r="G605" s="221">
        <f t="shared" si="74"/>
        <v>0</v>
      </c>
      <c r="H605" s="37">
        <f t="shared" si="75"/>
        <v>0</v>
      </c>
      <c r="I605" s="37"/>
      <c r="J605" s="37">
        <v>7.197165201740189</v>
      </c>
      <c r="K605" s="37">
        <f t="shared" si="76"/>
        <v>0</v>
      </c>
      <c r="L605" s="37">
        <f t="shared" si="73"/>
        <v>0</v>
      </c>
      <c r="M605" s="73">
        <v>0</v>
      </c>
    </row>
    <row r="606" spans="1:13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/>
      <c r="G606" s="221">
        <f t="shared" si="74"/>
        <v>0</v>
      </c>
      <c r="H606" s="37">
        <f t="shared" si="75"/>
        <v>0</v>
      </c>
      <c r="I606" s="37"/>
      <c r="J606" s="37">
        <v>2.3577213358544689</v>
      </c>
      <c r="K606" s="37">
        <f t="shared" si="76"/>
        <v>0</v>
      </c>
      <c r="L606" s="37">
        <f t="shared" si="73"/>
        <v>0</v>
      </c>
      <c r="M606" s="73">
        <v>0</v>
      </c>
    </row>
    <row r="607" spans="1:13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/>
      <c r="G607" s="221">
        <f t="shared" si="74"/>
        <v>0</v>
      </c>
      <c r="H607" s="37">
        <f t="shared" si="75"/>
        <v>0</v>
      </c>
      <c r="I607" s="37"/>
      <c r="J607" s="37">
        <v>5.8025764288752617</v>
      </c>
      <c r="K607" s="37">
        <f t="shared" si="76"/>
        <v>0</v>
      </c>
      <c r="L607" s="37">
        <f t="shared" si="73"/>
        <v>0</v>
      </c>
      <c r="M607" s="73">
        <v>0</v>
      </c>
    </row>
    <row r="608" spans="1:13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/>
      <c r="G608" s="221">
        <f t="shared" si="74"/>
        <v>0</v>
      </c>
      <c r="H608" s="37">
        <f t="shared" si="75"/>
        <v>0</v>
      </c>
      <c r="I608" s="37"/>
      <c r="J608" s="37">
        <v>6.0013180688572314</v>
      </c>
      <c r="K608" s="37">
        <f t="shared" si="76"/>
        <v>0</v>
      </c>
      <c r="L608" s="37">
        <f t="shared" si="73"/>
        <v>0</v>
      </c>
      <c r="M608" s="73">
        <v>0</v>
      </c>
    </row>
    <row r="609" spans="1:13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/>
      <c r="G609" s="221">
        <f t="shared" si="74"/>
        <v>0</v>
      </c>
      <c r="H609" s="37">
        <f t="shared" si="75"/>
        <v>0</v>
      </c>
      <c r="I609" s="37"/>
      <c r="J609" s="37">
        <v>6.0217018268041</v>
      </c>
      <c r="K609" s="37">
        <f t="shared" si="76"/>
        <v>0</v>
      </c>
      <c r="L609" s="37">
        <f t="shared" si="73"/>
        <v>0</v>
      </c>
      <c r="M609" s="73">
        <v>0</v>
      </c>
    </row>
    <row r="610" spans="1:13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/>
      <c r="G610" s="221">
        <f t="shared" si="74"/>
        <v>0</v>
      </c>
      <c r="H610" s="37">
        <f t="shared" si="75"/>
        <v>0</v>
      </c>
      <c r="I610" s="37"/>
      <c r="J610" s="37">
        <v>6.8693264280947188</v>
      </c>
      <c r="K610" s="37">
        <f t="shared" si="76"/>
        <v>0</v>
      </c>
      <c r="L610" s="37">
        <f t="shared" si="73"/>
        <v>0</v>
      </c>
      <c r="M610" s="73">
        <v>0</v>
      </c>
    </row>
    <row r="611" spans="1:13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/>
      <c r="G611" s="221">
        <f t="shared" si="74"/>
        <v>0</v>
      </c>
      <c r="H611" s="37">
        <f t="shared" si="75"/>
        <v>0</v>
      </c>
      <c r="I611" s="37"/>
      <c r="J611" s="37">
        <v>5.916385744078613</v>
      </c>
      <c r="K611" s="37">
        <f t="shared" si="76"/>
        <v>0</v>
      </c>
      <c r="L611" s="37">
        <f t="shared" si="73"/>
        <v>0</v>
      </c>
      <c r="M611" s="73">
        <v>0</v>
      </c>
    </row>
    <row r="612" spans="1:13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/>
      <c r="G612" s="221">
        <f t="shared" si="74"/>
        <v>0</v>
      </c>
      <c r="H612" s="37">
        <f t="shared" si="75"/>
        <v>0</v>
      </c>
      <c r="I612" s="37"/>
      <c r="J612" s="37">
        <v>1.2468065277501297</v>
      </c>
      <c r="K612" s="37">
        <f t="shared" si="76"/>
        <v>0</v>
      </c>
      <c r="L612" s="37">
        <f t="shared" si="73"/>
        <v>0</v>
      </c>
      <c r="M612" s="73">
        <v>0</v>
      </c>
    </row>
    <row r="613" spans="1:13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/>
      <c r="G613" s="221">
        <f t="shared" si="74"/>
        <v>0</v>
      </c>
      <c r="H613" s="37">
        <f t="shared" si="75"/>
        <v>0</v>
      </c>
      <c r="I613" s="37"/>
      <c r="J613" s="37">
        <v>1.9908136928108338</v>
      </c>
      <c r="K613" s="37">
        <f t="shared" si="76"/>
        <v>0</v>
      </c>
      <c r="L613" s="37">
        <f t="shared" si="73"/>
        <v>0</v>
      </c>
      <c r="M613" s="73">
        <v>0</v>
      </c>
    </row>
    <row r="614" spans="1:13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/>
      <c r="G614" s="221">
        <f t="shared" si="74"/>
        <v>0</v>
      </c>
      <c r="H614" s="37">
        <f t="shared" si="75"/>
        <v>0</v>
      </c>
      <c r="I614" s="37"/>
      <c r="J614" s="37">
        <v>1.1194080405822007</v>
      </c>
      <c r="K614" s="37">
        <f t="shared" si="76"/>
        <v>0</v>
      </c>
      <c r="L614" s="37">
        <f t="shared" si="73"/>
        <v>0</v>
      </c>
      <c r="M614" s="73">
        <v>0</v>
      </c>
    </row>
    <row r="615" spans="1:13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/>
      <c r="G615" s="221">
        <f t="shared" si="74"/>
        <v>0</v>
      </c>
      <c r="H615" s="37">
        <f t="shared" si="75"/>
        <v>0</v>
      </c>
      <c r="I615" s="37"/>
      <c r="J615" s="37">
        <v>3.6062265101001705</v>
      </c>
      <c r="K615" s="37">
        <f t="shared" si="76"/>
        <v>0</v>
      </c>
      <c r="L615" s="37">
        <f t="shared" si="73"/>
        <v>0</v>
      </c>
      <c r="M615" s="73">
        <v>0</v>
      </c>
    </row>
    <row r="616" spans="1:13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/>
      <c r="G616" s="221">
        <f t="shared" si="74"/>
        <v>0</v>
      </c>
      <c r="H616" s="37">
        <f t="shared" si="75"/>
        <v>0</v>
      </c>
      <c r="I616" s="37"/>
      <c r="J616" s="37">
        <v>3.3989916376403393</v>
      </c>
      <c r="K616" s="37">
        <f t="shared" ref="K616:K633" si="77">G616*560.71</f>
        <v>0</v>
      </c>
      <c r="L616" s="37">
        <f t="shared" si="73"/>
        <v>0</v>
      </c>
      <c r="M616" s="73">
        <v>0</v>
      </c>
    </row>
    <row r="617" spans="1:13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/>
      <c r="G617" s="221">
        <f t="shared" si="74"/>
        <v>0</v>
      </c>
      <c r="H617" s="37">
        <f t="shared" si="75"/>
        <v>0</v>
      </c>
      <c r="I617" s="37"/>
      <c r="J617" s="37">
        <v>1.3436293779977555</v>
      </c>
      <c r="K617" s="37">
        <f t="shared" si="77"/>
        <v>0</v>
      </c>
      <c r="L617" s="37">
        <f t="shared" si="73"/>
        <v>0</v>
      </c>
      <c r="M617" s="73">
        <v>0</v>
      </c>
    </row>
    <row r="618" spans="1:13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>C618+D618+E618</f>
        <v>3257.2000000000003</v>
      </c>
      <c r="G618" s="221">
        <f t="shared" si="74"/>
        <v>5.2498652961156453E-2</v>
      </c>
      <c r="H618" s="37">
        <f t="shared" si="75"/>
        <v>119.12626839374894</v>
      </c>
      <c r="I618" s="37">
        <f>H618*0.3677</f>
        <v>43.802728888381488</v>
      </c>
      <c r="J618" s="37">
        <v>55.328313653783674</v>
      </c>
      <c r="K618" s="37">
        <f t="shared" si="77"/>
        <v>29.436519701850038</v>
      </c>
      <c r="L618" s="37">
        <f t="shared" si="73"/>
        <v>35.883117516555203</v>
      </c>
      <c r="M618" s="73">
        <f>(K618+J618+I618+H618)/F618</f>
        <v>7.604501738848217E-2</v>
      </c>
    </row>
    <row r="619" spans="1:13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>C619+D619+E619</f>
        <v>4789.17</v>
      </c>
      <c r="G619" s="221">
        <f t="shared" si="74"/>
        <v>7.7190523701946956E-2</v>
      </c>
      <c r="H619" s="37">
        <f t="shared" si="75"/>
        <v>175.1553330477989</v>
      </c>
      <c r="I619" s="37">
        <f>H619*0.3677</f>
        <v>64.40461596167566</v>
      </c>
      <c r="J619" s="37">
        <v>81.351068372003908</v>
      </c>
      <c r="K619" s="37">
        <f t="shared" si="77"/>
        <v>43.281498544918684</v>
      </c>
      <c r="L619" s="37">
        <f t="shared" si="73"/>
        <v>52.760146726255876</v>
      </c>
      <c r="M619" s="73">
        <f>(K619+J619+I619+H619)/F619</f>
        <v>7.604501738848217E-2</v>
      </c>
    </row>
    <row r="620" spans="1:13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>C620+D620+E620</f>
        <v>6316.36</v>
      </c>
      <c r="G620" s="221">
        <f t="shared" si="74"/>
        <v>0.1018053517185712</v>
      </c>
      <c r="H620" s="37">
        <f t="shared" si="75"/>
        <v>231.00957774516149</v>
      </c>
      <c r="I620" s="37">
        <f>H620*0.3677</f>
        <v>84.942221736895888</v>
      </c>
      <c r="J620" s="37">
        <v>107.2926277877358</v>
      </c>
      <c r="K620" s="37">
        <f t="shared" si="77"/>
        <v>57.083278762120067</v>
      </c>
      <c r="L620" s="37">
        <f t="shared" si="73"/>
        <v>69.584516811024372</v>
      </c>
      <c r="M620" s="73">
        <f>(K620+J620+I620+H620)/F620</f>
        <v>7.604501738848217E-2</v>
      </c>
    </row>
    <row r="621" spans="1:13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>C621+D621+E621</f>
        <v>4812.1099999999997</v>
      </c>
      <c r="G621" s="221">
        <f t="shared" si="74"/>
        <v>7.7560264307046087E-2</v>
      </c>
      <c r="H621" s="37">
        <f t="shared" si="75"/>
        <v>175.99432254704749</v>
      </c>
      <c r="I621" s="37">
        <f>H621*0.3677</f>
        <v>64.713112400549363</v>
      </c>
      <c r="J621" s="37">
        <v>81.740737878088225</v>
      </c>
      <c r="K621" s="37">
        <f t="shared" si="77"/>
        <v>43.488815799603813</v>
      </c>
      <c r="L621" s="37">
        <f t="shared" si="73"/>
        <v>53.012866459717053</v>
      </c>
      <c r="M621" s="73">
        <f>(K621+J621+I621+H621)/F621</f>
        <v>7.604501738848217E-2</v>
      </c>
    </row>
    <row r="622" spans="1:13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>C622+D622+E622</f>
        <v>11145.01</v>
      </c>
      <c r="G622" s="221">
        <f t="shared" si="74"/>
        <v>0.1796322031925022</v>
      </c>
      <c r="H622" s="37">
        <f t="shared" si="75"/>
        <v>407.60882123020252</v>
      </c>
      <c r="I622" s="37">
        <f>H622*0.3677</f>
        <v>149.87776356634546</v>
      </c>
      <c r="J622" s="37">
        <v>189.31432179619171</v>
      </c>
      <c r="K622" s="37">
        <f t="shared" si="77"/>
        <v>100.72157265206792</v>
      </c>
      <c r="L622" s="37">
        <f t="shared" si="73"/>
        <v>122.77959706287081</v>
      </c>
      <c r="M622" s="73">
        <f>(K622+J622+I622+H622)/F622</f>
        <v>7.6045017388482156E-2</v>
      </c>
    </row>
    <row r="623" spans="1:13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/>
      <c r="G623" s="221">
        <f t="shared" si="74"/>
        <v>0</v>
      </c>
      <c r="H623" s="37">
        <f t="shared" si="75"/>
        <v>0</v>
      </c>
      <c r="I623" s="37"/>
      <c r="J623" s="37"/>
      <c r="K623" s="37">
        <f t="shared" si="77"/>
        <v>0</v>
      </c>
      <c r="L623" s="37">
        <f t="shared" si="73"/>
        <v>0</v>
      </c>
      <c r="M623" s="73">
        <v>0</v>
      </c>
    </row>
    <row r="624" spans="1:13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/>
      <c r="G624" s="221">
        <f t="shared" si="74"/>
        <v>0</v>
      </c>
      <c r="H624" s="37">
        <f t="shared" si="75"/>
        <v>0</v>
      </c>
      <c r="I624" s="37"/>
      <c r="J624" s="37">
        <v>3.8712153634094624</v>
      </c>
      <c r="K624" s="37">
        <f t="shared" si="77"/>
        <v>0</v>
      </c>
      <c r="L624" s="37">
        <f t="shared" si="73"/>
        <v>0</v>
      </c>
      <c r="M624" s="73">
        <v>0</v>
      </c>
    </row>
    <row r="625" spans="1:13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/>
      <c r="G625" s="221">
        <f t="shared" si="74"/>
        <v>0</v>
      </c>
      <c r="H625" s="37">
        <f t="shared" si="75"/>
        <v>0</v>
      </c>
      <c r="I625" s="37"/>
      <c r="J625" s="37">
        <v>6.3631297724141493</v>
      </c>
      <c r="K625" s="37">
        <f t="shared" si="77"/>
        <v>0</v>
      </c>
      <c r="L625" s="37">
        <f t="shared" si="73"/>
        <v>0</v>
      </c>
      <c r="M625" s="73">
        <v>0</v>
      </c>
    </row>
    <row r="626" spans="1:13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/>
      <c r="G626" s="221">
        <f t="shared" si="74"/>
        <v>0</v>
      </c>
      <c r="H626" s="37">
        <f t="shared" si="75"/>
        <v>0</v>
      </c>
      <c r="I626" s="37"/>
      <c r="J626" s="37">
        <v>12.542805723306479</v>
      </c>
      <c r="K626" s="37">
        <f t="shared" si="77"/>
        <v>0</v>
      </c>
      <c r="L626" s="37">
        <f t="shared" si="73"/>
        <v>0</v>
      </c>
      <c r="M626" s="73">
        <v>0</v>
      </c>
    </row>
    <row r="627" spans="1:13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/>
      <c r="G627" s="221">
        <f t="shared" si="74"/>
        <v>0</v>
      </c>
      <c r="H627" s="37">
        <f t="shared" si="75"/>
        <v>0</v>
      </c>
      <c r="I627" s="37"/>
      <c r="J627" s="37">
        <v>7.5131134499166521</v>
      </c>
      <c r="K627" s="37">
        <f t="shared" si="77"/>
        <v>0</v>
      </c>
      <c r="L627" s="37">
        <f t="shared" si="73"/>
        <v>0</v>
      </c>
      <c r="M627" s="73">
        <v>0</v>
      </c>
    </row>
    <row r="628" spans="1:13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/>
      <c r="G628" s="221">
        <f t="shared" si="74"/>
        <v>0</v>
      </c>
      <c r="H628" s="37">
        <f t="shared" si="75"/>
        <v>0</v>
      </c>
      <c r="I628" s="37"/>
      <c r="J628" s="37">
        <v>17.723677534802249</v>
      </c>
      <c r="K628" s="37">
        <f t="shared" si="77"/>
        <v>0</v>
      </c>
      <c r="L628" s="37">
        <f t="shared" si="73"/>
        <v>0</v>
      </c>
      <c r="M628" s="73">
        <v>0</v>
      </c>
    </row>
    <row r="629" spans="1:13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/>
      <c r="G629" s="221">
        <f t="shared" si="74"/>
        <v>0</v>
      </c>
      <c r="H629" s="37">
        <f t="shared" si="75"/>
        <v>0</v>
      </c>
      <c r="I629" s="37"/>
      <c r="J629" s="37">
        <v>8.0447898030308078</v>
      </c>
      <c r="K629" s="37">
        <f t="shared" si="77"/>
        <v>0</v>
      </c>
      <c r="L629" s="37">
        <f t="shared" si="73"/>
        <v>0</v>
      </c>
      <c r="M629" s="73">
        <v>0</v>
      </c>
    </row>
    <row r="630" spans="1:13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/>
      <c r="G630" s="221">
        <f t="shared" si="74"/>
        <v>0</v>
      </c>
      <c r="H630" s="37">
        <f t="shared" si="75"/>
        <v>0</v>
      </c>
      <c r="I630" s="37"/>
      <c r="J630" s="37">
        <v>5.8637277027158676</v>
      </c>
      <c r="K630" s="37">
        <f t="shared" si="77"/>
        <v>0</v>
      </c>
      <c r="L630" s="37">
        <f t="shared" si="73"/>
        <v>0</v>
      </c>
      <c r="M630" s="73">
        <v>0</v>
      </c>
    </row>
    <row r="631" spans="1:13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/>
      <c r="G631" s="221">
        <f t="shared" si="74"/>
        <v>0</v>
      </c>
      <c r="H631" s="37">
        <f t="shared" si="75"/>
        <v>0</v>
      </c>
      <c r="I631" s="37"/>
      <c r="J631" s="37">
        <v>14.691593540205545</v>
      </c>
      <c r="K631" s="37">
        <f t="shared" si="77"/>
        <v>0</v>
      </c>
      <c r="L631" s="37">
        <f t="shared" si="73"/>
        <v>0</v>
      </c>
      <c r="M631" s="73">
        <v>0</v>
      </c>
    </row>
    <row r="632" spans="1:13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/>
      <c r="G632" s="221">
        <f t="shared" si="74"/>
        <v>0</v>
      </c>
      <c r="H632" s="37">
        <f t="shared" si="75"/>
        <v>0</v>
      </c>
      <c r="I632" s="37"/>
      <c r="J632" s="37">
        <v>18.972182709047953</v>
      </c>
      <c r="K632" s="37">
        <f t="shared" si="77"/>
        <v>0</v>
      </c>
      <c r="L632" s="37">
        <f t="shared" si="73"/>
        <v>0</v>
      </c>
      <c r="M632" s="73">
        <v>0</v>
      </c>
    </row>
    <row r="633" spans="1:13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/>
      <c r="G633" s="221">
        <f t="shared" si="74"/>
        <v>0</v>
      </c>
      <c r="H633" s="37">
        <f t="shared" si="75"/>
        <v>0</v>
      </c>
      <c r="I633" s="37"/>
      <c r="J633" s="37">
        <v>8.598548560587405</v>
      </c>
      <c r="K633" s="37">
        <f t="shared" si="77"/>
        <v>0</v>
      </c>
      <c r="L633" s="37">
        <f t="shared" si="73"/>
        <v>0</v>
      </c>
      <c r="M633" s="73">
        <v>0</v>
      </c>
    </row>
    <row r="634" spans="1:13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/>
      <c r="G634" s="221">
        <f t="shared" si="74"/>
        <v>0</v>
      </c>
      <c r="H634" s="37">
        <f t="shared" si="75"/>
        <v>0</v>
      </c>
      <c r="I634" s="37"/>
      <c r="J634" s="37">
        <v>6.2764988011399572</v>
      </c>
      <c r="K634" s="37">
        <f t="shared" si="76"/>
        <v>0</v>
      </c>
      <c r="L634" s="37">
        <f t="shared" si="73"/>
        <v>0</v>
      </c>
      <c r="M634" s="73">
        <v>0</v>
      </c>
    </row>
    <row r="635" spans="1:13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/>
      <c r="G635" s="221">
        <f t="shared" si="74"/>
        <v>0</v>
      </c>
      <c r="H635" s="37">
        <f t="shared" si="75"/>
        <v>0</v>
      </c>
      <c r="I635" s="37"/>
      <c r="J635" s="37">
        <v>8.6647957739147294</v>
      </c>
      <c r="K635" s="37">
        <f t="shared" si="76"/>
        <v>0</v>
      </c>
      <c r="L635" s="37">
        <f t="shared" si="73"/>
        <v>0</v>
      </c>
      <c r="M635" s="73">
        <v>0</v>
      </c>
    </row>
    <row r="636" spans="1:13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/>
      <c r="G636" s="221">
        <f t="shared" si="74"/>
        <v>0</v>
      </c>
      <c r="H636" s="37">
        <f t="shared" si="75"/>
        <v>0</v>
      </c>
      <c r="I636" s="37"/>
      <c r="J636" s="37">
        <v>5.299777066185837</v>
      </c>
      <c r="K636" s="37">
        <f t="shared" si="76"/>
        <v>0</v>
      </c>
      <c r="L636" s="37">
        <f t="shared" si="73"/>
        <v>0</v>
      </c>
      <c r="M636" s="73">
        <v>0</v>
      </c>
    </row>
    <row r="637" spans="1:13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/>
      <c r="G637" s="221">
        <f t="shared" si="74"/>
        <v>0</v>
      </c>
      <c r="H637" s="37">
        <f t="shared" si="75"/>
        <v>0</v>
      </c>
      <c r="I637" s="37"/>
      <c r="J637" s="37">
        <v>8.2927921913843772</v>
      </c>
      <c r="K637" s="37">
        <f t="shared" si="76"/>
        <v>0</v>
      </c>
      <c r="L637" s="37">
        <f t="shared" si="73"/>
        <v>0</v>
      </c>
      <c r="M637" s="73">
        <v>0</v>
      </c>
    </row>
    <row r="638" spans="1:13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/>
      <c r="G638" s="221">
        <f t="shared" si="74"/>
        <v>0</v>
      </c>
      <c r="H638" s="37">
        <f t="shared" si="75"/>
        <v>0</v>
      </c>
      <c r="I638" s="37"/>
      <c r="J638" s="37">
        <v>3.7998722105954221</v>
      </c>
      <c r="K638" s="37">
        <f t="shared" si="76"/>
        <v>0</v>
      </c>
      <c r="L638" s="37">
        <f t="shared" si="73"/>
        <v>0</v>
      </c>
      <c r="M638" s="73">
        <v>0</v>
      </c>
    </row>
    <row r="639" spans="1:13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/>
      <c r="G639" s="221">
        <f t="shared" si="74"/>
        <v>0</v>
      </c>
      <c r="H639" s="37">
        <f t="shared" si="75"/>
        <v>0</v>
      </c>
      <c r="I639" s="37"/>
      <c r="J639" s="37">
        <v>6.5992416352987098</v>
      </c>
      <c r="K639" s="37">
        <f t="shared" si="76"/>
        <v>0</v>
      </c>
      <c r="L639" s="37">
        <f t="shared" si="73"/>
        <v>0</v>
      </c>
      <c r="M639" s="73">
        <v>0</v>
      </c>
    </row>
    <row r="640" spans="1:13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/>
      <c r="G640" s="221">
        <f t="shared" si="74"/>
        <v>0</v>
      </c>
      <c r="H640" s="37">
        <f t="shared" si="75"/>
        <v>0</v>
      </c>
      <c r="I640" s="37"/>
      <c r="J640" s="37">
        <v>8.9742891654080168</v>
      </c>
      <c r="K640" s="37">
        <f t="shared" si="76"/>
        <v>0</v>
      </c>
      <c r="L640" s="37">
        <f t="shared" si="73"/>
        <v>0</v>
      </c>
      <c r="M640" s="73">
        <v>0</v>
      </c>
    </row>
    <row r="641" spans="1:13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/>
      <c r="G641" s="221">
        <f t="shared" si="74"/>
        <v>0</v>
      </c>
      <c r="H641" s="37">
        <f t="shared" si="75"/>
        <v>0</v>
      </c>
      <c r="I641" s="37"/>
      <c r="J641" s="37">
        <v>4.4533415174421185</v>
      </c>
      <c r="K641" s="37">
        <f t="shared" si="76"/>
        <v>0</v>
      </c>
      <c r="L641" s="37">
        <f t="shared" si="73"/>
        <v>0</v>
      </c>
      <c r="M641" s="73">
        <v>0</v>
      </c>
    </row>
    <row r="642" spans="1:13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/>
      <c r="G642" s="221">
        <f t="shared" si="74"/>
        <v>0</v>
      </c>
      <c r="H642" s="37">
        <f t="shared" si="75"/>
        <v>0</v>
      </c>
      <c r="I642" s="37"/>
      <c r="J642" s="37">
        <v>8.719152461773044</v>
      </c>
      <c r="K642" s="37">
        <f t="shared" si="76"/>
        <v>0</v>
      </c>
      <c r="L642" s="37">
        <f t="shared" si="73"/>
        <v>0</v>
      </c>
      <c r="M642" s="73">
        <v>0</v>
      </c>
    </row>
    <row r="643" spans="1:13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/>
      <c r="G643" s="221">
        <f t="shared" si="74"/>
        <v>0</v>
      </c>
      <c r="H643" s="37">
        <f t="shared" si="75"/>
        <v>0</v>
      </c>
      <c r="I643" s="37"/>
      <c r="J643" s="37">
        <v>9.8130808049216594</v>
      </c>
      <c r="K643" s="37">
        <f t="shared" si="76"/>
        <v>0</v>
      </c>
      <c r="L643" s="37">
        <f t="shared" ref="L643:L706" si="78">K643*1.219</f>
        <v>0</v>
      </c>
      <c r="M643" s="73">
        <v>0</v>
      </c>
    </row>
    <row r="644" spans="1:13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/>
      <c r="G644" s="221">
        <f t="shared" si="74"/>
        <v>0</v>
      </c>
      <c r="H644" s="37">
        <f t="shared" si="75"/>
        <v>0</v>
      </c>
      <c r="I644" s="37"/>
      <c r="J644" s="37">
        <v>7.3449474468549854</v>
      </c>
      <c r="K644" s="37">
        <f t="shared" si="76"/>
        <v>0</v>
      </c>
      <c r="L644" s="37">
        <f t="shared" si="78"/>
        <v>0</v>
      </c>
      <c r="M644" s="73">
        <v>0</v>
      </c>
    </row>
    <row r="645" spans="1:13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/>
      <c r="G645" s="221">
        <f t="shared" si="74"/>
        <v>0</v>
      </c>
      <c r="H645" s="37">
        <f t="shared" si="75"/>
        <v>0</v>
      </c>
      <c r="I645" s="37"/>
      <c r="J645" s="37">
        <v>8.3046827168533834</v>
      </c>
      <c r="K645" s="37">
        <f t="shared" si="76"/>
        <v>0</v>
      </c>
      <c r="L645" s="37">
        <f t="shared" si="78"/>
        <v>0</v>
      </c>
      <c r="M645" s="73">
        <v>0</v>
      </c>
    </row>
    <row r="646" spans="1:13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/>
      <c r="G646" s="221">
        <f t="shared" si="74"/>
        <v>0</v>
      </c>
      <c r="H646" s="37">
        <f t="shared" si="75"/>
        <v>0</v>
      </c>
      <c r="I646" s="37"/>
      <c r="J646" s="37">
        <v>9.1743897225864455</v>
      </c>
      <c r="K646" s="37">
        <f t="shared" si="76"/>
        <v>0</v>
      </c>
      <c r="L646" s="37">
        <f t="shared" si="78"/>
        <v>0</v>
      </c>
      <c r="M646" s="73">
        <v>0</v>
      </c>
    </row>
    <row r="647" spans="1:13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/>
      <c r="G647" s="221">
        <f t="shared" si="74"/>
        <v>0</v>
      </c>
      <c r="H647" s="37">
        <f t="shared" si="75"/>
        <v>0</v>
      </c>
      <c r="I647" s="37"/>
      <c r="J647" s="37">
        <v>4.0223949015154039</v>
      </c>
      <c r="K647" s="37">
        <f t="shared" si="76"/>
        <v>0</v>
      </c>
      <c r="L647" s="37">
        <f t="shared" si="78"/>
        <v>0</v>
      </c>
      <c r="M647" s="73">
        <v>0</v>
      </c>
    </row>
    <row r="648" spans="1:13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/>
      <c r="G648" s="221">
        <f t="shared" si="74"/>
        <v>0</v>
      </c>
      <c r="H648" s="37">
        <f t="shared" si="75"/>
        <v>0</v>
      </c>
      <c r="I648" s="37"/>
      <c r="J648" s="37">
        <v>6.3784175908743004</v>
      </c>
      <c r="K648" s="37">
        <f t="shared" si="76"/>
        <v>0</v>
      </c>
      <c r="L648" s="37">
        <f t="shared" si="78"/>
        <v>0</v>
      </c>
      <c r="M648" s="73">
        <v>0</v>
      </c>
    </row>
    <row r="649" spans="1:13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/>
      <c r="G649" s="221">
        <f t="shared" si="74"/>
        <v>0</v>
      </c>
      <c r="H649" s="37">
        <f t="shared" si="75"/>
        <v>0</v>
      </c>
      <c r="I649" s="37"/>
      <c r="J649" s="37">
        <v>10.506808033713421</v>
      </c>
      <c r="K649" s="37">
        <f t="shared" si="76"/>
        <v>0</v>
      </c>
      <c r="L649" s="37">
        <f t="shared" si="78"/>
        <v>0</v>
      </c>
      <c r="M649" s="73">
        <v>0</v>
      </c>
    </row>
    <row r="650" spans="1:13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/>
      <c r="G650" s="221">
        <f t="shared" si="74"/>
        <v>0</v>
      </c>
      <c r="H650" s="37">
        <f t="shared" si="75"/>
        <v>0</v>
      </c>
      <c r="I650" s="37"/>
      <c r="J650" s="37">
        <v>8.043091156535235</v>
      </c>
      <c r="K650" s="37">
        <f t="shared" si="76"/>
        <v>0</v>
      </c>
      <c r="L650" s="37">
        <f t="shared" si="78"/>
        <v>0</v>
      </c>
      <c r="M650" s="73">
        <v>0</v>
      </c>
    </row>
    <row r="651" spans="1:13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/>
      <c r="G651" s="221">
        <f t="shared" si="74"/>
        <v>0</v>
      </c>
      <c r="H651" s="37">
        <f t="shared" si="75"/>
        <v>0</v>
      </c>
      <c r="I651" s="37"/>
      <c r="J651" s="37">
        <v>4.786785824522978</v>
      </c>
      <c r="K651" s="37">
        <f t="shared" si="76"/>
        <v>0</v>
      </c>
      <c r="L651" s="37">
        <f t="shared" si="78"/>
        <v>0</v>
      </c>
      <c r="M651" s="73">
        <v>0</v>
      </c>
    </row>
    <row r="652" spans="1:13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/>
      <c r="G652" s="221">
        <f t="shared" si="74"/>
        <v>0</v>
      </c>
      <c r="H652" s="37">
        <f t="shared" si="75"/>
        <v>0</v>
      </c>
      <c r="I652" s="37"/>
      <c r="J652" s="37">
        <v>5.0262949803986823</v>
      </c>
      <c r="K652" s="37">
        <f t="shared" si="76"/>
        <v>0</v>
      </c>
      <c r="L652" s="37">
        <f t="shared" si="78"/>
        <v>0</v>
      </c>
      <c r="M652" s="73">
        <v>0</v>
      </c>
    </row>
    <row r="653" spans="1:13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/>
      <c r="G653" s="221">
        <f t="shared" si="74"/>
        <v>0</v>
      </c>
      <c r="H653" s="37">
        <f t="shared" si="75"/>
        <v>0</v>
      </c>
      <c r="I653" s="37"/>
      <c r="J653" s="37">
        <v>5.8790155211760204</v>
      </c>
      <c r="K653" s="37">
        <f t="shared" si="76"/>
        <v>0</v>
      </c>
      <c r="L653" s="37">
        <f t="shared" si="78"/>
        <v>0</v>
      </c>
      <c r="M653" s="73">
        <v>0</v>
      </c>
    </row>
    <row r="654" spans="1:13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/>
      <c r="G654" s="221">
        <f t="shared" si="74"/>
        <v>0</v>
      </c>
      <c r="H654" s="37">
        <f t="shared" si="75"/>
        <v>0</v>
      </c>
      <c r="I654" s="37"/>
      <c r="J654" s="37">
        <v>11.302793781538638</v>
      </c>
      <c r="K654" s="37">
        <f t="shared" si="76"/>
        <v>0</v>
      </c>
      <c r="L654" s="37">
        <f t="shared" si="78"/>
        <v>0</v>
      </c>
      <c r="M654" s="73">
        <v>0</v>
      </c>
    </row>
    <row r="655" spans="1:13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/>
      <c r="G655" s="221">
        <f t="shared" si="74"/>
        <v>0</v>
      </c>
      <c r="H655" s="37">
        <f t="shared" si="75"/>
        <v>0</v>
      </c>
      <c r="I655" s="37"/>
      <c r="J655" s="37">
        <v>7.0580460537528111</v>
      </c>
      <c r="K655" s="37">
        <f t="shared" si="76"/>
        <v>0</v>
      </c>
      <c r="L655" s="37">
        <f t="shared" si="78"/>
        <v>0</v>
      </c>
      <c r="M655" s="73">
        <v>0</v>
      </c>
    </row>
    <row r="656" spans="1:13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/>
      <c r="G656" s="221">
        <f t="shared" si="74"/>
        <v>0</v>
      </c>
      <c r="H656" s="37">
        <f t="shared" si="75"/>
        <v>0</v>
      </c>
      <c r="I656" s="37"/>
      <c r="J656" s="37">
        <v>28.109202208731805</v>
      </c>
      <c r="K656" s="37">
        <f t="shared" si="76"/>
        <v>0</v>
      </c>
      <c r="L656" s="37">
        <f t="shared" si="78"/>
        <v>0</v>
      </c>
      <c r="M656" s="73">
        <v>0</v>
      </c>
    </row>
    <row r="657" spans="1:13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>C657+D657+E657</f>
        <v>3220.9</v>
      </c>
      <c r="G657" s="221">
        <f t="shared" si="74"/>
        <v>5.1913579553785089E-2</v>
      </c>
      <c r="H657" s="37">
        <f t="shared" si="75"/>
        <v>117.79866077288037</v>
      </c>
      <c r="I657" s="37">
        <f>H657*0.3677</f>
        <v>43.314567566188117</v>
      </c>
      <c r="J657" s="37">
        <v>54.711704975890903</v>
      </c>
      <c r="K657" s="37">
        <f t="shared" ref="K657:K688" si="79">G657*560.71</f>
        <v>29.108463191602841</v>
      </c>
      <c r="L657" s="37">
        <f t="shared" si="78"/>
        <v>35.483216630563867</v>
      </c>
      <c r="M657" s="73">
        <f>(K657+J657+I657+H657)/F657</f>
        <v>7.604501738848217E-2</v>
      </c>
    </row>
    <row r="658" spans="1:13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>C658+D658+E658</f>
        <v>3593.47</v>
      </c>
      <c r="G658" s="221">
        <f t="shared" si="74"/>
        <v>5.7918560253078365E-2</v>
      </c>
      <c r="H658" s="37">
        <f t="shared" si="75"/>
        <v>131.42474262706773</v>
      </c>
      <c r="I658" s="37">
        <f>H658*0.3677</f>
        <v>48.324877863972809</v>
      </c>
      <c r="J658" s="37">
        <v>61.040352224444931</v>
      </c>
      <c r="K658" s="37">
        <f t="shared" si="79"/>
        <v>32.475515919503572</v>
      </c>
      <c r="L658" s="37">
        <f t="shared" si="78"/>
        <v>39.587653905874859</v>
      </c>
      <c r="M658" s="73">
        <f>(K658+J658+I658+H658)/F658</f>
        <v>7.604501738848217E-2</v>
      </c>
    </row>
    <row r="659" spans="1:13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>C659+D659+E659</f>
        <v>5258.9</v>
      </c>
      <c r="G659" s="221">
        <f t="shared" si="74"/>
        <v>8.4761502535130054E-2</v>
      </c>
      <c r="H659" s="37">
        <f t="shared" si="75"/>
        <v>192.33486824753967</v>
      </c>
      <c r="I659" s="37">
        <f>H659*0.3677</f>
        <v>70.721531054620343</v>
      </c>
      <c r="J659" s="37">
        <v>89.33012055565608</v>
      </c>
      <c r="K659" s="37">
        <f t="shared" si="79"/>
        <v>47.526622086472777</v>
      </c>
      <c r="L659" s="37">
        <f t="shared" si="78"/>
        <v>57.934952323410322</v>
      </c>
      <c r="M659" s="73">
        <f>(K659+J659+I659+H659)/F659</f>
        <v>7.6045017388482183E-2</v>
      </c>
    </row>
    <row r="660" spans="1:13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>C660+D660+E660</f>
        <v>3743.95</v>
      </c>
      <c r="G660" s="221">
        <f t="shared" si="74"/>
        <v>6.0343955469090528E-2</v>
      </c>
      <c r="H660" s="37">
        <f t="shared" si="75"/>
        <v>136.92827967357741</v>
      </c>
      <c r="I660" s="37">
        <f>H660*0.3677</f>
        <v>50.348528435974416</v>
      </c>
      <c r="J660" s="37">
        <v>63.596475470982249</v>
      </c>
      <c r="K660" s="37">
        <f t="shared" si="79"/>
        <v>33.835459271073752</v>
      </c>
      <c r="L660" s="37">
        <f t="shared" si="78"/>
        <v>41.245424851438905</v>
      </c>
      <c r="M660" s="73">
        <f>(K660+J660+I660+H660)/F660</f>
        <v>7.604501738848217E-2</v>
      </c>
    </row>
    <row r="661" spans="1:13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/>
      <c r="G661" s="221">
        <f t="shared" si="74"/>
        <v>0</v>
      </c>
      <c r="H661" s="37">
        <f t="shared" si="75"/>
        <v>0</v>
      </c>
      <c r="I661" s="37"/>
      <c r="J661" s="37">
        <v>54.111573169005183</v>
      </c>
      <c r="K661" s="37">
        <f t="shared" si="79"/>
        <v>0</v>
      </c>
      <c r="L661" s="37">
        <f t="shared" si="78"/>
        <v>0</v>
      </c>
      <c r="M661" s="73">
        <v>0</v>
      </c>
    </row>
    <row r="662" spans="1:13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/>
      <c r="G662" s="221">
        <f t="shared" si="74"/>
        <v>0</v>
      </c>
      <c r="H662" s="37">
        <f t="shared" si="75"/>
        <v>0</v>
      </c>
      <c r="I662" s="37"/>
      <c r="J662" s="37">
        <v>4.6356062864170351</v>
      </c>
      <c r="K662" s="37">
        <f t="shared" si="79"/>
        <v>0</v>
      </c>
      <c r="L662" s="37">
        <f t="shared" si="78"/>
        <v>0</v>
      </c>
      <c r="M662" s="73">
        <v>0</v>
      </c>
    </row>
    <row r="663" spans="1:13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/>
      <c r="G663" s="221">
        <f t="shared" si="74"/>
        <v>0</v>
      </c>
      <c r="H663" s="37">
        <f t="shared" si="75"/>
        <v>0</v>
      </c>
      <c r="I663" s="37"/>
      <c r="J663" s="37">
        <v>10.261523479752769</v>
      </c>
      <c r="K663" s="37">
        <f t="shared" si="79"/>
        <v>0</v>
      </c>
      <c r="L663" s="37">
        <f t="shared" si="78"/>
        <v>0</v>
      </c>
      <c r="M663" s="45"/>
    </row>
    <row r="664" spans="1:13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/>
      <c r="G664" s="221">
        <f t="shared" si="74"/>
        <v>0</v>
      </c>
      <c r="H664" s="37">
        <f t="shared" si="75"/>
        <v>0</v>
      </c>
      <c r="I664" s="37"/>
      <c r="J664" s="37">
        <v>7.8953089114204387</v>
      </c>
      <c r="K664" s="37">
        <f t="shared" si="79"/>
        <v>0</v>
      </c>
      <c r="L664" s="37">
        <f t="shared" si="78"/>
        <v>0</v>
      </c>
      <c r="M664" s="45"/>
    </row>
    <row r="665" spans="1:13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/>
      <c r="G665" s="221">
        <f t="shared" ref="G665:G728" si="80">3/186130.49*F665</f>
        <v>0</v>
      </c>
      <c r="H665" s="37">
        <f t="shared" ref="H665:H728" si="81">G665*2269.13</f>
        <v>0</v>
      </c>
      <c r="I665" s="37"/>
      <c r="J665" s="37">
        <v>1.4165013126578108</v>
      </c>
      <c r="K665" s="37">
        <f t="shared" si="79"/>
        <v>0</v>
      </c>
      <c r="L665" s="37">
        <f t="shared" si="78"/>
        <v>0</v>
      </c>
      <c r="M665" s="45"/>
    </row>
    <row r="666" spans="1:13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/>
      <c r="G666" s="221">
        <f t="shared" si="80"/>
        <v>0</v>
      </c>
      <c r="H666" s="37">
        <f t="shared" si="81"/>
        <v>0</v>
      </c>
      <c r="I666" s="37"/>
      <c r="J666" s="37">
        <v>8.3165732423223897</v>
      </c>
      <c r="K666" s="37">
        <f t="shared" si="79"/>
        <v>0</v>
      </c>
      <c r="L666" s="37">
        <f t="shared" si="78"/>
        <v>0</v>
      </c>
      <c r="M666" s="45"/>
    </row>
    <row r="667" spans="1:13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/>
      <c r="G667" s="221">
        <f t="shared" si="80"/>
        <v>0</v>
      </c>
      <c r="H667" s="37">
        <f t="shared" si="81"/>
        <v>0</v>
      </c>
      <c r="I667" s="37"/>
      <c r="J667" s="37">
        <v>2.172908597136193</v>
      </c>
      <c r="K667" s="37">
        <f t="shared" si="79"/>
        <v>0</v>
      </c>
      <c r="L667" s="37">
        <f t="shared" si="78"/>
        <v>0</v>
      </c>
      <c r="M667" s="45"/>
    </row>
    <row r="668" spans="1:13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/>
      <c r="G668" s="221">
        <f t="shared" si="80"/>
        <v>0</v>
      </c>
      <c r="H668" s="37">
        <f t="shared" si="81"/>
        <v>0</v>
      </c>
      <c r="I668" s="37"/>
      <c r="J668" s="37">
        <v>2.1929526257839473</v>
      </c>
      <c r="K668" s="37">
        <f t="shared" si="79"/>
        <v>0</v>
      </c>
      <c r="L668" s="37">
        <f t="shared" si="78"/>
        <v>0</v>
      </c>
      <c r="M668" s="45"/>
    </row>
    <row r="669" spans="1:13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/>
      <c r="G669" s="221">
        <f t="shared" si="80"/>
        <v>0</v>
      </c>
      <c r="H669" s="37">
        <f t="shared" si="81"/>
        <v>0</v>
      </c>
      <c r="I669" s="37"/>
      <c r="J669" s="37">
        <v>2.3169538199607316</v>
      </c>
      <c r="K669" s="37">
        <f t="shared" si="79"/>
        <v>0</v>
      </c>
      <c r="L669" s="37">
        <f t="shared" si="78"/>
        <v>0</v>
      </c>
      <c r="M669" s="45"/>
    </row>
    <row r="670" spans="1:13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/>
      <c r="G670" s="221">
        <f t="shared" si="80"/>
        <v>0</v>
      </c>
      <c r="H670" s="37">
        <f t="shared" si="81"/>
        <v>0</v>
      </c>
      <c r="I670" s="37"/>
      <c r="J670" s="37">
        <v>1.1584769099803658</v>
      </c>
      <c r="K670" s="37">
        <f t="shared" si="79"/>
        <v>0</v>
      </c>
      <c r="L670" s="37">
        <f t="shared" si="78"/>
        <v>0</v>
      </c>
      <c r="M670" s="45"/>
    </row>
    <row r="671" spans="1:13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/>
      <c r="G671" s="221">
        <f t="shared" si="80"/>
        <v>0</v>
      </c>
      <c r="H671" s="37">
        <f t="shared" si="81"/>
        <v>0</v>
      </c>
      <c r="I671" s="37"/>
      <c r="J671" s="37">
        <v>1.9891150463152611</v>
      </c>
      <c r="K671" s="37">
        <f t="shared" si="79"/>
        <v>0</v>
      </c>
      <c r="L671" s="37">
        <f t="shared" si="78"/>
        <v>0</v>
      </c>
      <c r="M671" s="45"/>
    </row>
    <row r="672" spans="1:13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/>
      <c r="G672" s="221">
        <f t="shared" si="80"/>
        <v>0</v>
      </c>
      <c r="H672" s="37">
        <f t="shared" si="81"/>
        <v>0</v>
      </c>
      <c r="I672" s="37"/>
      <c r="J672" s="37">
        <v>4.9457791365085528</v>
      </c>
      <c r="K672" s="37">
        <f t="shared" si="79"/>
        <v>0</v>
      </c>
      <c r="L672" s="37">
        <f t="shared" si="78"/>
        <v>0</v>
      </c>
      <c r="M672" s="45"/>
    </row>
    <row r="673" spans="1:13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/>
      <c r="G673" s="221">
        <f t="shared" si="80"/>
        <v>0</v>
      </c>
      <c r="H673" s="37">
        <f t="shared" si="81"/>
        <v>0</v>
      </c>
      <c r="I673" s="37"/>
      <c r="J673" s="37">
        <v>7.7322388478454904</v>
      </c>
      <c r="K673" s="37">
        <f t="shared" si="79"/>
        <v>0</v>
      </c>
      <c r="L673" s="37">
        <f t="shared" si="78"/>
        <v>0</v>
      </c>
      <c r="M673" s="45"/>
    </row>
    <row r="674" spans="1:13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/>
      <c r="G674" s="221">
        <f t="shared" si="80"/>
        <v>0</v>
      </c>
      <c r="H674" s="37">
        <f t="shared" si="81"/>
        <v>0</v>
      </c>
      <c r="I674" s="37"/>
      <c r="J674" s="37">
        <v>2.0383757946868601</v>
      </c>
      <c r="K674" s="37">
        <f t="shared" si="79"/>
        <v>0</v>
      </c>
      <c r="L674" s="37">
        <f t="shared" si="78"/>
        <v>0</v>
      </c>
      <c r="M674" s="45"/>
    </row>
    <row r="675" spans="1:13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/>
      <c r="G675" s="221">
        <f t="shared" si="80"/>
        <v>0</v>
      </c>
      <c r="H675" s="37">
        <f t="shared" si="81"/>
        <v>0</v>
      </c>
      <c r="I675" s="37"/>
      <c r="J675" s="37">
        <v>6.6383105046968751</v>
      </c>
      <c r="K675" s="37">
        <f t="shared" si="79"/>
        <v>0</v>
      </c>
      <c r="L675" s="37">
        <f t="shared" si="78"/>
        <v>0</v>
      </c>
      <c r="M675" s="45"/>
    </row>
    <row r="676" spans="1:13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/>
      <c r="G676" s="221">
        <f t="shared" si="80"/>
        <v>0</v>
      </c>
      <c r="H676" s="37">
        <f t="shared" si="81"/>
        <v>0</v>
      </c>
      <c r="I676" s="37"/>
      <c r="J676" s="37">
        <v>1.7852774668465752</v>
      </c>
      <c r="K676" s="37">
        <f t="shared" si="79"/>
        <v>0</v>
      </c>
      <c r="L676" s="37">
        <f t="shared" si="78"/>
        <v>0</v>
      </c>
      <c r="M676" s="45"/>
    </row>
    <row r="677" spans="1:13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/>
      <c r="G677" s="221">
        <f t="shared" si="80"/>
        <v>0</v>
      </c>
      <c r="H677" s="37">
        <f t="shared" si="81"/>
        <v>0</v>
      </c>
      <c r="I677" s="37"/>
      <c r="J677" s="37">
        <v>2.8622193450394664</v>
      </c>
      <c r="K677" s="37">
        <f t="shared" si="79"/>
        <v>0</v>
      </c>
      <c r="L677" s="37">
        <f t="shared" si="78"/>
        <v>0</v>
      </c>
      <c r="M677" s="45"/>
    </row>
    <row r="678" spans="1:13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/>
      <c r="G678" s="221">
        <f t="shared" si="80"/>
        <v>0</v>
      </c>
      <c r="H678" s="37">
        <f t="shared" si="81"/>
        <v>0</v>
      </c>
      <c r="I678" s="37"/>
      <c r="J678" s="37">
        <v>1.2451078812545571</v>
      </c>
      <c r="K678" s="37">
        <f t="shared" si="79"/>
        <v>0</v>
      </c>
      <c r="L678" s="37">
        <f t="shared" si="78"/>
        <v>0</v>
      </c>
      <c r="M678" s="45"/>
    </row>
    <row r="679" spans="1:13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/>
      <c r="G679" s="221">
        <f t="shared" si="80"/>
        <v>0</v>
      </c>
      <c r="H679" s="37">
        <f t="shared" si="81"/>
        <v>0</v>
      </c>
      <c r="I679" s="37"/>
      <c r="J679" s="37">
        <v>1.482918390634691</v>
      </c>
      <c r="K679" s="37">
        <f t="shared" si="79"/>
        <v>0</v>
      </c>
      <c r="L679" s="37">
        <f t="shared" si="78"/>
        <v>0</v>
      </c>
      <c r="M679" s="45"/>
    </row>
    <row r="680" spans="1:13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/>
      <c r="G680" s="221">
        <f t="shared" si="80"/>
        <v>0</v>
      </c>
      <c r="H680" s="37">
        <f t="shared" si="81"/>
        <v>0</v>
      </c>
      <c r="I680" s="37"/>
      <c r="J680" s="37">
        <v>3.8610234844360281</v>
      </c>
      <c r="K680" s="37">
        <f t="shared" si="79"/>
        <v>0</v>
      </c>
      <c r="L680" s="37">
        <f t="shared" si="78"/>
        <v>0</v>
      </c>
      <c r="M680" s="45"/>
    </row>
    <row r="681" spans="1:13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/>
      <c r="G681" s="221">
        <f t="shared" si="80"/>
        <v>0</v>
      </c>
      <c r="H681" s="37">
        <f t="shared" si="81"/>
        <v>0</v>
      </c>
      <c r="I681" s="37"/>
      <c r="J681" s="37">
        <v>0.90877587513122526</v>
      </c>
      <c r="K681" s="37">
        <f t="shared" si="79"/>
        <v>0</v>
      </c>
      <c r="L681" s="37">
        <f t="shared" si="78"/>
        <v>0</v>
      </c>
      <c r="M681" s="45"/>
    </row>
    <row r="682" spans="1:13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/>
      <c r="G682" s="221">
        <f t="shared" si="80"/>
        <v>0</v>
      </c>
      <c r="H682" s="37">
        <f t="shared" si="81"/>
        <v>0</v>
      </c>
      <c r="I682" s="37"/>
      <c r="J682" s="37">
        <v>31.455875534308511</v>
      </c>
      <c r="K682" s="37">
        <f t="shared" si="79"/>
        <v>0</v>
      </c>
      <c r="L682" s="37">
        <f t="shared" si="78"/>
        <v>0</v>
      </c>
      <c r="M682" s="45"/>
    </row>
    <row r="683" spans="1:13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/>
      <c r="G683" s="221">
        <f t="shared" si="80"/>
        <v>0</v>
      </c>
      <c r="H683" s="37">
        <f t="shared" si="81"/>
        <v>0</v>
      </c>
      <c r="I683" s="37"/>
      <c r="J683" s="37">
        <v>15.85261841992927</v>
      </c>
      <c r="K683" s="37">
        <f t="shared" si="79"/>
        <v>0</v>
      </c>
      <c r="L683" s="37">
        <f t="shared" si="78"/>
        <v>0</v>
      </c>
      <c r="M683" s="45"/>
    </row>
    <row r="684" spans="1:13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/>
      <c r="G684" s="221">
        <f t="shared" si="80"/>
        <v>0</v>
      </c>
      <c r="H684" s="37">
        <f t="shared" si="81"/>
        <v>0</v>
      </c>
      <c r="I684" s="37"/>
      <c r="J684" s="37">
        <v>19.678819651206066</v>
      </c>
      <c r="K684" s="37">
        <f t="shared" si="79"/>
        <v>0</v>
      </c>
      <c r="L684" s="37">
        <f t="shared" si="78"/>
        <v>0</v>
      </c>
      <c r="M684" s="45"/>
    </row>
    <row r="685" spans="1:13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>C685+D685+E685</f>
        <v>3775.6499999999996</v>
      </c>
      <c r="G685" s="221">
        <f t="shared" si="80"/>
        <v>6.0854887342745398E-2</v>
      </c>
      <c r="H685" s="37">
        <f t="shared" si="81"/>
        <v>138.08765051604388</v>
      </c>
      <c r="I685" s="37">
        <f>H685*0.3677</f>
        <v>50.774829094749336</v>
      </c>
      <c r="J685" s="37">
        <v>64.134946410078697</v>
      </c>
      <c r="K685" s="37">
        <f t="shared" si="79"/>
        <v>34.121943881950777</v>
      </c>
      <c r="L685" s="37">
        <f t="shared" si="78"/>
        <v>41.594649592098001</v>
      </c>
      <c r="M685" s="73">
        <f>(K685+J685+I685+H685)/F685</f>
        <v>7.6045017388482183E-2</v>
      </c>
    </row>
    <row r="686" spans="1:13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/>
      <c r="G686" s="221">
        <f t="shared" si="80"/>
        <v>0</v>
      </c>
      <c r="H686" s="37">
        <f t="shared" si="81"/>
        <v>0</v>
      </c>
      <c r="I686" s="37"/>
      <c r="J686" s="37">
        <v>1.3470266709889001</v>
      </c>
      <c r="K686" s="37">
        <f t="shared" si="79"/>
        <v>0</v>
      </c>
      <c r="L686" s="37">
        <f t="shared" si="78"/>
        <v>0</v>
      </c>
      <c r="M686" s="45"/>
    </row>
    <row r="687" spans="1:13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/>
      <c r="G687" s="221">
        <f t="shared" si="80"/>
        <v>0</v>
      </c>
      <c r="H687" s="37">
        <f t="shared" si="81"/>
        <v>0</v>
      </c>
      <c r="I687" s="37"/>
      <c r="J687" s="37">
        <v>6.4191851067680368</v>
      </c>
      <c r="K687" s="37">
        <f t="shared" si="79"/>
        <v>0</v>
      </c>
      <c r="L687" s="37">
        <f t="shared" si="78"/>
        <v>0</v>
      </c>
      <c r="M687" s="45"/>
    </row>
    <row r="688" spans="1:13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/>
      <c r="G688" s="221">
        <f t="shared" si="80"/>
        <v>0</v>
      </c>
      <c r="H688" s="37">
        <f t="shared" si="81"/>
        <v>0</v>
      </c>
      <c r="I688" s="37"/>
      <c r="J688" s="37">
        <v>1.4625346326878224</v>
      </c>
      <c r="K688" s="37">
        <f t="shared" si="79"/>
        <v>0</v>
      </c>
      <c r="L688" s="37">
        <f t="shared" si="78"/>
        <v>0</v>
      </c>
      <c r="M688" s="45"/>
    </row>
    <row r="689" spans="1:13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/>
      <c r="G689" s="221">
        <f t="shared" si="80"/>
        <v>0</v>
      </c>
      <c r="H689" s="37">
        <f t="shared" si="81"/>
        <v>0</v>
      </c>
      <c r="I689" s="37"/>
      <c r="J689" s="37">
        <v>1.0140919578567129</v>
      </c>
      <c r="K689" s="37">
        <f t="shared" ref="K689:K727" si="82">G689*560.71*1.08</f>
        <v>0</v>
      </c>
      <c r="L689" s="37">
        <f t="shared" si="78"/>
        <v>0</v>
      </c>
      <c r="M689" s="45"/>
    </row>
    <row r="690" spans="1:13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/>
      <c r="G690" s="221">
        <f t="shared" si="80"/>
        <v>0</v>
      </c>
      <c r="H690" s="37">
        <f t="shared" si="81"/>
        <v>0</v>
      </c>
      <c r="I690" s="37"/>
      <c r="J690" s="37">
        <v>1.1228053335733452</v>
      </c>
      <c r="K690" s="37">
        <f t="shared" si="82"/>
        <v>0</v>
      </c>
      <c r="L690" s="37">
        <f t="shared" si="78"/>
        <v>0</v>
      </c>
      <c r="M690" s="73">
        <v>0</v>
      </c>
    </row>
    <row r="691" spans="1:13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/>
      <c r="G691" s="221">
        <f t="shared" si="80"/>
        <v>0</v>
      </c>
      <c r="H691" s="37">
        <f t="shared" si="81"/>
        <v>0</v>
      </c>
      <c r="I691" s="37"/>
      <c r="J691" s="37">
        <v>1.8956894890587799</v>
      </c>
      <c r="K691" s="37">
        <f t="shared" si="82"/>
        <v>0</v>
      </c>
      <c r="L691" s="37">
        <f t="shared" si="78"/>
        <v>0</v>
      </c>
      <c r="M691" s="73">
        <v>0</v>
      </c>
    </row>
    <row r="692" spans="1:13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/>
      <c r="G692" s="221">
        <f t="shared" si="80"/>
        <v>0</v>
      </c>
      <c r="H692" s="37">
        <f t="shared" si="81"/>
        <v>0</v>
      </c>
      <c r="I692" s="37"/>
      <c r="J692" s="37">
        <v>2.0247866227222815</v>
      </c>
      <c r="K692" s="37">
        <f t="shared" si="82"/>
        <v>0</v>
      </c>
      <c r="L692" s="37">
        <f t="shared" si="78"/>
        <v>0</v>
      </c>
      <c r="M692" s="73">
        <v>0</v>
      </c>
    </row>
    <row r="693" spans="1:13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/>
      <c r="G693" s="221">
        <f t="shared" si="80"/>
        <v>0</v>
      </c>
      <c r="H693" s="37">
        <f t="shared" si="81"/>
        <v>0</v>
      </c>
      <c r="I693" s="37"/>
      <c r="J693" s="37">
        <v>2.3713105078190471</v>
      </c>
      <c r="K693" s="37">
        <f t="shared" si="82"/>
        <v>0</v>
      </c>
      <c r="L693" s="37">
        <f t="shared" si="78"/>
        <v>0</v>
      </c>
      <c r="M693" s="73">
        <v>0</v>
      </c>
    </row>
    <row r="694" spans="1:13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/>
      <c r="G694" s="221">
        <f t="shared" si="80"/>
        <v>0</v>
      </c>
      <c r="H694" s="37">
        <f t="shared" si="81"/>
        <v>0</v>
      </c>
      <c r="I694" s="37"/>
      <c r="J694" s="37">
        <v>1.129599919555635</v>
      </c>
      <c r="K694" s="37">
        <f t="shared" si="82"/>
        <v>0</v>
      </c>
      <c r="L694" s="37">
        <f t="shared" si="78"/>
        <v>0</v>
      </c>
      <c r="M694" s="73">
        <v>0</v>
      </c>
    </row>
    <row r="695" spans="1:13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/>
      <c r="G695" s="221">
        <f t="shared" si="80"/>
        <v>0</v>
      </c>
      <c r="H695" s="37">
        <f t="shared" si="81"/>
        <v>0</v>
      </c>
      <c r="I695" s="37"/>
      <c r="J695" s="37">
        <v>1.1380931520334971</v>
      </c>
      <c r="K695" s="37">
        <f t="shared" si="82"/>
        <v>0</v>
      </c>
      <c r="L695" s="37">
        <f t="shared" si="78"/>
        <v>0</v>
      </c>
      <c r="M695" s="73">
        <v>0</v>
      </c>
    </row>
    <row r="696" spans="1:13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/>
      <c r="G696" s="221">
        <f t="shared" si="80"/>
        <v>0</v>
      </c>
      <c r="H696" s="37">
        <f t="shared" si="81"/>
        <v>0</v>
      </c>
      <c r="I696" s="37"/>
      <c r="J696" s="37">
        <v>3.6045278636045981</v>
      </c>
      <c r="K696" s="37">
        <f t="shared" si="82"/>
        <v>0</v>
      </c>
      <c r="L696" s="37">
        <f t="shared" si="78"/>
        <v>0</v>
      </c>
      <c r="M696" s="73">
        <v>0</v>
      </c>
    </row>
    <row r="697" spans="1:13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/>
      <c r="G697" s="221">
        <f t="shared" si="80"/>
        <v>0</v>
      </c>
      <c r="H697" s="37">
        <f t="shared" si="81"/>
        <v>0</v>
      </c>
      <c r="I697" s="37"/>
      <c r="J697" s="37">
        <v>0.70663694215811157</v>
      </c>
      <c r="K697" s="37">
        <f t="shared" si="82"/>
        <v>0</v>
      </c>
      <c r="L697" s="37">
        <f t="shared" si="78"/>
        <v>0</v>
      </c>
      <c r="M697" s="73">
        <v>0</v>
      </c>
    </row>
    <row r="698" spans="1:13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/>
      <c r="G698" s="221">
        <f t="shared" si="80"/>
        <v>0</v>
      </c>
      <c r="H698" s="37">
        <f t="shared" si="81"/>
        <v>0</v>
      </c>
      <c r="I698" s="37"/>
      <c r="J698" s="37">
        <v>7.9292818413318864</v>
      </c>
      <c r="K698" s="37">
        <f t="shared" si="82"/>
        <v>0</v>
      </c>
      <c r="L698" s="37">
        <f t="shared" si="78"/>
        <v>0</v>
      </c>
      <c r="M698" s="73">
        <v>0</v>
      </c>
    </row>
    <row r="699" spans="1:13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/>
      <c r="G699" s="221">
        <f t="shared" si="80"/>
        <v>0</v>
      </c>
      <c r="H699" s="37">
        <f t="shared" si="81"/>
        <v>0</v>
      </c>
      <c r="I699" s="37"/>
      <c r="J699" s="37">
        <v>11.573897762231994</v>
      </c>
      <c r="K699" s="37">
        <f t="shared" si="82"/>
        <v>0</v>
      </c>
      <c r="L699" s="37">
        <f t="shared" si="78"/>
        <v>0</v>
      </c>
      <c r="M699" s="73">
        <v>0</v>
      </c>
    </row>
    <row r="700" spans="1:13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/>
      <c r="G700" s="221">
        <f t="shared" si="80"/>
        <v>0</v>
      </c>
      <c r="H700" s="37">
        <f t="shared" si="81"/>
        <v>0</v>
      </c>
      <c r="I700" s="37"/>
      <c r="J700" s="37">
        <v>0.98861226042312733</v>
      </c>
      <c r="K700" s="37">
        <f t="shared" si="82"/>
        <v>0</v>
      </c>
      <c r="L700" s="37">
        <f t="shared" si="78"/>
        <v>0</v>
      </c>
      <c r="M700" s="73">
        <v>0</v>
      </c>
    </row>
    <row r="701" spans="1:13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/>
      <c r="G701" s="221">
        <f t="shared" si="80"/>
        <v>0</v>
      </c>
      <c r="H701" s="37">
        <f t="shared" si="81"/>
        <v>0</v>
      </c>
      <c r="I701" s="37"/>
      <c r="J701" s="37">
        <v>8.5645756306759573</v>
      </c>
      <c r="K701" s="37">
        <f t="shared" si="82"/>
        <v>0</v>
      </c>
      <c r="L701" s="37">
        <f t="shared" si="78"/>
        <v>0</v>
      </c>
      <c r="M701" s="73">
        <v>0</v>
      </c>
    </row>
    <row r="702" spans="1:13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/>
      <c r="G702" s="221">
        <f t="shared" si="80"/>
        <v>0</v>
      </c>
      <c r="H702" s="37">
        <f t="shared" si="81"/>
        <v>0</v>
      </c>
      <c r="I702" s="37"/>
      <c r="J702" s="37">
        <v>2.8299450616235906</v>
      </c>
      <c r="K702" s="37">
        <f t="shared" si="82"/>
        <v>0</v>
      </c>
      <c r="L702" s="37">
        <f t="shared" si="78"/>
        <v>0</v>
      </c>
      <c r="M702" s="73">
        <v>0</v>
      </c>
    </row>
    <row r="703" spans="1:13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/>
      <c r="G703" s="221">
        <f t="shared" si="80"/>
        <v>0</v>
      </c>
      <c r="H703" s="37">
        <f t="shared" si="81"/>
        <v>0</v>
      </c>
      <c r="I703" s="37"/>
      <c r="J703" s="37">
        <v>0.64208837532636087</v>
      </c>
      <c r="K703" s="37">
        <f t="shared" si="82"/>
        <v>0</v>
      </c>
      <c r="L703" s="37">
        <f t="shared" si="78"/>
        <v>0</v>
      </c>
      <c r="M703" s="73">
        <v>0</v>
      </c>
    </row>
    <row r="704" spans="1:13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/>
      <c r="G704" s="221">
        <f t="shared" si="80"/>
        <v>0</v>
      </c>
      <c r="H704" s="37">
        <f t="shared" si="81"/>
        <v>0</v>
      </c>
      <c r="I704" s="37"/>
      <c r="J704" s="37">
        <v>0.94274880504267289</v>
      </c>
      <c r="K704" s="37">
        <f t="shared" si="82"/>
        <v>0</v>
      </c>
      <c r="L704" s="37">
        <f t="shared" si="78"/>
        <v>0</v>
      </c>
      <c r="M704" s="73">
        <v>0</v>
      </c>
    </row>
    <row r="705" spans="1:13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/>
      <c r="G705" s="221">
        <f t="shared" si="80"/>
        <v>0</v>
      </c>
      <c r="H705" s="37">
        <f t="shared" si="81"/>
        <v>0</v>
      </c>
      <c r="I705" s="37"/>
      <c r="J705" s="37">
        <v>2.483421176526825</v>
      </c>
      <c r="K705" s="37">
        <f t="shared" si="82"/>
        <v>0</v>
      </c>
      <c r="L705" s="37">
        <f t="shared" si="78"/>
        <v>0</v>
      </c>
      <c r="M705" s="73">
        <v>0</v>
      </c>
    </row>
    <row r="706" spans="1:13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/>
      <c r="G706" s="221">
        <f t="shared" si="80"/>
        <v>0</v>
      </c>
      <c r="H706" s="37">
        <f t="shared" si="81"/>
        <v>0</v>
      </c>
      <c r="I706" s="37"/>
      <c r="J706" s="37">
        <v>0.81365167137917171</v>
      </c>
      <c r="K706" s="37">
        <f t="shared" si="82"/>
        <v>0</v>
      </c>
      <c r="L706" s="37">
        <f t="shared" si="78"/>
        <v>0</v>
      </c>
      <c r="M706" s="73">
        <v>0</v>
      </c>
    </row>
    <row r="707" spans="1:13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/>
      <c r="G707" s="221">
        <f t="shared" si="80"/>
        <v>0</v>
      </c>
      <c r="H707" s="37">
        <f t="shared" si="81"/>
        <v>0</v>
      </c>
      <c r="I707" s="37"/>
      <c r="J707" s="37">
        <v>1.229820062794406</v>
      </c>
      <c r="K707" s="37">
        <f t="shared" si="82"/>
        <v>0</v>
      </c>
      <c r="L707" s="37">
        <f t="shared" ref="L707:L747" si="83">K707*1.219</f>
        <v>0</v>
      </c>
      <c r="M707" s="73">
        <v>0</v>
      </c>
    </row>
    <row r="708" spans="1:13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/>
      <c r="G708" s="221">
        <f t="shared" si="80"/>
        <v>0</v>
      </c>
      <c r="H708" s="37">
        <f t="shared" si="81"/>
        <v>0</v>
      </c>
      <c r="I708" s="37"/>
      <c r="J708" s="37">
        <v>1.2400119417678399</v>
      </c>
      <c r="K708" s="37">
        <f t="shared" si="82"/>
        <v>0</v>
      </c>
      <c r="L708" s="37">
        <f t="shared" si="83"/>
        <v>0</v>
      </c>
      <c r="M708" s="73">
        <v>0</v>
      </c>
    </row>
    <row r="709" spans="1:13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/>
      <c r="G709" s="221">
        <f t="shared" si="80"/>
        <v>0</v>
      </c>
      <c r="H709" s="37">
        <f t="shared" si="81"/>
        <v>0</v>
      </c>
      <c r="I709" s="37"/>
      <c r="J709" s="37">
        <v>1.8685111451296221</v>
      </c>
      <c r="K709" s="37">
        <f t="shared" si="82"/>
        <v>0</v>
      </c>
      <c r="L709" s="37">
        <f t="shared" si="83"/>
        <v>0</v>
      </c>
      <c r="M709" s="73">
        <v>0</v>
      </c>
    </row>
    <row r="710" spans="1:13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/>
      <c r="G710" s="221">
        <f t="shared" si="80"/>
        <v>0</v>
      </c>
      <c r="H710" s="37">
        <f t="shared" si="81"/>
        <v>0</v>
      </c>
      <c r="I710" s="37"/>
      <c r="J710" s="37">
        <v>6.4888296130865051</v>
      </c>
      <c r="K710" s="37">
        <f t="shared" si="82"/>
        <v>0</v>
      </c>
      <c r="L710" s="37">
        <f t="shared" si="83"/>
        <v>0</v>
      </c>
      <c r="M710" s="73">
        <v>0</v>
      </c>
    </row>
    <row r="711" spans="1:13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/>
      <c r="G711" s="221">
        <f t="shared" si="80"/>
        <v>0</v>
      </c>
      <c r="H711" s="37">
        <f t="shared" si="81"/>
        <v>0</v>
      </c>
      <c r="I711" s="37"/>
      <c r="J711" s="37">
        <v>3.8542288984537385</v>
      </c>
      <c r="K711" s="37">
        <f t="shared" si="82"/>
        <v>0</v>
      </c>
      <c r="L711" s="37">
        <f t="shared" si="83"/>
        <v>0</v>
      </c>
      <c r="M711" s="73">
        <v>0</v>
      </c>
    </row>
    <row r="712" spans="1:13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/>
      <c r="G712" s="221">
        <f t="shared" si="80"/>
        <v>0</v>
      </c>
      <c r="H712" s="37">
        <f t="shared" si="81"/>
        <v>0</v>
      </c>
      <c r="I712" s="37"/>
      <c r="J712" s="37">
        <v>2.4222699026862191</v>
      </c>
      <c r="K712" s="37">
        <f t="shared" si="82"/>
        <v>0</v>
      </c>
      <c r="L712" s="37">
        <f t="shared" si="83"/>
        <v>0</v>
      </c>
      <c r="M712" s="73">
        <v>0</v>
      </c>
    </row>
    <row r="713" spans="1:13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/>
      <c r="G713" s="221">
        <f t="shared" si="80"/>
        <v>0</v>
      </c>
      <c r="H713" s="37">
        <f t="shared" si="81"/>
        <v>0</v>
      </c>
      <c r="I713" s="37"/>
      <c r="J713" s="37">
        <v>7.2754728051860766</v>
      </c>
      <c r="K713" s="37">
        <f t="shared" si="82"/>
        <v>0</v>
      </c>
      <c r="L713" s="37">
        <f t="shared" si="83"/>
        <v>0</v>
      </c>
      <c r="M713" s="73">
        <v>0</v>
      </c>
    </row>
    <row r="714" spans="1:13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/>
      <c r="G714" s="221">
        <f t="shared" si="80"/>
        <v>0</v>
      </c>
      <c r="H714" s="37">
        <f t="shared" si="81"/>
        <v>0</v>
      </c>
      <c r="I714" s="37"/>
      <c r="J714" s="37">
        <v>12.64302586654525</v>
      </c>
      <c r="K714" s="37">
        <f t="shared" si="82"/>
        <v>0</v>
      </c>
      <c r="L714" s="37">
        <f t="shared" si="83"/>
        <v>0</v>
      </c>
      <c r="M714" s="73">
        <v>0</v>
      </c>
    </row>
    <row r="715" spans="1:13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/>
      <c r="G715" s="221">
        <f t="shared" si="80"/>
        <v>0</v>
      </c>
      <c r="H715" s="37">
        <f t="shared" si="81"/>
        <v>0</v>
      </c>
      <c r="I715" s="37"/>
      <c r="J715" s="37">
        <v>18.423350026328514</v>
      </c>
      <c r="K715" s="37">
        <f t="shared" si="82"/>
        <v>0</v>
      </c>
      <c r="L715" s="37">
        <f t="shared" si="83"/>
        <v>0</v>
      </c>
      <c r="M715" s="73">
        <v>0</v>
      </c>
    </row>
    <row r="716" spans="1:13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/>
      <c r="G716" s="221">
        <f t="shared" si="80"/>
        <v>0</v>
      </c>
      <c r="H716" s="37">
        <f t="shared" si="81"/>
        <v>0</v>
      </c>
      <c r="I716" s="37"/>
      <c r="J716" s="37">
        <v>18.170591427787343</v>
      </c>
      <c r="K716" s="37">
        <f t="shared" si="82"/>
        <v>0</v>
      </c>
      <c r="L716" s="37">
        <f t="shared" si="83"/>
        <v>0</v>
      </c>
      <c r="M716" s="73">
        <v>0</v>
      </c>
    </row>
    <row r="717" spans="1:13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/>
      <c r="G717" s="221">
        <f t="shared" si="80"/>
        <v>0</v>
      </c>
      <c r="H717" s="37">
        <f t="shared" si="81"/>
        <v>0</v>
      </c>
      <c r="I717" s="37"/>
      <c r="J717" s="37">
        <v>3.3429363032864514</v>
      </c>
      <c r="K717" s="37">
        <f t="shared" si="82"/>
        <v>0</v>
      </c>
      <c r="L717" s="37">
        <f t="shared" si="83"/>
        <v>0</v>
      </c>
      <c r="M717" s="73">
        <v>0</v>
      </c>
    </row>
    <row r="718" spans="1:13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/>
      <c r="G718" s="221">
        <f t="shared" si="80"/>
        <v>0</v>
      </c>
      <c r="H718" s="37">
        <f t="shared" si="81"/>
        <v>0</v>
      </c>
      <c r="I718" s="37"/>
      <c r="J718" s="37">
        <v>10.631828415787551</v>
      </c>
      <c r="K718" s="37">
        <f t="shared" si="82"/>
        <v>0</v>
      </c>
      <c r="L718" s="37">
        <f t="shared" si="83"/>
        <v>0</v>
      </c>
      <c r="M718" s="73">
        <v>0</v>
      </c>
    </row>
    <row r="719" spans="1:13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/>
      <c r="G719" s="221">
        <f t="shared" si="80"/>
        <v>0</v>
      </c>
      <c r="H719" s="37">
        <f t="shared" si="81"/>
        <v>0</v>
      </c>
      <c r="I719" s="37"/>
      <c r="J719" s="37">
        <v>2.1657742818547892</v>
      </c>
      <c r="K719" s="37">
        <f t="shared" si="82"/>
        <v>0</v>
      </c>
      <c r="L719" s="37">
        <f t="shared" si="83"/>
        <v>0</v>
      </c>
      <c r="M719" s="73">
        <v>0</v>
      </c>
    </row>
    <row r="720" spans="1:13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/>
      <c r="G720" s="221">
        <f t="shared" si="80"/>
        <v>0</v>
      </c>
      <c r="H720" s="37">
        <f t="shared" si="81"/>
        <v>0</v>
      </c>
      <c r="I720" s="37"/>
      <c r="J720" s="37">
        <v>9.5336534564000033</v>
      </c>
      <c r="K720" s="37">
        <f t="shared" si="82"/>
        <v>0</v>
      </c>
      <c r="L720" s="37">
        <f t="shared" si="83"/>
        <v>0</v>
      </c>
      <c r="M720" s="73">
        <v>0</v>
      </c>
    </row>
    <row r="721" spans="1:13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/>
      <c r="G721" s="221">
        <f t="shared" si="80"/>
        <v>0</v>
      </c>
      <c r="H721" s="37">
        <f t="shared" si="81"/>
        <v>0</v>
      </c>
      <c r="I721" s="37"/>
      <c r="J721" s="37">
        <v>2.0876365430584594</v>
      </c>
      <c r="K721" s="37">
        <f t="shared" si="82"/>
        <v>0</v>
      </c>
      <c r="L721" s="37">
        <f t="shared" si="83"/>
        <v>0</v>
      </c>
      <c r="M721" s="73">
        <v>0</v>
      </c>
    </row>
    <row r="722" spans="1:13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/>
      <c r="G722" s="221">
        <f t="shared" si="80"/>
        <v>0</v>
      </c>
      <c r="H722" s="37">
        <f t="shared" si="81"/>
        <v>0</v>
      </c>
      <c r="I722" s="37"/>
      <c r="J722" s="37">
        <v>1.4013833588472164</v>
      </c>
      <c r="K722" s="37">
        <f t="shared" si="82"/>
        <v>0</v>
      </c>
      <c r="L722" s="37">
        <f t="shared" si="83"/>
        <v>0</v>
      </c>
      <c r="M722" s="73">
        <v>0</v>
      </c>
    </row>
    <row r="723" spans="1:13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/>
      <c r="G723" s="221">
        <f t="shared" si="80"/>
        <v>0</v>
      </c>
      <c r="H723" s="37">
        <f t="shared" si="81"/>
        <v>0</v>
      </c>
      <c r="I723" s="37"/>
      <c r="J723" s="37">
        <v>2.0162933902444191</v>
      </c>
      <c r="K723" s="37">
        <f t="shared" si="82"/>
        <v>0</v>
      </c>
      <c r="L723" s="37">
        <f t="shared" si="83"/>
        <v>0</v>
      </c>
      <c r="M723" s="73">
        <v>0</v>
      </c>
    </row>
    <row r="724" spans="1:13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/>
      <c r="G724" s="221">
        <f t="shared" si="80"/>
        <v>0</v>
      </c>
      <c r="H724" s="37">
        <f t="shared" si="81"/>
        <v>0</v>
      </c>
      <c r="I724" s="37"/>
      <c r="J724" s="37">
        <v>1.9330597119613724</v>
      </c>
      <c r="K724" s="37">
        <f t="shared" si="82"/>
        <v>0</v>
      </c>
      <c r="L724" s="37">
        <f t="shared" si="83"/>
        <v>0</v>
      </c>
      <c r="M724" s="73">
        <v>0</v>
      </c>
    </row>
    <row r="725" spans="1:13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/>
      <c r="G725" s="221">
        <f t="shared" si="80"/>
        <v>0</v>
      </c>
      <c r="H725" s="37">
        <f t="shared" si="81"/>
        <v>0</v>
      </c>
      <c r="I725" s="37"/>
      <c r="J725" s="37">
        <v>4.9940206969828074</v>
      </c>
      <c r="K725" s="37">
        <f t="shared" si="82"/>
        <v>0</v>
      </c>
      <c r="L725" s="37">
        <f t="shared" si="83"/>
        <v>0</v>
      </c>
      <c r="M725" s="73">
        <v>0</v>
      </c>
    </row>
    <row r="726" spans="1:13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/>
      <c r="G726" s="221">
        <f t="shared" si="80"/>
        <v>0</v>
      </c>
      <c r="H726" s="37">
        <f t="shared" si="81"/>
        <v>0</v>
      </c>
      <c r="I726" s="37"/>
      <c r="J726" s="37">
        <v>0.65567754729094008</v>
      </c>
      <c r="K726" s="37">
        <f t="shared" si="82"/>
        <v>0</v>
      </c>
      <c r="L726" s="37">
        <f t="shared" si="83"/>
        <v>0</v>
      </c>
      <c r="M726" s="73">
        <v>0</v>
      </c>
    </row>
    <row r="727" spans="1:13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/>
      <c r="G727" s="221">
        <f t="shared" si="80"/>
        <v>0</v>
      </c>
      <c r="H727" s="37">
        <f t="shared" si="81"/>
        <v>0</v>
      </c>
      <c r="I727" s="37"/>
      <c r="J727" s="37">
        <v>5.0245963339031112</v>
      </c>
      <c r="K727" s="37">
        <f t="shared" si="82"/>
        <v>0</v>
      </c>
      <c r="L727" s="37">
        <f t="shared" si="83"/>
        <v>0</v>
      </c>
      <c r="M727" s="73">
        <v>0</v>
      </c>
    </row>
    <row r="728" spans="1:13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>C728+E728</f>
        <v>2954.3</v>
      </c>
      <c r="G728" s="221">
        <f t="shared" si="80"/>
        <v>4.761659414317343E-2</v>
      </c>
      <c r="H728" s="37">
        <f t="shared" si="81"/>
        <v>108.04824226809913</v>
      </c>
      <c r="I728" s="37"/>
      <c r="J728" s="37">
        <v>50.183113418694937</v>
      </c>
      <c r="K728" s="37">
        <f t="shared" ref="K728:K744" si="84">G728*560.71</f>
        <v>26.699100502018776</v>
      </c>
      <c r="L728" s="37">
        <f t="shared" si="83"/>
        <v>32.54620351196089</v>
      </c>
      <c r="M728" s="73">
        <f>(K728+J728+I728+H728)/F728</f>
        <v>6.2597047080124854E-2</v>
      </c>
    </row>
    <row r="729" spans="1:13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/>
      <c r="G729" s="221">
        <f t="shared" ref="G729:G746" si="85">3/186130.49*F729</f>
        <v>0</v>
      </c>
      <c r="H729" s="37">
        <f t="shared" ref="H729:H745" si="86">G729*2269.13</f>
        <v>0</v>
      </c>
      <c r="I729" s="37"/>
      <c r="J729" s="37">
        <v>10.218717588064347</v>
      </c>
      <c r="K729" s="37">
        <f t="shared" si="84"/>
        <v>0</v>
      </c>
      <c r="L729" s="37">
        <f t="shared" si="83"/>
        <v>0</v>
      </c>
      <c r="M729" s="73">
        <v>0</v>
      </c>
    </row>
    <row r="730" spans="1:13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/>
      <c r="G730" s="221">
        <f t="shared" si="85"/>
        <v>0</v>
      </c>
      <c r="H730" s="37">
        <f t="shared" si="86"/>
        <v>0</v>
      </c>
      <c r="I730" s="37"/>
      <c r="J730" s="37">
        <v>6.6639600667800183</v>
      </c>
      <c r="K730" s="37">
        <f t="shared" si="84"/>
        <v>0</v>
      </c>
      <c r="L730" s="37">
        <f t="shared" si="83"/>
        <v>0</v>
      </c>
      <c r="M730" s="73">
        <v>0</v>
      </c>
    </row>
    <row r="731" spans="1:13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/>
      <c r="G731" s="221">
        <f t="shared" si="85"/>
        <v>0</v>
      </c>
      <c r="H731" s="37">
        <f t="shared" si="86"/>
        <v>0</v>
      </c>
      <c r="I731" s="37"/>
      <c r="J731" s="37">
        <v>10.206827062595339</v>
      </c>
      <c r="K731" s="37">
        <f t="shared" si="84"/>
        <v>0</v>
      </c>
      <c r="L731" s="37">
        <f t="shared" si="83"/>
        <v>0</v>
      </c>
      <c r="M731" s="73">
        <v>0</v>
      </c>
    </row>
    <row r="732" spans="1:13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/>
      <c r="G732" s="221">
        <f t="shared" si="85"/>
        <v>0</v>
      </c>
      <c r="H732" s="37">
        <f t="shared" si="86"/>
        <v>0</v>
      </c>
      <c r="I732" s="37"/>
      <c r="J732" s="37">
        <v>5.2199406808939353</v>
      </c>
      <c r="K732" s="37">
        <f t="shared" si="84"/>
        <v>0</v>
      </c>
      <c r="L732" s="37">
        <f t="shared" si="83"/>
        <v>0</v>
      </c>
      <c r="M732" s="73">
        <v>0</v>
      </c>
    </row>
    <row r="733" spans="1:13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/>
      <c r="G733" s="221">
        <f t="shared" si="85"/>
        <v>0</v>
      </c>
      <c r="H733" s="37">
        <f t="shared" si="86"/>
        <v>0</v>
      </c>
      <c r="I733" s="37"/>
      <c r="J733" s="37">
        <v>13.590870611074642</v>
      </c>
      <c r="K733" s="37">
        <f t="shared" si="84"/>
        <v>0</v>
      </c>
      <c r="L733" s="37">
        <f t="shared" si="83"/>
        <v>0</v>
      </c>
      <c r="M733" s="73">
        <v>0</v>
      </c>
    </row>
    <row r="734" spans="1:13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/>
      <c r="G734" s="221">
        <f t="shared" si="85"/>
        <v>0</v>
      </c>
      <c r="H734" s="37">
        <f t="shared" si="86"/>
        <v>0</v>
      </c>
      <c r="I734" s="37"/>
      <c r="J734" s="37">
        <v>5.5239984036013912</v>
      </c>
      <c r="K734" s="37">
        <f t="shared" si="84"/>
        <v>0</v>
      </c>
      <c r="L734" s="37">
        <f t="shared" si="83"/>
        <v>0</v>
      </c>
      <c r="M734" s="73">
        <v>0</v>
      </c>
    </row>
    <row r="735" spans="1:13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/>
      <c r="G735" s="221">
        <f t="shared" si="85"/>
        <v>0</v>
      </c>
      <c r="H735" s="37">
        <f t="shared" si="86"/>
        <v>0</v>
      </c>
      <c r="I735" s="37"/>
      <c r="J735" s="37">
        <v>7.1385618976429424</v>
      </c>
      <c r="K735" s="37">
        <f t="shared" si="84"/>
        <v>0</v>
      </c>
      <c r="L735" s="37">
        <f t="shared" si="83"/>
        <v>0</v>
      </c>
      <c r="M735" s="73">
        <v>0</v>
      </c>
    </row>
    <row r="736" spans="1:13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/>
      <c r="G736" s="221">
        <f t="shared" si="85"/>
        <v>0</v>
      </c>
      <c r="H736" s="37">
        <f t="shared" si="86"/>
        <v>0</v>
      </c>
      <c r="I736" s="37"/>
      <c r="J736" s="37">
        <v>7.9578191024575036</v>
      </c>
      <c r="K736" s="37">
        <f t="shared" si="84"/>
        <v>0</v>
      </c>
      <c r="L736" s="37">
        <f t="shared" si="83"/>
        <v>0</v>
      </c>
      <c r="M736" s="73">
        <v>0</v>
      </c>
    </row>
    <row r="737" spans="1:13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/>
      <c r="G737" s="221">
        <f t="shared" si="85"/>
        <v>0</v>
      </c>
      <c r="H737" s="37">
        <f t="shared" si="86"/>
        <v>0</v>
      </c>
      <c r="I737" s="37"/>
      <c r="J737" s="37">
        <v>17.429471961769114</v>
      </c>
      <c r="K737" s="37">
        <f t="shared" si="84"/>
        <v>0</v>
      </c>
      <c r="L737" s="37">
        <f t="shared" si="83"/>
        <v>0</v>
      </c>
      <c r="M737" s="73">
        <v>0</v>
      </c>
    </row>
    <row r="738" spans="1:13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/>
      <c r="G738" s="221">
        <f t="shared" si="85"/>
        <v>0</v>
      </c>
      <c r="H738" s="37">
        <f t="shared" si="86"/>
        <v>0</v>
      </c>
      <c r="I738" s="37"/>
      <c r="J738" s="37">
        <v>21.097529204308117</v>
      </c>
      <c r="K738" s="37">
        <f t="shared" si="84"/>
        <v>0</v>
      </c>
      <c r="L738" s="37">
        <f t="shared" si="83"/>
        <v>0</v>
      </c>
      <c r="M738" s="73">
        <v>0</v>
      </c>
    </row>
    <row r="739" spans="1:13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/>
      <c r="G739" s="221">
        <f t="shared" si="85"/>
        <v>0</v>
      </c>
      <c r="H739" s="37">
        <f t="shared" si="86"/>
        <v>0</v>
      </c>
      <c r="I739" s="37"/>
      <c r="J739" s="37">
        <v>14.048146247682725</v>
      </c>
      <c r="K739" s="37">
        <f t="shared" si="84"/>
        <v>0</v>
      </c>
      <c r="L739" s="37">
        <f t="shared" si="83"/>
        <v>0</v>
      </c>
      <c r="M739" s="73">
        <v>0</v>
      </c>
    </row>
    <row r="740" spans="1:13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/>
      <c r="G740" s="221">
        <f t="shared" si="85"/>
        <v>0</v>
      </c>
      <c r="H740" s="37">
        <f t="shared" si="86"/>
        <v>0</v>
      </c>
      <c r="I740" s="37"/>
      <c r="J740" s="37">
        <v>8.279372884069355</v>
      </c>
      <c r="K740" s="37">
        <f t="shared" si="84"/>
        <v>0</v>
      </c>
      <c r="L740" s="37">
        <f t="shared" si="83"/>
        <v>0</v>
      </c>
      <c r="M740" s="73">
        <v>0</v>
      </c>
    </row>
    <row r="741" spans="1:13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/>
      <c r="G741" s="221">
        <f t="shared" si="85"/>
        <v>0</v>
      </c>
      <c r="H741" s="37">
        <f t="shared" si="86"/>
        <v>0</v>
      </c>
      <c r="I741" s="37"/>
      <c r="J741" s="37">
        <v>11.635728494670827</v>
      </c>
      <c r="K741" s="37">
        <f t="shared" si="84"/>
        <v>0</v>
      </c>
      <c r="L741" s="37">
        <f t="shared" si="83"/>
        <v>0</v>
      </c>
      <c r="M741" s="73">
        <v>0</v>
      </c>
    </row>
    <row r="742" spans="1:13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/>
      <c r="G742" s="221">
        <f t="shared" si="85"/>
        <v>0</v>
      </c>
      <c r="H742" s="37">
        <f t="shared" si="86"/>
        <v>0</v>
      </c>
      <c r="I742" s="37"/>
      <c r="J742" s="37">
        <v>10.812904132215563</v>
      </c>
      <c r="K742" s="37">
        <f t="shared" si="84"/>
        <v>0</v>
      </c>
      <c r="L742" s="37">
        <f t="shared" si="83"/>
        <v>0</v>
      </c>
      <c r="M742" s="73">
        <v>0</v>
      </c>
    </row>
    <row r="743" spans="1:13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/>
      <c r="G743" s="221">
        <f t="shared" si="85"/>
        <v>0</v>
      </c>
      <c r="H743" s="37">
        <f t="shared" si="86"/>
        <v>0</v>
      </c>
      <c r="I743" s="37"/>
      <c r="J743" s="37">
        <v>8.579863449136111</v>
      </c>
      <c r="K743" s="37">
        <f t="shared" si="84"/>
        <v>0</v>
      </c>
      <c r="L743" s="37">
        <f t="shared" si="83"/>
        <v>0</v>
      </c>
      <c r="M743" s="73">
        <v>0</v>
      </c>
    </row>
    <row r="744" spans="1:13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/>
      <c r="G744" s="221">
        <f t="shared" si="85"/>
        <v>0</v>
      </c>
      <c r="H744" s="37">
        <f t="shared" si="86"/>
        <v>0</v>
      </c>
      <c r="I744" s="37"/>
      <c r="J744" s="37">
        <v>9.1196933054290135</v>
      </c>
      <c r="K744" s="37">
        <f t="shared" si="84"/>
        <v>0</v>
      </c>
      <c r="L744" s="37">
        <f t="shared" si="83"/>
        <v>0</v>
      </c>
      <c r="M744" s="73">
        <v>0</v>
      </c>
    </row>
    <row r="745" spans="1:13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/>
      <c r="G745" s="221">
        <f t="shared" si="85"/>
        <v>0</v>
      </c>
      <c r="H745" s="37">
        <f t="shared" si="86"/>
        <v>0</v>
      </c>
      <c r="I745" s="37"/>
      <c r="J745" s="37">
        <v>0</v>
      </c>
      <c r="K745" s="37">
        <f>G745*560.71*1.08</f>
        <v>0</v>
      </c>
      <c r="L745" s="37">
        <f t="shared" si="83"/>
        <v>0</v>
      </c>
      <c r="M745" s="73">
        <v>0</v>
      </c>
    </row>
    <row r="746" spans="1:13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>C746+D746+E746</f>
        <v>380.2</v>
      </c>
      <c r="G746" s="221">
        <f t="shared" si="85"/>
        <v>6.1279589389143067E-3</v>
      </c>
      <c r="H746" s="37"/>
      <c r="I746" s="37"/>
      <c r="J746" s="37"/>
      <c r="K746" s="37"/>
      <c r="L746" s="37">
        <f t="shared" si="83"/>
        <v>0</v>
      </c>
      <c r="M746" s="73">
        <f>(K746+J746+I746+H746)/F746</f>
        <v>0</v>
      </c>
    </row>
    <row r="747" spans="1:13" s="69" customFormat="1" ht="15.75">
      <c r="A747" s="392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3">
        <f>SUM(F537:F746)</f>
        <v>186130.49</v>
      </c>
      <c r="G747" s="221">
        <f>3/186130.49*F747</f>
        <v>3</v>
      </c>
      <c r="H747" s="37">
        <f>G747*2269.13</f>
        <v>6807.39</v>
      </c>
      <c r="I747" s="64">
        <f>H747*0.3677</f>
        <v>2503.0773030000005</v>
      </c>
      <c r="J747" s="37">
        <f>SUM(J536:J745)</f>
        <v>3722.0473853272133</v>
      </c>
      <c r="K747" s="37">
        <f>G747*560.71*1.08</f>
        <v>1816.7004000000002</v>
      </c>
      <c r="L747" s="37">
        <f t="shared" si="83"/>
        <v>2214.5577876000002</v>
      </c>
      <c r="M747" s="45">
        <f>(H747+I747+J747+L747)/F747</f>
        <v>8.1916038989244669E-2</v>
      </c>
    </row>
    <row r="748" spans="1:13" s="6" customFormat="1" ht="15.75">
      <c r="A748" s="9" t="s">
        <v>593</v>
      </c>
      <c r="B748" s="8"/>
      <c r="C748" s="8"/>
      <c r="D748" s="8"/>
      <c r="E748" s="8"/>
      <c r="F748" s="40"/>
      <c r="G748" s="223"/>
      <c r="H748" s="37"/>
      <c r="I748" s="37"/>
      <c r="J748" s="37"/>
      <c r="K748" s="37"/>
      <c r="L748" s="37"/>
      <c r="M748" s="45"/>
    </row>
    <row r="749" spans="1:13" s="6" customFormat="1" ht="15.75">
      <c r="A749" s="24">
        <v>1</v>
      </c>
      <c r="B749" s="24" t="s">
        <v>336</v>
      </c>
      <c r="C749" s="8">
        <v>4275.08</v>
      </c>
      <c r="D749" s="142"/>
      <c r="E749" s="142"/>
      <c r="F749" s="40">
        <f t="shared" ref="F749:F791" si="87">C749+D749+E749</f>
        <v>4275.08</v>
      </c>
      <c r="G749" s="221">
        <f t="shared" ref="G749:G812" si="88">2/193184.08*F749</f>
        <v>4.4259133568356153E-2</v>
      </c>
      <c r="H749" s="37">
        <f t="shared" ref="H749:H812" si="89">G749*2269.13</f>
        <v>100.429727753964</v>
      </c>
      <c r="I749" s="37">
        <f t="shared" ref="I749:I791" si="90">H749*0.3677</f>
        <v>36.928010895132566</v>
      </c>
      <c r="J749" s="37">
        <v>39.340821749966246</v>
      </c>
      <c r="K749" s="37">
        <f t="shared" ref="K749:K795" si="91">G749*560.71</f>
        <v>24.816538783112978</v>
      </c>
      <c r="L749" s="37"/>
      <c r="M749" s="45">
        <f t="shared" ref="M749:M791" si="92">(K749+J749+I749+H749)/F749</f>
        <v>4.7137152797649587E-2</v>
      </c>
    </row>
    <row r="750" spans="1:13" s="6" customFormat="1" ht="15.75">
      <c r="A750" s="24">
        <v>2</v>
      </c>
      <c r="B750" s="24" t="s">
        <v>337</v>
      </c>
      <c r="C750" s="8">
        <v>4574.41</v>
      </c>
      <c r="D750" s="55"/>
      <c r="E750" s="55"/>
      <c r="F750" s="40">
        <f t="shared" si="87"/>
        <v>4574.41</v>
      </c>
      <c r="G750" s="221">
        <f t="shared" si="88"/>
        <v>4.7358043167946347E-2</v>
      </c>
      <c r="H750" s="37">
        <f t="shared" si="89"/>
        <v>107.4615564936821</v>
      </c>
      <c r="I750" s="37">
        <f t="shared" si="90"/>
        <v>39.513614322726909</v>
      </c>
      <c r="J750" s="37">
        <v>42.095363927988039</v>
      </c>
      <c r="K750" s="37">
        <f t="shared" si="91"/>
        <v>26.554128384699197</v>
      </c>
      <c r="L750" s="37"/>
      <c r="M750" s="45">
        <f t="shared" si="92"/>
        <v>4.7137152797649587E-2</v>
      </c>
    </row>
    <row r="751" spans="1:13" s="6" customFormat="1" ht="15.75">
      <c r="A751" s="24">
        <v>3</v>
      </c>
      <c r="B751" s="24" t="s">
        <v>338</v>
      </c>
      <c r="C751" s="8">
        <v>8527.85</v>
      </c>
      <c r="D751" s="55"/>
      <c r="E751" s="55"/>
      <c r="F751" s="40">
        <f t="shared" si="87"/>
        <v>8527.85</v>
      </c>
      <c r="G751" s="221">
        <f t="shared" si="88"/>
        <v>8.8287295723332909E-2</v>
      </c>
      <c r="H751" s="37">
        <f t="shared" si="89"/>
        <v>200.33535134468642</v>
      </c>
      <c r="I751" s="37">
        <f t="shared" si="90"/>
        <v>73.663308689441195</v>
      </c>
      <c r="J751" s="37">
        <v>78.476338866278454</v>
      </c>
      <c r="K751" s="37">
        <f t="shared" si="91"/>
        <v>49.50356958503</v>
      </c>
      <c r="L751" s="37"/>
      <c r="M751" s="45">
        <f t="shared" si="92"/>
        <v>4.7137152797649594E-2</v>
      </c>
    </row>
    <row r="752" spans="1:13" s="6" customFormat="1" ht="15.75">
      <c r="A752" s="24">
        <v>4</v>
      </c>
      <c r="B752" s="24" t="s">
        <v>339</v>
      </c>
      <c r="C752" s="8">
        <v>5131.3999999999996</v>
      </c>
      <c r="D752" s="55"/>
      <c r="E752" s="55"/>
      <c r="F752" s="40">
        <f t="shared" si="87"/>
        <v>5131.3999999999996</v>
      </c>
      <c r="G752" s="221">
        <f t="shared" si="88"/>
        <v>5.3124460359259419E-2</v>
      </c>
      <c r="H752" s="37">
        <f t="shared" si="89"/>
        <v>120.54630673500633</v>
      </c>
      <c r="I752" s="37">
        <f t="shared" si="90"/>
        <v>44.324876986461831</v>
      </c>
      <c r="J752" s="37">
        <v>47.220985976350569</v>
      </c>
      <c r="K752" s="37">
        <f t="shared" si="91"/>
        <v>29.787416168040352</v>
      </c>
      <c r="L752" s="37"/>
      <c r="M752" s="45">
        <f t="shared" si="92"/>
        <v>4.7137152797649587E-2</v>
      </c>
    </row>
    <row r="753" spans="1:13" s="6" customFormat="1" ht="15.75">
      <c r="A753" s="24">
        <v>5</v>
      </c>
      <c r="B753" s="24" t="s">
        <v>340</v>
      </c>
      <c r="C753" s="8">
        <v>4290.1499999999996</v>
      </c>
      <c r="D753" s="55"/>
      <c r="E753" s="55"/>
      <c r="F753" s="40">
        <f t="shared" si="87"/>
        <v>4290.1499999999996</v>
      </c>
      <c r="G753" s="221">
        <f t="shared" si="88"/>
        <v>4.4415150565201851E-2</v>
      </c>
      <c r="H753" s="37">
        <f t="shared" si="89"/>
        <v>100.78375060201648</v>
      </c>
      <c r="I753" s="37">
        <f t="shared" si="90"/>
        <v>37.058185096361463</v>
      </c>
      <c r="J753" s="37">
        <v>39.479501303044081</v>
      </c>
      <c r="K753" s="37">
        <f t="shared" si="91"/>
        <v>24.904019073414332</v>
      </c>
      <c r="L753" s="37"/>
      <c r="M753" s="45">
        <f t="shared" si="92"/>
        <v>4.7137152797649587E-2</v>
      </c>
    </row>
    <row r="754" spans="1:13" s="6" customFormat="1" ht="15.75">
      <c r="A754" s="24">
        <v>6</v>
      </c>
      <c r="B754" s="24" t="s">
        <v>341</v>
      </c>
      <c r="C754" s="8">
        <v>5185.3900000000003</v>
      </c>
      <c r="D754" s="55"/>
      <c r="E754" s="55"/>
      <c r="F754" s="40">
        <f t="shared" si="87"/>
        <v>5185.3900000000003</v>
      </c>
      <c r="G754" s="221">
        <f t="shared" si="88"/>
        <v>5.3683409109073592E-2</v>
      </c>
      <c r="H754" s="37">
        <f t="shared" si="89"/>
        <v>121.81463411167216</v>
      </c>
      <c r="I754" s="37">
        <f t="shared" si="90"/>
        <v>44.791240962861856</v>
      </c>
      <c r="J754" s="37">
        <v>47.717821349321532</v>
      </c>
      <c r="K754" s="37">
        <f t="shared" si="91"/>
        <v>30.100824321548657</v>
      </c>
      <c r="L754" s="37"/>
      <c r="M754" s="45">
        <f t="shared" si="92"/>
        <v>4.7137152797649587E-2</v>
      </c>
    </row>
    <row r="755" spans="1:13" s="6" customFormat="1" ht="15.75">
      <c r="A755" s="24">
        <v>7</v>
      </c>
      <c r="B755" s="24" t="s">
        <v>342</v>
      </c>
      <c r="C755" s="8">
        <v>4246.38</v>
      </c>
      <c r="D755" s="55"/>
      <c r="E755" s="55"/>
      <c r="F755" s="40">
        <f t="shared" si="87"/>
        <v>4246.38</v>
      </c>
      <c r="G755" s="221">
        <f t="shared" si="88"/>
        <v>4.3962007635411783E-2</v>
      </c>
      <c r="H755" s="37">
        <f t="shared" si="89"/>
        <v>99.755510385741943</v>
      </c>
      <c r="I755" s="37">
        <f t="shared" si="90"/>
        <v>36.680101168837318</v>
      </c>
      <c r="J755" s="37">
        <v>39.076714041052256</v>
      </c>
      <c r="K755" s="37">
        <f t="shared" si="91"/>
        <v>24.649937301251743</v>
      </c>
      <c r="L755" s="37"/>
      <c r="M755" s="45">
        <f t="shared" si="92"/>
        <v>4.7137152797649587E-2</v>
      </c>
    </row>
    <row r="756" spans="1:13" s="6" customFormat="1" ht="15.75">
      <c r="A756" s="24">
        <v>8</v>
      </c>
      <c r="B756" s="24" t="s">
        <v>343</v>
      </c>
      <c r="C756" s="8">
        <v>4446.42</v>
      </c>
      <c r="D756" s="55"/>
      <c r="E756" s="55"/>
      <c r="F756" s="40">
        <f t="shared" si="87"/>
        <v>4446.42</v>
      </c>
      <c r="G756" s="221">
        <f t="shared" si="88"/>
        <v>4.6032985740854016E-2</v>
      </c>
      <c r="H756" s="37">
        <f t="shared" si="89"/>
        <v>104.45482893414407</v>
      </c>
      <c r="I756" s="37">
        <f t="shared" si="90"/>
        <v>38.408040599084778</v>
      </c>
      <c r="J756" s="37">
        <v>40.917553974541981</v>
      </c>
      <c r="K756" s="37">
        <f t="shared" si="91"/>
        <v>25.811155434754255</v>
      </c>
      <c r="L756" s="37"/>
      <c r="M756" s="45">
        <f t="shared" si="92"/>
        <v>4.7137152797649594E-2</v>
      </c>
    </row>
    <row r="757" spans="1:13" s="6" customFormat="1" ht="15.75">
      <c r="A757" s="24">
        <v>9</v>
      </c>
      <c r="B757" s="24" t="s">
        <v>344</v>
      </c>
      <c r="C757" s="8">
        <v>2920.24</v>
      </c>
      <c r="D757" s="55"/>
      <c r="E757" s="55"/>
      <c r="F757" s="40">
        <f t="shared" si="87"/>
        <v>2920.24</v>
      </c>
      <c r="G757" s="221">
        <f t="shared" si="88"/>
        <v>3.0232718969389196E-2</v>
      </c>
      <c r="H757" s="37">
        <f t="shared" si="89"/>
        <v>68.601969595010104</v>
      </c>
      <c r="I757" s="37">
        <f t="shared" si="90"/>
        <v>25.224944220085217</v>
      </c>
      <c r="J757" s="37">
        <v>26.873097417386678</v>
      </c>
      <c r="K757" s="37">
        <f t="shared" si="91"/>
        <v>16.951787853326216</v>
      </c>
      <c r="L757" s="37"/>
      <c r="M757" s="45">
        <f t="shared" si="92"/>
        <v>4.7137152797649587E-2</v>
      </c>
    </row>
    <row r="758" spans="1:13" s="6" customFormat="1" ht="15.75">
      <c r="A758" s="24">
        <v>10</v>
      </c>
      <c r="B758" s="24" t="s">
        <v>345</v>
      </c>
      <c r="C758" s="8">
        <v>4278.99</v>
      </c>
      <c r="D758" s="55"/>
      <c r="E758" s="55"/>
      <c r="F758" s="40">
        <f t="shared" si="87"/>
        <v>4278.99</v>
      </c>
      <c r="G758" s="221">
        <f t="shared" si="88"/>
        <v>4.4299613094412334E-2</v>
      </c>
      <c r="H758" s="37">
        <f t="shared" si="89"/>
        <v>100.52158106092386</v>
      </c>
      <c r="I758" s="37">
        <f t="shared" si="90"/>
        <v>36.961785356101707</v>
      </c>
      <c r="J758" s="37">
        <v>39.376802974421075</v>
      </c>
      <c r="K758" s="37">
        <f t="shared" si="91"/>
        <v>24.839236058167941</v>
      </c>
      <c r="L758" s="37"/>
      <c r="M758" s="45">
        <f t="shared" si="92"/>
        <v>4.713715279764958E-2</v>
      </c>
    </row>
    <row r="759" spans="1:13" s="6" customFormat="1" ht="15.75">
      <c r="A759" s="24">
        <v>11</v>
      </c>
      <c r="B759" s="24" t="s">
        <v>346</v>
      </c>
      <c r="C759" s="8">
        <v>8595.7800000000007</v>
      </c>
      <c r="D759" s="55"/>
      <c r="E759" s="55"/>
      <c r="F759" s="40">
        <f t="shared" si="87"/>
        <v>8595.7800000000007</v>
      </c>
      <c r="G759" s="221">
        <f t="shared" si="88"/>
        <v>8.899056278343434E-2</v>
      </c>
      <c r="H759" s="37">
        <f t="shared" si="89"/>
        <v>201.93115572877437</v>
      </c>
      <c r="I759" s="37">
        <f t="shared" si="90"/>
        <v>74.250085961470347</v>
      </c>
      <c r="J759" s="37">
        <v>79.101455126436207</v>
      </c>
      <c r="K759" s="37">
        <f t="shared" si="91"/>
        <v>49.897898458299473</v>
      </c>
      <c r="L759" s="37"/>
      <c r="M759" s="45">
        <f t="shared" si="92"/>
        <v>4.7137152797649587E-2</v>
      </c>
    </row>
    <row r="760" spans="1:13" s="6" customFormat="1" ht="15.75">
      <c r="A760" s="24">
        <v>12</v>
      </c>
      <c r="B760" s="24" t="s">
        <v>347</v>
      </c>
      <c r="C760" s="8">
        <v>4516.6000000000004</v>
      </c>
      <c r="D760" s="55"/>
      <c r="E760" s="55"/>
      <c r="F760" s="40">
        <f t="shared" si="87"/>
        <v>4516.6000000000004</v>
      </c>
      <c r="G760" s="221">
        <f t="shared" si="88"/>
        <v>4.6759546645872688E-2</v>
      </c>
      <c r="H760" s="37">
        <f t="shared" si="89"/>
        <v>106.10349008054909</v>
      </c>
      <c r="I760" s="37">
        <f t="shared" si="90"/>
        <v>39.014253302617902</v>
      </c>
      <c r="J760" s="37">
        <v>41.563375542889858</v>
      </c>
      <c r="K760" s="37">
        <f t="shared" si="91"/>
        <v>26.218545399807276</v>
      </c>
      <c r="L760" s="37"/>
      <c r="M760" s="45">
        <f t="shared" si="92"/>
        <v>4.7137152797649587E-2</v>
      </c>
    </row>
    <row r="761" spans="1:13" s="6" customFormat="1" ht="15.75">
      <c r="A761" s="8">
        <v>13</v>
      </c>
      <c r="B761" s="8" t="s">
        <v>348</v>
      </c>
      <c r="C761" s="8"/>
      <c r="D761" s="55"/>
      <c r="E761" s="55"/>
      <c r="F761" s="40"/>
      <c r="G761" s="221">
        <f t="shared" si="88"/>
        <v>0</v>
      </c>
      <c r="H761" s="37">
        <f t="shared" si="89"/>
        <v>0</v>
      </c>
      <c r="I761" s="37"/>
      <c r="J761" s="37">
        <v>0</v>
      </c>
      <c r="K761" s="37">
        <f t="shared" si="91"/>
        <v>0</v>
      </c>
      <c r="L761" s="37"/>
      <c r="M761" s="45"/>
    </row>
    <row r="762" spans="1:13" s="6" customFormat="1" ht="15.75">
      <c r="A762" s="8">
        <v>14</v>
      </c>
      <c r="B762" s="8" t="s">
        <v>349</v>
      </c>
      <c r="C762" s="8"/>
      <c r="D762" s="55"/>
      <c r="E762" s="55"/>
      <c r="F762" s="40"/>
      <c r="G762" s="221">
        <f t="shared" si="88"/>
        <v>0</v>
      </c>
      <c r="H762" s="37">
        <f t="shared" si="89"/>
        <v>0</v>
      </c>
      <c r="I762" s="37"/>
      <c r="J762" s="37">
        <v>0</v>
      </c>
      <c r="K762" s="37">
        <f t="shared" si="91"/>
        <v>0</v>
      </c>
      <c r="L762" s="37"/>
      <c r="M762" s="45"/>
    </row>
    <row r="763" spans="1:13" s="6" customFormat="1" ht="15.75">
      <c r="A763" s="8">
        <v>15</v>
      </c>
      <c r="B763" s="24" t="s">
        <v>350</v>
      </c>
      <c r="C763" s="8">
        <v>4315.22</v>
      </c>
      <c r="D763" s="55"/>
      <c r="E763" s="55">
        <v>220.4</v>
      </c>
      <c r="F763" s="40">
        <f t="shared" si="87"/>
        <v>4535.62</v>
      </c>
      <c r="G763" s="221">
        <f t="shared" si="88"/>
        <v>4.6956457281573105E-2</v>
      </c>
      <c r="H763" s="37">
        <f t="shared" si="89"/>
        <v>106.55030591133598</v>
      </c>
      <c r="I763" s="37">
        <f t="shared" si="90"/>
        <v>39.178547483598244</v>
      </c>
      <c r="J763" s="37">
        <v>41.738404414790352</v>
      </c>
      <c r="K763" s="37">
        <f t="shared" si="91"/>
        <v>26.328955162350859</v>
      </c>
      <c r="L763" s="37"/>
      <c r="M763" s="45">
        <f t="shared" si="92"/>
        <v>4.7137152797649594E-2</v>
      </c>
    </row>
    <row r="764" spans="1:13" s="6" customFormat="1" ht="15.75">
      <c r="A764" s="8">
        <v>16</v>
      </c>
      <c r="B764" s="8" t="s">
        <v>351</v>
      </c>
      <c r="C764" s="8"/>
      <c r="D764" s="55"/>
      <c r="E764" s="55"/>
      <c r="F764" s="40"/>
      <c r="G764" s="221">
        <f t="shared" si="88"/>
        <v>0</v>
      </c>
      <c r="H764" s="37">
        <f t="shared" si="89"/>
        <v>0</v>
      </c>
      <c r="I764" s="37"/>
      <c r="J764" s="37">
        <v>0</v>
      </c>
      <c r="K764" s="37">
        <f t="shared" si="91"/>
        <v>0</v>
      </c>
      <c r="L764" s="37"/>
      <c r="M764" s="45"/>
    </row>
    <row r="765" spans="1:13" s="6" customFormat="1" ht="15.75">
      <c r="A765" s="8">
        <v>17</v>
      </c>
      <c r="B765" s="24" t="s">
        <v>352</v>
      </c>
      <c r="C765" s="8">
        <v>7260.15</v>
      </c>
      <c r="D765" s="55"/>
      <c r="E765" s="55">
        <v>68.5</v>
      </c>
      <c r="F765" s="40">
        <f t="shared" si="87"/>
        <v>7328.65</v>
      </c>
      <c r="G765" s="221">
        <f t="shared" si="88"/>
        <v>7.5872194023441267E-2</v>
      </c>
      <c r="H765" s="37">
        <f t="shared" si="89"/>
        <v>172.16387162441129</v>
      </c>
      <c r="I765" s="37">
        <f t="shared" si="90"/>
        <v>63.304655596296037</v>
      </c>
      <c r="J765" s="37">
        <v>67.440869718903528</v>
      </c>
      <c r="K765" s="37">
        <f t="shared" si="91"/>
        <v>42.542297910883754</v>
      </c>
      <c r="L765" s="37"/>
      <c r="M765" s="45">
        <f t="shared" si="92"/>
        <v>4.7137152797649587E-2</v>
      </c>
    </row>
    <row r="766" spans="1:13" s="6" customFormat="1" ht="15.75">
      <c r="A766" s="8">
        <v>18</v>
      </c>
      <c r="B766" s="24" t="s">
        <v>353</v>
      </c>
      <c r="C766" s="8">
        <v>6364.4</v>
      </c>
      <c r="D766" s="55"/>
      <c r="E766" s="55">
        <v>171.2</v>
      </c>
      <c r="F766" s="40">
        <f t="shared" si="87"/>
        <v>6535.5999999999995</v>
      </c>
      <c r="G766" s="221">
        <f t="shared" si="88"/>
        <v>6.7661890151610837E-2</v>
      </c>
      <c r="H766" s="37">
        <f t="shared" si="89"/>
        <v>153.53362479972472</v>
      </c>
      <c r="I766" s="37">
        <f t="shared" si="90"/>
        <v>56.454313838858781</v>
      </c>
      <c r="J766" s="37">
        <v>60.142938758825423</v>
      </c>
      <c r="K766" s="37">
        <f t="shared" si="91"/>
        <v>37.938698426909717</v>
      </c>
      <c r="L766" s="37"/>
      <c r="M766" s="45">
        <f t="shared" si="92"/>
        <v>4.7137152797649587E-2</v>
      </c>
    </row>
    <row r="767" spans="1:13" s="6" customFormat="1" ht="15.75">
      <c r="A767" s="8">
        <v>19</v>
      </c>
      <c r="B767" s="24" t="s">
        <v>354</v>
      </c>
      <c r="C767" s="8">
        <v>11062.33</v>
      </c>
      <c r="D767" s="55"/>
      <c r="E767" s="55"/>
      <c r="F767" s="40">
        <f t="shared" si="87"/>
        <v>11062.33</v>
      </c>
      <c r="G767" s="221">
        <f t="shared" si="88"/>
        <v>0.11452631086371093</v>
      </c>
      <c r="H767" s="37">
        <f t="shared" si="89"/>
        <v>259.8750877701724</v>
      </c>
      <c r="I767" s="37">
        <f t="shared" si="90"/>
        <v>95.556069773092403</v>
      </c>
      <c r="J767" s="37">
        <v>101.79953420036681</v>
      </c>
      <c r="K767" s="37">
        <f t="shared" si="91"/>
        <v>64.216047764391362</v>
      </c>
      <c r="L767" s="37"/>
      <c r="M767" s="45">
        <f t="shared" si="92"/>
        <v>4.7137152797649594E-2</v>
      </c>
    </row>
    <row r="768" spans="1:13" s="6" customFormat="1" ht="15.75">
      <c r="A768" s="8">
        <v>20</v>
      </c>
      <c r="B768" s="24" t="s">
        <v>355</v>
      </c>
      <c r="C768" s="8">
        <v>8492.94</v>
      </c>
      <c r="D768" s="55"/>
      <c r="E768" s="55"/>
      <c r="F768" s="40">
        <f t="shared" si="87"/>
        <v>8492.94</v>
      </c>
      <c r="G768" s="221">
        <f t="shared" si="88"/>
        <v>8.7925878778416955E-2</v>
      </c>
      <c r="H768" s="37">
        <f t="shared" si="89"/>
        <v>199.51524931246928</v>
      </c>
      <c r="I768" s="37">
        <f t="shared" si="90"/>
        <v>73.361757172194956</v>
      </c>
      <c r="J768" s="37">
        <v>78.155084506759721</v>
      </c>
      <c r="K768" s="37">
        <f t="shared" si="91"/>
        <v>49.300919489846173</v>
      </c>
      <c r="L768" s="37"/>
      <c r="M768" s="45">
        <f t="shared" si="92"/>
        <v>4.7137152797649587E-2</v>
      </c>
    </row>
    <row r="769" spans="1:13" s="6" customFormat="1" ht="15.75">
      <c r="A769" s="8">
        <v>21</v>
      </c>
      <c r="B769" s="8" t="s">
        <v>365</v>
      </c>
      <c r="C769" s="8"/>
      <c r="D769" s="55"/>
      <c r="E769" s="55"/>
      <c r="F769" s="40"/>
      <c r="G769" s="221">
        <f t="shared" si="88"/>
        <v>0</v>
      </c>
      <c r="H769" s="37">
        <f t="shared" si="89"/>
        <v>0</v>
      </c>
      <c r="I769" s="37"/>
      <c r="J769" s="37">
        <v>0</v>
      </c>
      <c r="K769" s="37">
        <f t="shared" si="91"/>
        <v>0</v>
      </c>
      <c r="L769" s="37"/>
      <c r="M769" s="45"/>
    </row>
    <row r="770" spans="1:13" s="6" customFormat="1" ht="15.75">
      <c r="A770" s="8">
        <v>22</v>
      </c>
      <c r="B770" s="8" t="s">
        <v>366</v>
      </c>
      <c r="C770" s="8"/>
      <c r="D770" s="55"/>
      <c r="E770" s="55"/>
      <c r="F770" s="40"/>
      <c r="G770" s="221">
        <f t="shared" si="88"/>
        <v>0</v>
      </c>
      <c r="H770" s="37">
        <f t="shared" si="89"/>
        <v>0</v>
      </c>
      <c r="I770" s="37"/>
      <c r="J770" s="37">
        <v>0</v>
      </c>
      <c r="K770" s="37">
        <f t="shared" si="91"/>
        <v>0</v>
      </c>
      <c r="L770" s="37"/>
      <c r="M770" s="45"/>
    </row>
    <row r="771" spans="1:13" s="6" customFormat="1" ht="15.75">
      <c r="A771" s="8">
        <v>23</v>
      </c>
      <c r="B771" s="8" t="s">
        <v>367</v>
      </c>
      <c r="C771" s="8"/>
      <c r="D771" s="55"/>
      <c r="E771" s="55"/>
      <c r="F771" s="40"/>
      <c r="G771" s="221">
        <f t="shared" si="88"/>
        <v>0</v>
      </c>
      <c r="H771" s="37">
        <f t="shared" si="89"/>
        <v>0</v>
      </c>
      <c r="I771" s="37"/>
      <c r="J771" s="37">
        <v>0</v>
      </c>
      <c r="K771" s="37">
        <f t="shared" si="91"/>
        <v>0</v>
      </c>
      <c r="L771" s="37"/>
      <c r="M771" s="45"/>
    </row>
    <row r="772" spans="1:13" s="6" customFormat="1" ht="15.75">
      <c r="A772" s="8">
        <v>24</v>
      </c>
      <c r="B772" s="8" t="s">
        <v>368</v>
      </c>
      <c r="C772" s="8"/>
      <c r="D772" s="55"/>
      <c r="E772" s="55"/>
      <c r="F772" s="40"/>
      <c r="G772" s="221">
        <f t="shared" si="88"/>
        <v>0</v>
      </c>
      <c r="H772" s="37">
        <f t="shared" si="89"/>
        <v>0</v>
      </c>
      <c r="I772" s="37"/>
      <c r="J772" s="37">
        <v>0</v>
      </c>
      <c r="K772" s="37">
        <f t="shared" si="91"/>
        <v>0</v>
      </c>
      <c r="L772" s="37"/>
      <c r="M772" s="45"/>
    </row>
    <row r="773" spans="1:13" s="6" customFormat="1" ht="15.75">
      <c r="A773" s="8">
        <v>25</v>
      </c>
      <c r="B773" s="8" t="s">
        <v>369</v>
      </c>
      <c r="C773" s="8"/>
      <c r="D773" s="55"/>
      <c r="E773" s="55"/>
      <c r="F773" s="40"/>
      <c r="G773" s="221">
        <f t="shared" si="88"/>
        <v>0</v>
      </c>
      <c r="H773" s="37">
        <f t="shared" si="89"/>
        <v>0</v>
      </c>
      <c r="I773" s="37"/>
      <c r="J773" s="37">
        <v>0</v>
      </c>
      <c r="K773" s="37">
        <f t="shared" si="91"/>
        <v>0</v>
      </c>
      <c r="L773" s="37"/>
      <c r="M773" s="45"/>
    </row>
    <row r="774" spans="1:13" s="6" customFormat="1" ht="15.75">
      <c r="A774" s="8">
        <v>26</v>
      </c>
      <c r="B774" s="8" t="s">
        <v>370</v>
      </c>
      <c r="C774" s="8"/>
      <c r="D774" s="55"/>
      <c r="E774" s="55"/>
      <c r="F774" s="40"/>
      <c r="G774" s="221">
        <f t="shared" si="88"/>
        <v>0</v>
      </c>
      <c r="H774" s="37">
        <f t="shared" si="89"/>
        <v>0</v>
      </c>
      <c r="I774" s="37"/>
      <c r="J774" s="37">
        <v>0</v>
      </c>
      <c r="K774" s="37">
        <f t="shared" si="91"/>
        <v>0</v>
      </c>
      <c r="L774" s="37"/>
      <c r="M774" s="45"/>
    </row>
    <row r="775" spans="1:13" s="6" customFormat="1" ht="15.75">
      <c r="A775" s="8">
        <v>27</v>
      </c>
      <c r="B775" s="24" t="s">
        <v>371</v>
      </c>
      <c r="C775" s="8">
        <v>4170.17</v>
      </c>
      <c r="D775" s="55"/>
      <c r="E775" s="55">
        <v>689.1</v>
      </c>
      <c r="F775" s="40">
        <f t="shared" si="87"/>
        <v>4859.2700000000004</v>
      </c>
      <c r="G775" s="221">
        <f t="shared" si="88"/>
        <v>5.0307147462668775E-2</v>
      </c>
      <c r="H775" s="37">
        <f t="shared" si="89"/>
        <v>114.15345752196561</v>
      </c>
      <c r="I775" s="37">
        <f t="shared" si="90"/>
        <v>41.97422633082676</v>
      </c>
      <c r="J775" s="37">
        <v>44.716747968449368</v>
      </c>
      <c r="K775" s="37">
        <f t="shared" si="91"/>
        <v>28.207720653793011</v>
      </c>
      <c r="L775" s="37"/>
      <c r="M775" s="45">
        <f t="shared" si="92"/>
        <v>4.7137152797649587E-2</v>
      </c>
    </row>
    <row r="776" spans="1:13" s="6" customFormat="1" ht="15.75">
      <c r="A776" s="8">
        <v>28</v>
      </c>
      <c r="B776" s="24" t="s">
        <v>372</v>
      </c>
      <c r="C776" s="8">
        <v>4268.12</v>
      </c>
      <c r="D776" s="55">
        <v>216.9</v>
      </c>
      <c r="E776" s="55">
        <v>468.4</v>
      </c>
      <c r="F776" s="40">
        <f t="shared" si="87"/>
        <v>4953.4199999999992</v>
      </c>
      <c r="G776" s="221">
        <f t="shared" si="88"/>
        <v>5.1281865462205783E-2</v>
      </c>
      <c r="H776" s="37">
        <f t="shared" si="89"/>
        <v>116.36521937625501</v>
      </c>
      <c r="I776" s="37">
        <f t="shared" si="90"/>
        <v>42.787491164648969</v>
      </c>
      <c r="J776" s="37">
        <v>45.583150086715989</v>
      </c>
      <c r="K776" s="37">
        <f t="shared" si="91"/>
        <v>28.754254783313407</v>
      </c>
      <c r="L776" s="37"/>
      <c r="M776" s="45">
        <f t="shared" si="92"/>
        <v>4.713715279764958E-2</v>
      </c>
    </row>
    <row r="777" spans="1:13" s="6" customFormat="1" ht="15.75">
      <c r="A777" s="8">
        <v>29</v>
      </c>
      <c r="B777" s="24" t="s">
        <v>373</v>
      </c>
      <c r="C777" s="8">
        <v>10932.24</v>
      </c>
      <c r="D777" s="55"/>
      <c r="E777" s="55"/>
      <c r="F777" s="40">
        <f t="shared" si="87"/>
        <v>10932.24</v>
      </c>
      <c r="G777" s="221">
        <f t="shared" si="88"/>
        <v>0.11317951251469584</v>
      </c>
      <c r="H777" s="37">
        <f t="shared" si="89"/>
        <v>256.8190272324718</v>
      </c>
      <c r="I777" s="37">
        <f t="shared" si="90"/>
        <v>94.432356313379884</v>
      </c>
      <c r="J777" s="37">
        <v>100.60239929260997</v>
      </c>
      <c r="K777" s="37">
        <f t="shared" si="91"/>
        <v>63.460884462115111</v>
      </c>
      <c r="L777" s="37"/>
      <c r="M777" s="45">
        <f t="shared" si="92"/>
        <v>4.7137152797649587E-2</v>
      </c>
    </row>
    <row r="778" spans="1:13" s="6" customFormat="1" ht="15.75">
      <c r="A778" s="8">
        <v>30</v>
      </c>
      <c r="B778" s="24" t="s">
        <v>374</v>
      </c>
      <c r="C778" s="8">
        <v>4713.08</v>
      </c>
      <c r="D778" s="55"/>
      <c r="E778" s="55"/>
      <c r="F778" s="40">
        <f t="shared" si="87"/>
        <v>4713.08</v>
      </c>
      <c r="G778" s="221">
        <f t="shared" si="88"/>
        <v>4.8793668712245858E-2</v>
      </c>
      <c r="H778" s="37">
        <f t="shared" si="89"/>
        <v>110.71917748501845</v>
      </c>
      <c r="I778" s="37">
        <f t="shared" si="90"/>
        <v>40.711441561241287</v>
      </c>
      <c r="J778" s="37">
        <v>43.371455077643205</v>
      </c>
      <c r="K778" s="37">
        <f t="shared" si="91"/>
        <v>27.359097983643377</v>
      </c>
      <c r="L778" s="37"/>
      <c r="M778" s="45">
        <f t="shared" si="92"/>
        <v>4.7137152797649587E-2</v>
      </c>
    </row>
    <row r="779" spans="1:13" s="6" customFormat="1" ht="15.75">
      <c r="A779" s="8">
        <v>31</v>
      </c>
      <c r="B779" s="24" t="s">
        <v>375</v>
      </c>
      <c r="C779" s="8">
        <v>4688.58</v>
      </c>
      <c r="D779" s="55"/>
      <c r="E779" s="55"/>
      <c r="F779" s="40">
        <f t="shared" si="87"/>
        <v>4688.58</v>
      </c>
      <c r="G779" s="221">
        <f t="shared" si="88"/>
        <v>4.8540024623147007E-2</v>
      </c>
      <c r="H779" s="37">
        <f t="shared" si="89"/>
        <v>110.14362607312157</v>
      </c>
      <c r="I779" s="37">
        <f t="shared" si="90"/>
        <v>40.499811307086802</v>
      </c>
      <c r="J779" s="37">
        <v>43.145997277350773</v>
      </c>
      <c r="K779" s="37">
        <f t="shared" si="91"/>
        <v>27.21687720644476</v>
      </c>
      <c r="L779" s="37"/>
      <c r="M779" s="45">
        <f t="shared" si="92"/>
        <v>4.7137152797649594E-2</v>
      </c>
    </row>
    <row r="780" spans="1:13" s="6" customFormat="1" ht="15.75">
      <c r="A780" s="8">
        <v>32</v>
      </c>
      <c r="B780" s="24" t="s">
        <v>376</v>
      </c>
      <c r="C780" s="8">
        <v>2330.62</v>
      </c>
      <c r="D780" s="55"/>
      <c r="E780" s="55"/>
      <c r="F780" s="40">
        <f t="shared" si="87"/>
        <v>2330.62</v>
      </c>
      <c r="G780" s="221">
        <f t="shared" si="88"/>
        <v>2.4128489262676304E-2</v>
      </c>
      <c r="H780" s="37">
        <f t="shared" si="89"/>
        <v>54.750678840616686</v>
      </c>
      <c r="I780" s="37">
        <f t="shared" si="90"/>
        <v>20.131824609694757</v>
      </c>
      <c r="J780" s="37">
        <v>21.447202388471407</v>
      </c>
      <c r="K780" s="37">
        <f t="shared" si="91"/>
        <v>13.529085214475231</v>
      </c>
      <c r="L780" s="37"/>
      <c r="M780" s="45">
        <f t="shared" si="92"/>
        <v>4.7137152797649594E-2</v>
      </c>
    </row>
    <row r="781" spans="1:13" s="6" customFormat="1" ht="15.75">
      <c r="A781" s="8">
        <v>33</v>
      </c>
      <c r="B781" s="24" t="s">
        <v>377</v>
      </c>
      <c r="C781" s="8">
        <v>2305.7800000000002</v>
      </c>
      <c r="D781" s="55"/>
      <c r="E781" s="55"/>
      <c r="F781" s="40">
        <f t="shared" si="87"/>
        <v>2305.7800000000002</v>
      </c>
      <c r="G781" s="221">
        <f t="shared" si="88"/>
        <v>2.3871325214789959E-2</v>
      </c>
      <c r="H781" s="37">
        <f t="shared" si="89"/>
        <v>54.167140184636345</v>
      </c>
      <c r="I781" s="37">
        <f t="shared" si="90"/>
        <v>19.917257445890787</v>
      </c>
      <c r="J781" s="37">
        <v>21.218615786052467</v>
      </c>
      <c r="K781" s="37">
        <f t="shared" si="91"/>
        <v>13.384890761184879</v>
      </c>
      <c r="L781" s="37"/>
      <c r="M781" s="45">
        <f t="shared" si="92"/>
        <v>4.7137152797649587E-2</v>
      </c>
    </row>
    <row r="782" spans="1:13" s="6" customFormat="1" ht="15.75">
      <c r="A782" s="8">
        <v>34</v>
      </c>
      <c r="B782" s="24" t="s">
        <v>378</v>
      </c>
      <c r="C782" s="8">
        <v>2216.46</v>
      </c>
      <c r="D782" s="55"/>
      <c r="E782" s="55"/>
      <c r="F782" s="40">
        <f t="shared" si="87"/>
        <v>2216.46</v>
      </c>
      <c r="G782" s="221">
        <f t="shared" si="88"/>
        <v>2.2946611335675281E-2</v>
      </c>
      <c r="H782" s="37">
        <f t="shared" si="89"/>
        <v>52.068844180120855</v>
      </c>
      <c r="I782" s="37">
        <f t="shared" si="90"/>
        <v>19.145714005030438</v>
      </c>
      <c r="J782" s="37">
        <v>20.396661062700627</v>
      </c>
      <c r="K782" s="37">
        <f t="shared" si="91"/>
        <v>12.866394442026488</v>
      </c>
      <c r="L782" s="37"/>
      <c r="M782" s="45">
        <f t="shared" si="92"/>
        <v>4.7137152797649587E-2</v>
      </c>
    </row>
    <row r="783" spans="1:13" s="6" customFormat="1" ht="15.75">
      <c r="A783" s="8">
        <v>35</v>
      </c>
      <c r="B783" s="8" t="s">
        <v>379</v>
      </c>
      <c r="C783" s="8"/>
      <c r="D783" s="55"/>
      <c r="E783" s="55"/>
      <c r="F783" s="40"/>
      <c r="G783" s="221">
        <f t="shared" si="88"/>
        <v>0</v>
      </c>
      <c r="H783" s="37">
        <f t="shared" si="89"/>
        <v>0</v>
      </c>
      <c r="I783" s="37"/>
      <c r="J783" s="37">
        <v>0</v>
      </c>
      <c r="K783" s="37">
        <f t="shared" si="91"/>
        <v>0</v>
      </c>
      <c r="L783" s="37"/>
      <c r="M783" s="45"/>
    </row>
    <row r="784" spans="1:13" s="6" customFormat="1" ht="15.75">
      <c r="A784" s="8">
        <v>36</v>
      </c>
      <c r="B784" s="24" t="s">
        <v>380</v>
      </c>
      <c r="C784" s="8">
        <v>4616.67</v>
      </c>
      <c r="D784" s="55"/>
      <c r="E784" s="55">
        <v>516.1</v>
      </c>
      <c r="F784" s="40">
        <f t="shared" si="87"/>
        <v>5132.7700000000004</v>
      </c>
      <c r="G784" s="221">
        <f t="shared" si="88"/>
        <v>5.3138643722609034E-2</v>
      </c>
      <c r="H784" s="37">
        <f t="shared" si="89"/>
        <v>120.57849063028384</v>
      </c>
      <c r="I784" s="37">
        <f t="shared" si="90"/>
        <v>44.336711004755372</v>
      </c>
      <c r="J784" s="37">
        <v>46.400779701245902</v>
      </c>
      <c r="K784" s="37">
        <f t="shared" si="91"/>
        <v>29.795368921704114</v>
      </c>
      <c r="L784" s="37"/>
      <c r="M784" s="45">
        <f t="shared" si="92"/>
        <v>4.6974898594324153E-2</v>
      </c>
    </row>
    <row r="785" spans="1:13" s="6" customFormat="1" ht="15.75">
      <c r="A785" s="8">
        <v>37</v>
      </c>
      <c r="B785" s="24" t="s">
        <v>381</v>
      </c>
      <c r="C785" s="8">
        <v>4459.21</v>
      </c>
      <c r="D785" s="55"/>
      <c r="E785" s="55">
        <v>199.1</v>
      </c>
      <c r="F785" s="40">
        <f t="shared" si="87"/>
        <v>4658.3100000000004</v>
      </c>
      <c r="G785" s="221">
        <f t="shared" si="88"/>
        <v>4.8226644762860385E-2</v>
      </c>
      <c r="H785" s="37">
        <f t="shared" si="89"/>
        <v>109.43252643074939</v>
      </c>
      <c r="I785" s="37">
        <f t="shared" si="90"/>
        <v>40.238339968586551</v>
      </c>
      <c r="J785" s="37">
        <v>42.867441864499682</v>
      </c>
      <c r="K785" s="37">
        <f t="shared" si="91"/>
        <v>27.041161984983447</v>
      </c>
      <c r="L785" s="37"/>
      <c r="M785" s="45">
        <f t="shared" si="92"/>
        <v>4.7137152797649587E-2</v>
      </c>
    </row>
    <row r="786" spans="1:13" s="6" customFormat="1" ht="15.75">
      <c r="A786" s="8">
        <v>38</v>
      </c>
      <c r="B786" s="24" t="s">
        <v>382</v>
      </c>
      <c r="C786" s="8">
        <v>4519.6099999999997</v>
      </c>
      <c r="D786" s="55"/>
      <c r="E786" s="55"/>
      <c r="F786" s="40">
        <f t="shared" si="87"/>
        <v>4519.6099999999997</v>
      </c>
      <c r="G786" s="221">
        <f t="shared" si="88"/>
        <v>4.6790708633961973E-2</v>
      </c>
      <c r="H786" s="37">
        <f t="shared" si="89"/>
        <v>106.17420068258214</v>
      </c>
      <c r="I786" s="37">
        <f t="shared" si="90"/>
        <v>39.040253590985458</v>
      </c>
      <c r="J786" s="37">
        <v>41.591074644068641</v>
      </c>
      <c r="K786" s="37">
        <f t="shared" si="91"/>
        <v>26.236018238148819</v>
      </c>
      <c r="L786" s="37"/>
      <c r="M786" s="45">
        <f t="shared" si="92"/>
        <v>4.7137152797649594E-2</v>
      </c>
    </row>
    <row r="787" spans="1:13" s="6" customFormat="1" ht="15.75">
      <c r="A787" s="8">
        <v>39</v>
      </c>
      <c r="B787" s="24" t="s">
        <v>383</v>
      </c>
      <c r="C787" s="8">
        <v>7164.75</v>
      </c>
      <c r="D787" s="55"/>
      <c r="E787" s="55"/>
      <c r="F787" s="40">
        <f t="shared" si="87"/>
        <v>7164.75</v>
      </c>
      <c r="G787" s="221">
        <f t="shared" si="88"/>
        <v>7.4175366831469761E-2</v>
      </c>
      <c r="H787" s="37">
        <f t="shared" si="89"/>
        <v>168.31355013829298</v>
      </c>
      <c r="I787" s="37">
        <f t="shared" si="90"/>
        <v>61.888892385850333</v>
      </c>
      <c r="J787" s="37">
        <v>65.932603046743139</v>
      </c>
      <c r="K787" s="37">
        <f t="shared" si="91"/>
        <v>41.59086993607341</v>
      </c>
      <c r="L787" s="37"/>
      <c r="M787" s="45">
        <f t="shared" si="92"/>
        <v>4.713715279764958E-2</v>
      </c>
    </row>
    <row r="788" spans="1:13" s="6" customFormat="1" ht="15.75">
      <c r="A788" s="8">
        <v>40</v>
      </c>
      <c r="B788" s="24" t="s">
        <v>384</v>
      </c>
      <c r="C788" s="8">
        <v>4422.5</v>
      </c>
      <c r="D788" s="55"/>
      <c r="E788" s="55"/>
      <c r="F788" s="40">
        <f t="shared" si="87"/>
        <v>4422.5</v>
      </c>
      <c r="G788" s="221">
        <f t="shared" si="88"/>
        <v>4.5785346287333828E-2</v>
      </c>
      <c r="H788" s="37">
        <f t="shared" si="89"/>
        <v>103.89290282097781</v>
      </c>
      <c r="I788" s="37">
        <f t="shared" si="90"/>
        <v>38.201420367273542</v>
      </c>
      <c r="J788" s="37">
        <v>40.697433542582999</v>
      </c>
      <c r="K788" s="37">
        <f t="shared" si="91"/>
        <v>25.672301516770954</v>
      </c>
      <c r="L788" s="37"/>
      <c r="M788" s="45">
        <f t="shared" si="92"/>
        <v>4.7137152797649587E-2</v>
      </c>
    </row>
    <row r="789" spans="1:13" s="6" customFormat="1" ht="15.75">
      <c r="A789" s="8">
        <v>41</v>
      </c>
      <c r="B789" s="24" t="s">
        <v>385</v>
      </c>
      <c r="C789" s="8">
        <v>9048.7900000000009</v>
      </c>
      <c r="D789" s="55"/>
      <c r="E789" s="55"/>
      <c r="F789" s="40">
        <f t="shared" si="87"/>
        <v>9048.7900000000009</v>
      </c>
      <c r="G789" s="221">
        <f t="shared" si="88"/>
        <v>9.3680493754971964E-2</v>
      </c>
      <c r="H789" s="37">
        <f t="shared" si="89"/>
        <v>212.57321879421954</v>
      </c>
      <c r="I789" s="37">
        <f t="shared" si="90"/>
        <v>78.163172550634528</v>
      </c>
      <c r="J789" s="37">
        <v>83.270215865639273</v>
      </c>
      <c r="K789" s="37">
        <f t="shared" si="91"/>
        <v>52.527589653350333</v>
      </c>
      <c r="L789" s="37"/>
      <c r="M789" s="45">
        <f t="shared" si="92"/>
        <v>4.7137152797649594E-2</v>
      </c>
    </row>
    <row r="790" spans="1:13" s="6" customFormat="1" ht="15.75">
      <c r="A790" s="8">
        <v>42</v>
      </c>
      <c r="B790" s="24" t="s">
        <v>386</v>
      </c>
      <c r="C790" s="32">
        <v>4583.33</v>
      </c>
      <c r="D790" s="55"/>
      <c r="E790" s="55"/>
      <c r="F790" s="40">
        <f t="shared" si="87"/>
        <v>4583.33</v>
      </c>
      <c r="G790" s="221">
        <f t="shared" si="88"/>
        <v>4.7450390322018254E-2</v>
      </c>
      <c r="H790" s="37">
        <f t="shared" si="89"/>
        <v>107.67110419140128</v>
      </c>
      <c r="I790" s="37">
        <f t="shared" si="90"/>
        <v>39.590665011178253</v>
      </c>
      <c r="J790" s="37">
        <v>42.177448972012876</v>
      </c>
      <c r="K790" s="37">
        <f t="shared" si="91"/>
        <v>26.605908357458858</v>
      </c>
      <c r="L790" s="37"/>
      <c r="M790" s="45">
        <f t="shared" si="92"/>
        <v>4.713715279764958E-2</v>
      </c>
    </row>
    <row r="791" spans="1:13" s="6" customFormat="1" ht="15.75">
      <c r="A791" s="8">
        <v>43</v>
      </c>
      <c r="B791" s="24" t="s">
        <v>387</v>
      </c>
      <c r="C791" s="32">
        <v>2091.96</v>
      </c>
      <c r="D791" s="55"/>
      <c r="E791" s="55">
        <v>121.7</v>
      </c>
      <c r="F791" s="40">
        <f t="shared" si="87"/>
        <v>2213.66</v>
      </c>
      <c r="G791" s="221">
        <f t="shared" si="88"/>
        <v>2.2917623439778267E-2</v>
      </c>
      <c r="H791" s="37">
        <f t="shared" si="89"/>
        <v>52.003066875904061</v>
      </c>
      <c r="I791" s="37">
        <f t="shared" si="90"/>
        <v>19.121527690269925</v>
      </c>
      <c r="J791" s="37">
        <v>20.370894456952918</v>
      </c>
      <c r="K791" s="37">
        <f t="shared" si="91"/>
        <v>12.850140638918074</v>
      </c>
      <c r="L791" s="37"/>
      <c r="M791" s="45">
        <f t="shared" si="92"/>
        <v>4.7137152797649587E-2</v>
      </c>
    </row>
    <row r="792" spans="1:13" s="6" customFormat="1" ht="15.75">
      <c r="A792" s="8">
        <v>44</v>
      </c>
      <c r="B792" s="8" t="s">
        <v>388</v>
      </c>
      <c r="C792" s="32"/>
      <c r="D792" s="55"/>
      <c r="E792" s="55"/>
      <c r="F792" s="40"/>
      <c r="G792" s="221">
        <f t="shared" si="88"/>
        <v>0</v>
      </c>
      <c r="H792" s="37">
        <f t="shared" si="89"/>
        <v>0</v>
      </c>
      <c r="I792" s="37"/>
      <c r="J792" s="37">
        <v>0.37913719885911129</v>
      </c>
      <c r="K792" s="37">
        <f t="shared" si="91"/>
        <v>0</v>
      </c>
      <c r="L792" s="37"/>
      <c r="M792" s="45"/>
    </row>
    <row r="793" spans="1:13" s="6" customFormat="1" ht="15.75">
      <c r="A793" s="8">
        <v>45</v>
      </c>
      <c r="B793" s="8" t="s">
        <v>389</v>
      </c>
      <c r="C793" s="32"/>
      <c r="D793" s="55"/>
      <c r="E793" s="55"/>
      <c r="F793" s="40"/>
      <c r="G793" s="221">
        <f t="shared" si="88"/>
        <v>0</v>
      </c>
      <c r="H793" s="37">
        <f t="shared" si="89"/>
        <v>0</v>
      </c>
      <c r="I793" s="37"/>
      <c r="J793" s="37">
        <v>0.19324954310779943</v>
      </c>
      <c r="K793" s="37">
        <f t="shared" si="91"/>
        <v>0</v>
      </c>
      <c r="L793" s="37"/>
      <c r="M793" s="45"/>
    </row>
    <row r="794" spans="1:13" s="6" customFormat="1" ht="15.75">
      <c r="A794" s="8">
        <v>46</v>
      </c>
      <c r="B794" s="8" t="s">
        <v>390</v>
      </c>
      <c r="C794" s="32"/>
      <c r="D794" s="55"/>
      <c r="E794" s="55"/>
      <c r="F794" s="40"/>
      <c r="G794" s="221">
        <f t="shared" si="88"/>
        <v>0</v>
      </c>
      <c r="H794" s="37">
        <f t="shared" si="89"/>
        <v>0</v>
      </c>
      <c r="I794" s="37"/>
      <c r="J794" s="37">
        <v>1.041707060942995</v>
      </c>
      <c r="K794" s="37">
        <f t="shared" si="91"/>
        <v>0</v>
      </c>
      <c r="L794" s="37"/>
      <c r="M794" s="45"/>
    </row>
    <row r="795" spans="1:13" s="6" customFormat="1" ht="15.75">
      <c r="A795" s="8">
        <v>47</v>
      </c>
      <c r="B795" s="8" t="s">
        <v>391</v>
      </c>
      <c r="C795" s="32"/>
      <c r="D795" s="55"/>
      <c r="E795" s="55"/>
      <c r="F795" s="40"/>
      <c r="G795" s="221">
        <f t="shared" si="88"/>
        <v>0</v>
      </c>
      <c r="H795" s="37">
        <f t="shared" si="89"/>
        <v>0</v>
      </c>
      <c r="I795" s="37"/>
      <c r="J795" s="37">
        <v>1.3729919919849369</v>
      </c>
      <c r="K795" s="37">
        <f t="shared" si="91"/>
        <v>0</v>
      </c>
      <c r="L795" s="37"/>
      <c r="M795" s="45"/>
    </row>
    <row r="796" spans="1:13" s="6" customFormat="1" ht="15.75">
      <c r="A796" s="8">
        <v>49</v>
      </c>
      <c r="B796" s="8" t="s">
        <v>808</v>
      </c>
      <c r="C796" s="32"/>
      <c r="D796" s="55"/>
      <c r="E796" s="55"/>
      <c r="F796" s="40"/>
      <c r="G796" s="221">
        <f t="shared" si="88"/>
        <v>0</v>
      </c>
      <c r="H796" s="37">
        <f t="shared" si="89"/>
        <v>0</v>
      </c>
      <c r="I796" s="37"/>
      <c r="J796" s="37">
        <v>0</v>
      </c>
      <c r="K796" s="37">
        <f t="shared" ref="K796:K856" si="93">G796*560.71</f>
        <v>0</v>
      </c>
      <c r="L796" s="37"/>
      <c r="M796" s="45"/>
    </row>
    <row r="797" spans="1:13" s="6" customFormat="1" ht="15.75">
      <c r="A797" s="8">
        <v>50</v>
      </c>
      <c r="B797" s="8" t="s">
        <v>809</v>
      </c>
      <c r="C797" s="32"/>
      <c r="D797" s="55"/>
      <c r="E797" s="55"/>
      <c r="F797" s="40"/>
      <c r="G797" s="221">
        <f t="shared" si="88"/>
        <v>0</v>
      </c>
      <c r="H797" s="37">
        <f t="shared" si="89"/>
        <v>0</v>
      </c>
      <c r="I797" s="37"/>
      <c r="J797" s="37">
        <v>0</v>
      </c>
      <c r="K797" s="37">
        <f t="shared" si="93"/>
        <v>0</v>
      </c>
      <c r="L797" s="37"/>
      <c r="M797" s="45"/>
    </row>
    <row r="798" spans="1:13" s="6" customFormat="1" ht="15.75">
      <c r="A798" s="8">
        <v>51</v>
      </c>
      <c r="B798" s="8" t="s">
        <v>810</v>
      </c>
      <c r="C798" s="32"/>
      <c r="D798" s="55"/>
      <c r="E798" s="55"/>
      <c r="F798" s="40"/>
      <c r="G798" s="221">
        <f t="shared" si="88"/>
        <v>0</v>
      </c>
      <c r="H798" s="37">
        <f t="shared" si="89"/>
        <v>0</v>
      </c>
      <c r="I798" s="37"/>
      <c r="J798" s="37">
        <v>0</v>
      </c>
      <c r="K798" s="37">
        <f t="shared" si="93"/>
        <v>0</v>
      </c>
      <c r="L798" s="37"/>
      <c r="M798" s="45"/>
    </row>
    <row r="799" spans="1:13" s="6" customFormat="1" ht="15.75">
      <c r="A799" s="8">
        <v>52</v>
      </c>
      <c r="B799" s="8" t="s">
        <v>811</v>
      </c>
      <c r="C799" s="32"/>
      <c r="D799" s="55"/>
      <c r="E799" s="55"/>
      <c r="F799" s="40"/>
      <c r="G799" s="221">
        <f t="shared" si="88"/>
        <v>0</v>
      </c>
      <c r="H799" s="37">
        <f t="shared" si="89"/>
        <v>0</v>
      </c>
      <c r="I799" s="37"/>
      <c r="J799" s="37">
        <v>0</v>
      </c>
      <c r="K799" s="37">
        <f t="shared" si="93"/>
        <v>0</v>
      </c>
      <c r="L799" s="37"/>
      <c r="M799" s="45"/>
    </row>
    <row r="800" spans="1:13" s="6" customFormat="1" ht="15.75">
      <c r="A800" s="8">
        <v>53</v>
      </c>
      <c r="B800" s="8" t="s">
        <v>812</v>
      </c>
      <c r="C800" s="32"/>
      <c r="D800" s="55"/>
      <c r="E800" s="55"/>
      <c r="F800" s="40"/>
      <c r="G800" s="221">
        <f t="shared" si="88"/>
        <v>0</v>
      </c>
      <c r="H800" s="37">
        <f t="shared" si="89"/>
        <v>0</v>
      </c>
      <c r="I800" s="37"/>
      <c r="J800" s="37">
        <v>0</v>
      </c>
      <c r="K800" s="37">
        <f t="shared" si="93"/>
        <v>0</v>
      </c>
      <c r="L800" s="37"/>
      <c r="M800" s="45"/>
    </row>
    <row r="801" spans="1:13" s="6" customFormat="1" ht="15.75">
      <c r="A801" s="8">
        <v>54</v>
      </c>
      <c r="B801" s="8" t="s">
        <v>813</v>
      </c>
      <c r="C801" s="32"/>
      <c r="D801" s="55"/>
      <c r="E801" s="55"/>
      <c r="F801" s="40"/>
      <c r="G801" s="221">
        <f t="shared" si="88"/>
        <v>0</v>
      </c>
      <c r="H801" s="37">
        <f t="shared" si="89"/>
        <v>0</v>
      </c>
      <c r="I801" s="37"/>
      <c r="J801" s="37">
        <v>0</v>
      </c>
      <c r="K801" s="37">
        <f t="shared" si="93"/>
        <v>0</v>
      </c>
      <c r="L801" s="37"/>
      <c r="M801" s="45"/>
    </row>
    <row r="802" spans="1:13" s="6" customFormat="1" ht="15.75">
      <c r="A802" s="8">
        <v>55</v>
      </c>
      <c r="B802" s="8" t="s">
        <v>814</v>
      </c>
      <c r="C802" s="32"/>
      <c r="D802" s="55"/>
      <c r="E802" s="55"/>
      <c r="F802" s="40"/>
      <c r="G802" s="221">
        <f t="shared" si="88"/>
        <v>0</v>
      </c>
      <c r="H802" s="37">
        <f t="shared" si="89"/>
        <v>0</v>
      </c>
      <c r="I802" s="37"/>
      <c r="J802" s="37">
        <v>0</v>
      </c>
      <c r="K802" s="37">
        <f t="shared" si="93"/>
        <v>0</v>
      </c>
      <c r="L802" s="37"/>
      <c r="M802" s="45"/>
    </row>
    <row r="803" spans="1:13" s="6" customFormat="1" ht="15.75">
      <c r="A803" s="8">
        <v>56</v>
      </c>
      <c r="B803" s="8" t="s">
        <v>815</v>
      </c>
      <c r="C803" s="32"/>
      <c r="D803" s="55"/>
      <c r="E803" s="55"/>
      <c r="F803" s="40"/>
      <c r="G803" s="221">
        <f t="shared" si="88"/>
        <v>0</v>
      </c>
      <c r="H803" s="37">
        <f t="shared" si="89"/>
        <v>0</v>
      </c>
      <c r="I803" s="37"/>
      <c r="J803" s="37">
        <v>0</v>
      </c>
      <c r="K803" s="37">
        <f t="shared" si="93"/>
        <v>0</v>
      </c>
      <c r="L803" s="37"/>
      <c r="M803" s="45"/>
    </row>
    <row r="804" spans="1:13" s="6" customFormat="1" ht="15.75">
      <c r="A804" s="8">
        <v>57</v>
      </c>
      <c r="B804" s="8" t="s">
        <v>816</v>
      </c>
      <c r="C804" s="32"/>
      <c r="D804" s="55"/>
      <c r="E804" s="55"/>
      <c r="F804" s="40"/>
      <c r="G804" s="221">
        <f t="shared" si="88"/>
        <v>0</v>
      </c>
      <c r="H804" s="37">
        <f t="shared" si="89"/>
        <v>0</v>
      </c>
      <c r="I804" s="37"/>
      <c r="J804" s="37">
        <v>0</v>
      </c>
      <c r="K804" s="37">
        <f t="shared" si="93"/>
        <v>0</v>
      </c>
      <c r="L804" s="37"/>
      <c r="M804" s="45"/>
    </row>
    <row r="805" spans="1:13" s="6" customFormat="1" ht="15.75">
      <c r="A805" s="8">
        <v>58</v>
      </c>
      <c r="B805" s="8" t="s">
        <v>817</v>
      </c>
      <c r="C805" s="32"/>
      <c r="D805" s="55"/>
      <c r="E805" s="55"/>
      <c r="F805" s="40"/>
      <c r="G805" s="221">
        <f t="shared" si="88"/>
        <v>0</v>
      </c>
      <c r="H805" s="37">
        <f t="shared" si="89"/>
        <v>0</v>
      </c>
      <c r="I805" s="37"/>
      <c r="J805" s="37">
        <v>0</v>
      </c>
      <c r="K805" s="37">
        <f t="shared" si="93"/>
        <v>0</v>
      </c>
      <c r="L805" s="37"/>
      <c r="M805" s="45"/>
    </row>
    <row r="806" spans="1:13" s="6" customFormat="1" ht="15.75">
      <c r="A806" s="8">
        <v>59</v>
      </c>
      <c r="B806" s="8" t="s">
        <v>818</v>
      </c>
      <c r="C806" s="32"/>
      <c r="D806" s="55"/>
      <c r="E806" s="55"/>
      <c r="F806" s="40"/>
      <c r="G806" s="221">
        <f t="shared" si="88"/>
        <v>0</v>
      </c>
      <c r="H806" s="37">
        <f t="shared" si="89"/>
        <v>0</v>
      </c>
      <c r="I806" s="37"/>
      <c r="J806" s="37">
        <v>0</v>
      </c>
      <c r="K806" s="37">
        <f t="shared" si="93"/>
        <v>0</v>
      </c>
      <c r="L806" s="37"/>
      <c r="M806" s="45"/>
    </row>
    <row r="807" spans="1:13" s="6" customFormat="1" ht="15.75">
      <c r="A807" s="8">
        <v>60</v>
      </c>
      <c r="B807" s="8" t="s">
        <v>819</v>
      </c>
      <c r="C807" s="32"/>
      <c r="D807" s="55"/>
      <c r="E807" s="55"/>
      <c r="F807" s="40"/>
      <c r="G807" s="221">
        <f t="shared" si="88"/>
        <v>0</v>
      </c>
      <c r="H807" s="37">
        <f t="shared" si="89"/>
        <v>0</v>
      </c>
      <c r="I807" s="37"/>
      <c r="J807" s="37">
        <v>0</v>
      </c>
      <c r="K807" s="37">
        <f t="shared" si="93"/>
        <v>0</v>
      </c>
      <c r="L807" s="37"/>
      <c r="M807" s="45"/>
    </row>
    <row r="808" spans="1:13" s="6" customFormat="1" ht="15.75">
      <c r="A808" s="8">
        <v>61</v>
      </c>
      <c r="B808" s="8" t="s">
        <v>820</v>
      </c>
      <c r="C808" s="8"/>
      <c r="D808" s="55"/>
      <c r="E808" s="55"/>
      <c r="F808" s="40"/>
      <c r="G808" s="221">
        <f t="shared" si="88"/>
        <v>0</v>
      </c>
      <c r="H808" s="37">
        <f t="shared" si="89"/>
        <v>0</v>
      </c>
      <c r="I808" s="37"/>
      <c r="J808" s="37">
        <v>0</v>
      </c>
      <c r="K808" s="37">
        <f t="shared" si="93"/>
        <v>0</v>
      </c>
      <c r="L808" s="37"/>
      <c r="M808" s="45"/>
    </row>
    <row r="809" spans="1:13" s="6" customFormat="1" ht="15.75">
      <c r="A809" s="8">
        <v>62</v>
      </c>
      <c r="B809" s="8" t="s">
        <v>821</v>
      </c>
      <c r="C809" s="8"/>
      <c r="D809" s="55"/>
      <c r="E809" s="55"/>
      <c r="F809" s="40"/>
      <c r="G809" s="221">
        <f t="shared" si="88"/>
        <v>0</v>
      </c>
      <c r="H809" s="37">
        <f t="shared" si="89"/>
        <v>0</v>
      </c>
      <c r="I809" s="37"/>
      <c r="J809" s="37">
        <v>0</v>
      </c>
      <c r="K809" s="37">
        <f t="shared" si="93"/>
        <v>0</v>
      </c>
      <c r="L809" s="37"/>
      <c r="M809" s="45"/>
    </row>
    <row r="810" spans="1:13" s="6" customFormat="1" ht="15.75">
      <c r="A810" s="8">
        <v>63</v>
      </c>
      <c r="B810" s="8" t="s">
        <v>822</v>
      </c>
      <c r="C810" s="8"/>
      <c r="D810" s="55"/>
      <c r="E810" s="55"/>
      <c r="F810" s="40"/>
      <c r="G810" s="221">
        <f t="shared" si="88"/>
        <v>0</v>
      </c>
      <c r="H810" s="37">
        <f t="shared" si="89"/>
        <v>0</v>
      </c>
      <c r="I810" s="37"/>
      <c r="J810" s="37">
        <v>0</v>
      </c>
      <c r="K810" s="37">
        <f t="shared" si="93"/>
        <v>0</v>
      </c>
      <c r="L810" s="37"/>
      <c r="M810" s="45"/>
    </row>
    <row r="811" spans="1:13" s="6" customFormat="1" ht="15.75">
      <c r="A811" s="8">
        <v>64</v>
      </c>
      <c r="B811" s="8" t="s">
        <v>823</v>
      </c>
      <c r="C811" s="8"/>
      <c r="D811" s="55"/>
      <c r="E811" s="55"/>
      <c r="F811" s="40"/>
      <c r="G811" s="221">
        <f t="shared" si="88"/>
        <v>0</v>
      </c>
      <c r="H811" s="37">
        <f t="shared" si="89"/>
        <v>0</v>
      </c>
      <c r="I811" s="37"/>
      <c r="J811" s="37">
        <v>0</v>
      </c>
      <c r="K811" s="37">
        <f t="shared" si="93"/>
        <v>0</v>
      </c>
      <c r="L811" s="37"/>
      <c r="M811" s="45"/>
    </row>
    <row r="812" spans="1:13" s="6" customFormat="1" ht="15.75">
      <c r="A812" s="8">
        <v>65</v>
      </c>
      <c r="B812" s="8" t="s">
        <v>824</v>
      </c>
      <c r="C812" s="8"/>
      <c r="D812" s="55"/>
      <c r="E812" s="55"/>
      <c r="F812" s="40"/>
      <c r="G812" s="221">
        <f t="shared" si="88"/>
        <v>0</v>
      </c>
      <c r="H812" s="37">
        <f t="shared" si="89"/>
        <v>0</v>
      </c>
      <c r="I812" s="37"/>
      <c r="J812" s="37">
        <v>0</v>
      </c>
      <c r="K812" s="37">
        <f t="shared" si="93"/>
        <v>0</v>
      </c>
      <c r="L812" s="37"/>
      <c r="M812" s="45"/>
    </row>
    <row r="813" spans="1:13" s="6" customFormat="1" ht="15.75">
      <c r="A813" s="8">
        <v>66</v>
      </c>
      <c r="B813" s="8" t="s">
        <v>825</v>
      </c>
      <c r="C813" s="8"/>
      <c r="D813" s="55"/>
      <c r="E813" s="55"/>
      <c r="F813" s="40"/>
      <c r="G813" s="221">
        <f t="shared" ref="G813:G876" si="94">2/193184.08*F813</f>
        <v>0</v>
      </c>
      <c r="H813" s="37">
        <f t="shared" ref="H813:H876" si="95">G813*2269.13</f>
        <v>0</v>
      </c>
      <c r="I813" s="37"/>
      <c r="J813" s="37">
        <v>0</v>
      </c>
      <c r="K813" s="37">
        <f t="shared" si="93"/>
        <v>0</v>
      </c>
      <c r="L813" s="37"/>
      <c r="M813" s="45"/>
    </row>
    <row r="814" spans="1:13" s="6" customFormat="1" ht="15.75">
      <c r="A814" s="8">
        <v>67</v>
      </c>
      <c r="B814" s="8" t="s">
        <v>826</v>
      </c>
      <c r="C814" s="8"/>
      <c r="D814" s="55"/>
      <c r="E814" s="55"/>
      <c r="F814" s="40"/>
      <c r="G814" s="221">
        <f t="shared" si="94"/>
        <v>0</v>
      </c>
      <c r="H814" s="37">
        <f t="shared" si="95"/>
        <v>0</v>
      </c>
      <c r="I814" s="37"/>
      <c r="J814" s="37">
        <v>0</v>
      </c>
      <c r="K814" s="37">
        <f t="shared" si="93"/>
        <v>0</v>
      </c>
      <c r="L814" s="37"/>
      <c r="M814" s="45"/>
    </row>
    <row r="815" spans="1:13" s="6" customFormat="1" ht="15.75">
      <c r="A815" s="8">
        <v>68</v>
      </c>
      <c r="B815" s="8" t="s">
        <v>827</v>
      </c>
      <c r="C815" s="8"/>
      <c r="D815" s="55"/>
      <c r="E815" s="55"/>
      <c r="F815" s="40"/>
      <c r="G815" s="221">
        <f t="shared" si="94"/>
        <v>0</v>
      </c>
      <c r="H815" s="37">
        <f t="shared" si="95"/>
        <v>0</v>
      </c>
      <c r="I815" s="37"/>
      <c r="J815" s="37">
        <v>0</v>
      </c>
      <c r="K815" s="37">
        <f t="shared" si="93"/>
        <v>0</v>
      </c>
      <c r="L815" s="37"/>
      <c r="M815" s="45"/>
    </row>
    <row r="816" spans="1:13" s="6" customFormat="1" ht="15.75">
      <c r="A816" s="8">
        <v>69</v>
      </c>
      <c r="B816" s="8" t="s">
        <v>828</v>
      </c>
      <c r="C816" s="8"/>
      <c r="D816" s="55"/>
      <c r="E816" s="55"/>
      <c r="F816" s="40"/>
      <c r="G816" s="221">
        <f t="shared" si="94"/>
        <v>0</v>
      </c>
      <c r="H816" s="37">
        <f t="shared" si="95"/>
        <v>0</v>
      </c>
      <c r="I816" s="37"/>
      <c r="J816" s="37">
        <v>0</v>
      </c>
      <c r="K816" s="37">
        <f t="shared" si="93"/>
        <v>0</v>
      </c>
      <c r="L816" s="37"/>
      <c r="M816" s="45"/>
    </row>
    <row r="817" spans="1:13" s="6" customFormat="1" ht="15.75">
      <c r="A817" s="8">
        <v>70</v>
      </c>
      <c r="B817" s="8" t="s">
        <v>829</v>
      </c>
      <c r="C817" s="8"/>
      <c r="D817" s="55"/>
      <c r="E817" s="55"/>
      <c r="F817" s="40"/>
      <c r="G817" s="221">
        <f t="shared" si="94"/>
        <v>0</v>
      </c>
      <c r="H817" s="37">
        <f t="shared" si="95"/>
        <v>0</v>
      </c>
      <c r="I817" s="37"/>
      <c r="J817" s="37">
        <v>0</v>
      </c>
      <c r="K817" s="37">
        <f t="shared" si="93"/>
        <v>0</v>
      </c>
      <c r="L817" s="37"/>
      <c r="M817" s="45"/>
    </row>
    <row r="818" spans="1:13" s="6" customFormat="1" ht="15.75">
      <c r="A818" s="8">
        <v>71</v>
      </c>
      <c r="B818" s="8" t="s">
        <v>830</v>
      </c>
      <c r="C818" s="8"/>
      <c r="D818" s="55"/>
      <c r="E818" s="55"/>
      <c r="F818" s="40"/>
      <c r="G818" s="221">
        <f t="shared" si="94"/>
        <v>0</v>
      </c>
      <c r="H818" s="37">
        <f t="shared" si="95"/>
        <v>0</v>
      </c>
      <c r="I818" s="37"/>
      <c r="J818" s="37">
        <v>0</v>
      </c>
      <c r="K818" s="37">
        <f t="shared" si="93"/>
        <v>0</v>
      </c>
      <c r="L818" s="37"/>
      <c r="M818" s="45"/>
    </row>
    <row r="819" spans="1:13" s="6" customFormat="1" ht="15.75">
      <c r="A819" s="8">
        <v>72</v>
      </c>
      <c r="B819" s="8" t="s">
        <v>831</v>
      </c>
      <c r="C819" s="8"/>
      <c r="D819" s="55"/>
      <c r="E819" s="55"/>
      <c r="F819" s="40"/>
      <c r="G819" s="221">
        <f t="shared" si="94"/>
        <v>0</v>
      </c>
      <c r="H819" s="37">
        <f t="shared" si="95"/>
        <v>0</v>
      </c>
      <c r="I819" s="37"/>
      <c r="J819" s="37">
        <v>0</v>
      </c>
      <c r="K819" s="37">
        <f t="shared" si="93"/>
        <v>0</v>
      </c>
      <c r="L819" s="37"/>
      <c r="M819" s="45"/>
    </row>
    <row r="820" spans="1:13" s="6" customFormat="1" ht="15.75">
      <c r="A820" s="8">
        <v>73</v>
      </c>
      <c r="B820" s="8" t="s">
        <v>832</v>
      </c>
      <c r="C820" s="8"/>
      <c r="D820" s="55"/>
      <c r="E820" s="55"/>
      <c r="F820" s="40"/>
      <c r="G820" s="221">
        <f t="shared" si="94"/>
        <v>0</v>
      </c>
      <c r="H820" s="37">
        <f t="shared" si="95"/>
        <v>0</v>
      </c>
      <c r="I820" s="37"/>
      <c r="J820" s="37">
        <v>0</v>
      </c>
      <c r="K820" s="37">
        <f t="shared" si="93"/>
        <v>0</v>
      </c>
      <c r="L820" s="37"/>
      <c r="M820" s="45"/>
    </row>
    <row r="821" spans="1:13" s="6" customFormat="1" ht="15.75">
      <c r="A821" s="8">
        <v>74</v>
      </c>
      <c r="B821" s="8" t="s">
        <v>878</v>
      </c>
      <c r="C821" s="8"/>
      <c r="D821" s="55"/>
      <c r="E821" s="55"/>
      <c r="F821" s="40"/>
      <c r="G821" s="221">
        <f t="shared" si="94"/>
        <v>0</v>
      </c>
      <c r="H821" s="37">
        <f t="shared" si="95"/>
        <v>0</v>
      </c>
      <c r="I821" s="37"/>
      <c r="J821" s="37">
        <v>0</v>
      </c>
      <c r="K821" s="37">
        <f t="shared" si="93"/>
        <v>0</v>
      </c>
      <c r="L821" s="37"/>
      <c r="M821" s="45"/>
    </row>
    <row r="822" spans="1:13" s="6" customFormat="1" ht="15.75">
      <c r="A822" s="8">
        <v>75</v>
      </c>
      <c r="B822" s="8" t="s">
        <v>879</v>
      </c>
      <c r="C822" s="8"/>
      <c r="D822" s="55"/>
      <c r="E822" s="55"/>
      <c r="F822" s="40"/>
      <c r="G822" s="221">
        <f t="shared" si="94"/>
        <v>0</v>
      </c>
      <c r="H822" s="37">
        <f t="shared" si="95"/>
        <v>0</v>
      </c>
      <c r="I822" s="37"/>
      <c r="J822" s="37">
        <v>0</v>
      </c>
      <c r="K822" s="37">
        <f t="shared" si="93"/>
        <v>0</v>
      </c>
      <c r="L822" s="37"/>
      <c r="M822" s="45"/>
    </row>
    <row r="823" spans="1:13" s="6" customFormat="1" ht="15.75">
      <c r="A823" s="8">
        <v>76</v>
      </c>
      <c r="B823" s="8" t="s">
        <v>880</v>
      </c>
      <c r="C823" s="8"/>
      <c r="D823" s="55"/>
      <c r="E823" s="55"/>
      <c r="F823" s="40"/>
      <c r="G823" s="221">
        <f t="shared" si="94"/>
        <v>0</v>
      </c>
      <c r="H823" s="37">
        <f t="shared" si="95"/>
        <v>0</v>
      </c>
      <c r="I823" s="37"/>
      <c r="J823" s="37">
        <v>0</v>
      </c>
      <c r="K823" s="37">
        <f t="shared" si="93"/>
        <v>0</v>
      </c>
      <c r="L823" s="37"/>
      <c r="M823" s="45"/>
    </row>
    <row r="824" spans="1:13" s="6" customFormat="1" ht="15.75">
      <c r="A824" s="8">
        <v>77</v>
      </c>
      <c r="B824" s="8" t="s">
        <v>881</v>
      </c>
      <c r="C824" s="8"/>
      <c r="D824" s="55"/>
      <c r="E824" s="55"/>
      <c r="F824" s="40"/>
      <c r="G824" s="221">
        <f t="shared" si="94"/>
        <v>0</v>
      </c>
      <c r="H824" s="37">
        <f t="shared" si="95"/>
        <v>0</v>
      </c>
      <c r="I824" s="37"/>
      <c r="J824" s="37">
        <v>0</v>
      </c>
      <c r="K824" s="37">
        <f t="shared" si="93"/>
        <v>0</v>
      </c>
      <c r="L824" s="37"/>
      <c r="M824" s="45"/>
    </row>
    <row r="825" spans="1:13" s="6" customFormat="1" ht="15.75">
      <c r="A825" s="8">
        <v>78</v>
      </c>
      <c r="B825" s="8" t="s">
        <v>882</v>
      </c>
      <c r="C825" s="8"/>
      <c r="D825" s="55"/>
      <c r="E825" s="55"/>
      <c r="F825" s="40"/>
      <c r="G825" s="221">
        <f t="shared" si="94"/>
        <v>0</v>
      </c>
      <c r="H825" s="37">
        <f t="shared" si="95"/>
        <v>0</v>
      </c>
      <c r="I825" s="37"/>
      <c r="J825" s="37">
        <v>0</v>
      </c>
      <c r="K825" s="37">
        <f t="shared" si="93"/>
        <v>0</v>
      </c>
      <c r="L825" s="37"/>
      <c r="M825" s="45"/>
    </row>
    <row r="826" spans="1:13" s="6" customFormat="1" ht="15.75">
      <c r="A826" s="8">
        <v>79</v>
      </c>
      <c r="B826" s="8" t="s">
        <v>883</v>
      </c>
      <c r="C826" s="8"/>
      <c r="D826" s="55"/>
      <c r="E826" s="55"/>
      <c r="F826" s="40"/>
      <c r="G826" s="221">
        <f t="shared" si="94"/>
        <v>0</v>
      </c>
      <c r="H826" s="37">
        <f t="shared" si="95"/>
        <v>0</v>
      </c>
      <c r="I826" s="37"/>
      <c r="J826" s="37">
        <v>0</v>
      </c>
      <c r="K826" s="37">
        <f t="shared" si="93"/>
        <v>0</v>
      </c>
      <c r="L826" s="37"/>
      <c r="M826" s="45"/>
    </row>
    <row r="827" spans="1:13" s="6" customFormat="1" ht="15.75">
      <c r="A827" s="8">
        <v>80</v>
      </c>
      <c r="B827" s="8" t="s">
        <v>884</v>
      </c>
      <c r="C827" s="8"/>
      <c r="D827" s="55"/>
      <c r="E827" s="55"/>
      <c r="F827" s="40"/>
      <c r="G827" s="221">
        <f t="shared" si="94"/>
        <v>0</v>
      </c>
      <c r="H827" s="37">
        <f t="shared" si="95"/>
        <v>0</v>
      </c>
      <c r="I827" s="37"/>
      <c r="J827" s="37">
        <v>0</v>
      </c>
      <c r="K827" s="37">
        <f t="shared" si="93"/>
        <v>0</v>
      </c>
      <c r="L827" s="37"/>
      <c r="M827" s="45"/>
    </row>
    <row r="828" spans="1:13" s="6" customFormat="1" ht="15.75">
      <c r="A828" s="8">
        <v>81</v>
      </c>
      <c r="B828" s="8" t="s">
        <v>885</v>
      </c>
      <c r="C828" s="8"/>
      <c r="D828" s="55"/>
      <c r="E828" s="55"/>
      <c r="F828" s="40"/>
      <c r="G828" s="221">
        <f t="shared" si="94"/>
        <v>0</v>
      </c>
      <c r="H828" s="37">
        <f t="shared" si="95"/>
        <v>0</v>
      </c>
      <c r="I828" s="37"/>
      <c r="J828" s="37">
        <v>0</v>
      </c>
      <c r="K828" s="37">
        <f t="shared" si="93"/>
        <v>0</v>
      </c>
      <c r="L828" s="37"/>
      <c r="M828" s="45"/>
    </row>
    <row r="829" spans="1:13" s="6" customFormat="1" ht="15.75">
      <c r="A829" s="8">
        <v>82</v>
      </c>
      <c r="B829" s="8" t="s">
        <v>886</v>
      </c>
      <c r="C829" s="8"/>
      <c r="D829" s="55"/>
      <c r="E829" s="55"/>
      <c r="F829" s="40"/>
      <c r="G829" s="221">
        <f t="shared" si="94"/>
        <v>0</v>
      </c>
      <c r="H829" s="37">
        <f t="shared" si="95"/>
        <v>0</v>
      </c>
      <c r="I829" s="37"/>
      <c r="J829" s="37">
        <v>0</v>
      </c>
      <c r="K829" s="37">
        <f t="shared" si="93"/>
        <v>0</v>
      </c>
      <c r="L829" s="37"/>
      <c r="M829" s="45"/>
    </row>
    <row r="830" spans="1:13" s="6" customFormat="1" ht="15.75">
      <c r="A830" s="8">
        <v>83</v>
      </c>
      <c r="B830" s="8" t="s">
        <v>887</v>
      </c>
      <c r="C830" s="8"/>
      <c r="D830" s="55"/>
      <c r="E830" s="55"/>
      <c r="F830" s="40"/>
      <c r="G830" s="221">
        <f t="shared" si="94"/>
        <v>0</v>
      </c>
      <c r="H830" s="37">
        <f t="shared" si="95"/>
        <v>0</v>
      </c>
      <c r="I830" s="37"/>
      <c r="J830" s="37">
        <v>0</v>
      </c>
      <c r="K830" s="37">
        <f t="shared" si="93"/>
        <v>0</v>
      </c>
      <c r="L830" s="37"/>
      <c r="M830" s="45"/>
    </row>
    <row r="831" spans="1:13" s="6" customFormat="1" ht="15.75">
      <c r="A831" s="8">
        <v>84</v>
      </c>
      <c r="B831" s="8" t="s">
        <v>888</v>
      </c>
      <c r="C831" s="8"/>
      <c r="D831" s="55"/>
      <c r="E831" s="55"/>
      <c r="F831" s="40"/>
      <c r="G831" s="221">
        <f t="shared" si="94"/>
        <v>0</v>
      </c>
      <c r="H831" s="37">
        <f t="shared" si="95"/>
        <v>0</v>
      </c>
      <c r="I831" s="37"/>
      <c r="J831" s="37">
        <v>0</v>
      </c>
      <c r="K831" s="37">
        <f t="shared" si="93"/>
        <v>0</v>
      </c>
      <c r="L831" s="37"/>
      <c r="M831" s="45"/>
    </row>
    <row r="832" spans="1:13" s="6" customFormat="1" ht="15.75">
      <c r="A832" s="8">
        <v>85</v>
      </c>
      <c r="B832" s="8" t="s">
        <v>889</v>
      </c>
      <c r="C832" s="8"/>
      <c r="D832" s="55"/>
      <c r="E832" s="55"/>
      <c r="F832" s="40"/>
      <c r="G832" s="221">
        <f t="shared" si="94"/>
        <v>0</v>
      </c>
      <c r="H832" s="37">
        <f t="shared" si="95"/>
        <v>0</v>
      </c>
      <c r="I832" s="37"/>
      <c r="J832" s="37">
        <v>0</v>
      </c>
      <c r="K832" s="37">
        <f t="shared" si="93"/>
        <v>0</v>
      </c>
      <c r="L832" s="37"/>
      <c r="M832" s="45"/>
    </row>
    <row r="833" spans="1:13" s="6" customFormat="1" ht="15.75">
      <c r="A833" s="8">
        <v>87</v>
      </c>
      <c r="B833" s="8" t="s">
        <v>916</v>
      </c>
      <c r="C833" s="8"/>
      <c r="D833" s="55"/>
      <c r="E833" s="55"/>
      <c r="F833" s="40"/>
      <c r="G833" s="221">
        <f t="shared" si="94"/>
        <v>0</v>
      </c>
      <c r="H833" s="37">
        <f t="shared" si="95"/>
        <v>0</v>
      </c>
      <c r="I833" s="37"/>
      <c r="J833" s="37">
        <v>0</v>
      </c>
      <c r="K833" s="37">
        <f t="shared" si="93"/>
        <v>0</v>
      </c>
      <c r="L833" s="37"/>
      <c r="M833" s="45"/>
    </row>
    <row r="834" spans="1:13" s="6" customFormat="1" ht="15.75">
      <c r="A834" s="8">
        <v>89</v>
      </c>
      <c r="B834" s="8" t="s">
        <v>918</v>
      </c>
      <c r="C834" s="8"/>
      <c r="D834" s="55"/>
      <c r="E834" s="55"/>
      <c r="F834" s="40"/>
      <c r="G834" s="221">
        <f t="shared" si="94"/>
        <v>0</v>
      </c>
      <c r="H834" s="37">
        <f t="shared" si="95"/>
        <v>0</v>
      </c>
      <c r="I834" s="37"/>
      <c r="J834" s="37">
        <v>0</v>
      </c>
      <c r="K834" s="37">
        <f t="shared" si="93"/>
        <v>0</v>
      </c>
      <c r="L834" s="37"/>
      <c r="M834" s="45"/>
    </row>
    <row r="835" spans="1:13" s="6" customFormat="1" ht="15.75">
      <c r="A835" s="8">
        <v>90</v>
      </c>
      <c r="B835" s="8" t="s">
        <v>921</v>
      </c>
      <c r="C835" s="8"/>
      <c r="D835" s="55"/>
      <c r="E835" s="55"/>
      <c r="F835" s="40"/>
      <c r="G835" s="221">
        <f t="shared" si="94"/>
        <v>0</v>
      </c>
      <c r="H835" s="37">
        <f t="shared" si="95"/>
        <v>0</v>
      </c>
      <c r="I835" s="37"/>
      <c r="J835" s="37">
        <v>0</v>
      </c>
      <c r="K835" s="37">
        <f t="shared" si="93"/>
        <v>0</v>
      </c>
      <c r="L835" s="37"/>
      <c r="M835" s="45"/>
    </row>
    <row r="836" spans="1:13" s="6" customFormat="1" ht="15.75">
      <c r="A836" s="8">
        <v>91</v>
      </c>
      <c r="B836" s="8" t="s">
        <v>922</v>
      </c>
      <c r="C836" s="8"/>
      <c r="D836" s="55"/>
      <c r="E836" s="55"/>
      <c r="F836" s="40"/>
      <c r="G836" s="221">
        <f t="shared" si="94"/>
        <v>0</v>
      </c>
      <c r="H836" s="37">
        <f t="shared" si="95"/>
        <v>0</v>
      </c>
      <c r="I836" s="37"/>
      <c r="J836" s="37">
        <v>0</v>
      </c>
      <c r="K836" s="37">
        <f t="shared" si="93"/>
        <v>0</v>
      </c>
      <c r="L836" s="37"/>
      <c r="M836" s="45"/>
    </row>
    <row r="837" spans="1:13" s="6" customFormat="1" ht="15.75">
      <c r="A837" s="8">
        <v>92</v>
      </c>
      <c r="B837" s="8" t="s">
        <v>923</v>
      </c>
      <c r="C837" s="8"/>
      <c r="D837" s="55"/>
      <c r="E837" s="55"/>
      <c r="F837" s="40"/>
      <c r="G837" s="221">
        <f t="shared" si="94"/>
        <v>0</v>
      </c>
      <c r="H837" s="37">
        <f t="shared" si="95"/>
        <v>0</v>
      </c>
      <c r="I837" s="37"/>
      <c r="J837" s="37">
        <v>0</v>
      </c>
      <c r="K837" s="37">
        <f t="shared" si="93"/>
        <v>0</v>
      </c>
      <c r="L837" s="37"/>
      <c r="M837" s="45"/>
    </row>
    <row r="838" spans="1:13" s="6" customFormat="1" ht="15.75">
      <c r="A838" s="8">
        <v>93</v>
      </c>
      <c r="B838" s="8" t="s">
        <v>924</v>
      </c>
      <c r="C838" s="8"/>
      <c r="D838" s="55"/>
      <c r="E838" s="55"/>
      <c r="F838" s="40"/>
      <c r="G838" s="221">
        <f t="shared" si="94"/>
        <v>0</v>
      </c>
      <c r="H838" s="37">
        <f t="shared" si="95"/>
        <v>0</v>
      </c>
      <c r="I838" s="37"/>
      <c r="J838" s="37">
        <v>0</v>
      </c>
      <c r="K838" s="37">
        <f t="shared" si="93"/>
        <v>0</v>
      </c>
      <c r="L838" s="37"/>
      <c r="M838" s="45"/>
    </row>
    <row r="839" spans="1:13" s="6" customFormat="1" ht="15.75">
      <c r="A839" s="8">
        <v>94</v>
      </c>
      <c r="B839" s="8" t="s">
        <v>16</v>
      </c>
      <c r="C839" s="8"/>
      <c r="D839" s="55"/>
      <c r="E839" s="55"/>
      <c r="F839" s="40"/>
      <c r="G839" s="221">
        <f t="shared" si="94"/>
        <v>0</v>
      </c>
      <c r="H839" s="37">
        <f t="shared" si="95"/>
        <v>0</v>
      </c>
      <c r="I839" s="37"/>
      <c r="J839" s="37">
        <v>0</v>
      </c>
      <c r="K839" s="37">
        <f t="shared" si="93"/>
        <v>0</v>
      </c>
      <c r="L839" s="37"/>
      <c r="M839" s="45"/>
    </row>
    <row r="840" spans="1:13" s="6" customFormat="1" ht="15.75">
      <c r="A840" s="8">
        <v>95</v>
      </c>
      <c r="B840" s="8" t="s">
        <v>17</v>
      </c>
      <c r="C840" s="8"/>
      <c r="D840" s="55"/>
      <c r="E840" s="55"/>
      <c r="F840" s="40"/>
      <c r="G840" s="221">
        <f t="shared" si="94"/>
        <v>0</v>
      </c>
      <c r="H840" s="37">
        <f t="shared" si="95"/>
        <v>0</v>
      </c>
      <c r="I840" s="37"/>
      <c r="J840" s="37">
        <v>0</v>
      </c>
      <c r="K840" s="37">
        <f t="shared" si="93"/>
        <v>0</v>
      </c>
      <c r="L840" s="37"/>
      <c r="M840" s="45"/>
    </row>
    <row r="841" spans="1:13" s="6" customFormat="1" ht="15.75">
      <c r="A841" s="8">
        <v>96</v>
      </c>
      <c r="B841" s="8" t="s">
        <v>18</v>
      </c>
      <c r="C841" s="8"/>
      <c r="D841" s="55"/>
      <c r="E841" s="55"/>
      <c r="F841" s="40"/>
      <c r="G841" s="221">
        <f t="shared" si="94"/>
        <v>0</v>
      </c>
      <c r="H841" s="37">
        <f t="shared" si="95"/>
        <v>0</v>
      </c>
      <c r="I841" s="37"/>
      <c r="J841" s="37">
        <v>0</v>
      </c>
      <c r="K841" s="37">
        <f t="shared" si="93"/>
        <v>0</v>
      </c>
      <c r="L841" s="37"/>
      <c r="M841" s="45"/>
    </row>
    <row r="842" spans="1:13" s="6" customFormat="1" ht="15.75">
      <c r="A842" s="8">
        <v>97</v>
      </c>
      <c r="B842" s="8" t="s">
        <v>19</v>
      </c>
      <c r="C842" s="8"/>
      <c r="D842" s="55"/>
      <c r="E842" s="55"/>
      <c r="F842" s="40"/>
      <c r="G842" s="221">
        <f t="shared" si="94"/>
        <v>0</v>
      </c>
      <c r="H842" s="37">
        <f t="shared" si="95"/>
        <v>0</v>
      </c>
      <c r="I842" s="37"/>
      <c r="J842" s="37">
        <v>0</v>
      </c>
      <c r="K842" s="37">
        <f t="shared" si="93"/>
        <v>0</v>
      </c>
      <c r="L842" s="37"/>
      <c r="M842" s="45"/>
    </row>
    <row r="843" spans="1:13" s="6" customFormat="1" ht="15.75">
      <c r="A843" s="8">
        <v>98</v>
      </c>
      <c r="B843" s="8" t="s">
        <v>20</v>
      </c>
      <c r="C843" s="8"/>
      <c r="D843" s="55"/>
      <c r="E843" s="55"/>
      <c r="F843" s="40"/>
      <c r="G843" s="221">
        <f t="shared" si="94"/>
        <v>0</v>
      </c>
      <c r="H843" s="37">
        <f t="shared" si="95"/>
        <v>0</v>
      </c>
      <c r="I843" s="37"/>
      <c r="J843" s="37">
        <v>0</v>
      </c>
      <c r="K843" s="37">
        <f t="shared" si="93"/>
        <v>0</v>
      </c>
      <c r="L843" s="37"/>
      <c r="M843" s="45"/>
    </row>
    <row r="844" spans="1:13" s="6" customFormat="1" ht="15.75">
      <c r="A844" s="8">
        <v>99</v>
      </c>
      <c r="B844" s="8" t="s">
        <v>21</v>
      </c>
      <c r="C844" s="8"/>
      <c r="D844" s="55"/>
      <c r="E844" s="55"/>
      <c r="F844" s="40"/>
      <c r="G844" s="221">
        <f t="shared" si="94"/>
        <v>0</v>
      </c>
      <c r="H844" s="37">
        <f t="shared" si="95"/>
        <v>0</v>
      </c>
      <c r="I844" s="37"/>
      <c r="J844" s="37">
        <v>0</v>
      </c>
      <c r="K844" s="37">
        <f t="shared" si="93"/>
        <v>0</v>
      </c>
      <c r="L844" s="37"/>
      <c r="M844" s="45"/>
    </row>
    <row r="845" spans="1:13" s="6" customFormat="1" ht="15.75">
      <c r="A845" s="8">
        <v>100</v>
      </c>
      <c r="B845" s="8" t="s">
        <v>22</v>
      </c>
      <c r="C845" s="8"/>
      <c r="D845" s="55"/>
      <c r="E845" s="55"/>
      <c r="F845" s="40"/>
      <c r="G845" s="221">
        <f t="shared" si="94"/>
        <v>0</v>
      </c>
      <c r="H845" s="37">
        <f t="shared" si="95"/>
        <v>0</v>
      </c>
      <c r="I845" s="37"/>
      <c r="J845" s="37">
        <v>0</v>
      </c>
      <c r="K845" s="37">
        <f t="shared" si="93"/>
        <v>0</v>
      </c>
      <c r="L845" s="37"/>
      <c r="M845" s="45"/>
    </row>
    <row r="846" spans="1:13" s="6" customFormat="1" ht="15.75">
      <c r="A846" s="8">
        <v>101</v>
      </c>
      <c r="B846" s="8" t="s">
        <v>23</v>
      </c>
      <c r="C846" s="8"/>
      <c r="D846" s="55"/>
      <c r="E846" s="55"/>
      <c r="F846" s="40"/>
      <c r="G846" s="221">
        <f t="shared" si="94"/>
        <v>0</v>
      </c>
      <c r="H846" s="37">
        <f t="shared" si="95"/>
        <v>0</v>
      </c>
      <c r="I846" s="37"/>
      <c r="J846" s="37">
        <v>0</v>
      </c>
      <c r="K846" s="37">
        <f t="shared" si="93"/>
        <v>0</v>
      </c>
      <c r="L846" s="37"/>
      <c r="M846" s="45"/>
    </row>
    <row r="847" spans="1:13" s="6" customFormat="1" ht="15.75">
      <c r="A847" s="8">
        <v>102</v>
      </c>
      <c r="B847" s="8" t="s">
        <v>24</v>
      </c>
      <c r="C847" s="8"/>
      <c r="D847" s="55"/>
      <c r="E847" s="55"/>
      <c r="F847" s="40"/>
      <c r="G847" s="221">
        <f t="shared" si="94"/>
        <v>0</v>
      </c>
      <c r="H847" s="37">
        <f t="shared" si="95"/>
        <v>0</v>
      </c>
      <c r="I847" s="37"/>
      <c r="J847" s="37">
        <v>0</v>
      </c>
      <c r="K847" s="37">
        <f t="shared" si="93"/>
        <v>0</v>
      </c>
      <c r="L847" s="37"/>
      <c r="M847" s="45"/>
    </row>
    <row r="848" spans="1:13" s="6" customFormat="1" ht="15.75">
      <c r="A848" s="8">
        <v>103</v>
      </c>
      <c r="B848" s="8" t="s">
        <v>25</v>
      </c>
      <c r="C848" s="8"/>
      <c r="D848" s="55"/>
      <c r="E848" s="55"/>
      <c r="F848" s="40"/>
      <c r="G848" s="221">
        <f t="shared" si="94"/>
        <v>0</v>
      </c>
      <c r="H848" s="37">
        <f t="shared" si="95"/>
        <v>0</v>
      </c>
      <c r="I848" s="37"/>
      <c r="J848" s="37">
        <v>0</v>
      </c>
      <c r="K848" s="37">
        <f t="shared" si="93"/>
        <v>0</v>
      </c>
      <c r="L848" s="37"/>
      <c r="M848" s="45"/>
    </row>
    <row r="849" spans="1:13" s="6" customFormat="1" ht="15.75">
      <c r="A849" s="8">
        <v>104</v>
      </c>
      <c r="B849" s="8" t="s">
        <v>26</v>
      </c>
      <c r="C849" s="8"/>
      <c r="D849" s="55"/>
      <c r="E849" s="55"/>
      <c r="F849" s="40"/>
      <c r="G849" s="221">
        <f t="shared" si="94"/>
        <v>0</v>
      </c>
      <c r="H849" s="37">
        <f t="shared" si="95"/>
        <v>0</v>
      </c>
      <c r="I849" s="37"/>
      <c r="J849" s="37">
        <v>0</v>
      </c>
      <c r="K849" s="37">
        <f t="shared" si="93"/>
        <v>0</v>
      </c>
      <c r="L849" s="37"/>
      <c r="M849" s="45"/>
    </row>
    <row r="850" spans="1:13" s="6" customFormat="1" ht="15.75">
      <c r="A850" s="8">
        <v>105</v>
      </c>
      <c r="B850" s="8" t="s">
        <v>27</v>
      </c>
      <c r="C850" s="8"/>
      <c r="D850" s="55"/>
      <c r="E850" s="55"/>
      <c r="F850" s="40"/>
      <c r="G850" s="221">
        <f t="shared" si="94"/>
        <v>0</v>
      </c>
      <c r="H850" s="37">
        <f t="shared" si="95"/>
        <v>0</v>
      </c>
      <c r="I850" s="37"/>
      <c r="J850" s="37">
        <v>0</v>
      </c>
      <c r="K850" s="37">
        <f t="shared" si="93"/>
        <v>0</v>
      </c>
      <c r="L850" s="37"/>
      <c r="M850" s="45"/>
    </row>
    <row r="851" spans="1:13" s="6" customFormat="1" ht="15.75">
      <c r="A851" s="8">
        <v>106</v>
      </c>
      <c r="B851" s="8" t="s">
        <v>28</v>
      </c>
      <c r="C851" s="8"/>
      <c r="D851" s="55"/>
      <c r="E851" s="55"/>
      <c r="F851" s="40"/>
      <c r="G851" s="221">
        <f t="shared" si="94"/>
        <v>0</v>
      </c>
      <c r="H851" s="37">
        <f t="shared" si="95"/>
        <v>0</v>
      </c>
      <c r="I851" s="37"/>
      <c r="J851" s="37">
        <v>0</v>
      </c>
      <c r="K851" s="37">
        <f t="shared" si="93"/>
        <v>0</v>
      </c>
      <c r="L851" s="37"/>
      <c r="M851" s="45"/>
    </row>
    <row r="852" spans="1:13" s="6" customFormat="1" ht="15.75">
      <c r="A852" s="8">
        <v>107</v>
      </c>
      <c r="B852" s="8" t="s">
        <v>29</v>
      </c>
      <c r="C852" s="8"/>
      <c r="D852" s="55"/>
      <c r="E852" s="55"/>
      <c r="F852" s="40"/>
      <c r="G852" s="221">
        <f t="shared" si="94"/>
        <v>0</v>
      </c>
      <c r="H852" s="37">
        <f t="shared" si="95"/>
        <v>0</v>
      </c>
      <c r="I852" s="37"/>
      <c r="J852" s="37">
        <v>0</v>
      </c>
      <c r="K852" s="37">
        <f t="shared" si="93"/>
        <v>0</v>
      </c>
      <c r="L852" s="37"/>
      <c r="M852" s="45"/>
    </row>
    <row r="853" spans="1:13" s="6" customFormat="1" ht="15.75">
      <c r="A853" s="8">
        <v>108</v>
      </c>
      <c r="B853" s="8" t="s">
        <v>30</v>
      </c>
      <c r="C853" s="8"/>
      <c r="D853" s="55"/>
      <c r="E853" s="55"/>
      <c r="F853" s="40"/>
      <c r="G853" s="221">
        <f t="shared" si="94"/>
        <v>0</v>
      </c>
      <c r="H853" s="37">
        <f t="shared" si="95"/>
        <v>0</v>
      </c>
      <c r="I853" s="37"/>
      <c r="J853" s="37">
        <v>0</v>
      </c>
      <c r="K853" s="37">
        <f t="shared" si="93"/>
        <v>0</v>
      </c>
      <c r="L853" s="37"/>
      <c r="M853" s="45"/>
    </row>
    <row r="854" spans="1:13" s="6" customFormat="1" ht="15.75">
      <c r="A854" s="8">
        <v>109</v>
      </c>
      <c r="B854" s="8" t="s">
        <v>31</v>
      </c>
      <c r="C854" s="8"/>
      <c r="D854" s="55"/>
      <c r="E854" s="55"/>
      <c r="F854" s="40"/>
      <c r="G854" s="221">
        <f t="shared" si="94"/>
        <v>0</v>
      </c>
      <c r="H854" s="37">
        <f t="shared" si="95"/>
        <v>0</v>
      </c>
      <c r="I854" s="37"/>
      <c r="J854" s="37">
        <v>0</v>
      </c>
      <c r="K854" s="37">
        <f t="shared" si="93"/>
        <v>0</v>
      </c>
      <c r="L854" s="37"/>
      <c r="M854" s="45"/>
    </row>
    <row r="855" spans="1:13" s="6" customFormat="1" ht="15.75">
      <c r="A855" s="8">
        <v>110</v>
      </c>
      <c r="B855" s="8" t="s">
        <v>32</v>
      </c>
      <c r="C855" s="8"/>
      <c r="D855" s="55"/>
      <c r="E855" s="55"/>
      <c r="F855" s="40"/>
      <c r="G855" s="221">
        <f t="shared" si="94"/>
        <v>0</v>
      </c>
      <c r="H855" s="37">
        <f t="shared" si="95"/>
        <v>0</v>
      </c>
      <c r="I855" s="37"/>
      <c r="J855" s="37">
        <v>0</v>
      </c>
      <c r="K855" s="37">
        <f t="shared" si="93"/>
        <v>0</v>
      </c>
      <c r="L855" s="37"/>
      <c r="M855" s="45"/>
    </row>
    <row r="856" spans="1:13" s="6" customFormat="1" ht="15.75">
      <c r="A856" s="8">
        <v>111</v>
      </c>
      <c r="B856" s="8" t="s">
        <v>33</v>
      </c>
      <c r="C856" s="8"/>
      <c r="D856" s="55"/>
      <c r="E856" s="55"/>
      <c r="F856" s="40"/>
      <c r="G856" s="221">
        <f t="shared" si="94"/>
        <v>0</v>
      </c>
      <c r="H856" s="37">
        <f t="shared" si="95"/>
        <v>0</v>
      </c>
      <c r="I856" s="37"/>
      <c r="J856" s="37">
        <v>0</v>
      </c>
      <c r="K856" s="37">
        <f t="shared" si="93"/>
        <v>0</v>
      </c>
      <c r="L856" s="37"/>
      <c r="M856" s="45"/>
    </row>
    <row r="857" spans="1:13" s="6" customFormat="1" ht="15.75">
      <c r="A857" s="8">
        <v>112</v>
      </c>
      <c r="B857" s="8" t="s">
        <v>34</v>
      </c>
      <c r="C857" s="8"/>
      <c r="D857" s="55"/>
      <c r="E857" s="55"/>
      <c r="F857" s="40"/>
      <c r="G857" s="221">
        <f t="shared" si="94"/>
        <v>0</v>
      </c>
      <c r="H857" s="37">
        <f t="shared" si="95"/>
        <v>0</v>
      </c>
      <c r="I857" s="37"/>
      <c r="J857" s="37">
        <v>0</v>
      </c>
      <c r="K857" s="37">
        <f t="shared" ref="K857:K878" si="96">G857*560.71</f>
        <v>0</v>
      </c>
      <c r="L857" s="37"/>
      <c r="M857" s="45"/>
    </row>
    <row r="858" spans="1:13" s="6" customFormat="1" ht="15.75">
      <c r="A858" s="8">
        <v>113</v>
      </c>
      <c r="B858" s="8" t="s">
        <v>35</v>
      </c>
      <c r="C858" s="8"/>
      <c r="D858" s="55"/>
      <c r="E858" s="55"/>
      <c r="F858" s="40"/>
      <c r="G858" s="221">
        <f t="shared" si="94"/>
        <v>0</v>
      </c>
      <c r="H858" s="37">
        <f t="shared" si="95"/>
        <v>0</v>
      </c>
      <c r="I858" s="37"/>
      <c r="J858" s="37">
        <v>0</v>
      </c>
      <c r="K858" s="37">
        <f t="shared" si="96"/>
        <v>0</v>
      </c>
      <c r="L858" s="37"/>
      <c r="M858" s="45"/>
    </row>
    <row r="859" spans="1:13" s="6" customFormat="1" ht="15.75">
      <c r="A859" s="8">
        <v>114</v>
      </c>
      <c r="B859" s="8" t="s">
        <v>36</v>
      </c>
      <c r="C859" s="8"/>
      <c r="D859" s="55"/>
      <c r="E859" s="55"/>
      <c r="F859" s="40"/>
      <c r="G859" s="221">
        <f t="shared" si="94"/>
        <v>0</v>
      </c>
      <c r="H859" s="37">
        <f t="shared" si="95"/>
        <v>0</v>
      </c>
      <c r="I859" s="37"/>
      <c r="J859" s="37">
        <v>0</v>
      </c>
      <c r="K859" s="37">
        <f t="shared" si="96"/>
        <v>0</v>
      </c>
      <c r="L859" s="37"/>
      <c r="M859" s="45"/>
    </row>
    <row r="860" spans="1:13" s="6" customFormat="1" ht="15.75">
      <c r="A860" s="8">
        <v>115</v>
      </c>
      <c r="B860" s="8" t="s">
        <v>37</v>
      </c>
      <c r="C860" s="8"/>
      <c r="D860" s="55"/>
      <c r="E860" s="55"/>
      <c r="F860" s="40"/>
      <c r="G860" s="221">
        <f t="shared" si="94"/>
        <v>0</v>
      </c>
      <c r="H860" s="37">
        <f t="shared" si="95"/>
        <v>0</v>
      </c>
      <c r="I860" s="37"/>
      <c r="J860" s="37">
        <v>0</v>
      </c>
      <c r="K860" s="37">
        <f t="shared" si="96"/>
        <v>0</v>
      </c>
      <c r="L860" s="37"/>
      <c r="M860" s="45"/>
    </row>
    <row r="861" spans="1:13" s="6" customFormat="1" ht="15.75">
      <c r="A861" s="8">
        <v>116</v>
      </c>
      <c r="B861" s="8" t="s">
        <v>38</v>
      </c>
      <c r="C861" s="8"/>
      <c r="D861" s="55"/>
      <c r="E861" s="55"/>
      <c r="F861" s="40"/>
      <c r="G861" s="221">
        <f t="shared" si="94"/>
        <v>0</v>
      </c>
      <c r="H861" s="37">
        <f t="shared" si="95"/>
        <v>0</v>
      </c>
      <c r="I861" s="37"/>
      <c r="J861" s="37">
        <v>0</v>
      </c>
      <c r="K861" s="37">
        <f t="shared" si="96"/>
        <v>0</v>
      </c>
      <c r="L861" s="37"/>
      <c r="M861" s="45"/>
    </row>
    <row r="862" spans="1:13" s="6" customFormat="1" ht="15.75">
      <c r="A862" s="8">
        <v>117</v>
      </c>
      <c r="B862" s="8" t="s">
        <v>39</v>
      </c>
      <c r="C862" s="8"/>
      <c r="D862" s="55"/>
      <c r="E862" s="55"/>
      <c r="F862" s="40"/>
      <c r="G862" s="221">
        <f t="shared" si="94"/>
        <v>0</v>
      </c>
      <c r="H862" s="37">
        <f t="shared" si="95"/>
        <v>0</v>
      </c>
      <c r="I862" s="37"/>
      <c r="J862" s="37">
        <v>0</v>
      </c>
      <c r="K862" s="37">
        <f t="shared" si="96"/>
        <v>0</v>
      </c>
      <c r="L862" s="37"/>
      <c r="M862" s="45"/>
    </row>
    <row r="863" spans="1:13" s="6" customFormat="1" ht="15.75">
      <c r="A863" s="8">
        <v>118</v>
      </c>
      <c r="B863" s="8" t="s">
        <v>40</v>
      </c>
      <c r="C863" s="8"/>
      <c r="D863" s="55"/>
      <c r="E863" s="55"/>
      <c r="F863" s="40"/>
      <c r="G863" s="221">
        <f t="shared" si="94"/>
        <v>0</v>
      </c>
      <c r="H863" s="37">
        <f t="shared" si="95"/>
        <v>0</v>
      </c>
      <c r="I863" s="37"/>
      <c r="J863" s="37">
        <v>0</v>
      </c>
      <c r="K863" s="37">
        <f t="shared" si="96"/>
        <v>0</v>
      </c>
      <c r="L863" s="37"/>
      <c r="M863" s="45"/>
    </row>
    <row r="864" spans="1:13" s="6" customFormat="1" ht="15.75">
      <c r="A864" s="8">
        <v>119</v>
      </c>
      <c r="B864" s="8" t="s">
        <v>41</v>
      </c>
      <c r="C864" s="8"/>
      <c r="D864" s="55"/>
      <c r="E864" s="55"/>
      <c r="F864" s="40"/>
      <c r="G864" s="221">
        <f t="shared" si="94"/>
        <v>0</v>
      </c>
      <c r="H864" s="37">
        <f t="shared" si="95"/>
        <v>0</v>
      </c>
      <c r="I864" s="37"/>
      <c r="J864" s="37">
        <v>0</v>
      </c>
      <c r="K864" s="37">
        <f t="shared" si="96"/>
        <v>0</v>
      </c>
      <c r="L864" s="37"/>
      <c r="M864" s="45"/>
    </row>
    <row r="865" spans="1:13" s="6" customFormat="1" ht="15.75">
      <c r="A865" s="8">
        <v>120</v>
      </c>
      <c r="B865" s="8" t="s">
        <v>42</v>
      </c>
      <c r="C865" s="8"/>
      <c r="D865" s="55"/>
      <c r="E865" s="55"/>
      <c r="F865" s="40"/>
      <c r="G865" s="221">
        <f t="shared" si="94"/>
        <v>0</v>
      </c>
      <c r="H865" s="37">
        <f t="shared" si="95"/>
        <v>0</v>
      </c>
      <c r="I865" s="37"/>
      <c r="J865" s="37">
        <v>0</v>
      </c>
      <c r="K865" s="37">
        <f t="shared" si="96"/>
        <v>0</v>
      </c>
      <c r="L865" s="37"/>
      <c r="M865" s="45"/>
    </row>
    <row r="866" spans="1:13" s="6" customFormat="1" ht="15.75">
      <c r="A866" s="8">
        <v>121</v>
      </c>
      <c r="B866" s="8" t="s">
        <v>43</v>
      </c>
      <c r="C866" s="8"/>
      <c r="D866" s="55"/>
      <c r="E866" s="55"/>
      <c r="F866" s="40"/>
      <c r="G866" s="221">
        <f t="shared" si="94"/>
        <v>0</v>
      </c>
      <c r="H866" s="37">
        <f t="shared" si="95"/>
        <v>0</v>
      </c>
      <c r="I866" s="37"/>
      <c r="J866" s="37">
        <v>0</v>
      </c>
      <c r="K866" s="37">
        <f t="shared" si="96"/>
        <v>0</v>
      </c>
      <c r="L866" s="37"/>
      <c r="M866" s="45"/>
    </row>
    <row r="867" spans="1:13" s="6" customFormat="1" ht="15.75">
      <c r="A867" s="8">
        <v>122</v>
      </c>
      <c r="B867" s="8" t="s">
        <v>44</v>
      </c>
      <c r="C867" s="8"/>
      <c r="D867" s="55"/>
      <c r="E867" s="55"/>
      <c r="F867" s="40"/>
      <c r="G867" s="221">
        <f t="shared" si="94"/>
        <v>0</v>
      </c>
      <c r="H867" s="37">
        <f t="shared" si="95"/>
        <v>0</v>
      </c>
      <c r="I867" s="37"/>
      <c r="J867" s="37">
        <v>0</v>
      </c>
      <c r="K867" s="37">
        <f t="shared" si="96"/>
        <v>0</v>
      </c>
      <c r="L867" s="37"/>
      <c r="M867" s="45"/>
    </row>
    <row r="868" spans="1:13" s="6" customFormat="1" ht="15.75">
      <c r="A868" s="8">
        <v>123</v>
      </c>
      <c r="B868" s="8" t="s">
        <v>45</v>
      </c>
      <c r="C868" s="8"/>
      <c r="D868" s="55"/>
      <c r="E868" s="55"/>
      <c r="F868" s="40"/>
      <c r="G868" s="221">
        <f t="shared" si="94"/>
        <v>0</v>
      </c>
      <c r="H868" s="37">
        <f t="shared" si="95"/>
        <v>0</v>
      </c>
      <c r="I868" s="37"/>
      <c r="J868" s="37">
        <v>0</v>
      </c>
      <c r="K868" s="37">
        <f t="shared" si="96"/>
        <v>0</v>
      </c>
      <c r="L868" s="37"/>
      <c r="M868" s="45"/>
    </row>
    <row r="869" spans="1:13" s="6" customFormat="1" ht="15.75">
      <c r="A869" s="8">
        <v>124</v>
      </c>
      <c r="B869" s="8" t="s">
        <v>46</v>
      </c>
      <c r="C869" s="8"/>
      <c r="D869" s="55"/>
      <c r="E869" s="55"/>
      <c r="F869" s="40"/>
      <c r="G869" s="221">
        <f t="shared" si="94"/>
        <v>0</v>
      </c>
      <c r="H869" s="37">
        <f t="shared" si="95"/>
        <v>0</v>
      </c>
      <c r="I869" s="37"/>
      <c r="J869" s="37">
        <v>0</v>
      </c>
      <c r="K869" s="37">
        <f t="shared" si="96"/>
        <v>0</v>
      </c>
      <c r="L869" s="37"/>
      <c r="M869" s="45"/>
    </row>
    <row r="870" spans="1:13" s="6" customFormat="1" ht="15.75">
      <c r="A870" s="8">
        <v>125</v>
      </c>
      <c r="B870" s="8" t="s">
        <v>47</v>
      </c>
      <c r="C870" s="8"/>
      <c r="D870" s="55"/>
      <c r="E870" s="55"/>
      <c r="F870" s="40"/>
      <c r="G870" s="221">
        <f t="shared" si="94"/>
        <v>0</v>
      </c>
      <c r="H870" s="37">
        <f t="shared" si="95"/>
        <v>0</v>
      </c>
      <c r="I870" s="37"/>
      <c r="J870" s="37">
        <v>0</v>
      </c>
      <c r="K870" s="37">
        <f t="shared" si="96"/>
        <v>0</v>
      </c>
      <c r="L870" s="37"/>
      <c r="M870" s="45"/>
    </row>
    <row r="871" spans="1:13" s="6" customFormat="1" ht="15.75">
      <c r="A871" s="8">
        <v>126</v>
      </c>
      <c r="B871" s="8" t="s">
        <v>48</v>
      </c>
      <c r="C871" s="8"/>
      <c r="D871" s="55"/>
      <c r="E871" s="55"/>
      <c r="F871" s="40"/>
      <c r="G871" s="221">
        <f t="shared" si="94"/>
        <v>0</v>
      </c>
      <c r="H871" s="37">
        <f t="shared" si="95"/>
        <v>0</v>
      </c>
      <c r="I871" s="37"/>
      <c r="J871" s="37">
        <v>0</v>
      </c>
      <c r="K871" s="37">
        <f t="shared" si="96"/>
        <v>0</v>
      </c>
      <c r="L871" s="37"/>
      <c r="M871" s="45"/>
    </row>
    <row r="872" spans="1:13" s="6" customFormat="1" ht="15.75">
      <c r="A872" s="8">
        <v>127</v>
      </c>
      <c r="B872" s="8" t="s">
        <v>49</v>
      </c>
      <c r="C872" s="32"/>
      <c r="D872" s="55"/>
      <c r="E872" s="55"/>
      <c r="F872" s="40"/>
      <c r="G872" s="221">
        <f t="shared" si="94"/>
        <v>0</v>
      </c>
      <c r="H872" s="37">
        <f t="shared" si="95"/>
        <v>0</v>
      </c>
      <c r="I872" s="37"/>
      <c r="J872" s="37">
        <v>0</v>
      </c>
      <c r="K872" s="37">
        <f t="shared" si="96"/>
        <v>0</v>
      </c>
      <c r="L872" s="37"/>
      <c r="M872" s="45"/>
    </row>
    <row r="873" spans="1:13" s="6" customFormat="1" ht="15.75">
      <c r="A873" s="32">
        <v>128</v>
      </c>
      <c r="B873" s="108" t="s">
        <v>1372</v>
      </c>
      <c r="C873" s="196">
        <v>1770.4</v>
      </c>
      <c r="D873" s="55"/>
      <c r="E873" s="55"/>
      <c r="F873" s="40">
        <f>C873+D873+E873</f>
        <v>1770.4</v>
      </c>
      <c r="G873" s="221">
        <f t="shared" si="94"/>
        <v>1.8328632462882036E-2</v>
      </c>
      <c r="H873" s="37">
        <f t="shared" si="95"/>
        <v>41.590049780499513</v>
      </c>
      <c r="I873" s="37">
        <f>H873*0.3677</f>
        <v>15.292661304289672</v>
      </c>
      <c r="J873" s="37">
        <v>14.662671047916351</v>
      </c>
      <c r="K873" s="37">
        <f t="shared" si="96"/>
        <v>10.277047508262587</v>
      </c>
      <c r="L873" s="37"/>
      <c r="M873" s="45">
        <f>(K873+J873+I873+H873)/F873</f>
        <v>4.6216916878088633E-2</v>
      </c>
    </row>
    <row r="874" spans="1:13" s="6" customFormat="1" ht="15.75">
      <c r="A874" s="32">
        <v>129</v>
      </c>
      <c r="B874" s="108" t="s">
        <v>1373</v>
      </c>
      <c r="C874" s="196">
        <v>4227</v>
      </c>
      <c r="D874" s="55"/>
      <c r="E874" s="55">
        <v>534.20000000000005</v>
      </c>
      <c r="F874" s="40">
        <f>C874+D874+E874</f>
        <v>4761.2</v>
      </c>
      <c r="G874" s="221">
        <f t="shared" si="94"/>
        <v>4.9291846408875933E-2</v>
      </c>
      <c r="H874" s="37">
        <f t="shared" si="95"/>
        <v>111.84960744177265</v>
      </c>
      <c r="I874" s="37">
        <f>H874*0.3677</f>
        <v>41.127100656339806</v>
      </c>
      <c r="J874" s="37">
        <v>43.814272602135937</v>
      </c>
      <c r="K874" s="37">
        <f t="shared" si="96"/>
        <v>27.638431199920827</v>
      </c>
      <c r="L874" s="37"/>
      <c r="M874" s="45">
        <f>(K874+J874+I874+H874)/F874</f>
        <v>4.7137152797649587E-2</v>
      </c>
    </row>
    <row r="875" spans="1:13" s="6" customFormat="1" ht="15.75">
      <c r="A875" s="32">
        <v>130</v>
      </c>
      <c r="B875" s="195" t="s">
        <v>1382</v>
      </c>
      <c r="C875" s="550"/>
      <c r="D875" s="533"/>
      <c r="E875" s="533"/>
      <c r="F875" s="40"/>
      <c r="G875" s="221">
        <f t="shared" si="94"/>
        <v>0</v>
      </c>
      <c r="H875" s="37">
        <f t="shared" si="95"/>
        <v>0</v>
      </c>
      <c r="I875" s="37"/>
      <c r="J875" s="37">
        <v>0</v>
      </c>
      <c r="K875" s="37">
        <f t="shared" si="96"/>
        <v>0</v>
      </c>
      <c r="L875" s="37"/>
      <c r="M875" s="45"/>
    </row>
    <row r="876" spans="1:13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>C876+D876+E876</f>
        <v>2911.81</v>
      </c>
      <c r="G876" s="221">
        <f t="shared" si="94"/>
        <v>3.0145444697099268E-2</v>
      </c>
      <c r="H876" s="37">
        <f t="shared" si="95"/>
        <v>68.403932925528864</v>
      </c>
      <c r="I876" s="37">
        <f>H876*0.3677</f>
        <v>25.152126136716966</v>
      </c>
      <c r="J876" s="37">
        <v>14.662671047916351</v>
      </c>
      <c r="K876" s="37">
        <f t="shared" si="96"/>
        <v>16.902852296110531</v>
      </c>
      <c r="L876" s="37"/>
      <c r="M876" s="45">
        <f>(K876+J876+I876+H876)/F876</f>
        <v>4.2970380075029867E-2</v>
      </c>
    </row>
    <row r="877" spans="1:13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>C877+D877+E877</f>
        <v>2933</v>
      </c>
      <c r="G877" s="221">
        <f>2/193184.08*F877</f>
        <v>3.0364820952119866E-2</v>
      </c>
      <c r="H877" s="37">
        <f>G877*2269.13</f>
        <v>68.901726167083751</v>
      </c>
      <c r="I877" s="37">
        <f>H877*0.3677</f>
        <v>25.335164711636697</v>
      </c>
      <c r="J877" s="37">
        <v>43.814272602135937</v>
      </c>
      <c r="K877" s="37">
        <f t="shared" si="96"/>
        <v>17.02585875606313</v>
      </c>
      <c r="L877" s="37"/>
      <c r="M877" s="45">
        <f>(K877+J877+I877+H877)/F877</f>
        <v>5.287317498701654E-2</v>
      </c>
    </row>
    <row r="878" spans="1:13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>C878+D878+E878</f>
        <v>3120.67</v>
      </c>
      <c r="G878" s="221">
        <f>2/193184.08*F878</f>
        <v>3.2307734674617082E-2</v>
      </c>
      <c r="H878" s="37">
        <f>G878*2269.13</f>
        <v>73.310449982213868</v>
      </c>
      <c r="I878" s="37">
        <f>H878*0.3677</f>
        <v>26.956252458460042</v>
      </c>
      <c r="J878" s="37">
        <v>0</v>
      </c>
      <c r="K878" s="37">
        <f t="shared" si="96"/>
        <v>18.115269909404546</v>
      </c>
      <c r="L878" s="37"/>
      <c r="M878" s="45">
        <f>(K878+J878+I878+H878)/F878</f>
        <v>3.7934793602040093E-2</v>
      </c>
    </row>
    <row r="879" spans="1:13" s="69" customFormat="1" ht="15.75">
      <c r="A879" s="63"/>
      <c r="B879" s="63" t="s">
        <v>681</v>
      </c>
      <c r="C879" s="63">
        <f>SUM(C749:C875)</f>
        <v>181012.99999999994</v>
      </c>
      <c r="D879" s="63">
        <f>SUM(D749:D875)</f>
        <v>216.9</v>
      </c>
      <c r="E879" s="63">
        <f>SUM(E749:E875)</f>
        <v>2988.7</v>
      </c>
      <c r="F879" s="63">
        <f>SUM(F749:F878)</f>
        <v>193184.08</v>
      </c>
      <c r="G879" s="221">
        <f>2/193184.08*F879</f>
        <v>2</v>
      </c>
      <c r="H879" s="37">
        <f>G879*2269.13</f>
        <v>4538.26</v>
      </c>
      <c r="I879" s="37">
        <f>H879*0.3677</f>
        <v>1668.7182020000002</v>
      </c>
      <c r="J879" s="37">
        <f>SUM(J748:J875)</f>
        <v>1695.7708143280092</v>
      </c>
      <c r="K879" s="37">
        <f>G879*560.71</f>
        <v>1121.42</v>
      </c>
      <c r="L879" s="37"/>
      <c r="M879" s="45">
        <f>(K879+J879+I879+H879)/F879</f>
        <v>4.6712798571849248E-2</v>
      </c>
    </row>
    <row r="880" spans="1:13" s="6" customFormat="1" ht="15.75">
      <c r="A880" s="9" t="s">
        <v>392</v>
      </c>
      <c r="B880" s="8"/>
      <c r="C880" s="8"/>
      <c r="D880" s="8"/>
      <c r="E880" s="8"/>
      <c r="F880" s="40"/>
      <c r="G880" s="223"/>
      <c r="H880" s="37"/>
      <c r="I880" s="37"/>
      <c r="J880" s="37"/>
      <c r="K880" s="37"/>
      <c r="L880" s="37"/>
      <c r="M880" s="45"/>
    </row>
    <row r="881" spans="1:13" s="6" customFormat="1" ht="15.75">
      <c r="A881" s="285">
        <v>1</v>
      </c>
      <c r="B881" s="284" t="s">
        <v>393</v>
      </c>
      <c r="C881" s="391">
        <v>4265.91</v>
      </c>
      <c r="D881" s="391"/>
      <c r="E881" s="391"/>
      <c r="F881" s="8">
        <f t="shared" ref="F881:F942" si="97">C881+D881+E881</f>
        <v>4265.91</v>
      </c>
      <c r="G881" s="221">
        <f t="shared" ref="G881:G944" si="98">2/194875.11*F881</f>
        <v>4.3780963099905375E-2</v>
      </c>
      <c r="H881" s="37">
        <f t="shared" ref="H881:H944" si="99">G881*2269.13</f>
        <v>99.344696798888293</v>
      </c>
      <c r="I881" s="7">
        <f>H881*0.3677</f>
        <v>36.529045012951229</v>
      </c>
      <c r="J881" s="37">
        <v>38.572445450146787</v>
      </c>
      <c r="K881" s="37">
        <f>G881*560.71</f>
        <v>24.548423819747946</v>
      </c>
      <c r="L881" s="37">
        <f>K881*1.219</f>
        <v>29.924528636272747</v>
      </c>
      <c r="M881" s="957">
        <f t="shared" ref="M881:M910" si="100">(H881+I881+J881+L881)/F881</f>
        <v>4.7907882702227449E-2</v>
      </c>
    </row>
    <row r="882" spans="1:13" s="6" customFormat="1" ht="15.75">
      <c r="A882" s="285">
        <v>2</v>
      </c>
      <c r="B882" s="285" t="s">
        <v>394</v>
      </c>
      <c r="C882" s="391">
        <v>9865.73</v>
      </c>
      <c r="D882" s="391"/>
      <c r="E882" s="391"/>
      <c r="F882" s="8">
        <f t="shared" si="97"/>
        <v>9865.73</v>
      </c>
      <c r="G882" s="221">
        <f t="shared" si="98"/>
        <v>0.10125182225682901</v>
      </c>
      <c r="H882" s="37">
        <f t="shared" si="99"/>
        <v>229.75354743763842</v>
      </c>
      <c r="I882" s="7">
        <f t="shared" ref="I882:I924" si="101">H882*0.3677</f>
        <v>84.480379392819657</v>
      </c>
      <c r="J882" s="37">
        <v>89.234973358988654</v>
      </c>
      <c r="K882" s="37">
        <f>G882*1560.71</f>
        <v>158.0247315144556</v>
      </c>
      <c r="L882" s="37">
        <f t="shared" ref="L882:L945" si="102">K882*1.219</f>
        <v>192.63214771612138</v>
      </c>
      <c r="M882" s="957">
        <f t="shared" si="100"/>
        <v>6.042138269601622E-2</v>
      </c>
    </row>
    <row r="883" spans="1:13" s="6" customFormat="1" ht="15.75">
      <c r="A883" s="285">
        <v>3</v>
      </c>
      <c r="B883" s="285" t="s">
        <v>395</v>
      </c>
      <c r="C883" s="391">
        <v>4252.49</v>
      </c>
      <c r="D883" s="391"/>
      <c r="E883" s="391"/>
      <c r="F883" s="8">
        <f t="shared" si="97"/>
        <v>4252.49</v>
      </c>
      <c r="G883" s="221">
        <f t="shared" si="98"/>
        <v>4.3643233863986018E-2</v>
      </c>
      <c r="H883" s="37">
        <f t="shared" si="99"/>
        <v>99.032171257786601</v>
      </c>
      <c r="I883" s="7">
        <f t="shared" si="101"/>
        <v>36.414129371488137</v>
      </c>
      <c r="J883" s="37">
        <v>38.450581046554696</v>
      </c>
      <c r="K883" s="37">
        <f>G883*560.71</f>
        <v>24.471197659875603</v>
      </c>
      <c r="L883" s="37">
        <f t="shared" si="102"/>
        <v>29.830389947388362</v>
      </c>
      <c r="M883" s="957">
        <f t="shared" si="100"/>
        <v>4.790776030589556E-2</v>
      </c>
    </row>
    <row r="884" spans="1:13" s="6" customFormat="1" ht="15.75">
      <c r="A884" s="285">
        <v>4</v>
      </c>
      <c r="B884" s="285" t="s">
        <v>396</v>
      </c>
      <c r="C884" s="391">
        <v>5944.1</v>
      </c>
      <c r="D884" s="391"/>
      <c r="E884" s="391">
        <v>7.2</v>
      </c>
      <c r="F884" s="8">
        <f t="shared" si="97"/>
        <v>5951.3</v>
      </c>
      <c r="G884" s="221">
        <f t="shared" si="98"/>
        <v>6.1078092528081197E-2</v>
      </c>
      <c r="H884" s="37">
        <f t="shared" si="99"/>
        <v>138.5941320982449</v>
      </c>
      <c r="I884" s="7">
        <f t="shared" si="101"/>
        <v>50.961062372524651</v>
      </c>
      <c r="J884" s="37">
        <v>53.600499189240495</v>
      </c>
      <c r="K884" s="37">
        <f>G884*560.71</f>
        <v>34.247097261420407</v>
      </c>
      <c r="L884" s="37">
        <f t="shared" si="102"/>
        <v>41.747211561671477</v>
      </c>
      <c r="M884" s="957">
        <f t="shared" si="100"/>
        <v>4.7872381701759531E-2</v>
      </c>
    </row>
    <row r="885" spans="1:13" s="6" customFormat="1" ht="15.75">
      <c r="A885" s="285">
        <v>5</v>
      </c>
      <c r="B885" s="285" t="s">
        <v>397</v>
      </c>
      <c r="C885" s="391">
        <v>4295.57</v>
      </c>
      <c r="D885" s="391"/>
      <c r="E885" s="391"/>
      <c r="F885" s="8">
        <f t="shared" si="97"/>
        <v>4295.57</v>
      </c>
      <c r="G885" s="221">
        <f t="shared" si="98"/>
        <v>4.4085363184657091E-2</v>
      </c>
      <c r="H885" s="37">
        <f t="shared" si="99"/>
        <v>100.03542016320095</v>
      </c>
      <c r="I885" s="7">
        <f t="shared" si="101"/>
        <v>36.783023994008992</v>
      </c>
      <c r="J885" s="37">
        <v>38.879468172374949</v>
      </c>
      <c r="K885" s="37">
        <f>G885*1560.71</f>
        <v>68.804467175926163</v>
      </c>
      <c r="L885" s="37">
        <f t="shared" si="102"/>
        <v>83.872645487453994</v>
      </c>
      <c r="M885" s="957">
        <f t="shared" si="100"/>
        <v>6.0427500382263334E-2</v>
      </c>
    </row>
    <row r="886" spans="1:13" s="6" customFormat="1" ht="15.75">
      <c r="A886" s="285">
        <v>6</v>
      </c>
      <c r="B886" s="285" t="s">
        <v>403</v>
      </c>
      <c r="C886" s="391">
        <v>7972.34</v>
      </c>
      <c r="D886" s="391"/>
      <c r="E886" s="391"/>
      <c r="F886" s="8">
        <f t="shared" si="97"/>
        <v>7972.34</v>
      </c>
      <c r="G886" s="221">
        <f t="shared" si="98"/>
        <v>8.1819992301736241E-2</v>
      </c>
      <c r="H886" s="37">
        <f t="shared" si="99"/>
        <v>185.66019913163876</v>
      </c>
      <c r="I886" s="7">
        <f t="shared" si="101"/>
        <v>68.267255220703575</v>
      </c>
      <c r="J886" s="37">
        <v>70.599166462389363</v>
      </c>
      <c r="K886" s="37">
        <f t="shared" ref="K886:K897" si="103">G886*560.71</f>
        <v>45.877287883506533</v>
      </c>
      <c r="L886" s="37">
        <f t="shared" si="102"/>
        <v>55.924413929994465</v>
      </c>
      <c r="M886" s="957">
        <f t="shared" si="100"/>
        <v>4.7721376000612888E-2</v>
      </c>
    </row>
    <row r="887" spans="1:13" s="6" customFormat="1" ht="15.75">
      <c r="A887" s="285">
        <v>7</v>
      </c>
      <c r="B887" s="285" t="s">
        <v>398</v>
      </c>
      <c r="C887" s="391">
        <v>3939.69</v>
      </c>
      <c r="D887" s="391"/>
      <c r="E887" s="391">
        <v>7.2</v>
      </c>
      <c r="F887" s="8">
        <f t="shared" si="97"/>
        <v>3946.89</v>
      </c>
      <c r="G887" s="221">
        <f t="shared" si="98"/>
        <v>4.0506866166746487E-2</v>
      </c>
      <c r="H887" s="37">
        <f t="shared" si="99"/>
        <v>91.915345224949462</v>
      </c>
      <c r="I887" s="7">
        <f t="shared" si="101"/>
        <v>33.79727243921392</v>
      </c>
      <c r="J887" s="37">
        <v>33.323773927994125</v>
      </c>
      <c r="K887" s="37">
        <f t="shared" si="103"/>
        <v>22.712604928356424</v>
      </c>
      <c r="L887" s="37">
        <f t="shared" si="102"/>
        <v>27.686665407666482</v>
      </c>
      <c r="M887" s="957">
        <f t="shared" si="100"/>
        <v>4.7308908279638906E-2</v>
      </c>
    </row>
    <row r="888" spans="1:13" s="6" customFormat="1" ht="15.75">
      <c r="A888" s="285">
        <v>8</v>
      </c>
      <c r="B888" s="285" t="s">
        <v>404</v>
      </c>
      <c r="C888" s="391">
        <v>8036.22</v>
      </c>
      <c r="D888" s="391"/>
      <c r="E888" s="391"/>
      <c r="F888" s="8">
        <f t="shared" si="97"/>
        <v>8036.22</v>
      </c>
      <c r="G888" s="221">
        <f t="shared" si="98"/>
        <v>8.2475591675099005E-2</v>
      </c>
      <c r="H888" s="37">
        <f t="shared" si="99"/>
        <v>187.14783933771741</v>
      </c>
      <c r="I888" s="7">
        <f t="shared" si="101"/>
        <v>68.814260524478698</v>
      </c>
      <c r="J888" s="37">
        <v>70.876620534753698</v>
      </c>
      <c r="K888" s="37">
        <f t="shared" si="103"/>
        <v>46.244889008144767</v>
      </c>
      <c r="L888" s="37">
        <f t="shared" si="102"/>
        <v>56.372519700928478</v>
      </c>
      <c r="M888" s="957">
        <f t="shared" si="100"/>
        <v>4.7685508870822138E-2</v>
      </c>
    </row>
    <row r="889" spans="1:13" s="6" customFormat="1" ht="15.75">
      <c r="A889" s="285">
        <v>9</v>
      </c>
      <c r="B889" s="285" t="s">
        <v>405</v>
      </c>
      <c r="C889" s="391">
        <v>3993.05</v>
      </c>
      <c r="D889" s="391"/>
      <c r="E889" s="391"/>
      <c r="F889" s="8">
        <f t="shared" si="97"/>
        <v>3993.05</v>
      </c>
      <c r="G889" s="221">
        <f t="shared" si="98"/>
        <v>4.0980605475989217E-2</v>
      </c>
      <c r="H889" s="37">
        <f t="shared" si="99"/>
        <v>92.99032130373142</v>
      </c>
      <c r="I889" s="7">
        <f t="shared" si="101"/>
        <v>34.192541143382044</v>
      </c>
      <c r="J889" s="37">
        <v>35.486158577779484</v>
      </c>
      <c r="K889" s="37">
        <f t="shared" si="103"/>
        <v>22.978235296441916</v>
      </c>
      <c r="L889" s="37">
        <f t="shared" si="102"/>
        <v>28.010468826362697</v>
      </c>
      <c r="M889" s="957">
        <f t="shared" si="100"/>
        <v>4.7752843027574321E-2</v>
      </c>
    </row>
    <row r="890" spans="1:13" s="6" customFormat="1" ht="15.75">
      <c r="A890" s="285">
        <v>10</v>
      </c>
      <c r="B890" s="285" t="s">
        <v>399</v>
      </c>
      <c r="C890" s="391">
        <v>8196.09</v>
      </c>
      <c r="D890" s="391"/>
      <c r="E890" s="391"/>
      <c r="F890" s="8">
        <f t="shared" si="97"/>
        <v>8196.09</v>
      </c>
      <c r="G890" s="221">
        <f t="shared" si="98"/>
        <v>8.411633481566734E-2</v>
      </c>
      <c r="H890" s="37">
        <f t="shared" si="99"/>
        <v>190.87089882027524</v>
      </c>
      <c r="I890" s="7">
        <f t="shared" si="101"/>
        <v>70.183229496215219</v>
      </c>
      <c r="J890" s="37">
        <v>72.947654116109945</v>
      </c>
      <c r="K890" s="37">
        <f t="shared" si="103"/>
        <v>47.164870094492841</v>
      </c>
      <c r="L890" s="37">
        <f t="shared" si="102"/>
        <v>57.493976645186777</v>
      </c>
      <c r="M890" s="957">
        <f t="shared" si="100"/>
        <v>4.7766161557253176E-2</v>
      </c>
    </row>
    <row r="891" spans="1:13" s="6" customFormat="1" ht="15.75">
      <c r="A891" s="285">
        <v>11</v>
      </c>
      <c r="B891" s="285" t="s">
        <v>401</v>
      </c>
      <c r="C891" s="391">
        <v>3935.64</v>
      </c>
      <c r="D891" s="391"/>
      <c r="E891" s="391"/>
      <c r="F891" s="8">
        <f t="shared" si="97"/>
        <v>3935.64</v>
      </c>
      <c r="G891" s="221">
        <f t="shared" si="98"/>
        <v>4.0391407604593532E-2</v>
      </c>
      <c r="H891" s="37">
        <f t="shared" si="99"/>
        <v>91.653354737811327</v>
      </c>
      <c r="I891" s="7">
        <f t="shared" si="101"/>
        <v>33.700938537093229</v>
      </c>
      <c r="J891" s="37">
        <v>35.065773619651701</v>
      </c>
      <c r="K891" s="37">
        <f t="shared" si="103"/>
        <v>22.647866157971642</v>
      </c>
      <c r="L891" s="37">
        <f t="shared" si="102"/>
        <v>27.607748846567432</v>
      </c>
      <c r="M891" s="957">
        <f t="shared" si="100"/>
        <v>4.7775664375075896E-2</v>
      </c>
    </row>
    <row r="892" spans="1:13" s="6" customFormat="1" ht="15.75">
      <c r="A892" s="285">
        <v>12</v>
      </c>
      <c r="B892" s="285" t="s">
        <v>400</v>
      </c>
      <c r="C892" s="391">
        <v>3954.6</v>
      </c>
      <c r="D892" s="391"/>
      <c r="E892" s="391">
        <v>173.8</v>
      </c>
      <c r="F892" s="8">
        <f t="shared" si="97"/>
        <v>4128.3999999999996</v>
      </c>
      <c r="G892" s="221">
        <f t="shared" si="98"/>
        <v>4.2369700265980609E-2</v>
      </c>
      <c r="H892" s="37">
        <f t="shared" si="99"/>
        <v>96.142357964544587</v>
      </c>
      <c r="I892" s="7">
        <f t="shared" si="101"/>
        <v>35.351545023563048</v>
      </c>
      <c r="J892" s="37">
        <v>38.138834897830726</v>
      </c>
      <c r="K892" s="37">
        <f t="shared" si="103"/>
        <v>23.757114636137988</v>
      </c>
      <c r="L892" s="37">
        <f t="shared" si="102"/>
        <v>28.95992274145221</v>
      </c>
      <c r="M892" s="957">
        <f t="shared" si="100"/>
        <v>4.8104025924665866E-2</v>
      </c>
    </row>
    <row r="893" spans="1:13" s="6" customFormat="1" ht="15.75">
      <c r="A893" s="285">
        <v>13</v>
      </c>
      <c r="B893" s="285" t="s">
        <v>402</v>
      </c>
      <c r="C893" s="391">
        <v>17941.13</v>
      </c>
      <c r="D893" s="391">
        <v>230</v>
      </c>
      <c r="E893" s="391"/>
      <c r="F893" s="8">
        <f t="shared" si="97"/>
        <v>18171.13</v>
      </c>
      <c r="G893" s="221">
        <f t="shared" si="98"/>
        <v>0.18649000377729102</v>
      </c>
      <c r="H893" s="37">
        <f t="shared" si="99"/>
        <v>423.1700622711644</v>
      </c>
      <c r="I893" s="7">
        <f t="shared" si="101"/>
        <v>155.59963189710717</v>
      </c>
      <c r="J893" s="37">
        <v>159.1051261760135</v>
      </c>
      <c r="K893" s="37">
        <f t="shared" si="103"/>
        <v>104.56681001796485</v>
      </c>
      <c r="L893" s="37">
        <f t="shared" si="102"/>
        <v>127.46694141189917</v>
      </c>
      <c r="M893" s="957">
        <f t="shared" si="100"/>
        <v>4.7621791366645017E-2</v>
      </c>
    </row>
    <row r="894" spans="1:13" s="6" customFormat="1" ht="15.75">
      <c r="A894" s="285">
        <v>14</v>
      </c>
      <c r="B894" s="285" t="s">
        <v>406</v>
      </c>
      <c r="C894" s="391">
        <v>3212.3</v>
      </c>
      <c r="D894" s="391"/>
      <c r="E894" s="391"/>
      <c r="F894" s="8">
        <f t="shared" si="97"/>
        <v>3212.3</v>
      </c>
      <c r="G894" s="221">
        <f t="shared" si="98"/>
        <v>3.2967781262573763E-2</v>
      </c>
      <c r="H894" s="37">
        <f t="shared" si="99"/>
        <v>74.808181496344005</v>
      </c>
      <c r="I894" s="7">
        <f t="shared" si="101"/>
        <v>27.506968336205691</v>
      </c>
      <c r="J894" s="37">
        <v>27.222996265995931</v>
      </c>
      <c r="K894" s="37">
        <f t="shared" si="103"/>
        <v>18.485364631737735</v>
      </c>
      <c r="L894" s="37">
        <f t="shared" si="102"/>
        <v>22.5336594860883</v>
      </c>
      <c r="M894" s="957">
        <f t="shared" si="100"/>
        <v>4.7340474297118545E-2</v>
      </c>
    </row>
    <row r="895" spans="1:13" s="6" customFormat="1" ht="15.75">
      <c r="A895" s="285">
        <v>15</v>
      </c>
      <c r="B895" s="285" t="s">
        <v>407</v>
      </c>
      <c r="C895" s="391">
        <v>3998.81</v>
      </c>
      <c r="D895" s="391">
        <v>182.8</v>
      </c>
      <c r="E895" s="391"/>
      <c r="F895" s="8">
        <f t="shared" si="97"/>
        <v>4181.6099999999997</v>
      </c>
      <c r="G895" s="221">
        <f t="shared" si="98"/>
        <v>4.2915793607505852E-2</v>
      </c>
      <c r="H895" s="37">
        <f t="shared" si="99"/>
        <v>97.381514748599756</v>
      </c>
      <c r="I895" s="7">
        <f t="shared" si="101"/>
        <v>35.807182973060129</v>
      </c>
      <c r="J895" s="37">
        <v>39.23287494279203</v>
      </c>
      <c r="K895" s="37">
        <f t="shared" si="103"/>
        <v>24.063314633664607</v>
      </c>
      <c r="L895" s="37">
        <f t="shared" si="102"/>
        <v>29.333180538437158</v>
      </c>
      <c r="M895" s="957">
        <f t="shared" si="100"/>
        <v>4.8248103769335034E-2</v>
      </c>
    </row>
    <row r="896" spans="1:13" s="6" customFormat="1" ht="15.75">
      <c r="A896" s="285">
        <v>16</v>
      </c>
      <c r="B896" s="285" t="s">
        <v>408</v>
      </c>
      <c r="C896" s="391">
        <v>6299.01</v>
      </c>
      <c r="D896" s="391"/>
      <c r="E896" s="391"/>
      <c r="F896" s="8">
        <f t="shared" si="97"/>
        <v>6299.01</v>
      </c>
      <c r="G896" s="221">
        <f t="shared" si="98"/>
        <v>6.4646634452188392E-2</v>
      </c>
      <c r="H896" s="37">
        <f t="shared" si="99"/>
        <v>146.69161763449426</v>
      </c>
      <c r="I896" s="7">
        <f t="shared" si="101"/>
        <v>53.938507804203546</v>
      </c>
      <c r="J896" s="37">
        <v>49.468445690699141</v>
      </c>
      <c r="K896" s="37">
        <f t="shared" si="103"/>
        <v>36.248014403686554</v>
      </c>
      <c r="L896" s="37">
        <f t="shared" si="102"/>
        <v>44.186329558093909</v>
      </c>
      <c r="M896" s="957">
        <f t="shared" si="100"/>
        <v>4.6719230591393067E-2</v>
      </c>
    </row>
    <row r="897" spans="1:13" s="6" customFormat="1" ht="15.75">
      <c r="A897" s="285">
        <v>17</v>
      </c>
      <c r="B897" s="285" t="s">
        <v>409</v>
      </c>
      <c r="C897" s="391">
        <v>147.65</v>
      </c>
      <c r="D897" s="391"/>
      <c r="E897" s="391"/>
      <c r="F897" s="8"/>
      <c r="G897" s="221">
        <f t="shared" si="98"/>
        <v>0</v>
      </c>
      <c r="H897" s="37">
        <f t="shared" si="99"/>
        <v>0</v>
      </c>
      <c r="I897" s="7">
        <f t="shared" si="101"/>
        <v>0</v>
      </c>
      <c r="J897" s="37">
        <v>0</v>
      </c>
      <c r="K897" s="37">
        <f t="shared" si="103"/>
        <v>0</v>
      </c>
      <c r="L897" s="37">
        <f t="shared" si="102"/>
        <v>0</v>
      </c>
      <c r="M897" s="957">
        <v>0</v>
      </c>
    </row>
    <row r="898" spans="1:13" s="6" customFormat="1" ht="15.75">
      <c r="A898" s="285">
        <v>18</v>
      </c>
      <c r="B898" s="285" t="s">
        <v>410</v>
      </c>
      <c r="C898" s="391">
        <v>4248.3</v>
      </c>
      <c r="D898" s="391"/>
      <c r="E898" s="391"/>
      <c r="F898" s="8">
        <f t="shared" si="97"/>
        <v>4248.3</v>
      </c>
      <c r="G898" s="221">
        <f t="shared" si="98"/>
        <v>4.3600231963948612E-2</v>
      </c>
      <c r="H898" s="37">
        <f t="shared" si="99"/>
        <v>98.934594356354722</v>
      </c>
      <c r="I898" s="7">
        <f t="shared" si="101"/>
        <v>36.378250344831635</v>
      </c>
      <c r="J898" s="37">
        <v>40.133065564364969</v>
      </c>
      <c r="K898" s="37">
        <f>G898*960.71</f>
        <v>41.887178850085071</v>
      </c>
      <c r="L898" s="37">
        <f t="shared" si="102"/>
        <v>51.060471018253708</v>
      </c>
      <c r="M898" s="957">
        <f t="shared" si="100"/>
        <v>5.331694590396277E-2</v>
      </c>
    </row>
    <row r="899" spans="1:13" s="6" customFormat="1" ht="15.75">
      <c r="A899" s="285">
        <v>19</v>
      </c>
      <c r="B899" s="285" t="s">
        <v>411</v>
      </c>
      <c r="C899" s="391">
        <v>4085.47</v>
      </c>
      <c r="D899" s="391"/>
      <c r="E899" s="391"/>
      <c r="F899" s="8">
        <f t="shared" si="97"/>
        <v>4085.47</v>
      </c>
      <c r="G899" s="221">
        <f t="shared" si="98"/>
        <v>4.1929110392804912E-2</v>
      </c>
      <c r="H899" s="37">
        <f t="shared" si="99"/>
        <v>95.142602265625413</v>
      </c>
      <c r="I899" s="7">
        <f t="shared" si="101"/>
        <v>34.983934853070465</v>
      </c>
      <c r="J899" s="37">
        <v>37.035442468407702</v>
      </c>
      <c r="K899" s="37">
        <f>G899*560.71</f>
        <v>23.510071488349645</v>
      </c>
      <c r="L899" s="37">
        <f t="shared" si="102"/>
        <v>28.65877714429822</v>
      </c>
      <c r="M899" s="957">
        <f t="shared" si="100"/>
        <v>4.7931023047874978E-2</v>
      </c>
    </row>
    <row r="900" spans="1:13" s="6" customFormat="1" ht="15.75">
      <c r="A900" s="285">
        <v>20</v>
      </c>
      <c r="B900" s="285" t="s">
        <v>412</v>
      </c>
      <c r="C900" s="391">
        <v>3953.65</v>
      </c>
      <c r="D900" s="391">
        <v>147.30000000000001</v>
      </c>
      <c r="E900" s="391"/>
      <c r="F900" s="8">
        <f t="shared" si="97"/>
        <v>4100.95</v>
      </c>
      <c r="G900" s="221">
        <f t="shared" si="98"/>
        <v>4.2087981374327385E-2</v>
      </c>
      <c r="H900" s="37">
        <f t="shared" si="99"/>
        <v>95.503101175927497</v>
      </c>
      <c r="I900" s="7">
        <f t="shared" si="101"/>
        <v>35.116490302388542</v>
      </c>
      <c r="J900" s="37">
        <v>36.802105199514308</v>
      </c>
      <c r="K900" s="37">
        <f>G900*560.71</f>
        <v>23.599152036399108</v>
      </c>
      <c r="L900" s="37">
        <f t="shared" si="102"/>
        <v>28.767366332370514</v>
      </c>
      <c r="M900" s="957">
        <f t="shared" si="100"/>
        <v>4.7839906121801258E-2</v>
      </c>
    </row>
    <row r="901" spans="1:13" s="6" customFormat="1" ht="15.75">
      <c r="A901" s="285">
        <v>21</v>
      </c>
      <c r="B901" s="285" t="s">
        <v>413</v>
      </c>
      <c r="C901" s="391">
        <v>7076.23</v>
      </c>
      <c r="D901" s="391"/>
      <c r="E901" s="391"/>
      <c r="F901" s="8">
        <f t="shared" si="97"/>
        <v>7076.23</v>
      </c>
      <c r="G901" s="221">
        <f t="shared" si="98"/>
        <v>7.2623230334546068E-2</v>
      </c>
      <c r="H901" s="37">
        <f t="shared" si="99"/>
        <v>164.79155064902852</v>
      </c>
      <c r="I901" s="7">
        <f t="shared" si="101"/>
        <v>60.593853173647794</v>
      </c>
      <c r="J901" s="37">
        <v>63.465658831345586</v>
      </c>
      <c r="K901" s="37">
        <f>G901*1560.71</f>
        <v>113.3438018154294</v>
      </c>
      <c r="L901" s="37">
        <f t="shared" si="102"/>
        <v>138.16609441300844</v>
      </c>
      <c r="M901" s="957">
        <f t="shared" si="100"/>
        <v>6.0345290792841719E-2</v>
      </c>
    </row>
    <row r="902" spans="1:13" s="6" customFormat="1" ht="15.75">
      <c r="A902" s="285">
        <v>22</v>
      </c>
      <c r="B902" s="285" t="s">
        <v>414</v>
      </c>
      <c r="C902" s="391">
        <v>4062.74</v>
      </c>
      <c r="D902" s="391"/>
      <c r="E902" s="391"/>
      <c r="F902" s="8">
        <f t="shared" si="97"/>
        <v>4062.74</v>
      </c>
      <c r="G902" s="221">
        <f t="shared" si="98"/>
        <v>4.1695832782339418E-2</v>
      </c>
      <c r="H902" s="37">
        <f t="shared" si="99"/>
        <v>94.613265041389852</v>
      </c>
      <c r="I902" s="7">
        <f t="shared" si="101"/>
        <v>34.789297555719052</v>
      </c>
      <c r="J902" s="37">
        <v>36.434622618139684</v>
      </c>
      <c r="K902" s="37">
        <f>G902*1560.71</f>
        <v>65.075103181724955</v>
      </c>
      <c r="L902" s="37">
        <f t="shared" si="102"/>
        <v>79.32655077852273</v>
      </c>
      <c r="M902" s="957">
        <f t="shared" si="100"/>
        <v>6.0344431588969835E-2</v>
      </c>
    </row>
    <row r="903" spans="1:13" s="6" customFormat="1" ht="15.75">
      <c r="A903" s="285">
        <v>23</v>
      </c>
      <c r="B903" s="285" t="s">
        <v>415</v>
      </c>
      <c r="C903" s="391">
        <v>6379.08</v>
      </c>
      <c r="D903" s="391"/>
      <c r="E903" s="391"/>
      <c r="F903" s="8">
        <f t="shared" si="97"/>
        <v>6379.08</v>
      </c>
      <c r="G903" s="221">
        <f t="shared" si="98"/>
        <v>6.5468391525218383E-2</v>
      </c>
      <c r="H903" s="37">
        <f t="shared" si="99"/>
        <v>148.55629126161881</v>
      </c>
      <c r="I903" s="7">
        <f t="shared" si="101"/>
        <v>54.624148296897239</v>
      </c>
      <c r="J903" s="37">
        <v>58.245516805227666</v>
      </c>
      <c r="K903" s="37">
        <f>G903*1760.71</f>
        <v>115.27085164236726</v>
      </c>
      <c r="L903" s="37">
        <f t="shared" si="102"/>
        <v>140.5151681520457</v>
      </c>
      <c r="M903" s="957">
        <f t="shared" si="100"/>
        <v>6.3009262231511348E-2</v>
      </c>
    </row>
    <row r="904" spans="1:13" s="6" customFormat="1" ht="15.75">
      <c r="A904" s="285">
        <v>24</v>
      </c>
      <c r="B904" s="285" t="s">
        <v>416</v>
      </c>
      <c r="C904" s="391">
        <v>6489.94</v>
      </c>
      <c r="D904" s="391"/>
      <c r="E904" s="391">
        <v>19.399999999999999</v>
      </c>
      <c r="F904" s="8">
        <f t="shared" si="97"/>
        <v>6509.3399999999992</v>
      </c>
      <c r="G904" s="221">
        <f t="shared" si="98"/>
        <v>6.6805247730200121E-2</v>
      </c>
      <c r="H904" s="37">
        <f t="shared" si="99"/>
        <v>151.58979178202901</v>
      </c>
      <c r="I904" s="7">
        <f t="shared" si="101"/>
        <v>55.739566438252069</v>
      </c>
      <c r="J904" s="37">
        <v>58.855783508487313</v>
      </c>
      <c r="K904" s="37">
        <f>G904*1560.71</f>
        <v>104.26361818500064</v>
      </c>
      <c r="L904" s="37">
        <f t="shared" si="102"/>
        <v>127.09735056751579</v>
      </c>
      <c r="M904" s="957">
        <f t="shared" si="100"/>
        <v>6.0418182534064002E-2</v>
      </c>
    </row>
    <row r="905" spans="1:13" s="6" customFormat="1" ht="15.75">
      <c r="A905" s="285">
        <v>25</v>
      </c>
      <c r="B905" s="285" t="s">
        <v>417</v>
      </c>
      <c r="C905" s="391">
        <v>4249.6000000000004</v>
      </c>
      <c r="D905" s="391"/>
      <c r="E905" s="391"/>
      <c r="F905" s="8">
        <f t="shared" si="97"/>
        <v>4249.6000000000004</v>
      </c>
      <c r="G905" s="221">
        <f t="shared" si="98"/>
        <v>4.3613573842241841E-2</v>
      </c>
      <c r="H905" s="37">
        <f t="shared" si="99"/>
        <v>98.96486881264623</v>
      </c>
      <c r="I905" s="7">
        <f t="shared" si="101"/>
        <v>36.389382262410024</v>
      </c>
      <c r="J905" s="37">
        <v>40.145346473254101</v>
      </c>
      <c r="K905" s="37">
        <f>G905*1160.71</f>
        <v>50.622711294428527</v>
      </c>
      <c r="L905" s="37">
        <f t="shared" si="102"/>
        <v>61.709085067908376</v>
      </c>
      <c r="M905" s="957">
        <f t="shared" si="100"/>
        <v>5.5819061233108695E-2</v>
      </c>
    </row>
    <row r="906" spans="1:13" s="6" customFormat="1" ht="15.75">
      <c r="A906" s="285">
        <v>26</v>
      </c>
      <c r="B906" s="285" t="s">
        <v>418</v>
      </c>
      <c r="C906" s="391">
        <v>2807.52</v>
      </c>
      <c r="D906" s="391"/>
      <c r="E906" s="391"/>
      <c r="F906" s="8">
        <f t="shared" si="97"/>
        <v>2807.52</v>
      </c>
      <c r="G906" s="221">
        <f t="shared" si="98"/>
        <v>2.8813530881393733E-2</v>
      </c>
      <c r="H906" s="37">
        <f t="shared" si="99"/>
        <v>65.38164732889696</v>
      </c>
      <c r="I906" s="7">
        <f t="shared" si="101"/>
        <v>24.040831722835414</v>
      </c>
      <c r="J906" s="37">
        <v>25.700163563744297</v>
      </c>
      <c r="K906" s="37">
        <f t="shared" ref="K906:K940" si="104">G906*560.71</f>
        <v>16.156034900506281</v>
      </c>
      <c r="L906" s="37">
        <f t="shared" si="102"/>
        <v>19.694206543717158</v>
      </c>
      <c r="M906" s="957">
        <f t="shared" si="100"/>
        <v>4.8019906949618829E-2</v>
      </c>
    </row>
    <row r="907" spans="1:13" s="6" customFormat="1" ht="15.75">
      <c r="A907" s="285">
        <v>27</v>
      </c>
      <c r="B907" s="285" t="s">
        <v>419</v>
      </c>
      <c r="C907" s="391">
        <v>4226.7</v>
      </c>
      <c r="D907" s="391"/>
      <c r="E907" s="391"/>
      <c r="F907" s="8">
        <f t="shared" si="97"/>
        <v>4226.7</v>
      </c>
      <c r="G907" s="221">
        <f t="shared" si="98"/>
        <v>4.3378551524614922E-2</v>
      </c>
      <c r="H907" s="37">
        <f t="shared" si="99"/>
        <v>98.431572621049469</v>
      </c>
      <c r="I907" s="7">
        <f t="shared" si="101"/>
        <v>36.19328925275989</v>
      </c>
      <c r="J907" s="37">
        <v>35.755299419511175</v>
      </c>
      <c r="K907" s="37">
        <f>G907*1260.71</f>
        <v>54.687773692597283</v>
      </c>
      <c r="L907" s="37">
        <f t="shared" si="102"/>
        <v>66.664396131276092</v>
      </c>
      <c r="M907" s="957">
        <f t="shared" si="100"/>
        <v>5.6082654890244547E-2</v>
      </c>
    </row>
    <row r="908" spans="1:13" s="6" customFormat="1" ht="15.75">
      <c r="A908" s="285">
        <v>28</v>
      </c>
      <c r="B908" s="285" t="s">
        <v>420</v>
      </c>
      <c r="C908" s="391">
        <v>4709.3599999999997</v>
      </c>
      <c r="D908" s="391"/>
      <c r="E908" s="391"/>
      <c r="F908" s="8">
        <f t="shared" si="97"/>
        <v>4709.3599999999997</v>
      </c>
      <c r="G908" s="221">
        <f t="shared" si="98"/>
        <v>4.8332083045392507E-2</v>
      </c>
      <c r="H908" s="37">
        <f t="shared" si="99"/>
        <v>109.67177960079151</v>
      </c>
      <c r="I908" s="7">
        <f t="shared" si="101"/>
        <v>40.326313359211042</v>
      </c>
      <c r="J908" s="37">
        <v>53.056454925452215</v>
      </c>
      <c r="K908" s="37">
        <f>G908*1260.71</f>
        <v>60.93274041615679</v>
      </c>
      <c r="L908" s="37">
        <f t="shared" si="102"/>
        <v>74.277010567295136</v>
      </c>
      <c r="M908" s="957">
        <f t="shared" si="100"/>
        <v>5.8889436877356989E-2</v>
      </c>
    </row>
    <row r="909" spans="1:13" s="6" customFormat="1" ht="15.75">
      <c r="A909" s="285">
        <v>29</v>
      </c>
      <c r="B909" s="285" t="s">
        <v>1358</v>
      </c>
      <c r="C909" s="391">
        <v>5719.55</v>
      </c>
      <c r="D909" s="391"/>
      <c r="E909" s="391">
        <v>30.7</v>
      </c>
      <c r="F909" s="8">
        <f t="shared" si="97"/>
        <v>5750.25</v>
      </c>
      <c r="G909" s="221">
        <f t="shared" si="98"/>
        <v>5.901471973511651E-2</v>
      </c>
      <c r="H909" s="37">
        <f t="shared" si="99"/>
        <v>133.91207099254493</v>
      </c>
      <c r="I909" s="7">
        <f t="shared" si="101"/>
        <v>49.239468503958776</v>
      </c>
      <c r="J909" s="37">
        <v>53.373774717441243</v>
      </c>
      <c r="K909" s="37">
        <f t="shared" si="104"/>
        <v>33.090143502677179</v>
      </c>
      <c r="L909" s="37">
        <f t="shared" si="102"/>
        <v>40.336884929763485</v>
      </c>
      <c r="M909" s="957">
        <f t="shared" si="100"/>
        <v>4.8147854292197458E-2</v>
      </c>
    </row>
    <row r="910" spans="1:13" s="6" customFormat="1" ht="15.75">
      <c r="A910" s="285">
        <v>30</v>
      </c>
      <c r="B910" s="285" t="s">
        <v>421</v>
      </c>
      <c r="C910" s="391">
        <v>3555.12</v>
      </c>
      <c r="D910" s="391"/>
      <c r="E910" s="391"/>
      <c r="F910" s="8">
        <f t="shared" si="97"/>
        <v>3555.12</v>
      </c>
      <c r="G910" s="221">
        <f t="shared" si="98"/>
        <v>3.6486137198331797E-2</v>
      </c>
      <c r="H910" s="37">
        <f t="shared" si="99"/>
        <v>82.791788500850629</v>
      </c>
      <c r="I910" s="7">
        <f t="shared" si="101"/>
        <v>30.442540631762778</v>
      </c>
      <c r="J910" s="37">
        <v>31.450462979752803</v>
      </c>
      <c r="K910" s="37">
        <f>G910*1560.71</f>
        <v>56.944279186808423</v>
      </c>
      <c r="L910" s="37">
        <f t="shared" si="102"/>
        <v>69.415076328719479</v>
      </c>
      <c r="M910" s="957">
        <f t="shared" si="100"/>
        <v>6.0222965312306108E-2</v>
      </c>
    </row>
    <row r="911" spans="1:13" s="6" customFormat="1" ht="15.75">
      <c r="A911" s="285">
        <v>31</v>
      </c>
      <c r="B911" s="285" t="s">
        <v>422</v>
      </c>
      <c r="C911" s="391"/>
      <c r="D911" s="391"/>
      <c r="E911" s="391"/>
      <c r="F911" s="8">
        <f t="shared" si="97"/>
        <v>0</v>
      </c>
      <c r="G911" s="221">
        <f t="shared" si="98"/>
        <v>0</v>
      </c>
      <c r="H911" s="37">
        <f t="shared" si="99"/>
        <v>0</v>
      </c>
      <c r="I911" s="7"/>
      <c r="J911" s="37">
        <v>0</v>
      </c>
      <c r="K911" s="37">
        <f t="shared" si="104"/>
        <v>0</v>
      </c>
      <c r="L911" s="37">
        <f t="shared" si="102"/>
        <v>0</v>
      </c>
      <c r="M911" s="957">
        <v>0</v>
      </c>
    </row>
    <row r="912" spans="1:13" s="6" customFormat="1" ht="15.75">
      <c r="A912" s="285">
        <v>32</v>
      </c>
      <c r="B912" s="285" t="s">
        <v>423</v>
      </c>
      <c r="C912" s="391"/>
      <c r="D912" s="391"/>
      <c r="E912" s="391"/>
      <c r="F912" s="8">
        <f t="shared" si="97"/>
        <v>0</v>
      </c>
      <c r="G912" s="221">
        <f t="shared" si="98"/>
        <v>0</v>
      </c>
      <c r="H912" s="37">
        <f t="shared" si="99"/>
        <v>0</v>
      </c>
      <c r="I912" s="7"/>
      <c r="J912" s="37">
        <v>0</v>
      </c>
      <c r="K912" s="37">
        <f t="shared" si="104"/>
        <v>0</v>
      </c>
      <c r="L912" s="37">
        <f t="shared" si="102"/>
        <v>0</v>
      </c>
      <c r="M912" s="957">
        <v>0</v>
      </c>
    </row>
    <row r="913" spans="1:13" s="6" customFormat="1" ht="15.75">
      <c r="A913" s="285">
        <v>33</v>
      </c>
      <c r="B913" s="285" t="s">
        <v>424</v>
      </c>
      <c r="C913" s="391"/>
      <c r="D913" s="391"/>
      <c r="E913" s="391"/>
      <c r="F913" s="8">
        <f t="shared" si="97"/>
        <v>0</v>
      </c>
      <c r="G913" s="221">
        <f t="shared" si="98"/>
        <v>0</v>
      </c>
      <c r="H913" s="37">
        <f t="shared" si="99"/>
        <v>0</v>
      </c>
      <c r="I913" s="7"/>
      <c r="J913" s="37">
        <v>1.9073196190112014</v>
      </c>
      <c r="K913" s="37">
        <f t="shared" si="104"/>
        <v>0</v>
      </c>
      <c r="L913" s="37">
        <f t="shared" si="102"/>
        <v>0</v>
      </c>
      <c r="M913" s="957">
        <v>0</v>
      </c>
    </row>
    <row r="914" spans="1:13" s="6" customFormat="1" ht="15.75">
      <c r="A914" s="285">
        <v>34</v>
      </c>
      <c r="B914" s="285" t="s">
        <v>425</v>
      </c>
      <c r="C914" s="391">
        <v>4021.5</v>
      </c>
      <c r="D914" s="391"/>
      <c r="E914" s="391"/>
      <c r="F914" s="8">
        <f t="shared" si="97"/>
        <v>4021.5</v>
      </c>
      <c r="G914" s="221">
        <f t="shared" si="98"/>
        <v>4.1272587350944925E-2</v>
      </c>
      <c r="H914" s="37">
        <f t="shared" si="99"/>
        <v>93.65286613564966</v>
      </c>
      <c r="I914" s="7">
        <f t="shared" si="101"/>
        <v>34.43615887807838</v>
      </c>
      <c r="J914" s="37">
        <v>36.495082477286147</v>
      </c>
      <c r="K914" s="37">
        <f t="shared" si="104"/>
        <v>23.141952453548331</v>
      </c>
      <c r="L914" s="37">
        <f t="shared" si="102"/>
        <v>28.210040040875416</v>
      </c>
      <c r="M914" s="957">
        <f>(H914+I914+J914+L914)/F914</f>
        <v>4.7940854788484304E-2</v>
      </c>
    </row>
    <row r="915" spans="1:13" s="6" customFormat="1" ht="15.75">
      <c r="A915" s="285">
        <v>35</v>
      </c>
      <c r="B915" s="285" t="s">
        <v>426</v>
      </c>
      <c r="C915" s="391">
        <v>4138.7700000000004</v>
      </c>
      <c r="D915" s="391"/>
      <c r="E915" s="391"/>
      <c r="F915" s="8">
        <f t="shared" si="97"/>
        <v>4138.7700000000004</v>
      </c>
      <c r="G915" s="221">
        <f t="shared" si="98"/>
        <v>4.2476127402827392E-2</v>
      </c>
      <c r="H915" s="37">
        <f t="shared" si="99"/>
        <v>96.383854973577726</v>
      </c>
      <c r="I915" s="7">
        <f t="shared" si="101"/>
        <v>35.44034347378453</v>
      </c>
      <c r="J915" s="37">
        <v>37.579581200725904</v>
      </c>
      <c r="K915" s="37">
        <f t="shared" si="104"/>
        <v>23.816789396039347</v>
      </c>
      <c r="L915" s="37">
        <f t="shared" si="102"/>
        <v>29.032666273771966</v>
      </c>
      <c r="M915" s="957">
        <f>(H915+I915+J915+L915)/F915</f>
        <v>4.7945753429608343E-2</v>
      </c>
    </row>
    <row r="916" spans="1:13" s="6" customFormat="1" ht="15.75">
      <c r="A916" s="285">
        <v>36</v>
      </c>
      <c r="B916" s="285" t="s">
        <v>427</v>
      </c>
      <c r="C916" s="391"/>
      <c r="D916" s="391"/>
      <c r="E916" s="391"/>
      <c r="F916" s="8">
        <f t="shared" si="97"/>
        <v>0</v>
      </c>
      <c r="G916" s="221">
        <f t="shared" si="98"/>
        <v>0</v>
      </c>
      <c r="H916" s="37">
        <f t="shared" si="99"/>
        <v>0</v>
      </c>
      <c r="I916" s="7"/>
      <c r="J916" s="37">
        <v>0</v>
      </c>
      <c r="K916" s="37">
        <f t="shared" si="104"/>
        <v>0</v>
      </c>
      <c r="L916" s="37">
        <f t="shared" si="102"/>
        <v>0</v>
      </c>
      <c r="M916" s="957">
        <v>0</v>
      </c>
    </row>
    <row r="917" spans="1:13" s="6" customFormat="1" ht="15.75">
      <c r="A917" s="285">
        <v>37</v>
      </c>
      <c r="B917" s="285" t="s">
        <v>428</v>
      </c>
      <c r="C917" s="391">
        <v>5685.06</v>
      </c>
      <c r="D917" s="391"/>
      <c r="E917" s="391">
        <v>179.5</v>
      </c>
      <c r="F917" s="8">
        <f t="shared" si="97"/>
        <v>5864.56</v>
      </c>
      <c r="G917" s="221">
        <f t="shared" si="98"/>
        <v>6.0187881356423618E-2</v>
      </c>
      <c r="H917" s="37">
        <f t="shared" si="99"/>
        <v>136.57412722230154</v>
      </c>
      <c r="I917" s="7">
        <f t="shared" si="101"/>
        <v>50.218306579640277</v>
      </c>
      <c r="J917" s="37">
        <v>52.98928780068168</v>
      </c>
      <c r="K917" s="37">
        <f>G917*1260.71</f>
        <v>75.87946390485682</v>
      </c>
      <c r="L917" s="37">
        <f t="shared" si="102"/>
        <v>92.497066500020466</v>
      </c>
      <c r="M917" s="957">
        <f>(H917+I917+J917+L917)/F917</f>
        <v>5.6658775441404637E-2</v>
      </c>
    </row>
    <row r="918" spans="1:13" s="6" customFormat="1" ht="15.75">
      <c r="A918" s="285">
        <v>38</v>
      </c>
      <c r="B918" s="285" t="s">
        <v>429</v>
      </c>
      <c r="C918" s="391"/>
      <c r="D918" s="391"/>
      <c r="E918" s="391"/>
      <c r="F918" s="8">
        <f t="shared" si="97"/>
        <v>0</v>
      </c>
      <c r="G918" s="221">
        <f t="shared" si="98"/>
        <v>0</v>
      </c>
      <c r="H918" s="37">
        <f t="shared" si="99"/>
        <v>0</v>
      </c>
      <c r="I918" s="7"/>
      <c r="J918" s="37">
        <v>0</v>
      </c>
      <c r="K918" s="37">
        <f t="shared" si="104"/>
        <v>0</v>
      </c>
      <c r="L918" s="37">
        <f t="shared" si="102"/>
        <v>0</v>
      </c>
      <c r="M918" s="957">
        <v>0</v>
      </c>
    </row>
    <row r="919" spans="1:13" s="6" customFormat="1" ht="15.75">
      <c r="A919" s="285">
        <v>39</v>
      </c>
      <c r="B919" s="285" t="s">
        <v>430</v>
      </c>
      <c r="C919" s="391"/>
      <c r="D919" s="391"/>
      <c r="E919" s="391"/>
      <c r="F919" s="8">
        <f t="shared" si="97"/>
        <v>0</v>
      </c>
      <c r="G919" s="221">
        <f t="shared" si="98"/>
        <v>0</v>
      </c>
      <c r="H919" s="37">
        <f t="shared" si="99"/>
        <v>0</v>
      </c>
      <c r="I919" s="7"/>
      <c r="J919" s="37">
        <v>0</v>
      </c>
      <c r="K919" s="37">
        <f t="shared" si="104"/>
        <v>0</v>
      </c>
      <c r="L919" s="37">
        <f t="shared" si="102"/>
        <v>0</v>
      </c>
      <c r="M919" s="957">
        <v>0</v>
      </c>
    </row>
    <row r="920" spans="1:13" s="6" customFormat="1" ht="15.75">
      <c r="A920" s="285">
        <v>40</v>
      </c>
      <c r="B920" s="285" t="s">
        <v>431</v>
      </c>
      <c r="C920" s="391"/>
      <c r="D920" s="391"/>
      <c r="E920" s="391"/>
      <c r="F920" s="8">
        <f t="shared" si="97"/>
        <v>0</v>
      </c>
      <c r="G920" s="221">
        <f t="shared" si="98"/>
        <v>0</v>
      </c>
      <c r="H920" s="37">
        <f t="shared" si="99"/>
        <v>0</v>
      </c>
      <c r="I920" s="7"/>
      <c r="J920" s="37">
        <v>0</v>
      </c>
      <c r="K920" s="37">
        <f t="shared" si="104"/>
        <v>0</v>
      </c>
      <c r="L920" s="37">
        <f t="shared" si="102"/>
        <v>0</v>
      </c>
      <c r="M920" s="957">
        <v>0</v>
      </c>
    </row>
    <row r="921" spans="1:13" s="6" customFormat="1" ht="15.75">
      <c r="A921" s="285">
        <v>41</v>
      </c>
      <c r="B921" s="285" t="s">
        <v>432</v>
      </c>
      <c r="C921" s="391"/>
      <c r="D921" s="391"/>
      <c r="E921" s="391"/>
      <c r="F921" s="8">
        <f t="shared" si="97"/>
        <v>0</v>
      </c>
      <c r="G921" s="221">
        <f t="shared" si="98"/>
        <v>0</v>
      </c>
      <c r="H921" s="37">
        <f t="shared" si="99"/>
        <v>0</v>
      </c>
      <c r="I921" s="7"/>
      <c r="J921" s="37">
        <v>0</v>
      </c>
      <c r="K921" s="37">
        <f t="shared" si="104"/>
        <v>0</v>
      </c>
      <c r="L921" s="37">
        <f t="shared" si="102"/>
        <v>0</v>
      </c>
      <c r="M921" s="957">
        <v>0</v>
      </c>
    </row>
    <row r="922" spans="1:13" s="6" customFormat="1" ht="15.75">
      <c r="A922" s="285">
        <v>42</v>
      </c>
      <c r="B922" s="285" t="s">
        <v>433</v>
      </c>
      <c r="C922" s="391"/>
      <c r="D922" s="391"/>
      <c r="E922" s="391"/>
      <c r="F922" s="8">
        <f t="shared" si="97"/>
        <v>0</v>
      </c>
      <c r="G922" s="221">
        <f t="shared" si="98"/>
        <v>0</v>
      </c>
      <c r="H922" s="37">
        <f t="shared" si="99"/>
        <v>0</v>
      </c>
      <c r="I922" s="7"/>
      <c r="J922" s="37">
        <v>0</v>
      </c>
      <c r="K922" s="37">
        <f t="shared" si="104"/>
        <v>0</v>
      </c>
      <c r="L922" s="37">
        <f t="shared" si="102"/>
        <v>0</v>
      </c>
      <c r="M922" s="957">
        <v>0</v>
      </c>
    </row>
    <row r="923" spans="1:13" s="6" customFormat="1" ht="15.75">
      <c r="A923" s="285">
        <v>43</v>
      </c>
      <c r="B923" s="285" t="s">
        <v>434</v>
      </c>
      <c r="C923" s="391"/>
      <c r="D923" s="391"/>
      <c r="E923" s="391"/>
      <c r="F923" s="8">
        <f t="shared" si="97"/>
        <v>0</v>
      </c>
      <c r="G923" s="221">
        <f t="shared" si="98"/>
        <v>0</v>
      </c>
      <c r="H923" s="37">
        <f t="shared" si="99"/>
        <v>0</v>
      </c>
      <c r="I923" s="7"/>
      <c r="J923" s="37">
        <v>0</v>
      </c>
      <c r="K923" s="37">
        <f t="shared" si="104"/>
        <v>0</v>
      </c>
      <c r="L923" s="37">
        <f t="shared" si="102"/>
        <v>0</v>
      </c>
      <c r="M923" s="957">
        <v>0</v>
      </c>
    </row>
    <row r="924" spans="1:13" s="6" customFormat="1" ht="15.75">
      <c r="A924" s="285">
        <v>44</v>
      </c>
      <c r="B924" s="285" t="s">
        <v>435</v>
      </c>
      <c r="C924" s="391">
        <v>7127.52</v>
      </c>
      <c r="D924" s="391"/>
      <c r="E924" s="391"/>
      <c r="F924" s="8">
        <f t="shared" si="97"/>
        <v>7127.52</v>
      </c>
      <c r="G924" s="221">
        <f t="shared" si="98"/>
        <v>7.3149618748130543E-2</v>
      </c>
      <c r="H924" s="37">
        <f t="shared" si="99"/>
        <v>165.98599438994546</v>
      </c>
      <c r="I924" s="7">
        <f t="shared" si="101"/>
        <v>61.033050137182947</v>
      </c>
      <c r="J924" s="37">
        <v>62.707265473177088</v>
      </c>
      <c r="K924" s="37">
        <f t="shared" si="104"/>
        <v>41.015722728264279</v>
      </c>
      <c r="L924" s="37">
        <f t="shared" si="102"/>
        <v>49.998166005754157</v>
      </c>
      <c r="M924" s="957">
        <f>(H924+I924+J924+L924)/F924</f>
        <v>4.7663770288411629E-2</v>
      </c>
    </row>
    <row r="925" spans="1:13" s="6" customFormat="1" ht="15.75">
      <c r="A925" s="285">
        <v>45</v>
      </c>
      <c r="B925" s="285" t="s">
        <v>436</v>
      </c>
      <c r="C925" s="391"/>
      <c r="D925" s="391"/>
      <c r="E925" s="391"/>
      <c r="F925" s="8">
        <f t="shared" si="97"/>
        <v>0</v>
      </c>
      <c r="G925" s="221">
        <f t="shared" si="98"/>
        <v>0</v>
      </c>
      <c r="H925" s="37">
        <f t="shared" si="99"/>
        <v>0</v>
      </c>
      <c r="I925" s="7"/>
      <c r="J925" s="37">
        <v>0</v>
      </c>
      <c r="K925" s="37">
        <f t="shared" si="104"/>
        <v>0</v>
      </c>
      <c r="L925" s="37">
        <f t="shared" si="102"/>
        <v>0</v>
      </c>
      <c r="M925" s="957">
        <v>0</v>
      </c>
    </row>
    <row r="926" spans="1:13" s="6" customFormat="1" ht="15.75">
      <c r="A926" s="285">
        <v>46</v>
      </c>
      <c r="B926" s="285" t="s">
        <v>437</v>
      </c>
      <c r="C926" s="391"/>
      <c r="D926" s="391"/>
      <c r="E926" s="391"/>
      <c r="F926" s="8">
        <f t="shared" si="97"/>
        <v>0</v>
      </c>
      <c r="G926" s="221">
        <f t="shared" si="98"/>
        <v>0</v>
      </c>
      <c r="H926" s="37">
        <f t="shared" si="99"/>
        <v>0</v>
      </c>
      <c r="I926" s="7"/>
      <c r="J926" s="37">
        <v>0</v>
      </c>
      <c r="K926" s="37">
        <f t="shared" si="104"/>
        <v>0</v>
      </c>
      <c r="L926" s="37">
        <f t="shared" si="102"/>
        <v>0</v>
      </c>
      <c r="M926" s="957">
        <v>0</v>
      </c>
    </row>
    <row r="927" spans="1:13" s="6" customFormat="1" ht="15.75">
      <c r="A927" s="285">
        <v>47</v>
      </c>
      <c r="B927" s="285" t="s">
        <v>438</v>
      </c>
      <c r="C927" s="391"/>
      <c r="D927" s="391"/>
      <c r="E927" s="391"/>
      <c r="F927" s="8">
        <f t="shared" si="97"/>
        <v>0</v>
      </c>
      <c r="G927" s="221">
        <f t="shared" si="98"/>
        <v>0</v>
      </c>
      <c r="H927" s="37">
        <f t="shared" si="99"/>
        <v>0</v>
      </c>
      <c r="I927" s="7"/>
      <c r="J927" s="37">
        <v>0</v>
      </c>
      <c r="K927" s="37">
        <f t="shared" si="104"/>
        <v>0</v>
      </c>
      <c r="L927" s="37">
        <f t="shared" si="102"/>
        <v>0</v>
      </c>
      <c r="M927" s="957">
        <v>0</v>
      </c>
    </row>
    <row r="928" spans="1:13" s="6" customFormat="1" ht="15.75">
      <c r="A928" s="285">
        <v>48</v>
      </c>
      <c r="B928" s="285" t="s">
        <v>439</v>
      </c>
      <c r="C928" s="391"/>
      <c r="D928" s="391"/>
      <c r="E928" s="391"/>
      <c r="F928" s="8">
        <f t="shared" si="97"/>
        <v>0</v>
      </c>
      <c r="G928" s="221">
        <f t="shared" si="98"/>
        <v>0</v>
      </c>
      <c r="H928" s="37">
        <f t="shared" si="99"/>
        <v>0</v>
      </c>
      <c r="I928" s="7"/>
      <c r="J928" s="37">
        <v>0</v>
      </c>
      <c r="K928" s="37">
        <f t="shared" si="104"/>
        <v>0</v>
      </c>
      <c r="L928" s="37">
        <f t="shared" si="102"/>
        <v>0</v>
      </c>
      <c r="M928" s="957">
        <v>0</v>
      </c>
    </row>
    <row r="929" spans="1:13" s="6" customFormat="1" ht="15.75">
      <c r="A929" s="285">
        <v>49</v>
      </c>
      <c r="B929" s="285" t="s">
        <v>440</v>
      </c>
      <c r="C929" s="391"/>
      <c r="D929" s="391"/>
      <c r="E929" s="391"/>
      <c r="F929" s="8">
        <f t="shared" si="97"/>
        <v>0</v>
      </c>
      <c r="G929" s="221">
        <f t="shared" si="98"/>
        <v>0</v>
      </c>
      <c r="H929" s="37">
        <f t="shared" si="99"/>
        <v>0</v>
      </c>
      <c r="I929" s="7"/>
      <c r="J929" s="37">
        <v>0</v>
      </c>
      <c r="K929" s="37">
        <f t="shared" si="104"/>
        <v>0</v>
      </c>
      <c r="L929" s="37">
        <f t="shared" si="102"/>
        <v>0</v>
      </c>
      <c r="M929" s="957">
        <v>0</v>
      </c>
    </row>
    <row r="930" spans="1:13" s="6" customFormat="1" ht="15.75">
      <c r="A930" s="285">
        <v>50</v>
      </c>
      <c r="B930" s="285" t="s">
        <v>441</v>
      </c>
      <c r="C930" s="391"/>
      <c r="D930" s="391"/>
      <c r="E930" s="391"/>
      <c r="F930" s="8">
        <f t="shared" si="97"/>
        <v>0</v>
      </c>
      <c r="G930" s="221">
        <f t="shared" si="98"/>
        <v>0</v>
      </c>
      <c r="H930" s="37">
        <f t="shared" si="99"/>
        <v>0</v>
      </c>
      <c r="I930" s="7"/>
      <c r="J930" s="37">
        <v>0</v>
      </c>
      <c r="K930" s="37">
        <f t="shared" si="104"/>
        <v>0</v>
      </c>
      <c r="L930" s="37">
        <f t="shared" si="102"/>
        <v>0</v>
      </c>
      <c r="M930" s="957">
        <v>0</v>
      </c>
    </row>
    <row r="931" spans="1:13" s="6" customFormat="1" ht="15.75">
      <c r="A931" s="285">
        <v>51</v>
      </c>
      <c r="B931" s="285" t="s">
        <v>442</v>
      </c>
      <c r="C931" s="391"/>
      <c r="D931" s="391"/>
      <c r="E931" s="391"/>
      <c r="F931" s="8">
        <f t="shared" si="97"/>
        <v>0</v>
      </c>
      <c r="G931" s="221">
        <f t="shared" si="98"/>
        <v>0</v>
      </c>
      <c r="H931" s="37">
        <f t="shared" si="99"/>
        <v>0</v>
      </c>
      <c r="I931" s="7"/>
      <c r="J931" s="37">
        <v>0</v>
      </c>
      <c r="K931" s="37">
        <f t="shared" si="104"/>
        <v>0</v>
      </c>
      <c r="L931" s="37">
        <f t="shared" si="102"/>
        <v>0</v>
      </c>
      <c r="M931" s="957">
        <v>0</v>
      </c>
    </row>
    <row r="932" spans="1:13" s="6" customFormat="1" ht="15.75">
      <c r="A932" s="285">
        <v>52</v>
      </c>
      <c r="B932" s="285" t="s">
        <v>443</v>
      </c>
      <c r="C932" s="391"/>
      <c r="D932" s="391"/>
      <c r="E932" s="391"/>
      <c r="F932" s="8">
        <f t="shared" si="97"/>
        <v>0</v>
      </c>
      <c r="G932" s="221">
        <f t="shared" si="98"/>
        <v>0</v>
      </c>
      <c r="H932" s="37">
        <f t="shared" si="99"/>
        <v>0</v>
      </c>
      <c r="I932" s="7"/>
      <c r="J932" s="37">
        <v>0</v>
      </c>
      <c r="K932" s="37">
        <f t="shared" si="104"/>
        <v>0</v>
      </c>
      <c r="L932" s="37">
        <f t="shared" si="102"/>
        <v>0</v>
      </c>
      <c r="M932" s="957">
        <v>0</v>
      </c>
    </row>
    <row r="933" spans="1:13" s="6" customFormat="1" ht="15.75">
      <c r="A933" s="285">
        <v>53</v>
      </c>
      <c r="B933" s="285" t="s">
        <v>444</v>
      </c>
      <c r="C933" s="391"/>
      <c r="D933" s="391"/>
      <c r="E933" s="391"/>
      <c r="F933" s="8">
        <f t="shared" si="97"/>
        <v>0</v>
      </c>
      <c r="G933" s="221">
        <f t="shared" si="98"/>
        <v>0</v>
      </c>
      <c r="H933" s="37">
        <f t="shared" si="99"/>
        <v>0</v>
      </c>
      <c r="I933" s="7"/>
      <c r="J933" s="37">
        <v>0</v>
      </c>
      <c r="K933" s="37">
        <f t="shared" si="104"/>
        <v>0</v>
      </c>
      <c r="L933" s="37">
        <f t="shared" si="102"/>
        <v>0</v>
      </c>
      <c r="M933" s="957">
        <v>0</v>
      </c>
    </row>
    <row r="934" spans="1:13" s="6" customFormat="1" ht="15.75">
      <c r="A934" s="285">
        <v>54</v>
      </c>
      <c r="B934" s="285" t="s">
        <v>445</v>
      </c>
      <c r="C934" s="391"/>
      <c r="D934" s="391"/>
      <c r="E934" s="391"/>
      <c r="F934" s="8">
        <f t="shared" si="97"/>
        <v>0</v>
      </c>
      <c r="G934" s="221">
        <f t="shared" si="98"/>
        <v>0</v>
      </c>
      <c r="H934" s="37">
        <f t="shared" si="99"/>
        <v>0</v>
      </c>
      <c r="I934" s="7"/>
      <c r="J934" s="37">
        <v>0</v>
      </c>
      <c r="K934" s="37">
        <f t="shared" si="104"/>
        <v>0</v>
      </c>
      <c r="L934" s="37">
        <f t="shared" si="102"/>
        <v>0</v>
      </c>
      <c r="M934" s="957">
        <v>0</v>
      </c>
    </row>
    <row r="935" spans="1:13" s="6" customFormat="1" ht="15.75">
      <c r="A935" s="285">
        <v>55</v>
      </c>
      <c r="B935" s="285" t="s">
        <v>446</v>
      </c>
      <c r="C935" s="391"/>
      <c r="D935" s="391"/>
      <c r="E935" s="391"/>
      <c r="F935" s="8">
        <f t="shared" si="97"/>
        <v>0</v>
      </c>
      <c r="G935" s="221">
        <f t="shared" si="98"/>
        <v>0</v>
      </c>
      <c r="H935" s="37">
        <f t="shared" si="99"/>
        <v>0</v>
      </c>
      <c r="I935" s="7"/>
      <c r="J935" s="37">
        <v>0</v>
      </c>
      <c r="K935" s="37">
        <f t="shared" si="104"/>
        <v>0</v>
      </c>
      <c r="L935" s="37">
        <f t="shared" si="102"/>
        <v>0</v>
      </c>
      <c r="M935" s="957">
        <v>0</v>
      </c>
    </row>
    <row r="936" spans="1:13" s="6" customFormat="1" ht="15.75">
      <c r="A936" s="285">
        <v>56</v>
      </c>
      <c r="B936" s="285" t="s">
        <v>447</v>
      </c>
      <c r="C936" s="391"/>
      <c r="D936" s="391"/>
      <c r="E936" s="391"/>
      <c r="F936" s="8">
        <f t="shared" si="97"/>
        <v>0</v>
      </c>
      <c r="G936" s="221">
        <f t="shared" si="98"/>
        <v>0</v>
      </c>
      <c r="H936" s="37">
        <f t="shared" si="99"/>
        <v>0</v>
      </c>
      <c r="I936" s="7"/>
      <c r="J936" s="37">
        <v>0</v>
      </c>
      <c r="K936" s="37">
        <f t="shared" si="104"/>
        <v>0</v>
      </c>
      <c r="L936" s="37">
        <f t="shared" si="102"/>
        <v>0</v>
      </c>
      <c r="M936" s="957">
        <v>0</v>
      </c>
    </row>
    <row r="937" spans="1:13" s="6" customFormat="1" ht="15.75">
      <c r="A937" s="285">
        <v>57</v>
      </c>
      <c r="B937" s="285" t="s">
        <v>448</v>
      </c>
      <c r="C937" s="391"/>
      <c r="D937" s="391"/>
      <c r="E937" s="391"/>
      <c r="F937" s="8">
        <f t="shared" si="97"/>
        <v>0</v>
      </c>
      <c r="G937" s="221">
        <f t="shared" si="98"/>
        <v>0</v>
      </c>
      <c r="H937" s="37">
        <f t="shared" si="99"/>
        <v>0</v>
      </c>
      <c r="I937" s="7"/>
      <c r="J937" s="37">
        <v>0</v>
      </c>
      <c r="K937" s="37">
        <f t="shared" si="104"/>
        <v>0</v>
      </c>
      <c r="L937" s="37">
        <f t="shared" si="102"/>
        <v>0</v>
      </c>
      <c r="M937" s="957">
        <v>0</v>
      </c>
    </row>
    <row r="938" spans="1:13" s="6" customFormat="1" ht="15.75">
      <c r="A938" s="285">
        <v>58</v>
      </c>
      <c r="B938" s="285" t="s">
        <v>449</v>
      </c>
      <c r="C938" s="391"/>
      <c r="D938" s="391"/>
      <c r="E938" s="391"/>
      <c r="F938" s="8">
        <f t="shared" si="97"/>
        <v>0</v>
      </c>
      <c r="G938" s="221">
        <f t="shared" si="98"/>
        <v>0</v>
      </c>
      <c r="H938" s="37">
        <f t="shared" si="99"/>
        <v>0</v>
      </c>
      <c r="I938" s="7"/>
      <c r="J938" s="37">
        <v>0</v>
      </c>
      <c r="K938" s="37">
        <f t="shared" si="104"/>
        <v>0</v>
      </c>
      <c r="L938" s="37">
        <f t="shared" si="102"/>
        <v>0</v>
      </c>
      <c r="M938" s="957">
        <v>0</v>
      </c>
    </row>
    <row r="939" spans="1:13" s="6" customFormat="1" ht="15.75">
      <c r="A939" s="285">
        <v>59</v>
      </c>
      <c r="B939" s="285" t="s">
        <v>450</v>
      </c>
      <c r="C939" s="391"/>
      <c r="D939" s="391"/>
      <c r="E939" s="391"/>
      <c r="F939" s="8">
        <f t="shared" si="97"/>
        <v>0</v>
      </c>
      <c r="G939" s="221">
        <f t="shared" si="98"/>
        <v>0</v>
      </c>
      <c r="H939" s="37">
        <f t="shared" si="99"/>
        <v>0</v>
      </c>
      <c r="I939" s="7"/>
      <c r="J939" s="37">
        <v>0</v>
      </c>
      <c r="K939" s="37">
        <f t="shared" si="104"/>
        <v>0</v>
      </c>
      <c r="L939" s="37">
        <f t="shared" si="102"/>
        <v>0</v>
      </c>
      <c r="M939" s="957">
        <v>0</v>
      </c>
    </row>
    <row r="940" spans="1:13" s="6" customFormat="1" ht="15.75">
      <c r="A940" s="285">
        <v>60</v>
      </c>
      <c r="B940" s="285" t="s">
        <v>451</v>
      </c>
      <c r="C940" s="391"/>
      <c r="D940" s="391"/>
      <c r="E940" s="391"/>
      <c r="F940" s="8">
        <f t="shared" si="97"/>
        <v>0</v>
      </c>
      <c r="G940" s="221">
        <f t="shared" si="98"/>
        <v>0</v>
      </c>
      <c r="H940" s="37">
        <f t="shared" si="99"/>
        <v>0</v>
      </c>
      <c r="I940" s="7"/>
      <c r="J940" s="37">
        <v>0</v>
      </c>
      <c r="K940" s="37">
        <f t="shared" si="104"/>
        <v>0</v>
      </c>
      <c r="L940" s="37">
        <f t="shared" si="102"/>
        <v>0</v>
      </c>
      <c r="M940" s="957">
        <v>0</v>
      </c>
    </row>
    <row r="941" spans="1:13" s="6" customFormat="1" ht="15.75">
      <c r="A941" s="285">
        <v>61</v>
      </c>
      <c r="B941" s="285" t="s">
        <v>452</v>
      </c>
      <c r="C941" s="391"/>
      <c r="D941" s="391"/>
      <c r="E941" s="391"/>
      <c r="F941" s="8">
        <f t="shared" si="97"/>
        <v>0</v>
      </c>
      <c r="G941" s="221">
        <f t="shared" si="98"/>
        <v>0</v>
      </c>
      <c r="H941" s="37">
        <f t="shared" si="99"/>
        <v>0</v>
      </c>
      <c r="I941" s="7"/>
      <c r="J941" s="37">
        <v>0</v>
      </c>
      <c r="K941" s="37">
        <f t="shared" ref="K941:K955" si="105">G941*560.71*1.08</f>
        <v>0</v>
      </c>
      <c r="L941" s="37">
        <f t="shared" si="102"/>
        <v>0</v>
      </c>
      <c r="M941" s="957">
        <v>0</v>
      </c>
    </row>
    <row r="942" spans="1:13" s="6" customFormat="1" ht="15.75">
      <c r="A942" s="285">
        <v>62</v>
      </c>
      <c r="B942" s="285" t="s">
        <v>453</v>
      </c>
      <c r="C942" s="391"/>
      <c r="D942" s="391"/>
      <c r="E942" s="391"/>
      <c r="F942" s="8">
        <f t="shared" si="97"/>
        <v>0</v>
      </c>
      <c r="G942" s="221">
        <f t="shared" si="98"/>
        <v>0</v>
      </c>
      <c r="H942" s="37">
        <f t="shared" si="99"/>
        <v>0</v>
      </c>
      <c r="I942" s="7"/>
      <c r="J942" s="37">
        <v>0</v>
      </c>
      <c r="K942" s="37">
        <f t="shared" si="105"/>
        <v>0</v>
      </c>
      <c r="L942" s="37">
        <f t="shared" si="102"/>
        <v>0</v>
      </c>
      <c r="M942" s="957">
        <v>0</v>
      </c>
    </row>
    <row r="943" spans="1:13" s="6" customFormat="1" ht="15.75">
      <c r="A943" s="285">
        <v>63</v>
      </c>
      <c r="B943" s="285" t="s">
        <v>454</v>
      </c>
      <c r="C943" s="391"/>
      <c r="D943" s="391"/>
      <c r="E943" s="391"/>
      <c r="F943" s="8">
        <f t="shared" ref="F943:F1004" si="106">C943+D943+E943</f>
        <v>0</v>
      </c>
      <c r="G943" s="221">
        <f t="shared" si="98"/>
        <v>0</v>
      </c>
      <c r="H943" s="37">
        <f t="shared" si="99"/>
        <v>0</v>
      </c>
      <c r="I943" s="7"/>
      <c r="J943" s="37">
        <v>0</v>
      </c>
      <c r="K943" s="37">
        <f t="shared" si="105"/>
        <v>0</v>
      </c>
      <c r="L943" s="37">
        <f t="shared" si="102"/>
        <v>0</v>
      </c>
      <c r="M943" s="957">
        <v>0</v>
      </c>
    </row>
    <row r="944" spans="1:13" s="6" customFormat="1" ht="15.75">
      <c r="A944" s="285">
        <v>64</v>
      </c>
      <c r="B944" s="285" t="s">
        <v>455</v>
      </c>
      <c r="C944" s="391"/>
      <c r="D944" s="391"/>
      <c r="E944" s="391"/>
      <c r="F944" s="8">
        <f t="shared" si="106"/>
        <v>0</v>
      </c>
      <c r="G944" s="221">
        <f t="shared" si="98"/>
        <v>0</v>
      </c>
      <c r="H944" s="37">
        <f t="shared" si="99"/>
        <v>0</v>
      </c>
      <c r="I944" s="7"/>
      <c r="J944" s="37">
        <v>0</v>
      </c>
      <c r="K944" s="37">
        <f t="shared" si="105"/>
        <v>0</v>
      </c>
      <c r="L944" s="37">
        <f t="shared" si="102"/>
        <v>0</v>
      </c>
      <c r="M944" s="957">
        <v>0</v>
      </c>
    </row>
    <row r="945" spans="1:13" s="6" customFormat="1" ht="15.75">
      <c r="A945" s="285">
        <v>65</v>
      </c>
      <c r="B945" s="285" t="s">
        <v>456</v>
      </c>
      <c r="C945" s="546"/>
      <c r="D945" s="391"/>
      <c r="E945" s="391"/>
      <c r="F945" s="8">
        <f t="shared" si="106"/>
        <v>0</v>
      </c>
      <c r="G945" s="221">
        <f t="shared" ref="G945:G1008" si="107">2/194875.11*F945</f>
        <v>0</v>
      </c>
      <c r="H945" s="37">
        <f t="shared" ref="H945:H1008" si="108">G945*2269.13</f>
        <v>0</v>
      </c>
      <c r="I945" s="7"/>
      <c r="J945" s="37">
        <v>0</v>
      </c>
      <c r="K945" s="37">
        <f t="shared" si="105"/>
        <v>0</v>
      </c>
      <c r="L945" s="37">
        <f t="shared" si="102"/>
        <v>0</v>
      </c>
      <c r="M945" s="957">
        <v>0</v>
      </c>
    </row>
    <row r="946" spans="1:13" s="6" customFormat="1" ht="15.75">
      <c r="A946" s="285">
        <v>66</v>
      </c>
      <c r="B946" s="285" t="s">
        <v>457</v>
      </c>
      <c r="C946" s="391"/>
      <c r="D946" s="391"/>
      <c r="E946" s="391"/>
      <c r="F946" s="8">
        <f t="shared" si="106"/>
        <v>0</v>
      </c>
      <c r="G946" s="221">
        <f t="shared" si="107"/>
        <v>0</v>
      </c>
      <c r="H946" s="37">
        <f t="shared" si="108"/>
        <v>0</v>
      </c>
      <c r="I946" s="7"/>
      <c r="J946" s="37">
        <v>0</v>
      </c>
      <c r="K946" s="37">
        <f t="shared" si="105"/>
        <v>0</v>
      </c>
      <c r="L946" s="37">
        <f t="shared" ref="L946:L1009" si="109">K946*1.219</f>
        <v>0</v>
      </c>
      <c r="M946" s="957">
        <v>0</v>
      </c>
    </row>
    <row r="947" spans="1:13" s="6" customFormat="1" ht="15.75">
      <c r="A947" s="285">
        <v>67</v>
      </c>
      <c r="B947" s="285" t="s">
        <v>458</v>
      </c>
      <c r="C947" s="391"/>
      <c r="D947" s="391"/>
      <c r="E947" s="391"/>
      <c r="F947" s="8">
        <f t="shared" si="106"/>
        <v>0</v>
      </c>
      <c r="G947" s="221">
        <f t="shared" si="107"/>
        <v>0</v>
      </c>
      <c r="H947" s="37">
        <f t="shared" si="108"/>
        <v>0</v>
      </c>
      <c r="I947" s="7"/>
      <c r="J947" s="37">
        <v>0</v>
      </c>
      <c r="K947" s="37">
        <f t="shared" si="105"/>
        <v>0</v>
      </c>
      <c r="L947" s="37">
        <f t="shared" si="109"/>
        <v>0</v>
      </c>
      <c r="M947" s="957">
        <v>0</v>
      </c>
    </row>
    <row r="948" spans="1:13" s="6" customFormat="1" ht="15.75">
      <c r="A948" s="285">
        <v>68</v>
      </c>
      <c r="B948" s="285" t="s">
        <v>459</v>
      </c>
      <c r="C948" s="391"/>
      <c r="D948" s="391"/>
      <c r="E948" s="391"/>
      <c r="F948" s="8">
        <f t="shared" si="106"/>
        <v>0</v>
      </c>
      <c r="G948" s="221">
        <f t="shared" si="107"/>
        <v>0</v>
      </c>
      <c r="H948" s="37">
        <f t="shared" si="108"/>
        <v>0</v>
      </c>
      <c r="I948" s="7"/>
      <c r="J948" s="37">
        <v>0</v>
      </c>
      <c r="K948" s="37">
        <f t="shared" si="105"/>
        <v>0</v>
      </c>
      <c r="L948" s="37">
        <f t="shared" si="109"/>
        <v>0</v>
      </c>
      <c r="M948" s="957">
        <v>0</v>
      </c>
    </row>
    <row r="949" spans="1:13" s="6" customFormat="1" ht="15.75">
      <c r="A949" s="285">
        <v>69</v>
      </c>
      <c r="B949" s="285" t="s">
        <v>460</v>
      </c>
      <c r="C949" s="391"/>
      <c r="D949" s="391"/>
      <c r="E949" s="391"/>
      <c r="F949" s="8">
        <f t="shared" si="106"/>
        <v>0</v>
      </c>
      <c r="G949" s="221">
        <f t="shared" si="107"/>
        <v>0</v>
      </c>
      <c r="H949" s="37">
        <f t="shared" si="108"/>
        <v>0</v>
      </c>
      <c r="I949" s="7"/>
      <c r="J949" s="37">
        <v>0</v>
      </c>
      <c r="K949" s="37">
        <f t="shared" si="105"/>
        <v>0</v>
      </c>
      <c r="L949" s="37">
        <f t="shared" si="109"/>
        <v>0</v>
      </c>
      <c r="M949" s="957">
        <v>0</v>
      </c>
    </row>
    <row r="950" spans="1:13" s="6" customFormat="1" ht="15.75">
      <c r="A950" s="285">
        <v>70</v>
      </c>
      <c r="B950" s="285" t="s">
        <v>461</v>
      </c>
      <c r="C950" s="391"/>
      <c r="D950" s="391"/>
      <c r="E950" s="391"/>
      <c r="F950" s="8">
        <f t="shared" si="106"/>
        <v>0</v>
      </c>
      <c r="G950" s="221">
        <f t="shared" si="107"/>
        <v>0</v>
      </c>
      <c r="H950" s="37">
        <f t="shared" si="108"/>
        <v>0</v>
      </c>
      <c r="I950" s="7"/>
      <c r="J950" s="37">
        <v>0</v>
      </c>
      <c r="K950" s="37">
        <f t="shared" si="105"/>
        <v>0</v>
      </c>
      <c r="L950" s="37">
        <f t="shared" si="109"/>
        <v>0</v>
      </c>
      <c r="M950" s="957">
        <v>0</v>
      </c>
    </row>
    <row r="951" spans="1:13" s="6" customFormat="1" ht="15.75">
      <c r="A951" s="285">
        <v>71</v>
      </c>
      <c r="B951" s="285" t="s">
        <v>462</v>
      </c>
      <c r="C951" s="391"/>
      <c r="D951" s="391"/>
      <c r="E951" s="391"/>
      <c r="F951" s="8">
        <f t="shared" si="106"/>
        <v>0</v>
      </c>
      <c r="G951" s="221">
        <f t="shared" si="107"/>
        <v>0</v>
      </c>
      <c r="H951" s="37">
        <f t="shared" si="108"/>
        <v>0</v>
      </c>
      <c r="I951" s="7"/>
      <c r="J951" s="37">
        <v>0</v>
      </c>
      <c r="K951" s="37">
        <f t="shared" si="105"/>
        <v>0</v>
      </c>
      <c r="L951" s="37">
        <f t="shared" si="109"/>
        <v>0</v>
      </c>
      <c r="M951" s="957">
        <v>0</v>
      </c>
    </row>
    <row r="952" spans="1:13" s="6" customFormat="1" ht="15.75">
      <c r="A952" s="285">
        <v>72</v>
      </c>
      <c r="B952" s="285" t="s">
        <v>463</v>
      </c>
      <c r="C952" s="391"/>
      <c r="D952" s="391"/>
      <c r="E952" s="391"/>
      <c r="F952" s="8">
        <f t="shared" si="106"/>
        <v>0</v>
      </c>
      <c r="G952" s="221">
        <f t="shared" si="107"/>
        <v>0</v>
      </c>
      <c r="H952" s="37">
        <f t="shared" si="108"/>
        <v>0</v>
      </c>
      <c r="I952" s="7"/>
      <c r="J952" s="37">
        <v>0</v>
      </c>
      <c r="K952" s="37">
        <f t="shared" si="105"/>
        <v>0</v>
      </c>
      <c r="L952" s="37">
        <f t="shared" si="109"/>
        <v>0</v>
      </c>
      <c r="M952" s="957">
        <v>0</v>
      </c>
    </row>
    <row r="953" spans="1:13" s="6" customFormat="1" ht="15.75">
      <c r="A953" s="285">
        <v>73</v>
      </c>
      <c r="B953" s="285" t="s">
        <v>464</v>
      </c>
      <c r="C953" s="547"/>
      <c r="D953" s="391"/>
      <c r="E953" s="391"/>
      <c r="F953" s="8">
        <f t="shared" si="106"/>
        <v>0</v>
      </c>
      <c r="G953" s="221">
        <f t="shared" si="107"/>
        <v>0</v>
      </c>
      <c r="H953" s="37">
        <f t="shared" si="108"/>
        <v>0</v>
      </c>
      <c r="I953" s="7"/>
      <c r="J953" s="37">
        <v>0</v>
      </c>
      <c r="K953" s="37">
        <f t="shared" si="105"/>
        <v>0</v>
      </c>
      <c r="L953" s="37">
        <f t="shared" si="109"/>
        <v>0</v>
      </c>
      <c r="M953" s="957">
        <v>0</v>
      </c>
    </row>
    <row r="954" spans="1:13" s="6" customFormat="1" ht="15.75">
      <c r="A954" s="285">
        <v>74</v>
      </c>
      <c r="B954" s="285" t="s">
        <v>465</v>
      </c>
      <c r="C954" s="391"/>
      <c r="D954" s="391"/>
      <c r="E954" s="391"/>
      <c r="F954" s="8">
        <f t="shared" si="106"/>
        <v>0</v>
      </c>
      <c r="G954" s="221">
        <f t="shared" si="107"/>
        <v>0</v>
      </c>
      <c r="H954" s="37">
        <f t="shared" si="108"/>
        <v>0</v>
      </c>
      <c r="I954" s="7"/>
      <c r="J954" s="37">
        <v>0</v>
      </c>
      <c r="K954" s="37">
        <f t="shared" si="105"/>
        <v>0</v>
      </c>
      <c r="L954" s="37">
        <f t="shared" si="109"/>
        <v>0</v>
      </c>
      <c r="M954" s="957">
        <v>0</v>
      </c>
    </row>
    <row r="955" spans="1:13" s="6" customFormat="1" ht="15.75">
      <c r="A955" s="285">
        <v>75</v>
      </c>
      <c r="B955" s="285" t="s">
        <v>466</v>
      </c>
      <c r="C955" s="391"/>
      <c r="D955" s="391"/>
      <c r="E955" s="391"/>
      <c r="F955" s="8">
        <f t="shared" si="106"/>
        <v>0</v>
      </c>
      <c r="G955" s="221">
        <f t="shared" si="107"/>
        <v>0</v>
      </c>
      <c r="H955" s="37">
        <f t="shared" si="108"/>
        <v>0</v>
      </c>
      <c r="I955" s="7"/>
      <c r="J955" s="37">
        <v>0</v>
      </c>
      <c r="K955" s="37">
        <f t="shared" si="105"/>
        <v>0</v>
      </c>
      <c r="L955" s="37">
        <f t="shared" si="109"/>
        <v>0</v>
      </c>
      <c r="M955" s="957">
        <v>0</v>
      </c>
    </row>
    <row r="956" spans="1:13" s="6" customFormat="1" ht="15.75">
      <c r="A956" s="285">
        <v>76</v>
      </c>
      <c r="B956" s="285" t="s">
        <v>467</v>
      </c>
      <c r="C956" s="391"/>
      <c r="D956" s="391"/>
      <c r="E956" s="391"/>
      <c r="F956" s="8">
        <f t="shared" si="106"/>
        <v>0</v>
      </c>
      <c r="G956" s="221">
        <f t="shared" si="107"/>
        <v>0</v>
      </c>
      <c r="H956" s="37">
        <f t="shared" si="108"/>
        <v>0</v>
      </c>
      <c r="I956" s="7"/>
      <c r="J956" s="37">
        <v>0</v>
      </c>
      <c r="K956" s="37">
        <f>G956*560.71</f>
        <v>0</v>
      </c>
      <c r="L956" s="37">
        <f t="shared" si="109"/>
        <v>0</v>
      </c>
      <c r="M956" s="957">
        <v>0</v>
      </c>
    </row>
    <row r="957" spans="1:13" s="6" customFormat="1" ht="15.75">
      <c r="A957" s="285">
        <v>77</v>
      </c>
      <c r="B957" s="285" t="s">
        <v>468</v>
      </c>
      <c r="C957" s="391"/>
      <c r="D957" s="391"/>
      <c r="E957" s="391"/>
      <c r="F957" s="8">
        <f t="shared" si="106"/>
        <v>0</v>
      </c>
      <c r="G957" s="221">
        <f t="shared" si="107"/>
        <v>0</v>
      </c>
      <c r="H957" s="37">
        <f t="shared" si="108"/>
        <v>0</v>
      </c>
      <c r="I957" s="7"/>
      <c r="J957" s="37">
        <v>0</v>
      </c>
      <c r="K957" s="37">
        <f>G957*560.71</f>
        <v>0</v>
      </c>
      <c r="L957" s="37">
        <f t="shared" si="109"/>
        <v>0</v>
      </c>
      <c r="M957" s="957">
        <v>0</v>
      </c>
    </row>
    <row r="958" spans="1:13" s="6" customFormat="1" ht="15.75">
      <c r="A958" s="285">
        <v>78</v>
      </c>
      <c r="B958" s="285" t="s">
        <v>469</v>
      </c>
      <c r="C958" s="391"/>
      <c r="D958" s="391"/>
      <c r="E958" s="391"/>
      <c r="F958" s="8">
        <f t="shared" si="106"/>
        <v>0</v>
      </c>
      <c r="G958" s="221">
        <f t="shared" si="107"/>
        <v>0</v>
      </c>
      <c r="H958" s="37">
        <f t="shared" si="108"/>
        <v>0</v>
      </c>
      <c r="I958" s="7"/>
      <c r="J958" s="37">
        <v>0</v>
      </c>
      <c r="K958" s="37">
        <f>G958*560.71</f>
        <v>0</v>
      </c>
      <c r="L958" s="37">
        <f t="shared" si="109"/>
        <v>0</v>
      </c>
      <c r="M958" s="957">
        <v>0</v>
      </c>
    </row>
    <row r="959" spans="1:13" s="6" customFormat="1" ht="15.75">
      <c r="A959" s="285">
        <v>79</v>
      </c>
      <c r="B959" s="285" t="s">
        <v>470</v>
      </c>
      <c r="C959" s="391">
        <v>4734.5</v>
      </c>
      <c r="D959" s="391"/>
      <c r="E959" s="391"/>
      <c r="F959" s="8">
        <f t="shared" si="106"/>
        <v>4734.5</v>
      </c>
      <c r="G959" s="221">
        <f t="shared" si="107"/>
        <v>4.8590094445616995E-2</v>
      </c>
      <c r="H959" s="37">
        <f t="shared" si="108"/>
        <v>110.25724100938289</v>
      </c>
      <c r="I959" s="7">
        <f>H959*0.3677</f>
        <v>40.541587519150092</v>
      </c>
      <c r="J959" s="37">
        <v>41.809881970380268</v>
      </c>
      <c r="K959" s="37">
        <f>G959*1560.71</f>
        <v>75.835046302218899</v>
      </c>
      <c r="L959" s="37">
        <f t="shared" si="109"/>
        <v>92.442921442404838</v>
      </c>
      <c r="M959" s="957">
        <f>(H959+I959+J959+L959)/F959</f>
        <v>6.0207335925930527E-2</v>
      </c>
    </row>
    <row r="960" spans="1:13" s="6" customFormat="1" ht="15.75">
      <c r="A960" s="285">
        <v>80</v>
      </c>
      <c r="B960" s="285" t="s">
        <v>471</v>
      </c>
      <c r="C960" s="391"/>
      <c r="D960" s="391"/>
      <c r="E960" s="391"/>
      <c r="F960" s="8">
        <f t="shared" si="106"/>
        <v>0</v>
      </c>
      <c r="G960" s="221">
        <f t="shared" si="107"/>
        <v>0</v>
      </c>
      <c r="H960" s="37">
        <f t="shared" si="108"/>
        <v>0</v>
      </c>
      <c r="I960" s="7"/>
      <c r="J960" s="37">
        <v>0</v>
      </c>
      <c r="K960" s="37">
        <f t="shared" ref="K960:K996" si="110">G960*560.71</f>
        <v>0</v>
      </c>
      <c r="L960" s="37">
        <f t="shared" si="109"/>
        <v>0</v>
      </c>
      <c r="M960" s="957">
        <v>0</v>
      </c>
    </row>
    <row r="961" spans="1:13" s="6" customFormat="1" ht="15.75">
      <c r="A961" s="285">
        <v>81</v>
      </c>
      <c r="B961" s="285" t="s">
        <v>472</v>
      </c>
      <c r="C961" s="391"/>
      <c r="D961" s="391"/>
      <c r="E961" s="391"/>
      <c r="F961" s="8">
        <f t="shared" si="106"/>
        <v>0</v>
      </c>
      <c r="G961" s="221">
        <f t="shared" si="107"/>
        <v>0</v>
      </c>
      <c r="H961" s="37">
        <f t="shared" si="108"/>
        <v>0</v>
      </c>
      <c r="I961" s="7"/>
      <c r="J961" s="37">
        <v>0</v>
      </c>
      <c r="K961" s="37">
        <f t="shared" si="110"/>
        <v>0</v>
      </c>
      <c r="L961" s="37">
        <f t="shared" si="109"/>
        <v>0</v>
      </c>
      <c r="M961" s="957">
        <v>0</v>
      </c>
    </row>
    <row r="962" spans="1:13" s="6" customFormat="1" ht="15.75">
      <c r="A962" s="285">
        <v>82</v>
      </c>
      <c r="B962" s="285" t="s">
        <v>473</v>
      </c>
      <c r="C962" s="391"/>
      <c r="D962" s="391"/>
      <c r="E962" s="391"/>
      <c r="F962" s="8">
        <f t="shared" si="106"/>
        <v>0</v>
      </c>
      <c r="G962" s="221">
        <f t="shared" si="107"/>
        <v>0</v>
      </c>
      <c r="H962" s="37">
        <f t="shared" si="108"/>
        <v>0</v>
      </c>
      <c r="I962" s="7"/>
      <c r="J962" s="37">
        <v>0</v>
      </c>
      <c r="K962" s="37">
        <f t="shared" si="110"/>
        <v>0</v>
      </c>
      <c r="L962" s="37">
        <f t="shared" si="109"/>
        <v>0</v>
      </c>
      <c r="M962" s="957">
        <v>0</v>
      </c>
    </row>
    <row r="963" spans="1:13" s="6" customFormat="1" ht="15.75">
      <c r="A963" s="285">
        <v>83</v>
      </c>
      <c r="B963" s="285" t="s">
        <v>474</v>
      </c>
      <c r="C963" s="391"/>
      <c r="D963" s="391"/>
      <c r="E963" s="391"/>
      <c r="F963" s="8">
        <f t="shared" si="106"/>
        <v>0</v>
      </c>
      <c r="G963" s="221">
        <f t="shared" si="107"/>
        <v>0</v>
      </c>
      <c r="H963" s="37">
        <f t="shared" si="108"/>
        <v>0</v>
      </c>
      <c r="I963" s="7"/>
      <c r="J963" s="37">
        <v>0</v>
      </c>
      <c r="K963" s="37">
        <f t="shared" si="110"/>
        <v>0</v>
      </c>
      <c r="L963" s="37">
        <f t="shared" si="109"/>
        <v>0</v>
      </c>
      <c r="M963" s="957">
        <v>0</v>
      </c>
    </row>
    <row r="964" spans="1:13" s="6" customFormat="1" ht="15.75">
      <c r="A964" s="285">
        <v>84</v>
      </c>
      <c r="B964" s="285" t="s">
        <v>475</v>
      </c>
      <c r="C964" s="391"/>
      <c r="D964" s="391"/>
      <c r="E964" s="391"/>
      <c r="F964" s="8">
        <f t="shared" si="106"/>
        <v>0</v>
      </c>
      <c r="G964" s="221">
        <f t="shared" si="107"/>
        <v>0</v>
      </c>
      <c r="H964" s="37">
        <f t="shared" si="108"/>
        <v>0</v>
      </c>
      <c r="I964" s="7"/>
      <c r="J964" s="37">
        <v>0</v>
      </c>
      <c r="K964" s="37">
        <f t="shared" si="110"/>
        <v>0</v>
      </c>
      <c r="L964" s="37">
        <f t="shared" si="109"/>
        <v>0</v>
      </c>
      <c r="M964" s="957">
        <v>0</v>
      </c>
    </row>
    <row r="965" spans="1:13" s="6" customFormat="1" ht="15.75">
      <c r="A965" s="285">
        <v>85</v>
      </c>
      <c r="B965" s="285" t="s">
        <v>476</v>
      </c>
      <c r="C965" s="391"/>
      <c r="D965" s="391"/>
      <c r="E965" s="391"/>
      <c r="F965" s="8">
        <f t="shared" si="106"/>
        <v>0</v>
      </c>
      <c r="G965" s="221">
        <f t="shared" si="107"/>
        <v>0</v>
      </c>
      <c r="H965" s="37">
        <f t="shared" si="108"/>
        <v>0</v>
      </c>
      <c r="I965" s="7"/>
      <c r="J965" s="37">
        <v>0</v>
      </c>
      <c r="K965" s="37">
        <f t="shared" si="110"/>
        <v>0</v>
      </c>
      <c r="L965" s="37">
        <f t="shared" si="109"/>
        <v>0</v>
      </c>
      <c r="M965" s="957">
        <v>0</v>
      </c>
    </row>
    <row r="966" spans="1:13" s="6" customFormat="1" ht="15.75">
      <c r="A966" s="285">
        <v>86</v>
      </c>
      <c r="B966" s="285" t="s">
        <v>477</v>
      </c>
      <c r="C966" s="391">
        <v>3266.45</v>
      </c>
      <c r="D966" s="391"/>
      <c r="E966" s="391"/>
      <c r="F966" s="8">
        <f t="shared" si="106"/>
        <v>3266.45</v>
      </c>
      <c r="G966" s="221">
        <f t="shared" si="107"/>
        <v>3.3523521808403345E-2</v>
      </c>
      <c r="H966" s="37">
        <f t="shared" si="108"/>
        <v>76.06922904110229</v>
      </c>
      <c r="I966" s="7">
        <f>H966*0.3677</f>
        <v>27.970655518413313</v>
      </c>
      <c r="J966" s="37">
        <v>29.664063079034541</v>
      </c>
      <c r="K966" s="37">
        <f>G966*1560.71</f>
        <v>52.320495721593183</v>
      </c>
      <c r="L966" s="37">
        <f t="shared" si="109"/>
        <v>63.778684284622095</v>
      </c>
      <c r="M966" s="957">
        <f>(H966+I966+J966+L966)/F966</f>
        <v>6.045787687647821E-2</v>
      </c>
    </row>
    <row r="967" spans="1:13" s="6" customFormat="1" ht="15.75">
      <c r="A967" s="285">
        <v>87</v>
      </c>
      <c r="B967" s="285" t="s">
        <v>478</v>
      </c>
      <c r="C967" s="391">
        <v>3257.47</v>
      </c>
      <c r="D967" s="391"/>
      <c r="E967" s="391"/>
      <c r="F967" s="8">
        <f t="shared" si="106"/>
        <v>3257.47</v>
      </c>
      <c r="G967" s="221">
        <f t="shared" si="107"/>
        <v>3.3431360218347021E-2</v>
      </c>
      <c r="H967" s="37">
        <f t="shared" si="108"/>
        <v>75.860102412257774</v>
      </c>
      <c r="I967" s="7">
        <f>H967*0.3677</f>
        <v>27.893759656987186</v>
      </c>
      <c r="J967" s="37">
        <v>28.462139972908759</v>
      </c>
      <c r="K967" s="37">
        <f t="shared" si="110"/>
        <v>18.74529798802936</v>
      </c>
      <c r="L967" s="37">
        <f t="shared" si="109"/>
        <v>22.850518247407791</v>
      </c>
      <c r="M967" s="957">
        <f>(H967+I967+J967+L967)/F967</f>
        <v>4.7603360979398587E-2</v>
      </c>
    </row>
    <row r="968" spans="1:13" s="6" customFormat="1" ht="15.75">
      <c r="A968" s="285">
        <v>88</v>
      </c>
      <c r="B968" s="285" t="s">
        <v>479</v>
      </c>
      <c r="C968" s="391"/>
      <c r="D968" s="391"/>
      <c r="E968" s="391"/>
      <c r="F968" s="8">
        <f t="shared" si="106"/>
        <v>0</v>
      </c>
      <c r="G968" s="221">
        <f t="shared" si="107"/>
        <v>0</v>
      </c>
      <c r="H968" s="37">
        <f t="shared" si="108"/>
        <v>0</v>
      </c>
      <c r="I968" s="7"/>
      <c r="J968" s="37">
        <v>0</v>
      </c>
      <c r="K968" s="37">
        <f t="shared" si="110"/>
        <v>0</v>
      </c>
      <c r="L968" s="37">
        <f t="shared" si="109"/>
        <v>0</v>
      </c>
      <c r="M968" s="957">
        <v>0</v>
      </c>
    </row>
    <row r="969" spans="1:13" s="6" customFormat="1" ht="15.75">
      <c r="A969" s="285">
        <v>89</v>
      </c>
      <c r="B969" s="285" t="s">
        <v>643</v>
      </c>
      <c r="C969" s="391"/>
      <c r="D969" s="391"/>
      <c r="E969" s="391"/>
      <c r="F969" s="8">
        <f t="shared" si="106"/>
        <v>0</v>
      </c>
      <c r="G969" s="221">
        <f t="shared" si="107"/>
        <v>0</v>
      </c>
      <c r="H969" s="37">
        <f t="shared" si="108"/>
        <v>0</v>
      </c>
      <c r="I969" s="7"/>
      <c r="J969" s="37">
        <v>0</v>
      </c>
      <c r="K969" s="37">
        <f t="shared" si="110"/>
        <v>0</v>
      </c>
      <c r="L969" s="37">
        <f t="shared" si="109"/>
        <v>0</v>
      </c>
      <c r="M969" s="957">
        <v>0</v>
      </c>
    </row>
    <row r="970" spans="1:13" s="6" customFormat="1" ht="15.75">
      <c r="A970" s="285">
        <v>90</v>
      </c>
      <c r="B970" s="285" t="s">
        <v>925</v>
      </c>
      <c r="C970" s="391"/>
      <c r="D970" s="8"/>
      <c r="E970" s="8"/>
      <c r="F970" s="8">
        <f t="shared" si="106"/>
        <v>0</v>
      </c>
      <c r="G970" s="221">
        <f t="shared" si="107"/>
        <v>0</v>
      </c>
      <c r="H970" s="37">
        <f t="shared" si="108"/>
        <v>0</v>
      </c>
      <c r="I970" s="7"/>
      <c r="J970" s="37">
        <v>0</v>
      </c>
      <c r="K970" s="37">
        <f t="shared" si="110"/>
        <v>0</v>
      </c>
      <c r="L970" s="37">
        <f t="shared" si="109"/>
        <v>0</v>
      </c>
      <c r="M970" s="957">
        <v>0</v>
      </c>
    </row>
    <row r="971" spans="1:13" s="6" customFormat="1" ht="15.75">
      <c r="A971" s="285">
        <v>91</v>
      </c>
      <c r="B971" s="329" t="s">
        <v>926</v>
      </c>
      <c r="C971" s="391"/>
      <c r="D971" s="330"/>
      <c r="E971" s="330"/>
      <c r="F971" s="8">
        <f t="shared" si="106"/>
        <v>0</v>
      </c>
      <c r="G971" s="221">
        <f t="shared" si="107"/>
        <v>0</v>
      </c>
      <c r="H971" s="37">
        <f t="shared" si="108"/>
        <v>0</v>
      </c>
      <c r="I971" s="7"/>
      <c r="J971" s="37">
        <v>0</v>
      </c>
      <c r="K971" s="37">
        <f t="shared" si="110"/>
        <v>0</v>
      </c>
      <c r="L971" s="37">
        <f t="shared" si="109"/>
        <v>0</v>
      </c>
      <c r="M971" s="957">
        <v>0</v>
      </c>
    </row>
    <row r="972" spans="1:13" s="6" customFormat="1" ht="15.75">
      <c r="A972" s="285">
        <v>92</v>
      </c>
      <c r="B972" s="329" t="s">
        <v>927</v>
      </c>
      <c r="C972" s="391"/>
      <c r="D972" s="391"/>
      <c r="E972" s="391"/>
      <c r="F972" s="8">
        <f t="shared" si="106"/>
        <v>0</v>
      </c>
      <c r="G972" s="221">
        <f t="shared" si="107"/>
        <v>0</v>
      </c>
      <c r="H972" s="37">
        <f t="shared" si="108"/>
        <v>0</v>
      </c>
      <c r="I972" s="7"/>
      <c r="J972" s="37">
        <v>0</v>
      </c>
      <c r="K972" s="37">
        <f t="shared" si="110"/>
        <v>0</v>
      </c>
      <c r="L972" s="37">
        <f t="shared" si="109"/>
        <v>0</v>
      </c>
      <c r="M972" s="957">
        <v>0</v>
      </c>
    </row>
    <row r="973" spans="1:13" s="6" customFormat="1" ht="15.75">
      <c r="A973" s="285">
        <v>93</v>
      </c>
      <c r="B973" s="329" t="s">
        <v>928</v>
      </c>
      <c r="C973" s="391"/>
      <c r="D973" s="391"/>
      <c r="E973" s="391"/>
      <c r="F973" s="8">
        <f t="shared" si="106"/>
        <v>0</v>
      </c>
      <c r="G973" s="221">
        <f t="shared" si="107"/>
        <v>0</v>
      </c>
      <c r="H973" s="37">
        <f t="shared" si="108"/>
        <v>0</v>
      </c>
      <c r="I973" s="7"/>
      <c r="J973" s="37">
        <v>0</v>
      </c>
      <c r="K973" s="37">
        <f t="shared" si="110"/>
        <v>0</v>
      </c>
      <c r="L973" s="37">
        <f t="shared" si="109"/>
        <v>0</v>
      </c>
      <c r="M973" s="957">
        <v>0</v>
      </c>
    </row>
    <row r="974" spans="1:13" s="6" customFormat="1" ht="15.75">
      <c r="A974" s="285">
        <v>94</v>
      </c>
      <c r="B974" s="329" t="s">
        <v>929</v>
      </c>
      <c r="C974" s="391"/>
      <c r="D974" s="391"/>
      <c r="E974" s="391"/>
      <c r="F974" s="8">
        <f t="shared" si="106"/>
        <v>0</v>
      </c>
      <c r="G974" s="221">
        <f t="shared" si="107"/>
        <v>0</v>
      </c>
      <c r="H974" s="37">
        <f t="shared" si="108"/>
        <v>0</v>
      </c>
      <c r="I974" s="7"/>
      <c r="J974" s="37">
        <v>0</v>
      </c>
      <c r="K974" s="37">
        <f t="shared" si="110"/>
        <v>0</v>
      </c>
      <c r="L974" s="37">
        <f t="shared" si="109"/>
        <v>0</v>
      </c>
      <c r="M974" s="957">
        <v>0</v>
      </c>
    </row>
    <row r="975" spans="1:13" s="6" customFormat="1" ht="15.75">
      <c r="A975" s="285">
        <v>95</v>
      </c>
      <c r="B975" s="329" t="s">
        <v>930</v>
      </c>
      <c r="C975" s="391"/>
      <c r="D975" s="391"/>
      <c r="E975" s="391"/>
      <c r="F975" s="8">
        <f t="shared" si="106"/>
        <v>0</v>
      </c>
      <c r="G975" s="221">
        <f t="shared" si="107"/>
        <v>0</v>
      </c>
      <c r="H975" s="37">
        <f t="shared" si="108"/>
        <v>0</v>
      </c>
      <c r="I975" s="7"/>
      <c r="J975" s="37">
        <v>0</v>
      </c>
      <c r="K975" s="37">
        <f t="shared" si="110"/>
        <v>0</v>
      </c>
      <c r="L975" s="37">
        <f t="shared" si="109"/>
        <v>0</v>
      </c>
      <c r="M975" s="957">
        <v>0</v>
      </c>
    </row>
    <row r="976" spans="1:13" s="6" customFormat="1" ht="15.75">
      <c r="A976" s="285">
        <v>96</v>
      </c>
      <c r="B976" s="329" t="s">
        <v>931</v>
      </c>
      <c r="C976" s="391"/>
      <c r="D976" s="391"/>
      <c r="E976" s="391"/>
      <c r="F976" s="8">
        <f t="shared" si="106"/>
        <v>0</v>
      </c>
      <c r="G976" s="221">
        <f t="shared" si="107"/>
        <v>0</v>
      </c>
      <c r="H976" s="37">
        <f t="shared" si="108"/>
        <v>0</v>
      </c>
      <c r="I976" s="7"/>
      <c r="J976" s="37">
        <v>0</v>
      </c>
      <c r="K976" s="37">
        <f t="shared" si="110"/>
        <v>0</v>
      </c>
      <c r="L976" s="37">
        <f t="shared" si="109"/>
        <v>0</v>
      </c>
      <c r="M976" s="957">
        <v>0</v>
      </c>
    </row>
    <row r="977" spans="1:13" s="6" customFormat="1" ht="15.75">
      <c r="A977" s="285">
        <v>97</v>
      </c>
      <c r="B977" s="329" t="s">
        <v>932</v>
      </c>
      <c r="C977" s="391"/>
      <c r="D977" s="391"/>
      <c r="E977" s="391"/>
      <c r="F977" s="8">
        <f t="shared" si="106"/>
        <v>0</v>
      </c>
      <c r="G977" s="221">
        <f t="shared" si="107"/>
        <v>0</v>
      </c>
      <c r="H977" s="37">
        <f t="shared" si="108"/>
        <v>0</v>
      </c>
      <c r="I977" s="7"/>
      <c r="J977" s="37">
        <v>0</v>
      </c>
      <c r="K977" s="37">
        <f t="shared" si="110"/>
        <v>0</v>
      </c>
      <c r="L977" s="37">
        <f t="shared" si="109"/>
        <v>0</v>
      </c>
      <c r="M977" s="957">
        <v>0</v>
      </c>
    </row>
    <row r="978" spans="1:13" s="6" customFormat="1" ht="15.75">
      <c r="A978" s="285">
        <v>98</v>
      </c>
      <c r="B978" s="329" t="s">
        <v>933</v>
      </c>
      <c r="C978" s="391"/>
      <c r="D978" s="391"/>
      <c r="E978" s="391"/>
      <c r="F978" s="8">
        <f t="shared" si="106"/>
        <v>0</v>
      </c>
      <c r="G978" s="221">
        <f t="shared" si="107"/>
        <v>0</v>
      </c>
      <c r="H978" s="37">
        <f t="shared" si="108"/>
        <v>0</v>
      </c>
      <c r="I978" s="7"/>
      <c r="J978" s="37">
        <v>0</v>
      </c>
      <c r="K978" s="37">
        <f t="shared" si="110"/>
        <v>0</v>
      </c>
      <c r="L978" s="37">
        <f t="shared" si="109"/>
        <v>0</v>
      </c>
      <c r="M978" s="957">
        <v>0</v>
      </c>
    </row>
    <row r="979" spans="1:13" s="6" customFormat="1" ht="15.75">
      <c r="A979" s="285">
        <v>99</v>
      </c>
      <c r="B979" s="329" t="s">
        <v>934</v>
      </c>
      <c r="C979" s="391"/>
      <c r="D979" s="330"/>
      <c r="E979" s="391"/>
      <c r="F979" s="8">
        <f t="shared" si="106"/>
        <v>0</v>
      </c>
      <c r="G979" s="221">
        <f t="shared" si="107"/>
        <v>0</v>
      </c>
      <c r="H979" s="37">
        <f t="shared" si="108"/>
        <v>0</v>
      </c>
      <c r="I979" s="7"/>
      <c r="J979" s="37">
        <v>0</v>
      </c>
      <c r="K979" s="37">
        <f t="shared" si="110"/>
        <v>0</v>
      </c>
      <c r="L979" s="37">
        <f t="shared" si="109"/>
        <v>0</v>
      </c>
      <c r="M979" s="957">
        <v>0</v>
      </c>
    </row>
    <row r="980" spans="1:13" s="6" customFormat="1" ht="15.75">
      <c r="A980" s="285">
        <v>100</v>
      </c>
      <c r="B980" s="329" t="s">
        <v>935</v>
      </c>
      <c r="C980" s="391"/>
      <c r="D980" s="391"/>
      <c r="E980" s="330"/>
      <c r="F980" s="8">
        <f t="shared" si="106"/>
        <v>0</v>
      </c>
      <c r="G980" s="221">
        <f t="shared" si="107"/>
        <v>0</v>
      </c>
      <c r="H980" s="37">
        <f t="shared" si="108"/>
        <v>0</v>
      </c>
      <c r="I980" s="7"/>
      <c r="J980" s="37">
        <v>0</v>
      </c>
      <c r="K980" s="37">
        <f t="shared" si="110"/>
        <v>0</v>
      </c>
      <c r="L980" s="37">
        <f t="shared" si="109"/>
        <v>0</v>
      </c>
      <c r="M980" s="957">
        <v>0</v>
      </c>
    </row>
    <row r="981" spans="1:13" s="6" customFormat="1" ht="15.75">
      <c r="A981" s="285">
        <v>101</v>
      </c>
      <c r="B981" s="329" t="s">
        <v>936</v>
      </c>
      <c r="C981" s="391"/>
      <c r="D981" s="330"/>
      <c r="E981" s="391"/>
      <c r="F981" s="8">
        <f t="shared" si="106"/>
        <v>0</v>
      </c>
      <c r="G981" s="221">
        <f t="shared" si="107"/>
        <v>0</v>
      </c>
      <c r="H981" s="37">
        <f t="shared" si="108"/>
        <v>0</v>
      </c>
      <c r="I981" s="7"/>
      <c r="J981" s="37">
        <v>0</v>
      </c>
      <c r="K981" s="37">
        <f t="shared" si="110"/>
        <v>0</v>
      </c>
      <c r="L981" s="37">
        <f t="shared" si="109"/>
        <v>0</v>
      </c>
      <c r="M981" s="957">
        <v>0</v>
      </c>
    </row>
    <row r="982" spans="1:13" s="6" customFormat="1" ht="15.75">
      <c r="A982" s="285">
        <v>102</v>
      </c>
      <c r="B982" s="329" t="s">
        <v>937</v>
      </c>
      <c r="C982" s="391"/>
      <c r="D982" s="330"/>
      <c r="E982" s="391"/>
      <c r="F982" s="8">
        <f t="shared" si="106"/>
        <v>0</v>
      </c>
      <c r="G982" s="221">
        <f t="shared" si="107"/>
        <v>0</v>
      </c>
      <c r="H982" s="37">
        <f t="shared" si="108"/>
        <v>0</v>
      </c>
      <c r="I982" s="7"/>
      <c r="J982" s="37">
        <v>0</v>
      </c>
      <c r="K982" s="37">
        <f t="shared" si="110"/>
        <v>0</v>
      </c>
      <c r="L982" s="37">
        <f t="shared" si="109"/>
        <v>0</v>
      </c>
      <c r="M982" s="957">
        <v>0</v>
      </c>
    </row>
    <row r="983" spans="1:13" s="6" customFormat="1" ht="15.75">
      <c r="A983" s="285">
        <v>103</v>
      </c>
      <c r="B983" s="329" t="s">
        <v>938</v>
      </c>
      <c r="C983" s="391"/>
      <c r="D983" s="330"/>
      <c r="E983" s="391"/>
      <c r="F983" s="8">
        <f t="shared" si="106"/>
        <v>0</v>
      </c>
      <c r="G983" s="221">
        <f t="shared" si="107"/>
        <v>0</v>
      </c>
      <c r="H983" s="37">
        <f t="shared" si="108"/>
        <v>0</v>
      </c>
      <c r="I983" s="7"/>
      <c r="J983" s="37">
        <v>0</v>
      </c>
      <c r="K983" s="37">
        <f t="shared" si="110"/>
        <v>0</v>
      </c>
      <c r="L983" s="37">
        <f t="shared" si="109"/>
        <v>0</v>
      </c>
      <c r="M983" s="957">
        <v>0</v>
      </c>
    </row>
    <row r="984" spans="1:13" s="6" customFormat="1" ht="15.75">
      <c r="A984" s="285">
        <v>104</v>
      </c>
      <c r="B984" s="329" t="s">
        <v>939</v>
      </c>
      <c r="C984" s="391"/>
      <c r="D984" s="391"/>
      <c r="E984" s="330"/>
      <c r="F984" s="8">
        <f t="shared" si="106"/>
        <v>0</v>
      </c>
      <c r="G984" s="221">
        <f t="shared" si="107"/>
        <v>0</v>
      </c>
      <c r="H984" s="37">
        <f t="shared" si="108"/>
        <v>0</v>
      </c>
      <c r="I984" s="7"/>
      <c r="J984" s="37">
        <v>0</v>
      </c>
      <c r="K984" s="37">
        <f t="shared" si="110"/>
        <v>0</v>
      </c>
      <c r="L984" s="37">
        <f t="shared" si="109"/>
        <v>0</v>
      </c>
      <c r="M984" s="957">
        <v>0</v>
      </c>
    </row>
    <row r="985" spans="1:13" s="6" customFormat="1" ht="15.75">
      <c r="A985" s="285">
        <v>105</v>
      </c>
      <c r="B985" s="329" t="s">
        <v>940</v>
      </c>
      <c r="C985" s="391"/>
      <c r="D985" s="330"/>
      <c r="E985" s="391"/>
      <c r="F985" s="8">
        <f t="shared" si="106"/>
        <v>0</v>
      </c>
      <c r="G985" s="221">
        <f t="shared" si="107"/>
        <v>0</v>
      </c>
      <c r="H985" s="37">
        <f t="shared" si="108"/>
        <v>0</v>
      </c>
      <c r="I985" s="7"/>
      <c r="J985" s="37">
        <v>0</v>
      </c>
      <c r="K985" s="37">
        <f t="shared" si="110"/>
        <v>0</v>
      </c>
      <c r="L985" s="37">
        <f t="shared" si="109"/>
        <v>0</v>
      </c>
      <c r="M985" s="957">
        <v>0</v>
      </c>
    </row>
    <row r="986" spans="1:13" s="6" customFormat="1" ht="15.75">
      <c r="A986" s="285">
        <v>106</v>
      </c>
      <c r="B986" s="329" t="s">
        <v>941</v>
      </c>
      <c r="C986" s="391"/>
      <c r="D986" s="330"/>
      <c r="E986" s="391"/>
      <c r="F986" s="8">
        <f t="shared" si="106"/>
        <v>0</v>
      </c>
      <c r="G986" s="221">
        <f t="shared" si="107"/>
        <v>0</v>
      </c>
      <c r="H986" s="37">
        <f t="shared" si="108"/>
        <v>0</v>
      </c>
      <c r="I986" s="7"/>
      <c r="J986" s="37">
        <v>0</v>
      </c>
      <c r="K986" s="37">
        <f t="shared" si="110"/>
        <v>0</v>
      </c>
      <c r="L986" s="37">
        <f t="shared" si="109"/>
        <v>0</v>
      </c>
      <c r="M986" s="957">
        <v>0</v>
      </c>
    </row>
    <row r="987" spans="1:13" s="6" customFormat="1" ht="15.75">
      <c r="A987" s="285">
        <v>107</v>
      </c>
      <c r="B987" s="329" t="s">
        <v>942</v>
      </c>
      <c r="C987" s="391"/>
      <c r="D987" s="330"/>
      <c r="E987" s="391"/>
      <c r="F987" s="8">
        <f t="shared" si="106"/>
        <v>0</v>
      </c>
      <c r="G987" s="221">
        <f t="shared" si="107"/>
        <v>0</v>
      </c>
      <c r="H987" s="37">
        <f t="shared" si="108"/>
        <v>0</v>
      </c>
      <c r="I987" s="7"/>
      <c r="J987" s="37">
        <v>0</v>
      </c>
      <c r="K987" s="37">
        <f t="shared" si="110"/>
        <v>0</v>
      </c>
      <c r="L987" s="37">
        <f t="shared" si="109"/>
        <v>0</v>
      </c>
      <c r="M987" s="957">
        <v>0</v>
      </c>
    </row>
    <row r="988" spans="1:13" s="6" customFormat="1" ht="15.75">
      <c r="A988" s="285">
        <v>108</v>
      </c>
      <c r="B988" s="329" t="s">
        <v>943</v>
      </c>
      <c r="C988" s="391"/>
      <c r="D988" s="330"/>
      <c r="E988" s="391"/>
      <c r="F988" s="8">
        <f t="shared" si="106"/>
        <v>0</v>
      </c>
      <c r="G988" s="221">
        <f t="shared" si="107"/>
        <v>0</v>
      </c>
      <c r="H988" s="37">
        <f t="shared" si="108"/>
        <v>0</v>
      </c>
      <c r="I988" s="7"/>
      <c r="J988" s="37">
        <v>0</v>
      </c>
      <c r="K988" s="37">
        <f t="shared" si="110"/>
        <v>0</v>
      </c>
      <c r="L988" s="37">
        <f t="shared" si="109"/>
        <v>0</v>
      </c>
      <c r="M988" s="957">
        <v>0</v>
      </c>
    </row>
    <row r="989" spans="1:13" s="6" customFormat="1" ht="15.75">
      <c r="A989" s="285">
        <v>109</v>
      </c>
      <c r="B989" s="329" t="s">
        <v>944</v>
      </c>
      <c r="C989" s="391"/>
      <c r="D989" s="330"/>
      <c r="E989" s="391"/>
      <c r="F989" s="8">
        <f t="shared" si="106"/>
        <v>0</v>
      </c>
      <c r="G989" s="221">
        <f t="shared" si="107"/>
        <v>0</v>
      </c>
      <c r="H989" s="37">
        <f t="shared" si="108"/>
        <v>0</v>
      </c>
      <c r="I989" s="7"/>
      <c r="J989" s="37">
        <v>0</v>
      </c>
      <c r="K989" s="37">
        <f t="shared" si="110"/>
        <v>0</v>
      </c>
      <c r="L989" s="37">
        <f t="shared" si="109"/>
        <v>0</v>
      </c>
      <c r="M989" s="957">
        <v>0</v>
      </c>
    </row>
    <row r="990" spans="1:13" s="6" customFormat="1" ht="15.75">
      <c r="A990" s="285">
        <v>110</v>
      </c>
      <c r="B990" s="329" t="s">
        <v>945</v>
      </c>
      <c r="C990" s="391"/>
      <c r="D990" s="330"/>
      <c r="E990" s="391"/>
      <c r="F990" s="8">
        <f t="shared" si="106"/>
        <v>0</v>
      </c>
      <c r="G990" s="221">
        <f t="shared" si="107"/>
        <v>0</v>
      </c>
      <c r="H990" s="37">
        <f t="shared" si="108"/>
        <v>0</v>
      </c>
      <c r="I990" s="7"/>
      <c r="J990" s="37">
        <v>0</v>
      </c>
      <c r="K990" s="37">
        <f t="shared" si="110"/>
        <v>0</v>
      </c>
      <c r="L990" s="37">
        <f t="shared" si="109"/>
        <v>0</v>
      </c>
      <c r="M990" s="957">
        <v>0</v>
      </c>
    </row>
    <row r="991" spans="1:13" s="6" customFormat="1" ht="15.75">
      <c r="A991" s="285">
        <v>111</v>
      </c>
      <c r="B991" s="329" t="s">
        <v>946</v>
      </c>
      <c r="C991" s="391"/>
      <c r="D991" s="330"/>
      <c r="E991" s="391"/>
      <c r="F991" s="8">
        <f t="shared" si="106"/>
        <v>0</v>
      </c>
      <c r="G991" s="221">
        <f t="shared" si="107"/>
        <v>0</v>
      </c>
      <c r="H991" s="37">
        <f t="shared" si="108"/>
        <v>0</v>
      </c>
      <c r="I991" s="7"/>
      <c r="J991" s="37">
        <v>0</v>
      </c>
      <c r="K991" s="37">
        <f t="shared" si="110"/>
        <v>0</v>
      </c>
      <c r="L991" s="37">
        <f t="shared" si="109"/>
        <v>0</v>
      </c>
      <c r="M991" s="957">
        <v>0</v>
      </c>
    </row>
    <row r="992" spans="1:13" s="6" customFormat="1" ht="15.75">
      <c r="A992" s="285">
        <v>112</v>
      </c>
      <c r="B992" s="329" t="s">
        <v>947</v>
      </c>
      <c r="C992" s="391"/>
      <c r="D992" s="330"/>
      <c r="E992" s="391"/>
      <c r="F992" s="8">
        <f t="shared" si="106"/>
        <v>0</v>
      </c>
      <c r="G992" s="221">
        <f t="shared" si="107"/>
        <v>0</v>
      </c>
      <c r="H992" s="37">
        <f t="shared" si="108"/>
        <v>0</v>
      </c>
      <c r="I992" s="7"/>
      <c r="J992" s="37">
        <v>0</v>
      </c>
      <c r="K992" s="37">
        <f t="shared" si="110"/>
        <v>0</v>
      </c>
      <c r="L992" s="37">
        <f t="shared" si="109"/>
        <v>0</v>
      </c>
      <c r="M992" s="957">
        <v>0</v>
      </c>
    </row>
    <row r="993" spans="1:13" s="6" customFormat="1" ht="15.75">
      <c r="A993" s="285">
        <v>113</v>
      </c>
      <c r="B993" s="329" t="s">
        <v>948</v>
      </c>
      <c r="C993" s="391"/>
      <c r="D993" s="330"/>
      <c r="E993" s="391"/>
      <c r="F993" s="8">
        <f t="shared" si="106"/>
        <v>0</v>
      </c>
      <c r="G993" s="221">
        <f t="shared" si="107"/>
        <v>0</v>
      </c>
      <c r="H993" s="37">
        <f t="shared" si="108"/>
        <v>0</v>
      </c>
      <c r="I993" s="7"/>
      <c r="J993" s="37">
        <v>0</v>
      </c>
      <c r="K993" s="37">
        <f t="shared" si="110"/>
        <v>0</v>
      </c>
      <c r="L993" s="37">
        <f t="shared" si="109"/>
        <v>0</v>
      </c>
      <c r="M993" s="957">
        <v>0</v>
      </c>
    </row>
    <row r="994" spans="1:13" s="6" customFormat="1" ht="15.75">
      <c r="A994" s="285">
        <v>114</v>
      </c>
      <c r="B994" s="329" t="s">
        <v>949</v>
      </c>
      <c r="C994" s="391"/>
      <c r="D994" s="330"/>
      <c r="E994" s="391"/>
      <c r="F994" s="8">
        <f t="shared" si="106"/>
        <v>0</v>
      </c>
      <c r="G994" s="221">
        <f t="shared" si="107"/>
        <v>0</v>
      </c>
      <c r="H994" s="37">
        <f t="shared" si="108"/>
        <v>0</v>
      </c>
      <c r="I994" s="7"/>
      <c r="J994" s="37">
        <v>0</v>
      </c>
      <c r="K994" s="37">
        <f t="shared" si="110"/>
        <v>0</v>
      </c>
      <c r="L994" s="37">
        <f t="shared" si="109"/>
        <v>0</v>
      </c>
      <c r="M994" s="957">
        <v>0</v>
      </c>
    </row>
    <row r="995" spans="1:13" s="6" customFormat="1" ht="15.75">
      <c r="A995" s="285">
        <v>115</v>
      </c>
      <c r="B995" s="329" t="s">
        <v>950</v>
      </c>
      <c r="C995" s="391"/>
      <c r="D995" s="330"/>
      <c r="E995" s="391"/>
      <c r="F995" s="8">
        <f t="shared" si="106"/>
        <v>0</v>
      </c>
      <c r="G995" s="221">
        <f t="shared" si="107"/>
        <v>0</v>
      </c>
      <c r="H995" s="37">
        <f t="shared" si="108"/>
        <v>0</v>
      </c>
      <c r="I995" s="7"/>
      <c r="J995" s="37">
        <v>0</v>
      </c>
      <c r="K995" s="37">
        <f t="shared" si="110"/>
        <v>0</v>
      </c>
      <c r="L995" s="37">
        <f t="shared" si="109"/>
        <v>0</v>
      </c>
      <c r="M995" s="957">
        <v>0</v>
      </c>
    </row>
    <row r="996" spans="1:13" s="6" customFormat="1" ht="15.75">
      <c r="A996" s="285">
        <v>116</v>
      </c>
      <c r="B996" s="329" t="s">
        <v>951</v>
      </c>
      <c r="C996" s="391"/>
      <c r="D996" s="330"/>
      <c r="E996" s="391"/>
      <c r="F996" s="8">
        <f t="shared" si="106"/>
        <v>0</v>
      </c>
      <c r="G996" s="221">
        <f t="shared" si="107"/>
        <v>0</v>
      </c>
      <c r="H996" s="37">
        <f t="shared" si="108"/>
        <v>0</v>
      </c>
      <c r="I996" s="7"/>
      <c r="J996" s="37">
        <v>0</v>
      </c>
      <c r="K996" s="37">
        <f t="shared" si="110"/>
        <v>0</v>
      </c>
      <c r="L996" s="37">
        <f t="shared" si="109"/>
        <v>0</v>
      </c>
      <c r="M996" s="957">
        <v>0</v>
      </c>
    </row>
    <row r="997" spans="1:13" s="6" customFormat="1" ht="15.75">
      <c r="A997" s="285">
        <v>117</v>
      </c>
      <c r="B997" s="329" t="s">
        <v>952</v>
      </c>
      <c r="C997" s="391"/>
      <c r="D997" s="330"/>
      <c r="E997" s="391"/>
      <c r="F997" s="8">
        <f t="shared" si="106"/>
        <v>0</v>
      </c>
      <c r="G997" s="221">
        <f t="shared" si="107"/>
        <v>0</v>
      </c>
      <c r="H997" s="37">
        <f t="shared" si="108"/>
        <v>0</v>
      </c>
      <c r="I997" s="7"/>
      <c r="J997" s="37">
        <v>0</v>
      </c>
      <c r="K997" s="37">
        <f t="shared" ref="K997:K1010" si="111">G997*560.71*1.08</f>
        <v>0</v>
      </c>
      <c r="L997" s="37">
        <f t="shared" si="109"/>
        <v>0</v>
      </c>
      <c r="M997" s="957">
        <v>0</v>
      </c>
    </row>
    <row r="998" spans="1:13" s="6" customFormat="1" ht="15.75">
      <c r="A998" s="285">
        <v>118</v>
      </c>
      <c r="B998" s="329" t="s">
        <v>953</v>
      </c>
      <c r="C998" s="391"/>
      <c r="D998" s="330"/>
      <c r="E998" s="391"/>
      <c r="F998" s="8">
        <f t="shared" si="106"/>
        <v>0</v>
      </c>
      <c r="G998" s="221">
        <f t="shared" si="107"/>
        <v>0</v>
      </c>
      <c r="H998" s="37">
        <f t="shared" si="108"/>
        <v>0</v>
      </c>
      <c r="I998" s="7"/>
      <c r="J998" s="37">
        <v>0</v>
      </c>
      <c r="K998" s="37">
        <f t="shared" si="111"/>
        <v>0</v>
      </c>
      <c r="L998" s="37">
        <f t="shared" si="109"/>
        <v>0</v>
      </c>
      <c r="M998" s="957">
        <v>0</v>
      </c>
    </row>
    <row r="999" spans="1:13" s="6" customFormat="1" ht="15.75">
      <c r="A999" s="285">
        <v>119</v>
      </c>
      <c r="B999" s="329" t="s">
        <v>954</v>
      </c>
      <c r="C999" s="391"/>
      <c r="D999" s="330"/>
      <c r="E999" s="391"/>
      <c r="F999" s="8">
        <f t="shared" si="106"/>
        <v>0</v>
      </c>
      <c r="G999" s="221">
        <f t="shared" si="107"/>
        <v>0</v>
      </c>
      <c r="H999" s="37">
        <f t="shared" si="108"/>
        <v>0</v>
      </c>
      <c r="I999" s="7"/>
      <c r="J999" s="37">
        <v>0</v>
      </c>
      <c r="K999" s="37">
        <f t="shared" si="111"/>
        <v>0</v>
      </c>
      <c r="L999" s="37">
        <f t="shared" si="109"/>
        <v>0</v>
      </c>
      <c r="M999" s="957">
        <v>0</v>
      </c>
    </row>
    <row r="1000" spans="1:13" s="6" customFormat="1" ht="15.75">
      <c r="A1000" s="285">
        <v>120</v>
      </c>
      <c r="B1000" s="329" t="s">
        <v>955</v>
      </c>
      <c r="C1000" s="391"/>
      <c r="D1000" s="330"/>
      <c r="E1000" s="391"/>
      <c r="F1000" s="8">
        <f t="shared" si="106"/>
        <v>0</v>
      </c>
      <c r="G1000" s="221">
        <f t="shared" si="107"/>
        <v>0</v>
      </c>
      <c r="H1000" s="37">
        <f t="shared" si="108"/>
        <v>0</v>
      </c>
      <c r="I1000" s="7"/>
      <c r="J1000" s="37">
        <v>0</v>
      </c>
      <c r="K1000" s="37">
        <f t="shared" si="111"/>
        <v>0</v>
      </c>
      <c r="L1000" s="37">
        <f t="shared" si="109"/>
        <v>0</v>
      </c>
      <c r="M1000" s="957">
        <v>0</v>
      </c>
    </row>
    <row r="1001" spans="1:13" s="6" customFormat="1" ht="15.75">
      <c r="A1001" s="285">
        <v>121</v>
      </c>
      <c r="B1001" s="329" t="s">
        <v>956</v>
      </c>
      <c r="C1001" s="391"/>
      <c r="D1001" s="330"/>
      <c r="E1001" s="391"/>
      <c r="F1001" s="8">
        <f t="shared" si="106"/>
        <v>0</v>
      </c>
      <c r="G1001" s="221">
        <f t="shared" si="107"/>
        <v>0</v>
      </c>
      <c r="H1001" s="37">
        <f t="shared" si="108"/>
        <v>0</v>
      </c>
      <c r="I1001" s="7"/>
      <c r="J1001" s="37">
        <v>0</v>
      </c>
      <c r="K1001" s="37">
        <f t="shared" si="111"/>
        <v>0</v>
      </c>
      <c r="L1001" s="37">
        <f t="shared" si="109"/>
        <v>0</v>
      </c>
      <c r="M1001" s="957">
        <v>0</v>
      </c>
    </row>
    <row r="1002" spans="1:13" s="6" customFormat="1" ht="15.75">
      <c r="A1002" s="285">
        <v>122</v>
      </c>
      <c r="B1002" s="329" t="s">
        <v>957</v>
      </c>
      <c r="C1002" s="391"/>
      <c r="D1002" s="330"/>
      <c r="E1002" s="391"/>
      <c r="F1002" s="8">
        <f t="shared" si="106"/>
        <v>0</v>
      </c>
      <c r="G1002" s="221">
        <f t="shared" si="107"/>
        <v>0</v>
      </c>
      <c r="H1002" s="37">
        <f t="shared" si="108"/>
        <v>0</v>
      </c>
      <c r="I1002" s="7"/>
      <c r="J1002" s="37">
        <v>0</v>
      </c>
      <c r="K1002" s="37">
        <f t="shared" si="111"/>
        <v>0</v>
      </c>
      <c r="L1002" s="37">
        <f t="shared" si="109"/>
        <v>0</v>
      </c>
      <c r="M1002" s="957">
        <v>0</v>
      </c>
    </row>
    <row r="1003" spans="1:13" s="6" customFormat="1" ht="15.75">
      <c r="A1003" s="285">
        <v>123</v>
      </c>
      <c r="B1003" s="329" t="s">
        <v>958</v>
      </c>
      <c r="C1003" s="391"/>
      <c r="D1003" s="330"/>
      <c r="E1003" s="391"/>
      <c r="F1003" s="8">
        <f t="shared" si="106"/>
        <v>0</v>
      </c>
      <c r="G1003" s="221">
        <f t="shared" si="107"/>
        <v>0</v>
      </c>
      <c r="H1003" s="37">
        <f t="shared" si="108"/>
        <v>0</v>
      </c>
      <c r="I1003" s="7"/>
      <c r="J1003" s="37">
        <v>0</v>
      </c>
      <c r="K1003" s="37">
        <f t="shared" si="111"/>
        <v>0</v>
      </c>
      <c r="L1003" s="37">
        <f t="shared" si="109"/>
        <v>0</v>
      </c>
      <c r="M1003" s="957">
        <v>0</v>
      </c>
    </row>
    <row r="1004" spans="1:13" s="6" customFormat="1" ht="15.75">
      <c r="A1004" s="285">
        <v>124</v>
      </c>
      <c r="B1004" s="329" t="s">
        <v>959</v>
      </c>
      <c r="C1004" s="391"/>
      <c r="D1004" s="330"/>
      <c r="E1004" s="391"/>
      <c r="F1004" s="8">
        <f t="shared" si="106"/>
        <v>0</v>
      </c>
      <c r="G1004" s="221">
        <f t="shared" si="107"/>
        <v>0</v>
      </c>
      <c r="H1004" s="37">
        <f t="shared" si="108"/>
        <v>0</v>
      </c>
      <c r="I1004" s="7"/>
      <c r="J1004" s="37">
        <v>0</v>
      </c>
      <c r="K1004" s="37">
        <f t="shared" si="111"/>
        <v>0</v>
      </c>
      <c r="L1004" s="37">
        <f t="shared" si="109"/>
        <v>0</v>
      </c>
      <c r="M1004" s="957">
        <v>0</v>
      </c>
    </row>
    <row r="1005" spans="1:13" s="6" customFormat="1" ht="15.75">
      <c r="A1005" s="285">
        <v>125</v>
      </c>
      <c r="B1005" s="329" t="s">
        <v>960</v>
      </c>
      <c r="C1005" s="391"/>
      <c r="D1005" s="330"/>
      <c r="E1005" s="391"/>
      <c r="F1005" s="8">
        <f t="shared" ref="F1005:F1067" si="112">C1005+D1005+E1005</f>
        <v>0</v>
      </c>
      <c r="G1005" s="221">
        <f t="shared" si="107"/>
        <v>0</v>
      </c>
      <c r="H1005" s="37">
        <f t="shared" si="108"/>
        <v>0</v>
      </c>
      <c r="I1005" s="7"/>
      <c r="J1005" s="37">
        <v>0</v>
      </c>
      <c r="K1005" s="37">
        <f t="shared" si="111"/>
        <v>0</v>
      </c>
      <c r="L1005" s="37">
        <f t="shared" si="109"/>
        <v>0</v>
      </c>
      <c r="M1005" s="957">
        <v>0</v>
      </c>
    </row>
    <row r="1006" spans="1:13" s="6" customFormat="1" ht="15.75">
      <c r="A1006" s="285">
        <v>126</v>
      </c>
      <c r="B1006" s="329" t="s">
        <v>961</v>
      </c>
      <c r="C1006" s="391"/>
      <c r="D1006" s="330"/>
      <c r="E1006" s="391"/>
      <c r="F1006" s="8">
        <f t="shared" si="112"/>
        <v>0</v>
      </c>
      <c r="G1006" s="221">
        <f t="shared" si="107"/>
        <v>0</v>
      </c>
      <c r="H1006" s="37">
        <f t="shared" si="108"/>
        <v>0</v>
      </c>
      <c r="I1006" s="7"/>
      <c r="J1006" s="37">
        <v>0</v>
      </c>
      <c r="K1006" s="37">
        <f t="shared" si="111"/>
        <v>0</v>
      </c>
      <c r="L1006" s="37">
        <f t="shared" si="109"/>
        <v>0</v>
      </c>
      <c r="M1006" s="957">
        <v>0</v>
      </c>
    </row>
    <row r="1007" spans="1:13" s="6" customFormat="1" ht="15.75">
      <c r="A1007" s="285">
        <v>127</v>
      </c>
      <c r="B1007" s="329" t="s">
        <v>962</v>
      </c>
      <c r="C1007" s="391"/>
      <c r="D1007" s="330"/>
      <c r="E1007" s="391"/>
      <c r="F1007" s="8">
        <f t="shared" si="112"/>
        <v>0</v>
      </c>
      <c r="G1007" s="221">
        <f t="shared" si="107"/>
        <v>0</v>
      </c>
      <c r="H1007" s="37">
        <f t="shared" si="108"/>
        <v>0</v>
      </c>
      <c r="I1007" s="7"/>
      <c r="J1007" s="37">
        <v>0</v>
      </c>
      <c r="K1007" s="37">
        <f t="shared" si="111"/>
        <v>0</v>
      </c>
      <c r="L1007" s="37">
        <f t="shared" si="109"/>
        <v>0</v>
      </c>
      <c r="M1007" s="957">
        <v>0</v>
      </c>
    </row>
    <row r="1008" spans="1:13" s="6" customFormat="1" ht="15.75">
      <c r="A1008" s="285">
        <v>128</v>
      </c>
      <c r="B1008" s="329" t="s">
        <v>963</v>
      </c>
      <c r="C1008" s="391"/>
      <c r="D1008" s="330"/>
      <c r="E1008" s="391"/>
      <c r="F1008" s="8">
        <f t="shared" si="112"/>
        <v>0</v>
      </c>
      <c r="G1008" s="221">
        <f t="shared" si="107"/>
        <v>0</v>
      </c>
      <c r="H1008" s="37">
        <f t="shared" si="108"/>
        <v>0</v>
      </c>
      <c r="I1008" s="7"/>
      <c r="J1008" s="37">
        <v>0</v>
      </c>
      <c r="K1008" s="37">
        <f t="shared" si="111"/>
        <v>0</v>
      </c>
      <c r="L1008" s="37">
        <f t="shared" si="109"/>
        <v>0</v>
      </c>
      <c r="M1008" s="957">
        <v>0</v>
      </c>
    </row>
    <row r="1009" spans="1:13" s="6" customFormat="1" ht="15.75">
      <c r="A1009" s="285">
        <v>129</v>
      </c>
      <c r="B1009" s="329" t="s">
        <v>964</v>
      </c>
      <c r="C1009" s="391"/>
      <c r="D1009" s="330"/>
      <c r="E1009" s="391"/>
      <c r="F1009" s="8">
        <f t="shared" si="112"/>
        <v>0</v>
      </c>
      <c r="G1009" s="221">
        <f t="shared" ref="G1009:G1072" si="113">2/194875.11*F1009</f>
        <v>0</v>
      </c>
      <c r="H1009" s="37">
        <f t="shared" ref="H1009:H1072" si="114">G1009*2269.13</f>
        <v>0</v>
      </c>
      <c r="I1009" s="7"/>
      <c r="J1009" s="37">
        <v>0</v>
      </c>
      <c r="K1009" s="37">
        <f t="shared" si="111"/>
        <v>0</v>
      </c>
      <c r="L1009" s="37">
        <f t="shared" si="109"/>
        <v>0</v>
      </c>
      <c r="M1009" s="957">
        <v>0</v>
      </c>
    </row>
    <row r="1010" spans="1:13" s="6" customFormat="1" ht="15.75">
      <c r="A1010" s="285">
        <v>130</v>
      </c>
      <c r="B1010" s="329" t="s">
        <v>965</v>
      </c>
      <c r="C1010" s="391"/>
      <c r="D1010" s="330"/>
      <c r="E1010" s="391"/>
      <c r="F1010" s="8">
        <f t="shared" si="112"/>
        <v>0</v>
      </c>
      <c r="G1010" s="221">
        <f t="shared" si="113"/>
        <v>0</v>
      </c>
      <c r="H1010" s="37">
        <f t="shared" si="114"/>
        <v>0</v>
      </c>
      <c r="I1010" s="7"/>
      <c r="J1010" s="37">
        <v>0</v>
      </c>
      <c r="K1010" s="37">
        <f t="shared" si="111"/>
        <v>0</v>
      </c>
      <c r="L1010" s="37">
        <f t="shared" ref="L1010:L1073" si="115">K1010*1.219</f>
        <v>0</v>
      </c>
      <c r="M1010" s="957">
        <v>0</v>
      </c>
    </row>
    <row r="1011" spans="1:13" s="6" customFormat="1" ht="15.75">
      <c r="A1011" s="285">
        <v>131</v>
      </c>
      <c r="B1011" s="329" t="s">
        <v>966</v>
      </c>
      <c r="C1011" s="391"/>
      <c r="D1011" s="330"/>
      <c r="E1011" s="391"/>
      <c r="F1011" s="8">
        <f t="shared" si="112"/>
        <v>0</v>
      </c>
      <c r="G1011" s="221">
        <f t="shared" si="113"/>
        <v>0</v>
      </c>
      <c r="H1011" s="37">
        <f t="shared" si="114"/>
        <v>0</v>
      </c>
      <c r="I1011" s="7"/>
      <c r="J1011" s="37">
        <v>0</v>
      </c>
      <c r="K1011" s="37">
        <f t="shared" ref="K1011:K1074" si="116">G1011*560.71*1.08</f>
        <v>0</v>
      </c>
      <c r="L1011" s="37">
        <f t="shared" si="115"/>
        <v>0</v>
      </c>
      <c r="M1011" s="957">
        <v>0</v>
      </c>
    </row>
    <row r="1012" spans="1:13" s="6" customFormat="1" ht="15.75">
      <c r="A1012" s="285">
        <v>132</v>
      </c>
      <c r="B1012" s="329" t="s">
        <v>967</v>
      </c>
      <c r="C1012" s="391"/>
      <c r="D1012" s="330"/>
      <c r="E1012" s="391"/>
      <c r="F1012" s="8">
        <f t="shared" si="112"/>
        <v>0</v>
      </c>
      <c r="G1012" s="221">
        <f t="shared" si="113"/>
        <v>0</v>
      </c>
      <c r="H1012" s="37">
        <f t="shared" si="114"/>
        <v>0</v>
      </c>
      <c r="I1012" s="7"/>
      <c r="J1012" s="37">
        <v>0</v>
      </c>
      <c r="K1012" s="37">
        <f t="shared" si="116"/>
        <v>0</v>
      </c>
      <c r="L1012" s="37">
        <f t="shared" si="115"/>
        <v>0</v>
      </c>
      <c r="M1012" s="957">
        <v>0</v>
      </c>
    </row>
    <row r="1013" spans="1:13" s="6" customFormat="1" ht="15.75">
      <c r="A1013" s="285">
        <v>133</v>
      </c>
      <c r="B1013" s="329" t="s">
        <v>968</v>
      </c>
      <c r="C1013" s="391"/>
      <c r="D1013" s="330"/>
      <c r="E1013" s="391"/>
      <c r="F1013" s="8">
        <f t="shared" si="112"/>
        <v>0</v>
      </c>
      <c r="G1013" s="221">
        <f t="shared" si="113"/>
        <v>0</v>
      </c>
      <c r="H1013" s="37">
        <f t="shared" si="114"/>
        <v>0</v>
      </c>
      <c r="I1013" s="7"/>
      <c r="J1013" s="37">
        <v>0</v>
      </c>
      <c r="K1013" s="37">
        <f t="shared" si="116"/>
        <v>0</v>
      </c>
      <c r="L1013" s="37">
        <f t="shared" si="115"/>
        <v>0</v>
      </c>
      <c r="M1013" s="957">
        <v>0</v>
      </c>
    </row>
    <row r="1014" spans="1:13" s="6" customFormat="1" ht="15.75">
      <c r="A1014" s="285">
        <v>134</v>
      </c>
      <c r="B1014" s="329" t="s">
        <v>969</v>
      </c>
      <c r="C1014" s="391"/>
      <c r="D1014" s="330"/>
      <c r="E1014" s="391"/>
      <c r="F1014" s="8">
        <f t="shared" si="112"/>
        <v>0</v>
      </c>
      <c r="G1014" s="221">
        <f t="shared" si="113"/>
        <v>0</v>
      </c>
      <c r="H1014" s="37">
        <f t="shared" si="114"/>
        <v>0</v>
      </c>
      <c r="I1014" s="7"/>
      <c r="J1014" s="37">
        <v>0</v>
      </c>
      <c r="K1014" s="37">
        <f t="shared" si="116"/>
        <v>0</v>
      </c>
      <c r="L1014" s="37">
        <f t="shared" si="115"/>
        <v>0</v>
      </c>
      <c r="M1014" s="957">
        <v>0</v>
      </c>
    </row>
    <row r="1015" spans="1:13" s="6" customFormat="1" ht="15.75">
      <c r="A1015" s="285">
        <v>135</v>
      </c>
      <c r="B1015" s="329" t="s">
        <v>970</v>
      </c>
      <c r="C1015" s="391"/>
      <c r="D1015" s="330"/>
      <c r="E1015" s="391"/>
      <c r="F1015" s="8">
        <f t="shared" si="112"/>
        <v>0</v>
      </c>
      <c r="G1015" s="221">
        <f t="shared" si="113"/>
        <v>0</v>
      </c>
      <c r="H1015" s="37">
        <f t="shared" si="114"/>
        <v>0</v>
      </c>
      <c r="I1015" s="7"/>
      <c r="J1015" s="37">
        <v>0</v>
      </c>
      <c r="K1015" s="37">
        <f t="shared" si="116"/>
        <v>0</v>
      </c>
      <c r="L1015" s="37">
        <f t="shared" si="115"/>
        <v>0</v>
      </c>
      <c r="M1015" s="957">
        <v>0</v>
      </c>
    </row>
    <row r="1016" spans="1:13" s="6" customFormat="1" ht="15.75">
      <c r="A1016" s="285">
        <v>136</v>
      </c>
      <c r="B1016" s="329" t="s">
        <v>971</v>
      </c>
      <c r="C1016" s="546"/>
      <c r="D1016" s="330"/>
      <c r="E1016" s="391"/>
      <c r="F1016" s="8">
        <f t="shared" si="112"/>
        <v>0</v>
      </c>
      <c r="G1016" s="221">
        <f t="shared" si="113"/>
        <v>0</v>
      </c>
      <c r="H1016" s="37">
        <f t="shared" si="114"/>
        <v>0</v>
      </c>
      <c r="I1016" s="7"/>
      <c r="J1016" s="37">
        <v>0</v>
      </c>
      <c r="K1016" s="37">
        <f t="shared" si="116"/>
        <v>0</v>
      </c>
      <c r="L1016" s="37">
        <f t="shared" si="115"/>
        <v>0</v>
      </c>
      <c r="M1016" s="957">
        <v>0</v>
      </c>
    </row>
    <row r="1017" spans="1:13" s="6" customFormat="1" ht="15.75">
      <c r="A1017" s="285">
        <v>137</v>
      </c>
      <c r="B1017" s="329" t="s">
        <v>972</v>
      </c>
      <c r="C1017" s="391"/>
      <c r="D1017" s="330"/>
      <c r="E1017" s="391"/>
      <c r="F1017" s="8">
        <f t="shared" si="112"/>
        <v>0</v>
      </c>
      <c r="G1017" s="221">
        <f t="shared" si="113"/>
        <v>0</v>
      </c>
      <c r="H1017" s="37">
        <f t="shared" si="114"/>
        <v>0</v>
      </c>
      <c r="I1017" s="7"/>
      <c r="J1017" s="37">
        <v>0</v>
      </c>
      <c r="K1017" s="37">
        <f t="shared" si="116"/>
        <v>0</v>
      </c>
      <c r="L1017" s="37">
        <f t="shared" si="115"/>
        <v>0</v>
      </c>
      <c r="M1017" s="957">
        <v>0</v>
      </c>
    </row>
    <row r="1018" spans="1:13" s="6" customFormat="1" ht="15.75">
      <c r="A1018" s="285">
        <v>138</v>
      </c>
      <c r="B1018" s="329" t="s">
        <v>973</v>
      </c>
      <c r="C1018" s="391"/>
      <c r="D1018" s="330"/>
      <c r="E1018" s="391"/>
      <c r="F1018" s="8">
        <f t="shared" si="112"/>
        <v>0</v>
      </c>
      <c r="G1018" s="221">
        <f t="shared" si="113"/>
        <v>0</v>
      </c>
      <c r="H1018" s="37">
        <f t="shared" si="114"/>
        <v>0</v>
      </c>
      <c r="I1018" s="7"/>
      <c r="J1018" s="37">
        <v>0</v>
      </c>
      <c r="K1018" s="37">
        <f t="shared" si="116"/>
        <v>0</v>
      </c>
      <c r="L1018" s="37">
        <f t="shared" si="115"/>
        <v>0</v>
      </c>
      <c r="M1018" s="957">
        <v>0</v>
      </c>
    </row>
    <row r="1019" spans="1:13" s="6" customFormat="1" ht="15.75">
      <c r="A1019" s="285">
        <v>139</v>
      </c>
      <c r="B1019" s="329" t="s">
        <v>974</v>
      </c>
      <c r="C1019" s="391"/>
      <c r="D1019" s="330"/>
      <c r="E1019" s="391"/>
      <c r="F1019" s="8">
        <f t="shared" si="112"/>
        <v>0</v>
      </c>
      <c r="G1019" s="221">
        <f t="shared" si="113"/>
        <v>0</v>
      </c>
      <c r="H1019" s="37">
        <f t="shared" si="114"/>
        <v>0</v>
      </c>
      <c r="I1019" s="7"/>
      <c r="J1019" s="37">
        <v>0</v>
      </c>
      <c r="K1019" s="37">
        <f t="shared" si="116"/>
        <v>0</v>
      </c>
      <c r="L1019" s="37">
        <f t="shared" si="115"/>
        <v>0</v>
      </c>
      <c r="M1019" s="957">
        <v>0</v>
      </c>
    </row>
    <row r="1020" spans="1:13" s="6" customFormat="1" ht="15.75">
      <c r="A1020" s="285">
        <v>140</v>
      </c>
      <c r="B1020" s="329" t="s">
        <v>975</v>
      </c>
      <c r="C1020" s="391"/>
      <c r="D1020" s="330"/>
      <c r="E1020" s="391"/>
      <c r="F1020" s="8">
        <f t="shared" si="112"/>
        <v>0</v>
      </c>
      <c r="G1020" s="221">
        <f t="shared" si="113"/>
        <v>0</v>
      </c>
      <c r="H1020" s="37">
        <f t="shared" si="114"/>
        <v>0</v>
      </c>
      <c r="I1020" s="7"/>
      <c r="J1020" s="37">
        <v>0</v>
      </c>
      <c r="K1020" s="37">
        <f t="shared" si="116"/>
        <v>0</v>
      </c>
      <c r="L1020" s="37">
        <f t="shared" si="115"/>
        <v>0</v>
      </c>
      <c r="M1020" s="957">
        <v>0</v>
      </c>
    </row>
    <row r="1021" spans="1:13" s="6" customFormat="1" ht="15.75">
      <c r="A1021" s="285">
        <v>141</v>
      </c>
      <c r="B1021" s="329" t="s">
        <v>976</v>
      </c>
      <c r="C1021" s="391"/>
      <c r="D1021" s="330"/>
      <c r="E1021" s="391"/>
      <c r="F1021" s="8">
        <f t="shared" si="112"/>
        <v>0</v>
      </c>
      <c r="G1021" s="221">
        <f t="shared" si="113"/>
        <v>0</v>
      </c>
      <c r="H1021" s="37">
        <f t="shared" si="114"/>
        <v>0</v>
      </c>
      <c r="I1021" s="7"/>
      <c r="J1021" s="37">
        <v>0</v>
      </c>
      <c r="K1021" s="37">
        <f t="shared" si="116"/>
        <v>0</v>
      </c>
      <c r="L1021" s="37">
        <f t="shared" si="115"/>
        <v>0</v>
      </c>
      <c r="M1021" s="957">
        <v>0</v>
      </c>
    </row>
    <row r="1022" spans="1:13" s="6" customFormat="1" ht="15.75">
      <c r="A1022" s="285">
        <v>142</v>
      </c>
      <c r="B1022" s="329" t="s">
        <v>977</v>
      </c>
      <c r="C1022" s="391"/>
      <c r="D1022" s="330"/>
      <c r="E1022" s="391"/>
      <c r="F1022" s="8">
        <f t="shared" si="112"/>
        <v>0</v>
      </c>
      <c r="G1022" s="221">
        <f t="shared" si="113"/>
        <v>0</v>
      </c>
      <c r="H1022" s="37">
        <f t="shared" si="114"/>
        <v>0</v>
      </c>
      <c r="I1022" s="7"/>
      <c r="J1022" s="37">
        <v>0</v>
      </c>
      <c r="K1022" s="37">
        <f t="shared" si="116"/>
        <v>0</v>
      </c>
      <c r="L1022" s="37">
        <f t="shared" si="115"/>
        <v>0</v>
      </c>
      <c r="M1022" s="957">
        <v>0</v>
      </c>
    </row>
    <row r="1023" spans="1:13" s="6" customFormat="1" ht="15.75">
      <c r="A1023" s="285">
        <v>143</v>
      </c>
      <c r="B1023" s="329" t="s">
        <v>978</v>
      </c>
      <c r="C1023" s="391"/>
      <c r="D1023" s="330"/>
      <c r="E1023" s="391"/>
      <c r="F1023" s="8">
        <f t="shared" si="112"/>
        <v>0</v>
      </c>
      <c r="G1023" s="221">
        <f t="shared" si="113"/>
        <v>0</v>
      </c>
      <c r="H1023" s="37">
        <f t="shared" si="114"/>
        <v>0</v>
      </c>
      <c r="I1023" s="7"/>
      <c r="J1023" s="37">
        <v>0</v>
      </c>
      <c r="K1023" s="37">
        <f t="shared" si="116"/>
        <v>0</v>
      </c>
      <c r="L1023" s="37">
        <f t="shared" si="115"/>
        <v>0</v>
      </c>
      <c r="M1023" s="957">
        <v>0</v>
      </c>
    </row>
    <row r="1024" spans="1:13" s="6" customFormat="1" ht="15.75">
      <c r="A1024" s="285">
        <v>144</v>
      </c>
      <c r="B1024" s="329" t="s">
        <v>979</v>
      </c>
      <c r="C1024" s="391"/>
      <c r="D1024" s="330"/>
      <c r="E1024" s="391"/>
      <c r="F1024" s="8">
        <f t="shared" si="112"/>
        <v>0</v>
      </c>
      <c r="G1024" s="221">
        <f t="shared" si="113"/>
        <v>0</v>
      </c>
      <c r="H1024" s="37">
        <f t="shared" si="114"/>
        <v>0</v>
      </c>
      <c r="I1024" s="7"/>
      <c r="J1024" s="37">
        <v>0</v>
      </c>
      <c r="K1024" s="37">
        <f t="shared" si="116"/>
        <v>0</v>
      </c>
      <c r="L1024" s="37">
        <f t="shared" si="115"/>
        <v>0</v>
      </c>
      <c r="M1024" s="957">
        <v>0</v>
      </c>
    </row>
    <row r="1025" spans="1:13" s="6" customFormat="1" ht="15.75">
      <c r="A1025" s="285">
        <v>145</v>
      </c>
      <c r="B1025" s="329" t="s">
        <v>980</v>
      </c>
      <c r="C1025" s="391"/>
      <c r="D1025" s="330"/>
      <c r="E1025" s="391"/>
      <c r="F1025" s="8">
        <f t="shared" si="112"/>
        <v>0</v>
      </c>
      <c r="G1025" s="221">
        <f t="shared" si="113"/>
        <v>0</v>
      </c>
      <c r="H1025" s="37">
        <f t="shared" si="114"/>
        <v>0</v>
      </c>
      <c r="I1025" s="7"/>
      <c r="J1025" s="37">
        <v>0</v>
      </c>
      <c r="K1025" s="37">
        <f t="shared" si="116"/>
        <v>0</v>
      </c>
      <c r="L1025" s="37">
        <f t="shared" si="115"/>
        <v>0</v>
      </c>
      <c r="M1025" s="957">
        <v>0</v>
      </c>
    </row>
    <row r="1026" spans="1:13" s="6" customFormat="1" ht="15.75">
      <c r="A1026" s="285">
        <v>146</v>
      </c>
      <c r="B1026" s="329" t="s">
        <v>981</v>
      </c>
      <c r="C1026" s="391"/>
      <c r="D1026" s="330"/>
      <c r="E1026" s="391"/>
      <c r="F1026" s="8">
        <f t="shared" si="112"/>
        <v>0</v>
      </c>
      <c r="G1026" s="221">
        <f t="shared" si="113"/>
        <v>0</v>
      </c>
      <c r="H1026" s="37">
        <f t="shared" si="114"/>
        <v>0</v>
      </c>
      <c r="I1026" s="7"/>
      <c r="J1026" s="37">
        <v>0</v>
      </c>
      <c r="K1026" s="37">
        <f t="shared" si="116"/>
        <v>0</v>
      </c>
      <c r="L1026" s="37">
        <f t="shared" si="115"/>
        <v>0</v>
      </c>
      <c r="M1026" s="957">
        <v>0</v>
      </c>
    </row>
    <row r="1027" spans="1:13" s="6" customFormat="1" ht="15.75">
      <c r="A1027" s="285">
        <v>147</v>
      </c>
      <c r="B1027" s="329" t="s">
        <v>982</v>
      </c>
      <c r="C1027" s="391"/>
      <c r="D1027" s="330"/>
      <c r="E1027" s="391"/>
      <c r="F1027" s="8">
        <f t="shared" si="112"/>
        <v>0</v>
      </c>
      <c r="G1027" s="221">
        <f t="shared" si="113"/>
        <v>0</v>
      </c>
      <c r="H1027" s="37">
        <f t="shared" si="114"/>
        <v>0</v>
      </c>
      <c r="I1027" s="7"/>
      <c r="J1027" s="37">
        <v>0</v>
      </c>
      <c r="K1027" s="37">
        <f t="shared" si="116"/>
        <v>0</v>
      </c>
      <c r="L1027" s="37">
        <f t="shared" si="115"/>
        <v>0</v>
      </c>
      <c r="M1027" s="957">
        <v>0</v>
      </c>
    </row>
    <row r="1028" spans="1:13" s="6" customFormat="1" ht="15.75">
      <c r="A1028" s="285">
        <v>148</v>
      </c>
      <c r="B1028" s="329" t="s">
        <v>983</v>
      </c>
      <c r="C1028" s="391"/>
      <c r="D1028" s="330"/>
      <c r="E1028" s="391"/>
      <c r="F1028" s="8">
        <f t="shared" si="112"/>
        <v>0</v>
      </c>
      <c r="G1028" s="221">
        <f t="shared" si="113"/>
        <v>0</v>
      </c>
      <c r="H1028" s="37">
        <f t="shared" si="114"/>
        <v>0</v>
      </c>
      <c r="I1028" s="7"/>
      <c r="J1028" s="37">
        <v>0</v>
      </c>
      <c r="K1028" s="37">
        <f t="shared" si="116"/>
        <v>0</v>
      </c>
      <c r="L1028" s="37">
        <f t="shared" si="115"/>
        <v>0</v>
      </c>
      <c r="M1028" s="957">
        <v>0</v>
      </c>
    </row>
    <row r="1029" spans="1:13" s="6" customFormat="1" ht="15.75">
      <c r="A1029" s="285">
        <v>149</v>
      </c>
      <c r="B1029" s="329" t="s">
        <v>985</v>
      </c>
      <c r="C1029" s="391"/>
      <c r="D1029" s="330"/>
      <c r="E1029" s="391"/>
      <c r="F1029" s="8">
        <f t="shared" si="112"/>
        <v>0</v>
      </c>
      <c r="G1029" s="221">
        <f t="shared" si="113"/>
        <v>0</v>
      </c>
      <c r="H1029" s="37">
        <f t="shared" si="114"/>
        <v>0</v>
      </c>
      <c r="I1029" s="7"/>
      <c r="J1029" s="37">
        <v>0</v>
      </c>
      <c r="K1029" s="37">
        <f t="shared" si="116"/>
        <v>0</v>
      </c>
      <c r="L1029" s="37">
        <f t="shared" si="115"/>
        <v>0</v>
      </c>
      <c r="M1029" s="957">
        <v>0</v>
      </c>
    </row>
    <row r="1030" spans="1:13" s="6" customFormat="1" ht="15.75">
      <c r="A1030" s="285">
        <v>150</v>
      </c>
      <c r="B1030" s="329" t="s">
        <v>986</v>
      </c>
      <c r="C1030" s="391"/>
      <c r="D1030" s="330"/>
      <c r="E1030" s="391"/>
      <c r="F1030" s="8">
        <f t="shared" si="112"/>
        <v>0</v>
      </c>
      <c r="G1030" s="221">
        <f t="shared" si="113"/>
        <v>0</v>
      </c>
      <c r="H1030" s="37">
        <f t="shared" si="114"/>
        <v>0</v>
      </c>
      <c r="I1030" s="7"/>
      <c r="J1030" s="37">
        <v>0</v>
      </c>
      <c r="K1030" s="37">
        <f t="shared" si="116"/>
        <v>0</v>
      </c>
      <c r="L1030" s="37">
        <f t="shared" si="115"/>
        <v>0</v>
      </c>
      <c r="M1030" s="957">
        <v>0</v>
      </c>
    </row>
    <row r="1031" spans="1:13" s="6" customFormat="1" ht="15.75">
      <c r="A1031" s="285">
        <v>151</v>
      </c>
      <c r="B1031" s="329" t="s">
        <v>987</v>
      </c>
      <c r="C1031" s="391"/>
      <c r="D1031" s="330"/>
      <c r="E1031" s="391"/>
      <c r="F1031" s="8">
        <f t="shared" si="112"/>
        <v>0</v>
      </c>
      <c r="G1031" s="221">
        <f t="shared" si="113"/>
        <v>0</v>
      </c>
      <c r="H1031" s="37">
        <f t="shared" si="114"/>
        <v>0</v>
      </c>
      <c r="I1031" s="7"/>
      <c r="J1031" s="37">
        <v>0</v>
      </c>
      <c r="K1031" s="37">
        <f t="shared" si="116"/>
        <v>0</v>
      </c>
      <c r="L1031" s="37">
        <f t="shared" si="115"/>
        <v>0</v>
      </c>
      <c r="M1031" s="957">
        <v>0</v>
      </c>
    </row>
    <row r="1032" spans="1:13" s="6" customFormat="1" ht="15.75">
      <c r="A1032" s="285">
        <v>152</v>
      </c>
      <c r="B1032" s="329" t="s">
        <v>988</v>
      </c>
      <c r="C1032" s="391"/>
      <c r="D1032" s="330"/>
      <c r="E1032" s="391"/>
      <c r="F1032" s="8">
        <f t="shared" si="112"/>
        <v>0</v>
      </c>
      <c r="G1032" s="221">
        <f t="shared" si="113"/>
        <v>0</v>
      </c>
      <c r="H1032" s="37">
        <f t="shared" si="114"/>
        <v>0</v>
      </c>
      <c r="I1032" s="7"/>
      <c r="J1032" s="37">
        <v>0</v>
      </c>
      <c r="K1032" s="37">
        <f t="shared" si="116"/>
        <v>0</v>
      </c>
      <c r="L1032" s="37">
        <f t="shared" si="115"/>
        <v>0</v>
      </c>
      <c r="M1032" s="957">
        <v>0</v>
      </c>
    </row>
    <row r="1033" spans="1:13" s="6" customFormat="1" ht="15.75">
      <c r="A1033" s="285">
        <v>153</v>
      </c>
      <c r="B1033" s="329" t="s">
        <v>989</v>
      </c>
      <c r="C1033" s="391"/>
      <c r="D1033" s="330"/>
      <c r="E1033" s="391"/>
      <c r="F1033" s="8">
        <f t="shared" si="112"/>
        <v>0</v>
      </c>
      <c r="G1033" s="221">
        <f t="shared" si="113"/>
        <v>0</v>
      </c>
      <c r="H1033" s="37">
        <f t="shared" si="114"/>
        <v>0</v>
      </c>
      <c r="I1033" s="7"/>
      <c r="J1033" s="37">
        <v>0</v>
      </c>
      <c r="K1033" s="37">
        <f t="shared" si="116"/>
        <v>0</v>
      </c>
      <c r="L1033" s="37">
        <f t="shared" si="115"/>
        <v>0</v>
      </c>
      <c r="M1033" s="957">
        <v>0</v>
      </c>
    </row>
    <row r="1034" spans="1:13" s="6" customFormat="1" ht="15.75">
      <c r="A1034" s="285">
        <v>154</v>
      </c>
      <c r="B1034" s="329" t="s">
        <v>990</v>
      </c>
      <c r="C1034" s="391"/>
      <c r="D1034" s="330"/>
      <c r="E1034" s="546"/>
      <c r="F1034" s="8">
        <f t="shared" si="112"/>
        <v>0</v>
      </c>
      <c r="G1034" s="221">
        <f t="shared" si="113"/>
        <v>0</v>
      </c>
      <c r="H1034" s="37">
        <f t="shared" si="114"/>
        <v>0</v>
      </c>
      <c r="I1034" s="7"/>
      <c r="J1034" s="37">
        <v>0</v>
      </c>
      <c r="K1034" s="37">
        <f t="shared" si="116"/>
        <v>0</v>
      </c>
      <c r="L1034" s="37">
        <f t="shared" si="115"/>
        <v>0</v>
      </c>
      <c r="M1034" s="957">
        <v>0</v>
      </c>
    </row>
    <row r="1035" spans="1:13" s="6" customFormat="1" ht="15.75">
      <c r="A1035" s="285">
        <v>155</v>
      </c>
      <c r="B1035" s="329" t="s">
        <v>991</v>
      </c>
      <c r="C1035" s="391"/>
      <c r="D1035" s="330"/>
      <c r="E1035" s="391"/>
      <c r="F1035" s="8">
        <f t="shared" si="112"/>
        <v>0</v>
      </c>
      <c r="G1035" s="221">
        <f t="shared" si="113"/>
        <v>0</v>
      </c>
      <c r="H1035" s="37">
        <f t="shared" si="114"/>
        <v>0</v>
      </c>
      <c r="I1035" s="7"/>
      <c r="J1035" s="37">
        <v>0</v>
      </c>
      <c r="K1035" s="37">
        <f t="shared" si="116"/>
        <v>0</v>
      </c>
      <c r="L1035" s="37">
        <f t="shared" si="115"/>
        <v>0</v>
      </c>
      <c r="M1035" s="957">
        <v>0</v>
      </c>
    </row>
    <row r="1036" spans="1:13" s="6" customFormat="1" ht="15.75">
      <c r="A1036" s="285">
        <v>156</v>
      </c>
      <c r="B1036" s="329" t="s">
        <v>992</v>
      </c>
      <c r="C1036" s="391"/>
      <c r="D1036" s="330"/>
      <c r="E1036" s="391"/>
      <c r="F1036" s="8">
        <f t="shared" si="112"/>
        <v>0</v>
      </c>
      <c r="G1036" s="221">
        <f t="shared" si="113"/>
        <v>0</v>
      </c>
      <c r="H1036" s="37">
        <f t="shared" si="114"/>
        <v>0</v>
      </c>
      <c r="I1036" s="7"/>
      <c r="J1036" s="37">
        <v>0</v>
      </c>
      <c r="K1036" s="37">
        <f t="shared" si="116"/>
        <v>0</v>
      </c>
      <c r="L1036" s="37">
        <f t="shared" si="115"/>
        <v>0</v>
      </c>
      <c r="M1036" s="957">
        <v>0</v>
      </c>
    </row>
    <row r="1037" spans="1:13" s="6" customFormat="1" ht="15.75">
      <c r="A1037" s="285">
        <v>157</v>
      </c>
      <c r="B1037" s="329" t="s">
        <v>993</v>
      </c>
      <c r="C1037" s="391"/>
      <c r="D1037" s="330"/>
      <c r="E1037" s="391"/>
      <c r="F1037" s="8">
        <f t="shared" si="112"/>
        <v>0</v>
      </c>
      <c r="G1037" s="221">
        <f t="shared" si="113"/>
        <v>0</v>
      </c>
      <c r="H1037" s="37">
        <f t="shared" si="114"/>
        <v>0</v>
      </c>
      <c r="I1037" s="7"/>
      <c r="J1037" s="37">
        <v>0</v>
      </c>
      <c r="K1037" s="37">
        <f t="shared" si="116"/>
        <v>0</v>
      </c>
      <c r="L1037" s="37">
        <f t="shared" si="115"/>
        <v>0</v>
      </c>
      <c r="M1037" s="957">
        <v>0</v>
      </c>
    </row>
    <row r="1038" spans="1:13" s="6" customFormat="1" ht="15.75">
      <c r="A1038" s="285">
        <v>158</v>
      </c>
      <c r="B1038" s="329" t="s">
        <v>994</v>
      </c>
      <c r="C1038" s="391"/>
      <c r="D1038" s="330"/>
      <c r="E1038" s="391"/>
      <c r="F1038" s="8">
        <f t="shared" si="112"/>
        <v>0</v>
      </c>
      <c r="G1038" s="221">
        <f t="shared" si="113"/>
        <v>0</v>
      </c>
      <c r="H1038" s="37">
        <f t="shared" si="114"/>
        <v>0</v>
      </c>
      <c r="I1038" s="7"/>
      <c r="J1038" s="37">
        <v>0</v>
      </c>
      <c r="K1038" s="37">
        <f t="shared" si="116"/>
        <v>0</v>
      </c>
      <c r="L1038" s="37">
        <f t="shared" si="115"/>
        <v>0</v>
      </c>
      <c r="M1038" s="957">
        <v>0</v>
      </c>
    </row>
    <row r="1039" spans="1:13" s="6" customFormat="1" ht="15.75">
      <c r="A1039" s="285">
        <v>159</v>
      </c>
      <c r="B1039" s="329" t="s">
        <v>995</v>
      </c>
      <c r="C1039" s="391"/>
      <c r="D1039" s="330"/>
      <c r="E1039" s="391"/>
      <c r="F1039" s="8">
        <f t="shared" si="112"/>
        <v>0</v>
      </c>
      <c r="G1039" s="221">
        <f t="shared" si="113"/>
        <v>0</v>
      </c>
      <c r="H1039" s="37">
        <f t="shared" si="114"/>
        <v>0</v>
      </c>
      <c r="I1039" s="7"/>
      <c r="J1039" s="37">
        <v>0</v>
      </c>
      <c r="K1039" s="37">
        <f t="shared" si="116"/>
        <v>0</v>
      </c>
      <c r="L1039" s="37">
        <f t="shared" si="115"/>
        <v>0</v>
      </c>
      <c r="M1039" s="957">
        <v>0</v>
      </c>
    </row>
    <row r="1040" spans="1:13" s="6" customFormat="1" ht="15.75">
      <c r="A1040" s="285">
        <v>160</v>
      </c>
      <c r="B1040" s="329" t="s">
        <v>996</v>
      </c>
      <c r="C1040" s="391"/>
      <c r="D1040" s="391"/>
      <c r="E1040" s="330"/>
      <c r="F1040" s="8">
        <f t="shared" si="112"/>
        <v>0</v>
      </c>
      <c r="G1040" s="221">
        <f t="shared" si="113"/>
        <v>0</v>
      </c>
      <c r="H1040" s="37">
        <f t="shared" si="114"/>
        <v>0</v>
      </c>
      <c r="I1040" s="7"/>
      <c r="J1040" s="37">
        <v>0</v>
      </c>
      <c r="K1040" s="37">
        <f t="shared" si="116"/>
        <v>0</v>
      </c>
      <c r="L1040" s="37">
        <f t="shared" si="115"/>
        <v>0</v>
      </c>
      <c r="M1040" s="957">
        <v>0</v>
      </c>
    </row>
    <row r="1041" spans="1:13" s="6" customFormat="1" ht="15.75">
      <c r="A1041" s="285">
        <v>161</v>
      </c>
      <c r="B1041" s="329" t="s">
        <v>997</v>
      </c>
      <c r="C1041" s="391"/>
      <c r="D1041" s="391"/>
      <c r="E1041" s="330"/>
      <c r="F1041" s="8">
        <f t="shared" si="112"/>
        <v>0</v>
      </c>
      <c r="G1041" s="221">
        <f t="shared" si="113"/>
        <v>0</v>
      </c>
      <c r="H1041" s="37">
        <f t="shared" si="114"/>
        <v>0</v>
      </c>
      <c r="I1041" s="7"/>
      <c r="J1041" s="37">
        <v>0</v>
      </c>
      <c r="K1041" s="37">
        <f t="shared" si="116"/>
        <v>0</v>
      </c>
      <c r="L1041" s="37">
        <f t="shared" si="115"/>
        <v>0</v>
      </c>
      <c r="M1041" s="957">
        <v>0</v>
      </c>
    </row>
    <row r="1042" spans="1:13" s="6" customFormat="1" ht="15.75">
      <c r="A1042" s="285">
        <v>162</v>
      </c>
      <c r="B1042" s="329" t="s">
        <v>998</v>
      </c>
      <c r="C1042" s="391"/>
      <c r="D1042" s="330"/>
      <c r="E1042" s="391"/>
      <c r="F1042" s="8">
        <f t="shared" si="112"/>
        <v>0</v>
      </c>
      <c r="G1042" s="221">
        <f t="shared" si="113"/>
        <v>0</v>
      </c>
      <c r="H1042" s="37">
        <f t="shared" si="114"/>
        <v>0</v>
      </c>
      <c r="I1042" s="7"/>
      <c r="J1042" s="37">
        <v>0</v>
      </c>
      <c r="K1042" s="37">
        <f t="shared" si="116"/>
        <v>0</v>
      </c>
      <c r="L1042" s="37">
        <f t="shared" si="115"/>
        <v>0</v>
      </c>
      <c r="M1042" s="957">
        <v>0</v>
      </c>
    </row>
    <row r="1043" spans="1:13" s="6" customFormat="1" ht="15.75">
      <c r="A1043" s="285">
        <v>163</v>
      </c>
      <c r="B1043" s="329" t="s">
        <v>999</v>
      </c>
      <c r="C1043" s="391"/>
      <c r="D1043" s="330"/>
      <c r="E1043" s="391"/>
      <c r="F1043" s="8">
        <f t="shared" si="112"/>
        <v>0</v>
      </c>
      <c r="G1043" s="221">
        <f t="shared" si="113"/>
        <v>0</v>
      </c>
      <c r="H1043" s="37">
        <f t="shared" si="114"/>
        <v>0</v>
      </c>
      <c r="I1043" s="7"/>
      <c r="J1043" s="37">
        <v>0</v>
      </c>
      <c r="K1043" s="37">
        <f t="shared" si="116"/>
        <v>0</v>
      </c>
      <c r="L1043" s="37">
        <f t="shared" si="115"/>
        <v>0</v>
      </c>
      <c r="M1043" s="957">
        <v>0</v>
      </c>
    </row>
    <row r="1044" spans="1:13" s="6" customFormat="1" ht="15.75">
      <c r="A1044" s="285">
        <v>164</v>
      </c>
      <c r="B1044" s="329" t="s">
        <v>1000</v>
      </c>
      <c r="C1044" s="391"/>
      <c r="D1044" s="391"/>
      <c r="E1044" s="330"/>
      <c r="F1044" s="8">
        <f t="shared" si="112"/>
        <v>0</v>
      </c>
      <c r="G1044" s="221">
        <f t="shared" si="113"/>
        <v>0</v>
      </c>
      <c r="H1044" s="37">
        <f t="shared" si="114"/>
        <v>0</v>
      </c>
      <c r="I1044" s="7"/>
      <c r="J1044" s="37">
        <v>0</v>
      </c>
      <c r="K1044" s="37">
        <f t="shared" si="116"/>
        <v>0</v>
      </c>
      <c r="L1044" s="37">
        <f t="shared" si="115"/>
        <v>0</v>
      </c>
      <c r="M1044" s="957">
        <v>0</v>
      </c>
    </row>
    <row r="1045" spans="1:13" s="6" customFormat="1" ht="15.75">
      <c r="A1045" s="285">
        <v>165</v>
      </c>
      <c r="B1045" s="329" t="s">
        <v>1001</v>
      </c>
      <c r="C1045" s="391"/>
      <c r="D1045" s="330"/>
      <c r="E1045" s="391"/>
      <c r="F1045" s="8">
        <f t="shared" si="112"/>
        <v>0</v>
      </c>
      <c r="G1045" s="221">
        <f t="shared" si="113"/>
        <v>0</v>
      </c>
      <c r="H1045" s="37">
        <f t="shared" si="114"/>
        <v>0</v>
      </c>
      <c r="I1045" s="7"/>
      <c r="J1045" s="37">
        <v>0</v>
      </c>
      <c r="K1045" s="37">
        <f t="shared" si="116"/>
        <v>0</v>
      </c>
      <c r="L1045" s="37">
        <f t="shared" si="115"/>
        <v>0</v>
      </c>
      <c r="M1045" s="957">
        <v>0</v>
      </c>
    </row>
    <row r="1046" spans="1:13" s="6" customFormat="1" ht="15.75">
      <c r="A1046" s="285">
        <v>166</v>
      </c>
      <c r="B1046" s="329" t="s">
        <v>1002</v>
      </c>
      <c r="C1046" s="391"/>
      <c r="D1046" s="391"/>
      <c r="E1046" s="330"/>
      <c r="F1046" s="8">
        <f t="shared" si="112"/>
        <v>0</v>
      </c>
      <c r="G1046" s="221">
        <f t="shared" si="113"/>
        <v>0</v>
      </c>
      <c r="H1046" s="37">
        <f t="shared" si="114"/>
        <v>0</v>
      </c>
      <c r="I1046" s="7"/>
      <c r="J1046" s="37">
        <v>0</v>
      </c>
      <c r="K1046" s="37">
        <f t="shared" si="116"/>
        <v>0</v>
      </c>
      <c r="L1046" s="37">
        <f t="shared" si="115"/>
        <v>0</v>
      </c>
      <c r="M1046" s="957">
        <v>0</v>
      </c>
    </row>
    <row r="1047" spans="1:13" s="6" customFormat="1" ht="15.75">
      <c r="A1047" s="285">
        <v>167</v>
      </c>
      <c r="B1047" s="329" t="s">
        <v>1003</v>
      </c>
      <c r="C1047" s="391"/>
      <c r="D1047" s="330"/>
      <c r="E1047" s="391"/>
      <c r="F1047" s="8">
        <f t="shared" si="112"/>
        <v>0</v>
      </c>
      <c r="G1047" s="221">
        <f t="shared" si="113"/>
        <v>0</v>
      </c>
      <c r="H1047" s="37">
        <f t="shared" si="114"/>
        <v>0</v>
      </c>
      <c r="I1047" s="7"/>
      <c r="J1047" s="37">
        <v>0</v>
      </c>
      <c r="K1047" s="37">
        <f t="shared" si="116"/>
        <v>0</v>
      </c>
      <c r="L1047" s="37">
        <f t="shared" si="115"/>
        <v>0</v>
      </c>
      <c r="M1047" s="957">
        <v>0</v>
      </c>
    </row>
    <row r="1048" spans="1:13" s="6" customFormat="1" ht="15.75">
      <c r="A1048" s="285">
        <v>168</v>
      </c>
      <c r="B1048" s="329" t="s">
        <v>1004</v>
      </c>
      <c r="C1048" s="546"/>
      <c r="D1048" s="330"/>
      <c r="E1048" s="391"/>
      <c r="F1048" s="8">
        <f t="shared" si="112"/>
        <v>0</v>
      </c>
      <c r="G1048" s="221">
        <f t="shared" si="113"/>
        <v>0</v>
      </c>
      <c r="H1048" s="37">
        <f t="shared" si="114"/>
        <v>0</v>
      </c>
      <c r="I1048" s="7"/>
      <c r="J1048" s="37">
        <v>0</v>
      </c>
      <c r="K1048" s="37">
        <f t="shared" si="116"/>
        <v>0</v>
      </c>
      <c r="L1048" s="37">
        <f t="shared" si="115"/>
        <v>0</v>
      </c>
      <c r="M1048" s="957">
        <v>0</v>
      </c>
    </row>
    <row r="1049" spans="1:13" s="6" customFormat="1" ht="15.75">
      <c r="A1049" s="285">
        <v>169</v>
      </c>
      <c r="B1049" s="329" t="s">
        <v>1005</v>
      </c>
      <c r="C1049" s="391"/>
      <c r="D1049" s="330"/>
      <c r="E1049" s="391"/>
      <c r="F1049" s="8">
        <f t="shared" si="112"/>
        <v>0</v>
      </c>
      <c r="G1049" s="221">
        <f t="shared" si="113"/>
        <v>0</v>
      </c>
      <c r="H1049" s="37">
        <f t="shared" si="114"/>
        <v>0</v>
      </c>
      <c r="I1049" s="7"/>
      <c r="J1049" s="37">
        <v>0</v>
      </c>
      <c r="K1049" s="37">
        <f t="shared" si="116"/>
        <v>0</v>
      </c>
      <c r="L1049" s="37">
        <f t="shared" si="115"/>
        <v>0</v>
      </c>
      <c r="M1049" s="957">
        <v>0</v>
      </c>
    </row>
    <row r="1050" spans="1:13" s="6" customFormat="1" ht="15.75">
      <c r="A1050" s="285">
        <v>170</v>
      </c>
      <c r="B1050" s="329" t="s">
        <v>1006</v>
      </c>
      <c r="C1050" s="391"/>
      <c r="D1050" s="330"/>
      <c r="E1050" s="391"/>
      <c r="F1050" s="8">
        <f t="shared" si="112"/>
        <v>0</v>
      </c>
      <c r="G1050" s="221">
        <f t="shared" si="113"/>
        <v>0</v>
      </c>
      <c r="H1050" s="37">
        <f t="shared" si="114"/>
        <v>0</v>
      </c>
      <c r="I1050" s="7"/>
      <c r="J1050" s="37">
        <v>0</v>
      </c>
      <c r="K1050" s="37">
        <f t="shared" si="116"/>
        <v>0</v>
      </c>
      <c r="L1050" s="37">
        <f t="shared" si="115"/>
        <v>0</v>
      </c>
      <c r="M1050" s="957">
        <v>0</v>
      </c>
    </row>
    <row r="1051" spans="1:13" s="6" customFormat="1" ht="15.75">
      <c r="A1051" s="285">
        <v>171</v>
      </c>
      <c r="B1051" s="329" t="s">
        <v>1007</v>
      </c>
      <c r="C1051" s="391"/>
      <c r="D1051" s="330"/>
      <c r="E1051" s="391"/>
      <c r="F1051" s="8">
        <f t="shared" si="112"/>
        <v>0</v>
      </c>
      <c r="G1051" s="221">
        <f t="shared" si="113"/>
        <v>0</v>
      </c>
      <c r="H1051" s="37">
        <f t="shared" si="114"/>
        <v>0</v>
      </c>
      <c r="I1051" s="7"/>
      <c r="J1051" s="37">
        <v>0</v>
      </c>
      <c r="K1051" s="37">
        <f t="shared" si="116"/>
        <v>0</v>
      </c>
      <c r="L1051" s="37">
        <f t="shared" si="115"/>
        <v>0</v>
      </c>
      <c r="M1051" s="957">
        <v>0</v>
      </c>
    </row>
    <row r="1052" spans="1:13" s="6" customFormat="1" ht="15.75">
      <c r="A1052" s="285">
        <v>172</v>
      </c>
      <c r="B1052" s="329" t="s">
        <v>1008</v>
      </c>
      <c r="C1052" s="391"/>
      <c r="D1052" s="330"/>
      <c r="E1052" s="391"/>
      <c r="F1052" s="8">
        <f t="shared" si="112"/>
        <v>0</v>
      </c>
      <c r="G1052" s="221">
        <f t="shared" si="113"/>
        <v>0</v>
      </c>
      <c r="H1052" s="37">
        <f t="shared" si="114"/>
        <v>0</v>
      </c>
      <c r="I1052" s="7"/>
      <c r="J1052" s="37">
        <v>0</v>
      </c>
      <c r="K1052" s="37">
        <f t="shared" si="116"/>
        <v>0</v>
      </c>
      <c r="L1052" s="37">
        <f t="shared" si="115"/>
        <v>0</v>
      </c>
      <c r="M1052" s="957">
        <v>0</v>
      </c>
    </row>
    <row r="1053" spans="1:13" s="6" customFormat="1" ht="15.75">
      <c r="A1053" s="285">
        <v>173</v>
      </c>
      <c r="B1053" s="329" t="s">
        <v>1009</v>
      </c>
      <c r="C1053" s="391"/>
      <c r="D1053" s="330"/>
      <c r="E1053" s="391"/>
      <c r="F1053" s="8">
        <f t="shared" si="112"/>
        <v>0</v>
      </c>
      <c r="G1053" s="221">
        <f t="shared" si="113"/>
        <v>0</v>
      </c>
      <c r="H1053" s="37">
        <f t="shared" si="114"/>
        <v>0</v>
      </c>
      <c r="I1053" s="7"/>
      <c r="J1053" s="37">
        <v>0</v>
      </c>
      <c r="K1053" s="37">
        <f t="shared" si="116"/>
        <v>0</v>
      </c>
      <c r="L1053" s="37">
        <f t="shared" si="115"/>
        <v>0</v>
      </c>
      <c r="M1053" s="957">
        <v>0</v>
      </c>
    </row>
    <row r="1054" spans="1:13" s="6" customFormat="1" ht="15.75">
      <c r="A1054" s="285">
        <v>174</v>
      </c>
      <c r="B1054" s="329" t="s">
        <v>1359</v>
      </c>
      <c r="C1054" s="391"/>
      <c r="D1054" s="330"/>
      <c r="E1054" s="391"/>
      <c r="F1054" s="8">
        <f t="shared" si="112"/>
        <v>0</v>
      </c>
      <c r="G1054" s="221">
        <f t="shared" si="113"/>
        <v>0</v>
      </c>
      <c r="H1054" s="37">
        <f t="shared" si="114"/>
        <v>0</v>
      </c>
      <c r="I1054" s="7"/>
      <c r="J1054" s="37">
        <v>0</v>
      </c>
      <c r="K1054" s="37">
        <f t="shared" si="116"/>
        <v>0</v>
      </c>
      <c r="L1054" s="37">
        <f t="shared" si="115"/>
        <v>0</v>
      </c>
      <c r="M1054" s="957">
        <v>0</v>
      </c>
    </row>
    <row r="1055" spans="1:13" s="6" customFormat="1" ht="15.75">
      <c r="A1055" s="285">
        <v>175</v>
      </c>
      <c r="B1055" s="329" t="s">
        <v>1010</v>
      </c>
      <c r="C1055" s="391"/>
      <c r="D1055" s="330"/>
      <c r="E1055" s="391"/>
      <c r="F1055" s="8">
        <f t="shared" si="112"/>
        <v>0</v>
      </c>
      <c r="G1055" s="221">
        <f t="shared" si="113"/>
        <v>0</v>
      </c>
      <c r="H1055" s="37">
        <f t="shared" si="114"/>
        <v>0</v>
      </c>
      <c r="I1055" s="7"/>
      <c r="J1055" s="37">
        <v>0</v>
      </c>
      <c r="K1055" s="37">
        <f t="shared" si="116"/>
        <v>0</v>
      </c>
      <c r="L1055" s="37">
        <f t="shared" si="115"/>
        <v>0</v>
      </c>
      <c r="M1055" s="957">
        <v>0</v>
      </c>
    </row>
    <row r="1056" spans="1:13" s="6" customFormat="1" ht="15.75">
      <c r="A1056" s="285">
        <v>176</v>
      </c>
      <c r="B1056" s="329" t="s">
        <v>1011</v>
      </c>
      <c r="C1056" s="391"/>
      <c r="D1056" s="330"/>
      <c r="E1056" s="391"/>
      <c r="F1056" s="8">
        <f t="shared" si="112"/>
        <v>0</v>
      </c>
      <c r="G1056" s="221">
        <f t="shared" si="113"/>
        <v>0</v>
      </c>
      <c r="H1056" s="37">
        <f t="shared" si="114"/>
        <v>0</v>
      </c>
      <c r="I1056" s="7"/>
      <c r="J1056" s="37">
        <v>0</v>
      </c>
      <c r="K1056" s="37">
        <f t="shared" si="116"/>
        <v>0</v>
      </c>
      <c r="L1056" s="37">
        <f t="shared" si="115"/>
        <v>0</v>
      </c>
      <c r="M1056" s="957">
        <v>0</v>
      </c>
    </row>
    <row r="1057" spans="1:13" s="6" customFormat="1" ht="15.75">
      <c r="A1057" s="285">
        <v>177</v>
      </c>
      <c r="B1057" s="329" t="s">
        <v>1012</v>
      </c>
      <c r="C1057" s="391"/>
      <c r="D1057" s="330"/>
      <c r="E1057" s="391"/>
      <c r="F1057" s="8">
        <f t="shared" si="112"/>
        <v>0</v>
      </c>
      <c r="G1057" s="221">
        <f t="shared" si="113"/>
        <v>0</v>
      </c>
      <c r="H1057" s="37">
        <f t="shared" si="114"/>
        <v>0</v>
      </c>
      <c r="I1057" s="7"/>
      <c r="J1057" s="37">
        <v>0</v>
      </c>
      <c r="K1057" s="37">
        <f t="shared" si="116"/>
        <v>0</v>
      </c>
      <c r="L1057" s="37">
        <f t="shared" si="115"/>
        <v>0</v>
      </c>
      <c r="M1057" s="957">
        <v>0</v>
      </c>
    </row>
    <row r="1058" spans="1:13" s="6" customFormat="1" ht="15.75">
      <c r="A1058" s="285">
        <v>178</v>
      </c>
      <c r="B1058" s="329" t="s">
        <v>1013</v>
      </c>
      <c r="C1058" s="391"/>
      <c r="D1058" s="330"/>
      <c r="E1058" s="391"/>
      <c r="F1058" s="8">
        <f t="shared" si="112"/>
        <v>0</v>
      </c>
      <c r="G1058" s="221">
        <f t="shared" si="113"/>
        <v>0</v>
      </c>
      <c r="H1058" s="37">
        <f t="shared" si="114"/>
        <v>0</v>
      </c>
      <c r="I1058" s="7"/>
      <c r="J1058" s="37">
        <v>0</v>
      </c>
      <c r="K1058" s="37">
        <f t="shared" si="116"/>
        <v>0</v>
      </c>
      <c r="L1058" s="37">
        <f t="shared" si="115"/>
        <v>0</v>
      </c>
      <c r="M1058" s="957">
        <v>0</v>
      </c>
    </row>
    <row r="1059" spans="1:13" s="6" customFormat="1" ht="15.75">
      <c r="A1059" s="285">
        <v>179</v>
      </c>
      <c r="B1059" s="329" t="s">
        <v>1014</v>
      </c>
      <c r="C1059" s="391"/>
      <c r="D1059" s="330"/>
      <c r="E1059" s="391"/>
      <c r="F1059" s="8">
        <f t="shared" si="112"/>
        <v>0</v>
      </c>
      <c r="G1059" s="221">
        <f t="shared" si="113"/>
        <v>0</v>
      </c>
      <c r="H1059" s="37">
        <f t="shared" si="114"/>
        <v>0</v>
      </c>
      <c r="I1059" s="7"/>
      <c r="J1059" s="37">
        <v>0</v>
      </c>
      <c r="K1059" s="37">
        <f t="shared" si="116"/>
        <v>0</v>
      </c>
      <c r="L1059" s="37">
        <f t="shared" si="115"/>
        <v>0</v>
      </c>
      <c r="M1059" s="957">
        <v>0</v>
      </c>
    </row>
    <row r="1060" spans="1:13" s="6" customFormat="1" ht="15.75">
      <c r="A1060" s="285">
        <v>180</v>
      </c>
      <c r="B1060" s="329" t="s">
        <v>1015</v>
      </c>
      <c r="C1060" s="546"/>
      <c r="D1060" s="330"/>
      <c r="E1060" s="391"/>
      <c r="F1060" s="8">
        <f t="shared" si="112"/>
        <v>0</v>
      </c>
      <c r="G1060" s="221">
        <f t="shared" si="113"/>
        <v>0</v>
      </c>
      <c r="H1060" s="37">
        <f t="shared" si="114"/>
        <v>0</v>
      </c>
      <c r="I1060" s="7"/>
      <c r="J1060" s="37">
        <v>0</v>
      </c>
      <c r="K1060" s="37">
        <f t="shared" si="116"/>
        <v>0</v>
      </c>
      <c r="L1060" s="37">
        <f t="shared" si="115"/>
        <v>0</v>
      </c>
      <c r="M1060" s="957">
        <v>0</v>
      </c>
    </row>
    <row r="1061" spans="1:13" s="6" customFormat="1" ht="15.75">
      <c r="A1061" s="285">
        <v>181</v>
      </c>
      <c r="B1061" s="329" t="s">
        <v>1360</v>
      </c>
      <c r="C1061" s="391"/>
      <c r="D1061" s="330"/>
      <c r="E1061" s="391"/>
      <c r="F1061" s="8">
        <f t="shared" si="112"/>
        <v>0</v>
      </c>
      <c r="G1061" s="221">
        <f t="shared" si="113"/>
        <v>0</v>
      </c>
      <c r="H1061" s="37">
        <f t="shared" si="114"/>
        <v>0</v>
      </c>
      <c r="I1061" s="7"/>
      <c r="J1061" s="37">
        <v>0</v>
      </c>
      <c r="K1061" s="37">
        <f t="shared" si="116"/>
        <v>0</v>
      </c>
      <c r="L1061" s="37">
        <f t="shared" si="115"/>
        <v>0</v>
      </c>
      <c r="M1061" s="957">
        <v>0</v>
      </c>
    </row>
    <row r="1062" spans="1:13" s="6" customFormat="1" ht="15.75">
      <c r="A1062" s="285">
        <v>182</v>
      </c>
      <c r="B1062" s="329" t="s">
        <v>1016</v>
      </c>
      <c r="C1062" s="391"/>
      <c r="D1062" s="330"/>
      <c r="E1062" s="391"/>
      <c r="F1062" s="8">
        <f t="shared" si="112"/>
        <v>0</v>
      </c>
      <c r="G1062" s="221">
        <f t="shared" si="113"/>
        <v>0</v>
      </c>
      <c r="H1062" s="37">
        <f t="shared" si="114"/>
        <v>0</v>
      </c>
      <c r="I1062" s="7"/>
      <c r="J1062" s="37">
        <v>0</v>
      </c>
      <c r="K1062" s="37">
        <f t="shared" si="116"/>
        <v>0</v>
      </c>
      <c r="L1062" s="37">
        <f t="shared" si="115"/>
        <v>0</v>
      </c>
      <c r="M1062" s="957">
        <v>0</v>
      </c>
    </row>
    <row r="1063" spans="1:13" s="6" customFormat="1" ht="15.75">
      <c r="A1063" s="285">
        <v>183</v>
      </c>
      <c r="B1063" s="329" t="s">
        <v>1017</v>
      </c>
      <c r="C1063" s="391"/>
      <c r="D1063" s="330"/>
      <c r="E1063" s="391"/>
      <c r="F1063" s="8">
        <f t="shared" si="112"/>
        <v>0</v>
      </c>
      <c r="G1063" s="221">
        <f t="shared" si="113"/>
        <v>0</v>
      </c>
      <c r="H1063" s="37">
        <f t="shared" si="114"/>
        <v>0</v>
      </c>
      <c r="I1063" s="7"/>
      <c r="J1063" s="37">
        <v>0</v>
      </c>
      <c r="K1063" s="37">
        <f t="shared" si="116"/>
        <v>0</v>
      </c>
      <c r="L1063" s="37">
        <f t="shared" si="115"/>
        <v>0</v>
      </c>
      <c r="M1063" s="957">
        <v>0</v>
      </c>
    </row>
    <row r="1064" spans="1:13" s="6" customFormat="1" ht="15.75">
      <c r="A1064" s="285">
        <v>184</v>
      </c>
      <c r="B1064" s="329" t="s">
        <v>1018</v>
      </c>
      <c r="C1064" s="391"/>
      <c r="D1064" s="330"/>
      <c r="E1064" s="391"/>
      <c r="F1064" s="8">
        <f t="shared" si="112"/>
        <v>0</v>
      </c>
      <c r="G1064" s="221">
        <f t="shared" si="113"/>
        <v>0</v>
      </c>
      <c r="H1064" s="37">
        <f t="shared" si="114"/>
        <v>0</v>
      </c>
      <c r="I1064" s="7"/>
      <c r="J1064" s="37">
        <v>0</v>
      </c>
      <c r="K1064" s="37">
        <f t="shared" si="116"/>
        <v>0</v>
      </c>
      <c r="L1064" s="37">
        <f t="shared" si="115"/>
        <v>0</v>
      </c>
      <c r="M1064" s="957">
        <v>0</v>
      </c>
    </row>
    <row r="1065" spans="1:13" s="6" customFormat="1" ht="15.75">
      <c r="A1065" s="285">
        <v>185</v>
      </c>
      <c r="B1065" s="329" t="s">
        <v>1019</v>
      </c>
      <c r="C1065" s="391"/>
      <c r="D1065" s="330"/>
      <c r="E1065" s="391"/>
      <c r="F1065" s="8">
        <f t="shared" si="112"/>
        <v>0</v>
      </c>
      <c r="G1065" s="221">
        <f t="shared" si="113"/>
        <v>0</v>
      </c>
      <c r="H1065" s="37">
        <f t="shared" si="114"/>
        <v>0</v>
      </c>
      <c r="I1065" s="7"/>
      <c r="J1065" s="37">
        <v>0</v>
      </c>
      <c r="K1065" s="37">
        <f t="shared" si="116"/>
        <v>0</v>
      </c>
      <c r="L1065" s="37">
        <f t="shared" si="115"/>
        <v>0</v>
      </c>
      <c r="M1065" s="957">
        <v>0</v>
      </c>
    </row>
    <row r="1066" spans="1:13" s="6" customFormat="1" ht="15.75">
      <c r="A1066" s="285">
        <v>186</v>
      </c>
      <c r="B1066" s="329" t="s">
        <v>1020</v>
      </c>
      <c r="C1066" s="391"/>
      <c r="D1066" s="330"/>
      <c r="E1066" s="391"/>
      <c r="F1066" s="8">
        <f t="shared" si="112"/>
        <v>0</v>
      </c>
      <c r="G1066" s="221">
        <f t="shared" si="113"/>
        <v>0</v>
      </c>
      <c r="H1066" s="37">
        <f t="shared" si="114"/>
        <v>0</v>
      </c>
      <c r="I1066" s="7"/>
      <c r="J1066" s="37">
        <v>0</v>
      </c>
      <c r="K1066" s="37">
        <f t="shared" si="116"/>
        <v>0</v>
      </c>
      <c r="L1066" s="37">
        <f t="shared" si="115"/>
        <v>0</v>
      </c>
      <c r="M1066" s="957">
        <v>0</v>
      </c>
    </row>
    <row r="1067" spans="1:13" s="6" customFormat="1" ht="15.75">
      <c r="A1067" s="285">
        <v>187</v>
      </c>
      <c r="B1067" s="329" t="s">
        <v>1021</v>
      </c>
      <c r="C1067" s="391"/>
      <c r="D1067" s="330"/>
      <c r="E1067" s="391"/>
      <c r="F1067" s="8">
        <f t="shared" si="112"/>
        <v>0</v>
      </c>
      <c r="G1067" s="221">
        <f t="shared" si="113"/>
        <v>0</v>
      </c>
      <c r="H1067" s="37">
        <f t="shared" si="114"/>
        <v>0</v>
      </c>
      <c r="I1067" s="7"/>
      <c r="J1067" s="37">
        <v>0</v>
      </c>
      <c r="K1067" s="37">
        <f t="shared" si="116"/>
        <v>0</v>
      </c>
      <c r="L1067" s="37">
        <f t="shared" si="115"/>
        <v>0</v>
      </c>
      <c r="M1067" s="957">
        <v>0</v>
      </c>
    </row>
    <row r="1068" spans="1:13" s="6" customFormat="1" ht="15.75">
      <c r="A1068" s="285">
        <v>188</v>
      </c>
      <c r="B1068" s="329" t="s">
        <v>1022</v>
      </c>
      <c r="C1068" s="391"/>
      <c r="D1068" s="330"/>
      <c r="E1068" s="391"/>
      <c r="F1068" s="8">
        <f t="shared" ref="F1068:F1131" si="117">C1068+D1068+E1068</f>
        <v>0</v>
      </c>
      <c r="G1068" s="221">
        <f t="shared" si="113"/>
        <v>0</v>
      </c>
      <c r="H1068" s="37">
        <f t="shared" si="114"/>
        <v>0</v>
      </c>
      <c r="I1068" s="7"/>
      <c r="J1068" s="37">
        <v>0</v>
      </c>
      <c r="K1068" s="37">
        <f t="shared" si="116"/>
        <v>0</v>
      </c>
      <c r="L1068" s="37">
        <f t="shared" si="115"/>
        <v>0</v>
      </c>
      <c r="M1068" s="957">
        <v>0</v>
      </c>
    </row>
    <row r="1069" spans="1:13" s="6" customFormat="1" ht="15.75">
      <c r="A1069" s="285">
        <v>189</v>
      </c>
      <c r="B1069" s="329" t="s">
        <v>1023</v>
      </c>
      <c r="C1069" s="391"/>
      <c r="D1069" s="330"/>
      <c r="E1069" s="391"/>
      <c r="F1069" s="8">
        <f t="shared" si="117"/>
        <v>0</v>
      </c>
      <c r="G1069" s="221">
        <f t="shared" si="113"/>
        <v>0</v>
      </c>
      <c r="H1069" s="37">
        <f t="shared" si="114"/>
        <v>0</v>
      </c>
      <c r="I1069" s="7"/>
      <c r="J1069" s="37">
        <v>0</v>
      </c>
      <c r="K1069" s="37">
        <f t="shared" si="116"/>
        <v>0</v>
      </c>
      <c r="L1069" s="37">
        <f t="shared" si="115"/>
        <v>0</v>
      </c>
      <c r="M1069" s="957">
        <v>0</v>
      </c>
    </row>
    <row r="1070" spans="1:13" s="6" customFormat="1" ht="15.75">
      <c r="A1070" s="285">
        <v>190</v>
      </c>
      <c r="B1070" s="329" t="s">
        <v>1024</v>
      </c>
      <c r="C1070" s="391"/>
      <c r="D1070" s="330"/>
      <c r="E1070" s="391"/>
      <c r="F1070" s="8">
        <f t="shared" si="117"/>
        <v>0</v>
      </c>
      <c r="G1070" s="221">
        <f t="shared" si="113"/>
        <v>0</v>
      </c>
      <c r="H1070" s="37">
        <f t="shared" si="114"/>
        <v>0</v>
      </c>
      <c r="I1070" s="7"/>
      <c r="J1070" s="37">
        <v>0</v>
      </c>
      <c r="K1070" s="37">
        <f t="shared" si="116"/>
        <v>0</v>
      </c>
      <c r="L1070" s="37">
        <f t="shared" si="115"/>
        <v>0</v>
      </c>
      <c r="M1070" s="957">
        <v>0</v>
      </c>
    </row>
    <row r="1071" spans="1:13" s="6" customFormat="1" ht="15.75">
      <c r="A1071" s="285">
        <v>191</v>
      </c>
      <c r="B1071" s="329" t="s">
        <v>1025</v>
      </c>
      <c r="C1071" s="391"/>
      <c r="D1071" s="330"/>
      <c r="E1071" s="391"/>
      <c r="F1071" s="8">
        <f t="shared" si="117"/>
        <v>0</v>
      </c>
      <c r="G1071" s="221">
        <f t="shared" si="113"/>
        <v>0</v>
      </c>
      <c r="H1071" s="37">
        <f t="shared" si="114"/>
        <v>0</v>
      </c>
      <c r="I1071" s="7"/>
      <c r="J1071" s="37">
        <v>0</v>
      </c>
      <c r="K1071" s="37">
        <f t="shared" si="116"/>
        <v>0</v>
      </c>
      <c r="L1071" s="37">
        <f t="shared" si="115"/>
        <v>0</v>
      </c>
      <c r="M1071" s="957">
        <v>0</v>
      </c>
    </row>
    <row r="1072" spans="1:13" s="6" customFormat="1" ht="15.75">
      <c r="A1072" s="285">
        <v>192</v>
      </c>
      <c r="B1072" s="329" t="s">
        <v>1026</v>
      </c>
      <c r="C1072" s="391"/>
      <c r="D1072" s="330"/>
      <c r="E1072" s="391"/>
      <c r="F1072" s="8">
        <f t="shared" si="117"/>
        <v>0</v>
      </c>
      <c r="G1072" s="221">
        <f t="shared" si="113"/>
        <v>0</v>
      </c>
      <c r="H1072" s="37">
        <f t="shared" si="114"/>
        <v>0</v>
      </c>
      <c r="I1072" s="7"/>
      <c r="J1072" s="37">
        <v>0</v>
      </c>
      <c r="K1072" s="37">
        <f t="shared" si="116"/>
        <v>0</v>
      </c>
      <c r="L1072" s="37">
        <f t="shared" si="115"/>
        <v>0</v>
      </c>
      <c r="M1072" s="957">
        <v>0</v>
      </c>
    </row>
    <row r="1073" spans="1:13" s="6" customFormat="1" ht="15.75">
      <c r="A1073" s="285">
        <v>193</v>
      </c>
      <c r="B1073" s="329" t="s">
        <v>1027</v>
      </c>
      <c r="C1073" s="391"/>
      <c r="D1073" s="330"/>
      <c r="E1073" s="391"/>
      <c r="F1073" s="8">
        <f t="shared" si="117"/>
        <v>0</v>
      </c>
      <c r="G1073" s="221">
        <f t="shared" ref="G1073:G1136" si="118">2/194875.11*F1073</f>
        <v>0</v>
      </c>
      <c r="H1073" s="37">
        <f t="shared" ref="H1073:H1136" si="119">G1073*2269.13</f>
        <v>0</v>
      </c>
      <c r="I1073" s="7"/>
      <c r="J1073" s="37">
        <v>0</v>
      </c>
      <c r="K1073" s="37">
        <f t="shared" si="116"/>
        <v>0</v>
      </c>
      <c r="L1073" s="37">
        <f t="shared" si="115"/>
        <v>0</v>
      </c>
      <c r="M1073" s="957">
        <v>0</v>
      </c>
    </row>
    <row r="1074" spans="1:13" s="6" customFormat="1" ht="15.75">
      <c r="A1074" s="285">
        <v>194</v>
      </c>
      <c r="B1074" s="329" t="s">
        <v>1030</v>
      </c>
      <c r="C1074" s="391"/>
      <c r="D1074" s="330"/>
      <c r="E1074" s="391"/>
      <c r="F1074" s="8">
        <f t="shared" si="117"/>
        <v>0</v>
      </c>
      <c r="G1074" s="221">
        <f t="shared" si="118"/>
        <v>0</v>
      </c>
      <c r="H1074" s="37">
        <f t="shared" si="119"/>
        <v>0</v>
      </c>
      <c r="I1074" s="7"/>
      <c r="J1074" s="37">
        <v>0</v>
      </c>
      <c r="K1074" s="37">
        <f t="shared" si="116"/>
        <v>0</v>
      </c>
      <c r="L1074" s="37">
        <f t="shared" ref="L1074:L1137" si="120">K1074*1.219</f>
        <v>0</v>
      </c>
      <c r="M1074" s="957">
        <v>0</v>
      </c>
    </row>
    <row r="1075" spans="1:13" s="6" customFormat="1" ht="15.75">
      <c r="A1075" s="285">
        <v>195</v>
      </c>
      <c r="B1075" s="329" t="s">
        <v>1031</v>
      </c>
      <c r="C1075" s="391"/>
      <c r="D1075" s="330"/>
      <c r="E1075" s="391"/>
      <c r="F1075" s="8">
        <f t="shared" si="117"/>
        <v>0</v>
      </c>
      <c r="G1075" s="221">
        <f t="shared" si="118"/>
        <v>0</v>
      </c>
      <c r="H1075" s="37">
        <f t="shared" si="119"/>
        <v>0</v>
      </c>
      <c r="I1075" s="7"/>
      <c r="J1075" s="37">
        <v>0</v>
      </c>
      <c r="K1075" s="37">
        <f t="shared" ref="K1075:K1138" si="121">G1075*560.71*1.08</f>
        <v>0</v>
      </c>
      <c r="L1075" s="37">
        <f t="shared" si="120"/>
        <v>0</v>
      </c>
      <c r="M1075" s="957">
        <v>0</v>
      </c>
    </row>
    <row r="1076" spans="1:13" s="6" customFormat="1" ht="15.75">
      <c r="A1076" s="285">
        <v>196</v>
      </c>
      <c r="B1076" s="329" t="s">
        <v>1032</v>
      </c>
      <c r="C1076" s="546"/>
      <c r="D1076" s="330"/>
      <c r="E1076" s="391"/>
      <c r="F1076" s="8">
        <f t="shared" si="117"/>
        <v>0</v>
      </c>
      <c r="G1076" s="221">
        <f t="shared" si="118"/>
        <v>0</v>
      </c>
      <c r="H1076" s="37">
        <f t="shared" si="119"/>
        <v>0</v>
      </c>
      <c r="I1076" s="7"/>
      <c r="J1076" s="37">
        <v>0</v>
      </c>
      <c r="K1076" s="37">
        <f t="shared" si="121"/>
        <v>0</v>
      </c>
      <c r="L1076" s="37">
        <f t="shared" si="120"/>
        <v>0</v>
      </c>
      <c r="M1076" s="957">
        <v>0</v>
      </c>
    </row>
    <row r="1077" spans="1:13" s="6" customFormat="1" ht="15.75">
      <c r="A1077" s="285">
        <v>197</v>
      </c>
      <c r="B1077" s="329" t="s">
        <v>1033</v>
      </c>
      <c r="C1077" s="391"/>
      <c r="D1077" s="330"/>
      <c r="E1077" s="391"/>
      <c r="F1077" s="8">
        <f t="shared" si="117"/>
        <v>0</v>
      </c>
      <c r="G1077" s="221">
        <f t="shared" si="118"/>
        <v>0</v>
      </c>
      <c r="H1077" s="37">
        <f t="shared" si="119"/>
        <v>0</v>
      </c>
      <c r="I1077" s="7"/>
      <c r="J1077" s="37">
        <v>0</v>
      </c>
      <c r="K1077" s="37">
        <f t="shared" si="121"/>
        <v>0</v>
      </c>
      <c r="L1077" s="37">
        <f t="shared" si="120"/>
        <v>0</v>
      </c>
      <c r="M1077" s="957">
        <v>0</v>
      </c>
    </row>
    <row r="1078" spans="1:13" s="6" customFormat="1" ht="15.75">
      <c r="A1078" s="285">
        <v>198</v>
      </c>
      <c r="B1078" s="329" t="s">
        <v>1034</v>
      </c>
      <c r="C1078" s="391"/>
      <c r="D1078" s="330"/>
      <c r="E1078" s="391"/>
      <c r="F1078" s="8">
        <f t="shared" si="117"/>
        <v>0</v>
      </c>
      <c r="G1078" s="221">
        <f t="shared" si="118"/>
        <v>0</v>
      </c>
      <c r="H1078" s="37">
        <f t="shared" si="119"/>
        <v>0</v>
      </c>
      <c r="I1078" s="7"/>
      <c r="J1078" s="37">
        <v>0</v>
      </c>
      <c r="K1078" s="37">
        <f t="shared" si="121"/>
        <v>0</v>
      </c>
      <c r="L1078" s="37">
        <f t="shared" si="120"/>
        <v>0</v>
      </c>
      <c r="M1078" s="957">
        <v>0</v>
      </c>
    </row>
    <row r="1079" spans="1:13" s="6" customFormat="1" ht="15.75">
      <c r="A1079" s="285">
        <v>199</v>
      </c>
      <c r="B1079" s="329" t="s">
        <v>1035</v>
      </c>
      <c r="C1079" s="391"/>
      <c r="D1079" s="330"/>
      <c r="E1079" s="391"/>
      <c r="F1079" s="8">
        <f t="shared" si="117"/>
        <v>0</v>
      </c>
      <c r="G1079" s="221">
        <f t="shared" si="118"/>
        <v>0</v>
      </c>
      <c r="H1079" s="37">
        <f t="shared" si="119"/>
        <v>0</v>
      </c>
      <c r="I1079" s="7"/>
      <c r="J1079" s="37">
        <v>0</v>
      </c>
      <c r="K1079" s="37">
        <f t="shared" si="121"/>
        <v>0</v>
      </c>
      <c r="L1079" s="37">
        <f t="shared" si="120"/>
        <v>0</v>
      </c>
      <c r="M1079" s="957">
        <v>0</v>
      </c>
    </row>
    <row r="1080" spans="1:13" s="6" customFormat="1" ht="15.75">
      <c r="A1080" s="285">
        <v>200</v>
      </c>
      <c r="B1080" s="329" t="s">
        <v>1036</v>
      </c>
      <c r="C1080" s="391"/>
      <c r="D1080" s="330"/>
      <c r="E1080" s="391"/>
      <c r="F1080" s="8">
        <f t="shared" si="117"/>
        <v>0</v>
      </c>
      <c r="G1080" s="221">
        <f t="shared" si="118"/>
        <v>0</v>
      </c>
      <c r="H1080" s="37">
        <f t="shared" si="119"/>
        <v>0</v>
      </c>
      <c r="I1080" s="7"/>
      <c r="J1080" s="37">
        <v>0</v>
      </c>
      <c r="K1080" s="37">
        <f t="shared" si="121"/>
        <v>0</v>
      </c>
      <c r="L1080" s="37">
        <f t="shared" si="120"/>
        <v>0</v>
      </c>
      <c r="M1080" s="957">
        <v>0</v>
      </c>
    </row>
    <row r="1081" spans="1:13" s="6" customFormat="1" ht="15.75">
      <c r="A1081" s="285">
        <v>201</v>
      </c>
      <c r="B1081" s="329" t="s">
        <v>1037</v>
      </c>
      <c r="C1081" s="391"/>
      <c r="D1081" s="330"/>
      <c r="E1081" s="391"/>
      <c r="F1081" s="8">
        <f t="shared" si="117"/>
        <v>0</v>
      </c>
      <c r="G1081" s="221">
        <f t="shared" si="118"/>
        <v>0</v>
      </c>
      <c r="H1081" s="37">
        <f t="shared" si="119"/>
        <v>0</v>
      </c>
      <c r="I1081" s="7"/>
      <c r="J1081" s="37">
        <v>0</v>
      </c>
      <c r="K1081" s="37">
        <f t="shared" si="121"/>
        <v>0</v>
      </c>
      <c r="L1081" s="37">
        <f t="shared" si="120"/>
        <v>0</v>
      </c>
      <c r="M1081" s="957">
        <v>0</v>
      </c>
    </row>
    <row r="1082" spans="1:13" s="6" customFormat="1" ht="15.75">
      <c r="A1082" s="285">
        <v>202</v>
      </c>
      <c r="B1082" s="329" t="s">
        <v>1038</v>
      </c>
      <c r="C1082" s="391"/>
      <c r="D1082" s="330"/>
      <c r="E1082" s="391"/>
      <c r="F1082" s="8">
        <f t="shared" si="117"/>
        <v>0</v>
      </c>
      <c r="G1082" s="221">
        <f t="shared" si="118"/>
        <v>0</v>
      </c>
      <c r="H1082" s="37">
        <f t="shared" si="119"/>
        <v>0</v>
      </c>
      <c r="I1082" s="7"/>
      <c r="J1082" s="37">
        <v>0</v>
      </c>
      <c r="K1082" s="37">
        <f t="shared" si="121"/>
        <v>0</v>
      </c>
      <c r="L1082" s="37">
        <f t="shared" si="120"/>
        <v>0</v>
      </c>
      <c r="M1082" s="957">
        <v>0</v>
      </c>
    </row>
    <row r="1083" spans="1:13" s="6" customFormat="1" ht="15.75">
      <c r="A1083" s="285">
        <v>203</v>
      </c>
      <c r="B1083" s="329" t="s">
        <v>1039</v>
      </c>
      <c r="C1083" s="391"/>
      <c r="D1083" s="391"/>
      <c r="E1083" s="330"/>
      <c r="F1083" s="8">
        <f t="shared" si="117"/>
        <v>0</v>
      </c>
      <c r="G1083" s="221">
        <f t="shared" si="118"/>
        <v>0</v>
      </c>
      <c r="H1083" s="37">
        <f t="shared" si="119"/>
        <v>0</v>
      </c>
      <c r="I1083" s="7"/>
      <c r="J1083" s="37">
        <v>0</v>
      </c>
      <c r="K1083" s="37">
        <f t="shared" si="121"/>
        <v>0</v>
      </c>
      <c r="L1083" s="37">
        <f t="shared" si="120"/>
        <v>0</v>
      </c>
      <c r="M1083" s="957">
        <v>0</v>
      </c>
    </row>
    <row r="1084" spans="1:13" s="6" customFormat="1" ht="15.75">
      <c r="A1084" s="285">
        <v>204</v>
      </c>
      <c r="B1084" s="329" t="s">
        <v>1040</v>
      </c>
      <c r="C1084" s="391"/>
      <c r="D1084" s="391"/>
      <c r="E1084" s="330"/>
      <c r="F1084" s="8">
        <f t="shared" si="117"/>
        <v>0</v>
      </c>
      <c r="G1084" s="221">
        <f t="shared" si="118"/>
        <v>0</v>
      </c>
      <c r="H1084" s="37">
        <f t="shared" si="119"/>
        <v>0</v>
      </c>
      <c r="I1084" s="7"/>
      <c r="J1084" s="37">
        <v>0</v>
      </c>
      <c r="K1084" s="37">
        <f t="shared" si="121"/>
        <v>0</v>
      </c>
      <c r="L1084" s="37">
        <f t="shared" si="120"/>
        <v>0</v>
      </c>
      <c r="M1084" s="957">
        <v>0</v>
      </c>
    </row>
    <row r="1085" spans="1:13" s="6" customFormat="1" ht="15.75">
      <c r="A1085" s="285">
        <v>205</v>
      </c>
      <c r="B1085" s="329" t="s">
        <v>1041</v>
      </c>
      <c r="C1085" s="391"/>
      <c r="D1085" s="330"/>
      <c r="E1085" s="391"/>
      <c r="F1085" s="8">
        <f t="shared" si="117"/>
        <v>0</v>
      </c>
      <c r="G1085" s="221">
        <f t="shared" si="118"/>
        <v>0</v>
      </c>
      <c r="H1085" s="37">
        <f t="shared" si="119"/>
        <v>0</v>
      </c>
      <c r="I1085" s="7"/>
      <c r="J1085" s="37">
        <v>0</v>
      </c>
      <c r="K1085" s="37">
        <f t="shared" si="121"/>
        <v>0</v>
      </c>
      <c r="L1085" s="37">
        <f t="shared" si="120"/>
        <v>0</v>
      </c>
      <c r="M1085" s="957">
        <v>0</v>
      </c>
    </row>
    <row r="1086" spans="1:13" s="6" customFormat="1" ht="15.75">
      <c r="A1086" s="285">
        <v>206</v>
      </c>
      <c r="B1086" s="329" t="s">
        <v>1042</v>
      </c>
      <c r="C1086" s="391"/>
      <c r="D1086" s="330"/>
      <c r="E1086" s="391"/>
      <c r="F1086" s="8">
        <f t="shared" si="117"/>
        <v>0</v>
      </c>
      <c r="G1086" s="221">
        <f t="shared" si="118"/>
        <v>0</v>
      </c>
      <c r="H1086" s="37">
        <f t="shared" si="119"/>
        <v>0</v>
      </c>
      <c r="I1086" s="7"/>
      <c r="J1086" s="37">
        <v>0</v>
      </c>
      <c r="K1086" s="37">
        <f t="shared" si="121"/>
        <v>0</v>
      </c>
      <c r="L1086" s="37">
        <f t="shared" si="120"/>
        <v>0</v>
      </c>
      <c r="M1086" s="957">
        <v>0</v>
      </c>
    </row>
    <row r="1087" spans="1:13" s="6" customFormat="1" ht="15.75">
      <c r="A1087" s="285">
        <v>207</v>
      </c>
      <c r="B1087" s="329" t="s">
        <v>1043</v>
      </c>
      <c r="C1087" s="391"/>
      <c r="D1087" s="330"/>
      <c r="E1087" s="391"/>
      <c r="F1087" s="8">
        <f t="shared" si="117"/>
        <v>0</v>
      </c>
      <c r="G1087" s="221">
        <f t="shared" si="118"/>
        <v>0</v>
      </c>
      <c r="H1087" s="37">
        <f t="shared" si="119"/>
        <v>0</v>
      </c>
      <c r="I1087" s="7"/>
      <c r="J1087" s="37">
        <v>0</v>
      </c>
      <c r="K1087" s="37">
        <f t="shared" si="121"/>
        <v>0</v>
      </c>
      <c r="L1087" s="37">
        <f t="shared" si="120"/>
        <v>0</v>
      </c>
      <c r="M1087" s="957">
        <v>0</v>
      </c>
    </row>
    <row r="1088" spans="1:13" s="6" customFormat="1" ht="15.75">
      <c r="A1088" s="285">
        <v>208</v>
      </c>
      <c r="B1088" s="329" t="s">
        <v>1044</v>
      </c>
      <c r="C1088" s="391"/>
      <c r="D1088" s="330"/>
      <c r="E1088" s="391"/>
      <c r="F1088" s="8">
        <f t="shared" si="117"/>
        <v>0</v>
      </c>
      <c r="G1088" s="221">
        <f t="shared" si="118"/>
        <v>0</v>
      </c>
      <c r="H1088" s="37">
        <f t="shared" si="119"/>
        <v>0</v>
      </c>
      <c r="I1088" s="7"/>
      <c r="J1088" s="37">
        <v>0</v>
      </c>
      <c r="K1088" s="37">
        <f t="shared" si="121"/>
        <v>0</v>
      </c>
      <c r="L1088" s="37">
        <f t="shared" si="120"/>
        <v>0</v>
      </c>
      <c r="M1088" s="957">
        <v>0</v>
      </c>
    </row>
    <row r="1089" spans="1:13" s="6" customFormat="1" ht="15.75">
      <c r="A1089" s="285">
        <v>209</v>
      </c>
      <c r="B1089" s="329" t="s">
        <v>1045</v>
      </c>
      <c r="C1089" s="391"/>
      <c r="D1089" s="330"/>
      <c r="E1089" s="391"/>
      <c r="F1089" s="8">
        <f t="shared" si="117"/>
        <v>0</v>
      </c>
      <c r="G1089" s="221">
        <f t="shared" si="118"/>
        <v>0</v>
      </c>
      <c r="H1089" s="37">
        <f t="shared" si="119"/>
        <v>0</v>
      </c>
      <c r="I1089" s="7"/>
      <c r="J1089" s="37">
        <v>0</v>
      </c>
      <c r="K1089" s="37">
        <f t="shared" si="121"/>
        <v>0</v>
      </c>
      <c r="L1089" s="37">
        <f t="shared" si="120"/>
        <v>0</v>
      </c>
      <c r="M1089" s="957">
        <v>0</v>
      </c>
    </row>
    <row r="1090" spans="1:13" s="6" customFormat="1" ht="15.75">
      <c r="A1090" s="285">
        <v>210</v>
      </c>
      <c r="B1090" s="329" t="s">
        <v>1046</v>
      </c>
      <c r="C1090" s="391"/>
      <c r="D1090" s="330"/>
      <c r="E1090" s="391"/>
      <c r="F1090" s="8">
        <f t="shared" si="117"/>
        <v>0</v>
      </c>
      <c r="G1090" s="221">
        <f t="shared" si="118"/>
        <v>0</v>
      </c>
      <c r="H1090" s="37">
        <f t="shared" si="119"/>
        <v>0</v>
      </c>
      <c r="I1090" s="7"/>
      <c r="J1090" s="37">
        <v>0</v>
      </c>
      <c r="K1090" s="37">
        <f t="shared" si="121"/>
        <v>0</v>
      </c>
      <c r="L1090" s="37">
        <f t="shared" si="120"/>
        <v>0</v>
      </c>
      <c r="M1090" s="957">
        <v>0</v>
      </c>
    </row>
    <row r="1091" spans="1:13" s="6" customFormat="1" ht="15.75">
      <c r="A1091" s="285">
        <v>211</v>
      </c>
      <c r="B1091" s="329" t="s">
        <v>1047</v>
      </c>
      <c r="C1091" s="391"/>
      <c r="D1091" s="330"/>
      <c r="E1091" s="391"/>
      <c r="F1091" s="8">
        <f t="shared" si="117"/>
        <v>0</v>
      </c>
      <c r="G1091" s="221">
        <f t="shared" si="118"/>
        <v>0</v>
      </c>
      <c r="H1091" s="37">
        <f t="shared" si="119"/>
        <v>0</v>
      </c>
      <c r="I1091" s="7"/>
      <c r="J1091" s="37">
        <v>0</v>
      </c>
      <c r="K1091" s="37">
        <f t="shared" si="121"/>
        <v>0</v>
      </c>
      <c r="L1091" s="37">
        <f t="shared" si="120"/>
        <v>0</v>
      </c>
      <c r="M1091" s="957">
        <v>0</v>
      </c>
    </row>
    <row r="1092" spans="1:13" s="6" customFormat="1" ht="15.75">
      <c r="A1092" s="285">
        <v>212</v>
      </c>
      <c r="B1092" s="329" t="s">
        <v>1048</v>
      </c>
      <c r="C1092" s="391"/>
      <c r="D1092" s="330"/>
      <c r="E1092" s="391"/>
      <c r="F1092" s="8">
        <f t="shared" si="117"/>
        <v>0</v>
      </c>
      <c r="G1092" s="221">
        <f t="shared" si="118"/>
        <v>0</v>
      </c>
      <c r="H1092" s="37">
        <f t="shared" si="119"/>
        <v>0</v>
      </c>
      <c r="I1092" s="7"/>
      <c r="J1092" s="37">
        <v>0</v>
      </c>
      <c r="K1092" s="37">
        <f t="shared" si="121"/>
        <v>0</v>
      </c>
      <c r="L1092" s="37">
        <f t="shared" si="120"/>
        <v>0</v>
      </c>
      <c r="M1092" s="957">
        <v>0</v>
      </c>
    </row>
    <row r="1093" spans="1:13" s="6" customFormat="1" ht="15.75">
      <c r="A1093" s="285">
        <v>213</v>
      </c>
      <c r="B1093" s="329" t="s">
        <v>1049</v>
      </c>
      <c r="C1093" s="391"/>
      <c r="D1093" s="330"/>
      <c r="E1093" s="391"/>
      <c r="F1093" s="8">
        <f t="shared" si="117"/>
        <v>0</v>
      </c>
      <c r="G1093" s="221">
        <f t="shared" si="118"/>
        <v>0</v>
      </c>
      <c r="H1093" s="37">
        <f t="shared" si="119"/>
        <v>0</v>
      </c>
      <c r="I1093" s="7"/>
      <c r="J1093" s="37">
        <v>0</v>
      </c>
      <c r="K1093" s="37">
        <f t="shared" si="121"/>
        <v>0</v>
      </c>
      <c r="L1093" s="37">
        <f t="shared" si="120"/>
        <v>0</v>
      </c>
      <c r="M1093" s="957">
        <v>0</v>
      </c>
    </row>
    <row r="1094" spans="1:13" s="6" customFormat="1" ht="15.75">
      <c r="A1094" s="285">
        <v>214</v>
      </c>
      <c r="B1094" s="329" t="s">
        <v>1050</v>
      </c>
      <c r="C1094" s="391"/>
      <c r="D1094" s="330"/>
      <c r="E1094" s="391"/>
      <c r="F1094" s="8">
        <f t="shared" si="117"/>
        <v>0</v>
      </c>
      <c r="G1094" s="221">
        <f t="shared" si="118"/>
        <v>0</v>
      </c>
      <c r="H1094" s="37">
        <f t="shared" si="119"/>
        <v>0</v>
      </c>
      <c r="I1094" s="7"/>
      <c r="J1094" s="37">
        <v>0</v>
      </c>
      <c r="K1094" s="37">
        <f t="shared" si="121"/>
        <v>0</v>
      </c>
      <c r="L1094" s="37">
        <f t="shared" si="120"/>
        <v>0</v>
      </c>
      <c r="M1094" s="957">
        <v>0</v>
      </c>
    </row>
    <row r="1095" spans="1:13" s="6" customFormat="1" ht="15.75">
      <c r="A1095" s="285">
        <v>215</v>
      </c>
      <c r="B1095" s="329" t="s">
        <v>1051</v>
      </c>
      <c r="C1095" s="391"/>
      <c r="D1095" s="330"/>
      <c r="E1095" s="391"/>
      <c r="F1095" s="8">
        <f t="shared" si="117"/>
        <v>0</v>
      </c>
      <c r="G1095" s="221">
        <f t="shared" si="118"/>
        <v>0</v>
      </c>
      <c r="H1095" s="37">
        <f t="shared" si="119"/>
        <v>0</v>
      </c>
      <c r="I1095" s="7"/>
      <c r="J1095" s="37">
        <v>0</v>
      </c>
      <c r="K1095" s="37">
        <f t="shared" si="121"/>
        <v>0</v>
      </c>
      <c r="L1095" s="37">
        <f t="shared" si="120"/>
        <v>0</v>
      </c>
      <c r="M1095" s="957">
        <v>0</v>
      </c>
    </row>
    <row r="1096" spans="1:13" s="6" customFormat="1" ht="15.75">
      <c r="A1096" s="285">
        <v>216</v>
      </c>
      <c r="B1096" s="329" t="s">
        <v>1052</v>
      </c>
      <c r="C1096" s="391"/>
      <c r="D1096" s="330"/>
      <c r="E1096" s="391"/>
      <c r="F1096" s="8">
        <f t="shared" si="117"/>
        <v>0</v>
      </c>
      <c r="G1096" s="221">
        <f t="shared" si="118"/>
        <v>0</v>
      </c>
      <c r="H1096" s="37">
        <f t="shared" si="119"/>
        <v>0</v>
      </c>
      <c r="I1096" s="7"/>
      <c r="J1096" s="37">
        <v>0</v>
      </c>
      <c r="K1096" s="37">
        <f t="shared" si="121"/>
        <v>0</v>
      </c>
      <c r="L1096" s="37">
        <f t="shared" si="120"/>
        <v>0</v>
      </c>
      <c r="M1096" s="957">
        <v>0</v>
      </c>
    </row>
    <row r="1097" spans="1:13" s="6" customFormat="1" ht="15.75">
      <c r="A1097" s="285">
        <v>217</v>
      </c>
      <c r="B1097" s="329" t="s">
        <v>1053</v>
      </c>
      <c r="C1097" s="391"/>
      <c r="D1097" s="330"/>
      <c r="E1097" s="391"/>
      <c r="F1097" s="8">
        <f t="shared" si="117"/>
        <v>0</v>
      </c>
      <c r="G1097" s="221">
        <f t="shared" si="118"/>
        <v>0</v>
      </c>
      <c r="H1097" s="37">
        <f t="shared" si="119"/>
        <v>0</v>
      </c>
      <c r="I1097" s="7"/>
      <c r="J1097" s="37">
        <v>0</v>
      </c>
      <c r="K1097" s="37">
        <f t="shared" si="121"/>
        <v>0</v>
      </c>
      <c r="L1097" s="37">
        <f t="shared" si="120"/>
        <v>0</v>
      </c>
      <c r="M1097" s="957">
        <v>0</v>
      </c>
    </row>
    <row r="1098" spans="1:13" s="6" customFormat="1" ht="15.75">
      <c r="A1098" s="285">
        <v>218</v>
      </c>
      <c r="B1098" s="329" t="s">
        <v>1054</v>
      </c>
      <c r="C1098" s="391"/>
      <c r="D1098" s="330"/>
      <c r="E1098" s="391"/>
      <c r="F1098" s="8">
        <f t="shared" si="117"/>
        <v>0</v>
      </c>
      <c r="G1098" s="221">
        <f t="shared" si="118"/>
        <v>0</v>
      </c>
      <c r="H1098" s="37">
        <f t="shared" si="119"/>
        <v>0</v>
      </c>
      <c r="I1098" s="7"/>
      <c r="J1098" s="37">
        <v>0</v>
      </c>
      <c r="K1098" s="37">
        <f t="shared" si="121"/>
        <v>0</v>
      </c>
      <c r="L1098" s="37">
        <f t="shared" si="120"/>
        <v>0</v>
      </c>
      <c r="M1098" s="957">
        <v>0</v>
      </c>
    </row>
    <row r="1099" spans="1:13" s="6" customFormat="1" ht="15.75">
      <c r="A1099" s="285">
        <v>219</v>
      </c>
      <c r="B1099" s="329" t="s">
        <v>1055</v>
      </c>
      <c r="C1099" s="391"/>
      <c r="D1099" s="330"/>
      <c r="E1099" s="391"/>
      <c r="F1099" s="8">
        <f t="shared" si="117"/>
        <v>0</v>
      </c>
      <c r="G1099" s="221">
        <f t="shared" si="118"/>
        <v>0</v>
      </c>
      <c r="H1099" s="37">
        <f t="shared" si="119"/>
        <v>0</v>
      </c>
      <c r="I1099" s="7"/>
      <c r="J1099" s="37">
        <v>0</v>
      </c>
      <c r="K1099" s="37">
        <f t="shared" si="121"/>
        <v>0</v>
      </c>
      <c r="L1099" s="37">
        <f t="shared" si="120"/>
        <v>0</v>
      </c>
      <c r="M1099" s="957">
        <v>0</v>
      </c>
    </row>
    <row r="1100" spans="1:13" s="6" customFormat="1" ht="15.75">
      <c r="A1100" s="285">
        <v>220</v>
      </c>
      <c r="B1100" s="329" t="s">
        <v>1056</v>
      </c>
      <c r="C1100" s="391"/>
      <c r="D1100" s="330"/>
      <c r="E1100" s="391"/>
      <c r="F1100" s="8">
        <f t="shared" si="117"/>
        <v>0</v>
      </c>
      <c r="G1100" s="221">
        <f t="shared" si="118"/>
        <v>0</v>
      </c>
      <c r="H1100" s="37">
        <f t="shared" si="119"/>
        <v>0</v>
      </c>
      <c r="I1100" s="7"/>
      <c r="J1100" s="37">
        <v>0</v>
      </c>
      <c r="K1100" s="37">
        <f t="shared" si="121"/>
        <v>0</v>
      </c>
      <c r="L1100" s="37">
        <f t="shared" si="120"/>
        <v>0</v>
      </c>
      <c r="M1100" s="957">
        <v>0</v>
      </c>
    </row>
    <row r="1101" spans="1:13" s="6" customFormat="1" ht="15.75">
      <c r="A1101" s="285">
        <v>221</v>
      </c>
      <c r="B1101" s="329" t="s">
        <v>1057</v>
      </c>
      <c r="C1101" s="391"/>
      <c r="D1101" s="330"/>
      <c r="E1101" s="391"/>
      <c r="F1101" s="8">
        <f t="shared" si="117"/>
        <v>0</v>
      </c>
      <c r="G1101" s="221">
        <f t="shared" si="118"/>
        <v>0</v>
      </c>
      <c r="H1101" s="37">
        <f t="shared" si="119"/>
        <v>0</v>
      </c>
      <c r="I1101" s="7"/>
      <c r="J1101" s="37">
        <v>0</v>
      </c>
      <c r="K1101" s="37">
        <f t="shared" si="121"/>
        <v>0</v>
      </c>
      <c r="L1101" s="37">
        <f t="shared" si="120"/>
        <v>0</v>
      </c>
      <c r="M1101" s="957">
        <v>0</v>
      </c>
    </row>
    <row r="1102" spans="1:13" s="6" customFormat="1" ht="15.75">
      <c r="A1102" s="285">
        <v>222</v>
      </c>
      <c r="B1102" s="329" t="s">
        <v>1058</v>
      </c>
      <c r="C1102" s="391"/>
      <c r="D1102" s="330"/>
      <c r="E1102" s="391"/>
      <c r="F1102" s="8">
        <f t="shared" si="117"/>
        <v>0</v>
      </c>
      <c r="G1102" s="221">
        <f t="shared" si="118"/>
        <v>0</v>
      </c>
      <c r="H1102" s="37">
        <f t="shared" si="119"/>
        <v>0</v>
      </c>
      <c r="I1102" s="7"/>
      <c r="J1102" s="37">
        <v>0</v>
      </c>
      <c r="K1102" s="37">
        <f t="shared" si="121"/>
        <v>0</v>
      </c>
      <c r="L1102" s="37">
        <f t="shared" si="120"/>
        <v>0</v>
      </c>
      <c r="M1102" s="957">
        <v>0</v>
      </c>
    </row>
    <row r="1103" spans="1:13" s="6" customFormat="1" ht="15.75">
      <c r="A1103" s="285">
        <v>223</v>
      </c>
      <c r="B1103" s="329" t="s">
        <v>1059</v>
      </c>
      <c r="C1103" s="391"/>
      <c r="D1103" s="330"/>
      <c r="E1103" s="391"/>
      <c r="F1103" s="8">
        <f t="shared" si="117"/>
        <v>0</v>
      </c>
      <c r="G1103" s="221">
        <f t="shared" si="118"/>
        <v>0</v>
      </c>
      <c r="H1103" s="37">
        <f t="shared" si="119"/>
        <v>0</v>
      </c>
      <c r="I1103" s="7"/>
      <c r="J1103" s="37">
        <v>0</v>
      </c>
      <c r="K1103" s="37">
        <f t="shared" si="121"/>
        <v>0</v>
      </c>
      <c r="L1103" s="37">
        <f t="shared" si="120"/>
        <v>0</v>
      </c>
      <c r="M1103" s="957">
        <v>0</v>
      </c>
    </row>
    <row r="1104" spans="1:13" s="6" customFormat="1" ht="15.75">
      <c r="A1104" s="285">
        <v>224</v>
      </c>
      <c r="B1104" s="329" t="s">
        <v>1060</v>
      </c>
      <c r="C1104" s="391"/>
      <c r="D1104" s="330"/>
      <c r="E1104" s="391"/>
      <c r="F1104" s="8">
        <f t="shared" si="117"/>
        <v>0</v>
      </c>
      <c r="G1104" s="221">
        <f t="shared" si="118"/>
        <v>0</v>
      </c>
      <c r="H1104" s="37">
        <f t="shared" si="119"/>
        <v>0</v>
      </c>
      <c r="I1104" s="7"/>
      <c r="J1104" s="37">
        <v>0</v>
      </c>
      <c r="K1104" s="37">
        <f t="shared" si="121"/>
        <v>0</v>
      </c>
      <c r="L1104" s="37">
        <f t="shared" si="120"/>
        <v>0</v>
      </c>
      <c r="M1104" s="957">
        <v>0</v>
      </c>
    </row>
    <row r="1105" spans="1:13" s="6" customFormat="1" ht="15.75">
      <c r="A1105" s="285">
        <v>225</v>
      </c>
      <c r="B1105" s="329" t="s">
        <v>1061</v>
      </c>
      <c r="C1105" s="391"/>
      <c r="D1105" s="330"/>
      <c r="E1105" s="391"/>
      <c r="F1105" s="8">
        <f t="shared" si="117"/>
        <v>0</v>
      </c>
      <c r="G1105" s="221">
        <f t="shared" si="118"/>
        <v>0</v>
      </c>
      <c r="H1105" s="37">
        <f t="shared" si="119"/>
        <v>0</v>
      </c>
      <c r="I1105" s="7"/>
      <c r="J1105" s="37">
        <v>0</v>
      </c>
      <c r="K1105" s="37">
        <f t="shared" si="121"/>
        <v>0</v>
      </c>
      <c r="L1105" s="37">
        <f t="shared" si="120"/>
        <v>0</v>
      </c>
      <c r="M1105" s="957">
        <v>0</v>
      </c>
    </row>
    <row r="1106" spans="1:13" s="6" customFormat="1" ht="15.75">
      <c r="A1106" s="285">
        <v>226</v>
      </c>
      <c r="B1106" s="329" t="s">
        <v>1062</v>
      </c>
      <c r="C1106" s="391"/>
      <c r="D1106" s="330"/>
      <c r="E1106" s="391"/>
      <c r="F1106" s="8">
        <f t="shared" si="117"/>
        <v>0</v>
      </c>
      <c r="G1106" s="221">
        <f t="shared" si="118"/>
        <v>0</v>
      </c>
      <c r="H1106" s="37">
        <f t="shared" si="119"/>
        <v>0</v>
      </c>
      <c r="I1106" s="7"/>
      <c r="J1106" s="37">
        <v>0</v>
      </c>
      <c r="K1106" s="37">
        <f t="shared" si="121"/>
        <v>0</v>
      </c>
      <c r="L1106" s="37">
        <f t="shared" si="120"/>
        <v>0</v>
      </c>
      <c r="M1106" s="957">
        <v>0</v>
      </c>
    </row>
    <row r="1107" spans="1:13" s="6" customFormat="1" ht="15.75">
      <c r="A1107" s="285">
        <v>227</v>
      </c>
      <c r="B1107" s="329" t="s">
        <v>1063</v>
      </c>
      <c r="C1107" s="391"/>
      <c r="D1107" s="330"/>
      <c r="E1107" s="391"/>
      <c r="F1107" s="8">
        <f t="shared" si="117"/>
        <v>0</v>
      </c>
      <c r="G1107" s="221">
        <f t="shared" si="118"/>
        <v>0</v>
      </c>
      <c r="H1107" s="37">
        <f t="shared" si="119"/>
        <v>0</v>
      </c>
      <c r="I1107" s="7"/>
      <c r="J1107" s="37">
        <v>0</v>
      </c>
      <c r="K1107" s="37">
        <f t="shared" si="121"/>
        <v>0</v>
      </c>
      <c r="L1107" s="37">
        <f t="shared" si="120"/>
        <v>0</v>
      </c>
      <c r="M1107" s="957">
        <v>0</v>
      </c>
    </row>
    <row r="1108" spans="1:13" s="6" customFormat="1" ht="15.75">
      <c r="A1108" s="285">
        <v>228</v>
      </c>
      <c r="B1108" s="329" t="s">
        <v>1064</v>
      </c>
      <c r="C1108" s="391"/>
      <c r="D1108" s="330"/>
      <c r="E1108" s="391"/>
      <c r="F1108" s="8">
        <f t="shared" si="117"/>
        <v>0</v>
      </c>
      <c r="G1108" s="221">
        <f t="shared" si="118"/>
        <v>0</v>
      </c>
      <c r="H1108" s="37">
        <f t="shared" si="119"/>
        <v>0</v>
      </c>
      <c r="I1108" s="7"/>
      <c r="J1108" s="37">
        <v>0</v>
      </c>
      <c r="K1108" s="37">
        <f t="shared" si="121"/>
        <v>0</v>
      </c>
      <c r="L1108" s="37">
        <f t="shared" si="120"/>
        <v>0</v>
      </c>
      <c r="M1108" s="957">
        <v>0</v>
      </c>
    </row>
    <row r="1109" spans="1:13" s="6" customFormat="1" ht="15.75">
      <c r="A1109" s="285">
        <v>229</v>
      </c>
      <c r="B1109" s="329" t="s">
        <v>1065</v>
      </c>
      <c r="C1109" s="546"/>
      <c r="D1109" s="330"/>
      <c r="E1109" s="391"/>
      <c r="F1109" s="8">
        <f t="shared" si="117"/>
        <v>0</v>
      </c>
      <c r="G1109" s="221">
        <f t="shared" si="118"/>
        <v>0</v>
      </c>
      <c r="H1109" s="37">
        <f t="shared" si="119"/>
        <v>0</v>
      </c>
      <c r="I1109" s="7"/>
      <c r="J1109" s="37">
        <v>0</v>
      </c>
      <c r="K1109" s="37">
        <f t="shared" si="121"/>
        <v>0</v>
      </c>
      <c r="L1109" s="37">
        <f t="shared" si="120"/>
        <v>0</v>
      </c>
      <c r="M1109" s="957">
        <v>0</v>
      </c>
    </row>
    <row r="1110" spans="1:13" s="6" customFormat="1" ht="15.75">
      <c r="A1110" s="285">
        <v>230</v>
      </c>
      <c r="B1110" s="329" t="s">
        <v>1066</v>
      </c>
      <c r="C1110" s="391"/>
      <c r="D1110" s="330"/>
      <c r="E1110" s="391"/>
      <c r="F1110" s="8">
        <f t="shared" si="117"/>
        <v>0</v>
      </c>
      <c r="G1110" s="221">
        <f t="shared" si="118"/>
        <v>0</v>
      </c>
      <c r="H1110" s="37">
        <f t="shared" si="119"/>
        <v>0</v>
      </c>
      <c r="I1110" s="7"/>
      <c r="J1110" s="37">
        <v>0</v>
      </c>
      <c r="K1110" s="37">
        <f t="shared" si="121"/>
        <v>0</v>
      </c>
      <c r="L1110" s="37">
        <f t="shared" si="120"/>
        <v>0</v>
      </c>
      <c r="M1110" s="957">
        <v>0</v>
      </c>
    </row>
    <row r="1111" spans="1:13" s="6" customFormat="1" ht="15.75">
      <c r="A1111" s="285">
        <v>231</v>
      </c>
      <c r="B1111" s="329" t="s">
        <v>1067</v>
      </c>
      <c r="C1111" s="391"/>
      <c r="D1111" s="330"/>
      <c r="E1111" s="391"/>
      <c r="F1111" s="8">
        <f t="shared" si="117"/>
        <v>0</v>
      </c>
      <c r="G1111" s="221">
        <f t="shared" si="118"/>
        <v>0</v>
      </c>
      <c r="H1111" s="37">
        <f t="shared" si="119"/>
        <v>0</v>
      </c>
      <c r="I1111" s="7"/>
      <c r="J1111" s="37">
        <v>0</v>
      </c>
      <c r="K1111" s="37">
        <f t="shared" si="121"/>
        <v>0</v>
      </c>
      <c r="L1111" s="37">
        <f t="shared" si="120"/>
        <v>0</v>
      </c>
      <c r="M1111" s="957">
        <v>0</v>
      </c>
    </row>
    <row r="1112" spans="1:13" s="6" customFormat="1" ht="15.75">
      <c r="A1112" s="285">
        <v>232</v>
      </c>
      <c r="B1112" s="329" t="s">
        <v>1068</v>
      </c>
      <c r="C1112" s="391"/>
      <c r="D1112" s="330"/>
      <c r="E1112" s="391"/>
      <c r="F1112" s="8">
        <f t="shared" si="117"/>
        <v>0</v>
      </c>
      <c r="G1112" s="221">
        <f t="shared" si="118"/>
        <v>0</v>
      </c>
      <c r="H1112" s="37">
        <f t="shared" si="119"/>
        <v>0</v>
      </c>
      <c r="I1112" s="7"/>
      <c r="J1112" s="37">
        <v>0</v>
      </c>
      <c r="K1112" s="37">
        <f t="shared" si="121"/>
        <v>0</v>
      </c>
      <c r="L1112" s="37">
        <f t="shared" si="120"/>
        <v>0</v>
      </c>
      <c r="M1112" s="957">
        <v>0</v>
      </c>
    </row>
    <row r="1113" spans="1:13" s="6" customFormat="1" ht="15.75">
      <c r="A1113" s="285">
        <v>233</v>
      </c>
      <c r="B1113" s="329" t="s">
        <v>1069</v>
      </c>
      <c r="C1113" s="391"/>
      <c r="D1113" s="330"/>
      <c r="E1113" s="391"/>
      <c r="F1113" s="8">
        <f t="shared" si="117"/>
        <v>0</v>
      </c>
      <c r="G1113" s="221">
        <f t="shared" si="118"/>
        <v>0</v>
      </c>
      <c r="H1113" s="37">
        <f t="shared" si="119"/>
        <v>0</v>
      </c>
      <c r="I1113" s="7"/>
      <c r="J1113" s="37">
        <v>0</v>
      </c>
      <c r="K1113" s="37">
        <f t="shared" si="121"/>
        <v>0</v>
      </c>
      <c r="L1113" s="37">
        <f t="shared" si="120"/>
        <v>0</v>
      </c>
      <c r="M1113" s="957">
        <v>0</v>
      </c>
    </row>
    <row r="1114" spans="1:13" s="6" customFormat="1" ht="15.75">
      <c r="A1114" s="285">
        <v>234</v>
      </c>
      <c r="B1114" s="329" t="s">
        <v>1070</v>
      </c>
      <c r="C1114" s="391"/>
      <c r="D1114" s="330"/>
      <c r="E1114" s="391"/>
      <c r="F1114" s="8">
        <f t="shared" si="117"/>
        <v>0</v>
      </c>
      <c r="G1114" s="221">
        <f t="shared" si="118"/>
        <v>0</v>
      </c>
      <c r="H1114" s="37">
        <f t="shared" si="119"/>
        <v>0</v>
      </c>
      <c r="I1114" s="7"/>
      <c r="J1114" s="37">
        <v>0</v>
      </c>
      <c r="K1114" s="37">
        <f t="shared" si="121"/>
        <v>0</v>
      </c>
      <c r="L1114" s="37">
        <f t="shared" si="120"/>
        <v>0</v>
      </c>
      <c r="M1114" s="957">
        <v>0</v>
      </c>
    </row>
    <row r="1115" spans="1:13" s="6" customFormat="1" ht="15.75">
      <c r="A1115" s="285">
        <v>235</v>
      </c>
      <c r="B1115" s="329" t="s">
        <v>1071</v>
      </c>
      <c r="C1115" s="391"/>
      <c r="D1115" s="330"/>
      <c r="E1115" s="391"/>
      <c r="F1115" s="8">
        <f t="shared" si="117"/>
        <v>0</v>
      </c>
      <c r="G1115" s="221">
        <f t="shared" si="118"/>
        <v>0</v>
      </c>
      <c r="H1115" s="37">
        <f t="shared" si="119"/>
        <v>0</v>
      </c>
      <c r="I1115" s="7"/>
      <c r="J1115" s="37">
        <v>0</v>
      </c>
      <c r="K1115" s="37">
        <f t="shared" si="121"/>
        <v>0</v>
      </c>
      <c r="L1115" s="37">
        <f t="shared" si="120"/>
        <v>0</v>
      </c>
      <c r="M1115" s="957">
        <v>0</v>
      </c>
    </row>
    <row r="1116" spans="1:13" s="6" customFormat="1" ht="15.75">
      <c r="A1116" s="285">
        <v>236</v>
      </c>
      <c r="B1116" s="329" t="s">
        <v>1072</v>
      </c>
      <c r="C1116" s="391"/>
      <c r="D1116" s="330"/>
      <c r="E1116" s="391"/>
      <c r="F1116" s="8">
        <f t="shared" si="117"/>
        <v>0</v>
      </c>
      <c r="G1116" s="221">
        <f t="shared" si="118"/>
        <v>0</v>
      </c>
      <c r="H1116" s="37">
        <f t="shared" si="119"/>
        <v>0</v>
      </c>
      <c r="I1116" s="7"/>
      <c r="J1116" s="37">
        <v>0</v>
      </c>
      <c r="K1116" s="37">
        <f t="shared" si="121"/>
        <v>0</v>
      </c>
      <c r="L1116" s="37">
        <f t="shared" si="120"/>
        <v>0</v>
      </c>
      <c r="M1116" s="957">
        <v>0</v>
      </c>
    </row>
    <row r="1117" spans="1:13" s="6" customFormat="1" ht="15.75">
      <c r="A1117" s="285">
        <v>237</v>
      </c>
      <c r="B1117" s="329" t="s">
        <v>1073</v>
      </c>
      <c r="C1117" s="391"/>
      <c r="D1117" s="330"/>
      <c r="E1117" s="391"/>
      <c r="F1117" s="8">
        <f t="shared" si="117"/>
        <v>0</v>
      </c>
      <c r="G1117" s="221">
        <f t="shared" si="118"/>
        <v>0</v>
      </c>
      <c r="H1117" s="37">
        <f t="shared" si="119"/>
        <v>0</v>
      </c>
      <c r="I1117" s="7"/>
      <c r="J1117" s="37">
        <v>0</v>
      </c>
      <c r="K1117" s="37">
        <f t="shared" si="121"/>
        <v>0</v>
      </c>
      <c r="L1117" s="37">
        <f t="shared" si="120"/>
        <v>0</v>
      </c>
      <c r="M1117" s="957">
        <v>0</v>
      </c>
    </row>
    <row r="1118" spans="1:13" s="6" customFormat="1" ht="15.75">
      <c r="A1118" s="285">
        <v>238</v>
      </c>
      <c r="B1118" s="329" t="s">
        <v>1074</v>
      </c>
      <c r="C1118" s="391"/>
      <c r="D1118" s="330"/>
      <c r="E1118" s="391"/>
      <c r="F1118" s="8">
        <f t="shared" si="117"/>
        <v>0</v>
      </c>
      <c r="G1118" s="221">
        <f t="shared" si="118"/>
        <v>0</v>
      </c>
      <c r="H1118" s="37">
        <f t="shared" si="119"/>
        <v>0</v>
      </c>
      <c r="I1118" s="7"/>
      <c r="J1118" s="37">
        <v>0</v>
      </c>
      <c r="K1118" s="37">
        <f t="shared" si="121"/>
        <v>0</v>
      </c>
      <c r="L1118" s="37">
        <f t="shared" si="120"/>
        <v>0</v>
      </c>
      <c r="M1118" s="957">
        <v>0</v>
      </c>
    </row>
    <row r="1119" spans="1:13" s="6" customFormat="1" ht="15.75">
      <c r="A1119" s="285">
        <v>239</v>
      </c>
      <c r="B1119" s="329" t="s">
        <v>1075</v>
      </c>
      <c r="C1119" s="391"/>
      <c r="D1119" s="330"/>
      <c r="E1119" s="391"/>
      <c r="F1119" s="8">
        <f t="shared" si="117"/>
        <v>0</v>
      </c>
      <c r="G1119" s="221">
        <f t="shared" si="118"/>
        <v>0</v>
      </c>
      <c r="H1119" s="37">
        <f t="shared" si="119"/>
        <v>0</v>
      </c>
      <c r="I1119" s="7"/>
      <c r="J1119" s="37">
        <v>0</v>
      </c>
      <c r="K1119" s="37">
        <f t="shared" si="121"/>
        <v>0</v>
      </c>
      <c r="L1119" s="37">
        <f t="shared" si="120"/>
        <v>0</v>
      </c>
      <c r="M1119" s="957">
        <v>0</v>
      </c>
    </row>
    <row r="1120" spans="1:13" s="6" customFormat="1" ht="15.75">
      <c r="A1120" s="285">
        <v>240</v>
      </c>
      <c r="B1120" s="329" t="s">
        <v>1076</v>
      </c>
      <c r="C1120" s="391"/>
      <c r="D1120" s="330"/>
      <c r="E1120" s="391"/>
      <c r="F1120" s="8">
        <f t="shared" si="117"/>
        <v>0</v>
      </c>
      <c r="G1120" s="221">
        <f t="shared" si="118"/>
        <v>0</v>
      </c>
      <c r="H1120" s="37">
        <f t="shared" si="119"/>
        <v>0</v>
      </c>
      <c r="I1120" s="7"/>
      <c r="J1120" s="37">
        <v>0</v>
      </c>
      <c r="K1120" s="37">
        <f t="shared" si="121"/>
        <v>0</v>
      </c>
      <c r="L1120" s="37">
        <f t="shared" si="120"/>
        <v>0</v>
      </c>
      <c r="M1120" s="957">
        <v>0</v>
      </c>
    </row>
    <row r="1121" spans="1:13" s="6" customFormat="1" ht="15.75">
      <c r="A1121" s="285">
        <v>241</v>
      </c>
      <c r="B1121" s="329" t="s">
        <v>1077</v>
      </c>
      <c r="C1121" s="391"/>
      <c r="D1121" s="330"/>
      <c r="E1121" s="391"/>
      <c r="F1121" s="8">
        <f t="shared" si="117"/>
        <v>0</v>
      </c>
      <c r="G1121" s="221">
        <f t="shared" si="118"/>
        <v>0</v>
      </c>
      <c r="H1121" s="37">
        <f t="shared" si="119"/>
        <v>0</v>
      </c>
      <c r="I1121" s="7"/>
      <c r="J1121" s="37">
        <v>0</v>
      </c>
      <c r="K1121" s="37">
        <f t="shared" si="121"/>
        <v>0</v>
      </c>
      <c r="L1121" s="37">
        <f t="shared" si="120"/>
        <v>0</v>
      </c>
      <c r="M1121" s="957">
        <v>0</v>
      </c>
    </row>
    <row r="1122" spans="1:13" s="6" customFormat="1" ht="15.75">
      <c r="A1122" s="285">
        <v>242</v>
      </c>
      <c r="B1122" s="329" t="s">
        <v>1078</v>
      </c>
      <c r="C1122" s="391"/>
      <c r="D1122" s="330"/>
      <c r="E1122" s="391"/>
      <c r="F1122" s="8">
        <f t="shared" si="117"/>
        <v>0</v>
      </c>
      <c r="G1122" s="221">
        <f t="shared" si="118"/>
        <v>0</v>
      </c>
      <c r="H1122" s="37">
        <f t="shared" si="119"/>
        <v>0</v>
      </c>
      <c r="I1122" s="7"/>
      <c r="J1122" s="37">
        <v>0</v>
      </c>
      <c r="K1122" s="37">
        <f t="shared" si="121"/>
        <v>0</v>
      </c>
      <c r="L1122" s="37">
        <f t="shared" si="120"/>
        <v>0</v>
      </c>
      <c r="M1122" s="957">
        <v>0</v>
      </c>
    </row>
    <row r="1123" spans="1:13" s="6" customFormat="1" ht="15.75">
      <c r="A1123" s="285">
        <v>243</v>
      </c>
      <c r="B1123" s="329" t="s">
        <v>1079</v>
      </c>
      <c r="C1123" s="546"/>
      <c r="D1123" s="330"/>
      <c r="E1123" s="391"/>
      <c r="F1123" s="8">
        <f t="shared" si="117"/>
        <v>0</v>
      </c>
      <c r="G1123" s="221">
        <f t="shared" si="118"/>
        <v>0</v>
      </c>
      <c r="H1123" s="37">
        <f t="shared" si="119"/>
        <v>0</v>
      </c>
      <c r="I1123" s="7"/>
      <c r="J1123" s="37">
        <v>0</v>
      </c>
      <c r="K1123" s="37">
        <f t="shared" si="121"/>
        <v>0</v>
      </c>
      <c r="L1123" s="37">
        <f t="shared" si="120"/>
        <v>0</v>
      </c>
      <c r="M1123" s="957">
        <v>0</v>
      </c>
    </row>
    <row r="1124" spans="1:13" s="6" customFormat="1" ht="15.75">
      <c r="A1124" s="285">
        <v>244</v>
      </c>
      <c r="B1124" s="329" t="s">
        <v>1080</v>
      </c>
      <c r="C1124" s="391"/>
      <c r="D1124" s="330"/>
      <c r="E1124" s="391"/>
      <c r="F1124" s="8">
        <f t="shared" si="117"/>
        <v>0</v>
      </c>
      <c r="G1124" s="221">
        <f t="shared" si="118"/>
        <v>0</v>
      </c>
      <c r="H1124" s="37">
        <f t="shared" si="119"/>
        <v>0</v>
      </c>
      <c r="I1124" s="7"/>
      <c r="J1124" s="37">
        <v>0</v>
      </c>
      <c r="K1124" s="37">
        <f t="shared" si="121"/>
        <v>0</v>
      </c>
      <c r="L1124" s="37">
        <f t="shared" si="120"/>
        <v>0</v>
      </c>
      <c r="M1124" s="957">
        <v>0</v>
      </c>
    </row>
    <row r="1125" spans="1:13" s="6" customFormat="1" ht="15.75">
      <c r="A1125" s="285">
        <v>245</v>
      </c>
      <c r="B1125" s="329" t="s">
        <v>1081</v>
      </c>
      <c r="C1125" s="391"/>
      <c r="D1125" s="330"/>
      <c r="E1125" s="391"/>
      <c r="F1125" s="8">
        <f t="shared" si="117"/>
        <v>0</v>
      </c>
      <c r="G1125" s="221">
        <f t="shared" si="118"/>
        <v>0</v>
      </c>
      <c r="H1125" s="37">
        <f t="shared" si="119"/>
        <v>0</v>
      </c>
      <c r="I1125" s="7"/>
      <c r="J1125" s="37">
        <v>0</v>
      </c>
      <c r="K1125" s="37">
        <f t="shared" si="121"/>
        <v>0</v>
      </c>
      <c r="L1125" s="37">
        <f t="shared" si="120"/>
        <v>0</v>
      </c>
      <c r="M1125" s="957">
        <v>0</v>
      </c>
    </row>
    <row r="1126" spans="1:13" s="6" customFormat="1" ht="15.75">
      <c r="A1126" s="285">
        <v>246</v>
      </c>
      <c r="B1126" s="329" t="s">
        <v>1082</v>
      </c>
      <c r="C1126" s="391"/>
      <c r="D1126" s="330"/>
      <c r="E1126" s="391"/>
      <c r="F1126" s="8">
        <f t="shared" si="117"/>
        <v>0</v>
      </c>
      <c r="G1126" s="221">
        <f t="shared" si="118"/>
        <v>0</v>
      </c>
      <c r="H1126" s="37">
        <f t="shared" si="119"/>
        <v>0</v>
      </c>
      <c r="I1126" s="7"/>
      <c r="J1126" s="37">
        <v>0</v>
      </c>
      <c r="K1126" s="37">
        <f t="shared" si="121"/>
        <v>0</v>
      </c>
      <c r="L1126" s="37">
        <f t="shared" si="120"/>
        <v>0</v>
      </c>
      <c r="M1126" s="957">
        <v>0</v>
      </c>
    </row>
    <row r="1127" spans="1:13" s="6" customFormat="1" ht="15.75">
      <c r="A1127" s="285">
        <v>247</v>
      </c>
      <c r="B1127" s="329" t="s">
        <v>1083</v>
      </c>
      <c r="C1127" s="391"/>
      <c r="D1127" s="330"/>
      <c r="E1127" s="391"/>
      <c r="F1127" s="8">
        <f t="shared" si="117"/>
        <v>0</v>
      </c>
      <c r="G1127" s="221">
        <f t="shared" si="118"/>
        <v>0</v>
      </c>
      <c r="H1127" s="37">
        <f t="shared" si="119"/>
        <v>0</v>
      </c>
      <c r="I1127" s="7"/>
      <c r="J1127" s="37">
        <v>0</v>
      </c>
      <c r="K1127" s="37">
        <f t="shared" si="121"/>
        <v>0</v>
      </c>
      <c r="L1127" s="37">
        <f t="shared" si="120"/>
        <v>0</v>
      </c>
      <c r="M1127" s="957">
        <v>0</v>
      </c>
    </row>
    <row r="1128" spans="1:13" s="6" customFormat="1" ht="15.75">
      <c r="A1128" s="285">
        <v>248</v>
      </c>
      <c r="B1128" s="329" t="s">
        <v>1084</v>
      </c>
      <c r="C1128" s="391"/>
      <c r="D1128" s="330"/>
      <c r="E1128" s="391"/>
      <c r="F1128" s="8">
        <f t="shared" si="117"/>
        <v>0</v>
      </c>
      <c r="G1128" s="221">
        <f t="shared" si="118"/>
        <v>0</v>
      </c>
      <c r="H1128" s="37">
        <f t="shared" si="119"/>
        <v>0</v>
      </c>
      <c r="I1128" s="7"/>
      <c r="J1128" s="37">
        <v>0</v>
      </c>
      <c r="K1128" s="37">
        <f t="shared" si="121"/>
        <v>0</v>
      </c>
      <c r="L1128" s="37">
        <f t="shared" si="120"/>
        <v>0</v>
      </c>
      <c r="M1128" s="957">
        <v>0</v>
      </c>
    </row>
    <row r="1129" spans="1:13" s="6" customFormat="1" ht="15.75">
      <c r="A1129" s="285">
        <v>249</v>
      </c>
      <c r="B1129" s="329" t="s">
        <v>1085</v>
      </c>
      <c r="C1129" s="391"/>
      <c r="D1129" s="330"/>
      <c r="E1129" s="391"/>
      <c r="F1129" s="8">
        <f t="shared" si="117"/>
        <v>0</v>
      </c>
      <c r="G1129" s="221">
        <f t="shared" si="118"/>
        <v>0</v>
      </c>
      <c r="H1129" s="37">
        <f t="shared" si="119"/>
        <v>0</v>
      </c>
      <c r="I1129" s="7"/>
      <c r="J1129" s="37">
        <v>0</v>
      </c>
      <c r="K1129" s="37">
        <f t="shared" si="121"/>
        <v>0</v>
      </c>
      <c r="L1129" s="37">
        <f t="shared" si="120"/>
        <v>0</v>
      </c>
      <c r="M1129" s="957">
        <v>0</v>
      </c>
    </row>
    <row r="1130" spans="1:13" s="6" customFormat="1" ht="15.75">
      <c r="A1130" s="285">
        <v>250</v>
      </c>
      <c r="B1130" s="329" t="s">
        <v>1086</v>
      </c>
      <c r="C1130" s="391"/>
      <c r="D1130" s="330"/>
      <c r="E1130" s="391"/>
      <c r="F1130" s="8">
        <f t="shared" si="117"/>
        <v>0</v>
      </c>
      <c r="G1130" s="221">
        <f t="shared" si="118"/>
        <v>0</v>
      </c>
      <c r="H1130" s="37">
        <f t="shared" si="119"/>
        <v>0</v>
      </c>
      <c r="I1130" s="7"/>
      <c r="J1130" s="37">
        <v>0</v>
      </c>
      <c r="K1130" s="37">
        <f t="shared" si="121"/>
        <v>0</v>
      </c>
      <c r="L1130" s="37">
        <f t="shared" si="120"/>
        <v>0</v>
      </c>
      <c r="M1130" s="957">
        <v>0</v>
      </c>
    </row>
    <row r="1131" spans="1:13" s="6" customFormat="1" ht="15.75">
      <c r="A1131" s="285">
        <v>251</v>
      </c>
      <c r="B1131" s="329" t="s">
        <v>1087</v>
      </c>
      <c r="C1131" s="391"/>
      <c r="D1131" s="330"/>
      <c r="E1131" s="391"/>
      <c r="F1131" s="8">
        <f t="shared" si="117"/>
        <v>0</v>
      </c>
      <c r="G1131" s="221">
        <f t="shared" si="118"/>
        <v>0</v>
      </c>
      <c r="H1131" s="37">
        <f t="shared" si="119"/>
        <v>0</v>
      </c>
      <c r="I1131" s="7"/>
      <c r="J1131" s="37">
        <v>0</v>
      </c>
      <c r="K1131" s="37">
        <f t="shared" si="121"/>
        <v>0</v>
      </c>
      <c r="L1131" s="37">
        <f t="shared" si="120"/>
        <v>0</v>
      </c>
      <c r="M1131" s="957">
        <v>0</v>
      </c>
    </row>
    <row r="1132" spans="1:13" s="6" customFormat="1" ht="15.75">
      <c r="A1132" s="285">
        <v>252</v>
      </c>
      <c r="B1132" s="329" t="s">
        <v>1088</v>
      </c>
      <c r="C1132" s="391"/>
      <c r="D1132" s="330"/>
      <c r="E1132" s="391"/>
      <c r="F1132" s="8">
        <f t="shared" ref="F1132:F1145" si="122">C1132+D1132+E1132</f>
        <v>0</v>
      </c>
      <c r="G1132" s="221">
        <f t="shared" si="118"/>
        <v>0</v>
      </c>
      <c r="H1132" s="37">
        <f t="shared" si="119"/>
        <v>0</v>
      </c>
      <c r="I1132" s="7"/>
      <c r="J1132" s="37">
        <v>0</v>
      </c>
      <c r="K1132" s="37">
        <f t="shared" si="121"/>
        <v>0</v>
      </c>
      <c r="L1132" s="37">
        <f t="shared" si="120"/>
        <v>0</v>
      </c>
      <c r="M1132" s="957">
        <v>0</v>
      </c>
    </row>
    <row r="1133" spans="1:13" s="6" customFormat="1" ht="15.75">
      <c r="A1133" s="285">
        <v>253</v>
      </c>
      <c r="B1133" s="329" t="s">
        <v>1089</v>
      </c>
      <c r="C1133" s="546"/>
      <c r="D1133" s="330"/>
      <c r="E1133" s="391"/>
      <c r="F1133" s="8">
        <f t="shared" si="122"/>
        <v>0</v>
      </c>
      <c r="G1133" s="221">
        <f t="shared" si="118"/>
        <v>0</v>
      </c>
      <c r="H1133" s="37">
        <f t="shared" si="119"/>
        <v>0</v>
      </c>
      <c r="I1133" s="7"/>
      <c r="J1133" s="37">
        <v>0</v>
      </c>
      <c r="K1133" s="37">
        <f t="shared" si="121"/>
        <v>0</v>
      </c>
      <c r="L1133" s="37">
        <f t="shared" si="120"/>
        <v>0</v>
      </c>
      <c r="M1133" s="957">
        <v>0</v>
      </c>
    </row>
    <row r="1134" spans="1:13" s="6" customFormat="1" ht="15.75">
      <c r="A1134" s="285">
        <v>254</v>
      </c>
      <c r="B1134" s="329" t="s">
        <v>1090</v>
      </c>
      <c r="C1134" s="391"/>
      <c r="D1134" s="330"/>
      <c r="E1134" s="391"/>
      <c r="F1134" s="8">
        <f t="shared" si="122"/>
        <v>0</v>
      </c>
      <c r="G1134" s="221">
        <f t="shared" si="118"/>
        <v>0</v>
      </c>
      <c r="H1134" s="37">
        <f t="shared" si="119"/>
        <v>0</v>
      </c>
      <c r="I1134" s="7"/>
      <c r="J1134" s="37">
        <v>0</v>
      </c>
      <c r="K1134" s="37">
        <f t="shared" si="121"/>
        <v>0</v>
      </c>
      <c r="L1134" s="37">
        <f t="shared" si="120"/>
        <v>0</v>
      </c>
      <c r="M1134" s="957">
        <v>0</v>
      </c>
    </row>
    <row r="1135" spans="1:13" s="6" customFormat="1" ht="15.75">
      <c r="A1135" s="285">
        <v>255</v>
      </c>
      <c r="B1135" s="329" t="s">
        <v>1091</v>
      </c>
      <c r="C1135" s="547"/>
      <c r="D1135" s="330"/>
      <c r="E1135" s="391"/>
      <c r="F1135" s="8">
        <f t="shared" si="122"/>
        <v>0</v>
      </c>
      <c r="G1135" s="221">
        <f t="shared" si="118"/>
        <v>0</v>
      </c>
      <c r="H1135" s="37">
        <f t="shared" si="119"/>
        <v>0</v>
      </c>
      <c r="I1135" s="7"/>
      <c r="J1135" s="37">
        <v>0</v>
      </c>
      <c r="K1135" s="37">
        <f t="shared" si="121"/>
        <v>0</v>
      </c>
      <c r="L1135" s="37">
        <f t="shared" si="120"/>
        <v>0</v>
      </c>
      <c r="M1135" s="957">
        <v>0</v>
      </c>
    </row>
    <row r="1136" spans="1:13" s="6" customFormat="1" ht="15.75">
      <c r="A1136" s="285">
        <v>256</v>
      </c>
      <c r="B1136" s="329" t="s">
        <v>1092</v>
      </c>
      <c r="C1136" s="391"/>
      <c r="D1136" s="391"/>
      <c r="E1136" s="331"/>
      <c r="F1136" s="8">
        <f t="shared" si="122"/>
        <v>0</v>
      </c>
      <c r="G1136" s="221">
        <f t="shared" si="118"/>
        <v>0</v>
      </c>
      <c r="H1136" s="37">
        <f t="shared" si="119"/>
        <v>0</v>
      </c>
      <c r="I1136" s="7"/>
      <c r="J1136" s="37">
        <v>0</v>
      </c>
      <c r="K1136" s="37">
        <f t="shared" si="121"/>
        <v>0</v>
      </c>
      <c r="L1136" s="37">
        <f t="shared" si="120"/>
        <v>0</v>
      </c>
      <c r="M1136" s="957">
        <v>0</v>
      </c>
    </row>
    <row r="1137" spans="1:13" s="6" customFormat="1" ht="15.75">
      <c r="A1137" s="285">
        <v>257</v>
      </c>
      <c r="B1137" s="329" t="s">
        <v>1093</v>
      </c>
      <c r="C1137" s="391"/>
      <c r="D1137" s="330"/>
      <c r="E1137" s="391"/>
      <c r="F1137" s="8">
        <f t="shared" si="122"/>
        <v>0</v>
      </c>
      <c r="G1137" s="221">
        <f t="shared" ref="G1137:G1145" si="123">2/194875.11*F1137</f>
        <v>0</v>
      </c>
      <c r="H1137" s="37">
        <f t="shared" ref="H1137:H1145" si="124">G1137*2269.13</f>
        <v>0</v>
      </c>
      <c r="I1137" s="7"/>
      <c r="J1137" s="37">
        <v>0</v>
      </c>
      <c r="K1137" s="37">
        <f t="shared" si="121"/>
        <v>0</v>
      </c>
      <c r="L1137" s="37">
        <f t="shared" si="120"/>
        <v>0</v>
      </c>
      <c r="M1137" s="957">
        <v>0</v>
      </c>
    </row>
    <row r="1138" spans="1:13" s="6" customFormat="1" ht="15.75">
      <c r="A1138" s="285">
        <v>258</v>
      </c>
      <c r="B1138" s="329" t="s">
        <v>1094</v>
      </c>
      <c r="C1138" s="391"/>
      <c r="D1138" s="330"/>
      <c r="E1138" s="391"/>
      <c r="F1138" s="8">
        <f t="shared" si="122"/>
        <v>0</v>
      </c>
      <c r="G1138" s="221">
        <f t="shared" si="123"/>
        <v>0</v>
      </c>
      <c r="H1138" s="37">
        <f t="shared" si="124"/>
        <v>0</v>
      </c>
      <c r="I1138" s="7"/>
      <c r="J1138" s="37">
        <v>0</v>
      </c>
      <c r="K1138" s="37">
        <f t="shared" si="121"/>
        <v>0</v>
      </c>
      <c r="L1138" s="37">
        <f t="shared" ref="L1138:L1146" si="125">K1138*1.219</f>
        <v>0</v>
      </c>
      <c r="M1138" s="957">
        <v>0</v>
      </c>
    </row>
    <row r="1139" spans="1:13" s="6" customFormat="1" ht="15.75">
      <c r="A1139" s="285">
        <v>259</v>
      </c>
      <c r="B1139" s="329" t="s">
        <v>1095</v>
      </c>
      <c r="C1139" s="391"/>
      <c r="D1139" s="330"/>
      <c r="E1139" s="391"/>
      <c r="F1139" s="8">
        <f t="shared" si="122"/>
        <v>0</v>
      </c>
      <c r="G1139" s="221">
        <f t="shared" si="123"/>
        <v>0</v>
      </c>
      <c r="H1139" s="37">
        <f t="shared" si="124"/>
        <v>0</v>
      </c>
      <c r="I1139" s="7"/>
      <c r="J1139" s="37">
        <v>0</v>
      </c>
      <c r="K1139" s="37">
        <f t="shared" ref="K1139:K1146" si="126">G1139*560.71*1.08</f>
        <v>0</v>
      </c>
      <c r="L1139" s="37">
        <f t="shared" si="125"/>
        <v>0</v>
      </c>
      <c r="M1139" s="957">
        <v>0</v>
      </c>
    </row>
    <row r="1140" spans="1:13" s="6" customFormat="1" ht="15.75">
      <c r="A1140" s="285">
        <v>260</v>
      </c>
      <c r="B1140" s="329" t="s">
        <v>1096</v>
      </c>
      <c r="C1140" s="391"/>
      <c r="D1140" s="330"/>
      <c r="E1140" s="391"/>
      <c r="F1140" s="8">
        <f t="shared" si="122"/>
        <v>0</v>
      </c>
      <c r="G1140" s="221">
        <f t="shared" si="123"/>
        <v>0</v>
      </c>
      <c r="H1140" s="37">
        <f t="shared" si="124"/>
        <v>0</v>
      </c>
      <c r="I1140" s="7"/>
      <c r="J1140" s="37">
        <v>0</v>
      </c>
      <c r="K1140" s="37">
        <f t="shared" si="126"/>
        <v>0</v>
      </c>
      <c r="L1140" s="37">
        <f t="shared" si="125"/>
        <v>0</v>
      </c>
      <c r="M1140" s="957">
        <v>0</v>
      </c>
    </row>
    <row r="1141" spans="1:13" s="6" customFormat="1" ht="15.75">
      <c r="A1141" s="285">
        <v>261</v>
      </c>
      <c r="B1141" s="329" t="s">
        <v>1097</v>
      </c>
      <c r="C1141" s="391"/>
      <c r="D1141" s="330"/>
      <c r="E1141" s="391"/>
      <c r="F1141" s="8">
        <f t="shared" si="122"/>
        <v>0</v>
      </c>
      <c r="G1141" s="221">
        <f t="shared" si="123"/>
        <v>0</v>
      </c>
      <c r="H1141" s="37">
        <f t="shared" si="124"/>
        <v>0</v>
      </c>
      <c r="I1141" s="7"/>
      <c r="J1141" s="37">
        <v>0</v>
      </c>
      <c r="K1141" s="37">
        <f t="shared" si="126"/>
        <v>0</v>
      </c>
      <c r="L1141" s="37">
        <f t="shared" si="125"/>
        <v>0</v>
      </c>
      <c r="M1141" s="957">
        <v>0</v>
      </c>
    </row>
    <row r="1142" spans="1:13" s="6" customFormat="1" ht="15.75">
      <c r="A1142" s="285">
        <v>262</v>
      </c>
      <c r="B1142" s="329" t="s">
        <v>1098</v>
      </c>
      <c r="C1142" s="391"/>
      <c r="D1142" s="330"/>
      <c r="E1142" s="391"/>
      <c r="F1142" s="8">
        <f t="shared" si="122"/>
        <v>0</v>
      </c>
      <c r="G1142" s="221">
        <f t="shared" si="123"/>
        <v>0</v>
      </c>
      <c r="H1142" s="37">
        <f t="shared" si="124"/>
        <v>0</v>
      </c>
      <c r="I1142" s="7"/>
      <c r="J1142" s="37">
        <v>0</v>
      </c>
      <c r="K1142" s="37">
        <f t="shared" si="126"/>
        <v>0</v>
      </c>
      <c r="L1142" s="37">
        <f t="shared" si="125"/>
        <v>0</v>
      </c>
      <c r="M1142" s="957">
        <v>0</v>
      </c>
    </row>
    <row r="1143" spans="1:13" s="6" customFormat="1" ht="15.75">
      <c r="A1143" s="285">
        <v>263</v>
      </c>
      <c r="B1143" s="329" t="s">
        <v>1099</v>
      </c>
      <c r="C1143" s="391"/>
      <c r="D1143" s="330"/>
      <c r="E1143" s="391"/>
      <c r="F1143" s="8">
        <f t="shared" si="122"/>
        <v>0</v>
      </c>
      <c r="G1143" s="221">
        <f t="shared" si="123"/>
        <v>0</v>
      </c>
      <c r="H1143" s="37">
        <f t="shared" si="124"/>
        <v>0</v>
      </c>
      <c r="I1143" s="7"/>
      <c r="J1143" s="37">
        <v>0</v>
      </c>
      <c r="K1143" s="37">
        <f t="shared" si="126"/>
        <v>0</v>
      </c>
      <c r="L1143" s="37">
        <f t="shared" si="125"/>
        <v>0</v>
      </c>
      <c r="M1143" s="957">
        <v>0</v>
      </c>
    </row>
    <row r="1144" spans="1:13" s="6" customFormat="1" ht="15.75">
      <c r="A1144" s="285">
        <v>264</v>
      </c>
      <c r="B1144" s="329" t="s">
        <v>1100</v>
      </c>
      <c r="C1144" s="391"/>
      <c r="D1144" s="330"/>
      <c r="E1144" s="391"/>
      <c r="F1144" s="8">
        <f t="shared" si="122"/>
        <v>0</v>
      </c>
      <c r="G1144" s="221">
        <f t="shared" si="123"/>
        <v>0</v>
      </c>
      <c r="H1144" s="37">
        <f t="shared" si="124"/>
        <v>0</v>
      </c>
      <c r="I1144" s="7"/>
      <c r="J1144" s="37">
        <v>0</v>
      </c>
      <c r="K1144" s="37">
        <f t="shared" si="126"/>
        <v>0</v>
      </c>
      <c r="L1144" s="37">
        <f t="shared" si="125"/>
        <v>0</v>
      </c>
      <c r="M1144" s="957">
        <v>0</v>
      </c>
    </row>
    <row r="1145" spans="1:13" s="6" customFormat="1" ht="15.75">
      <c r="A1145" s="285">
        <v>265</v>
      </c>
      <c r="B1145" s="285" t="s">
        <v>1101</v>
      </c>
      <c r="C1145" s="391"/>
      <c r="D1145" s="8"/>
      <c r="E1145" s="8"/>
      <c r="F1145" s="8">
        <f t="shared" si="122"/>
        <v>0</v>
      </c>
      <c r="G1145" s="221">
        <f t="shared" si="123"/>
        <v>0</v>
      </c>
      <c r="H1145" s="37">
        <f t="shared" si="124"/>
        <v>0</v>
      </c>
      <c r="I1145" s="7"/>
      <c r="J1145" s="37">
        <v>0</v>
      </c>
      <c r="K1145" s="37">
        <f t="shared" si="126"/>
        <v>0</v>
      </c>
      <c r="L1145" s="37">
        <f t="shared" si="125"/>
        <v>0</v>
      </c>
      <c r="M1145" s="957">
        <v>0</v>
      </c>
    </row>
    <row r="1146" spans="1:13" s="69" customFormat="1" ht="15.75">
      <c r="A1146" s="152"/>
      <c r="B1146" s="174" t="s">
        <v>681</v>
      </c>
      <c r="C1146" s="332">
        <f>SUM(C881:C1145)</f>
        <v>194044.85999999996</v>
      </c>
      <c r="D1146" s="332">
        <f>SUM(D881:D1145)</f>
        <v>560.1</v>
      </c>
      <c r="E1146" s="332">
        <f>SUM(E881:E1145)</f>
        <v>417.8</v>
      </c>
      <c r="F1146" s="9">
        <f>SUM(F881:F1145)</f>
        <v>194875.11</v>
      </c>
      <c r="G1146" s="221">
        <f>2/194875.11*F1146</f>
        <v>2</v>
      </c>
      <c r="H1146" s="37">
        <f>G1146*2269.13</f>
        <v>4538.26</v>
      </c>
      <c r="I1146" s="37">
        <f>H1146*0.3677</f>
        <v>1668.7182020000002</v>
      </c>
      <c r="J1146" s="37">
        <f>SUM(J880:J1145)</f>
        <v>1752.2737110971639</v>
      </c>
      <c r="K1146" s="37">
        <f t="shared" si="126"/>
        <v>1211.1336000000001</v>
      </c>
      <c r="L1146" s="37">
        <f t="shared" si="125"/>
        <v>1476.3718584000003</v>
      </c>
      <c r="M1146" s="957">
        <f>(H1146+I1146+J1146+L1146)/F1146</f>
        <v>4.8418824607704726E-2</v>
      </c>
    </row>
    <row r="1147" spans="1:13" s="6" customFormat="1" ht="15.75">
      <c r="A1147" s="9" t="s">
        <v>634</v>
      </c>
      <c r="B1147" s="8"/>
      <c r="C1147" s="8"/>
      <c r="D1147" s="8"/>
      <c r="E1147" s="8"/>
      <c r="F1147" s="40">
        <f>C1147+D1147+E1147</f>
        <v>0</v>
      </c>
      <c r="G1147" s="324">
        <f t="shared" ref="G1147:G1197" si="127">1/165422.71*F1147</f>
        <v>0</v>
      </c>
      <c r="H1147" s="37">
        <f t="shared" ref="H1147:H1201" si="128">G1147*2269.13</f>
        <v>0</v>
      </c>
      <c r="I1147" s="37"/>
      <c r="J1147" s="37">
        <v>0</v>
      </c>
      <c r="K1147" s="37">
        <f t="shared" ref="K1147:K1161" si="129">G1147*560.71</f>
        <v>0</v>
      </c>
      <c r="L1147" s="37"/>
      <c r="M1147" s="45"/>
    </row>
    <row r="1148" spans="1:13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/>
      <c r="G1148" s="324">
        <f t="shared" si="127"/>
        <v>0</v>
      </c>
      <c r="H1148" s="37">
        <f t="shared" si="128"/>
        <v>0</v>
      </c>
      <c r="I1148" s="37"/>
      <c r="J1148" s="37">
        <v>0</v>
      </c>
      <c r="K1148" s="37">
        <f t="shared" si="129"/>
        <v>0</v>
      </c>
      <c r="L1148" s="37"/>
      <c r="M1148" s="45"/>
    </row>
    <row r="1149" spans="1:13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/>
      <c r="G1149" s="324">
        <f t="shared" si="127"/>
        <v>0</v>
      </c>
      <c r="H1149" s="37">
        <f t="shared" si="128"/>
        <v>0</v>
      </c>
      <c r="I1149" s="37"/>
      <c r="J1149" s="37">
        <v>0</v>
      </c>
      <c r="K1149" s="37">
        <f t="shared" si="129"/>
        <v>0</v>
      </c>
      <c r="L1149" s="37"/>
      <c r="M1149" s="45"/>
    </row>
    <row r="1150" spans="1:13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/>
      <c r="G1150" s="324">
        <f t="shared" si="127"/>
        <v>0</v>
      </c>
      <c r="H1150" s="37">
        <f t="shared" si="128"/>
        <v>0</v>
      </c>
      <c r="I1150" s="37"/>
      <c r="J1150" s="37">
        <v>0</v>
      </c>
      <c r="K1150" s="37">
        <f t="shared" si="129"/>
        <v>0</v>
      </c>
      <c r="L1150" s="37"/>
      <c r="M1150" s="45"/>
    </row>
    <row r="1151" spans="1:13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/>
      <c r="G1151" s="324">
        <f t="shared" si="127"/>
        <v>0</v>
      </c>
      <c r="H1151" s="37">
        <f t="shared" si="128"/>
        <v>0</v>
      </c>
      <c r="I1151" s="37"/>
      <c r="J1151" s="37">
        <v>0</v>
      </c>
      <c r="K1151" s="37">
        <f t="shared" si="129"/>
        <v>0</v>
      </c>
      <c r="L1151" s="37"/>
      <c r="M1151" s="45"/>
    </row>
    <row r="1152" spans="1:13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/>
      <c r="G1152" s="324">
        <f t="shared" si="127"/>
        <v>0</v>
      </c>
      <c r="H1152" s="37">
        <f t="shared" si="128"/>
        <v>0</v>
      </c>
      <c r="I1152" s="37"/>
      <c r="J1152" s="37">
        <v>0</v>
      </c>
      <c r="K1152" s="37">
        <f t="shared" si="129"/>
        <v>0</v>
      </c>
      <c r="L1152" s="37"/>
      <c r="M1152" s="45"/>
    </row>
    <row r="1153" spans="1:13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/>
      <c r="G1153" s="324">
        <f t="shared" si="127"/>
        <v>0</v>
      </c>
      <c r="H1153" s="37">
        <f t="shared" si="128"/>
        <v>0</v>
      </c>
      <c r="I1153" s="37"/>
      <c r="J1153" s="37">
        <v>0</v>
      </c>
      <c r="K1153" s="37">
        <f t="shared" si="129"/>
        <v>0</v>
      </c>
      <c r="L1153" s="37"/>
      <c r="M1153" s="45"/>
    </row>
    <row r="1154" spans="1:13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/>
      <c r="G1154" s="324">
        <f t="shared" si="127"/>
        <v>0</v>
      </c>
      <c r="H1154" s="37">
        <f t="shared" si="128"/>
        <v>0</v>
      </c>
      <c r="I1154" s="37"/>
      <c r="J1154" s="37">
        <v>0</v>
      </c>
      <c r="K1154" s="37">
        <f t="shared" si="129"/>
        <v>0</v>
      </c>
      <c r="L1154" s="37"/>
      <c r="M1154" s="45"/>
    </row>
    <row r="1155" spans="1:13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/>
      <c r="G1155" s="324">
        <f t="shared" si="127"/>
        <v>0</v>
      </c>
      <c r="H1155" s="37">
        <f t="shared" si="128"/>
        <v>0</v>
      </c>
      <c r="I1155" s="37"/>
      <c r="J1155" s="37">
        <v>0</v>
      </c>
      <c r="K1155" s="37">
        <f t="shared" si="129"/>
        <v>0</v>
      </c>
      <c r="L1155" s="37"/>
      <c r="M1155" s="45"/>
    </row>
    <row r="1156" spans="1:13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/>
      <c r="G1156" s="324">
        <f t="shared" si="127"/>
        <v>0</v>
      </c>
      <c r="H1156" s="37">
        <f t="shared" si="128"/>
        <v>0</v>
      </c>
      <c r="I1156" s="37"/>
      <c r="J1156" s="37">
        <v>0</v>
      </c>
      <c r="K1156" s="37">
        <f t="shared" si="129"/>
        <v>0</v>
      </c>
      <c r="L1156" s="37"/>
      <c r="M1156" s="45"/>
    </row>
    <row r="1157" spans="1:13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/>
      <c r="G1157" s="324">
        <f t="shared" si="127"/>
        <v>0</v>
      </c>
      <c r="H1157" s="37">
        <f t="shared" si="128"/>
        <v>0</v>
      </c>
      <c r="I1157" s="37"/>
      <c r="J1157" s="37">
        <v>0</v>
      </c>
      <c r="K1157" s="37">
        <f t="shared" si="129"/>
        <v>0</v>
      </c>
      <c r="L1157" s="37"/>
      <c r="M1157" s="45"/>
    </row>
    <row r="1158" spans="1:13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/>
      <c r="G1158" s="324">
        <f t="shared" si="127"/>
        <v>0</v>
      </c>
      <c r="H1158" s="37">
        <f t="shared" si="128"/>
        <v>0</v>
      </c>
      <c r="I1158" s="37"/>
      <c r="J1158" s="37">
        <v>0</v>
      </c>
      <c r="K1158" s="37">
        <f t="shared" si="129"/>
        <v>0</v>
      </c>
      <c r="L1158" s="37"/>
      <c r="M1158" s="45"/>
    </row>
    <row r="1159" spans="1:13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/>
      <c r="G1159" s="324">
        <f t="shared" si="127"/>
        <v>0</v>
      </c>
      <c r="H1159" s="37">
        <f t="shared" si="128"/>
        <v>0</v>
      </c>
      <c r="I1159" s="37"/>
      <c r="J1159" s="37">
        <v>0</v>
      </c>
      <c r="K1159" s="37">
        <f t="shared" si="129"/>
        <v>0</v>
      </c>
      <c r="L1159" s="37"/>
      <c r="M1159" s="45"/>
    </row>
    <row r="1160" spans="1:13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/>
      <c r="G1160" s="324">
        <f t="shared" si="127"/>
        <v>0</v>
      </c>
      <c r="H1160" s="37">
        <f t="shared" si="128"/>
        <v>0</v>
      </c>
      <c r="I1160" s="37"/>
      <c r="J1160" s="37">
        <v>0</v>
      </c>
      <c r="K1160" s="37">
        <f t="shared" si="129"/>
        <v>0</v>
      </c>
      <c r="L1160" s="37"/>
      <c r="M1160" s="45"/>
    </row>
    <row r="1161" spans="1:13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/>
      <c r="G1161" s="324">
        <f t="shared" si="127"/>
        <v>0</v>
      </c>
      <c r="H1161" s="37">
        <f t="shared" si="128"/>
        <v>0</v>
      </c>
      <c r="I1161" s="37"/>
      <c r="J1161" s="37">
        <v>0</v>
      </c>
      <c r="K1161" s="37">
        <f t="shared" si="129"/>
        <v>0</v>
      </c>
      <c r="L1161" s="37"/>
      <c r="M1161" s="45"/>
    </row>
    <row r="1162" spans="1:13" s="6" customFormat="1" ht="18">
      <c r="A1162" s="105">
        <v>17</v>
      </c>
      <c r="B1162" s="24" t="s">
        <v>494</v>
      </c>
      <c r="C1162" s="330">
        <v>5520.77</v>
      </c>
      <c r="D1162" s="330"/>
      <c r="E1162" s="330"/>
      <c r="F1162" s="40">
        <f>C1162+D1162+E1162</f>
        <v>5520.77</v>
      </c>
      <c r="G1162" s="324">
        <f t="shared" si="127"/>
        <v>3.3373712714535993E-2</v>
      </c>
      <c r="H1162" s="37">
        <f t="shared" si="128"/>
        <v>75.729292731935061</v>
      </c>
      <c r="I1162" s="37">
        <f t="shared" ref="I1162:I1201" si="130">H1162*0.3677</f>
        <v>27.845660937532525</v>
      </c>
      <c r="J1162" s="37">
        <v>31.226244320001435</v>
      </c>
      <c r="K1162" s="37">
        <f>G1162*960.71</f>
        <v>32.062459541981873</v>
      </c>
      <c r="L1162" s="37"/>
      <c r="M1162" s="375">
        <f>(K1162+J1162+I1162+H1162)/F1162</f>
        <v>3.0224707338188491E-2</v>
      </c>
    </row>
    <row r="1163" spans="1:13" s="6" customFormat="1" ht="18">
      <c r="A1163" s="105">
        <v>18</v>
      </c>
      <c r="B1163" s="24" t="s">
        <v>495</v>
      </c>
      <c r="C1163" s="330">
        <v>5310.85</v>
      </c>
      <c r="D1163" s="330"/>
      <c r="E1163" s="330"/>
      <c r="F1163" s="40">
        <f>C1163+D1163+E1163</f>
        <v>5310.85</v>
      </c>
      <c r="G1163" s="324">
        <f t="shared" si="127"/>
        <v>3.210472129249968E-2</v>
      </c>
      <c r="H1163" s="37">
        <f t="shared" si="128"/>
        <v>72.849786226449808</v>
      </c>
      <c r="I1163" s="37">
        <f t="shared" si="130"/>
        <v>26.786866395465598</v>
      </c>
      <c r="J1163" s="37">
        <v>30.038907552185591</v>
      </c>
      <c r="K1163" s="37">
        <f>G1163*960.71</f>
        <v>30.84332679291737</v>
      </c>
      <c r="L1163" s="37"/>
      <c r="M1163" s="375">
        <f>(K1163+J1163+I1163+H1163)/F1163</f>
        <v>3.0224707338188495E-2</v>
      </c>
    </row>
    <row r="1164" spans="1:13" s="6" customFormat="1" ht="18">
      <c r="A1164" s="105">
        <v>19</v>
      </c>
      <c r="B1164" s="24" t="s">
        <v>496</v>
      </c>
      <c r="C1164" s="330">
        <v>5405.43</v>
      </c>
      <c r="D1164" s="330"/>
      <c r="E1164" s="330"/>
      <c r="F1164" s="40">
        <f>C1164+D1164+E1164</f>
        <v>5405.43</v>
      </c>
      <c r="G1164" s="324">
        <f t="shared" si="127"/>
        <v>3.2676468666242985E-2</v>
      </c>
      <c r="H1164" s="37">
        <f t="shared" si="128"/>
        <v>74.14715534463194</v>
      </c>
      <c r="I1164" s="37">
        <f t="shared" si="130"/>
        <v>27.263909020221167</v>
      </c>
      <c r="J1164" s="37">
        <v>30.573865209864817</v>
      </c>
      <c r="K1164" s="37">
        <f>G1164*960.71</f>
        <v>31.392610212346298</v>
      </c>
      <c r="L1164" s="37"/>
      <c r="M1164" s="375">
        <f>(K1164+J1164+I1164+H1164)/F1164</f>
        <v>3.0224707338188491E-2</v>
      </c>
    </row>
    <row r="1165" spans="1:13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/>
      <c r="G1165" s="324">
        <f t="shared" si="127"/>
        <v>0</v>
      </c>
      <c r="H1165" s="37">
        <f t="shared" si="128"/>
        <v>0</v>
      </c>
      <c r="I1165" s="37"/>
      <c r="J1165" s="37">
        <v>0</v>
      </c>
      <c r="K1165" s="37">
        <f t="shared" ref="K1165:K1201" si="131">G1165*560.71</f>
        <v>0</v>
      </c>
      <c r="L1165" s="37"/>
      <c r="M1165" s="45"/>
    </row>
    <row r="1166" spans="1:13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/>
      <c r="G1166" s="324">
        <f t="shared" si="127"/>
        <v>0</v>
      </c>
      <c r="H1166" s="37">
        <f t="shared" si="128"/>
        <v>0</v>
      </c>
      <c r="I1166" s="37"/>
      <c r="J1166" s="37">
        <v>0</v>
      </c>
      <c r="K1166" s="37">
        <f t="shared" si="131"/>
        <v>0</v>
      </c>
      <c r="L1166" s="37"/>
      <c r="M1166" s="45"/>
    </row>
    <row r="1167" spans="1:13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/>
      <c r="G1167" s="324">
        <f t="shared" si="127"/>
        <v>0</v>
      </c>
      <c r="H1167" s="37">
        <f t="shared" si="128"/>
        <v>0</v>
      </c>
      <c r="I1167" s="37"/>
      <c r="J1167" s="37">
        <v>0</v>
      </c>
      <c r="K1167" s="37">
        <f t="shared" si="131"/>
        <v>0</v>
      </c>
      <c r="L1167" s="37"/>
      <c r="M1167" s="45"/>
    </row>
    <row r="1168" spans="1:13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/>
      <c r="G1168" s="324">
        <f t="shared" si="127"/>
        <v>0</v>
      </c>
      <c r="H1168" s="37">
        <f t="shared" si="128"/>
        <v>0</v>
      </c>
      <c r="I1168" s="37"/>
      <c r="J1168" s="37">
        <v>0</v>
      </c>
      <c r="K1168" s="37">
        <f t="shared" si="131"/>
        <v>0</v>
      </c>
      <c r="L1168" s="37"/>
      <c r="M1168" s="45"/>
    </row>
    <row r="1169" spans="1:13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/>
      <c r="G1169" s="324">
        <f t="shared" si="127"/>
        <v>0</v>
      </c>
      <c r="H1169" s="37">
        <f t="shared" si="128"/>
        <v>0</v>
      </c>
      <c r="I1169" s="37"/>
      <c r="J1169" s="37">
        <v>0</v>
      </c>
      <c r="K1169" s="37">
        <f t="shared" si="131"/>
        <v>0</v>
      </c>
      <c r="L1169" s="37"/>
      <c r="M1169" s="45"/>
    </row>
    <row r="1170" spans="1:13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/>
      <c r="G1170" s="324">
        <f t="shared" si="127"/>
        <v>0</v>
      </c>
      <c r="H1170" s="37">
        <f t="shared" si="128"/>
        <v>0</v>
      </c>
      <c r="I1170" s="37"/>
      <c r="J1170" s="37">
        <v>0</v>
      </c>
      <c r="K1170" s="37">
        <f t="shared" si="131"/>
        <v>0</v>
      </c>
      <c r="L1170" s="37"/>
      <c r="M1170" s="45"/>
    </row>
    <row r="1171" spans="1:13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/>
      <c r="G1171" s="324">
        <f t="shared" si="127"/>
        <v>0</v>
      </c>
      <c r="H1171" s="37">
        <f t="shared" si="128"/>
        <v>0</v>
      </c>
      <c r="I1171" s="37"/>
      <c r="J1171" s="37">
        <v>0</v>
      </c>
      <c r="K1171" s="37">
        <f t="shared" si="131"/>
        <v>0</v>
      </c>
      <c r="L1171" s="37"/>
      <c r="M1171" s="45"/>
    </row>
    <row r="1172" spans="1:13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/>
      <c r="G1172" s="324">
        <f t="shared" si="127"/>
        <v>0</v>
      </c>
      <c r="H1172" s="37">
        <f t="shared" si="128"/>
        <v>0</v>
      </c>
      <c r="I1172" s="37"/>
      <c r="J1172" s="37">
        <v>0</v>
      </c>
      <c r="K1172" s="37">
        <f t="shared" si="131"/>
        <v>0</v>
      </c>
      <c r="L1172" s="37"/>
      <c r="M1172" s="45"/>
    </row>
    <row r="1173" spans="1:13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/>
      <c r="G1173" s="324">
        <f t="shared" si="127"/>
        <v>0</v>
      </c>
      <c r="H1173" s="37">
        <f t="shared" si="128"/>
        <v>0</v>
      </c>
      <c r="I1173" s="37"/>
      <c r="J1173" s="37">
        <v>0</v>
      </c>
      <c r="K1173" s="37">
        <f t="shared" si="131"/>
        <v>0</v>
      </c>
      <c r="L1173" s="37"/>
      <c r="M1173" s="45"/>
    </row>
    <row r="1174" spans="1:13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/>
      <c r="G1174" s="324">
        <f t="shared" si="127"/>
        <v>0</v>
      </c>
      <c r="H1174" s="37">
        <f t="shared" si="128"/>
        <v>0</v>
      </c>
      <c r="I1174" s="37"/>
      <c r="J1174" s="37">
        <v>0</v>
      </c>
      <c r="K1174" s="37">
        <f t="shared" si="131"/>
        <v>0</v>
      </c>
      <c r="L1174" s="37"/>
      <c r="M1174" s="45"/>
    </row>
    <row r="1175" spans="1:13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/>
      <c r="G1175" s="324">
        <f t="shared" si="127"/>
        <v>0</v>
      </c>
      <c r="H1175" s="37">
        <f t="shared" si="128"/>
        <v>0</v>
      </c>
      <c r="I1175" s="37"/>
      <c r="J1175" s="37">
        <v>0</v>
      </c>
      <c r="K1175" s="37">
        <f t="shared" si="131"/>
        <v>0</v>
      </c>
      <c r="L1175" s="37"/>
      <c r="M1175" s="45"/>
    </row>
    <row r="1176" spans="1:13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/>
      <c r="G1176" s="324">
        <f t="shared" si="127"/>
        <v>0</v>
      </c>
      <c r="H1176" s="37">
        <f t="shared" si="128"/>
        <v>0</v>
      </c>
      <c r="I1176" s="37"/>
      <c r="J1176" s="37">
        <v>0</v>
      </c>
      <c r="K1176" s="37">
        <f t="shared" si="131"/>
        <v>0</v>
      </c>
      <c r="L1176" s="37"/>
      <c r="M1176" s="45"/>
    </row>
    <row r="1177" spans="1:13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/>
      <c r="G1177" s="324">
        <f t="shared" si="127"/>
        <v>0</v>
      </c>
      <c r="H1177" s="37">
        <f t="shared" si="128"/>
        <v>0</v>
      </c>
      <c r="I1177" s="37"/>
      <c r="J1177" s="37">
        <v>0</v>
      </c>
      <c r="K1177" s="37">
        <f t="shared" si="131"/>
        <v>0</v>
      </c>
      <c r="L1177" s="37"/>
      <c r="M1177" s="45"/>
    </row>
    <row r="1178" spans="1:13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/>
      <c r="G1178" s="324">
        <f t="shared" si="127"/>
        <v>0</v>
      </c>
      <c r="H1178" s="37">
        <f t="shared" si="128"/>
        <v>0</v>
      </c>
      <c r="I1178" s="37"/>
      <c r="J1178" s="37">
        <v>0</v>
      </c>
      <c r="K1178" s="37">
        <f t="shared" si="131"/>
        <v>0</v>
      </c>
      <c r="L1178" s="37"/>
      <c r="M1178" s="45"/>
    </row>
    <row r="1179" spans="1:13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/>
      <c r="G1179" s="324">
        <f t="shared" si="127"/>
        <v>0</v>
      </c>
      <c r="H1179" s="37">
        <f t="shared" si="128"/>
        <v>0</v>
      </c>
      <c r="I1179" s="37"/>
      <c r="J1179" s="37">
        <v>0</v>
      </c>
      <c r="K1179" s="37">
        <f t="shared" si="131"/>
        <v>0</v>
      </c>
      <c r="L1179" s="37"/>
      <c r="M1179" s="45"/>
    </row>
    <row r="1180" spans="1:13" s="6" customFormat="1" ht="18">
      <c r="A1180" s="105">
        <v>35</v>
      </c>
      <c r="B1180" s="24" t="s">
        <v>512</v>
      </c>
      <c r="C1180" s="330">
        <v>8111.75</v>
      </c>
      <c r="D1180" s="330"/>
      <c r="E1180" s="330"/>
      <c r="F1180" s="40">
        <f t="shared" ref="F1180:F1200" si="132">C1180+D1180+E1180</f>
        <v>8111.75</v>
      </c>
      <c r="G1180" s="324">
        <f t="shared" si="127"/>
        <v>4.9036495654073128E-2</v>
      </c>
      <c r="H1180" s="37">
        <f t="shared" si="128"/>
        <v>111.27018338352697</v>
      </c>
      <c r="I1180" s="37">
        <f t="shared" si="130"/>
        <v>40.914046430122873</v>
      </c>
      <c r="J1180" s="37">
        <v>45.881188197076071</v>
      </c>
      <c r="K1180" s="37">
        <f t="shared" si="131"/>
        <v>27.495253478195345</v>
      </c>
      <c r="L1180" s="37"/>
      <c r="M1180" s="375">
        <f t="shared" ref="M1180:M1199" si="133">(K1180+J1180+I1180+H1180)/F1180</f>
        <v>2.7806659659003457E-2</v>
      </c>
    </row>
    <row r="1181" spans="1:13" s="6" customFormat="1" ht="18">
      <c r="A1181" s="105">
        <v>36</v>
      </c>
      <c r="B1181" s="24" t="s">
        <v>513</v>
      </c>
      <c r="C1181" s="330">
        <v>6280.23</v>
      </c>
      <c r="D1181" s="330"/>
      <c r="E1181" s="330"/>
      <c r="F1181" s="40">
        <f t="shared" si="132"/>
        <v>6280.23</v>
      </c>
      <c r="G1181" s="324">
        <f t="shared" si="127"/>
        <v>3.7964738940620663E-2</v>
      </c>
      <c r="H1181" s="37">
        <f t="shared" si="128"/>
        <v>86.146928072330567</v>
      </c>
      <c r="I1181" s="37">
        <f t="shared" si="130"/>
        <v>31.676225452195951</v>
      </c>
      <c r="J1181" s="37">
        <v>35.521799332948021</v>
      </c>
      <c r="K1181" s="37">
        <f t="shared" si="131"/>
        <v>21.287208771395413</v>
      </c>
      <c r="L1181" s="37"/>
      <c r="M1181" s="375">
        <f t="shared" si="133"/>
        <v>2.7806650652742008E-2</v>
      </c>
    </row>
    <row r="1182" spans="1:13" s="6" customFormat="1" ht="18">
      <c r="A1182" s="105">
        <v>37</v>
      </c>
      <c r="B1182" s="24" t="s">
        <v>514</v>
      </c>
      <c r="C1182" s="330">
        <v>8361.6299999999992</v>
      </c>
      <c r="D1182" s="330"/>
      <c r="E1182" s="330"/>
      <c r="F1182" s="40">
        <f t="shared" si="132"/>
        <v>8361.6299999999992</v>
      </c>
      <c r="G1182" s="324">
        <f t="shared" si="127"/>
        <v>5.0547050039260022E-2</v>
      </c>
      <c r="H1182" s="37">
        <f t="shared" si="128"/>
        <v>114.6978276555861</v>
      </c>
      <c r="I1182" s="37">
        <f t="shared" si="130"/>
        <v>42.17439122895901</v>
      </c>
      <c r="J1182" s="37">
        <v>47.272994401613254</v>
      </c>
      <c r="K1182" s="37">
        <f t="shared" si="131"/>
        <v>28.342236427513487</v>
      </c>
      <c r="L1182" s="37"/>
      <c r="M1182" s="375">
        <f t="shared" si="133"/>
        <v>2.7804082423363852E-2</v>
      </c>
    </row>
    <row r="1183" spans="1:13" s="6" customFormat="1" ht="18">
      <c r="A1183" s="105">
        <v>38</v>
      </c>
      <c r="B1183" s="24" t="s">
        <v>515</v>
      </c>
      <c r="C1183" s="330">
        <v>6675.9</v>
      </c>
      <c r="D1183" s="330"/>
      <c r="E1183" s="330"/>
      <c r="F1183" s="40">
        <f t="shared" si="132"/>
        <v>6675.9</v>
      </c>
      <c r="G1183" s="324">
        <f t="shared" si="127"/>
        <v>4.035661125367853E-2</v>
      </c>
      <c r="H1183" s="37">
        <f t="shared" si="128"/>
        <v>91.574397294059565</v>
      </c>
      <c r="I1183" s="37">
        <f t="shared" si="130"/>
        <v>33.671905885025701</v>
      </c>
      <c r="J1183" s="37">
        <v>37.767512891892402</v>
      </c>
      <c r="K1183" s="37">
        <f>G1183*960.71</f>
        <v>38.7709999975215</v>
      </c>
      <c r="L1183" s="37"/>
      <c r="M1183" s="375">
        <f t="shared" si="133"/>
        <v>3.0225859594736167E-2</v>
      </c>
    </row>
    <row r="1184" spans="1:13" s="6" customFormat="1" ht="18">
      <c r="A1184" s="105">
        <v>39</v>
      </c>
      <c r="B1184" s="24" t="s">
        <v>516</v>
      </c>
      <c r="C1184" s="330">
        <v>4489.2299999999996</v>
      </c>
      <c r="D1184" s="330"/>
      <c r="E1184" s="330">
        <v>48.5</v>
      </c>
      <c r="F1184" s="40">
        <f t="shared" si="132"/>
        <v>4537.7299999999996</v>
      </c>
      <c r="G1184" s="324">
        <f t="shared" si="127"/>
        <v>2.7431118738170831E-2</v>
      </c>
      <c r="H1184" s="37">
        <f t="shared" si="128"/>
        <v>62.244774462345582</v>
      </c>
      <c r="I1184" s="37">
        <f t="shared" si="130"/>
        <v>22.887403569804473</v>
      </c>
      <c r="J1184" s="37">
        <v>25.39436874267728</v>
      </c>
      <c r="K1184" s="37">
        <f>G1184*960.71</f>
        <v>26.353350082948101</v>
      </c>
      <c r="L1184" s="37"/>
      <c r="M1184" s="375">
        <f t="shared" si="133"/>
        <v>3.016483943684958E-2</v>
      </c>
    </row>
    <row r="1185" spans="1:13" s="6" customFormat="1" ht="18">
      <c r="A1185" s="105">
        <v>40</v>
      </c>
      <c r="B1185" s="24" t="s">
        <v>517</v>
      </c>
      <c r="C1185" s="330">
        <v>4352.13</v>
      </c>
      <c r="D1185" s="330"/>
      <c r="E1185" s="330"/>
      <c r="F1185" s="40">
        <f t="shared" si="132"/>
        <v>4352.13</v>
      </c>
      <c r="G1185" s="324">
        <f t="shared" si="127"/>
        <v>2.6309144615028975E-2</v>
      </c>
      <c r="H1185" s="37">
        <f t="shared" si="128"/>
        <v>59.698869320300702</v>
      </c>
      <c r="I1185" s="37">
        <f t="shared" si="130"/>
        <v>21.951274249074569</v>
      </c>
      <c r="J1185" s="37">
        <v>24.61619709387724</v>
      </c>
      <c r="K1185" s="37">
        <f t="shared" si="131"/>
        <v>14.751800477092898</v>
      </c>
      <c r="L1185" s="37"/>
      <c r="M1185" s="375">
        <f t="shared" si="133"/>
        <v>2.7806646662747989E-2</v>
      </c>
    </row>
    <row r="1186" spans="1:13" s="6" customFormat="1" ht="18">
      <c r="A1186" s="105">
        <v>41</v>
      </c>
      <c r="B1186" s="24" t="s">
        <v>518</v>
      </c>
      <c r="C1186" s="330">
        <v>4481.0200000000004</v>
      </c>
      <c r="D1186" s="330"/>
      <c r="E1186" s="330">
        <v>48.33</v>
      </c>
      <c r="F1186" s="40">
        <f t="shared" si="132"/>
        <v>4529.3500000000004</v>
      </c>
      <c r="G1186" s="324">
        <f t="shared" si="127"/>
        <v>2.738046063929191E-2</v>
      </c>
      <c r="H1186" s="37">
        <f t="shared" si="128"/>
        <v>62.129824650436454</v>
      </c>
      <c r="I1186" s="37">
        <f t="shared" si="130"/>
        <v>22.845136523965486</v>
      </c>
      <c r="J1186" s="37">
        <v>25.419086071542349</v>
      </c>
      <c r="K1186" s="37">
        <f t="shared" si="131"/>
        <v>15.352498085057368</v>
      </c>
      <c r="L1186" s="37"/>
      <c r="M1186" s="375">
        <f t="shared" si="133"/>
        <v>2.7762602874805798E-2</v>
      </c>
    </row>
    <row r="1187" spans="1:13" s="6" customFormat="1" ht="18">
      <c r="A1187" s="105">
        <v>42</v>
      </c>
      <c r="B1187" s="24" t="s">
        <v>519</v>
      </c>
      <c r="C1187" s="330">
        <v>4132.3900000000003</v>
      </c>
      <c r="D1187" s="330"/>
      <c r="E1187" s="330">
        <v>18.8</v>
      </c>
      <c r="F1187" s="40">
        <f t="shared" si="132"/>
        <v>4151.1900000000005</v>
      </c>
      <c r="G1187" s="324">
        <f t="shared" si="127"/>
        <v>2.5094438363390374E-2</v>
      </c>
      <c r="H1187" s="37">
        <f t="shared" si="128"/>
        <v>56.942542923520001</v>
      </c>
      <c r="I1187" s="37">
        <f t="shared" si="130"/>
        <v>20.937773032978306</v>
      </c>
      <c r="J1187" s="37">
        <v>23.3233733275869</v>
      </c>
      <c r="K1187" s="37">
        <f t="shared" si="131"/>
        <v>14.070702534736617</v>
      </c>
      <c r="L1187" s="37"/>
      <c r="M1187" s="375">
        <f t="shared" si="133"/>
        <v>2.7768999207172355E-2</v>
      </c>
    </row>
    <row r="1188" spans="1:13" s="6" customFormat="1" ht="18">
      <c r="A1188" s="105">
        <v>43</v>
      </c>
      <c r="B1188" s="24" t="s">
        <v>520</v>
      </c>
      <c r="C1188" s="330">
        <v>8136.02</v>
      </c>
      <c r="D1188" s="330"/>
      <c r="E1188" s="330"/>
      <c r="F1188" s="40">
        <f t="shared" si="132"/>
        <v>8136.02</v>
      </c>
      <c r="G1188" s="324">
        <f t="shared" si="127"/>
        <v>4.9183210697007686E-2</v>
      </c>
      <c r="H1188" s="37">
        <f t="shared" si="128"/>
        <v>111.60309888890106</v>
      </c>
      <c r="I1188" s="37">
        <f t="shared" si="130"/>
        <v>41.036459461448921</v>
      </c>
      <c r="J1188" s="37">
        <v>46.018462698576123</v>
      </c>
      <c r="K1188" s="37">
        <f t="shared" si="131"/>
        <v>27.577518069919183</v>
      </c>
      <c r="L1188" s="37"/>
      <c r="M1188" s="375">
        <f t="shared" si="133"/>
        <v>2.7806659659003453E-2</v>
      </c>
    </row>
    <row r="1189" spans="1:13" s="6" customFormat="1" ht="18">
      <c r="A1189" s="105">
        <v>44</v>
      </c>
      <c r="B1189" s="24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32"/>
        <v>6240.13</v>
      </c>
      <c r="G1189" s="324">
        <f t="shared" si="127"/>
        <v>3.7722329660782365E-2</v>
      </c>
      <c r="H1189" s="37">
        <f t="shared" si="128"/>
        <v>85.596869903171097</v>
      </c>
      <c r="I1189" s="37">
        <f t="shared" si="130"/>
        <v>31.473969063396016</v>
      </c>
      <c r="J1189" s="37">
        <v>34.866761837327047</v>
      </c>
      <c r="K1189" s="37">
        <f t="shared" si="131"/>
        <v>21.15128746409728</v>
      </c>
      <c r="L1189" s="37"/>
      <c r="M1189" s="375">
        <f t="shared" si="133"/>
        <v>2.7738026013559239E-2</v>
      </c>
    </row>
    <row r="1190" spans="1:13" s="6" customFormat="1" ht="18">
      <c r="A1190" s="105">
        <v>45</v>
      </c>
      <c r="B1190" s="24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32"/>
        <v>6278.0199999999995</v>
      </c>
      <c r="G1190" s="324">
        <f t="shared" si="127"/>
        <v>3.7951379227193167E-2</v>
      </c>
      <c r="H1190" s="37">
        <f t="shared" si="128"/>
        <v>86.116613145800841</v>
      </c>
      <c r="I1190" s="37">
        <f t="shared" si="130"/>
        <v>31.665078653710971</v>
      </c>
      <c r="J1190" s="37">
        <v>29.565375567612691</v>
      </c>
      <c r="K1190" s="37">
        <f t="shared" si="131"/>
        <v>21.279717846479482</v>
      </c>
      <c r="L1190" s="37"/>
      <c r="M1190" s="375">
        <f t="shared" si="133"/>
        <v>2.6859867476306861E-2</v>
      </c>
    </row>
    <row r="1191" spans="1:13" s="6" customFormat="1" ht="18">
      <c r="A1191" s="105">
        <v>46</v>
      </c>
      <c r="B1191" s="24" t="s">
        <v>523</v>
      </c>
      <c r="C1191" s="330">
        <f>3994.79-6.68</f>
        <v>3988.11</v>
      </c>
      <c r="D1191" s="330"/>
      <c r="E1191" s="330"/>
      <c r="F1191" s="40">
        <f t="shared" si="132"/>
        <v>3988.11</v>
      </c>
      <c r="G1191" s="324">
        <f t="shared" si="127"/>
        <v>2.4108600324586629E-2</v>
      </c>
      <c r="H1191" s="37">
        <f t="shared" si="128"/>
        <v>54.705548254529262</v>
      </c>
      <c r="I1191" s="37">
        <f t="shared" si="130"/>
        <v>20.115230093190412</v>
      </c>
      <c r="J1191" s="37">
        <v>22.557305816949619</v>
      </c>
      <c r="K1191" s="37">
        <f>G1191*260.71</f>
        <v>6.2853531906229794</v>
      </c>
      <c r="L1191" s="37"/>
      <c r="M1191" s="375">
        <f t="shared" si="133"/>
        <v>2.5993123899614671E-2</v>
      </c>
    </row>
    <row r="1192" spans="1:13" s="6" customFormat="1" ht="18">
      <c r="A1192" s="105">
        <v>47</v>
      </c>
      <c r="B1192" s="24" t="s">
        <v>524</v>
      </c>
      <c r="C1192" s="330">
        <v>4150.55</v>
      </c>
      <c r="D1192" s="330"/>
      <c r="E1192" s="330"/>
      <c r="F1192" s="40">
        <f t="shared" si="132"/>
        <v>4150.55</v>
      </c>
      <c r="G1192" s="324">
        <f t="shared" si="127"/>
        <v>2.5090569487103677E-2</v>
      </c>
      <c r="H1192" s="37">
        <f t="shared" si="128"/>
        <v>56.933763940271568</v>
      </c>
      <c r="I1192" s="37">
        <f t="shared" si="130"/>
        <v>20.934545000837858</v>
      </c>
      <c r="J1192" s="37">
        <v>23.474561931834792</v>
      </c>
      <c r="K1192" s="37">
        <f t="shared" si="131"/>
        <v>14.068533217113904</v>
      </c>
      <c r="L1192" s="37"/>
      <c r="M1192" s="375">
        <f t="shared" si="133"/>
        <v>2.780629171797909E-2</v>
      </c>
    </row>
    <row r="1193" spans="1:13" s="6" customFormat="1" ht="18">
      <c r="A1193" s="105">
        <v>48</v>
      </c>
      <c r="B1193" s="24" t="s">
        <v>525</v>
      </c>
      <c r="C1193" s="330">
        <v>14374.02</v>
      </c>
      <c r="D1193" s="330"/>
      <c r="E1193" s="330"/>
      <c r="F1193" s="40">
        <f t="shared" si="132"/>
        <v>14374.02</v>
      </c>
      <c r="G1193" s="324">
        <f t="shared" si="127"/>
        <v>8.6892664253898397E-2</v>
      </c>
      <c r="H1193" s="37">
        <f t="shared" si="128"/>
        <v>197.17075123844847</v>
      </c>
      <c r="I1193" s="37">
        <f t="shared" si="130"/>
        <v>72.499685230377509</v>
      </c>
      <c r="J1193" s="37">
        <v>81.303043548091409</v>
      </c>
      <c r="K1193" s="37">
        <f t="shared" si="131"/>
        <v>48.721585773803376</v>
      </c>
      <c r="L1193" s="37"/>
      <c r="M1193" s="375">
        <f t="shared" si="133"/>
        <v>2.7806769838272159E-2</v>
      </c>
    </row>
    <row r="1194" spans="1:13" s="6" customFormat="1" ht="18">
      <c r="A1194" s="105">
        <v>49</v>
      </c>
      <c r="B1194" s="24" t="s">
        <v>526</v>
      </c>
      <c r="C1194" s="330">
        <v>4120.28</v>
      </c>
      <c r="D1194" s="330"/>
      <c r="E1194" s="330"/>
      <c r="F1194" s="40">
        <f t="shared" si="132"/>
        <v>4120.28</v>
      </c>
      <c r="G1194" s="324">
        <f t="shared" si="127"/>
        <v>2.4907583728981345E-2</v>
      </c>
      <c r="H1194" s="37">
        <f t="shared" si="128"/>
        <v>56.518545466943444</v>
      </c>
      <c r="I1194" s="37">
        <f t="shared" si="130"/>
        <v>20.781869168195104</v>
      </c>
      <c r="J1194" s="37">
        <v>23.306800839354711</v>
      </c>
      <c r="K1194" s="37">
        <f t="shared" si="131"/>
        <v>13.96593127267713</v>
      </c>
      <c r="L1194" s="37"/>
      <c r="M1194" s="375">
        <f t="shared" si="133"/>
        <v>2.7807126396062986E-2</v>
      </c>
    </row>
    <row r="1195" spans="1:13" s="6" customFormat="1" ht="18">
      <c r="A1195" s="105">
        <v>50</v>
      </c>
      <c r="B1195" s="24" t="s">
        <v>527</v>
      </c>
      <c r="C1195" s="330">
        <v>14371.39</v>
      </c>
      <c r="D1195" s="330"/>
      <c r="E1195" s="330"/>
      <c r="F1195" s="40">
        <f t="shared" si="132"/>
        <v>14371.39</v>
      </c>
      <c r="G1195" s="324">
        <f t="shared" si="127"/>
        <v>8.6876765590407745E-2</v>
      </c>
      <c r="H1195" s="37">
        <f t="shared" si="128"/>
        <v>197.13467510416194</v>
      </c>
      <c r="I1195" s="37">
        <f t="shared" si="130"/>
        <v>72.48642003580035</v>
      </c>
      <c r="J1195" s="37">
        <v>81.2475568212799</v>
      </c>
      <c r="K1195" s="37">
        <f t="shared" si="131"/>
        <v>48.712671234197529</v>
      </c>
      <c r="L1195" s="37"/>
      <c r="M1195" s="375">
        <f t="shared" si="133"/>
        <v>2.7803944030148769E-2</v>
      </c>
    </row>
    <row r="1196" spans="1:13" s="6" customFormat="1" ht="18">
      <c r="A1196" s="105">
        <v>51</v>
      </c>
      <c r="B1196" s="24" t="s">
        <v>528</v>
      </c>
      <c r="C1196" s="330">
        <v>9061.4</v>
      </c>
      <c r="D1196" s="330"/>
      <c r="E1196" s="330">
        <v>2450</v>
      </c>
      <c r="F1196" s="40">
        <f t="shared" si="132"/>
        <v>11511.4</v>
      </c>
      <c r="G1196" s="324">
        <f t="shared" si="127"/>
        <v>6.9587785135426683E-2</v>
      </c>
      <c r="H1196" s="37">
        <f t="shared" si="128"/>
        <v>157.90373088435075</v>
      </c>
      <c r="I1196" s="37">
        <f t="shared" si="130"/>
        <v>58.061201846175777</v>
      </c>
      <c r="J1196" s="37">
        <v>51.252258103316208</v>
      </c>
      <c r="K1196" s="37">
        <f>G1196*960.71</f>
        <v>66.853681057455773</v>
      </c>
      <c r="L1196" s="37"/>
      <c r="M1196" s="375">
        <f t="shared" si="133"/>
        <v>2.9020872516922227E-2</v>
      </c>
    </row>
    <row r="1197" spans="1:13" s="6" customFormat="1" ht="18">
      <c r="A1197" s="105">
        <v>52</v>
      </c>
      <c r="B1197" s="24" t="s">
        <v>529</v>
      </c>
      <c r="C1197" s="330">
        <v>6826.1</v>
      </c>
      <c r="D1197" s="330"/>
      <c r="E1197" s="330">
        <v>98.1</v>
      </c>
      <c r="F1197" s="40">
        <f t="shared" si="132"/>
        <v>6924.2000000000007</v>
      </c>
      <c r="G1197" s="324">
        <f t="shared" si="127"/>
        <v>4.1857614350532646E-2</v>
      </c>
      <c r="H1197" s="37">
        <f t="shared" si="128"/>
        <v>94.980368451224152</v>
      </c>
      <c r="I1197" s="37">
        <f t="shared" si="130"/>
        <v>34.924281479515123</v>
      </c>
      <c r="J1197" s="37">
        <v>38.598626004806178</v>
      </c>
      <c r="K1197" s="37">
        <f>G1197*960.71</f>
        <v>40.213028682700219</v>
      </c>
      <c r="L1197" s="37"/>
      <c r="M1197" s="375">
        <f t="shared" si="133"/>
        <v>3.0143020799261379E-2</v>
      </c>
    </row>
    <row r="1198" spans="1:13" s="6" customFormat="1" ht="18">
      <c r="A1198" s="105">
        <v>53</v>
      </c>
      <c r="B1198" s="24" t="s">
        <v>530</v>
      </c>
      <c r="C1198" s="330">
        <v>9038.0300000000007</v>
      </c>
      <c r="D1198" s="330"/>
      <c r="E1198" s="330">
        <v>1829.2</v>
      </c>
      <c r="F1198" s="40">
        <f t="shared" si="132"/>
        <v>10867.230000000001</v>
      </c>
      <c r="G1198" s="324">
        <f>1/165422.71*F1198</f>
        <v>6.5693700701675128E-2</v>
      </c>
      <c r="H1198" s="37">
        <f t="shared" si="128"/>
        <v>149.06754707319209</v>
      </c>
      <c r="I1198" s="37">
        <f t="shared" si="130"/>
        <v>54.812137058812738</v>
      </c>
      <c r="J1198" s="37">
        <v>49.470687337659605</v>
      </c>
      <c r="K1198" s="37">
        <f>G1198*960.71</f>
        <v>63.112595201106316</v>
      </c>
      <c r="L1198" s="37"/>
      <c r="M1198" s="375">
        <f t="shared" si="133"/>
        <v>2.9120849256965273E-2</v>
      </c>
    </row>
    <row r="1199" spans="1:13" s="6" customFormat="1" ht="18">
      <c r="A1199" s="105">
        <v>54</v>
      </c>
      <c r="B1199" s="24" t="s">
        <v>531</v>
      </c>
      <c r="C1199" s="330">
        <v>6690.6</v>
      </c>
      <c r="D1199" s="330"/>
      <c r="E1199" s="330">
        <v>855.4</v>
      </c>
      <c r="F1199" s="40">
        <f t="shared" si="132"/>
        <v>7546</v>
      </c>
      <c r="G1199" s="324">
        <f>1/165422.71*F1199</f>
        <v>4.5616469467825792E-2</v>
      </c>
      <c r="H1199" s="37">
        <f t="shared" si="128"/>
        <v>103.50969936352755</v>
      </c>
      <c r="I1199" s="37">
        <f t="shared" si="130"/>
        <v>38.060516455969079</v>
      </c>
      <c r="J1199" s="37">
        <v>37.843022351926422</v>
      </c>
      <c r="K1199" s="37">
        <f>G1199*960.71</f>
        <v>43.824198382434915</v>
      </c>
      <c r="L1199" s="37"/>
      <c r="M1199" s="375">
        <f t="shared" si="133"/>
        <v>2.9583545792984091E-2</v>
      </c>
    </row>
    <row r="1200" spans="1:13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132"/>
        <v>2503.4</v>
      </c>
      <c r="G1200" s="324">
        <f>1/165422.71*F1200</f>
        <v>1.5133351400179577E-2</v>
      </c>
      <c r="H1200" s="37">
        <f t="shared" si="128"/>
        <v>34.339541662689484</v>
      </c>
      <c r="I1200" s="37">
        <f t="shared" si="130"/>
        <v>12.626649469370925</v>
      </c>
      <c r="J1200" s="37">
        <v>0</v>
      </c>
      <c r="K1200" s="37">
        <f t="shared" si="131"/>
        <v>8.4854214635946903</v>
      </c>
      <c r="L1200" s="37"/>
      <c r="M1200" s="375">
        <v>0</v>
      </c>
    </row>
    <row r="1201" spans="1:13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>C1201+D1201+E1201</f>
        <v>1175</v>
      </c>
      <c r="G1201" s="324">
        <f>1/165422.71*F1201</f>
        <v>7.1030150576060569E-3</v>
      </c>
      <c r="H1201" s="37">
        <f t="shared" si="128"/>
        <v>16.117664557665634</v>
      </c>
      <c r="I1201" s="37">
        <f t="shared" si="130"/>
        <v>5.9264652578536543</v>
      </c>
      <c r="J1201" s="37">
        <v>0</v>
      </c>
      <c r="K1201" s="37">
        <f t="shared" si="131"/>
        <v>3.9827315729502923</v>
      </c>
      <c r="L1201" s="37"/>
      <c r="M1201" s="375">
        <v>0</v>
      </c>
    </row>
    <row r="1202" spans="1:13" s="114" customFormat="1" ht="15.75">
      <c r="A1202" s="112"/>
      <c r="B1202" s="112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153">
        <f>SUM(F1148:F1201)</f>
        <v>165422.71000000005</v>
      </c>
      <c r="G1202" s="324">
        <f>1/165422.71*F1202</f>
        <v>1.0000000000000002</v>
      </c>
      <c r="H1202" s="37">
        <f>G1202*2269.13</f>
        <v>2269.1300000000006</v>
      </c>
      <c r="I1202" s="113">
        <f>H1202*0.3677</f>
        <v>834.35910100000024</v>
      </c>
      <c r="J1202" s="37">
        <f>SUM(J1147:J1201)</f>
        <v>876.54000000000008</v>
      </c>
      <c r="K1202" s="37">
        <f t="shared" ref="K1202:K1231" si="134">G1202*560.71</f>
        <v>560.71000000000015</v>
      </c>
      <c r="L1202" s="37"/>
      <c r="M1202" s="115">
        <f>(K1202+J1202+I1202+H1202)/F1202</f>
        <v>2.7449309112394543E-2</v>
      </c>
    </row>
    <row r="1203" spans="1:13" s="6" customFormat="1" ht="15.75">
      <c r="A1203" s="9" t="s">
        <v>629</v>
      </c>
      <c r="B1203" s="8"/>
      <c r="C1203" s="8"/>
      <c r="D1203" s="8"/>
      <c r="E1203" s="8"/>
      <c r="F1203" s="40">
        <f t="shared" ref="F1203:F1228" si="135">C1203+D1203+E1203</f>
        <v>0</v>
      </c>
      <c r="G1203" s="223"/>
      <c r="H1203" s="37">
        <f>G1203*2077.52</f>
        <v>0</v>
      </c>
      <c r="I1203" s="37">
        <f>H1203*0.3677</f>
        <v>0</v>
      </c>
      <c r="J1203" s="37">
        <v>0</v>
      </c>
      <c r="K1203" s="37">
        <f t="shared" si="134"/>
        <v>0</v>
      </c>
      <c r="L1203" s="37"/>
      <c r="M1203" s="45"/>
    </row>
    <row r="1204" spans="1:13" s="6" customFormat="1" ht="15.75">
      <c r="A1204" s="8">
        <v>1</v>
      </c>
      <c r="B1204" s="8" t="s">
        <v>532</v>
      </c>
      <c r="C1204" s="142">
        <v>3898.29</v>
      </c>
      <c r="D1204" s="142">
        <v>123.1</v>
      </c>
      <c r="E1204" s="142">
        <v>374.5</v>
      </c>
      <c r="F1204" s="40">
        <f t="shared" si="135"/>
        <v>4395.8899999999994</v>
      </c>
      <c r="G1204" s="66">
        <f t="shared" ref="G1204:G1231" si="136">1/90456.66*F1204</f>
        <v>4.8596642856368999E-2</v>
      </c>
      <c r="H1204" s="37">
        <f t="shared" ref="H1204:H1231" si="137">G1204*2269.13</f>
        <v>110.2721002046726</v>
      </c>
      <c r="I1204" s="37">
        <f>H1204*0.3677</f>
        <v>40.547051245258118</v>
      </c>
      <c r="J1204" s="37">
        <v>42.596948420324622</v>
      </c>
      <c r="K1204" s="37">
        <f t="shared" si="134"/>
        <v>27.248623615994664</v>
      </c>
      <c r="L1204" s="37"/>
      <c r="M1204" s="45">
        <f t="shared" ref="M1204:M1220" si="138">(K1204+J1204+I1204+H1204)/F1204</f>
        <v>5.0197962980477226E-2</v>
      </c>
    </row>
    <row r="1205" spans="1:13" s="6" customFormat="1" ht="15.75">
      <c r="A1205" s="8">
        <v>2</v>
      </c>
      <c r="B1205" s="8" t="s">
        <v>533</v>
      </c>
      <c r="C1205" s="55">
        <v>3600.73</v>
      </c>
      <c r="D1205" s="55"/>
      <c r="E1205" s="55">
        <v>290.5</v>
      </c>
      <c r="F1205" s="40">
        <f t="shared" si="135"/>
        <v>3891.23</v>
      </c>
      <c r="G1205" s="66">
        <f t="shared" si="136"/>
        <v>4.3017617497705531E-2</v>
      </c>
      <c r="H1205" s="37">
        <f t="shared" si="137"/>
        <v>97.612566392568553</v>
      </c>
      <c r="I1205" s="37">
        <f t="shared" ref="I1205:I1228" si="139">H1205*0.3677</f>
        <v>35.892140662547462</v>
      </c>
      <c r="J1205" s="37">
        <v>37.706704126267901</v>
      </c>
      <c r="K1205" s="37">
        <f t="shared" si="134"/>
        <v>24.120408307138469</v>
      </c>
      <c r="L1205" s="37"/>
      <c r="M1205" s="45">
        <f t="shared" si="138"/>
        <v>5.0197962980477226E-2</v>
      </c>
    </row>
    <row r="1206" spans="1:13" s="6" customFormat="1" ht="15.75">
      <c r="A1206" s="8">
        <v>3</v>
      </c>
      <c r="B1206" s="8" t="s">
        <v>534</v>
      </c>
      <c r="C1206" s="55">
        <v>5868.42</v>
      </c>
      <c r="D1206" s="55">
        <v>489.8</v>
      </c>
      <c r="E1206" s="55"/>
      <c r="F1206" s="40">
        <f t="shared" si="135"/>
        <v>6358.22</v>
      </c>
      <c r="G1206" s="66">
        <f t="shared" si="136"/>
        <v>7.029023623025657E-2</v>
      </c>
      <c r="H1206" s="37">
        <f t="shared" si="137"/>
        <v>159.49768373716211</v>
      </c>
      <c r="I1206" s="37">
        <f t="shared" si="139"/>
        <v>58.647298310154511</v>
      </c>
      <c r="J1206" s="37">
        <v>61.612271777746138</v>
      </c>
      <c r="K1206" s="37">
        <f t="shared" si="134"/>
        <v>39.412438356667167</v>
      </c>
      <c r="L1206" s="37"/>
      <c r="M1206" s="45">
        <f t="shared" si="138"/>
        <v>5.0197962980477233E-2</v>
      </c>
    </row>
    <row r="1207" spans="1:13" s="6" customFormat="1" ht="15.75">
      <c r="A1207" s="8">
        <v>4</v>
      </c>
      <c r="B1207" s="8" t="s">
        <v>535</v>
      </c>
      <c r="C1207" s="55">
        <v>4090.86</v>
      </c>
      <c r="D1207" s="55"/>
      <c r="E1207" s="55"/>
      <c r="F1207" s="40">
        <f t="shared" si="135"/>
        <v>4090.86</v>
      </c>
      <c r="G1207" s="66">
        <f t="shared" si="136"/>
        <v>4.5224530731070543E-2</v>
      </c>
      <c r="H1207" s="37">
        <f t="shared" si="137"/>
        <v>102.62033941779411</v>
      </c>
      <c r="I1207" s="37">
        <f t="shared" si="139"/>
        <v>37.733498803922899</v>
      </c>
      <c r="J1207" s="37">
        <v>39.641153990379472</v>
      </c>
      <c r="K1207" s="37">
        <f t="shared" si="134"/>
        <v>25.357846626218567</v>
      </c>
      <c r="L1207" s="37"/>
      <c r="M1207" s="45">
        <f t="shared" si="138"/>
        <v>5.0197962980477219E-2</v>
      </c>
    </row>
    <row r="1208" spans="1:13" s="6" customFormat="1" ht="15.75">
      <c r="A1208" s="8">
        <v>5</v>
      </c>
      <c r="B1208" s="8" t="s">
        <v>536</v>
      </c>
      <c r="C1208" s="55">
        <v>3274.15</v>
      </c>
      <c r="D1208" s="55"/>
      <c r="E1208" s="55"/>
      <c r="F1208" s="40">
        <f t="shared" si="135"/>
        <v>3274.15</v>
      </c>
      <c r="G1208" s="66">
        <f t="shared" si="136"/>
        <v>3.6195787021099386E-2</v>
      </c>
      <c r="H1208" s="37">
        <f t="shared" si="137"/>
        <v>82.132946203187259</v>
      </c>
      <c r="I1208" s="37">
        <f t="shared" si="139"/>
        <v>30.200284318911958</v>
      </c>
      <c r="J1208" s="37">
        <v>31.727090229829656</v>
      </c>
      <c r="K1208" s="37">
        <f t="shared" si="134"/>
        <v>20.295339740600639</v>
      </c>
      <c r="L1208" s="37"/>
      <c r="M1208" s="45">
        <f t="shared" si="138"/>
        <v>5.0197962980477226E-2</v>
      </c>
    </row>
    <row r="1209" spans="1:13" s="6" customFormat="1" ht="15.75">
      <c r="A1209" s="8">
        <v>6</v>
      </c>
      <c r="B1209" s="8" t="s">
        <v>537</v>
      </c>
      <c r="C1209" s="55">
        <v>6596</v>
      </c>
      <c r="D1209" s="55"/>
      <c r="E1209" s="55"/>
      <c r="F1209" s="40">
        <f t="shared" si="135"/>
        <v>6596</v>
      </c>
      <c r="G1209" s="66">
        <f t="shared" si="136"/>
        <v>7.2918898398415324E-2</v>
      </c>
      <c r="H1209" s="37">
        <f t="shared" si="137"/>
        <v>165.46245992279617</v>
      </c>
      <c r="I1209" s="37">
        <f t="shared" si="139"/>
        <v>60.840546513612153</v>
      </c>
      <c r="J1209" s="37">
        <v>63.916401861843958</v>
      </c>
      <c r="K1209" s="37">
        <f t="shared" si="134"/>
        <v>40.886355520975457</v>
      </c>
      <c r="L1209" s="37"/>
      <c r="M1209" s="45">
        <f t="shared" si="138"/>
        <v>5.0197962980477219E-2</v>
      </c>
    </row>
    <row r="1210" spans="1:13" s="6" customFormat="1" ht="15.75">
      <c r="A1210" s="8">
        <v>7</v>
      </c>
      <c r="B1210" s="8" t="s">
        <v>538</v>
      </c>
      <c r="C1210" s="55">
        <v>7101.2</v>
      </c>
      <c r="D1210" s="55"/>
      <c r="E1210" s="55"/>
      <c r="F1210" s="40">
        <f t="shared" si="135"/>
        <v>7101.2</v>
      </c>
      <c r="G1210" s="66">
        <f t="shared" si="136"/>
        <v>7.8503893466771821E-2</v>
      </c>
      <c r="H1210" s="37">
        <f t="shared" si="137"/>
        <v>178.13553978225596</v>
      </c>
      <c r="I1210" s="37">
        <f t="shared" si="139"/>
        <v>65.500437977935519</v>
      </c>
      <c r="J1210" s="37">
        <v>68.811878851019756</v>
      </c>
      <c r="K1210" s="37">
        <f t="shared" si="134"/>
        <v>44.01791810575363</v>
      </c>
      <c r="L1210" s="37"/>
      <c r="M1210" s="45">
        <f t="shared" si="138"/>
        <v>5.0197962980477226E-2</v>
      </c>
    </row>
    <row r="1211" spans="1:13" s="6" customFormat="1" ht="15.75">
      <c r="A1211" s="8">
        <v>8</v>
      </c>
      <c r="B1211" s="8" t="s">
        <v>539</v>
      </c>
      <c r="C1211" s="55">
        <v>7470.48</v>
      </c>
      <c r="D1211" s="55"/>
      <c r="E1211" s="55"/>
      <c r="F1211" s="40">
        <f t="shared" si="135"/>
        <v>7470.48</v>
      </c>
      <c r="G1211" s="66">
        <f t="shared" si="136"/>
        <v>8.2586290495359871E-2</v>
      </c>
      <c r="H1211" s="37">
        <f t="shared" si="137"/>
        <v>187.39902935173595</v>
      </c>
      <c r="I1211" s="37">
        <f t="shared" si="139"/>
        <v>68.906623092633311</v>
      </c>
      <c r="J1211" s="37">
        <v>72.390267098372959</v>
      </c>
      <c r="K1211" s="37">
        <f t="shared" si="134"/>
        <v>46.306958943653235</v>
      </c>
      <c r="L1211" s="37"/>
      <c r="M1211" s="45">
        <f t="shared" si="138"/>
        <v>5.0197962980477219E-2</v>
      </c>
    </row>
    <row r="1212" spans="1:13" s="6" customFormat="1" ht="15.75">
      <c r="A1212" s="8">
        <v>9</v>
      </c>
      <c r="B1212" s="8" t="s">
        <v>540</v>
      </c>
      <c r="C1212" s="55">
        <v>2276.6</v>
      </c>
      <c r="D1212" s="55"/>
      <c r="E1212" s="55"/>
      <c r="F1212" s="40">
        <f t="shared" si="135"/>
        <v>2276.6</v>
      </c>
      <c r="G1212" s="66">
        <f t="shared" si="136"/>
        <v>2.5167853865044318E-2</v>
      </c>
      <c r="H1212" s="37">
        <f t="shared" si="137"/>
        <v>57.109132240788014</v>
      </c>
      <c r="I1212" s="37">
        <f t="shared" si="139"/>
        <v>20.999027924937753</v>
      </c>
      <c r="J1212" s="37">
        <v>22.060655014959664</v>
      </c>
      <c r="K1212" s="37">
        <f t="shared" si="134"/>
        <v>14.111867340669001</v>
      </c>
      <c r="L1212" s="37"/>
      <c r="M1212" s="45">
        <f t="shared" si="138"/>
        <v>5.0197962980477219E-2</v>
      </c>
    </row>
    <row r="1213" spans="1:13" s="6" customFormat="1" ht="15.75">
      <c r="A1213" s="8">
        <v>10</v>
      </c>
      <c r="B1213" s="8" t="s">
        <v>541</v>
      </c>
      <c r="C1213" s="55">
        <v>4642.43</v>
      </c>
      <c r="D1213" s="55"/>
      <c r="E1213" s="55"/>
      <c r="F1213" s="40">
        <f t="shared" si="135"/>
        <v>4642.43</v>
      </c>
      <c r="G1213" s="66">
        <f t="shared" si="136"/>
        <v>5.1322146981770053E-2</v>
      </c>
      <c r="H1213" s="37">
        <f t="shared" si="137"/>
        <v>116.45662338074389</v>
      </c>
      <c r="I1213" s="37">
        <f t="shared" si="139"/>
        <v>42.82110041709953</v>
      </c>
      <c r="J1213" s="37">
        <v>44.985964447465172</v>
      </c>
      <c r="K1213" s="37">
        <f t="shared" si="134"/>
        <v>28.776841034148287</v>
      </c>
      <c r="L1213" s="37"/>
      <c r="M1213" s="45">
        <f t="shared" si="138"/>
        <v>5.0197962980477219E-2</v>
      </c>
    </row>
    <row r="1214" spans="1:13" s="6" customFormat="1" ht="15.75">
      <c r="A1214" s="8">
        <v>11</v>
      </c>
      <c r="B1214" s="8" t="s">
        <v>542</v>
      </c>
      <c r="C1214" s="55">
        <v>3634.2</v>
      </c>
      <c r="D1214" s="55"/>
      <c r="E1214" s="55"/>
      <c r="F1214" s="40">
        <f t="shared" si="135"/>
        <v>3634.2</v>
      </c>
      <c r="G1214" s="66">
        <f t="shared" si="136"/>
        <v>4.0176146234008635E-2</v>
      </c>
      <c r="H1214" s="37">
        <f t="shared" si="137"/>
        <v>91.164898703976021</v>
      </c>
      <c r="I1214" s="37">
        <f t="shared" si="139"/>
        <v>33.521333253451985</v>
      </c>
      <c r="J1214" s="37">
        <v>35.21603815135132</v>
      </c>
      <c r="K1214" s="37">
        <f t="shared" si="134"/>
        <v>22.527166954870982</v>
      </c>
      <c r="L1214" s="37"/>
      <c r="M1214" s="45">
        <f t="shared" si="138"/>
        <v>5.0197962980477219E-2</v>
      </c>
    </row>
    <row r="1215" spans="1:13" s="6" customFormat="1" ht="15.75">
      <c r="A1215" s="8">
        <v>12</v>
      </c>
      <c r="B1215" s="8" t="s">
        <v>543</v>
      </c>
      <c r="C1215" s="55">
        <v>5551.35</v>
      </c>
      <c r="D1215" s="55"/>
      <c r="E1215" s="55"/>
      <c r="F1215" s="40">
        <f t="shared" si="135"/>
        <v>5551.35</v>
      </c>
      <c r="G1215" s="66">
        <f t="shared" si="136"/>
        <v>6.1370273896913727E-2</v>
      </c>
      <c r="H1215" s="37">
        <f t="shared" si="137"/>
        <v>139.25712960770386</v>
      </c>
      <c r="I1215" s="37">
        <f t="shared" si="139"/>
        <v>51.204846556752713</v>
      </c>
      <c r="J1215" s="37">
        <v>53.793559350477182</v>
      </c>
      <c r="K1215" s="37">
        <f t="shared" si="134"/>
        <v>34.4109262767385</v>
      </c>
      <c r="L1215" s="37"/>
      <c r="M1215" s="45">
        <f t="shared" si="138"/>
        <v>5.0197962980477226E-2</v>
      </c>
    </row>
    <row r="1216" spans="1:13" s="6" customFormat="1" ht="15.75">
      <c r="A1216" s="8">
        <v>13</v>
      </c>
      <c r="B1216" s="8" t="s">
        <v>545</v>
      </c>
      <c r="C1216" s="55">
        <v>4556.37</v>
      </c>
      <c r="D1216" s="55"/>
      <c r="E1216" s="55"/>
      <c r="F1216" s="40">
        <f t="shared" si="135"/>
        <v>4556.37</v>
      </c>
      <c r="G1216" s="66">
        <f t="shared" si="136"/>
        <v>5.0370752136990243E-2</v>
      </c>
      <c r="H1216" s="37">
        <f t="shared" si="137"/>
        <v>114.29778479660868</v>
      </c>
      <c r="I1216" s="37">
        <f t="shared" si="139"/>
        <v>42.027295469713017</v>
      </c>
      <c r="J1216" s="37">
        <v>44.152027888303508</v>
      </c>
      <c r="K1216" s="37">
        <f t="shared" si="134"/>
        <v>28.243384430731801</v>
      </c>
      <c r="L1216" s="37"/>
      <c r="M1216" s="45">
        <f t="shared" si="138"/>
        <v>5.0197962980477219E-2</v>
      </c>
    </row>
    <row r="1217" spans="1:13" s="6" customFormat="1" ht="15.75">
      <c r="A1217" s="8">
        <v>14</v>
      </c>
      <c r="B1217" s="8" t="s">
        <v>546</v>
      </c>
      <c r="C1217" s="55">
        <v>4596.6099999999997</v>
      </c>
      <c r="D1217" s="55"/>
      <c r="E1217" s="55"/>
      <c r="F1217" s="40">
        <f t="shared" si="135"/>
        <v>4596.6099999999997</v>
      </c>
      <c r="G1217" s="66">
        <f t="shared" si="136"/>
        <v>5.0815606059299551E-2</v>
      </c>
      <c r="H1217" s="37">
        <f t="shared" si="137"/>
        <v>115.30721617733839</v>
      </c>
      <c r="I1217" s="37">
        <f t="shared" si="139"/>
        <v>42.398463388407329</v>
      </c>
      <c r="J1217" s="37">
        <v>44.541960576435798</v>
      </c>
      <c r="K1217" s="37">
        <f t="shared" si="134"/>
        <v>28.492818473509853</v>
      </c>
      <c r="L1217" s="37"/>
      <c r="M1217" s="45">
        <f t="shared" si="138"/>
        <v>5.0197962980477212E-2</v>
      </c>
    </row>
    <row r="1218" spans="1:13" s="6" customFormat="1" ht="15.75">
      <c r="A1218" s="8">
        <v>15</v>
      </c>
      <c r="B1218" s="8" t="s">
        <v>567</v>
      </c>
      <c r="C1218" s="55">
        <v>4490.43</v>
      </c>
      <c r="D1218" s="55"/>
      <c r="E1218" s="55"/>
      <c r="F1218" s="40">
        <f t="shared" si="135"/>
        <v>4490.43</v>
      </c>
      <c r="G1218" s="66">
        <f t="shared" si="136"/>
        <v>4.9641784253365094E-2</v>
      </c>
      <c r="H1218" s="37">
        <f t="shared" si="137"/>
        <v>112.64366190283835</v>
      </c>
      <c r="I1218" s="37">
        <f t="shared" si="139"/>
        <v>41.419074481673661</v>
      </c>
      <c r="J1218" s="37">
        <v>43.513057673208003</v>
      </c>
      <c r="K1218" s="37">
        <f t="shared" si="134"/>
        <v>27.834644848704343</v>
      </c>
      <c r="L1218" s="37"/>
      <c r="M1218" s="45">
        <f t="shared" si="138"/>
        <v>5.0197962980477226E-2</v>
      </c>
    </row>
    <row r="1219" spans="1:13" s="6" customFormat="1" ht="15.75">
      <c r="A1219" s="8">
        <v>16</v>
      </c>
      <c r="B1219" s="8" t="s">
        <v>568</v>
      </c>
      <c r="C1219" s="55">
        <v>4338.5</v>
      </c>
      <c r="D1219" s="55"/>
      <c r="E1219" s="55"/>
      <c r="F1219" s="40">
        <f t="shared" si="135"/>
        <v>4338.5</v>
      </c>
      <c r="G1219" s="66">
        <f t="shared" si="136"/>
        <v>4.7962195376216626E-2</v>
      </c>
      <c r="H1219" s="37">
        <f t="shared" si="137"/>
        <v>108.83245639403444</v>
      </c>
      <c r="I1219" s="37">
        <f t="shared" si="139"/>
        <v>40.017694216086468</v>
      </c>
      <c r="J1219" s="37">
        <v>42.040829211281086</v>
      </c>
      <c r="K1219" s="37">
        <f t="shared" si="134"/>
        <v>26.892882569398427</v>
      </c>
      <c r="L1219" s="37"/>
      <c r="M1219" s="45">
        <f t="shared" si="138"/>
        <v>5.0197962980477226E-2</v>
      </c>
    </row>
    <row r="1220" spans="1:13" s="6" customFormat="1" ht="15.75">
      <c r="A1220" s="8">
        <v>17</v>
      </c>
      <c r="B1220" s="8" t="s">
        <v>569</v>
      </c>
      <c r="C1220" s="55">
        <v>3131.06</v>
      </c>
      <c r="D1220" s="55"/>
      <c r="E1220" s="55"/>
      <c r="F1220" s="40">
        <f t="shared" si="135"/>
        <v>3131.06</v>
      </c>
      <c r="G1220" s="66">
        <f t="shared" si="136"/>
        <v>3.4613924502629213E-2</v>
      </c>
      <c r="H1220" s="37">
        <f t="shared" si="137"/>
        <v>78.543494506651029</v>
      </c>
      <c r="I1220" s="37">
        <f t="shared" si="139"/>
        <v>28.880442930095587</v>
      </c>
      <c r="J1220" s="37">
        <v>30.340522925037167</v>
      </c>
      <c r="K1220" s="37">
        <f t="shared" si="134"/>
        <v>19.408373607869226</v>
      </c>
      <c r="L1220" s="37"/>
      <c r="M1220" s="45">
        <f t="shared" si="138"/>
        <v>5.0197962980477226E-2</v>
      </c>
    </row>
    <row r="1221" spans="1:13" s="6" customFormat="1" ht="15.75">
      <c r="A1221" s="8">
        <v>18</v>
      </c>
      <c r="B1221" s="8" t="s">
        <v>570</v>
      </c>
      <c r="C1221" s="55">
        <v>3376.98</v>
      </c>
      <c r="D1221" s="55"/>
      <c r="E1221" s="55"/>
      <c r="F1221" s="40">
        <f t="shared" si="135"/>
        <v>3376.98</v>
      </c>
      <c r="G1221" s="66">
        <f t="shared" si="136"/>
        <v>3.7332574516901244E-2</v>
      </c>
      <c r="H1221" s="37">
        <f t="shared" si="137"/>
        <v>84.71246481353613</v>
      </c>
      <c r="I1221" s="37">
        <f t="shared" si="139"/>
        <v>31.148773311937237</v>
      </c>
      <c r="J1221" s="37">
        <v>32.723531042966925</v>
      </c>
      <c r="K1221" s="37">
        <f t="shared" si="134"/>
        <v>20.932747857371698</v>
      </c>
      <c r="L1221" s="37"/>
      <c r="M1221" s="45">
        <f>(K1221+J1221+I1221+H1221)/F1221</f>
        <v>5.0197962980477219E-2</v>
      </c>
    </row>
    <row r="1222" spans="1:13" s="6" customFormat="1" ht="15.75">
      <c r="A1222" s="8">
        <v>20</v>
      </c>
      <c r="B1222" s="8" t="s">
        <v>571</v>
      </c>
      <c r="C1222" s="55">
        <v>50.5</v>
      </c>
      <c r="D1222" s="55"/>
      <c r="E1222" s="55"/>
      <c r="F1222" s="40"/>
      <c r="G1222" s="66">
        <f t="shared" si="136"/>
        <v>0</v>
      </c>
      <c r="H1222" s="37">
        <f t="shared" si="137"/>
        <v>0</v>
      </c>
      <c r="I1222" s="37"/>
      <c r="J1222" s="37">
        <v>0</v>
      </c>
      <c r="K1222" s="37">
        <f t="shared" si="134"/>
        <v>0</v>
      </c>
      <c r="L1222" s="37"/>
      <c r="M1222" s="45"/>
    </row>
    <row r="1223" spans="1:13" s="6" customFormat="1" ht="15.75">
      <c r="A1223" s="8">
        <v>22</v>
      </c>
      <c r="B1223" s="8" t="s">
        <v>356</v>
      </c>
      <c r="C1223" s="55">
        <v>306.8</v>
      </c>
      <c r="D1223" s="55"/>
      <c r="E1223" s="55"/>
      <c r="F1223" s="40"/>
      <c r="G1223" s="66">
        <f t="shared" si="136"/>
        <v>0</v>
      </c>
      <c r="H1223" s="37">
        <f t="shared" si="137"/>
        <v>0</v>
      </c>
      <c r="I1223" s="37"/>
      <c r="J1223" s="37">
        <v>0</v>
      </c>
      <c r="K1223" s="37">
        <f t="shared" si="134"/>
        <v>0</v>
      </c>
      <c r="L1223" s="37"/>
      <c r="M1223" s="45"/>
    </row>
    <row r="1224" spans="1:13" s="6" customFormat="1" ht="15.75">
      <c r="A1224" s="8">
        <v>23</v>
      </c>
      <c r="B1224" s="8" t="s">
        <v>357</v>
      </c>
      <c r="C1224" s="55">
        <v>304.18</v>
      </c>
      <c r="D1224" s="55"/>
      <c r="E1224" s="55"/>
      <c r="F1224" s="40"/>
      <c r="G1224" s="66">
        <f t="shared" si="136"/>
        <v>0</v>
      </c>
      <c r="H1224" s="37">
        <f t="shared" si="137"/>
        <v>0</v>
      </c>
      <c r="I1224" s="37"/>
      <c r="J1224" s="37">
        <v>0</v>
      </c>
      <c r="K1224" s="37">
        <f t="shared" si="134"/>
        <v>0</v>
      </c>
      <c r="L1224" s="37"/>
      <c r="M1224" s="45"/>
    </row>
    <row r="1225" spans="1:13" s="6" customFormat="1" ht="15.75">
      <c r="A1225" s="8">
        <v>24</v>
      </c>
      <c r="B1225" s="8" t="s">
        <v>358</v>
      </c>
      <c r="C1225" s="55">
        <v>823.48</v>
      </c>
      <c r="D1225" s="55"/>
      <c r="E1225" s="55"/>
      <c r="F1225" s="40"/>
      <c r="G1225" s="66">
        <f t="shared" si="136"/>
        <v>0</v>
      </c>
      <c r="H1225" s="37">
        <f t="shared" si="137"/>
        <v>0</v>
      </c>
      <c r="I1225" s="37"/>
      <c r="J1225" s="37">
        <v>0</v>
      </c>
      <c r="K1225" s="37">
        <f t="shared" si="134"/>
        <v>0</v>
      </c>
      <c r="L1225" s="37"/>
      <c r="M1225" s="45"/>
    </row>
    <row r="1226" spans="1:13" s="6" customFormat="1" ht="15.75">
      <c r="A1226" s="8">
        <v>25</v>
      </c>
      <c r="B1226" s="8" t="s">
        <v>359</v>
      </c>
      <c r="C1226" s="55">
        <v>733.47</v>
      </c>
      <c r="D1226" s="55"/>
      <c r="E1226" s="55">
        <v>70</v>
      </c>
      <c r="F1226" s="40"/>
      <c r="G1226" s="66">
        <f t="shared" si="136"/>
        <v>0</v>
      </c>
      <c r="H1226" s="37">
        <f t="shared" si="137"/>
        <v>0</v>
      </c>
      <c r="I1226" s="37"/>
      <c r="J1226" s="37">
        <v>0</v>
      </c>
      <c r="K1226" s="37">
        <f t="shared" si="134"/>
        <v>0</v>
      </c>
      <c r="L1226" s="37"/>
      <c r="M1226" s="45"/>
    </row>
    <row r="1227" spans="1:13" s="6" customFormat="1" ht="15.75">
      <c r="A1227" s="8">
        <v>26</v>
      </c>
      <c r="B1227" s="8" t="s">
        <v>360</v>
      </c>
      <c r="C1227" s="55">
        <v>4465.32</v>
      </c>
      <c r="D1227" s="55"/>
      <c r="E1227" s="55"/>
      <c r="F1227" s="40">
        <f t="shared" si="135"/>
        <v>4465.32</v>
      </c>
      <c r="G1227" s="66">
        <f t="shared" si="136"/>
        <v>4.9364192752639764E-2</v>
      </c>
      <c r="H1227" s="37">
        <f t="shared" si="137"/>
        <v>112.01377070079748</v>
      </c>
      <c r="I1227" s="37">
        <f t="shared" si="139"/>
        <v>41.187463486683235</v>
      </c>
      <c r="J1227" s="37">
        <v>43.269737350171177</v>
      </c>
      <c r="K1227" s="37">
        <f t="shared" si="134"/>
        <v>27.678996518332642</v>
      </c>
      <c r="L1227" s="37"/>
      <c r="M1227" s="45">
        <f>(K1227+J1227+I1227+H1227)/F1227</f>
        <v>5.0197962980477219E-2</v>
      </c>
    </row>
    <row r="1228" spans="1:13" s="6" customFormat="1" ht="15.75">
      <c r="A1228" s="8">
        <v>27</v>
      </c>
      <c r="B1228" s="8" t="s">
        <v>361</v>
      </c>
      <c r="C1228" s="55">
        <v>2218.6799999999998</v>
      </c>
      <c r="D1228" s="55"/>
      <c r="E1228" s="55"/>
      <c r="F1228" s="40">
        <f t="shared" si="135"/>
        <v>2218.6799999999998</v>
      </c>
      <c r="G1228" s="66">
        <f t="shared" si="136"/>
        <v>2.4527547225378428E-2</v>
      </c>
      <c r="H1228" s="37">
        <f t="shared" si="137"/>
        <v>55.656193235522956</v>
      </c>
      <c r="I1228" s="37">
        <f t="shared" si="139"/>
        <v>20.464782252701792</v>
      </c>
      <c r="J1228" s="37">
        <v>21.49940001255851</v>
      </c>
      <c r="K1228" s="37">
        <f t="shared" si="134"/>
        <v>13.752841004741938</v>
      </c>
      <c r="L1228" s="37"/>
      <c r="M1228" s="45">
        <f>(K1228+J1228+I1228+H1228)/F1228</f>
        <v>5.0197962980477219E-2</v>
      </c>
    </row>
    <row r="1229" spans="1:13" s="6" customFormat="1" ht="15.75">
      <c r="A1229" s="8">
        <v>28</v>
      </c>
      <c r="B1229" s="8" t="s">
        <v>362</v>
      </c>
      <c r="C1229" s="55">
        <v>120.8</v>
      </c>
      <c r="D1229" s="55"/>
      <c r="E1229" s="55"/>
      <c r="F1229" s="40"/>
      <c r="G1229" s="66">
        <f t="shared" si="136"/>
        <v>0</v>
      </c>
      <c r="H1229" s="37">
        <f t="shared" si="137"/>
        <v>0</v>
      </c>
      <c r="I1229" s="37"/>
      <c r="J1229" s="37">
        <v>0</v>
      </c>
      <c r="K1229" s="37">
        <f t="shared" si="134"/>
        <v>0</v>
      </c>
      <c r="L1229" s="37"/>
      <c r="M1229" s="45"/>
    </row>
    <row r="1230" spans="1:13" s="6" customFormat="1" ht="15.75">
      <c r="A1230" s="8">
        <v>30</v>
      </c>
      <c r="B1230" s="8" t="s">
        <v>363</v>
      </c>
      <c r="C1230" s="55">
        <v>174.6</v>
      </c>
      <c r="D1230" s="55"/>
      <c r="E1230" s="55"/>
      <c r="F1230" s="40"/>
      <c r="G1230" s="66">
        <f t="shared" si="136"/>
        <v>0</v>
      </c>
      <c r="H1230" s="37">
        <f t="shared" si="137"/>
        <v>0</v>
      </c>
      <c r="I1230" s="37"/>
      <c r="J1230" s="37">
        <v>0</v>
      </c>
      <c r="K1230" s="37">
        <f t="shared" si="134"/>
        <v>0</v>
      </c>
      <c r="L1230" s="37"/>
      <c r="M1230" s="45"/>
    </row>
    <row r="1231" spans="1:13" s="6" customFormat="1" ht="15.75">
      <c r="A1231" s="8">
        <v>31</v>
      </c>
      <c r="B1231" s="8" t="s">
        <v>364</v>
      </c>
      <c r="C1231" s="55">
        <v>139.19999999999999</v>
      </c>
      <c r="D1231" s="55"/>
      <c r="E1231" s="55"/>
      <c r="F1231" s="40"/>
      <c r="G1231" s="66">
        <f t="shared" si="136"/>
        <v>0</v>
      </c>
      <c r="H1231" s="37">
        <f t="shared" si="137"/>
        <v>0</v>
      </c>
      <c r="I1231" s="37"/>
      <c r="J1231" s="37">
        <v>0</v>
      </c>
      <c r="K1231" s="37">
        <f t="shared" si="134"/>
        <v>0</v>
      </c>
      <c r="L1231" s="37"/>
      <c r="M1231" s="45"/>
    </row>
    <row r="1232" spans="1:13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>SUM(F1204:F1231)</f>
        <v>90456.559999999969</v>
      </c>
      <c r="G1232" s="66">
        <f>1/90456.66*F1232</f>
        <v>0.99999889449820456</v>
      </c>
      <c r="H1232" s="37">
        <f>G1232*2269.13</f>
        <v>2269.127491472711</v>
      </c>
      <c r="I1232" s="64">
        <f>H1232*0.3677</f>
        <v>834.35817861451585</v>
      </c>
      <c r="J1232" s="37">
        <f>SUM(J1203:J1231)</f>
        <v>876.54</v>
      </c>
      <c r="K1232" s="68">
        <f>SUM(K1204:K1231)</f>
        <v>560.70938013408852</v>
      </c>
      <c r="L1232" s="68"/>
      <c r="M1232" s="73">
        <f>(K1232+J1232+I1232+H1232)/F1232</f>
        <v>5.0197962980477233E-2</v>
      </c>
    </row>
    <row r="1233" spans="2:13" s="6" customFormat="1" ht="15.75">
      <c r="F1233" s="34"/>
      <c r="G1233" s="66"/>
      <c r="H1233" s="34"/>
      <c r="I1233" s="34"/>
      <c r="J1233" s="34"/>
      <c r="K1233" s="34"/>
      <c r="L1233" s="34"/>
      <c r="M1233" s="110"/>
    </row>
    <row r="1234" spans="2:13" s="69" customFormat="1" ht="15.75">
      <c r="B1234" s="69" t="s">
        <v>667</v>
      </c>
      <c r="C1234" s="65">
        <f t="shared" ref="C1234:M1234" si="140">C90+C384+C535+C747+C879+C1146+C1202+C1232+C67</f>
        <v>1462225.1199999999</v>
      </c>
      <c r="D1234" s="65">
        <f t="shared" si="140"/>
        <v>5136.32</v>
      </c>
      <c r="E1234" s="65">
        <f t="shared" si="140"/>
        <v>17536.899999999998</v>
      </c>
      <c r="F1234" s="65">
        <f t="shared" si="140"/>
        <v>1412806.75</v>
      </c>
      <c r="G1234" s="65">
        <f t="shared" si="140"/>
        <v>16.499998894498205</v>
      </c>
      <c r="H1234" s="65">
        <f t="shared" si="140"/>
        <v>38398.722491472712</v>
      </c>
      <c r="I1234" s="65">
        <f t="shared" si="140"/>
        <v>14119.210260114516</v>
      </c>
      <c r="J1234" s="65">
        <f t="shared" si="140"/>
        <v>15976.486435444665</v>
      </c>
      <c r="K1234" s="65">
        <f t="shared" si="140"/>
        <v>9565.7119801340905</v>
      </c>
      <c r="L1234" s="65">
        <f t="shared" si="140"/>
        <v>5509.0542494000001</v>
      </c>
      <c r="M1234" s="65">
        <f t="shared" si="140"/>
        <v>0.51496779793323633</v>
      </c>
    </row>
    <row r="1235" spans="2:13" s="6" customFormat="1" ht="15.75">
      <c r="F1235" s="34"/>
      <c r="G1235" s="67"/>
      <c r="H1235" s="34"/>
      <c r="I1235" s="34"/>
      <c r="J1235" s="34"/>
      <c r="K1235" s="34"/>
      <c r="L1235" s="34"/>
      <c r="M1235" s="110"/>
    </row>
    <row r="1236" spans="2:13" s="6" customFormat="1" ht="15.75">
      <c r="F1236" s="34"/>
      <c r="G1236" s="67"/>
      <c r="H1236" s="34"/>
      <c r="I1236" s="34"/>
      <c r="J1236" s="34"/>
      <c r="K1236" s="34"/>
      <c r="L1236" s="34"/>
      <c r="M1236" s="110"/>
    </row>
    <row r="1237" spans="2:13" s="6" customFormat="1" ht="15.75">
      <c r="F1237" s="34"/>
      <c r="G1237" s="67"/>
      <c r="H1237" s="34"/>
      <c r="I1237" s="34"/>
      <c r="J1237" s="34"/>
      <c r="K1237" s="34"/>
      <c r="L1237" s="34"/>
      <c r="M1237" s="110"/>
    </row>
    <row r="1238" spans="2:13" s="6" customFormat="1" ht="15.75">
      <c r="F1238" s="34"/>
      <c r="G1238" s="67"/>
      <c r="H1238" s="34"/>
      <c r="I1238" s="34"/>
      <c r="J1238" s="34"/>
      <c r="K1238" s="34"/>
      <c r="L1238" s="34"/>
      <c r="M1238" s="110"/>
    </row>
    <row r="1239" spans="2:13" s="6" customFormat="1" ht="15.75">
      <c r="F1239" s="34"/>
      <c r="G1239" s="67"/>
      <c r="H1239" s="34"/>
      <c r="I1239" s="34"/>
      <c r="J1239" s="34"/>
      <c r="K1239" s="34"/>
      <c r="L1239" s="34"/>
      <c r="M1239" s="110"/>
    </row>
    <row r="1240" spans="2:13" s="6" customFormat="1" ht="15.75">
      <c r="F1240" s="34"/>
      <c r="G1240" s="67"/>
      <c r="H1240" s="34"/>
      <c r="I1240" s="34"/>
      <c r="J1240" s="34"/>
      <c r="K1240" s="34"/>
      <c r="L1240" s="34"/>
      <c r="M1240" s="110"/>
    </row>
    <row r="1241" spans="2:13" s="6" customFormat="1" ht="15.75">
      <c r="F1241" s="34"/>
      <c r="G1241" s="67"/>
      <c r="H1241" s="34"/>
      <c r="I1241" s="34"/>
      <c r="J1241" s="34"/>
      <c r="K1241" s="34"/>
      <c r="L1241" s="34"/>
      <c r="M1241" s="110"/>
    </row>
    <row r="1242" spans="2:13" s="6" customFormat="1" ht="15.75">
      <c r="F1242" s="34"/>
      <c r="G1242" s="67"/>
      <c r="H1242" s="34"/>
      <c r="I1242" s="34"/>
      <c r="J1242" s="34"/>
      <c r="K1242" s="34"/>
      <c r="L1242" s="34"/>
      <c r="M1242" s="110"/>
    </row>
    <row r="1243" spans="2:13" s="6" customFormat="1" ht="15.75">
      <c r="F1243" s="34"/>
      <c r="G1243" s="67"/>
      <c r="H1243" s="34"/>
      <c r="I1243" s="34"/>
      <c r="J1243" s="34"/>
      <c r="K1243" s="34"/>
      <c r="L1243" s="34"/>
      <c r="M1243" s="110"/>
    </row>
    <row r="1244" spans="2:13" s="6" customFormat="1" ht="15.75">
      <c r="F1244" s="34"/>
      <c r="G1244" s="67"/>
      <c r="H1244" s="34"/>
      <c r="I1244" s="34"/>
      <c r="J1244" s="34"/>
      <c r="K1244" s="34"/>
      <c r="L1244" s="34"/>
      <c r="M1244" s="110"/>
    </row>
    <row r="1245" spans="2:13" s="6" customFormat="1" ht="15.75">
      <c r="F1245" s="34"/>
      <c r="G1245" s="67"/>
      <c r="H1245" s="34"/>
      <c r="I1245" s="34"/>
      <c r="J1245" s="34"/>
      <c r="K1245" s="34"/>
      <c r="L1245" s="34"/>
      <c r="M1245" s="110"/>
    </row>
    <row r="1246" spans="2:13" s="6" customFormat="1" ht="15.75">
      <c r="F1246" s="34"/>
      <c r="G1246" s="67"/>
      <c r="H1246" s="34"/>
      <c r="I1246" s="34"/>
      <c r="J1246" s="34"/>
      <c r="K1246" s="34"/>
      <c r="L1246" s="34"/>
      <c r="M1246" s="110"/>
    </row>
    <row r="1247" spans="2:13" s="6" customFormat="1" ht="15.75">
      <c r="F1247" s="34"/>
      <c r="G1247" s="67"/>
      <c r="H1247" s="34"/>
      <c r="I1247" s="34"/>
      <c r="J1247" s="34"/>
      <c r="K1247" s="34"/>
      <c r="L1247" s="34"/>
      <c r="M1247" s="110"/>
    </row>
    <row r="1248" spans="2:13" s="6" customFormat="1" ht="15.75">
      <c r="F1248" s="34"/>
      <c r="G1248" s="67"/>
      <c r="H1248" s="34"/>
      <c r="I1248" s="34"/>
      <c r="J1248" s="34"/>
      <c r="K1248" s="34"/>
      <c r="L1248" s="34"/>
      <c r="M1248" s="110"/>
    </row>
    <row r="1249" spans="6:13" s="6" customFormat="1" ht="15.75">
      <c r="F1249" s="34"/>
      <c r="G1249" s="67"/>
      <c r="H1249" s="34"/>
      <c r="I1249" s="34"/>
      <c r="J1249" s="34"/>
      <c r="K1249" s="34"/>
      <c r="L1249" s="34"/>
      <c r="M1249" s="110"/>
    </row>
    <row r="1250" spans="6:13" s="6" customFormat="1" ht="15.75">
      <c r="F1250" s="34"/>
      <c r="G1250" s="67"/>
      <c r="H1250" s="34"/>
      <c r="I1250" s="34"/>
      <c r="J1250" s="34"/>
      <c r="K1250" s="34"/>
      <c r="L1250" s="34"/>
      <c r="M1250" s="110"/>
    </row>
    <row r="1251" spans="6:13" s="6" customFormat="1" ht="15.75">
      <c r="F1251" s="34"/>
      <c r="G1251" s="67"/>
      <c r="H1251" s="34"/>
      <c r="I1251" s="34"/>
      <c r="J1251" s="34"/>
      <c r="K1251" s="34"/>
      <c r="L1251" s="34"/>
      <c r="M1251" s="110"/>
    </row>
    <row r="1252" spans="6:13" s="6" customFormat="1" ht="15.75">
      <c r="F1252" s="34"/>
      <c r="G1252" s="67"/>
      <c r="H1252" s="34"/>
      <c r="I1252" s="34"/>
      <c r="J1252" s="34"/>
      <c r="K1252" s="34"/>
      <c r="L1252" s="34"/>
      <c r="M1252" s="110"/>
    </row>
    <row r="1253" spans="6:13" s="6" customFormat="1" ht="15.75">
      <c r="F1253" s="34"/>
      <c r="G1253" s="67"/>
      <c r="H1253" s="34"/>
      <c r="I1253" s="34"/>
      <c r="J1253" s="34"/>
      <c r="K1253" s="34"/>
      <c r="L1253" s="34"/>
      <c r="M1253" s="110"/>
    </row>
    <row r="1254" spans="6:13" s="6" customFormat="1" ht="15.75">
      <c r="F1254" s="34"/>
      <c r="G1254" s="67"/>
      <c r="H1254" s="34"/>
      <c r="I1254" s="34"/>
      <c r="J1254" s="34"/>
      <c r="K1254" s="34"/>
      <c r="L1254" s="34"/>
      <c r="M1254" s="110"/>
    </row>
    <row r="1255" spans="6:13" s="6" customFormat="1" ht="15.75">
      <c r="F1255" s="34"/>
      <c r="G1255" s="67"/>
      <c r="H1255" s="34"/>
      <c r="I1255" s="34"/>
      <c r="J1255" s="34"/>
      <c r="K1255" s="34"/>
      <c r="L1255" s="34"/>
      <c r="M1255" s="110"/>
    </row>
    <row r="1256" spans="6:13" s="6" customFormat="1" ht="15.75">
      <c r="F1256" s="34"/>
      <c r="G1256" s="67"/>
      <c r="H1256" s="34"/>
      <c r="I1256" s="34"/>
      <c r="J1256" s="34"/>
      <c r="K1256" s="34"/>
      <c r="L1256" s="34"/>
      <c r="M1256" s="110"/>
    </row>
    <row r="1257" spans="6:13" s="6" customFormat="1" ht="15.75">
      <c r="F1257" s="34"/>
      <c r="G1257" s="67"/>
      <c r="H1257" s="34"/>
      <c r="I1257" s="34"/>
      <c r="J1257" s="34"/>
      <c r="K1257" s="34"/>
      <c r="L1257" s="34"/>
      <c r="M1257" s="110"/>
    </row>
    <row r="1258" spans="6:13" s="6" customFormat="1" ht="15.75">
      <c r="F1258" s="34"/>
      <c r="G1258" s="67"/>
      <c r="H1258" s="34"/>
      <c r="I1258" s="34"/>
      <c r="J1258" s="34"/>
      <c r="K1258" s="34"/>
      <c r="L1258" s="34"/>
      <c r="M1258" s="110"/>
    </row>
    <row r="1259" spans="6:13" s="6" customFormat="1" ht="15.75">
      <c r="F1259" s="34"/>
      <c r="G1259" s="67"/>
      <c r="H1259" s="34"/>
      <c r="I1259" s="34"/>
      <c r="J1259" s="34"/>
      <c r="K1259" s="34"/>
      <c r="L1259" s="34"/>
      <c r="M1259" s="110"/>
    </row>
    <row r="1260" spans="6:13" s="6" customFormat="1" ht="15.75">
      <c r="F1260" s="34"/>
      <c r="G1260" s="67"/>
      <c r="H1260" s="34"/>
      <c r="I1260" s="34"/>
      <c r="J1260" s="34"/>
      <c r="K1260" s="34"/>
      <c r="L1260" s="34"/>
      <c r="M1260" s="110"/>
    </row>
    <row r="1261" spans="6:13" s="6" customFormat="1" ht="15.75">
      <c r="F1261" s="34"/>
      <c r="G1261" s="67"/>
      <c r="H1261" s="34"/>
      <c r="I1261" s="34"/>
      <c r="J1261" s="34"/>
      <c r="K1261" s="34"/>
      <c r="L1261" s="34"/>
      <c r="M1261" s="110"/>
    </row>
    <row r="1262" spans="6:13" s="6" customFormat="1" ht="15.75">
      <c r="F1262" s="34"/>
      <c r="G1262" s="67"/>
      <c r="H1262" s="34"/>
      <c r="I1262" s="34"/>
      <c r="J1262" s="34"/>
      <c r="K1262" s="34"/>
      <c r="L1262" s="34"/>
      <c r="M1262" s="110"/>
    </row>
    <row r="1263" spans="6:13" s="6" customFormat="1" ht="15.75">
      <c r="F1263" s="34"/>
      <c r="G1263" s="67"/>
      <c r="H1263" s="34"/>
      <c r="I1263" s="34"/>
      <c r="J1263" s="34"/>
      <c r="K1263" s="34"/>
      <c r="L1263" s="34"/>
      <c r="M1263" s="110"/>
    </row>
    <row r="1264" spans="6:13" s="6" customFormat="1" ht="15.75">
      <c r="F1264" s="34"/>
      <c r="G1264" s="67"/>
      <c r="H1264" s="34"/>
      <c r="I1264" s="34"/>
      <c r="J1264" s="34"/>
      <c r="K1264" s="34"/>
      <c r="L1264" s="34"/>
      <c r="M1264" s="110"/>
    </row>
    <row r="1265" spans="6:13" s="6" customFormat="1" ht="15.75">
      <c r="F1265" s="34"/>
      <c r="G1265" s="67"/>
      <c r="H1265" s="34"/>
      <c r="I1265" s="34"/>
      <c r="J1265" s="34"/>
      <c r="K1265" s="34"/>
      <c r="L1265" s="34"/>
      <c r="M1265" s="110"/>
    </row>
    <row r="1266" spans="6:13" s="6" customFormat="1" ht="15.75">
      <c r="F1266" s="34"/>
      <c r="G1266" s="67"/>
      <c r="H1266" s="34"/>
      <c r="I1266" s="34"/>
      <c r="J1266" s="34"/>
      <c r="K1266" s="34"/>
      <c r="L1266" s="34"/>
      <c r="M1266" s="110"/>
    </row>
    <row r="1267" spans="6:13" s="6" customFormat="1" ht="15.75">
      <c r="F1267" s="34"/>
      <c r="G1267" s="67"/>
      <c r="H1267" s="34"/>
      <c r="I1267" s="34"/>
      <c r="J1267" s="34"/>
      <c r="K1267" s="34"/>
      <c r="L1267" s="34"/>
      <c r="M1267" s="110"/>
    </row>
    <row r="1268" spans="6:13" s="6" customFormat="1" ht="15.75">
      <c r="F1268" s="34"/>
      <c r="G1268" s="67"/>
      <c r="H1268" s="34"/>
      <c r="I1268" s="34"/>
      <c r="J1268" s="34"/>
      <c r="K1268" s="34"/>
      <c r="L1268" s="34"/>
      <c r="M1268" s="34"/>
    </row>
    <row r="1269" spans="6:13" s="6" customFormat="1" ht="15.75">
      <c r="F1269" s="34"/>
      <c r="G1269" s="67"/>
      <c r="H1269" s="34"/>
      <c r="I1269" s="34"/>
      <c r="J1269" s="34"/>
      <c r="K1269" s="34"/>
      <c r="L1269" s="34"/>
      <c r="M1269" s="34"/>
    </row>
    <row r="1270" spans="6:13" s="6" customFormat="1" ht="15.75">
      <c r="F1270" s="34"/>
      <c r="G1270" s="67"/>
      <c r="H1270" s="34"/>
      <c r="I1270" s="34"/>
      <c r="J1270" s="34"/>
      <c r="K1270" s="34"/>
      <c r="L1270" s="34"/>
      <c r="M1270" s="34"/>
    </row>
    <row r="1271" spans="6:13" s="6" customFormat="1" ht="15.75">
      <c r="F1271" s="34"/>
      <c r="G1271" s="67"/>
      <c r="H1271" s="34"/>
      <c r="I1271" s="34"/>
      <c r="J1271" s="34"/>
      <c r="K1271" s="34"/>
      <c r="L1271" s="34"/>
      <c r="M1271" s="34"/>
    </row>
    <row r="1272" spans="6:13" s="6" customFormat="1" ht="15.75">
      <c r="F1272" s="34"/>
      <c r="G1272" s="67"/>
      <c r="H1272" s="34"/>
      <c r="I1272" s="34"/>
      <c r="J1272" s="34"/>
      <c r="K1272" s="34"/>
      <c r="L1272" s="34"/>
      <c r="M1272" s="34"/>
    </row>
    <row r="1273" spans="6:13" s="6" customFormat="1" ht="15.75">
      <c r="F1273" s="34"/>
      <c r="G1273" s="67"/>
      <c r="H1273" s="34"/>
      <c r="I1273" s="34"/>
      <c r="J1273" s="34"/>
      <c r="K1273" s="34"/>
      <c r="L1273" s="34"/>
      <c r="M1273" s="34"/>
    </row>
    <row r="1274" spans="6:13" s="6" customFormat="1" ht="15.75">
      <c r="F1274" s="34"/>
      <c r="G1274" s="67"/>
      <c r="H1274" s="34"/>
      <c r="I1274" s="34"/>
      <c r="J1274" s="34"/>
      <c r="K1274" s="34"/>
      <c r="L1274" s="34"/>
      <c r="M1274" s="34"/>
    </row>
    <row r="1275" spans="6:13" s="6" customFormat="1" ht="15.75">
      <c r="F1275" s="34"/>
      <c r="G1275" s="67"/>
      <c r="H1275" s="34"/>
      <c r="I1275" s="34"/>
      <c r="J1275" s="34"/>
      <c r="K1275" s="34"/>
      <c r="L1275" s="34"/>
      <c r="M1275" s="34"/>
    </row>
    <row r="1276" spans="6:13" s="6" customFormat="1" ht="15.75">
      <c r="F1276" s="34"/>
      <c r="G1276" s="67"/>
      <c r="H1276" s="34"/>
      <c r="I1276" s="34"/>
      <c r="J1276" s="34"/>
      <c r="K1276" s="34"/>
      <c r="L1276" s="34"/>
      <c r="M1276" s="34"/>
    </row>
    <row r="1277" spans="6:13" s="6" customFormat="1" ht="15.75">
      <c r="F1277" s="34"/>
      <c r="G1277" s="67"/>
      <c r="H1277" s="34"/>
      <c r="I1277" s="34"/>
      <c r="J1277" s="34"/>
      <c r="K1277" s="34"/>
      <c r="L1277" s="34"/>
      <c r="M1277" s="34"/>
    </row>
    <row r="1278" spans="6:13" s="6" customFormat="1" ht="15.75">
      <c r="F1278" s="34"/>
      <c r="G1278" s="67"/>
      <c r="H1278" s="34"/>
      <c r="I1278" s="34"/>
      <c r="J1278" s="34"/>
      <c r="K1278" s="34"/>
      <c r="L1278" s="34"/>
      <c r="M1278" s="34"/>
    </row>
    <row r="1279" spans="6:13" s="6" customFormat="1" ht="15.75">
      <c r="F1279" s="34"/>
      <c r="G1279" s="67"/>
      <c r="H1279" s="34"/>
      <c r="I1279" s="34"/>
      <c r="J1279" s="34"/>
      <c r="K1279" s="34"/>
      <c r="L1279" s="34"/>
      <c r="M1279" s="34"/>
    </row>
    <row r="1280" spans="6:13" s="6" customFormat="1" ht="15.75">
      <c r="F1280" s="34"/>
      <c r="G1280" s="67"/>
      <c r="H1280" s="34"/>
      <c r="I1280" s="34"/>
      <c r="J1280" s="34"/>
      <c r="K1280" s="34"/>
      <c r="L1280" s="34"/>
      <c r="M1280" s="34"/>
    </row>
    <row r="1281" spans="6:13" s="6" customFormat="1" ht="15.75">
      <c r="F1281" s="34"/>
      <c r="G1281" s="67"/>
      <c r="H1281" s="34"/>
      <c r="I1281" s="34"/>
      <c r="J1281" s="34"/>
      <c r="K1281" s="34"/>
      <c r="L1281" s="34"/>
      <c r="M1281" s="34"/>
    </row>
    <row r="1282" spans="6:13" s="6" customFormat="1" ht="15.75">
      <c r="F1282" s="34"/>
      <c r="G1282" s="67"/>
      <c r="H1282" s="34"/>
      <c r="I1282" s="34"/>
      <c r="J1282" s="34"/>
      <c r="K1282" s="34"/>
      <c r="L1282" s="34"/>
      <c r="M1282" s="34"/>
    </row>
    <row r="1283" spans="6:13" s="6" customFormat="1" ht="15.75">
      <c r="F1283" s="34"/>
      <c r="G1283" s="67"/>
      <c r="H1283" s="34"/>
      <c r="I1283" s="34"/>
      <c r="J1283" s="34"/>
      <c r="K1283" s="34"/>
      <c r="L1283" s="34"/>
      <c r="M1283" s="34"/>
    </row>
    <row r="1284" spans="6:13" s="6" customFormat="1" ht="15.75">
      <c r="F1284" s="34"/>
      <c r="G1284" s="67"/>
      <c r="H1284" s="34"/>
      <c r="I1284" s="34"/>
      <c r="J1284" s="34"/>
      <c r="K1284" s="34"/>
      <c r="L1284" s="34"/>
      <c r="M1284" s="34"/>
    </row>
    <row r="1285" spans="6:13" s="6" customFormat="1" ht="15.75">
      <c r="F1285" s="34"/>
      <c r="G1285" s="67"/>
      <c r="H1285" s="34"/>
      <c r="I1285" s="34"/>
      <c r="J1285" s="34"/>
      <c r="K1285" s="34"/>
      <c r="L1285" s="34"/>
      <c r="M1285" s="34"/>
    </row>
    <row r="1286" spans="6:13" s="6" customFormat="1" ht="15.75">
      <c r="F1286" s="34"/>
      <c r="G1286" s="67"/>
      <c r="H1286" s="34"/>
      <c r="I1286" s="34"/>
      <c r="J1286" s="34"/>
      <c r="K1286" s="34"/>
      <c r="L1286" s="34"/>
      <c r="M1286" s="34"/>
    </row>
    <row r="1287" spans="6:13" s="6" customFormat="1" ht="15.75">
      <c r="F1287" s="34"/>
      <c r="G1287" s="67"/>
      <c r="H1287" s="34"/>
      <c r="I1287" s="34"/>
      <c r="J1287" s="34"/>
      <c r="K1287" s="34"/>
      <c r="L1287" s="34"/>
      <c r="M1287" s="34"/>
    </row>
    <row r="1288" spans="6:13" s="6" customFormat="1" ht="15.75">
      <c r="F1288" s="34"/>
      <c r="G1288" s="67"/>
      <c r="H1288" s="34"/>
      <c r="I1288" s="34"/>
      <c r="J1288" s="34"/>
      <c r="K1288" s="34"/>
      <c r="L1288" s="34"/>
      <c r="M1288" s="34"/>
    </row>
    <row r="1289" spans="6:13" s="6" customFormat="1" ht="15.75">
      <c r="F1289" s="34"/>
      <c r="G1289" s="67"/>
      <c r="H1289" s="34"/>
      <c r="I1289" s="34"/>
      <c r="J1289" s="34"/>
      <c r="K1289" s="34"/>
      <c r="L1289" s="34"/>
      <c r="M1289" s="34"/>
    </row>
    <row r="1290" spans="6:13" s="6" customFormat="1" ht="15.75">
      <c r="F1290" s="34"/>
      <c r="G1290" s="67"/>
      <c r="H1290" s="34"/>
      <c r="I1290" s="34"/>
      <c r="J1290" s="34"/>
      <c r="K1290" s="34"/>
      <c r="L1290" s="34"/>
      <c r="M1290" s="34"/>
    </row>
    <row r="1291" spans="6:13" s="6" customFormat="1" ht="15.75">
      <c r="F1291" s="34"/>
      <c r="G1291" s="67"/>
      <c r="H1291" s="34"/>
      <c r="I1291" s="34"/>
      <c r="J1291" s="34"/>
      <c r="K1291" s="34"/>
      <c r="L1291" s="34"/>
      <c r="M1291" s="34"/>
    </row>
    <row r="1292" spans="6:13" s="6" customFormat="1" ht="15.75">
      <c r="F1292" s="34"/>
      <c r="G1292" s="67"/>
      <c r="H1292" s="34"/>
      <c r="I1292" s="34"/>
      <c r="J1292" s="34"/>
      <c r="K1292" s="34"/>
      <c r="L1292" s="34"/>
      <c r="M1292" s="34"/>
    </row>
    <row r="1293" spans="6:13" s="6" customFormat="1" ht="15.75">
      <c r="F1293" s="34"/>
      <c r="G1293" s="67"/>
      <c r="H1293" s="34"/>
      <c r="I1293" s="34"/>
      <c r="J1293" s="34"/>
      <c r="K1293" s="34"/>
      <c r="L1293" s="34"/>
      <c r="M1293" s="34"/>
    </row>
    <row r="1294" spans="6:13" s="6" customFormat="1" ht="15.75">
      <c r="F1294" s="34"/>
      <c r="G1294" s="67"/>
      <c r="H1294" s="34"/>
      <c r="I1294" s="34"/>
      <c r="J1294" s="34"/>
      <c r="K1294" s="34"/>
      <c r="L1294" s="34"/>
      <c r="M1294" s="34"/>
    </row>
    <row r="1295" spans="6:13" s="6" customFormat="1" ht="15.75">
      <c r="F1295" s="34"/>
      <c r="G1295" s="67"/>
      <c r="H1295" s="34"/>
      <c r="I1295" s="34"/>
      <c r="J1295" s="34"/>
      <c r="K1295" s="34"/>
      <c r="L1295" s="34"/>
      <c r="M1295" s="34"/>
    </row>
    <row r="1296" spans="6:13" s="6" customFormat="1" ht="15.75">
      <c r="F1296" s="34"/>
      <c r="G1296" s="67"/>
      <c r="H1296" s="34"/>
      <c r="I1296" s="34"/>
      <c r="J1296" s="34"/>
      <c r="K1296" s="34"/>
      <c r="L1296" s="34"/>
      <c r="M1296" s="34"/>
    </row>
    <row r="1297" spans="6:13" s="6" customFormat="1" ht="15.75">
      <c r="F1297" s="34"/>
      <c r="G1297" s="67"/>
      <c r="H1297" s="34"/>
      <c r="I1297" s="34"/>
      <c r="J1297" s="34"/>
      <c r="K1297" s="34"/>
      <c r="L1297" s="34"/>
      <c r="M1297" s="34"/>
    </row>
    <row r="1298" spans="6:13" s="6" customFormat="1" ht="15.75">
      <c r="F1298" s="34"/>
      <c r="G1298" s="67"/>
      <c r="H1298" s="34"/>
      <c r="I1298" s="34"/>
      <c r="J1298" s="34"/>
      <c r="K1298" s="34"/>
      <c r="L1298" s="34"/>
      <c r="M1298" s="34"/>
    </row>
    <row r="1299" spans="6:13" s="6" customFormat="1" ht="15.75">
      <c r="F1299" s="34"/>
      <c r="G1299" s="67"/>
      <c r="H1299" s="34"/>
      <c r="I1299" s="34"/>
      <c r="J1299" s="34"/>
      <c r="K1299" s="34"/>
      <c r="L1299" s="34"/>
      <c r="M1299" s="34"/>
    </row>
    <row r="1300" spans="6:13" s="6" customFormat="1" ht="15.75">
      <c r="F1300" s="34"/>
      <c r="G1300" s="67"/>
      <c r="H1300" s="34"/>
      <c r="I1300" s="34"/>
      <c r="J1300" s="34"/>
      <c r="K1300" s="34"/>
      <c r="L1300" s="34"/>
      <c r="M1300" s="34"/>
    </row>
    <row r="1301" spans="6:13" s="6" customFormat="1" ht="15.75">
      <c r="F1301" s="34"/>
      <c r="G1301" s="67"/>
      <c r="H1301" s="34"/>
      <c r="I1301" s="34"/>
      <c r="J1301" s="34"/>
      <c r="K1301" s="34"/>
      <c r="L1301" s="34"/>
      <c r="M1301" s="34"/>
    </row>
    <row r="1302" spans="6:13" s="6" customFormat="1" ht="15.75">
      <c r="F1302" s="34"/>
      <c r="G1302" s="67"/>
      <c r="H1302" s="34"/>
      <c r="I1302" s="34"/>
      <c r="J1302" s="34"/>
      <c r="K1302" s="34"/>
      <c r="L1302" s="34"/>
      <c r="M1302" s="34"/>
    </row>
    <row r="1303" spans="6:13" s="6" customFormat="1" ht="15.75">
      <c r="F1303" s="34"/>
      <c r="G1303" s="67"/>
      <c r="H1303" s="34"/>
      <c r="I1303" s="34"/>
      <c r="J1303" s="34"/>
      <c r="K1303" s="34"/>
      <c r="L1303" s="34"/>
      <c r="M1303" s="34"/>
    </row>
    <row r="1304" spans="6:13" s="6" customFormat="1" ht="15.75">
      <c r="F1304" s="34"/>
      <c r="G1304" s="67"/>
      <c r="H1304" s="34"/>
      <c r="I1304" s="34"/>
      <c r="J1304" s="34"/>
      <c r="K1304" s="34"/>
      <c r="L1304" s="34"/>
      <c r="M1304" s="34"/>
    </row>
    <row r="1305" spans="6:13" s="6" customFormat="1" ht="15.75">
      <c r="F1305" s="34"/>
      <c r="G1305" s="67"/>
      <c r="H1305" s="34"/>
      <c r="I1305" s="34"/>
      <c r="J1305" s="34"/>
      <c r="K1305" s="34"/>
      <c r="L1305" s="34"/>
      <c r="M1305" s="34"/>
    </row>
    <row r="1306" spans="6:13" s="6" customFormat="1" ht="15.75">
      <c r="F1306" s="34"/>
      <c r="G1306" s="67"/>
      <c r="H1306" s="34"/>
      <c r="I1306" s="34"/>
      <c r="J1306" s="34"/>
      <c r="K1306" s="34"/>
      <c r="L1306" s="34"/>
      <c r="M1306" s="34"/>
    </row>
    <row r="1307" spans="6:13" s="6" customFormat="1" ht="15.75">
      <c r="F1307" s="34"/>
      <c r="G1307" s="67"/>
      <c r="H1307" s="34"/>
      <c r="I1307" s="34"/>
      <c r="J1307" s="34"/>
      <c r="K1307" s="34"/>
      <c r="L1307" s="34"/>
      <c r="M1307" s="34"/>
    </row>
    <row r="1308" spans="6:13" s="6" customFormat="1" ht="15.75">
      <c r="F1308" s="34"/>
      <c r="G1308" s="67"/>
      <c r="H1308" s="34"/>
      <c r="I1308" s="34"/>
      <c r="J1308" s="34"/>
      <c r="K1308" s="34"/>
      <c r="L1308" s="34"/>
      <c r="M1308" s="34"/>
    </row>
    <row r="1309" spans="6:13" s="6" customFormat="1" ht="15.75">
      <c r="F1309" s="34"/>
      <c r="G1309" s="67"/>
      <c r="H1309" s="34"/>
      <c r="I1309" s="34"/>
      <c r="J1309" s="34"/>
      <c r="K1309" s="34"/>
      <c r="L1309" s="34"/>
      <c r="M1309" s="34"/>
    </row>
    <row r="1310" spans="6:13" s="6" customFormat="1" ht="15.75">
      <c r="F1310" s="34"/>
      <c r="G1310" s="67"/>
      <c r="H1310" s="34"/>
      <c r="I1310" s="34"/>
      <c r="J1310" s="34"/>
      <c r="K1310" s="34"/>
      <c r="L1310" s="34"/>
      <c r="M1310" s="34"/>
    </row>
    <row r="1311" spans="6:13" s="6" customFormat="1" ht="15.75">
      <c r="F1311" s="34"/>
      <c r="G1311" s="67"/>
      <c r="H1311" s="34"/>
      <c r="I1311" s="34"/>
      <c r="J1311" s="34"/>
      <c r="K1311" s="34"/>
      <c r="L1311" s="34"/>
      <c r="M1311" s="34"/>
    </row>
    <row r="1312" spans="6:13" s="6" customFormat="1" ht="15.75">
      <c r="F1312" s="34"/>
      <c r="G1312" s="67"/>
      <c r="H1312" s="34"/>
      <c r="I1312" s="34"/>
      <c r="J1312" s="34"/>
      <c r="K1312" s="34"/>
      <c r="L1312" s="34"/>
      <c r="M1312" s="34"/>
    </row>
    <row r="1313" spans="6:13" s="6" customFormat="1" ht="15.75">
      <c r="F1313" s="34"/>
      <c r="G1313" s="67"/>
      <c r="H1313" s="34"/>
      <c r="I1313" s="34"/>
      <c r="J1313" s="34"/>
      <c r="K1313" s="34"/>
      <c r="L1313" s="34"/>
      <c r="M1313" s="34"/>
    </row>
    <row r="1314" spans="6:13" s="6" customFormat="1" ht="15.75">
      <c r="F1314" s="34"/>
      <c r="G1314" s="67"/>
      <c r="H1314" s="34"/>
      <c r="I1314" s="34"/>
      <c r="J1314" s="34"/>
      <c r="K1314" s="34"/>
      <c r="L1314" s="34"/>
      <c r="M1314" s="34"/>
    </row>
    <row r="1315" spans="6:13" s="6" customFormat="1" ht="15.75">
      <c r="F1315" s="34"/>
      <c r="G1315" s="67"/>
      <c r="H1315" s="34"/>
      <c r="I1315" s="34"/>
      <c r="J1315" s="34"/>
      <c r="K1315" s="34"/>
      <c r="L1315" s="34"/>
      <c r="M1315" s="34"/>
    </row>
    <row r="1316" spans="6:13" s="6" customFormat="1" ht="15.75">
      <c r="F1316" s="34"/>
      <c r="G1316" s="67"/>
      <c r="H1316" s="34"/>
      <c r="I1316" s="34"/>
      <c r="J1316" s="34"/>
      <c r="K1316" s="34"/>
      <c r="L1316" s="34"/>
      <c r="M1316" s="34"/>
    </row>
    <row r="1317" spans="6:13" s="6" customFormat="1" ht="15.75">
      <c r="F1317" s="34"/>
      <c r="G1317" s="67"/>
      <c r="H1317" s="34"/>
      <c r="I1317" s="34"/>
      <c r="J1317" s="34"/>
      <c r="K1317" s="34"/>
      <c r="L1317" s="34"/>
      <c r="M1317" s="34"/>
    </row>
    <row r="1318" spans="6:13" s="6" customFormat="1" ht="15.75">
      <c r="F1318" s="34"/>
      <c r="G1318" s="67"/>
      <c r="H1318" s="34"/>
      <c r="I1318" s="34"/>
      <c r="J1318" s="34"/>
      <c r="K1318" s="34"/>
      <c r="L1318" s="34"/>
      <c r="M1318" s="34"/>
    </row>
    <row r="1319" spans="6:13" s="6" customFormat="1" ht="15.75">
      <c r="F1319" s="34"/>
      <c r="G1319" s="67"/>
      <c r="H1319" s="34"/>
      <c r="I1319" s="34"/>
      <c r="J1319" s="34"/>
      <c r="K1319" s="34"/>
      <c r="L1319" s="34"/>
      <c r="M1319" s="34"/>
    </row>
    <row r="1320" spans="6:13" s="6" customFormat="1" ht="15.75">
      <c r="F1320" s="34"/>
      <c r="G1320" s="67"/>
      <c r="H1320" s="34"/>
      <c r="I1320" s="34"/>
      <c r="J1320" s="34"/>
      <c r="K1320" s="34"/>
      <c r="L1320" s="34"/>
      <c r="M1320" s="34"/>
    </row>
    <row r="1321" spans="6:13" s="6" customFormat="1" ht="15.75">
      <c r="F1321" s="34"/>
      <c r="G1321" s="67"/>
      <c r="H1321" s="34"/>
      <c r="I1321" s="34"/>
      <c r="J1321" s="34"/>
      <c r="K1321" s="34"/>
      <c r="L1321" s="34"/>
      <c r="M1321" s="34"/>
    </row>
    <row r="1322" spans="6:13" s="6" customFormat="1" ht="15.75">
      <c r="F1322" s="34"/>
      <c r="G1322" s="67"/>
      <c r="H1322" s="34"/>
      <c r="I1322" s="34"/>
      <c r="J1322" s="34"/>
      <c r="K1322" s="34"/>
      <c r="L1322" s="34"/>
      <c r="M1322" s="34"/>
    </row>
    <row r="1323" spans="6:13" s="6" customFormat="1" ht="15.75">
      <c r="F1323" s="34"/>
      <c r="G1323" s="67"/>
      <c r="H1323" s="34"/>
      <c r="I1323" s="34"/>
      <c r="J1323" s="34"/>
      <c r="K1323" s="34"/>
      <c r="L1323" s="34"/>
      <c r="M1323" s="34"/>
    </row>
    <row r="1324" spans="6:13" s="6" customFormat="1" ht="15.75">
      <c r="F1324" s="34"/>
      <c r="G1324" s="67"/>
      <c r="H1324" s="34"/>
      <c r="I1324" s="34"/>
      <c r="J1324" s="34"/>
      <c r="K1324" s="34"/>
      <c r="L1324" s="34"/>
      <c r="M1324" s="34"/>
    </row>
    <row r="1325" spans="6:13" s="6" customFormat="1" ht="15.75">
      <c r="F1325" s="34"/>
      <c r="G1325" s="67"/>
      <c r="H1325" s="34"/>
      <c r="I1325" s="34"/>
      <c r="J1325" s="34"/>
      <c r="K1325" s="34"/>
      <c r="L1325" s="34"/>
      <c r="M1325" s="34"/>
    </row>
    <row r="1326" spans="6:13" s="6" customFormat="1" ht="15.75">
      <c r="F1326" s="34"/>
      <c r="G1326" s="67"/>
      <c r="H1326" s="34"/>
      <c r="I1326" s="34"/>
      <c r="J1326" s="34"/>
      <c r="K1326" s="34"/>
      <c r="L1326" s="34"/>
      <c r="M1326" s="34"/>
    </row>
    <row r="1327" spans="6:13" s="6" customFormat="1" ht="15.75">
      <c r="F1327" s="34"/>
      <c r="G1327" s="67"/>
      <c r="H1327" s="34"/>
      <c r="I1327" s="34"/>
      <c r="J1327" s="34"/>
      <c r="K1327" s="34"/>
      <c r="L1327" s="34"/>
      <c r="M1327" s="34"/>
    </row>
    <row r="1328" spans="6:13" s="6" customFormat="1" ht="15.75">
      <c r="F1328" s="34"/>
      <c r="G1328" s="67"/>
      <c r="H1328" s="34"/>
      <c r="I1328" s="34"/>
      <c r="J1328" s="34"/>
      <c r="K1328" s="34"/>
      <c r="L1328" s="34"/>
      <c r="M1328" s="34"/>
    </row>
    <row r="1329" spans="6:13" s="6" customFormat="1" ht="15.75">
      <c r="F1329" s="34"/>
      <c r="G1329" s="67"/>
      <c r="H1329" s="34"/>
      <c r="I1329" s="34"/>
      <c r="J1329" s="34"/>
      <c r="K1329" s="34"/>
      <c r="L1329" s="34"/>
      <c r="M1329" s="34"/>
    </row>
    <row r="1330" spans="6:13" s="6" customFormat="1" ht="15.75">
      <c r="F1330" s="34"/>
      <c r="G1330" s="67"/>
      <c r="H1330" s="34"/>
      <c r="I1330" s="34"/>
      <c r="J1330" s="34"/>
      <c r="K1330" s="34"/>
      <c r="L1330" s="34"/>
      <c r="M1330" s="34"/>
    </row>
    <row r="1331" spans="6:13" s="6" customFormat="1" ht="15.75">
      <c r="F1331" s="34"/>
      <c r="G1331" s="67"/>
      <c r="H1331" s="34"/>
      <c r="I1331" s="34"/>
      <c r="J1331" s="34"/>
      <c r="K1331" s="34"/>
      <c r="L1331" s="34"/>
      <c r="M1331" s="34"/>
    </row>
    <row r="1332" spans="6:13" s="6" customFormat="1" ht="15.75">
      <c r="F1332" s="34"/>
      <c r="G1332" s="67"/>
      <c r="H1332" s="34"/>
      <c r="I1332" s="34"/>
      <c r="J1332" s="34"/>
      <c r="K1332" s="34"/>
      <c r="L1332" s="34"/>
      <c r="M1332" s="34"/>
    </row>
    <row r="1333" spans="6:13" s="6" customFormat="1" ht="15.75">
      <c r="F1333" s="34"/>
      <c r="G1333" s="67"/>
      <c r="H1333" s="34"/>
      <c r="I1333" s="34"/>
      <c r="J1333" s="34"/>
      <c r="K1333" s="34"/>
      <c r="L1333" s="34"/>
      <c r="M1333" s="34"/>
    </row>
    <row r="1334" spans="6:13" s="6" customFormat="1" ht="15.75">
      <c r="F1334" s="34"/>
      <c r="G1334" s="67"/>
      <c r="H1334" s="34"/>
      <c r="I1334" s="34"/>
      <c r="J1334" s="34"/>
      <c r="K1334" s="34"/>
      <c r="L1334" s="34"/>
      <c r="M1334" s="34"/>
    </row>
    <row r="1335" spans="6:13" s="6" customFormat="1" ht="15.75">
      <c r="F1335" s="34"/>
      <c r="G1335" s="67"/>
      <c r="H1335" s="34"/>
      <c r="I1335" s="34"/>
      <c r="J1335" s="34"/>
      <c r="K1335" s="34"/>
      <c r="L1335" s="34"/>
      <c r="M1335" s="34"/>
    </row>
    <row r="1336" spans="6:13" s="6" customFormat="1" ht="15.75">
      <c r="F1336" s="34"/>
      <c r="G1336" s="67"/>
      <c r="H1336" s="34"/>
      <c r="I1336" s="34"/>
      <c r="J1336" s="34"/>
      <c r="K1336" s="34"/>
      <c r="L1336" s="34"/>
      <c r="M1336" s="34"/>
    </row>
    <row r="1337" spans="6:13" s="6" customFormat="1" ht="15.75">
      <c r="F1337" s="34"/>
      <c r="G1337" s="67"/>
      <c r="H1337" s="34"/>
      <c r="I1337" s="34"/>
      <c r="J1337" s="34"/>
      <c r="K1337" s="34"/>
      <c r="L1337" s="34"/>
      <c r="M1337" s="34"/>
    </row>
    <row r="1338" spans="6:13" s="6" customFormat="1" ht="15.75">
      <c r="F1338" s="34"/>
      <c r="G1338" s="67"/>
      <c r="H1338" s="34"/>
      <c r="I1338" s="34"/>
      <c r="J1338" s="34"/>
      <c r="K1338" s="34"/>
      <c r="L1338" s="34"/>
      <c r="M1338" s="34"/>
    </row>
    <row r="1339" spans="6:13" s="6" customFormat="1" ht="15.75">
      <c r="F1339" s="34"/>
      <c r="G1339" s="67"/>
      <c r="H1339" s="34"/>
      <c r="I1339" s="34"/>
      <c r="J1339" s="34"/>
      <c r="K1339" s="34"/>
      <c r="L1339" s="34"/>
      <c r="M1339" s="34"/>
    </row>
    <row r="1340" spans="6:13" s="6" customFormat="1" ht="15.75">
      <c r="F1340" s="34"/>
      <c r="G1340" s="67"/>
      <c r="H1340" s="34"/>
      <c r="I1340" s="34"/>
      <c r="J1340" s="34"/>
      <c r="K1340" s="34"/>
      <c r="L1340" s="34"/>
      <c r="M1340" s="34"/>
    </row>
    <row r="1341" spans="6:13" s="6" customFormat="1" ht="15.75">
      <c r="F1341" s="34"/>
      <c r="G1341" s="67"/>
      <c r="H1341" s="34"/>
      <c r="I1341" s="34"/>
      <c r="J1341" s="34"/>
      <c r="K1341" s="34"/>
      <c r="L1341" s="34"/>
      <c r="M1341" s="34"/>
    </row>
    <row r="1342" spans="6:13" s="6" customFormat="1" ht="15.75">
      <c r="F1342" s="34"/>
      <c r="G1342" s="67"/>
      <c r="H1342" s="34"/>
      <c r="I1342" s="34"/>
      <c r="J1342" s="34"/>
      <c r="K1342" s="34"/>
      <c r="L1342" s="34"/>
      <c r="M1342" s="34"/>
    </row>
    <row r="1343" spans="6:13" s="6" customFormat="1" ht="15.75">
      <c r="F1343" s="34"/>
      <c r="G1343" s="67"/>
      <c r="H1343" s="34"/>
      <c r="I1343" s="34"/>
      <c r="J1343" s="34"/>
      <c r="K1343" s="34"/>
      <c r="L1343" s="34"/>
      <c r="M1343" s="34"/>
    </row>
    <row r="1344" spans="6:13" s="6" customFormat="1" ht="15.75">
      <c r="F1344" s="34"/>
      <c r="G1344" s="67"/>
      <c r="H1344" s="34"/>
      <c r="I1344" s="34"/>
      <c r="J1344" s="34"/>
      <c r="K1344" s="34"/>
      <c r="L1344" s="34"/>
      <c r="M1344" s="34"/>
    </row>
    <row r="1345" spans="6:13" s="6" customFormat="1" ht="15.75">
      <c r="F1345" s="34"/>
      <c r="G1345" s="67"/>
      <c r="H1345" s="34"/>
      <c r="I1345" s="34"/>
      <c r="J1345" s="34"/>
      <c r="K1345" s="34"/>
      <c r="L1345" s="34"/>
      <c r="M1345" s="34"/>
    </row>
    <row r="1346" spans="6:13" s="6" customFormat="1" ht="15.75">
      <c r="F1346" s="34"/>
      <c r="G1346" s="67"/>
      <c r="H1346" s="34"/>
      <c r="I1346" s="34"/>
      <c r="J1346" s="34"/>
      <c r="K1346" s="34"/>
      <c r="L1346" s="34"/>
      <c r="M1346" s="34"/>
    </row>
    <row r="1347" spans="6:13" s="6" customFormat="1" ht="15.75">
      <c r="F1347" s="34"/>
      <c r="G1347" s="67"/>
      <c r="H1347" s="34"/>
      <c r="I1347" s="34"/>
      <c r="J1347" s="34"/>
      <c r="K1347" s="34"/>
      <c r="L1347" s="34"/>
      <c r="M1347" s="34"/>
    </row>
    <row r="1348" spans="6:13" s="6" customFormat="1" ht="15.75">
      <c r="F1348" s="34"/>
      <c r="G1348" s="67"/>
      <c r="H1348" s="34"/>
      <c r="I1348" s="34"/>
      <c r="J1348" s="34"/>
      <c r="K1348" s="34"/>
      <c r="L1348" s="34"/>
      <c r="M1348" s="34"/>
    </row>
    <row r="1349" spans="6:13" s="6" customFormat="1" ht="15.75">
      <c r="F1349" s="34"/>
      <c r="G1349" s="67"/>
      <c r="H1349" s="34"/>
      <c r="I1349" s="34"/>
      <c r="J1349" s="34"/>
      <c r="K1349" s="34"/>
      <c r="L1349" s="34"/>
      <c r="M1349" s="34"/>
    </row>
    <row r="1350" spans="6:13" s="6" customFormat="1" ht="15.75">
      <c r="F1350" s="34"/>
      <c r="G1350" s="67"/>
      <c r="H1350" s="34"/>
      <c r="I1350" s="34"/>
      <c r="J1350" s="34"/>
      <c r="K1350" s="34"/>
      <c r="L1350" s="34"/>
      <c r="M1350" s="34"/>
    </row>
    <row r="1351" spans="6:13" s="6" customFormat="1" ht="15.75">
      <c r="F1351" s="34"/>
      <c r="G1351" s="67"/>
      <c r="H1351" s="34"/>
      <c r="I1351" s="34"/>
      <c r="J1351" s="34"/>
      <c r="K1351" s="34"/>
      <c r="L1351" s="34"/>
      <c r="M1351" s="34"/>
    </row>
    <row r="1352" spans="6:13" s="6" customFormat="1" ht="15.75">
      <c r="F1352" s="34"/>
      <c r="G1352" s="67"/>
      <c r="H1352" s="34"/>
      <c r="I1352" s="34"/>
      <c r="J1352" s="34"/>
      <c r="K1352" s="34"/>
      <c r="L1352" s="34"/>
      <c r="M1352" s="34"/>
    </row>
    <row r="1353" spans="6:13" s="6" customFormat="1" ht="15.75">
      <c r="F1353" s="34"/>
      <c r="G1353" s="67"/>
      <c r="H1353" s="34"/>
      <c r="I1353" s="34"/>
      <c r="J1353" s="34"/>
      <c r="K1353" s="34"/>
      <c r="L1353" s="34"/>
      <c r="M1353" s="34"/>
    </row>
    <row r="1354" spans="6:13" s="6" customFormat="1" ht="15.75">
      <c r="F1354" s="34"/>
      <c r="G1354" s="67"/>
      <c r="H1354" s="34"/>
      <c r="I1354" s="34"/>
      <c r="J1354" s="34"/>
      <c r="K1354" s="34"/>
      <c r="L1354" s="34"/>
      <c r="M1354" s="34"/>
    </row>
    <row r="1355" spans="6:13" s="6" customFormat="1" ht="15.75">
      <c r="F1355" s="34"/>
      <c r="G1355" s="67"/>
      <c r="H1355" s="34"/>
      <c r="I1355" s="34"/>
      <c r="J1355" s="34"/>
      <c r="K1355" s="34"/>
      <c r="L1355" s="34"/>
      <c r="M1355" s="34"/>
    </row>
    <row r="1356" spans="6:13" s="6" customFormat="1" ht="15.75">
      <c r="F1356" s="34"/>
      <c r="G1356" s="67"/>
      <c r="H1356" s="34"/>
      <c r="I1356" s="34"/>
      <c r="J1356" s="34"/>
      <c r="K1356" s="34"/>
      <c r="L1356" s="34"/>
      <c r="M1356" s="34"/>
    </row>
    <row r="1357" spans="6:13" s="6" customFormat="1" ht="15.75">
      <c r="F1357" s="34"/>
      <c r="G1357" s="67"/>
      <c r="H1357" s="34"/>
      <c r="I1357" s="34"/>
      <c r="J1357" s="34"/>
      <c r="K1357" s="34"/>
      <c r="L1357" s="34"/>
      <c r="M1357" s="34"/>
    </row>
    <row r="1358" spans="6:13" s="6" customFormat="1" ht="15.75">
      <c r="F1358" s="34"/>
      <c r="G1358" s="67"/>
      <c r="H1358" s="34"/>
      <c r="I1358" s="34"/>
      <c r="J1358" s="34"/>
      <c r="K1358" s="34"/>
      <c r="L1358" s="34"/>
      <c r="M1358" s="34"/>
    </row>
    <row r="1359" spans="6:13" s="6" customFormat="1" ht="15.75">
      <c r="F1359" s="34"/>
      <c r="G1359" s="67"/>
      <c r="H1359" s="34"/>
      <c r="I1359" s="34"/>
      <c r="J1359" s="34"/>
      <c r="K1359" s="34"/>
      <c r="L1359" s="34"/>
      <c r="M1359" s="34"/>
    </row>
    <row r="1360" spans="6:13" s="6" customFormat="1" ht="15.75">
      <c r="F1360" s="34"/>
      <c r="G1360" s="67"/>
      <c r="H1360" s="34"/>
      <c r="I1360" s="34"/>
      <c r="J1360" s="34"/>
      <c r="K1360" s="34"/>
      <c r="L1360" s="34"/>
      <c r="M1360" s="34"/>
    </row>
    <row r="1361" spans="6:13" s="6" customFormat="1" ht="15.75">
      <c r="F1361" s="34"/>
      <c r="G1361" s="67"/>
      <c r="H1361" s="34"/>
      <c r="I1361" s="34"/>
      <c r="J1361" s="34"/>
      <c r="K1361" s="34"/>
      <c r="L1361" s="34"/>
      <c r="M1361" s="34"/>
    </row>
    <row r="1362" spans="6:13" s="6" customFormat="1" ht="15.75">
      <c r="F1362" s="34"/>
      <c r="G1362" s="67"/>
      <c r="H1362" s="34"/>
      <c r="I1362" s="34"/>
      <c r="J1362" s="34"/>
      <c r="K1362" s="34"/>
      <c r="L1362" s="34"/>
      <c r="M1362" s="34"/>
    </row>
    <row r="1363" spans="6:13" s="6" customFormat="1" ht="15.75">
      <c r="F1363" s="34"/>
      <c r="G1363" s="67"/>
      <c r="H1363" s="34"/>
      <c r="I1363" s="34"/>
      <c r="J1363" s="34"/>
      <c r="K1363" s="34"/>
      <c r="L1363" s="34"/>
      <c r="M1363" s="34"/>
    </row>
    <row r="1364" spans="6:13" s="6" customFormat="1" ht="15.75">
      <c r="F1364" s="34"/>
      <c r="G1364" s="67"/>
      <c r="H1364" s="34"/>
      <c r="I1364" s="34"/>
      <c r="J1364" s="34"/>
      <c r="K1364" s="34"/>
      <c r="L1364" s="34"/>
      <c r="M1364" s="34"/>
    </row>
    <row r="1365" spans="6:13" s="6" customFormat="1" ht="15.75">
      <c r="F1365" s="34"/>
      <c r="G1365" s="67"/>
      <c r="H1365" s="34"/>
      <c r="I1365" s="34"/>
      <c r="J1365" s="34"/>
      <c r="K1365" s="34"/>
      <c r="L1365" s="34"/>
      <c r="M1365" s="34"/>
    </row>
    <row r="1366" spans="6:13" s="6" customFormat="1" ht="15.75">
      <c r="F1366" s="34"/>
      <c r="G1366" s="67"/>
      <c r="H1366" s="34"/>
      <c r="I1366" s="34"/>
      <c r="J1366" s="34"/>
      <c r="K1366" s="34"/>
      <c r="L1366" s="34"/>
      <c r="M1366" s="34"/>
    </row>
    <row r="1367" spans="6:13" s="6" customFormat="1" ht="15.75">
      <c r="F1367" s="34"/>
      <c r="G1367" s="67"/>
      <c r="H1367" s="34"/>
      <c r="I1367" s="34"/>
      <c r="J1367" s="34"/>
      <c r="K1367" s="34"/>
      <c r="L1367" s="34"/>
      <c r="M1367" s="34"/>
    </row>
    <row r="1368" spans="6:13" s="6" customFormat="1" ht="15.75">
      <c r="F1368" s="34"/>
      <c r="G1368" s="67"/>
      <c r="H1368" s="34"/>
      <c r="I1368" s="34"/>
      <c r="J1368" s="34"/>
      <c r="K1368" s="34"/>
      <c r="L1368" s="34"/>
      <c r="M1368" s="34"/>
    </row>
    <row r="1369" spans="6:13" s="6" customFormat="1" ht="15.75">
      <c r="F1369" s="34"/>
      <c r="G1369" s="67"/>
      <c r="H1369" s="34"/>
      <c r="I1369" s="34"/>
      <c r="J1369" s="34"/>
      <c r="K1369" s="34"/>
      <c r="L1369" s="34"/>
      <c r="M1369" s="34"/>
    </row>
    <row r="1370" spans="6:13" s="6" customFormat="1" ht="15.75">
      <c r="F1370" s="34"/>
      <c r="G1370" s="67"/>
      <c r="H1370" s="34"/>
      <c r="I1370" s="34"/>
      <c r="J1370" s="34"/>
      <c r="K1370" s="34"/>
      <c r="L1370" s="34"/>
      <c r="M1370" s="34"/>
    </row>
    <row r="1371" spans="6:13" s="6" customFormat="1" ht="15.75">
      <c r="F1371" s="34"/>
      <c r="G1371" s="67"/>
      <c r="H1371" s="34"/>
      <c r="I1371" s="34"/>
      <c r="J1371" s="34"/>
      <c r="K1371" s="34"/>
      <c r="L1371" s="34"/>
      <c r="M1371" s="34"/>
    </row>
    <row r="1372" spans="6:13" s="6" customFormat="1" ht="15.75">
      <c r="F1372" s="34"/>
      <c r="G1372" s="67"/>
      <c r="H1372" s="34"/>
      <c r="I1372" s="34"/>
      <c r="J1372" s="34"/>
      <c r="K1372" s="34"/>
      <c r="L1372" s="34"/>
      <c r="M1372" s="34"/>
    </row>
    <row r="1373" spans="6:13" s="6" customFormat="1" ht="15.75">
      <c r="F1373" s="34"/>
      <c r="G1373" s="67"/>
      <c r="H1373" s="34"/>
      <c r="I1373" s="34"/>
      <c r="J1373" s="34"/>
      <c r="K1373" s="34"/>
      <c r="L1373" s="34"/>
      <c r="M1373" s="34"/>
    </row>
    <row r="1374" spans="6:13" s="6" customFormat="1" ht="15.75">
      <c r="F1374" s="34"/>
      <c r="G1374" s="67"/>
      <c r="H1374" s="34"/>
      <c r="I1374" s="34"/>
      <c r="J1374" s="34"/>
      <c r="K1374" s="34"/>
      <c r="L1374" s="34"/>
      <c r="M1374" s="34"/>
    </row>
    <row r="1375" spans="6:13" s="6" customFormat="1" ht="15.75">
      <c r="F1375" s="34"/>
      <c r="G1375" s="67"/>
      <c r="H1375" s="34"/>
      <c r="I1375" s="34"/>
      <c r="J1375" s="34"/>
      <c r="K1375" s="34"/>
      <c r="L1375" s="34"/>
      <c r="M1375" s="34"/>
    </row>
    <row r="1376" spans="6:13" s="6" customFormat="1" ht="15.75">
      <c r="F1376" s="34"/>
      <c r="G1376" s="67"/>
      <c r="H1376" s="34"/>
      <c r="I1376" s="34"/>
      <c r="J1376" s="34"/>
      <c r="K1376" s="34"/>
      <c r="L1376" s="34"/>
      <c r="M1376" s="34"/>
    </row>
    <row r="1377" spans="6:13" s="6" customFormat="1" ht="15.75">
      <c r="F1377" s="34"/>
      <c r="G1377" s="67"/>
      <c r="H1377" s="34"/>
      <c r="I1377" s="34"/>
      <c r="J1377" s="34"/>
      <c r="K1377" s="34"/>
      <c r="L1377" s="34"/>
      <c r="M1377" s="34"/>
    </row>
    <row r="1378" spans="6:13" s="6" customFormat="1" ht="15.75">
      <c r="F1378" s="34"/>
      <c r="G1378" s="67"/>
      <c r="H1378" s="34"/>
      <c r="I1378" s="34"/>
      <c r="J1378" s="34"/>
      <c r="K1378" s="34"/>
      <c r="L1378" s="34"/>
      <c r="M1378" s="34"/>
    </row>
    <row r="1379" spans="6:13" s="6" customFormat="1" ht="15.75">
      <c r="F1379" s="34"/>
      <c r="G1379" s="67"/>
      <c r="H1379" s="34"/>
      <c r="I1379" s="34"/>
      <c r="J1379" s="34"/>
      <c r="K1379" s="34"/>
      <c r="L1379" s="34"/>
      <c r="M1379" s="34"/>
    </row>
    <row r="1380" spans="6:13" s="6" customFormat="1" ht="15.75">
      <c r="F1380" s="34"/>
      <c r="G1380" s="67"/>
      <c r="H1380" s="34"/>
      <c r="I1380" s="34"/>
      <c r="J1380" s="34"/>
      <c r="K1380" s="34"/>
      <c r="L1380" s="34"/>
      <c r="M1380" s="34"/>
    </row>
    <row r="1381" spans="6:13" s="6" customFormat="1" ht="15.75">
      <c r="F1381" s="34"/>
      <c r="G1381" s="67"/>
      <c r="H1381" s="34"/>
      <c r="I1381" s="34"/>
      <c r="J1381" s="34"/>
      <c r="K1381" s="34"/>
      <c r="L1381" s="34"/>
      <c r="M1381" s="34"/>
    </row>
    <row r="1382" spans="6:13" s="6" customFormat="1" ht="15.75">
      <c r="F1382" s="34"/>
      <c r="G1382" s="67"/>
      <c r="H1382" s="34"/>
      <c r="I1382" s="34"/>
      <c r="J1382" s="34"/>
      <c r="K1382" s="34"/>
      <c r="L1382" s="34"/>
      <c r="M1382" s="34"/>
    </row>
    <row r="1383" spans="6:13" s="6" customFormat="1" ht="15.75">
      <c r="F1383" s="34"/>
      <c r="G1383" s="67"/>
      <c r="H1383" s="34"/>
      <c r="I1383" s="34"/>
      <c r="J1383" s="34"/>
      <c r="K1383" s="34"/>
      <c r="L1383" s="34"/>
      <c r="M1383" s="34"/>
    </row>
    <row r="1384" spans="6:13" s="6" customFormat="1" ht="15.75">
      <c r="F1384" s="34"/>
      <c r="G1384" s="67"/>
      <c r="H1384" s="34"/>
      <c r="I1384" s="34"/>
      <c r="J1384" s="34"/>
      <c r="K1384" s="34"/>
      <c r="L1384" s="34"/>
      <c r="M1384" s="34"/>
    </row>
    <row r="1385" spans="6:13" s="6" customFormat="1" ht="15.75">
      <c r="F1385" s="34"/>
      <c r="G1385" s="67"/>
      <c r="H1385" s="34"/>
      <c r="I1385" s="34"/>
      <c r="J1385" s="34"/>
      <c r="K1385" s="34"/>
      <c r="L1385" s="34"/>
      <c r="M1385" s="34"/>
    </row>
    <row r="1386" spans="6:13" s="6" customFormat="1" ht="15.75">
      <c r="F1386" s="34"/>
      <c r="G1386" s="67"/>
      <c r="H1386" s="34"/>
      <c r="I1386" s="34"/>
      <c r="J1386" s="34"/>
      <c r="K1386" s="34"/>
      <c r="L1386" s="34"/>
      <c r="M1386" s="34"/>
    </row>
    <row r="1387" spans="6:13" s="6" customFormat="1" ht="15.75">
      <c r="F1387" s="34"/>
      <c r="G1387" s="67"/>
      <c r="H1387" s="34"/>
      <c r="I1387" s="34"/>
      <c r="J1387" s="34"/>
      <c r="K1387" s="34"/>
      <c r="L1387" s="34"/>
      <c r="M1387" s="34"/>
    </row>
    <row r="1388" spans="6:13" s="6" customFormat="1" ht="15.75">
      <c r="F1388" s="34"/>
      <c r="G1388" s="67"/>
      <c r="H1388" s="34"/>
      <c r="I1388" s="34"/>
      <c r="J1388" s="34"/>
      <c r="K1388" s="34"/>
      <c r="L1388" s="34"/>
      <c r="M1388" s="34"/>
    </row>
    <row r="1389" spans="6:13" s="6" customFormat="1" ht="15.75">
      <c r="F1389" s="34"/>
      <c r="G1389" s="67"/>
      <c r="H1389" s="34"/>
      <c r="I1389" s="34"/>
      <c r="J1389" s="34"/>
      <c r="K1389" s="34"/>
      <c r="L1389" s="34"/>
      <c r="M1389" s="34"/>
    </row>
    <row r="1390" spans="6:13" s="6" customFormat="1" ht="15.75">
      <c r="F1390" s="34"/>
      <c r="G1390" s="67"/>
      <c r="H1390" s="34"/>
      <c r="I1390" s="34"/>
      <c r="J1390" s="34"/>
      <c r="K1390" s="34"/>
      <c r="L1390" s="34"/>
      <c r="M1390" s="34"/>
    </row>
    <row r="1391" spans="6:13" s="6" customFormat="1" ht="15.75">
      <c r="F1391" s="34"/>
      <c r="G1391" s="67"/>
      <c r="H1391" s="34"/>
      <c r="I1391" s="34"/>
      <c r="J1391" s="34"/>
      <c r="K1391" s="34"/>
      <c r="L1391" s="34"/>
      <c r="M1391" s="34"/>
    </row>
    <row r="1392" spans="6:13" s="6" customFormat="1" ht="15.75">
      <c r="F1392" s="34"/>
      <c r="G1392" s="67"/>
      <c r="H1392" s="34"/>
      <c r="I1392" s="34"/>
      <c r="J1392" s="34"/>
      <c r="K1392" s="34"/>
      <c r="L1392" s="34"/>
      <c r="M1392" s="34"/>
    </row>
    <row r="1393" spans="6:13" s="6" customFormat="1" ht="15.75">
      <c r="F1393" s="34"/>
      <c r="G1393" s="67"/>
      <c r="H1393" s="34"/>
      <c r="I1393" s="34"/>
      <c r="J1393" s="34"/>
      <c r="K1393" s="34"/>
      <c r="L1393" s="34"/>
      <c r="M1393" s="34"/>
    </row>
    <row r="1394" spans="6:13" s="6" customFormat="1" ht="15.75">
      <c r="F1394" s="34"/>
      <c r="G1394" s="67"/>
      <c r="H1394" s="34"/>
      <c r="I1394" s="34"/>
      <c r="J1394" s="34"/>
      <c r="K1394" s="34"/>
      <c r="L1394" s="34"/>
      <c r="M1394" s="34"/>
    </row>
    <row r="1395" spans="6:13" s="6" customFormat="1" ht="15.75">
      <c r="F1395" s="34"/>
      <c r="G1395" s="67"/>
      <c r="H1395" s="34"/>
      <c r="I1395" s="34"/>
      <c r="J1395" s="34"/>
      <c r="K1395" s="34"/>
      <c r="L1395" s="34"/>
      <c r="M1395" s="34"/>
    </row>
    <row r="1396" spans="6:13" s="6" customFormat="1" ht="15.75">
      <c r="F1396" s="34"/>
      <c r="G1396" s="67"/>
      <c r="H1396" s="34"/>
      <c r="I1396" s="34"/>
      <c r="J1396" s="34"/>
      <c r="K1396" s="34"/>
      <c r="L1396" s="34"/>
      <c r="M1396" s="34"/>
    </row>
    <row r="1397" spans="6:13" s="6" customFormat="1" ht="15.75">
      <c r="F1397" s="34"/>
      <c r="G1397" s="67"/>
      <c r="H1397" s="34"/>
      <c r="I1397" s="34"/>
      <c r="J1397" s="34"/>
      <c r="K1397" s="34"/>
      <c r="L1397" s="34"/>
      <c r="M1397" s="34"/>
    </row>
    <row r="1398" spans="6:13" s="6" customFormat="1" ht="15.75">
      <c r="F1398" s="34"/>
      <c r="G1398" s="67"/>
      <c r="H1398" s="34"/>
      <c r="I1398" s="34"/>
      <c r="J1398" s="34"/>
      <c r="K1398" s="34"/>
      <c r="L1398" s="34"/>
      <c r="M1398" s="34"/>
    </row>
    <row r="1399" spans="6:13" s="6" customFormat="1" ht="15.75">
      <c r="F1399" s="34"/>
      <c r="G1399" s="67"/>
      <c r="H1399" s="34"/>
      <c r="I1399" s="34"/>
      <c r="J1399" s="34"/>
      <c r="K1399" s="34"/>
      <c r="L1399" s="34"/>
      <c r="M1399" s="34"/>
    </row>
    <row r="1400" spans="6:13" s="6" customFormat="1" ht="15.75">
      <c r="F1400" s="34"/>
      <c r="G1400" s="67"/>
      <c r="H1400" s="34"/>
      <c r="I1400" s="34"/>
      <c r="J1400" s="34"/>
      <c r="K1400" s="34"/>
      <c r="L1400" s="34"/>
      <c r="M1400" s="34"/>
    </row>
    <row r="1401" spans="6:13" s="6" customFormat="1" ht="15.75">
      <c r="F1401" s="34"/>
      <c r="G1401" s="67"/>
      <c r="H1401" s="34"/>
      <c r="I1401" s="34"/>
      <c r="J1401" s="34"/>
      <c r="K1401" s="34"/>
      <c r="L1401" s="34"/>
      <c r="M1401" s="34"/>
    </row>
    <row r="1402" spans="6:13" s="6" customFormat="1" ht="15.75">
      <c r="F1402" s="34"/>
      <c r="G1402" s="67"/>
      <c r="H1402" s="34"/>
      <c r="I1402" s="34"/>
      <c r="J1402" s="34"/>
      <c r="K1402" s="34"/>
      <c r="L1402" s="34"/>
      <c r="M1402" s="34"/>
    </row>
    <row r="1403" spans="6:13" s="6" customFormat="1" ht="15.75">
      <c r="F1403" s="34"/>
      <c r="G1403" s="67"/>
      <c r="H1403" s="34"/>
      <c r="I1403" s="34"/>
      <c r="J1403" s="34"/>
      <c r="K1403" s="34"/>
      <c r="L1403" s="34"/>
      <c r="M1403" s="34"/>
    </row>
    <row r="1404" spans="6:13" s="6" customFormat="1" ht="15.75">
      <c r="F1404" s="34"/>
      <c r="G1404" s="67"/>
      <c r="H1404" s="34"/>
      <c r="I1404" s="34"/>
      <c r="J1404" s="34"/>
      <c r="K1404" s="34"/>
      <c r="L1404" s="34"/>
      <c r="M1404" s="34"/>
    </row>
    <row r="1405" spans="6:13" s="6" customFormat="1" ht="15.75">
      <c r="F1405" s="34"/>
      <c r="G1405" s="67"/>
      <c r="H1405" s="34"/>
      <c r="I1405" s="34"/>
      <c r="J1405" s="34"/>
      <c r="K1405" s="34"/>
      <c r="L1405" s="34"/>
      <c r="M1405" s="34"/>
    </row>
    <row r="1406" spans="6:13" s="6" customFormat="1" ht="15.75">
      <c r="F1406" s="34"/>
      <c r="G1406" s="67"/>
      <c r="H1406" s="34"/>
      <c r="I1406" s="34"/>
      <c r="J1406" s="34"/>
      <c r="K1406" s="34"/>
      <c r="L1406" s="34"/>
      <c r="M1406" s="34"/>
    </row>
    <row r="1407" spans="6:13" s="6" customFormat="1" ht="15.75">
      <c r="F1407" s="34"/>
      <c r="G1407" s="67"/>
      <c r="H1407" s="34"/>
      <c r="I1407" s="34"/>
      <c r="J1407" s="34"/>
      <c r="K1407" s="34"/>
      <c r="L1407" s="34"/>
      <c r="M1407" s="34"/>
    </row>
    <row r="1408" spans="6:13" s="6" customFormat="1" ht="15.75">
      <c r="F1408" s="34"/>
      <c r="G1408" s="67"/>
      <c r="H1408" s="34"/>
      <c r="I1408" s="34"/>
      <c r="J1408" s="34"/>
      <c r="K1408" s="34"/>
      <c r="L1408" s="34"/>
      <c r="M1408" s="34"/>
    </row>
    <row r="1409" spans="6:13" s="6" customFormat="1" ht="15.75">
      <c r="F1409" s="34"/>
      <c r="G1409" s="67"/>
      <c r="H1409" s="34"/>
      <c r="I1409" s="34"/>
      <c r="J1409" s="34"/>
      <c r="K1409" s="34"/>
      <c r="L1409" s="34"/>
      <c r="M1409" s="34"/>
    </row>
    <row r="1410" spans="6:13" s="6" customFormat="1" ht="15.75">
      <c r="F1410" s="34"/>
      <c r="G1410" s="67"/>
      <c r="H1410" s="34"/>
      <c r="I1410" s="34"/>
      <c r="J1410" s="34"/>
      <c r="K1410" s="34"/>
      <c r="L1410" s="34"/>
      <c r="M1410" s="34"/>
    </row>
    <row r="1411" spans="6:13" s="6" customFormat="1" ht="15.75">
      <c r="F1411" s="34"/>
      <c r="G1411" s="67"/>
      <c r="H1411" s="34"/>
      <c r="I1411" s="34"/>
      <c r="J1411" s="34"/>
      <c r="K1411" s="34"/>
      <c r="L1411" s="34"/>
      <c r="M1411" s="34"/>
    </row>
    <row r="1412" spans="6:13" s="6" customFormat="1" ht="15.75">
      <c r="F1412" s="34"/>
      <c r="G1412" s="67"/>
      <c r="H1412" s="34"/>
      <c r="I1412" s="34"/>
      <c r="J1412" s="34"/>
      <c r="K1412" s="34"/>
      <c r="L1412" s="34"/>
      <c r="M1412" s="34"/>
    </row>
    <row r="1413" spans="6:13" s="6" customFormat="1" ht="15.75">
      <c r="F1413" s="34"/>
      <c r="G1413" s="67"/>
      <c r="H1413" s="34"/>
      <c r="I1413" s="34"/>
      <c r="J1413" s="34"/>
      <c r="K1413" s="34"/>
      <c r="L1413" s="34"/>
      <c r="M1413" s="34"/>
    </row>
    <row r="1414" spans="6:13" s="6" customFormat="1" ht="15.75">
      <c r="F1414" s="34"/>
      <c r="G1414" s="67"/>
      <c r="H1414" s="34"/>
      <c r="I1414" s="34"/>
      <c r="J1414" s="34"/>
      <c r="K1414" s="34"/>
      <c r="L1414" s="34"/>
      <c r="M1414" s="34"/>
    </row>
    <row r="1415" spans="6:13" s="6" customFormat="1" ht="15.75">
      <c r="F1415" s="34"/>
      <c r="G1415" s="67"/>
      <c r="H1415" s="34"/>
      <c r="I1415" s="34"/>
      <c r="J1415" s="34"/>
      <c r="K1415" s="34"/>
      <c r="L1415" s="34"/>
      <c r="M1415" s="34"/>
    </row>
    <row r="1416" spans="6:13" s="6" customFormat="1" ht="15.75">
      <c r="F1416" s="34"/>
      <c r="G1416" s="67"/>
      <c r="H1416" s="34"/>
      <c r="I1416" s="34"/>
      <c r="J1416" s="34"/>
      <c r="K1416" s="34"/>
      <c r="L1416" s="34"/>
      <c r="M1416" s="34"/>
    </row>
    <row r="1417" spans="6:13" s="6" customFormat="1" ht="15.75">
      <c r="F1417" s="34"/>
      <c r="G1417" s="67"/>
      <c r="H1417" s="34"/>
      <c r="I1417" s="34"/>
      <c r="J1417" s="34"/>
      <c r="K1417" s="34"/>
      <c r="L1417" s="34"/>
      <c r="M1417" s="34"/>
    </row>
    <row r="1418" spans="6:13" s="6" customFormat="1" ht="15.75">
      <c r="F1418" s="34"/>
      <c r="G1418" s="67"/>
      <c r="H1418" s="34"/>
      <c r="I1418" s="34"/>
      <c r="J1418" s="34"/>
      <c r="K1418" s="34"/>
      <c r="L1418" s="34"/>
      <c r="M1418" s="34"/>
    </row>
    <row r="1419" spans="6:13" s="6" customFormat="1" ht="15.75">
      <c r="F1419" s="34"/>
      <c r="G1419" s="67"/>
      <c r="H1419" s="34"/>
      <c r="I1419" s="34"/>
      <c r="J1419" s="34"/>
      <c r="K1419" s="34"/>
      <c r="L1419" s="34"/>
      <c r="M1419" s="34"/>
    </row>
    <row r="1420" spans="6:13" s="6" customFormat="1" ht="15.75">
      <c r="F1420" s="34"/>
      <c r="G1420" s="67"/>
      <c r="H1420" s="34"/>
      <c r="I1420" s="34"/>
      <c r="J1420" s="34"/>
      <c r="K1420" s="34"/>
      <c r="L1420" s="34"/>
      <c r="M1420" s="34"/>
    </row>
    <row r="1421" spans="6:13" s="6" customFormat="1" ht="15.75">
      <c r="F1421" s="34"/>
      <c r="G1421" s="67"/>
      <c r="H1421" s="34"/>
      <c r="I1421" s="34"/>
      <c r="J1421" s="34"/>
      <c r="K1421" s="34"/>
      <c r="L1421" s="34"/>
      <c r="M1421" s="34"/>
    </row>
    <row r="1422" spans="6:13" s="6" customFormat="1" ht="15.75">
      <c r="F1422" s="34"/>
      <c r="G1422" s="67"/>
      <c r="H1422" s="34"/>
      <c r="I1422" s="34"/>
      <c r="J1422" s="34"/>
      <c r="K1422" s="34"/>
      <c r="L1422" s="34"/>
      <c r="M1422" s="34"/>
    </row>
    <row r="1423" spans="6:13" s="6" customFormat="1" ht="15.75">
      <c r="F1423" s="34"/>
      <c r="G1423" s="67"/>
      <c r="H1423" s="34"/>
      <c r="I1423" s="34"/>
      <c r="J1423" s="34"/>
      <c r="K1423" s="34"/>
      <c r="L1423" s="34"/>
      <c r="M1423" s="34"/>
    </row>
    <row r="1424" spans="6:13" s="6" customFormat="1" ht="15.75">
      <c r="F1424" s="34"/>
      <c r="G1424" s="67"/>
      <c r="H1424" s="34"/>
      <c r="I1424" s="34"/>
      <c r="J1424" s="34"/>
      <c r="K1424" s="34"/>
      <c r="L1424" s="34"/>
      <c r="M1424" s="34"/>
    </row>
    <row r="1425" spans="6:13" s="6" customFormat="1" ht="15.75">
      <c r="F1425" s="34"/>
      <c r="G1425" s="67"/>
      <c r="H1425" s="34"/>
      <c r="I1425" s="34"/>
      <c r="J1425" s="34"/>
      <c r="K1425" s="34"/>
      <c r="L1425" s="34"/>
      <c r="M1425" s="34"/>
    </row>
    <row r="1426" spans="6:13" s="6" customFormat="1" ht="15.75">
      <c r="F1426" s="34"/>
      <c r="G1426" s="67"/>
      <c r="H1426" s="34"/>
      <c r="I1426" s="34"/>
      <c r="J1426" s="34"/>
      <c r="K1426" s="34"/>
      <c r="L1426" s="34"/>
      <c r="M1426" s="34"/>
    </row>
    <row r="1427" spans="6:13" s="6" customFormat="1" ht="15.75">
      <c r="F1427" s="34"/>
      <c r="G1427" s="67"/>
      <c r="H1427" s="34"/>
      <c r="I1427" s="34"/>
      <c r="J1427" s="34"/>
      <c r="K1427" s="34"/>
      <c r="L1427" s="34"/>
      <c r="M1427" s="34"/>
    </row>
    <row r="1428" spans="6:13" s="6" customFormat="1" ht="15.75">
      <c r="F1428" s="34"/>
      <c r="G1428" s="67"/>
      <c r="H1428" s="34"/>
      <c r="I1428" s="34"/>
      <c r="J1428" s="34"/>
      <c r="K1428" s="34"/>
      <c r="L1428" s="34"/>
      <c r="M1428" s="34"/>
    </row>
    <row r="1429" spans="6:13" s="6" customFormat="1" ht="15.75">
      <c r="F1429" s="34"/>
      <c r="G1429" s="67"/>
      <c r="H1429" s="34"/>
      <c r="I1429" s="34"/>
      <c r="J1429" s="34"/>
      <c r="K1429" s="34"/>
      <c r="L1429" s="34"/>
      <c r="M1429" s="34"/>
    </row>
    <row r="1430" spans="6:13" s="6" customFormat="1" ht="15.75">
      <c r="F1430" s="34"/>
      <c r="G1430" s="67"/>
      <c r="H1430" s="34"/>
      <c r="I1430" s="34"/>
      <c r="J1430" s="34"/>
      <c r="K1430" s="34"/>
      <c r="L1430" s="34"/>
      <c r="M1430" s="34"/>
    </row>
    <row r="1431" spans="6:13" s="6" customFormat="1" ht="15.75">
      <c r="F1431" s="34"/>
      <c r="G1431" s="67"/>
      <c r="H1431" s="34"/>
      <c r="I1431" s="34"/>
      <c r="J1431" s="34"/>
      <c r="K1431" s="34"/>
      <c r="L1431" s="34"/>
      <c r="M1431" s="34"/>
    </row>
    <row r="1432" spans="6:13" s="6" customFormat="1" ht="15.75">
      <c r="F1432" s="34"/>
      <c r="G1432" s="67"/>
      <c r="H1432" s="34"/>
      <c r="I1432" s="34"/>
      <c r="J1432" s="34"/>
      <c r="K1432" s="34"/>
      <c r="L1432" s="34"/>
      <c r="M1432" s="34"/>
    </row>
    <row r="1433" spans="6:13" s="6" customFormat="1" ht="15.75">
      <c r="F1433" s="34"/>
      <c r="G1433" s="67"/>
      <c r="H1433" s="34"/>
      <c r="I1433" s="34"/>
      <c r="J1433" s="34"/>
      <c r="K1433" s="34"/>
      <c r="L1433" s="34"/>
      <c r="M1433" s="34"/>
    </row>
    <row r="1434" spans="6:13" s="6" customFormat="1" ht="15.75">
      <c r="F1434" s="34"/>
      <c r="G1434" s="67"/>
      <c r="H1434" s="34"/>
      <c r="I1434" s="34"/>
      <c r="J1434" s="34"/>
      <c r="K1434" s="34"/>
      <c r="L1434" s="34"/>
      <c r="M1434" s="34"/>
    </row>
    <row r="1435" spans="6:13" s="6" customFormat="1" ht="15.75">
      <c r="F1435" s="34"/>
      <c r="G1435" s="67"/>
      <c r="H1435" s="34"/>
      <c r="I1435" s="34"/>
      <c r="J1435" s="34"/>
      <c r="K1435" s="34"/>
      <c r="L1435" s="34"/>
      <c r="M1435" s="34"/>
    </row>
    <row r="1436" spans="6:13" s="6" customFormat="1" ht="15.75">
      <c r="F1436" s="34"/>
      <c r="G1436" s="67"/>
      <c r="H1436" s="34"/>
      <c r="I1436" s="34"/>
      <c r="J1436" s="34"/>
      <c r="K1436" s="34"/>
      <c r="L1436" s="34"/>
      <c r="M1436" s="34"/>
    </row>
    <row r="1437" spans="6:13" s="6" customFormat="1" ht="15.75">
      <c r="F1437" s="34"/>
      <c r="G1437" s="67"/>
      <c r="H1437" s="34"/>
      <c r="I1437" s="34"/>
      <c r="J1437" s="34"/>
      <c r="K1437" s="34"/>
      <c r="L1437" s="34"/>
      <c r="M1437" s="34"/>
    </row>
    <row r="1438" spans="6:13" s="6" customFormat="1" ht="15.75">
      <c r="F1438" s="34"/>
      <c r="G1438" s="67"/>
      <c r="H1438" s="34"/>
      <c r="I1438" s="34"/>
      <c r="J1438" s="34"/>
      <c r="K1438" s="34"/>
      <c r="L1438" s="34"/>
      <c r="M1438" s="34"/>
    </row>
    <row r="1439" spans="6:13" s="6" customFormat="1" ht="15.75">
      <c r="F1439" s="34"/>
      <c r="G1439" s="67"/>
      <c r="H1439" s="34"/>
      <c r="I1439" s="34"/>
      <c r="J1439" s="34"/>
      <c r="K1439" s="34"/>
      <c r="L1439" s="34"/>
      <c r="M1439" s="34"/>
    </row>
    <row r="1440" spans="6:13" s="6" customFormat="1" ht="15.75">
      <c r="F1440" s="34"/>
      <c r="G1440" s="67"/>
      <c r="H1440" s="34"/>
      <c r="I1440" s="34"/>
      <c r="J1440" s="34"/>
      <c r="K1440" s="34"/>
      <c r="L1440" s="34"/>
      <c r="M1440" s="34"/>
    </row>
    <row r="1441" spans="6:13" s="6" customFormat="1" ht="15.75">
      <c r="F1441" s="34"/>
      <c r="G1441" s="67"/>
      <c r="H1441" s="34"/>
      <c r="I1441" s="34"/>
      <c r="J1441" s="34"/>
      <c r="K1441" s="34"/>
      <c r="L1441" s="34"/>
      <c r="M1441" s="34"/>
    </row>
    <row r="1442" spans="6:13" s="6" customFormat="1" ht="15.75">
      <c r="F1442" s="34"/>
      <c r="G1442" s="67"/>
      <c r="H1442" s="34"/>
      <c r="I1442" s="34"/>
      <c r="J1442" s="34"/>
      <c r="K1442" s="34"/>
      <c r="L1442" s="34"/>
      <c r="M1442" s="34"/>
    </row>
    <row r="1443" spans="6:13" s="6" customFormat="1" ht="15.75">
      <c r="F1443" s="34"/>
      <c r="G1443" s="67"/>
      <c r="H1443" s="34"/>
      <c r="I1443" s="34"/>
      <c r="J1443" s="34"/>
      <c r="K1443" s="34"/>
      <c r="L1443" s="34"/>
      <c r="M1443" s="34"/>
    </row>
    <row r="1444" spans="6:13" s="6" customFormat="1" ht="15.75">
      <c r="F1444" s="34"/>
      <c r="G1444" s="67"/>
      <c r="H1444" s="34"/>
      <c r="I1444" s="34"/>
      <c r="J1444" s="34"/>
      <c r="K1444" s="34"/>
      <c r="L1444" s="34"/>
      <c r="M1444" s="34"/>
    </row>
    <row r="1445" spans="6:13" s="6" customFormat="1" ht="15.75">
      <c r="F1445" s="34"/>
      <c r="G1445" s="67"/>
      <c r="H1445" s="34"/>
      <c r="I1445" s="34"/>
      <c r="J1445" s="34"/>
      <c r="K1445" s="34"/>
      <c r="L1445" s="34"/>
      <c r="M1445" s="34"/>
    </row>
    <row r="1446" spans="6:13" s="6" customFormat="1" ht="15.75">
      <c r="F1446" s="34"/>
      <c r="G1446" s="67"/>
      <c r="H1446" s="34"/>
      <c r="I1446" s="34"/>
      <c r="J1446" s="34"/>
      <c r="K1446" s="34"/>
      <c r="L1446" s="34"/>
      <c r="M1446" s="34"/>
    </row>
    <row r="1447" spans="6:13" s="6" customFormat="1" ht="15.75">
      <c r="F1447" s="34"/>
      <c r="G1447" s="67"/>
      <c r="H1447" s="34"/>
      <c r="I1447" s="34"/>
      <c r="J1447" s="34"/>
      <c r="K1447" s="34"/>
      <c r="L1447" s="34"/>
      <c r="M1447" s="34"/>
    </row>
    <row r="1448" spans="6:13" s="6" customFormat="1" ht="15.75">
      <c r="F1448" s="34"/>
      <c r="G1448" s="67"/>
      <c r="H1448" s="34"/>
      <c r="I1448" s="34"/>
      <c r="J1448" s="34"/>
      <c r="K1448" s="34"/>
      <c r="L1448" s="34"/>
      <c r="M1448" s="34"/>
    </row>
    <row r="1449" spans="6:13" s="6" customFormat="1" ht="15.75">
      <c r="F1449" s="34"/>
      <c r="G1449" s="67"/>
      <c r="H1449" s="34"/>
      <c r="I1449" s="34"/>
      <c r="J1449" s="34"/>
      <c r="K1449" s="34"/>
      <c r="L1449" s="34"/>
      <c r="M1449" s="34"/>
    </row>
    <row r="1450" spans="6:13" s="6" customFormat="1" ht="15.75">
      <c r="F1450" s="34"/>
      <c r="G1450" s="67"/>
      <c r="H1450" s="34"/>
      <c r="I1450" s="34"/>
      <c r="J1450" s="34"/>
      <c r="K1450" s="34"/>
      <c r="L1450" s="34"/>
      <c r="M1450" s="34"/>
    </row>
    <row r="1451" spans="6:13" s="6" customFormat="1" ht="15.75">
      <c r="F1451" s="34"/>
      <c r="G1451" s="67"/>
      <c r="H1451" s="34"/>
      <c r="I1451" s="34"/>
      <c r="J1451" s="34"/>
      <c r="K1451" s="34"/>
      <c r="L1451" s="34"/>
      <c r="M1451" s="34"/>
    </row>
    <row r="1452" spans="6:13" s="6" customFormat="1" ht="15.75">
      <c r="F1452" s="34"/>
      <c r="G1452" s="67"/>
      <c r="H1452" s="34"/>
      <c r="I1452" s="34"/>
      <c r="J1452" s="34"/>
      <c r="K1452" s="34"/>
      <c r="L1452" s="34"/>
      <c r="M1452" s="34"/>
    </row>
    <row r="1453" spans="6:13" s="6" customFormat="1" ht="15.75">
      <c r="F1453" s="34"/>
      <c r="G1453" s="67"/>
      <c r="H1453" s="34"/>
      <c r="I1453" s="34"/>
      <c r="J1453" s="34"/>
      <c r="K1453" s="34"/>
      <c r="L1453" s="34"/>
      <c r="M1453" s="34"/>
    </row>
    <row r="1454" spans="6:13" s="6" customFormat="1" ht="15.75">
      <c r="F1454" s="34"/>
      <c r="G1454" s="67"/>
      <c r="H1454" s="34"/>
      <c r="I1454" s="34"/>
      <c r="J1454" s="34"/>
      <c r="K1454" s="34"/>
      <c r="L1454" s="34"/>
      <c r="M1454" s="34"/>
    </row>
    <row r="1455" spans="6:13" s="6" customFormat="1" ht="15.75">
      <c r="F1455" s="34"/>
      <c r="G1455" s="67"/>
      <c r="H1455" s="34"/>
      <c r="I1455" s="34"/>
      <c r="J1455" s="34"/>
      <c r="K1455" s="34"/>
      <c r="L1455" s="34"/>
      <c r="M1455" s="34"/>
    </row>
    <row r="1456" spans="6:13" s="6" customFormat="1" ht="15.75">
      <c r="F1456" s="34"/>
      <c r="G1456" s="67"/>
      <c r="H1456" s="34"/>
      <c r="I1456" s="34"/>
      <c r="J1456" s="34"/>
      <c r="K1456" s="34"/>
      <c r="L1456" s="34"/>
      <c r="M1456" s="34"/>
    </row>
    <row r="1457" spans="6:13" s="6" customFormat="1" ht="15.75">
      <c r="F1457" s="34"/>
      <c r="G1457" s="67"/>
      <c r="H1457" s="34"/>
      <c r="I1457" s="34"/>
      <c r="J1457" s="34"/>
      <c r="K1457" s="34"/>
      <c r="L1457" s="34"/>
      <c r="M1457" s="34"/>
    </row>
    <row r="1458" spans="6:13" s="6" customFormat="1" ht="15.75">
      <c r="F1458" s="34"/>
      <c r="G1458" s="67"/>
      <c r="H1458" s="34"/>
      <c r="I1458" s="34"/>
      <c r="J1458" s="34"/>
      <c r="K1458" s="34"/>
      <c r="L1458" s="34"/>
      <c r="M1458" s="34"/>
    </row>
    <row r="1459" spans="6:13" s="6" customFormat="1" ht="15.75">
      <c r="F1459" s="34"/>
      <c r="G1459" s="67"/>
      <c r="H1459" s="34"/>
      <c r="I1459" s="34"/>
      <c r="J1459" s="34"/>
      <c r="K1459" s="34"/>
      <c r="L1459" s="34"/>
      <c r="M1459" s="34"/>
    </row>
    <row r="1460" spans="6:13" s="6" customFormat="1" ht="15.75">
      <c r="F1460" s="34"/>
      <c r="G1460" s="67"/>
      <c r="H1460" s="34"/>
      <c r="I1460" s="34"/>
      <c r="J1460" s="34"/>
      <c r="K1460" s="34"/>
      <c r="L1460" s="34"/>
      <c r="M1460" s="34"/>
    </row>
    <row r="1461" spans="6:13" s="6" customFormat="1" ht="15.75">
      <c r="F1461" s="34"/>
      <c r="G1461" s="67"/>
      <c r="H1461" s="34"/>
      <c r="I1461" s="34"/>
      <c r="J1461" s="34"/>
      <c r="K1461" s="34"/>
      <c r="L1461" s="34"/>
      <c r="M1461" s="34"/>
    </row>
    <row r="1462" spans="6:13" s="6" customFormat="1" ht="15.75">
      <c r="F1462" s="34"/>
      <c r="G1462" s="67"/>
      <c r="H1462" s="34"/>
      <c r="I1462" s="34"/>
      <c r="J1462" s="34"/>
      <c r="K1462" s="34"/>
      <c r="L1462" s="34"/>
      <c r="M1462" s="34"/>
    </row>
    <row r="1463" spans="6:13" s="6" customFormat="1" ht="15.75">
      <c r="F1463" s="34"/>
      <c r="G1463" s="67"/>
      <c r="H1463" s="34"/>
      <c r="I1463" s="34"/>
      <c r="J1463" s="34"/>
      <c r="K1463" s="34"/>
      <c r="L1463" s="34"/>
      <c r="M1463" s="34"/>
    </row>
    <row r="1464" spans="6:13" s="6" customFormat="1" ht="15.75">
      <c r="F1464" s="34"/>
      <c r="G1464" s="67"/>
      <c r="H1464" s="34"/>
      <c r="I1464" s="34"/>
      <c r="J1464" s="34"/>
      <c r="K1464" s="34"/>
      <c r="L1464" s="34"/>
      <c r="M1464" s="34"/>
    </row>
  </sheetData>
  <phoneticPr fontId="0" type="noConversion"/>
  <pageMargins left="0.75" right="0.75" top="1" bottom="1" header="0.5" footer="0.5"/>
  <pageSetup paperSize="9" scale="56" orientation="portrait" r:id="rId1"/>
  <headerFooter alignWithMargins="0"/>
  <rowBreaks count="3" manualBreakCount="3">
    <brk id="747" max="16383" man="1"/>
    <brk id="948" max="10" man="1"/>
    <brk id="114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S1332"/>
  <sheetViews>
    <sheetView zoomScale="75" workbookViewId="0">
      <pane ySplit="1605" topLeftCell="A1213" activePane="bottomLeft"/>
      <selection activeCell="L1" sqref="L1:L65536"/>
      <selection pane="bottomLeft" activeCell="M1217" sqref="M1217"/>
    </sheetView>
  </sheetViews>
  <sheetFormatPr defaultRowHeight="12.75"/>
  <cols>
    <col min="1" max="1" width="9.140625" style="695"/>
    <col min="2" max="2" width="23.42578125" style="695" customWidth="1"/>
    <col min="3" max="5" width="13.7109375" style="695" customWidth="1"/>
    <col min="6" max="6" width="13.7109375" style="421" customWidth="1"/>
    <col min="7" max="7" width="9.140625" style="543"/>
    <col min="8" max="8" width="11.28515625" style="421" customWidth="1"/>
    <col min="9" max="9" width="10.85546875" style="421" customWidth="1"/>
    <col min="10" max="10" width="10.7109375" style="421" customWidth="1"/>
    <col min="11" max="11" width="12" style="421" customWidth="1"/>
    <col min="12" max="12" width="0.140625" style="421" hidden="1" customWidth="1"/>
    <col min="13" max="13" width="9.85546875" style="421" bestFit="1" customWidth="1"/>
  </cols>
  <sheetData>
    <row r="1" spans="1:14" s="6" customFormat="1" ht="15.75">
      <c r="A1" s="129" t="s">
        <v>630</v>
      </c>
      <c r="B1" s="330"/>
      <c r="C1" s="330"/>
      <c r="D1" s="330"/>
      <c r="E1" s="330"/>
      <c r="F1" s="433"/>
      <c r="G1" s="396"/>
      <c r="H1" s="433"/>
      <c r="I1" s="433"/>
      <c r="J1" s="433"/>
      <c r="K1" s="433"/>
      <c r="L1" s="433"/>
      <c r="M1" s="433"/>
    </row>
    <row r="2" spans="1:14" s="6" customFormat="1" ht="14.25" customHeight="1">
      <c r="A2" s="523"/>
      <c r="B2" s="129" t="s">
        <v>672</v>
      </c>
      <c r="C2" s="749"/>
      <c r="D2" s="749"/>
      <c r="E2" s="749"/>
      <c r="F2" s="519"/>
      <c r="G2" s="750"/>
      <c r="H2" s="751"/>
      <c r="I2" s="519"/>
      <c r="J2" s="519"/>
      <c r="K2" s="519">
        <v>801.55</v>
      </c>
      <c r="L2" s="519"/>
      <c r="M2" s="519"/>
    </row>
    <row r="3" spans="1:14" s="6" customFormat="1" ht="63.75" customHeight="1">
      <c r="A3" s="330" t="s">
        <v>574</v>
      </c>
      <c r="B3" s="330" t="s">
        <v>674</v>
      </c>
      <c r="C3" s="525" t="s">
        <v>575</v>
      </c>
      <c r="D3" s="525" t="s">
        <v>610</v>
      </c>
      <c r="E3" s="525" t="s">
        <v>611</v>
      </c>
      <c r="F3" s="527" t="s">
        <v>575</v>
      </c>
      <c r="G3" s="752" t="s">
        <v>631</v>
      </c>
      <c r="H3" s="527" t="s">
        <v>578</v>
      </c>
      <c r="I3" s="527" t="s">
        <v>579</v>
      </c>
      <c r="J3" s="527" t="s">
        <v>580</v>
      </c>
      <c r="K3" s="527" t="s">
        <v>581</v>
      </c>
      <c r="L3" s="527">
        <v>1.29</v>
      </c>
      <c r="M3" s="527" t="s">
        <v>632</v>
      </c>
    </row>
    <row r="4" spans="1:14" s="2" customFormat="1" ht="16.5" customHeight="1">
      <c r="A4" s="753">
        <v>1</v>
      </c>
      <c r="B4" s="753">
        <v>2</v>
      </c>
      <c r="C4" s="754">
        <v>3</v>
      </c>
      <c r="D4" s="754">
        <v>4</v>
      </c>
      <c r="E4" s="754">
        <v>5</v>
      </c>
      <c r="F4" s="422"/>
      <c r="G4" s="755">
        <v>7</v>
      </c>
      <c r="H4" s="422">
        <v>8</v>
      </c>
      <c r="I4" s="422">
        <v>9</v>
      </c>
      <c r="J4" s="422">
        <v>10</v>
      </c>
      <c r="K4" s="422">
        <v>11</v>
      </c>
      <c r="L4" s="422"/>
      <c r="M4" s="422">
        <v>12</v>
      </c>
    </row>
    <row r="5" spans="1:14" s="6" customFormat="1" ht="15.75">
      <c r="A5" s="154" t="s">
        <v>682</v>
      </c>
      <c r="B5" s="330"/>
      <c r="C5" s="330"/>
      <c r="D5" s="330"/>
      <c r="E5" s="330"/>
      <c r="F5" s="433"/>
      <c r="G5" s="396"/>
      <c r="H5" s="427"/>
      <c r="I5" s="427"/>
      <c r="J5" s="427"/>
      <c r="K5" s="427"/>
      <c r="L5" s="427"/>
      <c r="M5" s="680"/>
    </row>
    <row r="6" spans="1:14" s="6" customFormat="1" ht="15.75">
      <c r="A6" s="756">
        <v>1</v>
      </c>
      <c r="B6" s="418" t="s">
        <v>683</v>
      </c>
      <c r="C6" s="386">
        <v>9570.0499999999993</v>
      </c>
      <c r="D6" s="386"/>
      <c r="E6" s="386"/>
      <c r="F6" s="433">
        <f>C6+D6+E6</f>
        <v>9570.0499999999993</v>
      </c>
      <c r="G6" s="181">
        <f t="shared" ref="G6:G66" si="0">4/252216.83*F6</f>
        <v>0.15177496283654029</v>
      </c>
      <c r="H6" s="427">
        <f>G6*2588.49</f>
        <v>392.86797355275615</v>
      </c>
      <c r="I6" s="427">
        <f>H6*0.3677</f>
        <v>144.45755387534845</v>
      </c>
      <c r="J6" s="177">
        <v>152.83849498605628</v>
      </c>
      <c r="K6" s="427">
        <f>G6*801.55</f>
        <v>121.65522146162887</v>
      </c>
      <c r="L6" s="427"/>
      <c r="M6" s="680">
        <f t="shared" ref="M6:M55" si="1">(K6+J6+I6+H6)/F6</f>
        <v>8.4829153857690368E-2</v>
      </c>
      <c r="N6" s="6" t="s">
        <v>5</v>
      </c>
    </row>
    <row r="7" spans="1:14" s="6" customFormat="1" ht="15.75">
      <c r="A7" s="756">
        <v>2</v>
      </c>
      <c r="B7" s="418" t="s">
        <v>684</v>
      </c>
      <c r="C7" s="330">
        <v>4259.1400000000003</v>
      </c>
      <c r="D7" s="330"/>
      <c r="E7" s="330"/>
      <c r="F7" s="433">
        <f t="shared" ref="F7:F79" si="2">C7+D7+E7</f>
        <v>4259.1400000000003</v>
      </c>
      <c r="G7" s="181">
        <f t="shared" si="0"/>
        <v>6.7547276682527496E-2</v>
      </c>
      <c r="H7" s="427">
        <f t="shared" ref="H7:H67" si="3">G7*2588.49</f>
        <v>174.84545021995558</v>
      </c>
      <c r="I7" s="427">
        <f t="shared" ref="I7:I69" si="4">H7*0.3677</f>
        <v>64.29067204587767</v>
      </c>
      <c r="J7" s="177">
        <v>68.020600470730216</v>
      </c>
      <c r="K7" s="427">
        <f t="shared" ref="K7:K59" si="5">G7*801.55</f>
        <v>54.14251962487991</v>
      </c>
      <c r="L7" s="427"/>
      <c r="M7" s="680">
        <f t="shared" si="1"/>
        <v>8.4829153857690368E-2</v>
      </c>
      <c r="N7" s="6" t="s">
        <v>6</v>
      </c>
    </row>
    <row r="8" spans="1:14" s="6" customFormat="1" ht="15.75">
      <c r="A8" s="756">
        <v>3</v>
      </c>
      <c r="B8" s="418" t="s">
        <v>685</v>
      </c>
      <c r="C8" s="330">
        <v>8696.41</v>
      </c>
      <c r="D8" s="330"/>
      <c r="E8" s="330"/>
      <c r="F8" s="433">
        <f t="shared" si="2"/>
        <v>8696.41</v>
      </c>
      <c r="G8" s="181">
        <f t="shared" si="0"/>
        <v>0.13791958292394682</v>
      </c>
      <c r="H8" s="427">
        <f t="shared" si="3"/>
        <v>357.0034612028071</v>
      </c>
      <c r="I8" s="427">
        <f t="shared" si="4"/>
        <v>131.27017268427218</v>
      </c>
      <c r="J8" s="177">
        <v>138.88602631978827</v>
      </c>
      <c r="K8" s="427">
        <f t="shared" si="5"/>
        <v>110.54944169268957</v>
      </c>
      <c r="L8" s="427"/>
      <c r="M8" s="680">
        <f t="shared" si="1"/>
        <v>8.4829153857690381E-2</v>
      </c>
      <c r="N8" s="6" t="s">
        <v>7</v>
      </c>
    </row>
    <row r="9" spans="1:14" s="6" customFormat="1" ht="15.75">
      <c r="A9" s="756">
        <v>4</v>
      </c>
      <c r="B9" s="418" t="s">
        <v>686</v>
      </c>
      <c r="C9" s="330">
        <v>2719.72</v>
      </c>
      <c r="D9" s="330"/>
      <c r="E9" s="330"/>
      <c r="F9" s="433">
        <f t="shared" si="2"/>
        <v>2719.72</v>
      </c>
      <c r="G9" s="181">
        <f t="shared" si="0"/>
        <v>4.3133045483126561E-2</v>
      </c>
      <c r="H9" s="427">
        <f t="shared" si="3"/>
        <v>111.64945690261827</v>
      </c>
      <c r="I9" s="427">
        <f t="shared" si="4"/>
        <v>41.053505303092741</v>
      </c>
      <c r="J9" s="177">
        <v>43.435291517126551</v>
      </c>
      <c r="K9" s="427">
        <f t="shared" si="5"/>
        <v>34.573292607000091</v>
      </c>
      <c r="L9" s="427"/>
      <c r="M9" s="680">
        <f t="shared" si="1"/>
        <v>8.4829153857690368E-2</v>
      </c>
    </row>
    <row r="10" spans="1:14" s="6" customFormat="1" ht="15.75">
      <c r="A10" s="756">
        <v>5</v>
      </c>
      <c r="B10" s="418" t="s">
        <v>687</v>
      </c>
      <c r="C10" s="330">
        <v>4138.7</v>
      </c>
      <c r="D10" s="330"/>
      <c r="E10" s="330"/>
      <c r="F10" s="433">
        <f t="shared" si="2"/>
        <v>4138.7</v>
      </c>
      <c r="G10" s="181">
        <f t="shared" si="0"/>
        <v>6.5637174172714807E-2</v>
      </c>
      <c r="H10" s="427">
        <f t="shared" si="3"/>
        <v>169.90116897433055</v>
      </c>
      <c r="I10" s="427">
        <f t="shared" si="4"/>
        <v>62.472659831861343</v>
      </c>
      <c r="J10" s="177">
        <v>66.097113306491721</v>
      </c>
      <c r="K10" s="427">
        <f t="shared" si="5"/>
        <v>52.611476958139548</v>
      </c>
      <c r="L10" s="427"/>
      <c r="M10" s="680">
        <f t="shared" si="1"/>
        <v>8.4829153857690381E-2</v>
      </c>
    </row>
    <row r="11" spans="1:14" s="6" customFormat="1" ht="15.75">
      <c r="A11" s="756">
        <v>6</v>
      </c>
      <c r="B11" s="418" t="s">
        <v>688</v>
      </c>
      <c r="C11" s="330">
        <v>4166.1899999999996</v>
      </c>
      <c r="D11" s="330"/>
      <c r="E11" s="330"/>
      <c r="F11" s="433">
        <f t="shared" si="2"/>
        <v>4166.1899999999996</v>
      </c>
      <c r="G11" s="181">
        <f t="shared" si="0"/>
        <v>6.6073148251050498E-2</v>
      </c>
      <c r="H11" s="427">
        <f t="shared" si="3"/>
        <v>171.0296835163617</v>
      </c>
      <c r="I11" s="427">
        <f t="shared" si="4"/>
        <v>62.887614628966205</v>
      </c>
      <c r="J11" s="177">
        <v>66.536142384413637</v>
      </c>
      <c r="K11" s="427">
        <f t="shared" si="5"/>
        <v>52.960931980629525</v>
      </c>
      <c r="L11" s="427"/>
      <c r="M11" s="680">
        <f t="shared" si="1"/>
        <v>8.4829153857690395E-2</v>
      </c>
    </row>
    <row r="12" spans="1:14" s="6" customFormat="1" ht="15.75">
      <c r="A12" s="756">
        <v>7</v>
      </c>
      <c r="B12" s="418" t="s">
        <v>689</v>
      </c>
      <c r="C12" s="330">
        <v>3572.8</v>
      </c>
      <c r="D12" s="330"/>
      <c r="E12" s="330"/>
      <c r="F12" s="433">
        <f t="shared" si="2"/>
        <v>3572.8</v>
      </c>
      <c r="G12" s="181">
        <f t="shared" si="0"/>
        <v>5.666235675073706E-2</v>
      </c>
      <c r="H12" s="427">
        <f t="shared" si="3"/>
        <v>146.66994382571536</v>
      </c>
      <c r="I12" s="427">
        <f t="shared" si="4"/>
        <v>53.930538344715544</v>
      </c>
      <c r="J12" s="177">
        <v>57.059406678772</v>
      </c>
      <c r="K12" s="427">
        <f t="shared" si="5"/>
        <v>45.417712053553288</v>
      </c>
      <c r="L12" s="427"/>
      <c r="M12" s="680">
        <f t="shared" si="1"/>
        <v>8.4829153857690381E-2</v>
      </c>
    </row>
    <row r="13" spans="1:14" s="6" customFormat="1" ht="15.75">
      <c r="A13" s="756">
        <v>8</v>
      </c>
      <c r="B13" s="418" t="s">
        <v>690</v>
      </c>
      <c r="C13" s="330">
        <v>6443.05</v>
      </c>
      <c r="D13" s="330"/>
      <c r="E13" s="330"/>
      <c r="F13" s="433">
        <f t="shared" si="2"/>
        <v>6443.05</v>
      </c>
      <c r="G13" s="181">
        <f t="shared" si="0"/>
        <v>0.10218271318373164</v>
      </c>
      <c r="H13" s="427">
        <f t="shared" si="3"/>
        <v>264.49893124895749</v>
      </c>
      <c r="I13" s="427">
        <f t="shared" si="4"/>
        <v>97.256257020241677</v>
      </c>
      <c r="J13" s="177">
        <v>102.89873774117272</v>
      </c>
      <c r="K13" s="427">
        <f t="shared" si="5"/>
        <v>81.904553752420085</v>
      </c>
      <c r="L13" s="427"/>
      <c r="M13" s="680">
        <f t="shared" si="1"/>
        <v>8.4829153857690381E-2</v>
      </c>
    </row>
    <row r="14" spans="1:14" s="6" customFormat="1" ht="15.75">
      <c r="A14" s="756">
        <v>9</v>
      </c>
      <c r="B14" s="418" t="s">
        <v>691</v>
      </c>
      <c r="C14" s="330">
        <v>6459.7</v>
      </c>
      <c r="D14" s="330"/>
      <c r="E14" s="330"/>
      <c r="F14" s="433">
        <f t="shared" si="2"/>
        <v>6459.7</v>
      </c>
      <c r="G14" s="181">
        <f t="shared" si="0"/>
        <v>0.10244677169243623</v>
      </c>
      <c r="H14" s="427">
        <f t="shared" si="3"/>
        <v>265.1824440581542</v>
      </c>
      <c r="I14" s="427">
        <f t="shared" si="4"/>
        <v>97.507584680183314</v>
      </c>
      <c r="J14" s="177">
        <v>103.1646465861127</v>
      </c>
      <c r="K14" s="427">
        <f t="shared" si="5"/>
        <v>82.116209850072252</v>
      </c>
      <c r="L14" s="427"/>
      <c r="M14" s="680">
        <f t="shared" si="1"/>
        <v>8.4829153857690368E-2</v>
      </c>
    </row>
    <row r="15" spans="1:14" s="6" customFormat="1" ht="15.75">
      <c r="A15" s="756">
        <v>10</v>
      </c>
      <c r="B15" s="418" t="s">
        <v>692</v>
      </c>
      <c r="C15" s="330">
        <v>4374.04</v>
      </c>
      <c r="D15" s="330"/>
      <c r="E15" s="330"/>
      <c r="F15" s="433">
        <f t="shared" si="2"/>
        <v>4374.04</v>
      </c>
      <c r="G15" s="181">
        <f t="shared" si="0"/>
        <v>6.9369518283137574E-2</v>
      </c>
      <c r="H15" s="427">
        <f t="shared" si="3"/>
        <v>179.56230438071876</v>
      </c>
      <c r="I15" s="427">
        <f t="shared" si="4"/>
        <v>66.025059320790291</v>
      </c>
      <c r="J15" s="177">
        <v>69.855611058334034</v>
      </c>
      <c r="K15" s="427">
        <f t="shared" si="5"/>
        <v>55.603137379848917</v>
      </c>
      <c r="L15" s="427"/>
      <c r="M15" s="680">
        <f t="shared" si="1"/>
        <v>8.4829153857690381E-2</v>
      </c>
    </row>
    <row r="16" spans="1:14" s="6" customFormat="1" ht="15.75">
      <c r="A16" s="756">
        <v>11</v>
      </c>
      <c r="B16" s="418" t="s">
        <v>693</v>
      </c>
      <c r="C16" s="330">
        <v>3413.87</v>
      </c>
      <c r="D16" s="330"/>
      <c r="E16" s="330">
        <v>85.7</v>
      </c>
      <c r="F16" s="433">
        <f t="shared" si="2"/>
        <v>3499.5699999999997</v>
      </c>
      <c r="G16" s="181">
        <f t="shared" si="0"/>
        <v>5.5500975093533605E-2</v>
      </c>
      <c r="H16" s="427">
        <f t="shared" si="3"/>
        <v>143.66371901986079</v>
      </c>
      <c r="I16" s="427">
        <f t="shared" si="4"/>
        <v>52.825149483602814</v>
      </c>
      <c r="J16" s="177">
        <v>55.889886876072005</v>
      </c>
      <c r="K16" s="427">
        <f t="shared" si="5"/>
        <v>44.48680658622186</v>
      </c>
      <c r="L16" s="427"/>
      <c r="M16" s="680">
        <f t="shared" si="1"/>
        <v>8.4829153857690368E-2</v>
      </c>
    </row>
    <row r="17" spans="1:13" s="6" customFormat="1" ht="15.75">
      <c r="A17" s="756">
        <v>12</v>
      </c>
      <c r="B17" s="418" t="s">
        <v>694</v>
      </c>
      <c r="C17" s="330">
        <v>3466.61</v>
      </c>
      <c r="D17" s="330">
        <v>97.8</v>
      </c>
      <c r="E17" s="330"/>
      <c r="F17" s="433">
        <f t="shared" si="2"/>
        <v>3564.4100000000003</v>
      </c>
      <c r="G17" s="181">
        <f t="shared" si="0"/>
        <v>5.6529296637341776E-2</v>
      </c>
      <c r="H17" s="427">
        <f t="shared" si="3"/>
        <v>146.3255190527928</v>
      </c>
      <c r="I17" s="427">
        <f t="shared" si="4"/>
        <v>53.803893355711914</v>
      </c>
      <c r="J17" s="177">
        <v>56.925414173724164</v>
      </c>
      <c r="K17" s="427">
        <f t="shared" si="5"/>
        <v>45.311057719661299</v>
      </c>
      <c r="L17" s="427"/>
      <c r="M17" s="680">
        <f t="shared" si="1"/>
        <v>8.4829153857690381E-2</v>
      </c>
    </row>
    <row r="18" spans="1:13" s="6" customFormat="1" ht="15.75">
      <c r="A18" s="756">
        <v>13</v>
      </c>
      <c r="B18" s="418" t="s">
        <v>695</v>
      </c>
      <c r="C18" s="330">
        <v>5767.21</v>
      </c>
      <c r="D18" s="330">
        <v>261.60000000000002</v>
      </c>
      <c r="E18" s="330">
        <v>456.05</v>
      </c>
      <c r="F18" s="433">
        <f t="shared" si="2"/>
        <v>6484.8600000000006</v>
      </c>
      <c r="G18" s="181">
        <f t="shared" si="0"/>
        <v>0.10284579343892318</v>
      </c>
      <c r="H18" s="427">
        <f t="shared" si="3"/>
        <v>266.21530785871823</v>
      </c>
      <c r="I18" s="427">
        <f t="shared" si="4"/>
        <v>97.887368699650708</v>
      </c>
      <c r="J18" s="177">
        <v>103.56646439624421</v>
      </c>
      <c r="K18" s="427">
        <f t="shared" si="5"/>
        <v>82.436045730968871</v>
      </c>
      <c r="L18" s="427"/>
      <c r="M18" s="680">
        <f t="shared" si="1"/>
        <v>8.4829153857690381E-2</v>
      </c>
    </row>
    <row r="19" spans="1:13" s="6" customFormat="1" ht="15.75">
      <c r="A19" s="756">
        <v>14</v>
      </c>
      <c r="B19" s="418" t="s">
        <v>696</v>
      </c>
      <c r="C19" s="330">
        <v>5966.95</v>
      </c>
      <c r="D19" s="330"/>
      <c r="E19" s="330">
        <v>49.5</v>
      </c>
      <c r="F19" s="433">
        <f t="shared" si="2"/>
        <v>6016.45</v>
      </c>
      <c r="G19" s="181">
        <f t="shared" si="0"/>
        <v>9.5417105987732856E-2</v>
      </c>
      <c r="H19" s="427">
        <f t="shared" si="3"/>
        <v>246.9862246781866</v>
      </c>
      <c r="I19" s="427">
        <f t="shared" si="4"/>
        <v>90.816834814169226</v>
      </c>
      <c r="J19" s="177">
        <v>96.08572193027814</v>
      </c>
      <c r="K19" s="427">
        <f t="shared" si="5"/>
        <v>76.481581304467269</v>
      </c>
      <c r="L19" s="427"/>
      <c r="M19" s="680">
        <f t="shared" si="1"/>
        <v>8.4829153857690368E-2</v>
      </c>
    </row>
    <row r="20" spans="1:13" s="6" customFormat="1" ht="15.75">
      <c r="A20" s="756">
        <v>15</v>
      </c>
      <c r="B20" s="418" t="s">
        <v>697</v>
      </c>
      <c r="C20" s="330">
        <v>8566.1200000000008</v>
      </c>
      <c r="D20" s="330"/>
      <c r="E20" s="330"/>
      <c r="F20" s="433">
        <f t="shared" si="2"/>
        <v>8566.1200000000008</v>
      </c>
      <c r="G20" s="181">
        <f t="shared" si="0"/>
        <v>0.1358532656206963</v>
      </c>
      <c r="H20" s="427">
        <f t="shared" si="3"/>
        <v>351.65481952651612</v>
      </c>
      <c r="I20" s="427">
        <f t="shared" si="4"/>
        <v>129.3034771399</v>
      </c>
      <c r="J20" s="177">
        <v>136.80522971875345</v>
      </c>
      <c r="K20" s="427">
        <f t="shared" si="5"/>
        <v>108.89318505826911</v>
      </c>
      <c r="L20" s="427"/>
      <c r="M20" s="680">
        <f t="shared" si="1"/>
        <v>8.4829153857690368E-2</v>
      </c>
    </row>
    <row r="21" spans="1:13" s="6" customFormat="1" ht="15.75">
      <c r="A21" s="756">
        <v>16</v>
      </c>
      <c r="B21" s="418" t="s">
        <v>698</v>
      </c>
      <c r="C21" s="330">
        <v>5774.55</v>
      </c>
      <c r="D21" s="330">
        <v>201.5</v>
      </c>
      <c r="E21" s="330"/>
      <c r="F21" s="433">
        <f t="shared" si="2"/>
        <v>5976.05</v>
      </c>
      <c r="G21" s="181">
        <f t="shared" si="0"/>
        <v>9.4776387444089283E-2</v>
      </c>
      <c r="H21" s="427">
        <f t="shared" si="3"/>
        <v>245.32773113515066</v>
      </c>
      <c r="I21" s="427">
        <f t="shared" si="4"/>
        <v>90.207006738394909</v>
      </c>
      <c r="J21" s="177">
        <v>95.440513681895254</v>
      </c>
      <c r="K21" s="427">
        <f t="shared" si="5"/>
        <v>75.968013355809759</v>
      </c>
      <c r="L21" s="427"/>
      <c r="M21" s="680">
        <f t="shared" si="1"/>
        <v>8.4829153857690381E-2</v>
      </c>
    </row>
    <row r="22" spans="1:13" s="6" customFormat="1" ht="15.75">
      <c r="A22" s="756">
        <v>17</v>
      </c>
      <c r="B22" s="418" t="s">
        <v>699</v>
      </c>
      <c r="C22" s="330">
        <v>3226.62</v>
      </c>
      <c r="D22" s="330"/>
      <c r="E22" s="330"/>
      <c r="F22" s="433">
        <f t="shared" si="2"/>
        <v>3226.62</v>
      </c>
      <c r="G22" s="181">
        <f t="shared" si="0"/>
        <v>5.1172160081466411E-2</v>
      </c>
      <c r="H22" s="427">
        <f t="shared" si="3"/>
        <v>132.45862464927498</v>
      </c>
      <c r="I22" s="427">
        <f t="shared" si="4"/>
        <v>48.705036283538412</v>
      </c>
      <c r="J22" s="177">
        <v>51.530738574188106</v>
      </c>
      <c r="K22" s="427">
        <f t="shared" si="5"/>
        <v>41.017044913299401</v>
      </c>
      <c r="L22" s="427"/>
      <c r="M22" s="680">
        <f t="shared" si="1"/>
        <v>8.4829153857690368E-2</v>
      </c>
    </row>
    <row r="23" spans="1:13" s="6" customFormat="1" ht="15.75">
      <c r="A23" s="756">
        <v>18</v>
      </c>
      <c r="B23" s="418" t="s">
        <v>700</v>
      </c>
      <c r="C23" s="330">
        <v>3233.9</v>
      </c>
      <c r="D23" s="330"/>
      <c r="E23" s="330"/>
      <c r="F23" s="433">
        <f t="shared" si="2"/>
        <v>3233.9</v>
      </c>
      <c r="G23" s="181">
        <f t="shared" si="0"/>
        <v>5.1287616294281399E-2</v>
      </c>
      <c r="H23" s="427">
        <f t="shared" si="3"/>
        <v>132.75748190158444</v>
      </c>
      <c r="I23" s="427">
        <f t="shared" si="4"/>
        <v>48.814926095212606</v>
      </c>
      <c r="J23" s="177">
        <v>51.647003822906612</v>
      </c>
      <c r="K23" s="427">
        <f t="shared" si="5"/>
        <v>41.109588840681255</v>
      </c>
      <c r="L23" s="427"/>
      <c r="M23" s="680">
        <f t="shared" si="1"/>
        <v>8.4829153857690368E-2</v>
      </c>
    </row>
    <row r="24" spans="1:13" s="6" customFormat="1" ht="15.75">
      <c r="A24" s="756">
        <v>19</v>
      </c>
      <c r="B24" s="418" t="s">
        <v>701</v>
      </c>
      <c r="C24" s="330">
        <v>6095.4</v>
      </c>
      <c r="D24" s="330"/>
      <c r="E24" s="330"/>
      <c r="F24" s="433">
        <f t="shared" si="2"/>
        <v>6095.4</v>
      </c>
      <c r="G24" s="181">
        <f t="shared" si="0"/>
        <v>9.6669203240719495E-2</v>
      </c>
      <c r="H24" s="427">
        <f t="shared" si="3"/>
        <v>250.22726589656997</v>
      </c>
      <c r="I24" s="427">
        <f t="shared" si="4"/>
        <v>92.008565670168792</v>
      </c>
      <c r="J24" s="177">
        <v>97.34659299982836</v>
      </c>
      <c r="K24" s="427">
        <f t="shared" si="5"/>
        <v>77.485199857598701</v>
      </c>
      <c r="L24" s="427"/>
      <c r="M24" s="680">
        <f t="shared" si="1"/>
        <v>8.4829153857690368E-2</v>
      </c>
    </row>
    <row r="25" spans="1:13" s="6" customFormat="1" ht="15.75">
      <c r="A25" s="756">
        <v>20</v>
      </c>
      <c r="B25" s="418" t="s">
        <v>702</v>
      </c>
      <c r="C25" s="330">
        <v>6384.91</v>
      </c>
      <c r="D25" s="330"/>
      <c r="E25" s="330"/>
      <c r="F25" s="433">
        <f t="shared" si="2"/>
        <v>6384.91</v>
      </c>
      <c r="G25" s="181">
        <f t="shared" si="0"/>
        <v>0.101260649418201</v>
      </c>
      <c r="H25" s="427">
        <f t="shared" si="3"/>
        <v>262.11217841251909</v>
      </c>
      <c r="I25" s="427">
        <f t="shared" si="4"/>
        <v>96.378648002283271</v>
      </c>
      <c r="J25" s="177">
        <v>101.97021280154446</v>
      </c>
      <c r="K25" s="427">
        <f t="shared" si="5"/>
        <v>81.165473541159002</v>
      </c>
      <c r="L25" s="427"/>
      <c r="M25" s="680">
        <f t="shared" si="1"/>
        <v>8.4829153857690381E-2</v>
      </c>
    </row>
    <row r="26" spans="1:13" s="6" customFormat="1" ht="15.75">
      <c r="A26" s="756">
        <v>21</v>
      </c>
      <c r="B26" s="418" t="s">
        <v>703</v>
      </c>
      <c r="C26" s="330">
        <v>3929.49</v>
      </c>
      <c r="D26" s="330">
        <v>464.4</v>
      </c>
      <c r="E26" s="330"/>
      <c r="F26" s="433">
        <f t="shared" si="2"/>
        <v>4393.8899999999994</v>
      </c>
      <c r="G26" s="181">
        <f t="shared" si="0"/>
        <v>6.9684326775497088E-2</v>
      </c>
      <c r="H26" s="427">
        <f t="shared" si="3"/>
        <v>180.37718301510645</v>
      </c>
      <c r="I26" s="427">
        <f t="shared" si="4"/>
        <v>66.32469019465465</v>
      </c>
      <c r="J26" s="177">
        <v>70.172625507106304</v>
      </c>
      <c r="K26" s="427">
        <f t="shared" si="5"/>
        <v>55.855472126899684</v>
      </c>
      <c r="L26" s="427"/>
      <c r="M26" s="680">
        <f t="shared" si="1"/>
        <v>8.4829153857690368E-2</v>
      </c>
    </row>
    <row r="27" spans="1:13" s="6" customFormat="1" ht="15.75">
      <c r="A27" s="756">
        <v>22</v>
      </c>
      <c r="B27" s="418" t="s">
        <v>704</v>
      </c>
      <c r="C27" s="330">
        <v>7174.09</v>
      </c>
      <c r="D27" s="330"/>
      <c r="E27" s="330"/>
      <c r="F27" s="433">
        <f t="shared" si="2"/>
        <v>7174.09</v>
      </c>
      <c r="G27" s="181">
        <f t="shared" si="0"/>
        <v>0.11377654694970198</v>
      </c>
      <c r="H27" s="427">
        <f t="shared" si="3"/>
        <v>294.50945401383404</v>
      </c>
      <c r="I27" s="427">
        <f t="shared" si="4"/>
        <v>108.29112624088678</v>
      </c>
      <c r="J27" s="177">
        <v>114.57381293666351</v>
      </c>
      <c r="K27" s="427">
        <f t="shared" si="5"/>
        <v>91.19759120753362</v>
      </c>
      <c r="L27" s="427"/>
      <c r="M27" s="680">
        <f t="shared" si="1"/>
        <v>8.4829153857690368E-2</v>
      </c>
    </row>
    <row r="28" spans="1:13" s="6" customFormat="1" ht="15.75">
      <c r="A28" s="756">
        <v>23</v>
      </c>
      <c r="B28" s="418" t="s">
        <v>705</v>
      </c>
      <c r="C28" s="330">
        <v>3836.07</v>
      </c>
      <c r="D28" s="330"/>
      <c r="E28" s="330">
        <v>416</v>
      </c>
      <c r="F28" s="433">
        <f t="shared" si="2"/>
        <v>4252.07</v>
      </c>
      <c r="G28" s="181">
        <f t="shared" si="0"/>
        <v>6.7435150937389859E-2</v>
      </c>
      <c r="H28" s="427">
        <f t="shared" si="3"/>
        <v>174.55521384992426</v>
      </c>
      <c r="I28" s="427">
        <f t="shared" si="4"/>
        <v>64.183952132617151</v>
      </c>
      <c r="J28" s="177">
        <v>67.907689027263203</v>
      </c>
      <c r="K28" s="427">
        <f t="shared" si="5"/>
        <v>54.052645233864837</v>
      </c>
      <c r="L28" s="427"/>
      <c r="M28" s="680">
        <f t="shared" si="1"/>
        <v>8.4829153857690368E-2</v>
      </c>
    </row>
    <row r="29" spans="1:13" s="6" customFormat="1" ht="15.75">
      <c r="A29" s="756">
        <v>24</v>
      </c>
      <c r="B29" s="418" t="s">
        <v>706</v>
      </c>
      <c r="C29" s="330">
        <v>2413.89</v>
      </c>
      <c r="D29" s="330"/>
      <c r="E29" s="330"/>
      <c r="F29" s="433">
        <f t="shared" si="2"/>
        <v>2413.89</v>
      </c>
      <c r="G29" s="181">
        <f t="shared" si="0"/>
        <v>3.8282774389004889E-2</v>
      </c>
      <c r="H29" s="427">
        <f t="shared" si="3"/>
        <v>99.094578678195262</v>
      </c>
      <c r="I29" s="427">
        <f t="shared" si="4"/>
        <v>36.437076579972398</v>
      </c>
      <c r="J29" s="177">
        <v>38.55103313586568</v>
      </c>
      <c r="K29" s="427">
        <f t="shared" si="5"/>
        <v>30.685557811506868</v>
      </c>
      <c r="L29" s="427"/>
      <c r="M29" s="680">
        <f t="shared" si="1"/>
        <v>8.4829153857690381E-2</v>
      </c>
    </row>
    <row r="30" spans="1:13" s="6" customFormat="1" ht="15.75">
      <c r="A30" s="756">
        <v>25</v>
      </c>
      <c r="B30" s="418" t="s">
        <v>707</v>
      </c>
      <c r="C30" s="330">
        <v>6323.28</v>
      </c>
      <c r="D30" s="330"/>
      <c r="E30" s="330"/>
      <c r="F30" s="433">
        <f t="shared" si="2"/>
        <v>6323.28</v>
      </c>
      <c r="G30" s="181">
        <f t="shared" si="0"/>
        <v>0.10028323645174669</v>
      </c>
      <c r="H30" s="427">
        <f t="shared" si="3"/>
        <v>259.58215472298178</v>
      </c>
      <c r="I30" s="427">
        <f t="shared" si="4"/>
        <v>95.448358291640403</v>
      </c>
      <c r="J30" s="177">
        <v>100.9859508127366</v>
      </c>
      <c r="K30" s="427">
        <f t="shared" si="5"/>
        <v>80.382028177897553</v>
      </c>
      <c r="L30" s="427"/>
      <c r="M30" s="680">
        <f t="shared" si="1"/>
        <v>8.4829153857690368E-2</v>
      </c>
    </row>
    <row r="31" spans="1:13" s="6" customFormat="1" ht="15.75">
      <c r="A31" s="756">
        <v>26</v>
      </c>
      <c r="B31" s="418" t="s">
        <v>708</v>
      </c>
      <c r="C31" s="330">
        <v>4396.59</v>
      </c>
      <c r="D31" s="330"/>
      <c r="E31" s="330"/>
      <c r="F31" s="433">
        <f t="shared" si="2"/>
        <v>4396.59</v>
      </c>
      <c r="G31" s="181">
        <f t="shared" si="0"/>
        <v>6.9727147074205964E-2</v>
      </c>
      <c r="H31" s="427">
        <f t="shared" si="3"/>
        <v>180.48802293011138</v>
      </c>
      <c r="I31" s="427">
        <f t="shared" si="4"/>
        <v>66.365446031401959</v>
      </c>
      <c r="J31" s="177">
        <v>70.215745860339837</v>
      </c>
      <c r="K31" s="427">
        <f t="shared" si="5"/>
        <v>55.889794737329787</v>
      </c>
      <c r="L31" s="427"/>
      <c r="M31" s="680">
        <f t="shared" si="1"/>
        <v>8.4829153857690381E-2</v>
      </c>
    </row>
    <row r="32" spans="1:13" s="6" customFormat="1" ht="15.75">
      <c r="A32" s="756">
        <v>27</v>
      </c>
      <c r="B32" s="418" t="s">
        <v>709</v>
      </c>
      <c r="C32" s="330">
        <v>6702.46</v>
      </c>
      <c r="D32" s="330"/>
      <c r="E32" s="330"/>
      <c r="F32" s="433">
        <f t="shared" si="2"/>
        <v>6702.46</v>
      </c>
      <c r="G32" s="181">
        <f t="shared" si="0"/>
        <v>0.10629679232745888</v>
      </c>
      <c r="H32" s="427">
        <f t="shared" si="3"/>
        <v>275.14818397170399</v>
      </c>
      <c r="I32" s="427">
        <f t="shared" si="4"/>
        <v>101.17198724639556</v>
      </c>
      <c r="J32" s="177">
        <v>107.04164545684117</v>
      </c>
      <c r="K32" s="427">
        <f t="shared" si="5"/>
        <v>85.202193890074668</v>
      </c>
      <c r="L32" s="427"/>
      <c r="M32" s="680">
        <f t="shared" si="1"/>
        <v>8.4829153857690381E-2</v>
      </c>
    </row>
    <row r="33" spans="1:13" s="6" customFormat="1" ht="15.75">
      <c r="A33" s="756">
        <v>28</v>
      </c>
      <c r="B33" s="418" t="s">
        <v>710</v>
      </c>
      <c r="C33" s="330">
        <v>6185.24</v>
      </c>
      <c r="D33" s="330"/>
      <c r="E33" s="330"/>
      <c r="F33" s="433">
        <f t="shared" si="2"/>
        <v>6185.24</v>
      </c>
      <c r="G33" s="181">
        <f t="shared" si="0"/>
        <v>9.8094009031831852E-2</v>
      </c>
      <c r="H33" s="427">
        <f t="shared" si="3"/>
        <v>253.9153614388064</v>
      </c>
      <c r="I33" s="427">
        <f t="shared" si="4"/>
        <v>93.364678401049119</v>
      </c>
      <c r="J33" s="177">
        <v>98.781382827420401</v>
      </c>
      <c r="K33" s="427">
        <f t="shared" si="5"/>
        <v>78.62725293946481</v>
      </c>
      <c r="L33" s="427"/>
      <c r="M33" s="680">
        <f t="shared" si="1"/>
        <v>8.4829153857690368E-2</v>
      </c>
    </row>
    <row r="34" spans="1:13" s="6" customFormat="1" ht="15.75">
      <c r="A34" s="756">
        <v>29</v>
      </c>
      <c r="B34" s="418" t="s">
        <v>711</v>
      </c>
      <c r="C34" s="330">
        <v>6856.85</v>
      </c>
      <c r="D34" s="330"/>
      <c r="E34" s="330"/>
      <c r="F34" s="433">
        <f t="shared" si="2"/>
        <v>6856.85</v>
      </c>
      <c r="G34" s="181">
        <f t="shared" si="0"/>
        <v>0.10874532044511068</v>
      </c>
      <c r="H34" s="427">
        <f t="shared" si="3"/>
        <v>281.4861745189645</v>
      </c>
      <c r="I34" s="427">
        <f t="shared" si="4"/>
        <v>103.50246637062325</v>
      </c>
      <c r="J34" s="177">
        <v>109.50733113673806</v>
      </c>
      <c r="K34" s="427">
        <f t="shared" si="5"/>
        <v>87.164811602778457</v>
      </c>
      <c r="L34" s="427"/>
      <c r="M34" s="680">
        <f t="shared" si="1"/>
        <v>8.4829153857690381E-2</v>
      </c>
    </row>
    <row r="35" spans="1:13" s="6" customFormat="1" ht="15.75">
      <c r="A35" s="756">
        <v>30</v>
      </c>
      <c r="B35" s="418" t="s">
        <v>712</v>
      </c>
      <c r="C35" s="330">
        <v>6358.97</v>
      </c>
      <c r="D35" s="330"/>
      <c r="E35" s="330"/>
      <c r="F35" s="433">
        <f t="shared" si="2"/>
        <v>6358.97</v>
      </c>
      <c r="G35" s="181">
        <f t="shared" si="0"/>
        <v>0.10084925736319818</v>
      </c>
      <c r="H35" s="427">
        <f t="shared" si="3"/>
        <v>261.04729419206484</v>
      </c>
      <c r="I35" s="427">
        <f t="shared" si="4"/>
        <v>95.987090074422255</v>
      </c>
      <c r="J35" s="177">
        <v>101.55593800047882</v>
      </c>
      <c r="K35" s="427">
        <f t="shared" si="5"/>
        <v>80.835722239471494</v>
      </c>
      <c r="L35" s="427"/>
      <c r="M35" s="680">
        <f t="shared" si="1"/>
        <v>8.4829153857690381E-2</v>
      </c>
    </row>
    <row r="36" spans="1:13" s="6" customFormat="1" ht="15.75">
      <c r="A36" s="756">
        <v>31</v>
      </c>
      <c r="B36" s="418" t="s">
        <v>713</v>
      </c>
      <c r="C36" s="330">
        <v>4302.43</v>
      </c>
      <c r="D36" s="330"/>
      <c r="E36" s="330"/>
      <c r="F36" s="433">
        <f t="shared" si="2"/>
        <v>4302.43</v>
      </c>
      <c r="G36" s="181">
        <f t="shared" si="0"/>
        <v>6.8233828805159435E-2</v>
      </c>
      <c r="H36" s="427">
        <f t="shared" si="3"/>
        <v>176.62258352386712</v>
      </c>
      <c r="I36" s="427">
        <f t="shared" si="4"/>
        <v>64.94412396172595</v>
      </c>
      <c r="J36" s="177">
        <v>68.711963467574165</v>
      </c>
      <c r="K36" s="427">
        <f t="shared" si="5"/>
        <v>54.692825478775539</v>
      </c>
      <c r="L36" s="427"/>
      <c r="M36" s="680">
        <f t="shared" si="1"/>
        <v>8.4829153857690368E-2</v>
      </c>
    </row>
    <row r="37" spans="1:13" s="6" customFormat="1" ht="15.75">
      <c r="A37" s="756">
        <v>32</v>
      </c>
      <c r="B37" s="418" t="s">
        <v>714</v>
      </c>
      <c r="C37" s="330">
        <v>4355.7</v>
      </c>
      <c r="D37" s="330"/>
      <c r="E37" s="330"/>
      <c r="F37" s="433">
        <f t="shared" si="2"/>
        <v>4355.7</v>
      </c>
      <c r="G37" s="181">
        <f t="shared" si="0"/>
        <v>6.9078657439315211E-2</v>
      </c>
      <c r="H37" s="427">
        <f t="shared" si="3"/>
        <v>178.80941399509302</v>
      </c>
      <c r="I37" s="427">
        <f t="shared" si="4"/>
        <v>65.748221525995703</v>
      </c>
      <c r="J37" s="177">
        <v>69.562712066370111</v>
      </c>
      <c r="K37" s="427">
        <f t="shared" si="5"/>
        <v>55.369997870483104</v>
      </c>
      <c r="L37" s="427"/>
      <c r="M37" s="680">
        <f t="shared" si="1"/>
        <v>8.4829153857690368E-2</v>
      </c>
    </row>
    <row r="38" spans="1:13" s="6" customFormat="1" ht="15.75">
      <c r="A38" s="756">
        <v>33</v>
      </c>
      <c r="B38" s="418" t="s">
        <v>715</v>
      </c>
      <c r="C38" s="330">
        <v>61.3</v>
      </c>
      <c r="D38" s="330"/>
      <c r="E38" s="330"/>
      <c r="F38" s="433">
        <f t="shared" si="2"/>
        <v>61.3</v>
      </c>
      <c r="G38" s="181">
        <f t="shared" si="0"/>
        <v>9.7217937438988508E-4</v>
      </c>
      <c r="H38" s="427">
        <f t="shared" si="3"/>
        <v>2.5164765888144736</v>
      </c>
      <c r="I38" s="427">
        <f t="shared" si="4"/>
        <v>0.92530844170708204</v>
      </c>
      <c r="J38" s="177">
        <v>0</v>
      </c>
      <c r="K38" s="427">
        <f t="shared" si="5"/>
        <v>0.77925037754221238</v>
      </c>
      <c r="L38" s="427"/>
      <c r="M38" s="680"/>
    </row>
    <row r="39" spans="1:13" s="6" customFormat="1" ht="15.75">
      <c r="A39" s="756">
        <v>34</v>
      </c>
      <c r="B39" s="418" t="s">
        <v>716</v>
      </c>
      <c r="C39" s="330">
        <v>105.7</v>
      </c>
      <c r="D39" s="330"/>
      <c r="E39" s="330"/>
      <c r="F39" s="433">
        <f t="shared" si="2"/>
        <v>105.7</v>
      </c>
      <c r="G39" s="181">
        <f t="shared" si="0"/>
        <v>1.6763353976021347E-3</v>
      </c>
      <c r="H39" s="427">
        <f t="shared" si="3"/>
        <v>4.339177413339149</v>
      </c>
      <c r="I39" s="427">
        <f t="shared" si="4"/>
        <v>1.5955155348848051</v>
      </c>
      <c r="J39" s="177">
        <v>0</v>
      </c>
      <c r="K39" s="427">
        <f t="shared" si="5"/>
        <v>1.3436666379479911</v>
      </c>
      <c r="L39" s="427"/>
      <c r="M39" s="680"/>
    </row>
    <row r="40" spans="1:13" s="6" customFormat="1" ht="15.75">
      <c r="A40" s="756">
        <v>35</v>
      </c>
      <c r="B40" s="418" t="s">
        <v>717</v>
      </c>
      <c r="C40" s="330">
        <v>124.1</v>
      </c>
      <c r="D40" s="330"/>
      <c r="E40" s="330"/>
      <c r="F40" s="433">
        <f t="shared" si="2"/>
        <v>124.1</v>
      </c>
      <c r="G40" s="181">
        <f t="shared" si="0"/>
        <v>1.9681478036180219E-3</v>
      </c>
      <c r="H40" s="427">
        <f t="shared" si="3"/>
        <v>5.0945309081872132</v>
      </c>
      <c r="I40" s="427">
        <f t="shared" si="4"/>
        <v>1.8732590149404384</v>
      </c>
      <c r="J40" s="177">
        <v>0</v>
      </c>
      <c r="K40" s="427">
        <f t="shared" si="5"/>
        <v>1.5775688719900254</v>
      </c>
      <c r="L40" s="427"/>
      <c r="M40" s="680"/>
    </row>
    <row r="41" spans="1:13" s="6" customFormat="1" ht="15.75">
      <c r="A41" s="756">
        <v>36</v>
      </c>
      <c r="B41" s="418" t="s">
        <v>718</v>
      </c>
      <c r="C41" s="330">
        <v>2349.19</v>
      </c>
      <c r="D41" s="330"/>
      <c r="E41" s="330"/>
      <c r="F41" s="433">
        <f t="shared" si="2"/>
        <v>2349.19</v>
      </c>
      <c r="G41" s="181">
        <f t="shared" si="0"/>
        <v>3.7256673156981633E-2</v>
      </c>
      <c r="H41" s="427">
        <f t="shared" si="3"/>
        <v>96.43852590011538</v>
      </c>
      <c r="I41" s="427">
        <f t="shared" si="4"/>
        <v>35.460445973472424</v>
      </c>
      <c r="J41" s="177">
        <v>37.517741708381202</v>
      </c>
      <c r="K41" s="427">
        <f t="shared" si="5"/>
        <v>29.863086368978625</v>
      </c>
      <c r="L41" s="427"/>
      <c r="M41" s="680">
        <f t="shared" si="1"/>
        <v>8.4829153857690354E-2</v>
      </c>
    </row>
    <row r="42" spans="1:13" s="6" customFormat="1" ht="15.75">
      <c r="A42" s="756">
        <v>37</v>
      </c>
      <c r="B42" s="418" t="s">
        <v>719</v>
      </c>
      <c r="C42" s="330">
        <v>3321.01</v>
      </c>
      <c r="D42" s="330"/>
      <c r="E42" s="330"/>
      <c r="F42" s="433">
        <f t="shared" si="2"/>
        <v>3321.01</v>
      </c>
      <c r="G42" s="181">
        <f t="shared" si="0"/>
        <v>5.2669126005588131E-2</v>
      </c>
      <c r="H42" s="427">
        <f t="shared" si="3"/>
        <v>136.3335059742048</v>
      </c>
      <c r="I42" s="427">
        <f t="shared" si="4"/>
        <v>50.129830146715108</v>
      </c>
      <c r="J42" s="177">
        <v>53.038194182229219</v>
      </c>
      <c r="K42" s="427">
        <f t="shared" si="5"/>
        <v>42.216937949779165</v>
      </c>
      <c r="L42" s="427"/>
      <c r="M42" s="680">
        <f t="shared" si="1"/>
        <v>8.4829153857690368E-2</v>
      </c>
    </row>
    <row r="43" spans="1:13" s="6" customFormat="1" ht="15.75">
      <c r="A43" s="756">
        <v>38</v>
      </c>
      <c r="B43" s="418" t="s">
        <v>720</v>
      </c>
      <c r="C43" s="330">
        <v>3969.9</v>
      </c>
      <c r="D43" s="330"/>
      <c r="E43" s="330"/>
      <c r="F43" s="433">
        <f t="shared" si="2"/>
        <v>3969.9</v>
      </c>
      <c r="G43" s="181">
        <f t="shared" si="0"/>
        <v>6.2960112534916887E-2</v>
      </c>
      <c r="H43" s="427">
        <f t="shared" si="3"/>
        <v>162.971621695507</v>
      </c>
      <c r="I43" s="427">
        <f t="shared" si="4"/>
        <v>59.924665297437926</v>
      </c>
      <c r="J43" s="177">
        <v>63.401292704337472</v>
      </c>
      <c r="K43" s="427">
        <f t="shared" si="5"/>
        <v>50.465678202362625</v>
      </c>
      <c r="L43" s="427"/>
      <c r="M43" s="680">
        <f t="shared" si="1"/>
        <v>8.4829153857690368E-2</v>
      </c>
    </row>
    <row r="44" spans="1:13" s="6" customFormat="1" ht="15.75">
      <c r="A44" s="756">
        <v>39</v>
      </c>
      <c r="B44" s="418" t="s">
        <v>721</v>
      </c>
      <c r="C44" s="330">
        <v>6582.1</v>
      </c>
      <c r="D44" s="330"/>
      <c r="E44" s="330"/>
      <c r="F44" s="433">
        <f t="shared" si="2"/>
        <v>6582.1</v>
      </c>
      <c r="G44" s="181">
        <f t="shared" si="0"/>
        <v>0.10438795856723758</v>
      </c>
      <c r="H44" s="427">
        <f t="shared" si="3"/>
        <v>270.20718687170876</v>
      </c>
      <c r="I44" s="427">
        <f t="shared" si="4"/>
        <v>99.355182612727319</v>
      </c>
      <c r="J44" s="177">
        <v>105.11943593269848</v>
      </c>
      <c r="K44" s="427">
        <f t="shared" si="5"/>
        <v>83.672168189569277</v>
      </c>
      <c r="L44" s="427"/>
      <c r="M44" s="680">
        <f t="shared" si="1"/>
        <v>8.4829153857690381E-2</v>
      </c>
    </row>
    <row r="45" spans="1:13" s="6" customFormat="1" ht="15.75">
      <c r="A45" s="756">
        <v>40</v>
      </c>
      <c r="B45" s="418" t="s">
        <v>722</v>
      </c>
      <c r="C45" s="330">
        <v>8461.27</v>
      </c>
      <c r="D45" s="330">
        <v>287.3</v>
      </c>
      <c r="E45" s="330"/>
      <c r="F45" s="433">
        <f t="shared" si="2"/>
        <v>8748.57</v>
      </c>
      <c r="G45" s="181">
        <f t="shared" si="0"/>
        <v>0.13874680765752231</v>
      </c>
      <c r="H45" s="427">
        <f t="shared" si="3"/>
        <v>359.14472415341993</v>
      </c>
      <c r="I45" s="427">
        <f t="shared" si="4"/>
        <v>132.05751507121252</v>
      </c>
      <c r="J45" s="177">
        <v>139.71904766225489</v>
      </c>
      <c r="K45" s="427">
        <f t="shared" si="5"/>
        <v>111.212503677887</v>
      </c>
      <c r="L45" s="427"/>
      <c r="M45" s="680">
        <f t="shared" si="1"/>
        <v>8.4829153857690381E-2</v>
      </c>
    </row>
    <row r="46" spans="1:13" s="6" customFormat="1" ht="15.75">
      <c r="A46" s="756">
        <v>41</v>
      </c>
      <c r="B46" s="418" t="s">
        <v>723</v>
      </c>
      <c r="C46" s="330">
        <v>3715.24</v>
      </c>
      <c r="D46" s="330"/>
      <c r="E46" s="330">
        <v>109.3</v>
      </c>
      <c r="F46" s="433">
        <f t="shared" si="2"/>
        <v>3824.54</v>
      </c>
      <c r="G46" s="181">
        <f t="shared" si="0"/>
        <v>6.0654794527391372E-2</v>
      </c>
      <c r="H46" s="427">
        <f t="shared" si="3"/>
        <v>157.00432908620729</v>
      </c>
      <c r="I46" s="427">
        <f t="shared" si="4"/>
        <v>57.730491804998422</v>
      </c>
      <c r="J46" s="177">
        <v>61.079820650254874</v>
      </c>
      <c r="K46" s="427">
        <f t="shared" si="5"/>
        <v>48.61785055343055</v>
      </c>
      <c r="L46" s="427"/>
      <c r="M46" s="680">
        <f t="shared" si="1"/>
        <v>8.4829153857690368E-2</v>
      </c>
    </row>
    <row r="47" spans="1:13" s="6" customFormat="1" ht="15.75">
      <c r="A47" s="756">
        <v>42</v>
      </c>
      <c r="B47" s="418" t="s">
        <v>724</v>
      </c>
      <c r="C47" s="330">
        <v>355.8</v>
      </c>
      <c r="D47" s="330"/>
      <c r="E47" s="330"/>
      <c r="F47" s="433">
        <f t="shared" si="2"/>
        <v>355.8</v>
      </c>
      <c r="G47" s="181">
        <f t="shared" si="0"/>
        <v>5.6427638076332973E-3</v>
      </c>
      <c r="H47" s="427">
        <f t="shared" si="3"/>
        <v>14.606237688420713</v>
      </c>
      <c r="I47" s="427">
        <f t="shared" si="4"/>
        <v>5.370713598032296</v>
      </c>
      <c r="J47" s="177">
        <v>0</v>
      </c>
      <c r="K47" s="427">
        <f t="shared" si="5"/>
        <v>4.5229573300084693</v>
      </c>
      <c r="L47" s="427"/>
      <c r="M47" s="680"/>
    </row>
    <row r="48" spans="1:13" s="6" customFormat="1" ht="15.75">
      <c r="A48" s="756">
        <v>43</v>
      </c>
      <c r="B48" s="418" t="s">
        <v>725</v>
      </c>
      <c r="C48" s="330">
        <v>907.4</v>
      </c>
      <c r="D48" s="330"/>
      <c r="E48" s="330"/>
      <c r="F48" s="433">
        <f t="shared" si="2"/>
        <v>907.4</v>
      </c>
      <c r="G48" s="181">
        <f t="shared" si="0"/>
        <v>1.4390792240153046E-2</v>
      </c>
      <c r="H48" s="427">
        <f t="shared" si="3"/>
        <v>37.250421805713756</v>
      </c>
      <c r="I48" s="427">
        <f t="shared" si="4"/>
        <v>13.69698009796095</v>
      </c>
      <c r="J48" s="177">
        <v>14.491632786698863</v>
      </c>
      <c r="K48" s="427">
        <f t="shared" si="5"/>
        <v>11.534939520094673</v>
      </c>
      <c r="L48" s="427"/>
      <c r="M48" s="680">
        <f t="shared" si="1"/>
        <v>8.4829153857690368E-2</v>
      </c>
    </row>
    <row r="49" spans="1:13" s="6" customFormat="1" ht="15.75">
      <c r="A49" s="756">
        <v>44</v>
      </c>
      <c r="B49" s="418" t="s">
        <v>726</v>
      </c>
      <c r="C49" s="330">
        <v>2273.6</v>
      </c>
      <c r="D49" s="330"/>
      <c r="E49" s="330"/>
      <c r="F49" s="433">
        <f t="shared" si="2"/>
        <v>2273.6</v>
      </c>
      <c r="G49" s="181">
        <f t="shared" si="0"/>
        <v>3.6057863386832673E-2</v>
      </c>
      <c r="H49" s="427">
        <f t="shared" si="3"/>
        <v>93.335418798182502</v>
      </c>
      <c r="I49" s="427">
        <f t="shared" si="4"/>
        <v>34.319433492091711</v>
      </c>
      <c r="J49" s="177">
        <v>0</v>
      </c>
      <c r="K49" s="427">
        <f t="shared" si="5"/>
        <v>28.902180397715728</v>
      </c>
      <c r="L49" s="427"/>
      <c r="M49" s="680"/>
    </row>
    <row r="50" spans="1:13" s="6" customFormat="1" ht="15.75">
      <c r="A50" s="756">
        <v>45</v>
      </c>
      <c r="B50" s="418" t="s">
        <v>727</v>
      </c>
      <c r="C50" s="330">
        <v>154.1</v>
      </c>
      <c r="D50" s="330"/>
      <c r="E50" s="330"/>
      <c r="F50" s="433">
        <f t="shared" si="2"/>
        <v>154.1</v>
      </c>
      <c r="G50" s="181">
        <f t="shared" si="0"/>
        <v>2.4439289003830552E-3</v>
      </c>
      <c r="H50" s="427">
        <f t="shared" si="3"/>
        <v>6.3260855193525343</v>
      </c>
      <c r="I50" s="427">
        <f t="shared" si="4"/>
        <v>2.3261016454659269</v>
      </c>
      <c r="J50" s="177">
        <v>0</v>
      </c>
      <c r="K50" s="427">
        <f t="shared" si="5"/>
        <v>1.9589312101020377</v>
      </c>
      <c r="L50" s="427"/>
      <c r="M50" s="680"/>
    </row>
    <row r="51" spans="1:13" s="6" customFormat="1" ht="15.75">
      <c r="A51" s="756">
        <v>46</v>
      </c>
      <c r="B51" s="418" t="s">
        <v>728</v>
      </c>
      <c r="C51" s="330">
        <v>93.9</v>
      </c>
      <c r="D51" s="330"/>
      <c r="E51" s="330"/>
      <c r="F51" s="433">
        <f t="shared" si="2"/>
        <v>93.9</v>
      </c>
      <c r="G51" s="181">
        <f t="shared" si="0"/>
        <v>1.489194832874555E-3</v>
      </c>
      <c r="H51" s="427">
        <f t="shared" si="3"/>
        <v>3.8547659329474566</v>
      </c>
      <c r="I51" s="427">
        <f t="shared" si="4"/>
        <v>1.4173974335447799</v>
      </c>
      <c r="J51" s="177">
        <v>0</v>
      </c>
      <c r="K51" s="427">
        <f t="shared" si="5"/>
        <v>1.1936641182905996</v>
      </c>
      <c r="L51" s="427"/>
      <c r="M51" s="680"/>
    </row>
    <row r="52" spans="1:13" s="6" customFormat="1" ht="15.75">
      <c r="A52" s="756">
        <v>47</v>
      </c>
      <c r="B52" s="418" t="s">
        <v>729</v>
      </c>
      <c r="C52" s="330">
        <v>296.10000000000002</v>
      </c>
      <c r="D52" s="330"/>
      <c r="E52" s="330"/>
      <c r="F52" s="433">
        <f t="shared" si="2"/>
        <v>296.10000000000002</v>
      </c>
      <c r="G52" s="181">
        <f t="shared" si="0"/>
        <v>4.6959594250708808E-3</v>
      </c>
      <c r="H52" s="427">
        <f t="shared" si="3"/>
        <v>12.155444012201723</v>
      </c>
      <c r="I52" s="427">
        <f t="shared" si="4"/>
        <v>4.4695567632865743</v>
      </c>
      <c r="J52" s="177">
        <v>0</v>
      </c>
      <c r="K52" s="427">
        <f t="shared" si="5"/>
        <v>3.7640462771655643</v>
      </c>
      <c r="L52" s="427"/>
      <c r="M52" s="680"/>
    </row>
    <row r="53" spans="1:13" s="6" customFormat="1" ht="15.75">
      <c r="A53" s="756">
        <v>48</v>
      </c>
      <c r="B53" s="418" t="s">
        <v>647</v>
      </c>
      <c r="C53" s="330">
        <v>4177.21</v>
      </c>
      <c r="D53" s="330">
        <v>6.6</v>
      </c>
      <c r="E53" s="330"/>
      <c r="F53" s="433">
        <f t="shared" si="2"/>
        <v>4183.8100000000004</v>
      </c>
      <c r="G53" s="181">
        <f t="shared" si="0"/>
        <v>6.6352590348550497E-2</v>
      </c>
      <c r="H53" s="427">
        <f t="shared" si="3"/>
        <v>171.75301659131947</v>
      </c>
      <c r="I53" s="427">
        <f t="shared" si="4"/>
        <v>63.153584200628174</v>
      </c>
      <c r="J53" s="177">
        <v>66.817542615515293</v>
      </c>
      <c r="K53" s="427">
        <f t="shared" si="5"/>
        <v>53.184918793880648</v>
      </c>
      <c r="L53" s="427"/>
      <c r="M53" s="680">
        <f t="shared" si="1"/>
        <v>8.4829153857690381E-2</v>
      </c>
    </row>
    <row r="54" spans="1:13" s="6" customFormat="1" ht="15.75">
      <c r="A54" s="756">
        <v>49</v>
      </c>
      <c r="B54" s="418" t="s">
        <v>648</v>
      </c>
      <c r="C54" s="330">
        <v>4140.68</v>
      </c>
      <c r="D54" s="330"/>
      <c r="E54" s="330"/>
      <c r="F54" s="433">
        <f t="shared" si="2"/>
        <v>4140.68</v>
      </c>
      <c r="G54" s="181">
        <f t="shared" si="0"/>
        <v>6.5668575725101305E-2</v>
      </c>
      <c r="H54" s="427">
        <f t="shared" si="3"/>
        <v>169.98245157866745</v>
      </c>
      <c r="I54" s="427">
        <f t="shared" si="4"/>
        <v>62.502547445476026</v>
      </c>
      <c r="J54" s="177">
        <v>66.128734898862959</v>
      </c>
      <c r="K54" s="427">
        <f t="shared" si="5"/>
        <v>52.636646872454946</v>
      </c>
      <c r="L54" s="427"/>
      <c r="M54" s="680">
        <f t="shared" si="1"/>
        <v>8.4829153857690381E-2</v>
      </c>
    </row>
    <row r="55" spans="1:13" s="6" customFormat="1" ht="15.75">
      <c r="A55" s="756">
        <v>50</v>
      </c>
      <c r="B55" s="418" t="s">
        <v>1354</v>
      </c>
      <c r="C55" s="818">
        <v>7831.81</v>
      </c>
      <c r="D55" s="330"/>
      <c r="E55" s="330"/>
      <c r="F55" s="433">
        <f t="shared" si="2"/>
        <v>7831.81</v>
      </c>
      <c r="G55" s="181">
        <f t="shared" si="0"/>
        <v>0.12420757171517857</v>
      </c>
      <c r="H55" s="427">
        <f t="shared" si="3"/>
        <v>321.51005730902256</v>
      </c>
      <c r="I55" s="427">
        <f t="shared" si="4"/>
        <v>118.21924807252761</v>
      </c>
      <c r="J55" s="177">
        <v>125.07793098434652</v>
      </c>
      <c r="K55" s="427">
        <f t="shared" si="5"/>
        <v>99.558579108301373</v>
      </c>
      <c r="L55" s="427"/>
      <c r="M55" s="680">
        <f t="shared" si="1"/>
        <v>8.4829153857690368E-2</v>
      </c>
    </row>
    <row r="56" spans="1:13" s="6" customFormat="1" ht="15.75">
      <c r="A56" s="756">
        <v>51</v>
      </c>
      <c r="B56" s="146" t="s">
        <v>1374</v>
      </c>
      <c r="C56" s="818">
        <v>996.1</v>
      </c>
      <c r="D56" s="330"/>
      <c r="E56" s="330"/>
      <c r="F56" s="147">
        <f t="shared" ref="F56:F66" si="6">C56+D56+E56</f>
        <v>996.1</v>
      </c>
      <c r="G56" s="181">
        <f t="shared" si="0"/>
        <v>1.579751834958833E-2</v>
      </c>
      <c r="H56" s="427">
        <f t="shared" si="3"/>
        <v>40.891718272725896</v>
      </c>
      <c r="I56" s="427">
        <f t="shared" si="4"/>
        <v>15.035884808881313</v>
      </c>
      <c r="J56" s="177">
        <v>15.908216242925654</v>
      </c>
      <c r="K56" s="427">
        <f t="shared" si="5"/>
        <v>12.662500833112526</v>
      </c>
      <c r="L56" s="427"/>
      <c r="M56" s="680">
        <f>(K56+J56+I56+H56)/F56</f>
        <v>8.4829153857690381E-2</v>
      </c>
    </row>
    <row r="57" spans="1:13" s="6" customFormat="1" ht="15.75">
      <c r="A57" s="756">
        <v>52</v>
      </c>
      <c r="B57" s="146" t="s">
        <v>1376</v>
      </c>
      <c r="C57" s="818">
        <v>533.79999999999995</v>
      </c>
      <c r="D57" s="330"/>
      <c r="E57" s="330"/>
      <c r="F57" s="147">
        <f t="shared" si="6"/>
        <v>533.79999999999995</v>
      </c>
      <c r="G57" s="181">
        <f t="shared" si="0"/>
        <v>8.4657316484391624E-3</v>
      </c>
      <c r="H57" s="427">
        <f t="shared" si="3"/>
        <v>21.913461714668287</v>
      </c>
      <c r="I57" s="427">
        <f t="shared" si="4"/>
        <v>8.0575798724835295</v>
      </c>
      <c r="J57" s="177">
        <v>8.5250535392768931</v>
      </c>
      <c r="K57" s="427">
        <f t="shared" si="5"/>
        <v>6.7857072028064103</v>
      </c>
      <c r="L57" s="427"/>
      <c r="M57" s="680">
        <f>(K57+J57+I57+H57)/F57</f>
        <v>8.4829153857690381E-2</v>
      </c>
    </row>
    <row r="58" spans="1:13" s="6" customFormat="1" ht="15.75">
      <c r="A58" s="756">
        <v>53</v>
      </c>
      <c r="B58" s="146" t="s">
        <v>1375</v>
      </c>
      <c r="C58" s="818">
        <v>987.3</v>
      </c>
      <c r="D58" s="330"/>
      <c r="E58" s="330"/>
      <c r="F58" s="147">
        <f t="shared" si="6"/>
        <v>987.3</v>
      </c>
      <c r="G58" s="181">
        <f t="shared" si="0"/>
        <v>1.5657955894537251E-2</v>
      </c>
      <c r="H58" s="427">
        <f t="shared" si="3"/>
        <v>40.530462253450729</v>
      </c>
      <c r="I58" s="427">
        <f t="shared" si="4"/>
        <v>14.903050970593833</v>
      </c>
      <c r="J58" s="177">
        <v>15.767675832386805</v>
      </c>
      <c r="K58" s="427">
        <f t="shared" si="5"/>
        <v>12.550634547266332</v>
      </c>
      <c r="L58" s="427"/>
      <c r="M58" s="680">
        <f>(K58+J58+I58+H58)/F58</f>
        <v>8.4829153857690368E-2</v>
      </c>
    </row>
    <row r="59" spans="1:13" s="6" customFormat="1" ht="15.75">
      <c r="A59" s="756">
        <v>54</v>
      </c>
      <c r="B59" s="146" t="s">
        <v>1377</v>
      </c>
      <c r="C59" s="818">
        <v>442.6</v>
      </c>
      <c r="D59" s="330"/>
      <c r="E59" s="330"/>
      <c r="F59" s="147">
        <f t="shared" si="6"/>
        <v>442.6</v>
      </c>
      <c r="G59" s="181">
        <f t="shared" si="0"/>
        <v>7.0193571142734617E-3</v>
      </c>
      <c r="H59" s="427">
        <f t="shared" si="3"/>
        <v>18.16953569672571</v>
      </c>
      <c r="I59" s="427">
        <f t="shared" si="4"/>
        <v>6.680938275686044</v>
      </c>
      <c r="J59" s="177">
        <v>0</v>
      </c>
      <c r="K59" s="427">
        <f t="shared" si="5"/>
        <v>5.6263656949458927</v>
      </c>
      <c r="L59" s="427"/>
      <c r="M59" s="680">
        <f t="shared" ref="M59:M67" si="7">(K59+J59+I59+H59)/F59</f>
        <v>6.8858652660094083E-2</v>
      </c>
    </row>
    <row r="60" spans="1:13" s="6" customFormat="1" ht="15.75">
      <c r="A60" s="757">
        <v>55</v>
      </c>
      <c r="B60" s="386" t="s">
        <v>1407</v>
      </c>
      <c r="C60" s="284">
        <v>7013.2</v>
      </c>
      <c r="D60" s="284"/>
      <c r="E60" s="284"/>
      <c r="F60" s="330">
        <f t="shared" si="6"/>
        <v>7013.2</v>
      </c>
      <c r="G60" s="181">
        <f t="shared" si="0"/>
        <v>0.1112249329277511</v>
      </c>
      <c r="H60" s="427">
        <f t="shared" si="3"/>
        <v>287.9046266341544</v>
      </c>
      <c r="I60" s="427">
        <f t="shared" si="4"/>
        <v>105.86253121337857</v>
      </c>
      <c r="J60" s="177">
        <v>112.00431899898224</v>
      </c>
      <c r="K60" s="427">
        <f t="shared" ref="K60:K67" si="8">G60*801.55</f>
        <v>89.15234498823888</v>
      </c>
      <c r="L60" s="427"/>
      <c r="M60" s="680">
        <f t="shared" si="7"/>
        <v>8.4829153857690368E-2</v>
      </c>
    </row>
    <row r="61" spans="1:13" s="6" customFormat="1" ht="15.75">
      <c r="A61" s="757">
        <v>56</v>
      </c>
      <c r="B61" s="284" t="s">
        <v>1390</v>
      </c>
      <c r="C61" s="284">
        <v>8402.66</v>
      </c>
      <c r="D61" s="284"/>
      <c r="E61" s="284"/>
      <c r="F61" s="55">
        <f t="shared" si="6"/>
        <v>8402.66</v>
      </c>
      <c r="G61" s="181">
        <f t="shared" si="0"/>
        <v>0.13326089301812255</v>
      </c>
      <c r="H61" s="427">
        <f t="shared" si="3"/>
        <v>344.94448896848002</v>
      </c>
      <c r="I61" s="427">
        <f t="shared" si="4"/>
        <v>126.83608859371012</v>
      </c>
      <c r="J61" s="177">
        <v>134.19469159299436</v>
      </c>
      <c r="K61" s="427">
        <f t="shared" si="8"/>
        <v>106.81526879867613</v>
      </c>
      <c r="L61" s="427"/>
      <c r="M61" s="680">
        <f t="shared" si="7"/>
        <v>8.4829153857690381E-2</v>
      </c>
    </row>
    <row r="62" spans="1:13" s="6" customFormat="1" ht="15.75">
      <c r="A62" s="757">
        <v>57</v>
      </c>
      <c r="B62" s="285" t="s">
        <v>1386</v>
      </c>
      <c r="C62" s="285">
        <v>2601.63</v>
      </c>
      <c r="D62" s="285"/>
      <c r="E62" s="285"/>
      <c r="F62" s="55">
        <f t="shared" si="6"/>
        <v>2601.63</v>
      </c>
      <c r="G62" s="181">
        <f t="shared" si="0"/>
        <v>4.1260212492560469E-2</v>
      </c>
      <c r="H62" s="427">
        <f t="shared" si="3"/>
        <v>106.80164743486785</v>
      </c>
      <c r="I62" s="427">
        <f t="shared" si="4"/>
        <v>39.270965761800909</v>
      </c>
      <c r="J62" s="177">
        <v>41.549335030702416</v>
      </c>
      <c r="K62" s="427">
        <f t="shared" si="8"/>
        <v>33.072123323411844</v>
      </c>
      <c r="L62" s="427"/>
      <c r="M62" s="680">
        <f t="shared" si="7"/>
        <v>8.4829153857690368E-2</v>
      </c>
    </row>
    <row r="63" spans="1:13" s="6" customFormat="1" ht="15.75">
      <c r="A63" s="757">
        <v>58</v>
      </c>
      <c r="B63" s="285" t="s">
        <v>1385</v>
      </c>
      <c r="C63" s="285">
        <v>2594.2600000000002</v>
      </c>
      <c r="D63" s="285"/>
      <c r="E63" s="285"/>
      <c r="F63" s="55">
        <f t="shared" si="6"/>
        <v>2594.2600000000002</v>
      </c>
      <c r="G63" s="181">
        <f t="shared" si="0"/>
        <v>4.1143328936455198E-2</v>
      </c>
      <c r="H63" s="427">
        <f t="shared" si="3"/>
        <v>106.4990955187249</v>
      </c>
      <c r="I63" s="427">
        <f t="shared" si="4"/>
        <v>39.159717422235147</v>
      </c>
      <c r="J63" s="177">
        <v>41.431632436876129</v>
      </c>
      <c r="K63" s="427">
        <f t="shared" si="8"/>
        <v>32.978435309015659</v>
      </c>
      <c r="L63" s="427"/>
      <c r="M63" s="680">
        <f t="shared" si="7"/>
        <v>8.4829153857690368E-2</v>
      </c>
    </row>
    <row r="64" spans="1:13" s="6" customFormat="1" ht="15.75">
      <c r="A64" s="757">
        <v>59</v>
      </c>
      <c r="B64" s="285" t="s">
        <v>1388</v>
      </c>
      <c r="C64" s="285">
        <v>2653.52</v>
      </c>
      <c r="D64" s="285"/>
      <c r="E64" s="285"/>
      <c r="F64" s="55">
        <f t="shared" si="6"/>
        <v>2653.52</v>
      </c>
      <c r="G64" s="181">
        <f t="shared" si="0"/>
        <v>4.2083155196265057E-2</v>
      </c>
      <c r="H64" s="427">
        <f t="shared" si="3"/>
        <v>108.93182639398013</v>
      </c>
      <c r="I64" s="427">
        <f t="shared" si="4"/>
        <v>40.054232565066499</v>
      </c>
      <c r="J64" s="177">
        <v>42.378044337845679</v>
      </c>
      <c r="K64" s="427">
        <f t="shared" si="8"/>
        <v>33.731753047566258</v>
      </c>
      <c r="L64" s="427"/>
      <c r="M64" s="680">
        <f t="shared" si="7"/>
        <v>8.4829153857690381E-2</v>
      </c>
    </row>
    <row r="65" spans="1:14" s="6" customFormat="1" ht="15.75">
      <c r="A65" s="757">
        <v>60</v>
      </c>
      <c r="B65" s="286" t="s">
        <v>1389</v>
      </c>
      <c r="C65" s="285">
        <v>2150.9</v>
      </c>
      <c r="D65" s="285"/>
      <c r="E65" s="285"/>
      <c r="F65" s="55">
        <f t="shared" si="6"/>
        <v>2150.9</v>
      </c>
      <c r="G65" s="181">
        <f t="shared" si="0"/>
        <v>3.4111918701063684E-2</v>
      </c>
      <c r="H65" s="427">
        <f t="shared" si="3"/>
        <v>88.298360438516326</v>
      </c>
      <c r="I65" s="427">
        <f t="shared" si="4"/>
        <v>32.467307133242457</v>
      </c>
      <c r="J65" s="177">
        <v>34.350951025909836</v>
      </c>
      <c r="K65" s="427">
        <f t="shared" si="8"/>
        <v>27.342408434837594</v>
      </c>
      <c r="L65" s="427"/>
      <c r="M65" s="680">
        <f t="shared" si="7"/>
        <v>8.4829153857690368E-2</v>
      </c>
    </row>
    <row r="66" spans="1:14" s="6" customFormat="1" ht="15.75">
      <c r="A66" s="757">
        <v>61</v>
      </c>
      <c r="B66" s="286" t="s">
        <v>1397</v>
      </c>
      <c r="C66" s="284">
        <v>3353.7</v>
      </c>
      <c r="D66" s="284"/>
      <c r="E66" s="284"/>
      <c r="F66" s="55">
        <f t="shared" si="6"/>
        <v>3353.7</v>
      </c>
      <c r="G66" s="181">
        <f t="shared" si="0"/>
        <v>5.3187568807363091E-2</v>
      </c>
      <c r="H66" s="427">
        <f t="shared" si="3"/>
        <v>137.67548998217129</v>
      </c>
      <c r="I66" s="427">
        <f t="shared" si="4"/>
        <v>50.623277666444388</v>
      </c>
      <c r="J66" s="177">
        <v>53.56026986637864</v>
      </c>
      <c r="K66" s="427">
        <f t="shared" si="8"/>
        <v>42.632495777541884</v>
      </c>
      <c r="L66" s="427"/>
      <c r="M66" s="680">
        <f>(K66+J66+I66+H66)/F66</f>
        <v>8.4829153857690368E-2</v>
      </c>
    </row>
    <row r="67" spans="1:14" s="6" customFormat="1" ht="15.75">
      <c r="A67" s="758"/>
      <c r="B67" s="161" t="s">
        <v>749</v>
      </c>
      <c r="C67" s="231">
        <f>SUM(C6:C66)</f>
        <v>249781.08</v>
      </c>
      <c r="D67" s="231">
        <f>SUM(D6:D66)</f>
        <v>1319.2</v>
      </c>
      <c r="E67" s="231">
        <f>SUM(E6:E66)</f>
        <v>1116.55</v>
      </c>
      <c r="F67" s="231">
        <f>SUM(F6:F66)</f>
        <v>252216.83000000002</v>
      </c>
      <c r="G67" s="181">
        <f>4/252216.83*F67</f>
        <v>4</v>
      </c>
      <c r="H67" s="427">
        <f t="shared" si="3"/>
        <v>10353.959999999999</v>
      </c>
      <c r="I67" s="167">
        <f t="shared" si="4"/>
        <v>3807.1510920000001</v>
      </c>
      <c r="J67" s="177">
        <f>SUM(J6:J66)</f>
        <v>3965.6292432896894</v>
      </c>
      <c r="K67" s="427">
        <f t="shared" si="8"/>
        <v>3206.2</v>
      </c>
      <c r="L67" s="427"/>
      <c r="M67" s="165">
        <f t="shared" si="7"/>
        <v>8.4581747916226233E-2</v>
      </c>
    </row>
    <row r="68" spans="1:14" s="6" customFormat="1" ht="21" thickBot="1">
      <c r="A68" s="774" t="s">
        <v>984</v>
      </c>
      <c r="B68" s="775"/>
      <c r="C68" s="775"/>
      <c r="D68" s="775"/>
      <c r="E68" s="775"/>
      <c r="F68" s="775"/>
      <c r="G68" s="775"/>
      <c r="H68" s="427"/>
      <c r="I68" s="775"/>
      <c r="J68" s="177"/>
      <c r="K68" s="775"/>
      <c r="L68" s="775"/>
      <c r="M68" s="775"/>
      <c r="N68" s="776"/>
    </row>
    <row r="69" spans="1:14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147">
        <f t="shared" si="2"/>
        <v>6328.85</v>
      </c>
      <c r="G69" s="181">
        <f t="shared" ref="G69:G89" si="9">2/112765.42*F69</f>
        <v>0.11224806328039216</v>
      </c>
      <c r="H69" s="427">
        <f t="shared" ref="H69:H89" si="10">G69*2269.13</f>
        <v>254.70544783143629</v>
      </c>
      <c r="I69" s="427">
        <f t="shared" si="4"/>
        <v>93.655193167619132</v>
      </c>
      <c r="J69" s="177">
        <v>105.0627490202254</v>
      </c>
      <c r="K69" s="427">
        <f t="shared" ref="K69:K87" si="11">G69*801.55</f>
        <v>89.972435122398338</v>
      </c>
      <c r="L69" s="427"/>
      <c r="M69" s="680">
        <f>(K69+J69+I69+H69)/F69</f>
        <v>8.586012073942012E-2</v>
      </c>
      <c r="N69" s="6" t="s">
        <v>561</v>
      </c>
    </row>
    <row r="70" spans="1:14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147">
        <f t="shared" si="2"/>
        <v>7565.74</v>
      </c>
      <c r="G70" s="181">
        <f t="shared" si="9"/>
        <v>0.13418546217448574</v>
      </c>
      <c r="H70" s="427">
        <f t="shared" si="10"/>
        <v>304.48425778399081</v>
      </c>
      <c r="I70" s="427">
        <f>G70*H70/F70</f>
        <v>5.4003125742624076E-3</v>
      </c>
      <c r="J70" s="177">
        <v>125.59587330593709</v>
      </c>
      <c r="K70" s="427">
        <f t="shared" si="11"/>
        <v>107.55635720595903</v>
      </c>
      <c r="L70" s="427"/>
      <c r="M70" s="680">
        <f t="shared" ref="M70:M88" si="12">(K70+J70+I70+H70)/F70</f>
        <v>7.1062696921710397E-2</v>
      </c>
      <c r="N70" s="6" t="s">
        <v>562</v>
      </c>
    </row>
    <row r="71" spans="1:14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147">
        <f t="shared" si="2"/>
        <v>7217.2</v>
      </c>
      <c r="G71" s="181">
        <f t="shared" si="9"/>
        <v>0.12800377988216599</v>
      </c>
      <c r="H71" s="427">
        <f t="shared" si="10"/>
        <v>290.45721704401933</v>
      </c>
      <c r="I71" s="427">
        <f t="shared" ref="I71:I87" si="13">H71*0.3677</f>
        <v>106.80111870708592</v>
      </c>
      <c r="J71" s="177">
        <v>119.80989788488756</v>
      </c>
      <c r="K71" s="427">
        <f t="shared" si="11"/>
        <v>102.60142976455015</v>
      </c>
      <c r="L71" s="427"/>
      <c r="M71" s="680">
        <f t="shared" si="12"/>
        <v>8.5860120739420134E-2</v>
      </c>
      <c r="N71" s="6" t="s">
        <v>550</v>
      </c>
    </row>
    <row r="72" spans="1:14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147">
        <f t="shared" si="2"/>
        <v>6435.2</v>
      </c>
      <c r="G72" s="181">
        <f t="shared" si="9"/>
        <v>0.11413427981734116</v>
      </c>
      <c r="H72" s="427">
        <f t="shared" si="10"/>
        <v>258.98551836192337</v>
      </c>
      <c r="I72" s="427">
        <f t="shared" si="13"/>
        <v>95.228975101679225</v>
      </c>
      <c r="J72" s="177">
        <v>106.82822353112405</v>
      </c>
      <c r="K72" s="427">
        <f t="shared" si="11"/>
        <v>91.484331987589798</v>
      </c>
      <c r="L72" s="427"/>
      <c r="M72" s="680">
        <f t="shared" si="12"/>
        <v>8.5860120739420148E-2</v>
      </c>
    </row>
    <row r="73" spans="1:14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147">
        <f t="shared" si="2"/>
        <v>8881.51</v>
      </c>
      <c r="G73" s="181">
        <f t="shared" si="9"/>
        <v>0.15752187150990082</v>
      </c>
      <c r="H73" s="427">
        <f t="shared" si="10"/>
        <v>357.4376042992613</v>
      </c>
      <c r="I73" s="427">
        <f t="shared" si="13"/>
        <v>131.42980710083839</v>
      </c>
      <c r="J73" s="177">
        <v>147.4384534395067</v>
      </c>
      <c r="K73" s="427">
        <f t="shared" si="11"/>
        <v>126.261656108761</v>
      </c>
      <c r="L73" s="427"/>
      <c r="M73" s="680">
        <f t="shared" si="12"/>
        <v>8.5860120739420148E-2</v>
      </c>
    </row>
    <row r="74" spans="1:14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147">
        <f t="shared" si="2"/>
        <v>7938.92</v>
      </c>
      <c r="G74" s="181">
        <f t="shared" si="9"/>
        <v>0.14080415787038258</v>
      </c>
      <c r="H74" s="427">
        <f t="shared" si="10"/>
        <v>319.50293874842123</v>
      </c>
      <c r="I74" s="427">
        <f t="shared" si="13"/>
        <v>117.48123057779449</v>
      </c>
      <c r="J74" s="177">
        <v>131.79088767337632</v>
      </c>
      <c r="K74" s="427">
        <f t="shared" si="11"/>
        <v>112.86157274100515</v>
      </c>
      <c r="L74" s="427"/>
      <c r="M74" s="680">
        <f t="shared" si="12"/>
        <v>8.586012073942012E-2</v>
      </c>
    </row>
    <row r="75" spans="1:14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147">
        <f t="shared" si="2"/>
        <v>7102.99</v>
      </c>
      <c r="G75" s="181">
        <f t="shared" si="9"/>
        <v>0.12597815890722527</v>
      </c>
      <c r="H75" s="427">
        <f t="shared" si="10"/>
        <v>285.8608197211521</v>
      </c>
      <c r="I75" s="427">
        <f t="shared" si="13"/>
        <v>105.11102341146763</v>
      </c>
      <c r="J75" s="177">
        <v>117.91394260618765</v>
      </c>
      <c r="K75" s="427">
        <f t="shared" si="11"/>
        <v>100.97779327208642</v>
      </c>
      <c r="L75" s="427"/>
      <c r="M75" s="680">
        <f t="shared" si="12"/>
        <v>8.5860120739420134E-2</v>
      </c>
    </row>
    <row r="76" spans="1:14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147">
        <f t="shared" si="2"/>
        <v>2982.2</v>
      </c>
      <c r="G76" s="181">
        <f t="shared" si="9"/>
        <v>5.2892101142353737E-2</v>
      </c>
      <c r="H76" s="427">
        <f t="shared" si="10"/>
        <v>120.01905346514914</v>
      </c>
      <c r="I76" s="427">
        <f t="shared" si="13"/>
        <v>44.131005959135344</v>
      </c>
      <c r="J76" s="177">
        <v>49.506328974160574</v>
      </c>
      <c r="K76" s="427">
        <f t="shared" si="11"/>
        <v>42.395663670653633</v>
      </c>
      <c r="L76" s="427"/>
      <c r="M76" s="680">
        <f t="shared" si="12"/>
        <v>8.5860120739420134E-2</v>
      </c>
    </row>
    <row r="77" spans="1:14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147">
        <f t="shared" si="2"/>
        <v>2528.85</v>
      </c>
      <c r="G77" s="181">
        <f t="shared" si="9"/>
        <v>4.4851515650808547E-2</v>
      </c>
      <c r="H77" s="427">
        <f t="shared" si="10"/>
        <v>101.77391970871921</v>
      </c>
      <c r="I77" s="427">
        <f t="shared" si="13"/>
        <v>37.422270276896057</v>
      </c>
      <c r="J77" s="177">
        <v>41.97961394603221</v>
      </c>
      <c r="K77" s="427">
        <f t="shared" si="11"/>
        <v>35.950732369905587</v>
      </c>
      <c r="L77" s="427"/>
      <c r="M77" s="680">
        <f t="shared" si="12"/>
        <v>8.5859792514998159E-2</v>
      </c>
    </row>
    <row r="78" spans="1:14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147">
        <f t="shared" si="2"/>
        <v>4250.83</v>
      </c>
      <c r="G78" s="181">
        <f t="shared" si="9"/>
        <v>7.5392438568490233E-2</v>
      </c>
      <c r="H78" s="427">
        <f t="shared" si="10"/>
        <v>171.07524412891826</v>
      </c>
      <c r="I78" s="427">
        <f t="shared" si="13"/>
        <v>62.904367266203245</v>
      </c>
      <c r="J78" s="177">
        <v>70.566356513054458</v>
      </c>
      <c r="K78" s="427">
        <f t="shared" si="11"/>
        <v>60.430809134573344</v>
      </c>
      <c r="L78" s="427"/>
      <c r="M78" s="680">
        <f t="shared" si="12"/>
        <v>8.5860120739420134E-2</v>
      </c>
    </row>
    <row r="79" spans="1:14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147">
        <f t="shared" si="2"/>
        <v>2862.08</v>
      </c>
      <c r="G79" s="181">
        <f t="shared" si="9"/>
        <v>5.0761660799915433E-2</v>
      </c>
      <c r="H79" s="427">
        <f t="shared" si="10"/>
        <v>115.18480737091211</v>
      </c>
      <c r="I79" s="427">
        <f t="shared" si="13"/>
        <v>42.353453670284388</v>
      </c>
      <c r="J79" s="177">
        <v>47.51226411051087</v>
      </c>
      <c r="K79" s="427">
        <f t="shared" si="11"/>
        <v>40.688009214172212</v>
      </c>
      <c r="L79" s="427"/>
      <c r="M79" s="680">
        <f t="shared" si="12"/>
        <v>8.5860120739420134E-2</v>
      </c>
    </row>
    <row r="80" spans="1:14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147">
        <f t="shared" ref="F80:F91" si="14">C80+D80+E80</f>
        <v>6415.24</v>
      </c>
      <c r="G80" s="181">
        <f t="shared" si="9"/>
        <v>0.11378027058294997</v>
      </c>
      <c r="H80" s="427">
        <f t="shared" si="10"/>
        <v>258.18222538788928</v>
      </c>
      <c r="I80" s="427">
        <f t="shared" si="13"/>
        <v>94.933604275126896</v>
      </c>
      <c r="J80" s="177">
        <v>105.61040303164567</v>
      </c>
      <c r="K80" s="427">
        <f t="shared" si="11"/>
        <v>91.200575885763541</v>
      </c>
      <c r="L80" s="427"/>
      <c r="M80" s="680">
        <f t="shared" si="12"/>
        <v>8.5721938474698584E-2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147">
        <f t="shared" si="14"/>
        <v>2523.4899999999998</v>
      </c>
      <c r="G81" s="181">
        <f t="shared" si="9"/>
        <v>4.4756451046783663E-2</v>
      </c>
      <c r="H81" s="427">
        <f t="shared" si="10"/>
        <v>101.55820576378822</v>
      </c>
      <c r="I81" s="427">
        <f t="shared" si="13"/>
        <v>37.342952259344933</v>
      </c>
      <c r="J81" s="177">
        <v>41.891464725036705</v>
      </c>
      <c r="K81" s="427">
        <f t="shared" si="11"/>
        <v>35.87453333654944</v>
      </c>
      <c r="L81" s="427"/>
      <c r="M81" s="680">
        <f t="shared" si="12"/>
        <v>8.5860120739420134E-2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147">
        <f t="shared" si="14"/>
        <v>2727.04</v>
      </c>
      <c r="G82" s="181">
        <f t="shared" si="9"/>
        <v>4.8366600328363069E-2</v>
      </c>
      <c r="H82" s="427">
        <f t="shared" si="10"/>
        <v>109.7501038030985</v>
      </c>
      <c r="I82" s="427">
        <f t="shared" si="13"/>
        <v>40.355113168399321</v>
      </c>
      <c r="J82" s="177">
        <v>45.270518196531036</v>
      </c>
      <c r="K82" s="427">
        <f t="shared" si="11"/>
        <v>38.768248493199415</v>
      </c>
      <c r="L82" s="427"/>
      <c r="M82" s="680">
        <f t="shared" si="12"/>
        <v>8.5860120739420134E-2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147">
        <f t="shared" si="14"/>
        <v>11075.779999999999</v>
      </c>
      <c r="G83" s="181">
        <f t="shared" si="9"/>
        <v>0.19643929850126038</v>
      </c>
      <c r="H83" s="427">
        <f t="shared" si="10"/>
        <v>445.74630540816497</v>
      </c>
      <c r="I83" s="427">
        <f t="shared" si="13"/>
        <v>163.90091649858226</v>
      </c>
      <c r="J83" s="177">
        <v>183.86466646282213</v>
      </c>
      <c r="K83" s="427">
        <f t="shared" si="11"/>
        <v>157.45591971368526</v>
      </c>
      <c r="L83" s="427"/>
      <c r="M83" s="680">
        <f t="shared" si="12"/>
        <v>8.5860120739420134E-2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147">
        <f t="shared" si="14"/>
        <v>6438.12</v>
      </c>
      <c r="G84" s="181">
        <f t="shared" si="9"/>
        <v>0.11418606874341442</v>
      </c>
      <c r="H84" s="427">
        <f t="shared" si="10"/>
        <v>259.10303416774394</v>
      </c>
      <c r="I84" s="427">
        <f t="shared" si="13"/>
        <v>95.272185663479448</v>
      </c>
      <c r="J84" s="177">
        <v>106.87669730236829</v>
      </c>
      <c r="K84" s="427">
        <f t="shared" si="11"/>
        <v>91.525843401283822</v>
      </c>
      <c r="L84" s="427"/>
      <c r="M84" s="680">
        <f t="shared" si="12"/>
        <v>8.586012073942012E-2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147">
        <f t="shared" si="14"/>
        <v>6322.5</v>
      </c>
      <c r="G85" s="181">
        <f t="shared" si="9"/>
        <v>0.1121354401021164</v>
      </c>
      <c r="H85" s="427">
        <f t="shared" si="10"/>
        <v>254.4498911989154</v>
      </c>
      <c r="I85" s="427">
        <f t="shared" si="13"/>
        <v>93.561224993841194</v>
      </c>
      <c r="J85" s="177">
        <v>104.95733516837578</v>
      </c>
      <c r="K85" s="427">
        <f t="shared" si="11"/>
        <v>89.882162013851399</v>
      </c>
      <c r="L85" s="427"/>
      <c r="M85" s="680">
        <f t="shared" si="12"/>
        <v>8.5860120739420134E-2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147">
        <f t="shared" si="14"/>
        <v>3207.6099999999997</v>
      </c>
      <c r="G86" s="181">
        <f t="shared" si="9"/>
        <v>5.6889957932139114E-2</v>
      </c>
      <c r="H86" s="427">
        <f t="shared" si="10"/>
        <v>129.09071024255482</v>
      </c>
      <c r="I86" s="427">
        <f t="shared" si="13"/>
        <v>47.46665415618741</v>
      </c>
      <c r="J86" s="177">
        <v>50.846163932079058</v>
      </c>
      <c r="K86" s="427">
        <f t="shared" si="11"/>
        <v>45.600145780506104</v>
      </c>
      <c r="L86" s="427"/>
      <c r="M86" s="680">
        <f t="shared" si="12"/>
        <v>8.5111242985065963E-2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147">
        <f t="shared" si="14"/>
        <v>2997.37</v>
      </c>
      <c r="G87" s="181">
        <f t="shared" si="9"/>
        <v>5.3161155254864471E-2</v>
      </c>
      <c r="H87" s="427">
        <f t="shared" si="10"/>
        <v>120.62957222347062</v>
      </c>
      <c r="I87" s="427">
        <f t="shared" si="13"/>
        <v>44.355493706570151</v>
      </c>
      <c r="J87" s="177">
        <v>49.758160176138311</v>
      </c>
      <c r="K87" s="427">
        <f t="shared" si="11"/>
        <v>42.611323994536612</v>
      </c>
      <c r="L87" s="427"/>
      <c r="M87" s="680">
        <f t="shared" si="12"/>
        <v>8.5860120739420134E-2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147">
        <f t="shared" si="14"/>
        <v>6397.6</v>
      </c>
      <c r="G88" s="181">
        <f t="shared" si="9"/>
        <v>0.11346740871448002</v>
      </c>
      <c r="H88" s="427">
        <f t="shared" si="10"/>
        <v>257.47230113628808</v>
      </c>
      <c r="I88" s="427">
        <f t="shared" ref="I88:I145" si="15">H88*0.3677</f>
        <v>94.672565127813129</v>
      </c>
      <c r="J88" s="177">
        <v>106.20404072332163</v>
      </c>
      <c r="K88" s="427">
        <f t="shared" ref="K88:K134" si="16">G88*801.55</f>
        <v>90.94980145509146</v>
      </c>
      <c r="L88" s="427"/>
      <c r="M88" s="680">
        <f t="shared" si="12"/>
        <v>8.586012073942012E-2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147">
        <f t="shared" si="14"/>
        <v>566.29999999999995</v>
      </c>
      <c r="G89" s="181">
        <f t="shared" si="9"/>
        <v>1.0043859190166629E-2</v>
      </c>
      <c r="H89" s="427">
        <f t="shared" si="10"/>
        <v>22.790822204182806</v>
      </c>
      <c r="I89" s="427">
        <f t="shared" si="15"/>
        <v>8.3801853244780187</v>
      </c>
      <c r="J89" s="177">
        <v>0</v>
      </c>
      <c r="K89" s="427">
        <f t="shared" si="16"/>
        <v>8.050655333878062</v>
      </c>
      <c r="L89" s="427"/>
      <c r="M89" s="680">
        <f>(K89+J89+I89+H89)/F89</f>
        <v>6.925951414892971E-2</v>
      </c>
      <c r="S89" s="6">
        <v>2</v>
      </c>
    </row>
    <row r="90" spans="1:19" s="69" customFormat="1" ht="15.75">
      <c r="A90" s="161"/>
      <c r="B90" s="161" t="s">
        <v>749</v>
      </c>
      <c r="C90" s="231">
        <f>SUM(C69:C89)</f>
        <v>112321.67</v>
      </c>
      <c r="D90" s="231">
        <f>SUM(D69:D88)</f>
        <v>0</v>
      </c>
      <c r="E90" s="231">
        <f>SUM(E69:E88)</f>
        <v>443.75</v>
      </c>
      <c r="F90" s="231">
        <f>SUM(F69:F89)</f>
        <v>112765.42</v>
      </c>
      <c r="G90" s="181">
        <f>2/112765.42*F90</f>
        <v>1.9999999999999998</v>
      </c>
      <c r="H90" s="427">
        <f>G90*2269.13</f>
        <v>4538.2599999999993</v>
      </c>
      <c r="I90" s="427">
        <f>SUM(I69:I89)</f>
        <v>1556.7647407254005</v>
      </c>
      <c r="J90" s="177">
        <f>SUM(J68:J89)</f>
        <v>1859.2840407233216</v>
      </c>
      <c r="K90" s="427">
        <f>SUM(K69:K89)</f>
        <v>1603.1000000000001</v>
      </c>
      <c r="L90" s="427"/>
      <c r="M90" s="165">
        <f>(K90+J90+I90+H90)/F90</f>
        <v>8.4754783704514391E-2</v>
      </c>
    </row>
    <row r="91" spans="1:19" s="6" customFormat="1" ht="15.75">
      <c r="A91" s="154" t="s">
        <v>50</v>
      </c>
      <c r="B91" s="330"/>
      <c r="C91" s="330"/>
      <c r="D91" s="330"/>
      <c r="E91" s="330"/>
      <c r="F91" s="433">
        <f t="shared" si="14"/>
        <v>0</v>
      </c>
      <c r="G91" s="396"/>
      <c r="H91" s="427"/>
      <c r="I91" s="427"/>
      <c r="J91" s="177"/>
      <c r="K91" s="427"/>
      <c r="L91" s="427"/>
      <c r="M91" s="427"/>
    </row>
    <row r="92" spans="1:19" s="6" customFormat="1" ht="15.75">
      <c r="A92" s="275">
        <v>1</v>
      </c>
      <c r="B92" s="249" t="s">
        <v>51</v>
      </c>
      <c r="C92" s="535"/>
      <c r="D92" s="413"/>
      <c r="E92" s="413"/>
      <c r="F92" s="95"/>
      <c r="G92" s="319">
        <f t="shared" ref="G92:G155" si="17">2.5/95706.34*F92</f>
        <v>0</v>
      </c>
      <c r="H92" s="427">
        <f t="shared" ref="H92:H156" si="18">G92*2269.13</f>
        <v>0</v>
      </c>
      <c r="I92" s="759">
        <f t="shared" si="15"/>
        <v>0</v>
      </c>
      <c r="J92" s="177">
        <v>0</v>
      </c>
      <c r="K92" s="427">
        <f t="shared" si="16"/>
        <v>0</v>
      </c>
      <c r="L92" s="427">
        <f>K92*1.219</f>
        <v>0</v>
      </c>
      <c r="M92" s="680">
        <v>0</v>
      </c>
    </row>
    <row r="93" spans="1:19" s="6" customFormat="1" ht="15.75">
      <c r="A93" s="268">
        <v>2</v>
      </c>
      <c r="B93" s="176" t="s">
        <v>52</v>
      </c>
      <c r="C93" s="535"/>
      <c r="D93" s="413"/>
      <c r="E93" s="413"/>
      <c r="F93" s="95"/>
      <c r="G93" s="319">
        <f t="shared" si="17"/>
        <v>0</v>
      </c>
      <c r="H93" s="427">
        <f t="shared" si="18"/>
        <v>0</v>
      </c>
      <c r="I93" s="759">
        <f t="shared" si="15"/>
        <v>0</v>
      </c>
      <c r="J93" s="177">
        <v>0</v>
      </c>
      <c r="K93" s="427">
        <f t="shared" si="16"/>
        <v>0</v>
      </c>
      <c r="L93" s="427">
        <f t="shared" ref="L93:L156" si="19">K93*1.219</f>
        <v>0</v>
      </c>
      <c r="M93" s="680">
        <v>0</v>
      </c>
    </row>
    <row r="94" spans="1:19" s="6" customFormat="1" ht="15.75">
      <c r="A94" s="268">
        <v>3</v>
      </c>
      <c r="B94" s="176" t="s">
        <v>53</v>
      </c>
      <c r="C94" s="535"/>
      <c r="D94" s="413"/>
      <c r="E94" s="413"/>
      <c r="F94" s="95"/>
      <c r="G94" s="319">
        <f t="shared" si="17"/>
        <v>0</v>
      </c>
      <c r="H94" s="427">
        <f t="shared" si="18"/>
        <v>0</v>
      </c>
      <c r="I94" s="759">
        <f t="shared" si="15"/>
        <v>0</v>
      </c>
      <c r="J94" s="177">
        <v>0</v>
      </c>
      <c r="K94" s="427">
        <f t="shared" si="16"/>
        <v>0</v>
      </c>
      <c r="L94" s="427">
        <f t="shared" si="19"/>
        <v>0</v>
      </c>
      <c r="M94" s="680">
        <v>0</v>
      </c>
    </row>
    <row r="95" spans="1:19" s="6" customFormat="1" ht="15.75">
      <c r="A95" s="268">
        <v>4</v>
      </c>
      <c r="B95" s="176" t="s">
        <v>54</v>
      </c>
      <c r="C95" s="535"/>
      <c r="D95" s="413"/>
      <c r="E95" s="413"/>
      <c r="F95" s="95"/>
      <c r="G95" s="319">
        <f t="shared" si="17"/>
        <v>0</v>
      </c>
      <c r="H95" s="427">
        <f t="shared" si="18"/>
        <v>0</v>
      </c>
      <c r="I95" s="759">
        <f t="shared" si="15"/>
        <v>0</v>
      </c>
      <c r="J95" s="177">
        <v>0</v>
      </c>
      <c r="K95" s="427">
        <f t="shared" si="16"/>
        <v>0</v>
      </c>
      <c r="L95" s="427">
        <f t="shared" si="19"/>
        <v>0</v>
      </c>
      <c r="M95" s="680">
        <v>0</v>
      </c>
    </row>
    <row r="96" spans="1:19" s="6" customFormat="1" ht="15.75">
      <c r="A96" s="268">
        <v>5</v>
      </c>
      <c r="B96" s="176" t="s">
        <v>55</v>
      </c>
      <c r="C96" s="535"/>
      <c r="D96" s="413"/>
      <c r="E96" s="413"/>
      <c r="F96" s="95"/>
      <c r="G96" s="319">
        <f t="shared" si="17"/>
        <v>0</v>
      </c>
      <c r="H96" s="427">
        <f t="shared" si="18"/>
        <v>0</v>
      </c>
      <c r="I96" s="759">
        <f t="shared" si="15"/>
        <v>0</v>
      </c>
      <c r="J96" s="177">
        <v>0</v>
      </c>
      <c r="K96" s="427">
        <f t="shared" si="16"/>
        <v>0</v>
      </c>
      <c r="L96" s="427">
        <f t="shared" si="19"/>
        <v>0</v>
      </c>
      <c r="M96" s="680">
        <v>0</v>
      </c>
    </row>
    <row r="97" spans="1:13" s="6" customFormat="1" ht="15.75">
      <c r="A97" s="268">
        <v>6</v>
      </c>
      <c r="B97" s="176" t="s">
        <v>56</v>
      </c>
      <c r="C97" s="535"/>
      <c r="D97" s="413"/>
      <c r="E97" s="413"/>
      <c r="F97" s="95"/>
      <c r="G97" s="319">
        <f t="shared" si="17"/>
        <v>0</v>
      </c>
      <c r="H97" s="427">
        <f t="shared" si="18"/>
        <v>0</v>
      </c>
      <c r="I97" s="759">
        <f t="shared" si="15"/>
        <v>0</v>
      </c>
      <c r="J97" s="177">
        <v>0</v>
      </c>
      <c r="K97" s="427">
        <f t="shared" si="16"/>
        <v>0</v>
      </c>
      <c r="L97" s="427">
        <f t="shared" si="19"/>
        <v>0</v>
      </c>
      <c r="M97" s="680">
        <v>0</v>
      </c>
    </row>
    <row r="98" spans="1:13" s="6" customFormat="1" ht="15.75">
      <c r="A98" s="268">
        <v>7</v>
      </c>
      <c r="B98" s="176" t="s">
        <v>57</v>
      </c>
      <c r="C98" s="535"/>
      <c r="D98" s="413"/>
      <c r="E98" s="413"/>
      <c r="F98" s="95"/>
      <c r="G98" s="319">
        <f t="shared" si="17"/>
        <v>0</v>
      </c>
      <c r="H98" s="427">
        <f t="shared" si="18"/>
        <v>0</v>
      </c>
      <c r="I98" s="759">
        <f t="shared" si="15"/>
        <v>0</v>
      </c>
      <c r="J98" s="177">
        <v>0</v>
      </c>
      <c r="K98" s="427">
        <f t="shared" si="16"/>
        <v>0</v>
      </c>
      <c r="L98" s="427">
        <f t="shared" si="19"/>
        <v>0</v>
      </c>
      <c r="M98" s="680">
        <v>0</v>
      </c>
    </row>
    <row r="99" spans="1:13" s="6" customFormat="1" ht="15.75">
      <c r="A99" s="275">
        <v>8</v>
      </c>
      <c r="B99" s="176" t="s">
        <v>58</v>
      </c>
      <c r="C99" s="535"/>
      <c r="D99" s="413"/>
      <c r="E99" s="413"/>
      <c r="F99" s="95"/>
      <c r="G99" s="319">
        <f t="shared" si="17"/>
        <v>0</v>
      </c>
      <c r="H99" s="427">
        <f t="shared" si="18"/>
        <v>0</v>
      </c>
      <c r="I99" s="759">
        <f t="shared" si="15"/>
        <v>0</v>
      </c>
      <c r="J99" s="177">
        <v>0</v>
      </c>
      <c r="K99" s="427">
        <f t="shared" si="16"/>
        <v>0</v>
      </c>
      <c r="L99" s="427">
        <f t="shared" si="19"/>
        <v>0</v>
      </c>
      <c r="M99" s="680">
        <v>0</v>
      </c>
    </row>
    <row r="100" spans="1:13" s="6" customFormat="1" ht="15.75">
      <c r="A100" s="268">
        <v>9</v>
      </c>
      <c r="B100" s="176" t="s">
        <v>59</v>
      </c>
      <c r="C100" s="535"/>
      <c r="D100" s="413"/>
      <c r="E100" s="413"/>
      <c r="F100" s="95"/>
      <c r="G100" s="319">
        <f t="shared" si="17"/>
        <v>0</v>
      </c>
      <c r="H100" s="427">
        <f t="shared" si="18"/>
        <v>0</v>
      </c>
      <c r="I100" s="759">
        <f t="shared" si="15"/>
        <v>0</v>
      </c>
      <c r="J100" s="177">
        <v>0</v>
      </c>
      <c r="K100" s="427">
        <f t="shared" si="16"/>
        <v>0</v>
      </c>
      <c r="L100" s="427">
        <f t="shared" si="19"/>
        <v>0</v>
      </c>
      <c r="M100" s="680">
        <v>0</v>
      </c>
    </row>
    <row r="101" spans="1:13" s="6" customFormat="1" ht="15.75">
      <c r="A101" s="268">
        <v>10</v>
      </c>
      <c r="B101" s="274" t="s">
        <v>60</v>
      </c>
      <c r="C101" s="535"/>
      <c r="D101" s="413"/>
      <c r="E101" s="413"/>
      <c r="F101" s="95"/>
      <c r="G101" s="319">
        <f t="shared" si="17"/>
        <v>0</v>
      </c>
      <c r="H101" s="427">
        <f t="shared" si="18"/>
        <v>0</v>
      </c>
      <c r="I101" s="759">
        <f t="shared" si="15"/>
        <v>0</v>
      </c>
      <c r="J101" s="177">
        <v>0</v>
      </c>
      <c r="K101" s="427">
        <f t="shared" si="16"/>
        <v>0</v>
      </c>
      <c r="L101" s="427">
        <f t="shared" si="19"/>
        <v>0</v>
      </c>
      <c r="M101" s="680">
        <v>0</v>
      </c>
    </row>
    <row r="102" spans="1:13" s="6" customFormat="1" ht="15.75">
      <c r="A102" s="268">
        <v>11</v>
      </c>
      <c r="B102" s="176" t="s">
        <v>61</v>
      </c>
      <c r="C102" s="535"/>
      <c r="D102" s="413"/>
      <c r="E102" s="413"/>
      <c r="F102" s="95"/>
      <c r="G102" s="319">
        <f t="shared" si="17"/>
        <v>0</v>
      </c>
      <c r="H102" s="427">
        <f t="shared" si="18"/>
        <v>0</v>
      </c>
      <c r="I102" s="759">
        <f t="shared" si="15"/>
        <v>0</v>
      </c>
      <c r="J102" s="177">
        <v>0</v>
      </c>
      <c r="K102" s="427">
        <f t="shared" si="16"/>
        <v>0</v>
      </c>
      <c r="L102" s="427">
        <f t="shared" si="19"/>
        <v>0</v>
      </c>
      <c r="M102" s="680">
        <v>0</v>
      </c>
    </row>
    <row r="103" spans="1:13" s="6" customFormat="1" ht="15.75">
      <c r="A103" s="268">
        <v>12</v>
      </c>
      <c r="B103" s="176" t="s">
        <v>62</v>
      </c>
      <c r="C103" s="535"/>
      <c r="D103" s="413"/>
      <c r="E103" s="413"/>
      <c r="F103" s="95"/>
      <c r="G103" s="319">
        <f t="shared" si="17"/>
        <v>0</v>
      </c>
      <c r="H103" s="427">
        <f t="shared" si="18"/>
        <v>0</v>
      </c>
      <c r="I103" s="759">
        <f t="shared" si="15"/>
        <v>0</v>
      </c>
      <c r="J103" s="177">
        <v>0</v>
      </c>
      <c r="K103" s="427">
        <f t="shared" si="16"/>
        <v>0</v>
      </c>
      <c r="L103" s="427">
        <f t="shared" si="19"/>
        <v>0</v>
      </c>
      <c r="M103" s="680">
        <v>0</v>
      </c>
    </row>
    <row r="104" spans="1:13" s="6" customFormat="1" ht="15.75">
      <c r="A104" s="268">
        <v>13</v>
      </c>
      <c r="B104" s="176" t="s">
        <v>63</v>
      </c>
      <c r="C104" s="535"/>
      <c r="D104" s="413"/>
      <c r="E104" s="413"/>
      <c r="F104" s="95"/>
      <c r="G104" s="319">
        <f t="shared" si="17"/>
        <v>0</v>
      </c>
      <c r="H104" s="427">
        <f t="shared" si="18"/>
        <v>0</v>
      </c>
      <c r="I104" s="759">
        <f t="shared" si="15"/>
        <v>0</v>
      </c>
      <c r="J104" s="177">
        <v>0</v>
      </c>
      <c r="K104" s="427">
        <f t="shared" si="16"/>
        <v>0</v>
      </c>
      <c r="L104" s="427">
        <f t="shared" si="19"/>
        <v>0</v>
      </c>
      <c r="M104" s="680">
        <v>0</v>
      </c>
    </row>
    <row r="105" spans="1:13" s="6" customFormat="1" ht="15.75">
      <c r="A105" s="268">
        <v>14</v>
      </c>
      <c r="B105" s="176" t="s">
        <v>64</v>
      </c>
      <c r="C105" s="535"/>
      <c r="D105" s="413"/>
      <c r="E105" s="413"/>
      <c r="F105" s="95"/>
      <c r="G105" s="319">
        <f t="shared" si="17"/>
        <v>0</v>
      </c>
      <c r="H105" s="427">
        <f t="shared" si="18"/>
        <v>0</v>
      </c>
      <c r="I105" s="759">
        <f t="shared" si="15"/>
        <v>0</v>
      </c>
      <c r="J105" s="177">
        <v>0</v>
      </c>
      <c r="K105" s="427">
        <f t="shared" si="16"/>
        <v>0</v>
      </c>
      <c r="L105" s="427">
        <f t="shared" si="19"/>
        <v>0</v>
      </c>
      <c r="M105" s="680">
        <v>0</v>
      </c>
    </row>
    <row r="106" spans="1:13" s="6" customFormat="1" ht="15.75">
      <c r="A106" s="275">
        <v>15</v>
      </c>
      <c r="B106" s="176" t="s">
        <v>67</v>
      </c>
      <c r="C106" s="535"/>
      <c r="D106" s="413"/>
      <c r="E106" s="413"/>
      <c r="F106" s="95"/>
      <c r="G106" s="319">
        <f t="shared" si="17"/>
        <v>0</v>
      </c>
      <c r="H106" s="427">
        <f t="shared" si="18"/>
        <v>0</v>
      </c>
      <c r="I106" s="759">
        <f t="shared" si="15"/>
        <v>0</v>
      </c>
      <c r="J106" s="177">
        <v>0</v>
      </c>
      <c r="K106" s="427">
        <f t="shared" si="16"/>
        <v>0</v>
      </c>
      <c r="L106" s="427">
        <f t="shared" si="19"/>
        <v>0</v>
      </c>
      <c r="M106" s="680">
        <v>0</v>
      </c>
    </row>
    <row r="107" spans="1:13" s="6" customFormat="1" ht="15.75">
      <c r="A107" s="268">
        <v>16</v>
      </c>
      <c r="B107" s="176" t="s">
        <v>68</v>
      </c>
      <c r="C107" s="535"/>
      <c r="D107" s="413"/>
      <c r="E107" s="413"/>
      <c r="F107" s="95"/>
      <c r="G107" s="319">
        <f t="shared" si="17"/>
        <v>0</v>
      </c>
      <c r="H107" s="427">
        <f t="shared" si="18"/>
        <v>0</v>
      </c>
      <c r="I107" s="759">
        <f t="shared" si="15"/>
        <v>0</v>
      </c>
      <c r="J107" s="177">
        <v>0</v>
      </c>
      <c r="K107" s="427">
        <f t="shared" si="16"/>
        <v>0</v>
      </c>
      <c r="L107" s="427">
        <f t="shared" si="19"/>
        <v>0</v>
      </c>
      <c r="M107" s="680">
        <v>0</v>
      </c>
    </row>
    <row r="108" spans="1:13" s="6" customFormat="1" ht="15.75">
      <c r="A108" s="268">
        <v>17</v>
      </c>
      <c r="B108" s="176" t="s">
        <v>69</v>
      </c>
      <c r="C108" s="535"/>
      <c r="D108" s="413"/>
      <c r="E108" s="413"/>
      <c r="F108" s="95"/>
      <c r="G108" s="319">
        <f t="shared" si="17"/>
        <v>0</v>
      </c>
      <c r="H108" s="427">
        <f t="shared" si="18"/>
        <v>0</v>
      </c>
      <c r="I108" s="759">
        <f t="shared" si="15"/>
        <v>0</v>
      </c>
      <c r="J108" s="177">
        <v>0</v>
      </c>
      <c r="K108" s="427">
        <f t="shared" si="16"/>
        <v>0</v>
      </c>
      <c r="L108" s="427">
        <f t="shared" si="19"/>
        <v>0</v>
      </c>
      <c r="M108" s="680">
        <v>0</v>
      </c>
    </row>
    <row r="109" spans="1:13" s="6" customFormat="1" ht="15.75">
      <c r="A109" s="268">
        <v>18</v>
      </c>
      <c r="B109" s="176" t="s">
        <v>70</v>
      </c>
      <c r="C109" s="535"/>
      <c r="D109" s="413"/>
      <c r="E109" s="413"/>
      <c r="F109" s="95"/>
      <c r="G109" s="319">
        <f t="shared" si="17"/>
        <v>0</v>
      </c>
      <c r="H109" s="427">
        <f t="shared" si="18"/>
        <v>0</v>
      </c>
      <c r="I109" s="759">
        <f t="shared" si="15"/>
        <v>0</v>
      </c>
      <c r="J109" s="177">
        <v>0</v>
      </c>
      <c r="K109" s="427">
        <f t="shared" si="16"/>
        <v>0</v>
      </c>
      <c r="L109" s="427">
        <f t="shared" si="19"/>
        <v>0</v>
      </c>
      <c r="M109" s="680">
        <v>0</v>
      </c>
    </row>
    <row r="110" spans="1:13" s="6" customFormat="1" ht="15.75">
      <c r="A110" s="268">
        <v>19</v>
      </c>
      <c r="B110" s="176" t="s">
        <v>71</v>
      </c>
      <c r="C110" s="535"/>
      <c r="D110" s="413"/>
      <c r="E110" s="413"/>
      <c r="F110" s="95"/>
      <c r="G110" s="319">
        <f t="shared" si="17"/>
        <v>0</v>
      </c>
      <c r="H110" s="427">
        <f t="shared" si="18"/>
        <v>0</v>
      </c>
      <c r="I110" s="759">
        <f t="shared" si="15"/>
        <v>0</v>
      </c>
      <c r="J110" s="177">
        <v>0</v>
      </c>
      <c r="K110" s="427">
        <f t="shared" si="16"/>
        <v>0</v>
      </c>
      <c r="L110" s="427">
        <f t="shared" si="19"/>
        <v>0</v>
      </c>
      <c r="M110" s="680">
        <v>0</v>
      </c>
    </row>
    <row r="111" spans="1:13" s="6" customFormat="1" ht="15.75">
      <c r="A111" s="268">
        <v>20</v>
      </c>
      <c r="B111" s="176" t="s">
        <v>72</v>
      </c>
      <c r="C111" s="535"/>
      <c r="D111" s="413"/>
      <c r="E111" s="413"/>
      <c r="F111" s="95"/>
      <c r="G111" s="319">
        <f t="shared" si="17"/>
        <v>0</v>
      </c>
      <c r="H111" s="427">
        <f t="shared" si="18"/>
        <v>0</v>
      </c>
      <c r="I111" s="759">
        <f t="shared" si="15"/>
        <v>0</v>
      </c>
      <c r="J111" s="177">
        <v>0</v>
      </c>
      <c r="K111" s="427">
        <f t="shared" si="16"/>
        <v>0</v>
      </c>
      <c r="L111" s="427">
        <f t="shared" si="19"/>
        <v>0</v>
      </c>
      <c r="M111" s="680">
        <v>0</v>
      </c>
    </row>
    <row r="112" spans="1:13" s="6" customFormat="1" ht="15.75">
      <c r="A112" s="268">
        <v>21</v>
      </c>
      <c r="B112" s="176" t="s">
        <v>73</v>
      </c>
      <c r="C112" s="535"/>
      <c r="D112" s="413"/>
      <c r="E112" s="413"/>
      <c r="F112" s="95"/>
      <c r="G112" s="319">
        <f t="shared" si="17"/>
        <v>0</v>
      </c>
      <c r="H112" s="427">
        <f t="shared" si="18"/>
        <v>0</v>
      </c>
      <c r="I112" s="759">
        <f t="shared" si="15"/>
        <v>0</v>
      </c>
      <c r="J112" s="177">
        <v>0</v>
      </c>
      <c r="K112" s="427">
        <f t="shared" si="16"/>
        <v>0</v>
      </c>
      <c r="L112" s="427">
        <f t="shared" si="19"/>
        <v>0</v>
      </c>
      <c r="M112" s="680">
        <v>0</v>
      </c>
    </row>
    <row r="113" spans="1:14" s="6" customFormat="1" ht="15.75">
      <c r="A113" s="275">
        <v>22</v>
      </c>
      <c r="B113" s="176" t="s">
        <v>74</v>
      </c>
      <c r="C113" s="535"/>
      <c r="D113" s="413"/>
      <c r="E113" s="413"/>
      <c r="F113" s="95"/>
      <c r="G113" s="319">
        <f t="shared" si="17"/>
        <v>0</v>
      </c>
      <c r="H113" s="427">
        <f t="shared" si="18"/>
        <v>0</v>
      </c>
      <c r="I113" s="759">
        <f t="shared" si="15"/>
        <v>0</v>
      </c>
      <c r="J113" s="177">
        <v>0</v>
      </c>
      <c r="K113" s="427">
        <f t="shared" si="16"/>
        <v>0</v>
      </c>
      <c r="L113" s="427">
        <f t="shared" si="19"/>
        <v>0</v>
      </c>
      <c r="M113" s="680">
        <v>0</v>
      </c>
    </row>
    <row r="114" spans="1:14" s="6" customFormat="1" ht="15.75">
      <c r="A114" s="268">
        <v>23</v>
      </c>
      <c r="B114" s="176" t="s">
        <v>75</v>
      </c>
      <c r="C114" s="535"/>
      <c r="D114" s="413"/>
      <c r="E114" s="413"/>
      <c r="F114" s="95"/>
      <c r="G114" s="319">
        <f t="shared" si="17"/>
        <v>0</v>
      </c>
      <c r="H114" s="427">
        <f t="shared" si="18"/>
        <v>0</v>
      </c>
      <c r="I114" s="759">
        <f t="shared" si="15"/>
        <v>0</v>
      </c>
      <c r="J114" s="177">
        <v>0</v>
      </c>
      <c r="K114" s="427">
        <f t="shared" si="16"/>
        <v>0</v>
      </c>
      <c r="L114" s="427">
        <f t="shared" si="19"/>
        <v>0</v>
      </c>
      <c r="M114" s="680">
        <v>0</v>
      </c>
    </row>
    <row r="115" spans="1:14" s="6" customFormat="1" ht="15.75">
      <c r="A115" s="268">
        <v>24</v>
      </c>
      <c r="B115" s="176" t="s">
        <v>76</v>
      </c>
      <c r="C115" s="535"/>
      <c r="D115" s="413"/>
      <c r="E115" s="413"/>
      <c r="F115" s="95"/>
      <c r="G115" s="319">
        <f t="shared" si="17"/>
        <v>0</v>
      </c>
      <c r="H115" s="427">
        <f t="shared" si="18"/>
        <v>0</v>
      </c>
      <c r="I115" s="759">
        <f t="shared" si="15"/>
        <v>0</v>
      </c>
      <c r="J115" s="177">
        <v>0</v>
      </c>
      <c r="K115" s="427">
        <f t="shared" si="16"/>
        <v>0</v>
      </c>
      <c r="L115" s="427">
        <f t="shared" si="19"/>
        <v>0</v>
      </c>
      <c r="M115" s="680">
        <v>0</v>
      </c>
    </row>
    <row r="116" spans="1:14" s="6" customFormat="1" ht="15.75">
      <c r="A116" s="268">
        <v>25</v>
      </c>
      <c r="B116" s="176" t="s">
        <v>77</v>
      </c>
      <c r="C116" s="535">
        <v>1330.1</v>
      </c>
      <c r="D116" s="413"/>
      <c r="E116" s="413"/>
      <c r="F116" s="95">
        <f>C116+D116+E116</f>
        <v>1330.1</v>
      </c>
      <c r="G116" s="319">
        <f t="shared" si="17"/>
        <v>3.4744302206102542E-2</v>
      </c>
      <c r="H116" s="427">
        <f t="shared" si="18"/>
        <v>78.839338464933462</v>
      </c>
      <c r="I116" s="759">
        <f t="shared" si="15"/>
        <v>28.989224753556037</v>
      </c>
      <c r="J116" s="427">
        <v>30.7061982973932</v>
      </c>
      <c r="K116" s="427">
        <f t="shared" si="16"/>
        <v>27.849295433301492</v>
      </c>
      <c r="L116" s="427">
        <f t="shared" si="19"/>
        <v>33.948291133194523</v>
      </c>
      <c r="M116" s="680">
        <f>(K116+J116+I116+H116)/F116</f>
        <v>0.12509138933101585</v>
      </c>
      <c r="N116" s="6" t="s">
        <v>1028</v>
      </c>
    </row>
    <row r="117" spans="1:14" s="6" customFormat="1" ht="15.75">
      <c r="A117" s="268">
        <v>26</v>
      </c>
      <c r="B117" s="176" t="s">
        <v>78</v>
      </c>
      <c r="C117" s="535"/>
      <c r="D117" s="413"/>
      <c r="E117" s="413"/>
      <c r="F117" s="95"/>
      <c r="G117" s="319">
        <f t="shared" si="17"/>
        <v>0</v>
      </c>
      <c r="H117" s="427">
        <f t="shared" si="18"/>
        <v>0</v>
      </c>
      <c r="I117" s="759">
        <f t="shared" si="15"/>
        <v>0</v>
      </c>
      <c r="J117" s="427">
        <v>0</v>
      </c>
      <c r="K117" s="427">
        <f t="shared" si="16"/>
        <v>0</v>
      </c>
      <c r="L117" s="427">
        <f t="shared" si="19"/>
        <v>0</v>
      </c>
      <c r="M117" s="680">
        <v>0</v>
      </c>
    </row>
    <row r="118" spans="1:14" s="6" customFormat="1" ht="15.75">
      <c r="A118" s="268">
        <v>27</v>
      </c>
      <c r="B118" s="176" t="s">
        <v>79</v>
      </c>
      <c r="C118" s="535">
        <v>1286.57</v>
      </c>
      <c r="D118" s="413">
        <v>132.1</v>
      </c>
      <c r="E118" s="413">
        <v>45.2</v>
      </c>
      <c r="F118" s="95">
        <f>C118+D118+E118</f>
        <v>1463.87</v>
      </c>
      <c r="G118" s="319">
        <f t="shared" si="17"/>
        <v>3.8238584821026482E-2</v>
      </c>
      <c r="H118" s="427">
        <f t="shared" si="18"/>
        <v>86.768319974935821</v>
      </c>
      <c r="I118" s="759">
        <f t="shared" si="15"/>
        <v>31.904711254783905</v>
      </c>
      <c r="J118" s="427">
        <v>33.794363206980663</v>
      </c>
      <c r="K118" s="427">
        <f t="shared" si="16"/>
        <v>30.650137663293776</v>
      </c>
      <c r="L118" s="427">
        <f t="shared" si="19"/>
        <v>37.362517811555115</v>
      </c>
      <c r="M118" s="680">
        <f>(K118+J118+I118+H118)/F118</f>
        <v>0.12509138933101585</v>
      </c>
      <c r="N118" s="6" t="s">
        <v>1028</v>
      </c>
    </row>
    <row r="119" spans="1:14" s="6" customFormat="1" ht="15.75">
      <c r="A119" s="268">
        <v>28</v>
      </c>
      <c r="B119" s="176" t="s">
        <v>80</v>
      </c>
      <c r="C119" s="535"/>
      <c r="D119" s="413"/>
      <c r="E119" s="413"/>
      <c r="F119" s="95"/>
      <c r="G119" s="319">
        <f t="shared" si="17"/>
        <v>0</v>
      </c>
      <c r="H119" s="427">
        <f t="shared" si="18"/>
        <v>0</v>
      </c>
      <c r="I119" s="759">
        <f t="shared" si="15"/>
        <v>0</v>
      </c>
      <c r="J119" s="427">
        <v>0</v>
      </c>
      <c r="K119" s="427">
        <f t="shared" si="16"/>
        <v>0</v>
      </c>
      <c r="L119" s="427">
        <f t="shared" si="19"/>
        <v>0</v>
      </c>
      <c r="M119" s="680">
        <v>0</v>
      </c>
    </row>
    <row r="120" spans="1:14" s="6" customFormat="1" ht="15.75">
      <c r="A120" s="275">
        <v>29</v>
      </c>
      <c r="B120" s="176" t="s">
        <v>81</v>
      </c>
      <c r="C120" s="535"/>
      <c r="D120" s="413"/>
      <c r="E120" s="413"/>
      <c r="F120" s="95"/>
      <c r="G120" s="319">
        <f t="shared" si="17"/>
        <v>0</v>
      </c>
      <c r="H120" s="427">
        <f t="shared" si="18"/>
        <v>0</v>
      </c>
      <c r="I120" s="759">
        <f t="shared" si="15"/>
        <v>0</v>
      </c>
      <c r="J120" s="427">
        <v>0</v>
      </c>
      <c r="K120" s="427">
        <f t="shared" si="16"/>
        <v>0</v>
      </c>
      <c r="L120" s="427">
        <f t="shared" si="19"/>
        <v>0</v>
      </c>
      <c r="M120" s="680">
        <v>0</v>
      </c>
    </row>
    <row r="121" spans="1:14" s="6" customFormat="1" ht="15.75">
      <c r="A121" s="268">
        <v>30</v>
      </c>
      <c r="B121" s="176" t="s">
        <v>82</v>
      </c>
      <c r="C121" s="535"/>
      <c r="D121" s="413"/>
      <c r="E121" s="413"/>
      <c r="F121" s="95"/>
      <c r="G121" s="319">
        <f t="shared" si="17"/>
        <v>0</v>
      </c>
      <c r="H121" s="427">
        <f t="shared" si="18"/>
        <v>0</v>
      </c>
      <c r="I121" s="759">
        <f t="shared" si="15"/>
        <v>0</v>
      </c>
      <c r="J121" s="427">
        <v>0</v>
      </c>
      <c r="K121" s="427">
        <f t="shared" si="16"/>
        <v>0</v>
      </c>
      <c r="L121" s="427">
        <f t="shared" si="19"/>
        <v>0</v>
      </c>
      <c r="M121" s="680">
        <v>0</v>
      </c>
    </row>
    <row r="122" spans="1:14" s="6" customFormat="1" ht="15.75">
      <c r="A122" s="268">
        <v>31</v>
      </c>
      <c r="B122" s="176" t="s">
        <v>83</v>
      </c>
      <c r="C122" s="535"/>
      <c r="D122" s="413"/>
      <c r="E122" s="413"/>
      <c r="F122" s="95"/>
      <c r="G122" s="319">
        <f t="shared" si="17"/>
        <v>0</v>
      </c>
      <c r="H122" s="427">
        <f t="shared" si="18"/>
        <v>0</v>
      </c>
      <c r="I122" s="759">
        <f t="shared" si="15"/>
        <v>0</v>
      </c>
      <c r="J122" s="427">
        <v>0</v>
      </c>
      <c r="K122" s="427">
        <f t="shared" si="16"/>
        <v>0</v>
      </c>
      <c r="L122" s="427">
        <f t="shared" si="19"/>
        <v>0</v>
      </c>
      <c r="M122" s="680">
        <v>0</v>
      </c>
    </row>
    <row r="123" spans="1:14" s="6" customFormat="1" ht="15.75">
      <c r="A123" s="268">
        <v>32</v>
      </c>
      <c r="B123" s="176" t="s">
        <v>84</v>
      </c>
      <c r="C123" s="535">
        <v>1869.7</v>
      </c>
      <c r="D123" s="413"/>
      <c r="E123" s="413">
        <v>22</v>
      </c>
      <c r="F123" s="95">
        <f>C123+D123+E123</f>
        <v>1891.7</v>
      </c>
      <c r="G123" s="319">
        <f t="shared" si="17"/>
        <v>4.941417674106021E-2</v>
      </c>
      <c r="H123" s="427">
        <f t="shared" si="18"/>
        <v>112.12719086844196</v>
      </c>
      <c r="I123" s="759">
        <f t="shared" si="15"/>
        <v>41.229168082326112</v>
      </c>
      <c r="J123" s="427">
        <v>43.671088879917839</v>
      </c>
      <c r="K123" s="427">
        <f t="shared" si="16"/>
        <v>39.607933366796807</v>
      </c>
      <c r="L123" s="427">
        <f t="shared" si="19"/>
        <v>48.282070774125309</v>
      </c>
      <c r="M123" s="680">
        <f>(K123+J123+I123+H123)/F123</f>
        <v>0.12509138933101588</v>
      </c>
      <c r="N123" s="6" t="s">
        <v>1028</v>
      </c>
    </row>
    <row r="124" spans="1:14" s="6" customFormat="1" ht="15.75">
      <c r="A124" s="268">
        <v>33</v>
      </c>
      <c r="B124" s="176" t="s">
        <v>85</v>
      </c>
      <c r="C124" s="535"/>
      <c r="D124" s="413"/>
      <c r="E124" s="413"/>
      <c r="F124" s="95"/>
      <c r="G124" s="319">
        <f t="shared" si="17"/>
        <v>0</v>
      </c>
      <c r="H124" s="427">
        <f t="shared" si="18"/>
        <v>0</v>
      </c>
      <c r="I124" s="759">
        <f t="shared" si="15"/>
        <v>0</v>
      </c>
      <c r="J124" s="427">
        <v>0</v>
      </c>
      <c r="K124" s="427">
        <f t="shared" si="16"/>
        <v>0</v>
      </c>
      <c r="L124" s="427">
        <f t="shared" si="19"/>
        <v>0</v>
      </c>
      <c r="M124" s="680">
        <v>0</v>
      </c>
    </row>
    <row r="125" spans="1:14" s="6" customFormat="1" ht="15.75">
      <c r="A125" s="268">
        <v>34</v>
      </c>
      <c r="B125" s="176" t="s">
        <v>86</v>
      </c>
      <c r="C125" s="535">
        <v>1857.4</v>
      </c>
      <c r="D125" s="413"/>
      <c r="E125" s="413"/>
      <c r="F125" s="95">
        <f>C125+D125+E125</f>
        <v>1857.4</v>
      </c>
      <c r="G125" s="319">
        <f t="shared" si="17"/>
        <v>4.8518206839797656E-2</v>
      </c>
      <c r="H125" s="427">
        <f t="shared" si="18"/>
        <v>110.09411868639006</v>
      </c>
      <c r="I125" s="759">
        <f t="shared" si="15"/>
        <v>40.481607440985627</v>
      </c>
      <c r="J125" s="427">
        <v>42.879251723613365</v>
      </c>
      <c r="K125" s="427">
        <f t="shared" si="16"/>
        <v>38.889768692439809</v>
      </c>
      <c r="L125" s="427">
        <f t="shared" si="19"/>
        <v>47.406628036084129</v>
      </c>
      <c r="M125" s="680">
        <f>(K125+J125+I125+H125)/F125</f>
        <v>0.12509138933101585</v>
      </c>
      <c r="N125" s="6" t="s">
        <v>1028</v>
      </c>
    </row>
    <row r="126" spans="1:14" s="6" customFormat="1" ht="15.75">
      <c r="A126" s="268">
        <v>35</v>
      </c>
      <c r="B126" s="176" t="s">
        <v>87</v>
      </c>
      <c r="C126" s="535">
        <v>2470.1999999999998</v>
      </c>
      <c r="D126" s="413"/>
      <c r="E126" s="413"/>
      <c r="F126" s="95">
        <f>C126+D126+E126</f>
        <v>2470.1999999999998</v>
      </c>
      <c r="G126" s="319">
        <f t="shared" si="17"/>
        <v>6.452550583378279E-2</v>
      </c>
      <c r="H126" s="427">
        <f t="shared" si="18"/>
        <v>146.41676105261155</v>
      </c>
      <c r="I126" s="759">
        <f t="shared" si="15"/>
        <v>53.837443039045269</v>
      </c>
      <c r="J126" s="427">
        <v>57.026126632749929</v>
      </c>
      <c r="K126" s="427">
        <f t="shared" si="16"/>
        <v>51.720419201068594</v>
      </c>
      <c r="L126" s="427">
        <f t="shared" si="19"/>
        <v>63.047191006102622</v>
      </c>
      <c r="M126" s="680">
        <f>(K126+J126+I126+H126)/F126</f>
        <v>0.12509138933101585</v>
      </c>
      <c r="N126" s="6" t="s">
        <v>1028</v>
      </c>
    </row>
    <row r="127" spans="1:14" s="6" customFormat="1" ht="15.75">
      <c r="A127" s="275">
        <v>36</v>
      </c>
      <c r="B127" s="176" t="s">
        <v>88</v>
      </c>
      <c r="C127" s="535"/>
      <c r="D127" s="413"/>
      <c r="E127" s="413"/>
      <c r="F127" s="95"/>
      <c r="G127" s="319">
        <f t="shared" si="17"/>
        <v>0</v>
      </c>
      <c r="H127" s="427">
        <f t="shared" si="18"/>
        <v>0</v>
      </c>
      <c r="I127" s="759">
        <f t="shared" si="15"/>
        <v>0</v>
      </c>
      <c r="J127" s="427">
        <v>0</v>
      </c>
      <c r="K127" s="427">
        <f t="shared" si="16"/>
        <v>0</v>
      </c>
      <c r="L127" s="427">
        <f t="shared" si="19"/>
        <v>0</v>
      </c>
      <c r="M127" s="680">
        <v>0</v>
      </c>
    </row>
    <row r="128" spans="1:14" s="6" customFormat="1" ht="15.75">
      <c r="A128" s="268">
        <v>37</v>
      </c>
      <c r="B128" s="176" t="s">
        <v>89</v>
      </c>
      <c r="C128" s="535">
        <v>1831.3</v>
      </c>
      <c r="D128" s="413"/>
      <c r="E128" s="413"/>
      <c r="F128" s="95">
        <f>C128+D128+E128</f>
        <v>1831.3</v>
      </c>
      <c r="G128" s="319">
        <f t="shared" si="17"/>
        <v>4.7836433824551224E-2</v>
      </c>
      <c r="H128" s="427">
        <f t="shared" si="18"/>
        <v>108.54708708430393</v>
      </c>
      <c r="I128" s="759">
        <f t="shared" si="15"/>
        <v>39.912763920898556</v>
      </c>
      <c r="J128" s="427">
        <v>42.276716744617829</v>
      </c>
      <c r="K128" s="427">
        <f t="shared" si="16"/>
        <v>38.343293532069033</v>
      </c>
      <c r="L128" s="427">
        <f t="shared" si="19"/>
        <v>46.740474815592158</v>
      </c>
      <c r="M128" s="680">
        <f>(K128+J128+I128+H128)/F128</f>
        <v>0.12509138933101588</v>
      </c>
      <c r="N128" s="6" t="s">
        <v>1028</v>
      </c>
    </row>
    <row r="129" spans="1:14" s="6" customFormat="1" ht="15.75">
      <c r="A129" s="268">
        <v>38</v>
      </c>
      <c r="B129" s="176" t="s">
        <v>90</v>
      </c>
      <c r="C129" s="535">
        <v>1844.3</v>
      </c>
      <c r="D129" s="413"/>
      <c r="E129" s="413"/>
      <c r="F129" s="95">
        <f>C129+D129+E129</f>
        <v>1844.3</v>
      </c>
      <c r="G129" s="319">
        <f t="shared" si="17"/>
        <v>4.8176014253601171E-2</v>
      </c>
      <c r="H129" s="427">
        <f t="shared" si="18"/>
        <v>109.31763922327403</v>
      </c>
      <c r="I129" s="759">
        <f t="shared" si="15"/>
        <v>40.196095942397861</v>
      </c>
      <c r="J129" s="427">
        <v>42.576829952546639</v>
      </c>
      <c r="K129" s="427">
        <f t="shared" si="16"/>
        <v>38.615484224974018</v>
      </c>
      <c r="L129" s="427">
        <f t="shared" si="19"/>
        <v>47.072275270243331</v>
      </c>
      <c r="M129" s="680">
        <f>(K129+J129+I129+H129)/F129</f>
        <v>0.12509138933101585</v>
      </c>
      <c r="N129" s="6" t="s">
        <v>1028</v>
      </c>
    </row>
    <row r="130" spans="1:14" s="6" customFormat="1" ht="15.75">
      <c r="A130" s="268">
        <v>39</v>
      </c>
      <c r="B130" s="176" t="s">
        <v>91</v>
      </c>
      <c r="C130" s="535"/>
      <c r="D130" s="413"/>
      <c r="E130" s="413"/>
      <c r="F130" s="95"/>
      <c r="G130" s="319">
        <f t="shared" si="17"/>
        <v>0</v>
      </c>
      <c r="H130" s="427">
        <f t="shared" si="18"/>
        <v>0</v>
      </c>
      <c r="I130" s="759">
        <f t="shared" si="15"/>
        <v>0</v>
      </c>
      <c r="J130" s="427">
        <v>0</v>
      </c>
      <c r="K130" s="427">
        <f t="shared" si="16"/>
        <v>0</v>
      </c>
      <c r="L130" s="427">
        <f t="shared" si="19"/>
        <v>0</v>
      </c>
      <c r="M130" s="680">
        <v>0</v>
      </c>
    </row>
    <row r="131" spans="1:14" s="6" customFormat="1" ht="15.75">
      <c r="A131" s="268">
        <v>40</v>
      </c>
      <c r="B131" s="176" t="s">
        <v>92</v>
      </c>
      <c r="C131" s="535">
        <v>1841.4</v>
      </c>
      <c r="D131" s="413"/>
      <c r="E131" s="413"/>
      <c r="F131" s="95">
        <f>C131+D131+E131</f>
        <v>1841.4</v>
      </c>
      <c r="G131" s="319">
        <f t="shared" si="17"/>
        <v>4.8100261696351572E-2</v>
      </c>
      <c r="H131" s="427">
        <f t="shared" si="18"/>
        <v>109.14574682304224</v>
      </c>
      <c r="I131" s="759">
        <f t="shared" si="15"/>
        <v>40.132891106832638</v>
      </c>
      <c r="J131" s="427">
        <v>42.509881621547137</v>
      </c>
      <c r="K131" s="427">
        <f t="shared" si="16"/>
        <v>38.554764762710597</v>
      </c>
      <c r="L131" s="427">
        <f t="shared" si="19"/>
        <v>46.998258245744225</v>
      </c>
      <c r="M131" s="680">
        <f>(K131+J131+I131+H131)/F131</f>
        <v>0.12509138933101588</v>
      </c>
      <c r="N131" s="6" t="s">
        <v>1028</v>
      </c>
    </row>
    <row r="132" spans="1:14" s="6" customFormat="1" ht="15.75">
      <c r="A132" s="268">
        <v>41</v>
      </c>
      <c r="B132" s="176" t="s">
        <v>93</v>
      </c>
      <c r="C132" s="535"/>
      <c r="D132" s="413"/>
      <c r="E132" s="413"/>
      <c r="F132" s="95"/>
      <c r="G132" s="319">
        <f t="shared" si="17"/>
        <v>0</v>
      </c>
      <c r="H132" s="427">
        <f t="shared" si="18"/>
        <v>0</v>
      </c>
      <c r="I132" s="759">
        <f t="shared" si="15"/>
        <v>0</v>
      </c>
      <c r="J132" s="427">
        <v>0</v>
      </c>
      <c r="K132" s="427">
        <f t="shared" si="16"/>
        <v>0</v>
      </c>
      <c r="L132" s="427">
        <f t="shared" si="19"/>
        <v>0</v>
      </c>
      <c r="M132" s="680">
        <v>0</v>
      </c>
    </row>
    <row r="133" spans="1:14" s="6" customFormat="1" ht="15.75">
      <c r="A133" s="268">
        <v>42</v>
      </c>
      <c r="B133" s="176" t="s">
        <v>94</v>
      </c>
      <c r="C133" s="535"/>
      <c r="D133" s="413"/>
      <c r="E133" s="413"/>
      <c r="F133" s="95"/>
      <c r="G133" s="319">
        <f t="shared" si="17"/>
        <v>0</v>
      </c>
      <c r="H133" s="427">
        <f t="shared" si="18"/>
        <v>0</v>
      </c>
      <c r="I133" s="759">
        <f t="shared" si="15"/>
        <v>0</v>
      </c>
      <c r="J133" s="427">
        <v>0</v>
      </c>
      <c r="K133" s="427">
        <f t="shared" si="16"/>
        <v>0</v>
      </c>
      <c r="L133" s="427">
        <f t="shared" si="19"/>
        <v>0</v>
      </c>
      <c r="M133" s="680">
        <v>0</v>
      </c>
    </row>
    <row r="134" spans="1:14" s="6" customFormat="1" ht="15.75">
      <c r="A134" s="275">
        <v>43</v>
      </c>
      <c r="B134" s="176" t="s">
        <v>95</v>
      </c>
      <c r="C134" s="535"/>
      <c r="D134" s="413"/>
      <c r="E134" s="413"/>
      <c r="F134" s="95"/>
      <c r="G134" s="319">
        <f t="shared" si="17"/>
        <v>0</v>
      </c>
      <c r="H134" s="427">
        <f t="shared" si="18"/>
        <v>0</v>
      </c>
      <c r="I134" s="759">
        <f t="shared" si="15"/>
        <v>0</v>
      </c>
      <c r="J134" s="427">
        <v>0</v>
      </c>
      <c r="K134" s="427">
        <f t="shared" si="16"/>
        <v>0</v>
      </c>
      <c r="L134" s="427">
        <f t="shared" si="19"/>
        <v>0</v>
      </c>
      <c r="M134" s="680">
        <v>0</v>
      </c>
    </row>
    <row r="135" spans="1:14" s="6" customFormat="1" ht="15.75">
      <c r="A135" s="268">
        <v>44</v>
      </c>
      <c r="B135" s="176" t="s">
        <v>96</v>
      </c>
      <c r="C135" s="535">
        <v>1687.6</v>
      </c>
      <c r="D135" s="413">
        <v>124.8</v>
      </c>
      <c r="E135" s="413"/>
      <c r="F135" s="95">
        <f>C135+D135+E135</f>
        <v>1812.3999999999999</v>
      </c>
      <c r="G135" s="319">
        <f t="shared" si="17"/>
        <v>4.7342736123855533E-2</v>
      </c>
      <c r="H135" s="427">
        <f t="shared" si="18"/>
        <v>107.42682282072431</v>
      </c>
      <c r="I135" s="759">
        <f t="shared" si="15"/>
        <v>39.500842751180329</v>
      </c>
      <c r="J135" s="427">
        <v>41.840398311552093</v>
      </c>
      <c r="K135" s="427">
        <f t="shared" ref="K135:K198" si="20">G135*801.55</f>
        <v>37.947570140076401</v>
      </c>
      <c r="L135" s="427">
        <f t="shared" si="19"/>
        <v>46.258088000753133</v>
      </c>
      <c r="M135" s="680">
        <f>(K135+J135+I135+H135)/F135</f>
        <v>0.12509138933101588</v>
      </c>
      <c r="N135" s="6" t="s">
        <v>1028</v>
      </c>
    </row>
    <row r="136" spans="1:14" s="6" customFormat="1" ht="15.75">
      <c r="A136" s="268">
        <v>45</v>
      </c>
      <c r="B136" s="176" t="s">
        <v>97</v>
      </c>
      <c r="C136" s="535"/>
      <c r="D136" s="413"/>
      <c r="E136" s="413"/>
      <c r="F136" s="95"/>
      <c r="G136" s="319">
        <f t="shared" si="17"/>
        <v>0</v>
      </c>
      <c r="H136" s="427">
        <f t="shared" si="18"/>
        <v>0</v>
      </c>
      <c r="I136" s="759">
        <f t="shared" si="15"/>
        <v>0</v>
      </c>
      <c r="J136" s="427">
        <v>0</v>
      </c>
      <c r="K136" s="427">
        <f t="shared" si="20"/>
        <v>0</v>
      </c>
      <c r="L136" s="427">
        <f t="shared" si="19"/>
        <v>0</v>
      </c>
      <c r="M136" s="680">
        <v>0</v>
      </c>
    </row>
    <row r="137" spans="1:14" s="6" customFormat="1" ht="15.75">
      <c r="A137" s="268">
        <v>46</v>
      </c>
      <c r="B137" s="176" t="s">
        <v>98</v>
      </c>
      <c r="C137" s="535"/>
      <c r="D137" s="413"/>
      <c r="E137" s="413"/>
      <c r="F137" s="95"/>
      <c r="G137" s="319">
        <f t="shared" si="17"/>
        <v>0</v>
      </c>
      <c r="H137" s="427">
        <f t="shared" si="18"/>
        <v>0</v>
      </c>
      <c r="I137" s="759">
        <f t="shared" si="15"/>
        <v>0</v>
      </c>
      <c r="J137" s="427">
        <v>0</v>
      </c>
      <c r="K137" s="427">
        <f t="shared" si="20"/>
        <v>0</v>
      </c>
      <c r="L137" s="427">
        <f t="shared" si="19"/>
        <v>0</v>
      </c>
      <c r="M137" s="680">
        <v>0</v>
      </c>
    </row>
    <row r="138" spans="1:14" s="6" customFormat="1" ht="15.75">
      <c r="A138" s="268">
        <v>47</v>
      </c>
      <c r="B138" s="176" t="s">
        <v>99</v>
      </c>
      <c r="C138" s="535"/>
      <c r="D138" s="413"/>
      <c r="E138" s="413"/>
      <c r="F138" s="95"/>
      <c r="G138" s="319">
        <f t="shared" si="17"/>
        <v>0</v>
      </c>
      <c r="H138" s="427">
        <f t="shared" si="18"/>
        <v>0</v>
      </c>
      <c r="I138" s="759">
        <f t="shared" si="15"/>
        <v>0</v>
      </c>
      <c r="J138" s="427">
        <v>0</v>
      </c>
      <c r="K138" s="427">
        <f t="shared" si="20"/>
        <v>0</v>
      </c>
      <c r="L138" s="427">
        <f t="shared" si="19"/>
        <v>0</v>
      </c>
      <c r="M138" s="680">
        <v>0</v>
      </c>
    </row>
    <row r="139" spans="1:14" s="6" customFormat="1" ht="15.75">
      <c r="A139" s="268">
        <v>48</v>
      </c>
      <c r="B139" s="176" t="s">
        <v>100</v>
      </c>
      <c r="C139" s="535">
        <v>2458.6999999999998</v>
      </c>
      <c r="D139" s="413"/>
      <c r="E139" s="413">
        <v>90.3</v>
      </c>
      <c r="F139" s="95">
        <f>C139+D139+E139</f>
        <v>2549</v>
      </c>
      <c r="G139" s="319">
        <f t="shared" si="17"/>
        <v>6.6583885665254777E-2</v>
      </c>
      <c r="H139" s="427">
        <f t="shared" si="18"/>
        <v>151.08749247959958</v>
      </c>
      <c r="I139" s="759">
        <f t="shared" si="15"/>
        <v>55.554870984748767</v>
      </c>
      <c r="J139" s="427">
        <v>58.845274385426116</v>
      </c>
      <c r="K139" s="427">
        <f t="shared" si="20"/>
        <v>53.370313554984961</v>
      </c>
      <c r="L139" s="427">
        <f t="shared" si="19"/>
        <v>65.058412223526673</v>
      </c>
      <c r="M139" s="680">
        <f>(K139+J139+I139+H139)/F139</f>
        <v>0.12509138933101585</v>
      </c>
      <c r="N139" s="6" t="s">
        <v>1028</v>
      </c>
    </row>
    <row r="140" spans="1:14" s="6" customFormat="1" ht="15.75">
      <c r="A140" s="268">
        <v>49</v>
      </c>
      <c r="B140" s="176" t="s">
        <v>101</v>
      </c>
      <c r="C140" s="535">
        <v>2593.29</v>
      </c>
      <c r="D140" s="413"/>
      <c r="E140" s="413"/>
      <c r="F140" s="95">
        <f>C140+D140+E140</f>
        <v>2593.29</v>
      </c>
      <c r="G140" s="319">
        <f t="shared" si="17"/>
        <v>6.7740810065456486E-2</v>
      </c>
      <c r="H140" s="427">
        <f t="shared" si="18"/>
        <v>153.71270434382927</v>
      </c>
      <c r="I140" s="759">
        <f t="shared" si="15"/>
        <v>56.520161387226025</v>
      </c>
      <c r="J140" s="427">
        <v>59.867736999208198</v>
      </c>
      <c r="K140" s="427">
        <f t="shared" si="20"/>
        <v>54.297646307966644</v>
      </c>
      <c r="L140" s="427">
        <f t="shared" si="19"/>
        <v>66.188830849411346</v>
      </c>
      <c r="M140" s="680">
        <f>(K140+J140+I140+H140)/F140</f>
        <v>0.12509138933101585</v>
      </c>
      <c r="N140" s="6" t="s">
        <v>1028</v>
      </c>
    </row>
    <row r="141" spans="1:14" s="6" customFormat="1" ht="15.75">
      <c r="A141" s="275">
        <v>50</v>
      </c>
      <c r="B141" s="274" t="s">
        <v>102</v>
      </c>
      <c r="C141" s="535"/>
      <c r="D141" s="413"/>
      <c r="E141" s="413"/>
      <c r="F141" s="95"/>
      <c r="G141" s="319">
        <f t="shared" si="17"/>
        <v>0</v>
      </c>
      <c r="H141" s="427">
        <f t="shared" si="18"/>
        <v>0</v>
      </c>
      <c r="I141" s="759">
        <f t="shared" si="15"/>
        <v>0</v>
      </c>
      <c r="J141" s="427">
        <v>0</v>
      </c>
      <c r="K141" s="427">
        <f t="shared" si="20"/>
        <v>0</v>
      </c>
      <c r="L141" s="427">
        <f t="shared" si="19"/>
        <v>0</v>
      </c>
      <c r="M141" s="680">
        <v>0</v>
      </c>
    </row>
    <row r="142" spans="1:14" s="6" customFormat="1" ht="15.75">
      <c r="A142" s="268">
        <v>51</v>
      </c>
      <c r="B142" s="176" t="s">
        <v>103</v>
      </c>
      <c r="C142" s="535">
        <v>1699.75</v>
      </c>
      <c r="D142" s="413"/>
      <c r="E142" s="413"/>
      <c r="F142" s="95">
        <f>C142+D142+E142</f>
        <v>1699.75</v>
      </c>
      <c r="G142" s="319">
        <f t="shared" si="17"/>
        <v>4.440014109828043E-2</v>
      </c>
      <c r="H142" s="427">
        <f t="shared" si="18"/>
        <v>100.74969217034108</v>
      </c>
      <c r="I142" s="759">
        <f t="shared" si="15"/>
        <v>37.045661811034414</v>
      </c>
      <c r="J142" s="427">
        <v>39.239801936692054</v>
      </c>
      <c r="K142" s="427">
        <f t="shared" si="20"/>
        <v>35.588933097326674</v>
      </c>
      <c r="L142" s="427">
        <f t="shared" si="19"/>
        <v>43.382909445641218</v>
      </c>
      <c r="M142" s="680">
        <f>(K142+J142+I142+H142)/F142</f>
        <v>0.12509138933101588</v>
      </c>
      <c r="N142" s="6" t="s">
        <v>1028</v>
      </c>
    </row>
    <row r="143" spans="1:14" s="6" customFormat="1" ht="15.75">
      <c r="A143" s="268">
        <v>52</v>
      </c>
      <c r="B143" s="176" t="s">
        <v>104</v>
      </c>
      <c r="C143" s="535"/>
      <c r="D143" s="413"/>
      <c r="E143" s="413"/>
      <c r="F143" s="95"/>
      <c r="G143" s="319">
        <f t="shared" si="17"/>
        <v>0</v>
      </c>
      <c r="H143" s="427">
        <f t="shared" si="18"/>
        <v>0</v>
      </c>
      <c r="I143" s="759">
        <f t="shared" si="15"/>
        <v>0</v>
      </c>
      <c r="J143" s="427">
        <v>0</v>
      </c>
      <c r="K143" s="427">
        <f t="shared" si="20"/>
        <v>0</v>
      </c>
      <c r="L143" s="427">
        <f t="shared" si="19"/>
        <v>0</v>
      </c>
      <c r="M143" s="680">
        <v>0</v>
      </c>
    </row>
    <row r="144" spans="1:14" s="6" customFormat="1" ht="15.75">
      <c r="A144" s="268">
        <v>53</v>
      </c>
      <c r="B144" s="176" t="s">
        <v>105</v>
      </c>
      <c r="C144" s="535"/>
      <c r="D144" s="413"/>
      <c r="E144" s="413"/>
      <c r="F144" s="95"/>
      <c r="G144" s="319">
        <f t="shared" si="17"/>
        <v>0</v>
      </c>
      <c r="H144" s="427">
        <f t="shared" si="18"/>
        <v>0</v>
      </c>
      <c r="I144" s="759">
        <f t="shared" si="15"/>
        <v>0</v>
      </c>
      <c r="J144" s="427">
        <v>0</v>
      </c>
      <c r="K144" s="427">
        <f t="shared" si="20"/>
        <v>0</v>
      </c>
      <c r="L144" s="427">
        <f t="shared" si="19"/>
        <v>0</v>
      </c>
      <c r="M144" s="680">
        <v>0</v>
      </c>
    </row>
    <row r="145" spans="1:14" s="6" customFormat="1" ht="15.75">
      <c r="A145" s="268">
        <v>54</v>
      </c>
      <c r="B145" s="176" t="s">
        <v>106</v>
      </c>
      <c r="C145" s="535">
        <v>8219.0300000000007</v>
      </c>
      <c r="D145" s="413">
        <v>69.3</v>
      </c>
      <c r="E145" s="413">
        <v>122.5</v>
      </c>
      <c r="F145" s="95">
        <f>C145+D145+E145</f>
        <v>8410.83</v>
      </c>
      <c r="G145" s="319">
        <f t="shared" si="17"/>
        <v>0.21970409692816589</v>
      </c>
      <c r="H145" s="427">
        <f t="shared" si="18"/>
        <v>498.53715746260912</v>
      </c>
      <c r="I145" s="759">
        <f t="shared" si="15"/>
        <v>183.3121127990014</v>
      </c>
      <c r="J145" s="427">
        <v>194.16932097260633</v>
      </c>
      <c r="K145" s="427">
        <f t="shared" si="20"/>
        <v>176.10381889277136</v>
      </c>
      <c r="L145" s="427">
        <f t="shared" si="19"/>
        <v>214.6705552302883</v>
      </c>
      <c r="M145" s="680">
        <f>(K145+J145+I145+H145)/F145</f>
        <v>0.12509138933101585</v>
      </c>
      <c r="N145" s="6" t="s">
        <v>1028</v>
      </c>
    </row>
    <row r="146" spans="1:14" s="6" customFormat="1" ht="15.75">
      <c r="A146" s="268">
        <v>55</v>
      </c>
      <c r="B146" s="176" t="s">
        <v>1347</v>
      </c>
      <c r="C146" s="535">
        <v>953.56</v>
      </c>
      <c r="D146" s="413"/>
      <c r="E146" s="413"/>
      <c r="F146" s="95"/>
      <c r="G146" s="319">
        <f t="shared" si="17"/>
        <v>0</v>
      </c>
      <c r="H146" s="427">
        <f t="shared" si="18"/>
        <v>0</v>
      </c>
      <c r="I146" s="759">
        <f t="shared" ref="I146:I209" si="21">H146*0.3677</f>
        <v>0</v>
      </c>
      <c r="J146" s="427">
        <v>22.013534657892084</v>
      </c>
      <c r="K146" s="427">
        <f t="shared" si="20"/>
        <v>0</v>
      </c>
      <c r="L146" s="427">
        <f t="shared" si="19"/>
        <v>0</v>
      </c>
      <c r="M146" s="680">
        <v>0</v>
      </c>
    </row>
    <row r="147" spans="1:14" s="6" customFormat="1" ht="15.75">
      <c r="A147" s="268">
        <v>56</v>
      </c>
      <c r="B147" s="176" t="s">
        <v>1348</v>
      </c>
      <c r="C147" s="535">
        <v>1663</v>
      </c>
      <c r="D147" s="413"/>
      <c r="E147" s="413">
        <v>57.1</v>
      </c>
      <c r="F147" s="95">
        <f>C147+D147+E147</f>
        <v>1720.1</v>
      </c>
      <c r="G147" s="319">
        <f t="shared" si="17"/>
        <v>4.4931715077600916E-2</v>
      </c>
      <c r="H147" s="427">
        <f t="shared" si="18"/>
        <v>101.95590263403658</v>
      </c>
      <c r="I147" s="759">
        <f t="shared" si="21"/>
        <v>37.489185398535248</v>
      </c>
      <c r="J147" s="427">
        <v>39.709594535257537</v>
      </c>
      <c r="K147" s="427">
        <f t="shared" si="20"/>
        <v>36.01501622045101</v>
      </c>
      <c r="L147" s="427">
        <f t="shared" si="19"/>
        <v>43.902304772729785</v>
      </c>
      <c r="M147" s="680">
        <f>(K147+J147+I147+H147)/F147</f>
        <v>0.12509138933101585</v>
      </c>
      <c r="N147" s="6" t="s">
        <v>1028</v>
      </c>
    </row>
    <row r="148" spans="1:14" s="6" customFormat="1" ht="15.75">
      <c r="A148" s="275">
        <v>57</v>
      </c>
      <c r="B148" s="176" t="s">
        <v>1350</v>
      </c>
      <c r="C148" s="535">
        <v>1033.02</v>
      </c>
      <c r="D148" s="413"/>
      <c r="E148" s="413"/>
      <c r="F148" s="95">
        <f>C148+D148+E148</f>
        <v>1033.02</v>
      </c>
      <c r="G148" s="319">
        <f t="shared" si="17"/>
        <v>2.6984105755167319E-2</v>
      </c>
      <c r="H148" s="427">
        <f t="shared" si="18"/>
        <v>61.230443892222823</v>
      </c>
      <c r="I148" s="759">
        <f t="shared" si="21"/>
        <v>22.514434219170333</v>
      </c>
      <c r="J148" s="427">
        <v>23.847918927278496</v>
      </c>
      <c r="K148" s="427">
        <f t="shared" si="20"/>
        <v>21.629109968054362</v>
      </c>
      <c r="L148" s="427">
        <f t="shared" si="19"/>
        <v>26.365885051058267</v>
      </c>
      <c r="M148" s="680">
        <f>(K148+J148+I148+H148)/F148</f>
        <v>0.12509138933101588</v>
      </c>
      <c r="N148" s="6" t="s">
        <v>1028</v>
      </c>
    </row>
    <row r="149" spans="1:14" s="6" customFormat="1" ht="15.75">
      <c r="A149" s="268">
        <v>58</v>
      </c>
      <c r="B149" s="176" t="s">
        <v>1351</v>
      </c>
      <c r="C149" s="535">
        <v>220.38</v>
      </c>
      <c r="D149" s="413"/>
      <c r="E149" s="413"/>
      <c r="F149" s="95"/>
      <c r="G149" s="319">
        <f t="shared" si="17"/>
        <v>0</v>
      </c>
      <c r="H149" s="427">
        <f t="shared" si="18"/>
        <v>0</v>
      </c>
      <c r="I149" s="759">
        <f t="shared" si="21"/>
        <v>0</v>
      </c>
      <c r="J149" s="427">
        <v>5.0876114433347226</v>
      </c>
      <c r="K149" s="427">
        <f t="shared" si="20"/>
        <v>0</v>
      </c>
      <c r="L149" s="427">
        <f t="shared" si="19"/>
        <v>0</v>
      </c>
      <c r="M149" s="680">
        <v>0</v>
      </c>
    </row>
    <row r="150" spans="1:14" s="6" customFormat="1" ht="15.75">
      <c r="A150" s="268">
        <v>59</v>
      </c>
      <c r="B150" s="176" t="s">
        <v>107</v>
      </c>
      <c r="C150" s="535">
        <v>1928.15</v>
      </c>
      <c r="D150" s="413">
        <v>45.4</v>
      </c>
      <c r="E150" s="413"/>
      <c r="F150" s="95">
        <f t="shared" ref="F150:F157" si="22">C150+D150+E150</f>
        <v>1973.5500000000002</v>
      </c>
      <c r="G150" s="319">
        <f t="shared" si="17"/>
        <v>5.15522273655016E-2</v>
      </c>
      <c r="H150" s="427">
        <f t="shared" si="18"/>
        <v>116.97870568188065</v>
      </c>
      <c r="I150" s="759">
        <f t="shared" si="21"/>
        <v>43.013070079227518</v>
      </c>
      <c r="J150" s="427">
        <v>45.560647808300402</v>
      </c>
      <c r="K150" s="427">
        <f t="shared" si="20"/>
        <v>41.321687844817802</v>
      </c>
      <c r="L150" s="427">
        <f t="shared" si="19"/>
        <v>50.371137482832907</v>
      </c>
      <c r="M150" s="680">
        <f t="shared" ref="M150:M157" si="23">(K150+J150+I150+H150)/F150</f>
        <v>0.12509138933101585</v>
      </c>
      <c r="N150" s="6" t="s">
        <v>1028</v>
      </c>
    </row>
    <row r="151" spans="1:14" s="6" customFormat="1" ht="15.75">
      <c r="A151" s="268">
        <v>60</v>
      </c>
      <c r="B151" s="176" t="s">
        <v>108</v>
      </c>
      <c r="C151" s="535">
        <v>1135.5999999999999</v>
      </c>
      <c r="D151" s="413">
        <v>154.9</v>
      </c>
      <c r="E151" s="413"/>
      <c r="F151" s="95">
        <f t="shared" si="22"/>
        <v>1290.5</v>
      </c>
      <c r="G151" s="319">
        <f t="shared" si="17"/>
        <v>3.370988797607348E-2</v>
      </c>
      <c r="H151" s="427">
        <f t="shared" si="18"/>
        <v>76.492118103147618</v>
      </c>
      <c r="I151" s="759">
        <f t="shared" si="21"/>
        <v>28.12615182652738</v>
      </c>
      <c r="J151" s="427">
        <v>29.792007294779289</v>
      </c>
      <c r="K151" s="427">
        <f t="shared" si="20"/>
        <v>27.020160707221695</v>
      </c>
      <c r="L151" s="427">
        <f t="shared" si="19"/>
        <v>32.937575902103248</v>
      </c>
      <c r="M151" s="680">
        <f t="shared" si="23"/>
        <v>0.12509138933101588</v>
      </c>
      <c r="N151" s="6" t="s">
        <v>1028</v>
      </c>
    </row>
    <row r="152" spans="1:14" s="6" customFormat="1" ht="15.75">
      <c r="A152" s="268">
        <v>61</v>
      </c>
      <c r="B152" s="176" t="s">
        <v>109</v>
      </c>
      <c r="C152" s="535">
        <v>194.37</v>
      </c>
      <c r="D152" s="413">
        <v>37.4</v>
      </c>
      <c r="E152" s="413"/>
      <c r="F152" s="95">
        <f t="shared" si="22"/>
        <v>231.77</v>
      </c>
      <c r="G152" s="319">
        <f t="shared" si="17"/>
        <v>6.0541966185312284E-3</v>
      </c>
      <c r="H152" s="427">
        <f t="shared" si="18"/>
        <v>13.737759173007767</v>
      </c>
      <c r="I152" s="759">
        <f t="shared" si="21"/>
        <v>5.0513740479149565</v>
      </c>
      <c r="J152" s="427">
        <v>5.3505567847431195</v>
      </c>
      <c r="K152" s="427">
        <f t="shared" si="20"/>
        <v>4.8527412995837063</v>
      </c>
      <c r="L152" s="427">
        <f t="shared" si="19"/>
        <v>5.9154916441925387</v>
      </c>
      <c r="M152" s="680">
        <f t="shared" si="23"/>
        <v>0.12509138933101585</v>
      </c>
      <c r="N152" s="6" t="s">
        <v>1028</v>
      </c>
    </row>
    <row r="153" spans="1:14" s="6" customFormat="1" ht="15.75">
      <c r="A153" s="268">
        <v>62</v>
      </c>
      <c r="B153" s="176" t="s">
        <v>110</v>
      </c>
      <c r="C153" s="535">
        <v>1422.83</v>
      </c>
      <c r="D153" s="413"/>
      <c r="E153" s="413"/>
      <c r="F153" s="95">
        <f t="shared" si="22"/>
        <v>1422.83</v>
      </c>
      <c r="G153" s="319">
        <f t="shared" si="17"/>
        <v>3.7166555528087272E-2</v>
      </c>
      <c r="H153" s="427">
        <f t="shared" si="18"/>
        <v>84.335746145448681</v>
      </c>
      <c r="I153" s="759">
        <f t="shared" si="21"/>
        <v>31.010253857681484</v>
      </c>
      <c r="J153" s="427">
        <v>32.846928895180788</v>
      </c>
      <c r="K153" s="427">
        <f t="shared" si="20"/>
        <v>29.790852583538353</v>
      </c>
      <c r="L153" s="427">
        <f t="shared" si="19"/>
        <v>36.315049299333253</v>
      </c>
      <c r="M153" s="680">
        <f t="shared" si="23"/>
        <v>0.12509138933101585</v>
      </c>
      <c r="N153" s="6" t="s">
        <v>1028</v>
      </c>
    </row>
    <row r="154" spans="1:14" s="6" customFormat="1" ht="15.75">
      <c r="A154" s="268">
        <v>63</v>
      </c>
      <c r="B154" s="176" t="s">
        <v>111</v>
      </c>
      <c r="C154" s="535">
        <v>377.6</v>
      </c>
      <c r="D154" s="413"/>
      <c r="E154" s="413"/>
      <c r="F154" s="95">
        <f t="shared" si="22"/>
        <v>377.6</v>
      </c>
      <c r="G154" s="319">
        <f t="shared" si="17"/>
        <v>9.8635053853276602E-3</v>
      </c>
      <c r="H154" s="427">
        <f t="shared" si="18"/>
        <v>22.381575975008555</v>
      </c>
      <c r="I154" s="759">
        <f t="shared" si="21"/>
        <v>8.229705486010646</v>
      </c>
      <c r="J154" s="427">
        <v>8.7171344087630072</v>
      </c>
      <c r="K154" s="427">
        <f t="shared" si="20"/>
        <v>7.9060927416093856</v>
      </c>
      <c r="L154" s="427">
        <f t="shared" si="19"/>
        <v>9.6375270520218415</v>
      </c>
      <c r="M154" s="680">
        <f t="shared" si="23"/>
        <v>0.12509138933101585</v>
      </c>
      <c r="N154" s="6" t="s">
        <v>1028</v>
      </c>
    </row>
    <row r="155" spans="1:14" s="6" customFormat="1" ht="15.75">
      <c r="A155" s="275">
        <v>64</v>
      </c>
      <c r="B155" s="176" t="s">
        <v>112</v>
      </c>
      <c r="C155" s="535">
        <v>1527.61</v>
      </c>
      <c r="D155" s="413">
        <v>324.89999999999998</v>
      </c>
      <c r="E155" s="413"/>
      <c r="F155" s="95">
        <f t="shared" si="22"/>
        <v>1852.5099999999998</v>
      </c>
      <c r="G155" s="319">
        <f t="shared" si="17"/>
        <v>4.8390472355331941E-2</v>
      </c>
      <c r="H155" s="427">
        <f t="shared" si="18"/>
        <v>109.80427253565438</v>
      </c>
      <c r="I155" s="759">
        <f t="shared" si="21"/>
        <v>40.375031011360115</v>
      </c>
      <c r="J155" s="427">
        <v>42.766362986169369</v>
      </c>
      <c r="K155" s="427">
        <f t="shared" si="20"/>
        <v>38.787383116416315</v>
      </c>
      <c r="L155" s="427">
        <f t="shared" si="19"/>
        <v>47.281820018911489</v>
      </c>
      <c r="M155" s="680">
        <f t="shared" si="23"/>
        <v>0.12509138933101585</v>
      </c>
      <c r="N155" s="6" t="s">
        <v>1028</v>
      </c>
    </row>
    <row r="156" spans="1:14" s="6" customFormat="1" ht="15.75">
      <c r="A156" s="268">
        <v>65</v>
      </c>
      <c r="B156" s="176" t="s">
        <v>113</v>
      </c>
      <c r="C156" s="535">
        <v>2010.19</v>
      </c>
      <c r="D156" s="413"/>
      <c r="E156" s="413"/>
      <c r="F156" s="95">
        <f t="shared" si="22"/>
        <v>2010.19</v>
      </c>
      <c r="G156" s="319">
        <f t="shared" ref="G156:G219" si="24">2.5/95706.34*F156</f>
        <v>5.2509321743993136E-2</v>
      </c>
      <c r="H156" s="427">
        <f t="shared" si="18"/>
        <v>119.15047724894715</v>
      </c>
      <c r="I156" s="759">
        <f t="shared" si="21"/>
        <v>43.81163048443787</v>
      </c>
      <c r="J156" s="427">
        <v>46.406505342032062</v>
      </c>
      <c r="K156" s="427">
        <f t="shared" si="20"/>
        <v>42.088846843897699</v>
      </c>
      <c r="L156" s="427">
        <f t="shared" si="19"/>
        <v>51.306304302711297</v>
      </c>
      <c r="M156" s="680">
        <f t="shared" si="23"/>
        <v>0.12509138933101585</v>
      </c>
      <c r="N156" s="6" t="s">
        <v>1028</v>
      </c>
    </row>
    <row r="157" spans="1:14" s="6" customFormat="1" ht="15.75">
      <c r="A157" s="268">
        <v>66</v>
      </c>
      <c r="B157" s="176" t="s">
        <v>114</v>
      </c>
      <c r="C157" s="535">
        <v>1464.32</v>
      </c>
      <c r="D157" s="413"/>
      <c r="E157" s="413"/>
      <c r="F157" s="95">
        <f t="shared" si="22"/>
        <v>1464.32</v>
      </c>
      <c r="G157" s="319">
        <f t="shared" si="24"/>
        <v>3.8250339528185906E-2</v>
      </c>
      <c r="H157" s="427">
        <f t="shared" ref="H157:H220" si="25">G157*2269.13</f>
        <v>86.794992933592482</v>
      </c>
      <c r="I157" s="759">
        <f t="shared" si="21"/>
        <v>31.914518901681959</v>
      </c>
      <c r="J157" s="427">
        <v>33.804751741101278</v>
      </c>
      <c r="K157" s="427">
        <f t="shared" si="20"/>
        <v>30.65955964881741</v>
      </c>
      <c r="L157" s="427">
        <f t="shared" ref="L157:L220" si="26">K157*1.219</f>
        <v>37.374003211908423</v>
      </c>
      <c r="M157" s="680">
        <f t="shared" si="23"/>
        <v>0.12509138933101585</v>
      </c>
      <c r="N157" s="6" t="s">
        <v>1028</v>
      </c>
    </row>
    <row r="158" spans="1:14" s="6" customFormat="1" ht="15.75">
      <c r="A158" s="268">
        <v>67</v>
      </c>
      <c r="B158" s="176" t="s">
        <v>115</v>
      </c>
      <c r="C158" s="535"/>
      <c r="D158" s="413"/>
      <c r="E158" s="413"/>
      <c r="F158" s="95"/>
      <c r="G158" s="319">
        <f t="shared" si="24"/>
        <v>0</v>
      </c>
      <c r="H158" s="427">
        <f t="shared" si="25"/>
        <v>0</v>
      </c>
      <c r="I158" s="759">
        <f t="shared" si="21"/>
        <v>0</v>
      </c>
      <c r="J158" s="427">
        <v>0</v>
      </c>
      <c r="K158" s="427">
        <f t="shared" si="20"/>
        <v>0</v>
      </c>
      <c r="L158" s="427">
        <f t="shared" si="26"/>
        <v>0</v>
      </c>
      <c r="M158" s="680">
        <v>0</v>
      </c>
    </row>
    <row r="159" spans="1:14" s="6" customFormat="1" ht="15.75">
      <c r="A159" s="268">
        <v>68</v>
      </c>
      <c r="B159" s="176" t="s">
        <v>116</v>
      </c>
      <c r="C159" s="535">
        <v>2553.5700000000002</v>
      </c>
      <c r="D159" s="413"/>
      <c r="E159" s="413"/>
      <c r="F159" s="95">
        <f>C159+D159+E159</f>
        <v>2553.5700000000002</v>
      </c>
      <c r="G159" s="319">
        <f t="shared" si="24"/>
        <v>6.6703261246851567E-2</v>
      </c>
      <c r="H159" s="427">
        <f t="shared" si="25"/>
        <v>151.35837119306831</v>
      </c>
      <c r="I159" s="759">
        <f t="shared" si="21"/>
        <v>55.654473087691223</v>
      </c>
      <c r="J159" s="427">
        <v>58.95077572082878</v>
      </c>
      <c r="K159" s="427">
        <f t="shared" si="20"/>
        <v>53.465999052413871</v>
      </c>
      <c r="L159" s="427">
        <f t="shared" si="26"/>
        <v>65.175052844892519</v>
      </c>
      <c r="M159" s="680">
        <f>(K159+J159+I159+H159)/F159</f>
        <v>0.12509138933101585</v>
      </c>
      <c r="N159" s="6" t="s">
        <v>1028</v>
      </c>
    </row>
    <row r="160" spans="1:14" s="6" customFormat="1" ht="15.75">
      <c r="A160" s="268">
        <v>69</v>
      </c>
      <c r="B160" s="176" t="s">
        <v>117</v>
      </c>
      <c r="C160" s="535"/>
      <c r="D160" s="413"/>
      <c r="E160" s="413"/>
      <c r="F160" s="95"/>
      <c r="G160" s="319">
        <f t="shared" si="24"/>
        <v>0</v>
      </c>
      <c r="H160" s="427">
        <f t="shared" si="25"/>
        <v>0</v>
      </c>
      <c r="I160" s="759">
        <f t="shared" si="21"/>
        <v>0</v>
      </c>
      <c r="J160" s="427">
        <v>0</v>
      </c>
      <c r="K160" s="427">
        <f t="shared" si="20"/>
        <v>0</v>
      </c>
      <c r="L160" s="427">
        <f t="shared" si="26"/>
        <v>0</v>
      </c>
      <c r="M160" s="680">
        <v>0</v>
      </c>
    </row>
    <row r="161" spans="1:14" s="6" customFormat="1" ht="15.75">
      <c r="A161" s="268">
        <v>70</v>
      </c>
      <c r="B161" s="176" t="s">
        <v>118</v>
      </c>
      <c r="C161" s="535"/>
      <c r="D161" s="413"/>
      <c r="E161" s="413"/>
      <c r="F161" s="95"/>
      <c r="G161" s="319">
        <f t="shared" si="24"/>
        <v>0</v>
      </c>
      <c r="H161" s="427">
        <f t="shared" si="25"/>
        <v>0</v>
      </c>
      <c r="I161" s="759">
        <f t="shared" si="21"/>
        <v>0</v>
      </c>
      <c r="J161" s="427">
        <v>0</v>
      </c>
      <c r="K161" s="427">
        <f t="shared" si="20"/>
        <v>0</v>
      </c>
      <c r="L161" s="427">
        <f t="shared" si="26"/>
        <v>0</v>
      </c>
      <c r="M161" s="680">
        <v>0</v>
      </c>
    </row>
    <row r="162" spans="1:14" s="6" customFormat="1" ht="15.75">
      <c r="A162" s="275">
        <v>71</v>
      </c>
      <c r="B162" s="176" t="s">
        <v>119</v>
      </c>
      <c r="C162" s="535"/>
      <c r="D162" s="413"/>
      <c r="E162" s="413"/>
      <c r="F162" s="95"/>
      <c r="G162" s="319">
        <f t="shared" si="24"/>
        <v>0</v>
      </c>
      <c r="H162" s="427">
        <f t="shared" si="25"/>
        <v>0</v>
      </c>
      <c r="I162" s="759">
        <f t="shared" si="21"/>
        <v>0</v>
      </c>
      <c r="J162" s="427">
        <v>0</v>
      </c>
      <c r="K162" s="427">
        <f t="shared" si="20"/>
        <v>0</v>
      </c>
      <c r="L162" s="427">
        <f t="shared" si="26"/>
        <v>0</v>
      </c>
      <c r="M162" s="680">
        <v>0</v>
      </c>
    </row>
    <row r="163" spans="1:14" s="6" customFormat="1" ht="15.75">
      <c r="A163" s="268">
        <v>72</v>
      </c>
      <c r="B163" s="176" t="s">
        <v>120</v>
      </c>
      <c r="C163" s="535">
        <v>1364.91</v>
      </c>
      <c r="D163" s="413">
        <v>133</v>
      </c>
      <c r="E163" s="413"/>
      <c r="F163" s="95">
        <f>C163+D163+E163</f>
        <v>1497.91</v>
      </c>
      <c r="G163" s="319">
        <f t="shared" si="24"/>
        <v>3.9127763113708039E-2</v>
      </c>
      <c r="H163" s="427">
        <f t="shared" si="25"/>
        <v>88.785981114208326</v>
      </c>
      <c r="I163" s="759">
        <f t="shared" si="21"/>
        <v>32.646605255694404</v>
      </c>
      <c r="J163" s="427">
        <v>34.580198099126576</v>
      </c>
      <c r="K163" s="427">
        <f t="shared" si="20"/>
        <v>31.362858523792678</v>
      </c>
      <c r="L163" s="427">
        <f t="shared" si="26"/>
        <v>38.23132454050328</v>
      </c>
      <c r="M163" s="680">
        <f>(K163+J163+I163+H163)/F163</f>
        <v>0.12509138933101588</v>
      </c>
      <c r="N163" s="6" t="s">
        <v>1028</v>
      </c>
    </row>
    <row r="164" spans="1:14" s="6" customFormat="1" ht="15.75">
      <c r="A164" s="268">
        <v>73</v>
      </c>
      <c r="B164" s="176" t="s">
        <v>122</v>
      </c>
      <c r="C164" s="535"/>
      <c r="D164" s="413"/>
      <c r="E164" s="413"/>
      <c r="F164" s="95"/>
      <c r="G164" s="319">
        <f t="shared" si="24"/>
        <v>0</v>
      </c>
      <c r="H164" s="427">
        <f t="shared" si="25"/>
        <v>0</v>
      </c>
      <c r="I164" s="759">
        <f t="shared" si="21"/>
        <v>0</v>
      </c>
      <c r="J164" s="427">
        <v>0</v>
      </c>
      <c r="K164" s="427">
        <f t="shared" si="20"/>
        <v>0</v>
      </c>
      <c r="L164" s="427">
        <f t="shared" si="26"/>
        <v>0</v>
      </c>
      <c r="M164" s="680">
        <v>0</v>
      </c>
    </row>
    <row r="165" spans="1:14" s="6" customFormat="1" ht="15.75">
      <c r="A165" s="268">
        <v>74</v>
      </c>
      <c r="B165" s="176" t="s">
        <v>123</v>
      </c>
      <c r="C165" s="535"/>
      <c r="D165" s="413"/>
      <c r="E165" s="413"/>
      <c r="F165" s="95"/>
      <c r="G165" s="319">
        <f t="shared" si="24"/>
        <v>0</v>
      </c>
      <c r="H165" s="427">
        <f t="shared" si="25"/>
        <v>0</v>
      </c>
      <c r="I165" s="759">
        <f t="shared" si="21"/>
        <v>0</v>
      </c>
      <c r="J165" s="427">
        <v>0</v>
      </c>
      <c r="K165" s="427">
        <f t="shared" si="20"/>
        <v>0</v>
      </c>
      <c r="L165" s="427">
        <f t="shared" si="26"/>
        <v>0</v>
      </c>
      <c r="M165" s="680">
        <v>0</v>
      </c>
    </row>
    <row r="166" spans="1:14" s="6" customFormat="1" ht="15.75">
      <c r="A166" s="268">
        <v>75</v>
      </c>
      <c r="B166" s="176" t="s">
        <v>124</v>
      </c>
      <c r="C166" s="535"/>
      <c r="D166" s="413"/>
      <c r="E166" s="413"/>
      <c r="F166" s="95"/>
      <c r="G166" s="319">
        <f t="shared" si="24"/>
        <v>0</v>
      </c>
      <c r="H166" s="427">
        <f t="shared" si="25"/>
        <v>0</v>
      </c>
      <c r="I166" s="759">
        <f t="shared" si="21"/>
        <v>0</v>
      </c>
      <c r="J166" s="427">
        <v>0</v>
      </c>
      <c r="K166" s="427">
        <f t="shared" si="20"/>
        <v>0</v>
      </c>
      <c r="L166" s="427">
        <f t="shared" si="26"/>
        <v>0</v>
      </c>
      <c r="M166" s="680">
        <v>0</v>
      </c>
    </row>
    <row r="167" spans="1:14" s="6" customFormat="1" ht="15.75">
      <c r="A167" s="268">
        <v>76</v>
      </c>
      <c r="B167" s="176" t="s">
        <v>125</v>
      </c>
      <c r="C167" s="535"/>
      <c r="D167" s="413"/>
      <c r="E167" s="413"/>
      <c r="F167" s="95"/>
      <c r="G167" s="319">
        <f t="shared" si="24"/>
        <v>0</v>
      </c>
      <c r="H167" s="427">
        <f t="shared" si="25"/>
        <v>0</v>
      </c>
      <c r="I167" s="759">
        <f t="shared" si="21"/>
        <v>0</v>
      </c>
      <c r="J167" s="427">
        <v>0</v>
      </c>
      <c r="K167" s="427">
        <f t="shared" si="20"/>
        <v>0</v>
      </c>
      <c r="L167" s="427">
        <f t="shared" si="26"/>
        <v>0</v>
      </c>
      <c r="M167" s="680">
        <v>0</v>
      </c>
    </row>
    <row r="168" spans="1:14" s="6" customFormat="1" ht="15.75">
      <c r="A168" s="268">
        <v>77</v>
      </c>
      <c r="B168" s="274" t="s">
        <v>126</v>
      </c>
      <c r="C168" s="535">
        <v>3146.6</v>
      </c>
      <c r="D168" s="413"/>
      <c r="E168" s="413"/>
      <c r="F168" s="95">
        <f>C168+D168+E168</f>
        <v>3146.6</v>
      </c>
      <c r="G168" s="319">
        <f t="shared" si="24"/>
        <v>8.2194136772966137E-2</v>
      </c>
      <c r="H168" s="427">
        <f t="shared" si="25"/>
        <v>186.50918157564067</v>
      </c>
      <c r="I168" s="759">
        <f t="shared" si="21"/>
        <v>68.57942606536308</v>
      </c>
      <c r="J168" s="427">
        <v>72.641247697599766</v>
      </c>
      <c r="K168" s="427">
        <f t="shared" si="20"/>
        <v>65.882710330370998</v>
      </c>
      <c r="L168" s="427">
        <f t="shared" si="26"/>
        <v>80.311023892722247</v>
      </c>
      <c r="M168" s="680">
        <f>(K168+J168+I168+H168)/F168</f>
        <v>0.12509138933101588</v>
      </c>
      <c r="N168" s="6" t="s">
        <v>1028</v>
      </c>
    </row>
    <row r="169" spans="1:14" s="6" customFormat="1" ht="15.75">
      <c r="A169" s="275">
        <v>78</v>
      </c>
      <c r="B169" s="176" t="s">
        <v>127</v>
      </c>
      <c r="C169" s="535"/>
      <c r="D169" s="413"/>
      <c r="E169" s="413"/>
      <c r="F169" s="95"/>
      <c r="G169" s="319">
        <f t="shared" si="24"/>
        <v>0</v>
      </c>
      <c r="H169" s="427">
        <f t="shared" si="25"/>
        <v>0</v>
      </c>
      <c r="I169" s="759">
        <f t="shared" si="21"/>
        <v>0</v>
      </c>
      <c r="J169" s="427">
        <v>0</v>
      </c>
      <c r="K169" s="427">
        <f t="shared" si="20"/>
        <v>0</v>
      </c>
      <c r="L169" s="427">
        <f t="shared" si="26"/>
        <v>0</v>
      </c>
      <c r="M169" s="680">
        <v>0</v>
      </c>
    </row>
    <row r="170" spans="1:14" s="6" customFormat="1" ht="15.75">
      <c r="A170" s="268">
        <v>79</v>
      </c>
      <c r="B170" s="176" t="s">
        <v>128</v>
      </c>
      <c r="C170" s="535"/>
      <c r="D170" s="413"/>
      <c r="E170" s="413"/>
      <c r="F170" s="95"/>
      <c r="G170" s="319">
        <f t="shared" si="24"/>
        <v>0</v>
      </c>
      <c r="H170" s="427">
        <f t="shared" si="25"/>
        <v>0</v>
      </c>
      <c r="I170" s="759">
        <f t="shared" si="21"/>
        <v>0</v>
      </c>
      <c r="J170" s="427">
        <v>0</v>
      </c>
      <c r="K170" s="427">
        <f t="shared" si="20"/>
        <v>0</v>
      </c>
      <c r="L170" s="427">
        <f t="shared" si="26"/>
        <v>0</v>
      </c>
      <c r="M170" s="680">
        <v>0</v>
      </c>
    </row>
    <row r="171" spans="1:14" s="6" customFormat="1" ht="15.75">
      <c r="A171" s="268">
        <v>80</v>
      </c>
      <c r="B171" s="176" t="s">
        <v>129</v>
      </c>
      <c r="C171" s="535"/>
      <c r="D171" s="413"/>
      <c r="E171" s="413"/>
      <c r="F171" s="95"/>
      <c r="G171" s="319">
        <f t="shared" si="24"/>
        <v>0</v>
      </c>
      <c r="H171" s="427">
        <f t="shared" si="25"/>
        <v>0</v>
      </c>
      <c r="I171" s="759">
        <f t="shared" si="21"/>
        <v>0</v>
      </c>
      <c r="J171" s="427">
        <v>0</v>
      </c>
      <c r="K171" s="427">
        <f t="shared" si="20"/>
        <v>0</v>
      </c>
      <c r="L171" s="427">
        <f t="shared" si="26"/>
        <v>0</v>
      </c>
      <c r="M171" s="680">
        <v>0</v>
      </c>
    </row>
    <row r="172" spans="1:14" s="6" customFormat="1" ht="15.75">
      <c r="A172" s="268">
        <v>81</v>
      </c>
      <c r="B172" s="176" t="s">
        <v>130</v>
      </c>
      <c r="C172" s="535"/>
      <c r="D172" s="413"/>
      <c r="E172" s="413"/>
      <c r="F172" s="95"/>
      <c r="G172" s="319">
        <f t="shared" si="24"/>
        <v>0</v>
      </c>
      <c r="H172" s="427">
        <f t="shared" si="25"/>
        <v>0</v>
      </c>
      <c r="I172" s="759">
        <f t="shared" si="21"/>
        <v>0</v>
      </c>
      <c r="J172" s="427">
        <v>0</v>
      </c>
      <c r="K172" s="427">
        <f t="shared" si="20"/>
        <v>0</v>
      </c>
      <c r="L172" s="427">
        <f t="shared" si="26"/>
        <v>0</v>
      </c>
      <c r="M172" s="680">
        <v>0</v>
      </c>
    </row>
    <row r="173" spans="1:14" s="6" customFormat="1" ht="15.75">
      <c r="A173" s="268">
        <v>82</v>
      </c>
      <c r="B173" s="176" t="s">
        <v>131</v>
      </c>
      <c r="C173" s="535"/>
      <c r="D173" s="413"/>
      <c r="E173" s="413"/>
      <c r="F173" s="95"/>
      <c r="G173" s="319">
        <f t="shared" si="24"/>
        <v>0</v>
      </c>
      <c r="H173" s="427">
        <f t="shared" si="25"/>
        <v>0</v>
      </c>
      <c r="I173" s="759">
        <f t="shared" si="21"/>
        <v>0</v>
      </c>
      <c r="J173" s="427">
        <v>0</v>
      </c>
      <c r="K173" s="427">
        <f t="shared" si="20"/>
        <v>0</v>
      </c>
      <c r="L173" s="427">
        <f t="shared" si="26"/>
        <v>0</v>
      </c>
      <c r="M173" s="680">
        <v>0</v>
      </c>
    </row>
    <row r="174" spans="1:14" s="6" customFormat="1" ht="15.75">
      <c r="A174" s="268">
        <v>83</v>
      </c>
      <c r="B174" s="176" t="s">
        <v>132</v>
      </c>
      <c r="C174" s="535"/>
      <c r="D174" s="413"/>
      <c r="E174" s="413"/>
      <c r="F174" s="95"/>
      <c r="G174" s="319">
        <f t="shared" si="24"/>
        <v>0</v>
      </c>
      <c r="H174" s="427">
        <f t="shared" si="25"/>
        <v>0</v>
      </c>
      <c r="I174" s="759">
        <f t="shared" si="21"/>
        <v>0</v>
      </c>
      <c r="J174" s="427">
        <v>0</v>
      </c>
      <c r="K174" s="427">
        <f t="shared" si="20"/>
        <v>0</v>
      </c>
      <c r="L174" s="427">
        <f t="shared" si="26"/>
        <v>0</v>
      </c>
      <c r="M174" s="680">
        <v>0</v>
      </c>
    </row>
    <row r="175" spans="1:14" s="6" customFormat="1" ht="15.75">
      <c r="A175" s="268">
        <v>84</v>
      </c>
      <c r="B175" s="176" t="s">
        <v>133</v>
      </c>
      <c r="C175" s="535"/>
      <c r="D175" s="413"/>
      <c r="E175" s="413"/>
      <c r="F175" s="95"/>
      <c r="G175" s="319">
        <f t="shared" si="24"/>
        <v>0</v>
      </c>
      <c r="H175" s="427">
        <f t="shared" si="25"/>
        <v>0</v>
      </c>
      <c r="I175" s="759">
        <f t="shared" si="21"/>
        <v>0</v>
      </c>
      <c r="J175" s="427">
        <v>0</v>
      </c>
      <c r="K175" s="427">
        <f t="shared" si="20"/>
        <v>0</v>
      </c>
      <c r="L175" s="427">
        <f t="shared" si="26"/>
        <v>0</v>
      </c>
      <c r="M175" s="680">
        <v>0</v>
      </c>
    </row>
    <row r="176" spans="1:14" s="6" customFormat="1" ht="15.75">
      <c r="A176" s="275">
        <v>85</v>
      </c>
      <c r="B176" s="176" t="s">
        <v>134</v>
      </c>
      <c r="C176" s="535"/>
      <c r="D176" s="413"/>
      <c r="E176" s="413"/>
      <c r="F176" s="95"/>
      <c r="G176" s="319">
        <f t="shared" si="24"/>
        <v>0</v>
      </c>
      <c r="H176" s="427">
        <f t="shared" si="25"/>
        <v>0</v>
      </c>
      <c r="I176" s="759">
        <f t="shared" si="21"/>
        <v>0</v>
      </c>
      <c r="J176" s="427">
        <v>0</v>
      </c>
      <c r="K176" s="427">
        <f t="shared" si="20"/>
        <v>0</v>
      </c>
      <c r="L176" s="427">
        <f t="shared" si="26"/>
        <v>0</v>
      </c>
      <c r="M176" s="680">
        <v>0</v>
      </c>
    </row>
    <row r="177" spans="1:14" s="6" customFormat="1" ht="15.75">
      <c r="A177" s="268">
        <v>86</v>
      </c>
      <c r="B177" s="176" t="s">
        <v>135</v>
      </c>
      <c r="C177" s="535"/>
      <c r="D177" s="413"/>
      <c r="E177" s="413"/>
      <c r="F177" s="95"/>
      <c r="G177" s="319">
        <f t="shared" si="24"/>
        <v>0</v>
      </c>
      <c r="H177" s="427">
        <f t="shared" si="25"/>
        <v>0</v>
      </c>
      <c r="I177" s="759">
        <f t="shared" si="21"/>
        <v>0</v>
      </c>
      <c r="J177" s="427">
        <v>0</v>
      </c>
      <c r="K177" s="427">
        <f t="shared" si="20"/>
        <v>0</v>
      </c>
      <c r="L177" s="427">
        <f t="shared" si="26"/>
        <v>0</v>
      </c>
      <c r="M177" s="680">
        <v>0</v>
      </c>
    </row>
    <row r="178" spans="1:14" s="6" customFormat="1" ht="15.75">
      <c r="A178" s="268">
        <v>87</v>
      </c>
      <c r="B178" s="176" t="s">
        <v>136</v>
      </c>
      <c r="C178" s="535"/>
      <c r="D178" s="413"/>
      <c r="E178" s="413"/>
      <c r="F178" s="95"/>
      <c r="G178" s="319">
        <f t="shared" si="24"/>
        <v>0</v>
      </c>
      <c r="H178" s="427">
        <f t="shared" si="25"/>
        <v>0</v>
      </c>
      <c r="I178" s="759">
        <f t="shared" si="21"/>
        <v>0</v>
      </c>
      <c r="J178" s="427">
        <v>0</v>
      </c>
      <c r="K178" s="427">
        <f t="shared" si="20"/>
        <v>0</v>
      </c>
      <c r="L178" s="427">
        <f t="shared" si="26"/>
        <v>0</v>
      </c>
      <c r="M178" s="680">
        <v>0</v>
      </c>
    </row>
    <row r="179" spans="1:14" s="6" customFormat="1" ht="15.75">
      <c r="A179" s="268">
        <v>88</v>
      </c>
      <c r="B179" s="176" t="s">
        <v>137</v>
      </c>
      <c r="C179" s="535"/>
      <c r="D179" s="413"/>
      <c r="E179" s="413"/>
      <c r="F179" s="95"/>
      <c r="G179" s="319">
        <f t="shared" si="24"/>
        <v>0</v>
      </c>
      <c r="H179" s="427">
        <f t="shared" si="25"/>
        <v>0</v>
      </c>
      <c r="I179" s="759">
        <f t="shared" si="21"/>
        <v>0</v>
      </c>
      <c r="J179" s="427">
        <v>0</v>
      </c>
      <c r="K179" s="427">
        <f t="shared" si="20"/>
        <v>0</v>
      </c>
      <c r="L179" s="427">
        <f t="shared" si="26"/>
        <v>0</v>
      </c>
      <c r="M179" s="680">
        <v>0</v>
      </c>
    </row>
    <row r="180" spans="1:14" s="6" customFormat="1" ht="15.75">
      <c r="A180" s="268">
        <v>89</v>
      </c>
      <c r="B180" s="176" t="s">
        <v>138</v>
      </c>
      <c r="C180" s="535"/>
      <c r="D180" s="413"/>
      <c r="E180" s="413"/>
      <c r="F180" s="95"/>
      <c r="G180" s="319">
        <f t="shared" si="24"/>
        <v>0</v>
      </c>
      <c r="H180" s="427">
        <f t="shared" si="25"/>
        <v>0</v>
      </c>
      <c r="I180" s="759">
        <f t="shared" si="21"/>
        <v>0</v>
      </c>
      <c r="J180" s="427">
        <v>0</v>
      </c>
      <c r="K180" s="427">
        <f t="shared" si="20"/>
        <v>0</v>
      </c>
      <c r="L180" s="427">
        <f t="shared" si="26"/>
        <v>0</v>
      </c>
      <c r="M180" s="680">
        <v>0</v>
      </c>
    </row>
    <row r="181" spans="1:14" s="6" customFormat="1" ht="15.75">
      <c r="A181" s="268">
        <v>90</v>
      </c>
      <c r="B181" s="176" t="s">
        <v>139</v>
      </c>
      <c r="C181" s="535"/>
      <c r="D181" s="413"/>
      <c r="E181" s="413"/>
      <c r="F181" s="95"/>
      <c r="G181" s="319">
        <f t="shared" si="24"/>
        <v>0</v>
      </c>
      <c r="H181" s="427">
        <f t="shared" si="25"/>
        <v>0</v>
      </c>
      <c r="I181" s="759">
        <f t="shared" si="21"/>
        <v>0</v>
      </c>
      <c r="J181" s="427">
        <v>0</v>
      </c>
      <c r="K181" s="427">
        <f t="shared" si="20"/>
        <v>0</v>
      </c>
      <c r="L181" s="427">
        <f t="shared" si="26"/>
        <v>0</v>
      </c>
      <c r="M181" s="680">
        <v>0</v>
      </c>
    </row>
    <row r="182" spans="1:14" s="6" customFormat="1" ht="15.75">
      <c r="A182" s="268">
        <v>91</v>
      </c>
      <c r="B182" s="176" t="s">
        <v>140</v>
      </c>
      <c r="C182" s="535"/>
      <c r="D182" s="413"/>
      <c r="E182" s="413"/>
      <c r="F182" s="95"/>
      <c r="G182" s="319">
        <f t="shared" si="24"/>
        <v>0</v>
      </c>
      <c r="H182" s="427">
        <f t="shared" si="25"/>
        <v>0</v>
      </c>
      <c r="I182" s="759">
        <f t="shared" si="21"/>
        <v>0</v>
      </c>
      <c r="J182" s="177">
        <v>0</v>
      </c>
      <c r="K182" s="427">
        <f t="shared" si="20"/>
        <v>0</v>
      </c>
      <c r="L182" s="427">
        <f t="shared" si="26"/>
        <v>0</v>
      </c>
      <c r="M182" s="680">
        <v>0</v>
      </c>
    </row>
    <row r="183" spans="1:14" s="6" customFormat="1" ht="15.75">
      <c r="A183" s="275">
        <v>92</v>
      </c>
      <c r="B183" s="176" t="s">
        <v>141</v>
      </c>
      <c r="C183" s="535"/>
      <c r="D183" s="413"/>
      <c r="E183" s="413"/>
      <c r="F183" s="95"/>
      <c r="G183" s="319">
        <f t="shared" si="24"/>
        <v>0</v>
      </c>
      <c r="H183" s="427">
        <f t="shared" si="25"/>
        <v>0</v>
      </c>
      <c r="I183" s="759">
        <f t="shared" si="21"/>
        <v>0</v>
      </c>
      <c r="J183" s="177">
        <v>0</v>
      </c>
      <c r="K183" s="427">
        <f t="shared" si="20"/>
        <v>0</v>
      </c>
      <c r="L183" s="427">
        <f t="shared" si="26"/>
        <v>0</v>
      </c>
      <c r="M183" s="680">
        <v>0</v>
      </c>
    </row>
    <row r="184" spans="1:14" s="6" customFormat="1" ht="15.75">
      <c r="A184" s="268">
        <v>93</v>
      </c>
      <c r="B184" s="176" t="s">
        <v>145</v>
      </c>
      <c r="C184" s="535"/>
      <c r="D184" s="413"/>
      <c r="E184" s="413"/>
      <c r="F184" s="95"/>
      <c r="G184" s="319">
        <f t="shared" si="24"/>
        <v>0</v>
      </c>
      <c r="H184" s="427">
        <f t="shared" si="25"/>
        <v>0</v>
      </c>
      <c r="I184" s="759">
        <f t="shared" si="21"/>
        <v>0</v>
      </c>
      <c r="J184" s="177">
        <v>0</v>
      </c>
      <c r="K184" s="427">
        <f t="shared" si="20"/>
        <v>0</v>
      </c>
      <c r="L184" s="427">
        <f t="shared" si="26"/>
        <v>0</v>
      </c>
      <c r="M184" s="680">
        <v>0</v>
      </c>
    </row>
    <row r="185" spans="1:14" s="6" customFormat="1" ht="15.75">
      <c r="A185" s="268">
        <v>94</v>
      </c>
      <c r="B185" s="176" t="s">
        <v>146</v>
      </c>
      <c r="C185" s="535"/>
      <c r="D185" s="413"/>
      <c r="E185" s="413"/>
      <c r="F185" s="95"/>
      <c r="G185" s="319">
        <f t="shared" si="24"/>
        <v>0</v>
      </c>
      <c r="H185" s="427">
        <f t="shared" si="25"/>
        <v>0</v>
      </c>
      <c r="I185" s="759">
        <f t="shared" si="21"/>
        <v>0</v>
      </c>
      <c r="J185" s="177">
        <v>0</v>
      </c>
      <c r="K185" s="427">
        <f t="shared" si="20"/>
        <v>0</v>
      </c>
      <c r="L185" s="427">
        <f t="shared" si="26"/>
        <v>0</v>
      </c>
      <c r="M185" s="680">
        <v>0</v>
      </c>
    </row>
    <row r="186" spans="1:14" s="6" customFormat="1" ht="15.75">
      <c r="A186" s="268">
        <v>95</v>
      </c>
      <c r="B186" s="176" t="s">
        <v>147</v>
      </c>
      <c r="C186" s="535">
        <v>6095.81</v>
      </c>
      <c r="D186" s="413"/>
      <c r="E186" s="413"/>
      <c r="F186" s="95">
        <f>C186+D186+E186</f>
        <v>6095.81</v>
      </c>
      <c r="G186" s="319">
        <f t="shared" si="24"/>
        <v>0.15923213655438084</v>
      </c>
      <c r="H186" s="427">
        <f t="shared" si="25"/>
        <v>361.31841801964219</v>
      </c>
      <c r="I186" s="759">
        <f t="shared" si="21"/>
        <v>132.85678230582243</v>
      </c>
      <c r="J186" s="177">
        <v>140.72562261727123</v>
      </c>
      <c r="K186" s="427">
        <f t="shared" si="20"/>
        <v>127.63251905516395</v>
      </c>
      <c r="L186" s="427">
        <f t="shared" si="26"/>
        <v>155.58404072824487</v>
      </c>
      <c r="M186" s="680">
        <f>(K186+J186+I186+H186)/F186</f>
        <v>0.12509138933101585</v>
      </c>
      <c r="N186" s="6" t="s">
        <v>1028</v>
      </c>
    </row>
    <row r="187" spans="1:14" s="6" customFormat="1" ht="15.75">
      <c r="A187" s="268">
        <v>96</v>
      </c>
      <c r="B187" s="176" t="s">
        <v>148</v>
      </c>
      <c r="C187" s="535"/>
      <c r="D187" s="413"/>
      <c r="E187" s="413"/>
      <c r="F187" s="95"/>
      <c r="G187" s="319">
        <f t="shared" si="24"/>
        <v>0</v>
      </c>
      <c r="H187" s="427">
        <f t="shared" si="25"/>
        <v>0</v>
      </c>
      <c r="I187" s="759">
        <f t="shared" si="21"/>
        <v>0</v>
      </c>
      <c r="J187" s="177">
        <v>0</v>
      </c>
      <c r="K187" s="427">
        <f t="shared" si="20"/>
        <v>0</v>
      </c>
      <c r="L187" s="427">
        <f t="shared" si="26"/>
        <v>0</v>
      </c>
      <c r="M187" s="680">
        <v>0</v>
      </c>
    </row>
    <row r="188" spans="1:14" s="6" customFormat="1" ht="15.75">
      <c r="A188" s="268">
        <v>97</v>
      </c>
      <c r="B188" s="176" t="s">
        <v>149</v>
      </c>
      <c r="C188" s="535"/>
      <c r="D188" s="413"/>
      <c r="E188" s="413"/>
      <c r="F188" s="95"/>
      <c r="G188" s="319">
        <f t="shared" si="24"/>
        <v>0</v>
      </c>
      <c r="H188" s="427">
        <f t="shared" si="25"/>
        <v>0</v>
      </c>
      <c r="I188" s="759">
        <f t="shared" si="21"/>
        <v>0</v>
      </c>
      <c r="J188" s="177">
        <v>0</v>
      </c>
      <c r="K188" s="427">
        <f t="shared" si="20"/>
        <v>0</v>
      </c>
      <c r="L188" s="427">
        <f t="shared" si="26"/>
        <v>0</v>
      </c>
      <c r="M188" s="680">
        <v>0</v>
      </c>
    </row>
    <row r="189" spans="1:14" s="6" customFormat="1" ht="15.75">
      <c r="A189" s="268">
        <v>98</v>
      </c>
      <c r="B189" s="176" t="s">
        <v>150</v>
      </c>
      <c r="C189" s="535">
        <v>4159.58</v>
      </c>
      <c r="D189" s="413"/>
      <c r="E189" s="413"/>
      <c r="F189" s="95">
        <f>C189+D189+E189</f>
        <v>4159.58</v>
      </c>
      <c r="G189" s="319">
        <f t="shared" si="24"/>
        <v>0.10865476623596723</v>
      </c>
      <c r="H189" s="427">
        <f t="shared" si="25"/>
        <v>246.55178970902034</v>
      </c>
      <c r="I189" s="759">
        <f t="shared" si="21"/>
        <v>90.657093076006788</v>
      </c>
      <c r="J189" s="177">
        <v>96.026530572040315</v>
      </c>
      <c r="K189" s="427">
        <f t="shared" si="20"/>
        <v>87.092227876439523</v>
      </c>
      <c r="L189" s="427">
        <f t="shared" si="26"/>
        <v>106.16542578137978</v>
      </c>
      <c r="M189" s="680">
        <f>(K189+J189+I189+H189)/F189</f>
        <v>0.12509138933101585</v>
      </c>
      <c r="N189" s="6" t="s">
        <v>1028</v>
      </c>
    </row>
    <row r="190" spans="1:14" s="6" customFormat="1" ht="15.75">
      <c r="A190" s="275">
        <v>99</v>
      </c>
      <c r="B190" s="176" t="s">
        <v>151</v>
      </c>
      <c r="C190" s="535">
        <v>2107.77</v>
      </c>
      <c r="D190" s="413"/>
      <c r="E190" s="413">
        <v>133</v>
      </c>
      <c r="F190" s="95">
        <f>C190+D190+E190</f>
        <v>2240.77</v>
      </c>
      <c r="G190" s="319">
        <f t="shared" si="24"/>
        <v>5.8532433692480561E-2</v>
      </c>
      <c r="H190" s="427">
        <f t="shared" si="25"/>
        <v>132.81770126461842</v>
      </c>
      <c r="I190" s="759">
        <f t="shared" si="21"/>
        <v>48.837068755000196</v>
      </c>
      <c r="J190" s="177">
        <v>51.729590225434002</v>
      </c>
      <c r="K190" s="427">
        <f t="shared" si="20"/>
        <v>46.916672226207794</v>
      </c>
      <c r="L190" s="427">
        <f t="shared" si="26"/>
        <v>57.191423443747304</v>
      </c>
      <c r="M190" s="680">
        <f>(K190+J190+I190+H190)/F190</f>
        <v>0.12509138933101588</v>
      </c>
      <c r="N190" s="6" t="s">
        <v>1028</v>
      </c>
    </row>
    <row r="191" spans="1:14" s="6" customFormat="1" ht="15.75">
      <c r="A191" s="268">
        <v>100</v>
      </c>
      <c r="B191" s="176" t="s">
        <v>152</v>
      </c>
      <c r="C191" s="535"/>
      <c r="D191" s="413"/>
      <c r="E191" s="413"/>
      <c r="F191" s="95"/>
      <c r="G191" s="319">
        <f t="shared" si="24"/>
        <v>0</v>
      </c>
      <c r="H191" s="427">
        <f t="shared" si="25"/>
        <v>0</v>
      </c>
      <c r="I191" s="759">
        <f t="shared" si="21"/>
        <v>0</v>
      </c>
      <c r="J191" s="177">
        <v>0</v>
      </c>
      <c r="K191" s="427">
        <f t="shared" si="20"/>
        <v>0</v>
      </c>
      <c r="L191" s="427">
        <f t="shared" si="26"/>
        <v>0</v>
      </c>
      <c r="M191" s="680">
        <v>0</v>
      </c>
    </row>
    <row r="192" spans="1:14" s="6" customFormat="1" ht="15.75">
      <c r="A192" s="268">
        <v>101</v>
      </c>
      <c r="B192" s="176" t="s">
        <v>153</v>
      </c>
      <c r="C192" s="535"/>
      <c r="D192" s="413"/>
      <c r="E192" s="413"/>
      <c r="F192" s="95"/>
      <c r="G192" s="319">
        <f t="shared" si="24"/>
        <v>0</v>
      </c>
      <c r="H192" s="427">
        <f t="shared" si="25"/>
        <v>0</v>
      </c>
      <c r="I192" s="759">
        <f t="shared" si="21"/>
        <v>0</v>
      </c>
      <c r="J192" s="177">
        <v>0</v>
      </c>
      <c r="K192" s="427">
        <f t="shared" si="20"/>
        <v>0</v>
      </c>
      <c r="L192" s="427">
        <f t="shared" si="26"/>
        <v>0</v>
      </c>
      <c r="M192" s="680">
        <v>0</v>
      </c>
    </row>
    <row r="193" spans="1:14" s="6" customFormat="1" ht="15.75">
      <c r="A193" s="268">
        <v>102</v>
      </c>
      <c r="B193" s="176" t="s">
        <v>154</v>
      </c>
      <c r="C193" s="535"/>
      <c r="D193" s="413"/>
      <c r="E193" s="413"/>
      <c r="F193" s="95"/>
      <c r="G193" s="319">
        <f t="shared" si="24"/>
        <v>0</v>
      </c>
      <c r="H193" s="427">
        <f t="shared" si="25"/>
        <v>0</v>
      </c>
      <c r="I193" s="759">
        <f t="shared" si="21"/>
        <v>0</v>
      </c>
      <c r="J193" s="177">
        <v>0</v>
      </c>
      <c r="K193" s="427">
        <f t="shared" si="20"/>
        <v>0</v>
      </c>
      <c r="L193" s="427">
        <f t="shared" si="26"/>
        <v>0</v>
      </c>
      <c r="M193" s="680">
        <v>0</v>
      </c>
    </row>
    <row r="194" spans="1:14" s="6" customFormat="1" ht="15.75">
      <c r="A194" s="268">
        <v>103</v>
      </c>
      <c r="B194" s="176" t="s">
        <v>155</v>
      </c>
      <c r="C194" s="535"/>
      <c r="D194" s="413"/>
      <c r="E194" s="413"/>
      <c r="F194" s="95"/>
      <c r="G194" s="319">
        <f t="shared" si="24"/>
        <v>0</v>
      </c>
      <c r="H194" s="427">
        <f t="shared" si="25"/>
        <v>0</v>
      </c>
      <c r="I194" s="759">
        <f t="shared" si="21"/>
        <v>0</v>
      </c>
      <c r="J194" s="177">
        <v>0</v>
      </c>
      <c r="K194" s="427">
        <f t="shared" si="20"/>
        <v>0</v>
      </c>
      <c r="L194" s="427">
        <f t="shared" si="26"/>
        <v>0</v>
      </c>
      <c r="M194" s="680">
        <v>0</v>
      </c>
    </row>
    <row r="195" spans="1:14" s="6" customFormat="1" ht="15.75">
      <c r="A195" s="268">
        <v>104</v>
      </c>
      <c r="B195" s="176" t="s">
        <v>156</v>
      </c>
      <c r="C195" s="535"/>
      <c r="D195" s="413"/>
      <c r="E195" s="413"/>
      <c r="F195" s="95"/>
      <c r="G195" s="319">
        <f t="shared" si="24"/>
        <v>0</v>
      </c>
      <c r="H195" s="427">
        <f t="shared" si="25"/>
        <v>0</v>
      </c>
      <c r="I195" s="759">
        <f t="shared" si="21"/>
        <v>0</v>
      </c>
      <c r="J195" s="177">
        <v>0</v>
      </c>
      <c r="K195" s="427">
        <f t="shared" si="20"/>
        <v>0</v>
      </c>
      <c r="L195" s="427">
        <f t="shared" si="26"/>
        <v>0</v>
      </c>
      <c r="M195" s="680">
        <v>0</v>
      </c>
    </row>
    <row r="196" spans="1:14" s="6" customFormat="1" ht="15.75">
      <c r="A196" s="268">
        <v>105</v>
      </c>
      <c r="B196" s="176" t="s">
        <v>157</v>
      </c>
      <c r="C196" s="535"/>
      <c r="D196" s="413"/>
      <c r="E196" s="413"/>
      <c r="F196" s="95"/>
      <c r="G196" s="319">
        <f t="shared" si="24"/>
        <v>0</v>
      </c>
      <c r="H196" s="427">
        <f t="shared" si="25"/>
        <v>0</v>
      </c>
      <c r="I196" s="759">
        <f t="shared" si="21"/>
        <v>0</v>
      </c>
      <c r="J196" s="177">
        <v>0</v>
      </c>
      <c r="K196" s="427">
        <f t="shared" si="20"/>
        <v>0</v>
      </c>
      <c r="L196" s="427">
        <f t="shared" si="26"/>
        <v>0</v>
      </c>
      <c r="M196" s="680">
        <v>0</v>
      </c>
    </row>
    <row r="197" spans="1:14" s="6" customFormat="1" ht="15.75">
      <c r="A197" s="275">
        <v>106</v>
      </c>
      <c r="B197" s="176" t="s">
        <v>158</v>
      </c>
      <c r="C197" s="535"/>
      <c r="D197" s="413"/>
      <c r="E197" s="413"/>
      <c r="F197" s="95"/>
      <c r="G197" s="319">
        <f t="shared" si="24"/>
        <v>0</v>
      </c>
      <c r="H197" s="427">
        <f t="shared" si="25"/>
        <v>0</v>
      </c>
      <c r="I197" s="759">
        <f t="shared" si="21"/>
        <v>0</v>
      </c>
      <c r="J197" s="177">
        <v>0</v>
      </c>
      <c r="K197" s="427">
        <f t="shared" si="20"/>
        <v>0</v>
      </c>
      <c r="L197" s="427">
        <f t="shared" si="26"/>
        <v>0</v>
      </c>
      <c r="M197" s="680">
        <v>0</v>
      </c>
    </row>
    <row r="198" spans="1:14" s="6" customFormat="1" ht="15.75">
      <c r="A198" s="268">
        <v>107</v>
      </c>
      <c r="B198" s="176" t="s">
        <v>159</v>
      </c>
      <c r="C198" s="535"/>
      <c r="D198" s="413"/>
      <c r="E198" s="413"/>
      <c r="F198" s="95"/>
      <c r="G198" s="319">
        <f t="shared" si="24"/>
        <v>0</v>
      </c>
      <c r="H198" s="427">
        <f t="shared" si="25"/>
        <v>0</v>
      </c>
      <c r="I198" s="759">
        <f t="shared" si="21"/>
        <v>0</v>
      </c>
      <c r="J198" s="177">
        <v>0</v>
      </c>
      <c r="K198" s="427">
        <f t="shared" si="20"/>
        <v>0</v>
      </c>
      <c r="L198" s="427">
        <f t="shared" si="26"/>
        <v>0</v>
      </c>
      <c r="M198" s="680">
        <v>0</v>
      </c>
    </row>
    <row r="199" spans="1:14" s="6" customFormat="1" ht="15.75">
      <c r="A199" s="268">
        <v>108</v>
      </c>
      <c r="B199" s="176" t="s">
        <v>160</v>
      </c>
      <c r="C199" s="535"/>
      <c r="D199" s="413"/>
      <c r="E199" s="413"/>
      <c r="F199" s="95"/>
      <c r="G199" s="319">
        <f t="shared" si="24"/>
        <v>0</v>
      </c>
      <c r="H199" s="427">
        <f t="shared" si="25"/>
        <v>0</v>
      </c>
      <c r="I199" s="759">
        <f t="shared" si="21"/>
        <v>0</v>
      </c>
      <c r="J199" s="177">
        <v>0</v>
      </c>
      <c r="K199" s="427">
        <f t="shared" ref="K199:K262" si="27">G199*801.55</f>
        <v>0</v>
      </c>
      <c r="L199" s="427">
        <f t="shared" si="26"/>
        <v>0</v>
      </c>
      <c r="M199" s="680">
        <v>0</v>
      </c>
    </row>
    <row r="200" spans="1:14" s="6" customFormat="1" ht="15.75">
      <c r="A200" s="268">
        <v>109</v>
      </c>
      <c r="B200" s="176" t="s">
        <v>161</v>
      </c>
      <c r="C200" s="535">
        <v>2379.1</v>
      </c>
      <c r="D200" s="413"/>
      <c r="E200" s="413"/>
      <c r="F200" s="95">
        <f>C200+D200+E200</f>
        <v>2379.1</v>
      </c>
      <c r="G200" s="319">
        <f t="shared" si="24"/>
        <v>6.2145830673286641E-2</v>
      </c>
      <c r="H200" s="427">
        <f t="shared" si="25"/>
        <v>141.01696875567492</v>
      </c>
      <c r="I200" s="759">
        <f t="shared" si="21"/>
        <v>51.851939411461672</v>
      </c>
      <c r="J200" s="177">
        <v>54.923025614110351</v>
      </c>
      <c r="K200" s="427">
        <f t="shared" si="27"/>
        <v>49.812990576172901</v>
      </c>
      <c r="L200" s="427">
        <f t="shared" si="26"/>
        <v>60.722035512354772</v>
      </c>
      <c r="M200" s="680">
        <f>(K200+J200+I200+H200)/F200</f>
        <v>0.12509138933101585</v>
      </c>
      <c r="N200" s="6" t="s">
        <v>1028</v>
      </c>
    </row>
    <row r="201" spans="1:14" s="6" customFormat="1" ht="15.75">
      <c r="A201" s="268">
        <v>110</v>
      </c>
      <c r="B201" s="176" t="s">
        <v>162</v>
      </c>
      <c r="C201" s="535"/>
      <c r="D201" s="413"/>
      <c r="E201" s="413"/>
      <c r="F201" s="95"/>
      <c r="G201" s="319">
        <f t="shared" si="24"/>
        <v>0</v>
      </c>
      <c r="H201" s="427">
        <f t="shared" si="25"/>
        <v>0</v>
      </c>
      <c r="I201" s="759">
        <f t="shared" si="21"/>
        <v>0</v>
      </c>
      <c r="J201" s="177">
        <v>0</v>
      </c>
      <c r="K201" s="427">
        <f t="shared" si="27"/>
        <v>0</v>
      </c>
      <c r="L201" s="427">
        <f t="shared" si="26"/>
        <v>0</v>
      </c>
      <c r="M201" s="680">
        <v>0</v>
      </c>
    </row>
    <row r="202" spans="1:14" s="6" customFormat="1" ht="15.75">
      <c r="A202" s="268">
        <v>111</v>
      </c>
      <c r="B202" s="176" t="s">
        <v>163</v>
      </c>
      <c r="C202" s="535"/>
      <c r="D202" s="413"/>
      <c r="E202" s="413"/>
      <c r="F202" s="95"/>
      <c r="G202" s="319">
        <f t="shared" si="24"/>
        <v>0</v>
      </c>
      <c r="H202" s="427">
        <f t="shared" si="25"/>
        <v>0</v>
      </c>
      <c r="I202" s="759">
        <f t="shared" si="21"/>
        <v>0</v>
      </c>
      <c r="J202" s="177">
        <v>0</v>
      </c>
      <c r="K202" s="427">
        <f t="shared" si="27"/>
        <v>0</v>
      </c>
      <c r="L202" s="427">
        <f t="shared" si="26"/>
        <v>0</v>
      </c>
      <c r="M202" s="680">
        <v>0</v>
      </c>
    </row>
    <row r="203" spans="1:14" s="6" customFormat="1" ht="15.75">
      <c r="A203" s="268">
        <v>112</v>
      </c>
      <c r="B203" s="176" t="s">
        <v>164</v>
      </c>
      <c r="C203" s="535"/>
      <c r="D203" s="413"/>
      <c r="E203" s="413"/>
      <c r="F203" s="95"/>
      <c r="G203" s="319">
        <f t="shared" si="24"/>
        <v>0</v>
      </c>
      <c r="H203" s="427">
        <f t="shared" si="25"/>
        <v>0</v>
      </c>
      <c r="I203" s="759">
        <f t="shared" si="21"/>
        <v>0</v>
      </c>
      <c r="J203" s="177">
        <v>0</v>
      </c>
      <c r="K203" s="427">
        <f t="shared" si="27"/>
        <v>0</v>
      </c>
      <c r="L203" s="427">
        <f t="shared" si="26"/>
        <v>0</v>
      </c>
      <c r="M203" s="680">
        <v>0</v>
      </c>
    </row>
    <row r="204" spans="1:14" s="6" customFormat="1" ht="15.75">
      <c r="A204" s="275">
        <v>113</v>
      </c>
      <c r="B204" s="176" t="s">
        <v>165</v>
      </c>
      <c r="C204" s="535"/>
      <c r="D204" s="413"/>
      <c r="E204" s="413"/>
      <c r="F204" s="95"/>
      <c r="G204" s="319">
        <f t="shared" si="24"/>
        <v>0</v>
      </c>
      <c r="H204" s="427">
        <f t="shared" si="25"/>
        <v>0</v>
      </c>
      <c r="I204" s="759">
        <f t="shared" si="21"/>
        <v>0</v>
      </c>
      <c r="J204" s="177">
        <v>0</v>
      </c>
      <c r="K204" s="427">
        <f t="shared" si="27"/>
        <v>0</v>
      </c>
      <c r="L204" s="427">
        <f t="shared" si="26"/>
        <v>0</v>
      </c>
      <c r="M204" s="680">
        <v>0</v>
      </c>
    </row>
    <row r="205" spans="1:14" s="6" customFormat="1" ht="15.75">
      <c r="A205" s="268">
        <v>114</v>
      </c>
      <c r="B205" s="176" t="s">
        <v>166</v>
      </c>
      <c r="C205" s="535"/>
      <c r="D205" s="413"/>
      <c r="E205" s="413"/>
      <c r="F205" s="95"/>
      <c r="G205" s="319">
        <f t="shared" si="24"/>
        <v>0</v>
      </c>
      <c r="H205" s="427">
        <f t="shared" si="25"/>
        <v>0</v>
      </c>
      <c r="I205" s="759">
        <f t="shared" si="21"/>
        <v>0</v>
      </c>
      <c r="J205" s="177">
        <v>0</v>
      </c>
      <c r="K205" s="427">
        <f t="shared" si="27"/>
        <v>0</v>
      </c>
      <c r="L205" s="427">
        <f t="shared" si="26"/>
        <v>0</v>
      </c>
      <c r="M205" s="680">
        <v>0</v>
      </c>
    </row>
    <row r="206" spans="1:14" s="6" customFormat="1" ht="15.75">
      <c r="A206" s="268">
        <v>115</v>
      </c>
      <c r="B206" s="176" t="s">
        <v>167</v>
      </c>
      <c r="C206" s="535"/>
      <c r="D206" s="413"/>
      <c r="E206" s="413"/>
      <c r="F206" s="95"/>
      <c r="G206" s="319">
        <f t="shared" si="24"/>
        <v>0</v>
      </c>
      <c r="H206" s="427">
        <f t="shared" si="25"/>
        <v>0</v>
      </c>
      <c r="I206" s="759">
        <f t="shared" si="21"/>
        <v>0</v>
      </c>
      <c r="J206" s="177">
        <v>0</v>
      </c>
      <c r="K206" s="427">
        <f t="shared" si="27"/>
        <v>0</v>
      </c>
      <c r="L206" s="427">
        <f t="shared" si="26"/>
        <v>0</v>
      </c>
      <c r="M206" s="680">
        <v>0</v>
      </c>
    </row>
    <row r="207" spans="1:14" s="6" customFormat="1" ht="15.75">
      <c r="A207" s="268">
        <v>116</v>
      </c>
      <c r="B207" s="176" t="s">
        <v>168</v>
      </c>
      <c r="C207" s="535"/>
      <c r="D207" s="413"/>
      <c r="E207" s="413"/>
      <c r="F207" s="95"/>
      <c r="G207" s="319">
        <f t="shared" si="24"/>
        <v>0</v>
      </c>
      <c r="H207" s="427">
        <f t="shared" si="25"/>
        <v>0</v>
      </c>
      <c r="I207" s="759">
        <f t="shared" si="21"/>
        <v>0</v>
      </c>
      <c r="J207" s="177">
        <v>0</v>
      </c>
      <c r="K207" s="427">
        <f t="shared" si="27"/>
        <v>0</v>
      </c>
      <c r="L207" s="427">
        <f t="shared" si="26"/>
        <v>0</v>
      </c>
      <c r="M207" s="680">
        <v>0</v>
      </c>
    </row>
    <row r="208" spans="1:14" s="6" customFormat="1" ht="15.75">
      <c r="A208" s="268">
        <v>117</v>
      </c>
      <c r="B208" s="176" t="s">
        <v>169</v>
      </c>
      <c r="C208" s="535">
        <v>2427.7199999999998</v>
      </c>
      <c r="D208" s="413"/>
      <c r="E208" s="413"/>
      <c r="F208" s="95">
        <f>C208+D208+E208</f>
        <v>2427.7199999999998</v>
      </c>
      <c r="G208" s="319">
        <f t="shared" si="24"/>
        <v>6.3415861477933433E-2</v>
      </c>
      <c r="H208" s="427">
        <f t="shared" si="25"/>
        <v>143.89883375542308</v>
      </c>
      <c r="I208" s="759">
        <f t="shared" si="21"/>
        <v>52.911601171869073</v>
      </c>
      <c r="J208" s="177">
        <v>56.045449011764099</v>
      </c>
      <c r="K208" s="427">
        <f t="shared" si="27"/>
        <v>50.830983767637541</v>
      </c>
      <c r="L208" s="427">
        <f t="shared" si="26"/>
        <v>61.962969212750167</v>
      </c>
      <c r="M208" s="680">
        <f>(K208+J208+I208+H208)/F208</f>
        <v>0.12509138933101585</v>
      </c>
      <c r="N208" s="6" t="s">
        <v>1028</v>
      </c>
    </row>
    <row r="209" spans="1:14" s="6" customFormat="1" ht="15.75">
      <c r="A209" s="268">
        <v>118</v>
      </c>
      <c r="B209" s="176" t="s">
        <v>170</v>
      </c>
      <c r="C209" s="535"/>
      <c r="D209" s="413"/>
      <c r="E209" s="413"/>
      <c r="F209" s="95"/>
      <c r="G209" s="319">
        <f t="shared" si="24"/>
        <v>0</v>
      </c>
      <c r="H209" s="427">
        <f t="shared" si="25"/>
        <v>0</v>
      </c>
      <c r="I209" s="759">
        <f t="shared" si="21"/>
        <v>0</v>
      </c>
      <c r="J209" s="177">
        <v>0</v>
      </c>
      <c r="K209" s="427">
        <f t="shared" si="27"/>
        <v>0</v>
      </c>
      <c r="L209" s="427">
        <f t="shared" si="26"/>
        <v>0</v>
      </c>
      <c r="M209" s="680">
        <v>0</v>
      </c>
    </row>
    <row r="210" spans="1:14" s="6" customFormat="1" ht="15.75">
      <c r="A210" s="268">
        <v>119</v>
      </c>
      <c r="B210" s="176" t="s">
        <v>171</v>
      </c>
      <c r="C210" s="535">
        <v>1387.9</v>
      </c>
      <c r="D210" s="413">
        <v>85.8</v>
      </c>
      <c r="E210" s="413"/>
      <c r="F210" s="95">
        <f>C210+D210+E210</f>
        <v>1473.7</v>
      </c>
      <c r="G210" s="319">
        <f t="shared" si="24"/>
        <v>3.8495359868531177E-2</v>
      </c>
      <c r="H210" s="427">
        <f t="shared" si="25"/>
        <v>87.350975938480161</v>
      </c>
      <c r="I210" s="759">
        <f t="shared" ref="I210:I273" si="28">H210*0.3677</f>
        <v>32.11895385257916</v>
      </c>
      <c r="J210" s="177">
        <v>34.021294963437605</v>
      </c>
      <c r="K210" s="427">
        <f t="shared" si="27"/>
        <v>30.855955702621163</v>
      </c>
      <c r="L210" s="427">
        <f t="shared" si="26"/>
        <v>37.613410001495197</v>
      </c>
      <c r="M210" s="680">
        <f>(K210+J210+I210+H210)/F210</f>
        <v>0.12509138933101588</v>
      </c>
      <c r="N210" s="6" t="s">
        <v>1028</v>
      </c>
    </row>
    <row r="211" spans="1:14" s="6" customFormat="1" ht="15.75">
      <c r="A211" s="275">
        <v>120</v>
      </c>
      <c r="B211" s="176" t="s">
        <v>172</v>
      </c>
      <c r="C211" s="535">
        <v>2507</v>
      </c>
      <c r="D211" s="413"/>
      <c r="E211" s="413"/>
      <c r="F211" s="95">
        <f>C211+D211+E211</f>
        <v>2507</v>
      </c>
      <c r="G211" s="319">
        <f t="shared" si="24"/>
        <v>6.5486779663708805E-2</v>
      </c>
      <c r="H211" s="427">
        <f t="shared" si="25"/>
        <v>148.59801633831157</v>
      </c>
      <c r="I211" s="759">
        <f t="shared" si="28"/>
        <v>54.639490607597168</v>
      </c>
      <c r="J211" s="177">
        <v>57.875677867502262</v>
      </c>
      <c r="K211" s="427">
        <f t="shared" si="27"/>
        <v>52.490928239445793</v>
      </c>
      <c r="L211" s="427">
        <f t="shared" si="26"/>
        <v>63.986441523884423</v>
      </c>
      <c r="M211" s="680">
        <f>(K211+J211+I211+H211)/F211</f>
        <v>0.12509138933101585</v>
      </c>
      <c r="N211" s="6" t="s">
        <v>1028</v>
      </c>
    </row>
    <row r="212" spans="1:14" s="6" customFormat="1" ht="15.75">
      <c r="A212" s="268">
        <v>121</v>
      </c>
      <c r="B212" s="176" t="s">
        <v>173</v>
      </c>
      <c r="C212" s="535">
        <v>3505.3</v>
      </c>
      <c r="D212" s="413"/>
      <c r="E212" s="413"/>
      <c r="F212" s="95">
        <f>C212+D212+E212</f>
        <v>3505.3</v>
      </c>
      <c r="G212" s="319">
        <f t="shared" si="24"/>
        <v>9.156394445759812E-2</v>
      </c>
      <c r="H212" s="427">
        <f t="shared" si="25"/>
        <v>207.77049328706963</v>
      </c>
      <c r="I212" s="759">
        <f t="shared" si="28"/>
        <v>76.397210381655512</v>
      </c>
      <c r="J212" s="177">
        <v>80.922063673297046</v>
      </c>
      <c r="K212" s="427">
        <f t="shared" si="27"/>
        <v>73.393079679987764</v>
      </c>
      <c r="L212" s="427">
        <f t="shared" si="26"/>
        <v>89.466164129905096</v>
      </c>
      <c r="M212" s="680">
        <f>(K212+J212+I212+H212)/F212</f>
        <v>0.12509138933101588</v>
      </c>
      <c r="N212" s="6" t="s">
        <v>1028</v>
      </c>
    </row>
    <row r="213" spans="1:14" s="6" customFormat="1" ht="15.75">
      <c r="A213" s="268">
        <v>122</v>
      </c>
      <c r="B213" s="176" t="s">
        <v>174</v>
      </c>
      <c r="C213" s="535"/>
      <c r="D213" s="413"/>
      <c r="E213" s="413"/>
      <c r="F213" s="95"/>
      <c r="G213" s="319">
        <f t="shared" si="24"/>
        <v>0</v>
      </c>
      <c r="H213" s="427">
        <f t="shared" si="25"/>
        <v>0</v>
      </c>
      <c r="I213" s="759">
        <f t="shared" si="28"/>
        <v>0</v>
      </c>
      <c r="J213" s="177">
        <v>0</v>
      </c>
      <c r="K213" s="427">
        <f t="shared" si="27"/>
        <v>0</v>
      </c>
      <c r="L213" s="427">
        <f t="shared" si="26"/>
        <v>0</v>
      </c>
      <c r="M213" s="680">
        <v>0</v>
      </c>
    </row>
    <row r="214" spans="1:14" s="6" customFormat="1" ht="15.75">
      <c r="A214" s="268">
        <v>123</v>
      </c>
      <c r="B214" s="176" t="s">
        <v>175</v>
      </c>
      <c r="C214" s="535">
        <v>3560.1</v>
      </c>
      <c r="D214" s="413"/>
      <c r="E214" s="413"/>
      <c r="F214" s="95">
        <f>C214+D214+E214</f>
        <v>3560.1</v>
      </c>
      <c r="G214" s="319">
        <f t="shared" si="24"/>
        <v>9.2995406573900957E-2</v>
      </c>
      <c r="H214" s="427">
        <f t="shared" si="25"/>
        <v>211.01866691903589</v>
      </c>
      <c r="I214" s="759">
        <f t="shared" si="28"/>
        <v>77.591563826129502</v>
      </c>
      <c r="J214" s="177">
        <v>82.187156272873864</v>
      </c>
      <c r="K214" s="427">
        <f t="shared" si="27"/>
        <v>74.540468139310306</v>
      </c>
      <c r="L214" s="427">
        <f t="shared" si="26"/>
        <v>90.864830661819269</v>
      </c>
      <c r="M214" s="680">
        <f>(K214+J214+I214+H214)/F214</f>
        <v>0.12509138933101588</v>
      </c>
      <c r="N214" s="6" t="s">
        <v>1028</v>
      </c>
    </row>
    <row r="215" spans="1:14" s="6" customFormat="1" ht="15.75">
      <c r="A215" s="268">
        <v>124</v>
      </c>
      <c r="B215" s="176" t="s">
        <v>176</v>
      </c>
      <c r="C215" s="535"/>
      <c r="D215" s="413"/>
      <c r="E215" s="413"/>
      <c r="F215" s="95"/>
      <c r="G215" s="319">
        <f t="shared" si="24"/>
        <v>0</v>
      </c>
      <c r="H215" s="427">
        <f t="shared" si="25"/>
        <v>0</v>
      </c>
      <c r="I215" s="759">
        <f t="shared" si="28"/>
        <v>0</v>
      </c>
      <c r="J215" s="177">
        <v>0</v>
      </c>
      <c r="K215" s="427">
        <f t="shared" si="27"/>
        <v>0</v>
      </c>
      <c r="L215" s="427">
        <f t="shared" si="26"/>
        <v>0</v>
      </c>
      <c r="M215" s="680">
        <v>0</v>
      </c>
    </row>
    <row r="216" spans="1:14" s="6" customFormat="1" ht="15.75">
      <c r="A216" s="268">
        <v>125</v>
      </c>
      <c r="B216" s="176" t="s">
        <v>177</v>
      </c>
      <c r="C216" s="535"/>
      <c r="D216" s="413"/>
      <c r="E216" s="413"/>
      <c r="F216" s="95"/>
      <c r="G216" s="319">
        <f t="shared" si="24"/>
        <v>0</v>
      </c>
      <c r="H216" s="427">
        <f t="shared" si="25"/>
        <v>0</v>
      </c>
      <c r="I216" s="759">
        <f t="shared" si="28"/>
        <v>0</v>
      </c>
      <c r="J216" s="177">
        <v>0</v>
      </c>
      <c r="K216" s="427">
        <f t="shared" si="27"/>
        <v>0</v>
      </c>
      <c r="L216" s="427">
        <f t="shared" si="26"/>
        <v>0</v>
      </c>
      <c r="M216" s="680">
        <v>0</v>
      </c>
    </row>
    <row r="217" spans="1:14" s="6" customFormat="1" ht="15.75">
      <c r="A217" s="268">
        <v>126</v>
      </c>
      <c r="B217" s="176" t="s">
        <v>178</v>
      </c>
      <c r="C217" s="535"/>
      <c r="D217" s="413"/>
      <c r="E217" s="413"/>
      <c r="F217" s="95"/>
      <c r="G217" s="319">
        <f t="shared" si="24"/>
        <v>0</v>
      </c>
      <c r="H217" s="427">
        <f t="shared" si="25"/>
        <v>0</v>
      </c>
      <c r="I217" s="759">
        <f t="shared" si="28"/>
        <v>0</v>
      </c>
      <c r="J217" s="177">
        <v>0</v>
      </c>
      <c r="K217" s="427">
        <f t="shared" si="27"/>
        <v>0</v>
      </c>
      <c r="L217" s="427">
        <f t="shared" si="26"/>
        <v>0</v>
      </c>
      <c r="M217" s="680">
        <v>0</v>
      </c>
    </row>
    <row r="218" spans="1:14" s="6" customFormat="1" ht="15.75">
      <c r="A218" s="275">
        <v>127</v>
      </c>
      <c r="B218" s="176" t="s">
        <v>179</v>
      </c>
      <c r="C218" s="535"/>
      <c r="D218" s="413"/>
      <c r="E218" s="413"/>
      <c r="F218" s="95"/>
      <c r="G218" s="319">
        <f t="shared" si="24"/>
        <v>0</v>
      </c>
      <c r="H218" s="427">
        <f t="shared" si="25"/>
        <v>0</v>
      </c>
      <c r="I218" s="759">
        <f t="shared" si="28"/>
        <v>0</v>
      </c>
      <c r="J218" s="177">
        <v>0</v>
      </c>
      <c r="K218" s="427">
        <f t="shared" si="27"/>
        <v>0</v>
      </c>
      <c r="L218" s="427">
        <f t="shared" si="26"/>
        <v>0</v>
      </c>
      <c r="M218" s="680">
        <v>0</v>
      </c>
    </row>
    <row r="219" spans="1:14" s="6" customFormat="1" ht="15.75">
      <c r="A219" s="268">
        <v>128</v>
      </c>
      <c r="B219" s="176" t="s">
        <v>180</v>
      </c>
      <c r="C219" s="535"/>
      <c r="D219" s="413"/>
      <c r="E219" s="413"/>
      <c r="F219" s="95"/>
      <c r="G219" s="319">
        <f t="shared" si="24"/>
        <v>0</v>
      </c>
      <c r="H219" s="427">
        <f t="shared" si="25"/>
        <v>0</v>
      </c>
      <c r="I219" s="759">
        <f t="shared" si="28"/>
        <v>0</v>
      </c>
      <c r="J219" s="177">
        <v>0</v>
      </c>
      <c r="K219" s="427">
        <f t="shared" si="27"/>
        <v>0</v>
      </c>
      <c r="L219" s="427">
        <f t="shared" si="26"/>
        <v>0</v>
      </c>
      <c r="M219" s="680">
        <v>0</v>
      </c>
    </row>
    <row r="220" spans="1:14" s="6" customFormat="1" ht="15.75">
      <c r="A220" s="268">
        <v>129</v>
      </c>
      <c r="B220" s="176" t="s">
        <v>181</v>
      </c>
      <c r="C220" s="535"/>
      <c r="D220" s="413"/>
      <c r="E220" s="413"/>
      <c r="F220" s="95"/>
      <c r="G220" s="319">
        <f t="shared" ref="G220:G283" si="29">2.5/95706.34*F220</f>
        <v>0</v>
      </c>
      <c r="H220" s="427">
        <f t="shared" si="25"/>
        <v>0</v>
      </c>
      <c r="I220" s="759">
        <f t="shared" si="28"/>
        <v>0</v>
      </c>
      <c r="J220" s="177">
        <v>0</v>
      </c>
      <c r="K220" s="427">
        <f t="shared" si="27"/>
        <v>0</v>
      </c>
      <c r="L220" s="427">
        <f t="shared" si="26"/>
        <v>0</v>
      </c>
      <c r="M220" s="680">
        <v>0</v>
      </c>
    </row>
    <row r="221" spans="1:14" s="6" customFormat="1" ht="15.75">
      <c r="A221" s="268">
        <v>130</v>
      </c>
      <c r="B221" s="176" t="s">
        <v>182</v>
      </c>
      <c r="C221" s="535"/>
      <c r="D221" s="413"/>
      <c r="E221" s="413"/>
      <c r="F221" s="95"/>
      <c r="G221" s="319">
        <f t="shared" si="29"/>
        <v>0</v>
      </c>
      <c r="H221" s="427">
        <f t="shared" ref="H221:H284" si="30">G221*2269.13</f>
        <v>0</v>
      </c>
      <c r="I221" s="759">
        <f t="shared" si="28"/>
        <v>0</v>
      </c>
      <c r="J221" s="177">
        <v>0</v>
      </c>
      <c r="K221" s="427">
        <f t="shared" si="27"/>
        <v>0</v>
      </c>
      <c r="L221" s="427">
        <f t="shared" ref="L221:L284" si="31">K221*1.219</f>
        <v>0</v>
      </c>
      <c r="M221" s="680">
        <v>0</v>
      </c>
    </row>
    <row r="222" spans="1:14" s="6" customFormat="1" ht="15.75">
      <c r="A222" s="268">
        <v>131</v>
      </c>
      <c r="B222" s="176" t="s">
        <v>183</v>
      </c>
      <c r="C222" s="535"/>
      <c r="D222" s="413"/>
      <c r="E222" s="413"/>
      <c r="F222" s="95"/>
      <c r="G222" s="319">
        <f t="shared" si="29"/>
        <v>0</v>
      </c>
      <c r="H222" s="427">
        <f t="shared" si="30"/>
        <v>0</v>
      </c>
      <c r="I222" s="759">
        <f t="shared" si="28"/>
        <v>0</v>
      </c>
      <c r="J222" s="177">
        <v>0</v>
      </c>
      <c r="K222" s="427">
        <f t="shared" si="27"/>
        <v>0</v>
      </c>
      <c r="L222" s="427">
        <f t="shared" si="31"/>
        <v>0</v>
      </c>
      <c r="M222" s="680">
        <v>0</v>
      </c>
    </row>
    <row r="223" spans="1:14" s="6" customFormat="1" ht="15.75">
      <c r="A223" s="268">
        <v>132</v>
      </c>
      <c r="B223" s="176" t="s">
        <v>184</v>
      </c>
      <c r="C223" s="535"/>
      <c r="D223" s="413"/>
      <c r="E223" s="413"/>
      <c r="F223" s="95"/>
      <c r="G223" s="319">
        <f t="shared" si="29"/>
        <v>0</v>
      </c>
      <c r="H223" s="427">
        <f t="shared" si="30"/>
        <v>0</v>
      </c>
      <c r="I223" s="759">
        <f t="shared" si="28"/>
        <v>0</v>
      </c>
      <c r="J223" s="177">
        <v>0</v>
      </c>
      <c r="K223" s="427">
        <f t="shared" si="27"/>
        <v>0</v>
      </c>
      <c r="L223" s="427">
        <f t="shared" si="31"/>
        <v>0</v>
      </c>
      <c r="M223" s="680">
        <v>0</v>
      </c>
    </row>
    <row r="224" spans="1:14" s="6" customFormat="1" ht="15.75">
      <c r="A224" s="268">
        <v>133</v>
      </c>
      <c r="B224" s="176" t="s">
        <v>185</v>
      </c>
      <c r="C224" s="535"/>
      <c r="D224" s="413"/>
      <c r="E224" s="413"/>
      <c r="F224" s="95"/>
      <c r="G224" s="319">
        <f t="shared" si="29"/>
        <v>0</v>
      </c>
      <c r="H224" s="427">
        <f t="shared" si="30"/>
        <v>0</v>
      </c>
      <c r="I224" s="759">
        <f t="shared" si="28"/>
        <v>0</v>
      </c>
      <c r="J224" s="177">
        <v>0</v>
      </c>
      <c r="K224" s="427">
        <f t="shared" si="27"/>
        <v>0</v>
      </c>
      <c r="L224" s="427">
        <f t="shared" si="31"/>
        <v>0</v>
      </c>
      <c r="M224" s="680">
        <v>0</v>
      </c>
    </row>
    <row r="225" spans="1:14" s="6" customFormat="1" ht="15.75">
      <c r="A225" s="275">
        <v>134</v>
      </c>
      <c r="B225" s="176" t="s">
        <v>186</v>
      </c>
      <c r="C225" s="535"/>
      <c r="D225" s="413"/>
      <c r="E225" s="413"/>
      <c r="F225" s="95"/>
      <c r="G225" s="319">
        <f t="shared" si="29"/>
        <v>0</v>
      </c>
      <c r="H225" s="427">
        <f t="shared" si="30"/>
        <v>0</v>
      </c>
      <c r="I225" s="759">
        <f t="shared" si="28"/>
        <v>0</v>
      </c>
      <c r="J225" s="177">
        <v>0</v>
      </c>
      <c r="K225" s="427">
        <f t="shared" si="27"/>
        <v>0</v>
      </c>
      <c r="L225" s="427">
        <f t="shared" si="31"/>
        <v>0</v>
      </c>
      <c r="M225" s="680">
        <v>0</v>
      </c>
    </row>
    <row r="226" spans="1:14" s="6" customFormat="1" ht="15.75">
      <c r="A226" s="268">
        <v>135</v>
      </c>
      <c r="B226" s="176" t="s">
        <v>187</v>
      </c>
      <c r="C226" s="535"/>
      <c r="D226" s="413"/>
      <c r="E226" s="413"/>
      <c r="F226" s="95"/>
      <c r="G226" s="319">
        <f t="shared" si="29"/>
        <v>0</v>
      </c>
      <c r="H226" s="427">
        <f t="shared" si="30"/>
        <v>0</v>
      </c>
      <c r="I226" s="759">
        <f t="shared" si="28"/>
        <v>0</v>
      </c>
      <c r="J226" s="177">
        <v>0</v>
      </c>
      <c r="K226" s="427">
        <f t="shared" si="27"/>
        <v>0</v>
      </c>
      <c r="L226" s="427">
        <f t="shared" si="31"/>
        <v>0</v>
      </c>
      <c r="M226" s="680">
        <v>0</v>
      </c>
    </row>
    <row r="227" spans="1:14" s="6" customFormat="1" ht="15.75">
      <c r="A227" s="268">
        <v>136</v>
      </c>
      <c r="B227" s="176" t="s">
        <v>188</v>
      </c>
      <c r="C227" s="535"/>
      <c r="D227" s="413"/>
      <c r="E227" s="413"/>
      <c r="F227" s="95"/>
      <c r="G227" s="319">
        <f t="shared" si="29"/>
        <v>0</v>
      </c>
      <c r="H227" s="427">
        <f t="shared" si="30"/>
        <v>0</v>
      </c>
      <c r="I227" s="759">
        <f t="shared" si="28"/>
        <v>0</v>
      </c>
      <c r="J227" s="177">
        <v>0</v>
      </c>
      <c r="K227" s="427">
        <f t="shared" si="27"/>
        <v>0</v>
      </c>
      <c r="L227" s="427">
        <f t="shared" si="31"/>
        <v>0</v>
      </c>
      <c r="M227" s="680">
        <v>0</v>
      </c>
    </row>
    <row r="228" spans="1:14" s="6" customFormat="1" ht="15.75">
      <c r="A228" s="268">
        <v>137</v>
      </c>
      <c r="B228" s="176" t="s">
        <v>189</v>
      </c>
      <c r="C228" s="535"/>
      <c r="D228" s="413"/>
      <c r="E228" s="413"/>
      <c r="F228" s="95"/>
      <c r="G228" s="319">
        <f t="shared" si="29"/>
        <v>0</v>
      </c>
      <c r="H228" s="427">
        <f t="shared" si="30"/>
        <v>0</v>
      </c>
      <c r="I228" s="759">
        <f t="shared" si="28"/>
        <v>0</v>
      </c>
      <c r="J228" s="177">
        <v>0</v>
      </c>
      <c r="K228" s="427">
        <f t="shared" si="27"/>
        <v>0</v>
      </c>
      <c r="L228" s="427">
        <f t="shared" si="31"/>
        <v>0</v>
      </c>
      <c r="M228" s="680">
        <v>0</v>
      </c>
    </row>
    <row r="229" spans="1:14" s="6" customFormat="1" ht="15.75">
      <c r="A229" s="268">
        <v>138</v>
      </c>
      <c r="B229" s="176" t="s">
        <v>190</v>
      </c>
      <c r="C229" s="535"/>
      <c r="D229" s="413"/>
      <c r="E229" s="413"/>
      <c r="F229" s="95"/>
      <c r="G229" s="319">
        <f t="shared" si="29"/>
        <v>0</v>
      </c>
      <c r="H229" s="427">
        <f t="shared" si="30"/>
        <v>0</v>
      </c>
      <c r="I229" s="759">
        <f t="shared" si="28"/>
        <v>0</v>
      </c>
      <c r="J229" s="177">
        <v>0</v>
      </c>
      <c r="K229" s="427">
        <f t="shared" si="27"/>
        <v>0</v>
      </c>
      <c r="L229" s="427">
        <f t="shared" si="31"/>
        <v>0</v>
      </c>
      <c r="M229" s="680">
        <v>0</v>
      </c>
    </row>
    <row r="230" spans="1:14" s="6" customFormat="1" ht="15.75">
      <c r="A230" s="268">
        <v>139</v>
      </c>
      <c r="B230" s="176" t="s">
        <v>191</v>
      </c>
      <c r="C230" s="535"/>
      <c r="D230" s="413"/>
      <c r="E230" s="413"/>
      <c r="F230" s="95"/>
      <c r="G230" s="319">
        <f t="shared" si="29"/>
        <v>0</v>
      </c>
      <c r="H230" s="427">
        <f t="shared" si="30"/>
        <v>0</v>
      </c>
      <c r="I230" s="759">
        <f t="shared" si="28"/>
        <v>0</v>
      </c>
      <c r="J230" s="177">
        <v>0</v>
      </c>
      <c r="K230" s="427">
        <f t="shared" si="27"/>
        <v>0</v>
      </c>
      <c r="L230" s="427">
        <f t="shared" si="31"/>
        <v>0</v>
      </c>
      <c r="M230" s="680">
        <v>0</v>
      </c>
    </row>
    <row r="231" spans="1:14" s="6" customFormat="1" ht="15.75">
      <c r="A231" s="268">
        <v>140</v>
      </c>
      <c r="B231" s="176" t="s">
        <v>192</v>
      </c>
      <c r="C231" s="535"/>
      <c r="D231" s="413"/>
      <c r="E231" s="413"/>
      <c r="F231" s="95"/>
      <c r="G231" s="319">
        <f t="shared" si="29"/>
        <v>0</v>
      </c>
      <c r="H231" s="427">
        <f t="shared" si="30"/>
        <v>0</v>
      </c>
      <c r="I231" s="759">
        <f t="shared" si="28"/>
        <v>0</v>
      </c>
      <c r="J231" s="177">
        <v>0</v>
      </c>
      <c r="K231" s="427">
        <f t="shared" si="27"/>
        <v>0</v>
      </c>
      <c r="L231" s="427">
        <f t="shared" si="31"/>
        <v>0</v>
      </c>
      <c r="M231" s="680">
        <v>0</v>
      </c>
    </row>
    <row r="232" spans="1:14" s="6" customFormat="1" ht="15.75">
      <c r="A232" s="275">
        <v>141</v>
      </c>
      <c r="B232" s="274" t="s">
        <v>193</v>
      </c>
      <c r="C232" s="535"/>
      <c r="D232" s="413"/>
      <c r="E232" s="413"/>
      <c r="F232" s="95"/>
      <c r="G232" s="319">
        <f t="shared" si="29"/>
        <v>0</v>
      </c>
      <c r="H232" s="427">
        <f t="shared" si="30"/>
        <v>0</v>
      </c>
      <c r="I232" s="759">
        <f t="shared" si="28"/>
        <v>0</v>
      </c>
      <c r="J232" s="177">
        <v>0</v>
      </c>
      <c r="K232" s="427">
        <f t="shared" si="27"/>
        <v>0</v>
      </c>
      <c r="L232" s="427">
        <f t="shared" si="31"/>
        <v>0</v>
      </c>
      <c r="M232" s="680">
        <v>0</v>
      </c>
    </row>
    <row r="233" spans="1:14" s="6" customFormat="1" ht="15.75">
      <c r="A233" s="268">
        <v>142</v>
      </c>
      <c r="B233" s="176" t="s">
        <v>194</v>
      </c>
      <c r="C233" s="535">
        <v>306.10000000000002</v>
      </c>
      <c r="D233" s="413"/>
      <c r="E233" s="413"/>
      <c r="F233" s="95">
        <f>C233+D233+E233</f>
        <v>306.10000000000002</v>
      </c>
      <c r="G233" s="319">
        <f t="shared" si="29"/>
        <v>7.9958130255529582E-3</v>
      </c>
      <c r="H233" s="427">
        <f t="shared" si="30"/>
        <v>18.143539210672984</v>
      </c>
      <c r="I233" s="759">
        <f t="shared" si="28"/>
        <v>6.6713793677644562</v>
      </c>
      <c r="J233" s="177">
        <v>7.0665117651545453</v>
      </c>
      <c r="K233" s="427">
        <f t="shared" si="27"/>
        <v>6.4090439306319738</v>
      </c>
      <c r="L233" s="427">
        <f t="shared" si="31"/>
        <v>7.8126245514403765</v>
      </c>
      <c r="M233" s="680">
        <f>(K233+J233+I233+H233)/F233</f>
        <v>0.12509138933101585</v>
      </c>
      <c r="N233" s="6" t="s">
        <v>1028</v>
      </c>
    </row>
    <row r="234" spans="1:14" s="6" customFormat="1" ht="15.75">
      <c r="A234" s="268">
        <v>143</v>
      </c>
      <c r="B234" s="176" t="s">
        <v>195</v>
      </c>
      <c r="C234" s="535"/>
      <c r="D234" s="413"/>
      <c r="E234" s="413"/>
      <c r="F234" s="95"/>
      <c r="G234" s="319">
        <f t="shared" si="29"/>
        <v>0</v>
      </c>
      <c r="H234" s="427">
        <f t="shared" si="30"/>
        <v>0</v>
      </c>
      <c r="I234" s="759">
        <f t="shared" si="28"/>
        <v>0</v>
      </c>
      <c r="J234" s="177">
        <v>0</v>
      </c>
      <c r="K234" s="427">
        <f t="shared" si="27"/>
        <v>0</v>
      </c>
      <c r="L234" s="427">
        <f t="shared" si="31"/>
        <v>0</v>
      </c>
      <c r="M234" s="680">
        <v>0</v>
      </c>
    </row>
    <row r="235" spans="1:14" s="6" customFormat="1" ht="15.75">
      <c r="A235" s="268">
        <v>144</v>
      </c>
      <c r="B235" s="176" t="s">
        <v>196</v>
      </c>
      <c r="C235" s="535"/>
      <c r="D235" s="413"/>
      <c r="E235" s="413"/>
      <c r="F235" s="95"/>
      <c r="G235" s="319">
        <f t="shared" si="29"/>
        <v>0</v>
      </c>
      <c r="H235" s="427">
        <f t="shared" si="30"/>
        <v>0</v>
      </c>
      <c r="I235" s="759">
        <f t="shared" si="28"/>
        <v>0</v>
      </c>
      <c r="J235" s="177">
        <v>0</v>
      </c>
      <c r="K235" s="427">
        <f t="shared" si="27"/>
        <v>0</v>
      </c>
      <c r="L235" s="427">
        <f t="shared" si="31"/>
        <v>0</v>
      </c>
      <c r="M235" s="680">
        <v>0</v>
      </c>
    </row>
    <row r="236" spans="1:14" s="6" customFormat="1" ht="15.75">
      <c r="A236" s="268">
        <v>145</v>
      </c>
      <c r="B236" s="176" t="s">
        <v>197</v>
      </c>
      <c r="C236" s="535"/>
      <c r="D236" s="413"/>
      <c r="E236" s="413"/>
      <c r="F236" s="95"/>
      <c r="G236" s="319">
        <f t="shared" si="29"/>
        <v>0</v>
      </c>
      <c r="H236" s="427">
        <f t="shared" si="30"/>
        <v>0</v>
      </c>
      <c r="I236" s="759">
        <f t="shared" si="28"/>
        <v>0</v>
      </c>
      <c r="J236" s="177">
        <v>0</v>
      </c>
      <c r="K236" s="427">
        <f t="shared" si="27"/>
        <v>0</v>
      </c>
      <c r="L236" s="427">
        <f t="shared" si="31"/>
        <v>0</v>
      </c>
      <c r="M236" s="680">
        <v>0</v>
      </c>
    </row>
    <row r="237" spans="1:14" s="6" customFormat="1" ht="15.75">
      <c r="A237" s="268">
        <v>146</v>
      </c>
      <c r="B237" s="176" t="s">
        <v>198</v>
      </c>
      <c r="C237" s="535">
        <v>2111.66</v>
      </c>
      <c r="D237" s="413"/>
      <c r="E237" s="413"/>
      <c r="F237" s="95">
        <f>C237+D237+E237</f>
        <v>2111.66</v>
      </c>
      <c r="G237" s="319">
        <f t="shared" si="29"/>
        <v>5.5159877600585286E-2</v>
      </c>
      <c r="H237" s="427">
        <f t="shared" si="30"/>
        <v>125.16493305981609</v>
      </c>
      <c r="I237" s="759">
        <f t="shared" si="28"/>
        <v>46.023145886094383</v>
      </c>
      <c r="J237" s="177">
        <v>48.749004358073321</v>
      </c>
      <c r="K237" s="427">
        <f t="shared" si="27"/>
        <v>44.21339989074913</v>
      </c>
      <c r="L237" s="427">
        <f t="shared" si="31"/>
        <v>53.896134466823192</v>
      </c>
      <c r="M237" s="680">
        <f>(K237+J237+I237+H237)/F237</f>
        <v>0.12509138933101585</v>
      </c>
      <c r="N237" s="6" t="s">
        <v>1028</v>
      </c>
    </row>
    <row r="238" spans="1:14" s="6" customFormat="1" ht="15.75">
      <c r="A238" s="268">
        <v>147</v>
      </c>
      <c r="B238" s="176" t="s">
        <v>199</v>
      </c>
      <c r="C238" s="535"/>
      <c r="D238" s="413"/>
      <c r="E238" s="413"/>
      <c r="F238" s="95"/>
      <c r="G238" s="319">
        <f t="shared" si="29"/>
        <v>0</v>
      </c>
      <c r="H238" s="427">
        <f t="shared" si="30"/>
        <v>0</v>
      </c>
      <c r="I238" s="759">
        <f t="shared" si="28"/>
        <v>0</v>
      </c>
      <c r="J238" s="177">
        <v>0</v>
      </c>
      <c r="K238" s="427">
        <f t="shared" si="27"/>
        <v>0</v>
      </c>
      <c r="L238" s="427">
        <f t="shared" si="31"/>
        <v>0</v>
      </c>
      <c r="M238" s="680">
        <v>0</v>
      </c>
    </row>
    <row r="239" spans="1:14" s="6" customFormat="1" ht="15.75">
      <c r="A239" s="275">
        <v>148</v>
      </c>
      <c r="B239" s="176" t="s">
        <v>200</v>
      </c>
      <c r="C239" s="535"/>
      <c r="D239" s="413"/>
      <c r="E239" s="413"/>
      <c r="F239" s="95"/>
      <c r="G239" s="319">
        <f t="shared" si="29"/>
        <v>0</v>
      </c>
      <c r="H239" s="427">
        <f t="shared" si="30"/>
        <v>0</v>
      </c>
      <c r="I239" s="759">
        <f t="shared" si="28"/>
        <v>0</v>
      </c>
      <c r="J239" s="177">
        <v>0</v>
      </c>
      <c r="K239" s="427">
        <f t="shared" si="27"/>
        <v>0</v>
      </c>
      <c r="L239" s="427">
        <f t="shared" si="31"/>
        <v>0</v>
      </c>
      <c r="M239" s="680">
        <v>0</v>
      </c>
    </row>
    <row r="240" spans="1:14" s="6" customFormat="1" ht="15.75">
      <c r="A240" s="268">
        <v>149</v>
      </c>
      <c r="B240" s="176" t="s">
        <v>201</v>
      </c>
      <c r="C240" s="535"/>
      <c r="D240" s="413"/>
      <c r="E240" s="413"/>
      <c r="F240" s="95"/>
      <c r="G240" s="319">
        <f t="shared" si="29"/>
        <v>0</v>
      </c>
      <c r="H240" s="427">
        <f t="shared" si="30"/>
        <v>0</v>
      </c>
      <c r="I240" s="759">
        <f t="shared" si="28"/>
        <v>0</v>
      </c>
      <c r="J240" s="177">
        <v>0</v>
      </c>
      <c r="K240" s="427">
        <f t="shared" si="27"/>
        <v>0</v>
      </c>
      <c r="L240" s="427">
        <f t="shared" si="31"/>
        <v>0</v>
      </c>
      <c r="M240" s="680">
        <v>0</v>
      </c>
    </row>
    <row r="241" spans="1:13" s="6" customFormat="1" ht="15.75">
      <c r="A241" s="268">
        <v>150</v>
      </c>
      <c r="B241" s="176" t="s">
        <v>202</v>
      </c>
      <c r="C241" s="535"/>
      <c r="D241" s="413"/>
      <c r="E241" s="413"/>
      <c r="F241" s="95"/>
      <c r="G241" s="319">
        <f t="shared" si="29"/>
        <v>0</v>
      </c>
      <c r="H241" s="427">
        <f t="shared" si="30"/>
        <v>0</v>
      </c>
      <c r="I241" s="759">
        <f t="shared" si="28"/>
        <v>0</v>
      </c>
      <c r="J241" s="177">
        <v>0</v>
      </c>
      <c r="K241" s="427">
        <f t="shared" si="27"/>
        <v>0</v>
      </c>
      <c r="L241" s="427">
        <f t="shared" si="31"/>
        <v>0</v>
      </c>
      <c r="M241" s="680">
        <v>0</v>
      </c>
    </row>
    <row r="242" spans="1:13" s="6" customFormat="1" ht="15.75">
      <c r="A242" s="268">
        <v>151</v>
      </c>
      <c r="B242" s="176" t="s">
        <v>203</v>
      </c>
      <c r="C242" s="535"/>
      <c r="D242" s="413"/>
      <c r="E242" s="413"/>
      <c r="F242" s="95"/>
      <c r="G242" s="319">
        <f t="shared" si="29"/>
        <v>0</v>
      </c>
      <c r="H242" s="427">
        <f t="shared" si="30"/>
        <v>0</v>
      </c>
      <c r="I242" s="759">
        <f t="shared" si="28"/>
        <v>0</v>
      </c>
      <c r="J242" s="177">
        <v>0</v>
      </c>
      <c r="K242" s="427">
        <f t="shared" si="27"/>
        <v>0</v>
      </c>
      <c r="L242" s="427">
        <f t="shared" si="31"/>
        <v>0</v>
      </c>
      <c r="M242" s="680">
        <v>0</v>
      </c>
    </row>
    <row r="243" spans="1:13" s="6" customFormat="1" ht="15.75">
      <c r="A243" s="268">
        <v>152</v>
      </c>
      <c r="B243" s="176" t="s">
        <v>204</v>
      </c>
      <c r="C243" s="535"/>
      <c r="D243" s="413"/>
      <c r="E243" s="413"/>
      <c r="F243" s="95"/>
      <c r="G243" s="319">
        <f t="shared" si="29"/>
        <v>0</v>
      </c>
      <c r="H243" s="427">
        <f t="shared" si="30"/>
        <v>0</v>
      </c>
      <c r="I243" s="759">
        <f t="shared" si="28"/>
        <v>0</v>
      </c>
      <c r="J243" s="177">
        <v>0</v>
      </c>
      <c r="K243" s="427">
        <f t="shared" si="27"/>
        <v>0</v>
      </c>
      <c r="L243" s="427">
        <f t="shared" si="31"/>
        <v>0</v>
      </c>
      <c r="M243" s="680">
        <v>0</v>
      </c>
    </row>
    <row r="244" spans="1:13" s="6" customFormat="1" ht="15.75">
      <c r="A244" s="268">
        <v>153</v>
      </c>
      <c r="B244" s="176" t="s">
        <v>205</v>
      </c>
      <c r="C244" s="535"/>
      <c r="D244" s="413"/>
      <c r="E244" s="413"/>
      <c r="F244" s="95"/>
      <c r="G244" s="319">
        <f t="shared" si="29"/>
        <v>0</v>
      </c>
      <c r="H244" s="427">
        <f t="shared" si="30"/>
        <v>0</v>
      </c>
      <c r="I244" s="759">
        <f t="shared" si="28"/>
        <v>0</v>
      </c>
      <c r="J244" s="177">
        <v>0</v>
      </c>
      <c r="K244" s="427">
        <f t="shared" si="27"/>
        <v>0</v>
      </c>
      <c r="L244" s="427">
        <f t="shared" si="31"/>
        <v>0</v>
      </c>
      <c r="M244" s="680">
        <v>0</v>
      </c>
    </row>
    <row r="245" spans="1:13" s="6" customFormat="1" ht="15.75">
      <c r="A245" s="268">
        <v>154</v>
      </c>
      <c r="B245" s="176" t="s">
        <v>206</v>
      </c>
      <c r="C245" s="535"/>
      <c r="D245" s="413"/>
      <c r="E245" s="413"/>
      <c r="F245" s="95"/>
      <c r="G245" s="319">
        <f t="shared" si="29"/>
        <v>0</v>
      </c>
      <c r="H245" s="427">
        <f t="shared" si="30"/>
        <v>0</v>
      </c>
      <c r="I245" s="759">
        <f t="shared" si="28"/>
        <v>0</v>
      </c>
      <c r="J245" s="177">
        <v>0</v>
      </c>
      <c r="K245" s="427">
        <f t="shared" si="27"/>
        <v>0</v>
      </c>
      <c r="L245" s="427">
        <f t="shared" si="31"/>
        <v>0</v>
      </c>
      <c r="M245" s="680">
        <v>0</v>
      </c>
    </row>
    <row r="246" spans="1:13" s="6" customFormat="1" ht="15.75">
      <c r="A246" s="275">
        <v>155</v>
      </c>
      <c r="B246" s="176" t="s">
        <v>207</v>
      </c>
      <c r="C246" s="535"/>
      <c r="D246" s="413"/>
      <c r="E246" s="413"/>
      <c r="F246" s="95"/>
      <c r="G246" s="319">
        <f t="shared" si="29"/>
        <v>0</v>
      </c>
      <c r="H246" s="427">
        <f t="shared" si="30"/>
        <v>0</v>
      </c>
      <c r="I246" s="759">
        <f t="shared" si="28"/>
        <v>0</v>
      </c>
      <c r="J246" s="177">
        <v>0</v>
      </c>
      <c r="K246" s="427">
        <f t="shared" si="27"/>
        <v>0</v>
      </c>
      <c r="L246" s="427">
        <f t="shared" si="31"/>
        <v>0</v>
      </c>
      <c r="M246" s="680">
        <v>0</v>
      </c>
    </row>
    <row r="247" spans="1:13" s="6" customFormat="1" ht="15.75">
      <c r="A247" s="268">
        <v>156</v>
      </c>
      <c r="B247" s="176" t="s">
        <v>208</v>
      </c>
      <c r="C247" s="535"/>
      <c r="D247" s="413"/>
      <c r="E247" s="413"/>
      <c r="F247" s="95"/>
      <c r="G247" s="319">
        <f t="shared" si="29"/>
        <v>0</v>
      </c>
      <c r="H247" s="427">
        <f t="shared" si="30"/>
        <v>0</v>
      </c>
      <c r="I247" s="759">
        <f t="shared" si="28"/>
        <v>0</v>
      </c>
      <c r="J247" s="177">
        <v>0</v>
      </c>
      <c r="K247" s="427">
        <f t="shared" si="27"/>
        <v>0</v>
      </c>
      <c r="L247" s="427">
        <f t="shared" si="31"/>
        <v>0</v>
      </c>
      <c r="M247" s="680">
        <v>0</v>
      </c>
    </row>
    <row r="248" spans="1:13" s="6" customFormat="1" ht="15.75">
      <c r="A248" s="268">
        <v>157</v>
      </c>
      <c r="B248" s="176" t="s">
        <v>209</v>
      </c>
      <c r="C248" s="535"/>
      <c r="D248" s="413"/>
      <c r="E248" s="413"/>
      <c r="F248" s="95"/>
      <c r="G248" s="319">
        <f t="shared" si="29"/>
        <v>0</v>
      </c>
      <c r="H248" s="427">
        <f t="shared" si="30"/>
        <v>0</v>
      </c>
      <c r="I248" s="759">
        <f t="shared" si="28"/>
        <v>0</v>
      </c>
      <c r="J248" s="177">
        <v>0</v>
      </c>
      <c r="K248" s="427">
        <f t="shared" si="27"/>
        <v>0</v>
      </c>
      <c r="L248" s="427">
        <f t="shared" si="31"/>
        <v>0</v>
      </c>
      <c r="M248" s="680">
        <v>0</v>
      </c>
    </row>
    <row r="249" spans="1:13" s="6" customFormat="1" ht="15.75">
      <c r="A249" s="268">
        <v>158</v>
      </c>
      <c r="B249" s="176" t="s">
        <v>210</v>
      </c>
      <c r="C249" s="535"/>
      <c r="D249" s="413"/>
      <c r="E249" s="413"/>
      <c r="F249" s="95"/>
      <c r="G249" s="319">
        <f t="shared" si="29"/>
        <v>0</v>
      </c>
      <c r="H249" s="427">
        <f t="shared" si="30"/>
        <v>0</v>
      </c>
      <c r="I249" s="759">
        <f t="shared" si="28"/>
        <v>0</v>
      </c>
      <c r="J249" s="177">
        <v>0</v>
      </c>
      <c r="K249" s="427">
        <f t="shared" si="27"/>
        <v>0</v>
      </c>
      <c r="L249" s="427">
        <f t="shared" si="31"/>
        <v>0</v>
      </c>
      <c r="M249" s="680">
        <v>0</v>
      </c>
    </row>
    <row r="250" spans="1:13" s="6" customFormat="1" ht="15.75">
      <c r="A250" s="268">
        <v>159</v>
      </c>
      <c r="B250" s="176" t="s">
        <v>211</v>
      </c>
      <c r="C250" s="535"/>
      <c r="D250" s="413"/>
      <c r="E250" s="413"/>
      <c r="F250" s="95"/>
      <c r="G250" s="319">
        <f t="shared" si="29"/>
        <v>0</v>
      </c>
      <c r="H250" s="427">
        <f t="shared" si="30"/>
        <v>0</v>
      </c>
      <c r="I250" s="759">
        <f t="shared" si="28"/>
        <v>0</v>
      </c>
      <c r="J250" s="177">
        <v>0</v>
      </c>
      <c r="K250" s="427">
        <f t="shared" si="27"/>
        <v>0</v>
      </c>
      <c r="L250" s="427">
        <f t="shared" si="31"/>
        <v>0</v>
      </c>
      <c r="M250" s="680">
        <v>0</v>
      </c>
    </row>
    <row r="251" spans="1:13" s="6" customFormat="1" ht="15.75">
      <c r="A251" s="268">
        <v>160</v>
      </c>
      <c r="B251" s="122" t="s">
        <v>1203</v>
      </c>
      <c r="C251" s="330"/>
      <c r="D251" s="801"/>
      <c r="E251" s="801"/>
      <c r="F251" s="95"/>
      <c r="G251" s="319">
        <f t="shared" si="29"/>
        <v>0</v>
      </c>
      <c r="H251" s="427">
        <f t="shared" si="30"/>
        <v>0</v>
      </c>
      <c r="I251" s="759">
        <f t="shared" si="28"/>
        <v>0</v>
      </c>
      <c r="J251" s="177">
        <v>0</v>
      </c>
      <c r="K251" s="427">
        <f t="shared" si="27"/>
        <v>0</v>
      </c>
      <c r="L251" s="427">
        <f t="shared" si="31"/>
        <v>0</v>
      </c>
      <c r="M251" s="680">
        <v>0</v>
      </c>
    </row>
    <row r="252" spans="1:13" s="6" customFormat="1" ht="15.75">
      <c r="A252" s="268">
        <v>161</v>
      </c>
      <c r="B252" s="122" t="s">
        <v>1204</v>
      </c>
      <c r="C252" s="330"/>
      <c r="D252" s="801"/>
      <c r="E252" s="801"/>
      <c r="F252" s="95"/>
      <c r="G252" s="319">
        <f t="shared" si="29"/>
        <v>0</v>
      </c>
      <c r="H252" s="427">
        <f t="shared" si="30"/>
        <v>0</v>
      </c>
      <c r="I252" s="759">
        <f t="shared" si="28"/>
        <v>0</v>
      </c>
      <c r="J252" s="177">
        <v>0</v>
      </c>
      <c r="K252" s="427">
        <f t="shared" si="27"/>
        <v>0</v>
      </c>
      <c r="L252" s="427">
        <f t="shared" si="31"/>
        <v>0</v>
      </c>
      <c r="M252" s="680">
        <v>0</v>
      </c>
    </row>
    <row r="253" spans="1:13" s="6" customFormat="1" ht="15.75">
      <c r="A253" s="275">
        <v>162</v>
      </c>
      <c r="B253" s="122" t="s">
        <v>1205</v>
      </c>
      <c r="C253" s="330"/>
      <c r="D253" s="801"/>
      <c r="E253" s="801"/>
      <c r="F253" s="95"/>
      <c r="G253" s="319">
        <f t="shared" si="29"/>
        <v>0</v>
      </c>
      <c r="H253" s="427">
        <f t="shared" si="30"/>
        <v>0</v>
      </c>
      <c r="I253" s="759">
        <f t="shared" si="28"/>
        <v>0</v>
      </c>
      <c r="J253" s="177">
        <v>0</v>
      </c>
      <c r="K253" s="427">
        <f t="shared" si="27"/>
        <v>0</v>
      </c>
      <c r="L253" s="427">
        <f t="shared" si="31"/>
        <v>0</v>
      </c>
      <c r="M253" s="680">
        <v>0</v>
      </c>
    </row>
    <row r="254" spans="1:13" s="6" customFormat="1" ht="15.75">
      <c r="A254" s="268">
        <v>163</v>
      </c>
      <c r="B254" s="122" t="s">
        <v>1206</v>
      </c>
      <c r="C254" s="330"/>
      <c r="D254" s="801"/>
      <c r="E254" s="801"/>
      <c r="F254" s="95"/>
      <c r="G254" s="319">
        <f t="shared" si="29"/>
        <v>0</v>
      </c>
      <c r="H254" s="427">
        <f t="shared" si="30"/>
        <v>0</v>
      </c>
      <c r="I254" s="759">
        <f t="shared" si="28"/>
        <v>0</v>
      </c>
      <c r="J254" s="177">
        <v>0</v>
      </c>
      <c r="K254" s="427">
        <f t="shared" si="27"/>
        <v>0</v>
      </c>
      <c r="L254" s="427">
        <f t="shared" si="31"/>
        <v>0</v>
      </c>
      <c r="M254" s="680">
        <v>0</v>
      </c>
    </row>
    <row r="255" spans="1:13" s="6" customFormat="1" ht="15.75">
      <c r="A255" s="268">
        <v>164</v>
      </c>
      <c r="B255" s="122" t="s">
        <v>1207</v>
      </c>
      <c r="C255" s="330"/>
      <c r="D255" s="801"/>
      <c r="E255" s="801"/>
      <c r="F255" s="95"/>
      <c r="G255" s="319">
        <f t="shared" si="29"/>
        <v>0</v>
      </c>
      <c r="H255" s="427">
        <f t="shared" si="30"/>
        <v>0</v>
      </c>
      <c r="I255" s="759">
        <f t="shared" si="28"/>
        <v>0</v>
      </c>
      <c r="J255" s="177">
        <v>0</v>
      </c>
      <c r="K255" s="427">
        <f t="shared" si="27"/>
        <v>0</v>
      </c>
      <c r="L255" s="427">
        <f t="shared" si="31"/>
        <v>0</v>
      </c>
      <c r="M255" s="680">
        <v>0</v>
      </c>
    </row>
    <row r="256" spans="1:13" s="6" customFormat="1" ht="15.75">
      <c r="A256" s="268">
        <v>165</v>
      </c>
      <c r="B256" s="122" t="s">
        <v>1208</v>
      </c>
      <c r="C256" s="330"/>
      <c r="D256" s="801"/>
      <c r="E256" s="801"/>
      <c r="F256" s="95"/>
      <c r="G256" s="319">
        <f t="shared" si="29"/>
        <v>0</v>
      </c>
      <c r="H256" s="427">
        <f t="shared" si="30"/>
        <v>0</v>
      </c>
      <c r="I256" s="759">
        <f t="shared" si="28"/>
        <v>0</v>
      </c>
      <c r="J256" s="177">
        <v>0</v>
      </c>
      <c r="K256" s="427">
        <f t="shared" si="27"/>
        <v>0</v>
      </c>
      <c r="L256" s="427">
        <f t="shared" si="31"/>
        <v>0</v>
      </c>
      <c r="M256" s="680">
        <v>0</v>
      </c>
    </row>
    <row r="257" spans="1:14" s="6" customFormat="1" ht="15.75">
      <c r="A257" s="268">
        <v>166</v>
      </c>
      <c r="B257" s="122" t="s">
        <v>1209</v>
      </c>
      <c r="C257" s="330"/>
      <c r="D257" s="801"/>
      <c r="E257" s="801"/>
      <c r="F257" s="95"/>
      <c r="G257" s="319">
        <f t="shared" si="29"/>
        <v>0</v>
      </c>
      <c r="H257" s="427">
        <f t="shared" si="30"/>
        <v>0</v>
      </c>
      <c r="I257" s="759">
        <f t="shared" si="28"/>
        <v>0</v>
      </c>
      <c r="J257" s="177">
        <v>0</v>
      </c>
      <c r="K257" s="427">
        <f t="shared" si="27"/>
        <v>0</v>
      </c>
      <c r="L257" s="427">
        <f t="shared" si="31"/>
        <v>0</v>
      </c>
      <c r="M257" s="680">
        <v>0</v>
      </c>
    </row>
    <row r="258" spans="1:14" s="6" customFormat="1" ht="15.75">
      <c r="A258" s="268">
        <v>167</v>
      </c>
      <c r="B258" s="122" t="s">
        <v>1210</v>
      </c>
      <c r="C258" s="330"/>
      <c r="D258" s="801"/>
      <c r="E258" s="801"/>
      <c r="F258" s="95"/>
      <c r="G258" s="319">
        <f t="shared" si="29"/>
        <v>0</v>
      </c>
      <c r="H258" s="427">
        <f t="shared" si="30"/>
        <v>0</v>
      </c>
      <c r="I258" s="759">
        <f t="shared" si="28"/>
        <v>0</v>
      </c>
      <c r="J258" s="177">
        <v>0</v>
      </c>
      <c r="K258" s="427">
        <f t="shared" si="27"/>
        <v>0</v>
      </c>
      <c r="L258" s="427">
        <f t="shared" si="31"/>
        <v>0</v>
      </c>
      <c r="M258" s="680">
        <v>0</v>
      </c>
    </row>
    <row r="259" spans="1:14" s="6" customFormat="1" ht="15.75">
      <c r="A259" s="268">
        <v>168</v>
      </c>
      <c r="B259" s="273" t="s">
        <v>1211</v>
      </c>
      <c r="C259" s="330"/>
      <c r="D259" s="801"/>
      <c r="E259" s="801"/>
      <c r="F259" s="95"/>
      <c r="G259" s="319">
        <f t="shared" si="29"/>
        <v>0</v>
      </c>
      <c r="H259" s="427">
        <f t="shared" si="30"/>
        <v>0</v>
      </c>
      <c r="I259" s="759">
        <f t="shared" si="28"/>
        <v>0</v>
      </c>
      <c r="J259" s="177">
        <v>0</v>
      </c>
      <c r="K259" s="427">
        <f t="shared" si="27"/>
        <v>0</v>
      </c>
      <c r="L259" s="427">
        <f t="shared" si="31"/>
        <v>0</v>
      </c>
      <c r="M259" s="680">
        <v>0</v>
      </c>
    </row>
    <row r="260" spans="1:14" s="6" customFormat="1" ht="15.75">
      <c r="A260" s="275">
        <v>169</v>
      </c>
      <c r="B260" s="273" t="s">
        <v>1212</v>
      </c>
      <c r="C260" s="330"/>
      <c r="D260" s="801"/>
      <c r="E260" s="801"/>
      <c r="F260" s="95"/>
      <c r="G260" s="319">
        <f t="shared" si="29"/>
        <v>0</v>
      </c>
      <c r="H260" s="427">
        <f t="shared" si="30"/>
        <v>0</v>
      </c>
      <c r="I260" s="759">
        <f t="shared" si="28"/>
        <v>0</v>
      </c>
      <c r="J260" s="177">
        <v>0</v>
      </c>
      <c r="K260" s="427">
        <f t="shared" si="27"/>
        <v>0</v>
      </c>
      <c r="L260" s="427">
        <f t="shared" si="31"/>
        <v>0</v>
      </c>
      <c r="M260" s="680">
        <v>0</v>
      </c>
    </row>
    <row r="261" spans="1:14" s="6" customFormat="1" ht="15.75">
      <c r="A261" s="268">
        <v>170</v>
      </c>
      <c r="B261" s="122" t="s">
        <v>1213</v>
      </c>
      <c r="C261" s="330"/>
      <c r="D261" s="801"/>
      <c r="E261" s="801"/>
      <c r="F261" s="95"/>
      <c r="G261" s="319">
        <f t="shared" si="29"/>
        <v>0</v>
      </c>
      <c r="H261" s="427">
        <f t="shared" si="30"/>
        <v>0</v>
      </c>
      <c r="I261" s="759">
        <f t="shared" si="28"/>
        <v>0</v>
      </c>
      <c r="J261" s="177">
        <v>0</v>
      </c>
      <c r="K261" s="427">
        <f t="shared" si="27"/>
        <v>0</v>
      </c>
      <c r="L261" s="427">
        <f t="shared" si="31"/>
        <v>0</v>
      </c>
      <c r="M261" s="680">
        <v>0</v>
      </c>
    </row>
    <row r="262" spans="1:14" s="6" customFormat="1" ht="15.75">
      <c r="A262" s="268">
        <v>171</v>
      </c>
      <c r="B262" s="122" t="s">
        <v>1214</v>
      </c>
      <c r="C262" s="330"/>
      <c r="D262" s="801"/>
      <c r="E262" s="801"/>
      <c r="F262" s="95"/>
      <c r="G262" s="319">
        <f t="shared" si="29"/>
        <v>0</v>
      </c>
      <c r="H262" s="427">
        <f t="shared" si="30"/>
        <v>0</v>
      </c>
      <c r="I262" s="759">
        <f t="shared" si="28"/>
        <v>0</v>
      </c>
      <c r="J262" s="177">
        <v>0</v>
      </c>
      <c r="K262" s="427">
        <f t="shared" si="27"/>
        <v>0</v>
      </c>
      <c r="L262" s="427">
        <f t="shared" si="31"/>
        <v>0</v>
      </c>
      <c r="M262" s="680">
        <v>0</v>
      </c>
    </row>
    <row r="263" spans="1:14" s="6" customFormat="1" ht="15.75">
      <c r="A263" s="268">
        <v>172</v>
      </c>
      <c r="B263" s="273" t="s">
        <v>1215</v>
      </c>
      <c r="C263" s="330"/>
      <c r="D263" s="801"/>
      <c r="E263" s="801"/>
      <c r="F263" s="95"/>
      <c r="G263" s="319">
        <f t="shared" si="29"/>
        <v>0</v>
      </c>
      <c r="H263" s="427">
        <f t="shared" si="30"/>
        <v>0</v>
      </c>
      <c r="I263" s="759">
        <f t="shared" si="28"/>
        <v>0</v>
      </c>
      <c r="J263" s="177">
        <v>0</v>
      </c>
      <c r="K263" s="427">
        <f t="shared" ref="K263:K326" si="32">G263*801.55</f>
        <v>0</v>
      </c>
      <c r="L263" s="427">
        <f t="shared" si="31"/>
        <v>0</v>
      </c>
      <c r="M263" s="680">
        <v>0</v>
      </c>
    </row>
    <row r="264" spans="1:14" s="6" customFormat="1" ht="15.75">
      <c r="A264" s="268">
        <v>173</v>
      </c>
      <c r="B264" s="122" t="s">
        <v>1216</v>
      </c>
      <c r="C264" s="330"/>
      <c r="D264" s="801"/>
      <c r="E264" s="801"/>
      <c r="F264" s="95"/>
      <c r="G264" s="319">
        <f t="shared" si="29"/>
        <v>0</v>
      </c>
      <c r="H264" s="427">
        <f t="shared" si="30"/>
        <v>0</v>
      </c>
      <c r="I264" s="759">
        <f t="shared" si="28"/>
        <v>0</v>
      </c>
      <c r="J264" s="177">
        <v>0</v>
      </c>
      <c r="K264" s="427">
        <f t="shared" si="32"/>
        <v>0</v>
      </c>
      <c r="L264" s="427">
        <f t="shared" si="31"/>
        <v>0</v>
      </c>
      <c r="M264" s="680">
        <v>0</v>
      </c>
    </row>
    <row r="265" spans="1:14" s="6" customFormat="1" ht="15.75">
      <c r="A265" s="268">
        <v>174</v>
      </c>
      <c r="B265" s="122" t="s">
        <v>1217</v>
      </c>
      <c r="C265" s="330"/>
      <c r="D265" s="801"/>
      <c r="E265" s="801"/>
      <c r="F265" s="95"/>
      <c r="G265" s="319">
        <f t="shared" si="29"/>
        <v>0</v>
      </c>
      <c r="H265" s="427">
        <f t="shared" si="30"/>
        <v>0</v>
      </c>
      <c r="I265" s="759">
        <f t="shared" si="28"/>
        <v>0</v>
      </c>
      <c r="J265" s="177">
        <v>0</v>
      </c>
      <c r="K265" s="427">
        <f t="shared" si="32"/>
        <v>0</v>
      </c>
      <c r="L265" s="427">
        <f t="shared" si="31"/>
        <v>0</v>
      </c>
      <c r="M265" s="680">
        <v>0</v>
      </c>
    </row>
    <row r="266" spans="1:14" s="6" customFormat="1" ht="15.75">
      <c r="A266" s="268">
        <v>175</v>
      </c>
      <c r="B266" s="122" t="s">
        <v>1218</v>
      </c>
      <c r="C266" s="330"/>
      <c r="D266" s="801"/>
      <c r="E266" s="801"/>
      <c r="F266" s="95"/>
      <c r="G266" s="319">
        <f t="shared" si="29"/>
        <v>0</v>
      </c>
      <c r="H266" s="427">
        <f t="shared" si="30"/>
        <v>0</v>
      </c>
      <c r="I266" s="759">
        <f t="shared" si="28"/>
        <v>0</v>
      </c>
      <c r="J266" s="177">
        <v>0</v>
      </c>
      <c r="K266" s="427">
        <f t="shared" si="32"/>
        <v>0</v>
      </c>
      <c r="L266" s="427">
        <f t="shared" si="31"/>
        <v>0</v>
      </c>
      <c r="M266" s="680">
        <v>0</v>
      </c>
    </row>
    <row r="267" spans="1:14" s="6" customFormat="1" ht="15.75">
      <c r="A267" s="275">
        <v>176</v>
      </c>
      <c r="B267" s="122" t="s">
        <v>1219</v>
      </c>
      <c r="C267" s="330"/>
      <c r="D267" s="801"/>
      <c r="E267" s="801"/>
      <c r="F267" s="95"/>
      <c r="G267" s="319">
        <f t="shared" si="29"/>
        <v>0</v>
      </c>
      <c r="H267" s="427">
        <f t="shared" si="30"/>
        <v>0</v>
      </c>
      <c r="I267" s="759">
        <f t="shared" si="28"/>
        <v>0</v>
      </c>
      <c r="J267" s="177">
        <v>0</v>
      </c>
      <c r="K267" s="427">
        <f t="shared" si="32"/>
        <v>0</v>
      </c>
      <c r="L267" s="427">
        <f t="shared" si="31"/>
        <v>0</v>
      </c>
      <c r="M267" s="680">
        <v>0</v>
      </c>
    </row>
    <row r="268" spans="1:14" s="6" customFormat="1" ht="15.75">
      <c r="A268" s="268">
        <v>177</v>
      </c>
      <c r="B268" s="122" t="s">
        <v>1220</v>
      </c>
      <c r="C268" s="330">
        <v>654.13</v>
      </c>
      <c r="D268" s="801"/>
      <c r="E268" s="801"/>
      <c r="F268" s="95">
        <f>C268+D268+E268</f>
        <v>654.13</v>
      </c>
      <c r="G268" s="319">
        <f t="shared" si="29"/>
        <v>1.7086903542649318E-2</v>
      </c>
      <c r="H268" s="427">
        <f t="shared" si="30"/>
        <v>38.772405435731848</v>
      </c>
      <c r="I268" s="759">
        <f t="shared" si="28"/>
        <v>14.256613478718602</v>
      </c>
      <c r="J268" s="177">
        <v>15.1010040540364</v>
      </c>
      <c r="K268" s="427">
        <f t="shared" si="32"/>
        <v>13.69600753461056</v>
      </c>
      <c r="L268" s="427">
        <f t="shared" si="31"/>
        <v>16.695433184690273</v>
      </c>
      <c r="M268" s="680">
        <f>(K268+J268+I268+H268)/F268</f>
        <v>0.12509138933101585</v>
      </c>
      <c r="N268" s="6" t="s">
        <v>1028</v>
      </c>
    </row>
    <row r="269" spans="1:14" s="6" customFormat="1" ht="15.75">
      <c r="A269" s="268">
        <v>178</v>
      </c>
      <c r="B269" s="122" t="s">
        <v>1221</v>
      </c>
      <c r="C269" s="330"/>
      <c r="D269" s="801"/>
      <c r="E269" s="801"/>
      <c r="F269" s="95"/>
      <c r="G269" s="319">
        <f t="shared" si="29"/>
        <v>0</v>
      </c>
      <c r="H269" s="427">
        <f t="shared" si="30"/>
        <v>0</v>
      </c>
      <c r="I269" s="759">
        <f t="shared" si="28"/>
        <v>0</v>
      </c>
      <c r="J269" s="177">
        <v>0</v>
      </c>
      <c r="K269" s="427">
        <f t="shared" si="32"/>
        <v>0</v>
      </c>
      <c r="L269" s="427">
        <f t="shared" si="31"/>
        <v>0</v>
      </c>
      <c r="M269" s="680">
        <v>0</v>
      </c>
    </row>
    <row r="270" spans="1:14" s="6" customFormat="1" ht="15.75">
      <c r="A270" s="268">
        <v>179</v>
      </c>
      <c r="B270" s="122" t="s">
        <v>1222</v>
      </c>
      <c r="C270" s="330"/>
      <c r="D270" s="801"/>
      <c r="E270" s="801"/>
      <c r="F270" s="95"/>
      <c r="G270" s="319">
        <f t="shared" si="29"/>
        <v>0</v>
      </c>
      <c r="H270" s="427">
        <f t="shared" si="30"/>
        <v>0</v>
      </c>
      <c r="I270" s="759">
        <f t="shared" si="28"/>
        <v>0</v>
      </c>
      <c r="J270" s="177">
        <v>0</v>
      </c>
      <c r="K270" s="427">
        <f t="shared" si="32"/>
        <v>0</v>
      </c>
      <c r="L270" s="427">
        <f t="shared" si="31"/>
        <v>0</v>
      </c>
      <c r="M270" s="680">
        <v>0</v>
      </c>
    </row>
    <row r="271" spans="1:14" s="6" customFormat="1" ht="15.75">
      <c r="A271" s="268">
        <v>180</v>
      </c>
      <c r="B271" s="122" t="s">
        <v>1223</v>
      </c>
      <c r="C271" s="330">
        <v>3583.55</v>
      </c>
      <c r="D271" s="801"/>
      <c r="E271" s="801"/>
      <c r="F271" s="95">
        <f>C271+D271+E271</f>
        <v>3583.55</v>
      </c>
      <c r="G271" s="319">
        <f t="shared" si="29"/>
        <v>9.3607957424764132E-2</v>
      </c>
      <c r="H271" s="427">
        <f t="shared" si="30"/>
        <v>212.40862443125505</v>
      </c>
      <c r="I271" s="759">
        <f t="shared" si="28"/>
        <v>78.102651203372488</v>
      </c>
      <c r="J271" s="177">
        <v>82.728514328714695</v>
      </c>
      <c r="K271" s="427">
        <f t="shared" si="32"/>
        <v>75.03145827381968</v>
      </c>
      <c r="L271" s="427">
        <f t="shared" si="31"/>
        <v>91.463347635786192</v>
      </c>
      <c r="M271" s="680">
        <f>(K271+J271+I271+H271)/F271</f>
        <v>0.12509138933101585</v>
      </c>
      <c r="N271" s="6" t="s">
        <v>1028</v>
      </c>
    </row>
    <row r="272" spans="1:14" s="6" customFormat="1" ht="15.75">
      <c r="A272" s="268">
        <v>181</v>
      </c>
      <c r="B272" s="122" t="s">
        <v>1224</v>
      </c>
      <c r="C272" s="330"/>
      <c r="D272" s="801"/>
      <c r="E272" s="801"/>
      <c r="F272" s="95"/>
      <c r="G272" s="319">
        <f t="shared" si="29"/>
        <v>0</v>
      </c>
      <c r="H272" s="427">
        <f t="shared" si="30"/>
        <v>0</v>
      </c>
      <c r="I272" s="759">
        <f t="shared" si="28"/>
        <v>0</v>
      </c>
      <c r="J272" s="177">
        <v>0</v>
      </c>
      <c r="K272" s="427">
        <f t="shared" si="32"/>
        <v>0</v>
      </c>
      <c r="L272" s="427">
        <f t="shared" si="31"/>
        <v>0</v>
      </c>
      <c r="M272" s="680">
        <v>0</v>
      </c>
    </row>
    <row r="273" spans="1:13" s="6" customFormat="1" ht="15.75">
      <c r="A273" s="268">
        <v>182</v>
      </c>
      <c r="B273" s="122" t="s">
        <v>1225</v>
      </c>
      <c r="C273" s="330"/>
      <c r="D273" s="801"/>
      <c r="E273" s="801"/>
      <c r="F273" s="95"/>
      <c r="G273" s="319">
        <f t="shared" si="29"/>
        <v>0</v>
      </c>
      <c r="H273" s="427">
        <f t="shared" si="30"/>
        <v>0</v>
      </c>
      <c r="I273" s="759">
        <f t="shared" si="28"/>
        <v>0</v>
      </c>
      <c r="J273" s="177">
        <v>0</v>
      </c>
      <c r="K273" s="427">
        <f t="shared" si="32"/>
        <v>0</v>
      </c>
      <c r="L273" s="427">
        <f t="shared" si="31"/>
        <v>0</v>
      </c>
      <c r="M273" s="680">
        <v>0</v>
      </c>
    </row>
    <row r="274" spans="1:13" s="6" customFormat="1" ht="15.75">
      <c r="A274" s="275">
        <v>183</v>
      </c>
      <c r="B274" s="122" t="s">
        <v>1226</v>
      </c>
      <c r="C274" s="330"/>
      <c r="D274" s="801"/>
      <c r="E274" s="801"/>
      <c r="F274" s="95"/>
      <c r="G274" s="319">
        <f t="shared" si="29"/>
        <v>0</v>
      </c>
      <c r="H274" s="427">
        <f t="shared" si="30"/>
        <v>0</v>
      </c>
      <c r="I274" s="759">
        <f t="shared" ref="I274:I337" si="33">H274*0.3677</f>
        <v>0</v>
      </c>
      <c r="J274" s="177">
        <v>0</v>
      </c>
      <c r="K274" s="427">
        <f t="shared" si="32"/>
        <v>0</v>
      </c>
      <c r="L274" s="427">
        <f t="shared" si="31"/>
        <v>0</v>
      </c>
      <c r="M274" s="680">
        <v>0</v>
      </c>
    </row>
    <row r="275" spans="1:13" s="6" customFormat="1" ht="15.75">
      <c r="A275" s="268">
        <v>184</v>
      </c>
      <c r="B275" s="122" t="s">
        <v>1227</v>
      </c>
      <c r="C275" s="330"/>
      <c r="D275" s="801"/>
      <c r="E275" s="801"/>
      <c r="F275" s="95"/>
      <c r="G275" s="319">
        <f t="shared" si="29"/>
        <v>0</v>
      </c>
      <c r="H275" s="427">
        <f t="shared" si="30"/>
        <v>0</v>
      </c>
      <c r="I275" s="759">
        <f t="shared" si="33"/>
        <v>0</v>
      </c>
      <c r="J275" s="177">
        <v>0</v>
      </c>
      <c r="K275" s="427">
        <f t="shared" si="32"/>
        <v>0</v>
      </c>
      <c r="L275" s="427">
        <f t="shared" si="31"/>
        <v>0</v>
      </c>
      <c r="M275" s="680">
        <v>0</v>
      </c>
    </row>
    <row r="276" spans="1:13" s="6" customFormat="1" ht="15.75">
      <c r="A276" s="268">
        <v>185</v>
      </c>
      <c r="B276" s="122" t="s">
        <v>1228</v>
      </c>
      <c r="C276" s="330"/>
      <c r="D276" s="801"/>
      <c r="E276" s="801"/>
      <c r="F276" s="95"/>
      <c r="G276" s="319">
        <f t="shared" si="29"/>
        <v>0</v>
      </c>
      <c r="H276" s="427">
        <f t="shared" si="30"/>
        <v>0</v>
      </c>
      <c r="I276" s="759">
        <f t="shared" si="33"/>
        <v>0</v>
      </c>
      <c r="J276" s="177">
        <v>0</v>
      </c>
      <c r="K276" s="427">
        <f t="shared" si="32"/>
        <v>0</v>
      </c>
      <c r="L276" s="427">
        <f t="shared" si="31"/>
        <v>0</v>
      </c>
      <c r="M276" s="680">
        <v>0</v>
      </c>
    </row>
    <row r="277" spans="1:13" s="6" customFormat="1" ht="15.75">
      <c r="A277" s="268">
        <v>186</v>
      </c>
      <c r="B277" s="273" t="s">
        <v>1229</v>
      </c>
      <c r="C277" s="330"/>
      <c r="D277" s="801"/>
      <c r="E277" s="801"/>
      <c r="F277" s="95"/>
      <c r="G277" s="319">
        <f t="shared" si="29"/>
        <v>0</v>
      </c>
      <c r="H277" s="427">
        <f t="shared" si="30"/>
        <v>0</v>
      </c>
      <c r="I277" s="759">
        <f t="shared" si="33"/>
        <v>0</v>
      </c>
      <c r="J277" s="177">
        <v>0</v>
      </c>
      <c r="K277" s="427">
        <f t="shared" si="32"/>
        <v>0</v>
      </c>
      <c r="L277" s="427">
        <f t="shared" si="31"/>
        <v>0</v>
      </c>
      <c r="M277" s="680">
        <v>0</v>
      </c>
    </row>
    <row r="278" spans="1:13" s="6" customFormat="1" ht="15.75">
      <c r="A278" s="268">
        <v>187</v>
      </c>
      <c r="B278" s="122" t="s">
        <v>1230</v>
      </c>
      <c r="C278" s="330"/>
      <c r="D278" s="801"/>
      <c r="E278" s="801"/>
      <c r="F278" s="95"/>
      <c r="G278" s="319">
        <f t="shared" si="29"/>
        <v>0</v>
      </c>
      <c r="H278" s="427">
        <f t="shared" si="30"/>
        <v>0</v>
      </c>
      <c r="I278" s="759">
        <f t="shared" si="33"/>
        <v>0</v>
      </c>
      <c r="J278" s="177">
        <v>0</v>
      </c>
      <c r="K278" s="427">
        <f t="shared" si="32"/>
        <v>0</v>
      </c>
      <c r="L278" s="427">
        <f t="shared" si="31"/>
        <v>0</v>
      </c>
      <c r="M278" s="680">
        <v>0</v>
      </c>
    </row>
    <row r="279" spans="1:13" s="6" customFormat="1" ht="15.75">
      <c r="A279" s="268">
        <v>188</v>
      </c>
      <c r="B279" s="122" t="s">
        <v>1231</v>
      </c>
      <c r="C279" s="330"/>
      <c r="D279" s="801"/>
      <c r="E279" s="801"/>
      <c r="F279" s="95"/>
      <c r="G279" s="319">
        <f t="shared" si="29"/>
        <v>0</v>
      </c>
      <c r="H279" s="427">
        <f t="shared" si="30"/>
        <v>0</v>
      </c>
      <c r="I279" s="759">
        <f t="shared" si="33"/>
        <v>0</v>
      </c>
      <c r="J279" s="177">
        <v>0</v>
      </c>
      <c r="K279" s="427">
        <f t="shared" si="32"/>
        <v>0</v>
      </c>
      <c r="L279" s="427">
        <f t="shared" si="31"/>
        <v>0</v>
      </c>
      <c r="M279" s="680">
        <v>0</v>
      </c>
    </row>
    <row r="280" spans="1:13" s="6" customFormat="1" ht="15.75">
      <c r="A280" s="268">
        <v>189</v>
      </c>
      <c r="B280" s="122" t="s">
        <v>1232</v>
      </c>
      <c r="C280" s="330"/>
      <c r="D280" s="801"/>
      <c r="E280" s="801"/>
      <c r="F280" s="95"/>
      <c r="G280" s="319">
        <f t="shared" si="29"/>
        <v>0</v>
      </c>
      <c r="H280" s="427">
        <f t="shared" si="30"/>
        <v>0</v>
      </c>
      <c r="I280" s="759">
        <f t="shared" si="33"/>
        <v>0</v>
      </c>
      <c r="J280" s="177">
        <v>0</v>
      </c>
      <c r="K280" s="427">
        <f t="shared" si="32"/>
        <v>0</v>
      </c>
      <c r="L280" s="427">
        <f t="shared" si="31"/>
        <v>0</v>
      </c>
      <c r="M280" s="680">
        <v>0</v>
      </c>
    </row>
    <row r="281" spans="1:13" s="6" customFormat="1" ht="15.75">
      <c r="A281" s="275">
        <v>190</v>
      </c>
      <c r="B281" s="122" t="s">
        <v>1233</v>
      </c>
      <c r="C281" s="330"/>
      <c r="D281" s="801"/>
      <c r="E281" s="801"/>
      <c r="F281" s="95"/>
      <c r="G281" s="319">
        <f t="shared" si="29"/>
        <v>0</v>
      </c>
      <c r="H281" s="427">
        <f t="shared" si="30"/>
        <v>0</v>
      </c>
      <c r="I281" s="759">
        <f t="shared" si="33"/>
        <v>0</v>
      </c>
      <c r="J281" s="177">
        <v>0</v>
      </c>
      <c r="K281" s="427">
        <f t="shared" si="32"/>
        <v>0</v>
      </c>
      <c r="L281" s="427">
        <f t="shared" si="31"/>
        <v>0</v>
      </c>
      <c r="M281" s="680">
        <v>0</v>
      </c>
    </row>
    <row r="282" spans="1:13" s="6" customFormat="1" ht="15.75">
      <c r="A282" s="268">
        <v>191</v>
      </c>
      <c r="B282" s="122" t="s">
        <v>1234</v>
      </c>
      <c r="C282" s="330"/>
      <c r="D282" s="801"/>
      <c r="E282" s="801"/>
      <c r="F282" s="95"/>
      <c r="G282" s="319">
        <f t="shared" si="29"/>
        <v>0</v>
      </c>
      <c r="H282" s="427">
        <f t="shared" si="30"/>
        <v>0</v>
      </c>
      <c r="I282" s="759">
        <f t="shared" si="33"/>
        <v>0</v>
      </c>
      <c r="J282" s="177">
        <v>0</v>
      </c>
      <c r="K282" s="427">
        <f t="shared" si="32"/>
        <v>0</v>
      </c>
      <c r="L282" s="427">
        <f t="shared" si="31"/>
        <v>0</v>
      </c>
      <c r="M282" s="680">
        <v>0</v>
      </c>
    </row>
    <row r="283" spans="1:13" s="6" customFormat="1" ht="15.75">
      <c r="A283" s="268">
        <v>192</v>
      </c>
      <c r="B283" s="122" t="s">
        <v>1235</v>
      </c>
      <c r="C283" s="330"/>
      <c r="D283" s="801"/>
      <c r="E283" s="801"/>
      <c r="F283" s="95"/>
      <c r="G283" s="319">
        <f t="shared" si="29"/>
        <v>0</v>
      </c>
      <c r="H283" s="427">
        <f t="shared" si="30"/>
        <v>0</v>
      </c>
      <c r="I283" s="759">
        <f t="shared" si="33"/>
        <v>0</v>
      </c>
      <c r="J283" s="177">
        <v>0</v>
      </c>
      <c r="K283" s="427">
        <f t="shared" si="32"/>
        <v>0</v>
      </c>
      <c r="L283" s="427">
        <f t="shared" si="31"/>
        <v>0</v>
      </c>
      <c r="M283" s="680">
        <v>0</v>
      </c>
    </row>
    <row r="284" spans="1:13" s="6" customFormat="1" ht="15.75">
      <c r="A284" s="268">
        <v>193</v>
      </c>
      <c r="B284" s="122" t="s">
        <v>1236</v>
      </c>
      <c r="C284" s="330"/>
      <c r="D284" s="801"/>
      <c r="E284" s="801"/>
      <c r="F284" s="95"/>
      <c r="G284" s="319">
        <f t="shared" ref="G284:G347" si="34">2.5/95706.34*F284</f>
        <v>0</v>
      </c>
      <c r="H284" s="427">
        <f t="shared" si="30"/>
        <v>0</v>
      </c>
      <c r="I284" s="759">
        <f t="shared" si="33"/>
        <v>0</v>
      </c>
      <c r="J284" s="177">
        <v>0</v>
      </c>
      <c r="K284" s="427">
        <f t="shared" si="32"/>
        <v>0</v>
      </c>
      <c r="L284" s="427">
        <f t="shared" si="31"/>
        <v>0</v>
      </c>
      <c r="M284" s="680">
        <v>0</v>
      </c>
    </row>
    <row r="285" spans="1:13" s="6" customFormat="1" ht="15.75">
      <c r="A285" s="268">
        <v>194</v>
      </c>
      <c r="B285" s="122" t="s">
        <v>1237</v>
      </c>
      <c r="C285" s="330"/>
      <c r="D285" s="801"/>
      <c r="E285" s="801"/>
      <c r="F285" s="95"/>
      <c r="G285" s="319">
        <f t="shared" si="34"/>
        <v>0</v>
      </c>
      <c r="H285" s="427">
        <f t="shared" ref="H285:H348" si="35">G285*2269.13</f>
        <v>0</v>
      </c>
      <c r="I285" s="759">
        <f t="shared" si="33"/>
        <v>0</v>
      </c>
      <c r="J285" s="177">
        <v>0</v>
      </c>
      <c r="K285" s="427">
        <f t="shared" si="32"/>
        <v>0</v>
      </c>
      <c r="L285" s="427">
        <f t="shared" ref="L285:L348" si="36">K285*1.219</f>
        <v>0</v>
      </c>
      <c r="M285" s="680">
        <v>0</v>
      </c>
    </row>
    <row r="286" spans="1:13" s="6" customFormat="1" ht="15.75">
      <c r="A286" s="268">
        <v>195</v>
      </c>
      <c r="B286" s="122" t="s">
        <v>1238</v>
      </c>
      <c r="C286" s="330"/>
      <c r="D286" s="801"/>
      <c r="E286" s="801"/>
      <c r="F286" s="95"/>
      <c r="G286" s="319">
        <f t="shared" si="34"/>
        <v>0</v>
      </c>
      <c r="H286" s="427">
        <f t="shared" si="35"/>
        <v>0</v>
      </c>
      <c r="I286" s="759">
        <f t="shared" si="33"/>
        <v>0</v>
      </c>
      <c r="J286" s="177">
        <v>0</v>
      </c>
      <c r="K286" s="427">
        <f t="shared" si="32"/>
        <v>0</v>
      </c>
      <c r="L286" s="427">
        <f t="shared" si="36"/>
        <v>0</v>
      </c>
      <c r="M286" s="680">
        <v>0</v>
      </c>
    </row>
    <row r="287" spans="1:13" s="6" customFormat="1" ht="15.75">
      <c r="A287" s="268">
        <v>196</v>
      </c>
      <c r="B287" s="122" t="s">
        <v>1239</v>
      </c>
      <c r="C287" s="330"/>
      <c r="D287" s="801"/>
      <c r="E287" s="801"/>
      <c r="F287" s="95"/>
      <c r="G287" s="319">
        <f t="shared" si="34"/>
        <v>0</v>
      </c>
      <c r="H287" s="427">
        <f t="shared" si="35"/>
        <v>0</v>
      </c>
      <c r="I287" s="759">
        <f t="shared" si="33"/>
        <v>0</v>
      </c>
      <c r="J287" s="177">
        <v>0</v>
      </c>
      <c r="K287" s="427">
        <f t="shared" si="32"/>
        <v>0</v>
      </c>
      <c r="L287" s="427">
        <f t="shared" si="36"/>
        <v>0</v>
      </c>
      <c r="M287" s="680">
        <v>0</v>
      </c>
    </row>
    <row r="288" spans="1:13" s="6" customFormat="1" ht="15.75">
      <c r="A288" s="275">
        <v>197</v>
      </c>
      <c r="B288" s="122" t="s">
        <v>1240</v>
      </c>
      <c r="C288" s="330"/>
      <c r="D288" s="801"/>
      <c r="E288" s="801"/>
      <c r="F288" s="95"/>
      <c r="G288" s="319">
        <f t="shared" si="34"/>
        <v>0</v>
      </c>
      <c r="H288" s="427">
        <f t="shared" si="35"/>
        <v>0</v>
      </c>
      <c r="I288" s="759">
        <f t="shared" si="33"/>
        <v>0</v>
      </c>
      <c r="J288" s="177">
        <v>0</v>
      </c>
      <c r="K288" s="427">
        <f t="shared" si="32"/>
        <v>0</v>
      </c>
      <c r="L288" s="427">
        <f t="shared" si="36"/>
        <v>0</v>
      </c>
      <c r="M288" s="680">
        <v>0</v>
      </c>
    </row>
    <row r="289" spans="1:13" s="6" customFormat="1" ht="15.75">
      <c r="A289" s="268">
        <v>198</v>
      </c>
      <c r="B289" s="122" t="s">
        <v>1241</v>
      </c>
      <c r="C289" s="330"/>
      <c r="D289" s="801"/>
      <c r="E289" s="801"/>
      <c r="F289" s="95"/>
      <c r="G289" s="319">
        <f t="shared" si="34"/>
        <v>0</v>
      </c>
      <c r="H289" s="427">
        <f t="shared" si="35"/>
        <v>0</v>
      </c>
      <c r="I289" s="759">
        <f t="shared" si="33"/>
        <v>0</v>
      </c>
      <c r="J289" s="177">
        <v>0</v>
      </c>
      <c r="K289" s="427">
        <f t="shared" si="32"/>
        <v>0</v>
      </c>
      <c r="L289" s="427">
        <f t="shared" si="36"/>
        <v>0</v>
      </c>
      <c r="M289" s="680">
        <v>0</v>
      </c>
    </row>
    <row r="290" spans="1:13" s="6" customFormat="1" ht="15.75">
      <c r="A290" s="268">
        <v>199</v>
      </c>
      <c r="B290" s="122" t="s">
        <v>1242</v>
      </c>
      <c r="C290" s="330"/>
      <c r="D290" s="801"/>
      <c r="E290" s="801"/>
      <c r="F290" s="95"/>
      <c r="G290" s="319">
        <f t="shared" si="34"/>
        <v>0</v>
      </c>
      <c r="H290" s="427">
        <f t="shared" si="35"/>
        <v>0</v>
      </c>
      <c r="I290" s="759">
        <f t="shared" si="33"/>
        <v>0</v>
      </c>
      <c r="J290" s="177">
        <v>0</v>
      </c>
      <c r="K290" s="427">
        <f t="shared" si="32"/>
        <v>0</v>
      </c>
      <c r="L290" s="427">
        <f t="shared" si="36"/>
        <v>0</v>
      </c>
      <c r="M290" s="680">
        <v>0</v>
      </c>
    </row>
    <row r="291" spans="1:13" s="6" customFormat="1" ht="15.75">
      <c r="A291" s="268">
        <v>200</v>
      </c>
      <c r="B291" s="122" t="s">
        <v>1243</v>
      </c>
      <c r="C291" s="330"/>
      <c r="D291" s="801"/>
      <c r="E291" s="801"/>
      <c r="F291" s="95"/>
      <c r="G291" s="319">
        <f t="shared" si="34"/>
        <v>0</v>
      </c>
      <c r="H291" s="427">
        <f t="shared" si="35"/>
        <v>0</v>
      </c>
      <c r="I291" s="759">
        <f t="shared" si="33"/>
        <v>0</v>
      </c>
      <c r="J291" s="177">
        <v>0</v>
      </c>
      <c r="K291" s="427">
        <f t="shared" si="32"/>
        <v>0</v>
      </c>
      <c r="L291" s="427">
        <f t="shared" si="36"/>
        <v>0</v>
      </c>
      <c r="M291" s="680">
        <v>0</v>
      </c>
    </row>
    <row r="292" spans="1:13" s="6" customFormat="1" ht="15.75">
      <c r="A292" s="268">
        <v>201</v>
      </c>
      <c r="B292" s="122" t="s">
        <v>1244</v>
      </c>
      <c r="C292" s="330"/>
      <c r="D292" s="801"/>
      <c r="E292" s="801"/>
      <c r="F292" s="95"/>
      <c r="G292" s="319">
        <f t="shared" si="34"/>
        <v>0</v>
      </c>
      <c r="H292" s="427">
        <f t="shared" si="35"/>
        <v>0</v>
      </c>
      <c r="I292" s="759">
        <f t="shared" si="33"/>
        <v>0</v>
      </c>
      <c r="J292" s="177">
        <v>0</v>
      </c>
      <c r="K292" s="427">
        <f t="shared" si="32"/>
        <v>0</v>
      </c>
      <c r="L292" s="427">
        <f t="shared" si="36"/>
        <v>0</v>
      </c>
      <c r="M292" s="680">
        <v>0</v>
      </c>
    </row>
    <row r="293" spans="1:13" s="6" customFormat="1" ht="15.75">
      <c r="A293" s="268">
        <v>202</v>
      </c>
      <c r="B293" s="122" t="s">
        <v>1245</v>
      </c>
      <c r="C293" s="330"/>
      <c r="D293" s="801"/>
      <c r="E293" s="801"/>
      <c r="F293" s="95"/>
      <c r="G293" s="319">
        <f t="shared" si="34"/>
        <v>0</v>
      </c>
      <c r="H293" s="427">
        <f t="shared" si="35"/>
        <v>0</v>
      </c>
      <c r="I293" s="759">
        <f t="shared" si="33"/>
        <v>0</v>
      </c>
      <c r="J293" s="177">
        <v>0</v>
      </c>
      <c r="K293" s="427">
        <f t="shared" si="32"/>
        <v>0</v>
      </c>
      <c r="L293" s="427">
        <f t="shared" si="36"/>
        <v>0</v>
      </c>
      <c r="M293" s="680">
        <v>0</v>
      </c>
    </row>
    <row r="294" spans="1:13" s="6" customFormat="1" ht="15.75">
      <c r="A294" s="268">
        <v>203</v>
      </c>
      <c r="B294" s="122" t="s">
        <v>1246</v>
      </c>
      <c r="C294" s="330"/>
      <c r="D294" s="801"/>
      <c r="E294" s="801"/>
      <c r="F294" s="95"/>
      <c r="G294" s="319">
        <f t="shared" si="34"/>
        <v>0</v>
      </c>
      <c r="H294" s="427">
        <f t="shared" si="35"/>
        <v>0</v>
      </c>
      <c r="I294" s="759">
        <f t="shared" si="33"/>
        <v>0</v>
      </c>
      <c r="J294" s="177">
        <v>0</v>
      </c>
      <c r="K294" s="427">
        <f t="shared" si="32"/>
        <v>0</v>
      </c>
      <c r="L294" s="427">
        <f t="shared" si="36"/>
        <v>0</v>
      </c>
      <c r="M294" s="680">
        <v>0</v>
      </c>
    </row>
    <row r="295" spans="1:13" s="6" customFormat="1" ht="15.75">
      <c r="A295" s="275">
        <v>204</v>
      </c>
      <c r="B295" s="122" t="s">
        <v>1247</v>
      </c>
      <c r="C295" s="330"/>
      <c r="D295" s="801"/>
      <c r="E295" s="801"/>
      <c r="F295" s="95"/>
      <c r="G295" s="319">
        <f t="shared" si="34"/>
        <v>0</v>
      </c>
      <c r="H295" s="427">
        <f t="shared" si="35"/>
        <v>0</v>
      </c>
      <c r="I295" s="759">
        <f t="shared" si="33"/>
        <v>0</v>
      </c>
      <c r="J295" s="177">
        <v>0</v>
      </c>
      <c r="K295" s="427">
        <f t="shared" si="32"/>
        <v>0</v>
      </c>
      <c r="L295" s="427">
        <f t="shared" si="36"/>
        <v>0</v>
      </c>
      <c r="M295" s="680">
        <v>0</v>
      </c>
    </row>
    <row r="296" spans="1:13" s="6" customFormat="1" ht="15.75">
      <c r="A296" s="268">
        <v>205</v>
      </c>
      <c r="B296" s="122" t="s">
        <v>1248</v>
      </c>
      <c r="C296" s="330"/>
      <c r="D296" s="801"/>
      <c r="E296" s="801"/>
      <c r="F296" s="95"/>
      <c r="G296" s="319">
        <f t="shared" si="34"/>
        <v>0</v>
      </c>
      <c r="H296" s="427">
        <f t="shared" si="35"/>
        <v>0</v>
      </c>
      <c r="I296" s="759">
        <f t="shared" si="33"/>
        <v>0</v>
      </c>
      <c r="J296" s="177">
        <v>0</v>
      </c>
      <c r="K296" s="427">
        <f t="shared" si="32"/>
        <v>0</v>
      </c>
      <c r="L296" s="427">
        <f t="shared" si="36"/>
        <v>0</v>
      </c>
      <c r="M296" s="680">
        <v>0</v>
      </c>
    </row>
    <row r="297" spans="1:13" s="6" customFormat="1" ht="15.75">
      <c r="A297" s="268">
        <v>206</v>
      </c>
      <c r="B297" s="122" t="s">
        <v>1249</v>
      </c>
      <c r="C297" s="330"/>
      <c r="D297" s="801"/>
      <c r="E297" s="801"/>
      <c r="F297" s="95"/>
      <c r="G297" s="319">
        <f t="shared" si="34"/>
        <v>0</v>
      </c>
      <c r="H297" s="427">
        <f t="shared" si="35"/>
        <v>0</v>
      </c>
      <c r="I297" s="759">
        <f t="shared" si="33"/>
        <v>0</v>
      </c>
      <c r="J297" s="177">
        <v>0</v>
      </c>
      <c r="K297" s="427">
        <f t="shared" si="32"/>
        <v>0</v>
      </c>
      <c r="L297" s="427">
        <f t="shared" si="36"/>
        <v>0</v>
      </c>
      <c r="M297" s="680">
        <v>0</v>
      </c>
    </row>
    <row r="298" spans="1:13" s="6" customFormat="1" ht="15.75">
      <c r="A298" s="268">
        <v>207</v>
      </c>
      <c r="B298" s="122" t="s">
        <v>1250</v>
      </c>
      <c r="C298" s="330"/>
      <c r="D298" s="801"/>
      <c r="E298" s="801"/>
      <c r="F298" s="95"/>
      <c r="G298" s="319">
        <f t="shared" si="34"/>
        <v>0</v>
      </c>
      <c r="H298" s="427">
        <f t="shared" si="35"/>
        <v>0</v>
      </c>
      <c r="I298" s="759">
        <f t="shared" si="33"/>
        <v>0</v>
      </c>
      <c r="J298" s="177">
        <v>0</v>
      </c>
      <c r="K298" s="427">
        <f t="shared" si="32"/>
        <v>0</v>
      </c>
      <c r="L298" s="427">
        <f t="shared" si="36"/>
        <v>0</v>
      </c>
      <c r="M298" s="680">
        <v>0</v>
      </c>
    </row>
    <row r="299" spans="1:13" s="6" customFormat="1" ht="15.75">
      <c r="A299" s="268">
        <v>208</v>
      </c>
      <c r="B299" s="122" t="s">
        <v>1251</v>
      </c>
      <c r="C299" s="330"/>
      <c r="D299" s="801"/>
      <c r="E299" s="801"/>
      <c r="F299" s="95"/>
      <c r="G299" s="319">
        <f t="shared" si="34"/>
        <v>0</v>
      </c>
      <c r="H299" s="427">
        <f t="shared" si="35"/>
        <v>0</v>
      </c>
      <c r="I299" s="759">
        <f t="shared" si="33"/>
        <v>0</v>
      </c>
      <c r="J299" s="177">
        <v>0</v>
      </c>
      <c r="K299" s="427">
        <f t="shared" si="32"/>
        <v>0</v>
      </c>
      <c r="L299" s="427">
        <f t="shared" si="36"/>
        <v>0</v>
      </c>
      <c r="M299" s="680">
        <v>0</v>
      </c>
    </row>
    <row r="300" spans="1:13" s="6" customFormat="1" ht="15.75">
      <c r="A300" s="268">
        <v>209</v>
      </c>
      <c r="B300" s="122" t="s">
        <v>1252</v>
      </c>
      <c r="C300" s="330"/>
      <c r="D300" s="801"/>
      <c r="E300" s="801"/>
      <c r="F300" s="95"/>
      <c r="G300" s="319">
        <f t="shared" si="34"/>
        <v>0</v>
      </c>
      <c r="H300" s="427">
        <f t="shared" si="35"/>
        <v>0</v>
      </c>
      <c r="I300" s="759">
        <f t="shared" si="33"/>
        <v>0</v>
      </c>
      <c r="J300" s="177">
        <v>0</v>
      </c>
      <c r="K300" s="427">
        <f t="shared" si="32"/>
        <v>0</v>
      </c>
      <c r="L300" s="427">
        <f t="shared" si="36"/>
        <v>0</v>
      </c>
      <c r="M300" s="680">
        <v>0</v>
      </c>
    </row>
    <row r="301" spans="1:13" s="6" customFormat="1" ht="15.75">
      <c r="A301" s="268">
        <v>210</v>
      </c>
      <c r="B301" s="122" t="s">
        <v>1253</v>
      </c>
      <c r="C301" s="330"/>
      <c r="D301" s="801"/>
      <c r="E301" s="801"/>
      <c r="F301" s="95"/>
      <c r="G301" s="319">
        <f t="shared" si="34"/>
        <v>0</v>
      </c>
      <c r="H301" s="427">
        <f t="shared" si="35"/>
        <v>0</v>
      </c>
      <c r="I301" s="759">
        <f t="shared" si="33"/>
        <v>0</v>
      </c>
      <c r="J301" s="177">
        <v>0</v>
      </c>
      <c r="K301" s="427">
        <f t="shared" si="32"/>
        <v>0</v>
      </c>
      <c r="L301" s="427">
        <f t="shared" si="36"/>
        <v>0</v>
      </c>
      <c r="M301" s="680">
        <v>0</v>
      </c>
    </row>
    <row r="302" spans="1:13" s="6" customFormat="1" ht="15.75">
      <c r="A302" s="275">
        <v>211</v>
      </c>
      <c r="B302" s="122" t="s">
        <v>1254</v>
      </c>
      <c r="C302" s="330"/>
      <c r="D302" s="801"/>
      <c r="E302" s="801"/>
      <c r="F302" s="95"/>
      <c r="G302" s="319">
        <f t="shared" si="34"/>
        <v>0</v>
      </c>
      <c r="H302" s="427">
        <f t="shared" si="35"/>
        <v>0</v>
      </c>
      <c r="I302" s="759">
        <f t="shared" si="33"/>
        <v>0</v>
      </c>
      <c r="J302" s="177">
        <v>0</v>
      </c>
      <c r="K302" s="427">
        <f t="shared" si="32"/>
        <v>0</v>
      </c>
      <c r="L302" s="427">
        <f t="shared" si="36"/>
        <v>0</v>
      </c>
      <c r="M302" s="680">
        <v>0</v>
      </c>
    </row>
    <row r="303" spans="1:13" s="6" customFormat="1" ht="15.75">
      <c r="A303" s="268">
        <v>212</v>
      </c>
      <c r="B303" s="122" t="s">
        <v>1255</v>
      </c>
      <c r="C303" s="330"/>
      <c r="D303" s="801"/>
      <c r="E303" s="801"/>
      <c r="F303" s="95"/>
      <c r="G303" s="319">
        <f t="shared" si="34"/>
        <v>0</v>
      </c>
      <c r="H303" s="427">
        <f t="shared" si="35"/>
        <v>0</v>
      </c>
      <c r="I303" s="759">
        <f t="shared" si="33"/>
        <v>0</v>
      </c>
      <c r="J303" s="177">
        <v>0</v>
      </c>
      <c r="K303" s="427">
        <f t="shared" si="32"/>
        <v>0</v>
      </c>
      <c r="L303" s="427">
        <f t="shared" si="36"/>
        <v>0</v>
      </c>
      <c r="M303" s="680">
        <v>0</v>
      </c>
    </row>
    <row r="304" spans="1:13" s="6" customFormat="1" ht="15.75">
      <c r="A304" s="268">
        <v>213</v>
      </c>
      <c r="B304" s="122" t="s">
        <v>1256</v>
      </c>
      <c r="C304" s="330"/>
      <c r="D304" s="801"/>
      <c r="E304" s="801"/>
      <c r="F304" s="95"/>
      <c r="G304" s="319">
        <f t="shared" si="34"/>
        <v>0</v>
      </c>
      <c r="H304" s="427">
        <f t="shared" si="35"/>
        <v>0</v>
      </c>
      <c r="I304" s="759">
        <f t="shared" si="33"/>
        <v>0</v>
      </c>
      <c r="J304" s="177">
        <v>0</v>
      </c>
      <c r="K304" s="427">
        <f t="shared" si="32"/>
        <v>0</v>
      </c>
      <c r="L304" s="427">
        <f t="shared" si="36"/>
        <v>0</v>
      </c>
      <c r="M304" s="680">
        <v>0</v>
      </c>
    </row>
    <row r="305" spans="1:13" s="6" customFormat="1" ht="15.75">
      <c r="A305" s="268">
        <v>214</v>
      </c>
      <c r="B305" s="122" t="s">
        <v>1257</v>
      </c>
      <c r="C305" s="330"/>
      <c r="D305" s="801"/>
      <c r="E305" s="801"/>
      <c r="F305" s="95"/>
      <c r="G305" s="319">
        <f t="shared" si="34"/>
        <v>0</v>
      </c>
      <c r="H305" s="427">
        <f t="shared" si="35"/>
        <v>0</v>
      </c>
      <c r="I305" s="759">
        <f t="shared" si="33"/>
        <v>0</v>
      </c>
      <c r="J305" s="177">
        <v>0</v>
      </c>
      <c r="K305" s="427">
        <f t="shared" si="32"/>
        <v>0</v>
      </c>
      <c r="L305" s="427">
        <f t="shared" si="36"/>
        <v>0</v>
      </c>
      <c r="M305" s="680">
        <v>0</v>
      </c>
    </row>
    <row r="306" spans="1:13" s="6" customFormat="1" ht="15.75">
      <c r="A306" s="268">
        <v>215</v>
      </c>
      <c r="B306" s="122" t="s">
        <v>1258</v>
      </c>
      <c r="C306" s="330"/>
      <c r="D306" s="801"/>
      <c r="E306" s="801"/>
      <c r="F306" s="95"/>
      <c r="G306" s="319">
        <f t="shared" si="34"/>
        <v>0</v>
      </c>
      <c r="H306" s="427">
        <f t="shared" si="35"/>
        <v>0</v>
      </c>
      <c r="I306" s="759">
        <f t="shared" si="33"/>
        <v>0</v>
      </c>
      <c r="J306" s="177">
        <v>0</v>
      </c>
      <c r="K306" s="427">
        <f t="shared" si="32"/>
        <v>0</v>
      </c>
      <c r="L306" s="427">
        <f t="shared" si="36"/>
        <v>0</v>
      </c>
      <c r="M306" s="680">
        <v>0</v>
      </c>
    </row>
    <row r="307" spans="1:13" s="6" customFormat="1" ht="15.75">
      <c r="A307" s="268">
        <v>216</v>
      </c>
      <c r="B307" s="122" t="s">
        <v>1259</v>
      </c>
      <c r="C307" s="330"/>
      <c r="D307" s="801"/>
      <c r="E307" s="801"/>
      <c r="F307" s="95"/>
      <c r="G307" s="319">
        <f t="shared" si="34"/>
        <v>0</v>
      </c>
      <c r="H307" s="427">
        <f t="shared" si="35"/>
        <v>0</v>
      </c>
      <c r="I307" s="759">
        <f t="shared" si="33"/>
        <v>0</v>
      </c>
      <c r="J307" s="177">
        <v>0</v>
      </c>
      <c r="K307" s="427">
        <f t="shared" si="32"/>
        <v>0</v>
      </c>
      <c r="L307" s="427">
        <f t="shared" si="36"/>
        <v>0</v>
      </c>
      <c r="M307" s="680">
        <v>0</v>
      </c>
    </row>
    <row r="308" spans="1:13" s="6" customFormat="1" ht="15.75">
      <c r="A308" s="268">
        <v>217</v>
      </c>
      <c r="B308" s="122" t="s">
        <v>1260</v>
      </c>
      <c r="C308" s="330"/>
      <c r="D308" s="801"/>
      <c r="E308" s="801"/>
      <c r="F308" s="95"/>
      <c r="G308" s="319">
        <f t="shared" si="34"/>
        <v>0</v>
      </c>
      <c r="H308" s="427">
        <f t="shared" si="35"/>
        <v>0</v>
      </c>
      <c r="I308" s="759">
        <f t="shared" si="33"/>
        <v>0</v>
      </c>
      <c r="J308" s="177">
        <v>0</v>
      </c>
      <c r="K308" s="427">
        <f t="shared" si="32"/>
        <v>0</v>
      </c>
      <c r="L308" s="427">
        <f t="shared" si="36"/>
        <v>0</v>
      </c>
      <c r="M308" s="680">
        <v>0</v>
      </c>
    </row>
    <row r="309" spans="1:13" s="6" customFormat="1" ht="15.75">
      <c r="A309" s="275">
        <v>218</v>
      </c>
      <c r="B309" s="122" t="s">
        <v>1261</v>
      </c>
      <c r="C309" s="330"/>
      <c r="D309" s="801"/>
      <c r="E309" s="801"/>
      <c r="F309" s="95"/>
      <c r="G309" s="319">
        <f t="shared" si="34"/>
        <v>0</v>
      </c>
      <c r="H309" s="427">
        <f t="shared" si="35"/>
        <v>0</v>
      </c>
      <c r="I309" s="759">
        <f t="shared" si="33"/>
        <v>0</v>
      </c>
      <c r="J309" s="177">
        <v>0</v>
      </c>
      <c r="K309" s="427">
        <f t="shared" si="32"/>
        <v>0</v>
      </c>
      <c r="L309" s="427">
        <f t="shared" si="36"/>
        <v>0</v>
      </c>
      <c r="M309" s="680">
        <v>0</v>
      </c>
    </row>
    <row r="310" spans="1:13" s="6" customFormat="1" ht="15.75">
      <c r="A310" s="268">
        <v>219</v>
      </c>
      <c r="B310" s="122" t="s">
        <v>1262</v>
      </c>
      <c r="C310" s="330"/>
      <c r="D310" s="801"/>
      <c r="E310" s="801"/>
      <c r="F310" s="95"/>
      <c r="G310" s="319">
        <f t="shared" si="34"/>
        <v>0</v>
      </c>
      <c r="H310" s="427">
        <f t="shared" si="35"/>
        <v>0</v>
      </c>
      <c r="I310" s="759">
        <f t="shared" si="33"/>
        <v>0</v>
      </c>
      <c r="J310" s="177">
        <v>0</v>
      </c>
      <c r="K310" s="427">
        <f t="shared" si="32"/>
        <v>0</v>
      </c>
      <c r="L310" s="427">
        <f t="shared" si="36"/>
        <v>0</v>
      </c>
      <c r="M310" s="680">
        <v>0</v>
      </c>
    </row>
    <row r="311" spans="1:13" s="6" customFormat="1" ht="15.75">
      <c r="A311" s="268">
        <v>220</v>
      </c>
      <c r="B311" s="122" t="s">
        <v>1263</v>
      </c>
      <c r="C311" s="330"/>
      <c r="D311" s="801"/>
      <c r="E311" s="801"/>
      <c r="F311" s="95"/>
      <c r="G311" s="319">
        <f t="shared" si="34"/>
        <v>0</v>
      </c>
      <c r="H311" s="427">
        <f t="shared" si="35"/>
        <v>0</v>
      </c>
      <c r="I311" s="759">
        <f t="shared" si="33"/>
        <v>0</v>
      </c>
      <c r="J311" s="177">
        <v>0</v>
      </c>
      <c r="K311" s="427">
        <f t="shared" si="32"/>
        <v>0</v>
      </c>
      <c r="L311" s="427">
        <f t="shared" si="36"/>
        <v>0</v>
      </c>
      <c r="M311" s="680">
        <v>0</v>
      </c>
    </row>
    <row r="312" spans="1:13" s="6" customFormat="1" ht="15.75">
      <c r="A312" s="268">
        <v>221</v>
      </c>
      <c r="B312" s="122" t="s">
        <v>1264</v>
      </c>
      <c r="C312" s="330"/>
      <c r="D312" s="801"/>
      <c r="E312" s="801"/>
      <c r="F312" s="95"/>
      <c r="G312" s="319">
        <f t="shared" si="34"/>
        <v>0</v>
      </c>
      <c r="H312" s="427">
        <f t="shared" si="35"/>
        <v>0</v>
      </c>
      <c r="I312" s="759">
        <f t="shared" si="33"/>
        <v>0</v>
      </c>
      <c r="J312" s="177">
        <v>0</v>
      </c>
      <c r="K312" s="427">
        <f t="shared" si="32"/>
        <v>0</v>
      </c>
      <c r="L312" s="427">
        <f t="shared" si="36"/>
        <v>0</v>
      </c>
      <c r="M312" s="680">
        <v>0</v>
      </c>
    </row>
    <row r="313" spans="1:13" s="6" customFormat="1" ht="15.75">
      <c r="A313" s="268">
        <v>222</v>
      </c>
      <c r="B313" s="122" t="s">
        <v>1265</v>
      </c>
      <c r="C313" s="330"/>
      <c r="D313" s="801"/>
      <c r="E313" s="801"/>
      <c r="F313" s="95"/>
      <c r="G313" s="319">
        <f t="shared" si="34"/>
        <v>0</v>
      </c>
      <c r="H313" s="427">
        <f t="shared" si="35"/>
        <v>0</v>
      </c>
      <c r="I313" s="759">
        <f t="shared" si="33"/>
        <v>0</v>
      </c>
      <c r="J313" s="177">
        <v>0</v>
      </c>
      <c r="K313" s="427">
        <f t="shared" si="32"/>
        <v>0</v>
      </c>
      <c r="L313" s="427">
        <f t="shared" si="36"/>
        <v>0</v>
      </c>
      <c r="M313" s="680">
        <v>0</v>
      </c>
    </row>
    <row r="314" spans="1:13" s="6" customFormat="1" ht="15.75">
      <c r="A314" s="268">
        <v>223</v>
      </c>
      <c r="B314" s="122" t="s">
        <v>1266</v>
      </c>
      <c r="C314" s="330"/>
      <c r="D314" s="801"/>
      <c r="E314" s="801"/>
      <c r="F314" s="95"/>
      <c r="G314" s="319">
        <f t="shared" si="34"/>
        <v>0</v>
      </c>
      <c r="H314" s="427">
        <f t="shared" si="35"/>
        <v>0</v>
      </c>
      <c r="I314" s="759">
        <f t="shared" si="33"/>
        <v>0</v>
      </c>
      <c r="J314" s="177">
        <v>0</v>
      </c>
      <c r="K314" s="427">
        <f t="shared" si="32"/>
        <v>0</v>
      </c>
      <c r="L314" s="427">
        <f t="shared" si="36"/>
        <v>0</v>
      </c>
      <c r="M314" s="680">
        <v>0</v>
      </c>
    </row>
    <row r="315" spans="1:13" s="6" customFormat="1" ht="15.75">
      <c r="A315" s="268">
        <v>224</v>
      </c>
      <c r="B315" s="122" t="s">
        <v>1267</v>
      </c>
      <c r="C315" s="330"/>
      <c r="D315" s="801"/>
      <c r="E315" s="801"/>
      <c r="F315" s="95"/>
      <c r="G315" s="319">
        <f t="shared" si="34"/>
        <v>0</v>
      </c>
      <c r="H315" s="427">
        <f t="shared" si="35"/>
        <v>0</v>
      </c>
      <c r="I315" s="759">
        <f t="shared" si="33"/>
        <v>0</v>
      </c>
      <c r="J315" s="177">
        <v>0</v>
      </c>
      <c r="K315" s="427">
        <f t="shared" si="32"/>
        <v>0</v>
      </c>
      <c r="L315" s="427">
        <f t="shared" si="36"/>
        <v>0</v>
      </c>
      <c r="M315" s="680">
        <v>0</v>
      </c>
    </row>
    <row r="316" spans="1:13" s="6" customFormat="1" ht="15.75">
      <c r="A316" s="275">
        <v>225</v>
      </c>
      <c r="B316" s="122" t="s">
        <v>1268</v>
      </c>
      <c r="C316" s="330"/>
      <c r="D316" s="801"/>
      <c r="E316" s="801"/>
      <c r="F316" s="95"/>
      <c r="G316" s="319">
        <f t="shared" si="34"/>
        <v>0</v>
      </c>
      <c r="H316" s="427">
        <f t="shared" si="35"/>
        <v>0</v>
      </c>
      <c r="I316" s="759">
        <f t="shared" si="33"/>
        <v>0</v>
      </c>
      <c r="J316" s="177">
        <v>0</v>
      </c>
      <c r="K316" s="427">
        <f t="shared" si="32"/>
        <v>0</v>
      </c>
      <c r="L316" s="427">
        <f t="shared" si="36"/>
        <v>0</v>
      </c>
      <c r="M316" s="680">
        <v>0</v>
      </c>
    </row>
    <row r="317" spans="1:13" s="6" customFormat="1" ht="15.75">
      <c r="A317" s="268">
        <v>226</v>
      </c>
      <c r="B317" s="122" t="s">
        <v>1269</v>
      </c>
      <c r="C317" s="330"/>
      <c r="D317" s="801"/>
      <c r="E317" s="801"/>
      <c r="F317" s="95"/>
      <c r="G317" s="319">
        <f t="shared" si="34"/>
        <v>0</v>
      </c>
      <c r="H317" s="427">
        <f t="shared" si="35"/>
        <v>0</v>
      </c>
      <c r="I317" s="759">
        <f t="shared" si="33"/>
        <v>0</v>
      </c>
      <c r="J317" s="177">
        <v>0</v>
      </c>
      <c r="K317" s="427">
        <f t="shared" si="32"/>
        <v>0</v>
      </c>
      <c r="L317" s="427">
        <f t="shared" si="36"/>
        <v>0</v>
      </c>
      <c r="M317" s="680">
        <v>0</v>
      </c>
    </row>
    <row r="318" spans="1:13" s="6" customFormat="1" ht="15.75">
      <c r="A318" s="268">
        <v>227</v>
      </c>
      <c r="B318" s="122" t="s">
        <v>1270</v>
      </c>
      <c r="C318" s="330"/>
      <c r="D318" s="801"/>
      <c r="E318" s="801"/>
      <c r="F318" s="95"/>
      <c r="G318" s="319">
        <f t="shared" si="34"/>
        <v>0</v>
      </c>
      <c r="H318" s="427">
        <f t="shared" si="35"/>
        <v>0</v>
      </c>
      <c r="I318" s="759">
        <f t="shared" si="33"/>
        <v>0</v>
      </c>
      <c r="J318" s="177">
        <v>0</v>
      </c>
      <c r="K318" s="427">
        <f t="shared" si="32"/>
        <v>0</v>
      </c>
      <c r="L318" s="427">
        <f t="shared" si="36"/>
        <v>0</v>
      </c>
      <c r="M318" s="680">
        <v>0</v>
      </c>
    </row>
    <row r="319" spans="1:13" s="6" customFormat="1" ht="15.75">
      <c r="A319" s="268">
        <v>228</v>
      </c>
      <c r="B319" s="122" t="s">
        <v>1271</v>
      </c>
      <c r="C319" s="330"/>
      <c r="D319" s="801"/>
      <c r="E319" s="801"/>
      <c r="F319" s="95"/>
      <c r="G319" s="319">
        <f t="shared" si="34"/>
        <v>0</v>
      </c>
      <c r="H319" s="427">
        <f t="shared" si="35"/>
        <v>0</v>
      </c>
      <c r="I319" s="759">
        <f t="shared" si="33"/>
        <v>0</v>
      </c>
      <c r="J319" s="177">
        <v>0</v>
      </c>
      <c r="K319" s="427">
        <f t="shared" si="32"/>
        <v>0</v>
      </c>
      <c r="L319" s="427">
        <f t="shared" si="36"/>
        <v>0</v>
      </c>
      <c r="M319" s="680">
        <v>0</v>
      </c>
    </row>
    <row r="320" spans="1:13" s="6" customFormat="1" ht="15.75">
      <c r="A320" s="268">
        <v>229</v>
      </c>
      <c r="B320" s="122" t="s">
        <v>1272</v>
      </c>
      <c r="C320" s="330"/>
      <c r="D320" s="801"/>
      <c r="E320" s="801"/>
      <c r="F320" s="95"/>
      <c r="G320" s="319">
        <f t="shared" si="34"/>
        <v>0</v>
      </c>
      <c r="H320" s="427">
        <f t="shared" si="35"/>
        <v>0</v>
      </c>
      <c r="I320" s="759">
        <f t="shared" si="33"/>
        <v>0</v>
      </c>
      <c r="J320" s="177">
        <v>0</v>
      </c>
      <c r="K320" s="427">
        <f t="shared" si="32"/>
        <v>0</v>
      </c>
      <c r="L320" s="427">
        <f t="shared" si="36"/>
        <v>0</v>
      </c>
      <c r="M320" s="680">
        <v>0</v>
      </c>
    </row>
    <row r="321" spans="1:14" s="6" customFormat="1" ht="15.75">
      <c r="A321" s="268">
        <v>230</v>
      </c>
      <c r="B321" s="122" t="s">
        <v>1273</v>
      </c>
      <c r="C321" s="330"/>
      <c r="D321" s="801"/>
      <c r="E321" s="801"/>
      <c r="F321" s="95"/>
      <c r="G321" s="319">
        <f t="shared" si="34"/>
        <v>0</v>
      </c>
      <c r="H321" s="427">
        <f t="shared" si="35"/>
        <v>0</v>
      </c>
      <c r="I321" s="759">
        <f t="shared" si="33"/>
        <v>0</v>
      </c>
      <c r="J321" s="177">
        <v>0</v>
      </c>
      <c r="K321" s="427">
        <f t="shared" si="32"/>
        <v>0</v>
      </c>
      <c r="L321" s="427">
        <f t="shared" si="36"/>
        <v>0</v>
      </c>
      <c r="M321" s="680">
        <v>0</v>
      </c>
    </row>
    <row r="322" spans="1:14" s="6" customFormat="1" ht="15.75">
      <c r="A322" s="268">
        <v>231</v>
      </c>
      <c r="B322" s="122" t="s">
        <v>1274</v>
      </c>
      <c r="C322" s="330"/>
      <c r="D322" s="801"/>
      <c r="E322" s="801"/>
      <c r="F322" s="95"/>
      <c r="G322" s="319">
        <f t="shared" si="34"/>
        <v>0</v>
      </c>
      <c r="H322" s="427">
        <f t="shared" si="35"/>
        <v>0</v>
      </c>
      <c r="I322" s="759">
        <f t="shared" si="33"/>
        <v>0</v>
      </c>
      <c r="J322" s="177">
        <v>0</v>
      </c>
      <c r="K322" s="427">
        <f t="shared" si="32"/>
        <v>0</v>
      </c>
      <c r="L322" s="427">
        <f t="shared" si="36"/>
        <v>0</v>
      </c>
      <c r="M322" s="680">
        <v>0</v>
      </c>
    </row>
    <row r="323" spans="1:14" s="6" customFormat="1" ht="15.75">
      <c r="A323" s="275">
        <v>232</v>
      </c>
      <c r="B323" s="122" t="s">
        <v>1275</v>
      </c>
      <c r="C323" s="330"/>
      <c r="D323" s="801"/>
      <c r="E323" s="801"/>
      <c r="F323" s="95"/>
      <c r="G323" s="319">
        <f t="shared" si="34"/>
        <v>0</v>
      </c>
      <c r="H323" s="427">
        <f t="shared" si="35"/>
        <v>0</v>
      </c>
      <c r="I323" s="759">
        <f t="shared" si="33"/>
        <v>0</v>
      </c>
      <c r="J323" s="177">
        <v>0</v>
      </c>
      <c r="K323" s="427">
        <f t="shared" si="32"/>
        <v>0</v>
      </c>
      <c r="L323" s="427">
        <f t="shared" si="36"/>
        <v>0</v>
      </c>
      <c r="M323" s="680">
        <v>0</v>
      </c>
    </row>
    <row r="324" spans="1:14" s="6" customFormat="1" ht="15.75">
      <c r="A324" s="268">
        <v>233</v>
      </c>
      <c r="B324" s="122" t="s">
        <v>1276</v>
      </c>
      <c r="C324" s="330"/>
      <c r="D324" s="801"/>
      <c r="E324" s="801"/>
      <c r="F324" s="95"/>
      <c r="G324" s="319">
        <f t="shared" si="34"/>
        <v>0</v>
      </c>
      <c r="H324" s="427">
        <f t="shared" si="35"/>
        <v>0</v>
      </c>
      <c r="I324" s="759">
        <f t="shared" si="33"/>
        <v>0</v>
      </c>
      <c r="J324" s="177">
        <v>0</v>
      </c>
      <c r="K324" s="427">
        <f t="shared" si="32"/>
        <v>0</v>
      </c>
      <c r="L324" s="427">
        <f t="shared" si="36"/>
        <v>0</v>
      </c>
      <c r="M324" s="680">
        <v>0</v>
      </c>
    </row>
    <row r="325" spans="1:14" s="6" customFormat="1" ht="15.75">
      <c r="A325" s="268">
        <v>234</v>
      </c>
      <c r="B325" s="122" t="s">
        <v>1277</v>
      </c>
      <c r="C325" s="330"/>
      <c r="D325" s="801"/>
      <c r="E325" s="801"/>
      <c r="F325" s="95"/>
      <c r="G325" s="319">
        <f t="shared" si="34"/>
        <v>0</v>
      </c>
      <c r="H325" s="427">
        <f t="shared" si="35"/>
        <v>0</v>
      </c>
      <c r="I325" s="759">
        <f t="shared" si="33"/>
        <v>0</v>
      </c>
      <c r="J325" s="177">
        <v>0</v>
      </c>
      <c r="K325" s="427">
        <f t="shared" si="32"/>
        <v>0</v>
      </c>
      <c r="L325" s="427">
        <f t="shared" si="36"/>
        <v>0</v>
      </c>
      <c r="M325" s="680">
        <v>0</v>
      </c>
    </row>
    <row r="326" spans="1:14" s="6" customFormat="1" ht="15.75">
      <c r="A326" s="268">
        <v>235</v>
      </c>
      <c r="B326" s="122" t="s">
        <v>1278</v>
      </c>
      <c r="C326" s="330"/>
      <c r="D326" s="801"/>
      <c r="E326" s="801"/>
      <c r="F326" s="95"/>
      <c r="G326" s="319">
        <f t="shared" si="34"/>
        <v>0</v>
      </c>
      <c r="H326" s="427">
        <f t="shared" si="35"/>
        <v>0</v>
      </c>
      <c r="I326" s="759">
        <f t="shared" si="33"/>
        <v>0</v>
      </c>
      <c r="J326" s="177">
        <v>0</v>
      </c>
      <c r="K326" s="427">
        <f t="shared" si="32"/>
        <v>0</v>
      </c>
      <c r="L326" s="427">
        <f t="shared" si="36"/>
        <v>0</v>
      </c>
      <c r="M326" s="680">
        <v>0</v>
      </c>
    </row>
    <row r="327" spans="1:14" s="6" customFormat="1" ht="15.75">
      <c r="A327" s="268">
        <v>236</v>
      </c>
      <c r="B327" s="122" t="s">
        <v>1279</v>
      </c>
      <c r="C327" s="330">
        <v>2055.4499999999998</v>
      </c>
      <c r="D327" s="801"/>
      <c r="E327" s="801"/>
      <c r="F327" s="95">
        <f>C327+D327+E327</f>
        <v>2055.4499999999998</v>
      </c>
      <c r="G327" s="319">
        <f t="shared" si="34"/>
        <v>5.3691584068516249E-2</v>
      </c>
      <c r="H327" s="427">
        <f t="shared" si="35"/>
        <v>121.83318415739228</v>
      </c>
      <c r="I327" s="759">
        <f t="shared" si="33"/>
        <v>44.798061814673147</v>
      </c>
      <c r="J327" s="177">
        <v>47.451361018251902</v>
      </c>
      <c r="K327" s="427">
        <f t="shared" ref="K327:K379" si="37">G327*801.55</f>
        <v>43.0364892101192</v>
      </c>
      <c r="L327" s="427">
        <f t="shared" si="36"/>
        <v>52.461480347135307</v>
      </c>
      <c r="M327" s="680">
        <f>(K327+J327+I327+H327)/F327</f>
        <v>0.12509138933101585</v>
      </c>
      <c r="N327" s="6" t="s">
        <v>1028</v>
      </c>
    </row>
    <row r="328" spans="1:14" s="6" customFormat="1" ht="15.75">
      <c r="A328" s="268">
        <v>237</v>
      </c>
      <c r="B328" s="122" t="s">
        <v>1280</v>
      </c>
      <c r="C328" s="330">
        <v>3486.96</v>
      </c>
      <c r="D328" s="801"/>
      <c r="E328" s="801"/>
      <c r="F328" s="95">
        <f>C328+D328+E328</f>
        <v>3486.96</v>
      </c>
      <c r="G328" s="319">
        <f t="shared" si="34"/>
        <v>9.1084874836923027E-2</v>
      </c>
      <c r="H328" s="427">
        <f t="shared" si="35"/>
        <v>206.68342203870716</v>
      </c>
      <c r="I328" s="759">
        <f t="shared" si="33"/>
        <v>75.997494283632633</v>
      </c>
      <c r="J328" s="177">
        <v>80.49867319380364</v>
      </c>
      <c r="K328" s="427">
        <f t="shared" si="37"/>
        <v>73.009081425535655</v>
      </c>
      <c r="L328" s="427">
        <f t="shared" si="36"/>
        <v>88.998070257727974</v>
      </c>
      <c r="M328" s="680">
        <f>(K328+J328+I328+H328)/F328</f>
        <v>0.12509138933101588</v>
      </c>
      <c r="N328" s="6" t="s">
        <v>1028</v>
      </c>
    </row>
    <row r="329" spans="1:14" s="6" customFormat="1" ht="15.75">
      <c r="A329" s="268">
        <v>238</v>
      </c>
      <c r="B329" s="122" t="s">
        <v>1281</v>
      </c>
      <c r="C329" s="330"/>
      <c r="D329" s="801"/>
      <c r="E329" s="801"/>
      <c r="F329" s="95"/>
      <c r="G329" s="319">
        <f t="shared" si="34"/>
        <v>0</v>
      </c>
      <c r="H329" s="427">
        <f t="shared" si="35"/>
        <v>0</v>
      </c>
      <c r="I329" s="759">
        <f t="shared" si="33"/>
        <v>0</v>
      </c>
      <c r="J329" s="177">
        <v>0</v>
      </c>
      <c r="K329" s="427">
        <f t="shared" si="37"/>
        <v>0</v>
      </c>
      <c r="L329" s="427">
        <f t="shared" si="36"/>
        <v>0</v>
      </c>
      <c r="M329" s="680">
        <v>0</v>
      </c>
    </row>
    <row r="330" spans="1:14" s="6" customFormat="1" ht="15.75">
      <c r="A330" s="275">
        <v>239</v>
      </c>
      <c r="B330" s="122" t="s">
        <v>1282</v>
      </c>
      <c r="C330" s="330"/>
      <c r="D330" s="801"/>
      <c r="E330" s="801"/>
      <c r="F330" s="95"/>
      <c r="G330" s="319">
        <f t="shared" si="34"/>
        <v>0</v>
      </c>
      <c r="H330" s="427">
        <f t="shared" si="35"/>
        <v>0</v>
      </c>
      <c r="I330" s="759">
        <f t="shared" si="33"/>
        <v>0</v>
      </c>
      <c r="J330" s="177">
        <v>0</v>
      </c>
      <c r="K330" s="427">
        <f t="shared" si="37"/>
        <v>0</v>
      </c>
      <c r="L330" s="427">
        <f t="shared" si="36"/>
        <v>0</v>
      </c>
      <c r="M330" s="680">
        <v>0</v>
      </c>
    </row>
    <row r="331" spans="1:14" s="6" customFormat="1" ht="15.75">
      <c r="A331" s="268">
        <v>240</v>
      </c>
      <c r="B331" s="122" t="s">
        <v>1283</v>
      </c>
      <c r="C331" s="330"/>
      <c r="D331" s="801"/>
      <c r="E331" s="801"/>
      <c r="F331" s="95"/>
      <c r="G331" s="319">
        <f t="shared" si="34"/>
        <v>0</v>
      </c>
      <c r="H331" s="427">
        <f t="shared" si="35"/>
        <v>0</v>
      </c>
      <c r="I331" s="759">
        <f t="shared" si="33"/>
        <v>0</v>
      </c>
      <c r="J331" s="177">
        <v>0</v>
      </c>
      <c r="K331" s="427">
        <f t="shared" si="37"/>
        <v>0</v>
      </c>
      <c r="L331" s="427">
        <f t="shared" si="36"/>
        <v>0</v>
      </c>
      <c r="M331" s="680">
        <v>0</v>
      </c>
    </row>
    <row r="332" spans="1:14" s="6" customFormat="1" ht="15.75">
      <c r="A332" s="268">
        <v>241</v>
      </c>
      <c r="B332" s="122" t="s">
        <v>1284</v>
      </c>
      <c r="C332" s="330"/>
      <c r="D332" s="801"/>
      <c r="E332" s="801"/>
      <c r="F332" s="95"/>
      <c r="G332" s="319">
        <f t="shared" si="34"/>
        <v>0</v>
      </c>
      <c r="H332" s="427">
        <f t="shared" si="35"/>
        <v>0</v>
      </c>
      <c r="I332" s="759">
        <f t="shared" si="33"/>
        <v>0</v>
      </c>
      <c r="J332" s="177">
        <v>0</v>
      </c>
      <c r="K332" s="427">
        <f t="shared" si="37"/>
        <v>0</v>
      </c>
      <c r="L332" s="427">
        <f t="shared" si="36"/>
        <v>0</v>
      </c>
      <c r="M332" s="680">
        <v>0</v>
      </c>
    </row>
    <row r="333" spans="1:14" s="6" customFormat="1" ht="15.75">
      <c r="A333" s="268">
        <v>242</v>
      </c>
      <c r="B333" s="122" t="s">
        <v>1285</v>
      </c>
      <c r="C333" s="330"/>
      <c r="D333" s="801"/>
      <c r="E333" s="801"/>
      <c r="F333" s="95"/>
      <c r="G333" s="319">
        <f t="shared" si="34"/>
        <v>0</v>
      </c>
      <c r="H333" s="427">
        <f t="shared" si="35"/>
        <v>0</v>
      </c>
      <c r="I333" s="759">
        <f t="shared" si="33"/>
        <v>0</v>
      </c>
      <c r="J333" s="177">
        <v>0</v>
      </c>
      <c r="K333" s="427">
        <f t="shared" si="37"/>
        <v>0</v>
      </c>
      <c r="L333" s="427">
        <f t="shared" si="36"/>
        <v>0</v>
      </c>
      <c r="M333" s="680">
        <v>0</v>
      </c>
    </row>
    <row r="334" spans="1:14" s="6" customFormat="1" ht="15.75">
      <c r="A334" s="268">
        <v>243</v>
      </c>
      <c r="B334" s="122" t="s">
        <v>1286</v>
      </c>
      <c r="C334" s="330"/>
      <c r="D334" s="801"/>
      <c r="E334" s="801"/>
      <c r="F334" s="95"/>
      <c r="G334" s="319">
        <f t="shared" si="34"/>
        <v>0</v>
      </c>
      <c r="H334" s="427">
        <f t="shared" si="35"/>
        <v>0</v>
      </c>
      <c r="I334" s="759">
        <f t="shared" si="33"/>
        <v>0</v>
      </c>
      <c r="J334" s="177">
        <v>0</v>
      </c>
      <c r="K334" s="427">
        <f t="shared" si="37"/>
        <v>0</v>
      </c>
      <c r="L334" s="427">
        <f t="shared" si="36"/>
        <v>0</v>
      </c>
      <c r="M334" s="680">
        <v>0</v>
      </c>
    </row>
    <row r="335" spans="1:14" s="6" customFormat="1" ht="15.75">
      <c r="A335" s="268">
        <v>244</v>
      </c>
      <c r="B335" s="122" t="s">
        <v>1287</v>
      </c>
      <c r="C335" s="330"/>
      <c r="D335" s="801"/>
      <c r="E335" s="801"/>
      <c r="F335" s="95"/>
      <c r="G335" s="319">
        <f t="shared" si="34"/>
        <v>0</v>
      </c>
      <c r="H335" s="427">
        <f t="shared" si="35"/>
        <v>0</v>
      </c>
      <c r="I335" s="759">
        <f t="shared" si="33"/>
        <v>0</v>
      </c>
      <c r="J335" s="177">
        <v>0</v>
      </c>
      <c r="K335" s="427">
        <f t="shared" si="37"/>
        <v>0</v>
      </c>
      <c r="L335" s="427">
        <f t="shared" si="36"/>
        <v>0</v>
      </c>
      <c r="M335" s="680">
        <v>0</v>
      </c>
    </row>
    <row r="336" spans="1:14" s="6" customFormat="1" ht="15.75">
      <c r="A336" s="268">
        <v>245</v>
      </c>
      <c r="B336" s="122" t="s">
        <v>1288</v>
      </c>
      <c r="C336" s="330"/>
      <c r="D336" s="801"/>
      <c r="E336" s="801"/>
      <c r="F336" s="95"/>
      <c r="G336" s="319">
        <f t="shared" si="34"/>
        <v>0</v>
      </c>
      <c r="H336" s="427">
        <f t="shared" si="35"/>
        <v>0</v>
      </c>
      <c r="I336" s="759">
        <f t="shared" si="33"/>
        <v>0</v>
      </c>
      <c r="J336" s="177">
        <v>0</v>
      </c>
      <c r="K336" s="427">
        <f t="shared" si="37"/>
        <v>0</v>
      </c>
      <c r="L336" s="427">
        <f t="shared" si="36"/>
        <v>0</v>
      </c>
      <c r="M336" s="680">
        <v>0</v>
      </c>
    </row>
    <row r="337" spans="1:13" s="6" customFormat="1" ht="15.75">
      <c r="A337" s="275">
        <v>246</v>
      </c>
      <c r="B337" s="122" t="s">
        <v>1289</v>
      </c>
      <c r="C337" s="330"/>
      <c r="D337" s="801"/>
      <c r="E337" s="801"/>
      <c r="F337" s="95"/>
      <c r="G337" s="319">
        <f t="shared" si="34"/>
        <v>0</v>
      </c>
      <c r="H337" s="427">
        <f t="shared" si="35"/>
        <v>0</v>
      </c>
      <c r="I337" s="759">
        <f t="shared" si="33"/>
        <v>0</v>
      </c>
      <c r="J337" s="177">
        <v>0</v>
      </c>
      <c r="K337" s="427">
        <f t="shared" si="37"/>
        <v>0</v>
      </c>
      <c r="L337" s="427">
        <f t="shared" si="36"/>
        <v>0</v>
      </c>
      <c r="M337" s="680">
        <v>0</v>
      </c>
    </row>
    <row r="338" spans="1:13" s="6" customFormat="1" ht="15.75">
      <c r="A338" s="268">
        <v>247</v>
      </c>
      <c r="B338" s="122" t="s">
        <v>1290</v>
      </c>
      <c r="C338" s="330"/>
      <c r="D338" s="801"/>
      <c r="E338" s="801"/>
      <c r="F338" s="95"/>
      <c r="G338" s="319">
        <f t="shared" si="34"/>
        <v>0</v>
      </c>
      <c r="H338" s="427">
        <f t="shared" si="35"/>
        <v>0</v>
      </c>
      <c r="I338" s="759">
        <f t="shared" ref="I338:I379" si="38">H338*0.3677</f>
        <v>0</v>
      </c>
      <c r="J338" s="177">
        <v>0</v>
      </c>
      <c r="K338" s="427">
        <f t="shared" si="37"/>
        <v>0</v>
      </c>
      <c r="L338" s="427">
        <f t="shared" si="36"/>
        <v>0</v>
      </c>
      <c r="M338" s="680">
        <v>0</v>
      </c>
    </row>
    <row r="339" spans="1:13" s="6" customFormat="1" ht="15.75">
      <c r="A339" s="268">
        <v>248</v>
      </c>
      <c r="B339" s="122" t="s">
        <v>1291</v>
      </c>
      <c r="C339" s="330"/>
      <c r="D339" s="801"/>
      <c r="E339" s="801"/>
      <c r="F339" s="95"/>
      <c r="G339" s="319">
        <f t="shared" si="34"/>
        <v>0</v>
      </c>
      <c r="H339" s="427">
        <f t="shared" si="35"/>
        <v>0</v>
      </c>
      <c r="I339" s="759">
        <f t="shared" si="38"/>
        <v>0</v>
      </c>
      <c r="J339" s="177">
        <v>0</v>
      </c>
      <c r="K339" s="427">
        <f t="shared" si="37"/>
        <v>0</v>
      </c>
      <c r="L339" s="427">
        <f t="shared" si="36"/>
        <v>0</v>
      </c>
      <c r="M339" s="680">
        <v>0</v>
      </c>
    </row>
    <row r="340" spans="1:13" s="6" customFormat="1" ht="15.75">
      <c r="A340" s="268">
        <v>249</v>
      </c>
      <c r="B340" s="122" t="s">
        <v>1292</v>
      </c>
      <c r="C340" s="330"/>
      <c r="D340" s="801"/>
      <c r="E340" s="801"/>
      <c r="F340" s="95"/>
      <c r="G340" s="319">
        <f t="shared" si="34"/>
        <v>0</v>
      </c>
      <c r="H340" s="427">
        <f t="shared" si="35"/>
        <v>0</v>
      </c>
      <c r="I340" s="759">
        <f t="shared" si="38"/>
        <v>0</v>
      </c>
      <c r="J340" s="177">
        <v>0</v>
      </c>
      <c r="K340" s="427">
        <f t="shared" si="37"/>
        <v>0</v>
      </c>
      <c r="L340" s="427">
        <f t="shared" si="36"/>
        <v>0</v>
      </c>
      <c r="M340" s="680">
        <v>0</v>
      </c>
    </row>
    <row r="341" spans="1:13" s="6" customFormat="1" ht="15.75">
      <c r="A341" s="268">
        <v>250</v>
      </c>
      <c r="B341" s="122" t="s">
        <v>1293</v>
      </c>
      <c r="C341" s="330"/>
      <c r="D341" s="801"/>
      <c r="E341" s="801"/>
      <c r="F341" s="95"/>
      <c r="G341" s="319">
        <f t="shared" si="34"/>
        <v>0</v>
      </c>
      <c r="H341" s="427">
        <f t="shared" si="35"/>
        <v>0</v>
      </c>
      <c r="I341" s="759">
        <f t="shared" si="38"/>
        <v>0</v>
      </c>
      <c r="J341" s="177">
        <v>0</v>
      </c>
      <c r="K341" s="427">
        <f t="shared" si="37"/>
        <v>0</v>
      </c>
      <c r="L341" s="427">
        <f t="shared" si="36"/>
        <v>0</v>
      </c>
      <c r="M341" s="680">
        <v>0</v>
      </c>
    </row>
    <row r="342" spans="1:13" s="6" customFormat="1" ht="15.75">
      <c r="A342" s="268">
        <v>251</v>
      </c>
      <c r="B342" s="122" t="s">
        <v>1294</v>
      </c>
      <c r="C342" s="330"/>
      <c r="D342" s="801"/>
      <c r="E342" s="801"/>
      <c r="F342" s="95"/>
      <c r="G342" s="319">
        <f t="shared" si="34"/>
        <v>0</v>
      </c>
      <c r="H342" s="427">
        <f t="shared" si="35"/>
        <v>0</v>
      </c>
      <c r="I342" s="759">
        <f t="shared" si="38"/>
        <v>0</v>
      </c>
      <c r="J342" s="177">
        <v>0</v>
      </c>
      <c r="K342" s="427">
        <f t="shared" si="37"/>
        <v>0</v>
      </c>
      <c r="L342" s="427">
        <f t="shared" si="36"/>
        <v>0</v>
      </c>
      <c r="M342" s="680">
        <v>0</v>
      </c>
    </row>
    <row r="343" spans="1:13" s="6" customFormat="1" ht="15.75">
      <c r="A343" s="268">
        <v>252</v>
      </c>
      <c r="B343" s="122" t="s">
        <v>1295</v>
      </c>
      <c r="C343" s="330"/>
      <c r="D343" s="801"/>
      <c r="E343" s="801"/>
      <c r="F343" s="95"/>
      <c r="G343" s="319">
        <f t="shared" si="34"/>
        <v>0</v>
      </c>
      <c r="H343" s="427">
        <f t="shared" si="35"/>
        <v>0</v>
      </c>
      <c r="I343" s="759">
        <f t="shared" si="38"/>
        <v>0</v>
      </c>
      <c r="J343" s="177">
        <v>0</v>
      </c>
      <c r="K343" s="427">
        <f t="shared" si="37"/>
        <v>0</v>
      </c>
      <c r="L343" s="427">
        <f t="shared" si="36"/>
        <v>0</v>
      </c>
      <c r="M343" s="680">
        <v>0</v>
      </c>
    </row>
    <row r="344" spans="1:13" s="6" customFormat="1" ht="15.75">
      <c r="A344" s="275">
        <v>253</v>
      </c>
      <c r="B344" s="122" t="s">
        <v>1296</v>
      </c>
      <c r="C344" s="330"/>
      <c r="D344" s="801"/>
      <c r="E344" s="801"/>
      <c r="F344" s="95"/>
      <c r="G344" s="319">
        <f t="shared" si="34"/>
        <v>0</v>
      </c>
      <c r="H344" s="427">
        <f t="shared" si="35"/>
        <v>0</v>
      </c>
      <c r="I344" s="759">
        <f t="shared" si="38"/>
        <v>0</v>
      </c>
      <c r="J344" s="177">
        <v>0</v>
      </c>
      <c r="K344" s="427">
        <f t="shared" si="37"/>
        <v>0</v>
      </c>
      <c r="L344" s="427">
        <f t="shared" si="36"/>
        <v>0</v>
      </c>
      <c r="M344" s="680">
        <v>0</v>
      </c>
    </row>
    <row r="345" spans="1:13" s="6" customFormat="1" ht="15.75">
      <c r="A345" s="268">
        <v>254</v>
      </c>
      <c r="B345" s="122" t="s">
        <v>1297</v>
      </c>
      <c r="C345" s="330"/>
      <c r="D345" s="801"/>
      <c r="E345" s="801"/>
      <c r="F345" s="95"/>
      <c r="G345" s="319">
        <f t="shared" si="34"/>
        <v>0</v>
      </c>
      <c r="H345" s="427">
        <f t="shared" si="35"/>
        <v>0</v>
      </c>
      <c r="I345" s="759">
        <f t="shared" si="38"/>
        <v>0</v>
      </c>
      <c r="J345" s="177">
        <v>0</v>
      </c>
      <c r="K345" s="427">
        <f t="shared" si="37"/>
        <v>0</v>
      </c>
      <c r="L345" s="427">
        <f t="shared" si="36"/>
        <v>0</v>
      </c>
      <c r="M345" s="680">
        <v>0</v>
      </c>
    </row>
    <row r="346" spans="1:13" s="6" customFormat="1" ht="15.75">
      <c r="A346" s="268">
        <v>255</v>
      </c>
      <c r="B346" s="122" t="s">
        <v>1298</v>
      </c>
      <c r="C346" s="330"/>
      <c r="D346" s="801"/>
      <c r="E346" s="801"/>
      <c r="F346" s="95"/>
      <c r="G346" s="319">
        <f t="shared" si="34"/>
        <v>0</v>
      </c>
      <c r="H346" s="427">
        <f t="shared" si="35"/>
        <v>0</v>
      </c>
      <c r="I346" s="759">
        <f t="shared" si="38"/>
        <v>0</v>
      </c>
      <c r="J346" s="177">
        <v>0</v>
      </c>
      <c r="K346" s="427">
        <f t="shared" si="37"/>
        <v>0</v>
      </c>
      <c r="L346" s="427">
        <f t="shared" si="36"/>
        <v>0</v>
      </c>
      <c r="M346" s="680">
        <v>0</v>
      </c>
    </row>
    <row r="347" spans="1:13" s="6" customFormat="1" ht="15.75">
      <c r="A347" s="268">
        <v>256</v>
      </c>
      <c r="B347" s="122" t="s">
        <v>1299</v>
      </c>
      <c r="C347" s="330"/>
      <c r="D347" s="801"/>
      <c r="E347" s="801"/>
      <c r="F347" s="95"/>
      <c r="G347" s="319">
        <f t="shared" si="34"/>
        <v>0</v>
      </c>
      <c r="H347" s="427">
        <f t="shared" si="35"/>
        <v>0</v>
      </c>
      <c r="I347" s="759">
        <f t="shared" si="38"/>
        <v>0</v>
      </c>
      <c r="J347" s="177">
        <v>0</v>
      </c>
      <c r="K347" s="427">
        <f t="shared" si="37"/>
        <v>0</v>
      </c>
      <c r="L347" s="427">
        <f t="shared" si="36"/>
        <v>0</v>
      </c>
      <c r="M347" s="680">
        <v>0</v>
      </c>
    </row>
    <row r="348" spans="1:13" s="6" customFormat="1" ht="15.75">
      <c r="A348" s="268">
        <v>257</v>
      </c>
      <c r="B348" s="122" t="s">
        <v>1300</v>
      </c>
      <c r="C348" s="330"/>
      <c r="D348" s="801"/>
      <c r="E348" s="801"/>
      <c r="F348" s="95"/>
      <c r="G348" s="319">
        <f t="shared" ref="G348:G383" si="39">2.5/95706.34*F348</f>
        <v>0</v>
      </c>
      <c r="H348" s="427">
        <f t="shared" si="35"/>
        <v>0</v>
      </c>
      <c r="I348" s="759">
        <f t="shared" si="38"/>
        <v>0</v>
      </c>
      <c r="J348" s="177">
        <v>0</v>
      </c>
      <c r="K348" s="427">
        <f t="shared" si="37"/>
        <v>0</v>
      </c>
      <c r="L348" s="427">
        <f t="shared" si="36"/>
        <v>0</v>
      </c>
      <c r="M348" s="680">
        <v>0</v>
      </c>
    </row>
    <row r="349" spans="1:13" s="6" customFormat="1" ht="15.75">
      <c r="A349" s="268">
        <v>258</v>
      </c>
      <c r="B349" s="122" t="s">
        <v>1301</v>
      </c>
      <c r="C349" s="330"/>
      <c r="D349" s="801"/>
      <c r="E349" s="801"/>
      <c r="F349" s="95"/>
      <c r="G349" s="319">
        <f t="shared" si="39"/>
        <v>0</v>
      </c>
      <c r="H349" s="427">
        <f t="shared" ref="H349:H383" si="40">G349*2269.13</f>
        <v>0</v>
      </c>
      <c r="I349" s="759">
        <f t="shared" si="38"/>
        <v>0</v>
      </c>
      <c r="J349" s="177">
        <v>0</v>
      </c>
      <c r="K349" s="427">
        <f t="shared" si="37"/>
        <v>0</v>
      </c>
      <c r="L349" s="427">
        <f t="shared" ref="L349:L412" si="41">K349*1.219</f>
        <v>0</v>
      </c>
      <c r="M349" s="680">
        <v>0</v>
      </c>
    </row>
    <row r="350" spans="1:13" s="6" customFormat="1" ht="15.75">
      <c r="A350" s="268">
        <v>259</v>
      </c>
      <c r="B350" s="122" t="s">
        <v>1302</v>
      </c>
      <c r="C350" s="330"/>
      <c r="D350" s="801"/>
      <c r="E350" s="801"/>
      <c r="F350" s="95"/>
      <c r="G350" s="319">
        <f t="shared" si="39"/>
        <v>0</v>
      </c>
      <c r="H350" s="427">
        <f t="shared" si="40"/>
        <v>0</v>
      </c>
      <c r="I350" s="759">
        <f t="shared" si="38"/>
        <v>0</v>
      </c>
      <c r="J350" s="177">
        <v>0</v>
      </c>
      <c r="K350" s="427">
        <f t="shared" si="37"/>
        <v>0</v>
      </c>
      <c r="L350" s="427">
        <f t="shared" si="41"/>
        <v>0</v>
      </c>
      <c r="M350" s="680">
        <v>0</v>
      </c>
    </row>
    <row r="351" spans="1:13" s="6" customFormat="1" ht="15.75">
      <c r="A351" s="275">
        <v>260</v>
      </c>
      <c r="B351" s="122" t="s">
        <v>1303</v>
      </c>
      <c r="C351" s="330"/>
      <c r="D351" s="801"/>
      <c r="E351" s="801"/>
      <c r="F351" s="95"/>
      <c r="G351" s="319">
        <f t="shared" si="39"/>
        <v>0</v>
      </c>
      <c r="H351" s="427">
        <f t="shared" si="40"/>
        <v>0</v>
      </c>
      <c r="I351" s="759">
        <f t="shared" si="38"/>
        <v>0</v>
      </c>
      <c r="J351" s="177">
        <v>0</v>
      </c>
      <c r="K351" s="427">
        <f t="shared" si="37"/>
        <v>0</v>
      </c>
      <c r="L351" s="427">
        <f t="shared" si="41"/>
        <v>0</v>
      </c>
      <c r="M351" s="680">
        <v>0</v>
      </c>
    </row>
    <row r="352" spans="1:13" s="6" customFormat="1" ht="15.75">
      <c r="A352" s="268">
        <v>261</v>
      </c>
      <c r="B352" s="122" t="s">
        <v>1304</v>
      </c>
      <c r="C352" s="330"/>
      <c r="D352" s="801"/>
      <c r="E352" s="801"/>
      <c r="F352" s="95"/>
      <c r="G352" s="319">
        <f t="shared" si="39"/>
        <v>0</v>
      </c>
      <c r="H352" s="427">
        <f t="shared" si="40"/>
        <v>0</v>
      </c>
      <c r="I352" s="759">
        <f t="shared" si="38"/>
        <v>0</v>
      </c>
      <c r="J352" s="177">
        <v>0</v>
      </c>
      <c r="K352" s="427">
        <f t="shared" si="37"/>
        <v>0</v>
      </c>
      <c r="L352" s="427">
        <f t="shared" si="41"/>
        <v>0</v>
      </c>
      <c r="M352" s="680">
        <v>0</v>
      </c>
    </row>
    <row r="353" spans="1:13" s="6" customFormat="1" ht="15.75">
      <c r="A353" s="268">
        <v>262</v>
      </c>
      <c r="B353" s="122" t="s">
        <v>1305</v>
      </c>
      <c r="C353" s="330"/>
      <c r="D353" s="801"/>
      <c r="E353" s="801"/>
      <c r="F353" s="95"/>
      <c r="G353" s="319">
        <f t="shared" si="39"/>
        <v>0</v>
      </c>
      <c r="H353" s="427">
        <f t="shared" si="40"/>
        <v>0</v>
      </c>
      <c r="I353" s="759">
        <f t="shared" si="38"/>
        <v>0</v>
      </c>
      <c r="J353" s="177">
        <v>0</v>
      </c>
      <c r="K353" s="427">
        <f t="shared" si="37"/>
        <v>0</v>
      </c>
      <c r="L353" s="427">
        <f t="shared" si="41"/>
        <v>0</v>
      </c>
      <c r="M353" s="680">
        <v>0</v>
      </c>
    </row>
    <row r="354" spans="1:13" s="6" customFormat="1" ht="15.75">
      <c r="A354" s="268">
        <v>263</v>
      </c>
      <c r="B354" s="122" t="s">
        <v>1306</v>
      </c>
      <c r="C354" s="330"/>
      <c r="D354" s="801"/>
      <c r="E354" s="801"/>
      <c r="F354" s="95"/>
      <c r="G354" s="319">
        <f t="shared" si="39"/>
        <v>0</v>
      </c>
      <c r="H354" s="427">
        <f t="shared" si="40"/>
        <v>0</v>
      </c>
      <c r="I354" s="759">
        <f t="shared" si="38"/>
        <v>0</v>
      </c>
      <c r="J354" s="177">
        <v>0</v>
      </c>
      <c r="K354" s="427">
        <f t="shared" si="37"/>
        <v>0</v>
      </c>
      <c r="L354" s="427">
        <f t="shared" si="41"/>
        <v>0</v>
      </c>
      <c r="M354" s="680">
        <v>0</v>
      </c>
    </row>
    <row r="355" spans="1:13" s="6" customFormat="1" ht="15.75">
      <c r="A355" s="268">
        <v>264</v>
      </c>
      <c r="B355" s="122" t="s">
        <v>1307</v>
      </c>
      <c r="C355" s="330"/>
      <c r="D355" s="801"/>
      <c r="E355" s="801"/>
      <c r="F355" s="95"/>
      <c r="G355" s="319">
        <f t="shared" si="39"/>
        <v>0</v>
      </c>
      <c r="H355" s="427">
        <f t="shared" si="40"/>
        <v>0</v>
      </c>
      <c r="I355" s="759">
        <f t="shared" si="38"/>
        <v>0</v>
      </c>
      <c r="J355" s="177">
        <v>0</v>
      </c>
      <c r="K355" s="427">
        <f t="shared" si="37"/>
        <v>0</v>
      </c>
      <c r="L355" s="427">
        <f t="shared" si="41"/>
        <v>0</v>
      </c>
      <c r="M355" s="680">
        <v>0</v>
      </c>
    </row>
    <row r="356" spans="1:13" s="6" customFormat="1" ht="15.75">
      <c r="A356" s="268">
        <v>265</v>
      </c>
      <c r="B356" s="122" t="s">
        <v>1308</v>
      </c>
      <c r="C356" s="330"/>
      <c r="D356" s="801"/>
      <c r="E356" s="801"/>
      <c r="F356" s="95"/>
      <c r="G356" s="319">
        <f t="shared" si="39"/>
        <v>0</v>
      </c>
      <c r="H356" s="427">
        <f t="shared" si="40"/>
        <v>0</v>
      </c>
      <c r="I356" s="759">
        <f t="shared" si="38"/>
        <v>0</v>
      </c>
      <c r="J356" s="177">
        <v>0</v>
      </c>
      <c r="K356" s="427">
        <f t="shared" si="37"/>
        <v>0</v>
      </c>
      <c r="L356" s="427">
        <f t="shared" si="41"/>
        <v>0</v>
      </c>
      <c r="M356" s="680">
        <v>0</v>
      </c>
    </row>
    <row r="357" spans="1:13" s="6" customFormat="1" ht="15.75">
      <c r="A357" s="268">
        <v>266</v>
      </c>
      <c r="B357" s="122" t="s">
        <v>1309</v>
      </c>
      <c r="C357" s="330"/>
      <c r="D357" s="801"/>
      <c r="E357" s="801"/>
      <c r="F357" s="95"/>
      <c r="G357" s="319">
        <f t="shared" si="39"/>
        <v>0</v>
      </c>
      <c r="H357" s="427">
        <f t="shared" si="40"/>
        <v>0</v>
      </c>
      <c r="I357" s="759">
        <f t="shared" si="38"/>
        <v>0</v>
      </c>
      <c r="J357" s="177">
        <v>0</v>
      </c>
      <c r="K357" s="427">
        <f t="shared" si="37"/>
        <v>0</v>
      </c>
      <c r="L357" s="427">
        <f t="shared" si="41"/>
        <v>0</v>
      </c>
      <c r="M357" s="680">
        <v>0</v>
      </c>
    </row>
    <row r="358" spans="1:13" s="6" customFormat="1" ht="15.75">
      <c r="A358" s="275">
        <v>267</v>
      </c>
      <c r="B358" s="122" t="s">
        <v>1310</v>
      </c>
      <c r="C358" s="330"/>
      <c r="D358" s="801"/>
      <c r="E358" s="801"/>
      <c r="F358" s="95"/>
      <c r="G358" s="319">
        <f t="shared" si="39"/>
        <v>0</v>
      </c>
      <c r="H358" s="427">
        <f t="shared" si="40"/>
        <v>0</v>
      </c>
      <c r="I358" s="759">
        <f t="shared" si="38"/>
        <v>0</v>
      </c>
      <c r="J358" s="177">
        <v>0</v>
      </c>
      <c r="K358" s="427">
        <f t="shared" si="37"/>
        <v>0</v>
      </c>
      <c r="L358" s="427">
        <f t="shared" si="41"/>
        <v>0</v>
      </c>
      <c r="M358" s="680">
        <v>0</v>
      </c>
    </row>
    <row r="359" spans="1:13" s="6" customFormat="1" ht="15.75">
      <c r="A359" s="268">
        <v>268</v>
      </c>
      <c r="B359" s="122" t="s">
        <v>1311</v>
      </c>
      <c r="C359" s="330"/>
      <c r="D359" s="801"/>
      <c r="E359" s="801"/>
      <c r="F359" s="95"/>
      <c r="G359" s="319">
        <f t="shared" si="39"/>
        <v>0</v>
      </c>
      <c r="H359" s="427">
        <f t="shared" si="40"/>
        <v>0</v>
      </c>
      <c r="I359" s="759">
        <f t="shared" si="38"/>
        <v>0</v>
      </c>
      <c r="J359" s="177">
        <v>0</v>
      </c>
      <c r="K359" s="427">
        <f t="shared" si="37"/>
        <v>0</v>
      </c>
      <c r="L359" s="427">
        <f t="shared" si="41"/>
        <v>0</v>
      </c>
      <c r="M359" s="680">
        <v>0</v>
      </c>
    </row>
    <row r="360" spans="1:13" s="6" customFormat="1" ht="15.75">
      <c r="A360" s="268">
        <v>269</v>
      </c>
      <c r="B360" s="122" t="s">
        <v>1312</v>
      </c>
      <c r="C360" s="330"/>
      <c r="D360" s="801"/>
      <c r="E360" s="801"/>
      <c r="F360" s="95"/>
      <c r="G360" s="319">
        <f t="shared" si="39"/>
        <v>0</v>
      </c>
      <c r="H360" s="427">
        <f t="shared" si="40"/>
        <v>0</v>
      </c>
      <c r="I360" s="759">
        <f t="shared" si="38"/>
        <v>0</v>
      </c>
      <c r="J360" s="177">
        <v>0</v>
      </c>
      <c r="K360" s="427">
        <f t="shared" si="37"/>
        <v>0</v>
      </c>
      <c r="L360" s="427">
        <f t="shared" si="41"/>
        <v>0</v>
      </c>
      <c r="M360" s="680">
        <v>0</v>
      </c>
    </row>
    <row r="361" spans="1:13" s="6" customFormat="1" ht="15.75">
      <c r="A361" s="268">
        <v>270</v>
      </c>
      <c r="B361" s="122" t="s">
        <v>1313</v>
      </c>
      <c r="C361" s="330"/>
      <c r="D361" s="801"/>
      <c r="E361" s="801"/>
      <c r="F361" s="95"/>
      <c r="G361" s="319">
        <f t="shared" si="39"/>
        <v>0</v>
      </c>
      <c r="H361" s="427">
        <f t="shared" si="40"/>
        <v>0</v>
      </c>
      <c r="I361" s="759">
        <f t="shared" si="38"/>
        <v>0</v>
      </c>
      <c r="J361" s="177">
        <v>0</v>
      </c>
      <c r="K361" s="427">
        <f t="shared" si="37"/>
        <v>0</v>
      </c>
      <c r="L361" s="427">
        <f t="shared" si="41"/>
        <v>0</v>
      </c>
      <c r="M361" s="680">
        <v>0</v>
      </c>
    </row>
    <row r="362" spans="1:13" s="6" customFormat="1" ht="15.75">
      <c r="A362" s="268">
        <v>271</v>
      </c>
      <c r="B362" s="122" t="s">
        <v>1314</v>
      </c>
      <c r="C362" s="330"/>
      <c r="D362" s="260"/>
      <c r="E362" s="801"/>
      <c r="F362" s="95"/>
      <c r="G362" s="319">
        <f t="shared" si="39"/>
        <v>0</v>
      </c>
      <c r="H362" s="427">
        <f t="shared" si="40"/>
        <v>0</v>
      </c>
      <c r="I362" s="759">
        <f t="shared" si="38"/>
        <v>0</v>
      </c>
      <c r="J362" s="177">
        <v>0</v>
      </c>
      <c r="K362" s="427">
        <f t="shared" si="37"/>
        <v>0</v>
      </c>
      <c r="L362" s="427">
        <f t="shared" si="41"/>
        <v>0</v>
      </c>
      <c r="M362" s="680">
        <v>0</v>
      </c>
    </row>
    <row r="363" spans="1:13" s="6" customFormat="1" ht="15.75">
      <c r="A363" s="268">
        <v>272</v>
      </c>
      <c r="B363" s="273" t="s">
        <v>1315</v>
      </c>
      <c r="C363" s="330"/>
      <c r="D363" s="801"/>
      <c r="E363" s="801"/>
      <c r="F363" s="95"/>
      <c r="G363" s="319">
        <f t="shared" si="39"/>
        <v>0</v>
      </c>
      <c r="H363" s="427">
        <f t="shared" si="40"/>
        <v>0</v>
      </c>
      <c r="I363" s="759">
        <f t="shared" si="38"/>
        <v>0</v>
      </c>
      <c r="J363" s="177">
        <v>0</v>
      </c>
      <c r="K363" s="427">
        <f t="shared" si="37"/>
        <v>0</v>
      </c>
      <c r="L363" s="427">
        <f t="shared" si="41"/>
        <v>0</v>
      </c>
      <c r="M363" s="680">
        <v>0</v>
      </c>
    </row>
    <row r="364" spans="1:13" s="6" customFormat="1" ht="15.75">
      <c r="A364" s="268">
        <v>273</v>
      </c>
      <c r="B364" s="122" t="s">
        <v>1316</v>
      </c>
      <c r="C364" s="330"/>
      <c r="D364" s="801"/>
      <c r="E364" s="801"/>
      <c r="F364" s="95"/>
      <c r="G364" s="319">
        <f t="shared" si="39"/>
        <v>0</v>
      </c>
      <c r="H364" s="427">
        <f t="shared" si="40"/>
        <v>0</v>
      </c>
      <c r="I364" s="759">
        <f t="shared" si="38"/>
        <v>0</v>
      </c>
      <c r="J364" s="177">
        <v>0</v>
      </c>
      <c r="K364" s="427">
        <f t="shared" si="37"/>
        <v>0</v>
      </c>
      <c r="L364" s="427">
        <f t="shared" si="41"/>
        <v>0</v>
      </c>
      <c r="M364" s="680">
        <v>0</v>
      </c>
    </row>
    <row r="365" spans="1:13" s="6" customFormat="1" ht="15.75">
      <c r="A365" s="275">
        <v>274</v>
      </c>
      <c r="B365" s="122" t="s">
        <v>1317</v>
      </c>
      <c r="C365" s="330"/>
      <c r="D365" s="801"/>
      <c r="E365" s="801"/>
      <c r="F365" s="95"/>
      <c r="G365" s="319">
        <f t="shared" si="39"/>
        <v>0</v>
      </c>
      <c r="H365" s="427">
        <f t="shared" si="40"/>
        <v>0</v>
      </c>
      <c r="I365" s="759">
        <f t="shared" si="38"/>
        <v>0</v>
      </c>
      <c r="J365" s="177">
        <v>0</v>
      </c>
      <c r="K365" s="427">
        <f t="shared" si="37"/>
        <v>0</v>
      </c>
      <c r="L365" s="427">
        <f t="shared" si="41"/>
        <v>0</v>
      </c>
      <c r="M365" s="680">
        <v>0</v>
      </c>
    </row>
    <row r="366" spans="1:13" s="6" customFormat="1" ht="15.75">
      <c r="A366" s="268">
        <v>275</v>
      </c>
      <c r="B366" s="122" t="s">
        <v>1318</v>
      </c>
      <c r="C366" s="330"/>
      <c r="D366" s="801"/>
      <c r="E366" s="801"/>
      <c r="F366" s="95"/>
      <c r="G366" s="319">
        <f t="shared" si="39"/>
        <v>0</v>
      </c>
      <c r="H366" s="427">
        <f t="shared" si="40"/>
        <v>0</v>
      </c>
      <c r="I366" s="759">
        <f t="shared" si="38"/>
        <v>0</v>
      </c>
      <c r="J366" s="177">
        <v>0</v>
      </c>
      <c r="K366" s="427">
        <f t="shared" si="37"/>
        <v>0</v>
      </c>
      <c r="L366" s="427">
        <f t="shared" si="41"/>
        <v>0</v>
      </c>
      <c r="M366" s="680">
        <v>0</v>
      </c>
    </row>
    <row r="367" spans="1:13" s="6" customFormat="1" ht="15.75">
      <c r="A367" s="268">
        <v>276</v>
      </c>
      <c r="B367" s="122" t="s">
        <v>1319</v>
      </c>
      <c r="C367" s="330"/>
      <c r="D367" s="801"/>
      <c r="E367" s="801"/>
      <c r="F367" s="95"/>
      <c r="G367" s="319">
        <f t="shared" si="39"/>
        <v>0</v>
      </c>
      <c r="H367" s="427">
        <f t="shared" si="40"/>
        <v>0</v>
      </c>
      <c r="I367" s="759">
        <f t="shared" si="38"/>
        <v>0</v>
      </c>
      <c r="J367" s="177">
        <v>0</v>
      </c>
      <c r="K367" s="427">
        <f t="shared" si="37"/>
        <v>0</v>
      </c>
      <c r="L367" s="427">
        <f t="shared" si="41"/>
        <v>0</v>
      </c>
      <c r="M367" s="680">
        <v>0</v>
      </c>
    </row>
    <row r="368" spans="1:13" s="6" customFormat="1" ht="15.75">
      <c r="A368" s="268">
        <v>277</v>
      </c>
      <c r="B368" s="122" t="s">
        <v>1320</v>
      </c>
      <c r="C368" s="330"/>
      <c r="D368" s="801"/>
      <c r="E368" s="801"/>
      <c r="F368" s="95"/>
      <c r="G368" s="319">
        <f t="shared" si="39"/>
        <v>0</v>
      </c>
      <c r="H368" s="427">
        <f t="shared" si="40"/>
        <v>0</v>
      </c>
      <c r="I368" s="759">
        <f t="shared" si="38"/>
        <v>0</v>
      </c>
      <c r="J368" s="177">
        <v>0</v>
      </c>
      <c r="K368" s="427">
        <f t="shared" si="37"/>
        <v>0</v>
      </c>
      <c r="L368" s="427">
        <f t="shared" si="41"/>
        <v>0</v>
      </c>
      <c r="M368" s="680">
        <v>0</v>
      </c>
    </row>
    <row r="369" spans="1:13" s="6" customFormat="1" ht="15.75">
      <c r="A369" s="268">
        <v>278</v>
      </c>
      <c r="B369" s="122" t="s">
        <v>1321</v>
      </c>
      <c r="C369" s="330"/>
      <c r="D369" s="801"/>
      <c r="E369" s="801"/>
      <c r="F369" s="95"/>
      <c r="G369" s="319">
        <f t="shared" si="39"/>
        <v>0</v>
      </c>
      <c r="H369" s="427">
        <f t="shared" si="40"/>
        <v>0</v>
      </c>
      <c r="I369" s="759">
        <f t="shared" si="38"/>
        <v>0</v>
      </c>
      <c r="J369" s="177">
        <v>0</v>
      </c>
      <c r="K369" s="427">
        <f t="shared" si="37"/>
        <v>0</v>
      </c>
      <c r="L369" s="427">
        <f t="shared" si="41"/>
        <v>0</v>
      </c>
      <c r="M369" s="680">
        <v>0</v>
      </c>
    </row>
    <row r="370" spans="1:13" s="6" customFormat="1" ht="15.75">
      <c r="A370" s="268">
        <v>279</v>
      </c>
      <c r="B370" s="122" t="s">
        <v>1322</v>
      </c>
      <c r="C370" s="330"/>
      <c r="D370" s="801"/>
      <c r="E370" s="801"/>
      <c r="F370" s="95"/>
      <c r="G370" s="319">
        <f t="shared" si="39"/>
        <v>0</v>
      </c>
      <c r="H370" s="427">
        <f t="shared" si="40"/>
        <v>0</v>
      </c>
      <c r="I370" s="759">
        <f t="shared" si="38"/>
        <v>0</v>
      </c>
      <c r="J370" s="177">
        <v>0</v>
      </c>
      <c r="K370" s="427">
        <f t="shared" si="37"/>
        <v>0</v>
      </c>
      <c r="L370" s="427">
        <f t="shared" si="41"/>
        <v>0</v>
      </c>
      <c r="M370" s="680">
        <v>0</v>
      </c>
    </row>
    <row r="371" spans="1:13" s="6" customFormat="1" ht="15.75">
      <c r="A371" s="268">
        <v>280</v>
      </c>
      <c r="B371" s="122" t="s">
        <v>1323</v>
      </c>
      <c r="C371" s="330"/>
      <c r="D371" s="801"/>
      <c r="E371" s="801"/>
      <c r="F371" s="95"/>
      <c r="G371" s="319">
        <f t="shared" si="39"/>
        <v>0</v>
      </c>
      <c r="H371" s="427">
        <f t="shared" si="40"/>
        <v>0</v>
      </c>
      <c r="I371" s="759">
        <f t="shared" si="38"/>
        <v>0</v>
      </c>
      <c r="J371" s="177">
        <v>0</v>
      </c>
      <c r="K371" s="427">
        <f t="shared" si="37"/>
        <v>0</v>
      </c>
      <c r="L371" s="427">
        <f t="shared" si="41"/>
        <v>0</v>
      </c>
      <c r="M371" s="680">
        <v>0</v>
      </c>
    </row>
    <row r="372" spans="1:13" s="6" customFormat="1" ht="15.75">
      <c r="A372" s="275">
        <v>281</v>
      </c>
      <c r="B372" s="122" t="s">
        <v>1324</v>
      </c>
      <c r="C372" s="330"/>
      <c r="D372" s="801"/>
      <c r="E372" s="801"/>
      <c r="F372" s="95"/>
      <c r="G372" s="319">
        <f t="shared" si="39"/>
        <v>0</v>
      </c>
      <c r="H372" s="427">
        <f t="shared" si="40"/>
        <v>0</v>
      </c>
      <c r="I372" s="759">
        <f t="shared" si="38"/>
        <v>0</v>
      </c>
      <c r="J372" s="177">
        <v>0</v>
      </c>
      <c r="K372" s="427">
        <f t="shared" si="37"/>
        <v>0</v>
      </c>
      <c r="L372" s="427">
        <f t="shared" si="41"/>
        <v>0</v>
      </c>
      <c r="M372" s="680">
        <v>0</v>
      </c>
    </row>
    <row r="373" spans="1:13" s="6" customFormat="1" ht="15.75">
      <c r="A373" s="268">
        <v>282</v>
      </c>
      <c r="B373" s="273" t="s">
        <v>1325</v>
      </c>
      <c r="C373" s="330"/>
      <c r="D373" s="801"/>
      <c r="E373" s="801"/>
      <c r="F373" s="95"/>
      <c r="G373" s="319">
        <f t="shared" si="39"/>
        <v>0</v>
      </c>
      <c r="H373" s="427">
        <f t="shared" si="40"/>
        <v>0</v>
      </c>
      <c r="I373" s="759">
        <f t="shared" si="38"/>
        <v>0</v>
      </c>
      <c r="J373" s="177">
        <v>0</v>
      </c>
      <c r="K373" s="427">
        <f t="shared" si="37"/>
        <v>0</v>
      </c>
      <c r="L373" s="427">
        <f t="shared" si="41"/>
        <v>0</v>
      </c>
      <c r="M373" s="680">
        <v>0</v>
      </c>
    </row>
    <row r="374" spans="1:13" s="6" customFormat="1" ht="15.75">
      <c r="A374" s="268">
        <v>283</v>
      </c>
      <c r="B374" s="122" t="s">
        <v>1326</v>
      </c>
      <c r="C374" s="330"/>
      <c r="D374" s="801"/>
      <c r="E374" s="801"/>
      <c r="F374" s="95"/>
      <c r="G374" s="319">
        <f t="shared" si="39"/>
        <v>0</v>
      </c>
      <c r="H374" s="427">
        <f t="shared" si="40"/>
        <v>0</v>
      </c>
      <c r="I374" s="759">
        <f t="shared" si="38"/>
        <v>0</v>
      </c>
      <c r="J374" s="177">
        <v>0</v>
      </c>
      <c r="K374" s="427">
        <f t="shared" si="37"/>
        <v>0</v>
      </c>
      <c r="L374" s="427">
        <f t="shared" si="41"/>
        <v>0</v>
      </c>
      <c r="M374" s="680">
        <v>0</v>
      </c>
    </row>
    <row r="375" spans="1:13" s="6" customFormat="1" ht="15.75">
      <c r="A375" s="268">
        <v>284</v>
      </c>
      <c r="B375" s="122" t="s">
        <v>1327</v>
      </c>
      <c r="C375" s="330"/>
      <c r="D375" s="801"/>
      <c r="E375" s="801"/>
      <c r="F375" s="95"/>
      <c r="G375" s="319">
        <f t="shared" si="39"/>
        <v>0</v>
      </c>
      <c r="H375" s="427">
        <f t="shared" si="40"/>
        <v>0</v>
      </c>
      <c r="I375" s="759">
        <f t="shared" si="38"/>
        <v>0</v>
      </c>
      <c r="J375" s="177">
        <v>0</v>
      </c>
      <c r="K375" s="427">
        <f t="shared" si="37"/>
        <v>0</v>
      </c>
      <c r="L375" s="427">
        <f t="shared" si="41"/>
        <v>0</v>
      </c>
      <c r="M375" s="680">
        <v>0</v>
      </c>
    </row>
    <row r="376" spans="1:13" s="6" customFormat="1" ht="15.75">
      <c r="A376" s="268">
        <v>285</v>
      </c>
      <c r="B376" s="122" t="s">
        <v>1328</v>
      </c>
      <c r="C376" s="330"/>
      <c r="D376" s="801"/>
      <c r="E376" s="801"/>
      <c r="F376" s="95"/>
      <c r="G376" s="319">
        <f t="shared" si="39"/>
        <v>0</v>
      </c>
      <c r="H376" s="427">
        <f t="shared" si="40"/>
        <v>0</v>
      </c>
      <c r="I376" s="759">
        <f t="shared" si="38"/>
        <v>0</v>
      </c>
      <c r="J376" s="177">
        <v>0</v>
      </c>
      <c r="K376" s="427">
        <f t="shared" si="37"/>
        <v>0</v>
      </c>
      <c r="L376" s="427">
        <f t="shared" si="41"/>
        <v>0</v>
      </c>
      <c r="M376" s="680">
        <v>0</v>
      </c>
    </row>
    <row r="377" spans="1:13" s="6" customFormat="1" ht="15.75">
      <c r="A377" s="268">
        <v>286</v>
      </c>
      <c r="B377" s="122" t="s">
        <v>1355</v>
      </c>
      <c r="C377" s="535">
        <v>74.599999999999994</v>
      </c>
      <c r="D377" s="413"/>
      <c r="E377" s="413"/>
      <c r="F377" s="95"/>
      <c r="G377" s="319">
        <f t="shared" si="39"/>
        <v>0</v>
      </c>
      <c r="H377" s="427">
        <f t="shared" si="40"/>
        <v>0</v>
      </c>
      <c r="I377" s="759">
        <f t="shared" si="38"/>
        <v>0</v>
      </c>
      <c r="J377" s="177">
        <v>1.7221881008837927</v>
      </c>
      <c r="K377" s="427">
        <f t="shared" si="37"/>
        <v>0</v>
      </c>
      <c r="L377" s="427">
        <f t="shared" si="41"/>
        <v>0</v>
      </c>
      <c r="M377" s="680">
        <v>0</v>
      </c>
    </row>
    <row r="378" spans="1:13" s="6" customFormat="1" ht="15.75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95"/>
      <c r="G378" s="319">
        <f t="shared" si="39"/>
        <v>0</v>
      </c>
      <c r="H378" s="427">
        <f t="shared" si="40"/>
        <v>0</v>
      </c>
      <c r="I378" s="759">
        <f t="shared" si="38"/>
        <v>0</v>
      </c>
      <c r="J378" s="177">
        <v>13.338877810866697</v>
      </c>
      <c r="K378" s="427">
        <f t="shared" si="37"/>
        <v>0</v>
      </c>
      <c r="L378" s="427">
        <f t="shared" si="41"/>
        <v>0</v>
      </c>
      <c r="M378" s="680">
        <v>0</v>
      </c>
    </row>
    <row r="379" spans="1:13" s="6" customFormat="1" ht="15.75">
      <c r="A379" s="275">
        <v>288</v>
      </c>
      <c r="B379" s="122" t="s">
        <v>1357</v>
      </c>
      <c r="C379" s="535">
        <v>379.4</v>
      </c>
      <c r="D379" s="413"/>
      <c r="E379" s="413"/>
      <c r="F379" s="95"/>
      <c r="G379" s="319">
        <f t="shared" si="39"/>
        <v>0</v>
      </c>
      <c r="H379" s="427">
        <f t="shared" si="40"/>
        <v>0</v>
      </c>
      <c r="I379" s="759">
        <f t="shared" si="38"/>
        <v>0</v>
      </c>
      <c r="J379" s="177">
        <v>8.7586885452454553</v>
      </c>
      <c r="K379" s="427">
        <f t="shared" si="37"/>
        <v>0</v>
      </c>
      <c r="L379" s="427">
        <f t="shared" si="41"/>
        <v>0</v>
      </c>
      <c r="M379" s="680">
        <v>0</v>
      </c>
    </row>
    <row r="380" spans="1:13" s="6" customFormat="1" ht="15.75">
      <c r="A380" s="268">
        <v>289</v>
      </c>
      <c r="B380" s="291" t="s">
        <v>1395</v>
      </c>
      <c r="C380" s="538">
        <f>1893+1096.4</f>
        <v>2989.4</v>
      </c>
      <c r="D380" s="255"/>
      <c r="E380" s="255"/>
      <c r="F380" s="299">
        <f>C380+D380+E380</f>
        <v>2989.4</v>
      </c>
      <c r="G380" s="319">
        <f t="shared" si="39"/>
        <v>7.8087825738608341E-2</v>
      </c>
      <c r="H380" s="427">
        <f t="shared" si="40"/>
        <v>177.19142801824836</v>
      </c>
      <c r="I380" s="759">
        <f>H380*0.3677</f>
        <v>65.153288082309928</v>
      </c>
      <c r="J380" s="177">
        <v>52.4791011648229</v>
      </c>
      <c r="K380" s="427">
        <f>G380*801.55</f>
        <v>62.591296720781514</v>
      </c>
      <c r="L380" s="427">
        <f t="shared" si="41"/>
        <v>76.298790702632672</v>
      </c>
      <c r="M380" s="680">
        <f>(K380+J380+I380+H380)/F380</f>
        <v>0.11956081955782523</v>
      </c>
    </row>
    <row r="381" spans="1:13" s="6" customFormat="1" ht="15.75">
      <c r="A381" s="268">
        <v>290</v>
      </c>
      <c r="B381" s="292" t="s">
        <v>1396</v>
      </c>
      <c r="C381" s="586">
        <v>527.29999999999995</v>
      </c>
      <c r="D381" s="255"/>
      <c r="E381" s="255"/>
      <c r="F381" s="299"/>
      <c r="G381" s="319">
        <f t="shared" si="39"/>
        <v>0</v>
      </c>
      <c r="H381" s="427">
        <f t="shared" si="40"/>
        <v>0</v>
      </c>
      <c r="I381" s="759">
        <f>H381*0.3677</f>
        <v>0</v>
      </c>
      <c r="J381" s="177">
        <v>9.2567839848167228</v>
      </c>
      <c r="K381" s="427">
        <f>G381*801.55</f>
        <v>0</v>
      </c>
      <c r="L381" s="427">
        <f t="shared" si="41"/>
        <v>0</v>
      </c>
      <c r="M381" s="680">
        <v>0</v>
      </c>
    </row>
    <row r="382" spans="1:13" s="6" customFormat="1" ht="15.75">
      <c r="A382" s="268">
        <v>291</v>
      </c>
      <c r="B382" s="301" t="s">
        <v>1400</v>
      </c>
      <c r="C382" s="538">
        <v>2299.1999999999998</v>
      </c>
      <c r="D382" s="255"/>
      <c r="E382" s="255"/>
      <c r="F382" s="299"/>
      <c r="G382" s="319">
        <f t="shared" si="39"/>
        <v>0</v>
      </c>
      <c r="H382" s="427">
        <f t="shared" si="40"/>
        <v>0</v>
      </c>
      <c r="I382" s="759">
        <f>H382*0.3677</f>
        <v>0</v>
      </c>
      <c r="J382" s="177">
        <v>40.362597644397141</v>
      </c>
      <c r="K382" s="427">
        <f>G382*801.55</f>
        <v>0</v>
      </c>
      <c r="L382" s="427">
        <f t="shared" si="41"/>
        <v>0</v>
      </c>
      <c r="M382" s="680">
        <v>0</v>
      </c>
    </row>
    <row r="383" spans="1:13" s="6" customFormat="1" ht="15.75">
      <c r="A383" s="268">
        <v>292</v>
      </c>
      <c r="B383" s="302" t="s">
        <v>1401</v>
      </c>
      <c r="C383" s="539">
        <v>292.60000000000002</v>
      </c>
      <c r="D383" s="413"/>
      <c r="E383" s="413"/>
      <c r="F383" s="299"/>
      <c r="G383" s="319">
        <f t="shared" si="39"/>
        <v>0</v>
      </c>
      <c r="H383" s="427">
        <f t="shared" si="40"/>
        <v>0</v>
      </c>
      <c r="I383" s="759">
        <f>H383*0.3677</f>
        <v>0</v>
      </c>
      <c r="J383" s="177">
        <v>5.1366110259005762</v>
      </c>
      <c r="K383" s="427">
        <f>G383*801.55</f>
        <v>0</v>
      </c>
      <c r="L383" s="427">
        <f t="shared" si="41"/>
        <v>0</v>
      </c>
      <c r="M383" s="680">
        <v>0</v>
      </c>
    </row>
    <row r="384" spans="1:13" s="69" customFormat="1" ht="15.75">
      <c r="A384" s="190"/>
      <c r="B384" s="161" t="s">
        <v>244</v>
      </c>
      <c r="C384" s="63">
        <f>SUM(C92:C383)</f>
        <v>99414.680000000037</v>
      </c>
      <c r="D384" s="63">
        <f>SUM(D92:D383)</f>
        <v>1107.5999999999999</v>
      </c>
      <c r="E384" s="63">
        <f>SUM(E92:E383)</f>
        <v>508.90000000000003</v>
      </c>
      <c r="F384" s="63">
        <f>SUM(F92:F383)</f>
        <v>95706.340000000026</v>
      </c>
      <c r="G384" s="319">
        <f>2.5/95706.34*F384</f>
        <v>2.5000000000000009</v>
      </c>
      <c r="H384" s="427">
        <f>G384*2269.13</f>
        <v>5672.8250000000025</v>
      </c>
      <c r="I384" s="759">
        <f>H384*0.3677</f>
        <v>2085.8977525000009</v>
      </c>
      <c r="J384" s="177">
        <f>SUM(J91:J383)</f>
        <v>2298.5850938199374</v>
      </c>
      <c r="K384" s="427">
        <f>G384*801.55</f>
        <v>2003.8750000000007</v>
      </c>
      <c r="L384" s="427">
        <f t="shared" si="41"/>
        <v>2442.723625000001</v>
      </c>
      <c r="M384" s="680">
        <f>(K384+J384+I384+H384)/F384</f>
        <v>0.12602281987086686</v>
      </c>
    </row>
    <row r="385" spans="1:13" s="6" customFormat="1" ht="15.75">
      <c r="A385" s="129" t="s">
        <v>668</v>
      </c>
      <c r="B385" s="330"/>
      <c r="C385" s="330"/>
      <c r="D385" s="330"/>
      <c r="E385" s="330"/>
      <c r="F385" s="433"/>
      <c r="G385" s="761"/>
      <c r="H385" s="427"/>
      <c r="I385" s="427"/>
      <c r="J385" s="177"/>
      <c r="K385" s="427"/>
      <c r="L385" s="427">
        <f t="shared" si="41"/>
        <v>0</v>
      </c>
      <c r="M385" s="690"/>
    </row>
    <row r="386" spans="1:13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ref="F386:F418" si="42">C386+D386+E386</f>
        <v>4235</v>
      </c>
      <c r="G386" s="230">
        <f t="shared" ref="G386:G449" si="43">2/188175.6*F386</f>
        <v>4.5011149160677583E-2</v>
      </c>
      <c r="H386" s="427">
        <f t="shared" ref="H386:H449" si="44">G386*2269.13</f>
        <v>102.13614889496833</v>
      </c>
      <c r="I386" s="148">
        <f t="shared" ref="I386:I400" si="45">H386*0.3677</f>
        <v>37.555461948679856</v>
      </c>
      <c r="J386" s="177">
        <v>39.45405800866817</v>
      </c>
      <c r="K386" s="427">
        <f t="shared" ref="K386:K449" si="46">G386*801.55</f>
        <v>36.078686609741112</v>
      </c>
      <c r="L386" s="427">
        <f t="shared" si="41"/>
        <v>43.979918977274416</v>
      </c>
      <c r="M386" s="680">
        <f t="shared" ref="M386:M418" si="47">(K386+J386+I386+H386)/F386</f>
        <v>5.0820390900131636E-2</v>
      </c>
    </row>
    <row r="387" spans="1:13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42"/>
        <v>12601</v>
      </c>
      <c r="G387" s="230">
        <f t="shared" si="43"/>
        <v>0.13392809694774455</v>
      </c>
      <c r="H387" s="427">
        <f t="shared" si="44"/>
        <v>303.9002626270356</v>
      </c>
      <c r="I387" s="148">
        <f t="shared" si="45"/>
        <v>111.744126567961</v>
      </c>
      <c r="J387" s="177">
        <v>117.39329042909742</v>
      </c>
      <c r="K387" s="427">
        <f t="shared" si="46"/>
        <v>107.35006610846463</v>
      </c>
      <c r="L387" s="427">
        <f t="shared" si="41"/>
        <v>130.8597305862184</v>
      </c>
      <c r="M387" s="680">
        <f t="shared" si="47"/>
        <v>5.0820390900131629E-2</v>
      </c>
    </row>
    <row r="388" spans="1:13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42"/>
        <v>12482</v>
      </c>
      <c r="G388" s="230">
        <f t="shared" si="43"/>
        <v>0.13266332085562635</v>
      </c>
      <c r="H388" s="427">
        <f t="shared" si="44"/>
        <v>301.03032125312745</v>
      </c>
      <c r="I388" s="148">
        <f t="shared" si="45"/>
        <v>110.68884912477498</v>
      </c>
      <c r="J388" s="177">
        <v>116.28466400571338</v>
      </c>
      <c r="K388" s="427">
        <f t="shared" si="46"/>
        <v>106.3362848318273</v>
      </c>
      <c r="L388" s="427">
        <f t="shared" si="41"/>
        <v>129.62393120999749</v>
      </c>
      <c r="M388" s="680">
        <f t="shared" si="47"/>
        <v>5.0820390900131636E-2</v>
      </c>
    </row>
    <row r="389" spans="1:13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42"/>
        <v>6092</v>
      </c>
      <c r="G389" s="230">
        <f t="shared" si="43"/>
        <v>6.4748033220034903E-2</v>
      </c>
      <c r="H389" s="427">
        <f t="shared" si="44"/>
        <v>146.9217046205778</v>
      </c>
      <c r="I389" s="148">
        <f t="shared" si="45"/>
        <v>54.023110788986457</v>
      </c>
      <c r="J389" s="177">
        <v>56.754219926518651</v>
      </c>
      <c r="K389" s="427">
        <f t="shared" si="46"/>
        <v>51.898786027518973</v>
      </c>
      <c r="L389" s="427">
        <f t="shared" si="41"/>
        <v>63.26462016754563</v>
      </c>
      <c r="M389" s="680">
        <f t="shared" si="47"/>
        <v>5.0820390900131622E-2</v>
      </c>
    </row>
    <row r="390" spans="1:13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42"/>
        <v>12853.2</v>
      </c>
      <c r="G390" s="230">
        <f t="shared" si="43"/>
        <v>0.13660857199339341</v>
      </c>
      <c r="H390" s="427">
        <f t="shared" si="44"/>
        <v>309.98260896736878</v>
      </c>
      <c r="I390" s="148">
        <f t="shared" si="45"/>
        <v>113.98060531730151</v>
      </c>
      <c r="J390" s="177">
        <v>119.7428331515971</v>
      </c>
      <c r="K390" s="427">
        <f t="shared" si="46"/>
        <v>109.49860088130448</v>
      </c>
      <c r="L390" s="427">
        <f t="shared" si="41"/>
        <v>133.47879447431018</v>
      </c>
      <c r="M390" s="680">
        <f t="shared" si="47"/>
        <v>5.0820390900131622E-2</v>
      </c>
    </row>
    <row r="391" spans="1:13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42"/>
        <v>6317.1</v>
      </c>
      <c r="G391" s="230">
        <f t="shared" si="43"/>
        <v>6.7140479424537505E-2</v>
      </c>
      <c r="H391" s="427">
        <f t="shared" si="44"/>
        <v>152.35047607660078</v>
      </c>
      <c r="I391" s="148">
        <f t="shared" si="45"/>
        <v>56.019270053366114</v>
      </c>
      <c r="J391" s="177">
        <v>58.851293942516577</v>
      </c>
      <c r="K391" s="427">
        <f t="shared" si="46"/>
        <v>53.816451282738036</v>
      </c>
      <c r="L391" s="427">
        <f t="shared" si="41"/>
        <v>65.602254113657665</v>
      </c>
      <c r="M391" s="680">
        <f t="shared" si="47"/>
        <v>5.0820390900131622E-2</v>
      </c>
    </row>
    <row r="392" spans="1:13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42"/>
        <v>6243.1</v>
      </c>
      <c r="G392" s="230">
        <f t="shared" si="43"/>
        <v>6.6353980005909377E-2</v>
      </c>
      <c r="H392" s="427">
        <f t="shared" si="44"/>
        <v>150.56580665080915</v>
      </c>
      <c r="I392" s="148">
        <f t="shared" si="45"/>
        <v>55.363047105502531</v>
      </c>
      <c r="J392" s="177">
        <v>58.161895998563466</v>
      </c>
      <c r="K392" s="427">
        <f t="shared" si="46"/>
        <v>53.186032673736655</v>
      </c>
      <c r="L392" s="427">
        <f t="shared" si="41"/>
        <v>64.833773829284993</v>
      </c>
      <c r="M392" s="680">
        <f t="shared" si="47"/>
        <v>5.0820390900131629E-2</v>
      </c>
    </row>
    <row r="393" spans="1:13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42"/>
        <v>3918</v>
      </c>
      <c r="G393" s="230">
        <f t="shared" si="43"/>
        <v>4.1641955705203015E-2</v>
      </c>
      <c r="H393" s="427">
        <f t="shared" si="44"/>
        <v>94.491010949347327</v>
      </c>
      <c r="I393" s="148">
        <f t="shared" si="45"/>
        <v>34.744344726075013</v>
      </c>
      <c r="J393" s="177">
        <v>36.500826275787929</v>
      </c>
      <c r="K393" s="427">
        <f t="shared" si="46"/>
        <v>33.378109595505478</v>
      </c>
      <c r="L393" s="427">
        <f t="shared" si="41"/>
        <v>40.687915596921179</v>
      </c>
      <c r="M393" s="680">
        <f t="shared" si="47"/>
        <v>5.0820390900131636E-2</v>
      </c>
    </row>
    <row r="394" spans="1:13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42"/>
        <v>4332</v>
      </c>
      <c r="G394" s="230">
        <f t="shared" si="43"/>
        <v>4.6042101101311753E-2</v>
      </c>
      <c r="H394" s="427">
        <f t="shared" si="44"/>
        <v>104.47551287201954</v>
      </c>
      <c r="I394" s="148">
        <f t="shared" si="45"/>
        <v>38.415646083041587</v>
      </c>
      <c r="J394" s="177">
        <v>40.357728286552657</v>
      </c>
      <c r="K394" s="427">
        <f t="shared" si="46"/>
        <v>36.905046137756436</v>
      </c>
      <c r="L394" s="427">
        <f t="shared" si="41"/>
        <v>44.987251241925101</v>
      </c>
      <c r="M394" s="680">
        <f t="shared" si="47"/>
        <v>5.0820390900131636E-2</v>
      </c>
    </row>
    <row r="395" spans="1:13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42"/>
        <v>3911</v>
      </c>
      <c r="G395" s="230">
        <f t="shared" si="43"/>
        <v>4.1567557111548997E-2</v>
      </c>
      <c r="H395" s="427">
        <f t="shared" si="44"/>
        <v>94.322190868529177</v>
      </c>
      <c r="I395" s="148">
        <f t="shared" si="45"/>
        <v>34.682269582358181</v>
      </c>
      <c r="J395" s="177">
        <v>36.43561295676534</v>
      </c>
      <c r="K395" s="427">
        <f t="shared" si="46"/>
        <v>33.318475402762097</v>
      </c>
      <c r="L395" s="427">
        <f t="shared" si="41"/>
        <v>40.615221515967001</v>
      </c>
      <c r="M395" s="680">
        <f t="shared" si="47"/>
        <v>5.0820390900131622E-2</v>
      </c>
    </row>
    <row r="396" spans="1:13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42"/>
        <v>3338</v>
      </c>
      <c r="G396" s="230">
        <f t="shared" si="43"/>
        <v>3.5477500802441976E-2</v>
      </c>
      <c r="H396" s="427">
        <f t="shared" si="44"/>
        <v>80.503061395845165</v>
      </c>
      <c r="I396" s="148">
        <f t="shared" si="45"/>
        <v>29.600975675252268</v>
      </c>
      <c r="J396" s="177">
        <v>31.097436985344594</v>
      </c>
      <c r="K396" s="427">
        <f t="shared" si="46"/>
        <v>28.436990768197365</v>
      </c>
      <c r="L396" s="427">
        <f t="shared" si="41"/>
        <v>34.664691746432588</v>
      </c>
      <c r="M396" s="680">
        <f t="shared" si="47"/>
        <v>5.0820390900131643E-2</v>
      </c>
    </row>
    <row r="397" spans="1:13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42"/>
        <v>3353</v>
      </c>
      <c r="G397" s="230">
        <f t="shared" si="43"/>
        <v>3.5636926360271999E-2</v>
      </c>
      <c r="H397" s="427">
        <f t="shared" si="44"/>
        <v>80.864818711883999</v>
      </c>
      <c r="I397" s="148">
        <f t="shared" si="45"/>
        <v>29.733993840359748</v>
      </c>
      <c r="J397" s="177">
        <v>31.237179811821576</v>
      </c>
      <c r="K397" s="427">
        <f t="shared" si="46"/>
        <v>28.56477832407602</v>
      </c>
      <c r="L397" s="427">
        <f t="shared" si="41"/>
        <v>34.82046477704867</v>
      </c>
      <c r="M397" s="680">
        <f t="shared" si="47"/>
        <v>5.0820390900131622E-2</v>
      </c>
    </row>
    <row r="398" spans="1:13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42"/>
        <v>4050</v>
      </c>
      <c r="G398" s="230">
        <f t="shared" si="43"/>
        <v>4.3044900614107248E-2</v>
      </c>
      <c r="H398" s="427">
        <f t="shared" si="44"/>
        <v>97.674475330489187</v>
      </c>
      <c r="I398" s="148">
        <f t="shared" si="45"/>
        <v>35.914904579020877</v>
      </c>
      <c r="J398" s="177">
        <v>37.730563148785379</v>
      </c>
      <c r="K398" s="427">
        <f t="shared" si="46"/>
        <v>34.502640087237666</v>
      </c>
      <c r="L398" s="427">
        <f t="shared" si="41"/>
        <v>42.058718266342716</v>
      </c>
      <c r="M398" s="680">
        <f t="shared" si="47"/>
        <v>5.0820390900131629E-2</v>
      </c>
    </row>
    <row r="399" spans="1:13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42"/>
        <v>4035</v>
      </c>
      <c r="G399" s="230">
        <f t="shared" si="43"/>
        <v>4.2885475056277225E-2</v>
      </c>
      <c r="H399" s="427">
        <f t="shared" si="44"/>
        <v>97.31271801445034</v>
      </c>
      <c r="I399" s="148">
        <f t="shared" si="45"/>
        <v>35.781886413913391</v>
      </c>
      <c r="J399" s="177">
        <v>37.590820322308396</v>
      </c>
      <c r="K399" s="427">
        <f t="shared" si="46"/>
        <v>34.374852531359011</v>
      </c>
      <c r="L399" s="427">
        <f t="shared" si="41"/>
        <v>41.902945235726634</v>
      </c>
      <c r="M399" s="680">
        <f t="shared" si="47"/>
        <v>5.0820390900131622E-2</v>
      </c>
    </row>
    <row r="400" spans="1:13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42"/>
        <v>4018</v>
      </c>
      <c r="G400" s="230">
        <f t="shared" si="43"/>
        <v>4.2704792757403194E-2</v>
      </c>
      <c r="H400" s="427">
        <f t="shared" si="44"/>
        <v>96.902726389606315</v>
      </c>
      <c r="I400" s="148">
        <f t="shared" si="45"/>
        <v>35.631132493458246</v>
      </c>
      <c r="J400" s="177">
        <v>37.432445118967813</v>
      </c>
      <c r="K400" s="427">
        <f t="shared" si="46"/>
        <v>34.230026634696529</v>
      </c>
      <c r="L400" s="427">
        <f t="shared" si="41"/>
        <v>41.726402467695074</v>
      </c>
      <c r="M400" s="680">
        <f t="shared" si="47"/>
        <v>5.0820390900131629E-2</v>
      </c>
    </row>
    <row r="401" spans="1:13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42"/>
        <v>4031</v>
      </c>
      <c r="G401" s="230">
        <f t="shared" si="43"/>
        <v>4.2842961574189216E-2</v>
      </c>
      <c r="H401" s="427">
        <f t="shared" si="44"/>
        <v>97.216249396839984</v>
      </c>
      <c r="I401" s="148">
        <f t="shared" ref="I401:I464" si="48">H401*0.3677</f>
        <v>35.746414903218067</v>
      </c>
      <c r="J401" s="177">
        <v>37.553555568581203</v>
      </c>
      <c r="K401" s="427">
        <f t="shared" si="46"/>
        <v>34.340775849791363</v>
      </c>
      <c r="L401" s="427">
        <f t="shared" si="41"/>
        <v>41.861405760895671</v>
      </c>
      <c r="M401" s="680">
        <f t="shared" si="47"/>
        <v>5.0820390900131629E-2</v>
      </c>
    </row>
    <row r="402" spans="1:13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42"/>
        <v>4302</v>
      </c>
      <c r="G402" s="230">
        <f t="shared" si="43"/>
        <v>4.57232499856517E-2</v>
      </c>
      <c r="H402" s="427">
        <f t="shared" si="44"/>
        <v>103.75199823994184</v>
      </c>
      <c r="I402" s="148">
        <f t="shared" si="48"/>
        <v>38.14960975282662</v>
      </c>
      <c r="J402" s="177">
        <v>40.078242633598691</v>
      </c>
      <c r="K402" s="427">
        <f t="shared" si="46"/>
        <v>36.649471025999119</v>
      </c>
      <c r="L402" s="427">
        <f t="shared" si="41"/>
        <v>44.67570518069293</v>
      </c>
      <c r="M402" s="680">
        <f t="shared" si="47"/>
        <v>5.0820390900131636E-2</v>
      </c>
    </row>
    <row r="403" spans="1:13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42"/>
        <v>4275</v>
      </c>
      <c r="G403" s="230">
        <f t="shared" si="43"/>
        <v>4.5436283981557656E-2</v>
      </c>
      <c r="H403" s="427">
        <f t="shared" si="44"/>
        <v>103.10083507107193</v>
      </c>
      <c r="I403" s="148">
        <f t="shared" si="48"/>
        <v>37.910177055633149</v>
      </c>
      <c r="J403" s="177">
        <v>39.826705545940122</v>
      </c>
      <c r="K403" s="427">
        <f t="shared" si="46"/>
        <v>36.419453425417537</v>
      </c>
      <c r="L403" s="427">
        <f t="shared" si="41"/>
        <v>44.395313725583982</v>
      </c>
      <c r="M403" s="680">
        <f t="shared" si="47"/>
        <v>5.0820390900131629E-2</v>
      </c>
    </row>
    <row r="404" spans="1:13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42"/>
        <v>4125</v>
      </c>
      <c r="G404" s="230">
        <f t="shared" si="43"/>
        <v>4.3842028403257384E-2</v>
      </c>
      <c r="H404" s="427">
        <f t="shared" si="44"/>
        <v>99.483261910683439</v>
      </c>
      <c r="I404" s="148">
        <f t="shared" si="48"/>
        <v>36.579995404558304</v>
      </c>
      <c r="J404" s="177">
        <v>38.429277281170293</v>
      </c>
      <c r="K404" s="427">
        <f t="shared" si="46"/>
        <v>35.141577866630954</v>
      </c>
      <c r="L404" s="427">
        <f t="shared" si="41"/>
        <v>42.837583419423133</v>
      </c>
      <c r="M404" s="680">
        <f t="shared" si="47"/>
        <v>5.0820390900131629E-2</v>
      </c>
    </row>
    <row r="405" spans="1:13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42"/>
        <v>3975</v>
      </c>
      <c r="G405" s="230">
        <f t="shared" si="43"/>
        <v>4.2247772824957112E-2</v>
      </c>
      <c r="H405" s="427">
        <f t="shared" si="44"/>
        <v>95.865688750294936</v>
      </c>
      <c r="I405" s="148">
        <f t="shared" si="48"/>
        <v>35.249813753483451</v>
      </c>
      <c r="J405" s="177">
        <v>37.031849016400464</v>
      </c>
      <c r="K405" s="427">
        <f t="shared" si="46"/>
        <v>33.86370230784437</v>
      </c>
      <c r="L405" s="427">
        <f t="shared" si="41"/>
        <v>41.279853113262291</v>
      </c>
      <c r="M405" s="680">
        <f t="shared" si="47"/>
        <v>5.0820390900131629E-2</v>
      </c>
    </row>
    <row r="406" spans="1:13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42"/>
        <v>3357</v>
      </c>
      <c r="G406" s="230">
        <f t="shared" si="43"/>
        <v>3.5679439842360008E-2</v>
      </c>
      <c r="H406" s="427">
        <f t="shared" si="44"/>
        <v>80.961287329494368</v>
      </c>
      <c r="I406" s="148">
        <f t="shared" si="48"/>
        <v>29.769465351055082</v>
      </c>
      <c r="J406" s="177">
        <v>31.27444456554877</v>
      </c>
      <c r="K406" s="427">
        <f t="shared" si="46"/>
        <v>28.598855005643664</v>
      </c>
      <c r="L406" s="427">
        <f t="shared" si="41"/>
        <v>34.862004251879625</v>
      </c>
      <c r="M406" s="680">
        <f t="shared" si="47"/>
        <v>5.0820390900131636E-2</v>
      </c>
    </row>
    <row r="407" spans="1:13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42"/>
        <v>6146</v>
      </c>
      <c r="G407" s="230">
        <f t="shared" si="43"/>
        <v>6.5321965228223006E-2</v>
      </c>
      <c r="H407" s="427">
        <f t="shared" si="44"/>
        <v>148.22403095831768</v>
      </c>
      <c r="I407" s="148">
        <f t="shared" si="48"/>
        <v>54.501976183373415</v>
      </c>
      <c r="J407" s="177">
        <v>57.257294101835797</v>
      </c>
      <c r="K407" s="427">
        <f t="shared" si="46"/>
        <v>52.358821228682146</v>
      </c>
      <c r="L407" s="427">
        <f t="shared" si="41"/>
        <v>63.825403077763539</v>
      </c>
      <c r="M407" s="680">
        <f t="shared" si="47"/>
        <v>5.0820390900131636E-2</v>
      </c>
    </row>
    <row r="408" spans="1:13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42"/>
        <v>983</v>
      </c>
      <c r="G408" s="230">
        <f t="shared" si="43"/>
        <v>1.0447688223127759E-2</v>
      </c>
      <c r="H408" s="427">
        <f t="shared" si="44"/>
        <v>23.707162777745893</v>
      </c>
      <c r="I408" s="148">
        <f t="shared" si="48"/>
        <v>8.7171237533771659</v>
      </c>
      <c r="J408" s="177">
        <v>9.1578132284582789</v>
      </c>
      <c r="K408" s="427">
        <f t="shared" si="46"/>
        <v>8.3743444952480548</v>
      </c>
      <c r="L408" s="427">
        <f t="shared" si="41"/>
        <v>10.208325939707379</v>
      </c>
      <c r="M408" s="680">
        <f t="shared" si="47"/>
        <v>5.0820390900131629E-2</v>
      </c>
    </row>
    <row r="409" spans="1:13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42"/>
        <v>3815</v>
      </c>
      <c r="G409" s="230">
        <f t="shared" si="43"/>
        <v>4.0547233541436828E-2</v>
      </c>
      <c r="H409" s="427">
        <f t="shared" si="44"/>
        <v>92.006944045880559</v>
      </c>
      <c r="I409" s="148">
        <f t="shared" si="48"/>
        <v>33.830953325670286</v>
      </c>
      <c r="J409" s="177">
        <v>35.541258867312649</v>
      </c>
      <c r="K409" s="427">
        <f t="shared" si="46"/>
        <v>32.500635045138687</v>
      </c>
      <c r="L409" s="427">
        <f t="shared" si="41"/>
        <v>39.618274120024061</v>
      </c>
      <c r="M409" s="680">
        <f t="shared" si="47"/>
        <v>5.0820390900131636E-2</v>
      </c>
    </row>
    <row r="410" spans="1:13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42"/>
        <v>4215</v>
      </c>
      <c r="G410" s="230">
        <f t="shared" si="43"/>
        <v>4.4798581750237543E-2</v>
      </c>
      <c r="H410" s="427">
        <f t="shared" si="44"/>
        <v>101.65380580691652</v>
      </c>
      <c r="I410" s="148">
        <f t="shared" si="48"/>
        <v>37.378104395203209</v>
      </c>
      <c r="J410" s="177">
        <v>39.26773424003219</v>
      </c>
      <c r="K410" s="427">
        <f t="shared" si="46"/>
        <v>35.908303201902903</v>
      </c>
      <c r="L410" s="427">
        <f t="shared" si="41"/>
        <v>43.77222160311964</v>
      </c>
      <c r="M410" s="680">
        <f t="shared" si="47"/>
        <v>5.0820390900131629E-2</v>
      </c>
    </row>
    <row r="411" spans="1:13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42"/>
        <v>12662</v>
      </c>
      <c r="G411" s="230">
        <f t="shared" si="43"/>
        <v>0.13457642754958665</v>
      </c>
      <c r="H411" s="427">
        <f t="shared" si="44"/>
        <v>305.37140904559357</v>
      </c>
      <c r="I411" s="148">
        <f t="shared" si="48"/>
        <v>112.28506710606476</v>
      </c>
      <c r="J411" s="177">
        <v>117.96157792343715</v>
      </c>
      <c r="K411" s="427">
        <f t="shared" si="46"/>
        <v>107.86973550237117</v>
      </c>
      <c r="L411" s="427">
        <f t="shared" si="41"/>
        <v>131.49320757739048</v>
      </c>
      <c r="M411" s="680">
        <f t="shared" si="47"/>
        <v>5.0820390900131622E-2</v>
      </c>
    </row>
    <row r="412" spans="1:13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42"/>
        <v>3976</v>
      </c>
      <c r="G412" s="230">
        <f t="shared" si="43"/>
        <v>4.225840119547912E-2</v>
      </c>
      <c r="H412" s="427">
        <f t="shared" si="44"/>
        <v>95.889805904697539</v>
      </c>
      <c r="I412" s="148">
        <f t="shared" si="48"/>
        <v>35.258681631157287</v>
      </c>
      <c r="J412" s="177">
        <v>37.041165204832268</v>
      </c>
      <c r="K412" s="427">
        <f t="shared" si="46"/>
        <v>33.872221478236284</v>
      </c>
      <c r="L412" s="427">
        <f t="shared" si="41"/>
        <v>41.29023798197003</v>
      </c>
      <c r="M412" s="680">
        <f t="shared" si="47"/>
        <v>5.0820390900131636E-2</v>
      </c>
    </row>
    <row r="413" spans="1:13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42"/>
        <v>12839</v>
      </c>
      <c r="G413" s="230">
        <f t="shared" si="43"/>
        <v>0.13645764913198097</v>
      </c>
      <c r="H413" s="427">
        <f t="shared" si="44"/>
        <v>309.64014537485201</v>
      </c>
      <c r="I413" s="148">
        <f t="shared" si="48"/>
        <v>113.85468145433309</v>
      </c>
      <c r="J413" s="177">
        <v>119.61054327586555</v>
      </c>
      <c r="K413" s="427">
        <f t="shared" si="46"/>
        <v>109.37762866173934</v>
      </c>
      <c r="L413" s="427">
        <f t="shared" ref="L413:L476" si="49">K413*1.219</f>
        <v>133.33132933866025</v>
      </c>
      <c r="M413" s="680">
        <f t="shared" si="47"/>
        <v>5.0820390900131622E-2</v>
      </c>
    </row>
    <row r="414" spans="1:13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42"/>
        <v>10313</v>
      </c>
      <c r="G414" s="230">
        <f t="shared" si="43"/>
        <v>0.10961038519340446</v>
      </c>
      <c r="H414" s="427">
        <f t="shared" si="44"/>
        <v>248.72021335390988</v>
      </c>
      <c r="I414" s="148">
        <f t="shared" si="48"/>
        <v>91.45442245023267</v>
      </c>
      <c r="J414" s="177">
        <v>96.077851297141635</v>
      </c>
      <c r="K414" s="427">
        <f t="shared" si="46"/>
        <v>87.858204251773344</v>
      </c>
      <c r="L414" s="427">
        <f t="shared" si="49"/>
        <v>107.09915098291171</v>
      </c>
      <c r="M414" s="680">
        <f t="shared" si="47"/>
        <v>5.0820390900131629E-2</v>
      </c>
    </row>
    <row r="415" spans="1:13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42"/>
        <v>6385</v>
      </c>
      <c r="G415" s="230">
        <f t="shared" si="43"/>
        <v>6.7862145782981428E-2</v>
      </c>
      <c r="H415" s="427">
        <f t="shared" si="44"/>
        <v>153.98803086053667</v>
      </c>
      <c r="I415" s="148">
        <f t="shared" si="48"/>
        <v>56.621398947419337</v>
      </c>
      <c r="J415" s="177">
        <v>59.483863137035719</v>
      </c>
      <c r="K415" s="427">
        <f t="shared" si="46"/>
        <v>54.394902952348758</v>
      </c>
      <c r="L415" s="427">
        <f t="shared" si="49"/>
        <v>66.307386698913135</v>
      </c>
      <c r="M415" s="680">
        <f t="shared" si="47"/>
        <v>5.0820390900131629E-2</v>
      </c>
    </row>
    <row r="416" spans="1:13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42"/>
        <v>3041.2</v>
      </c>
      <c r="G416" s="230">
        <f t="shared" si="43"/>
        <v>3.2323000431511845E-2</v>
      </c>
      <c r="H416" s="427">
        <f t="shared" si="44"/>
        <v>73.345089969156476</v>
      </c>
      <c r="I416" s="148">
        <f t="shared" si="48"/>
        <v>26.968989581658839</v>
      </c>
      <c r="J416" s="177">
        <v>28.332392258786687</v>
      </c>
      <c r="K416" s="427">
        <f t="shared" si="46"/>
        <v>25.908500995878317</v>
      </c>
      <c r="L416" s="427">
        <f t="shared" si="49"/>
        <v>31.582462713975669</v>
      </c>
      <c r="M416" s="680">
        <f t="shared" si="47"/>
        <v>5.0820390900131629E-2</v>
      </c>
    </row>
    <row r="417" spans="1:13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42"/>
        <v>3886</v>
      </c>
      <c r="G417" s="230">
        <f t="shared" si="43"/>
        <v>4.1301847848498954E-2</v>
      </c>
      <c r="H417" s="427">
        <f t="shared" si="44"/>
        <v>93.71926200846444</v>
      </c>
      <c r="I417" s="148">
        <f t="shared" si="48"/>
        <v>34.460572640512375</v>
      </c>
      <c r="J417" s="177">
        <v>36.202708245970364</v>
      </c>
      <c r="K417" s="427">
        <f t="shared" si="46"/>
        <v>33.105496142964334</v>
      </c>
      <c r="L417" s="427">
        <f t="shared" si="49"/>
        <v>40.355599798273524</v>
      </c>
      <c r="M417" s="680">
        <f t="shared" si="47"/>
        <v>5.0820390900131629E-2</v>
      </c>
    </row>
    <row r="418" spans="1:13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42"/>
        <v>4071</v>
      </c>
      <c r="G418" s="230">
        <f t="shared" si="43"/>
        <v>4.3268096395069289E-2</v>
      </c>
      <c r="H418" s="427">
        <f t="shared" si="44"/>
        <v>98.180935572943582</v>
      </c>
      <c r="I418" s="148">
        <f t="shared" si="48"/>
        <v>36.10113001017136</v>
      </c>
      <c r="J418" s="177">
        <v>37.926203105853162</v>
      </c>
      <c r="K418" s="427">
        <f t="shared" si="46"/>
        <v>34.681542665467788</v>
      </c>
      <c r="L418" s="427">
        <f t="shared" si="49"/>
        <v>42.276800509205238</v>
      </c>
      <c r="M418" s="680">
        <f t="shared" si="47"/>
        <v>5.0820390900131636E-2</v>
      </c>
    </row>
    <row r="419" spans="1:13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/>
      <c r="G419" s="230">
        <f t="shared" si="43"/>
        <v>0</v>
      </c>
      <c r="H419" s="427">
        <f t="shared" si="44"/>
        <v>0</v>
      </c>
      <c r="I419" s="148">
        <f t="shared" si="48"/>
        <v>0</v>
      </c>
      <c r="J419" s="177">
        <v>0</v>
      </c>
      <c r="K419" s="427">
        <f t="shared" si="46"/>
        <v>0</v>
      </c>
      <c r="L419" s="427">
        <f t="shared" si="49"/>
        <v>0</v>
      </c>
      <c r="M419" s="680">
        <v>0</v>
      </c>
    </row>
    <row r="420" spans="1:13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/>
      <c r="G420" s="230">
        <f t="shared" si="43"/>
        <v>0</v>
      </c>
      <c r="H420" s="427">
        <f t="shared" si="44"/>
        <v>0</v>
      </c>
      <c r="I420" s="148">
        <f t="shared" si="48"/>
        <v>0</v>
      </c>
      <c r="J420" s="177">
        <v>0</v>
      </c>
      <c r="K420" s="427">
        <f t="shared" si="46"/>
        <v>0</v>
      </c>
      <c r="L420" s="427">
        <f t="shared" si="49"/>
        <v>0</v>
      </c>
      <c r="M420" s="680">
        <v>0</v>
      </c>
    </row>
    <row r="421" spans="1:13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/>
      <c r="G421" s="230">
        <f t="shared" si="43"/>
        <v>0</v>
      </c>
      <c r="H421" s="427">
        <f t="shared" si="44"/>
        <v>0</v>
      </c>
      <c r="I421" s="148">
        <f t="shared" si="48"/>
        <v>0</v>
      </c>
      <c r="J421" s="177">
        <v>0</v>
      </c>
      <c r="K421" s="427">
        <f t="shared" si="46"/>
        <v>0</v>
      </c>
      <c r="L421" s="427">
        <f t="shared" si="49"/>
        <v>0</v>
      </c>
      <c r="M421" s="680">
        <v>0</v>
      </c>
    </row>
    <row r="422" spans="1:13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/>
      <c r="G422" s="230">
        <f t="shared" si="43"/>
        <v>0</v>
      </c>
      <c r="H422" s="427">
        <f t="shared" si="44"/>
        <v>0</v>
      </c>
      <c r="I422" s="148">
        <f t="shared" si="48"/>
        <v>0</v>
      </c>
      <c r="J422" s="177">
        <v>0</v>
      </c>
      <c r="K422" s="427">
        <f t="shared" si="46"/>
        <v>0</v>
      </c>
      <c r="L422" s="427">
        <f t="shared" si="49"/>
        <v>0</v>
      </c>
      <c r="M422" s="680">
        <v>0</v>
      </c>
    </row>
    <row r="423" spans="1:13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/>
      <c r="G423" s="230">
        <f t="shared" si="43"/>
        <v>0</v>
      </c>
      <c r="H423" s="427">
        <f t="shared" si="44"/>
        <v>0</v>
      </c>
      <c r="I423" s="148">
        <f t="shared" si="48"/>
        <v>0</v>
      </c>
      <c r="J423" s="177">
        <v>0</v>
      </c>
      <c r="K423" s="427">
        <f t="shared" si="46"/>
        <v>0</v>
      </c>
      <c r="L423" s="427">
        <f t="shared" si="49"/>
        <v>0</v>
      </c>
      <c r="M423" s="680">
        <v>0</v>
      </c>
    </row>
    <row r="424" spans="1:13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/>
      <c r="G424" s="230">
        <f t="shared" si="43"/>
        <v>0</v>
      </c>
      <c r="H424" s="427">
        <f t="shared" si="44"/>
        <v>0</v>
      </c>
      <c r="I424" s="148">
        <f t="shared" si="48"/>
        <v>0</v>
      </c>
      <c r="J424" s="177">
        <v>0</v>
      </c>
      <c r="K424" s="427">
        <f t="shared" si="46"/>
        <v>0</v>
      </c>
      <c r="L424" s="427">
        <f t="shared" si="49"/>
        <v>0</v>
      </c>
      <c r="M424" s="680">
        <v>0</v>
      </c>
    </row>
    <row r="425" spans="1:13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/>
      <c r="G425" s="230">
        <f t="shared" si="43"/>
        <v>0</v>
      </c>
      <c r="H425" s="427">
        <f t="shared" si="44"/>
        <v>0</v>
      </c>
      <c r="I425" s="148">
        <f t="shared" si="48"/>
        <v>0</v>
      </c>
      <c r="J425" s="177">
        <v>0</v>
      </c>
      <c r="K425" s="427">
        <f t="shared" si="46"/>
        <v>0</v>
      </c>
      <c r="L425" s="427">
        <f t="shared" si="49"/>
        <v>0</v>
      </c>
      <c r="M425" s="680">
        <v>0</v>
      </c>
    </row>
    <row r="426" spans="1:13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/>
      <c r="G426" s="230">
        <f t="shared" si="43"/>
        <v>0</v>
      </c>
      <c r="H426" s="427">
        <f t="shared" si="44"/>
        <v>0</v>
      </c>
      <c r="I426" s="148">
        <f t="shared" si="48"/>
        <v>0</v>
      </c>
      <c r="J426" s="177">
        <v>0</v>
      </c>
      <c r="K426" s="427">
        <f t="shared" si="46"/>
        <v>0</v>
      </c>
      <c r="L426" s="427">
        <f t="shared" si="49"/>
        <v>0</v>
      </c>
      <c r="M426" s="680">
        <v>0</v>
      </c>
    </row>
    <row r="427" spans="1:13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/>
      <c r="G427" s="230">
        <f t="shared" si="43"/>
        <v>0</v>
      </c>
      <c r="H427" s="427">
        <f t="shared" si="44"/>
        <v>0</v>
      </c>
      <c r="I427" s="148">
        <f t="shared" si="48"/>
        <v>0</v>
      </c>
      <c r="J427" s="177">
        <v>0</v>
      </c>
      <c r="K427" s="427">
        <f t="shared" si="46"/>
        <v>0</v>
      </c>
      <c r="L427" s="427">
        <f t="shared" si="49"/>
        <v>0</v>
      </c>
      <c r="M427" s="680">
        <v>0</v>
      </c>
    </row>
    <row r="428" spans="1:13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/>
      <c r="G428" s="230">
        <f t="shared" si="43"/>
        <v>0</v>
      </c>
      <c r="H428" s="427">
        <f t="shared" si="44"/>
        <v>0</v>
      </c>
      <c r="I428" s="148">
        <f t="shared" si="48"/>
        <v>0</v>
      </c>
      <c r="J428" s="177">
        <v>0</v>
      </c>
      <c r="K428" s="427">
        <f t="shared" si="46"/>
        <v>0</v>
      </c>
      <c r="L428" s="427">
        <f t="shared" si="49"/>
        <v>0</v>
      </c>
      <c r="M428" s="680">
        <v>0</v>
      </c>
    </row>
    <row r="429" spans="1:13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/>
      <c r="G429" s="230">
        <f t="shared" si="43"/>
        <v>0</v>
      </c>
      <c r="H429" s="427">
        <f t="shared" si="44"/>
        <v>0</v>
      </c>
      <c r="I429" s="148">
        <f t="shared" si="48"/>
        <v>0</v>
      </c>
      <c r="J429" s="177">
        <v>0</v>
      </c>
      <c r="K429" s="427">
        <f t="shared" si="46"/>
        <v>0</v>
      </c>
      <c r="L429" s="427">
        <f t="shared" si="49"/>
        <v>0</v>
      </c>
      <c r="M429" s="680">
        <v>0</v>
      </c>
    </row>
    <row r="430" spans="1:13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/>
      <c r="G430" s="230">
        <f t="shared" si="43"/>
        <v>0</v>
      </c>
      <c r="H430" s="427">
        <f t="shared" si="44"/>
        <v>0</v>
      </c>
      <c r="I430" s="148">
        <f t="shared" si="48"/>
        <v>0</v>
      </c>
      <c r="J430" s="177">
        <v>0</v>
      </c>
      <c r="K430" s="427">
        <f t="shared" si="46"/>
        <v>0</v>
      </c>
      <c r="L430" s="427">
        <f t="shared" si="49"/>
        <v>0</v>
      </c>
      <c r="M430" s="680">
        <v>0</v>
      </c>
    </row>
    <row r="431" spans="1:13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/>
      <c r="G431" s="230">
        <f t="shared" si="43"/>
        <v>0</v>
      </c>
      <c r="H431" s="427">
        <f t="shared" si="44"/>
        <v>0</v>
      </c>
      <c r="I431" s="148">
        <f t="shared" si="48"/>
        <v>0</v>
      </c>
      <c r="J431" s="177">
        <v>0</v>
      </c>
      <c r="K431" s="427">
        <f t="shared" si="46"/>
        <v>0</v>
      </c>
      <c r="L431" s="427">
        <f t="shared" si="49"/>
        <v>0</v>
      </c>
      <c r="M431" s="680">
        <v>0</v>
      </c>
    </row>
    <row r="432" spans="1:13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/>
      <c r="G432" s="230">
        <f t="shared" si="43"/>
        <v>0</v>
      </c>
      <c r="H432" s="427">
        <f t="shared" si="44"/>
        <v>0</v>
      </c>
      <c r="I432" s="148">
        <f t="shared" si="48"/>
        <v>0</v>
      </c>
      <c r="J432" s="177">
        <v>0</v>
      </c>
      <c r="K432" s="427">
        <f t="shared" si="46"/>
        <v>0</v>
      </c>
      <c r="L432" s="427">
        <f t="shared" si="49"/>
        <v>0</v>
      </c>
      <c r="M432" s="680">
        <v>0</v>
      </c>
    </row>
    <row r="433" spans="1:13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/>
      <c r="G433" s="230">
        <f t="shared" si="43"/>
        <v>0</v>
      </c>
      <c r="H433" s="427">
        <f t="shared" si="44"/>
        <v>0</v>
      </c>
      <c r="I433" s="148">
        <f t="shared" si="48"/>
        <v>0</v>
      </c>
      <c r="J433" s="177">
        <v>0</v>
      </c>
      <c r="K433" s="427">
        <f t="shared" si="46"/>
        <v>0</v>
      </c>
      <c r="L433" s="427">
        <f t="shared" si="49"/>
        <v>0</v>
      </c>
      <c r="M433" s="680">
        <v>0</v>
      </c>
    </row>
    <row r="434" spans="1:13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/>
      <c r="G434" s="230">
        <f t="shared" si="43"/>
        <v>0</v>
      </c>
      <c r="H434" s="427">
        <f t="shared" si="44"/>
        <v>0</v>
      </c>
      <c r="I434" s="148">
        <f t="shared" si="48"/>
        <v>0</v>
      </c>
      <c r="J434" s="177">
        <v>0</v>
      </c>
      <c r="K434" s="427">
        <f t="shared" si="46"/>
        <v>0</v>
      </c>
      <c r="L434" s="427">
        <f t="shared" si="49"/>
        <v>0</v>
      </c>
      <c r="M434" s="680">
        <v>0</v>
      </c>
    </row>
    <row r="435" spans="1:13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/>
      <c r="G435" s="230">
        <f t="shared" si="43"/>
        <v>0</v>
      </c>
      <c r="H435" s="427">
        <f t="shared" si="44"/>
        <v>0</v>
      </c>
      <c r="I435" s="148">
        <f t="shared" si="48"/>
        <v>0</v>
      </c>
      <c r="J435" s="177">
        <v>0</v>
      </c>
      <c r="K435" s="427">
        <f t="shared" si="46"/>
        <v>0</v>
      </c>
      <c r="L435" s="427">
        <f t="shared" si="49"/>
        <v>0</v>
      </c>
      <c r="M435" s="680">
        <v>0</v>
      </c>
    </row>
    <row r="436" spans="1:13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/>
      <c r="G436" s="230">
        <f t="shared" si="43"/>
        <v>0</v>
      </c>
      <c r="H436" s="427">
        <f t="shared" si="44"/>
        <v>0</v>
      </c>
      <c r="I436" s="148">
        <f t="shared" si="48"/>
        <v>0</v>
      </c>
      <c r="J436" s="177">
        <v>0</v>
      </c>
      <c r="K436" s="427">
        <f t="shared" si="46"/>
        <v>0</v>
      </c>
      <c r="L436" s="427">
        <f t="shared" si="49"/>
        <v>0</v>
      </c>
      <c r="M436" s="680">
        <v>0</v>
      </c>
    </row>
    <row r="437" spans="1:13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/>
      <c r="G437" s="230">
        <f t="shared" si="43"/>
        <v>0</v>
      </c>
      <c r="H437" s="427">
        <f t="shared" si="44"/>
        <v>0</v>
      </c>
      <c r="I437" s="148">
        <f t="shared" si="48"/>
        <v>0</v>
      </c>
      <c r="J437" s="177">
        <v>0</v>
      </c>
      <c r="K437" s="427">
        <f t="shared" si="46"/>
        <v>0</v>
      </c>
      <c r="L437" s="427">
        <f t="shared" si="49"/>
        <v>0</v>
      </c>
      <c r="M437" s="680">
        <v>0</v>
      </c>
    </row>
    <row r="438" spans="1:13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/>
      <c r="G438" s="230">
        <f t="shared" si="43"/>
        <v>0</v>
      </c>
      <c r="H438" s="427">
        <f t="shared" si="44"/>
        <v>0</v>
      </c>
      <c r="I438" s="148">
        <f t="shared" si="48"/>
        <v>0</v>
      </c>
      <c r="J438" s="177">
        <v>0</v>
      </c>
      <c r="K438" s="427">
        <f t="shared" si="46"/>
        <v>0</v>
      </c>
      <c r="L438" s="427">
        <f t="shared" si="49"/>
        <v>0</v>
      </c>
      <c r="M438" s="680">
        <v>0</v>
      </c>
    </row>
    <row r="439" spans="1:13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/>
      <c r="G439" s="230">
        <f t="shared" si="43"/>
        <v>0</v>
      </c>
      <c r="H439" s="427">
        <f t="shared" si="44"/>
        <v>0</v>
      </c>
      <c r="I439" s="148">
        <f t="shared" si="48"/>
        <v>0</v>
      </c>
      <c r="J439" s="177">
        <v>0</v>
      </c>
      <c r="K439" s="427">
        <f t="shared" si="46"/>
        <v>0</v>
      </c>
      <c r="L439" s="427">
        <f t="shared" si="49"/>
        <v>0</v>
      </c>
      <c r="M439" s="680">
        <v>0</v>
      </c>
    </row>
    <row r="440" spans="1:13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/>
      <c r="G440" s="230">
        <f t="shared" si="43"/>
        <v>0</v>
      </c>
      <c r="H440" s="427">
        <f t="shared" si="44"/>
        <v>0</v>
      </c>
      <c r="I440" s="148">
        <f t="shared" si="48"/>
        <v>0</v>
      </c>
      <c r="J440" s="177">
        <v>0</v>
      </c>
      <c r="K440" s="427">
        <f t="shared" si="46"/>
        <v>0</v>
      </c>
      <c r="L440" s="427">
        <f t="shared" si="49"/>
        <v>0</v>
      </c>
      <c r="M440" s="680">
        <v>0</v>
      </c>
    </row>
    <row r="441" spans="1:13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/>
      <c r="G441" s="230">
        <f t="shared" si="43"/>
        <v>0</v>
      </c>
      <c r="H441" s="427">
        <f t="shared" si="44"/>
        <v>0</v>
      </c>
      <c r="I441" s="148">
        <f t="shared" si="48"/>
        <v>0</v>
      </c>
      <c r="J441" s="177">
        <v>0</v>
      </c>
      <c r="K441" s="427">
        <f t="shared" si="46"/>
        <v>0</v>
      </c>
      <c r="L441" s="427">
        <f t="shared" si="49"/>
        <v>0</v>
      </c>
      <c r="M441" s="680">
        <v>0</v>
      </c>
    </row>
    <row r="442" spans="1:13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/>
      <c r="G442" s="230">
        <f t="shared" si="43"/>
        <v>0</v>
      </c>
      <c r="H442" s="427">
        <f t="shared" si="44"/>
        <v>0</v>
      </c>
      <c r="I442" s="148">
        <f t="shared" si="48"/>
        <v>0</v>
      </c>
      <c r="J442" s="177">
        <v>0</v>
      </c>
      <c r="K442" s="427">
        <f t="shared" si="46"/>
        <v>0</v>
      </c>
      <c r="L442" s="427">
        <f t="shared" si="49"/>
        <v>0</v>
      </c>
      <c r="M442" s="680">
        <v>0</v>
      </c>
    </row>
    <row r="443" spans="1:13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/>
      <c r="G443" s="230">
        <f t="shared" si="43"/>
        <v>0</v>
      </c>
      <c r="H443" s="427">
        <f t="shared" si="44"/>
        <v>0</v>
      </c>
      <c r="I443" s="148">
        <f t="shared" si="48"/>
        <v>0</v>
      </c>
      <c r="J443" s="177">
        <v>0</v>
      </c>
      <c r="K443" s="427">
        <f t="shared" si="46"/>
        <v>0</v>
      </c>
      <c r="L443" s="427">
        <f t="shared" si="49"/>
        <v>0</v>
      </c>
      <c r="M443" s="680">
        <v>0</v>
      </c>
    </row>
    <row r="444" spans="1:13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/>
      <c r="G444" s="230">
        <f t="shared" si="43"/>
        <v>0</v>
      </c>
      <c r="H444" s="427">
        <f t="shared" si="44"/>
        <v>0</v>
      </c>
      <c r="I444" s="148">
        <f t="shared" si="48"/>
        <v>0</v>
      </c>
      <c r="J444" s="177">
        <v>0</v>
      </c>
      <c r="K444" s="427">
        <f t="shared" si="46"/>
        <v>0</v>
      </c>
      <c r="L444" s="427">
        <f t="shared" si="49"/>
        <v>0</v>
      </c>
      <c r="M444" s="680">
        <v>0</v>
      </c>
    </row>
    <row r="445" spans="1:13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/>
      <c r="G445" s="230">
        <f t="shared" si="43"/>
        <v>0</v>
      </c>
      <c r="H445" s="427">
        <f t="shared" si="44"/>
        <v>0</v>
      </c>
      <c r="I445" s="148">
        <f t="shared" si="48"/>
        <v>0</v>
      </c>
      <c r="J445" s="177">
        <v>0</v>
      </c>
      <c r="K445" s="427">
        <f t="shared" si="46"/>
        <v>0</v>
      </c>
      <c r="L445" s="427">
        <f t="shared" si="49"/>
        <v>0</v>
      </c>
      <c r="M445" s="680">
        <v>0</v>
      </c>
    </row>
    <row r="446" spans="1:13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/>
      <c r="G446" s="230">
        <f t="shared" si="43"/>
        <v>0</v>
      </c>
      <c r="H446" s="427">
        <f t="shared" si="44"/>
        <v>0</v>
      </c>
      <c r="I446" s="148">
        <f t="shared" si="48"/>
        <v>0</v>
      </c>
      <c r="J446" s="177">
        <v>0</v>
      </c>
      <c r="K446" s="427">
        <f t="shared" si="46"/>
        <v>0</v>
      </c>
      <c r="L446" s="427">
        <f t="shared" si="49"/>
        <v>0</v>
      </c>
      <c r="M446" s="680">
        <v>0</v>
      </c>
    </row>
    <row r="447" spans="1:13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/>
      <c r="G447" s="230">
        <f t="shared" si="43"/>
        <v>0</v>
      </c>
      <c r="H447" s="427">
        <f t="shared" si="44"/>
        <v>0</v>
      </c>
      <c r="I447" s="148">
        <f t="shared" si="48"/>
        <v>0</v>
      </c>
      <c r="J447" s="177">
        <v>0</v>
      </c>
      <c r="K447" s="427">
        <f t="shared" si="46"/>
        <v>0</v>
      </c>
      <c r="L447" s="427">
        <f t="shared" si="49"/>
        <v>0</v>
      </c>
      <c r="M447" s="680">
        <v>0</v>
      </c>
    </row>
    <row r="448" spans="1:13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/>
      <c r="G448" s="230">
        <f t="shared" si="43"/>
        <v>0</v>
      </c>
      <c r="H448" s="427">
        <f t="shared" si="44"/>
        <v>0</v>
      </c>
      <c r="I448" s="148">
        <f t="shared" si="48"/>
        <v>0</v>
      </c>
      <c r="J448" s="177">
        <v>0</v>
      </c>
      <c r="K448" s="427">
        <f t="shared" si="46"/>
        <v>0</v>
      </c>
      <c r="L448" s="427">
        <f t="shared" si="49"/>
        <v>0</v>
      </c>
      <c r="M448" s="680">
        <v>0</v>
      </c>
    </row>
    <row r="449" spans="1:13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/>
      <c r="G449" s="230">
        <f t="shared" si="43"/>
        <v>0</v>
      </c>
      <c r="H449" s="427">
        <f t="shared" si="44"/>
        <v>0</v>
      </c>
      <c r="I449" s="148">
        <f t="shared" si="48"/>
        <v>0</v>
      </c>
      <c r="J449" s="177">
        <v>0</v>
      </c>
      <c r="K449" s="427">
        <f t="shared" si="46"/>
        <v>0</v>
      </c>
      <c r="L449" s="427">
        <f t="shared" si="49"/>
        <v>0</v>
      </c>
      <c r="M449" s="680">
        <v>0</v>
      </c>
    </row>
    <row r="450" spans="1:13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/>
      <c r="G450" s="230">
        <f t="shared" ref="G450:G513" si="50">2/188175.6*F450</f>
        <v>0</v>
      </c>
      <c r="H450" s="427">
        <f t="shared" ref="H450:H513" si="51">G450*2269.13</f>
        <v>0</v>
      </c>
      <c r="I450" s="148">
        <f t="shared" si="48"/>
        <v>0</v>
      </c>
      <c r="J450" s="177">
        <v>0</v>
      </c>
      <c r="K450" s="427">
        <f t="shared" ref="K450:K492" si="52">G450*801.55</f>
        <v>0</v>
      </c>
      <c r="L450" s="427">
        <f t="shared" si="49"/>
        <v>0</v>
      </c>
      <c r="M450" s="680">
        <v>0</v>
      </c>
    </row>
    <row r="451" spans="1:13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/>
      <c r="G451" s="230">
        <f t="shared" si="50"/>
        <v>0</v>
      </c>
      <c r="H451" s="427">
        <f t="shared" si="51"/>
        <v>0</v>
      </c>
      <c r="I451" s="148">
        <f t="shared" si="48"/>
        <v>0</v>
      </c>
      <c r="J451" s="177">
        <v>0</v>
      </c>
      <c r="K451" s="427">
        <f t="shared" si="52"/>
        <v>0</v>
      </c>
      <c r="L451" s="427">
        <f t="shared" si="49"/>
        <v>0</v>
      </c>
      <c r="M451" s="680">
        <v>0</v>
      </c>
    </row>
    <row r="452" spans="1:13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/>
      <c r="G452" s="230">
        <f t="shared" si="50"/>
        <v>0</v>
      </c>
      <c r="H452" s="427">
        <f t="shared" si="51"/>
        <v>0</v>
      </c>
      <c r="I452" s="148">
        <f t="shared" si="48"/>
        <v>0</v>
      </c>
      <c r="J452" s="177">
        <v>0</v>
      </c>
      <c r="K452" s="427">
        <f t="shared" si="52"/>
        <v>0</v>
      </c>
      <c r="L452" s="427">
        <f t="shared" si="49"/>
        <v>0</v>
      </c>
      <c r="M452" s="680">
        <v>0</v>
      </c>
    </row>
    <row r="453" spans="1:13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/>
      <c r="G453" s="230">
        <f t="shared" si="50"/>
        <v>0</v>
      </c>
      <c r="H453" s="427">
        <f t="shared" si="51"/>
        <v>0</v>
      </c>
      <c r="I453" s="148">
        <f t="shared" si="48"/>
        <v>0</v>
      </c>
      <c r="J453" s="177">
        <v>0</v>
      </c>
      <c r="K453" s="427">
        <f t="shared" si="52"/>
        <v>0</v>
      </c>
      <c r="L453" s="427">
        <f t="shared" si="49"/>
        <v>0</v>
      </c>
      <c r="M453" s="680">
        <v>0</v>
      </c>
    </row>
    <row r="454" spans="1:13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/>
      <c r="G454" s="230">
        <f t="shared" si="50"/>
        <v>0</v>
      </c>
      <c r="H454" s="427">
        <f t="shared" si="51"/>
        <v>0</v>
      </c>
      <c r="I454" s="148">
        <f t="shared" si="48"/>
        <v>0</v>
      </c>
      <c r="J454" s="177">
        <v>0</v>
      </c>
      <c r="K454" s="427">
        <f t="shared" si="52"/>
        <v>0</v>
      </c>
      <c r="L454" s="427">
        <f t="shared" si="49"/>
        <v>0</v>
      </c>
      <c r="M454" s="680">
        <v>0</v>
      </c>
    </row>
    <row r="455" spans="1:13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/>
      <c r="G455" s="230">
        <f t="shared" si="50"/>
        <v>0</v>
      </c>
      <c r="H455" s="427">
        <f t="shared" si="51"/>
        <v>0</v>
      </c>
      <c r="I455" s="148">
        <f t="shared" si="48"/>
        <v>0</v>
      </c>
      <c r="J455" s="177">
        <v>0</v>
      </c>
      <c r="K455" s="427">
        <f t="shared" si="52"/>
        <v>0</v>
      </c>
      <c r="L455" s="427">
        <f t="shared" si="49"/>
        <v>0</v>
      </c>
      <c r="M455" s="680">
        <v>0</v>
      </c>
    </row>
    <row r="456" spans="1:13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/>
      <c r="G456" s="230">
        <f t="shared" si="50"/>
        <v>0</v>
      </c>
      <c r="H456" s="427">
        <f t="shared" si="51"/>
        <v>0</v>
      </c>
      <c r="I456" s="148">
        <f t="shared" si="48"/>
        <v>0</v>
      </c>
      <c r="J456" s="177">
        <v>0</v>
      </c>
      <c r="K456" s="427">
        <f t="shared" si="52"/>
        <v>0</v>
      </c>
      <c r="L456" s="427">
        <f t="shared" si="49"/>
        <v>0</v>
      </c>
      <c r="M456" s="680">
        <v>0</v>
      </c>
    </row>
    <row r="457" spans="1:13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/>
      <c r="G457" s="230">
        <f t="shared" si="50"/>
        <v>0</v>
      </c>
      <c r="H457" s="427">
        <f t="shared" si="51"/>
        <v>0</v>
      </c>
      <c r="I457" s="148">
        <f t="shared" si="48"/>
        <v>0</v>
      </c>
      <c r="J457" s="177">
        <v>0</v>
      </c>
      <c r="K457" s="427">
        <f t="shared" si="52"/>
        <v>0</v>
      </c>
      <c r="L457" s="427">
        <f t="shared" si="49"/>
        <v>0</v>
      </c>
      <c r="M457" s="680">
        <v>0</v>
      </c>
    </row>
    <row r="458" spans="1:13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/>
      <c r="G458" s="230">
        <f t="shared" si="50"/>
        <v>0</v>
      </c>
      <c r="H458" s="427">
        <f t="shared" si="51"/>
        <v>0</v>
      </c>
      <c r="I458" s="148">
        <f t="shared" si="48"/>
        <v>0</v>
      </c>
      <c r="J458" s="177">
        <v>0</v>
      </c>
      <c r="K458" s="427">
        <f t="shared" si="52"/>
        <v>0</v>
      </c>
      <c r="L458" s="427">
        <f t="shared" si="49"/>
        <v>0</v>
      </c>
      <c r="M458" s="680">
        <v>0</v>
      </c>
    </row>
    <row r="459" spans="1:13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/>
      <c r="G459" s="230">
        <f t="shared" si="50"/>
        <v>0</v>
      </c>
      <c r="H459" s="427">
        <f t="shared" si="51"/>
        <v>0</v>
      </c>
      <c r="I459" s="148">
        <f t="shared" si="48"/>
        <v>0</v>
      </c>
      <c r="J459" s="177">
        <v>0</v>
      </c>
      <c r="K459" s="427">
        <f t="shared" si="52"/>
        <v>0</v>
      </c>
      <c r="L459" s="427">
        <f t="shared" si="49"/>
        <v>0</v>
      </c>
      <c r="M459" s="680">
        <v>0</v>
      </c>
    </row>
    <row r="460" spans="1:13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/>
      <c r="G460" s="230">
        <f t="shared" si="50"/>
        <v>0</v>
      </c>
      <c r="H460" s="427">
        <f t="shared" si="51"/>
        <v>0</v>
      </c>
      <c r="I460" s="148">
        <f t="shared" si="48"/>
        <v>0</v>
      </c>
      <c r="J460" s="177">
        <v>0</v>
      </c>
      <c r="K460" s="427">
        <f t="shared" si="52"/>
        <v>0</v>
      </c>
      <c r="L460" s="427">
        <f t="shared" si="49"/>
        <v>0</v>
      </c>
      <c r="M460" s="680">
        <v>0</v>
      </c>
    </row>
    <row r="461" spans="1:13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/>
      <c r="G461" s="230">
        <f t="shared" si="50"/>
        <v>0</v>
      </c>
      <c r="H461" s="427">
        <f t="shared" si="51"/>
        <v>0</v>
      </c>
      <c r="I461" s="148">
        <f t="shared" si="48"/>
        <v>0</v>
      </c>
      <c r="J461" s="177">
        <v>0</v>
      </c>
      <c r="K461" s="427">
        <f t="shared" si="52"/>
        <v>0</v>
      </c>
      <c r="L461" s="427">
        <f t="shared" si="49"/>
        <v>0</v>
      </c>
      <c r="M461" s="680">
        <v>0</v>
      </c>
    </row>
    <row r="462" spans="1:13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/>
      <c r="G462" s="230">
        <f t="shared" si="50"/>
        <v>0</v>
      </c>
      <c r="H462" s="427">
        <f t="shared" si="51"/>
        <v>0</v>
      </c>
      <c r="I462" s="148">
        <f t="shared" si="48"/>
        <v>0</v>
      </c>
      <c r="J462" s="177">
        <v>0</v>
      </c>
      <c r="K462" s="427">
        <f t="shared" si="52"/>
        <v>0</v>
      </c>
      <c r="L462" s="427">
        <f t="shared" si="49"/>
        <v>0</v>
      </c>
      <c r="M462" s="680">
        <v>0</v>
      </c>
    </row>
    <row r="463" spans="1:13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/>
      <c r="G463" s="230">
        <f t="shared" si="50"/>
        <v>0</v>
      </c>
      <c r="H463" s="427">
        <f t="shared" si="51"/>
        <v>0</v>
      </c>
      <c r="I463" s="148">
        <f t="shared" si="48"/>
        <v>0</v>
      </c>
      <c r="J463" s="177">
        <v>0</v>
      </c>
      <c r="K463" s="427">
        <f t="shared" si="52"/>
        <v>0</v>
      </c>
      <c r="L463" s="427">
        <f t="shared" si="49"/>
        <v>0</v>
      </c>
      <c r="M463" s="680">
        <v>0</v>
      </c>
    </row>
    <row r="464" spans="1:13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/>
      <c r="G464" s="230">
        <f t="shared" si="50"/>
        <v>0</v>
      </c>
      <c r="H464" s="427">
        <f t="shared" si="51"/>
        <v>0</v>
      </c>
      <c r="I464" s="148">
        <f t="shared" si="48"/>
        <v>0</v>
      </c>
      <c r="J464" s="177">
        <v>0</v>
      </c>
      <c r="K464" s="427">
        <f t="shared" si="52"/>
        <v>0</v>
      </c>
      <c r="L464" s="427">
        <f t="shared" si="49"/>
        <v>0</v>
      </c>
      <c r="M464" s="680">
        <v>0</v>
      </c>
    </row>
    <row r="465" spans="1:13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/>
      <c r="G465" s="230">
        <f t="shared" si="50"/>
        <v>0</v>
      </c>
      <c r="H465" s="427">
        <f t="shared" si="51"/>
        <v>0</v>
      </c>
      <c r="I465" s="148">
        <f t="shared" ref="I465:I526" si="53">H465*0.3677</f>
        <v>0</v>
      </c>
      <c r="J465" s="177">
        <v>0</v>
      </c>
      <c r="K465" s="427">
        <f t="shared" si="52"/>
        <v>0</v>
      </c>
      <c r="L465" s="427">
        <f t="shared" si="49"/>
        <v>0</v>
      </c>
      <c r="M465" s="680">
        <v>0</v>
      </c>
    </row>
    <row r="466" spans="1:13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/>
      <c r="G466" s="230">
        <f t="shared" si="50"/>
        <v>0</v>
      </c>
      <c r="H466" s="427">
        <f t="shared" si="51"/>
        <v>0</v>
      </c>
      <c r="I466" s="148">
        <f t="shared" si="53"/>
        <v>0</v>
      </c>
      <c r="J466" s="177">
        <v>0</v>
      </c>
      <c r="K466" s="427">
        <f t="shared" si="52"/>
        <v>0</v>
      </c>
      <c r="L466" s="427">
        <f t="shared" si="49"/>
        <v>0</v>
      </c>
      <c r="M466" s="680">
        <v>0</v>
      </c>
    </row>
    <row r="467" spans="1:13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/>
      <c r="G467" s="230">
        <f t="shared" si="50"/>
        <v>0</v>
      </c>
      <c r="H467" s="427">
        <f t="shared" si="51"/>
        <v>0</v>
      </c>
      <c r="I467" s="148">
        <f t="shared" si="53"/>
        <v>0</v>
      </c>
      <c r="J467" s="177">
        <v>0</v>
      </c>
      <c r="K467" s="427">
        <f t="shared" si="52"/>
        <v>0</v>
      </c>
      <c r="L467" s="427">
        <f t="shared" si="49"/>
        <v>0</v>
      </c>
      <c r="M467" s="680">
        <v>0</v>
      </c>
    </row>
    <row r="468" spans="1:13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/>
      <c r="G468" s="230">
        <f t="shared" si="50"/>
        <v>0</v>
      </c>
      <c r="H468" s="427">
        <f t="shared" si="51"/>
        <v>0</v>
      </c>
      <c r="I468" s="148">
        <f t="shared" si="53"/>
        <v>0</v>
      </c>
      <c r="J468" s="177">
        <v>0</v>
      </c>
      <c r="K468" s="427">
        <f t="shared" si="52"/>
        <v>0</v>
      </c>
      <c r="L468" s="427">
        <f t="shared" si="49"/>
        <v>0</v>
      </c>
      <c r="M468" s="680">
        <v>0</v>
      </c>
    </row>
    <row r="469" spans="1:13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/>
      <c r="G469" s="230">
        <f t="shared" si="50"/>
        <v>0</v>
      </c>
      <c r="H469" s="427">
        <f t="shared" si="51"/>
        <v>0</v>
      </c>
      <c r="I469" s="148">
        <f t="shared" si="53"/>
        <v>0</v>
      </c>
      <c r="J469" s="177">
        <v>0</v>
      </c>
      <c r="K469" s="427">
        <f t="shared" si="52"/>
        <v>0</v>
      </c>
      <c r="L469" s="427">
        <f t="shared" si="49"/>
        <v>0</v>
      </c>
      <c r="M469" s="680">
        <v>0</v>
      </c>
    </row>
    <row r="470" spans="1:13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/>
      <c r="G470" s="230">
        <f t="shared" si="50"/>
        <v>0</v>
      </c>
      <c r="H470" s="427">
        <f t="shared" si="51"/>
        <v>0</v>
      </c>
      <c r="I470" s="148">
        <f t="shared" si="53"/>
        <v>0</v>
      </c>
      <c r="J470" s="177">
        <v>0</v>
      </c>
      <c r="K470" s="427">
        <f t="shared" si="52"/>
        <v>0</v>
      </c>
      <c r="L470" s="427">
        <f t="shared" si="49"/>
        <v>0</v>
      </c>
      <c r="M470" s="680">
        <v>0</v>
      </c>
    </row>
    <row r="471" spans="1:13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/>
      <c r="G471" s="230">
        <f t="shared" si="50"/>
        <v>0</v>
      </c>
      <c r="H471" s="427">
        <f t="shared" si="51"/>
        <v>0</v>
      </c>
      <c r="I471" s="148">
        <f t="shared" si="53"/>
        <v>0</v>
      </c>
      <c r="J471" s="177">
        <v>0</v>
      </c>
      <c r="K471" s="427">
        <f t="shared" si="52"/>
        <v>0</v>
      </c>
      <c r="L471" s="427">
        <f t="shared" si="49"/>
        <v>0</v>
      </c>
      <c r="M471" s="680">
        <v>0</v>
      </c>
    </row>
    <row r="472" spans="1:13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/>
      <c r="G472" s="230">
        <f t="shared" si="50"/>
        <v>0</v>
      </c>
      <c r="H472" s="427">
        <f t="shared" si="51"/>
        <v>0</v>
      </c>
      <c r="I472" s="148">
        <f t="shared" si="53"/>
        <v>0</v>
      </c>
      <c r="J472" s="177">
        <v>0</v>
      </c>
      <c r="K472" s="427">
        <f t="shared" si="52"/>
        <v>0</v>
      </c>
      <c r="L472" s="427">
        <f t="shared" si="49"/>
        <v>0</v>
      </c>
      <c r="M472" s="680">
        <v>0</v>
      </c>
    </row>
    <row r="473" spans="1:13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/>
      <c r="G473" s="230">
        <f t="shared" si="50"/>
        <v>0</v>
      </c>
      <c r="H473" s="427">
        <f t="shared" si="51"/>
        <v>0</v>
      </c>
      <c r="I473" s="148">
        <f t="shared" si="53"/>
        <v>0</v>
      </c>
      <c r="J473" s="177">
        <v>0</v>
      </c>
      <c r="K473" s="427">
        <f t="shared" si="52"/>
        <v>0</v>
      </c>
      <c r="L473" s="427">
        <f t="shared" si="49"/>
        <v>0</v>
      </c>
      <c r="M473" s="680">
        <v>0</v>
      </c>
    </row>
    <row r="474" spans="1:13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/>
      <c r="G474" s="230">
        <f t="shared" si="50"/>
        <v>0</v>
      </c>
      <c r="H474" s="427">
        <f t="shared" si="51"/>
        <v>0</v>
      </c>
      <c r="I474" s="148">
        <f t="shared" si="53"/>
        <v>0</v>
      </c>
      <c r="J474" s="177">
        <v>0</v>
      </c>
      <c r="K474" s="427">
        <f t="shared" si="52"/>
        <v>0</v>
      </c>
      <c r="L474" s="427">
        <f t="shared" si="49"/>
        <v>0</v>
      </c>
      <c r="M474" s="680">
        <v>0</v>
      </c>
    </row>
    <row r="475" spans="1:13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/>
      <c r="G475" s="230">
        <f t="shared" si="50"/>
        <v>0</v>
      </c>
      <c r="H475" s="427">
        <f t="shared" si="51"/>
        <v>0</v>
      </c>
      <c r="I475" s="148">
        <f t="shared" si="53"/>
        <v>0</v>
      </c>
      <c r="J475" s="177">
        <v>0</v>
      </c>
      <c r="K475" s="427">
        <f t="shared" si="52"/>
        <v>0</v>
      </c>
      <c r="L475" s="427">
        <f t="shared" si="49"/>
        <v>0</v>
      </c>
      <c r="M475" s="680">
        <v>0</v>
      </c>
    </row>
    <row r="476" spans="1:13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/>
      <c r="G476" s="230">
        <f t="shared" si="50"/>
        <v>0</v>
      </c>
      <c r="H476" s="427">
        <f t="shared" si="51"/>
        <v>0</v>
      </c>
      <c r="I476" s="148">
        <f t="shared" si="53"/>
        <v>0</v>
      </c>
      <c r="J476" s="177">
        <v>0</v>
      </c>
      <c r="K476" s="427">
        <f t="shared" si="52"/>
        <v>0</v>
      </c>
      <c r="L476" s="427">
        <f t="shared" si="49"/>
        <v>0</v>
      </c>
      <c r="M476" s="680">
        <v>0</v>
      </c>
    </row>
    <row r="477" spans="1:13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/>
      <c r="G477" s="230">
        <f t="shared" si="50"/>
        <v>0</v>
      </c>
      <c r="H477" s="427">
        <f t="shared" si="51"/>
        <v>0</v>
      </c>
      <c r="I477" s="148">
        <f t="shared" si="53"/>
        <v>0</v>
      </c>
      <c r="J477" s="177">
        <v>0</v>
      </c>
      <c r="K477" s="427">
        <f t="shared" si="52"/>
        <v>0</v>
      </c>
      <c r="L477" s="427">
        <f t="shared" ref="L477:L540" si="54">K477*1.219</f>
        <v>0</v>
      </c>
      <c r="M477" s="680">
        <v>0</v>
      </c>
    </row>
    <row r="478" spans="1:13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/>
      <c r="G478" s="230">
        <f t="shared" si="50"/>
        <v>0</v>
      </c>
      <c r="H478" s="427">
        <f t="shared" si="51"/>
        <v>0</v>
      </c>
      <c r="I478" s="148">
        <f t="shared" si="53"/>
        <v>0</v>
      </c>
      <c r="J478" s="177">
        <v>0</v>
      </c>
      <c r="K478" s="427">
        <f t="shared" si="52"/>
        <v>0</v>
      </c>
      <c r="L478" s="427">
        <f t="shared" si="54"/>
        <v>0</v>
      </c>
      <c r="M478" s="680">
        <v>0</v>
      </c>
    </row>
    <row r="479" spans="1:13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/>
      <c r="G479" s="230">
        <f t="shared" si="50"/>
        <v>0</v>
      </c>
      <c r="H479" s="427">
        <f t="shared" si="51"/>
        <v>0</v>
      </c>
      <c r="I479" s="148">
        <f t="shared" si="53"/>
        <v>0</v>
      </c>
      <c r="J479" s="177">
        <v>0</v>
      </c>
      <c r="K479" s="427">
        <f t="shared" si="52"/>
        <v>0</v>
      </c>
      <c r="L479" s="427">
        <f t="shared" si="54"/>
        <v>0</v>
      </c>
      <c r="M479" s="680">
        <v>0</v>
      </c>
    </row>
    <row r="480" spans="1:13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/>
      <c r="G480" s="230">
        <f t="shared" si="50"/>
        <v>0</v>
      </c>
      <c r="H480" s="427">
        <f t="shared" si="51"/>
        <v>0</v>
      </c>
      <c r="I480" s="148">
        <f t="shared" si="53"/>
        <v>0</v>
      </c>
      <c r="J480" s="177">
        <v>0</v>
      </c>
      <c r="K480" s="427">
        <f t="shared" si="52"/>
        <v>0</v>
      </c>
      <c r="L480" s="427">
        <f t="shared" si="54"/>
        <v>0</v>
      </c>
      <c r="M480" s="680">
        <v>0</v>
      </c>
    </row>
    <row r="481" spans="1:13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/>
      <c r="G481" s="230">
        <f t="shared" si="50"/>
        <v>0</v>
      </c>
      <c r="H481" s="427">
        <f t="shared" si="51"/>
        <v>0</v>
      </c>
      <c r="I481" s="148">
        <f t="shared" si="53"/>
        <v>0</v>
      </c>
      <c r="J481" s="177">
        <v>0</v>
      </c>
      <c r="K481" s="427">
        <f t="shared" si="52"/>
        <v>0</v>
      </c>
      <c r="L481" s="427">
        <f t="shared" si="54"/>
        <v>0</v>
      </c>
      <c r="M481" s="680">
        <v>0</v>
      </c>
    </row>
    <row r="482" spans="1:13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/>
      <c r="G482" s="230">
        <f t="shared" si="50"/>
        <v>0</v>
      </c>
      <c r="H482" s="427">
        <f t="shared" si="51"/>
        <v>0</v>
      </c>
      <c r="I482" s="148">
        <f t="shared" si="53"/>
        <v>0</v>
      </c>
      <c r="J482" s="177">
        <v>0</v>
      </c>
      <c r="K482" s="427">
        <f t="shared" si="52"/>
        <v>0</v>
      </c>
      <c r="L482" s="427">
        <f t="shared" si="54"/>
        <v>0</v>
      </c>
      <c r="M482" s="680">
        <v>0</v>
      </c>
    </row>
    <row r="483" spans="1:13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/>
      <c r="G483" s="230">
        <f t="shared" si="50"/>
        <v>0</v>
      </c>
      <c r="H483" s="427">
        <f t="shared" si="51"/>
        <v>0</v>
      </c>
      <c r="I483" s="148">
        <f t="shared" si="53"/>
        <v>0</v>
      </c>
      <c r="J483" s="177">
        <v>0</v>
      </c>
      <c r="K483" s="427">
        <f t="shared" si="52"/>
        <v>0</v>
      </c>
      <c r="L483" s="427">
        <f t="shared" si="54"/>
        <v>0</v>
      </c>
      <c r="M483" s="680">
        <v>0</v>
      </c>
    </row>
    <row r="484" spans="1:13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/>
      <c r="G484" s="230">
        <f t="shared" si="50"/>
        <v>0</v>
      </c>
      <c r="H484" s="427">
        <f t="shared" si="51"/>
        <v>0</v>
      </c>
      <c r="I484" s="148">
        <f t="shared" si="53"/>
        <v>0</v>
      </c>
      <c r="J484" s="177">
        <v>0</v>
      </c>
      <c r="K484" s="427">
        <f t="shared" si="52"/>
        <v>0</v>
      </c>
      <c r="L484" s="427">
        <f t="shared" si="54"/>
        <v>0</v>
      </c>
      <c r="M484" s="680">
        <v>0</v>
      </c>
    </row>
    <row r="485" spans="1:13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/>
      <c r="G485" s="230">
        <f t="shared" si="50"/>
        <v>0</v>
      </c>
      <c r="H485" s="427">
        <f t="shared" si="51"/>
        <v>0</v>
      </c>
      <c r="I485" s="148">
        <f t="shared" si="53"/>
        <v>0</v>
      </c>
      <c r="J485" s="177">
        <v>0</v>
      </c>
      <c r="K485" s="427">
        <f t="shared" si="52"/>
        <v>0</v>
      </c>
      <c r="L485" s="427">
        <f t="shared" si="54"/>
        <v>0</v>
      </c>
      <c r="M485" s="680">
        <v>0</v>
      </c>
    </row>
    <row r="486" spans="1:13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/>
      <c r="G486" s="230">
        <f t="shared" si="50"/>
        <v>0</v>
      </c>
      <c r="H486" s="427">
        <f t="shared" si="51"/>
        <v>0</v>
      </c>
      <c r="I486" s="148">
        <f t="shared" si="53"/>
        <v>0</v>
      </c>
      <c r="J486" s="177">
        <v>0</v>
      </c>
      <c r="K486" s="427">
        <f t="shared" si="52"/>
        <v>0</v>
      </c>
      <c r="L486" s="427">
        <f t="shared" si="54"/>
        <v>0</v>
      </c>
      <c r="M486" s="680">
        <v>0</v>
      </c>
    </row>
    <row r="487" spans="1:13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/>
      <c r="G487" s="230">
        <f t="shared" si="50"/>
        <v>0</v>
      </c>
      <c r="H487" s="427">
        <f t="shared" si="51"/>
        <v>0</v>
      </c>
      <c r="I487" s="148">
        <f t="shared" si="53"/>
        <v>0</v>
      </c>
      <c r="J487" s="177">
        <v>0</v>
      </c>
      <c r="K487" s="427">
        <f t="shared" si="52"/>
        <v>0</v>
      </c>
      <c r="L487" s="427">
        <f t="shared" si="54"/>
        <v>0</v>
      </c>
      <c r="M487" s="680">
        <v>0</v>
      </c>
    </row>
    <row r="488" spans="1:13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/>
      <c r="G488" s="230">
        <f t="shared" si="50"/>
        <v>0</v>
      </c>
      <c r="H488" s="427">
        <f t="shared" si="51"/>
        <v>0</v>
      </c>
      <c r="I488" s="148">
        <f t="shared" si="53"/>
        <v>0</v>
      </c>
      <c r="J488" s="177">
        <v>0</v>
      </c>
      <c r="K488" s="427">
        <f t="shared" si="52"/>
        <v>0</v>
      </c>
      <c r="L488" s="427">
        <f t="shared" si="54"/>
        <v>0</v>
      </c>
      <c r="M488" s="680">
        <v>0</v>
      </c>
    </row>
    <row r="489" spans="1:13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/>
      <c r="G489" s="230">
        <f t="shared" si="50"/>
        <v>0</v>
      </c>
      <c r="H489" s="427">
        <f t="shared" si="51"/>
        <v>0</v>
      </c>
      <c r="I489" s="148">
        <f t="shared" si="53"/>
        <v>0</v>
      </c>
      <c r="J489" s="177">
        <v>0</v>
      </c>
      <c r="K489" s="427">
        <f t="shared" si="52"/>
        <v>0</v>
      </c>
      <c r="L489" s="427">
        <f t="shared" si="54"/>
        <v>0</v>
      </c>
      <c r="M489" s="680">
        <v>0</v>
      </c>
    </row>
    <row r="490" spans="1:13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/>
      <c r="G490" s="230">
        <f t="shared" si="50"/>
        <v>0</v>
      </c>
      <c r="H490" s="427">
        <f t="shared" si="51"/>
        <v>0</v>
      </c>
      <c r="I490" s="148">
        <f t="shared" si="53"/>
        <v>0</v>
      </c>
      <c r="J490" s="177">
        <v>0</v>
      </c>
      <c r="K490" s="427">
        <f t="shared" si="52"/>
        <v>0</v>
      </c>
      <c r="L490" s="427">
        <f t="shared" si="54"/>
        <v>0</v>
      </c>
      <c r="M490" s="680">
        <v>0</v>
      </c>
    </row>
    <row r="491" spans="1:13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/>
      <c r="G491" s="230">
        <f t="shared" si="50"/>
        <v>0</v>
      </c>
      <c r="H491" s="427">
        <f t="shared" si="51"/>
        <v>0</v>
      </c>
      <c r="I491" s="148">
        <f t="shared" si="53"/>
        <v>0</v>
      </c>
      <c r="J491" s="177">
        <v>0</v>
      </c>
      <c r="K491" s="427">
        <f t="shared" si="52"/>
        <v>0</v>
      </c>
      <c r="L491" s="427">
        <f t="shared" si="54"/>
        <v>0</v>
      </c>
      <c r="M491" s="680">
        <v>0</v>
      </c>
    </row>
    <row r="492" spans="1:13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/>
      <c r="G492" s="230">
        <f t="shared" si="50"/>
        <v>0</v>
      </c>
      <c r="H492" s="427">
        <f t="shared" si="51"/>
        <v>0</v>
      </c>
      <c r="I492" s="148">
        <f t="shared" si="53"/>
        <v>0</v>
      </c>
      <c r="J492" s="177">
        <v>0</v>
      </c>
      <c r="K492" s="427">
        <f t="shared" si="52"/>
        <v>0</v>
      </c>
      <c r="L492" s="427">
        <f t="shared" si="54"/>
        <v>0</v>
      </c>
      <c r="M492" s="680">
        <v>0</v>
      </c>
    </row>
    <row r="493" spans="1:13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/>
      <c r="G493" s="230">
        <f t="shared" si="50"/>
        <v>0</v>
      </c>
      <c r="H493" s="427">
        <f t="shared" si="51"/>
        <v>0</v>
      </c>
      <c r="I493" s="148">
        <f t="shared" si="53"/>
        <v>0</v>
      </c>
      <c r="J493" s="177">
        <v>0</v>
      </c>
      <c r="K493" s="427">
        <f>G493*801.55</f>
        <v>0</v>
      </c>
      <c r="L493" s="427">
        <f t="shared" si="54"/>
        <v>0</v>
      </c>
      <c r="M493" s="680">
        <v>0</v>
      </c>
    </row>
    <row r="494" spans="1:13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/>
      <c r="G494" s="230">
        <f t="shared" si="50"/>
        <v>0</v>
      </c>
      <c r="H494" s="427">
        <f t="shared" si="51"/>
        <v>0</v>
      </c>
      <c r="I494" s="148">
        <f t="shared" si="53"/>
        <v>0</v>
      </c>
      <c r="J494" s="177">
        <v>0</v>
      </c>
      <c r="K494" s="427">
        <f>G494*801.55</f>
        <v>0</v>
      </c>
      <c r="L494" s="427">
        <f t="shared" si="54"/>
        <v>0</v>
      </c>
      <c r="M494" s="680">
        <v>0</v>
      </c>
    </row>
    <row r="495" spans="1:13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/>
      <c r="G495" s="230">
        <f t="shared" si="50"/>
        <v>0</v>
      </c>
      <c r="H495" s="427">
        <f t="shared" si="51"/>
        <v>0</v>
      </c>
      <c r="I495" s="148">
        <f t="shared" si="53"/>
        <v>0</v>
      </c>
      <c r="J495" s="177">
        <v>0</v>
      </c>
      <c r="K495" s="148"/>
      <c r="L495" s="427">
        <f t="shared" si="54"/>
        <v>0</v>
      </c>
      <c r="M495" s="680">
        <v>0</v>
      </c>
    </row>
    <row r="496" spans="1:13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/>
      <c r="G496" s="230">
        <f t="shared" si="50"/>
        <v>0</v>
      </c>
      <c r="H496" s="427">
        <f t="shared" si="51"/>
        <v>0</v>
      </c>
      <c r="I496" s="148">
        <f t="shared" si="53"/>
        <v>0</v>
      </c>
      <c r="J496" s="177">
        <v>0</v>
      </c>
      <c r="K496" s="148"/>
      <c r="L496" s="427">
        <f t="shared" si="54"/>
        <v>0</v>
      </c>
      <c r="M496" s="680">
        <v>0</v>
      </c>
    </row>
    <row r="497" spans="1:13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/>
      <c r="G497" s="230">
        <f t="shared" si="50"/>
        <v>0</v>
      </c>
      <c r="H497" s="427">
        <f t="shared" si="51"/>
        <v>0</v>
      </c>
      <c r="I497" s="148">
        <f t="shared" si="53"/>
        <v>0</v>
      </c>
      <c r="J497" s="177">
        <v>0</v>
      </c>
      <c r="K497" s="148"/>
      <c r="L497" s="427">
        <f t="shared" si="54"/>
        <v>0</v>
      </c>
      <c r="M497" s="680">
        <v>0</v>
      </c>
    </row>
    <row r="498" spans="1:13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/>
      <c r="G498" s="230">
        <f t="shared" si="50"/>
        <v>0</v>
      </c>
      <c r="H498" s="427">
        <f t="shared" si="51"/>
        <v>0</v>
      </c>
      <c r="I498" s="148">
        <f t="shared" si="53"/>
        <v>0</v>
      </c>
      <c r="J498" s="177">
        <v>0</v>
      </c>
      <c r="K498" s="148"/>
      <c r="L498" s="427">
        <f t="shared" si="54"/>
        <v>0</v>
      </c>
      <c r="M498" s="680">
        <v>0</v>
      </c>
    </row>
    <row r="499" spans="1:13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/>
      <c r="G499" s="230">
        <f t="shared" si="50"/>
        <v>0</v>
      </c>
      <c r="H499" s="427">
        <f t="shared" si="51"/>
        <v>0</v>
      </c>
      <c r="I499" s="148">
        <f t="shared" si="53"/>
        <v>0</v>
      </c>
      <c r="J499" s="177">
        <v>0</v>
      </c>
      <c r="K499" s="148"/>
      <c r="L499" s="427">
        <f t="shared" si="54"/>
        <v>0</v>
      </c>
      <c r="M499" s="680">
        <v>0</v>
      </c>
    </row>
    <row r="500" spans="1:13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/>
      <c r="G500" s="230">
        <f t="shared" si="50"/>
        <v>0</v>
      </c>
      <c r="H500" s="427">
        <f t="shared" si="51"/>
        <v>0</v>
      </c>
      <c r="I500" s="148">
        <f t="shared" si="53"/>
        <v>0</v>
      </c>
      <c r="J500" s="177">
        <v>0</v>
      </c>
      <c r="K500" s="148"/>
      <c r="L500" s="427">
        <f t="shared" si="54"/>
        <v>0</v>
      </c>
      <c r="M500" s="680">
        <v>0</v>
      </c>
    </row>
    <row r="501" spans="1:13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/>
      <c r="G501" s="230">
        <f t="shared" si="50"/>
        <v>0</v>
      </c>
      <c r="H501" s="427">
        <f t="shared" si="51"/>
        <v>0</v>
      </c>
      <c r="I501" s="148">
        <f t="shared" si="53"/>
        <v>0</v>
      </c>
      <c r="J501" s="177">
        <v>0</v>
      </c>
      <c r="K501" s="148"/>
      <c r="L501" s="427">
        <f t="shared" si="54"/>
        <v>0</v>
      </c>
      <c r="M501" s="680">
        <v>0</v>
      </c>
    </row>
    <row r="502" spans="1:13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/>
      <c r="G502" s="230">
        <f t="shared" si="50"/>
        <v>0</v>
      </c>
      <c r="H502" s="427">
        <f t="shared" si="51"/>
        <v>0</v>
      </c>
      <c r="I502" s="148">
        <f t="shared" si="53"/>
        <v>0</v>
      </c>
      <c r="J502" s="177">
        <v>0</v>
      </c>
      <c r="K502" s="148"/>
      <c r="L502" s="427">
        <f t="shared" si="54"/>
        <v>0</v>
      </c>
      <c r="M502" s="680">
        <v>0</v>
      </c>
    </row>
    <row r="503" spans="1:13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/>
      <c r="G503" s="230">
        <f t="shared" si="50"/>
        <v>0</v>
      </c>
      <c r="H503" s="427">
        <f t="shared" si="51"/>
        <v>0</v>
      </c>
      <c r="I503" s="148">
        <f t="shared" si="53"/>
        <v>0</v>
      </c>
      <c r="J503" s="177">
        <v>0</v>
      </c>
      <c r="K503" s="148"/>
      <c r="L503" s="427">
        <f t="shared" si="54"/>
        <v>0</v>
      </c>
      <c r="M503" s="680">
        <v>0</v>
      </c>
    </row>
    <row r="504" spans="1:13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/>
      <c r="G504" s="230">
        <f t="shared" si="50"/>
        <v>0</v>
      </c>
      <c r="H504" s="427">
        <f t="shared" si="51"/>
        <v>0</v>
      </c>
      <c r="I504" s="148">
        <f t="shared" si="53"/>
        <v>0</v>
      </c>
      <c r="J504" s="177">
        <v>0</v>
      </c>
      <c r="K504" s="148"/>
      <c r="L504" s="427">
        <f t="shared" si="54"/>
        <v>0</v>
      </c>
      <c r="M504" s="680">
        <v>0</v>
      </c>
    </row>
    <row r="505" spans="1:13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/>
      <c r="G505" s="230">
        <f t="shared" si="50"/>
        <v>0</v>
      </c>
      <c r="H505" s="427">
        <f t="shared" si="51"/>
        <v>0</v>
      </c>
      <c r="I505" s="148">
        <f t="shared" si="53"/>
        <v>0</v>
      </c>
      <c r="J505" s="177">
        <v>0</v>
      </c>
      <c r="K505" s="148"/>
      <c r="L505" s="427">
        <f t="shared" si="54"/>
        <v>0</v>
      </c>
      <c r="M505" s="680">
        <v>0</v>
      </c>
    </row>
    <row r="506" spans="1:13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/>
      <c r="G506" s="230">
        <f t="shared" si="50"/>
        <v>0</v>
      </c>
      <c r="H506" s="427">
        <f t="shared" si="51"/>
        <v>0</v>
      </c>
      <c r="I506" s="148">
        <f t="shared" si="53"/>
        <v>0</v>
      </c>
      <c r="J506" s="177">
        <v>0</v>
      </c>
      <c r="K506" s="148"/>
      <c r="L506" s="427">
        <f t="shared" si="54"/>
        <v>0</v>
      </c>
      <c r="M506" s="680">
        <v>0</v>
      </c>
    </row>
    <row r="507" spans="1:13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/>
      <c r="G507" s="230">
        <f t="shared" si="50"/>
        <v>0</v>
      </c>
      <c r="H507" s="427">
        <f t="shared" si="51"/>
        <v>0</v>
      </c>
      <c r="I507" s="148">
        <f t="shared" si="53"/>
        <v>0</v>
      </c>
      <c r="J507" s="177">
        <v>0</v>
      </c>
      <c r="K507" s="148"/>
      <c r="L507" s="427">
        <f t="shared" si="54"/>
        <v>0</v>
      </c>
      <c r="M507" s="680">
        <v>0</v>
      </c>
    </row>
    <row r="508" spans="1:13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/>
      <c r="G508" s="230">
        <f t="shared" si="50"/>
        <v>0</v>
      </c>
      <c r="H508" s="427">
        <f t="shared" si="51"/>
        <v>0</v>
      </c>
      <c r="I508" s="148">
        <f t="shared" si="53"/>
        <v>0</v>
      </c>
      <c r="J508" s="177">
        <v>0</v>
      </c>
      <c r="K508" s="148"/>
      <c r="L508" s="427">
        <f t="shared" si="54"/>
        <v>0</v>
      </c>
      <c r="M508" s="680">
        <v>0</v>
      </c>
    </row>
    <row r="509" spans="1:13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/>
      <c r="G509" s="230">
        <f t="shared" si="50"/>
        <v>0</v>
      </c>
      <c r="H509" s="427">
        <f t="shared" si="51"/>
        <v>0</v>
      </c>
      <c r="I509" s="148">
        <f t="shared" si="53"/>
        <v>0</v>
      </c>
      <c r="J509" s="177">
        <v>0</v>
      </c>
      <c r="K509" s="148"/>
      <c r="L509" s="427">
        <f t="shared" si="54"/>
        <v>0</v>
      </c>
      <c r="M509" s="680">
        <v>0</v>
      </c>
    </row>
    <row r="510" spans="1:13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/>
      <c r="G510" s="230">
        <f t="shared" si="50"/>
        <v>0</v>
      </c>
      <c r="H510" s="427">
        <f t="shared" si="51"/>
        <v>0</v>
      </c>
      <c r="I510" s="148">
        <f t="shared" si="53"/>
        <v>0</v>
      </c>
      <c r="J510" s="177">
        <v>0</v>
      </c>
      <c r="K510" s="148"/>
      <c r="L510" s="427">
        <f t="shared" si="54"/>
        <v>0</v>
      </c>
      <c r="M510" s="680">
        <v>0</v>
      </c>
    </row>
    <row r="511" spans="1:13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/>
      <c r="G511" s="230">
        <f t="shared" si="50"/>
        <v>0</v>
      </c>
      <c r="H511" s="427">
        <f t="shared" si="51"/>
        <v>0</v>
      </c>
      <c r="I511" s="148">
        <f t="shared" si="53"/>
        <v>0</v>
      </c>
      <c r="J511" s="177">
        <v>0</v>
      </c>
      <c r="K511" s="148"/>
      <c r="L511" s="427">
        <f t="shared" si="54"/>
        <v>0</v>
      </c>
      <c r="M511" s="680">
        <v>0</v>
      </c>
    </row>
    <row r="512" spans="1:13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/>
      <c r="G512" s="230">
        <f t="shared" si="50"/>
        <v>0</v>
      </c>
      <c r="H512" s="427">
        <f t="shared" si="51"/>
        <v>0</v>
      </c>
      <c r="I512" s="148">
        <f t="shared" si="53"/>
        <v>0</v>
      </c>
      <c r="J512" s="177">
        <v>0</v>
      </c>
      <c r="K512" s="148"/>
      <c r="L512" s="427">
        <f t="shared" si="54"/>
        <v>0</v>
      </c>
      <c r="M512" s="680">
        <v>0</v>
      </c>
    </row>
    <row r="513" spans="1:13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/>
      <c r="G513" s="230">
        <f t="shared" si="50"/>
        <v>0</v>
      </c>
      <c r="H513" s="427">
        <f t="shared" si="51"/>
        <v>0</v>
      </c>
      <c r="I513" s="148">
        <f t="shared" si="53"/>
        <v>0</v>
      </c>
      <c r="J513" s="177">
        <v>0</v>
      </c>
      <c r="K513" s="148"/>
      <c r="L513" s="427">
        <f t="shared" si="54"/>
        <v>0</v>
      </c>
      <c r="M513" s="680">
        <v>0</v>
      </c>
    </row>
    <row r="514" spans="1:13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/>
      <c r="G514" s="230">
        <f t="shared" ref="G514:G534" si="55">2/188175.6*F514</f>
        <v>0</v>
      </c>
      <c r="H514" s="427">
        <f t="shared" ref="H514:H534" si="56">G514*2269.13</f>
        <v>0</v>
      </c>
      <c r="I514" s="148">
        <f t="shared" si="53"/>
        <v>0</v>
      </c>
      <c r="J514" s="177">
        <v>0</v>
      </c>
      <c r="K514" s="148"/>
      <c r="L514" s="427">
        <f t="shared" si="54"/>
        <v>0</v>
      </c>
      <c r="M514" s="680">
        <v>0</v>
      </c>
    </row>
    <row r="515" spans="1:13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/>
      <c r="G515" s="230">
        <f t="shared" si="55"/>
        <v>0</v>
      </c>
      <c r="H515" s="427">
        <f t="shared" si="56"/>
        <v>0</v>
      </c>
      <c r="I515" s="148">
        <f t="shared" si="53"/>
        <v>0</v>
      </c>
      <c r="J515" s="177">
        <v>0</v>
      </c>
      <c r="K515" s="148"/>
      <c r="L515" s="427">
        <f t="shared" si="54"/>
        <v>0</v>
      </c>
      <c r="M515" s="680">
        <v>0</v>
      </c>
    </row>
    <row r="516" spans="1:13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/>
      <c r="G516" s="230">
        <f t="shared" si="55"/>
        <v>0</v>
      </c>
      <c r="H516" s="427">
        <f t="shared" si="56"/>
        <v>0</v>
      </c>
      <c r="I516" s="148">
        <f t="shared" si="53"/>
        <v>0</v>
      </c>
      <c r="J516" s="177">
        <v>0</v>
      </c>
      <c r="K516" s="148"/>
      <c r="L516" s="427">
        <f t="shared" si="54"/>
        <v>0</v>
      </c>
      <c r="M516" s="680">
        <v>0</v>
      </c>
    </row>
    <row r="517" spans="1:13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/>
      <c r="G517" s="230">
        <f t="shared" si="55"/>
        <v>0</v>
      </c>
      <c r="H517" s="427">
        <f t="shared" si="56"/>
        <v>0</v>
      </c>
      <c r="I517" s="148">
        <f t="shared" si="53"/>
        <v>0</v>
      </c>
      <c r="J517" s="177">
        <v>0</v>
      </c>
      <c r="K517" s="148"/>
      <c r="L517" s="427">
        <f t="shared" si="54"/>
        <v>0</v>
      </c>
      <c r="M517" s="680">
        <v>0</v>
      </c>
    </row>
    <row r="518" spans="1:13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/>
      <c r="G518" s="230">
        <f t="shared" si="55"/>
        <v>0</v>
      </c>
      <c r="H518" s="427">
        <f t="shared" si="56"/>
        <v>0</v>
      </c>
      <c r="I518" s="148">
        <f t="shared" si="53"/>
        <v>0</v>
      </c>
      <c r="J518" s="177">
        <v>0</v>
      </c>
      <c r="K518" s="148"/>
      <c r="L518" s="427">
        <f t="shared" si="54"/>
        <v>0</v>
      </c>
      <c r="M518" s="680">
        <v>0</v>
      </c>
    </row>
    <row r="519" spans="1:13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/>
      <c r="G519" s="230">
        <f t="shared" si="55"/>
        <v>0</v>
      </c>
      <c r="H519" s="427">
        <f t="shared" si="56"/>
        <v>0</v>
      </c>
      <c r="I519" s="148">
        <f t="shared" si="53"/>
        <v>0</v>
      </c>
      <c r="J519" s="177">
        <v>0</v>
      </c>
      <c r="K519" s="148"/>
      <c r="L519" s="427">
        <f t="shared" si="54"/>
        <v>0</v>
      </c>
      <c r="M519" s="680">
        <v>0</v>
      </c>
    </row>
    <row r="520" spans="1:13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/>
      <c r="G520" s="230">
        <f t="shared" si="55"/>
        <v>0</v>
      </c>
      <c r="H520" s="427">
        <f t="shared" si="56"/>
        <v>0</v>
      </c>
      <c r="I520" s="148">
        <f t="shared" si="53"/>
        <v>0</v>
      </c>
      <c r="J520" s="177">
        <v>0</v>
      </c>
      <c r="K520" s="148"/>
      <c r="L520" s="427">
        <f t="shared" si="54"/>
        <v>0</v>
      </c>
      <c r="M520" s="680">
        <v>0</v>
      </c>
    </row>
    <row r="521" spans="1:13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/>
      <c r="G521" s="230">
        <f t="shared" si="55"/>
        <v>0</v>
      </c>
      <c r="H521" s="427">
        <f t="shared" si="56"/>
        <v>0</v>
      </c>
      <c r="I521" s="148">
        <f t="shared" si="53"/>
        <v>0</v>
      </c>
      <c r="J521" s="177">
        <v>0</v>
      </c>
      <c r="K521" s="148"/>
      <c r="L521" s="427">
        <f t="shared" si="54"/>
        <v>0</v>
      </c>
      <c r="M521" s="680">
        <v>0</v>
      </c>
    </row>
    <row r="522" spans="1:13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/>
      <c r="G522" s="230">
        <f t="shared" si="55"/>
        <v>0</v>
      </c>
      <c r="H522" s="427">
        <f t="shared" si="56"/>
        <v>0</v>
      </c>
      <c r="I522" s="148">
        <f t="shared" si="53"/>
        <v>0</v>
      </c>
      <c r="J522" s="177">
        <v>0</v>
      </c>
      <c r="K522" s="148"/>
      <c r="L522" s="427">
        <f t="shared" si="54"/>
        <v>0</v>
      </c>
      <c r="M522" s="680">
        <v>0</v>
      </c>
    </row>
    <row r="523" spans="1:13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/>
      <c r="G523" s="230">
        <f t="shared" si="55"/>
        <v>0</v>
      </c>
      <c r="H523" s="427">
        <f t="shared" si="56"/>
        <v>0</v>
      </c>
      <c r="I523" s="148">
        <f t="shared" si="53"/>
        <v>0</v>
      </c>
      <c r="J523" s="177">
        <v>0</v>
      </c>
      <c r="K523" s="148"/>
      <c r="L523" s="427">
        <f t="shared" si="54"/>
        <v>0</v>
      </c>
      <c r="M523" s="680">
        <v>0</v>
      </c>
    </row>
    <row r="524" spans="1:13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/>
      <c r="G524" s="230">
        <f t="shared" si="55"/>
        <v>0</v>
      </c>
      <c r="H524" s="427">
        <f t="shared" si="56"/>
        <v>0</v>
      </c>
      <c r="I524" s="148">
        <f t="shared" si="53"/>
        <v>0</v>
      </c>
      <c r="J524" s="177">
        <v>0</v>
      </c>
      <c r="K524" s="148"/>
      <c r="L524" s="427">
        <f t="shared" si="54"/>
        <v>0</v>
      </c>
      <c r="M524" s="680">
        <v>0</v>
      </c>
    </row>
    <row r="525" spans="1:13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/>
      <c r="G525" s="230">
        <f t="shared" si="55"/>
        <v>0</v>
      </c>
      <c r="H525" s="427">
        <f t="shared" si="56"/>
        <v>0</v>
      </c>
      <c r="I525" s="148">
        <f t="shared" si="53"/>
        <v>0</v>
      </c>
      <c r="J525" s="177">
        <v>0</v>
      </c>
      <c r="K525" s="148"/>
      <c r="L525" s="427">
        <f t="shared" si="54"/>
        <v>0</v>
      </c>
      <c r="M525" s="680">
        <v>0</v>
      </c>
    </row>
    <row r="526" spans="1:13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/>
      <c r="G526" s="230">
        <f t="shared" si="55"/>
        <v>0</v>
      </c>
      <c r="H526" s="427">
        <f t="shared" si="56"/>
        <v>0</v>
      </c>
      <c r="I526" s="148">
        <f t="shared" si="53"/>
        <v>0</v>
      </c>
      <c r="J526" s="177">
        <v>0</v>
      </c>
      <c r="K526" s="148"/>
      <c r="L526" s="427">
        <f t="shared" si="54"/>
        <v>0</v>
      </c>
      <c r="M526" s="680">
        <v>0</v>
      </c>
    </row>
    <row r="527" spans="1:13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/>
      <c r="G527" s="230">
        <f t="shared" si="55"/>
        <v>0</v>
      </c>
      <c r="H527" s="427">
        <f t="shared" si="56"/>
        <v>0</v>
      </c>
      <c r="I527" s="148">
        <f t="shared" ref="I527:I534" si="57">H527*0.3677</f>
        <v>0</v>
      </c>
      <c r="J527" s="177">
        <v>0</v>
      </c>
      <c r="K527" s="148"/>
      <c r="L527" s="427">
        <f t="shared" si="54"/>
        <v>0</v>
      </c>
      <c r="M527" s="680">
        <v>0</v>
      </c>
    </row>
    <row r="528" spans="1:13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/>
      <c r="G528" s="230">
        <f t="shared" si="55"/>
        <v>0</v>
      </c>
      <c r="H528" s="427">
        <f t="shared" si="56"/>
        <v>0</v>
      </c>
      <c r="I528" s="148">
        <f t="shared" si="57"/>
        <v>0</v>
      </c>
      <c r="J528" s="177">
        <v>0</v>
      </c>
      <c r="K528" s="148"/>
      <c r="L528" s="427">
        <f t="shared" si="54"/>
        <v>0</v>
      </c>
      <c r="M528" s="680">
        <v>0</v>
      </c>
    </row>
    <row r="529" spans="1:14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/>
      <c r="G529" s="230">
        <f t="shared" si="55"/>
        <v>0</v>
      </c>
      <c r="H529" s="427">
        <f t="shared" si="56"/>
        <v>0</v>
      </c>
      <c r="I529" s="148">
        <f t="shared" si="57"/>
        <v>0</v>
      </c>
      <c r="J529" s="177">
        <v>0</v>
      </c>
      <c r="K529" s="148"/>
      <c r="L529" s="427">
        <f t="shared" si="54"/>
        <v>0</v>
      </c>
      <c r="M529" s="680">
        <v>0</v>
      </c>
    </row>
    <row r="530" spans="1:14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/>
      <c r="G530" s="230">
        <f t="shared" si="55"/>
        <v>0</v>
      </c>
      <c r="H530" s="427">
        <f t="shared" si="56"/>
        <v>0</v>
      </c>
      <c r="I530" s="148">
        <f t="shared" si="57"/>
        <v>0</v>
      </c>
      <c r="J530" s="177">
        <v>0</v>
      </c>
      <c r="K530" s="148"/>
      <c r="L530" s="427">
        <f t="shared" si="54"/>
        <v>0</v>
      </c>
      <c r="M530" s="680">
        <v>0</v>
      </c>
    </row>
    <row r="531" spans="1:14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/>
      <c r="G531" s="230">
        <f t="shared" si="55"/>
        <v>0</v>
      </c>
      <c r="H531" s="427">
        <f t="shared" si="56"/>
        <v>0</v>
      </c>
      <c r="I531" s="148">
        <f t="shared" si="57"/>
        <v>0</v>
      </c>
      <c r="J531" s="177">
        <v>0</v>
      </c>
      <c r="K531" s="148"/>
      <c r="L531" s="427">
        <f t="shared" si="54"/>
        <v>0</v>
      </c>
      <c r="M531" s="680">
        <v>0</v>
      </c>
    </row>
    <row r="532" spans="1:14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/>
      <c r="G532" s="230">
        <f t="shared" si="55"/>
        <v>0</v>
      </c>
      <c r="H532" s="427">
        <f t="shared" si="56"/>
        <v>0</v>
      </c>
      <c r="I532" s="148">
        <f t="shared" si="57"/>
        <v>0</v>
      </c>
      <c r="J532" s="177">
        <v>0</v>
      </c>
      <c r="K532" s="148"/>
      <c r="L532" s="427">
        <f t="shared" si="54"/>
        <v>0</v>
      </c>
      <c r="M532" s="680">
        <v>0</v>
      </c>
    </row>
    <row r="533" spans="1:14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/>
      <c r="G533" s="230">
        <f t="shared" si="55"/>
        <v>0</v>
      </c>
      <c r="H533" s="427">
        <f t="shared" si="56"/>
        <v>0</v>
      </c>
      <c r="I533" s="148">
        <f t="shared" si="57"/>
        <v>0</v>
      </c>
      <c r="J533" s="177">
        <v>0</v>
      </c>
      <c r="K533" s="148"/>
      <c r="L533" s="427">
        <f t="shared" si="54"/>
        <v>0</v>
      </c>
      <c r="M533" s="680">
        <v>0</v>
      </c>
    </row>
    <row r="534" spans="1:14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/>
      <c r="G534" s="230">
        <f t="shared" si="55"/>
        <v>0</v>
      </c>
      <c r="H534" s="427">
        <f t="shared" si="56"/>
        <v>0</v>
      </c>
      <c r="I534" s="148">
        <f t="shared" si="57"/>
        <v>0</v>
      </c>
      <c r="J534" s="177">
        <v>0</v>
      </c>
      <c r="K534" s="148"/>
      <c r="L534" s="427">
        <f t="shared" si="54"/>
        <v>0</v>
      </c>
      <c r="M534" s="680">
        <v>0</v>
      </c>
    </row>
    <row r="535" spans="1:14" s="69" customFormat="1" ht="15.75">
      <c r="A535" s="161"/>
      <c r="B535" s="161" t="s">
        <v>244</v>
      </c>
      <c r="C535" s="63">
        <f>C386+C387+C388+C389+C390+C391+C392+C393+C394+C395+C396+C397+C398+C399+C400+C401+C402+C403+C404+C405+C406+C407+C408+C409+C410+C411+C412+C413+C414+C415+C416+C417+C418</f>
        <v>187949.2</v>
      </c>
      <c r="D535" s="63">
        <f>D391+D392+D416+D417</f>
        <v>226.39999999999998</v>
      </c>
      <c r="E535" s="63">
        <f>E391+E392+E416+E417</f>
        <v>0</v>
      </c>
      <c r="F535" s="63">
        <f>SUM(F386:F534)</f>
        <v>188175.6</v>
      </c>
      <c r="G535" s="230">
        <f>2/188175.6*F535</f>
        <v>2</v>
      </c>
      <c r="H535" s="427">
        <f>G535*2269.13</f>
        <v>4538.26</v>
      </c>
      <c r="I535" s="167">
        <f>H535*0.3677</f>
        <v>1668.7182020000002</v>
      </c>
      <c r="J535" s="177">
        <f>SUM(J385:J534)</f>
        <v>1753.0793478668095</v>
      </c>
      <c r="K535" s="148">
        <f>G535*801.55*1.08</f>
        <v>1731.348</v>
      </c>
      <c r="L535" s="427">
        <f t="shared" si="54"/>
        <v>2110.5132120000003</v>
      </c>
      <c r="M535" s="680">
        <f>(K535+J535+I535+H535)/F535</f>
        <v>5.1501924531484472E-2</v>
      </c>
      <c r="N535" s="352"/>
    </row>
    <row r="536" spans="1:14" s="6" customFormat="1" ht="15.75">
      <c r="A536" s="154" t="s">
        <v>245</v>
      </c>
      <c r="B536" s="330"/>
      <c r="C536" s="330"/>
      <c r="D536" s="330"/>
      <c r="E536" s="330"/>
      <c r="F536" s="433"/>
      <c r="G536" s="396"/>
      <c r="H536" s="427">
        <f>G536*2077.52</f>
        <v>0</v>
      </c>
      <c r="I536" s="427"/>
      <c r="J536" s="177">
        <v>0</v>
      </c>
      <c r="K536" s="427"/>
      <c r="L536" s="427">
        <f t="shared" si="54"/>
        <v>0</v>
      </c>
      <c r="M536" s="680"/>
    </row>
    <row r="537" spans="1:14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33">
        <f t="shared" ref="F537:F552" si="58">C537+D537+E537</f>
        <v>4713.8</v>
      </c>
      <c r="G537" s="760">
        <f t="shared" ref="G537:G600" si="59">3/197212.44*F537</f>
        <v>7.1706429878358582E-2</v>
      </c>
      <c r="H537" s="427">
        <f t="shared" ref="H537:H600" si="60">G537*2269.13</f>
        <v>162.71121122987981</v>
      </c>
      <c r="I537" s="427">
        <f t="shared" ref="I537:I552" si="61">H537*0.3677</f>
        <v>59.828912369226806</v>
      </c>
      <c r="J537" s="177">
        <v>62.900219109189393</v>
      </c>
      <c r="K537" s="427">
        <f t="shared" ref="K537:K572" si="62">G537*801.55</f>
        <v>57.476288868998317</v>
      </c>
      <c r="L537" s="427">
        <f t="shared" si="54"/>
        <v>70.063596131308955</v>
      </c>
      <c r="M537" s="680">
        <f t="shared" ref="M537:M552" si="63">(K537+J537+I537+H537)/F537</f>
        <v>7.2747386731998445E-2</v>
      </c>
    </row>
    <row r="538" spans="1:14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33">
        <f t="shared" si="58"/>
        <v>14312.59</v>
      </c>
      <c r="G538" s="760">
        <f t="shared" si="59"/>
        <v>0.21772343570212913</v>
      </c>
      <c r="H538" s="427">
        <f t="shared" si="60"/>
        <v>494.04277965477229</v>
      </c>
      <c r="I538" s="427">
        <f t="shared" si="61"/>
        <v>181.65953007905978</v>
      </c>
      <c r="J538" s="177">
        <v>190.98352242265071</v>
      </c>
      <c r="K538" s="427">
        <f t="shared" si="62"/>
        <v>174.51621988704159</v>
      </c>
      <c r="L538" s="427">
        <f t="shared" si="54"/>
        <v>212.73527204230371</v>
      </c>
      <c r="M538" s="680">
        <f t="shared" si="63"/>
        <v>7.2747284177323915E-2</v>
      </c>
    </row>
    <row r="539" spans="1:14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33">
        <f t="shared" si="58"/>
        <v>4226.7</v>
      </c>
      <c r="G539" s="760">
        <f t="shared" si="59"/>
        <v>6.4296653902765968E-2</v>
      </c>
      <c r="H539" s="427">
        <f t="shared" si="60"/>
        <v>145.89746627038335</v>
      </c>
      <c r="I539" s="427">
        <f t="shared" si="61"/>
        <v>53.646498347619961</v>
      </c>
      <c r="J539" s="177">
        <v>56.442064744459124</v>
      </c>
      <c r="K539" s="427">
        <f t="shared" si="62"/>
        <v>51.536982935762062</v>
      </c>
      <c r="L539" s="427">
        <f t="shared" si="54"/>
        <v>62.823582198693956</v>
      </c>
      <c r="M539" s="680">
        <f t="shared" si="63"/>
        <v>7.2757236685410495E-2</v>
      </c>
    </row>
    <row r="540" spans="1:14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33">
        <f t="shared" si="58"/>
        <v>4136.82</v>
      </c>
      <c r="G540" s="760">
        <f t="shared" si="59"/>
        <v>6.2929397354446803E-2</v>
      </c>
      <c r="H540" s="427">
        <f t="shared" si="60"/>
        <v>142.79498341889587</v>
      </c>
      <c r="I540" s="427">
        <f t="shared" si="61"/>
        <v>52.505715403128015</v>
      </c>
      <c r="J540" s="177">
        <v>55.201887739917566</v>
      </c>
      <c r="K540" s="427">
        <f t="shared" si="62"/>
        <v>50.441058449456833</v>
      </c>
      <c r="L540" s="427">
        <f t="shared" si="54"/>
        <v>61.487650249887885</v>
      </c>
      <c r="M540" s="680">
        <f t="shared" si="63"/>
        <v>7.274758026972368E-2</v>
      </c>
    </row>
    <row r="541" spans="1:14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33">
        <f t="shared" si="58"/>
        <v>7984.78</v>
      </c>
      <c r="G541" s="760">
        <f t="shared" si="59"/>
        <v>0.1214646499987526</v>
      </c>
      <c r="H541" s="427">
        <f t="shared" si="60"/>
        <v>275.61908125166951</v>
      </c>
      <c r="I541" s="427">
        <f t="shared" si="61"/>
        <v>101.34513617623888</v>
      </c>
      <c r="J541" s="177">
        <v>106.53926437282753</v>
      </c>
      <c r="K541" s="427">
        <f t="shared" si="62"/>
        <v>97.359990206500143</v>
      </c>
      <c r="L541" s="427">
        <f t="shared" ref="L541:L604" si="64">K541*1.219</f>
        <v>118.68182806172368</v>
      </c>
      <c r="M541" s="680">
        <f t="shared" si="63"/>
        <v>7.2746333901151455E-2</v>
      </c>
    </row>
    <row r="542" spans="1:14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33">
        <f t="shared" si="58"/>
        <v>4209.92</v>
      </c>
      <c r="G542" s="760">
        <f t="shared" si="59"/>
        <v>6.4041396171559961E-2</v>
      </c>
      <c r="H542" s="427">
        <f t="shared" si="60"/>
        <v>145.31825329477186</v>
      </c>
      <c r="I542" s="427">
        <f t="shared" si="61"/>
        <v>53.43352173648762</v>
      </c>
      <c r="J542" s="177">
        <v>56.17692253356779</v>
      </c>
      <c r="K542" s="427">
        <f t="shared" si="62"/>
        <v>51.332381101313885</v>
      </c>
      <c r="L542" s="427">
        <f t="shared" si="64"/>
        <v>62.57417256250163</v>
      </c>
      <c r="M542" s="680">
        <f t="shared" si="63"/>
        <v>7.2747481820590681E-2</v>
      </c>
    </row>
    <row r="543" spans="1:14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33">
        <f t="shared" si="58"/>
        <v>8071.9</v>
      </c>
      <c r="G543" s="760">
        <f t="shared" si="59"/>
        <v>0.12278992136601523</v>
      </c>
      <c r="H543" s="427">
        <f t="shared" si="60"/>
        <v>278.62629426926617</v>
      </c>
      <c r="I543" s="427">
        <f t="shared" si="61"/>
        <v>102.45088840280918</v>
      </c>
      <c r="J543" s="177">
        <v>107.70845211909322</v>
      </c>
      <c r="K543" s="427">
        <f t="shared" si="62"/>
        <v>98.422261470929499</v>
      </c>
      <c r="L543" s="427">
        <f t="shared" si="64"/>
        <v>119.97673673306306</v>
      </c>
      <c r="M543" s="680">
        <f t="shared" si="63"/>
        <v>7.2747171825976301E-2</v>
      </c>
    </row>
    <row r="544" spans="1:14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33">
        <f t="shared" si="58"/>
        <v>4461.2</v>
      </c>
      <c r="G544" s="760">
        <f t="shared" si="59"/>
        <v>6.7863873090358795E-2</v>
      </c>
      <c r="H544" s="427">
        <f t="shared" si="60"/>
        <v>153.99195034552585</v>
      </c>
      <c r="I544" s="427">
        <f t="shared" si="61"/>
        <v>56.62284014204986</v>
      </c>
      <c r="J544" s="177">
        <v>59.533566879300871</v>
      </c>
      <c r="K544" s="427">
        <f t="shared" si="62"/>
        <v>54.39628747557709</v>
      </c>
      <c r="L544" s="427">
        <f t="shared" si="64"/>
        <v>66.30907443272848</v>
      </c>
      <c r="M544" s="680">
        <f t="shared" si="63"/>
        <v>7.2748284058650955E-2</v>
      </c>
    </row>
    <row r="545" spans="1:14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33">
        <f t="shared" si="58"/>
        <v>10161.57</v>
      </c>
      <c r="G545" s="760">
        <f t="shared" si="59"/>
        <v>0.15457802763355089</v>
      </c>
      <c r="H545" s="427">
        <f t="shared" si="60"/>
        <v>350.75763984411935</v>
      </c>
      <c r="I545" s="427">
        <f t="shared" si="61"/>
        <v>128.9735841706827</v>
      </c>
      <c r="J545" s="177">
        <v>135.59442052979881</v>
      </c>
      <c r="K545" s="427">
        <f t="shared" si="62"/>
        <v>123.90201804967271</v>
      </c>
      <c r="L545" s="427">
        <f t="shared" si="64"/>
        <v>151.03656000255103</v>
      </c>
      <c r="M545" s="680">
        <f t="shared" si="63"/>
        <v>7.2747386731998459E-2</v>
      </c>
    </row>
    <row r="546" spans="1:14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33">
        <f t="shared" si="58"/>
        <v>7889.76</v>
      </c>
      <c r="G546" s="760">
        <f t="shared" si="59"/>
        <v>0.12001920365672672</v>
      </c>
      <c r="H546" s="427">
        <f t="shared" si="60"/>
        <v>272.33917559358832</v>
      </c>
      <c r="I546" s="427">
        <f t="shared" si="61"/>
        <v>100.13911486576244</v>
      </c>
      <c r="J546" s="177">
        <v>105.27653626932238</v>
      </c>
      <c r="K546" s="427">
        <f t="shared" si="62"/>
        <v>96.201392691049293</v>
      </c>
      <c r="L546" s="427">
        <f t="shared" si="64"/>
        <v>117.2694976903891</v>
      </c>
      <c r="M546" s="680">
        <f t="shared" si="63"/>
        <v>7.2746980823209115E-2</v>
      </c>
    </row>
    <row r="547" spans="1:14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33">
        <f t="shared" si="58"/>
        <v>7084.55</v>
      </c>
      <c r="G547" s="760">
        <f t="shared" si="59"/>
        <v>0.10777033132392662</v>
      </c>
      <c r="H547" s="427">
        <f t="shared" si="60"/>
        <v>244.54489191706162</v>
      </c>
      <c r="I547" s="427">
        <f t="shared" si="61"/>
        <v>89.919156757903565</v>
      </c>
      <c r="J547" s="177">
        <v>94.543814424122502</v>
      </c>
      <c r="K547" s="427">
        <f t="shared" si="62"/>
        <v>86.383309072693379</v>
      </c>
      <c r="L547" s="427">
        <f t="shared" si="64"/>
        <v>105.30125375961323</v>
      </c>
      <c r="M547" s="680">
        <f t="shared" si="63"/>
        <v>7.2748611015771084E-2</v>
      </c>
    </row>
    <row r="548" spans="1:14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33">
        <f t="shared" si="58"/>
        <v>4792.88</v>
      </c>
      <c r="G548" s="760">
        <f t="shared" si="59"/>
        <v>7.2909396587760897E-2</v>
      </c>
      <c r="H548" s="427">
        <f t="shared" si="60"/>
        <v>165.4408990791859</v>
      </c>
      <c r="I548" s="427">
        <f t="shared" si="61"/>
        <v>60.832618591416662</v>
      </c>
      <c r="J548" s="177">
        <v>63.95491666071689</v>
      </c>
      <c r="K548" s="427">
        <f t="shared" si="62"/>
        <v>58.440526834919744</v>
      </c>
      <c r="L548" s="427">
        <f t="shared" si="64"/>
        <v>71.239002211767172</v>
      </c>
      <c r="M548" s="680">
        <f t="shared" si="63"/>
        <v>7.2747275368095846E-2</v>
      </c>
    </row>
    <row r="549" spans="1:14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33">
        <f t="shared" si="58"/>
        <v>4816.47</v>
      </c>
      <c r="G549" s="760">
        <f t="shared" si="59"/>
        <v>7.3268248189617247E-2</v>
      </c>
      <c r="H549" s="427">
        <f t="shared" si="60"/>
        <v>166.25518001450618</v>
      </c>
      <c r="I549" s="427">
        <f t="shared" si="61"/>
        <v>61.132029691333926</v>
      </c>
      <c r="J549" s="177">
        <v>64.27023173084082</v>
      </c>
      <c r="K549" s="427">
        <f t="shared" si="62"/>
        <v>58.7281643363877</v>
      </c>
      <c r="L549" s="427">
        <f t="shared" si="64"/>
        <v>71.589632326056616</v>
      </c>
      <c r="M549" s="680">
        <f t="shared" si="63"/>
        <v>7.2747386731998459E-2</v>
      </c>
    </row>
    <row r="550" spans="1:14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33">
        <f t="shared" si="58"/>
        <v>5818.22</v>
      </c>
      <c r="G550" s="760">
        <f t="shared" si="59"/>
        <v>8.8506891350261671E-2</v>
      </c>
      <c r="H550" s="427">
        <f t="shared" si="60"/>
        <v>200.83364236961927</v>
      </c>
      <c r="I550" s="427">
        <f t="shared" si="61"/>
        <v>73.846530299309009</v>
      </c>
      <c r="J550" s="177">
        <v>77.732437181366478</v>
      </c>
      <c r="K550" s="427">
        <f t="shared" si="62"/>
        <v>70.942698761802234</v>
      </c>
      <c r="L550" s="427">
        <f t="shared" si="64"/>
        <v>86.479149790636924</v>
      </c>
      <c r="M550" s="680">
        <f t="shared" si="63"/>
        <v>7.2763716155816893E-2</v>
      </c>
      <c r="N550" s="6" t="s">
        <v>633</v>
      </c>
    </row>
    <row r="551" spans="1:14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33">
        <f t="shared" si="58"/>
        <v>16414.989999999998</v>
      </c>
      <c r="G551" s="760">
        <f t="shared" si="59"/>
        <v>0.24970519101127692</v>
      </c>
      <c r="H551" s="427">
        <f t="shared" si="60"/>
        <v>566.61354007941884</v>
      </c>
      <c r="I551" s="427">
        <f t="shared" si="61"/>
        <v>208.34379868720231</v>
      </c>
      <c r="J551" s="177">
        <v>219.03722297180136</v>
      </c>
      <c r="K551" s="427">
        <f t="shared" si="62"/>
        <v>200.15119585508901</v>
      </c>
      <c r="L551" s="427">
        <f t="shared" si="64"/>
        <v>243.98430774735351</v>
      </c>
      <c r="M551" s="680">
        <f t="shared" si="63"/>
        <v>7.274727292514413E-2</v>
      </c>
      <c r="N551" s="6" t="s">
        <v>633</v>
      </c>
    </row>
    <row r="552" spans="1:14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33">
        <f t="shared" si="58"/>
        <v>14876.619999999999</v>
      </c>
      <c r="G552" s="760">
        <f t="shared" si="59"/>
        <v>0.22630347253956187</v>
      </c>
      <c r="H552" s="427">
        <f t="shared" si="60"/>
        <v>513.51199864369607</v>
      </c>
      <c r="I552" s="427">
        <f t="shared" si="61"/>
        <v>188.81836190128706</v>
      </c>
      <c r="J552" s="177">
        <v>238.1946884498112</v>
      </c>
      <c r="K552" s="427">
        <f t="shared" si="62"/>
        <v>181.39354841408581</v>
      </c>
      <c r="L552" s="427">
        <f t="shared" si="64"/>
        <v>221.11873551677061</v>
      </c>
      <c r="M552" s="680">
        <f t="shared" si="63"/>
        <v>7.5414885734049808E-2</v>
      </c>
      <c r="N552" s="6" t="s">
        <v>633</v>
      </c>
    </row>
    <row r="553" spans="1:14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33"/>
      <c r="G553" s="760">
        <f t="shared" si="59"/>
        <v>0</v>
      </c>
      <c r="H553" s="427">
        <f t="shared" si="60"/>
        <v>0</v>
      </c>
      <c r="I553" s="427"/>
      <c r="J553" s="177">
        <v>0</v>
      </c>
      <c r="K553" s="427">
        <f t="shared" si="62"/>
        <v>0</v>
      </c>
      <c r="L553" s="427">
        <f t="shared" si="64"/>
        <v>0</v>
      </c>
      <c r="M553" s="680">
        <v>0</v>
      </c>
    </row>
    <row r="554" spans="1:14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33"/>
      <c r="G554" s="760">
        <f t="shared" si="59"/>
        <v>0</v>
      </c>
      <c r="H554" s="427">
        <f t="shared" si="60"/>
        <v>0</v>
      </c>
      <c r="I554" s="427"/>
      <c r="J554" s="177">
        <v>0</v>
      </c>
      <c r="K554" s="427">
        <f t="shared" si="62"/>
        <v>0</v>
      </c>
      <c r="L554" s="427">
        <f t="shared" si="64"/>
        <v>0</v>
      </c>
      <c r="M554" s="680">
        <v>0</v>
      </c>
    </row>
    <row r="555" spans="1:14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33"/>
      <c r="G555" s="760">
        <f t="shared" si="59"/>
        <v>0</v>
      </c>
      <c r="H555" s="427">
        <f t="shared" si="60"/>
        <v>0</v>
      </c>
      <c r="I555" s="427"/>
      <c r="J555" s="177">
        <v>0</v>
      </c>
      <c r="K555" s="427">
        <f t="shared" si="62"/>
        <v>0</v>
      </c>
      <c r="L555" s="427">
        <f t="shared" si="64"/>
        <v>0</v>
      </c>
      <c r="M555" s="680">
        <v>0</v>
      </c>
    </row>
    <row r="556" spans="1:14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33"/>
      <c r="G556" s="760">
        <f t="shared" si="59"/>
        <v>0</v>
      </c>
      <c r="H556" s="427">
        <f t="shared" si="60"/>
        <v>0</v>
      </c>
      <c r="I556" s="427"/>
      <c r="J556" s="177">
        <v>0</v>
      </c>
      <c r="K556" s="427">
        <f t="shared" si="62"/>
        <v>0</v>
      </c>
      <c r="L556" s="427">
        <f t="shared" si="64"/>
        <v>0</v>
      </c>
      <c r="M556" s="680">
        <v>0</v>
      </c>
    </row>
    <row r="557" spans="1:14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33"/>
      <c r="G557" s="760">
        <f t="shared" si="59"/>
        <v>0</v>
      </c>
      <c r="H557" s="427">
        <f t="shared" si="60"/>
        <v>0</v>
      </c>
      <c r="I557" s="427"/>
      <c r="J557" s="177">
        <v>0</v>
      </c>
      <c r="K557" s="427">
        <f t="shared" si="62"/>
        <v>0</v>
      </c>
      <c r="L557" s="427">
        <f t="shared" si="64"/>
        <v>0</v>
      </c>
      <c r="M557" s="680">
        <v>0</v>
      </c>
    </row>
    <row r="558" spans="1:14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33">
        <f>C558+D558+E558</f>
        <v>4409.5</v>
      </c>
      <c r="G558" s="760">
        <f t="shared" si="59"/>
        <v>6.7077411546654961E-2</v>
      </c>
      <c r="H558" s="427">
        <f t="shared" si="60"/>
        <v>152.20736686286119</v>
      </c>
      <c r="I558" s="427">
        <f>H558*0.3677</f>
        <v>55.966648795474065</v>
      </c>
      <c r="J558" s="177">
        <v>70.610826816358554</v>
      </c>
      <c r="K558" s="427">
        <f t="shared" si="62"/>
        <v>53.765899225221283</v>
      </c>
      <c r="L558" s="427">
        <f t="shared" si="64"/>
        <v>65.540631155544745</v>
      </c>
      <c r="M558" s="680">
        <f>(K558+J558+I558+H558)/F558</f>
        <v>7.5416882118134729E-2</v>
      </c>
    </row>
    <row r="559" spans="1:14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33"/>
      <c r="G559" s="760">
        <f t="shared" si="59"/>
        <v>0</v>
      </c>
      <c r="H559" s="427">
        <f t="shared" si="60"/>
        <v>0</v>
      </c>
      <c r="I559" s="427"/>
      <c r="J559" s="177">
        <v>0</v>
      </c>
      <c r="K559" s="427">
        <f t="shared" si="62"/>
        <v>0</v>
      </c>
      <c r="L559" s="427">
        <f t="shared" si="64"/>
        <v>0</v>
      </c>
      <c r="M559" s="680">
        <v>0</v>
      </c>
    </row>
    <row r="560" spans="1:14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33"/>
      <c r="G560" s="760">
        <f t="shared" si="59"/>
        <v>0</v>
      </c>
      <c r="H560" s="427">
        <f t="shared" si="60"/>
        <v>0</v>
      </c>
      <c r="I560" s="427"/>
      <c r="J560" s="177">
        <v>0</v>
      </c>
      <c r="K560" s="427">
        <f t="shared" si="62"/>
        <v>0</v>
      </c>
      <c r="L560" s="427">
        <f t="shared" si="64"/>
        <v>0</v>
      </c>
      <c r="M560" s="680">
        <v>0</v>
      </c>
    </row>
    <row r="561" spans="1:14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33"/>
      <c r="G561" s="760">
        <f t="shared" si="59"/>
        <v>0</v>
      </c>
      <c r="H561" s="427">
        <f t="shared" si="60"/>
        <v>0</v>
      </c>
      <c r="I561" s="427"/>
      <c r="J561" s="177">
        <v>0</v>
      </c>
      <c r="K561" s="427">
        <f t="shared" si="62"/>
        <v>0</v>
      </c>
      <c r="L561" s="427">
        <f t="shared" si="64"/>
        <v>0</v>
      </c>
      <c r="M561" s="680">
        <v>0</v>
      </c>
      <c r="N561" s="6" t="s">
        <v>633</v>
      </c>
    </row>
    <row r="562" spans="1:14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33"/>
      <c r="G562" s="760">
        <f t="shared" si="59"/>
        <v>0</v>
      </c>
      <c r="H562" s="427">
        <f t="shared" si="60"/>
        <v>0</v>
      </c>
      <c r="I562" s="427"/>
      <c r="J562" s="177">
        <v>0</v>
      </c>
      <c r="K562" s="427">
        <f t="shared" si="62"/>
        <v>0</v>
      </c>
      <c r="L562" s="427">
        <f t="shared" si="64"/>
        <v>0</v>
      </c>
      <c r="M562" s="680">
        <v>0</v>
      </c>
    </row>
    <row r="563" spans="1:14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33"/>
      <c r="G563" s="760">
        <f t="shared" si="59"/>
        <v>0</v>
      </c>
      <c r="H563" s="427">
        <f t="shared" si="60"/>
        <v>0</v>
      </c>
      <c r="I563" s="427"/>
      <c r="J563" s="177">
        <v>0</v>
      </c>
      <c r="K563" s="427">
        <f t="shared" si="62"/>
        <v>0</v>
      </c>
      <c r="L563" s="427">
        <f t="shared" si="64"/>
        <v>0</v>
      </c>
      <c r="M563" s="680">
        <v>0</v>
      </c>
    </row>
    <row r="564" spans="1:14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33"/>
      <c r="G564" s="760">
        <f t="shared" si="59"/>
        <v>0</v>
      </c>
      <c r="H564" s="427">
        <f t="shared" si="60"/>
        <v>0</v>
      </c>
      <c r="I564" s="427"/>
      <c r="J564" s="177">
        <v>0</v>
      </c>
      <c r="K564" s="427">
        <f t="shared" si="62"/>
        <v>0</v>
      </c>
      <c r="L564" s="427">
        <f t="shared" si="64"/>
        <v>0</v>
      </c>
      <c r="M564" s="680">
        <v>0</v>
      </c>
    </row>
    <row r="565" spans="1:14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33"/>
      <c r="G565" s="760">
        <f t="shared" si="59"/>
        <v>0</v>
      </c>
      <c r="H565" s="427">
        <f t="shared" si="60"/>
        <v>0</v>
      </c>
      <c r="I565" s="427"/>
      <c r="J565" s="177">
        <v>0</v>
      </c>
      <c r="K565" s="427">
        <f t="shared" si="62"/>
        <v>0</v>
      </c>
      <c r="L565" s="427">
        <f t="shared" si="64"/>
        <v>0</v>
      </c>
      <c r="M565" s="680">
        <v>0</v>
      </c>
    </row>
    <row r="566" spans="1:14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33"/>
      <c r="G566" s="760">
        <f t="shared" si="59"/>
        <v>0</v>
      </c>
      <c r="H566" s="427">
        <f t="shared" si="60"/>
        <v>0</v>
      </c>
      <c r="I566" s="427"/>
      <c r="J566" s="177">
        <v>0</v>
      </c>
      <c r="K566" s="427">
        <f t="shared" si="62"/>
        <v>0</v>
      </c>
      <c r="L566" s="427">
        <f t="shared" si="64"/>
        <v>0</v>
      </c>
      <c r="M566" s="680">
        <v>0</v>
      </c>
    </row>
    <row r="567" spans="1:14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33"/>
      <c r="G567" s="760">
        <f t="shared" si="59"/>
        <v>0</v>
      </c>
      <c r="H567" s="427">
        <f t="shared" si="60"/>
        <v>0</v>
      </c>
      <c r="I567" s="427"/>
      <c r="J567" s="177">
        <v>0</v>
      </c>
      <c r="K567" s="427">
        <f t="shared" si="62"/>
        <v>0</v>
      </c>
      <c r="L567" s="427">
        <f t="shared" si="64"/>
        <v>0</v>
      </c>
      <c r="M567" s="680">
        <v>0</v>
      </c>
    </row>
    <row r="568" spans="1:14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33"/>
      <c r="G568" s="760">
        <f t="shared" si="59"/>
        <v>0</v>
      </c>
      <c r="H568" s="427">
        <f t="shared" si="60"/>
        <v>0</v>
      </c>
      <c r="I568" s="427"/>
      <c r="J568" s="177">
        <v>0</v>
      </c>
      <c r="K568" s="427">
        <f t="shared" si="62"/>
        <v>0</v>
      </c>
      <c r="L568" s="427">
        <f t="shared" si="64"/>
        <v>0</v>
      </c>
      <c r="M568" s="680">
        <v>0</v>
      </c>
    </row>
    <row r="569" spans="1:14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33"/>
      <c r="G569" s="760">
        <f t="shared" si="59"/>
        <v>0</v>
      </c>
      <c r="H569" s="427">
        <f t="shared" si="60"/>
        <v>0</v>
      </c>
      <c r="I569" s="427"/>
      <c r="J569" s="177">
        <v>0</v>
      </c>
      <c r="K569" s="427">
        <f t="shared" si="62"/>
        <v>0</v>
      </c>
      <c r="L569" s="427">
        <f t="shared" si="64"/>
        <v>0</v>
      </c>
      <c r="M569" s="680">
        <v>0</v>
      </c>
    </row>
    <row r="570" spans="1:14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33"/>
      <c r="G570" s="760">
        <f t="shared" si="59"/>
        <v>0</v>
      </c>
      <c r="H570" s="427">
        <f t="shared" si="60"/>
        <v>0</v>
      </c>
      <c r="I570" s="427"/>
      <c r="J570" s="177">
        <v>0</v>
      </c>
      <c r="K570" s="427">
        <f t="shared" si="62"/>
        <v>0</v>
      </c>
      <c r="L570" s="427">
        <f t="shared" si="64"/>
        <v>0</v>
      </c>
      <c r="M570" s="680">
        <v>0</v>
      </c>
    </row>
    <row r="571" spans="1:14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33"/>
      <c r="G571" s="760">
        <f t="shared" si="59"/>
        <v>0</v>
      </c>
      <c r="H571" s="427">
        <f t="shared" si="60"/>
        <v>0</v>
      </c>
      <c r="I571" s="427"/>
      <c r="J571" s="177">
        <v>0</v>
      </c>
      <c r="K571" s="427">
        <f t="shared" si="62"/>
        <v>0</v>
      </c>
      <c r="L571" s="427">
        <f t="shared" si="64"/>
        <v>0</v>
      </c>
      <c r="M571" s="680">
        <v>0</v>
      </c>
    </row>
    <row r="572" spans="1:14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33"/>
      <c r="G572" s="760">
        <f t="shared" si="59"/>
        <v>0</v>
      </c>
      <c r="H572" s="427">
        <f t="shared" si="60"/>
        <v>0</v>
      </c>
      <c r="I572" s="427"/>
      <c r="J572" s="177">
        <v>0</v>
      </c>
      <c r="K572" s="427">
        <f t="shared" si="62"/>
        <v>0</v>
      </c>
      <c r="L572" s="427">
        <f t="shared" si="64"/>
        <v>0</v>
      </c>
      <c r="M572" s="680">
        <v>0</v>
      </c>
    </row>
    <row r="573" spans="1:14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33"/>
      <c r="G573" s="760">
        <f t="shared" si="59"/>
        <v>0</v>
      </c>
      <c r="H573" s="427">
        <f t="shared" si="60"/>
        <v>0</v>
      </c>
      <c r="I573" s="427"/>
      <c r="J573" s="177"/>
      <c r="K573" s="427">
        <f>G573*801.55*1.08</f>
        <v>0</v>
      </c>
      <c r="L573" s="427">
        <f t="shared" si="64"/>
        <v>0</v>
      </c>
      <c r="M573" s="680">
        <v>0</v>
      </c>
    </row>
    <row r="574" spans="1:14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33"/>
      <c r="G574" s="760">
        <f t="shared" si="59"/>
        <v>0</v>
      </c>
      <c r="H574" s="427">
        <f t="shared" si="60"/>
        <v>0</v>
      </c>
      <c r="I574" s="427"/>
      <c r="J574" s="177">
        <v>0</v>
      </c>
      <c r="K574" s="427">
        <f t="shared" ref="K574:K583" si="65">G574*801.55</f>
        <v>0</v>
      </c>
      <c r="L574" s="427">
        <f t="shared" si="64"/>
        <v>0</v>
      </c>
      <c r="M574" s="680">
        <v>0</v>
      </c>
    </row>
    <row r="575" spans="1:14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33"/>
      <c r="G575" s="760">
        <f t="shared" si="59"/>
        <v>0</v>
      </c>
      <c r="H575" s="427">
        <f t="shared" si="60"/>
        <v>0</v>
      </c>
      <c r="I575" s="427"/>
      <c r="J575" s="177">
        <v>0</v>
      </c>
      <c r="K575" s="427">
        <f t="shared" si="65"/>
        <v>0</v>
      </c>
      <c r="L575" s="427">
        <f t="shared" si="64"/>
        <v>0</v>
      </c>
      <c r="M575" s="680">
        <v>0</v>
      </c>
    </row>
    <row r="576" spans="1:14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33"/>
      <c r="G576" s="760">
        <f t="shared" si="59"/>
        <v>0</v>
      </c>
      <c r="H576" s="427">
        <f t="shared" si="60"/>
        <v>0</v>
      </c>
      <c r="I576" s="427"/>
      <c r="J576" s="177">
        <v>0</v>
      </c>
      <c r="K576" s="427">
        <f t="shared" si="65"/>
        <v>0</v>
      </c>
      <c r="L576" s="427">
        <f t="shared" si="64"/>
        <v>0</v>
      </c>
      <c r="M576" s="680">
        <v>0</v>
      </c>
    </row>
    <row r="577" spans="1:13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33"/>
      <c r="G577" s="760">
        <f t="shared" si="59"/>
        <v>0</v>
      </c>
      <c r="H577" s="427">
        <f t="shared" si="60"/>
        <v>0</v>
      </c>
      <c r="I577" s="427"/>
      <c r="J577" s="177">
        <v>0</v>
      </c>
      <c r="K577" s="427">
        <f t="shared" si="65"/>
        <v>0</v>
      </c>
      <c r="L577" s="427">
        <f t="shared" si="64"/>
        <v>0</v>
      </c>
      <c r="M577" s="680">
        <v>0</v>
      </c>
    </row>
    <row r="578" spans="1:13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33">
        <f>C578+D578+E578</f>
        <v>4501</v>
      </c>
      <c r="G578" s="760">
        <f t="shared" si="59"/>
        <v>6.8469311570811653E-2</v>
      </c>
      <c r="H578" s="427">
        <f t="shared" si="60"/>
        <v>155.36576896467585</v>
      </c>
      <c r="I578" s="427">
        <f>H578*0.3677</f>
        <v>57.127993248311313</v>
      </c>
      <c r="J578" s="177">
        <v>72.072298155345109</v>
      </c>
      <c r="K578" s="427">
        <f t="shared" si="65"/>
        <v>54.88157668958408</v>
      </c>
      <c r="L578" s="427">
        <f t="shared" si="64"/>
        <v>66.900641984602998</v>
      </c>
      <c r="M578" s="680">
        <f>(K578+J578+I578+H578)/F578</f>
        <v>7.5416049113067402E-2</v>
      </c>
    </row>
    <row r="579" spans="1:13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33"/>
      <c r="G579" s="760">
        <f t="shared" si="59"/>
        <v>0</v>
      </c>
      <c r="H579" s="427">
        <f t="shared" si="60"/>
        <v>0</v>
      </c>
      <c r="I579" s="427"/>
      <c r="J579" s="177">
        <v>0</v>
      </c>
      <c r="K579" s="427">
        <f t="shared" si="65"/>
        <v>0</v>
      </c>
      <c r="L579" s="427">
        <f t="shared" si="64"/>
        <v>0</v>
      </c>
      <c r="M579" s="680">
        <v>0</v>
      </c>
    </row>
    <row r="580" spans="1:13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33"/>
      <c r="G580" s="760">
        <f t="shared" si="59"/>
        <v>0</v>
      </c>
      <c r="H580" s="427">
        <f t="shared" si="60"/>
        <v>0</v>
      </c>
      <c r="I580" s="427"/>
      <c r="J580" s="177">
        <v>0</v>
      </c>
      <c r="K580" s="427">
        <f t="shared" si="65"/>
        <v>0</v>
      </c>
      <c r="L580" s="427">
        <f t="shared" si="64"/>
        <v>0</v>
      </c>
      <c r="M580" s="680">
        <v>0</v>
      </c>
    </row>
    <row r="581" spans="1:13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33"/>
      <c r="G581" s="760">
        <f t="shared" si="59"/>
        <v>0</v>
      </c>
      <c r="H581" s="427">
        <f t="shared" si="60"/>
        <v>0</v>
      </c>
      <c r="I581" s="427"/>
      <c r="J581" s="177">
        <v>0</v>
      </c>
      <c r="K581" s="427">
        <f t="shared" si="65"/>
        <v>0</v>
      </c>
      <c r="L581" s="427">
        <f t="shared" si="64"/>
        <v>0</v>
      </c>
      <c r="M581" s="680">
        <v>0</v>
      </c>
    </row>
    <row r="582" spans="1:13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33"/>
      <c r="G582" s="760">
        <f t="shared" si="59"/>
        <v>0</v>
      </c>
      <c r="H582" s="427">
        <f t="shared" si="60"/>
        <v>0</v>
      </c>
      <c r="I582" s="427"/>
      <c r="J582" s="177">
        <v>0</v>
      </c>
      <c r="K582" s="427">
        <f t="shared" si="65"/>
        <v>0</v>
      </c>
      <c r="L582" s="427">
        <f t="shared" si="64"/>
        <v>0</v>
      </c>
      <c r="M582" s="680">
        <v>0</v>
      </c>
    </row>
    <row r="583" spans="1:13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33"/>
      <c r="G583" s="760">
        <f t="shared" si="59"/>
        <v>0</v>
      </c>
      <c r="H583" s="427">
        <f t="shared" si="60"/>
        <v>0</v>
      </c>
      <c r="I583" s="427"/>
      <c r="J583" s="177">
        <v>0</v>
      </c>
      <c r="K583" s="427">
        <f t="shared" si="65"/>
        <v>0</v>
      </c>
      <c r="L583" s="427">
        <f t="shared" si="64"/>
        <v>0</v>
      </c>
      <c r="M583" s="680">
        <v>0</v>
      </c>
    </row>
    <row r="584" spans="1:13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33"/>
      <c r="G584" s="760">
        <f t="shared" si="59"/>
        <v>0</v>
      </c>
      <c r="H584" s="427">
        <f t="shared" si="60"/>
        <v>0</v>
      </c>
      <c r="I584" s="427"/>
      <c r="J584" s="177">
        <v>0</v>
      </c>
      <c r="K584" s="427">
        <f t="shared" ref="K584:K615" si="66">G584*801.55*1.08</f>
        <v>0</v>
      </c>
      <c r="L584" s="427">
        <f t="shared" si="64"/>
        <v>0</v>
      </c>
      <c r="M584" s="680">
        <v>0</v>
      </c>
    </row>
    <row r="585" spans="1:13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33"/>
      <c r="G585" s="760">
        <f t="shared" si="59"/>
        <v>0</v>
      </c>
      <c r="H585" s="427">
        <f t="shared" si="60"/>
        <v>0</v>
      </c>
      <c r="I585" s="427"/>
      <c r="J585" s="177">
        <v>0</v>
      </c>
      <c r="K585" s="427">
        <f t="shared" si="66"/>
        <v>0</v>
      </c>
      <c r="L585" s="427">
        <f t="shared" si="64"/>
        <v>0</v>
      </c>
      <c r="M585" s="680">
        <v>0</v>
      </c>
    </row>
    <row r="586" spans="1:13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33"/>
      <c r="G586" s="760">
        <f t="shared" si="59"/>
        <v>0</v>
      </c>
      <c r="H586" s="427">
        <f t="shared" si="60"/>
        <v>0</v>
      </c>
      <c r="I586" s="427"/>
      <c r="J586" s="177">
        <v>0</v>
      </c>
      <c r="K586" s="427">
        <f t="shared" si="66"/>
        <v>0</v>
      </c>
      <c r="L586" s="427">
        <f t="shared" si="64"/>
        <v>0</v>
      </c>
      <c r="M586" s="680">
        <v>0</v>
      </c>
    </row>
    <row r="587" spans="1:13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33"/>
      <c r="G587" s="760">
        <f t="shared" si="59"/>
        <v>0</v>
      </c>
      <c r="H587" s="427">
        <f t="shared" si="60"/>
        <v>0</v>
      </c>
      <c r="I587" s="427"/>
      <c r="J587" s="177">
        <v>0</v>
      </c>
      <c r="K587" s="427">
        <f t="shared" si="66"/>
        <v>0</v>
      </c>
      <c r="L587" s="427">
        <f t="shared" si="64"/>
        <v>0</v>
      </c>
      <c r="M587" s="680">
        <v>0</v>
      </c>
    </row>
    <row r="588" spans="1:13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33"/>
      <c r="G588" s="760">
        <f t="shared" si="59"/>
        <v>0</v>
      </c>
      <c r="H588" s="427">
        <f t="shared" si="60"/>
        <v>0</v>
      </c>
      <c r="I588" s="427"/>
      <c r="J588" s="177">
        <v>0</v>
      </c>
      <c r="K588" s="427">
        <f t="shared" si="66"/>
        <v>0</v>
      </c>
      <c r="L588" s="427">
        <f t="shared" si="64"/>
        <v>0</v>
      </c>
      <c r="M588" s="680">
        <v>0</v>
      </c>
    </row>
    <row r="589" spans="1:13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33"/>
      <c r="G589" s="760">
        <f t="shared" si="59"/>
        <v>0</v>
      </c>
      <c r="H589" s="427">
        <f t="shared" si="60"/>
        <v>0</v>
      </c>
      <c r="I589" s="427"/>
      <c r="J589" s="177">
        <v>0</v>
      </c>
      <c r="K589" s="427">
        <f t="shared" si="66"/>
        <v>0</v>
      </c>
      <c r="L589" s="427">
        <f t="shared" si="64"/>
        <v>0</v>
      </c>
      <c r="M589" s="680">
        <v>0</v>
      </c>
    </row>
    <row r="590" spans="1:13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33"/>
      <c r="G590" s="760">
        <f t="shared" si="59"/>
        <v>0</v>
      </c>
      <c r="H590" s="427">
        <f t="shared" si="60"/>
        <v>0</v>
      </c>
      <c r="I590" s="427"/>
      <c r="J590" s="177">
        <v>0</v>
      </c>
      <c r="K590" s="427">
        <f t="shared" si="66"/>
        <v>0</v>
      </c>
      <c r="L590" s="427">
        <f t="shared" si="64"/>
        <v>0</v>
      </c>
      <c r="M590" s="680">
        <v>0</v>
      </c>
    </row>
    <row r="591" spans="1:13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33"/>
      <c r="G591" s="760">
        <f t="shared" si="59"/>
        <v>0</v>
      </c>
      <c r="H591" s="427">
        <f t="shared" si="60"/>
        <v>0</v>
      </c>
      <c r="I591" s="427"/>
      <c r="J591" s="177">
        <v>0</v>
      </c>
      <c r="K591" s="427">
        <f t="shared" si="66"/>
        <v>0</v>
      </c>
      <c r="L591" s="427">
        <f t="shared" si="64"/>
        <v>0</v>
      </c>
      <c r="M591" s="680">
        <v>0</v>
      </c>
    </row>
    <row r="592" spans="1:13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33"/>
      <c r="G592" s="760">
        <f t="shared" si="59"/>
        <v>0</v>
      </c>
      <c r="H592" s="427">
        <f t="shared" si="60"/>
        <v>0</v>
      </c>
      <c r="I592" s="427"/>
      <c r="J592" s="177">
        <v>0</v>
      </c>
      <c r="K592" s="427">
        <f t="shared" si="66"/>
        <v>0</v>
      </c>
      <c r="L592" s="427">
        <f t="shared" si="64"/>
        <v>0</v>
      </c>
      <c r="M592" s="680">
        <v>0</v>
      </c>
    </row>
    <row r="593" spans="1:13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33"/>
      <c r="G593" s="760">
        <f t="shared" si="59"/>
        <v>0</v>
      </c>
      <c r="H593" s="427">
        <f t="shared" si="60"/>
        <v>0</v>
      </c>
      <c r="I593" s="427"/>
      <c r="J593" s="177">
        <v>0</v>
      </c>
      <c r="K593" s="427">
        <f t="shared" si="66"/>
        <v>0</v>
      </c>
      <c r="L593" s="427">
        <f t="shared" si="64"/>
        <v>0</v>
      </c>
      <c r="M593" s="680">
        <v>0</v>
      </c>
    </row>
    <row r="594" spans="1:13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33"/>
      <c r="G594" s="760">
        <f t="shared" si="59"/>
        <v>0</v>
      </c>
      <c r="H594" s="427">
        <f t="shared" si="60"/>
        <v>0</v>
      </c>
      <c r="I594" s="427"/>
      <c r="J594" s="177">
        <v>0</v>
      </c>
      <c r="K594" s="427">
        <f t="shared" si="66"/>
        <v>0</v>
      </c>
      <c r="L594" s="427">
        <f t="shared" si="64"/>
        <v>0</v>
      </c>
      <c r="M594" s="680">
        <v>0</v>
      </c>
    </row>
    <row r="595" spans="1:13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33"/>
      <c r="G595" s="760">
        <f t="shared" si="59"/>
        <v>0</v>
      </c>
      <c r="H595" s="427">
        <f t="shared" si="60"/>
        <v>0</v>
      </c>
      <c r="I595" s="427"/>
      <c r="J595" s="177">
        <v>0</v>
      </c>
      <c r="K595" s="427">
        <f t="shared" si="66"/>
        <v>0</v>
      </c>
      <c r="L595" s="427">
        <f t="shared" si="64"/>
        <v>0</v>
      </c>
      <c r="M595" s="680">
        <v>0</v>
      </c>
    </row>
    <row r="596" spans="1:13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33"/>
      <c r="G596" s="760">
        <f t="shared" si="59"/>
        <v>0</v>
      </c>
      <c r="H596" s="427">
        <f t="shared" si="60"/>
        <v>0</v>
      </c>
      <c r="I596" s="427"/>
      <c r="J596" s="177">
        <v>0</v>
      </c>
      <c r="K596" s="427">
        <f t="shared" si="66"/>
        <v>0</v>
      </c>
      <c r="L596" s="427">
        <f t="shared" si="64"/>
        <v>0</v>
      </c>
      <c r="M596" s="680">
        <v>0</v>
      </c>
    </row>
    <row r="597" spans="1:13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33"/>
      <c r="G597" s="760">
        <f t="shared" si="59"/>
        <v>0</v>
      </c>
      <c r="H597" s="427">
        <f t="shared" si="60"/>
        <v>0</v>
      </c>
      <c r="I597" s="427"/>
      <c r="J597" s="177">
        <v>0</v>
      </c>
      <c r="K597" s="427">
        <f t="shared" si="66"/>
        <v>0</v>
      </c>
      <c r="L597" s="427">
        <f t="shared" si="64"/>
        <v>0</v>
      </c>
      <c r="M597" s="680">
        <v>0</v>
      </c>
    </row>
    <row r="598" spans="1:13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33"/>
      <c r="G598" s="760">
        <f t="shared" si="59"/>
        <v>0</v>
      </c>
      <c r="H598" s="427">
        <f t="shared" si="60"/>
        <v>0</v>
      </c>
      <c r="I598" s="427"/>
      <c r="J598" s="177">
        <v>0</v>
      </c>
      <c r="K598" s="427">
        <f t="shared" si="66"/>
        <v>0</v>
      </c>
      <c r="L598" s="427">
        <f t="shared" si="64"/>
        <v>0</v>
      </c>
      <c r="M598" s="680">
        <v>0</v>
      </c>
    </row>
    <row r="599" spans="1:13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33"/>
      <c r="G599" s="760">
        <f t="shared" si="59"/>
        <v>0</v>
      </c>
      <c r="H599" s="427">
        <f t="shared" si="60"/>
        <v>0</v>
      </c>
      <c r="I599" s="427"/>
      <c r="J599" s="177">
        <v>0</v>
      </c>
      <c r="K599" s="427">
        <f t="shared" si="66"/>
        <v>0</v>
      </c>
      <c r="L599" s="427">
        <f t="shared" si="64"/>
        <v>0</v>
      </c>
      <c r="M599" s="680">
        <v>0</v>
      </c>
    </row>
    <row r="600" spans="1:13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33"/>
      <c r="G600" s="760">
        <f t="shared" si="59"/>
        <v>0</v>
      </c>
      <c r="H600" s="427">
        <f t="shared" si="60"/>
        <v>0</v>
      </c>
      <c r="I600" s="427"/>
      <c r="J600" s="177">
        <v>0</v>
      </c>
      <c r="K600" s="427">
        <f t="shared" si="66"/>
        <v>0</v>
      </c>
      <c r="L600" s="427">
        <f t="shared" si="64"/>
        <v>0</v>
      </c>
      <c r="M600" s="680">
        <v>0</v>
      </c>
    </row>
    <row r="601" spans="1:13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33"/>
      <c r="G601" s="760">
        <f t="shared" ref="G601:G664" si="67">3/197212.44*F601</f>
        <v>0</v>
      </c>
      <c r="H601" s="427">
        <f t="shared" ref="H601:H664" si="68">G601*2269.13</f>
        <v>0</v>
      </c>
      <c r="I601" s="427"/>
      <c r="J601" s="177">
        <v>6.5523619142467551</v>
      </c>
      <c r="K601" s="427">
        <f t="shared" si="66"/>
        <v>0</v>
      </c>
      <c r="L601" s="427">
        <f t="shared" si="64"/>
        <v>0</v>
      </c>
      <c r="M601" s="680">
        <v>0</v>
      </c>
    </row>
    <row r="602" spans="1:13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33"/>
      <c r="G602" s="760">
        <f t="shared" si="67"/>
        <v>0</v>
      </c>
      <c r="H602" s="427">
        <f t="shared" si="68"/>
        <v>0</v>
      </c>
      <c r="I602" s="427"/>
      <c r="J602" s="177">
        <v>2.8438403616085624</v>
      </c>
      <c r="K602" s="427">
        <f t="shared" si="66"/>
        <v>0</v>
      </c>
      <c r="L602" s="427">
        <f t="shared" si="64"/>
        <v>0</v>
      </c>
      <c r="M602" s="680">
        <v>0</v>
      </c>
    </row>
    <row r="603" spans="1:13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33"/>
      <c r="G603" s="760">
        <f t="shared" si="67"/>
        <v>0</v>
      </c>
      <c r="H603" s="427">
        <f t="shared" si="68"/>
        <v>0</v>
      </c>
      <c r="I603" s="427"/>
      <c r="J603" s="177">
        <v>6.1472427636347247</v>
      </c>
      <c r="K603" s="427">
        <f t="shared" si="66"/>
        <v>0</v>
      </c>
      <c r="L603" s="427">
        <f t="shared" si="64"/>
        <v>0</v>
      </c>
      <c r="M603" s="680">
        <v>0</v>
      </c>
    </row>
    <row r="604" spans="1:13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33"/>
      <c r="G604" s="760">
        <f t="shared" si="67"/>
        <v>0</v>
      </c>
      <c r="H604" s="427">
        <f t="shared" si="68"/>
        <v>0</v>
      </c>
      <c r="I604" s="427"/>
      <c r="J604" s="177">
        <v>1.9727541247194531</v>
      </c>
      <c r="K604" s="427">
        <f t="shared" si="66"/>
        <v>0</v>
      </c>
      <c r="L604" s="427">
        <f t="shared" si="64"/>
        <v>0</v>
      </c>
      <c r="M604" s="680">
        <v>0</v>
      </c>
    </row>
    <row r="605" spans="1:13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33"/>
      <c r="G605" s="760">
        <f t="shared" si="67"/>
        <v>0</v>
      </c>
      <c r="H605" s="427">
        <f t="shared" si="68"/>
        <v>0</v>
      </c>
      <c r="I605" s="427"/>
      <c r="J605" s="177">
        <v>6.7845448266528594</v>
      </c>
      <c r="K605" s="427">
        <f t="shared" si="66"/>
        <v>0</v>
      </c>
      <c r="L605" s="427">
        <f t="shared" ref="L605:L668" si="69">K605*1.219</f>
        <v>0</v>
      </c>
      <c r="M605" s="680">
        <v>0</v>
      </c>
    </row>
    <row r="606" spans="1:13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33"/>
      <c r="G606" s="760">
        <f t="shared" si="67"/>
        <v>0</v>
      </c>
      <c r="H606" s="427">
        <f t="shared" si="68"/>
        <v>0</v>
      </c>
      <c r="I606" s="427"/>
      <c r="J606" s="177">
        <v>2.2225509132391243</v>
      </c>
      <c r="K606" s="427">
        <f t="shared" si="66"/>
        <v>0</v>
      </c>
      <c r="L606" s="427">
        <f t="shared" si="69"/>
        <v>0</v>
      </c>
      <c r="M606" s="680">
        <v>0</v>
      </c>
    </row>
    <row r="607" spans="1:13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33"/>
      <c r="G607" s="760">
        <f t="shared" si="67"/>
        <v>0</v>
      </c>
      <c r="H607" s="427">
        <f t="shared" si="68"/>
        <v>0</v>
      </c>
      <c r="I607" s="427"/>
      <c r="J607" s="177">
        <v>5.4699091639948483</v>
      </c>
      <c r="K607" s="427">
        <f t="shared" si="66"/>
        <v>0</v>
      </c>
      <c r="L607" s="427">
        <f t="shared" si="69"/>
        <v>0</v>
      </c>
      <c r="M607" s="680">
        <v>0</v>
      </c>
    </row>
    <row r="608" spans="1:13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33"/>
      <c r="G608" s="760">
        <f t="shared" si="67"/>
        <v>0</v>
      </c>
      <c r="H608" s="427">
        <f t="shared" si="68"/>
        <v>0</v>
      </c>
      <c r="I608" s="427"/>
      <c r="J608" s="177">
        <v>5.6572567553846005</v>
      </c>
      <c r="K608" s="427">
        <f t="shared" si="66"/>
        <v>0</v>
      </c>
      <c r="L608" s="427">
        <f t="shared" si="69"/>
        <v>0</v>
      </c>
      <c r="M608" s="680">
        <v>0</v>
      </c>
    </row>
    <row r="609" spans="1:13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33"/>
      <c r="G609" s="760">
        <f t="shared" si="67"/>
        <v>0</v>
      </c>
      <c r="H609" s="427">
        <f t="shared" si="68"/>
        <v>0</v>
      </c>
      <c r="I609" s="427"/>
      <c r="J609" s="177">
        <v>5.6764718929630371</v>
      </c>
      <c r="K609" s="427">
        <f t="shared" si="66"/>
        <v>0</v>
      </c>
      <c r="L609" s="427">
        <f t="shared" si="69"/>
        <v>0</v>
      </c>
      <c r="M609" s="680">
        <v>0</v>
      </c>
    </row>
    <row r="610" spans="1:13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33"/>
      <c r="G610" s="760">
        <f t="shared" si="67"/>
        <v>0</v>
      </c>
      <c r="H610" s="427">
        <f t="shared" si="68"/>
        <v>0</v>
      </c>
      <c r="I610" s="427"/>
      <c r="J610" s="177">
        <v>6.4755013639330103</v>
      </c>
      <c r="K610" s="427">
        <f t="shared" si="66"/>
        <v>0</v>
      </c>
      <c r="L610" s="427">
        <f t="shared" si="69"/>
        <v>0</v>
      </c>
      <c r="M610" s="680">
        <v>0</v>
      </c>
    </row>
    <row r="611" spans="1:13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33"/>
      <c r="G611" s="760">
        <f t="shared" si="67"/>
        <v>0</v>
      </c>
      <c r="H611" s="427">
        <f t="shared" si="68"/>
        <v>0</v>
      </c>
      <c r="I611" s="427"/>
      <c r="J611" s="177">
        <v>5.5771936821411163</v>
      </c>
      <c r="K611" s="427">
        <f t="shared" si="66"/>
        <v>0</v>
      </c>
      <c r="L611" s="427">
        <f t="shared" si="69"/>
        <v>0</v>
      </c>
      <c r="M611" s="680">
        <v>0</v>
      </c>
    </row>
    <row r="612" spans="1:13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33"/>
      <c r="G612" s="760">
        <f t="shared" si="67"/>
        <v>0</v>
      </c>
      <c r="H612" s="427">
        <f t="shared" si="68"/>
        <v>0</v>
      </c>
      <c r="I612" s="427"/>
      <c r="J612" s="177">
        <v>1.1753259152143496</v>
      </c>
      <c r="K612" s="427">
        <f t="shared" si="66"/>
        <v>0</v>
      </c>
      <c r="L612" s="427">
        <f t="shared" si="69"/>
        <v>0</v>
      </c>
      <c r="M612" s="680">
        <v>0</v>
      </c>
    </row>
    <row r="613" spans="1:13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33"/>
      <c r="G613" s="760">
        <f t="shared" si="67"/>
        <v>0</v>
      </c>
      <c r="H613" s="427">
        <f t="shared" si="68"/>
        <v>0</v>
      </c>
      <c r="I613" s="427"/>
      <c r="J613" s="177">
        <v>1.876678436827272</v>
      </c>
      <c r="K613" s="427">
        <f t="shared" si="66"/>
        <v>0</v>
      </c>
      <c r="L613" s="427">
        <f t="shared" si="69"/>
        <v>0</v>
      </c>
      <c r="M613" s="680">
        <v>0</v>
      </c>
    </row>
    <row r="614" spans="1:13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33"/>
      <c r="G614" s="760">
        <f t="shared" si="67"/>
        <v>0</v>
      </c>
      <c r="H614" s="427">
        <f t="shared" si="68"/>
        <v>0</v>
      </c>
      <c r="I614" s="427"/>
      <c r="J614" s="177">
        <v>1.0552313053491231</v>
      </c>
      <c r="K614" s="427">
        <f t="shared" si="66"/>
        <v>0</v>
      </c>
      <c r="L614" s="427">
        <f t="shared" si="69"/>
        <v>0</v>
      </c>
      <c r="M614" s="680">
        <v>0</v>
      </c>
    </row>
    <row r="615" spans="1:13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33"/>
      <c r="G615" s="760">
        <f t="shared" si="67"/>
        <v>0</v>
      </c>
      <c r="H615" s="427">
        <f t="shared" si="68"/>
        <v>0</v>
      </c>
      <c r="I615" s="427"/>
      <c r="J615" s="177">
        <v>3.3994780899183432</v>
      </c>
      <c r="K615" s="427">
        <f t="shared" si="66"/>
        <v>0</v>
      </c>
      <c r="L615" s="427">
        <f t="shared" si="69"/>
        <v>0</v>
      </c>
      <c r="M615" s="680">
        <v>0</v>
      </c>
    </row>
    <row r="616" spans="1:13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33"/>
      <c r="G616" s="760">
        <f t="shared" si="67"/>
        <v>0</v>
      </c>
      <c r="H616" s="427">
        <f t="shared" si="68"/>
        <v>0</v>
      </c>
      <c r="I616" s="427"/>
      <c r="J616" s="427">
        <v>0</v>
      </c>
      <c r="K616" s="427">
        <f t="shared" ref="K616:K679" si="70">G616*801.55</f>
        <v>0</v>
      </c>
      <c r="L616" s="427">
        <f t="shared" si="69"/>
        <v>0</v>
      </c>
      <c r="M616" s="680">
        <v>0</v>
      </c>
    </row>
    <row r="617" spans="1:13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33"/>
      <c r="G617" s="760">
        <f t="shared" si="67"/>
        <v>0</v>
      </c>
      <c r="H617" s="427">
        <f t="shared" si="68"/>
        <v>0</v>
      </c>
      <c r="I617" s="427"/>
      <c r="J617" s="427">
        <v>0</v>
      </c>
      <c r="K617" s="427">
        <f t="shared" si="70"/>
        <v>0</v>
      </c>
      <c r="L617" s="427">
        <f t="shared" si="69"/>
        <v>0</v>
      </c>
      <c r="M617" s="680">
        <v>0</v>
      </c>
    </row>
    <row r="618" spans="1:13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33">
        <f>C618+D618+E618</f>
        <v>3257.2000000000003</v>
      </c>
      <c r="G618" s="760">
        <f t="shared" si="67"/>
        <v>4.9548598455553816E-2</v>
      </c>
      <c r="H618" s="427">
        <f t="shared" si="68"/>
        <v>112.43221121345084</v>
      </c>
      <c r="I618" s="427">
        <f>H618*0.3677</f>
        <v>41.34132406318588</v>
      </c>
      <c r="J618" s="427">
        <v>52.155647929149467</v>
      </c>
      <c r="K618" s="427">
        <f t="shared" si="70"/>
        <v>39.715679092049157</v>
      </c>
      <c r="L618" s="427">
        <f t="shared" si="69"/>
        <v>48.413412813207927</v>
      </c>
      <c r="M618" s="680">
        <f>(K618+J618+I618+H618)/F618</f>
        <v>7.5415959197419669E-2</v>
      </c>
    </row>
    <row r="619" spans="1:13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33">
        <f>C619+D619+E619</f>
        <v>4789.17</v>
      </c>
      <c r="G619" s="760">
        <f t="shared" si="67"/>
        <v>7.2852959985688526E-2</v>
      </c>
      <c r="H619" s="427">
        <f t="shared" si="68"/>
        <v>165.31283709232542</v>
      </c>
      <c r="I619" s="427">
        <f>H619*0.3677</f>
        <v>60.785530198848065</v>
      </c>
      <c r="J619" s="427">
        <v>76.629808536657208</v>
      </c>
      <c r="K619" s="427">
        <f t="shared" si="70"/>
        <v>58.395290076528632</v>
      </c>
      <c r="L619" s="427">
        <f t="shared" si="69"/>
        <v>71.183858603288414</v>
      </c>
      <c r="M619" s="680">
        <f>(K619+J619+I619+H619)/F619</f>
        <v>7.5404186091610717E-2</v>
      </c>
    </row>
    <row r="620" spans="1:13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33">
        <f>C620+D620+E620</f>
        <v>6316.36</v>
      </c>
      <c r="G620" s="760">
        <f t="shared" si="67"/>
        <v>9.60846080500804E-2</v>
      </c>
      <c r="H620" s="427">
        <f t="shared" si="68"/>
        <v>218.02846666467894</v>
      </c>
      <c r="I620" s="427">
        <f>H620*0.3677</f>
        <v>80.169067192602455</v>
      </c>
      <c r="J620" s="427">
        <v>101.14063803171048</v>
      </c>
      <c r="K620" s="427">
        <f t="shared" si="70"/>
        <v>77.01661758254194</v>
      </c>
      <c r="L620" s="427">
        <f t="shared" si="69"/>
        <v>93.883256833118637</v>
      </c>
      <c r="M620" s="680">
        <f>(K620+J620+I620+H620)/F620</f>
        <v>7.5416029085032171E-2</v>
      </c>
    </row>
    <row r="621" spans="1:13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33">
        <f>C621+D621+E621</f>
        <v>4812.1099999999997</v>
      </c>
      <c r="G621" s="760">
        <f t="shared" si="67"/>
        <v>7.3201923773165617E-2</v>
      </c>
      <c r="H621" s="427">
        <f t="shared" si="68"/>
        <v>166.1046812914033</v>
      </c>
      <c r="I621" s="427">
        <f>H621*0.3677</f>
        <v>61.076691310848993</v>
      </c>
      <c r="J621" s="427">
        <v>77.06983518720341</v>
      </c>
      <c r="K621" s="427">
        <f t="shared" si="70"/>
        <v>58.6750020003809</v>
      </c>
      <c r="L621" s="427">
        <f t="shared" si="69"/>
        <v>71.524827438464328</v>
      </c>
      <c r="M621" s="680">
        <f>(K621+J621+I621+H621)/F621</f>
        <v>7.5419350303678981E-2</v>
      </c>
    </row>
    <row r="622" spans="1:13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33">
        <f>C622+D622+E622</f>
        <v>11145.01</v>
      </c>
      <c r="G622" s="760">
        <f t="shared" si="67"/>
        <v>0.16953813866914277</v>
      </c>
      <c r="H622" s="427">
        <f t="shared" si="68"/>
        <v>384.70407659831199</v>
      </c>
      <c r="I622" s="427">
        <f>H622*0.3677</f>
        <v>141.45568896519933</v>
      </c>
      <c r="J622" s="427">
        <v>178.93360289644903</v>
      </c>
      <c r="K622" s="427">
        <f t="shared" si="70"/>
        <v>135.8932950502514</v>
      </c>
      <c r="L622" s="427">
        <f t="shared" si="69"/>
        <v>165.65392666625647</v>
      </c>
      <c r="M622" s="680">
        <f>(K622+J622+I622+H622)/F622</f>
        <v>7.5458583124664025E-2</v>
      </c>
    </row>
    <row r="623" spans="1:13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33"/>
      <c r="G623" s="760">
        <f t="shared" si="67"/>
        <v>0</v>
      </c>
      <c r="H623" s="427">
        <f t="shared" si="68"/>
        <v>0</v>
      </c>
      <c r="I623" s="427"/>
      <c r="J623" s="427">
        <v>0</v>
      </c>
      <c r="K623" s="427">
        <f t="shared" si="70"/>
        <v>0</v>
      </c>
      <c r="L623" s="427">
        <f t="shared" si="69"/>
        <v>0</v>
      </c>
      <c r="M623" s="680">
        <v>0</v>
      </c>
    </row>
    <row r="624" spans="1:13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33"/>
      <c r="G624" s="760">
        <f t="shared" si="67"/>
        <v>0</v>
      </c>
      <c r="H624" s="427">
        <f t="shared" si="68"/>
        <v>0</v>
      </c>
      <c r="I624" s="427"/>
      <c r="J624" s="427">
        <v>0</v>
      </c>
      <c r="K624" s="427">
        <f t="shared" si="70"/>
        <v>0</v>
      </c>
      <c r="L624" s="427">
        <f t="shared" si="69"/>
        <v>0</v>
      </c>
      <c r="M624" s="680">
        <v>0</v>
      </c>
    </row>
    <row r="625" spans="1:13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33"/>
      <c r="G625" s="760">
        <f t="shared" si="67"/>
        <v>0</v>
      </c>
      <c r="H625" s="427">
        <f t="shared" si="68"/>
        <v>0</v>
      </c>
      <c r="I625" s="427"/>
      <c r="J625" s="427">
        <v>0</v>
      </c>
      <c r="K625" s="427">
        <f t="shared" si="70"/>
        <v>0</v>
      </c>
      <c r="L625" s="427">
        <f t="shared" si="69"/>
        <v>0</v>
      </c>
      <c r="M625" s="680">
        <v>0</v>
      </c>
    </row>
    <row r="626" spans="1:13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33"/>
      <c r="G626" s="760">
        <f t="shared" si="67"/>
        <v>0</v>
      </c>
      <c r="H626" s="427">
        <f t="shared" si="68"/>
        <v>0</v>
      </c>
      <c r="I626" s="427"/>
      <c r="J626" s="427">
        <v>0</v>
      </c>
      <c r="K626" s="427">
        <f t="shared" si="70"/>
        <v>0</v>
      </c>
      <c r="L626" s="427">
        <f t="shared" si="69"/>
        <v>0</v>
      </c>
      <c r="M626" s="680">
        <v>0</v>
      </c>
    </row>
    <row r="627" spans="1:13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33"/>
      <c r="G627" s="760">
        <f t="shared" si="67"/>
        <v>0</v>
      </c>
      <c r="H627" s="427">
        <f t="shared" si="68"/>
        <v>0</v>
      </c>
      <c r="I627" s="427"/>
      <c r="J627" s="427">
        <v>0</v>
      </c>
      <c r="K627" s="427">
        <f t="shared" si="70"/>
        <v>0</v>
      </c>
      <c r="L627" s="427">
        <f t="shared" si="69"/>
        <v>0</v>
      </c>
      <c r="M627" s="680">
        <v>0</v>
      </c>
    </row>
    <row r="628" spans="1:13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33"/>
      <c r="G628" s="760">
        <f t="shared" si="67"/>
        <v>0</v>
      </c>
      <c r="H628" s="427">
        <f t="shared" si="68"/>
        <v>0</v>
      </c>
      <c r="I628" s="427"/>
      <c r="J628" s="427">
        <v>0</v>
      </c>
      <c r="K628" s="427">
        <f t="shared" si="70"/>
        <v>0</v>
      </c>
      <c r="L628" s="427">
        <f t="shared" si="69"/>
        <v>0</v>
      </c>
      <c r="M628" s="680">
        <v>0</v>
      </c>
    </row>
    <row r="629" spans="1:13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33"/>
      <c r="G629" s="760">
        <f t="shared" si="67"/>
        <v>0</v>
      </c>
      <c r="H629" s="427">
        <f t="shared" si="68"/>
        <v>0</v>
      </c>
      <c r="I629" s="427"/>
      <c r="J629" s="427">
        <v>0</v>
      </c>
      <c r="K629" s="427">
        <f t="shared" si="70"/>
        <v>0</v>
      </c>
      <c r="L629" s="427">
        <f t="shared" si="69"/>
        <v>0</v>
      </c>
      <c r="M629" s="680">
        <v>0</v>
      </c>
    </row>
    <row r="630" spans="1:13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33"/>
      <c r="G630" s="760">
        <f t="shared" si="67"/>
        <v>0</v>
      </c>
      <c r="H630" s="427">
        <f t="shared" si="68"/>
        <v>0</v>
      </c>
      <c r="I630" s="427"/>
      <c r="J630" s="427">
        <v>0</v>
      </c>
      <c r="K630" s="427">
        <f t="shared" si="70"/>
        <v>0</v>
      </c>
      <c r="L630" s="427">
        <f t="shared" si="69"/>
        <v>0</v>
      </c>
      <c r="M630" s="680">
        <v>0</v>
      </c>
    </row>
    <row r="631" spans="1:13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33"/>
      <c r="G631" s="760">
        <f t="shared" si="67"/>
        <v>0</v>
      </c>
      <c r="H631" s="427">
        <f t="shared" si="68"/>
        <v>0</v>
      </c>
      <c r="I631" s="427"/>
      <c r="J631" s="427">
        <v>0</v>
      </c>
      <c r="K631" s="427">
        <f t="shared" si="70"/>
        <v>0</v>
      </c>
      <c r="L631" s="427">
        <f t="shared" si="69"/>
        <v>0</v>
      </c>
      <c r="M631" s="680">
        <v>0</v>
      </c>
    </row>
    <row r="632" spans="1:13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33"/>
      <c r="G632" s="760">
        <f t="shared" si="67"/>
        <v>0</v>
      </c>
      <c r="H632" s="427">
        <f t="shared" si="68"/>
        <v>0</v>
      </c>
      <c r="I632" s="427"/>
      <c r="J632" s="427">
        <v>0</v>
      </c>
      <c r="K632" s="427">
        <f t="shared" si="70"/>
        <v>0</v>
      </c>
      <c r="L632" s="427">
        <f t="shared" si="69"/>
        <v>0</v>
      </c>
      <c r="M632" s="680">
        <v>0</v>
      </c>
    </row>
    <row r="633" spans="1:13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33"/>
      <c r="G633" s="760">
        <f t="shared" si="67"/>
        <v>0</v>
      </c>
      <c r="H633" s="427">
        <f t="shared" si="68"/>
        <v>0</v>
      </c>
      <c r="I633" s="427"/>
      <c r="J633" s="427">
        <v>0</v>
      </c>
      <c r="K633" s="427">
        <f t="shared" si="70"/>
        <v>0</v>
      </c>
      <c r="L633" s="427">
        <f t="shared" si="69"/>
        <v>0</v>
      </c>
      <c r="M633" s="680">
        <v>0</v>
      </c>
    </row>
    <row r="634" spans="1:13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33"/>
      <c r="G634" s="760">
        <f t="shared" si="67"/>
        <v>0</v>
      </c>
      <c r="H634" s="427">
        <f t="shared" si="68"/>
        <v>0</v>
      </c>
      <c r="I634" s="427"/>
      <c r="J634" s="177"/>
      <c r="K634" s="427">
        <f t="shared" si="70"/>
        <v>0</v>
      </c>
      <c r="L634" s="427">
        <f t="shared" si="69"/>
        <v>0</v>
      </c>
      <c r="M634" s="680">
        <v>0</v>
      </c>
    </row>
    <row r="635" spans="1:13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33"/>
      <c r="G635" s="760">
        <f t="shared" si="67"/>
        <v>0</v>
      </c>
      <c r="H635" s="427">
        <f t="shared" si="68"/>
        <v>0</v>
      </c>
      <c r="I635" s="427"/>
      <c r="J635" s="177"/>
      <c r="K635" s="427">
        <f t="shared" si="70"/>
        <v>0</v>
      </c>
      <c r="L635" s="427">
        <f t="shared" si="69"/>
        <v>0</v>
      </c>
      <c r="M635" s="680">
        <v>0</v>
      </c>
    </row>
    <row r="636" spans="1:13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33"/>
      <c r="G636" s="760">
        <f t="shared" si="67"/>
        <v>0</v>
      </c>
      <c r="H636" s="427">
        <f t="shared" si="68"/>
        <v>0</v>
      </c>
      <c r="I636" s="427"/>
      <c r="J636" s="177"/>
      <c r="K636" s="427">
        <f t="shared" si="70"/>
        <v>0</v>
      </c>
      <c r="L636" s="427">
        <f t="shared" si="69"/>
        <v>0</v>
      </c>
      <c r="M636" s="680">
        <v>0</v>
      </c>
    </row>
    <row r="637" spans="1:13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33"/>
      <c r="G637" s="760">
        <f t="shared" si="67"/>
        <v>0</v>
      </c>
      <c r="H637" s="427">
        <f t="shared" si="68"/>
        <v>0</v>
      </c>
      <c r="I637" s="427"/>
      <c r="J637" s="177"/>
      <c r="K637" s="427">
        <f t="shared" si="70"/>
        <v>0</v>
      </c>
      <c r="L637" s="427">
        <f t="shared" si="69"/>
        <v>0</v>
      </c>
      <c r="M637" s="680">
        <v>0</v>
      </c>
    </row>
    <row r="638" spans="1:13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33"/>
      <c r="G638" s="760">
        <f t="shared" si="67"/>
        <v>0</v>
      </c>
      <c r="H638" s="427">
        <f t="shared" si="68"/>
        <v>0</v>
      </c>
      <c r="I638" s="427"/>
      <c r="J638" s="177"/>
      <c r="K638" s="427">
        <f t="shared" si="70"/>
        <v>0</v>
      </c>
      <c r="L638" s="427">
        <f t="shared" si="69"/>
        <v>0</v>
      </c>
      <c r="M638" s="680">
        <v>0</v>
      </c>
    </row>
    <row r="639" spans="1:13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33"/>
      <c r="G639" s="760">
        <f t="shared" si="67"/>
        <v>0</v>
      </c>
      <c r="H639" s="427">
        <f t="shared" si="68"/>
        <v>0</v>
      </c>
      <c r="I639" s="427"/>
      <c r="J639" s="177"/>
      <c r="K639" s="427">
        <f t="shared" si="70"/>
        <v>0</v>
      </c>
      <c r="L639" s="427">
        <f t="shared" si="69"/>
        <v>0</v>
      </c>
      <c r="M639" s="680">
        <v>0</v>
      </c>
    </row>
    <row r="640" spans="1:13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33"/>
      <c r="G640" s="760">
        <f t="shared" si="67"/>
        <v>0</v>
      </c>
      <c r="H640" s="427">
        <f t="shared" si="68"/>
        <v>0</v>
      </c>
      <c r="I640" s="427"/>
      <c r="J640" s="177"/>
      <c r="K640" s="427">
        <f t="shared" si="70"/>
        <v>0</v>
      </c>
      <c r="L640" s="427">
        <f t="shared" si="69"/>
        <v>0</v>
      </c>
      <c r="M640" s="680">
        <v>0</v>
      </c>
    </row>
    <row r="641" spans="1:13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33"/>
      <c r="G641" s="760">
        <f t="shared" si="67"/>
        <v>0</v>
      </c>
      <c r="H641" s="427">
        <f t="shared" si="68"/>
        <v>0</v>
      </c>
      <c r="I641" s="427"/>
      <c r="J641" s="177"/>
      <c r="K641" s="427">
        <f t="shared" si="70"/>
        <v>0</v>
      </c>
      <c r="L641" s="427">
        <f t="shared" si="69"/>
        <v>0</v>
      </c>
      <c r="M641" s="680">
        <v>0</v>
      </c>
    </row>
    <row r="642" spans="1:13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33"/>
      <c r="G642" s="760">
        <f t="shared" si="67"/>
        <v>0</v>
      </c>
      <c r="H642" s="427">
        <f t="shared" si="68"/>
        <v>0</v>
      </c>
      <c r="I642" s="427"/>
      <c r="J642" s="177"/>
      <c r="K642" s="427">
        <f t="shared" si="70"/>
        <v>0</v>
      </c>
      <c r="L642" s="427">
        <f t="shared" si="69"/>
        <v>0</v>
      </c>
      <c r="M642" s="680">
        <v>0</v>
      </c>
    </row>
    <row r="643" spans="1:13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33"/>
      <c r="G643" s="760">
        <f t="shared" si="67"/>
        <v>0</v>
      </c>
      <c r="H643" s="427">
        <f t="shared" si="68"/>
        <v>0</v>
      </c>
      <c r="I643" s="427"/>
      <c r="J643" s="177"/>
      <c r="K643" s="427">
        <f t="shared" si="70"/>
        <v>0</v>
      </c>
      <c r="L643" s="427">
        <f t="shared" si="69"/>
        <v>0</v>
      </c>
      <c r="M643" s="680">
        <v>0</v>
      </c>
    </row>
    <row r="644" spans="1:13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33"/>
      <c r="G644" s="760">
        <f t="shared" si="67"/>
        <v>0</v>
      </c>
      <c r="H644" s="427">
        <f t="shared" si="68"/>
        <v>0</v>
      </c>
      <c r="I644" s="427"/>
      <c r="J644" s="177"/>
      <c r="K644" s="427">
        <f t="shared" si="70"/>
        <v>0</v>
      </c>
      <c r="L644" s="427">
        <f t="shared" si="69"/>
        <v>0</v>
      </c>
      <c r="M644" s="680">
        <v>0</v>
      </c>
    </row>
    <row r="645" spans="1:13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33"/>
      <c r="G645" s="760">
        <f t="shared" si="67"/>
        <v>0</v>
      </c>
      <c r="H645" s="427">
        <f t="shared" si="68"/>
        <v>0</v>
      </c>
      <c r="I645" s="427"/>
      <c r="J645" s="177"/>
      <c r="K645" s="427">
        <f t="shared" si="70"/>
        <v>0</v>
      </c>
      <c r="L645" s="427">
        <f t="shared" si="69"/>
        <v>0</v>
      </c>
      <c r="M645" s="680">
        <v>0</v>
      </c>
    </row>
    <row r="646" spans="1:13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33"/>
      <c r="G646" s="760">
        <f t="shared" si="67"/>
        <v>0</v>
      </c>
      <c r="H646" s="427">
        <f t="shared" si="68"/>
        <v>0</v>
      </c>
      <c r="I646" s="427"/>
      <c r="J646" s="177"/>
      <c r="K646" s="427">
        <f t="shared" si="70"/>
        <v>0</v>
      </c>
      <c r="L646" s="427">
        <f t="shared" si="69"/>
        <v>0</v>
      </c>
      <c r="M646" s="680">
        <v>0</v>
      </c>
    </row>
    <row r="647" spans="1:13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33"/>
      <c r="G647" s="760">
        <f t="shared" si="67"/>
        <v>0</v>
      </c>
      <c r="H647" s="427">
        <f t="shared" si="68"/>
        <v>0</v>
      </c>
      <c r="I647" s="427"/>
      <c r="J647" s="177"/>
      <c r="K647" s="427">
        <f t="shared" si="70"/>
        <v>0</v>
      </c>
      <c r="L647" s="427">
        <f t="shared" si="69"/>
        <v>0</v>
      </c>
      <c r="M647" s="680">
        <v>0</v>
      </c>
    </row>
    <row r="648" spans="1:13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33"/>
      <c r="G648" s="760">
        <f t="shared" si="67"/>
        <v>0</v>
      </c>
      <c r="H648" s="427">
        <f t="shared" si="68"/>
        <v>0</v>
      </c>
      <c r="I648" s="427"/>
      <c r="J648" s="177"/>
      <c r="K648" s="427">
        <f t="shared" si="70"/>
        <v>0</v>
      </c>
      <c r="L648" s="427">
        <f t="shared" si="69"/>
        <v>0</v>
      </c>
      <c r="M648" s="680">
        <v>0</v>
      </c>
    </row>
    <row r="649" spans="1:13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33"/>
      <c r="G649" s="760">
        <f t="shared" si="67"/>
        <v>0</v>
      </c>
      <c r="H649" s="427">
        <f t="shared" si="68"/>
        <v>0</v>
      </c>
      <c r="I649" s="427"/>
      <c r="J649" s="177"/>
      <c r="K649" s="427">
        <f t="shared" si="70"/>
        <v>0</v>
      </c>
      <c r="L649" s="427">
        <f t="shared" si="69"/>
        <v>0</v>
      </c>
      <c r="M649" s="680">
        <v>0</v>
      </c>
    </row>
    <row r="650" spans="1:13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33"/>
      <c r="G650" s="760">
        <f t="shared" si="67"/>
        <v>0</v>
      </c>
      <c r="H650" s="427">
        <f t="shared" si="68"/>
        <v>0</v>
      </c>
      <c r="I650" s="427"/>
      <c r="J650" s="177"/>
      <c r="K650" s="427">
        <f t="shared" si="70"/>
        <v>0</v>
      </c>
      <c r="L650" s="427">
        <f t="shared" si="69"/>
        <v>0</v>
      </c>
      <c r="M650" s="680">
        <v>0</v>
      </c>
    </row>
    <row r="651" spans="1:13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33"/>
      <c r="G651" s="760">
        <f t="shared" si="67"/>
        <v>0</v>
      </c>
      <c r="H651" s="427">
        <f t="shared" si="68"/>
        <v>0</v>
      </c>
      <c r="I651" s="427"/>
      <c r="J651" s="177"/>
      <c r="K651" s="427">
        <f t="shared" si="70"/>
        <v>0</v>
      </c>
      <c r="L651" s="427">
        <f t="shared" si="69"/>
        <v>0</v>
      </c>
      <c r="M651" s="680">
        <v>0</v>
      </c>
    </row>
    <row r="652" spans="1:13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33"/>
      <c r="G652" s="760">
        <f t="shared" si="67"/>
        <v>0</v>
      </c>
      <c r="H652" s="427">
        <f t="shared" si="68"/>
        <v>0</v>
      </c>
      <c r="I652" s="427"/>
      <c r="J652" s="177"/>
      <c r="K652" s="427">
        <f t="shared" si="70"/>
        <v>0</v>
      </c>
      <c r="L652" s="427">
        <f t="shared" si="69"/>
        <v>0</v>
      </c>
      <c r="M652" s="680">
        <v>0</v>
      </c>
    </row>
    <row r="653" spans="1:13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33"/>
      <c r="G653" s="760">
        <f t="shared" si="67"/>
        <v>0</v>
      </c>
      <c r="H653" s="427">
        <f t="shared" si="68"/>
        <v>0</v>
      </c>
      <c r="I653" s="427"/>
      <c r="J653" s="177"/>
      <c r="K653" s="427">
        <f t="shared" si="70"/>
        <v>0</v>
      </c>
      <c r="L653" s="427">
        <f t="shared" si="69"/>
        <v>0</v>
      </c>
      <c r="M653" s="680">
        <v>0</v>
      </c>
    </row>
    <row r="654" spans="1:13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33"/>
      <c r="G654" s="760">
        <f t="shared" si="67"/>
        <v>0</v>
      </c>
      <c r="H654" s="427">
        <f t="shared" si="68"/>
        <v>0</v>
      </c>
      <c r="I654" s="427"/>
      <c r="J654" s="177"/>
      <c r="K654" s="427">
        <f t="shared" si="70"/>
        <v>0</v>
      </c>
      <c r="L654" s="427">
        <f t="shared" si="69"/>
        <v>0</v>
      </c>
      <c r="M654" s="680">
        <v>0</v>
      </c>
    </row>
    <row r="655" spans="1:13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33"/>
      <c r="G655" s="760">
        <f t="shared" si="67"/>
        <v>0</v>
      </c>
      <c r="H655" s="427">
        <f t="shared" si="68"/>
        <v>0</v>
      </c>
      <c r="I655" s="427"/>
      <c r="J655" s="177"/>
      <c r="K655" s="427">
        <f t="shared" si="70"/>
        <v>0</v>
      </c>
      <c r="L655" s="427">
        <f t="shared" si="69"/>
        <v>0</v>
      </c>
      <c r="M655" s="680">
        <v>0</v>
      </c>
    </row>
    <row r="656" spans="1:13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33"/>
      <c r="G656" s="760">
        <f t="shared" si="67"/>
        <v>0</v>
      </c>
      <c r="H656" s="427">
        <f t="shared" si="68"/>
        <v>0</v>
      </c>
      <c r="I656" s="427"/>
      <c r="J656" s="177"/>
      <c r="K656" s="427">
        <f t="shared" si="70"/>
        <v>0</v>
      </c>
      <c r="L656" s="427">
        <f t="shared" si="69"/>
        <v>0</v>
      </c>
      <c r="M656" s="680">
        <v>0</v>
      </c>
    </row>
    <row r="657" spans="1:13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33">
        <f>C657+D657+E657</f>
        <v>3220.9</v>
      </c>
      <c r="G657" s="760">
        <f t="shared" si="67"/>
        <v>4.899640205252772E-2</v>
      </c>
      <c r="H657" s="427">
        <f t="shared" si="68"/>
        <v>111.17920578945223</v>
      </c>
      <c r="I657" s="427">
        <f>H657*0.3677</f>
        <v>40.880593968781589</v>
      </c>
      <c r="J657" s="177">
        <v>51.605134237527267</v>
      </c>
      <c r="K657" s="427">
        <f t="shared" si="70"/>
        <v>39.273066065203594</v>
      </c>
      <c r="L657" s="427">
        <f t="shared" si="69"/>
        <v>47.873867533483185</v>
      </c>
      <c r="M657" s="680">
        <f>(K657+J657+I657+H657)/F657</f>
        <v>7.5425502207757039E-2</v>
      </c>
    </row>
    <row r="658" spans="1:13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33">
        <f>C658+D658+E658</f>
        <v>3593.47</v>
      </c>
      <c r="G658" s="760">
        <f t="shared" si="67"/>
        <v>5.4663945134495566E-2</v>
      </c>
      <c r="H658" s="427">
        <f t="shared" si="68"/>
        <v>124.03959782303792</v>
      </c>
      <c r="I658" s="427">
        <f>H658*0.3677</f>
        <v>45.609360119531047</v>
      </c>
      <c r="J658" s="177">
        <v>57.526278882322401</v>
      </c>
      <c r="K658" s="427">
        <f t="shared" si="70"/>
        <v>43.815885222554918</v>
      </c>
      <c r="L658" s="427">
        <f t="shared" si="69"/>
        <v>53.411564086294447</v>
      </c>
      <c r="M658" s="680">
        <f>(K658+J658+I658+H658)/F658</f>
        <v>7.5412100851668815E-2</v>
      </c>
    </row>
    <row r="659" spans="1:13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33">
        <f>C659+D659+E659</f>
        <v>5258.9</v>
      </c>
      <c r="G659" s="760">
        <f t="shared" si="67"/>
        <v>7.9998503137023197E-2</v>
      </c>
      <c r="H659" s="427">
        <f t="shared" si="68"/>
        <v>181.52700342331346</v>
      </c>
      <c r="I659" s="427">
        <f>H659*0.3677</f>
        <v>66.74747915875237</v>
      </c>
      <c r="J659" s="177">
        <v>84.020270701616752</v>
      </c>
      <c r="K659" s="427">
        <f t="shared" si="70"/>
        <v>64.122800189480941</v>
      </c>
      <c r="L659" s="427">
        <f t="shared" si="69"/>
        <v>78.165693430977271</v>
      </c>
      <c r="M659" s="680">
        <f>(K659+J659+I659+H659)/F659</f>
        <v>7.5380317837031224E-2</v>
      </c>
    </row>
    <row r="660" spans="1:13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33">
        <f>C660+D660+E660</f>
        <v>3743.95</v>
      </c>
      <c r="G660" s="760">
        <f t="shared" si="67"/>
        <v>5.6953050223403752E-2</v>
      </c>
      <c r="H660" s="427">
        <f t="shared" si="68"/>
        <v>129.23387485343216</v>
      </c>
      <c r="I660" s="427">
        <f>H660*0.3677</f>
        <v>47.519295783607006</v>
      </c>
      <c r="J660" s="177">
        <v>59.918403384691217</v>
      </c>
      <c r="K660" s="427">
        <f t="shared" si="70"/>
        <v>45.650717406569278</v>
      </c>
      <c r="L660" s="427">
        <f t="shared" si="69"/>
        <v>55.648224518607954</v>
      </c>
      <c r="M660" s="680">
        <f>(K660+J660+I660+H660)/F660</f>
        <v>7.5407601978738942E-2</v>
      </c>
    </row>
    <row r="661" spans="1:13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33">
        <f>C661+D661+E661</f>
        <v>3185.57</v>
      </c>
      <c r="G661" s="760">
        <f t="shared" si="67"/>
        <v>4.8458961310959899E-2</v>
      </c>
      <c r="H661" s="427">
        <f t="shared" si="68"/>
        <v>109.95968287953843</v>
      </c>
      <c r="I661" s="427">
        <f>H661*0.3677</f>
        <v>40.432175394806286</v>
      </c>
      <c r="J661" s="177">
        <v>52.059251988964306</v>
      </c>
      <c r="K661" s="427">
        <f t="shared" si="70"/>
        <v>38.842280438799904</v>
      </c>
      <c r="L661" s="427">
        <f t="shared" si="69"/>
        <v>47.348739854897083</v>
      </c>
      <c r="M661" s="680">
        <f>(K661+J661+I661+H661)/F661</f>
        <v>7.5745750588468913E-2</v>
      </c>
    </row>
    <row r="662" spans="1:13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33"/>
      <c r="G662" s="760">
        <f t="shared" si="67"/>
        <v>0</v>
      </c>
      <c r="H662" s="427">
        <f t="shared" si="68"/>
        <v>0</v>
      </c>
      <c r="I662" s="427"/>
      <c r="J662" s="177">
        <v>0</v>
      </c>
      <c r="K662" s="427">
        <f t="shared" si="70"/>
        <v>0</v>
      </c>
      <c r="L662" s="427">
        <f t="shared" si="69"/>
        <v>0</v>
      </c>
      <c r="M662" s="680">
        <v>0</v>
      </c>
    </row>
    <row r="663" spans="1:13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33"/>
      <c r="G663" s="760">
        <f t="shared" si="67"/>
        <v>0</v>
      </c>
      <c r="H663" s="427">
        <f t="shared" si="68"/>
        <v>0</v>
      </c>
      <c r="I663" s="427"/>
      <c r="J663" s="177">
        <v>0</v>
      </c>
      <c r="K663" s="427">
        <f t="shared" si="70"/>
        <v>0</v>
      </c>
      <c r="L663" s="427">
        <f t="shared" si="69"/>
        <v>0</v>
      </c>
      <c r="M663" s="680">
        <v>0</v>
      </c>
    </row>
    <row r="664" spans="1:13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33"/>
      <c r="G664" s="760">
        <f t="shared" si="67"/>
        <v>0</v>
      </c>
      <c r="H664" s="427">
        <f t="shared" si="68"/>
        <v>0</v>
      </c>
      <c r="I664" s="427"/>
      <c r="J664" s="177">
        <v>0</v>
      </c>
      <c r="K664" s="427">
        <f t="shared" si="70"/>
        <v>0</v>
      </c>
      <c r="L664" s="427">
        <f t="shared" si="69"/>
        <v>0</v>
      </c>
      <c r="M664" s="680">
        <v>0</v>
      </c>
    </row>
    <row r="665" spans="1:13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33"/>
      <c r="G665" s="760">
        <f t="shared" ref="G665:G728" si="71">3/197212.44*F665</f>
        <v>0</v>
      </c>
      <c r="H665" s="427">
        <f t="shared" ref="H665:H728" si="72">G665*2269.13</f>
        <v>0</v>
      </c>
      <c r="I665" s="427"/>
      <c r="J665" s="177">
        <v>0</v>
      </c>
      <c r="K665" s="427">
        <f t="shared" si="70"/>
        <v>0</v>
      </c>
      <c r="L665" s="427">
        <f t="shared" si="69"/>
        <v>0</v>
      </c>
      <c r="M665" s="680">
        <v>0</v>
      </c>
    </row>
    <row r="666" spans="1:13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33"/>
      <c r="G666" s="760">
        <f t="shared" si="71"/>
        <v>0</v>
      </c>
      <c r="H666" s="427">
        <f t="shared" si="72"/>
        <v>0</v>
      </c>
      <c r="I666" s="427"/>
      <c r="J666" s="177">
        <v>0</v>
      </c>
      <c r="K666" s="427">
        <f t="shared" si="70"/>
        <v>0</v>
      </c>
      <c r="L666" s="427">
        <f t="shared" si="69"/>
        <v>0</v>
      </c>
      <c r="M666" s="680">
        <v>0</v>
      </c>
    </row>
    <row r="667" spans="1:13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33"/>
      <c r="G667" s="760">
        <f t="shared" si="71"/>
        <v>0</v>
      </c>
      <c r="H667" s="427">
        <f t="shared" si="72"/>
        <v>0</v>
      </c>
      <c r="I667" s="427"/>
      <c r="J667" s="177">
        <v>0</v>
      </c>
      <c r="K667" s="427">
        <f t="shared" si="70"/>
        <v>0</v>
      </c>
      <c r="L667" s="427">
        <f t="shared" si="69"/>
        <v>0</v>
      </c>
      <c r="M667" s="680">
        <v>0</v>
      </c>
    </row>
    <row r="668" spans="1:13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33"/>
      <c r="G668" s="760">
        <f t="shared" si="71"/>
        <v>0</v>
      </c>
      <c r="H668" s="427">
        <f t="shared" si="72"/>
        <v>0</v>
      </c>
      <c r="I668" s="427"/>
      <c r="J668" s="177">
        <v>0</v>
      </c>
      <c r="K668" s="427">
        <f t="shared" si="70"/>
        <v>0</v>
      </c>
      <c r="L668" s="427">
        <f t="shared" si="69"/>
        <v>0</v>
      </c>
      <c r="M668" s="680">
        <v>0</v>
      </c>
    </row>
    <row r="669" spans="1:13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33"/>
      <c r="G669" s="760">
        <f t="shared" si="71"/>
        <v>0</v>
      </c>
      <c r="H669" s="427">
        <f t="shared" si="72"/>
        <v>0</v>
      </c>
      <c r="I669" s="427"/>
      <c r="J669" s="177">
        <v>0</v>
      </c>
      <c r="K669" s="427">
        <f t="shared" si="70"/>
        <v>0</v>
      </c>
      <c r="L669" s="427">
        <f t="shared" ref="L669:L732" si="73">K669*1.219</f>
        <v>0</v>
      </c>
      <c r="M669" s="680">
        <v>0</v>
      </c>
    </row>
    <row r="670" spans="1:13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33"/>
      <c r="G670" s="760">
        <f t="shared" si="71"/>
        <v>0</v>
      </c>
      <c r="H670" s="427">
        <f t="shared" si="72"/>
        <v>0</v>
      </c>
      <c r="I670" s="427"/>
      <c r="J670" s="177">
        <v>0</v>
      </c>
      <c r="K670" s="427">
        <f t="shared" si="70"/>
        <v>0</v>
      </c>
      <c r="L670" s="427">
        <f t="shared" si="73"/>
        <v>0</v>
      </c>
      <c r="M670" s="680">
        <v>0</v>
      </c>
    </row>
    <row r="671" spans="1:13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33"/>
      <c r="G671" s="760">
        <f t="shared" si="71"/>
        <v>0</v>
      </c>
      <c r="H671" s="427">
        <f t="shared" si="72"/>
        <v>0</v>
      </c>
      <c r="I671" s="427"/>
      <c r="J671" s="177">
        <v>0</v>
      </c>
      <c r="K671" s="427">
        <f t="shared" si="70"/>
        <v>0</v>
      </c>
      <c r="L671" s="427">
        <f t="shared" si="73"/>
        <v>0</v>
      </c>
      <c r="M671" s="680">
        <v>0</v>
      </c>
    </row>
    <row r="672" spans="1:13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33"/>
      <c r="G672" s="760">
        <f t="shared" si="71"/>
        <v>0</v>
      </c>
      <c r="H672" s="427">
        <f t="shared" si="72"/>
        <v>0</v>
      </c>
      <c r="I672" s="427"/>
      <c r="J672" s="177">
        <v>0</v>
      </c>
      <c r="K672" s="427">
        <f t="shared" si="70"/>
        <v>0</v>
      </c>
      <c r="L672" s="427">
        <f t="shared" si="73"/>
        <v>0</v>
      </c>
      <c r="M672" s="680">
        <v>0</v>
      </c>
    </row>
    <row r="673" spans="1:13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33"/>
      <c r="G673" s="760">
        <f t="shared" si="71"/>
        <v>0</v>
      </c>
      <c r="H673" s="427">
        <f t="shared" si="72"/>
        <v>0</v>
      </c>
      <c r="I673" s="427"/>
      <c r="J673" s="177">
        <v>0</v>
      </c>
      <c r="K673" s="427">
        <f t="shared" si="70"/>
        <v>0</v>
      </c>
      <c r="L673" s="427">
        <f t="shared" si="73"/>
        <v>0</v>
      </c>
      <c r="M673" s="680">
        <v>0</v>
      </c>
    </row>
    <row r="674" spans="1:13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33"/>
      <c r="G674" s="760">
        <f t="shared" si="71"/>
        <v>0</v>
      </c>
      <c r="H674" s="427">
        <f t="shared" si="72"/>
        <v>0</v>
      </c>
      <c r="I674" s="427"/>
      <c r="J674" s="177">
        <v>0</v>
      </c>
      <c r="K674" s="427">
        <f t="shared" si="70"/>
        <v>0</v>
      </c>
      <c r="L674" s="427">
        <f t="shared" si="73"/>
        <v>0</v>
      </c>
      <c r="M674" s="680">
        <v>0</v>
      </c>
    </row>
    <row r="675" spans="1:13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33"/>
      <c r="G675" s="760">
        <f t="shared" si="71"/>
        <v>0</v>
      </c>
      <c r="H675" s="427">
        <f t="shared" si="72"/>
        <v>0</v>
      </c>
      <c r="I675" s="427"/>
      <c r="J675" s="177">
        <v>0</v>
      </c>
      <c r="K675" s="427">
        <f t="shared" si="70"/>
        <v>0</v>
      </c>
      <c r="L675" s="427">
        <f t="shared" si="73"/>
        <v>0</v>
      </c>
      <c r="M675" s="680">
        <v>0</v>
      </c>
    </row>
    <row r="676" spans="1:13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33"/>
      <c r="G676" s="760">
        <f t="shared" si="71"/>
        <v>0</v>
      </c>
      <c r="H676" s="427">
        <f t="shared" si="72"/>
        <v>0</v>
      </c>
      <c r="I676" s="427"/>
      <c r="J676" s="177">
        <v>0</v>
      </c>
      <c r="K676" s="427">
        <f t="shared" si="70"/>
        <v>0</v>
      </c>
      <c r="L676" s="427">
        <f t="shared" si="73"/>
        <v>0</v>
      </c>
      <c r="M676" s="680">
        <v>0</v>
      </c>
    </row>
    <row r="677" spans="1:13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33"/>
      <c r="G677" s="760">
        <f t="shared" si="71"/>
        <v>0</v>
      </c>
      <c r="H677" s="427">
        <f t="shared" si="72"/>
        <v>0</v>
      </c>
      <c r="I677" s="427"/>
      <c r="J677" s="177">
        <v>0</v>
      </c>
      <c r="K677" s="427">
        <f t="shared" si="70"/>
        <v>0</v>
      </c>
      <c r="L677" s="427">
        <f t="shared" si="73"/>
        <v>0</v>
      </c>
      <c r="M677" s="680">
        <v>0</v>
      </c>
    </row>
    <row r="678" spans="1:13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33"/>
      <c r="G678" s="760">
        <f t="shared" si="71"/>
        <v>0</v>
      </c>
      <c r="H678" s="427">
        <f t="shared" si="72"/>
        <v>0</v>
      </c>
      <c r="I678" s="427"/>
      <c r="J678" s="177">
        <v>0</v>
      </c>
      <c r="K678" s="427">
        <f t="shared" si="70"/>
        <v>0</v>
      </c>
      <c r="L678" s="427">
        <f t="shared" si="73"/>
        <v>0</v>
      </c>
      <c r="M678" s="680">
        <v>0</v>
      </c>
    </row>
    <row r="679" spans="1:13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33"/>
      <c r="G679" s="760">
        <f t="shared" si="71"/>
        <v>0</v>
      </c>
      <c r="H679" s="427">
        <f t="shared" si="72"/>
        <v>0</v>
      </c>
      <c r="I679" s="427"/>
      <c r="J679" s="177">
        <v>0</v>
      </c>
      <c r="K679" s="427">
        <f t="shared" si="70"/>
        <v>0</v>
      </c>
      <c r="L679" s="427">
        <f t="shared" si="73"/>
        <v>0</v>
      </c>
      <c r="M679" s="680">
        <v>0</v>
      </c>
    </row>
    <row r="680" spans="1:13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33"/>
      <c r="G680" s="760">
        <f t="shared" si="71"/>
        <v>0</v>
      </c>
      <c r="H680" s="427">
        <f t="shared" si="72"/>
        <v>0</v>
      </c>
      <c r="I680" s="427"/>
      <c r="J680" s="177">
        <v>0</v>
      </c>
      <c r="K680" s="427">
        <f t="shared" ref="K680:K688" si="74">G680*801.55</f>
        <v>0</v>
      </c>
      <c r="L680" s="427">
        <f t="shared" si="73"/>
        <v>0</v>
      </c>
      <c r="M680" s="680">
        <v>0</v>
      </c>
    </row>
    <row r="681" spans="1:13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33"/>
      <c r="G681" s="760">
        <f t="shared" si="71"/>
        <v>0</v>
      </c>
      <c r="H681" s="427">
        <f t="shared" si="72"/>
        <v>0</v>
      </c>
      <c r="I681" s="427"/>
      <c r="J681" s="177">
        <v>0</v>
      </c>
      <c r="K681" s="427">
        <f t="shared" si="74"/>
        <v>0</v>
      </c>
      <c r="L681" s="427">
        <f t="shared" si="73"/>
        <v>0</v>
      </c>
      <c r="M681" s="680">
        <v>0</v>
      </c>
    </row>
    <row r="682" spans="1:13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33">
        <f>C682+D682+E682</f>
        <v>1851.82</v>
      </c>
      <c r="G682" s="760">
        <f t="shared" si="71"/>
        <v>2.8169926805834355E-2</v>
      </c>
      <c r="H682" s="427">
        <f t="shared" si="72"/>
        <v>63.921226012922915</v>
      </c>
      <c r="I682" s="427">
        <f>H682*0.3677</f>
        <v>23.503834804951758</v>
      </c>
      <c r="J682" s="177">
        <v>29.227825518266378</v>
      </c>
      <c r="K682" s="427">
        <f t="shared" si="74"/>
        <v>22.579604831216525</v>
      </c>
      <c r="L682" s="427">
        <f t="shared" si="73"/>
        <v>27.524538289252945</v>
      </c>
      <c r="M682" s="680">
        <f>(K682+J682+I682+H682)/F682</f>
        <v>7.5186838443994333E-2</v>
      </c>
    </row>
    <row r="683" spans="1:13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33">
        <f>C683+D683+E683</f>
        <v>933.25</v>
      </c>
      <c r="G683" s="760">
        <f t="shared" si="71"/>
        <v>1.4196619645292152E-2</v>
      </c>
      <c r="H683" s="427">
        <f t="shared" si="72"/>
        <v>32.213975535721779</v>
      </c>
      <c r="I683" s="427">
        <f>H683*0.3677</f>
        <v>11.845078804484899</v>
      </c>
      <c r="J683" s="177">
        <v>14.967791542869389</v>
      </c>
      <c r="K683" s="427">
        <f t="shared" si="74"/>
        <v>11.379300476683923</v>
      </c>
      <c r="L683" s="427">
        <f t="shared" si="73"/>
        <v>13.871367281077703</v>
      </c>
      <c r="M683" s="680">
        <f>(K683+J683+I683+H683)/F683</f>
        <v>7.5441892697305099E-2</v>
      </c>
    </row>
    <row r="684" spans="1:13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33">
        <f>C684+D684+E684</f>
        <v>1158.5</v>
      </c>
      <c r="G684" s="760">
        <f t="shared" si="71"/>
        <v>1.7623127628257122E-2</v>
      </c>
      <c r="H684" s="427">
        <f t="shared" si="72"/>
        <v>39.989167595107084</v>
      </c>
      <c r="I684" s="427">
        <f>H684*0.3677</f>
        <v>14.704016924720875</v>
      </c>
      <c r="J684" s="177">
        <v>18.550614070515312</v>
      </c>
      <c r="K684" s="427">
        <f t="shared" si="74"/>
        <v>14.125817950429495</v>
      </c>
      <c r="L684" s="427">
        <f t="shared" si="73"/>
        <v>17.219372081573557</v>
      </c>
      <c r="M684" s="680">
        <f>(K684+J684+I684+H684)/F684</f>
        <v>7.5416155840114601E-2</v>
      </c>
    </row>
    <row r="685" spans="1:13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33">
        <f>C685+D685+E685</f>
        <v>3775.6499999999996</v>
      </c>
      <c r="G685" s="760">
        <f t="shared" si="71"/>
        <v>5.7435271324668961E-2</v>
      </c>
      <c r="H685" s="427">
        <f t="shared" si="72"/>
        <v>130.32809722094609</v>
      </c>
      <c r="I685" s="427">
        <f>H685*0.3677</f>
        <v>47.921641348141883</v>
      </c>
      <c r="J685" s="177">
        <v>60.434810207111688</v>
      </c>
      <c r="K685" s="427">
        <f t="shared" si="74"/>
        <v>46.0372417302884</v>
      </c>
      <c r="L685" s="427">
        <f t="shared" si="73"/>
        <v>56.119397669221563</v>
      </c>
      <c r="M685" s="680">
        <f>(K685+J685+I685+H685)/F685</f>
        <v>7.5410006358239814E-2</v>
      </c>
    </row>
    <row r="686" spans="1:13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33"/>
      <c r="G686" s="760">
        <f t="shared" si="71"/>
        <v>0</v>
      </c>
      <c r="H686" s="427">
        <f t="shared" si="72"/>
        <v>0</v>
      </c>
      <c r="I686" s="427"/>
      <c r="J686" s="177">
        <v>0</v>
      </c>
      <c r="K686" s="427">
        <f t="shared" si="74"/>
        <v>0</v>
      </c>
      <c r="L686" s="427">
        <f t="shared" si="73"/>
        <v>0</v>
      </c>
      <c r="M686" s="680">
        <v>0</v>
      </c>
    </row>
    <row r="687" spans="1:13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33"/>
      <c r="G687" s="760">
        <f t="shared" si="71"/>
        <v>0</v>
      </c>
      <c r="H687" s="427">
        <f t="shared" si="72"/>
        <v>0</v>
      </c>
      <c r="I687" s="427"/>
      <c r="J687" s="177">
        <v>0</v>
      </c>
      <c r="K687" s="427">
        <f t="shared" si="74"/>
        <v>0</v>
      </c>
      <c r="L687" s="427">
        <f t="shared" si="73"/>
        <v>0</v>
      </c>
      <c r="M687" s="680">
        <v>0</v>
      </c>
    </row>
    <row r="688" spans="1:13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33"/>
      <c r="G688" s="760">
        <f t="shared" si="71"/>
        <v>0</v>
      </c>
      <c r="H688" s="427">
        <f t="shared" si="72"/>
        <v>0</v>
      </c>
      <c r="I688" s="427"/>
      <c r="J688" s="177">
        <v>0</v>
      </c>
      <c r="K688" s="427">
        <f t="shared" si="74"/>
        <v>0</v>
      </c>
      <c r="L688" s="427">
        <f t="shared" si="73"/>
        <v>0</v>
      </c>
      <c r="M688" s="680">
        <v>0</v>
      </c>
    </row>
    <row r="689" spans="1:13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33"/>
      <c r="G689" s="760">
        <f t="shared" si="71"/>
        <v>0</v>
      </c>
      <c r="H689" s="427">
        <f t="shared" si="72"/>
        <v>0</v>
      </c>
      <c r="I689" s="427"/>
      <c r="J689" s="177">
        <v>0.95595309452720256</v>
      </c>
      <c r="K689" s="427">
        <f t="shared" ref="K689:K703" si="75">G689*801.55*1.08</f>
        <v>0</v>
      </c>
      <c r="L689" s="427">
        <f t="shared" si="73"/>
        <v>0</v>
      </c>
      <c r="M689" s="680">
        <v>0</v>
      </c>
    </row>
    <row r="690" spans="1:13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33"/>
      <c r="G690" s="760">
        <f t="shared" si="71"/>
        <v>0</v>
      </c>
      <c r="H690" s="427">
        <f t="shared" si="72"/>
        <v>0</v>
      </c>
      <c r="I690" s="427"/>
      <c r="J690" s="177">
        <v>1.0584338282788623</v>
      </c>
      <c r="K690" s="427">
        <f t="shared" si="75"/>
        <v>0</v>
      </c>
      <c r="L690" s="427">
        <f t="shared" si="73"/>
        <v>0</v>
      </c>
      <c r="M690" s="680">
        <v>0</v>
      </c>
    </row>
    <row r="691" spans="1:13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33"/>
      <c r="G691" s="760">
        <f t="shared" si="71"/>
        <v>0</v>
      </c>
      <c r="H691" s="427">
        <f t="shared" si="72"/>
        <v>0</v>
      </c>
      <c r="I691" s="427"/>
      <c r="J691" s="177">
        <v>1.7870077947945695</v>
      </c>
      <c r="K691" s="427">
        <f t="shared" si="75"/>
        <v>0</v>
      </c>
      <c r="L691" s="427">
        <f t="shared" si="73"/>
        <v>0</v>
      </c>
      <c r="M691" s="680">
        <v>0</v>
      </c>
    </row>
    <row r="692" spans="1:13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33"/>
      <c r="G692" s="760">
        <f t="shared" si="71"/>
        <v>0</v>
      </c>
      <c r="H692" s="427">
        <f t="shared" si="72"/>
        <v>0</v>
      </c>
      <c r="I692" s="427"/>
      <c r="J692" s="177">
        <v>1.9087036661246657</v>
      </c>
      <c r="K692" s="427">
        <f t="shared" si="75"/>
        <v>0</v>
      </c>
      <c r="L692" s="427">
        <f t="shared" si="73"/>
        <v>0</v>
      </c>
      <c r="M692" s="680">
        <v>0</v>
      </c>
    </row>
    <row r="693" spans="1:13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33"/>
      <c r="G693" s="760">
        <f t="shared" si="71"/>
        <v>0</v>
      </c>
      <c r="H693" s="427">
        <f t="shared" si="72"/>
        <v>0</v>
      </c>
      <c r="I693" s="427"/>
      <c r="J693" s="177">
        <v>2.2353610049580817</v>
      </c>
      <c r="K693" s="427">
        <f t="shared" si="75"/>
        <v>0</v>
      </c>
      <c r="L693" s="427">
        <f t="shared" si="73"/>
        <v>0</v>
      </c>
      <c r="M693" s="680">
        <v>0</v>
      </c>
    </row>
    <row r="694" spans="1:13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33"/>
      <c r="G694" s="760">
        <f t="shared" si="71"/>
        <v>0</v>
      </c>
      <c r="H694" s="427">
        <f t="shared" si="72"/>
        <v>0</v>
      </c>
      <c r="I694" s="427"/>
      <c r="J694" s="177">
        <v>1.0648388741383412</v>
      </c>
      <c r="K694" s="427">
        <f t="shared" si="75"/>
        <v>0</v>
      </c>
      <c r="L694" s="427">
        <f t="shared" si="73"/>
        <v>0</v>
      </c>
      <c r="M694" s="680">
        <v>0</v>
      </c>
    </row>
    <row r="695" spans="1:13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33"/>
      <c r="G695" s="760">
        <f t="shared" si="71"/>
        <v>0</v>
      </c>
      <c r="H695" s="427">
        <f t="shared" si="72"/>
        <v>0</v>
      </c>
      <c r="I695" s="427"/>
      <c r="J695" s="177">
        <v>1.0728451814626896</v>
      </c>
      <c r="K695" s="427">
        <f t="shared" si="75"/>
        <v>0</v>
      </c>
      <c r="L695" s="427">
        <f t="shared" si="73"/>
        <v>0</v>
      </c>
      <c r="M695" s="680">
        <v>0</v>
      </c>
    </row>
    <row r="696" spans="1:13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33"/>
      <c r="G696" s="760">
        <f t="shared" si="71"/>
        <v>0</v>
      </c>
      <c r="H696" s="427">
        <f t="shared" si="72"/>
        <v>0</v>
      </c>
      <c r="I696" s="427"/>
      <c r="J696" s="177">
        <v>3.3978768284534739</v>
      </c>
      <c r="K696" s="427">
        <f t="shared" si="75"/>
        <v>0</v>
      </c>
      <c r="L696" s="427">
        <f t="shared" si="73"/>
        <v>0</v>
      </c>
      <c r="M696" s="680">
        <v>0</v>
      </c>
    </row>
    <row r="697" spans="1:13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33"/>
      <c r="G697" s="760">
        <f t="shared" si="71"/>
        <v>0</v>
      </c>
      <c r="H697" s="427">
        <f t="shared" si="72"/>
        <v>0</v>
      </c>
      <c r="I697" s="427"/>
      <c r="J697" s="177">
        <v>0.66612476938578935</v>
      </c>
      <c r="K697" s="427">
        <f t="shared" si="75"/>
        <v>0</v>
      </c>
      <c r="L697" s="427">
        <f t="shared" si="73"/>
        <v>0</v>
      </c>
      <c r="M697" s="680">
        <v>0</v>
      </c>
    </row>
    <row r="698" spans="1:13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33"/>
      <c r="G698" s="760">
        <f t="shared" si="71"/>
        <v>0</v>
      </c>
      <c r="H698" s="427">
        <f t="shared" si="72"/>
        <v>0</v>
      </c>
      <c r="I698" s="427"/>
      <c r="J698" s="177">
        <v>7.4746885180116944</v>
      </c>
      <c r="K698" s="427">
        <f t="shared" si="75"/>
        <v>0</v>
      </c>
      <c r="L698" s="427">
        <f t="shared" si="73"/>
        <v>0</v>
      </c>
      <c r="M698" s="680">
        <v>0</v>
      </c>
    </row>
    <row r="699" spans="1:13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33"/>
      <c r="G699" s="760">
        <f t="shared" si="71"/>
        <v>0</v>
      </c>
      <c r="H699" s="427">
        <f t="shared" si="72"/>
        <v>0</v>
      </c>
      <c r="I699" s="427"/>
      <c r="J699" s="177">
        <v>10.910355117036092</v>
      </c>
      <c r="K699" s="427">
        <f t="shared" si="75"/>
        <v>0</v>
      </c>
      <c r="L699" s="427">
        <f t="shared" si="73"/>
        <v>0</v>
      </c>
      <c r="M699" s="680">
        <v>0</v>
      </c>
    </row>
    <row r="700" spans="1:13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33"/>
      <c r="G700" s="760">
        <f t="shared" si="71"/>
        <v>0</v>
      </c>
      <c r="H700" s="427">
        <f t="shared" si="72"/>
        <v>0</v>
      </c>
      <c r="I700" s="427"/>
      <c r="J700" s="177">
        <v>0.93193417255415734</v>
      </c>
      <c r="K700" s="427">
        <f t="shared" si="75"/>
        <v>0</v>
      </c>
      <c r="L700" s="427">
        <f t="shared" si="73"/>
        <v>0</v>
      </c>
      <c r="M700" s="680">
        <v>0</v>
      </c>
    </row>
    <row r="701" spans="1:13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33"/>
      <c r="G701" s="760">
        <f t="shared" si="71"/>
        <v>0</v>
      </c>
      <c r="H701" s="427">
        <f t="shared" si="72"/>
        <v>0</v>
      </c>
      <c r="I701" s="427"/>
      <c r="J701" s="177">
        <v>8.0735603058729577</v>
      </c>
      <c r="K701" s="427">
        <f t="shared" si="75"/>
        <v>0</v>
      </c>
      <c r="L701" s="427">
        <f t="shared" si="73"/>
        <v>0</v>
      </c>
      <c r="M701" s="680">
        <v>0</v>
      </c>
    </row>
    <row r="702" spans="1:13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33"/>
      <c r="G702" s="760">
        <f t="shared" si="71"/>
        <v>0</v>
      </c>
      <c r="H702" s="427">
        <f t="shared" si="72"/>
        <v>0</v>
      </c>
      <c r="I702" s="427"/>
      <c r="J702" s="177">
        <v>2.6677016004728968</v>
      </c>
      <c r="K702" s="427">
        <f t="shared" si="75"/>
        <v>0</v>
      </c>
      <c r="L702" s="427">
        <f t="shared" si="73"/>
        <v>0</v>
      </c>
      <c r="M702" s="680">
        <v>0</v>
      </c>
    </row>
    <row r="703" spans="1:13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33"/>
      <c r="G703" s="760">
        <f t="shared" si="71"/>
        <v>0</v>
      </c>
      <c r="H703" s="427">
        <f t="shared" si="72"/>
        <v>0</v>
      </c>
      <c r="I703" s="427"/>
      <c r="J703" s="177">
        <v>0.60527683372074126</v>
      </c>
      <c r="K703" s="427">
        <f t="shared" si="75"/>
        <v>0</v>
      </c>
      <c r="L703" s="427">
        <f t="shared" si="73"/>
        <v>0</v>
      </c>
      <c r="M703" s="680">
        <v>0</v>
      </c>
    </row>
    <row r="704" spans="1:13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33"/>
      <c r="G704" s="760">
        <f t="shared" si="71"/>
        <v>0</v>
      </c>
      <c r="H704" s="427">
        <f t="shared" si="72"/>
        <v>0</v>
      </c>
      <c r="I704" s="427"/>
      <c r="J704" s="177">
        <v>0</v>
      </c>
      <c r="K704" s="427">
        <f t="shared" ref="K704:K744" si="76">G704*801.55</f>
        <v>0</v>
      </c>
      <c r="L704" s="427">
        <f t="shared" si="73"/>
        <v>0</v>
      </c>
      <c r="M704" s="680">
        <v>0</v>
      </c>
    </row>
    <row r="705" spans="1:13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33"/>
      <c r="G705" s="760">
        <f t="shared" si="71"/>
        <v>0</v>
      </c>
      <c r="H705" s="427">
        <f t="shared" si="72"/>
        <v>0</v>
      </c>
      <c r="I705" s="427"/>
      <c r="J705" s="177">
        <v>0</v>
      </c>
      <c r="K705" s="427">
        <f t="shared" si="76"/>
        <v>0</v>
      </c>
      <c r="L705" s="427">
        <f t="shared" si="73"/>
        <v>0</v>
      </c>
      <c r="M705" s="680">
        <v>0</v>
      </c>
    </row>
    <row r="706" spans="1:13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33"/>
      <c r="G706" s="760">
        <f t="shared" si="71"/>
        <v>0</v>
      </c>
      <c r="H706" s="427">
        <f t="shared" si="72"/>
        <v>0</v>
      </c>
      <c r="I706" s="427"/>
      <c r="J706" s="177">
        <v>0</v>
      </c>
      <c r="K706" s="427">
        <f t="shared" si="76"/>
        <v>0</v>
      </c>
      <c r="L706" s="427">
        <f t="shared" si="73"/>
        <v>0</v>
      </c>
      <c r="M706" s="680">
        <v>0</v>
      </c>
    </row>
    <row r="707" spans="1:13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33"/>
      <c r="G707" s="760">
        <f t="shared" si="71"/>
        <v>0</v>
      </c>
      <c r="H707" s="427">
        <f t="shared" si="72"/>
        <v>0</v>
      </c>
      <c r="I707" s="427"/>
      <c r="J707" s="177">
        <v>0</v>
      </c>
      <c r="K707" s="427">
        <f t="shared" si="76"/>
        <v>0</v>
      </c>
      <c r="L707" s="427">
        <f t="shared" si="73"/>
        <v>0</v>
      </c>
      <c r="M707" s="680">
        <v>0</v>
      </c>
    </row>
    <row r="708" spans="1:13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33"/>
      <c r="G708" s="760">
        <f t="shared" si="71"/>
        <v>0</v>
      </c>
      <c r="H708" s="427">
        <f t="shared" si="72"/>
        <v>0</v>
      </c>
      <c r="I708" s="427"/>
      <c r="J708" s="177">
        <v>0</v>
      </c>
      <c r="K708" s="427">
        <f t="shared" si="76"/>
        <v>0</v>
      </c>
      <c r="L708" s="427">
        <f t="shared" si="73"/>
        <v>0</v>
      </c>
      <c r="M708" s="680">
        <v>0</v>
      </c>
    </row>
    <row r="709" spans="1:13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33"/>
      <c r="G709" s="760">
        <f t="shared" si="71"/>
        <v>0</v>
      </c>
      <c r="H709" s="427">
        <f t="shared" si="72"/>
        <v>0</v>
      </c>
      <c r="I709" s="427"/>
      <c r="J709" s="177">
        <v>0</v>
      </c>
      <c r="K709" s="427">
        <f t="shared" si="76"/>
        <v>0</v>
      </c>
      <c r="L709" s="427">
        <f t="shared" si="73"/>
        <v>0</v>
      </c>
      <c r="M709" s="680">
        <v>0</v>
      </c>
    </row>
    <row r="710" spans="1:13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33"/>
      <c r="G710" s="760">
        <f t="shared" si="71"/>
        <v>0</v>
      </c>
      <c r="H710" s="427">
        <f t="shared" si="72"/>
        <v>0</v>
      </c>
      <c r="I710" s="427"/>
      <c r="J710" s="177">
        <v>0</v>
      </c>
      <c r="K710" s="427">
        <f t="shared" si="76"/>
        <v>0</v>
      </c>
      <c r="L710" s="427">
        <f t="shared" si="73"/>
        <v>0</v>
      </c>
      <c r="M710" s="680">
        <v>0</v>
      </c>
    </row>
    <row r="711" spans="1:13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33"/>
      <c r="G711" s="760">
        <f t="shared" si="71"/>
        <v>0</v>
      </c>
      <c r="H711" s="427">
        <f t="shared" si="72"/>
        <v>0</v>
      </c>
      <c r="I711" s="427"/>
      <c r="J711" s="177">
        <v>0</v>
      </c>
      <c r="K711" s="427">
        <f t="shared" si="76"/>
        <v>0</v>
      </c>
      <c r="L711" s="427">
        <f t="shared" si="73"/>
        <v>0</v>
      </c>
      <c r="M711" s="680">
        <v>0</v>
      </c>
    </row>
    <row r="712" spans="1:13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33"/>
      <c r="G712" s="760">
        <f t="shared" si="71"/>
        <v>0</v>
      </c>
      <c r="H712" s="427">
        <f t="shared" si="72"/>
        <v>0</v>
      </c>
      <c r="I712" s="427"/>
      <c r="J712" s="177">
        <v>0</v>
      </c>
      <c r="K712" s="427">
        <f t="shared" si="76"/>
        <v>0</v>
      </c>
      <c r="L712" s="427">
        <f t="shared" si="73"/>
        <v>0</v>
      </c>
      <c r="M712" s="680">
        <v>0</v>
      </c>
    </row>
    <row r="713" spans="1:13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33">
        <f>C713+D713+E713</f>
        <v>428.31</v>
      </c>
      <c r="G713" s="760">
        <f t="shared" si="71"/>
        <v>6.5154611950442882E-3</v>
      </c>
      <c r="H713" s="427">
        <f t="shared" si="72"/>
        <v>14.784428461510846</v>
      </c>
      <c r="I713" s="427">
        <f>H713*0.3677</f>
        <v>5.4362343452975379</v>
      </c>
      <c r="J713" s="177">
        <v>6.846994023782778</v>
      </c>
      <c r="K713" s="427">
        <f t="shared" si="76"/>
        <v>5.2224679208877491</v>
      </c>
      <c r="L713" s="427">
        <f t="shared" si="73"/>
        <v>6.3661883955621663</v>
      </c>
      <c r="M713" s="680">
        <f>(K713+J713+I713+H713)/F713</f>
        <v>7.5389612083488391E-2</v>
      </c>
    </row>
    <row r="714" spans="1:13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33">
        <f>C714+D714+E714</f>
        <v>744.3</v>
      </c>
      <c r="G714" s="760">
        <f t="shared" si="71"/>
        <v>1.132230806535328E-2</v>
      </c>
      <c r="H714" s="427">
        <f t="shared" si="72"/>
        <v>25.691788900335087</v>
      </c>
      <c r="I714" s="427">
        <f>H714*0.3677</f>
        <v>9.4468707786532118</v>
      </c>
      <c r="J714" s="177">
        <v>11.918189083025073</v>
      </c>
      <c r="K714" s="427">
        <f t="shared" si="76"/>
        <v>9.0753960297839207</v>
      </c>
      <c r="L714" s="427">
        <f t="shared" si="73"/>
        <v>11.062907760306601</v>
      </c>
      <c r="M714" s="680">
        <f>(K714+J714+I714+H714)/F714</f>
        <v>7.5416155840114601E-2</v>
      </c>
    </row>
    <row r="715" spans="1:13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33">
        <f>C715+D715+E715</f>
        <v>1084.5899999999999</v>
      </c>
      <c r="G715" s="760">
        <f t="shared" si="71"/>
        <v>1.6498807073225197E-2</v>
      </c>
      <c r="H715" s="427">
        <f t="shared" si="72"/>
        <v>37.437938094067498</v>
      </c>
      <c r="I715" s="427">
        <f>H715*0.3677</f>
        <v>13.765929837188621</v>
      </c>
      <c r="J715" s="177">
        <v>17.367121721830127</v>
      </c>
      <c r="K715" s="427">
        <f t="shared" si="76"/>
        <v>13.224618809543657</v>
      </c>
      <c r="L715" s="427">
        <f t="shared" si="73"/>
        <v>16.12081032883372</v>
      </c>
      <c r="M715" s="680">
        <f>(K715+J715+I715+H715)/F715</f>
        <v>7.5416155840114615E-2</v>
      </c>
    </row>
    <row r="716" spans="1:13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33">
        <f>C716+D716+E716</f>
        <v>1069.71</v>
      </c>
      <c r="G716" s="760">
        <f t="shared" si="71"/>
        <v>1.6272452184050865E-2</v>
      </c>
      <c r="H716" s="427">
        <f t="shared" si="72"/>
        <v>36.924309424395339</v>
      </c>
      <c r="I716" s="427">
        <f>H716*0.3677</f>
        <v>13.577068575350168</v>
      </c>
      <c r="J716" s="177">
        <v>17.12885401585752</v>
      </c>
      <c r="K716" s="427">
        <f t="shared" si="76"/>
        <v>13.043184048125969</v>
      </c>
      <c r="L716" s="427">
        <f t="shared" si="73"/>
        <v>15.899641354665558</v>
      </c>
      <c r="M716" s="680">
        <f>(K716+J716+I716+H716)/F716</f>
        <v>7.5416155840114615E-2</v>
      </c>
    </row>
    <row r="717" spans="1:13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33"/>
      <c r="G717" s="760">
        <f t="shared" si="71"/>
        <v>0</v>
      </c>
      <c r="H717" s="427">
        <f t="shared" si="72"/>
        <v>0</v>
      </c>
      <c r="I717" s="427"/>
      <c r="J717" s="177">
        <v>0</v>
      </c>
      <c r="K717" s="427">
        <f t="shared" si="76"/>
        <v>0</v>
      </c>
      <c r="L717" s="427">
        <f t="shared" si="73"/>
        <v>0</v>
      </c>
      <c r="M717" s="680">
        <v>0</v>
      </c>
    </row>
    <row r="718" spans="1:13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33">
        <f>C718+D718+E718</f>
        <v>625.9</v>
      </c>
      <c r="G718" s="760">
        <f t="shared" si="71"/>
        <v>9.521204646116643E-3</v>
      </c>
      <c r="H718" s="427">
        <f t="shared" si="72"/>
        <v>21.604851098642659</v>
      </c>
      <c r="I718" s="427">
        <f>H718*0.3677</f>
        <v>7.9441037489709059</v>
      </c>
      <c r="J718" s="177">
        <v>12.843718209719752</v>
      </c>
      <c r="K718" s="427">
        <f t="shared" si="76"/>
        <v>7.6317215840947945</v>
      </c>
      <c r="L718" s="427">
        <f t="shared" si="73"/>
        <v>9.3030686110115557</v>
      </c>
      <c r="M718" s="680">
        <f>(K718+J718+I718+H718)/F718</f>
        <v>7.9923940951315081E-2</v>
      </c>
    </row>
    <row r="719" spans="1:13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33"/>
      <c r="G719" s="760">
        <f t="shared" si="71"/>
        <v>0</v>
      </c>
      <c r="H719" s="427">
        <f t="shared" si="72"/>
        <v>0</v>
      </c>
      <c r="I719" s="427"/>
      <c r="J719" s="177">
        <v>0</v>
      </c>
      <c r="K719" s="427">
        <f t="shared" si="76"/>
        <v>0</v>
      </c>
      <c r="L719" s="427">
        <f t="shared" si="73"/>
        <v>0</v>
      </c>
      <c r="M719" s="680">
        <v>0</v>
      </c>
    </row>
    <row r="720" spans="1:13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33"/>
      <c r="G720" s="760">
        <f t="shared" si="71"/>
        <v>0</v>
      </c>
      <c r="H720" s="427">
        <f t="shared" si="72"/>
        <v>0</v>
      </c>
      <c r="I720" s="427"/>
      <c r="J720" s="177">
        <v>0</v>
      </c>
      <c r="K720" s="427">
        <f t="shared" si="76"/>
        <v>0</v>
      </c>
      <c r="L720" s="427">
        <f t="shared" si="73"/>
        <v>0</v>
      </c>
      <c r="M720" s="680">
        <v>0</v>
      </c>
    </row>
    <row r="721" spans="1:13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33"/>
      <c r="G721" s="760">
        <f t="shared" si="71"/>
        <v>0</v>
      </c>
      <c r="H721" s="427">
        <f t="shared" si="72"/>
        <v>0</v>
      </c>
      <c r="I721" s="427"/>
      <c r="J721" s="177">
        <v>0</v>
      </c>
      <c r="K721" s="427">
        <f t="shared" si="76"/>
        <v>0</v>
      </c>
      <c r="L721" s="427">
        <f t="shared" si="73"/>
        <v>0</v>
      </c>
      <c r="M721" s="680">
        <v>0</v>
      </c>
    </row>
    <row r="722" spans="1:13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33"/>
      <c r="G722" s="760">
        <f t="shared" si="71"/>
        <v>0</v>
      </c>
      <c r="H722" s="427">
        <f t="shared" si="72"/>
        <v>0</v>
      </c>
      <c r="I722" s="427"/>
      <c r="J722" s="177">
        <v>0</v>
      </c>
      <c r="K722" s="427">
        <f t="shared" si="76"/>
        <v>0</v>
      </c>
      <c r="L722" s="427">
        <f t="shared" si="73"/>
        <v>0</v>
      </c>
      <c r="M722" s="680">
        <v>0</v>
      </c>
    </row>
    <row r="723" spans="1:13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33"/>
      <c r="G723" s="760">
        <f t="shared" si="71"/>
        <v>0</v>
      </c>
      <c r="H723" s="427">
        <f t="shared" si="72"/>
        <v>0</v>
      </c>
      <c r="I723" s="427"/>
      <c r="J723" s="177">
        <v>0</v>
      </c>
      <c r="K723" s="427">
        <f t="shared" si="76"/>
        <v>0</v>
      </c>
      <c r="L723" s="427">
        <f t="shared" si="73"/>
        <v>0</v>
      </c>
      <c r="M723" s="680">
        <v>0</v>
      </c>
    </row>
    <row r="724" spans="1:13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33"/>
      <c r="G724" s="760">
        <f t="shared" si="71"/>
        <v>0</v>
      </c>
      <c r="H724" s="427">
        <f t="shared" si="72"/>
        <v>0</v>
      </c>
      <c r="I724" s="427"/>
      <c r="J724" s="177">
        <v>0</v>
      </c>
      <c r="K724" s="427">
        <f t="shared" si="76"/>
        <v>0</v>
      </c>
      <c r="L724" s="427">
        <f t="shared" si="73"/>
        <v>0</v>
      </c>
      <c r="M724" s="680">
        <v>0</v>
      </c>
    </row>
    <row r="725" spans="1:13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33"/>
      <c r="G725" s="760">
        <f t="shared" si="71"/>
        <v>0</v>
      </c>
      <c r="H725" s="427">
        <f t="shared" si="72"/>
        <v>0</v>
      </c>
      <c r="I725" s="427"/>
      <c r="J725" s="177">
        <v>0</v>
      </c>
      <c r="K725" s="427">
        <f t="shared" si="76"/>
        <v>0</v>
      </c>
      <c r="L725" s="427">
        <f t="shared" si="73"/>
        <v>0</v>
      </c>
      <c r="M725" s="680">
        <v>0</v>
      </c>
    </row>
    <row r="726" spans="1:13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33"/>
      <c r="G726" s="760">
        <f t="shared" si="71"/>
        <v>0</v>
      </c>
      <c r="H726" s="427">
        <f t="shared" si="72"/>
        <v>0</v>
      </c>
      <c r="I726" s="427"/>
      <c r="J726" s="177">
        <v>0</v>
      </c>
      <c r="K726" s="427">
        <f t="shared" si="76"/>
        <v>0</v>
      </c>
      <c r="L726" s="427">
        <f t="shared" si="73"/>
        <v>0</v>
      </c>
      <c r="M726" s="680">
        <v>0</v>
      </c>
    </row>
    <row r="727" spans="1:13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33"/>
      <c r="G727" s="760">
        <f t="shared" si="71"/>
        <v>0</v>
      </c>
      <c r="H727" s="427">
        <f t="shared" si="72"/>
        <v>0</v>
      </c>
      <c r="I727" s="427"/>
      <c r="J727" s="177">
        <v>0</v>
      </c>
      <c r="K727" s="427">
        <f t="shared" si="76"/>
        <v>0</v>
      </c>
      <c r="L727" s="427">
        <f t="shared" si="73"/>
        <v>0</v>
      </c>
      <c r="M727" s="680">
        <v>0</v>
      </c>
    </row>
    <row r="728" spans="1:13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33">
        <f>C728+D728+E728</f>
        <v>2954.3</v>
      </c>
      <c r="G728" s="760">
        <f t="shared" si="71"/>
        <v>4.4940876954820901E-2</v>
      </c>
      <c r="H728" s="427">
        <f t="shared" si="72"/>
        <v>101.97669212449276</v>
      </c>
      <c r="I728" s="427">
        <f>H728*0.3677</f>
        <v>37.496829694175993</v>
      </c>
      <c r="J728" s="177">
        <v>47.246820782444949</v>
      </c>
      <c r="K728" s="427">
        <f t="shared" si="76"/>
        <v>36.02235992313669</v>
      </c>
      <c r="L728" s="427">
        <f t="shared" si="73"/>
        <v>43.911256746303629</v>
      </c>
      <c r="M728" s="680">
        <f>(K728+J728+I728+H728)/F728</f>
        <v>7.539610145355935E-2</v>
      </c>
    </row>
    <row r="729" spans="1:13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33"/>
      <c r="G729" s="760">
        <f t="shared" ref="G729:G746" si="77">3/197212.44*F729</f>
        <v>0</v>
      </c>
      <c r="H729" s="427">
        <f t="shared" ref="H729:H745" si="78">G729*2269.13</f>
        <v>0</v>
      </c>
      <c r="I729" s="427"/>
      <c r="J729" s="177">
        <v>0</v>
      </c>
      <c r="K729" s="427">
        <f t="shared" si="76"/>
        <v>0</v>
      </c>
      <c r="L729" s="427">
        <f t="shared" si="73"/>
        <v>0</v>
      </c>
      <c r="M729" s="680">
        <v>0</v>
      </c>
    </row>
    <row r="730" spans="1:13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33"/>
      <c r="G730" s="760">
        <f t="shared" si="77"/>
        <v>0</v>
      </c>
      <c r="H730" s="427">
        <f t="shared" si="78"/>
        <v>0</v>
      </c>
      <c r="I730" s="427"/>
      <c r="J730" s="177">
        <v>0</v>
      </c>
      <c r="K730" s="427">
        <f t="shared" si="76"/>
        <v>0</v>
      </c>
      <c r="L730" s="427">
        <f t="shared" si="73"/>
        <v>0</v>
      </c>
      <c r="M730" s="680">
        <v>0</v>
      </c>
    </row>
    <row r="731" spans="1:13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33"/>
      <c r="G731" s="760">
        <f t="shared" si="77"/>
        <v>0</v>
      </c>
      <c r="H731" s="427">
        <f t="shared" si="78"/>
        <v>0</v>
      </c>
      <c r="I731" s="427"/>
      <c r="J731" s="177">
        <v>0</v>
      </c>
      <c r="K731" s="427">
        <f t="shared" si="76"/>
        <v>0</v>
      </c>
      <c r="L731" s="427">
        <f t="shared" si="73"/>
        <v>0</v>
      </c>
      <c r="M731" s="680">
        <v>0</v>
      </c>
    </row>
    <row r="732" spans="1:13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33"/>
      <c r="G732" s="760">
        <f t="shared" si="77"/>
        <v>0</v>
      </c>
      <c r="H732" s="427">
        <f t="shared" si="78"/>
        <v>0</v>
      </c>
      <c r="I732" s="427"/>
      <c r="J732" s="177">
        <v>0</v>
      </c>
      <c r="K732" s="427">
        <f t="shared" si="76"/>
        <v>0</v>
      </c>
      <c r="L732" s="427">
        <f t="shared" si="73"/>
        <v>0</v>
      </c>
      <c r="M732" s="680">
        <v>0</v>
      </c>
    </row>
    <row r="733" spans="1:13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33"/>
      <c r="G733" s="760">
        <f t="shared" si="77"/>
        <v>0</v>
      </c>
      <c r="H733" s="427">
        <f t="shared" si="78"/>
        <v>0</v>
      </c>
      <c r="I733" s="427"/>
      <c r="J733" s="177">
        <v>0</v>
      </c>
      <c r="K733" s="427">
        <f t="shared" si="76"/>
        <v>0</v>
      </c>
      <c r="L733" s="427">
        <f t="shared" ref="L733:L746" si="79">K733*1.219</f>
        <v>0</v>
      </c>
      <c r="M733" s="680">
        <v>0</v>
      </c>
    </row>
    <row r="734" spans="1:13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33"/>
      <c r="G734" s="760">
        <f t="shared" si="77"/>
        <v>0</v>
      </c>
      <c r="H734" s="427">
        <f t="shared" si="78"/>
        <v>0</v>
      </c>
      <c r="I734" s="427"/>
      <c r="J734" s="177">
        <v>0</v>
      </c>
      <c r="K734" s="427">
        <f t="shared" si="76"/>
        <v>0</v>
      </c>
      <c r="L734" s="427">
        <f t="shared" si="79"/>
        <v>0</v>
      </c>
      <c r="M734" s="680">
        <v>0</v>
      </c>
    </row>
    <row r="735" spans="1:13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33"/>
      <c r="G735" s="760">
        <f t="shared" si="77"/>
        <v>0</v>
      </c>
      <c r="H735" s="427">
        <f t="shared" si="78"/>
        <v>0</v>
      </c>
      <c r="I735" s="427"/>
      <c r="J735" s="177">
        <v>0</v>
      </c>
      <c r="K735" s="427">
        <f t="shared" si="76"/>
        <v>0</v>
      </c>
      <c r="L735" s="427">
        <f t="shared" si="79"/>
        <v>0</v>
      </c>
      <c r="M735" s="680">
        <v>0</v>
      </c>
    </row>
    <row r="736" spans="1:13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33"/>
      <c r="G736" s="760">
        <f t="shared" si="77"/>
        <v>0</v>
      </c>
      <c r="H736" s="427">
        <f t="shared" si="78"/>
        <v>0</v>
      </c>
      <c r="I736" s="427"/>
      <c r="J736" s="177">
        <v>0</v>
      </c>
      <c r="K736" s="427">
        <f t="shared" si="76"/>
        <v>0</v>
      </c>
      <c r="L736" s="427">
        <f t="shared" si="79"/>
        <v>0</v>
      </c>
      <c r="M736" s="680">
        <v>0</v>
      </c>
    </row>
    <row r="737" spans="1:13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33"/>
      <c r="G737" s="760">
        <f t="shared" si="77"/>
        <v>0</v>
      </c>
      <c r="H737" s="427">
        <f t="shared" si="78"/>
        <v>0</v>
      </c>
      <c r="I737" s="427"/>
      <c r="J737" s="177">
        <v>0</v>
      </c>
      <c r="K737" s="427">
        <f t="shared" si="76"/>
        <v>0</v>
      </c>
      <c r="L737" s="427">
        <f t="shared" si="79"/>
        <v>0</v>
      </c>
      <c r="M737" s="680">
        <v>0</v>
      </c>
    </row>
    <row r="738" spans="1:13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33"/>
      <c r="G738" s="760">
        <f t="shared" si="77"/>
        <v>0</v>
      </c>
      <c r="H738" s="427">
        <f t="shared" si="78"/>
        <v>0</v>
      </c>
      <c r="I738" s="427"/>
      <c r="J738" s="177">
        <v>0</v>
      </c>
      <c r="K738" s="427">
        <f t="shared" si="76"/>
        <v>0</v>
      </c>
      <c r="L738" s="427">
        <f t="shared" si="79"/>
        <v>0</v>
      </c>
      <c r="M738" s="680">
        <v>0</v>
      </c>
    </row>
    <row r="739" spans="1:13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33"/>
      <c r="G739" s="760">
        <f t="shared" si="77"/>
        <v>0</v>
      </c>
      <c r="H739" s="427">
        <f t="shared" si="78"/>
        <v>0</v>
      </c>
      <c r="I739" s="427"/>
      <c r="J739" s="177">
        <v>0</v>
      </c>
      <c r="K739" s="427">
        <f t="shared" si="76"/>
        <v>0</v>
      </c>
      <c r="L739" s="427">
        <f t="shared" si="79"/>
        <v>0</v>
      </c>
      <c r="M739" s="680">
        <v>0</v>
      </c>
    </row>
    <row r="740" spans="1:13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33"/>
      <c r="G740" s="760">
        <f t="shared" si="77"/>
        <v>0</v>
      </c>
      <c r="H740" s="427">
        <f t="shared" si="78"/>
        <v>0</v>
      </c>
      <c r="I740" s="427"/>
      <c r="J740" s="177">
        <v>0</v>
      </c>
      <c r="K740" s="427">
        <f t="shared" si="76"/>
        <v>0</v>
      </c>
      <c r="L740" s="427">
        <f t="shared" si="79"/>
        <v>0</v>
      </c>
      <c r="M740" s="680">
        <v>0</v>
      </c>
    </row>
    <row r="741" spans="1:13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33"/>
      <c r="G741" s="760">
        <f t="shared" si="77"/>
        <v>0</v>
      </c>
      <c r="H741" s="427">
        <f t="shared" si="78"/>
        <v>0</v>
      </c>
      <c r="I741" s="427"/>
      <c r="J741" s="177">
        <v>0</v>
      </c>
      <c r="K741" s="427">
        <f t="shared" si="76"/>
        <v>0</v>
      </c>
      <c r="L741" s="427">
        <f t="shared" si="79"/>
        <v>0</v>
      </c>
      <c r="M741" s="680">
        <v>0</v>
      </c>
    </row>
    <row r="742" spans="1:13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33"/>
      <c r="G742" s="760">
        <f t="shared" si="77"/>
        <v>0</v>
      </c>
      <c r="H742" s="427">
        <f t="shared" si="78"/>
        <v>0</v>
      </c>
      <c r="I742" s="427"/>
      <c r="J742" s="177">
        <v>0</v>
      </c>
      <c r="K742" s="427">
        <f t="shared" si="76"/>
        <v>0</v>
      </c>
      <c r="L742" s="427">
        <f t="shared" si="79"/>
        <v>0</v>
      </c>
      <c r="M742" s="680">
        <v>0</v>
      </c>
    </row>
    <row r="743" spans="1:13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33"/>
      <c r="G743" s="760">
        <f t="shared" si="77"/>
        <v>0</v>
      </c>
      <c r="H743" s="427">
        <f t="shared" si="78"/>
        <v>0</v>
      </c>
      <c r="I743" s="427"/>
      <c r="J743" s="177">
        <v>0</v>
      </c>
      <c r="K743" s="427">
        <f t="shared" si="76"/>
        <v>0</v>
      </c>
      <c r="L743" s="427">
        <f t="shared" si="79"/>
        <v>0</v>
      </c>
      <c r="M743" s="680">
        <v>0</v>
      </c>
    </row>
    <row r="744" spans="1:13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33"/>
      <c r="G744" s="760">
        <f t="shared" si="77"/>
        <v>0</v>
      </c>
      <c r="H744" s="427">
        <f t="shared" si="78"/>
        <v>0</v>
      </c>
      <c r="I744" s="427"/>
      <c r="J744" s="177">
        <v>0</v>
      </c>
      <c r="K744" s="427">
        <f t="shared" si="76"/>
        <v>0</v>
      </c>
      <c r="L744" s="427">
        <f t="shared" si="79"/>
        <v>0</v>
      </c>
      <c r="M744" s="680">
        <v>0</v>
      </c>
    </row>
    <row r="745" spans="1:13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147"/>
      <c r="G745" s="760">
        <f t="shared" si="77"/>
        <v>0</v>
      </c>
      <c r="H745" s="427">
        <f t="shared" si="78"/>
        <v>0</v>
      </c>
      <c r="I745" s="148"/>
      <c r="J745" s="177">
        <v>0</v>
      </c>
      <c r="K745" s="427">
        <f>G745*801.55*1.08</f>
        <v>0</v>
      </c>
      <c r="L745" s="427">
        <f t="shared" si="79"/>
        <v>0</v>
      </c>
      <c r="M745" s="680">
        <v>0</v>
      </c>
    </row>
    <row r="746" spans="1:13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>C746+D746+E746</f>
        <v>380.2</v>
      </c>
      <c r="G746" s="760">
        <f t="shared" si="77"/>
        <v>5.7836108107581852E-3</v>
      </c>
      <c r="H746" s="427"/>
      <c r="I746" s="148"/>
      <c r="J746" s="177"/>
      <c r="K746" s="427"/>
      <c r="L746" s="427">
        <f t="shared" si="79"/>
        <v>0</v>
      </c>
      <c r="M746" s="680">
        <f>(K746+J746+I746+H746)/F746</f>
        <v>0</v>
      </c>
    </row>
    <row r="747" spans="1:13" s="69" customFormat="1" ht="15.75">
      <c r="A747" s="392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161">
        <f>SUM(F537:F746)</f>
        <v>197212.43999999997</v>
      </c>
      <c r="G747" s="760">
        <f>3/197212.44*F747</f>
        <v>2.9999999999999996</v>
      </c>
      <c r="H747" s="427">
        <f>G747*2269.13</f>
        <v>6807.3899999999994</v>
      </c>
      <c r="I747" s="167">
        <f>H747*0.3677</f>
        <v>2503.077303</v>
      </c>
      <c r="J747" s="177">
        <f>SUM(J536:J745)</f>
        <v>2972.061907161823</v>
      </c>
      <c r="K747" s="427">
        <f>G747*801.55*1.08</f>
        <v>2597.0219999999999</v>
      </c>
      <c r="L747" s="427">
        <f>K747*1.219</f>
        <v>3165.7698180000002</v>
      </c>
      <c r="M747" s="680">
        <f>(K747+J747+I747+H747)/F747</f>
        <v>7.5449354057795875E-2</v>
      </c>
    </row>
    <row r="748" spans="1:13" s="6" customFormat="1" ht="15.75">
      <c r="A748" s="154" t="s">
        <v>593</v>
      </c>
      <c r="B748" s="330"/>
      <c r="C748" s="330"/>
      <c r="D748" s="330"/>
      <c r="E748" s="330"/>
      <c r="F748" s="433"/>
      <c r="G748" s="396"/>
      <c r="H748" s="427">
        <f>G748*2077.52</f>
        <v>0</v>
      </c>
      <c r="I748" s="427"/>
      <c r="J748" s="177">
        <v>0</v>
      </c>
      <c r="K748" s="427">
        <f t="shared" ref="K748:K795" si="80">G748*801.55</f>
        <v>0</v>
      </c>
      <c r="L748" s="427"/>
      <c r="M748" s="690"/>
    </row>
    <row r="749" spans="1:13" s="6" customFormat="1" ht="15.75">
      <c r="A749" s="730">
        <v>1</v>
      </c>
      <c r="B749" s="730" t="s">
        <v>336</v>
      </c>
      <c r="C749" s="8">
        <v>4275.08</v>
      </c>
      <c r="D749" s="142"/>
      <c r="E749" s="142"/>
      <c r="F749" s="147">
        <f t="shared" ref="F749:F791" si="81">C749+D749+E749</f>
        <v>4275.08</v>
      </c>
      <c r="G749" s="760">
        <f t="shared" ref="G749:G812" si="82">3/249974.3*F749</f>
        <v>5.1306234280884079E-2</v>
      </c>
      <c r="H749" s="427">
        <f t="shared" ref="H749:H812" si="83">G749*2269.13</f>
        <v>116.42051539378249</v>
      </c>
      <c r="I749" s="148">
        <f t="shared" ref="I749:I791" si="84">H749*0.3677</f>
        <v>42.807823510293829</v>
      </c>
      <c r="J749" s="177">
        <v>45.180379756923422</v>
      </c>
      <c r="K749" s="427">
        <f t="shared" si="80"/>
        <v>41.124512087842632</v>
      </c>
      <c r="L749" s="427"/>
      <c r="M749" s="680">
        <f>(K749+J749+I749+H749)/F749</f>
        <v>5.7433599078576869E-2</v>
      </c>
    </row>
    <row r="750" spans="1:13" s="6" customFormat="1" ht="15.75">
      <c r="A750" s="108">
        <v>2</v>
      </c>
      <c r="B750" s="108" t="s">
        <v>337</v>
      </c>
      <c r="C750" s="8">
        <v>4574.41</v>
      </c>
      <c r="D750" s="55"/>
      <c r="E750" s="55"/>
      <c r="F750" s="147">
        <f t="shared" si="81"/>
        <v>4574.41</v>
      </c>
      <c r="G750" s="760">
        <f t="shared" si="82"/>
        <v>5.4898563572335239E-2</v>
      </c>
      <c r="H750" s="427">
        <f t="shared" si="83"/>
        <v>124.57197755889307</v>
      </c>
      <c r="I750" s="148">
        <f t="shared" si="84"/>
        <v>45.805116148404984</v>
      </c>
      <c r="J750" s="177">
        <v>48.343792622329424</v>
      </c>
      <c r="K750" s="427">
        <f t="shared" si="80"/>
        <v>44.003943631405306</v>
      </c>
      <c r="L750" s="427"/>
      <c r="M750" s="680">
        <f t="shared" ref="M750:M791" si="85">(K750+J750+I750+H750)/F750</f>
        <v>5.7433599078576855E-2</v>
      </c>
    </row>
    <row r="751" spans="1:13" s="6" customFormat="1" ht="15.75">
      <c r="A751" s="108">
        <v>3</v>
      </c>
      <c r="B751" s="108" t="s">
        <v>338</v>
      </c>
      <c r="C751" s="8">
        <v>8527.85</v>
      </c>
      <c r="D751" s="55"/>
      <c r="E751" s="55"/>
      <c r="F751" s="147">
        <f t="shared" si="81"/>
        <v>8527.85</v>
      </c>
      <c r="G751" s="760">
        <f t="shared" si="82"/>
        <v>0.10234472103732264</v>
      </c>
      <c r="H751" s="427">
        <f t="shared" si="83"/>
        <v>232.23347684741995</v>
      </c>
      <c r="I751" s="148">
        <f t="shared" si="84"/>
        <v>85.39224943679632</v>
      </c>
      <c r="J751" s="177">
        <v>90.124980470559478</v>
      </c>
      <c r="K751" s="427">
        <f t="shared" si="80"/>
        <v>82.03441114746596</v>
      </c>
      <c r="L751" s="427"/>
      <c r="M751" s="680">
        <f t="shared" si="85"/>
        <v>5.7433599078576862E-2</v>
      </c>
    </row>
    <row r="752" spans="1:13" s="6" customFormat="1" ht="15.75">
      <c r="A752" s="108">
        <v>4</v>
      </c>
      <c r="B752" s="108" t="s">
        <v>339</v>
      </c>
      <c r="C752" s="8">
        <v>5131.3999999999996</v>
      </c>
      <c r="D752" s="55"/>
      <c r="E752" s="55"/>
      <c r="F752" s="147">
        <f t="shared" si="81"/>
        <v>5131.3999999999996</v>
      </c>
      <c r="G752" s="760">
        <f t="shared" si="82"/>
        <v>6.1583130745840674E-2</v>
      </c>
      <c r="H752" s="427">
        <f t="shared" si="83"/>
        <v>139.74012946930947</v>
      </c>
      <c r="I752" s="148">
        <f t="shared" si="84"/>
        <v>51.382445605865094</v>
      </c>
      <c r="J752" s="177">
        <v>54.230236787306175</v>
      </c>
      <c r="K752" s="427">
        <f t="shared" si="80"/>
        <v>49.36195844932859</v>
      </c>
      <c r="L752" s="427"/>
      <c r="M752" s="680">
        <f t="shared" si="85"/>
        <v>5.7433599078576869E-2</v>
      </c>
    </row>
    <row r="753" spans="1:13" s="6" customFormat="1" ht="15.75">
      <c r="A753" s="108">
        <v>5</v>
      </c>
      <c r="B753" s="108" t="s">
        <v>340</v>
      </c>
      <c r="C753" s="8">
        <v>4290.1499999999996</v>
      </c>
      <c r="D753" s="55"/>
      <c r="E753" s="55"/>
      <c r="F753" s="147">
        <f t="shared" si="81"/>
        <v>4290.1499999999996</v>
      </c>
      <c r="G753" s="760">
        <f t="shared" si="82"/>
        <v>5.1487092873147358E-2</v>
      </c>
      <c r="H753" s="427">
        <f t="shared" si="83"/>
        <v>116.83090705124486</v>
      </c>
      <c r="I753" s="148">
        <f t="shared" si="84"/>
        <v>42.958724522742742</v>
      </c>
      <c r="J753" s="177">
        <v>45.339644220497632</v>
      </c>
      <c r="K753" s="427">
        <f t="shared" si="80"/>
        <v>41.26947929247126</v>
      </c>
      <c r="L753" s="427"/>
      <c r="M753" s="680">
        <f t="shared" si="85"/>
        <v>5.7433599078576862E-2</v>
      </c>
    </row>
    <row r="754" spans="1:13" s="6" customFormat="1" ht="15.75">
      <c r="A754" s="108">
        <v>6</v>
      </c>
      <c r="B754" s="108" t="s">
        <v>341</v>
      </c>
      <c r="C754" s="8">
        <v>5185.3900000000003</v>
      </c>
      <c r="D754" s="55"/>
      <c r="E754" s="55"/>
      <c r="F754" s="147">
        <f t="shared" si="81"/>
        <v>5185.3900000000003</v>
      </c>
      <c r="G754" s="760">
        <f t="shared" si="82"/>
        <v>6.2231077354752078E-2</v>
      </c>
      <c r="H754" s="427">
        <f t="shared" si="83"/>
        <v>141.2104045579886</v>
      </c>
      <c r="I754" s="148">
        <f t="shared" si="84"/>
        <v>51.923065755972409</v>
      </c>
      <c r="J754" s="177">
        <v>54.800819958399181</v>
      </c>
      <c r="K754" s="427">
        <f t="shared" si="80"/>
        <v>49.881320053701522</v>
      </c>
      <c r="L754" s="427"/>
      <c r="M754" s="680">
        <f t="shared" si="85"/>
        <v>5.7433599078576862E-2</v>
      </c>
    </row>
    <row r="755" spans="1:13" s="6" customFormat="1" ht="15.75">
      <c r="A755" s="108">
        <v>7</v>
      </c>
      <c r="B755" s="108" t="s">
        <v>342</v>
      </c>
      <c r="C755" s="8">
        <v>4246.38</v>
      </c>
      <c r="D755" s="55"/>
      <c r="E755" s="55"/>
      <c r="F755" s="147">
        <f t="shared" si="81"/>
        <v>4246.38</v>
      </c>
      <c r="G755" s="760">
        <f t="shared" si="82"/>
        <v>5.0961798872924138E-2</v>
      </c>
      <c r="H755" s="427">
        <f t="shared" si="83"/>
        <v>115.63894667651836</v>
      </c>
      <c r="I755" s="148">
        <f t="shared" si="84"/>
        <v>42.520440692955802</v>
      </c>
      <c r="J755" s="177">
        <v>44.87706919922072</v>
      </c>
      <c r="K755" s="427">
        <f t="shared" si="80"/>
        <v>40.848429886592342</v>
      </c>
      <c r="L755" s="427"/>
      <c r="M755" s="680">
        <f t="shared" si="85"/>
        <v>5.7433599078576855E-2</v>
      </c>
    </row>
    <row r="756" spans="1:13" s="6" customFormat="1" ht="15.75">
      <c r="A756" s="108">
        <v>8</v>
      </c>
      <c r="B756" s="108" t="s">
        <v>343</v>
      </c>
      <c r="C756" s="8">
        <v>4446.42</v>
      </c>
      <c r="D756" s="55"/>
      <c r="E756" s="55"/>
      <c r="F756" s="147">
        <f t="shared" si="81"/>
        <v>4446.42</v>
      </c>
      <c r="G756" s="760">
        <f t="shared" si="82"/>
        <v>5.336252566763864E-2</v>
      </c>
      <c r="H756" s="427">
        <f t="shared" si="83"/>
        <v>121.08650786820887</v>
      </c>
      <c r="I756" s="148">
        <f t="shared" si="84"/>
        <v>44.523508943140406</v>
      </c>
      <c r="J756" s="177">
        <v>46.99115435472072</v>
      </c>
      <c r="K756" s="427">
        <f t="shared" si="80"/>
        <v>42.772732448895752</v>
      </c>
      <c r="L756" s="427"/>
      <c r="M756" s="680">
        <f t="shared" si="85"/>
        <v>5.7433599078576862E-2</v>
      </c>
    </row>
    <row r="757" spans="1:13" s="6" customFormat="1" ht="15.75">
      <c r="A757" s="108">
        <v>9</v>
      </c>
      <c r="B757" s="108" t="s">
        <v>344</v>
      </c>
      <c r="C757" s="8">
        <v>2920.24</v>
      </c>
      <c r="D757" s="55"/>
      <c r="E757" s="55"/>
      <c r="F757" s="147">
        <f t="shared" si="81"/>
        <v>2920.24</v>
      </c>
      <c r="G757" s="760">
        <f t="shared" si="82"/>
        <v>3.5046482778429623E-2</v>
      </c>
      <c r="H757" s="427">
        <f t="shared" si="83"/>
        <v>79.525025467018011</v>
      </c>
      <c r="I757" s="148">
        <f t="shared" si="84"/>
        <v>29.241351864222526</v>
      </c>
      <c r="J757" s="177">
        <v>30.862007770932486</v>
      </c>
      <c r="K757" s="427">
        <f t="shared" si="80"/>
        <v>28.091508271050262</v>
      </c>
      <c r="L757" s="427"/>
      <c r="M757" s="680">
        <f t="shared" si="85"/>
        <v>5.7433599078576855E-2</v>
      </c>
    </row>
    <row r="758" spans="1:13" s="6" customFormat="1" ht="15.75">
      <c r="A758" s="108">
        <v>10</v>
      </c>
      <c r="B758" s="108" t="s">
        <v>345</v>
      </c>
      <c r="C758" s="8">
        <v>4278.99</v>
      </c>
      <c r="D758" s="55"/>
      <c r="E758" s="55"/>
      <c r="F758" s="147">
        <f t="shared" si="81"/>
        <v>4278.99</v>
      </c>
      <c r="G758" s="760">
        <f t="shared" si="82"/>
        <v>5.135315910475597E-2</v>
      </c>
      <c r="H758" s="427">
        <f t="shared" si="83"/>
        <v>116.52699391937492</v>
      </c>
      <c r="I758" s="148">
        <f t="shared" si="84"/>
        <v>42.846975664154158</v>
      </c>
      <c r="J758" s="177">
        <v>45.221701857293375</v>
      </c>
      <c r="K758" s="427">
        <f t="shared" si="80"/>
        <v>41.162124680417143</v>
      </c>
      <c r="L758" s="427"/>
      <c r="M758" s="680">
        <f t="shared" si="85"/>
        <v>5.7433599078576855E-2</v>
      </c>
    </row>
    <row r="759" spans="1:13" s="6" customFormat="1" ht="15.75">
      <c r="A759" s="108">
        <v>11</v>
      </c>
      <c r="B759" s="108" t="s">
        <v>346</v>
      </c>
      <c r="C759" s="8">
        <v>8595.7800000000007</v>
      </c>
      <c r="D759" s="55"/>
      <c r="E759" s="55"/>
      <c r="F759" s="147">
        <f t="shared" si="81"/>
        <v>8595.7800000000007</v>
      </c>
      <c r="G759" s="760">
        <f t="shared" si="82"/>
        <v>0.10315996484438601</v>
      </c>
      <c r="H759" s="427">
        <f t="shared" si="83"/>
        <v>234.08337102734166</v>
      </c>
      <c r="I759" s="148">
        <f t="shared" si="84"/>
        <v>86.072455526753529</v>
      </c>
      <c r="J759" s="177">
        <v>90.842885912536673</v>
      </c>
      <c r="K759" s="427">
        <f t="shared" si="80"/>
        <v>82.6878698210176</v>
      </c>
      <c r="L759" s="427"/>
      <c r="M759" s="680">
        <f t="shared" si="85"/>
        <v>5.7433599078576862E-2</v>
      </c>
    </row>
    <row r="760" spans="1:13" s="6" customFormat="1" ht="15.75">
      <c r="A760" s="108">
        <v>12</v>
      </c>
      <c r="B760" s="108" t="s">
        <v>347</v>
      </c>
      <c r="C760" s="8">
        <v>4516.6000000000004</v>
      </c>
      <c r="D760" s="55"/>
      <c r="E760" s="55"/>
      <c r="F760" s="147">
        <f t="shared" si="81"/>
        <v>4516.6000000000004</v>
      </c>
      <c r="G760" s="760">
        <f t="shared" si="82"/>
        <v>5.4204772250587369E-2</v>
      </c>
      <c r="H760" s="427">
        <f t="shared" si="83"/>
        <v>122.99767485697532</v>
      </c>
      <c r="I760" s="148">
        <f t="shared" si="84"/>
        <v>45.226245044909831</v>
      </c>
      <c r="J760" s="177">
        <v>47.732838498956824</v>
      </c>
      <c r="K760" s="427">
        <f t="shared" si="80"/>
        <v>43.447835197458303</v>
      </c>
      <c r="L760" s="427"/>
      <c r="M760" s="680">
        <f t="shared" si="85"/>
        <v>5.7433599078576862E-2</v>
      </c>
    </row>
    <row r="761" spans="1:13" s="6" customFormat="1" ht="15.75">
      <c r="A761" s="108">
        <v>13</v>
      </c>
      <c r="B761" s="108" t="s">
        <v>348</v>
      </c>
      <c r="C761" s="8">
        <v>5874.29</v>
      </c>
      <c r="D761" s="55"/>
      <c r="E761" s="55"/>
      <c r="F761" s="147">
        <f t="shared" si="81"/>
        <v>5874.29</v>
      </c>
      <c r="G761" s="760">
        <f t="shared" si="82"/>
        <v>7.0498727269163272E-2</v>
      </c>
      <c r="H761" s="427">
        <f t="shared" si="83"/>
        <v>159.97077700827646</v>
      </c>
      <c r="I761" s="148">
        <f t="shared" si="84"/>
        <v>58.821254705943261</v>
      </c>
      <c r="J761" s="177">
        <v>62.081330174475731</v>
      </c>
      <c r="K761" s="427">
        <f t="shared" si="80"/>
        <v>56.508254842597815</v>
      </c>
      <c r="L761" s="427"/>
      <c r="M761" s="680">
        <f t="shared" si="85"/>
        <v>5.7433599078576862E-2</v>
      </c>
    </row>
    <row r="762" spans="1:13" s="6" customFormat="1" ht="15.75">
      <c r="A762" s="108">
        <v>14</v>
      </c>
      <c r="B762" s="108" t="s">
        <v>349</v>
      </c>
      <c r="C762" s="8">
        <v>5810.95</v>
      </c>
      <c r="D762" s="55"/>
      <c r="E762" s="55"/>
      <c r="F762" s="147">
        <f t="shared" si="81"/>
        <v>5810.95</v>
      </c>
      <c r="G762" s="760">
        <f t="shared" si="82"/>
        <v>6.9738569124906044E-2</v>
      </c>
      <c r="H762" s="427">
        <f t="shared" si="83"/>
        <v>158.24587935839807</v>
      </c>
      <c r="I762" s="148">
        <f t="shared" si="84"/>
        <v>58.187009840082972</v>
      </c>
      <c r="J762" s="177">
        <v>61.411933285106755</v>
      </c>
      <c r="K762" s="427">
        <f t="shared" si="80"/>
        <v>55.898950082068438</v>
      </c>
      <c r="L762" s="427"/>
      <c r="M762" s="680">
        <f t="shared" si="85"/>
        <v>5.7433599078576869E-2</v>
      </c>
    </row>
    <row r="763" spans="1:13" s="6" customFormat="1" ht="15.75">
      <c r="A763" s="108">
        <v>15</v>
      </c>
      <c r="B763" s="108" t="s">
        <v>350</v>
      </c>
      <c r="C763" s="8">
        <v>4315.22</v>
      </c>
      <c r="D763" s="55"/>
      <c r="E763" s="55">
        <v>220.4</v>
      </c>
      <c r="F763" s="147">
        <f t="shared" si="81"/>
        <v>4535.62</v>
      </c>
      <c r="G763" s="760">
        <f t="shared" si="82"/>
        <v>5.4433035716071616E-2</v>
      </c>
      <c r="H763" s="427">
        <f t="shared" si="83"/>
        <v>123.5156343344096</v>
      </c>
      <c r="I763" s="148">
        <f t="shared" si="84"/>
        <v>45.416698744762414</v>
      </c>
      <c r="J763" s="177">
        <v>47.933847795385589</v>
      </c>
      <c r="K763" s="427">
        <f t="shared" si="80"/>
        <v>43.630799778217202</v>
      </c>
      <c r="L763" s="427"/>
      <c r="M763" s="680">
        <f t="shared" si="85"/>
        <v>5.7433599078576869E-2</v>
      </c>
    </row>
    <row r="764" spans="1:13" s="6" customFormat="1" ht="15.75">
      <c r="A764" s="108">
        <v>16</v>
      </c>
      <c r="B764" s="108" t="s">
        <v>351</v>
      </c>
      <c r="C764" s="8">
        <v>6019.4</v>
      </c>
      <c r="D764" s="55"/>
      <c r="E764" s="55">
        <v>951.1</v>
      </c>
      <c r="F764" s="147">
        <f t="shared" si="81"/>
        <v>6970.5</v>
      </c>
      <c r="G764" s="760">
        <f t="shared" si="82"/>
        <v>8.3654599692848428E-2</v>
      </c>
      <c r="H764" s="427">
        <f t="shared" si="83"/>
        <v>189.82316180103317</v>
      </c>
      <c r="I764" s="148">
        <f t="shared" si="84"/>
        <v>69.797976594239898</v>
      </c>
      <c r="J764" s="177">
        <v>73.666419598144302</v>
      </c>
      <c r="K764" s="427">
        <f t="shared" si="80"/>
        <v>67.053344383802653</v>
      </c>
      <c r="L764" s="427"/>
      <c r="M764" s="680">
        <f t="shared" si="85"/>
        <v>5.7433599078576862E-2</v>
      </c>
    </row>
    <row r="765" spans="1:13" s="6" customFormat="1" ht="15.75">
      <c r="A765" s="108">
        <v>17</v>
      </c>
      <c r="B765" s="108" t="s">
        <v>352</v>
      </c>
      <c r="C765" s="8">
        <v>7260.15</v>
      </c>
      <c r="D765" s="55"/>
      <c r="E765" s="55">
        <v>68.5</v>
      </c>
      <c r="F765" s="147">
        <f t="shared" si="81"/>
        <v>7328.65</v>
      </c>
      <c r="G765" s="760">
        <f t="shared" si="82"/>
        <v>8.7952841552111555E-2</v>
      </c>
      <c r="H765" s="427">
        <f t="shared" si="83"/>
        <v>199.5764313511429</v>
      </c>
      <c r="I765" s="148">
        <f t="shared" si="84"/>
        <v>73.384253807815256</v>
      </c>
      <c r="J765" s="177">
        <v>77.451460582159129</v>
      </c>
      <c r="K765" s="427">
        <f t="shared" si="80"/>
        <v>70.498600146095015</v>
      </c>
      <c r="L765" s="427"/>
      <c r="M765" s="680">
        <f t="shared" si="85"/>
        <v>5.7433599078576855E-2</v>
      </c>
    </row>
    <row r="766" spans="1:13" s="6" customFormat="1" ht="15.75">
      <c r="A766" s="108">
        <v>18</v>
      </c>
      <c r="B766" s="108" t="s">
        <v>353</v>
      </c>
      <c r="C766" s="8">
        <v>6364.4</v>
      </c>
      <c r="D766" s="55"/>
      <c r="E766" s="55">
        <v>171.2</v>
      </c>
      <c r="F766" s="147">
        <f t="shared" si="81"/>
        <v>6535.5999999999995</v>
      </c>
      <c r="G766" s="760">
        <f t="shared" si="82"/>
        <v>7.8435263145051309E-2</v>
      </c>
      <c r="H766" s="427">
        <f t="shared" si="83"/>
        <v>177.97980866033029</v>
      </c>
      <c r="I766" s="148">
        <f t="shared" si="84"/>
        <v>65.443175644403453</v>
      </c>
      <c r="J766" s="177">
        <v>69.070260659297304</v>
      </c>
      <c r="K766" s="427">
        <f t="shared" si="80"/>
        <v>62.869785173915872</v>
      </c>
      <c r="L766" s="427"/>
      <c r="M766" s="680">
        <f t="shared" si="85"/>
        <v>5.7433599078576862E-2</v>
      </c>
    </row>
    <row r="767" spans="1:13" s="6" customFormat="1" ht="15.75">
      <c r="A767" s="108">
        <v>19</v>
      </c>
      <c r="B767" s="108" t="s">
        <v>354</v>
      </c>
      <c r="C767" s="8">
        <v>11062.33</v>
      </c>
      <c r="D767" s="55"/>
      <c r="E767" s="55"/>
      <c r="F767" s="147">
        <f t="shared" si="81"/>
        <v>11062.33</v>
      </c>
      <c r="G767" s="760">
        <f t="shared" si="82"/>
        <v>0.13276160789329144</v>
      </c>
      <c r="H767" s="427">
        <f t="shared" si="83"/>
        <v>301.25334731890445</v>
      </c>
      <c r="I767" s="148">
        <f t="shared" si="84"/>
        <v>110.77085580916118</v>
      </c>
      <c r="J767" s="177">
        <v>116.91015615997986</v>
      </c>
      <c r="K767" s="427">
        <f t="shared" si="80"/>
        <v>106.41506680686776</v>
      </c>
      <c r="L767" s="427"/>
      <c r="M767" s="680">
        <f t="shared" si="85"/>
        <v>5.7433599078576869E-2</v>
      </c>
    </row>
    <row r="768" spans="1:13" s="6" customFormat="1" ht="15.75">
      <c r="A768" s="108">
        <v>20</v>
      </c>
      <c r="B768" s="108" t="s">
        <v>355</v>
      </c>
      <c r="C768" s="8">
        <v>8492.94</v>
      </c>
      <c r="D768" s="55"/>
      <c r="E768" s="55"/>
      <c r="F768" s="147">
        <f t="shared" si="81"/>
        <v>8492.94</v>
      </c>
      <c r="G768" s="760">
        <f t="shared" si="82"/>
        <v>0.10192575796791911</v>
      </c>
      <c r="H768" s="427">
        <f t="shared" si="83"/>
        <v>231.2827951777443</v>
      </c>
      <c r="I768" s="148">
        <f t="shared" si="84"/>
        <v>85.042683786856585</v>
      </c>
      <c r="J768" s="177">
        <v>89.756040694622158</v>
      </c>
      <c r="K768" s="427">
        <f t="shared" si="80"/>
        <v>81.698591299185566</v>
      </c>
      <c r="L768" s="427"/>
      <c r="M768" s="680">
        <f t="shared" si="85"/>
        <v>5.7433599078576862E-2</v>
      </c>
    </row>
    <row r="769" spans="1:13" s="6" customFormat="1" ht="15.75">
      <c r="A769" s="108">
        <v>21</v>
      </c>
      <c r="B769" s="108" t="s">
        <v>365</v>
      </c>
      <c r="C769" s="8">
        <v>3876.37</v>
      </c>
      <c r="D769" s="55"/>
      <c r="E769" s="55"/>
      <c r="F769" s="147">
        <f t="shared" si="81"/>
        <v>3876.37</v>
      </c>
      <c r="G769" s="760">
        <f t="shared" si="82"/>
        <v>4.6521222381660836E-2</v>
      </c>
      <c r="H769" s="427">
        <f t="shared" si="83"/>
        <v>105.56270134289805</v>
      </c>
      <c r="I769" s="148">
        <f t="shared" si="84"/>
        <v>38.815405283783619</v>
      </c>
      <c r="J769" s="177">
        <v>40.966688033521066</v>
      </c>
      <c r="K769" s="427">
        <f t="shared" si="80"/>
        <v>37.289085800020239</v>
      </c>
      <c r="L769" s="427"/>
      <c r="M769" s="680">
        <f t="shared" si="85"/>
        <v>5.7433599078576855E-2</v>
      </c>
    </row>
    <row r="770" spans="1:13" s="6" customFormat="1" ht="15.75">
      <c r="A770" s="108">
        <v>22</v>
      </c>
      <c r="B770" s="108" t="s">
        <v>366</v>
      </c>
      <c r="C770" s="8">
        <v>5649.66</v>
      </c>
      <c r="D770" s="55"/>
      <c r="E770" s="55">
        <v>46.1</v>
      </c>
      <c r="F770" s="147">
        <f t="shared" si="81"/>
        <v>5695.76</v>
      </c>
      <c r="G770" s="760">
        <f t="shared" si="82"/>
        <v>6.8356147011912838E-2</v>
      </c>
      <c r="H770" s="427">
        <f t="shared" si="83"/>
        <v>155.10898386914178</v>
      </c>
      <c r="I770" s="148">
        <f t="shared" si="84"/>
        <v>57.033573368683435</v>
      </c>
      <c r="J770" s="177">
        <v>60.194569412571035</v>
      </c>
      <c r="K770" s="427">
        <f t="shared" si="80"/>
        <v>54.790869637398735</v>
      </c>
      <c r="L770" s="427"/>
      <c r="M770" s="680">
        <f t="shared" si="85"/>
        <v>5.7433599078576869E-2</v>
      </c>
    </row>
    <row r="771" spans="1:13" s="6" customFormat="1" ht="15.75">
      <c r="A771" s="108">
        <v>23</v>
      </c>
      <c r="B771" s="108" t="s">
        <v>367</v>
      </c>
      <c r="C771" s="8">
        <v>5815.2</v>
      </c>
      <c r="D771" s="55"/>
      <c r="E771" s="55"/>
      <c r="F771" s="147">
        <f t="shared" si="81"/>
        <v>5815.2</v>
      </c>
      <c r="G771" s="760">
        <f t="shared" si="82"/>
        <v>6.9789574368245053E-2</v>
      </c>
      <c r="H771" s="427">
        <f t="shared" si="83"/>
        <v>158.3616168862159</v>
      </c>
      <c r="I771" s="148">
        <f t="shared" si="84"/>
        <v>58.229566529061593</v>
      </c>
      <c r="J771" s="177">
        <v>61.456848611595831</v>
      </c>
      <c r="K771" s="427">
        <f t="shared" si="80"/>
        <v>55.939833334866819</v>
      </c>
      <c r="L771" s="427"/>
      <c r="M771" s="680">
        <f t="shared" si="85"/>
        <v>5.7433599078576862E-2</v>
      </c>
    </row>
    <row r="772" spans="1:13" s="6" customFormat="1" ht="15.75">
      <c r="A772" s="108">
        <v>24</v>
      </c>
      <c r="B772" s="108" t="s">
        <v>368</v>
      </c>
      <c r="C772" s="8">
        <v>5690.31</v>
      </c>
      <c r="D772" s="55"/>
      <c r="E772" s="55"/>
      <c r="F772" s="147">
        <f t="shared" si="81"/>
        <v>5690.31</v>
      </c>
      <c r="G772" s="760">
        <f t="shared" si="82"/>
        <v>6.8290740288101628E-2</v>
      </c>
      <c r="H772" s="427">
        <f t="shared" si="83"/>
        <v>154.96056750994006</v>
      </c>
      <c r="I772" s="148">
        <f t="shared" si="84"/>
        <v>56.979000673404968</v>
      </c>
      <c r="J772" s="177">
        <v>60.136972111543869</v>
      </c>
      <c r="K772" s="427">
        <f t="shared" si="80"/>
        <v>54.738442877927859</v>
      </c>
      <c r="L772" s="427"/>
      <c r="M772" s="680">
        <f t="shared" si="85"/>
        <v>5.7433599078576869E-2</v>
      </c>
    </row>
    <row r="773" spans="1:13" s="6" customFormat="1" ht="15.75">
      <c r="A773" s="108">
        <v>25</v>
      </c>
      <c r="B773" s="108" t="s">
        <v>369</v>
      </c>
      <c r="C773" s="8">
        <v>3955.02</v>
      </c>
      <c r="D773" s="55"/>
      <c r="E773" s="55"/>
      <c r="F773" s="147">
        <f t="shared" si="81"/>
        <v>3955.02</v>
      </c>
      <c r="G773" s="760">
        <f t="shared" si="82"/>
        <v>4.7465119414275787E-2</v>
      </c>
      <c r="H773" s="427">
        <f t="shared" si="83"/>
        <v>107.70452641651562</v>
      </c>
      <c r="I773" s="148">
        <f t="shared" si="84"/>
        <v>39.602954363352794</v>
      </c>
      <c r="J773" s="177">
        <v>41.797885781371875</v>
      </c>
      <c r="K773" s="427">
        <f t="shared" si="80"/>
        <v>38.045666466512756</v>
      </c>
      <c r="L773" s="427"/>
      <c r="M773" s="680">
        <f t="shared" si="85"/>
        <v>5.7433599078576855E-2</v>
      </c>
    </row>
    <row r="774" spans="1:13" s="6" customFormat="1" ht="15.75">
      <c r="A774" s="108">
        <v>26</v>
      </c>
      <c r="B774" s="108" t="s">
        <v>370</v>
      </c>
      <c r="C774" s="8">
        <v>3905.27</v>
      </c>
      <c r="D774" s="55"/>
      <c r="E774" s="55"/>
      <c r="F774" s="147">
        <f t="shared" si="81"/>
        <v>3905.27</v>
      </c>
      <c r="G774" s="760">
        <f t="shared" si="82"/>
        <v>4.6868058036366143E-2</v>
      </c>
      <c r="H774" s="427">
        <f t="shared" si="83"/>
        <v>106.34971653205952</v>
      </c>
      <c r="I774" s="148">
        <f t="shared" si="84"/>
        <v>39.104790768838285</v>
      </c>
      <c r="J774" s="177">
        <v>41.272112253646796</v>
      </c>
      <c r="K774" s="427">
        <f t="shared" si="80"/>
        <v>37.567091919049282</v>
      </c>
      <c r="L774" s="427"/>
      <c r="M774" s="680">
        <f t="shared" si="85"/>
        <v>5.7433599078576862E-2</v>
      </c>
    </row>
    <row r="775" spans="1:13" s="6" customFormat="1" ht="15.75">
      <c r="A775" s="108">
        <v>27</v>
      </c>
      <c r="B775" s="108" t="s">
        <v>371</v>
      </c>
      <c r="C775" s="8">
        <v>4170.17</v>
      </c>
      <c r="D775" s="55"/>
      <c r="E775" s="55">
        <v>689.1</v>
      </c>
      <c r="F775" s="147">
        <f t="shared" si="81"/>
        <v>4859.2700000000004</v>
      </c>
      <c r="G775" s="760">
        <f t="shared" si="82"/>
        <v>5.8317235011759221E-2</v>
      </c>
      <c r="H775" s="427">
        <f t="shared" si="83"/>
        <v>132.32938748223322</v>
      </c>
      <c r="I775" s="148">
        <f t="shared" si="84"/>
        <v>48.657515777217156</v>
      </c>
      <c r="J775" s="177">
        <v>51.354282011430271</v>
      </c>
      <c r="K775" s="427">
        <f t="shared" si="80"/>
        <v>46.7441797236756</v>
      </c>
      <c r="L775" s="427"/>
      <c r="M775" s="680">
        <f t="shared" si="85"/>
        <v>5.7433599078576869E-2</v>
      </c>
    </row>
    <row r="776" spans="1:13" s="6" customFormat="1" ht="15.75">
      <c r="A776" s="108">
        <v>28</v>
      </c>
      <c r="B776" s="108" t="s">
        <v>372</v>
      </c>
      <c r="C776" s="8">
        <v>4268.12</v>
      </c>
      <c r="D776" s="55">
        <v>216.9</v>
      </c>
      <c r="E776" s="55">
        <v>468.4</v>
      </c>
      <c r="F776" s="147">
        <f t="shared" si="81"/>
        <v>4953.4199999999992</v>
      </c>
      <c r="G776" s="760">
        <f t="shared" si="82"/>
        <v>5.9447151167139972E-2</v>
      </c>
      <c r="H776" s="427">
        <f t="shared" si="83"/>
        <v>134.89331412789232</v>
      </c>
      <c r="I776" s="148">
        <f t="shared" si="84"/>
        <v>49.600271604826013</v>
      </c>
      <c r="J776" s="177">
        <v>52.349288597064756</v>
      </c>
      <c r="K776" s="427">
        <f t="shared" si="80"/>
        <v>47.649864018021042</v>
      </c>
      <c r="L776" s="427"/>
      <c r="M776" s="680">
        <f t="shared" si="85"/>
        <v>5.7433599078576855E-2</v>
      </c>
    </row>
    <row r="777" spans="1:13" s="6" customFormat="1" ht="15.75">
      <c r="A777" s="108">
        <v>29</v>
      </c>
      <c r="B777" s="108" t="s">
        <v>373</v>
      </c>
      <c r="C777" s="8">
        <v>10932.24</v>
      </c>
      <c r="D777" s="55"/>
      <c r="E777" s="55"/>
      <c r="F777" s="147">
        <f t="shared" si="81"/>
        <v>10932.24</v>
      </c>
      <c r="G777" s="760">
        <f t="shared" si="82"/>
        <v>0.1312003673977685</v>
      </c>
      <c r="H777" s="427">
        <f t="shared" si="83"/>
        <v>297.71068967329842</v>
      </c>
      <c r="I777" s="148">
        <f t="shared" si="84"/>
        <v>109.46822059287183</v>
      </c>
      <c r="J777" s="177">
        <v>115.5353244369295</v>
      </c>
      <c r="K777" s="427">
        <f t="shared" si="80"/>
        <v>105.16365448768133</v>
      </c>
      <c r="L777" s="427"/>
      <c r="M777" s="680">
        <f t="shared" si="85"/>
        <v>5.7433599078576869E-2</v>
      </c>
    </row>
    <row r="778" spans="1:13" s="6" customFormat="1" ht="15.75">
      <c r="A778" s="108">
        <v>30</v>
      </c>
      <c r="B778" s="108" t="s">
        <v>374</v>
      </c>
      <c r="C778" s="8">
        <v>4713.08</v>
      </c>
      <c r="D778" s="55"/>
      <c r="E778" s="55"/>
      <c r="F778" s="147">
        <f t="shared" si="81"/>
        <v>4713.08</v>
      </c>
      <c r="G778" s="760">
        <f t="shared" si="82"/>
        <v>5.6562774653234352E-2</v>
      </c>
      <c r="H778" s="427">
        <f t="shared" si="83"/>
        <v>128.34828884889367</v>
      </c>
      <c r="I778" s="148">
        <f t="shared" si="84"/>
        <v>47.193665809738206</v>
      </c>
      <c r="J778" s="177">
        <v>49.809300463327155</v>
      </c>
      <c r="K778" s="427">
        <f t="shared" si="80"/>
        <v>45.337892023299993</v>
      </c>
      <c r="L778" s="427"/>
      <c r="M778" s="680">
        <f t="shared" si="85"/>
        <v>5.7433599078576862E-2</v>
      </c>
    </row>
    <row r="779" spans="1:13" s="6" customFormat="1" ht="15.75">
      <c r="A779" s="108">
        <v>31</v>
      </c>
      <c r="B779" s="108" t="s">
        <v>375</v>
      </c>
      <c r="C779" s="8">
        <v>4688.58</v>
      </c>
      <c r="D779" s="55"/>
      <c r="E779" s="55"/>
      <c r="F779" s="147">
        <f t="shared" si="81"/>
        <v>4688.58</v>
      </c>
      <c r="G779" s="760">
        <f t="shared" si="82"/>
        <v>5.6268744426927093E-2</v>
      </c>
      <c r="H779" s="427">
        <f t="shared" si="83"/>
        <v>127.68109604147308</v>
      </c>
      <c r="I779" s="148">
        <f t="shared" si="84"/>
        <v>46.948339014449658</v>
      </c>
      <c r="J779" s="177">
        <v>49.550376816507772</v>
      </c>
      <c r="K779" s="427">
        <f t="shared" si="80"/>
        <v>45.102212095403409</v>
      </c>
      <c r="L779" s="427"/>
      <c r="M779" s="680">
        <f t="shared" si="85"/>
        <v>5.7433599078576869E-2</v>
      </c>
    </row>
    <row r="780" spans="1:13" s="6" customFormat="1" ht="15.75">
      <c r="A780" s="108">
        <v>32</v>
      </c>
      <c r="B780" s="108" t="s">
        <v>376</v>
      </c>
      <c r="C780" s="8">
        <v>2330.62</v>
      </c>
      <c r="D780" s="55"/>
      <c r="E780" s="55"/>
      <c r="F780" s="147">
        <f t="shared" si="81"/>
        <v>2330.62</v>
      </c>
      <c r="G780" s="760">
        <f t="shared" si="82"/>
        <v>2.7970315348417818E-2</v>
      </c>
      <c r="H780" s="427">
        <f t="shared" si="83"/>
        <v>63.468281666555328</v>
      </c>
      <c r="I780" s="148">
        <f t="shared" si="84"/>
        <v>23.337287168792397</v>
      </c>
      <c r="J780" s="177">
        <v>24.630719581640779</v>
      </c>
      <c r="K780" s="427">
        <f t="shared" si="80"/>
        <v>22.419606267524301</v>
      </c>
      <c r="L780" s="427"/>
      <c r="M780" s="680">
        <f t="shared" si="85"/>
        <v>5.7433599078576862E-2</v>
      </c>
    </row>
    <row r="781" spans="1:13" s="6" customFormat="1" ht="15.75">
      <c r="A781" s="108">
        <v>33</v>
      </c>
      <c r="B781" s="108" t="s">
        <v>377</v>
      </c>
      <c r="C781" s="8">
        <v>2305.7800000000002</v>
      </c>
      <c r="D781" s="55"/>
      <c r="E781" s="55"/>
      <c r="F781" s="147">
        <f t="shared" si="81"/>
        <v>2305.7800000000002</v>
      </c>
      <c r="G781" s="760">
        <f t="shared" si="82"/>
        <v>2.7672204702643435E-2</v>
      </c>
      <c r="H781" s="427">
        <f t="shared" si="83"/>
        <v>62.791829856909303</v>
      </c>
      <c r="I781" s="148">
        <f t="shared" si="84"/>
        <v>23.088555838385552</v>
      </c>
      <c r="J781" s="177">
        <v>24.368202708702274</v>
      </c>
      <c r="K781" s="427">
        <f t="shared" si="80"/>
        <v>22.180655679403845</v>
      </c>
      <c r="L781" s="427"/>
      <c r="M781" s="680">
        <f t="shared" si="85"/>
        <v>5.7433599078576869E-2</v>
      </c>
    </row>
    <row r="782" spans="1:13" s="6" customFormat="1" ht="15.75">
      <c r="A782" s="108">
        <v>34</v>
      </c>
      <c r="B782" s="108" t="s">
        <v>378</v>
      </c>
      <c r="C782" s="8">
        <v>2216.46</v>
      </c>
      <c r="D782" s="55"/>
      <c r="E782" s="55"/>
      <c r="F782" s="147">
        <f t="shared" si="81"/>
        <v>2216.46</v>
      </c>
      <c r="G782" s="760">
        <f t="shared" si="82"/>
        <v>2.6600254506163237E-2</v>
      </c>
      <c r="H782" s="427">
        <f t="shared" si="83"/>
        <v>60.35943550757019</v>
      </c>
      <c r="I782" s="148">
        <f t="shared" si="84"/>
        <v>22.194164436133562</v>
      </c>
      <c r="J782" s="177">
        <v>23.424241070583591</v>
      </c>
      <c r="K782" s="427">
        <f t="shared" si="80"/>
        <v>21.321433999415142</v>
      </c>
      <c r="L782" s="427"/>
      <c r="M782" s="680">
        <f t="shared" si="85"/>
        <v>5.7433599078576876E-2</v>
      </c>
    </row>
    <row r="783" spans="1:13" s="6" customFormat="1" ht="15.75">
      <c r="A783" s="108">
        <v>35</v>
      </c>
      <c r="B783" s="108" t="s">
        <v>379</v>
      </c>
      <c r="C783" s="8">
        <v>5733.87</v>
      </c>
      <c r="D783" s="55"/>
      <c r="E783" s="55">
        <v>119.9</v>
      </c>
      <c r="F783" s="147">
        <f t="shared" si="81"/>
        <v>5853.7699999999995</v>
      </c>
      <c r="G783" s="760">
        <f t="shared" si="82"/>
        <v>7.0252461953088777E-2</v>
      </c>
      <c r="H783" s="427">
        <f t="shared" si="83"/>
        <v>159.41196899161235</v>
      </c>
      <c r="I783" s="148">
        <f t="shared" si="84"/>
        <v>58.615780998215868</v>
      </c>
      <c r="J783" s="177">
        <v>61.864468409874348</v>
      </c>
      <c r="K783" s="427">
        <f t="shared" si="80"/>
        <v>56.310860878498303</v>
      </c>
      <c r="L783" s="427"/>
      <c r="M783" s="680">
        <f t="shared" si="85"/>
        <v>5.7433599078576869E-2</v>
      </c>
    </row>
    <row r="784" spans="1:13" s="6" customFormat="1" ht="15.75">
      <c r="A784" s="108">
        <v>36</v>
      </c>
      <c r="B784" s="108" t="s">
        <v>380</v>
      </c>
      <c r="C784" s="8">
        <v>4616.67</v>
      </c>
      <c r="D784" s="55"/>
      <c r="E784" s="55">
        <v>516.1</v>
      </c>
      <c r="F784" s="147">
        <f t="shared" si="81"/>
        <v>5132.7700000000004</v>
      </c>
      <c r="G784" s="760">
        <f t="shared" si="82"/>
        <v>6.1599572436046433E-2</v>
      </c>
      <c r="H784" s="427">
        <f t="shared" si="83"/>
        <v>139.77743780180606</v>
      </c>
      <c r="I784" s="148">
        <f t="shared" si="84"/>
        <v>51.396163879724092</v>
      </c>
      <c r="J784" s="177">
        <v>53.288283128489361</v>
      </c>
      <c r="K784" s="427">
        <f t="shared" si="80"/>
        <v>49.375137286113016</v>
      </c>
      <c r="L784" s="427"/>
      <c r="M784" s="680">
        <f t="shared" si="85"/>
        <v>5.7247260659669626E-2</v>
      </c>
    </row>
    <row r="785" spans="1:13" s="6" customFormat="1" ht="15.75">
      <c r="A785" s="108">
        <v>37</v>
      </c>
      <c r="B785" s="108" t="s">
        <v>381</v>
      </c>
      <c r="C785" s="8">
        <v>4459.21</v>
      </c>
      <c r="D785" s="55"/>
      <c r="E785" s="55">
        <v>199.1</v>
      </c>
      <c r="F785" s="147">
        <f t="shared" si="81"/>
        <v>4658.3100000000004</v>
      </c>
      <c r="G785" s="760">
        <f t="shared" si="82"/>
        <v>5.590546708201604E-2</v>
      </c>
      <c r="H785" s="427">
        <f t="shared" si="83"/>
        <v>126.85677251981507</v>
      </c>
      <c r="I785" s="148">
        <f t="shared" si="84"/>
        <v>46.645235255536001</v>
      </c>
      <c r="J785" s="177">
        <v>49.230474008784391</v>
      </c>
      <c r="K785" s="427">
        <f t="shared" si="80"/>
        <v>44.811027139589953</v>
      </c>
      <c r="L785" s="427"/>
      <c r="M785" s="680">
        <f t="shared" si="85"/>
        <v>5.7433599078576869E-2</v>
      </c>
    </row>
    <row r="786" spans="1:13" s="6" customFormat="1" ht="15.75">
      <c r="A786" s="108">
        <v>38</v>
      </c>
      <c r="B786" s="108" t="s">
        <v>382</v>
      </c>
      <c r="C786" s="8">
        <v>4519.6099999999997</v>
      </c>
      <c r="D786" s="55"/>
      <c r="E786" s="55"/>
      <c r="F786" s="147">
        <f t="shared" si="81"/>
        <v>4519.6099999999997</v>
      </c>
      <c r="G786" s="760">
        <f t="shared" si="82"/>
        <v>5.4240895964105112E-2</v>
      </c>
      <c r="H786" s="427">
        <f t="shared" si="83"/>
        <v>123.07964425902983</v>
      </c>
      <c r="I786" s="148">
        <f t="shared" si="84"/>
        <v>45.256385194045272</v>
      </c>
      <c r="J786" s="177">
        <v>47.764649118423208</v>
      </c>
      <c r="K786" s="427">
        <f t="shared" si="80"/>
        <v>43.47679016002845</v>
      </c>
      <c r="L786" s="427"/>
      <c r="M786" s="680">
        <f t="shared" si="85"/>
        <v>5.7433599078576869E-2</v>
      </c>
    </row>
    <row r="787" spans="1:13" s="6" customFormat="1" ht="15.75">
      <c r="A787" s="108">
        <v>39</v>
      </c>
      <c r="B787" s="108" t="s">
        <v>383</v>
      </c>
      <c r="C787" s="8">
        <v>7164.75</v>
      </c>
      <c r="D787" s="55"/>
      <c r="E787" s="55"/>
      <c r="F787" s="147">
        <f t="shared" si="81"/>
        <v>7164.75</v>
      </c>
      <c r="G787" s="760">
        <f t="shared" si="82"/>
        <v>8.5985839344284595E-2</v>
      </c>
      <c r="H787" s="427">
        <f t="shared" si="83"/>
        <v>195.11304763129652</v>
      </c>
      <c r="I787" s="148">
        <f t="shared" si="84"/>
        <v>71.743067614027737</v>
      </c>
      <c r="J787" s="177">
        <v>75.719314226498014</v>
      </c>
      <c r="K787" s="427">
        <f t="shared" si="80"/>
        <v>68.921949526411311</v>
      </c>
      <c r="L787" s="427"/>
      <c r="M787" s="680">
        <f t="shared" si="85"/>
        <v>5.7433599078576862E-2</v>
      </c>
    </row>
    <row r="788" spans="1:13" s="6" customFormat="1" ht="15.75">
      <c r="A788" s="108">
        <v>40</v>
      </c>
      <c r="B788" s="108" t="s">
        <v>384</v>
      </c>
      <c r="C788" s="8">
        <v>4422.5</v>
      </c>
      <c r="D788" s="55"/>
      <c r="E788" s="55"/>
      <c r="F788" s="147">
        <f t="shared" si="81"/>
        <v>4422.5</v>
      </c>
      <c r="G788" s="760">
        <f t="shared" si="82"/>
        <v>5.3075456156892929E-2</v>
      </c>
      <c r="H788" s="427">
        <f t="shared" si="83"/>
        <v>120.43510982929045</v>
      </c>
      <c r="I788" s="148">
        <f t="shared" si="84"/>
        <v>44.283989884230103</v>
      </c>
      <c r="J788" s="177">
        <v>46.738360328928081</v>
      </c>
      <c r="K788" s="427">
        <f t="shared" si="80"/>
        <v>42.542631882557522</v>
      </c>
      <c r="L788" s="427"/>
      <c r="M788" s="680">
        <f t="shared" si="85"/>
        <v>5.7433599078576855E-2</v>
      </c>
    </row>
    <row r="789" spans="1:13" s="6" customFormat="1" ht="15.75">
      <c r="A789" s="108">
        <v>41</v>
      </c>
      <c r="B789" s="108" t="s">
        <v>385</v>
      </c>
      <c r="C789" s="8">
        <v>9048.7900000000009</v>
      </c>
      <c r="D789" s="55"/>
      <c r="E789" s="55"/>
      <c r="F789" s="147">
        <f t="shared" si="81"/>
        <v>9048.7900000000009</v>
      </c>
      <c r="G789" s="760">
        <f t="shared" si="82"/>
        <v>0.10859664373497598</v>
      </c>
      <c r="H789" s="427">
        <f t="shared" si="83"/>
        <v>246.41990219834605</v>
      </c>
      <c r="I789" s="148">
        <f t="shared" si="84"/>
        <v>90.608598038331849</v>
      </c>
      <c r="J789" s="177">
        <v>95.630436983787703</v>
      </c>
      <c r="K789" s="427">
        <f t="shared" si="80"/>
        <v>87.045639785769993</v>
      </c>
      <c r="L789" s="427"/>
      <c r="M789" s="680">
        <f t="shared" si="85"/>
        <v>5.7433599078576876E-2</v>
      </c>
    </row>
    <row r="790" spans="1:13" s="6" customFormat="1" ht="15.75">
      <c r="A790" s="108">
        <v>42</v>
      </c>
      <c r="B790" s="108" t="s">
        <v>386</v>
      </c>
      <c r="C790" s="32">
        <v>4583.33</v>
      </c>
      <c r="D790" s="55"/>
      <c r="E790" s="55"/>
      <c r="F790" s="147">
        <f t="shared" si="81"/>
        <v>4583.33</v>
      </c>
      <c r="G790" s="760">
        <f t="shared" si="82"/>
        <v>5.5005614577178535E-2</v>
      </c>
      <c r="H790" s="427">
        <f t="shared" si="83"/>
        <v>124.81489020551314</v>
      </c>
      <c r="I790" s="148">
        <f t="shared" si="84"/>
        <v>45.894435128567181</v>
      </c>
      <c r="J790" s="177">
        <v>48.438061966395914</v>
      </c>
      <c r="K790" s="427">
        <f t="shared" si="80"/>
        <v>44.089750364337455</v>
      </c>
      <c r="L790" s="427"/>
      <c r="M790" s="680">
        <f t="shared" si="85"/>
        <v>5.7433599078576855E-2</v>
      </c>
    </row>
    <row r="791" spans="1:13" s="6" customFormat="1" ht="15.75">
      <c r="A791" s="108">
        <v>43</v>
      </c>
      <c r="B791" s="108" t="s">
        <v>387</v>
      </c>
      <c r="C791" s="32">
        <v>2091.96</v>
      </c>
      <c r="D791" s="55"/>
      <c r="E791" s="55">
        <v>121.7</v>
      </c>
      <c r="F791" s="147">
        <f t="shared" si="81"/>
        <v>2213.66</v>
      </c>
      <c r="G791" s="760">
        <f t="shared" si="82"/>
        <v>2.6566651051728118E-2</v>
      </c>
      <c r="H791" s="427">
        <f t="shared" si="83"/>
        <v>60.283184901007829</v>
      </c>
      <c r="I791" s="148">
        <f t="shared" si="84"/>
        <v>22.166127088100581</v>
      </c>
      <c r="J791" s="177">
        <v>23.394649796661373</v>
      </c>
      <c r="K791" s="427">
        <f t="shared" si="80"/>
        <v>21.294499150512671</v>
      </c>
      <c r="L791" s="427"/>
      <c r="M791" s="680">
        <f t="shared" si="85"/>
        <v>5.7433599078576869E-2</v>
      </c>
    </row>
    <row r="792" spans="1:13" s="6" customFormat="1" ht="15.75">
      <c r="A792" s="55">
        <v>44</v>
      </c>
      <c r="B792" s="55" t="s">
        <v>388</v>
      </c>
      <c r="C792" s="32"/>
      <c r="D792" s="55"/>
      <c r="E792" s="55"/>
      <c r="F792" s="147"/>
      <c r="G792" s="760">
        <f t="shared" si="82"/>
        <v>0</v>
      </c>
      <c r="H792" s="427">
        <f t="shared" si="83"/>
        <v>0</v>
      </c>
      <c r="I792" s="148"/>
      <c r="J792" s="177">
        <v>0</v>
      </c>
      <c r="K792" s="427">
        <f t="shared" si="80"/>
        <v>0</v>
      </c>
      <c r="L792" s="427"/>
      <c r="M792" s="680">
        <v>0</v>
      </c>
    </row>
    <row r="793" spans="1:13" s="6" customFormat="1" ht="15.75">
      <c r="A793" s="55">
        <v>45</v>
      </c>
      <c r="B793" s="55" t="s">
        <v>389</v>
      </c>
      <c r="C793" s="32"/>
      <c r="D793" s="55"/>
      <c r="E793" s="55"/>
      <c r="F793" s="147"/>
      <c r="G793" s="760">
        <f t="shared" si="82"/>
        <v>0</v>
      </c>
      <c r="H793" s="427">
        <f t="shared" si="83"/>
        <v>0</v>
      </c>
      <c r="I793" s="148"/>
      <c r="J793" s="177">
        <v>0</v>
      </c>
      <c r="K793" s="427">
        <f t="shared" si="80"/>
        <v>0</v>
      </c>
      <c r="L793" s="427"/>
      <c r="M793" s="680">
        <v>0</v>
      </c>
    </row>
    <row r="794" spans="1:13" s="6" customFormat="1" ht="15.75">
      <c r="A794" s="55">
        <v>46</v>
      </c>
      <c r="B794" s="55" t="s">
        <v>390</v>
      </c>
      <c r="C794" s="32"/>
      <c r="D794" s="55"/>
      <c r="E794" s="55"/>
      <c r="F794" s="147"/>
      <c r="G794" s="760">
        <f t="shared" si="82"/>
        <v>0</v>
      </c>
      <c r="H794" s="427">
        <f t="shared" si="83"/>
        <v>0</v>
      </c>
      <c r="I794" s="148"/>
      <c r="J794" s="177">
        <v>0</v>
      </c>
      <c r="K794" s="427">
        <f t="shared" si="80"/>
        <v>0</v>
      </c>
      <c r="L794" s="427"/>
      <c r="M794" s="680">
        <v>0</v>
      </c>
    </row>
    <row r="795" spans="1:13" s="6" customFormat="1" ht="15.75">
      <c r="A795" s="55">
        <v>47</v>
      </c>
      <c r="B795" s="55" t="s">
        <v>391</v>
      </c>
      <c r="C795" s="32"/>
      <c r="D795" s="55"/>
      <c r="E795" s="55"/>
      <c r="F795" s="147"/>
      <c r="G795" s="760">
        <f t="shared" si="82"/>
        <v>0</v>
      </c>
      <c r="H795" s="427">
        <f t="shared" si="83"/>
        <v>0</v>
      </c>
      <c r="I795" s="148"/>
      <c r="J795" s="177">
        <v>0</v>
      </c>
      <c r="K795" s="427">
        <f t="shared" si="80"/>
        <v>0</v>
      </c>
      <c r="L795" s="427"/>
      <c r="M795" s="680">
        <v>0</v>
      </c>
    </row>
    <row r="796" spans="1:13" s="6" customFormat="1" ht="15.75">
      <c r="A796" s="55">
        <v>49</v>
      </c>
      <c r="B796" s="55" t="s">
        <v>808</v>
      </c>
      <c r="C796" s="32"/>
      <c r="D796" s="55"/>
      <c r="E796" s="55"/>
      <c r="F796" s="147"/>
      <c r="G796" s="760">
        <f t="shared" si="82"/>
        <v>0</v>
      </c>
      <c r="H796" s="427">
        <f t="shared" si="83"/>
        <v>0</v>
      </c>
      <c r="I796" s="148"/>
      <c r="J796" s="177">
        <v>0</v>
      </c>
      <c r="K796" s="148">
        <f t="shared" ref="K796:K836" si="86">G796*801.55</f>
        <v>0</v>
      </c>
      <c r="L796" s="148"/>
      <c r="M796" s="680">
        <v>0</v>
      </c>
    </row>
    <row r="797" spans="1:13" s="6" customFormat="1" ht="15.75">
      <c r="A797" s="55">
        <v>50</v>
      </c>
      <c r="B797" s="55" t="s">
        <v>809</v>
      </c>
      <c r="C797" s="32"/>
      <c r="D797" s="55"/>
      <c r="E797" s="55"/>
      <c r="F797" s="147"/>
      <c r="G797" s="760">
        <f t="shared" si="82"/>
        <v>0</v>
      </c>
      <c r="H797" s="427">
        <f t="shared" si="83"/>
        <v>0</v>
      </c>
      <c r="I797" s="148"/>
      <c r="J797" s="177">
        <v>0</v>
      </c>
      <c r="K797" s="148">
        <f t="shared" si="86"/>
        <v>0</v>
      </c>
      <c r="L797" s="148"/>
      <c r="M797" s="680">
        <v>0</v>
      </c>
    </row>
    <row r="798" spans="1:13" s="6" customFormat="1" ht="15.75">
      <c r="A798" s="55">
        <v>51</v>
      </c>
      <c r="B798" s="55" t="s">
        <v>810</v>
      </c>
      <c r="C798" s="32"/>
      <c r="D798" s="55"/>
      <c r="E798" s="55"/>
      <c r="F798" s="147"/>
      <c r="G798" s="760">
        <f t="shared" si="82"/>
        <v>0</v>
      </c>
      <c r="H798" s="427">
        <f t="shared" si="83"/>
        <v>0</v>
      </c>
      <c r="I798" s="148"/>
      <c r="J798" s="177">
        <v>0</v>
      </c>
      <c r="K798" s="148">
        <f t="shared" si="86"/>
        <v>0</v>
      </c>
      <c r="L798" s="148"/>
      <c r="M798" s="680">
        <v>0</v>
      </c>
    </row>
    <row r="799" spans="1:13" s="6" customFormat="1" ht="15.75">
      <c r="A799" s="55">
        <v>52</v>
      </c>
      <c r="B799" s="55" t="s">
        <v>811</v>
      </c>
      <c r="C799" s="32"/>
      <c r="D799" s="55"/>
      <c r="E799" s="55"/>
      <c r="F799" s="147"/>
      <c r="G799" s="760">
        <f t="shared" si="82"/>
        <v>0</v>
      </c>
      <c r="H799" s="427">
        <f t="shared" si="83"/>
        <v>0</v>
      </c>
      <c r="I799" s="148"/>
      <c r="J799" s="177">
        <v>0</v>
      </c>
      <c r="K799" s="148">
        <f t="shared" si="86"/>
        <v>0</v>
      </c>
      <c r="L799" s="148"/>
      <c r="M799" s="680">
        <v>0</v>
      </c>
    </row>
    <row r="800" spans="1:13" s="6" customFormat="1" ht="15.75">
      <c r="A800" s="55">
        <v>53</v>
      </c>
      <c r="B800" s="55" t="s">
        <v>812</v>
      </c>
      <c r="C800" s="32"/>
      <c r="D800" s="55"/>
      <c r="E800" s="55"/>
      <c r="F800" s="147"/>
      <c r="G800" s="760">
        <f t="shared" si="82"/>
        <v>0</v>
      </c>
      <c r="H800" s="427">
        <f t="shared" si="83"/>
        <v>0</v>
      </c>
      <c r="I800" s="148"/>
      <c r="J800" s="177">
        <v>0</v>
      </c>
      <c r="K800" s="148">
        <f t="shared" si="86"/>
        <v>0</v>
      </c>
      <c r="L800" s="148"/>
      <c r="M800" s="680">
        <v>0</v>
      </c>
    </row>
    <row r="801" spans="1:13" s="6" customFormat="1" ht="15.75">
      <c r="A801" s="55">
        <v>54</v>
      </c>
      <c r="B801" s="55" t="s">
        <v>813</v>
      </c>
      <c r="C801" s="32"/>
      <c r="D801" s="55"/>
      <c r="E801" s="55"/>
      <c r="F801" s="147"/>
      <c r="G801" s="760">
        <f t="shared" si="82"/>
        <v>0</v>
      </c>
      <c r="H801" s="427">
        <f t="shared" si="83"/>
        <v>0</v>
      </c>
      <c r="I801" s="148"/>
      <c r="J801" s="177">
        <v>0</v>
      </c>
      <c r="K801" s="148">
        <f t="shared" si="86"/>
        <v>0</v>
      </c>
      <c r="L801" s="148"/>
      <c r="M801" s="680">
        <v>0</v>
      </c>
    </row>
    <row r="802" spans="1:13" s="6" customFormat="1" ht="15.75">
      <c r="A802" s="55">
        <v>55</v>
      </c>
      <c r="B802" s="55" t="s">
        <v>814</v>
      </c>
      <c r="C802" s="32"/>
      <c r="D802" s="55"/>
      <c r="E802" s="55"/>
      <c r="F802" s="147"/>
      <c r="G802" s="760">
        <f t="shared" si="82"/>
        <v>0</v>
      </c>
      <c r="H802" s="427">
        <f t="shared" si="83"/>
        <v>0</v>
      </c>
      <c r="I802" s="148"/>
      <c r="J802" s="177">
        <v>0</v>
      </c>
      <c r="K802" s="148">
        <f t="shared" si="86"/>
        <v>0</v>
      </c>
      <c r="L802" s="148"/>
      <c r="M802" s="680">
        <v>0</v>
      </c>
    </row>
    <row r="803" spans="1:13" s="6" customFormat="1" ht="15.75">
      <c r="A803" s="55">
        <v>56</v>
      </c>
      <c r="B803" s="55" t="s">
        <v>815</v>
      </c>
      <c r="C803" s="32"/>
      <c r="D803" s="55"/>
      <c r="E803" s="55"/>
      <c r="F803" s="147"/>
      <c r="G803" s="760">
        <f t="shared" si="82"/>
        <v>0</v>
      </c>
      <c r="H803" s="427">
        <f t="shared" si="83"/>
        <v>0</v>
      </c>
      <c r="I803" s="148"/>
      <c r="J803" s="177">
        <v>0</v>
      </c>
      <c r="K803" s="148">
        <f t="shared" si="86"/>
        <v>0</v>
      </c>
      <c r="L803" s="148"/>
      <c r="M803" s="680">
        <v>0</v>
      </c>
    </row>
    <row r="804" spans="1:13" s="6" customFormat="1" ht="15.75">
      <c r="A804" s="55">
        <v>57</v>
      </c>
      <c r="B804" s="55" t="s">
        <v>816</v>
      </c>
      <c r="C804" s="32"/>
      <c r="D804" s="55"/>
      <c r="E804" s="55"/>
      <c r="F804" s="147"/>
      <c r="G804" s="760">
        <f t="shared" si="82"/>
        <v>0</v>
      </c>
      <c r="H804" s="427">
        <f t="shared" si="83"/>
        <v>0</v>
      </c>
      <c r="I804" s="148"/>
      <c r="J804" s="177">
        <v>0</v>
      </c>
      <c r="K804" s="148">
        <f t="shared" si="86"/>
        <v>0</v>
      </c>
      <c r="L804" s="148"/>
      <c r="M804" s="680">
        <v>0</v>
      </c>
    </row>
    <row r="805" spans="1:13" s="6" customFormat="1" ht="15.75">
      <c r="A805" s="55">
        <v>58</v>
      </c>
      <c r="B805" s="55" t="s">
        <v>817</v>
      </c>
      <c r="C805" s="32"/>
      <c r="D805" s="55"/>
      <c r="E805" s="55"/>
      <c r="F805" s="147"/>
      <c r="G805" s="760">
        <f t="shared" si="82"/>
        <v>0</v>
      </c>
      <c r="H805" s="427">
        <f t="shared" si="83"/>
        <v>0</v>
      </c>
      <c r="I805" s="148"/>
      <c r="J805" s="177">
        <v>0</v>
      </c>
      <c r="K805" s="148">
        <f t="shared" si="86"/>
        <v>0</v>
      </c>
      <c r="L805" s="148"/>
      <c r="M805" s="680">
        <v>0</v>
      </c>
    </row>
    <row r="806" spans="1:13" s="6" customFormat="1" ht="15.75">
      <c r="A806" s="55">
        <v>59</v>
      </c>
      <c r="B806" s="55" t="s">
        <v>818</v>
      </c>
      <c r="C806" s="32"/>
      <c r="D806" s="55"/>
      <c r="E806" s="55"/>
      <c r="F806" s="147"/>
      <c r="G806" s="760">
        <f t="shared" si="82"/>
        <v>0</v>
      </c>
      <c r="H806" s="427">
        <f t="shared" si="83"/>
        <v>0</v>
      </c>
      <c r="I806" s="148"/>
      <c r="J806" s="177">
        <v>0</v>
      </c>
      <c r="K806" s="148">
        <f t="shared" si="86"/>
        <v>0</v>
      </c>
      <c r="L806" s="148"/>
      <c r="M806" s="680">
        <v>0</v>
      </c>
    </row>
    <row r="807" spans="1:13" s="6" customFormat="1" ht="15.75">
      <c r="A807" s="55">
        <v>60</v>
      </c>
      <c r="B807" s="55" t="s">
        <v>819</v>
      </c>
      <c r="C807" s="32"/>
      <c r="D807" s="55"/>
      <c r="E807" s="55"/>
      <c r="F807" s="147"/>
      <c r="G807" s="760">
        <f t="shared" si="82"/>
        <v>0</v>
      </c>
      <c r="H807" s="427">
        <f t="shared" si="83"/>
        <v>0</v>
      </c>
      <c r="I807" s="148"/>
      <c r="J807" s="177">
        <v>0</v>
      </c>
      <c r="K807" s="148">
        <f t="shared" si="86"/>
        <v>0</v>
      </c>
      <c r="L807" s="148"/>
      <c r="M807" s="680">
        <v>0</v>
      </c>
    </row>
    <row r="808" spans="1:13" s="6" customFormat="1" ht="15.75">
      <c r="A808" s="55">
        <v>61</v>
      </c>
      <c r="B808" s="55" t="s">
        <v>820</v>
      </c>
      <c r="C808" s="8"/>
      <c r="D808" s="55"/>
      <c r="E808" s="55"/>
      <c r="F808" s="147"/>
      <c r="G808" s="760">
        <f t="shared" si="82"/>
        <v>0</v>
      </c>
      <c r="H808" s="427">
        <f t="shared" si="83"/>
        <v>0</v>
      </c>
      <c r="I808" s="148"/>
      <c r="J808" s="177">
        <v>0</v>
      </c>
      <c r="K808" s="148">
        <f t="shared" si="86"/>
        <v>0</v>
      </c>
      <c r="L808" s="148"/>
      <c r="M808" s="680">
        <v>0</v>
      </c>
    </row>
    <row r="809" spans="1:13" s="6" customFormat="1" ht="15.75">
      <c r="A809" s="55">
        <v>62</v>
      </c>
      <c r="B809" s="55" t="s">
        <v>821</v>
      </c>
      <c r="C809" s="8"/>
      <c r="D809" s="55"/>
      <c r="E809" s="55"/>
      <c r="F809" s="147"/>
      <c r="G809" s="760">
        <f t="shared" si="82"/>
        <v>0</v>
      </c>
      <c r="H809" s="427">
        <f t="shared" si="83"/>
        <v>0</v>
      </c>
      <c r="I809" s="148"/>
      <c r="J809" s="177">
        <v>0</v>
      </c>
      <c r="K809" s="148">
        <f t="shared" si="86"/>
        <v>0</v>
      </c>
      <c r="L809" s="148"/>
      <c r="M809" s="680">
        <v>0</v>
      </c>
    </row>
    <row r="810" spans="1:13" s="6" customFormat="1" ht="15.75">
      <c r="A810" s="55">
        <v>63</v>
      </c>
      <c r="B810" s="55" t="s">
        <v>822</v>
      </c>
      <c r="C810" s="8"/>
      <c r="D810" s="55"/>
      <c r="E810" s="55"/>
      <c r="F810" s="147"/>
      <c r="G810" s="760">
        <f t="shared" si="82"/>
        <v>0</v>
      </c>
      <c r="H810" s="427">
        <f t="shared" si="83"/>
        <v>0</v>
      </c>
      <c r="I810" s="148"/>
      <c r="J810" s="177">
        <v>0</v>
      </c>
      <c r="K810" s="148">
        <f t="shared" si="86"/>
        <v>0</v>
      </c>
      <c r="L810" s="148"/>
      <c r="M810" s="680">
        <v>0</v>
      </c>
    </row>
    <row r="811" spans="1:13" s="6" customFormat="1" ht="15.75">
      <c r="A811" s="55">
        <v>64</v>
      </c>
      <c r="B811" s="55" t="s">
        <v>823</v>
      </c>
      <c r="C811" s="8"/>
      <c r="D811" s="55"/>
      <c r="E811" s="55"/>
      <c r="F811" s="147"/>
      <c r="G811" s="760">
        <f t="shared" si="82"/>
        <v>0</v>
      </c>
      <c r="H811" s="427">
        <f t="shared" si="83"/>
        <v>0</v>
      </c>
      <c r="I811" s="148"/>
      <c r="J811" s="177">
        <v>0</v>
      </c>
      <c r="K811" s="148">
        <f t="shared" si="86"/>
        <v>0</v>
      </c>
      <c r="L811" s="148"/>
      <c r="M811" s="680">
        <v>0</v>
      </c>
    </row>
    <row r="812" spans="1:13" s="6" customFormat="1" ht="15.75">
      <c r="A812" s="55">
        <v>65</v>
      </c>
      <c r="B812" s="55" t="s">
        <v>824</v>
      </c>
      <c r="C812" s="8"/>
      <c r="D812" s="55"/>
      <c r="E812" s="55"/>
      <c r="F812" s="147"/>
      <c r="G812" s="760">
        <f t="shared" si="82"/>
        <v>0</v>
      </c>
      <c r="H812" s="427">
        <f t="shared" si="83"/>
        <v>0</v>
      </c>
      <c r="I812" s="148"/>
      <c r="J812" s="177">
        <v>0</v>
      </c>
      <c r="K812" s="148">
        <f t="shared" si="86"/>
        <v>0</v>
      </c>
      <c r="L812" s="148"/>
      <c r="M812" s="680">
        <v>0</v>
      </c>
    </row>
    <row r="813" spans="1:13" s="6" customFormat="1" ht="15.75">
      <c r="A813" s="55">
        <v>66</v>
      </c>
      <c r="B813" s="55" t="s">
        <v>825</v>
      </c>
      <c r="C813" s="8"/>
      <c r="D813" s="55"/>
      <c r="E813" s="55"/>
      <c r="F813" s="147"/>
      <c r="G813" s="760">
        <f t="shared" ref="G813:G876" si="87">3/249974.3*F813</f>
        <v>0</v>
      </c>
      <c r="H813" s="427">
        <f t="shared" ref="H813:H876" si="88">G813*2269.13</f>
        <v>0</v>
      </c>
      <c r="I813" s="148"/>
      <c r="J813" s="177">
        <v>0</v>
      </c>
      <c r="K813" s="148">
        <f t="shared" si="86"/>
        <v>0</v>
      </c>
      <c r="L813" s="148"/>
      <c r="M813" s="680">
        <v>0</v>
      </c>
    </row>
    <row r="814" spans="1:13" s="6" customFormat="1" ht="15.75">
      <c r="A814" s="55">
        <v>67</v>
      </c>
      <c r="B814" s="55" t="s">
        <v>826</v>
      </c>
      <c r="C814" s="8"/>
      <c r="D814" s="55"/>
      <c r="E814" s="55"/>
      <c r="F814" s="147"/>
      <c r="G814" s="760">
        <f t="shared" si="87"/>
        <v>0</v>
      </c>
      <c r="H814" s="427">
        <f t="shared" si="88"/>
        <v>0</v>
      </c>
      <c r="I814" s="148"/>
      <c r="J814" s="177">
        <v>0</v>
      </c>
      <c r="K814" s="148">
        <f t="shared" si="86"/>
        <v>0</v>
      </c>
      <c r="L814" s="148"/>
      <c r="M814" s="680">
        <v>0</v>
      </c>
    </row>
    <row r="815" spans="1:13" s="6" customFormat="1" ht="15.75">
      <c r="A815" s="55">
        <v>68</v>
      </c>
      <c r="B815" s="55" t="s">
        <v>827</v>
      </c>
      <c r="C815" s="8"/>
      <c r="D815" s="55"/>
      <c r="E815" s="55"/>
      <c r="F815" s="147"/>
      <c r="G815" s="760">
        <f t="shared" si="87"/>
        <v>0</v>
      </c>
      <c r="H815" s="427">
        <f t="shared" si="88"/>
        <v>0</v>
      </c>
      <c r="I815" s="148"/>
      <c r="J815" s="177">
        <v>0</v>
      </c>
      <c r="K815" s="148">
        <f t="shared" si="86"/>
        <v>0</v>
      </c>
      <c r="L815" s="148"/>
      <c r="M815" s="680">
        <v>0</v>
      </c>
    </row>
    <row r="816" spans="1:13" s="6" customFormat="1" ht="15.75">
      <c r="A816" s="55">
        <v>69</v>
      </c>
      <c r="B816" s="55" t="s">
        <v>828</v>
      </c>
      <c r="C816" s="8"/>
      <c r="D816" s="55"/>
      <c r="E816" s="55"/>
      <c r="F816" s="147"/>
      <c r="G816" s="760">
        <f t="shared" si="87"/>
        <v>0</v>
      </c>
      <c r="H816" s="427">
        <f t="shared" si="88"/>
        <v>0</v>
      </c>
      <c r="I816" s="148"/>
      <c r="J816" s="177">
        <v>0</v>
      </c>
      <c r="K816" s="148">
        <f t="shared" si="86"/>
        <v>0</v>
      </c>
      <c r="L816" s="148"/>
      <c r="M816" s="680">
        <v>0</v>
      </c>
    </row>
    <row r="817" spans="1:13" s="6" customFormat="1" ht="15.75">
      <c r="A817" s="55">
        <v>70</v>
      </c>
      <c r="B817" s="55" t="s">
        <v>829</v>
      </c>
      <c r="C817" s="8"/>
      <c r="D817" s="55"/>
      <c r="E817" s="55"/>
      <c r="F817" s="147"/>
      <c r="G817" s="760">
        <f t="shared" si="87"/>
        <v>0</v>
      </c>
      <c r="H817" s="427">
        <f t="shared" si="88"/>
        <v>0</v>
      </c>
      <c r="I817" s="148"/>
      <c r="J817" s="177">
        <v>0</v>
      </c>
      <c r="K817" s="148">
        <f t="shared" si="86"/>
        <v>0</v>
      </c>
      <c r="L817" s="148"/>
      <c r="M817" s="680">
        <v>0</v>
      </c>
    </row>
    <row r="818" spans="1:13" s="6" customFormat="1" ht="15.75">
      <c r="A818" s="55">
        <v>71</v>
      </c>
      <c r="B818" s="55" t="s">
        <v>830</v>
      </c>
      <c r="C818" s="8"/>
      <c r="D818" s="55"/>
      <c r="E818" s="55"/>
      <c r="F818" s="147"/>
      <c r="G818" s="760">
        <f t="shared" si="87"/>
        <v>0</v>
      </c>
      <c r="H818" s="427">
        <f t="shared" si="88"/>
        <v>0</v>
      </c>
      <c r="I818" s="148"/>
      <c r="J818" s="177">
        <v>0</v>
      </c>
      <c r="K818" s="148">
        <f t="shared" si="86"/>
        <v>0</v>
      </c>
      <c r="L818" s="148"/>
      <c r="M818" s="680">
        <v>0</v>
      </c>
    </row>
    <row r="819" spans="1:13" s="6" customFormat="1" ht="15.75">
      <c r="A819" s="55">
        <v>72</v>
      </c>
      <c r="B819" s="55" t="s">
        <v>831</v>
      </c>
      <c r="C819" s="8"/>
      <c r="D819" s="55"/>
      <c r="E819" s="55"/>
      <c r="F819" s="147"/>
      <c r="G819" s="760">
        <f t="shared" si="87"/>
        <v>0</v>
      </c>
      <c r="H819" s="427">
        <f t="shared" si="88"/>
        <v>0</v>
      </c>
      <c r="I819" s="148"/>
      <c r="J819" s="177">
        <v>0</v>
      </c>
      <c r="K819" s="148">
        <f t="shared" si="86"/>
        <v>0</v>
      </c>
      <c r="L819" s="148"/>
      <c r="M819" s="680">
        <v>0</v>
      </c>
    </row>
    <row r="820" spans="1:13" s="6" customFormat="1" ht="15.75">
      <c r="A820" s="55">
        <v>73</v>
      </c>
      <c r="B820" s="55" t="s">
        <v>832</v>
      </c>
      <c r="C820" s="8"/>
      <c r="D820" s="55"/>
      <c r="E820" s="55"/>
      <c r="F820" s="147"/>
      <c r="G820" s="760">
        <f t="shared" si="87"/>
        <v>0</v>
      </c>
      <c r="H820" s="427">
        <f t="shared" si="88"/>
        <v>0</v>
      </c>
      <c r="I820" s="148"/>
      <c r="J820" s="177">
        <v>0</v>
      </c>
      <c r="K820" s="148">
        <f t="shared" si="86"/>
        <v>0</v>
      </c>
      <c r="L820" s="148"/>
      <c r="M820" s="680">
        <v>0</v>
      </c>
    </row>
    <row r="821" spans="1:13" s="6" customFormat="1" ht="15.75">
      <c r="A821" s="55">
        <v>74</v>
      </c>
      <c r="B821" s="55" t="s">
        <v>878</v>
      </c>
      <c r="C821" s="8"/>
      <c r="D821" s="55"/>
      <c r="E821" s="55"/>
      <c r="F821" s="147"/>
      <c r="G821" s="760">
        <f t="shared" si="87"/>
        <v>0</v>
      </c>
      <c r="H821" s="427">
        <f t="shared" si="88"/>
        <v>0</v>
      </c>
      <c r="I821" s="148"/>
      <c r="J821" s="177">
        <v>0</v>
      </c>
      <c r="K821" s="148">
        <f t="shared" si="86"/>
        <v>0</v>
      </c>
      <c r="L821" s="148"/>
      <c r="M821" s="680">
        <v>0</v>
      </c>
    </row>
    <row r="822" spans="1:13" s="6" customFormat="1" ht="15.75">
      <c r="A822" s="55">
        <v>75</v>
      </c>
      <c r="B822" s="55" t="s">
        <v>879</v>
      </c>
      <c r="C822" s="8"/>
      <c r="D822" s="55"/>
      <c r="E822" s="55"/>
      <c r="F822" s="147"/>
      <c r="G822" s="760">
        <f t="shared" si="87"/>
        <v>0</v>
      </c>
      <c r="H822" s="427">
        <f t="shared" si="88"/>
        <v>0</v>
      </c>
      <c r="I822" s="148"/>
      <c r="J822" s="177">
        <v>0</v>
      </c>
      <c r="K822" s="148">
        <f t="shared" si="86"/>
        <v>0</v>
      </c>
      <c r="L822" s="148"/>
      <c r="M822" s="680">
        <v>0</v>
      </c>
    </row>
    <row r="823" spans="1:13" s="6" customFormat="1" ht="15.75">
      <c r="A823" s="55">
        <v>76</v>
      </c>
      <c r="B823" s="55" t="s">
        <v>880</v>
      </c>
      <c r="C823" s="8"/>
      <c r="D823" s="55"/>
      <c r="E823" s="55"/>
      <c r="F823" s="147"/>
      <c r="G823" s="760">
        <f t="shared" si="87"/>
        <v>0</v>
      </c>
      <c r="H823" s="427">
        <f t="shared" si="88"/>
        <v>0</v>
      </c>
      <c r="I823" s="148"/>
      <c r="J823" s="177">
        <v>0</v>
      </c>
      <c r="K823" s="148">
        <f t="shared" si="86"/>
        <v>0</v>
      </c>
      <c r="L823" s="148"/>
      <c r="M823" s="680">
        <v>0</v>
      </c>
    </row>
    <row r="824" spans="1:13" s="6" customFormat="1" ht="15.75">
      <c r="A824" s="55">
        <v>77</v>
      </c>
      <c r="B824" s="55" t="s">
        <v>881</v>
      </c>
      <c r="C824" s="8"/>
      <c r="D824" s="55"/>
      <c r="E824" s="55"/>
      <c r="F824" s="147"/>
      <c r="G824" s="760">
        <f t="shared" si="87"/>
        <v>0</v>
      </c>
      <c r="H824" s="427">
        <f t="shared" si="88"/>
        <v>0</v>
      </c>
      <c r="I824" s="148"/>
      <c r="J824" s="177">
        <v>0</v>
      </c>
      <c r="K824" s="148">
        <f t="shared" si="86"/>
        <v>0</v>
      </c>
      <c r="L824" s="148"/>
      <c r="M824" s="680">
        <v>0</v>
      </c>
    </row>
    <row r="825" spans="1:13" s="6" customFormat="1" ht="15.75">
      <c r="A825" s="55">
        <v>78</v>
      </c>
      <c r="B825" s="55" t="s">
        <v>882</v>
      </c>
      <c r="C825" s="8"/>
      <c r="D825" s="55"/>
      <c r="E825" s="55"/>
      <c r="F825" s="147"/>
      <c r="G825" s="760">
        <f t="shared" si="87"/>
        <v>0</v>
      </c>
      <c r="H825" s="427">
        <f t="shared" si="88"/>
        <v>0</v>
      </c>
      <c r="I825" s="148"/>
      <c r="J825" s="177">
        <v>0</v>
      </c>
      <c r="K825" s="148">
        <f t="shared" si="86"/>
        <v>0</v>
      </c>
      <c r="L825" s="148"/>
      <c r="M825" s="680">
        <v>0</v>
      </c>
    </row>
    <row r="826" spans="1:13" s="6" customFormat="1" ht="15.75">
      <c r="A826" s="55">
        <v>79</v>
      </c>
      <c r="B826" s="55" t="s">
        <v>883</v>
      </c>
      <c r="C826" s="8"/>
      <c r="D826" s="55"/>
      <c r="E826" s="55"/>
      <c r="F826" s="147"/>
      <c r="G826" s="760">
        <f t="shared" si="87"/>
        <v>0</v>
      </c>
      <c r="H826" s="427">
        <f t="shared" si="88"/>
        <v>0</v>
      </c>
      <c r="I826" s="148"/>
      <c r="J826" s="177">
        <v>0</v>
      </c>
      <c r="K826" s="148">
        <f t="shared" si="86"/>
        <v>0</v>
      </c>
      <c r="L826" s="148"/>
      <c r="M826" s="680">
        <v>0</v>
      </c>
    </row>
    <row r="827" spans="1:13" s="6" customFormat="1" ht="15.75">
      <c r="A827" s="55">
        <v>80</v>
      </c>
      <c r="B827" s="55" t="s">
        <v>884</v>
      </c>
      <c r="C827" s="8"/>
      <c r="D827" s="55"/>
      <c r="E827" s="55"/>
      <c r="F827" s="147"/>
      <c r="G827" s="760">
        <f t="shared" si="87"/>
        <v>0</v>
      </c>
      <c r="H827" s="427">
        <f t="shared" si="88"/>
        <v>0</v>
      </c>
      <c r="I827" s="148"/>
      <c r="J827" s="177">
        <v>0</v>
      </c>
      <c r="K827" s="148">
        <f t="shared" si="86"/>
        <v>0</v>
      </c>
      <c r="L827" s="148"/>
      <c r="M827" s="680">
        <v>0</v>
      </c>
    </row>
    <row r="828" spans="1:13" s="6" customFormat="1" ht="15.75">
      <c r="A828" s="108">
        <v>81</v>
      </c>
      <c r="B828" s="108" t="s">
        <v>885</v>
      </c>
      <c r="C828" s="8">
        <v>1437.1</v>
      </c>
      <c r="D828" s="55"/>
      <c r="E828" s="55"/>
      <c r="F828" s="147"/>
      <c r="G828" s="760">
        <f t="shared" si="87"/>
        <v>0</v>
      </c>
      <c r="H828" s="427">
        <f t="shared" si="88"/>
        <v>0</v>
      </c>
      <c r="I828" s="148">
        <f>H828*0.3677</f>
        <v>0</v>
      </c>
      <c r="J828" s="177">
        <v>0</v>
      </c>
      <c r="K828" s="148">
        <f t="shared" si="86"/>
        <v>0</v>
      </c>
      <c r="L828" s="148"/>
      <c r="M828" s="680">
        <v>0</v>
      </c>
    </row>
    <row r="829" spans="1:13" s="6" customFormat="1" ht="15.75">
      <c r="A829" s="55">
        <v>82</v>
      </c>
      <c r="B829" s="55" t="s">
        <v>886</v>
      </c>
      <c r="C829" s="8"/>
      <c r="D829" s="55"/>
      <c r="E829" s="55"/>
      <c r="F829" s="147"/>
      <c r="G829" s="760">
        <f t="shared" si="87"/>
        <v>0</v>
      </c>
      <c r="H829" s="427">
        <f t="shared" si="88"/>
        <v>0</v>
      </c>
      <c r="I829" s="148"/>
      <c r="J829" s="177">
        <v>0</v>
      </c>
      <c r="K829" s="148">
        <f t="shared" si="86"/>
        <v>0</v>
      </c>
      <c r="L829" s="148"/>
      <c r="M829" s="680">
        <v>0</v>
      </c>
    </row>
    <row r="830" spans="1:13" s="6" customFormat="1" ht="15.75">
      <c r="A830" s="55">
        <v>83</v>
      </c>
      <c r="B830" s="55" t="s">
        <v>887</v>
      </c>
      <c r="C830" s="8"/>
      <c r="D830" s="55"/>
      <c r="E830" s="55"/>
      <c r="F830" s="147"/>
      <c r="G830" s="760">
        <f t="shared" si="87"/>
        <v>0</v>
      </c>
      <c r="H830" s="427">
        <f t="shared" si="88"/>
        <v>0</v>
      </c>
      <c r="I830" s="148"/>
      <c r="J830" s="177">
        <v>0</v>
      </c>
      <c r="K830" s="148">
        <f t="shared" si="86"/>
        <v>0</v>
      </c>
      <c r="L830" s="148"/>
      <c r="M830" s="680">
        <v>0</v>
      </c>
    </row>
    <row r="831" spans="1:13" s="6" customFormat="1" ht="15.75">
      <c r="A831" s="55">
        <v>84</v>
      </c>
      <c r="B831" s="55" t="s">
        <v>888</v>
      </c>
      <c r="C831" s="8"/>
      <c r="D831" s="55"/>
      <c r="E831" s="55"/>
      <c r="F831" s="147"/>
      <c r="G831" s="760">
        <f t="shared" si="87"/>
        <v>0</v>
      </c>
      <c r="H831" s="427">
        <f t="shared" si="88"/>
        <v>0</v>
      </c>
      <c r="I831" s="148"/>
      <c r="J831" s="177">
        <v>0</v>
      </c>
      <c r="K831" s="148">
        <f t="shared" si="86"/>
        <v>0</v>
      </c>
      <c r="L831" s="148"/>
      <c r="M831" s="680">
        <v>0</v>
      </c>
    </row>
    <row r="832" spans="1:13" s="6" customFormat="1" ht="15.75">
      <c r="A832" s="55">
        <v>85</v>
      </c>
      <c r="B832" s="55" t="s">
        <v>889</v>
      </c>
      <c r="C832" s="8"/>
      <c r="D832" s="55"/>
      <c r="E832" s="55"/>
      <c r="F832" s="147"/>
      <c r="G832" s="760">
        <f t="shared" si="87"/>
        <v>0</v>
      </c>
      <c r="H832" s="427">
        <f t="shared" si="88"/>
        <v>0</v>
      </c>
      <c r="I832" s="148"/>
      <c r="J832" s="177">
        <v>0</v>
      </c>
      <c r="K832" s="148">
        <f t="shared" si="86"/>
        <v>0</v>
      </c>
      <c r="L832" s="148"/>
      <c r="M832" s="680">
        <v>0</v>
      </c>
    </row>
    <row r="833" spans="1:13" s="6" customFormat="1" ht="15.75">
      <c r="A833" s="55">
        <v>87</v>
      </c>
      <c r="B833" s="55" t="s">
        <v>916</v>
      </c>
      <c r="C833" s="8"/>
      <c r="D833" s="55"/>
      <c r="E833" s="55"/>
      <c r="F833" s="147"/>
      <c r="G833" s="760">
        <f t="shared" si="87"/>
        <v>0</v>
      </c>
      <c r="H833" s="427">
        <f t="shared" si="88"/>
        <v>0</v>
      </c>
      <c r="I833" s="148"/>
      <c r="J833" s="177">
        <v>0</v>
      </c>
      <c r="K833" s="148">
        <f t="shared" si="86"/>
        <v>0</v>
      </c>
      <c r="L833" s="148"/>
      <c r="M833" s="680">
        <v>0</v>
      </c>
    </row>
    <row r="834" spans="1:13" s="6" customFormat="1" ht="15.75">
      <c r="A834" s="108">
        <v>89</v>
      </c>
      <c r="B834" s="108" t="s">
        <v>918</v>
      </c>
      <c r="C834" s="8">
        <v>3273.28</v>
      </c>
      <c r="D834" s="55"/>
      <c r="E834" s="55">
        <v>69.5</v>
      </c>
      <c r="F834" s="147">
        <f>C834+D834+E834</f>
        <v>3342.78</v>
      </c>
      <c r="G834" s="760">
        <f t="shared" si="87"/>
        <v>4.0117484077363159E-2</v>
      </c>
      <c r="H834" s="427">
        <f t="shared" si="88"/>
        <v>91.031786644467076</v>
      </c>
      <c r="I834" s="148">
        <f>H834*0.3677</f>
        <v>33.472387949170546</v>
      </c>
      <c r="J834" s="177">
        <v>35.327542372037129</v>
      </c>
      <c r="K834" s="427">
        <f t="shared" si="86"/>
        <v>32.156169362210441</v>
      </c>
      <c r="L834" s="427"/>
      <c r="M834" s="680">
        <f>(K834+J834+I834+H834)/F834</f>
        <v>5.7433599078576869E-2</v>
      </c>
    </row>
    <row r="835" spans="1:13" s="6" customFormat="1" ht="15.75">
      <c r="A835" s="55">
        <v>90</v>
      </c>
      <c r="B835" s="55" t="s">
        <v>921</v>
      </c>
      <c r="C835" s="8"/>
      <c r="D835" s="55"/>
      <c r="E835" s="55"/>
      <c r="F835" s="147"/>
      <c r="G835" s="760">
        <f t="shared" si="87"/>
        <v>0</v>
      </c>
      <c r="H835" s="427">
        <f t="shared" si="88"/>
        <v>0</v>
      </c>
      <c r="I835" s="148"/>
      <c r="J835" s="177">
        <v>0</v>
      </c>
      <c r="K835" s="427">
        <f t="shared" si="86"/>
        <v>0</v>
      </c>
      <c r="L835" s="427"/>
      <c r="M835" s="680">
        <v>0</v>
      </c>
    </row>
    <row r="836" spans="1:13" s="6" customFormat="1" ht="15.75">
      <c r="A836" s="55">
        <v>91</v>
      </c>
      <c r="B836" s="55" t="s">
        <v>922</v>
      </c>
      <c r="C836" s="8"/>
      <c r="D836" s="55"/>
      <c r="E836" s="55"/>
      <c r="F836" s="147"/>
      <c r="G836" s="760">
        <f t="shared" si="87"/>
        <v>0</v>
      </c>
      <c r="H836" s="427">
        <f t="shared" si="88"/>
        <v>0</v>
      </c>
      <c r="I836" s="148"/>
      <c r="J836" s="177">
        <v>0</v>
      </c>
      <c r="K836" s="427">
        <f t="shared" si="86"/>
        <v>0</v>
      </c>
      <c r="L836" s="427"/>
      <c r="M836" s="680">
        <v>0</v>
      </c>
    </row>
    <row r="837" spans="1:13" s="6" customFormat="1" ht="15.75">
      <c r="A837" s="55">
        <v>92</v>
      </c>
      <c r="B837" s="55" t="s">
        <v>923</v>
      </c>
      <c r="C837" s="8"/>
      <c r="D837" s="55"/>
      <c r="E837" s="55"/>
      <c r="F837" s="147"/>
      <c r="G837" s="760">
        <f t="shared" si="87"/>
        <v>0</v>
      </c>
      <c r="H837" s="427">
        <f t="shared" si="88"/>
        <v>0</v>
      </c>
      <c r="I837" s="148"/>
      <c r="J837" s="177">
        <v>0</v>
      </c>
      <c r="K837" s="427">
        <f t="shared" ref="K837:K874" si="89">G837*801.55</f>
        <v>0</v>
      </c>
      <c r="L837" s="427"/>
      <c r="M837" s="680">
        <v>0</v>
      </c>
    </row>
    <row r="838" spans="1:13" s="6" customFormat="1" ht="15.75">
      <c r="A838" s="55">
        <v>93</v>
      </c>
      <c r="B838" s="55" t="s">
        <v>924</v>
      </c>
      <c r="C838" s="8"/>
      <c r="D838" s="55"/>
      <c r="E838" s="55"/>
      <c r="F838" s="147"/>
      <c r="G838" s="760">
        <f t="shared" si="87"/>
        <v>0</v>
      </c>
      <c r="H838" s="427">
        <f t="shared" si="88"/>
        <v>0</v>
      </c>
      <c r="I838" s="148"/>
      <c r="J838" s="177">
        <v>0</v>
      </c>
      <c r="K838" s="427">
        <f t="shared" si="89"/>
        <v>0</v>
      </c>
      <c r="L838" s="427"/>
      <c r="M838" s="680">
        <v>0</v>
      </c>
    </row>
    <row r="839" spans="1:13" s="6" customFormat="1" ht="15.75">
      <c r="A839" s="55">
        <v>94</v>
      </c>
      <c r="B839" s="55" t="s">
        <v>16</v>
      </c>
      <c r="C839" s="8"/>
      <c r="D839" s="55"/>
      <c r="E839" s="55"/>
      <c r="F839" s="147"/>
      <c r="G839" s="760">
        <f t="shared" si="87"/>
        <v>0</v>
      </c>
      <c r="H839" s="427">
        <f t="shared" si="88"/>
        <v>0</v>
      </c>
      <c r="I839" s="148"/>
      <c r="J839" s="177">
        <v>0</v>
      </c>
      <c r="K839" s="427">
        <f t="shared" si="89"/>
        <v>0</v>
      </c>
      <c r="L839" s="427"/>
      <c r="M839" s="680">
        <v>0</v>
      </c>
    </row>
    <row r="840" spans="1:13" s="6" customFormat="1" ht="15.75">
      <c r="A840" s="55">
        <v>95</v>
      </c>
      <c r="B840" s="55" t="s">
        <v>17</v>
      </c>
      <c r="C840" s="8"/>
      <c r="D840" s="55"/>
      <c r="E840" s="55"/>
      <c r="F840" s="147"/>
      <c r="G840" s="760">
        <f t="shared" si="87"/>
        <v>0</v>
      </c>
      <c r="H840" s="427">
        <f t="shared" si="88"/>
        <v>0</v>
      </c>
      <c r="I840" s="148"/>
      <c r="J840" s="177">
        <v>0</v>
      </c>
      <c r="K840" s="427">
        <f t="shared" si="89"/>
        <v>0</v>
      </c>
      <c r="L840" s="427"/>
      <c r="M840" s="680">
        <v>0</v>
      </c>
    </row>
    <row r="841" spans="1:13" s="6" customFormat="1" ht="15.75">
      <c r="A841" s="55">
        <v>96</v>
      </c>
      <c r="B841" s="55" t="s">
        <v>18</v>
      </c>
      <c r="C841" s="8"/>
      <c r="D841" s="55"/>
      <c r="E841" s="55"/>
      <c r="F841" s="147"/>
      <c r="G841" s="760">
        <f t="shared" si="87"/>
        <v>0</v>
      </c>
      <c r="H841" s="427">
        <f t="shared" si="88"/>
        <v>0</v>
      </c>
      <c r="I841" s="148"/>
      <c r="J841" s="177">
        <v>0</v>
      </c>
      <c r="K841" s="427">
        <f t="shared" si="89"/>
        <v>0</v>
      </c>
      <c r="L841" s="427"/>
      <c r="M841" s="680">
        <v>0</v>
      </c>
    </row>
    <row r="842" spans="1:13" s="6" customFormat="1" ht="15.75">
      <c r="A842" s="55">
        <v>97</v>
      </c>
      <c r="B842" s="55" t="s">
        <v>19</v>
      </c>
      <c r="C842" s="8"/>
      <c r="D842" s="55"/>
      <c r="E842" s="55"/>
      <c r="F842" s="147"/>
      <c r="G842" s="760">
        <f t="shared" si="87"/>
        <v>0</v>
      </c>
      <c r="H842" s="427">
        <f t="shared" si="88"/>
        <v>0</v>
      </c>
      <c r="I842" s="148"/>
      <c r="J842" s="177">
        <v>0</v>
      </c>
      <c r="K842" s="427">
        <f t="shared" si="89"/>
        <v>0</v>
      </c>
      <c r="L842" s="427"/>
      <c r="M842" s="680">
        <v>0</v>
      </c>
    </row>
    <row r="843" spans="1:13" s="6" customFormat="1" ht="15.75">
      <c r="A843" s="55">
        <v>98</v>
      </c>
      <c r="B843" s="55" t="s">
        <v>20</v>
      </c>
      <c r="C843" s="8"/>
      <c r="D843" s="55"/>
      <c r="E843" s="55"/>
      <c r="F843" s="147"/>
      <c r="G843" s="760">
        <f t="shared" si="87"/>
        <v>0</v>
      </c>
      <c r="H843" s="427">
        <f t="shared" si="88"/>
        <v>0</v>
      </c>
      <c r="I843" s="148"/>
      <c r="J843" s="177">
        <v>0</v>
      </c>
      <c r="K843" s="427">
        <f t="shared" si="89"/>
        <v>0</v>
      </c>
      <c r="L843" s="427"/>
      <c r="M843" s="680">
        <v>0</v>
      </c>
    </row>
    <row r="844" spans="1:13" s="6" customFormat="1" ht="15.75">
      <c r="A844" s="55">
        <v>99</v>
      </c>
      <c r="B844" s="55" t="s">
        <v>21</v>
      </c>
      <c r="C844" s="8"/>
      <c r="D844" s="55"/>
      <c r="E844" s="55"/>
      <c r="F844" s="147"/>
      <c r="G844" s="760">
        <f t="shared" si="87"/>
        <v>0</v>
      </c>
      <c r="H844" s="427">
        <f t="shared" si="88"/>
        <v>0</v>
      </c>
      <c r="I844" s="148"/>
      <c r="J844" s="177">
        <v>0</v>
      </c>
      <c r="K844" s="427">
        <f t="shared" si="89"/>
        <v>0</v>
      </c>
      <c r="L844" s="427"/>
      <c r="M844" s="680">
        <v>0</v>
      </c>
    </row>
    <row r="845" spans="1:13" s="6" customFormat="1" ht="15.75">
      <c r="A845" s="55">
        <v>100</v>
      </c>
      <c r="B845" s="55" t="s">
        <v>22</v>
      </c>
      <c r="C845" s="8"/>
      <c r="D845" s="55"/>
      <c r="E845" s="55"/>
      <c r="F845" s="147"/>
      <c r="G845" s="760">
        <f t="shared" si="87"/>
        <v>0</v>
      </c>
      <c r="H845" s="427">
        <f t="shared" si="88"/>
        <v>0</v>
      </c>
      <c r="I845" s="148"/>
      <c r="J845" s="177">
        <v>0</v>
      </c>
      <c r="K845" s="427">
        <f t="shared" si="89"/>
        <v>0</v>
      </c>
      <c r="L845" s="427"/>
      <c r="M845" s="680">
        <v>0</v>
      </c>
    </row>
    <row r="846" spans="1:13" s="6" customFormat="1" ht="15.75">
      <c r="A846" s="55">
        <v>101</v>
      </c>
      <c r="B846" s="55" t="s">
        <v>23</v>
      </c>
      <c r="C846" s="8"/>
      <c r="D846" s="55"/>
      <c r="E846" s="55"/>
      <c r="F846" s="147"/>
      <c r="G846" s="760">
        <f t="shared" si="87"/>
        <v>0</v>
      </c>
      <c r="H846" s="427">
        <f t="shared" si="88"/>
        <v>0</v>
      </c>
      <c r="I846" s="148"/>
      <c r="J846" s="177">
        <v>0</v>
      </c>
      <c r="K846" s="427">
        <f t="shared" si="89"/>
        <v>0</v>
      </c>
      <c r="L846" s="427"/>
      <c r="M846" s="680">
        <v>0</v>
      </c>
    </row>
    <row r="847" spans="1:13" s="6" customFormat="1" ht="15.75">
      <c r="A847" s="55">
        <v>102</v>
      </c>
      <c r="B847" s="55" t="s">
        <v>24</v>
      </c>
      <c r="C847" s="8"/>
      <c r="D847" s="55"/>
      <c r="E847" s="55"/>
      <c r="F847" s="147"/>
      <c r="G847" s="760">
        <f t="shared" si="87"/>
        <v>0</v>
      </c>
      <c r="H847" s="427">
        <f t="shared" si="88"/>
        <v>0</v>
      </c>
      <c r="I847" s="148"/>
      <c r="J847" s="177">
        <v>0</v>
      </c>
      <c r="K847" s="427">
        <f t="shared" si="89"/>
        <v>0</v>
      </c>
      <c r="L847" s="427"/>
      <c r="M847" s="680">
        <v>0</v>
      </c>
    </row>
    <row r="848" spans="1:13" s="6" customFormat="1" ht="15.75">
      <c r="A848" s="55">
        <v>103</v>
      </c>
      <c r="B848" s="55" t="s">
        <v>25</v>
      </c>
      <c r="C848" s="8"/>
      <c r="D848" s="55"/>
      <c r="E848" s="55"/>
      <c r="F848" s="147"/>
      <c r="G848" s="760">
        <f t="shared" si="87"/>
        <v>0</v>
      </c>
      <c r="H848" s="427">
        <f t="shared" si="88"/>
        <v>0</v>
      </c>
      <c r="I848" s="148"/>
      <c r="J848" s="177">
        <v>0</v>
      </c>
      <c r="K848" s="427">
        <f t="shared" si="89"/>
        <v>0</v>
      </c>
      <c r="L848" s="427"/>
      <c r="M848" s="680">
        <v>0</v>
      </c>
    </row>
    <row r="849" spans="1:13" s="6" customFormat="1" ht="15.75">
      <c r="A849" s="55">
        <v>104</v>
      </c>
      <c r="B849" s="55" t="s">
        <v>26</v>
      </c>
      <c r="C849" s="8"/>
      <c r="D849" s="55"/>
      <c r="E849" s="55"/>
      <c r="F849" s="147"/>
      <c r="G849" s="760">
        <f t="shared" si="87"/>
        <v>0</v>
      </c>
      <c r="H849" s="427">
        <f t="shared" si="88"/>
        <v>0</v>
      </c>
      <c r="I849" s="148"/>
      <c r="J849" s="177">
        <v>0</v>
      </c>
      <c r="K849" s="427">
        <f t="shared" si="89"/>
        <v>0</v>
      </c>
      <c r="L849" s="427"/>
      <c r="M849" s="680">
        <v>0</v>
      </c>
    </row>
    <row r="850" spans="1:13" s="6" customFormat="1" ht="15.75">
      <c r="A850" s="55">
        <v>105</v>
      </c>
      <c r="B850" s="55" t="s">
        <v>27</v>
      </c>
      <c r="C850" s="8"/>
      <c r="D850" s="55"/>
      <c r="E850" s="55"/>
      <c r="F850" s="147"/>
      <c r="G850" s="760">
        <f t="shared" si="87"/>
        <v>0</v>
      </c>
      <c r="H850" s="427">
        <f t="shared" si="88"/>
        <v>0</v>
      </c>
      <c r="I850" s="148"/>
      <c r="J850" s="177">
        <v>0</v>
      </c>
      <c r="K850" s="427">
        <f t="shared" si="89"/>
        <v>0</v>
      </c>
      <c r="L850" s="427"/>
      <c r="M850" s="680">
        <v>0</v>
      </c>
    </row>
    <row r="851" spans="1:13" s="6" customFormat="1" ht="15.75">
      <c r="A851" s="55">
        <v>106</v>
      </c>
      <c r="B851" s="55" t="s">
        <v>28</v>
      </c>
      <c r="C851" s="8"/>
      <c r="D851" s="55"/>
      <c r="E851" s="55"/>
      <c r="F851" s="147"/>
      <c r="G851" s="760">
        <f t="shared" si="87"/>
        <v>0</v>
      </c>
      <c r="H851" s="427">
        <f t="shared" si="88"/>
        <v>0</v>
      </c>
      <c r="I851" s="148"/>
      <c r="J851" s="177">
        <v>0</v>
      </c>
      <c r="K851" s="427">
        <f t="shared" si="89"/>
        <v>0</v>
      </c>
      <c r="L851" s="427"/>
      <c r="M851" s="680">
        <v>0</v>
      </c>
    </row>
    <row r="852" spans="1:13" s="6" customFormat="1" ht="15.75">
      <c r="A852" s="55">
        <v>107</v>
      </c>
      <c r="B852" s="55" t="s">
        <v>29</v>
      </c>
      <c r="C852" s="8"/>
      <c r="D852" s="55"/>
      <c r="E852" s="55"/>
      <c r="F852" s="147"/>
      <c r="G852" s="760">
        <f t="shared" si="87"/>
        <v>0</v>
      </c>
      <c r="H852" s="427">
        <f t="shared" si="88"/>
        <v>0</v>
      </c>
      <c r="I852" s="148"/>
      <c r="J852" s="177">
        <v>0</v>
      </c>
      <c r="K852" s="427">
        <f t="shared" si="89"/>
        <v>0</v>
      </c>
      <c r="L852" s="427"/>
      <c r="M852" s="680">
        <v>0</v>
      </c>
    </row>
    <row r="853" spans="1:13" s="6" customFormat="1" ht="15.75">
      <c r="A853" s="55">
        <v>108</v>
      </c>
      <c r="B853" s="55" t="s">
        <v>30</v>
      </c>
      <c r="C853" s="8"/>
      <c r="D853" s="55"/>
      <c r="E853" s="55"/>
      <c r="F853" s="147"/>
      <c r="G853" s="760">
        <f t="shared" si="87"/>
        <v>0</v>
      </c>
      <c r="H853" s="427">
        <f t="shared" si="88"/>
        <v>0</v>
      </c>
      <c r="I853" s="148"/>
      <c r="J853" s="177">
        <v>0</v>
      </c>
      <c r="K853" s="427">
        <f t="shared" si="89"/>
        <v>0</v>
      </c>
      <c r="L853" s="427"/>
      <c r="M853" s="680">
        <v>0</v>
      </c>
    </row>
    <row r="854" spans="1:13" s="6" customFormat="1" ht="15.75">
      <c r="A854" s="55">
        <v>109</v>
      </c>
      <c r="B854" s="55" t="s">
        <v>31</v>
      </c>
      <c r="C854" s="8"/>
      <c r="D854" s="55"/>
      <c r="E854" s="55"/>
      <c r="F854" s="147"/>
      <c r="G854" s="760">
        <f t="shared" si="87"/>
        <v>0</v>
      </c>
      <c r="H854" s="427">
        <f t="shared" si="88"/>
        <v>0</v>
      </c>
      <c r="I854" s="148"/>
      <c r="J854" s="177">
        <v>0</v>
      </c>
      <c r="K854" s="427">
        <f t="shared" si="89"/>
        <v>0</v>
      </c>
      <c r="L854" s="427"/>
      <c r="M854" s="680">
        <v>0</v>
      </c>
    </row>
    <row r="855" spans="1:13" s="6" customFormat="1" ht="15.75">
      <c r="A855" s="55">
        <v>110</v>
      </c>
      <c r="B855" s="55" t="s">
        <v>32</v>
      </c>
      <c r="C855" s="8"/>
      <c r="D855" s="55"/>
      <c r="E855" s="55"/>
      <c r="F855" s="147"/>
      <c r="G855" s="760">
        <f t="shared" si="87"/>
        <v>0</v>
      </c>
      <c r="H855" s="427">
        <f t="shared" si="88"/>
        <v>0</v>
      </c>
      <c r="I855" s="148"/>
      <c r="J855" s="177">
        <v>0</v>
      </c>
      <c r="K855" s="427">
        <f t="shared" si="89"/>
        <v>0</v>
      </c>
      <c r="L855" s="427"/>
      <c r="M855" s="680">
        <v>0</v>
      </c>
    </row>
    <row r="856" spans="1:13" s="6" customFormat="1" ht="15.75">
      <c r="A856" s="55">
        <v>111</v>
      </c>
      <c r="B856" s="55" t="s">
        <v>33</v>
      </c>
      <c r="C856" s="8"/>
      <c r="D856" s="55"/>
      <c r="E856" s="55"/>
      <c r="F856" s="147"/>
      <c r="G856" s="760">
        <f t="shared" si="87"/>
        <v>0</v>
      </c>
      <c r="H856" s="427">
        <f t="shared" si="88"/>
        <v>0</v>
      </c>
      <c r="I856" s="148"/>
      <c r="J856" s="177">
        <v>0</v>
      </c>
      <c r="K856" s="427">
        <f t="shared" si="89"/>
        <v>0</v>
      </c>
      <c r="L856" s="427"/>
      <c r="M856" s="680">
        <v>0</v>
      </c>
    </row>
    <row r="857" spans="1:13" s="6" customFormat="1" ht="15.75">
      <c r="A857" s="55">
        <v>112</v>
      </c>
      <c r="B857" s="55" t="s">
        <v>34</v>
      </c>
      <c r="C857" s="8"/>
      <c r="D857" s="55"/>
      <c r="E857" s="55"/>
      <c r="F857" s="147"/>
      <c r="G857" s="760">
        <f t="shared" si="87"/>
        <v>0</v>
      </c>
      <c r="H857" s="427">
        <f t="shared" si="88"/>
        <v>0</v>
      </c>
      <c r="I857" s="148"/>
      <c r="J857" s="177">
        <v>0</v>
      </c>
      <c r="K857" s="427">
        <f t="shared" si="89"/>
        <v>0</v>
      </c>
      <c r="L857" s="427"/>
      <c r="M857" s="680">
        <v>0</v>
      </c>
    </row>
    <row r="858" spans="1:13" s="6" customFormat="1" ht="15.75">
      <c r="A858" s="55">
        <v>113</v>
      </c>
      <c r="B858" s="55" t="s">
        <v>35</v>
      </c>
      <c r="C858" s="8"/>
      <c r="D858" s="55"/>
      <c r="E858" s="55"/>
      <c r="F858" s="147"/>
      <c r="G858" s="760">
        <f t="shared" si="87"/>
        <v>0</v>
      </c>
      <c r="H858" s="427">
        <f t="shared" si="88"/>
        <v>0</v>
      </c>
      <c r="I858" s="148"/>
      <c r="J858" s="177">
        <v>0</v>
      </c>
      <c r="K858" s="427">
        <f t="shared" si="89"/>
        <v>0</v>
      </c>
      <c r="L858" s="427"/>
      <c r="M858" s="680">
        <v>0</v>
      </c>
    </row>
    <row r="859" spans="1:13" s="6" customFormat="1" ht="15.75">
      <c r="A859" s="55">
        <v>114</v>
      </c>
      <c r="B859" s="55" t="s">
        <v>36</v>
      </c>
      <c r="C859" s="8"/>
      <c r="D859" s="55"/>
      <c r="E859" s="55"/>
      <c r="F859" s="147"/>
      <c r="G859" s="760">
        <f t="shared" si="87"/>
        <v>0</v>
      </c>
      <c r="H859" s="427">
        <f t="shared" si="88"/>
        <v>0</v>
      </c>
      <c r="I859" s="148"/>
      <c r="J859" s="177">
        <v>0</v>
      </c>
      <c r="K859" s="427">
        <f t="shared" si="89"/>
        <v>0</v>
      </c>
      <c r="L859" s="427"/>
      <c r="M859" s="680">
        <v>0</v>
      </c>
    </row>
    <row r="860" spans="1:13" s="6" customFormat="1" ht="15.75">
      <c r="A860" s="55">
        <v>115</v>
      </c>
      <c r="B860" s="55" t="s">
        <v>37</v>
      </c>
      <c r="C860" s="8"/>
      <c r="D860" s="55"/>
      <c r="E860" s="55"/>
      <c r="F860" s="147"/>
      <c r="G860" s="760">
        <f t="shared" si="87"/>
        <v>0</v>
      </c>
      <c r="H860" s="427">
        <f t="shared" si="88"/>
        <v>0</v>
      </c>
      <c r="I860" s="148"/>
      <c r="J860" s="177">
        <v>0</v>
      </c>
      <c r="K860" s="427">
        <f t="shared" si="89"/>
        <v>0</v>
      </c>
      <c r="L860" s="427"/>
      <c r="M860" s="680">
        <v>0</v>
      </c>
    </row>
    <row r="861" spans="1:13" s="6" customFormat="1" ht="15.75">
      <c r="A861" s="55">
        <v>116</v>
      </c>
      <c r="B861" s="55" t="s">
        <v>38</v>
      </c>
      <c r="C861" s="8"/>
      <c r="D861" s="55"/>
      <c r="E861" s="55"/>
      <c r="F861" s="147"/>
      <c r="G861" s="760">
        <f t="shared" si="87"/>
        <v>0</v>
      </c>
      <c r="H861" s="427">
        <f t="shared" si="88"/>
        <v>0</v>
      </c>
      <c r="I861" s="148"/>
      <c r="J861" s="177">
        <v>0</v>
      </c>
      <c r="K861" s="427">
        <f t="shared" si="89"/>
        <v>0</v>
      </c>
      <c r="L861" s="427"/>
      <c r="M861" s="680">
        <v>0</v>
      </c>
    </row>
    <row r="862" spans="1:13" s="6" customFormat="1" ht="15.75">
      <c r="A862" s="55">
        <v>117</v>
      </c>
      <c r="B862" s="55" t="s">
        <v>39</v>
      </c>
      <c r="C862" s="8"/>
      <c r="D862" s="55"/>
      <c r="E862" s="55"/>
      <c r="F862" s="147"/>
      <c r="G862" s="760">
        <f t="shared" si="87"/>
        <v>0</v>
      </c>
      <c r="H862" s="427">
        <f t="shared" si="88"/>
        <v>0</v>
      </c>
      <c r="I862" s="148"/>
      <c r="J862" s="177">
        <v>0</v>
      </c>
      <c r="K862" s="427">
        <f t="shared" si="89"/>
        <v>0</v>
      </c>
      <c r="L862" s="427"/>
      <c r="M862" s="680">
        <v>0</v>
      </c>
    </row>
    <row r="863" spans="1:13" s="6" customFormat="1" ht="15.75">
      <c r="A863" s="55">
        <v>118</v>
      </c>
      <c r="B863" s="55" t="s">
        <v>40</v>
      </c>
      <c r="C863" s="8"/>
      <c r="D863" s="55"/>
      <c r="E863" s="55"/>
      <c r="F863" s="147"/>
      <c r="G863" s="760">
        <f t="shared" si="87"/>
        <v>0</v>
      </c>
      <c r="H863" s="427">
        <f t="shared" si="88"/>
        <v>0</v>
      </c>
      <c r="I863" s="148"/>
      <c r="J863" s="177">
        <v>0</v>
      </c>
      <c r="K863" s="427">
        <f t="shared" si="89"/>
        <v>0</v>
      </c>
      <c r="L863" s="427"/>
      <c r="M863" s="680">
        <v>0</v>
      </c>
    </row>
    <row r="864" spans="1:13" s="6" customFormat="1" ht="15.75">
      <c r="A864" s="55">
        <v>119</v>
      </c>
      <c r="B864" s="55" t="s">
        <v>41</v>
      </c>
      <c r="C864" s="8"/>
      <c r="D864" s="55"/>
      <c r="E864" s="55"/>
      <c r="F864" s="147"/>
      <c r="G864" s="760">
        <f t="shared" si="87"/>
        <v>0</v>
      </c>
      <c r="H864" s="427">
        <f t="shared" si="88"/>
        <v>0</v>
      </c>
      <c r="I864" s="148"/>
      <c r="J864" s="177">
        <v>0</v>
      </c>
      <c r="K864" s="427">
        <f t="shared" si="89"/>
        <v>0</v>
      </c>
      <c r="L864" s="427"/>
      <c r="M864" s="680">
        <v>0</v>
      </c>
    </row>
    <row r="865" spans="1:13" s="6" customFormat="1" ht="15.75">
      <c r="A865" s="55">
        <v>120</v>
      </c>
      <c r="B865" s="55" t="s">
        <v>42</v>
      </c>
      <c r="C865" s="8"/>
      <c r="D865" s="55"/>
      <c r="E865" s="55"/>
      <c r="F865" s="147"/>
      <c r="G865" s="760">
        <f t="shared" si="87"/>
        <v>0</v>
      </c>
      <c r="H865" s="427">
        <f t="shared" si="88"/>
        <v>0</v>
      </c>
      <c r="I865" s="148"/>
      <c r="J865" s="177">
        <v>0</v>
      </c>
      <c r="K865" s="427">
        <f t="shared" si="89"/>
        <v>0</v>
      </c>
      <c r="L865" s="427"/>
      <c r="M865" s="680">
        <v>0</v>
      </c>
    </row>
    <row r="866" spans="1:13" s="6" customFormat="1" ht="15.75">
      <c r="A866" s="55">
        <v>121</v>
      </c>
      <c r="B866" s="55" t="s">
        <v>43</v>
      </c>
      <c r="C866" s="8"/>
      <c r="D866" s="55"/>
      <c r="E866" s="55"/>
      <c r="F866" s="147"/>
      <c r="G866" s="760">
        <f t="shared" si="87"/>
        <v>0</v>
      </c>
      <c r="H866" s="427">
        <f t="shared" si="88"/>
        <v>0</v>
      </c>
      <c r="I866" s="148"/>
      <c r="J866" s="177">
        <v>0</v>
      </c>
      <c r="K866" s="427">
        <f t="shared" si="89"/>
        <v>0</v>
      </c>
      <c r="L866" s="427"/>
      <c r="M866" s="680">
        <v>0</v>
      </c>
    </row>
    <row r="867" spans="1:13" s="6" customFormat="1" ht="15.75">
      <c r="A867" s="55">
        <v>122</v>
      </c>
      <c r="B867" s="55" t="s">
        <v>44</v>
      </c>
      <c r="C867" s="8"/>
      <c r="D867" s="55"/>
      <c r="E867" s="55"/>
      <c r="F867" s="147"/>
      <c r="G867" s="760">
        <f t="shared" si="87"/>
        <v>0</v>
      </c>
      <c r="H867" s="427">
        <f t="shared" si="88"/>
        <v>0</v>
      </c>
      <c r="I867" s="148"/>
      <c r="J867" s="177">
        <v>0</v>
      </c>
      <c r="K867" s="427">
        <f t="shared" si="89"/>
        <v>0</v>
      </c>
      <c r="L867" s="427"/>
      <c r="M867" s="680">
        <v>0</v>
      </c>
    </row>
    <row r="868" spans="1:13" s="6" customFormat="1" ht="15.75">
      <c r="A868" s="55">
        <v>123</v>
      </c>
      <c r="B868" s="55" t="s">
        <v>45</v>
      </c>
      <c r="C868" s="8"/>
      <c r="D868" s="55"/>
      <c r="E868" s="55"/>
      <c r="F868" s="147"/>
      <c r="G868" s="760">
        <f t="shared" si="87"/>
        <v>0</v>
      </c>
      <c r="H868" s="427">
        <f t="shared" si="88"/>
        <v>0</v>
      </c>
      <c r="I868" s="148"/>
      <c r="J868" s="177">
        <v>0</v>
      </c>
      <c r="K868" s="427">
        <f t="shared" si="89"/>
        <v>0</v>
      </c>
      <c r="L868" s="427"/>
      <c r="M868" s="680">
        <v>0</v>
      </c>
    </row>
    <row r="869" spans="1:13" s="6" customFormat="1" ht="15.75">
      <c r="A869" s="55">
        <v>124</v>
      </c>
      <c r="B869" s="55" t="s">
        <v>46</v>
      </c>
      <c r="C869" s="8"/>
      <c r="D869" s="55"/>
      <c r="E869" s="55"/>
      <c r="F869" s="147"/>
      <c r="G869" s="760">
        <f t="shared" si="87"/>
        <v>0</v>
      </c>
      <c r="H869" s="427">
        <f t="shared" si="88"/>
        <v>0</v>
      </c>
      <c r="I869" s="148"/>
      <c r="J869" s="177">
        <v>0</v>
      </c>
      <c r="K869" s="427">
        <f t="shared" si="89"/>
        <v>0</v>
      </c>
      <c r="L869" s="427"/>
      <c r="M869" s="680">
        <v>0</v>
      </c>
    </row>
    <row r="870" spans="1:13" s="6" customFormat="1" ht="15.75">
      <c r="A870" s="55">
        <v>125</v>
      </c>
      <c r="B870" s="55" t="s">
        <v>47</v>
      </c>
      <c r="C870" s="8"/>
      <c r="D870" s="55"/>
      <c r="E870" s="55"/>
      <c r="F870" s="147"/>
      <c r="G870" s="760">
        <f t="shared" si="87"/>
        <v>0</v>
      </c>
      <c r="H870" s="427">
        <f t="shared" si="88"/>
        <v>0</v>
      </c>
      <c r="I870" s="148"/>
      <c r="J870" s="177">
        <v>0</v>
      </c>
      <c r="K870" s="427">
        <f t="shared" si="89"/>
        <v>0</v>
      </c>
      <c r="L870" s="427"/>
      <c r="M870" s="680">
        <v>0</v>
      </c>
    </row>
    <row r="871" spans="1:13" s="6" customFormat="1" ht="15.75">
      <c r="A871" s="55">
        <v>126</v>
      </c>
      <c r="B871" s="55" t="s">
        <v>48</v>
      </c>
      <c r="C871" s="8"/>
      <c r="D871" s="55"/>
      <c r="E871" s="55"/>
      <c r="F871" s="147"/>
      <c r="G871" s="760">
        <f t="shared" si="87"/>
        <v>0</v>
      </c>
      <c r="H871" s="427">
        <f t="shared" si="88"/>
        <v>0</v>
      </c>
      <c r="I871" s="148"/>
      <c r="J871" s="177">
        <v>0</v>
      </c>
      <c r="K871" s="427">
        <f t="shared" si="89"/>
        <v>0</v>
      </c>
      <c r="L871" s="427"/>
      <c r="M871" s="680">
        <v>0</v>
      </c>
    </row>
    <row r="872" spans="1:13" s="6" customFormat="1" ht="15.75">
      <c r="A872" s="55">
        <v>127</v>
      </c>
      <c r="B872" s="55" t="s">
        <v>49</v>
      </c>
      <c r="C872" s="32"/>
      <c r="D872" s="55"/>
      <c r="E872" s="55"/>
      <c r="F872" s="147"/>
      <c r="G872" s="760">
        <f t="shared" si="87"/>
        <v>0</v>
      </c>
      <c r="H872" s="427">
        <f t="shared" si="88"/>
        <v>0</v>
      </c>
      <c r="I872" s="148"/>
      <c r="J872" s="177">
        <v>0</v>
      </c>
      <c r="K872" s="427">
        <f t="shared" si="89"/>
        <v>0</v>
      </c>
      <c r="L872" s="427"/>
      <c r="M872" s="680">
        <v>0</v>
      </c>
    </row>
    <row r="873" spans="1:13" s="6" customFormat="1" ht="15.75">
      <c r="A873" s="146">
        <v>128</v>
      </c>
      <c r="B873" s="108" t="s">
        <v>1372</v>
      </c>
      <c r="C873" s="196">
        <v>1770.4</v>
      </c>
      <c r="D873" s="55"/>
      <c r="E873" s="55"/>
      <c r="F873" s="147">
        <f>C873+D873+E873</f>
        <v>1770.4</v>
      </c>
      <c r="G873" s="760">
        <f t="shared" si="87"/>
        <v>2.124698418997473E-2</v>
      </c>
      <c r="H873" s="427">
        <f t="shared" si="88"/>
        <v>48.212169234997361</v>
      </c>
      <c r="I873" s="148">
        <f t="shared" ref="I873:I881" si="90">H873*0.3677</f>
        <v>17.72761462770853</v>
      </c>
      <c r="J873" s="177">
        <v>18.71013976853234</v>
      </c>
      <c r="K873" s="427">
        <f t="shared" si="89"/>
        <v>17.030520177474244</v>
      </c>
      <c r="L873" s="427"/>
      <c r="M873" s="680">
        <f>(K873+J873+I873+H873)/F873</f>
        <v>5.7433599078576862E-2</v>
      </c>
    </row>
    <row r="874" spans="1:13" s="6" customFormat="1" ht="15.75">
      <c r="A874" s="146">
        <v>129</v>
      </c>
      <c r="B874" s="108" t="s">
        <v>1373</v>
      </c>
      <c r="C874" s="196">
        <v>4227</v>
      </c>
      <c r="D874" s="55"/>
      <c r="E874" s="55">
        <v>534.20000000000005</v>
      </c>
      <c r="F874" s="147">
        <f>C874+D874+E874</f>
        <v>4761.2</v>
      </c>
      <c r="G874" s="760">
        <f t="shared" si="87"/>
        <v>5.7140274020169274E-2</v>
      </c>
      <c r="H874" s="427">
        <f t="shared" si="88"/>
        <v>129.65870998738671</v>
      </c>
      <c r="I874" s="148">
        <f t="shared" si="90"/>
        <v>47.675507662362101</v>
      </c>
      <c r="J874" s="177">
        <v>50.317847642304663</v>
      </c>
      <c r="K874" s="427">
        <f t="shared" si="89"/>
        <v>45.800786640866676</v>
      </c>
      <c r="L874" s="427"/>
      <c r="M874" s="680">
        <f>(K874+J874+I874+H874)/F874</f>
        <v>5.7433599078576855E-2</v>
      </c>
    </row>
    <row r="875" spans="1:13" s="6" customFormat="1" ht="15.75">
      <c r="A875" s="55">
        <v>130</v>
      </c>
      <c r="B875" s="146" t="s">
        <v>1382</v>
      </c>
      <c r="C875" s="158"/>
      <c r="D875" s="160"/>
      <c r="E875" s="160"/>
      <c r="F875" s="147"/>
      <c r="G875" s="760">
        <f t="shared" si="87"/>
        <v>0</v>
      </c>
      <c r="H875" s="427">
        <f t="shared" si="88"/>
        <v>0</v>
      </c>
      <c r="I875" s="148">
        <f t="shared" si="90"/>
        <v>0</v>
      </c>
      <c r="J875" s="177">
        <v>50.317847642304663</v>
      </c>
      <c r="K875" s="427">
        <f t="shared" ref="K875:K881" si="91">G875*801.55</f>
        <v>0</v>
      </c>
      <c r="L875" s="427"/>
      <c r="M875" s="680">
        <v>0</v>
      </c>
    </row>
    <row r="876" spans="1:13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147">
        <f>C876+D876+E876</f>
        <v>2911.81</v>
      </c>
      <c r="G876" s="760">
        <f t="shared" si="87"/>
        <v>3.4945312378112471E-2</v>
      </c>
      <c r="H876" s="427">
        <f t="shared" si="88"/>
        <v>79.295456676546351</v>
      </c>
      <c r="I876" s="148">
        <f t="shared" si="90"/>
        <v>29.156939419966097</v>
      </c>
      <c r="J876" s="177">
        <v>18.71013976853234</v>
      </c>
      <c r="K876" s="148">
        <f t="shared" si="91"/>
        <v>28.010415136676048</v>
      </c>
      <c r="L876" s="148"/>
      <c r="M876" s="680">
        <f>(K876+J876+I876+H876)/F876</f>
        <v>5.3290891576621015E-2</v>
      </c>
    </row>
    <row r="877" spans="1:13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147">
        <f>C877+D877+E877</f>
        <v>2933</v>
      </c>
      <c r="G877" s="760">
        <f>3/249974.3*F877</f>
        <v>3.5199618520783939E-2</v>
      </c>
      <c r="H877" s="427">
        <f>G877*2269.13</f>
        <v>79.872510374066465</v>
      </c>
      <c r="I877" s="148">
        <f t="shared" si="90"/>
        <v>29.369122064544243</v>
      </c>
      <c r="J877" s="177">
        <v>50.317847642304663</v>
      </c>
      <c r="K877" s="148">
        <f t="shared" si="91"/>
        <v>28.214254225334365</v>
      </c>
      <c r="L877" s="148"/>
      <c r="M877" s="680">
        <f>(K877+J877+I877+H877)/F877</f>
        <v>6.4021048178059911E-2</v>
      </c>
    </row>
    <row r="878" spans="1:13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147">
        <f>C878+D878+E878</f>
        <v>3120.67</v>
      </c>
      <c r="G878" s="760">
        <f>3/249974.3*F878</f>
        <v>3.7451890054297582E-2</v>
      </c>
      <c r="H878" s="427">
        <f>G878*2269.13</f>
        <v>84.983207278908282</v>
      </c>
      <c r="I878" s="148">
        <f t="shared" si="90"/>
        <v>31.248325316454576</v>
      </c>
      <c r="J878" s="177">
        <v>49</v>
      </c>
      <c r="K878" s="148">
        <f t="shared" si="91"/>
        <v>30.019562473022226</v>
      </c>
      <c r="L878" s="148"/>
      <c r="M878" s="680">
        <f t="shared" ref="M878:M924" si="92">(K878+J878+I878+H878)/F878</f>
        <v>6.2567043317103402E-2</v>
      </c>
    </row>
    <row r="879" spans="1:13" s="69" customFormat="1" ht="16.5" thickBot="1">
      <c r="A879" s="161"/>
      <c r="B879" s="161" t="s">
        <v>681</v>
      </c>
      <c r="C879" s="186">
        <f>SUM(C749:C875)</f>
        <v>238053.71999999988</v>
      </c>
      <c r="D879" s="186">
        <f>SUM(D749:D875)</f>
        <v>216.9</v>
      </c>
      <c r="E879" s="186">
        <f>SUM(E749:E875)</f>
        <v>4175.3</v>
      </c>
      <c r="F879" s="186">
        <f>SUM(F749:F878)</f>
        <v>249974.29999999987</v>
      </c>
      <c r="G879" s="760">
        <f>3/249974.3*F879</f>
        <v>2.9999999999999987</v>
      </c>
      <c r="H879" s="427">
        <f>G879*2269.13</f>
        <v>6807.3899999999976</v>
      </c>
      <c r="I879" s="427">
        <f t="shared" si="90"/>
        <v>2503.0773029999991</v>
      </c>
      <c r="J879" s="177">
        <f>SUM(J748:J875)</f>
        <v>2596.4178476423044</v>
      </c>
      <c r="K879" s="427">
        <f t="shared" si="91"/>
        <v>2404.6499999999987</v>
      </c>
      <c r="L879" s="427"/>
      <c r="M879" s="680">
        <f t="shared" si="92"/>
        <v>5.7252026110853421E-2</v>
      </c>
    </row>
    <row r="880" spans="1:13" s="6" customFormat="1" ht="16.5" thickBot="1">
      <c r="A880" s="154" t="s">
        <v>392</v>
      </c>
      <c r="B880" s="330"/>
      <c r="C880" s="436"/>
      <c r="D880" s="436"/>
      <c r="E880" s="436"/>
      <c r="F880" s="433">
        <f t="shared" ref="F880:F924" si="93">C880+D880+E880</f>
        <v>0</v>
      </c>
      <c r="G880" s="396"/>
      <c r="H880" s="427">
        <f>G880*2077.52</f>
        <v>0</v>
      </c>
      <c r="I880" s="427">
        <f t="shared" si="90"/>
        <v>0</v>
      </c>
      <c r="J880" s="177">
        <v>0</v>
      </c>
      <c r="K880" s="427">
        <f t="shared" si="91"/>
        <v>0</v>
      </c>
      <c r="L880" s="427"/>
      <c r="M880" s="680">
        <v>0</v>
      </c>
    </row>
    <row r="881" spans="1:14" s="6" customFormat="1" ht="15.75">
      <c r="A881" s="285">
        <v>1</v>
      </c>
      <c r="B881" s="284" t="s">
        <v>393</v>
      </c>
      <c r="C881" s="391">
        <v>4265.91</v>
      </c>
      <c r="D881" s="391"/>
      <c r="E881" s="391"/>
      <c r="F881" s="330">
        <f t="shared" si="93"/>
        <v>4265.91</v>
      </c>
      <c r="G881" s="760">
        <f t="shared" ref="G881:G944" si="94">2/220071.57*F881</f>
        <v>3.8768387938523816E-2</v>
      </c>
      <c r="H881" s="427">
        <f t="shared" ref="H881:H944" si="95">G881*2269.13</f>
        <v>87.970512122942552</v>
      </c>
      <c r="I881" s="550">
        <f t="shared" si="90"/>
        <v>32.346757307605976</v>
      </c>
      <c r="J881" s="177">
        <v>34.337967141764693</v>
      </c>
      <c r="K881" s="427">
        <f t="shared" si="91"/>
        <v>31.074801352123764</v>
      </c>
      <c r="L881" s="427">
        <f>K881*1.219</f>
        <v>37.880182848238867</v>
      </c>
      <c r="M881" s="680">
        <f t="shared" si="92"/>
        <v>4.3538198865995061E-2</v>
      </c>
      <c r="N881" s="22">
        <f>K881*1.1</f>
        <v>34.182281487336141</v>
      </c>
    </row>
    <row r="882" spans="1:14" s="6" customFormat="1" ht="15.75">
      <c r="A882" s="285">
        <v>2</v>
      </c>
      <c r="B882" s="285" t="s">
        <v>394</v>
      </c>
      <c r="C882" s="391">
        <v>9865.73</v>
      </c>
      <c r="D882" s="391"/>
      <c r="E882" s="391"/>
      <c r="F882" s="330">
        <f t="shared" si="93"/>
        <v>9865.73</v>
      </c>
      <c r="G882" s="760">
        <f t="shared" si="94"/>
        <v>8.9659286749306136E-2</v>
      </c>
      <c r="H882" s="427">
        <f t="shared" si="95"/>
        <v>203.44857734145305</v>
      </c>
      <c r="I882" s="550">
        <f t="shared" ref="I882:I896" si="96">H882*0.3677</f>
        <v>74.808041888452294</v>
      </c>
      <c r="J882" s="177">
        <v>79.438768979723562</v>
      </c>
      <c r="K882" s="427">
        <f>G882*1801.55</f>
        <v>161.52568804321245</v>
      </c>
      <c r="L882" s="427">
        <f t="shared" ref="L882:L945" si="97">K882*1.219</f>
        <v>196.89981372467599</v>
      </c>
      <c r="M882" s="680">
        <f t="shared" si="92"/>
        <v>5.262875390395251E-2</v>
      </c>
      <c r="N882" s="22">
        <f t="shared" ref="N882:N944" si="98">K882*1.1</f>
        <v>177.6782568475337</v>
      </c>
    </row>
    <row r="883" spans="1:14" s="6" customFormat="1" ht="15.75">
      <c r="A883" s="285">
        <v>3</v>
      </c>
      <c r="B883" s="285" t="s">
        <v>395</v>
      </c>
      <c r="C883" s="391">
        <v>4252.49</v>
      </c>
      <c r="D883" s="391"/>
      <c r="E883" s="391"/>
      <c r="F883" s="330">
        <f t="shared" si="93"/>
        <v>4252.49</v>
      </c>
      <c r="G883" s="760">
        <f t="shared" si="94"/>
        <v>3.8646427614434702E-2</v>
      </c>
      <c r="H883" s="427">
        <f t="shared" si="95"/>
        <v>87.69376829274222</v>
      </c>
      <c r="I883" s="550">
        <f t="shared" si="96"/>
        <v>32.244998601241313</v>
      </c>
      <c r="J883" s="177">
        <v>34.229480997382048</v>
      </c>
      <c r="K883" s="427">
        <f>G883*1201.55</f>
        <v>46.435615100124011</v>
      </c>
      <c r="L883" s="427">
        <f t="shared" si="97"/>
        <v>56.60501480705117</v>
      </c>
      <c r="M883" s="680">
        <f t="shared" si="92"/>
        <v>4.717327095219262E-2</v>
      </c>
      <c r="N883" s="22">
        <f t="shared" si="98"/>
        <v>51.079176610136415</v>
      </c>
    </row>
    <row r="884" spans="1:14" s="6" customFormat="1" ht="15.75">
      <c r="A884" s="285">
        <v>4</v>
      </c>
      <c r="B884" s="285" t="s">
        <v>396</v>
      </c>
      <c r="C884" s="391">
        <v>5944.1</v>
      </c>
      <c r="D884" s="391"/>
      <c r="E884" s="391">
        <v>7.2</v>
      </c>
      <c r="F884" s="330">
        <f t="shared" si="93"/>
        <v>5951.3</v>
      </c>
      <c r="G884" s="760">
        <f t="shared" si="94"/>
        <v>5.4085132395792879E-2</v>
      </c>
      <c r="H884" s="427">
        <f t="shared" si="95"/>
        <v>122.7261964732655</v>
      </c>
      <c r="I884" s="550">
        <f t="shared" si="96"/>
        <v>45.126422443219731</v>
      </c>
      <c r="J884" s="177">
        <v>47.71624299323031</v>
      </c>
      <c r="K884" s="427">
        <f t="shared" ref="K884:K897" si="99">G884*801.55</f>
        <v>43.351937871847781</v>
      </c>
      <c r="L884" s="427">
        <f t="shared" si="97"/>
        <v>52.846012265782448</v>
      </c>
      <c r="M884" s="680">
        <f t="shared" si="92"/>
        <v>4.3506595160983874E-2</v>
      </c>
      <c r="N884" s="22">
        <f t="shared" si="98"/>
        <v>47.687131659032566</v>
      </c>
    </row>
    <row r="885" spans="1:14" s="6" customFormat="1" ht="15.75">
      <c r="A885" s="285">
        <v>5</v>
      </c>
      <c r="B885" s="285" t="s">
        <v>397</v>
      </c>
      <c r="C885" s="391">
        <v>4295.57</v>
      </c>
      <c r="D885" s="391"/>
      <c r="E885" s="391"/>
      <c r="F885" s="330">
        <f t="shared" si="93"/>
        <v>4295.57</v>
      </c>
      <c r="G885" s="760">
        <f t="shared" si="94"/>
        <v>3.9037936613075461E-2</v>
      </c>
      <c r="H885" s="427">
        <f t="shared" si="95"/>
        <v>88.582153106827931</v>
      </c>
      <c r="I885" s="550">
        <f t="shared" si="96"/>
        <v>32.57165769738063</v>
      </c>
      <c r="J885" s="177">
        <v>34.611284947379879</v>
      </c>
      <c r="K885" s="427">
        <f t="shared" si="99"/>
        <v>31.290858092210634</v>
      </c>
      <c r="L885" s="427">
        <f t="shared" si="97"/>
        <v>38.143556014404766</v>
      </c>
      <c r="M885" s="680">
        <f t="shared" si="92"/>
        <v>4.3546247376669241E-2</v>
      </c>
      <c r="N885" s="22">
        <f t="shared" si="98"/>
        <v>34.419943901431701</v>
      </c>
    </row>
    <row r="886" spans="1:14" s="6" customFormat="1" ht="15.75">
      <c r="A886" s="285">
        <v>6</v>
      </c>
      <c r="B886" s="285" t="s">
        <v>403</v>
      </c>
      <c r="C886" s="391">
        <v>7972.34</v>
      </c>
      <c r="D886" s="391"/>
      <c r="E886" s="391"/>
      <c r="F886" s="330">
        <f t="shared" si="93"/>
        <v>7972.34</v>
      </c>
      <c r="G886" s="760">
        <f t="shared" si="94"/>
        <v>7.2452248148181977E-2</v>
      </c>
      <c r="H886" s="427">
        <f t="shared" si="95"/>
        <v>164.40356984048418</v>
      </c>
      <c r="I886" s="550">
        <f t="shared" si="96"/>
        <v>60.451192630346036</v>
      </c>
      <c r="J886" s="177">
        <v>62.848798667813689</v>
      </c>
      <c r="K886" s="427">
        <f t="shared" si="99"/>
        <v>58.074099503175262</v>
      </c>
      <c r="L886" s="427">
        <f t="shared" si="97"/>
        <v>70.792327294370651</v>
      </c>
      <c r="M886" s="680">
        <f t="shared" si="92"/>
        <v>4.3372166847101247E-2</v>
      </c>
      <c r="N886" s="22">
        <f t="shared" si="98"/>
        <v>63.881509453492797</v>
      </c>
    </row>
    <row r="887" spans="1:14" s="6" customFormat="1" ht="15.75">
      <c r="A887" s="285">
        <v>7</v>
      </c>
      <c r="B887" s="285" t="s">
        <v>398</v>
      </c>
      <c r="C887" s="391">
        <v>3939.69</v>
      </c>
      <c r="D887" s="391"/>
      <c r="E887" s="391">
        <v>7.2</v>
      </c>
      <c r="F887" s="330">
        <f t="shared" si="93"/>
        <v>3946.89</v>
      </c>
      <c r="G887" s="760">
        <f t="shared" si="94"/>
        <v>3.5869149295386038E-2</v>
      </c>
      <c r="H887" s="427">
        <f t="shared" si="95"/>
        <v>81.391762740639322</v>
      </c>
      <c r="I887" s="550">
        <f t="shared" si="96"/>
        <v>29.927751159733081</v>
      </c>
      <c r="J887" s="177">
        <v>29.665494132540214</v>
      </c>
      <c r="K887" s="427">
        <f t="shared" si="99"/>
        <v>28.750916617716676</v>
      </c>
      <c r="L887" s="427">
        <f t="shared" si="97"/>
        <v>35.047367356996631</v>
      </c>
      <c r="M887" s="680">
        <f t="shared" si="92"/>
        <v>4.300497978170896E-2</v>
      </c>
      <c r="N887" s="22">
        <f t="shared" si="98"/>
        <v>31.626008279488346</v>
      </c>
    </row>
    <row r="888" spans="1:14" s="6" customFormat="1" ht="15.75">
      <c r="A888" s="285">
        <v>8</v>
      </c>
      <c r="B888" s="285" t="s">
        <v>404</v>
      </c>
      <c r="C888" s="391">
        <v>8036.22</v>
      </c>
      <c r="D888" s="391"/>
      <c r="E888" s="391"/>
      <c r="F888" s="330">
        <f t="shared" si="93"/>
        <v>8036.22</v>
      </c>
      <c r="G888" s="760">
        <f t="shared" si="94"/>
        <v>7.3032786561208249E-2</v>
      </c>
      <c r="H888" s="427">
        <f t="shared" si="95"/>
        <v>165.72088696963448</v>
      </c>
      <c r="I888" s="550">
        <f t="shared" si="96"/>
        <v>60.935570138734604</v>
      </c>
      <c r="J888" s="177">
        <v>63.095793866303481</v>
      </c>
      <c r="K888" s="427">
        <f t="shared" si="99"/>
        <v>58.539430068136468</v>
      </c>
      <c r="L888" s="427">
        <f t="shared" si="97"/>
        <v>71.359565253058364</v>
      </c>
      <c r="M888" s="680">
        <f t="shared" si="92"/>
        <v>4.3340237206399158E-2</v>
      </c>
      <c r="N888" s="22">
        <f t="shared" si="98"/>
        <v>64.393373074950119</v>
      </c>
    </row>
    <row r="889" spans="1:14" s="6" customFormat="1" ht="15.75">
      <c r="A889" s="285">
        <v>9</v>
      </c>
      <c r="B889" s="285" t="s">
        <v>405</v>
      </c>
      <c r="C889" s="391">
        <v>3993.05</v>
      </c>
      <c r="D889" s="391"/>
      <c r="E889" s="391"/>
      <c r="F889" s="330">
        <f t="shared" si="93"/>
        <v>3993.05</v>
      </c>
      <c r="G889" s="760">
        <f t="shared" si="94"/>
        <v>3.6288649188080044E-2</v>
      </c>
      <c r="H889" s="427">
        <f t="shared" si="95"/>
        <v>82.343662532148073</v>
      </c>
      <c r="I889" s="550">
        <f t="shared" si="96"/>
        <v>30.277764713070848</v>
      </c>
      <c r="J889" s="177">
        <v>31.590492461934538</v>
      </c>
      <c r="K889" s="427">
        <f t="shared" si="99"/>
        <v>29.087166756705557</v>
      </c>
      <c r="L889" s="427">
        <f t="shared" si="97"/>
        <v>35.457256276424076</v>
      </c>
      <c r="M889" s="680">
        <f t="shared" si="92"/>
        <v>4.3400179427720412E-2</v>
      </c>
      <c r="N889" s="22">
        <f t="shared" si="98"/>
        <v>31.995883432376115</v>
      </c>
    </row>
    <row r="890" spans="1:14" s="6" customFormat="1" ht="15.75">
      <c r="A890" s="285">
        <v>10</v>
      </c>
      <c r="B890" s="285" t="s">
        <v>399</v>
      </c>
      <c r="C890" s="391">
        <v>8196.09</v>
      </c>
      <c r="D890" s="391"/>
      <c r="E890" s="391"/>
      <c r="F890" s="330">
        <f t="shared" si="93"/>
        <v>8196.09</v>
      </c>
      <c r="G890" s="760">
        <f t="shared" si="94"/>
        <v>7.4485677545718429E-2</v>
      </c>
      <c r="H890" s="427">
        <f t="shared" si="95"/>
        <v>169.01768548931608</v>
      </c>
      <c r="I890" s="550">
        <f t="shared" si="96"/>
        <v>62.147802954421529</v>
      </c>
      <c r="J890" s="177">
        <v>64.939469636303969</v>
      </c>
      <c r="K890" s="427">
        <f t="shared" si="99"/>
        <v>59.703994836770605</v>
      </c>
      <c r="L890" s="427">
        <f t="shared" si="97"/>
        <v>72.779169706023367</v>
      </c>
      <c r="M890" s="680">
        <f t="shared" si="92"/>
        <v>4.3412035850852321E-2</v>
      </c>
      <c r="N890" s="22">
        <f t="shared" si="98"/>
        <v>65.674394320447675</v>
      </c>
    </row>
    <row r="891" spans="1:14" s="6" customFormat="1" ht="15.75">
      <c r="A891" s="285">
        <v>11</v>
      </c>
      <c r="B891" s="285" t="s">
        <v>401</v>
      </c>
      <c r="C891" s="391">
        <v>3935.64</v>
      </c>
      <c r="D891" s="391"/>
      <c r="E891" s="391"/>
      <c r="F891" s="330">
        <f t="shared" si="93"/>
        <v>3935.64</v>
      </c>
      <c r="G891" s="760">
        <f t="shared" si="94"/>
        <v>3.5766909828470798E-2</v>
      </c>
      <c r="H891" s="427">
        <f t="shared" si="95"/>
        <v>81.159768099077951</v>
      </c>
      <c r="I891" s="550">
        <f t="shared" si="96"/>
        <v>29.842446730030964</v>
      </c>
      <c r="J891" s="177">
        <v>31.216257312707594</v>
      </c>
      <c r="K891" s="427">
        <f t="shared" si="99"/>
        <v>28.668966573010767</v>
      </c>
      <c r="L891" s="427">
        <f t="shared" si="97"/>
        <v>34.947470252500125</v>
      </c>
      <c r="M891" s="680">
        <f t="shared" si="92"/>
        <v>4.3420495450505456E-2</v>
      </c>
      <c r="N891" s="22">
        <f t="shared" si="98"/>
        <v>31.535863230311847</v>
      </c>
    </row>
    <row r="892" spans="1:14" s="6" customFormat="1" ht="15.75">
      <c r="A892" s="285">
        <v>12</v>
      </c>
      <c r="B892" s="285" t="s">
        <v>400</v>
      </c>
      <c r="C892" s="391">
        <v>3954.6</v>
      </c>
      <c r="D892" s="391"/>
      <c r="E892" s="391">
        <v>173.8</v>
      </c>
      <c r="F892" s="330">
        <f t="shared" si="93"/>
        <v>4128.3999999999996</v>
      </c>
      <c r="G892" s="760">
        <f t="shared" si="94"/>
        <v>3.7518703574478063E-2</v>
      </c>
      <c r="H892" s="427">
        <f t="shared" si="95"/>
        <v>85.134815841955415</v>
      </c>
      <c r="I892" s="550">
        <f t="shared" si="96"/>
        <v>31.304071785087007</v>
      </c>
      <c r="J892" s="177">
        <v>33.951958302449711</v>
      </c>
      <c r="K892" s="427">
        <f t="shared" si="99"/>
        <v>30.07311685012289</v>
      </c>
      <c r="L892" s="427">
        <f t="shared" si="97"/>
        <v>36.659129440299807</v>
      </c>
      <c r="M892" s="680">
        <f t="shared" si="92"/>
        <v>4.3712809509644186E-2</v>
      </c>
      <c r="N892" s="22">
        <f t="shared" si="98"/>
        <v>33.080428535135184</v>
      </c>
    </row>
    <row r="893" spans="1:14" s="6" customFormat="1" ht="15.75">
      <c r="A893" s="285">
        <v>13</v>
      </c>
      <c r="B893" s="285" t="s">
        <v>402</v>
      </c>
      <c r="C893" s="391">
        <v>17941.13</v>
      </c>
      <c r="D893" s="391">
        <v>230</v>
      </c>
      <c r="E893" s="391"/>
      <c r="F893" s="330">
        <f t="shared" si="93"/>
        <v>18171.13</v>
      </c>
      <c r="G893" s="760">
        <f t="shared" si="94"/>
        <v>0.16513836839533613</v>
      </c>
      <c r="H893" s="427">
        <f t="shared" si="95"/>
        <v>374.72042587690908</v>
      </c>
      <c r="I893" s="550">
        <f t="shared" si="96"/>
        <v>137.78470059493947</v>
      </c>
      <c r="J893" s="177">
        <v>141.63858503032731</v>
      </c>
      <c r="K893" s="427">
        <f t="shared" si="99"/>
        <v>132.36665918728167</v>
      </c>
      <c r="L893" s="427">
        <f t="shared" si="97"/>
        <v>161.35495754929636</v>
      </c>
      <c r="M893" s="680">
        <f t="shared" si="92"/>
        <v>4.3283514601978927E-2</v>
      </c>
      <c r="N893" s="22">
        <f t="shared" si="98"/>
        <v>145.60332510600986</v>
      </c>
    </row>
    <row r="894" spans="1:14" s="6" customFormat="1" ht="15.75">
      <c r="A894" s="285">
        <v>14</v>
      </c>
      <c r="B894" s="285" t="s">
        <v>406</v>
      </c>
      <c r="C894" s="391">
        <v>3212.3</v>
      </c>
      <c r="D894" s="391"/>
      <c r="E894" s="391"/>
      <c r="F894" s="330">
        <f t="shared" si="93"/>
        <v>3212.3</v>
      </c>
      <c r="G894" s="760">
        <f t="shared" si="94"/>
        <v>2.9193230184162363E-2</v>
      </c>
      <c r="H894" s="427">
        <f t="shared" si="95"/>
        <v>66.24323440778835</v>
      </c>
      <c r="I894" s="550">
        <f t="shared" si="96"/>
        <v>24.357637291743778</v>
      </c>
      <c r="J894" s="177">
        <v>24.234459090500678</v>
      </c>
      <c r="K894" s="427">
        <f t="shared" si="99"/>
        <v>23.399833654115341</v>
      </c>
      <c r="L894" s="427">
        <f t="shared" si="97"/>
        <v>28.524397224366602</v>
      </c>
      <c r="M894" s="680">
        <f t="shared" si="92"/>
        <v>4.3033080485679463E-2</v>
      </c>
      <c r="N894" s="22">
        <f t="shared" si="98"/>
        <v>25.739817019526878</v>
      </c>
    </row>
    <row r="895" spans="1:14" s="6" customFormat="1" ht="15.75">
      <c r="A895" s="285">
        <v>15</v>
      </c>
      <c r="B895" s="285" t="s">
        <v>407</v>
      </c>
      <c r="C895" s="391">
        <v>3998.81</v>
      </c>
      <c r="D895" s="391">
        <v>182.8</v>
      </c>
      <c r="E895" s="391"/>
      <c r="F895" s="330">
        <f t="shared" si="93"/>
        <v>4181.6099999999997</v>
      </c>
      <c r="G895" s="760">
        <f t="shared" si="94"/>
        <v>3.8002273533105611E-2</v>
      </c>
      <c r="H895" s="427">
        <f t="shared" si="95"/>
        <v>86.232098942175938</v>
      </c>
      <c r="I895" s="550">
        <f t="shared" si="96"/>
        <v>31.707542781038093</v>
      </c>
      <c r="J895" s="177">
        <v>34.925894766089542</v>
      </c>
      <c r="K895" s="427">
        <f t="shared" si="99"/>
        <v>30.460722350460802</v>
      </c>
      <c r="L895" s="427">
        <f t="shared" si="97"/>
        <v>37.131620545211717</v>
      </c>
      <c r="M895" s="680">
        <f t="shared" si="92"/>
        <v>4.3841070506279729E-2</v>
      </c>
      <c r="N895" s="22">
        <f t="shared" si="98"/>
        <v>33.506794585506888</v>
      </c>
    </row>
    <row r="896" spans="1:14" s="6" customFormat="1" ht="15.75">
      <c r="A896" s="285">
        <v>16</v>
      </c>
      <c r="B896" s="285" t="s">
        <v>408</v>
      </c>
      <c r="C896" s="391">
        <v>6299.01</v>
      </c>
      <c r="D896" s="391"/>
      <c r="E896" s="391"/>
      <c r="F896" s="330">
        <f t="shared" si="93"/>
        <v>6299.01</v>
      </c>
      <c r="G896" s="760">
        <f t="shared" si="94"/>
        <v>5.7245104399446058E-2</v>
      </c>
      <c r="H896" s="427">
        <f t="shared" si="95"/>
        <v>129.89658374591505</v>
      </c>
      <c r="I896" s="550">
        <f t="shared" si="96"/>
        <v>47.762973843372968</v>
      </c>
      <c r="J896" s="177">
        <v>44.037805818581667</v>
      </c>
      <c r="K896" s="427">
        <f t="shared" si="99"/>
        <v>45.884813431375981</v>
      </c>
      <c r="L896" s="427">
        <f t="shared" si="97"/>
        <v>55.933587572847323</v>
      </c>
      <c r="M896" s="680">
        <f t="shared" si="92"/>
        <v>4.2480036837415032E-2</v>
      </c>
      <c r="N896" s="22">
        <f t="shared" si="98"/>
        <v>50.473294774513583</v>
      </c>
    </row>
    <row r="897" spans="1:14" s="6" customFormat="1" ht="15.75">
      <c r="A897" s="285">
        <v>17</v>
      </c>
      <c r="B897" s="285" t="s">
        <v>409</v>
      </c>
      <c r="C897" s="391">
        <v>147.65</v>
      </c>
      <c r="D897" s="391"/>
      <c r="E897" s="391"/>
      <c r="F897" s="330">
        <f t="shared" si="93"/>
        <v>147.65</v>
      </c>
      <c r="G897" s="760">
        <f t="shared" si="94"/>
        <v>1.3418362035586878E-3</v>
      </c>
      <c r="H897" s="427">
        <f t="shared" si="95"/>
        <v>3.0448007845811254</v>
      </c>
      <c r="I897" s="550">
        <f>H897*0.3677</f>
        <v>1.1195732484904799</v>
      </c>
      <c r="J897" s="177">
        <v>0</v>
      </c>
      <c r="K897" s="427">
        <f t="shared" si="99"/>
        <v>1.0755488089624661</v>
      </c>
      <c r="L897" s="427">
        <f t="shared" si="97"/>
        <v>1.3110939981252463</v>
      </c>
      <c r="M897" s="680">
        <f t="shared" si="92"/>
        <v>3.5488810308391947E-2</v>
      </c>
      <c r="N897" s="22">
        <f t="shared" si="98"/>
        <v>1.1831036898587128</v>
      </c>
    </row>
    <row r="898" spans="1:14" s="6" customFormat="1" ht="15.75">
      <c r="A898" s="285">
        <v>18</v>
      </c>
      <c r="B898" s="285" t="s">
        <v>410</v>
      </c>
      <c r="C898" s="391">
        <v>4248.3</v>
      </c>
      <c r="D898" s="391"/>
      <c r="E898" s="391"/>
      <c r="F898" s="330">
        <f t="shared" si="93"/>
        <v>4248.3</v>
      </c>
      <c r="G898" s="760">
        <f t="shared" si="94"/>
        <v>3.8608349092979166E-2</v>
      </c>
      <c r="H898" s="427">
        <f t="shared" si="95"/>
        <v>87.607363177351814</v>
      </c>
      <c r="I898" s="550">
        <f t="shared" ref="I898:I910" si="100">H898*0.3677</f>
        <v>32.213227440312266</v>
      </c>
      <c r="J898" s="177">
        <v>35.727262572153251</v>
      </c>
      <c r="K898" s="427">
        <f>G898*1101.55</f>
        <v>42.5290269433712</v>
      </c>
      <c r="L898" s="427">
        <f t="shared" si="97"/>
        <v>51.842883843969496</v>
      </c>
      <c r="M898" s="680">
        <f t="shared" si="92"/>
        <v>4.6624974727111669E-2</v>
      </c>
      <c r="N898" s="22">
        <f t="shared" si="98"/>
        <v>46.781929637708323</v>
      </c>
    </row>
    <row r="899" spans="1:14" s="6" customFormat="1" ht="15.75">
      <c r="A899" s="285">
        <v>19</v>
      </c>
      <c r="B899" s="285" t="s">
        <v>411</v>
      </c>
      <c r="C899" s="391">
        <v>4085.47</v>
      </c>
      <c r="D899" s="391"/>
      <c r="E899" s="391"/>
      <c r="F899" s="330">
        <f t="shared" si="93"/>
        <v>4085.47</v>
      </c>
      <c r="G899" s="760">
        <f t="shared" si="94"/>
        <v>3.712855776872951E-2</v>
      </c>
      <c r="H899" s="427">
        <f t="shared" si="95"/>
        <v>84.249524289757204</v>
      </c>
      <c r="I899" s="550">
        <f t="shared" si="100"/>
        <v>30.978550081343727</v>
      </c>
      <c r="J899" s="177">
        <v>32.96969615796192</v>
      </c>
      <c r="K899" s="427">
        <f>G899*1801.55</f>
        <v>66.888953248254651</v>
      </c>
      <c r="L899" s="427">
        <f t="shared" si="97"/>
        <v>81.537634009622423</v>
      </c>
      <c r="M899" s="680">
        <f t="shared" si="92"/>
        <v>5.2646751482036951E-2</v>
      </c>
      <c r="N899" s="22">
        <f t="shared" si="98"/>
        <v>73.577848573080118</v>
      </c>
    </row>
    <row r="900" spans="1:14" s="6" customFormat="1" ht="15.75">
      <c r="A900" s="285">
        <v>20</v>
      </c>
      <c r="B900" s="285" t="s">
        <v>412</v>
      </c>
      <c r="C900" s="391">
        <v>3953.65</v>
      </c>
      <c r="D900" s="391">
        <v>147.30000000000001</v>
      </c>
      <c r="E900" s="391"/>
      <c r="F900" s="330">
        <f t="shared" si="93"/>
        <v>4100.95</v>
      </c>
      <c r="G900" s="760">
        <f t="shared" si="94"/>
        <v>3.7269239275204875E-2</v>
      </c>
      <c r="H900" s="427">
        <f t="shared" si="95"/>
        <v>84.568748916545644</v>
      </c>
      <c r="I900" s="550">
        <f t="shared" si="100"/>
        <v>31.095928976613834</v>
      </c>
      <c r="J900" s="177">
        <v>32.761974625694378</v>
      </c>
      <c r="K900" s="427">
        <f>G900*801.55</f>
        <v>29.873158741040466</v>
      </c>
      <c r="L900" s="427">
        <f t="shared" si="97"/>
        <v>36.415380505328329</v>
      </c>
      <c r="M900" s="680">
        <f t="shared" si="92"/>
        <v>4.3477684746191576E-2</v>
      </c>
      <c r="N900" s="22">
        <f t="shared" si="98"/>
        <v>32.860474615144518</v>
      </c>
    </row>
    <row r="901" spans="1:14" s="6" customFormat="1" ht="15.75">
      <c r="A901" s="285">
        <v>21</v>
      </c>
      <c r="B901" s="285" t="s">
        <v>413</v>
      </c>
      <c r="C901" s="391">
        <v>7076.23</v>
      </c>
      <c r="D901" s="391"/>
      <c r="E901" s="391"/>
      <c r="F901" s="330">
        <f t="shared" si="93"/>
        <v>7076.23</v>
      </c>
      <c r="G901" s="760">
        <f t="shared" si="94"/>
        <v>6.4308442930633883E-2</v>
      </c>
      <c r="H901" s="427">
        <f t="shared" si="95"/>
        <v>145.92421710718926</v>
      </c>
      <c r="I901" s="550">
        <f t="shared" si="100"/>
        <v>53.656334630313495</v>
      </c>
      <c r="J901" s="177">
        <v>56.49840662547102</v>
      </c>
      <c r="K901" s="427">
        <f>G901*1301.55</f>
        <v>83.700653896366532</v>
      </c>
      <c r="L901" s="427">
        <f t="shared" si="97"/>
        <v>102.03109709967082</v>
      </c>
      <c r="M901" s="680">
        <f t="shared" si="92"/>
        <v>4.8017039053187972E-2</v>
      </c>
      <c r="N901" s="22">
        <f t="shared" si="98"/>
        <v>92.070719286003197</v>
      </c>
    </row>
    <row r="902" spans="1:14" s="6" customFormat="1" ht="15.75">
      <c r="A902" s="285">
        <v>22</v>
      </c>
      <c r="B902" s="285" t="s">
        <v>414</v>
      </c>
      <c r="C902" s="391">
        <v>4062.74</v>
      </c>
      <c r="D902" s="391"/>
      <c r="E902" s="391"/>
      <c r="F902" s="330">
        <f t="shared" si="93"/>
        <v>4062.74</v>
      </c>
      <c r="G902" s="760">
        <f t="shared" si="94"/>
        <v>3.6921988605797651E-2</v>
      </c>
      <c r="H902" s="427">
        <f t="shared" si="95"/>
        <v>83.780792005073621</v>
      </c>
      <c r="I902" s="550">
        <f t="shared" si="100"/>
        <v>30.806197220265574</v>
      </c>
      <c r="J902" s="177">
        <v>32.434834236819597</v>
      </c>
      <c r="K902" s="427">
        <f>G902*1801.55</f>
        <v>66.51680857277475</v>
      </c>
      <c r="L902" s="427">
        <f t="shared" si="97"/>
        <v>81.08398965021243</v>
      </c>
      <c r="M902" s="680">
        <f t="shared" si="92"/>
        <v>5.2560250479955287E-2</v>
      </c>
      <c r="N902" s="22">
        <f t="shared" si="98"/>
        <v>73.168489430052233</v>
      </c>
    </row>
    <row r="903" spans="1:14" s="6" customFormat="1" ht="15.75">
      <c r="A903" s="285">
        <v>23</v>
      </c>
      <c r="B903" s="285" t="s">
        <v>415</v>
      </c>
      <c r="C903" s="391">
        <v>6379.08</v>
      </c>
      <c r="D903" s="391"/>
      <c r="E903" s="391"/>
      <c r="F903" s="330">
        <f t="shared" si="93"/>
        <v>6379.08</v>
      </c>
      <c r="G903" s="760">
        <f t="shared" si="94"/>
        <v>5.7972776765304122E-2</v>
      </c>
      <c r="H903" s="427">
        <f t="shared" si="95"/>
        <v>131.54776694145454</v>
      </c>
      <c r="I903" s="550">
        <f t="shared" si="100"/>
        <v>48.370113904372836</v>
      </c>
      <c r="J903" s="177">
        <v>51.851331147722171</v>
      </c>
      <c r="K903" s="427">
        <f>G903*1801.55</f>
        <v>104.44085598153364</v>
      </c>
      <c r="L903" s="427">
        <f t="shared" si="97"/>
        <v>127.31340344148953</v>
      </c>
      <c r="M903" s="680">
        <f t="shared" si="92"/>
        <v>5.2705102926297077E-2</v>
      </c>
      <c r="N903" s="22">
        <f t="shared" si="98"/>
        <v>114.88494157968702</v>
      </c>
    </row>
    <row r="904" spans="1:14" s="6" customFormat="1" ht="15.75">
      <c r="A904" s="285">
        <v>24</v>
      </c>
      <c r="B904" s="285" t="s">
        <v>416</v>
      </c>
      <c r="C904" s="391">
        <v>6489.94</v>
      </c>
      <c r="D904" s="391"/>
      <c r="E904" s="391">
        <v>19.399999999999999</v>
      </c>
      <c r="F904" s="330">
        <f t="shared" si="93"/>
        <v>6509.3399999999992</v>
      </c>
      <c r="G904" s="760">
        <f t="shared" si="94"/>
        <v>5.9156573472893381E-2</v>
      </c>
      <c r="H904" s="427">
        <f t="shared" si="95"/>
        <v>134.23395556454656</v>
      </c>
      <c r="I904" s="550">
        <f t="shared" si="100"/>
        <v>49.357825461083777</v>
      </c>
      <c r="J904" s="177">
        <v>52.39460284749881</v>
      </c>
      <c r="K904" s="427">
        <f>G904*1801.55</f>
        <v>106.57352494009106</v>
      </c>
      <c r="L904" s="427">
        <f t="shared" si="97"/>
        <v>129.91312690197103</v>
      </c>
      <c r="M904" s="680">
        <f t="shared" si="92"/>
        <v>5.2625905055385072E-2</v>
      </c>
      <c r="N904" s="22">
        <f t="shared" si="98"/>
        <v>117.23087743410018</v>
      </c>
    </row>
    <row r="905" spans="1:14" s="6" customFormat="1" ht="15.75">
      <c r="A905" s="285">
        <v>25</v>
      </c>
      <c r="B905" s="285" t="s">
        <v>417</v>
      </c>
      <c r="C905" s="391">
        <v>4249.6000000000004</v>
      </c>
      <c r="D905" s="391"/>
      <c r="E905" s="391"/>
      <c r="F905" s="330">
        <f t="shared" si="93"/>
        <v>4249.6000000000004</v>
      </c>
      <c r="G905" s="760">
        <f t="shared" si="94"/>
        <v>3.8620163431378259E-2</v>
      </c>
      <c r="H905" s="427">
        <f t="shared" si="95"/>
        <v>87.634171447043357</v>
      </c>
      <c r="I905" s="550">
        <f t="shared" si="100"/>
        <v>32.223084841077842</v>
      </c>
      <c r="J905" s="177">
        <v>35.738195284377859</v>
      </c>
      <c r="K905" s="427">
        <f>G905*1201.55</f>
        <v>46.404057370972545</v>
      </c>
      <c r="L905" s="427">
        <f t="shared" si="97"/>
        <v>56.566545935215537</v>
      </c>
      <c r="M905" s="680">
        <f t="shared" si="92"/>
        <v>4.7533769988580471E-2</v>
      </c>
      <c r="N905" s="22">
        <f t="shared" si="98"/>
        <v>51.044463108069806</v>
      </c>
    </row>
    <row r="906" spans="1:14" s="6" customFormat="1" ht="15.75">
      <c r="A906" s="285">
        <v>26</v>
      </c>
      <c r="B906" s="285" t="s">
        <v>418</v>
      </c>
      <c r="C906" s="391">
        <v>2807.52</v>
      </c>
      <c r="D906" s="391"/>
      <c r="E906" s="391"/>
      <c r="F906" s="330">
        <f t="shared" si="93"/>
        <v>2807.52</v>
      </c>
      <c r="G906" s="760">
        <f t="shared" si="94"/>
        <v>2.5514608724788938E-2</v>
      </c>
      <c r="H906" s="427">
        <f t="shared" si="95"/>
        <v>57.895964095680327</v>
      </c>
      <c r="I906" s="550">
        <f t="shared" si="100"/>
        <v>21.288345997981658</v>
      </c>
      <c r="J906" s="177">
        <v>22.878802774649373</v>
      </c>
      <c r="K906" s="427">
        <f t="shared" ref="K906:K940" si="101">G906*801.55</f>
        <v>20.451234623354573</v>
      </c>
      <c r="L906" s="427">
        <f t="shared" si="97"/>
        <v>24.930055005869225</v>
      </c>
      <c r="M906" s="680">
        <f t="shared" si="92"/>
        <v>4.3637925105312135E-2</v>
      </c>
      <c r="N906" s="22">
        <f t="shared" si="98"/>
        <v>22.496358085690034</v>
      </c>
    </row>
    <row r="907" spans="1:14" s="6" customFormat="1" ht="15.75">
      <c r="A907" s="285">
        <v>27</v>
      </c>
      <c r="B907" s="285" t="s">
        <v>419</v>
      </c>
      <c r="C907" s="391">
        <v>4226.7</v>
      </c>
      <c r="D907" s="391"/>
      <c r="E907" s="391"/>
      <c r="F907" s="330">
        <f t="shared" si="93"/>
        <v>4226.7</v>
      </c>
      <c r="G907" s="760">
        <f t="shared" si="94"/>
        <v>3.8412049316501898E-2</v>
      </c>
      <c r="H907" s="427">
        <f t="shared" si="95"/>
        <v>87.161933465553957</v>
      </c>
      <c r="I907" s="550">
        <f t="shared" si="100"/>
        <v>32.049442935284191</v>
      </c>
      <c r="J907" s="177">
        <v>31.830087055226119</v>
      </c>
      <c r="K907" s="427">
        <f>G907*1201.55</f>
        <v>46.153997856242853</v>
      </c>
      <c r="L907" s="427">
        <f t="shared" si="97"/>
        <v>56.261723386760039</v>
      </c>
      <c r="M907" s="680">
        <f t="shared" si="92"/>
        <v>4.6654709658198387E-2</v>
      </c>
      <c r="N907" s="22">
        <f t="shared" si="98"/>
        <v>50.769397641867144</v>
      </c>
    </row>
    <row r="908" spans="1:14" s="6" customFormat="1" ht="15.75">
      <c r="A908" s="285">
        <v>28</v>
      </c>
      <c r="B908" s="285" t="s">
        <v>420</v>
      </c>
      <c r="C908" s="391">
        <v>4709.3599999999997</v>
      </c>
      <c r="D908" s="391"/>
      <c r="E908" s="391"/>
      <c r="F908" s="330">
        <f t="shared" si="93"/>
        <v>4709.3599999999997</v>
      </c>
      <c r="G908" s="760">
        <f t="shared" si="94"/>
        <v>4.2798440525507221E-2</v>
      </c>
      <c r="H908" s="427">
        <f t="shared" si="95"/>
        <v>97.115225349644206</v>
      </c>
      <c r="I908" s="550">
        <f t="shared" si="100"/>
        <v>35.709268361064176</v>
      </c>
      <c r="J908" s="177">
        <v>47.231923841680214</v>
      </c>
      <c r="K908" s="427">
        <f>G908*1201.55</f>
        <v>51.424466213423202</v>
      </c>
      <c r="L908" s="427">
        <f t="shared" si="97"/>
        <v>62.686424314162885</v>
      </c>
      <c r="M908" s="680">
        <f t="shared" si="92"/>
        <v>4.9153363464634649E-2</v>
      </c>
      <c r="N908" s="22">
        <f t="shared" si="98"/>
        <v>56.566912834765525</v>
      </c>
    </row>
    <row r="909" spans="1:14" s="6" customFormat="1" ht="15.75">
      <c r="A909" s="285">
        <v>29</v>
      </c>
      <c r="B909" s="285" t="s">
        <v>1358</v>
      </c>
      <c r="C909" s="391">
        <v>5719.55</v>
      </c>
      <c r="D909" s="391"/>
      <c r="E909" s="391">
        <v>30.7</v>
      </c>
      <c r="F909" s="330">
        <f t="shared" si="93"/>
        <v>5750.25</v>
      </c>
      <c r="G909" s="760">
        <f t="shared" si="94"/>
        <v>5.2257999522609851E-2</v>
      </c>
      <c r="H909" s="427">
        <f t="shared" si="95"/>
        <v>118.58019445673969</v>
      </c>
      <c r="I909" s="550">
        <f t="shared" si="100"/>
        <v>43.601937501743187</v>
      </c>
      <c r="J909" s="177">
        <v>47.514408306006793</v>
      </c>
      <c r="K909" s="427">
        <f t="shared" si="101"/>
        <v>41.887399517347923</v>
      </c>
      <c r="L909" s="427">
        <f t="shared" si="97"/>
        <v>51.06074001164712</v>
      </c>
      <c r="M909" s="680">
        <f t="shared" si="92"/>
        <v>4.3751826404388953E-2</v>
      </c>
      <c r="N909" s="22">
        <f t="shared" si="98"/>
        <v>46.076139469082719</v>
      </c>
    </row>
    <row r="910" spans="1:14" s="6" customFormat="1" ht="15.75">
      <c r="A910" s="285">
        <v>30</v>
      </c>
      <c r="B910" s="285" t="s">
        <v>421</v>
      </c>
      <c r="C910" s="391">
        <v>3555.12</v>
      </c>
      <c r="D910" s="391"/>
      <c r="E910" s="391"/>
      <c r="F910" s="330">
        <f t="shared" si="93"/>
        <v>3555.12</v>
      </c>
      <c r="G910" s="760">
        <f t="shared" si="94"/>
        <v>3.2308762099529709E-2</v>
      </c>
      <c r="H910" s="427">
        <f t="shared" si="95"/>
        <v>73.312781342905851</v>
      </c>
      <c r="I910" s="550">
        <f t="shared" si="100"/>
        <v>26.957109699786482</v>
      </c>
      <c r="J910" s="177">
        <v>27.997835029355883</v>
      </c>
      <c r="K910" s="427">
        <f t="shared" si="101"/>
        <v>25.897088260878036</v>
      </c>
      <c r="L910" s="427">
        <f t="shared" si="97"/>
        <v>31.568550590010329</v>
      </c>
      <c r="M910" s="680">
        <f t="shared" si="92"/>
        <v>4.3364166141487845E-2</v>
      </c>
      <c r="N910" s="22">
        <f t="shared" si="98"/>
        <v>28.48679708696584</v>
      </c>
    </row>
    <row r="911" spans="1:14" s="6" customFormat="1" ht="15.75">
      <c r="A911" s="285">
        <v>31</v>
      </c>
      <c r="B911" s="285" t="s">
        <v>422</v>
      </c>
      <c r="C911" s="391">
        <v>342.6</v>
      </c>
      <c r="D911" s="391"/>
      <c r="E911" s="391"/>
      <c r="F911" s="330"/>
      <c r="G911" s="760">
        <f t="shared" si="94"/>
        <v>0</v>
      </c>
      <c r="H911" s="427">
        <f t="shared" si="95"/>
        <v>0</v>
      </c>
      <c r="I911" s="550">
        <f>H911*1902.26</f>
        <v>0</v>
      </c>
      <c r="J911" s="177">
        <v>0</v>
      </c>
      <c r="K911" s="427">
        <f t="shared" si="101"/>
        <v>0</v>
      </c>
      <c r="L911" s="427">
        <f t="shared" si="97"/>
        <v>0</v>
      </c>
      <c r="M911" s="680">
        <v>0</v>
      </c>
      <c r="N911" s="22">
        <f t="shared" si="98"/>
        <v>0</v>
      </c>
    </row>
    <row r="912" spans="1:14" s="6" customFormat="1" ht="15.75">
      <c r="A912" s="285">
        <v>32</v>
      </c>
      <c r="B912" s="285" t="s">
        <v>423</v>
      </c>
      <c r="C912" s="391">
        <v>361.6</v>
      </c>
      <c r="D912" s="391"/>
      <c r="E912" s="391"/>
      <c r="F912" s="330"/>
      <c r="G912" s="760">
        <f t="shared" si="94"/>
        <v>0</v>
      </c>
      <c r="H912" s="427">
        <f t="shared" si="95"/>
        <v>0</v>
      </c>
      <c r="I912" s="550">
        <f>H912*1902.26</f>
        <v>0</v>
      </c>
      <c r="J912" s="177">
        <v>0</v>
      </c>
      <c r="K912" s="427">
        <f t="shared" si="101"/>
        <v>0</v>
      </c>
      <c r="L912" s="427">
        <f t="shared" si="97"/>
        <v>0</v>
      </c>
      <c r="M912" s="680">
        <v>0</v>
      </c>
      <c r="N912" s="22">
        <f t="shared" si="98"/>
        <v>0</v>
      </c>
    </row>
    <row r="913" spans="1:14" s="6" customFormat="1" ht="15.75">
      <c r="A913" s="285">
        <v>33</v>
      </c>
      <c r="B913" s="285" t="s">
        <v>424</v>
      </c>
      <c r="C913" s="391">
        <v>7724.75</v>
      </c>
      <c r="D913" s="391"/>
      <c r="E913" s="391">
        <v>201.9</v>
      </c>
      <c r="F913" s="330">
        <f t="shared" si="93"/>
        <v>7926.65</v>
      </c>
      <c r="G913" s="760">
        <f t="shared" si="94"/>
        <v>7.2037019593216872E-2</v>
      </c>
      <c r="H913" s="427">
        <f t="shared" si="95"/>
        <v>163.46136226955622</v>
      </c>
      <c r="I913" s="550">
        <f>H913*0.3677</f>
        <v>60.104742906515824</v>
      </c>
      <c r="J913" s="177">
        <v>66.444063131768985</v>
      </c>
      <c r="K913" s="427">
        <f>G913*1201.55</f>
        <v>86.55608089222973</v>
      </c>
      <c r="L913" s="427">
        <f t="shared" si="97"/>
        <v>105.51186260762805</v>
      </c>
      <c r="M913" s="680">
        <f t="shared" si="92"/>
        <v>4.7506355042807584E-2</v>
      </c>
      <c r="N913" s="22">
        <f t="shared" si="98"/>
        <v>95.21168898145271</v>
      </c>
    </row>
    <row r="914" spans="1:14" s="6" customFormat="1" ht="15.75">
      <c r="A914" s="285">
        <v>34</v>
      </c>
      <c r="B914" s="285" t="s">
        <v>425</v>
      </c>
      <c r="C914" s="391">
        <v>4021.5</v>
      </c>
      <c r="D914" s="391"/>
      <c r="E914" s="391"/>
      <c r="F914" s="330">
        <f t="shared" si="93"/>
        <v>4021.5</v>
      </c>
      <c r="G914" s="760">
        <f t="shared" si="94"/>
        <v>3.6547201439967918E-2</v>
      </c>
      <c r="H914" s="427">
        <f t="shared" si="95"/>
        <v>82.930351203474402</v>
      </c>
      <c r="I914" s="550">
        <f>H914*0.3677</f>
        <v>30.49349013751754</v>
      </c>
      <c r="J914" s="177">
        <v>32.488656820079193</v>
      </c>
      <c r="K914" s="427">
        <f t="shared" si="101"/>
        <v>29.294409314206284</v>
      </c>
      <c r="L914" s="427">
        <f t="shared" si="97"/>
        <v>35.709884954017461</v>
      </c>
      <c r="M914" s="680">
        <f t="shared" si="92"/>
        <v>4.3567551280685672E-2</v>
      </c>
      <c r="N914" s="22">
        <f t="shared" si="98"/>
        <v>32.223850245626913</v>
      </c>
    </row>
    <row r="915" spans="1:14" s="6" customFormat="1" ht="15.75">
      <c r="A915" s="285">
        <v>35</v>
      </c>
      <c r="B915" s="285" t="s">
        <v>426</v>
      </c>
      <c r="C915" s="391">
        <v>4138.7700000000004</v>
      </c>
      <c r="D915" s="391"/>
      <c r="E915" s="391"/>
      <c r="F915" s="330">
        <f t="shared" si="93"/>
        <v>4138.7700000000004</v>
      </c>
      <c r="G915" s="760">
        <f t="shared" si="94"/>
        <v>3.7612945643092387E-2</v>
      </c>
      <c r="H915" s="427">
        <f t="shared" si="95"/>
        <v>85.348663347110232</v>
      </c>
      <c r="I915" s="550">
        <f>H915*0.3677</f>
        <v>31.382703512732434</v>
      </c>
      <c r="J915" s="177">
        <v>33.454099407298365</v>
      </c>
      <c r="K915" s="427">
        <f t="shared" si="101"/>
        <v>30.148656580220702</v>
      </c>
      <c r="L915" s="427">
        <f t="shared" si="97"/>
        <v>36.751212371289036</v>
      </c>
      <c r="M915" s="680">
        <f t="shared" si="92"/>
        <v>4.3571912149590747E-2</v>
      </c>
      <c r="N915" s="22">
        <f t="shared" si="98"/>
        <v>33.163522238242777</v>
      </c>
    </row>
    <row r="916" spans="1:14" s="6" customFormat="1" ht="15.75">
      <c r="A916" s="285">
        <v>36</v>
      </c>
      <c r="B916" s="285" t="s">
        <v>427</v>
      </c>
      <c r="C916" s="391">
        <v>361.5</v>
      </c>
      <c r="D916" s="391"/>
      <c r="E916" s="391"/>
      <c r="F916" s="330"/>
      <c r="G916" s="760">
        <f t="shared" si="94"/>
        <v>0</v>
      </c>
      <c r="H916" s="427">
        <f t="shared" si="95"/>
        <v>0</v>
      </c>
      <c r="I916" s="550">
        <f>H916*0.3677</f>
        <v>0</v>
      </c>
      <c r="J916" s="177">
        <v>0</v>
      </c>
      <c r="K916" s="427">
        <f t="shared" si="101"/>
        <v>0</v>
      </c>
      <c r="L916" s="427">
        <f t="shared" si="97"/>
        <v>0</v>
      </c>
      <c r="M916" s="680">
        <v>0</v>
      </c>
      <c r="N916" s="22">
        <f t="shared" si="98"/>
        <v>0</v>
      </c>
    </row>
    <row r="917" spans="1:14" s="6" customFormat="1" ht="15.75">
      <c r="A917" s="285">
        <v>37</v>
      </c>
      <c r="B917" s="285" t="s">
        <v>428</v>
      </c>
      <c r="C917" s="391">
        <v>5685.06</v>
      </c>
      <c r="D917" s="391"/>
      <c r="E917" s="391">
        <v>179.5</v>
      </c>
      <c r="F917" s="330">
        <f t="shared" si="93"/>
        <v>5864.56</v>
      </c>
      <c r="G917" s="760">
        <f t="shared" si="94"/>
        <v>5.3296843385994844E-2</v>
      </c>
      <c r="H917" s="427">
        <f t="shared" si="95"/>
        <v>120.93746623246248</v>
      </c>
      <c r="I917" s="550">
        <f>H917*0.3677</f>
        <v>44.468706333676458</v>
      </c>
      <c r="J917" s="177">
        <v>47.172130315590245</v>
      </c>
      <c r="K917" s="427">
        <f t="shared" si="101"/>
        <v>42.720084816044164</v>
      </c>
      <c r="L917" s="427">
        <f t="shared" si="97"/>
        <v>52.075783390757842</v>
      </c>
      <c r="M917" s="680">
        <f t="shared" si="92"/>
        <v>4.3532402720370046E-2</v>
      </c>
      <c r="N917" s="22">
        <f t="shared" si="98"/>
        <v>46.992093297648587</v>
      </c>
    </row>
    <row r="918" spans="1:14" s="6" customFormat="1" ht="15.75">
      <c r="A918" s="285">
        <v>38</v>
      </c>
      <c r="B918" s="285" t="s">
        <v>429</v>
      </c>
      <c r="C918" s="391">
        <v>135.35</v>
      </c>
      <c r="D918" s="391"/>
      <c r="E918" s="391"/>
      <c r="F918" s="330">
        <f t="shared" si="93"/>
        <v>135.35</v>
      </c>
      <c r="G918" s="760">
        <f t="shared" si="94"/>
        <v>1.2300543863980249E-3</v>
      </c>
      <c r="H918" s="427">
        <f t="shared" si="95"/>
        <v>2.7911533098073504</v>
      </c>
      <c r="I918" s="550">
        <f t="shared" ref="I918:I923" si="102">H918*0.3677</f>
        <v>1.0263070720161629</v>
      </c>
      <c r="J918" s="177">
        <v>0</v>
      </c>
      <c r="K918" s="427">
        <f t="shared" si="101"/>
        <v>0.98595009341733675</v>
      </c>
      <c r="L918" s="427">
        <f t="shared" si="97"/>
        <v>1.2018731638757336</v>
      </c>
      <c r="M918" s="680">
        <f t="shared" si="92"/>
        <v>3.5488810308391953E-2</v>
      </c>
      <c r="N918" s="22">
        <f t="shared" si="98"/>
        <v>1.0845451027590705</v>
      </c>
    </row>
    <row r="919" spans="1:14" s="6" customFormat="1" ht="15.75">
      <c r="A919" s="285">
        <v>39</v>
      </c>
      <c r="B919" s="285" t="s">
        <v>430</v>
      </c>
      <c r="C919" s="391">
        <v>37.4</v>
      </c>
      <c r="D919" s="391"/>
      <c r="E919" s="391"/>
      <c r="F919" s="330"/>
      <c r="G919" s="760">
        <f t="shared" si="94"/>
        <v>0</v>
      </c>
      <c r="H919" s="427">
        <f t="shared" si="95"/>
        <v>0</v>
      </c>
      <c r="I919" s="550">
        <f t="shared" si="102"/>
        <v>0</v>
      </c>
      <c r="J919" s="177">
        <v>0</v>
      </c>
      <c r="K919" s="427">
        <f t="shared" si="101"/>
        <v>0</v>
      </c>
      <c r="L919" s="427">
        <f t="shared" si="97"/>
        <v>0</v>
      </c>
      <c r="M919" s="680">
        <v>0</v>
      </c>
      <c r="N919" s="22">
        <f t="shared" si="98"/>
        <v>0</v>
      </c>
    </row>
    <row r="920" spans="1:14" s="6" customFormat="1" ht="15.75">
      <c r="A920" s="285">
        <v>40</v>
      </c>
      <c r="B920" s="285" t="s">
        <v>431</v>
      </c>
      <c r="C920" s="391">
        <v>210.4</v>
      </c>
      <c r="D920" s="391"/>
      <c r="E920" s="391">
        <v>26.5</v>
      </c>
      <c r="F920" s="330"/>
      <c r="G920" s="760">
        <f t="shared" si="94"/>
        <v>0</v>
      </c>
      <c r="H920" s="427">
        <f t="shared" si="95"/>
        <v>0</v>
      </c>
      <c r="I920" s="550">
        <f t="shared" si="102"/>
        <v>0</v>
      </c>
      <c r="J920" s="177">
        <v>0</v>
      </c>
      <c r="K920" s="427">
        <f t="shared" si="101"/>
        <v>0</v>
      </c>
      <c r="L920" s="427">
        <f t="shared" si="97"/>
        <v>0</v>
      </c>
      <c r="M920" s="680">
        <v>0</v>
      </c>
      <c r="N920" s="22">
        <f t="shared" si="98"/>
        <v>0</v>
      </c>
    </row>
    <row r="921" spans="1:14" s="6" customFormat="1" ht="15.75">
      <c r="A921" s="285">
        <v>41</v>
      </c>
      <c r="B921" s="285" t="s">
        <v>432</v>
      </c>
      <c r="C921" s="391">
        <v>297.2</v>
      </c>
      <c r="D921" s="391"/>
      <c r="E921" s="391">
        <v>65.400000000000006</v>
      </c>
      <c r="F921" s="330"/>
      <c r="G921" s="760">
        <f t="shared" si="94"/>
        <v>0</v>
      </c>
      <c r="H921" s="427">
        <f t="shared" si="95"/>
        <v>0</v>
      </c>
      <c r="I921" s="550">
        <f t="shared" si="102"/>
        <v>0</v>
      </c>
      <c r="J921" s="177">
        <v>0</v>
      </c>
      <c r="K921" s="427">
        <f t="shared" si="101"/>
        <v>0</v>
      </c>
      <c r="L921" s="427">
        <f t="shared" si="97"/>
        <v>0</v>
      </c>
      <c r="M921" s="680">
        <v>0</v>
      </c>
      <c r="N921" s="22">
        <f t="shared" si="98"/>
        <v>0</v>
      </c>
    </row>
    <row r="922" spans="1:14" s="6" customFormat="1" ht="15.75">
      <c r="A922" s="285">
        <v>42</v>
      </c>
      <c r="B922" s="285" t="s">
        <v>433</v>
      </c>
      <c r="C922" s="391">
        <v>494.9</v>
      </c>
      <c r="D922" s="391"/>
      <c r="E922" s="391"/>
      <c r="F922" s="330"/>
      <c r="G922" s="760">
        <f t="shared" si="94"/>
        <v>0</v>
      </c>
      <c r="H922" s="427">
        <f t="shared" si="95"/>
        <v>0</v>
      </c>
      <c r="I922" s="550">
        <f t="shared" si="102"/>
        <v>0</v>
      </c>
      <c r="J922" s="177">
        <v>0</v>
      </c>
      <c r="K922" s="427">
        <f t="shared" si="101"/>
        <v>0</v>
      </c>
      <c r="L922" s="427">
        <f t="shared" si="97"/>
        <v>0</v>
      </c>
      <c r="M922" s="680">
        <v>0</v>
      </c>
      <c r="N922" s="22">
        <f t="shared" si="98"/>
        <v>0</v>
      </c>
    </row>
    <row r="923" spans="1:14" s="6" customFormat="1" ht="15.75">
      <c r="A923" s="285">
        <v>43</v>
      </c>
      <c r="B923" s="285" t="s">
        <v>434</v>
      </c>
      <c r="C923" s="391">
        <v>277.2</v>
      </c>
      <c r="D923" s="391"/>
      <c r="E923" s="391"/>
      <c r="F923" s="330"/>
      <c r="G923" s="760">
        <f t="shared" si="94"/>
        <v>0</v>
      </c>
      <c r="H923" s="427">
        <f t="shared" si="95"/>
        <v>0</v>
      </c>
      <c r="I923" s="550">
        <f t="shared" si="102"/>
        <v>0</v>
      </c>
      <c r="J923" s="177">
        <v>0</v>
      </c>
      <c r="K923" s="427">
        <f t="shared" si="101"/>
        <v>0</v>
      </c>
      <c r="L923" s="427">
        <f t="shared" si="97"/>
        <v>0</v>
      </c>
      <c r="M923" s="680">
        <v>0</v>
      </c>
      <c r="N923" s="22">
        <f t="shared" si="98"/>
        <v>0</v>
      </c>
    </row>
    <row r="924" spans="1:14" s="6" customFormat="1" ht="15.75">
      <c r="A924" s="285">
        <v>44</v>
      </c>
      <c r="B924" s="285" t="s">
        <v>435</v>
      </c>
      <c r="C924" s="391">
        <v>7127.52</v>
      </c>
      <c r="D924" s="391"/>
      <c r="E924" s="391"/>
      <c r="F924" s="330">
        <f t="shared" si="93"/>
        <v>7127.52</v>
      </c>
      <c r="G924" s="760">
        <f t="shared" si="94"/>
        <v>6.4774564020241232E-2</v>
      </c>
      <c r="H924" s="427">
        <f t="shared" si="95"/>
        <v>146.98190645525</v>
      </c>
      <c r="I924" s="550">
        <f>H924*0.3677</f>
        <v>54.045247003595428</v>
      </c>
      <c r="J924" s="177">
        <v>55.823269596708343</v>
      </c>
      <c r="K924" s="427">
        <f>G924*1801.55</f>
        <v>116.6946158106656</v>
      </c>
      <c r="L924" s="427">
        <f t="shared" si="97"/>
        <v>142.25073667320137</v>
      </c>
      <c r="M924" s="680">
        <f t="shared" si="92"/>
        <v>5.2408837697574935E-2</v>
      </c>
      <c r="N924" s="22">
        <f t="shared" si="98"/>
        <v>128.36407739173217</v>
      </c>
    </row>
    <row r="925" spans="1:14" s="6" customFormat="1" ht="15.75">
      <c r="A925" s="285">
        <v>45</v>
      </c>
      <c r="B925" s="285" t="s">
        <v>436</v>
      </c>
      <c r="C925" s="391">
        <v>52.9</v>
      </c>
      <c r="D925" s="391"/>
      <c r="E925" s="391"/>
      <c r="F925" s="330"/>
      <c r="G925" s="760">
        <f t="shared" si="94"/>
        <v>0</v>
      </c>
      <c r="H925" s="427">
        <f t="shared" si="95"/>
        <v>0</v>
      </c>
      <c r="I925" s="550">
        <f>H925*0.3677</f>
        <v>0</v>
      </c>
      <c r="J925" s="177">
        <v>0</v>
      </c>
      <c r="K925" s="427">
        <f t="shared" si="101"/>
        <v>0</v>
      </c>
      <c r="L925" s="427">
        <f t="shared" si="97"/>
        <v>0</v>
      </c>
      <c r="M925" s="680">
        <v>0</v>
      </c>
      <c r="N925" s="22">
        <f t="shared" si="98"/>
        <v>0</v>
      </c>
    </row>
    <row r="926" spans="1:14" s="6" customFormat="1" ht="15.75">
      <c r="A926" s="285">
        <v>46</v>
      </c>
      <c r="B926" s="285" t="s">
        <v>437</v>
      </c>
      <c r="C926" s="391">
        <v>119.9</v>
      </c>
      <c r="D926" s="391"/>
      <c r="E926" s="391"/>
      <c r="F926" s="330"/>
      <c r="G926" s="760">
        <f t="shared" si="94"/>
        <v>0</v>
      </c>
      <c r="H926" s="427">
        <f t="shared" si="95"/>
        <v>0</v>
      </c>
      <c r="I926" s="550">
        <f t="shared" ref="I926:I985" si="103">H926*0.3677</f>
        <v>0</v>
      </c>
      <c r="J926" s="177">
        <v>0</v>
      </c>
      <c r="K926" s="427">
        <f t="shared" si="101"/>
        <v>0</v>
      </c>
      <c r="L926" s="427">
        <f t="shared" si="97"/>
        <v>0</v>
      </c>
      <c r="M926" s="680">
        <v>0</v>
      </c>
      <c r="N926" s="22">
        <f t="shared" si="98"/>
        <v>0</v>
      </c>
    </row>
    <row r="927" spans="1:14" s="6" customFormat="1" ht="15.75">
      <c r="A927" s="285">
        <v>47</v>
      </c>
      <c r="B927" s="285" t="s">
        <v>438</v>
      </c>
      <c r="C927" s="391">
        <v>75.3</v>
      </c>
      <c r="D927" s="391"/>
      <c r="E927" s="391"/>
      <c r="F927" s="330"/>
      <c r="G927" s="760">
        <f t="shared" si="94"/>
        <v>0</v>
      </c>
      <c r="H927" s="427">
        <f t="shared" si="95"/>
        <v>0</v>
      </c>
      <c r="I927" s="550">
        <f t="shared" si="103"/>
        <v>0</v>
      </c>
      <c r="J927" s="177">
        <v>0</v>
      </c>
      <c r="K927" s="427">
        <f t="shared" si="101"/>
        <v>0</v>
      </c>
      <c r="L927" s="427">
        <f t="shared" si="97"/>
        <v>0</v>
      </c>
      <c r="M927" s="680">
        <v>0</v>
      </c>
      <c r="N927" s="22">
        <f t="shared" si="98"/>
        <v>0</v>
      </c>
    </row>
    <row r="928" spans="1:14" s="6" customFormat="1" ht="15.75">
      <c r="A928" s="285">
        <v>48</v>
      </c>
      <c r="B928" s="285" t="s">
        <v>439</v>
      </c>
      <c r="C928" s="391">
        <v>120.8</v>
      </c>
      <c r="D928" s="391"/>
      <c r="E928" s="391"/>
      <c r="F928" s="330"/>
      <c r="G928" s="760">
        <f t="shared" si="94"/>
        <v>0</v>
      </c>
      <c r="H928" s="427">
        <f t="shared" si="95"/>
        <v>0</v>
      </c>
      <c r="I928" s="550">
        <f t="shared" si="103"/>
        <v>0</v>
      </c>
      <c r="J928" s="177">
        <v>0</v>
      </c>
      <c r="K928" s="427">
        <f t="shared" si="101"/>
        <v>0</v>
      </c>
      <c r="L928" s="427">
        <f t="shared" si="97"/>
        <v>0</v>
      </c>
      <c r="M928" s="680">
        <v>0</v>
      </c>
      <c r="N928" s="22">
        <f t="shared" si="98"/>
        <v>0</v>
      </c>
    </row>
    <row r="929" spans="1:14" s="6" customFormat="1" ht="15.75">
      <c r="A929" s="285">
        <v>49</v>
      </c>
      <c r="B929" s="285" t="s">
        <v>440</v>
      </c>
      <c r="C929" s="391">
        <v>429.7</v>
      </c>
      <c r="D929" s="391"/>
      <c r="E929" s="391"/>
      <c r="F929" s="330"/>
      <c r="G929" s="760">
        <f t="shared" si="94"/>
        <v>0</v>
      </c>
      <c r="H929" s="427">
        <f t="shared" si="95"/>
        <v>0</v>
      </c>
      <c r="I929" s="550">
        <f t="shared" si="103"/>
        <v>0</v>
      </c>
      <c r="J929" s="177">
        <v>0</v>
      </c>
      <c r="K929" s="427">
        <f t="shared" si="101"/>
        <v>0</v>
      </c>
      <c r="L929" s="427">
        <f t="shared" si="97"/>
        <v>0</v>
      </c>
      <c r="M929" s="680">
        <v>0</v>
      </c>
      <c r="N929" s="22">
        <f t="shared" si="98"/>
        <v>0</v>
      </c>
    </row>
    <row r="930" spans="1:14" s="6" customFormat="1" ht="15.75">
      <c r="A930" s="285">
        <v>50</v>
      </c>
      <c r="B930" s="285" t="s">
        <v>441</v>
      </c>
      <c r="C930" s="391">
        <v>249.1</v>
      </c>
      <c r="D930" s="391"/>
      <c r="E930" s="391"/>
      <c r="F930" s="330"/>
      <c r="G930" s="760">
        <f t="shared" si="94"/>
        <v>0</v>
      </c>
      <c r="H930" s="427">
        <f t="shared" si="95"/>
        <v>0</v>
      </c>
      <c r="I930" s="550">
        <f t="shared" si="103"/>
        <v>0</v>
      </c>
      <c r="J930" s="177">
        <v>0</v>
      </c>
      <c r="K930" s="427">
        <f t="shared" si="101"/>
        <v>0</v>
      </c>
      <c r="L930" s="427">
        <f t="shared" si="97"/>
        <v>0</v>
      </c>
      <c r="M930" s="680">
        <v>0</v>
      </c>
      <c r="N930" s="22">
        <f t="shared" si="98"/>
        <v>0</v>
      </c>
    </row>
    <row r="931" spans="1:14" s="6" customFormat="1" ht="15.75">
      <c r="A931" s="285">
        <v>51</v>
      </c>
      <c r="B931" s="285" t="s">
        <v>442</v>
      </c>
      <c r="C931" s="391">
        <v>50.8</v>
      </c>
      <c r="D931" s="391"/>
      <c r="E931" s="391">
        <v>52.2</v>
      </c>
      <c r="F931" s="330"/>
      <c r="G931" s="760">
        <f t="shared" si="94"/>
        <v>0</v>
      </c>
      <c r="H931" s="427">
        <f t="shared" si="95"/>
        <v>0</v>
      </c>
      <c r="I931" s="550">
        <f t="shared" si="103"/>
        <v>0</v>
      </c>
      <c r="J931" s="177">
        <v>0</v>
      </c>
      <c r="K931" s="427">
        <f t="shared" si="101"/>
        <v>0</v>
      </c>
      <c r="L931" s="427">
        <f t="shared" si="97"/>
        <v>0</v>
      </c>
      <c r="M931" s="680">
        <v>0</v>
      </c>
      <c r="N931" s="22">
        <f t="shared" si="98"/>
        <v>0</v>
      </c>
    </row>
    <row r="932" spans="1:14" s="6" customFormat="1" ht="15.75">
      <c r="A932" s="285">
        <v>52</v>
      </c>
      <c r="B932" s="285" t="s">
        <v>443</v>
      </c>
      <c r="C932" s="391">
        <v>71.400000000000006</v>
      </c>
      <c r="D932" s="391">
        <v>105.1</v>
      </c>
      <c r="E932" s="391"/>
      <c r="F932" s="330"/>
      <c r="G932" s="760">
        <f t="shared" si="94"/>
        <v>0</v>
      </c>
      <c r="H932" s="427">
        <f t="shared" si="95"/>
        <v>0</v>
      </c>
      <c r="I932" s="550">
        <f t="shared" si="103"/>
        <v>0</v>
      </c>
      <c r="J932" s="177">
        <v>0</v>
      </c>
      <c r="K932" s="427">
        <f t="shared" si="101"/>
        <v>0</v>
      </c>
      <c r="L932" s="427">
        <f t="shared" si="97"/>
        <v>0</v>
      </c>
      <c r="M932" s="680">
        <v>0</v>
      </c>
      <c r="N932" s="22">
        <f t="shared" si="98"/>
        <v>0</v>
      </c>
    </row>
    <row r="933" spans="1:14" s="6" customFormat="1" ht="15.75">
      <c r="A933" s="285">
        <v>53</v>
      </c>
      <c r="B933" s="285" t="s">
        <v>444</v>
      </c>
      <c r="C933" s="391">
        <v>109.5</v>
      </c>
      <c r="D933" s="391"/>
      <c r="E933" s="391"/>
      <c r="F933" s="330"/>
      <c r="G933" s="760">
        <f t="shared" si="94"/>
        <v>0</v>
      </c>
      <c r="H933" s="427">
        <f t="shared" si="95"/>
        <v>0</v>
      </c>
      <c r="I933" s="550">
        <f t="shared" si="103"/>
        <v>0</v>
      </c>
      <c r="J933" s="177">
        <v>0</v>
      </c>
      <c r="K933" s="427">
        <f t="shared" si="101"/>
        <v>0</v>
      </c>
      <c r="L933" s="427">
        <f t="shared" si="97"/>
        <v>0</v>
      </c>
      <c r="M933" s="680">
        <v>0</v>
      </c>
      <c r="N933" s="22">
        <f t="shared" si="98"/>
        <v>0</v>
      </c>
    </row>
    <row r="934" spans="1:14" s="6" customFormat="1" ht="15.75">
      <c r="A934" s="285">
        <v>54</v>
      </c>
      <c r="B934" s="285" t="s">
        <v>445</v>
      </c>
      <c r="C934" s="391">
        <v>111.4</v>
      </c>
      <c r="D934" s="391"/>
      <c r="E934" s="391"/>
      <c r="F934" s="330"/>
      <c r="G934" s="760">
        <f t="shared" si="94"/>
        <v>0</v>
      </c>
      <c r="H934" s="427">
        <f t="shared" si="95"/>
        <v>0</v>
      </c>
      <c r="I934" s="550">
        <f t="shared" si="103"/>
        <v>0</v>
      </c>
      <c r="J934" s="177">
        <v>0</v>
      </c>
      <c r="K934" s="427">
        <f t="shared" si="101"/>
        <v>0</v>
      </c>
      <c r="L934" s="427">
        <f t="shared" si="97"/>
        <v>0</v>
      </c>
      <c r="M934" s="680">
        <v>0</v>
      </c>
      <c r="N934" s="22">
        <f t="shared" si="98"/>
        <v>0</v>
      </c>
    </row>
    <row r="935" spans="1:14" s="6" customFormat="1" ht="15.75">
      <c r="A935" s="285">
        <v>55</v>
      </c>
      <c r="B935" s="285" t="s">
        <v>446</v>
      </c>
      <c r="C935" s="391">
        <v>92.9</v>
      </c>
      <c r="D935" s="391"/>
      <c r="E935" s="391"/>
      <c r="F935" s="330"/>
      <c r="G935" s="760">
        <f t="shared" si="94"/>
        <v>0</v>
      </c>
      <c r="H935" s="427">
        <f t="shared" si="95"/>
        <v>0</v>
      </c>
      <c r="I935" s="550">
        <f t="shared" si="103"/>
        <v>0</v>
      </c>
      <c r="J935" s="177">
        <v>0</v>
      </c>
      <c r="K935" s="427">
        <f t="shared" si="101"/>
        <v>0</v>
      </c>
      <c r="L935" s="427">
        <f t="shared" si="97"/>
        <v>0</v>
      </c>
      <c r="M935" s="680">
        <v>0</v>
      </c>
      <c r="N935" s="22">
        <f t="shared" si="98"/>
        <v>0</v>
      </c>
    </row>
    <row r="936" spans="1:14" s="6" customFormat="1" ht="15.75">
      <c r="A936" s="285">
        <v>56</v>
      </c>
      <c r="B936" s="285" t="s">
        <v>447</v>
      </c>
      <c r="C936" s="391">
        <v>101.8</v>
      </c>
      <c r="D936" s="391"/>
      <c r="E936" s="391"/>
      <c r="F936" s="330"/>
      <c r="G936" s="760">
        <f t="shared" si="94"/>
        <v>0</v>
      </c>
      <c r="H936" s="427">
        <f t="shared" si="95"/>
        <v>0</v>
      </c>
      <c r="I936" s="550">
        <f t="shared" si="103"/>
        <v>0</v>
      </c>
      <c r="J936" s="177">
        <v>0</v>
      </c>
      <c r="K936" s="427">
        <f t="shared" si="101"/>
        <v>0</v>
      </c>
      <c r="L936" s="427">
        <f t="shared" si="97"/>
        <v>0</v>
      </c>
      <c r="M936" s="680">
        <v>0</v>
      </c>
      <c r="N936" s="22">
        <f t="shared" si="98"/>
        <v>0</v>
      </c>
    </row>
    <row r="937" spans="1:14" s="6" customFormat="1" ht="15.75">
      <c r="A937" s="285">
        <v>57</v>
      </c>
      <c r="B937" s="285" t="s">
        <v>448</v>
      </c>
      <c r="C937" s="391">
        <v>202</v>
      </c>
      <c r="D937" s="391"/>
      <c r="E937" s="391"/>
      <c r="F937" s="330"/>
      <c r="G937" s="760">
        <f t="shared" si="94"/>
        <v>0</v>
      </c>
      <c r="H937" s="427">
        <f t="shared" si="95"/>
        <v>0</v>
      </c>
      <c r="I937" s="550">
        <f t="shared" si="103"/>
        <v>0</v>
      </c>
      <c r="J937" s="177">
        <v>0</v>
      </c>
      <c r="K937" s="427">
        <f t="shared" si="101"/>
        <v>0</v>
      </c>
      <c r="L937" s="427">
        <f t="shared" si="97"/>
        <v>0</v>
      </c>
      <c r="M937" s="680">
        <v>0</v>
      </c>
      <c r="N937" s="22">
        <f t="shared" si="98"/>
        <v>0</v>
      </c>
    </row>
    <row r="938" spans="1:14" s="6" customFormat="1" ht="15.75">
      <c r="A938" s="285">
        <v>58</v>
      </c>
      <c r="B938" s="285" t="s">
        <v>449</v>
      </c>
      <c r="C938" s="391">
        <v>214.1</v>
      </c>
      <c r="D938" s="391"/>
      <c r="E938" s="391"/>
      <c r="F938" s="330"/>
      <c r="G938" s="760">
        <f t="shared" si="94"/>
        <v>0</v>
      </c>
      <c r="H938" s="427">
        <f t="shared" si="95"/>
        <v>0</v>
      </c>
      <c r="I938" s="550">
        <f t="shared" si="103"/>
        <v>0</v>
      </c>
      <c r="J938" s="177">
        <v>0</v>
      </c>
      <c r="K938" s="427">
        <f t="shared" si="101"/>
        <v>0</v>
      </c>
      <c r="L938" s="427">
        <f t="shared" si="97"/>
        <v>0</v>
      </c>
      <c r="M938" s="680">
        <v>0</v>
      </c>
      <c r="N938" s="22">
        <f t="shared" si="98"/>
        <v>0</v>
      </c>
    </row>
    <row r="939" spans="1:14" s="6" customFormat="1" ht="15.75">
      <c r="A939" s="285">
        <v>59</v>
      </c>
      <c r="B939" s="285" t="s">
        <v>450</v>
      </c>
      <c r="C939" s="391">
        <v>161.19999999999999</v>
      </c>
      <c r="D939" s="391"/>
      <c r="E939" s="391"/>
      <c r="F939" s="330"/>
      <c r="G939" s="760">
        <f t="shared" si="94"/>
        <v>0</v>
      </c>
      <c r="H939" s="427">
        <f t="shared" si="95"/>
        <v>0</v>
      </c>
      <c r="I939" s="550">
        <f t="shared" si="103"/>
        <v>0</v>
      </c>
      <c r="J939" s="177">
        <v>0</v>
      </c>
      <c r="K939" s="427">
        <f t="shared" si="101"/>
        <v>0</v>
      </c>
      <c r="L939" s="427">
        <f t="shared" si="97"/>
        <v>0</v>
      </c>
      <c r="M939" s="680">
        <v>0</v>
      </c>
      <c r="N939" s="22">
        <f t="shared" si="98"/>
        <v>0</v>
      </c>
    </row>
    <row r="940" spans="1:14" s="6" customFormat="1" ht="15.75">
      <c r="A940" s="285">
        <v>60</v>
      </c>
      <c r="B940" s="285" t="s">
        <v>451</v>
      </c>
      <c r="C940" s="391">
        <v>134.9</v>
      </c>
      <c r="D940" s="391"/>
      <c r="E940" s="391"/>
      <c r="F940" s="330"/>
      <c r="G940" s="760">
        <f t="shared" si="94"/>
        <v>0</v>
      </c>
      <c r="H940" s="427">
        <f t="shared" si="95"/>
        <v>0</v>
      </c>
      <c r="I940" s="550">
        <f t="shared" si="103"/>
        <v>0</v>
      </c>
      <c r="J940" s="177">
        <v>0</v>
      </c>
      <c r="K940" s="427">
        <f t="shared" si="101"/>
        <v>0</v>
      </c>
      <c r="L940" s="427">
        <f t="shared" si="97"/>
        <v>0</v>
      </c>
      <c r="M940" s="680">
        <v>0</v>
      </c>
      <c r="N940" s="22">
        <f t="shared" si="98"/>
        <v>0</v>
      </c>
    </row>
    <row r="941" spans="1:14" s="6" customFormat="1" ht="15.75">
      <c r="A941" s="285">
        <v>61</v>
      </c>
      <c r="B941" s="285" t="s">
        <v>452</v>
      </c>
      <c r="C941" s="391">
        <v>80.599999999999994</v>
      </c>
      <c r="D941" s="391"/>
      <c r="E941" s="391"/>
      <c r="F941" s="330"/>
      <c r="G941" s="760">
        <f t="shared" si="94"/>
        <v>0</v>
      </c>
      <c r="H941" s="427">
        <f t="shared" si="95"/>
        <v>0</v>
      </c>
      <c r="I941" s="550">
        <f t="shared" si="103"/>
        <v>0</v>
      </c>
      <c r="J941" s="177">
        <v>0</v>
      </c>
      <c r="K941" s="427">
        <f t="shared" ref="K941:K955" si="104">G941*801.55*1.08</f>
        <v>0</v>
      </c>
      <c r="L941" s="427">
        <f t="shared" si="97"/>
        <v>0</v>
      </c>
      <c r="M941" s="680">
        <v>0</v>
      </c>
      <c r="N941" s="22">
        <f t="shared" si="98"/>
        <v>0</v>
      </c>
    </row>
    <row r="942" spans="1:14" s="6" customFormat="1" ht="15.75">
      <c r="A942" s="285">
        <v>62</v>
      </c>
      <c r="B942" s="285" t="s">
        <v>453</v>
      </c>
      <c r="C942" s="391">
        <v>249.4</v>
      </c>
      <c r="D942" s="391"/>
      <c r="E942" s="391"/>
      <c r="F942" s="330"/>
      <c r="G942" s="760">
        <f t="shared" si="94"/>
        <v>0</v>
      </c>
      <c r="H942" s="427">
        <f t="shared" si="95"/>
        <v>0</v>
      </c>
      <c r="I942" s="550">
        <f t="shared" si="103"/>
        <v>0</v>
      </c>
      <c r="J942" s="177">
        <v>0</v>
      </c>
      <c r="K942" s="427">
        <f t="shared" si="104"/>
        <v>0</v>
      </c>
      <c r="L942" s="427">
        <f t="shared" si="97"/>
        <v>0</v>
      </c>
      <c r="M942" s="680">
        <v>0</v>
      </c>
      <c r="N942" s="22">
        <f t="shared" si="98"/>
        <v>0</v>
      </c>
    </row>
    <row r="943" spans="1:14" s="6" customFormat="1" ht="15.75">
      <c r="A943" s="285">
        <v>63</v>
      </c>
      <c r="B943" s="285" t="s">
        <v>454</v>
      </c>
      <c r="C943" s="391">
        <v>110.5</v>
      </c>
      <c r="D943" s="391"/>
      <c r="E943" s="391"/>
      <c r="F943" s="330"/>
      <c r="G943" s="760">
        <f t="shared" si="94"/>
        <v>0</v>
      </c>
      <c r="H943" s="427">
        <f t="shared" si="95"/>
        <v>0</v>
      </c>
      <c r="I943" s="550">
        <f t="shared" si="103"/>
        <v>0</v>
      </c>
      <c r="J943" s="177">
        <v>0</v>
      </c>
      <c r="K943" s="427">
        <f t="shared" si="104"/>
        <v>0</v>
      </c>
      <c r="L943" s="427">
        <f t="shared" si="97"/>
        <v>0</v>
      </c>
      <c r="M943" s="680">
        <v>0</v>
      </c>
      <c r="N943" s="22">
        <f t="shared" si="98"/>
        <v>0</v>
      </c>
    </row>
    <row r="944" spans="1:14" s="6" customFormat="1" ht="15.75">
      <c r="A944" s="285">
        <v>64</v>
      </c>
      <c r="B944" s="285" t="s">
        <v>455</v>
      </c>
      <c r="C944" s="391">
        <v>168.5</v>
      </c>
      <c r="D944" s="391"/>
      <c r="E944" s="391"/>
      <c r="F944" s="330"/>
      <c r="G944" s="760">
        <f t="shared" si="94"/>
        <v>0</v>
      </c>
      <c r="H944" s="427">
        <f t="shared" si="95"/>
        <v>0</v>
      </c>
      <c r="I944" s="550">
        <f t="shared" si="103"/>
        <v>0</v>
      </c>
      <c r="J944" s="177">
        <v>0</v>
      </c>
      <c r="K944" s="427">
        <f t="shared" si="104"/>
        <v>0</v>
      </c>
      <c r="L944" s="427">
        <f t="shared" si="97"/>
        <v>0</v>
      </c>
      <c r="M944" s="680">
        <v>0</v>
      </c>
      <c r="N944" s="22">
        <f t="shared" si="98"/>
        <v>0</v>
      </c>
    </row>
    <row r="945" spans="1:14" s="6" customFormat="1" ht="15.75">
      <c r="A945" s="285">
        <v>65</v>
      </c>
      <c r="B945" s="285" t="s">
        <v>456</v>
      </c>
      <c r="C945" s="546">
        <v>130</v>
      </c>
      <c r="D945" s="391"/>
      <c r="E945" s="391"/>
      <c r="F945" s="330"/>
      <c r="G945" s="760">
        <f t="shared" ref="G945:G1008" si="105">2/220071.57*F945</f>
        <v>0</v>
      </c>
      <c r="H945" s="427">
        <f t="shared" ref="H945:H1008" si="106">G945*2269.13</f>
        <v>0</v>
      </c>
      <c r="I945" s="550">
        <f t="shared" si="103"/>
        <v>0</v>
      </c>
      <c r="J945" s="177">
        <v>0</v>
      </c>
      <c r="K945" s="427">
        <f t="shared" si="104"/>
        <v>0</v>
      </c>
      <c r="L945" s="427">
        <f t="shared" si="97"/>
        <v>0</v>
      </c>
      <c r="M945" s="680">
        <v>0</v>
      </c>
      <c r="N945" s="22">
        <f t="shared" ref="N945:N1006" si="107">K945*1.1</f>
        <v>0</v>
      </c>
    </row>
    <row r="946" spans="1:14" s="6" customFormat="1" ht="15.75">
      <c r="A946" s="285">
        <v>66</v>
      </c>
      <c r="B946" s="285" t="s">
        <v>457</v>
      </c>
      <c r="C946" s="391">
        <v>175.8</v>
      </c>
      <c r="D946" s="391"/>
      <c r="E946" s="391"/>
      <c r="F946" s="330"/>
      <c r="G946" s="760">
        <f t="shared" si="105"/>
        <v>0</v>
      </c>
      <c r="H946" s="427">
        <f t="shared" si="106"/>
        <v>0</v>
      </c>
      <c r="I946" s="550">
        <f t="shared" si="103"/>
        <v>0</v>
      </c>
      <c r="J946" s="177">
        <v>0</v>
      </c>
      <c r="K946" s="427">
        <f t="shared" si="104"/>
        <v>0</v>
      </c>
      <c r="L946" s="427">
        <f t="shared" ref="L946:L1009" si="108">K946*1.219</f>
        <v>0</v>
      </c>
      <c r="M946" s="680">
        <v>0</v>
      </c>
      <c r="N946" s="22">
        <f t="shared" si="107"/>
        <v>0</v>
      </c>
    </row>
    <row r="947" spans="1:14" s="6" customFormat="1" ht="15.75">
      <c r="A947" s="285">
        <v>67</v>
      </c>
      <c r="B947" s="285" t="s">
        <v>458</v>
      </c>
      <c r="C947" s="391">
        <v>129.80000000000001</v>
      </c>
      <c r="D947" s="391"/>
      <c r="E947" s="391"/>
      <c r="F947" s="330"/>
      <c r="G947" s="760">
        <f t="shared" si="105"/>
        <v>0</v>
      </c>
      <c r="H947" s="427">
        <f t="shared" si="106"/>
        <v>0</v>
      </c>
      <c r="I947" s="550">
        <f t="shared" si="103"/>
        <v>0</v>
      </c>
      <c r="J947" s="177">
        <v>0</v>
      </c>
      <c r="K947" s="427">
        <f t="shared" si="104"/>
        <v>0</v>
      </c>
      <c r="L947" s="427">
        <f t="shared" si="108"/>
        <v>0</v>
      </c>
      <c r="M947" s="680">
        <v>0</v>
      </c>
      <c r="N947" s="22">
        <f t="shared" si="107"/>
        <v>0</v>
      </c>
    </row>
    <row r="948" spans="1:14" s="6" customFormat="1" ht="15.75">
      <c r="A948" s="285">
        <v>68</v>
      </c>
      <c r="B948" s="285" t="s">
        <v>459</v>
      </c>
      <c r="C948" s="391">
        <v>152.30000000000001</v>
      </c>
      <c r="D948" s="391"/>
      <c r="E948" s="391"/>
      <c r="F948" s="330"/>
      <c r="G948" s="760">
        <f t="shared" si="105"/>
        <v>0</v>
      </c>
      <c r="H948" s="427">
        <f t="shared" si="106"/>
        <v>0</v>
      </c>
      <c r="I948" s="550">
        <f t="shared" si="103"/>
        <v>0</v>
      </c>
      <c r="J948" s="177">
        <v>0</v>
      </c>
      <c r="K948" s="427">
        <f t="shared" si="104"/>
        <v>0</v>
      </c>
      <c r="L948" s="427">
        <f t="shared" si="108"/>
        <v>0</v>
      </c>
      <c r="M948" s="680">
        <v>0</v>
      </c>
      <c r="N948" s="22">
        <f t="shared" si="107"/>
        <v>0</v>
      </c>
    </row>
    <row r="949" spans="1:14" s="6" customFormat="1" ht="15.75">
      <c r="A949" s="285">
        <v>69</v>
      </c>
      <c r="B949" s="285" t="s">
        <v>460</v>
      </c>
      <c r="C949" s="391">
        <v>239.4</v>
      </c>
      <c r="D949" s="391"/>
      <c r="E949" s="391"/>
      <c r="F949" s="330"/>
      <c r="G949" s="760">
        <f t="shared" si="105"/>
        <v>0</v>
      </c>
      <c r="H949" s="427">
        <f t="shared" si="106"/>
        <v>0</v>
      </c>
      <c r="I949" s="550">
        <f t="shared" si="103"/>
        <v>0</v>
      </c>
      <c r="J949" s="177">
        <v>0</v>
      </c>
      <c r="K949" s="427">
        <f t="shared" si="104"/>
        <v>0</v>
      </c>
      <c r="L949" s="427">
        <f t="shared" si="108"/>
        <v>0</v>
      </c>
      <c r="M949" s="680">
        <v>0</v>
      </c>
      <c r="N949" s="22">
        <f t="shared" si="107"/>
        <v>0</v>
      </c>
    </row>
    <row r="950" spans="1:14" s="6" customFormat="1" ht="15.75">
      <c r="A950" s="285">
        <v>70</v>
      </c>
      <c r="B950" s="285" t="s">
        <v>461</v>
      </c>
      <c r="C950" s="391">
        <v>84.2</v>
      </c>
      <c r="D950" s="391"/>
      <c r="E950" s="391"/>
      <c r="F950" s="330"/>
      <c r="G950" s="760">
        <f t="shared" si="105"/>
        <v>0</v>
      </c>
      <c r="H950" s="427">
        <f t="shared" si="106"/>
        <v>0</v>
      </c>
      <c r="I950" s="550">
        <f t="shared" si="103"/>
        <v>0</v>
      </c>
      <c r="J950" s="177">
        <v>0</v>
      </c>
      <c r="K950" s="427">
        <f t="shared" si="104"/>
        <v>0</v>
      </c>
      <c r="L950" s="427">
        <f t="shared" si="108"/>
        <v>0</v>
      </c>
      <c r="M950" s="680">
        <v>0</v>
      </c>
      <c r="N950" s="22">
        <f t="shared" si="107"/>
        <v>0</v>
      </c>
    </row>
    <row r="951" spans="1:14" s="6" customFormat="1" ht="15.75">
      <c r="A951" s="285">
        <v>71</v>
      </c>
      <c r="B951" s="285" t="s">
        <v>462</v>
      </c>
      <c r="C951" s="391">
        <v>193.9</v>
      </c>
      <c r="D951" s="391"/>
      <c r="E951" s="391"/>
      <c r="F951" s="330"/>
      <c r="G951" s="760">
        <f t="shared" si="105"/>
        <v>0</v>
      </c>
      <c r="H951" s="427">
        <f t="shared" si="106"/>
        <v>0</v>
      </c>
      <c r="I951" s="550">
        <f t="shared" si="103"/>
        <v>0</v>
      </c>
      <c r="J951" s="177">
        <v>0</v>
      </c>
      <c r="K951" s="427">
        <f t="shared" si="104"/>
        <v>0</v>
      </c>
      <c r="L951" s="427">
        <f t="shared" si="108"/>
        <v>0</v>
      </c>
      <c r="M951" s="680">
        <v>0</v>
      </c>
      <c r="N951" s="22">
        <f t="shared" si="107"/>
        <v>0</v>
      </c>
    </row>
    <row r="952" spans="1:14" s="6" customFormat="1" ht="15.75">
      <c r="A952" s="285">
        <v>72</v>
      </c>
      <c r="B952" s="285" t="s">
        <v>463</v>
      </c>
      <c r="C952" s="391">
        <v>252.4</v>
      </c>
      <c r="D952" s="391"/>
      <c r="E952" s="391"/>
      <c r="F952" s="330"/>
      <c r="G952" s="760">
        <f t="shared" si="105"/>
        <v>0</v>
      </c>
      <c r="H952" s="427">
        <f t="shared" si="106"/>
        <v>0</v>
      </c>
      <c r="I952" s="550">
        <f t="shared" si="103"/>
        <v>0</v>
      </c>
      <c r="J952" s="177">
        <v>0</v>
      </c>
      <c r="K952" s="427">
        <f t="shared" si="104"/>
        <v>0</v>
      </c>
      <c r="L952" s="427">
        <f t="shared" si="108"/>
        <v>0</v>
      </c>
      <c r="M952" s="680">
        <v>0</v>
      </c>
      <c r="N952" s="22">
        <f t="shared" si="107"/>
        <v>0</v>
      </c>
    </row>
    <row r="953" spans="1:14" s="6" customFormat="1" ht="15.75">
      <c r="A953" s="285">
        <v>73</v>
      </c>
      <c r="B953" s="285" t="s">
        <v>464</v>
      </c>
      <c r="C953" s="547">
        <v>79</v>
      </c>
      <c r="D953" s="391"/>
      <c r="E953" s="391"/>
      <c r="F953" s="330"/>
      <c r="G953" s="760">
        <f t="shared" si="105"/>
        <v>0</v>
      </c>
      <c r="H953" s="427">
        <f t="shared" si="106"/>
        <v>0</v>
      </c>
      <c r="I953" s="550">
        <f t="shared" si="103"/>
        <v>0</v>
      </c>
      <c r="J953" s="177">
        <v>0</v>
      </c>
      <c r="K953" s="427">
        <f t="shared" si="104"/>
        <v>0</v>
      </c>
      <c r="L953" s="427">
        <f t="shared" si="108"/>
        <v>0</v>
      </c>
      <c r="M953" s="680">
        <v>0</v>
      </c>
      <c r="N953" s="22">
        <f t="shared" si="107"/>
        <v>0</v>
      </c>
    </row>
    <row r="954" spans="1:14" s="6" customFormat="1" ht="15.75">
      <c r="A954" s="285">
        <v>74</v>
      </c>
      <c r="B954" s="285" t="s">
        <v>465</v>
      </c>
      <c r="C954" s="391">
        <v>549.69000000000005</v>
      </c>
      <c r="D954" s="391"/>
      <c r="E954" s="391"/>
      <c r="F954" s="330"/>
      <c r="G954" s="760">
        <f t="shared" si="105"/>
        <v>0</v>
      </c>
      <c r="H954" s="427">
        <f t="shared" si="106"/>
        <v>0</v>
      </c>
      <c r="I954" s="550">
        <f t="shared" si="103"/>
        <v>0</v>
      </c>
      <c r="J954" s="177">
        <v>0</v>
      </c>
      <c r="K954" s="427">
        <f t="shared" si="104"/>
        <v>0</v>
      </c>
      <c r="L954" s="427">
        <f t="shared" si="108"/>
        <v>0</v>
      </c>
      <c r="M954" s="680">
        <v>0</v>
      </c>
      <c r="N954" s="22">
        <f t="shared" si="107"/>
        <v>0</v>
      </c>
    </row>
    <row r="955" spans="1:14" s="6" customFormat="1" ht="15.75">
      <c r="A955" s="285">
        <v>75</v>
      </c>
      <c r="B955" s="285" t="s">
        <v>466</v>
      </c>
      <c r="C955" s="391">
        <v>192.1</v>
      </c>
      <c r="D955" s="391"/>
      <c r="E955" s="391"/>
      <c r="F955" s="330"/>
      <c r="G955" s="760">
        <f t="shared" si="105"/>
        <v>0</v>
      </c>
      <c r="H955" s="427">
        <f t="shared" si="106"/>
        <v>0</v>
      </c>
      <c r="I955" s="550">
        <f t="shared" si="103"/>
        <v>0</v>
      </c>
      <c r="J955" s="177">
        <v>0</v>
      </c>
      <c r="K955" s="427">
        <f t="shared" si="104"/>
        <v>0</v>
      </c>
      <c r="L955" s="427">
        <f t="shared" si="108"/>
        <v>0</v>
      </c>
      <c r="M955" s="680">
        <v>0</v>
      </c>
      <c r="N955" s="22">
        <f t="shared" si="107"/>
        <v>0</v>
      </c>
    </row>
    <row r="956" spans="1:14" s="6" customFormat="1" ht="15.75">
      <c r="A956" s="285">
        <v>76</v>
      </c>
      <c r="B956" s="285" t="s">
        <v>467</v>
      </c>
      <c r="C956" s="391">
        <v>166.8</v>
      </c>
      <c r="D956" s="391"/>
      <c r="E956" s="391"/>
      <c r="F956" s="330"/>
      <c r="G956" s="760">
        <f t="shared" si="105"/>
        <v>0</v>
      </c>
      <c r="H956" s="427">
        <f t="shared" si="106"/>
        <v>0</v>
      </c>
      <c r="I956" s="550">
        <f t="shared" si="103"/>
        <v>0</v>
      </c>
      <c r="J956" s="177">
        <v>0</v>
      </c>
      <c r="K956" s="427">
        <f t="shared" ref="K956:K1019" si="109">G956*801.55</f>
        <v>0</v>
      </c>
      <c r="L956" s="427">
        <f t="shared" si="108"/>
        <v>0</v>
      </c>
      <c r="M956" s="680">
        <v>0</v>
      </c>
      <c r="N956" s="22">
        <f t="shared" si="107"/>
        <v>0</v>
      </c>
    </row>
    <row r="957" spans="1:14" s="6" customFormat="1" ht="15.75">
      <c r="A957" s="285">
        <v>77</v>
      </c>
      <c r="B957" s="285" t="s">
        <v>468</v>
      </c>
      <c r="C957" s="391">
        <v>119.9</v>
      </c>
      <c r="D957" s="391"/>
      <c r="E957" s="391"/>
      <c r="F957" s="330"/>
      <c r="G957" s="760">
        <f t="shared" si="105"/>
        <v>0</v>
      </c>
      <c r="H957" s="427">
        <f t="shared" si="106"/>
        <v>0</v>
      </c>
      <c r="I957" s="550">
        <f t="shared" si="103"/>
        <v>0</v>
      </c>
      <c r="J957" s="177">
        <v>0</v>
      </c>
      <c r="K957" s="427">
        <f t="shared" si="109"/>
        <v>0</v>
      </c>
      <c r="L957" s="427">
        <f t="shared" si="108"/>
        <v>0</v>
      </c>
      <c r="M957" s="680">
        <v>0</v>
      </c>
      <c r="N957" s="22">
        <f t="shared" si="107"/>
        <v>0</v>
      </c>
    </row>
    <row r="958" spans="1:14" s="6" customFormat="1" ht="15.75">
      <c r="A958" s="285">
        <v>78</v>
      </c>
      <c r="B958" s="285" t="s">
        <v>469</v>
      </c>
      <c r="C958" s="391">
        <v>188.7</v>
      </c>
      <c r="D958" s="391"/>
      <c r="E958" s="391"/>
      <c r="F958" s="330"/>
      <c r="G958" s="760">
        <f t="shared" si="105"/>
        <v>0</v>
      </c>
      <c r="H958" s="427">
        <f t="shared" si="106"/>
        <v>0</v>
      </c>
      <c r="I958" s="550">
        <f t="shared" si="103"/>
        <v>0</v>
      </c>
      <c r="J958" s="177">
        <v>0</v>
      </c>
      <c r="K958" s="427">
        <f t="shared" si="109"/>
        <v>0</v>
      </c>
      <c r="L958" s="427">
        <f t="shared" si="108"/>
        <v>0</v>
      </c>
      <c r="M958" s="680">
        <v>0</v>
      </c>
      <c r="N958" s="22">
        <f t="shared" si="107"/>
        <v>0</v>
      </c>
    </row>
    <row r="959" spans="1:14" s="6" customFormat="1" ht="15.75">
      <c r="A959" s="285">
        <v>79</v>
      </c>
      <c r="B959" s="285" t="s">
        <v>470</v>
      </c>
      <c r="C959" s="391">
        <v>4734.5</v>
      </c>
      <c r="D959" s="391"/>
      <c r="E959" s="391"/>
      <c r="F959" s="330">
        <f>C959+D959+E959</f>
        <v>4734.5</v>
      </c>
      <c r="G959" s="760">
        <f t="shared" si="105"/>
        <v>4.3026911654240482E-2</v>
      </c>
      <c r="H959" s="427">
        <f t="shared" si="106"/>
        <v>97.633656041986711</v>
      </c>
      <c r="I959" s="550">
        <f t="shared" si="103"/>
        <v>35.899895326638514</v>
      </c>
      <c r="J959" s="177">
        <v>37.219998279743869</v>
      </c>
      <c r="K959" s="427">
        <f t="shared" si="109"/>
        <v>34.488221036456459</v>
      </c>
      <c r="L959" s="427">
        <f t="shared" si="108"/>
        <v>42.041141443440424</v>
      </c>
      <c r="M959" s="680">
        <f>(K959+J959+I959+H959)/F959</f>
        <v>4.3350252547222634E-2</v>
      </c>
      <c r="N959" s="22">
        <f t="shared" si="107"/>
        <v>37.937043140102105</v>
      </c>
    </row>
    <row r="960" spans="1:14" s="6" customFormat="1" ht="15.75">
      <c r="A960" s="285">
        <v>80</v>
      </c>
      <c r="B960" s="285" t="s">
        <v>471</v>
      </c>
      <c r="C960" s="391">
        <v>66.3</v>
      </c>
      <c r="D960" s="391"/>
      <c r="E960" s="391"/>
      <c r="F960" s="330"/>
      <c r="G960" s="760">
        <f t="shared" si="105"/>
        <v>0</v>
      </c>
      <c r="H960" s="427">
        <f t="shared" si="106"/>
        <v>0</v>
      </c>
      <c r="I960" s="550">
        <f t="shared" si="103"/>
        <v>0</v>
      </c>
      <c r="J960" s="177">
        <v>0</v>
      </c>
      <c r="K960" s="427">
        <f t="shared" si="109"/>
        <v>0</v>
      </c>
      <c r="L960" s="427">
        <f t="shared" si="108"/>
        <v>0</v>
      </c>
      <c r="M960" s="680">
        <v>0</v>
      </c>
      <c r="N960" s="22">
        <f t="shared" si="107"/>
        <v>0</v>
      </c>
    </row>
    <row r="961" spans="1:14" s="6" customFormat="1" ht="15.75">
      <c r="A961" s="285">
        <v>81</v>
      </c>
      <c r="B961" s="285" t="s">
        <v>472</v>
      </c>
      <c r="C961" s="391">
        <v>19.8</v>
      </c>
      <c r="D961" s="391"/>
      <c r="E961" s="391"/>
      <c r="F961" s="330"/>
      <c r="G961" s="760">
        <f t="shared" si="105"/>
        <v>0</v>
      </c>
      <c r="H961" s="427">
        <f t="shared" si="106"/>
        <v>0</v>
      </c>
      <c r="I961" s="550">
        <f t="shared" si="103"/>
        <v>0</v>
      </c>
      <c r="J961" s="177">
        <v>0</v>
      </c>
      <c r="K961" s="427">
        <f t="shared" si="109"/>
        <v>0</v>
      </c>
      <c r="L961" s="427">
        <f t="shared" si="108"/>
        <v>0</v>
      </c>
      <c r="M961" s="680">
        <v>0</v>
      </c>
      <c r="N961" s="22">
        <f t="shared" si="107"/>
        <v>0</v>
      </c>
    </row>
    <row r="962" spans="1:14" s="6" customFormat="1" ht="15.75">
      <c r="A962" s="285">
        <v>82</v>
      </c>
      <c r="B962" s="285" t="s">
        <v>473</v>
      </c>
      <c r="C962" s="391">
        <v>61.2</v>
      </c>
      <c r="D962" s="391"/>
      <c r="E962" s="391"/>
      <c r="F962" s="330"/>
      <c r="G962" s="760">
        <f t="shared" si="105"/>
        <v>0</v>
      </c>
      <c r="H962" s="427">
        <f t="shared" si="106"/>
        <v>0</v>
      </c>
      <c r="I962" s="550">
        <f t="shared" si="103"/>
        <v>0</v>
      </c>
      <c r="J962" s="177">
        <v>0</v>
      </c>
      <c r="K962" s="427">
        <f t="shared" si="109"/>
        <v>0</v>
      </c>
      <c r="L962" s="427">
        <f t="shared" si="108"/>
        <v>0</v>
      </c>
      <c r="M962" s="680">
        <v>0</v>
      </c>
      <c r="N962" s="22">
        <f t="shared" si="107"/>
        <v>0</v>
      </c>
    </row>
    <row r="963" spans="1:14" s="6" customFormat="1" ht="15.75">
      <c r="A963" s="285">
        <v>83</v>
      </c>
      <c r="B963" s="285" t="s">
        <v>474</v>
      </c>
      <c r="C963" s="391">
        <v>47.1</v>
      </c>
      <c r="D963" s="391"/>
      <c r="E963" s="391"/>
      <c r="F963" s="330"/>
      <c r="G963" s="760">
        <f t="shared" si="105"/>
        <v>0</v>
      </c>
      <c r="H963" s="427">
        <f t="shared" si="106"/>
        <v>0</v>
      </c>
      <c r="I963" s="550">
        <f t="shared" si="103"/>
        <v>0</v>
      </c>
      <c r="J963" s="177">
        <v>0</v>
      </c>
      <c r="K963" s="427">
        <f t="shared" si="109"/>
        <v>0</v>
      </c>
      <c r="L963" s="427">
        <f t="shared" si="108"/>
        <v>0</v>
      </c>
      <c r="M963" s="680">
        <v>0</v>
      </c>
      <c r="N963" s="22">
        <f t="shared" si="107"/>
        <v>0</v>
      </c>
    </row>
    <row r="964" spans="1:14" s="6" customFormat="1" ht="15.75">
      <c r="A964" s="285">
        <v>84</v>
      </c>
      <c r="B964" s="285" t="s">
        <v>475</v>
      </c>
      <c r="C964" s="391">
        <v>282.8</v>
      </c>
      <c r="D964" s="391"/>
      <c r="E964" s="391"/>
      <c r="F964" s="330">
        <f>C964+D964+E964</f>
        <v>282.8</v>
      </c>
      <c r="G964" s="760">
        <f t="shared" si="105"/>
        <v>2.5700729994337754E-3</v>
      </c>
      <c r="H964" s="427">
        <f t="shared" si="106"/>
        <v>5.8318297452051633</v>
      </c>
      <c r="I964" s="550">
        <f t="shared" si="103"/>
        <v>2.1443637973119385</v>
      </c>
      <c r="J964" s="177">
        <v>1.9191114843502983</v>
      </c>
      <c r="K964" s="427">
        <f t="shared" si="109"/>
        <v>2.0600420126961425</v>
      </c>
      <c r="L964" s="427">
        <f t="shared" si="108"/>
        <v>2.5111912134765979</v>
      </c>
      <c r="M964" s="680">
        <f>(K964+J964+I964+H964)/F964</f>
        <v>4.227491881033784E-2</v>
      </c>
      <c r="N964" s="22">
        <f t="shared" si="107"/>
        <v>2.2660462139657569</v>
      </c>
    </row>
    <row r="965" spans="1:14" s="6" customFormat="1" ht="15.75">
      <c r="A965" s="285">
        <v>85</v>
      </c>
      <c r="B965" s="285" t="s">
        <v>476</v>
      </c>
      <c r="C965" s="391">
        <v>46.6</v>
      </c>
      <c r="D965" s="391"/>
      <c r="E965" s="391"/>
      <c r="F965" s="330">
        <f>C965+D965+E965</f>
        <v>46.6</v>
      </c>
      <c r="G965" s="760">
        <f t="shared" si="105"/>
        <v>4.2349859184446224E-4</v>
      </c>
      <c r="H965" s="427">
        <f t="shared" si="106"/>
        <v>0.96097335971202469</v>
      </c>
      <c r="I965" s="550">
        <f t="shared" si="103"/>
        <v>0.35334990436611152</v>
      </c>
      <c r="J965" s="177">
        <v>0</v>
      </c>
      <c r="K965" s="427">
        <f t="shared" si="109"/>
        <v>0.3394552962929287</v>
      </c>
      <c r="L965" s="427">
        <f t="shared" si="108"/>
        <v>0.41379600618108009</v>
      </c>
      <c r="M965" s="680">
        <f>(K965+J965+I965+H965)/F965</f>
        <v>3.5488810308391947E-2</v>
      </c>
      <c r="N965" s="22">
        <f t="shared" si="107"/>
        <v>0.37340082592222162</v>
      </c>
    </row>
    <row r="966" spans="1:14" s="6" customFormat="1" ht="15.75">
      <c r="A966" s="285">
        <v>86</v>
      </c>
      <c r="B966" s="285" t="s">
        <v>477</v>
      </c>
      <c r="C966" s="391">
        <v>3266.45</v>
      </c>
      <c r="D966" s="391"/>
      <c r="E966" s="391"/>
      <c r="F966" s="330">
        <f>C966+D966+E966</f>
        <v>3266.45</v>
      </c>
      <c r="G966" s="760">
        <f t="shared" si="105"/>
        <v>2.9685342818247716E-2</v>
      </c>
      <c r="H966" s="427">
        <f t="shared" si="106"/>
        <v>67.35990194917045</v>
      </c>
      <c r="I966" s="550">
        <f t="shared" si="103"/>
        <v>24.768235946709975</v>
      </c>
      <c r="J966" s="177">
        <v>26.407545889607238</v>
      </c>
      <c r="K966" s="427">
        <f t="shared" si="109"/>
        <v>23.794286535966457</v>
      </c>
      <c r="L966" s="427">
        <f t="shared" si="108"/>
        <v>29.005235287343112</v>
      </c>
      <c r="M966" s="680">
        <f>(K966+J966+I966+H966)/F966</f>
        <v>4.3573289143092393E-2</v>
      </c>
      <c r="N966" s="22">
        <f t="shared" si="107"/>
        <v>26.173715189563104</v>
      </c>
    </row>
    <row r="967" spans="1:14" s="6" customFormat="1" ht="15.75">
      <c r="A967" s="285">
        <v>87</v>
      </c>
      <c r="B967" s="285" t="s">
        <v>478</v>
      </c>
      <c r="C967" s="391">
        <v>3257.47</v>
      </c>
      <c r="D967" s="391"/>
      <c r="E967" s="391"/>
      <c r="F967" s="330">
        <f>C967+D967+E967</f>
        <v>3257.47</v>
      </c>
      <c r="G967" s="760">
        <f t="shared" si="105"/>
        <v>2.960373300376782E-2</v>
      </c>
      <c r="H967" s="427">
        <f t="shared" si="106"/>
        <v>67.174718670839681</v>
      </c>
      <c r="I967" s="550">
        <f t="shared" si="103"/>
        <v>24.700144055267753</v>
      </c>
      <c r="J967" s="177">
        <v>25.337569753963557</v>
      </c>
      <c r="K967" s="427">
        <f t="shared" si="109"/>
        <v>23.728872189170094</v>
      </c>
      <c r="L967" s="427">
        <f t="shared" si="108"/>
        <v>28.925495198598345</v>
      </c>
      <c r="M967" s="680">
        <f>(K967+J967+I967+H967)/F967</f>
        <v>4.3267107500373332E-2</v>
      </c>
      <c r="N967" s="22">
        <f t="shared" si="107"/>
        <v>26.101759408087105</v>
      </c>
    </row>
    <row r="968" spans="1:14" s="6" customFormat="1" ht="15.75">
      <c r="A968" s="285">
        <v>88</v>
      </c>
      <c r="B968" s="285" t="s">
        <v>479</v>
      </c>
      <c r="C968" s="391">
        <v>24.3</v>
      </c>
      <c r="D968" s="391"/>
      <c r="E968" s="391"/>
      <c r="F968" s="330"/>
      <c r="G968" s="760">
        <f t="shared" si="105"/>
        <v>0</v>
      </c>
      <c r="H968" s="427">
        <f t="shared" si="106"/>
        <v>0</v>
      </c>
      <c r="I968" s="550">
        <f t="shared" si="103"/>
        <v>0</v>
      </c>
      <c r="J968" s="177">
        <v>0</v>
      </c>
      <c r="K968" s="427">
        <f t="shared" si="109"/>
        <v>0</v>
      </c>
      <c r="L968" s="427">
        <f t="shared" si="108"/>
        <v>0</v>
      </c>
      <c r="M968" s="680">
        <v>0</v>
      </c>
      <c r="N968" s="22">
        <f t="shared" si="107"/>
        <v>0</v>
      </c>
    </row>
    <row r="969" spans="1:14" s="6" customFormat="1" ht="15.75">
      <c r="A969" s="285">
        <v>89</v>
      </c>
      <c r="B969" s="285" t="s">
        <v>643</v>
      </c>
      <c r="C969" s="391">
        <v>4202.6000000000004</v>
      </c>
      <c r="D969" s="391"/>
      <c r="E969" s="391">
        <v>369.8</v>
      </c>
      <c r="F969" s="330">
        <f>C969+D969+E969</f>
        <v>4572.4000000000005</v>
      </c>
      <c r="G969" s="760">
        <f t="shared" si="105"/>
        <v>4.1553754535399556E-2</v>
      </c>
      <c r="H969" s="427">
        <f t="shared" si="106"/>
        <v>94.290871028911198</v>
      </c>
      <c r="I969" s="550">
        <f t="shared" si="103"/>
        <v>34.670753277330647</v>
      </c>
      <c r="J969" s="177">
        <v>38.441098137446161</v>
      </c>
      <c r="K969" s="427">
        <f>G969*2801.55</f>
        <v>116.41492101864864</v>
      </c>
      <c r="L969" s="427">
        <f t="shared" si="108"/>
        <v>141.9097887217327</v>
      </c>
      <c r="M969" s="680">
        <f>(K969+J969+I969+H969)/F969</f>
        <v>6.2071919224550923E-2</v>
      </c>
      <c r="N969" s="22">
        <f t="shared" si="107"/>
        <v>128.05641312051353</v>
      </c>
    </row>
    <row r="970" spans="1:14" s="6" customFormat="1" ht="15.75">
      <c r="A970" s="285">
        <v>90</v>
      </c>
      <c r="B970" s="285" t="s">
        <v>925</v>
      </c>
      <c r="C970" s="391">
        <v>140.30000000000001</v>
      </c>
      <c r="D970" s="8"/>
      <c r="E970" s="8"/>
      <c r="F970" s="55"/>
      <c r="G970" s="760">
        <f t="shared" si="105"/>
        <v>0</v>
      </c>
      <c r="H970" s="427">
        <f t="shared" si="106"/>
        <v>0</v>
      </c>
      <c r="I970" s="158">
        <f t="shared" si="103"/>
        <v>0</v>
      </c>
      <c r="J970" s="177">
        <v>0</v>
      </c>
      <c r="K970" s="427">
        <f t="shared" si="109"/>
        <v>0</v>
      </c>
      <c r="L970" s="427">
        <f t="shared" si="108"/>
        <v>0</v>
      </c>
      <c r="M970" s="680">
        <v>0</v>
      </c>
      <c r="N970" s="22">
        <f t="shared" si="107"/>
        <v>0</v>
      </c>
    </row>
    <row r="971" spans="1:14" s="6" customFormat="1" ht="15.75">
      <c r="A971" s="285">
        <v>91</v>
      </c>
      <c r="B971" s="329" t="s">
        <v>926</v>
      </c>
      <c r="C971" s="391">
        <v>427.4</v>
      </c>
      <c r="D971" s="330"/>
      <c r="E971" s="330"/>
      <c r="F971" s="330"/>
      <c r="G971" s="760">
        <f t="shared" si="105"/>
        <v>0</v>
      </c>
      <c r="H971" s="427">
        <f t="shared" si="106"/>
        <v>0</v>
      </c>
      <c r="I971" s="550">
        <f t="shared" si="103"/>
        <v>0</v>
      </c>
      <c r="J971" s="177">
        <v>0</v>
      </c>
      <c r="K971" s="427">
        <f t="shared" si="109"/>
        <v>0</v>
      </c>
      <c r="L971" s="427">
        <f t="shared" si="108"/>
        <v>0</v>
      </c>
      <c r="M971" s="680">
        <v>0</v>
      </c>
      <c r="N971" s="22">
        <f t="shared" si="107"/>
        <v>0</v>
      </c>
    </row>
    <row r="972" spans="1:14" s="6" customFormat="1" ht="15.75">
      <c r="A972" s="285">
        <v>92</v>
      </c>
      <c r="B972" s="329" t="s">
        <v>927</v>
      </c>
      <c r="C972" s="391">
        <v>954</v>
      </c>
      <c r="D972" s="391"/>
      <c r="E972" s="391"/>
      <c r="F972" s="330">
        <f>C972+D972+E972</f>
        <v>954</v>
      </c>
      <c r="G972" s="760">
        <f t="shared" si="105"/>
        <v>8.6699067944123812E-3</v>
      </c>
      <c r="H972" s="427">
        <f t="shared" si="106"/>
        <v>19.673145604404969</v>
      </c>
      <c r="I972" s="550">
        <f t="shared" si="103"/>
        <v>7.2338156387397072</v>
      </c>
      <c r="J972" s="177">
        <v>3.4850122660594374</v>
      </c>
      <c r="K972" s="427">
        <f>G972*801.55</f>
        <v>6.949363791061244</v>
      </c>
      <c r="L972" s="427">
        <f t="shared" si="108"/>
        <v>8.4712744613036577</v>
      </c>
      <c r="M972" s="680">
        <f>(K972+J972+I972+H972)/F972</f>
        <v>3.9141862998181717E-2</v>
      </c>
      <c r="N972" s="22">
        <f t="shared" si="107"/>
        <v>7.6443001701673694</v>
      </c>
    </row>
    <row r="973" spans="1:14" s="6" customFormat="1" ht="15.75">
      <c r="A973" s="285">
        <v>93</v>
      </c>
      <c r="B973" s="329" t="s">
        <v>928</v>
      </c>
      <c r="C973" s="391">
        <v>202.5</v>
      </c>
      <c r="D973" s="391"/>
      <c r="E973" s="391"/>
      <c r="F973" s="330"/>
      <c r="G973" s="760">
        <f t="shared" si="105"/>
        <v>0</v>
      </c>
      <c r="H973" s="427">
        <f t="shared" si="106"/>
        <v>0</v>
      </c>
      <c r="I973" s="550">
        <f t="shared" si="103"/>
        <v>0</v>
      </c>
      <c r="J973" s="177">
        <v>0</v>
      </c>
      <c r="K973" s="427">
        <f t="shared" si="109"/>
        <v>0</v>
      </c>
      <c r="L973" s="427">
        <f t="shared" si="108"/>
        <v>0</v>
      </c>
      <c r="M973" s="680">
        <v>0</v>
      </c>
      <c r="N973" s="22">
        <f t="shared" si="107"/>
        <v>0</v>
      </c>
    </row>
    <row r="974" spans="1:14" s="6" customFormat="1" ht="15.75">
      <c r="A974" s="285">
        <v>94</v>
      </c>
      <c r="B974" s="329" t="s">
        <v>929</v>
      </c>
      <c r="C974" s="391">
        <v>308.2</v>
      </c>
      <c r="D974" s="391"/>
      <c r="E974" s="391"/>
      <c r="F974" s="330"/>
      <c r="G974" s="760">
        <f t="shared" si="105"/>
        <v>0</v>
      </c>
      <c r="H974" s="427">
        <f t="shared" si="106"/>
        <v>0</v>
      </c>
      <c r="I974" s="550">
        <f t="shared" si="103"/>
        <v>0</v>
      </c>
      <c r="J974" s="177">
        <v>0</v>
      </c>
      <c r="K974" s="427">
        <f t="shared" si="109"/>
        <v>0</v>
      </c>
      <c r="L974" s="427">
        <f t="shared" si="108"/>
        <v>0</v>
      </c>
      <c r="M974" s="680">
        <v>0</v>
      </c>
      <c r="N974" s="22">
        <f t="shared" si="107"/>
        <v>0</v>
      </c>
    </row>
    <row r="975" spans="1:14" s="6" customFormat="1" ht="15.75">
      <c r="A975" s="285">
        <v>95</v>
      </c>
      <c r="B975" s="329" t="s">
        <v>930</v>
      </c>
      <c r="C975" s="391">
        <v>44.1</v>
      </c>
      <c r="D975" s="391"/>
      <c r="E975" s="391"/>
      <c r="F975" s="330"/>
      <c r="G975" s="760">
        <f t="shared" si="105"/>
        <v>0</v>
      </c>
      <c r="H975" s="427">
        <f t="shared" si="106"/>
        <v>0</v>
      </c>
      <c r="I975" s="550">
        <f t="shared" si="103"/>
        <v>0</v>
      </c>
      <c r="J975" s="177">
        <v>0</v>
      </c>
      <c r="K975" s="427">
        <f t="shared" si="109"/>
        <v>0</v>
      </c>
      <c r="L975" s="427">
        <f t="shared" si="108"/>
        <v>0</v>
      </c>
      <c r="M975" s="680">
        <v>0</v>
      </c>
      <c r="N975" s="22">
        <f t="shared" si="107"/>
        <v>0</v>
      </c>
    </row>
    <row r="976" spans="1:14" s="6" customFormat="1" ht="15.75">
      <c r="A976" s="285">
        <v>96</v>
      </c>
      <c r="B976" s="329" t="s">
        <v>931</v>
      </c>
      <c r="C976" s="391">
        <v>236.79</v>
      </c>
      <c r="D976" s="391"/>
      <c r="E976" s="391"/>
      <c r="F976" s="330"/>
      <c r="G976" s="760">
        <f t="shared" si="105"/>
        <v>0</v>
      </c>
      <c r="H976" s="427">
        <f t="shared" si="106"/>
        <v>0</v>
      </c>
      <c r="I976" s="550">
        <f t="shared" si="103"/>
        <v>0</v>
      </c>
      <c r="J976" s="177">
        <v>0</v>
      </c>
      <c r="K976" s="427">
        <f t="shared" si="109"/>
        <v>0</v>
      </c>
      <c r="L976" s="427">
        <f t="shared" si="108"/>
        <v>0</v>
      </c>
      <c r="M976" s="680">
        <v>0</v>
      </c>
      <c r="N976" s="22">
        <f t="shared" si="107"/>
        <v>0</v>
      </c>
    </row>
    <row r="977" spans="1:14" s="6" customFormat="1" ht="15.75">
      <c r="A977" s="285">
        <v>97</v>
      </c>
      <c r="B977" s="329" t="s">
        <v>932</v>
      </c>
      <c r="C977" s="391">
        <v>571.4</v>
      </c>
      <c r="D977" s="391"/>
      <c r="E977" s="391"/>
      <c r="F977" s="330"/>
      <c r="G977" s="760">
        <f t="shared" si="105"/>
        <v>0</v>
      </c>
      <c r="H977" s="427">
        <f t="shared" si="106"/>
        <v>0</v>
      </c>
      <c r="I977" s="550">
        <f t="shared" si="103"/>
        <v>0</v>
      </c>
      <c r="J977" s="177">
        <v>0</v>
      </c>
      <c r="K977" s="427">
        <f t="shared" si="109"/>
        <v>0</v>
      </c>
      <c r="L977" s="427">
        <f t="shared" si="108"/>
        <v>0</v>
      </c>
      <c r="M977" s="680">
        <v>0</v>
      </c>
      <c r="N977" s="22">
        <f t="shared" si="107"/>
        <v>0</v>
      </c>
    </row>
    <row r="978" spans="1:14" s="6" customFormat="1" ht="15.75">
      <c r="A978" s="285">
        <v>98</v>
      </c>
      <c r="B978" s="329" t="s">
        <v>933</v>
      </c>
      <c r="C978" s="391">
        <v>654.29999999999995</v>
      </c>
      <c r="D978" s="391"/>
      <c r="E978" s="391"/>
      <c r="F978" s="330"/>
      <c r="G978" s="760">
        <f t="shared" si="105"/>
        <v>0</v>
      </c>
      <c r="H978" s="427">
        <f t="shared" si="106"/>
        <v>0</v>
      </c>
      <c r="I978" s="550">
        <f t="shared" si="103"/>
        <v>0</v>
      </c>
      <c r="J978" s="177">
        <v>0</v>
      </c>
      <c r="K978" s="427">
        <f t="shared" si="109"/>
        <v>0</v>
      </c>
      <c r="L978" s="427">
        <f t="shared" si="108"/>
        <v>0</v>
      </c>
      <c r="M978" s="680">
        <v>0</v>
      </c>
      <c r="N978" s="22">
        <f t="shared" si="107"/>
        <v>0</v>
      </c>
    </row>
    <row r="979" spans="1:14" s="6" customFormat="1" ht="15.75">
      <c r="A979" s="285">
        <v>99</v>
      </c>
      <c r="B979" s="329" t="s">
        <v>934</v>
      </c>
      <c r="C979" s="391">
        <v>559.79999999999995</v>
      </c>
      <c r="D979" s="330"/>
      <c r="E979" s="391"/>
      <c r="F979" s="330"/>
      <c r="G979" s="760">
        <f t="shared" si="105"/>
        <v>0</v>
      </c>
      <c r="H979" s="427">
        <f t="shared" si="106"/>
        <v>0</v>
      </c>
      <c r="I979" s="550">
        <f t="shared" si="103"/>
        <v>0</v>
      </c>
      <c r="J979" s="177">
        <v>0</v>
      </c>
      <c r="K979" s="427">
        <f t="shared" si="109"/>
        <v>0</v>
      </c>
      <c r="L979" s="427">
        <f t="shared" si="108"/>
        <v>0</v>
      </c>
      <c r="M979" s="680">
        <v>0</v>
      </c>
      <c r="N979" s="22">
        <f t="shared" si="107"/>
        <v>0</v>
      </c>
    </row>
    <row r="980" spans="1:14" s="6" customFormat="1" ht="15.75">
      <c r="A980" s="285">
        <v>100</v>
      </c>
      <c r="B980" s="329" t="s">
        <v>935</v>
      </c>
      <c r="C980" s="391">
        <v>629.1</v>
      </c>
      <c r="D980" s="391"/>
      <c r="E980" s="330">
        <v>51.9</v>
      </c>
      <c r="F980" s="330"/>
      <c r="G980" s="760">
        <f t="shared" si="105"/>
        <v>0</v>
      </c>
      <c r="H980" s="427">
        <f t="shared" si="106"/>
        <v>0</v>
      </c>
      <c r="I980" s="550">
        <f t="shared" si="103"/>
        <v>0</v>
      </c>
      <c r="J980" s="177">
        <v>0</v>
      </c>
      <c r="K980" s="427">
        <f t="shared" si="109"/>
        <v>0</v>
      </c>
      <c r="L980" s="427">
        <f t="shared" si="108"/>
        <v>0</v>
      </c>
      <c r="M980" s="680">
        <v>0</v>
      </c>
      <c r="N980" s="22">
        <f t="shared" si="107"/>
        <v>0</v>
      </c>
    </row>
    <row r="981" spans="1:14" s="6" customFormat="1" ht="15.75">
      <c r="A981" s="285">
        <v>101</v>
      </c>
      <c r="B981" s="329" t="s">
        <v>936</v>
      </c>
      <c r="C981" s="391">
        <v>373.3</v>
      </c>
      <c r="D981" s="330"/>
      <c r="E981" s="391"/>
      <c r="F981" s="330"/>
      <c r="G981" s="760">
        <f t="shared" si="105"/>
        <v>0</v>
      </c>
      <c r="H981" s="427">
        <f t="shared" si="106"/>
        <v>0</v>
      </c>
      <c r="I981" s="550">
        <f t="shared" si="103"/>
        <v>0</v>
      </c>
      <c r="J981" s="177">
        <v>0</v>
      </c>
      <c r="K981" s="427">
        <f t="shared" si="109"/>
        <v>0</v>
      </c>
      <c r="L981" s="427">
        <f t="shared" si="108"/>
        <v>0</v>
      </c>
      <c r="M981" s="680">
        <v>0</v>
      </c>
      <c r="N981" s="22">
        <f t="shared" si="107"/>
        <v>0</v>
      </c>
    </row>
    <row r="982" spans="1:14" s="6" customFormat="1" ht="15.75">
      <c r="A982" s="285">
        <v>102</v>
      </c>
      <c r="B982" s="329" t="s">
        <v>937</v>
      </c>
      <c r="C982" s="391">
        <v>395.4</v>
      </c>
      <c r="D982" s="330"/>
      <c r="E982" s="391"/>
      <c r="F982" s="330"/>
      <c r="G982" s="760">
        <f t="shared" si="105"/>
        <v>0</v>
      </c>
      <c r="H982" s="427">
        <f t="shared" si="106"/>
        <v>0</v>
      </c>
      <c r="I982" s="550">
        <f t="shared" si="103"/>
        <v>0</v>
      </c>
      <c r="J982" s="177">
        <v>0</v>
      </c>
      <c r="K982" s="427">
        <f t="shared" si="109"/>
        <v>0</v>
      </c>
      <c r="L982" s="427">
        <f t="shared" si="108"/>
        <v>0</v>
      </c>
      <c r="M982" s="680">
        <v>0</v>
      </c>
      <c r="N982" s="22">
        <f t="shared" si="107"/>
        <v>0</v>
      </c>
    </row>
    <row r="983" spans="1:14" s="6" customFormat="1" ht="15.75">
      <c r="A983" s="285">
        <v>103</v>
      </c>
      <c r="B983" s="329" t="s">
        <v>938</v>
      </c>
      <c r="C983" s="391">
        <v>359.5</v>
      </c>
      <c r="D983" s="330"/>
      <c r="E983" s="391"/>
      <c r="F983" s="330"/>
      <c r="G983" s="760">
        <f t="shared" si="105"/>
        <v>0</v>
      </c>
      <c r="H983" s="427">
        <f t="shared" si="106"/>
        <v>0</v>
      </c>
      <c r="I983" s="550">
        <f t="shared" si="103"/>
        <v>0</v>
      </c>
      <c r="J983" s="177">
        <v>0</v>
      </c>
      <c r="K983" s="427">
        <f t="shared" si="109"/>
        <v>0</v>
      </c>
      <c r="L983" s="427">
        <f t="shared" si="108"/>
        <v>0</v>
      </c>
      <c r="M983" s="680">
        <v>0</v>
      </c>
      <c r="N983" s="22">
        <f t="shared" si="107"/>
        <v>0</v>
      </c>
    </row>
    <row r="984" spans="1:14" s="6" customFormat="1" ht="15.75">
      <c r="A984" s="285">
        <v>104</v>
      </c>
      <c r="B984" s="329" t="s">
        <v>939</v>
      </c>
      <c r="C984" s="391">
        <v>477</v>
      </c>
      <c r="D984" s="391"/>
      <c r="E984" s="330">
        <v>104.7</v>
      </c>
      <c r="F984" s="330"/>
      <c r="G984" s="760">
        <f t="shared" si="105"/>
        <v>0</v>
      </c>
      <c r="H984" s="427">
        <f t="shared" si="106"/>
        <v>0</v>
      </c>
      <c r="I984" s="550">
        <f t="shared" si="103"/>
        <v>0</v>
      </c>
      <c r="J984" s="177">
        <v>0</v>
      </c>
      <c r="K984" s="427">
        <f t="shared" si="109"/>
        <v>0</v>
      </c>
      <c r="L984" s="427">
        <f t="shared" si="108"/>
        <v>0</v>
      </c>
      <c r="M984" s="680">
        <v>0</v>
      </c>
      <c r="N984" s="22">
        <f t="shared" si="107"/>
        <v>0</v>
      </c>
    </row>
    <row r="985" spans="1:14" s="6" customFormat="1" ht="15.75">
      <c r="A985" s="285">
        <v>105</v>
      </c>
      <c r="B985" s="329" t="s">
        <v>940</v>
      </c>
      <c r="C985" s="391">
        <v>397</v>
      </c>
      <c r="D985" s="330"/>
      <c r="E985" s="391"/>
      <c r="F985" s="330"/>
      <c r="G985" s="760">
        <f t="shared" si="105"/>
        <v>0</v>
      </c>
      <c r="H985" s="427">
        <f t="shared" si="106"/>
        <v>0</v>
      </c>
      <c r="I985" s="550">
        <f t="shared" si="103"/>
        <v>0</v>
      </c>
      <c r="J985" s="177">
        <v>0</v>
      </c>
      <c r="K985" s="427">
        <f t="shared" si="109"/>
        <v>0</v>
      </c>
      <c r="L985" s="427">
        <f t="shared" si="108"/>
        <v>0</v>
      </c>
      <c r="M985" s="680">
        <v>0</v>
      </c>
      <c r="N985" s="22">
        <f t="shared" si="107"/>
        <v>0</v>
      </c>
    </row>
    <row r="986" spans="1:14" s="6" customFormat="1" ht="15.75">
      <c r="A986" s="285">
        <v>106</v>
      </c>
      <c r="B986" s="329" t="s">
        <v>941</v>
      </c>
      <c r="C986" s="391">
        <v>271.5</v>
      </c>
      <c r="D986" s="330"/>
      <c r="E986" s="391"/>
      <c r="F986" s="330"/>
      <c r="G986" s="760">
        <f t="shared" si="105"/>
        <v>0</v>
      </c>
      <c r="H986" s="427">
        <f t="shared" si="106"/>
        <v>0</v>
      </c>
      <c r="I986" s="550">
        <f t="shared" ref="I986:I1046" si="110">H986*0.3677</f>
        <v>0</v>
      </c>
      <c r="J986" s="177">
        <v>0</v>
      </c>
      <c r="K986" s="427">
        <f t="shared" si="109"/>
        <v>0</v>
      </c>
      <c r="L986" s="427">
        <f t="shared" si="108"/>
        <v>0</v>
      </c>
      <c r="M986" s="680">
        <v>0</v>
      </c>
      <c r="N986" s="22">
        <f t="shared" si="107"/>
        <v>0</v>
      </c>
    </row>
    <row r="987" spans="1:14" s="6" customFormat="1" ht="15.75">
      <c r="A987" s="285">
        <v>107</v>
      </c>
      <c r="B987" s="329" t="s">
        <v>942</v>
      </c>
      <c r="C987" s="391">
        <v>258.60000000000002</v>
      </c>
      <c r="D987" s="330"/>
      <c r="E987" s="391"/>
      <c r="F987" s="330"/>
      <c r="G987" s="760">
        <f t="shared" si="105"/>
        <v>0</v>
      </c>
      <c r="H987" s="427">
        <f t="shared" si="106"/>
        <v>0</v>
      </c>
      <c r="I987" s="550">
        <f t="shared" si="110"/>
        <v>0</v>
      </c>
      <c r="J987" s="177">
        <v>0</v>
      </c>
      <c r="K987" s="427">
        <f t="shared" si="109"/>
        <v>0</v>
      </c>
      <c r="L987" s="427">
        <f t="shared" si="108"/>
        <v>0</v>
      </c>
      <c r="M987" s="680">
        <v>0</v>
      </c>
      <c r="N987" s="22">
        <f t="shared" si="107"/>
        <v>0</v>
      </c>
    </row>
    <row r="988" spans="1:14" s="6" customFormat="1" ht="15.75">
      <c r="A988" s="285">
        <v>108</v>
      </c>
      <c r="B988" s="329" t="s">
        <v>943</v>
      </c>
      <c r="C988" s="391">
        <v>737.4</v>
      </c>
      <c r="D988" s="330"/>
      <c r="E988" s="391"/>
      <c r="F988" s="330"/>
      <c r="G988" s="760">
        <f t="shared" si="105"/>
        <v>0</v>
      </c>
      <c r="H988" s="427">
        <f t="shared" si="106"/>
        <v>0</v>
      </c>
      <c r="I988" s="550">
        <f t="shared" si="110"/>
        <v>0</v>
      </c>
      <c r="J988" s="177">
        <v>0</v>
      </c>
      <c r="K988" s="427">
        <f t="shared" si="109"/>
        <v>0</v>
      </c>
      <c r="L988" s="427">
        <f t="shared" si="108"/>
        <v>0</v>
      </c>
      <c r="M988" s="680">
        <v>0</v>
      </c>
      <c r="N988" s="22">
        <f t="shared" si="107"/>
        <v>0</v>
      </c>
    </row>
    <row r="989" spans="1:14" s="6" customFormat="1" ht="15.75">
      <c r="A989" s="285">
        <v>109</v>
      </c>
      <c r="B989" s="329" t="s">
        <v>944</v>
      </c>
      <c r="C989" s="391">
        <v>473.4</v>
      </c>
      <c r="D989" s="330"/>
      <c r="E989" s="391"/>
      <c r="F989" s="330"/>
      <c r="G989" s="760">
        <f t="shared" si="105"/>
        <v>0</v>
      </c>
      <c r="H989" s="427">
        <f t="shared" si="106"/>
        <v>0</v>
      </c>
      <c r="I989" s="550">
        <f t="shared" si="110"/>
        <v>0</v>
      </c>
      <c r="J989" s="177">
        <v>0</v>
      </c>
      <c r="K989" s="427">
        <f t="shared" si="109"/>
        <v>0</v>
      </c>
      <c r="L989" s="427">
        <f t="shared" si="108"/>
        <v>0</v>
      </c>
      <c r="M989" s="680">
        <v>0</v>
      </c>
      <c r="N989" s="22">
        <f t="shared" si="107"/>
        <v>0</v>
      </c>
    </row>
    <row r="990" spans="1:14" s="6" customFormat="1" ht="15.75">
      <c r="A990" s="285">
        <v>110</v>
      </c>
      <c r="B990" s="329" t="s">
        <v>945</v>
      </c>
      <c r="C990" s="391">
        <v>320.60000000000002</v>
      </c>
      <c r="D990" s="330"/>
      <c r="E990" s="391"/>
      <c r="F990" s="330"/>
      <c r="G990" s="760">
        <f t="shared" si="105"/>
        <v>0</v>
      </c>
      <c r="H990" s="427">
        <f t="shared" si="106"/>
        <v>0</v>
      </c>
      <c r="I990" s="550">
        <f t="shared" si="110"/>
        <v>0</v>
      </c>
      <c r="J990" s="177">
        <v>0</v>
      </c>
      <c r="K990" s="427">
        <f t="shared" si="109"/>
        <v>0</v>
      </c>
      <c r="L990" s="427">
        <f t="shared" si="108"/>
        <v>0</v>
      </c>
      <c r="M990" s="680">
        <v>0</v>
      </c>
      <c r="N990" s="22">
        <f t="shared" si="107"/>
        <v>0</v>
      </c>
    </row>
    <row r="991" spans="1:14" s="6" customFormat="1" ht="15.75">
      <c r="A991" s="285">
        <v>111</v>
      </c>
      <c r="B991" s="329" t="s">
        <v>946</v>
      </c>
      <c r="C991" s="391">
        <v>963.8</v>
      </c>
      <c r="D991" s="330"/>
      <c r="E991" s="391"/>
      <c r="F991" s="330"/>
      <c r="G991" s="760">
        <f t="shared" si="105"/>
        <v>0</v>
      </c>
      <c r="H991" s="427">
        <f t="shared" si="106"/>
        <v>0</v>
      </c>
      <c r="I991" s="550">
        <f t="shared" si="110"/>
        <v>0</v>
      </c>
      <c r="J991" s="177">
        <v>0</v>
      </c>
      <c r="K991" s="427">
        <f t="shared" si="109"/>
        <v>0</v>
      </c>
      <c r="L991" s="427">
        <f t="shared" si="108"/>
        <v>0</v>
      </c>
      <c r="M991" s="680">
        <v>0</v>
      </c>
      <c r="N991" s="22">
        <f t="shared" si="107"/>
        <v>0</v>
      </c>
    </row>
    <row r="992" spans="1:14" s="6" customFormat="1" ht="15.75">
      <c r="A992" s="285">
        <v>112</v>
      </c>
      <c r="B992" s="329" t="s">
        <v>947</v>
      </c>
      <c r="C992" s="391">
        <v>143.69999999999999</v>
      </c>
      <c r="D992" s="330"/>
      <c r="E992" s="391"/>
      <c r="F992" s="330"/>
      <c r="G992" s="760">
        <f t="shared" si="105"/>
        <v>0</v>
      </c>
      <c r="H992" s="427">
        <f t="shared" si="106"/>
        <v>0</v>
      </c>
      <c r="I992" s="550">
        <f t="shared" si="110"/>
        <v>0</v>
      </c>
      <c r="J992" s="177">
        <v>0</v>
      </c>
      <c r="K992" s="427">
        <f t="shared" si="109"/>
        <v>0</v>
      </c>
      <c r="L992" s="427">
        <f t="shared" si="108"/>
        <v>0</v>
      </c>
      <c r="M992" s="680">
        <v>0</v>
      </c>
      <c r="N992" s="22">
        <f t="shared" si="107"/>
        <v>0</v>
      </c>
    </row>
    <row r="993" spans="1:14" s="6" customFormat="1" ht="15.75">
      <c r="A993" s="285">
        <v>113</v>
      </c>
      <c r="B993" s="329" t="s">
        <v>948</v>
      </c>
      <c r="C993" s="391">
        <v>136.80000000000001</v>
      </c>
      <c r="D993" s="330"/>
      <c r="E993" s="391"/>
      <c r="F993" s="330"/>
      <c r="G993" s="760">
        <f t="shared" si="105"/>
        <v>0</v>
      </c>
      <c r="H993" s="427">
        <f t="shared" si="106"/>
        <v>0</v>
      </c>
      <c r="I993" s="550">
        <f t="shared" si="110"/>
        <v>0</v>
      </c>
      <c r="J993" s="177">
        <v>0</v>
      </c>
      <c r="K993" s="427">
        <f t="shared" si="109"/>
        <v>0</v>
      </c>
      <c r="L993" s="427">
        <f t="shared" si="108"/>
        <v>0</v>
      </c>
      <c r="M993" s="680">
        <v>0</v>
      </c>
      <c r="N993" s="22">
        <f t="shared" si="107"/>
        <v>0</v>
      </c>
    </row>
    <row r="994" spans="1:14" s="6" customFormat="1" ht="15.75">
      <c r="A994" s="285">
        <v>114</v>
      </c>
      <c r="B994" s="329" t="s">
        <v>949</v>
      </c>
      <c r="C994" s="391">
        <v>128.1</v>
      </c>
      <c r="D994" s="330"/>
      <c r="E994" s="391"/>
      <c r="F994" s="330"/>
      <c r="G994" s="760">
        <f t="shared" si="105"/>
        <v>0</v>
      </c>
      <c r="H994" s="427">
        <f t="shared" si="106"/>
        <v>0</v>
      </c>
      <c r="I994" s="550">
        <f t="shared" si="110"/>
        <v>0</v>
      </c>
      <c r="J994" s="177">
        <v>0</v>
      </c>
      <c r="K994" s="427">
        <f t="shared" si="109"/>
        <v>0</v>
      </c>
      <c r="L994" s="427">
        <f t="shared" si="108"/>
        <v>0</v>
      </c>
      <c r="M994" s="680">
        <v>0</v>
      </c>
      <c r="N994" s="22">
        <f t="shared" si="107"/>
        <v>0</v>
      </c>
    </row>
    <row r="995" spans="1:14" s="6" customFormat="1" ht="15.75">
      <c r="A995" s="285">
        <v>115</v>
      </c>
      <c r="B995" s="329" t="s">
        <v>950</v>
      </c>
      <c r="C995" s="391">
        <v>72.5</v>
      </c>
      <c r="D995" s="330"/>
      <c r="E995" s="391"/>
      <c r="F995" s="330"/>
      <c r="G995" s="760">
        <f t="shared" si="105"/>
        <v>0</v>
      </c>
      <c r="H995" s="427">
        <f t="shared" si="106"/>
        <v>0</v>
      </c>
      <c r="I995" s="550">
        <f t="shared" si="110"/>
        <v>0</v>
      </c>
      <c r="J995" s="177">
        <v>0</v>
      </c>
      <c r="K995" s="427">
        <f t="shared" si="109"/>
        <v>0</v>
      </c>
      <c r="L995" s="427">
        <f t="shared" si="108"/>
        <v>0</v>
      </c>
      <c r="M995" s="680">
        <v>0</v>
      </c>
      <c r="N995" s="22">
        <f t="shared" si="107"/>
        <v>0</v>
      </c>
    </row>
    <row r="996" spans="1:14" s="6" customFormat="1" ht="15.75">
      <c r="A996" s="285">
        <v>116</v>
      </c>
      <c r="B996" s="329" t="s">
        <v>951</v>
      </c>
      <c r="C996" s="391">
        <v>237.6</v>
      </c>
      <c r="D996" s="330"/>
      <c r="E996" s="391"/>
      <c r="F996" s="330"/>
      <c r="G996" s="760">
        <f t="shared" si="105"/>
        <v>0</v>
      </c>
      <c r="H996" s="427">
        <f t="shared" si="106"/>
        <v>0</v>
      </c>
      <c r="I996" s="550">
        <f t="shared" si="110"/>
        <v>0</v>
      </c>
      <c r="J996" s="177">
        <v>0</v>
      </c>
      <c r="K996" s="427">
        <f t="shared" si="109"/>
        <v>0</v>
      </c>
      <c r="L996" s="427">
        <f t="shared" si="108"/>
        <v>0</v>
      </c>
      <c r="M996" s="680">
        <v>0</v>
      </c>
      <c r="N996" s="22">
        <f t="shared" si="107"/>
        <v>0</v>
      </c>
    </row>
    <row r="997" spans="1:14" s="6" customFormat="1" ht="15.75">
      <c r="A997" s="285">
        <v>117</v>
      </c>
      <c r="B997" s="329" t="s">
        <v>952</v>
      </c>
      <c r="C997" s="391">
        <v>106.4</v>
      </c>
      <c r="D997" s="330"/>
      <c r="E997" s="391"/>
      <c r="F997" s="330"/>
      <c r="G997" s="760">
        <f t="shared" si="105"/>
        <v>0</v>
      </c>
      <c r="H997" s="427">
        <f t="shared" si="106"/>
        <v>0</v>
      </c>
      <c r="I997" s="550">
        <f t="shared" si="110"/>
        <v>0</v>
      </c>
      <c r="J997" s="177">
        <v>0</v>
      </c>
      <c r="K997" s="427">
        <f t="shared" si="109"/>
        <v>0</v>
      </c>
      <c r="L997" s="427">
        <f t="shared" si="108"/>
        <v>0</v>
      </c>
      <c r="M997" s="680">
        <v>0</v>
      </c>
      <c r="N997" s="22">
        <f t="shared" si="107"/>
        <v>0</v>
      </c>
    </row>
    <row r="998" spans="1:14" s="6" customFormat="1" ht="15.75">
      <c r="A998" s="285">
        <v>118</v>
      </c>
      <c r="B998" s="329" t="s">
        <v>953</v>
      </c>
      <c r="C998" s="391">
        <v>348.62</v>
      </c>
      <c r="D998" s="330"/>
      <c r="E998" s="391"/>
      <c r="F998" s="330"/>
      <c r="G998" s="760">
        <f t="shared" si="105"/>
        <v>0</v>
      </c>
      <c r="H998" s="427">
        <f t="shared" si="106"/>
        <v>0</v>
      </c>
      <c r="I998" s="550">
        <f t="shared" si="110"/>
        <v>0</v>
      </c>
      <c r="J998" s="177">
        <v>0</v>
      </c>
      <c r="K998" s="427">
        <f t="shared" si="109"/>
        <v>0</v>
      </c>
      <c r="L998" s="427">
        <f t="shared" si="108"/>
        <v>0</v>
      </c>
      <c r="M998" s="680">
        <v>0</v>
      </c>
      <c r="N998" s="22">
        <f t="shared" si="107"/>
        <v>0</v>
      </c>
    </row>
    <row r="999" spans="1:14" s="6" customFormat="1" ht="15.75">
      <c r="A999" s="285">
        <v>119</v>
      </c>
      <c r="B999" s="329" t="s">
        <v>954</v>
      </c>
      <c r="C999" s="391">
        <v>360.12</v>
      </c>
      <c r="D999" s="330"/>
      <c r="E999" s="391"/>
      <c r="F999" s="330"/>
      <c r="G999" s="760">
        <f t="shared" si="105"/>
        <v>0</v>
      </c>
      <c r="H999" s="427">
        <f t="shared" si="106"/>
        <v>0</v>
      </c>
      <c r="I999" s="550">
        <f t="shared" si="110"/>
        <v>0</v>
      </c>
      <c r="J999" s="177">
        <v>0</v>
      </c>
      <c r="K999" s="427">
        <f t="shared" si="109"/>
        <v>0</v>
      </c>
      <c r="L999" s="427">
        <f t="shared" si="108"/>
        <v>0</v>
      </c>
      <c r="M999" s="680">
        <v>0</v>
      </c>
      <c r="N999" s="22">
        <f t="shared" si="107"/>
        <v>0</v>
      </c>
    </row>
    <row r="1000" spans="1:14" s="6" customFormat="1" ht="15.75">
      <c r="A1000" s="285">
        <v>120</v>
      </c>
      <c r="B1000" s="329" t="s">
        <v>955</v>
      </c>
      <c r="C1000" s="391">
        <v>301.69</v>
      </c>
      <c r="D1000" s="330"/>
      <c r="E1000" s="391"/>
      <c r="F1000" s="330"/>
      <c r="G1000" s="760">
        <f t="shared" si="105"/>
        <v>0</v>
      </c>
      <c r="H1000" s="427">
        <f t="shared" si="106"/>
        <v>0</v>
      </c>
      <c r="I1000" s="550">
        <f t="shared" si="110"/>
        <v>0</v>
      </c>
      <c r="J1000" s="177">
        <v>0</v>
      </c>
      <c r="K1000" s="427">
        <f t="shared" si="109"/>
        <v>0</v>
      </c>
      <c r="L1000" s="427">
        <f t="shared" si="108"/>
        <v>0</v>
      </c>
      <c r="M1000" s="680">
        <v>0</v>
      </c>
      <c r="N1000" s="22">
        <f t="shared" si="107"/>
        <v>0</v>
      </c>
    </row>
    <row r="1001" spans="1:14" s="6" customFormat="1" ht="15.75">
      <c r="A1001" s="285">
        <v>121</v>
      </c>
      <c r="B1001" s="329" t="s">
        <v>956</v>
      </c>
      <c r="C1001" s="391">
        <v>136.1</v>
      </c>
      <c r="D1001" s="330"/>
      <c r="E1001" s="391"/>
      <c r="F1001" s="330"/>
      <c r="G1001" s="760">
        <f t="shared" si="105"/>
        <v>0</v>
      </c>
      <c r="H1001" s="427">
        <f t="shared" si="106"/>
        <v>0</v>
      </c>
      <c r="I1001" s="550">
        <f t="shared" si="110"/>
        <v>0</v>
      </c>
      <c r="J1001" s="177">
        <v>0</v>
      </c>
      <c r="K1001" s="427">
        <f t="shared" si="109"/>
        <v>0</v>
      </c>
      <c r="L1001" s="427">
        <f t="shared" si="108"/>
        <v>0</v>
      </c>
      <c r="M1001" s="680">
        <v>0</v>
      </c>
      <c r="N1001" s="22">
        <f t="shared" si="107"/>
        <v>0</v>
      </c>
    </row>
    <row r="1002" spans="1:14" s="6" customFormat="1" ht="15.75">
      <c r="A1002" s="285">
        <v>122</v>
      </c>
      <c r="B1002" s="329" t="s">
        <v>957</v>
      </c>
      <c r="C1002" s="391">
        <v>113.9</v>
      </c>
      <c r="D1002" s="330"/>
      <c r="E1002" s="391"/>
      <c r="F1002" s="330"/>
      <c r="G1002" s="760">
        <f t="shared" si="105"/>
        <v>0</v>
      </c>
      <c r="H1002" s="427">
        <f t="shared" si="106"/>
        <v>0</v>
      </c>
      <c r="I1002" s="550">
        <f t="shared" si="110"/>
        <v>0</v>
      </c>
      <c r="J1002" s="177">
        <v>0</v>
      </c>
      <c r="K1002" s="427">
        <f t="shared" si="109"/>
        <v>0</v>
      </c>
      <c r="L1002" s="427">
        <f t="shared" si="108"/>
        <v>0</v>
      </c>
      <c r="M1002" s="680">
        <v>0</v>
      </c>
      <c r="N1002" s="22">
        <f t="shared" si="107"/>
        <v>0</v>
      </c>
    </row>
    <row r="1003" spans="1:14" s="6" customFormat="1" ht="15.75">
      <c r="A1003" s="285">
        <v>123</v>
      </c>
      <c r="B1003" s="329" t="s">
        <v>958</v>
      </c>
      <c r="C1003" s="391">
        <v>566.45000000000005</v>
      </c>
      <c r="D1003" s="330"/>
      <c r="E1003" s="391"/>
      <c r="F1003" s="330"/>
      <c r="G1003" s="760">
        <f t="shared" si="105"/>
        <v>0</v>
      </c>
      <c r="H1003" s="427">
        <f t="shared" si="106"/>
        <v>0</v>
      </c>
      <c r="I1003" s="550">
        <f t="shared" si="110"/>
        <v>0</v>
      </c>
      <c r="J1003" s="177">
        <v>0</v>
      </c>
      <c r="K1003" s="427">
        <f t="shared" si="109"/>
        <v>0</v>
      </c>
      <c r="L1003" s="427">
        <f t="shared" si="108"/>
        <v>0</v>
      </c>
      <c r="M1003" s="680">
        <v>0</v>
      </c>
      <c r="N1003" s="22">
        <f t="shared" si="107"/>
        <v>0</v>
      </c>
    </row>
    <row r="1004" spans="1:14" s="6" customFormat="1" ht="15.75">
      <c r="A1004" s="285">
        <v>124</v>
      </c>
      <c r="B1004" s="329" t="s">
        <v>959</v>
      </c>
      <c r="C1004" s="391">
        <v>760.45</v>
      </c>
      <c r="D1004" s="330"/>
      <c r="E1004" s="391"/>
      <c r="F1004" s="330">
        <f>C1004+D1004+E1004</f>
        <v>760.45</v>
      </c>
      <c r="G1004" s="760">
        <f t="shared" si="105"/>
        <v>6.9109335658395134E-3</v>
      </c>
      <c r="H1004" s="427">
        <f t="shared" si="106"/>
        <v>15.681806682253416</v>
      </c>
      <c r="I1004" s="550">
        <f t="shared" si="110"/>
        <v>5.7662003170645812</v>
      </c>
      <c r="J1004" s="177">
        <v>6.1168524896677896</v>
      </c>
      <c r="K1004" s="427">
        <f t="shared" si="109"/>
        <v>5.5394587996986617</v>
      </c>
      <c r="L1004" s="427">
        <f t="shared" si="108"/>
        <v>6.7526002768326689</v>
      </c>
      <c r="M1004" s="680">
        <f>(K1004+J1004+I1004+H1004)/F1004</f>
        <v>4.3532537693056018E-2</v>
      </c>
      <c r="N1004" s="22">
        <f t="shared" si="107"/>
        <v>6.0934046796685282</v>
      </c>
    </row>
    <row r="1005" spans="1:14" s="6" customFormat="1" ht="15.75">
      <c r="A1005" s="285">
        <v>125</v>
      </c>
      <c r="B1005" s="329" t="s">
        <v>960</v>
      </c>
      <c r="C1005" s="391">
        <v>275.3</v>
      </c>
      <c r="D1005" s="330"/>
      <c r="E1005" s="391"/>
      <c r="F1005" s="330"/>
      <c r="G1005" s="760">
        <f t="shared" si="105"/>
        <v>0</v>
      </c>
      <c r="H1005" s="427">
        <f t="shared" si="106"/>
        <v>0</v>
      </c>
      <c r="I1005" s="550">
        <f t="shared" si="110"/>
        <v>0</v>
      </c>
      <c r="J1005" s="177">
        <v>0</v>
      </c>
      <c r="K1005" s="427">
        <f t="shared" si="109"/>
        <v>0</v>
      </c>
      <c r="L1005" s="427">
        <f t="shared" si="108"/>
        <v>0</v>
      </c>
      <c r="M1005" s="680">
        <v>0</v>
      </c>
      <c r="N1005" s="22">
        <f t="shared" si="107"/>
        <v>0</v>
      </c>
    </row>
    <row r="1006" spans="1:14" s="6" customFormat="1" ht="15.75">
      <c r="A1006" s="285">
        <v>126</v>
      </c>
      <c r="B1006" s="329" t="s">
        <v>961</v>
      </c>
      <c r="C1006" s="391">
        <v>384.4</v>
      </c>
      <c r="D1006" s="330"/>
      <c r="E1006" s="391"/>
      <c r="F1006" s="330"/>
      <c r="G1006" s="760">
        <f t="shared" si="105"/>
        <v>0</v>
      </c>
      <c r="H1006" s="427">
        <f t="shared" si="106"/>
        <v>0</v>
      </c>
      <c r="I1006" s="550">
        <f t="shared" si="110"/>
        <v>0</v>
      </c>
      <c r="J1006" s="177">
        <v>0</v>
      </c>
      <c r="K1006" s="427">
        <f t="shared" si="109"/>
        <v>0</v>
      </c>
      <c r="L1006" s="427">
        <f t="shared" si="108"/>
        <v>0</v>
      </c>
      <c r="M1006" s="680">
        <v>0</v>
      </c>
      <c r="N1006" s="22">
        <f t="shared" si="107"/>
        <v>0</v>
      </c>
    </row>
    <row r="1007" spans="1:14" s="6" customFormat="1" ht="15.75">
      <c r="A1007" s="285">
        <v>127</v>
      </c>
      <c r="B1007" s="329" t="s">
        <v>962</v>
      </c>
      <c r="C1007" s="391">
        <v>207.2</v>
      </c>
      <c r="D1007" s="330"/>
      <c r="E1007" s="391"/>
      <c r="F1007" s="330"/>
      <c r="G1007" s="760">
        <f t="shared" si="105"/>
        <v>0</v>
      </c>
      <c r="H1007" s="427">
        <f t="shared" si="106"/>
        <v>0</v>
      </c>
      <c r="I1007" s="550">
        <f t="shared" si="110"/>
        <v>0</v>
      </c>
      <c r="J1007" s="177">
        <v>0</v>
      </c>
      <c r="K1007" s="427">
        <f t="shared" si="109"/>
        <v>0</v>
      </c>
      <c r="L1007" s="427">
        <f t="shared" si="108"/>
        <v>0</v>
      </c>
      <c r="M1007" s="680">
        <v>0</v>
      </c>
      <c r="N1007" s="22">
        <f t="shared" ref="N1007:N1069" si="111">K1007*1.1</f>
        <v>0</v>
      </c>
    </row>
    <row r="1008" spans="1:14" s="6" customFormat="1" ht="15.75">
      <c r="A1008" s="285">
        <v>128</v>
      </c>
      <c r="B1008" s="329" t="s">
        <v>963</v>
      </c>
      <c r="C1008" s="391">
        <v>603.70000000000005</v>
      </c>
      <c r="D1008" s="330"/>
      <c r="E1008" s="391"/>
      <c r="F1008" s="330"/>
      <c r="G1008" s="760">
        <f t="shared" si="105"/>
        <v>0</v>
      </c>
      <c r="H1008" s="427">
        <f t="shared" si="106"/>
        <v>0</v>
      </c>
      <c r="I1008" s="550">
        <f t="shared" si="110"/>
        <v>0</v>
      </c>
      <c r="J1008" s="177">
        <v>0</v>
      </c>
      <c r="K1008" s="427">
        <f t="shared" si="109"/>
        <v>0</v>
      </c>
      <c r="L1008" s="427">
        <f t="shared" si="108"/>
        <v>0</v>
      </c>
      <c r="M1008" s="680">
        <v>0</v>
      </c>
      <c r="N1008" s="22">
        <f t="shared" si="111"/>
        <v>0</v>
      </c>
    </row>
    <row r="1009" spans="1:14" s="6" customFormat="1" ht="15.75">
      <c r="A1009" s="285">
        <v>129</v>
      </c>
      <c r="B1009" s="329" t="s">
        <v>964</v>
      </c>
      <c r="C1009" s="391">
        <v>477.8</v>
      </c>
      <c r="D1009" s="330"/>
      <c r="E1009" s="391"/>
      <c r="F1009" s="330"/>
      <c r="G1009" s="760">
        <f t="shared" ref="G1009:G1072" si="112">2/220071.57*F1009</f>
        <v>0</v>
      </c>
      <c r="H1009" s="427">
        <f t="shared" ref="H1009:H1072" si="113">G1009*2269.13</f>
        <v>0</v>
      </c>
      <c r="I1009" s="550">
        <f t="shared" si="110"/>
        <v>0</v>
      </c>
      <c r="J1009" s="177">
        <v>0</v>
      </c>
      <c r="K1009" s="427">
        <f t="shared" si="109"/>
        <v>0</v>
      </c>
      <c r="L1009" s="427">
        <f t="shared" si="108"/>
        <v>0</v>
      </c>
      <c r="M1009" s="680">
        <v>0</v>
      </c>
      <c r="N1009" s="22">
        <f t="shared" si="111"/>
        <v>0</v>
      </c>
    </row>
    <row r="1010" spans="1:14" s="6" customFormat="1" ht="15.75">
      <c r="A1010" s="285">
        <v>130</v>
      </c>
      <c r="B1010" s="329" t="s">
        <v>965</v>
      </c>
      <c r="C1010" s="391">
        <v>481.5</v>
      </c>
      <c r="D1010" s="330"/>
      <c r="E1010" s="391"/>
      <c r="F1010" s="330"/>
      <c r="G1010" s="760">
        <f t="shared" si="112"/>
        <v>0</v>
      </c>
      <c r="H1010" s="427">
        <f t="shared" si="113"/>
        <v>0</v>
      </c>
      <c r="I1010" s="550">
        <f t="shared" si="110"/>
        <v>0</v>
      </c>
      <c r="J1010" s="177">
        <v>0</v>
      </c>
      <c r="K1010" s="427">
        <f t="shared" si="109"/>
        <v>0</v>
      </c>
      <c r="L1010" s="427">
        <f t="shared" ref="L1010:L1073" si="114">K1010*1.219</f>
        <v>0</v>
      </c>
      <c r="M1010" s="680">
        <v>0</v>
      </c>
      <c r="N1010" s="22">
        <f t="shared" si="111"/>
        <v>0</v>
      </c>
    </row>
    <row r="1011" spans="1:14" s="6" customFormat="1" ht="15.75">
      <c r="A1011" s="285">
        <v>131</v>
      </c>
      <c r="B1011" s="329" t="s">
        <v>966</v>
      </c>
      <c r="C1011" s="391">
        <v>539.4</v>
      </c>
      <c r="D1011" s="330"/>
      <c r="E1011" s="391"/>
      <c r="F1011" s="330"/>
      <c r="G1011" s="760">
        <f t="shared" si="112"/>
        <v>0</v>
      </c>
      <c r="H1011" s="427">
        <f t="shared" si="113"/>
        <v>0</v>
      </c>
      <c r="I1011" s="550">
        <f t="shared" si="110"/>
        <v>0</v>
      </c>
      <c r="J1011" s="177">
        <v>0</v>
      </c>
      <c r="K1011" s="427">
        <f t="shared" si="109"/>
        <v>0</v>
      </c>
      <c r="L1011" s="427">
        <f t="shared" si="114"/>
        <v>0</v>
      </c>
      <c r="M1011" s="680">
        <v>0</v>
      </c>
      <c r="N1011" s="22">
        <f t="shared" si="111"/>
        <v>0</v>
      </c>
    </row>
    <row r="1012" spans="1:14" s="6" customFormat="1" ht="15.75">
      <c r="A1012" s="285">
        <v>132</v>
      </c>
      <c r="B1012" s="329" t="s">
        <v>967</v>
      </c>
      <c r="C1012" s="391">
        <v>120.6</v>
      </c>
      <c r="D1012" s="330"/>
      <c r="E1012" s="391"/>
      <c r="F1012" s="330"/>
      <c r="G1012" s="760">
        <f t="shared" si="112"/>
        <v>0</v>
      </c>
      <c r="H1012" s="427">
        <f t="shared" si="113"/>
        <v>0</v>
      </c>
      <c r="I1012" s="550">
        <f t="shared" si="110"/>
        <v>0</v>
      </c>
      <c r="J1012" s="177">
        <v>0</v>
      </c>
      <c r="K1012" s="427">
        <f t="shared" si="109"/>
        <v>0</v>
      </c>
      <c r="L1012" s="427">
        <f t="shared" si="114"/>
        <v>0</v>
      </c>
      <c r="M1012" s="680">
        <v>0</v>
      </c>
      <c r="N1012" s="22">
        <f t="shared" si="111"/>
        <v>0</v>
      </c>
    </row>
    <row r="1013" spans="1:14" s="6" customFormat="1" ht="15.75">
      <c r="A1013" s="285">
        <v>133</v>
      </c>
      <c r="B1013" s="329" t="s">
        <v>968</v>
      </c>
      <c r="C1013" s="391">
        <v>98.1</v>
      </c>
      <c r="D1013" s="330"/>
      <c r="E1013" s="391"/>
      <c r="F1013" s="330"/>
      <c r="G1013" s="760">
        <f t="shared" si="112"/>
        <v>0</v>
      </c>
      <c r="H1013" s="427">
        <f t="shared" si="113"/>
        <v>0</v>
      </c>
      <c r="I1013" s="550">
        <f t="shared" si="110"/>
        <v>0</v>
      </c>
      <c r="J1013" s="177">
        <v>0</v>
      </c>
      <c r="K1013" s="427">
        <f t="shared" si="109"/>
        <v>0</v>
      </c>
      <c r="L1013" s="427">
        <f t="shared" si="114"/>
        <v>0</v>
      </c>
      <c r="M1013" s="680">
        <v>0</v>
      </c>
      <c r="N1013" s="22">
        <f t="shared" si="111"/>
        <v>0</v>
      </c>
    </row>
    <row r="1014" spans="1:14" s="6" customFormat="1" ht="15.75">
      <c r="A1014" s="285">
        <v>134</v>
      </c>
      <c r="B1014" s="329" t="s">
        <v>969</v>
      </c>
      <c r="C1014" s="391">
        <v>95.2</v>
      </c>
      <c r="D1014" s="330"/>
      <c r="E1014" s="391"/>
      <c r="F1014" s="330"/>
      <c r="G1014" s="760">
        <f t="shared" si="112"/>
        <v>0</v>
      </c>
      <c r="H1014" s="427">
        <f t="shared" si="113"/>
        <v>0</v>
      </c>
      <c r="I1014" s="550">
        <f t="shared" si="110"/>
        <v>0</v>
      </c>
      <c r="J1014" s="177">
        <v>0</v>
      </c>
      <c r="K1014" s="427">
        <f t="shared" si="109"/>
        <v>0</v>
      </c>
      <c r="L1014" s="427">
        <f t="shared" si="114"/>
        <v>0</v>
      </c>
      <c r="M1014" s="680">
        <v>0</v>
      </c>
      <c r="N1014" s="22">
        <f t="shared" si="111"/>
        <v>0</v>
      </c>
    </row>
    <row r="1015" spans="1:14" s="6" customFormat="1" ht="15.75">
      <c r="A1015" s="285">
        <v>135</v>
      </c>
      <c r="B1015" s="329" t="s">
        <v>970</v>
      </c>
      <c r="C1015" s="391">
        <v>2329.16</v>
      </c>
      <c r="D1015" s="330"/>
      <c r="E1015" s="391"/>
      <c r="F1015" s="330">
        <f>C1015+D1015+E1015</f>
        <v>2329.16</v>
      </c>
      <c r="G1015" s="760">
        <f t="shared" si="112"/>
        <v>2.1167295712026774E-2</v>
      </c>
      <c r="H1015" s="427">
        <f t="shared" si="113"/>
        <v>48.031345719031314</v>
      </c>
      <c r="I1015" s="550">
        <f t="shared" si="110"/>
        <v>17.661125820887815</v>
      </c>
      <c r="J1015" s="177">
        <v>14.358519649081181</v>
      </c>
      <c r="K1015" s="427">
        <f t="shared" si="109"/>
        <v>16.966645877975058</v>
      </c>
      <c r="L1015" s="427">
        <f t="shared" si="114"/>
        <v>20.682341325251596</v>
      </c>
      <c r="M1015" s="680">
        <f>(K1015+J1015+I1015+H1015)/F1015</f>
        <v>4.1653487552154159E-2</v>
      </c>
      <c r="N1015" s="22">
        <f t="shared" si="111"/>
        <v>18.663310465772565</v>
      </c>
    </row>
    <row r="1016" spans="1:14" s="6" customFormat="1" ht="15.75">
      <c r="A1016" s="285">
        <v>136</v>
      </c>
      <c r="B1016" s="329" t="s">
        <v>971</v>
      </c>
      <c r="C1016" s="546">
        <v>188</v>
      </c>
      <c r="D1016" s="330"/>
      <c r="E1016" s="391"/>
      <c r="F1016" s="330"/>
      <c r="G1016" s="760">
        <f t="shared" si="112"/>
        <v>0</v>
      </c>
      <c r="H1016" s="427">
        <f t="shared" si="113"/>
        <v>0</v>
      </c>
      <c r="I1016" s="550">
        <f t="shared" si="110"/>
        <v>0</v>
      </c>
      <c r="J1016" s="177">
        <v>0</v>
      </c>
      <c r="K1016" s="427">
        <f t="shared" si="109"/>
        <v>0</v>
      </c>
      <c r="L1016" s="427">
        <f t="shared" si="114"/>
        <v>0</v>
      </c>
      <c r="M1016" s="680">
        <v>0</v>
      </c>
      <c r="N1016" s="22">
        <f t="shared" si="111"/>
        <v>0</v>
      </c>
    </row>
    <row r="1017" spans="1:14" s="6" customFormat="1" ht="15.75">
      <c r="A1017" s="285">
        <v>137</v>
      </c>
      <c r="B1017" s="329" t="s">
        <v>972</v>
      </c>
      <c r="C1017" s="391">
        <v>110.1</v>
      </c>
      <c r="D1017" s="330"/>
      <c r="E1017" s="391"/>
      <c r="F1017" s="330"/>
      <c r="G1017" s="760">
        <f t="shared" si="112"/>
        <v>0</v>
      </c>
      <c r="H1017" s="427">
        <f t="shared" si="113"/>
        <v>0</v>
      </c>
      <c r="I1017" s="550">
        <f t="shared" si="110"/>
        <v>0</v>
      </c>
      <c r="J1017" s="177">
        <v>0</v>
      </c>
      <c r="K1017" s="427">
        <f t="shared" si="109"/>
        <v>0</v>
      </c>
      <c r="L1017" s="427">
        <f t="shared" si="114"/>
        <v>0</v>
      </c>
      <c r="M1017" s="680">
        <v>0</v>
      </c>
      <c r="N1017" s="22">
        <f t="shared" si="111"/>
        <v>0</v>
      </c>
    </row>
    <row r="1018" spans="1:14" s="6" customFormat="1" ht="15.75">
      <c r="A1018" s="285">
        <v>138</v>
      </c>
      <c r="B1018" s="329" t="s">
        <v>973</v>
      </c>
      <c r="C1018" s="391">
        <v>215.8</v>
      </c>
      <c r="D1018" s="330"/>
      <c r="E1018" s="391"/>
      <c r="F1018" s="330"/>
      <c r="G1018" s="760">
        <f t="shared" si="112"/>
        <v>0</v>
      </c>
      <c r="H1018" s="427">
        <f t="shared" si="113"/>
        <v>0</v>
      </c>
      <c r="I1018" s="550">
        <f t="shared" si="110"/>
        <v>0</v>
      </c>
      <c r="J1018" s="177">
        <v>0</v>
      </c>
      <c r="K1018" s="427">
        <f t="shared" si="109"/>
        <v>0</v>
      </c>
      <c r="L1018" s="427">
        <f t="shared" si="114"/>
        <v>0</v>
      </c>
      <c r="M1018" s="680">
        <v>0</v>
      </c>
      <c r="N1018" s="22">
        <f t="shared" si="111"/>
        <v>0</v>
      </c>
    </row>
    <row r="1019" spans="1:14" s="6" customFormat="1" ht="15.75">
      <c r="A1019" s="285">
        <v>139</v>
      </c>
      <c r="B1019" s="329" t="s">
        <v>974</v>
      </c>
      <c r="C1019" s="391">
        <v>1481.3</v>
      </c>
      <c r="D1019" s="330"/>
      <c r="E1019" s="391"/>
      <c r="F1019" s="330">
        <f>C1019+D1019+E1019</f>
        <v>1481.3</v>
      </c>
      <c r="G1019" s="760">
        <f t="shared" si="112"/>
        <v>1.346198420813738E-2</v>
      </c>
      <c r="H1019" s="427">
        <f t="shared" si="113"/>
        <v>30.546992226210776</v>
      </c>
      <c r="I1019" s="550">
        <f t="shared" si="110"/>
        <v>11.232129041577704</v>
      </c>
      <c r="J1019" s="177">
        <v>12.312756898498124</v>
      </c>
      <c r="K1019" s="427">
        <f t="shared" si="109"/>
        <v>10.790453442032517</v>
      </c>
      <c r="L1019" s="427">
        <f t="shared" si="114"/>
        <v>13.153562745837638</v>
      </c>
      <c r="M1019" s="680">
        <f>(K1019+J1019+I1019+H1019)/F1019</f>
        <v>4.3800939450698115E-2</v>
      </c>
      <c r="N1019" s="22">
        <f t="shared" si="111"/>
        <v>11.86949878623577</v>
      </c>
    </row>
    <row r="1020" spans="1:14" s="6" customFormat="1" ht="15.75">
      <c r="A1020" s="285">
        <v>140</v>
      </c>
      <c r="B1020" s="329" t="s">
        <v>975</v>
      </c>
      <c r="C1020" s="391">
        <v>152.6</v>
      </c>
      <c r="D1020" s="330"/>
      <c r="E1020" s="391"/>
      <c r="F1020" s="330"/>
      <c r="G1020" s="760">
        <f t="shared" si="112"/>
        <v>0</v>
      </c>
      <c r="H1020" s="427">
        <f t="shared" si="113"/>
        <v>0</v>
      </c>
      <c r="I1020" s="550">
        <f t="shared" si="110"/>
        <v>0</v>
      </c>
      <c r="J1020" s="177">
        <v>0</v>
      </c>
      <c r="K1020" s="427">
        <f t="shared" ref="K1020:K1083" si="115">G1020*801.55</f>
        <v>0</v>
      </c>
      <c r="L1020" s="427">
        <f t="shared" si="114"/>
        <v>0</v>
      </c>
      <c r="M1020" s="680">
        <v>0</v>
      </c>
      <c r="N1020" s="22">
        <f t="shared" si="111"/>
        <v>0</v>
      </c>
    </row>
    <row r="1021" spans="1:14" s="6" customFormat="1" ht="15.75">
      <c r="A1021" s="285">
        <v>141</v>
      </c>
      <c r="B1021" s="329" t="s">
        <v>976</v>
      </c>
      <c r="C1021" s="391">
        <v>110.9</v>
      </c>
      <c r="D1021" s="330"/>
      <c r="E1021" s="391"/>
      <c r="F1021" s="330"/>
      <c r="G1021" s="760">
        <f t="shared" si="112"/>
        <v>0</v>
      </c>
      <c r="H1021" s="427">
        <f t="shared" si="113"/>
        <v>0</v>
      </c>
      <c r="I1021" s="550">
        <f t="shared" si="110"/>
        <v>0</v>
      </c>
      <c r="J1021" s="177">
        <v>0</v>
      </c>
      <c r="K1021" s="427">
        <f t="shared" si="115"/>
        <v>0</v>
      </c>
      <c r="L1021" s="427">
        <f t="shared" si="114"/>
        <v>0</v>
      </c>
      <c r="M1021" s="680">
        <v>0</v>
      </c>
      <c r="N1021" s="22">
        <f t="shared" si="111"/>
        <v>0</v>
      </c>
    </row>
    <row r="1022" spans="1:14" s="6" customFormat="1" ht="15.75">
      <c r="A1022" s="285">
        <v>142</v>
      </c>
      <c r="B1022" s="329" t="s">
        <v>977</v>
      </c>
      <c r="C1022" s="391">
        <v>59.5</v>
      </c>
      <c r="D1022" s="330"/>
      <c r="E1022" s="391"/>
      <c r="F1022" s="330"/>
      <c r="G1022" s="760">
        <f t="shared" si="112"/>
        <v>0</v>
      </c>
      <c r="H1022" s="427">
        <f t="shared" si="113"/>
        <v>0</v>
      </c>
      <c r="I1022" s="550">
        <f t="shared" si="110"/>
        <v>0</v>
      </c>
      <c r="J1022" s="177">
        <v>0</v>
      </c>
      <c r="K1022" s="427">
        <f t="shared" si="115"/>
        <v>0</v>
      </c>
      <c r="L1022" s="427">
        <f t="shared" si="114"/>
        <v>0</v>
      </c>
      <c r="M1022" s="680">
        <v>0</v>
      </c>
      <c r="N1022" s="22">
        <f t="shared" si="111"/>
        <v>0</v>
      </c>
    </row>
    <row r="1023" spans="1:14" s="6" customFormat="1" ht="15.75">
      <c r="A1023" s="285">
        <v>143</v>
      </c>
      <c r="B1023" s="329" t="s">
        <v>978</v>
      </c>
      <c r="C1023" s="391">
        <v>38.700000000000003</v>
      </c>
      <c r="D1023" s="330"/>
      <c r="E1023" s="391"/>
      <c r="F1023" s="330"/>
      <c r="G1023" s="760">
        <f t="shared" si="112"/>
        <v>0</v>
      </c>
      <c r="H1023" s="427">
        <f t="shared" si="113"/>
        <v>0</v>
      </c>
      <c r="I1023" s="550">
        <f t="shared" si="110"/>
        <v>0</v>
      </c>
      <c r="J1023" s="177">
        <v>0</v>
      </c>
      <c r="K1023" s="427">
        <f t="shared" si="115"/>
        <v>0</v>
      </c>
      <c r="L1023" s="427">
        <f t="shared" si="114"/>
        <v>0</v>
      </c>
      <c r="M1023" s="680">
        <v>0</v>
      </c>
      <c r="N1023" s="22">
        <f t="shared" si="111"/>
        <v>0</v>
      </c>
    </row>
    <row r="1024" spans="1:14" s="6" customFormat="1" ht="15.75">
      <c r="A1024" s="285">
        <v>144</v>
      </c>
      <c r="B1024" s="329" t="s">
        <v>979</v>
      </c>
      <c r="C1024" s="391">
        <v>72.3</v>
      </c>
      <c r="D1024" s="330"/>
      <c r="E1024" s="391"/>
      <c r="F1024" s="330"/>
      <c r="G1024" s="760">
        <f t="shared" si="112"/>
        <v>0</v>
      </c>
      <c r="H1024" s="427">
        <f t="shared" si="113"/>
        <v>0</v>
      </c>
      <c r="I1024" s="550">
        <f t="shared" si="110"/>
        <v>0</v>
      </c>
      <c r="J1024" s="177">
        <v>0</v>
      </c>
      <c r="K1024" s="427">
        <f t="shared" si="115"/>
        <v>0</v>
      </c>
      <c r="L1024" s="427">
        <f t="shared" si="114"/>
        <v>0</v>
      </c>
      <c r="M1024" s="680">
        <v>0</v>
      </c>
      <c r="N1024" s="22">
        <f t="shared" si="111"/>
        <v>0</v>
      </c>
    </row>
    <row r="1025" spans="1:14" s="6" customFormat="1" ht="15.75">
      <c r="A1025" s="285">
        <v>145</v>
      </c>
      <c r="B1025" s="329" t="s">
        <v>980</v>
      </c>
      <c r="C1025" s="391">
        <v>99.09</v>
      </c>
      <c r="D1025" s="330"/>
      <c r="E1025" s="391"/>
      <c r="F1025" s="330"/>
      <c r="G1025" s="760">
        <f t="shared" si="112"/>
        <v>0</v>
      </c>
      <c r="H1025" s="427">
        <f t="shared" si="113"/>
        <v>0</v>
      </c>
      <c r="I1025" s="550">
        <f t="shared" si="110"/>
        <v>0</v>
      </c>
      <c r="J1025" s="177">
        <v>0</v>
      </c>
      <c r="K1025" s="427">
        <f t="shared" si="115"/>
        <v>0</v>
      </c>
      <c r="L1025" s="427">
        <f t="shared" si="114"/>
        <v>0</v>
      </c>
      <c r="M1025" s="680">
        <v>0</v>
      </c>
      <c r="N1025" s="22">
        <f t="shared" si="111"/>
        <v>0</v>
      </c>
    </row>
    <row r="1026" spans="1:14" s="6" customFormat="1" ht="15.75">
      <c r="A1026" s="285">
        <v>146</v>
      </c>
      <c r="B1026" s="329" t="s">
        <v>981</v>
      </c>
      <c r="C1026" s="391">
        <v>78.7</v>
      </c>
      <c r="D1026" s="330"/>
      <c r="E1026" s="391"/>
      <c r="F1026" s="330"/>
      <c r="G1026" s="760">
        <f t="shared" si="112"/>
        <v>0</v>
      </c>
      <c r="H1026" s="427">
        <f t="shared" si="113"/>
        <v>0</v>
      </c>
      <c r="I1026" s="550">
        <f t="shared" si="110"/>
        <v>0</v>
      </c>
      <c r="J1026" s="177">
        <v>0</v>
      </c>
      <c r="K1026" s="427">
        <f t="shared" si="115"/>
        <v>0</v>
      </c>
      <c r="L1026" s="427">
        <f t="shared" si="114"/>
        <v>0</v>
      </c>
      <c r="M1026" s="680">
        <v>0</v>
      </c>
      <c r="N1026" s="22">
        <f t="shared" si="111"/>
        <v>0</v>
      </c>
    </row>
    <row r="1027" spans="1:14" s="6" customFormat="1" ht="15.75">
      <c r="A1027" s="285">
        <v>147</v>
      </c>
      <c r="B1027" s="329" t="s">
        <v>982</v>
      </c>
      <c r="C1027" s="391">
        <v>557.9</v>
      </c>
      <c r="D1027" s="330"/>
      <c r="E1027" s="391"/>
      <c r="F1027" s="330"/>
      <c r="G1027" s="760">
        <f t="shared" si="112"/>
        <v>0</v>
      </c>
      <c r="H1027" s="427">
        <f t="shared" si="113"/>
        <v>0</v>
      </c>
      <c r="I1027" s="550">
        <f t="shared" si="110"/>
        <v>0</v>
      </c>
      <c r="J1027" s="177">
        <v>0</v>
      </c>
      <c r="K1027" s="427">
        <f t="shared" si="115"/>
        <v>0</v>
      </c>
      <c r="L1027" s="427">
        <f t="shared" si="114"/>
        <v>0</v>
      </c>
      <c r="M1027" s="680">
        <v>0</v>
      </c>
      <c r="N1027" s="22">
        <f t="shared" si="111"/>
        <v>0</v>
      </c>
    </row>
    <row r="1028" spans="1:14" s="6" customFormat="1" ht="15.75">
      <c r="A1028" s="285">
        <v>148</v>
      </c>
      <c r="B1028" s="329" t="s">
        <v>983</v>
      </c>
      <c r="C1028" s="391">
        <v>122.5</v>
      </c>
      <c r="D1028" s="330"/>
      <c r="E1028" s="391"/>
      <c r="F1028" s="330"/>
      <c r="G1028" s="760">
        <f t="shared" si="112"/>
        <v>0</v>
      </c>
      <c r="H1028" s="427">
        <f t="shared" si="113"/>
        <v>0</v>
      </c>
      <c r="I1028" s="550">
        <f t="shared" si="110"/>
        <v>0</v>
      </c>
      <c r="J1028" s="177">
        <v>0</v>
      </c>
      <c r="K1028" s="427">
        <f t="shared" si="115"/>
        <v>0</v>
      </c>
      <c r="L1028" s="427">
        <f t="shared" si="114"/>
        <v>0</v>
      </c>
      <c r="M1028" s="680">
        <v>0</v>
      </c>
      <c r="N1028" s="22">
        <f t="shared" si="111"/>
        <v>0</v>
      </c>
    </row>
    <row r="1029" spans="1:14" s="6" customFormat="1" ht="15.75">
      <c r="A1029" s="285">
        <v>149</v>
      </c>
      <c r="B1029" s="329" t="s">
        <v>985</v>
      </c>
      <c r="C1029" s="391">
        <v>245.6</v>
      </c>
      <c r="D1029" s="330">
        <v>29.9</v>
      </c>
      <c r="E1029" s="391"/>
      <c r="F1029" s="330"/>
      <c r="G1029" s="760">
        <f t="shared" si="112"/>
        <v>0</v>
      </c>
      <c r="H1029" s="427">
        <f t="shared" si="113"/>
        <v>0</v>
      </c>
      <c r="I1029" s="550">
        <f t="shared" si="110"/>
        <v>0</v>
      </c>
      <c r="J1029" s="177">
        <v>0</v>
      </c>
      <c r="K1029" s="427">
        <f t="shared" si="115"/>
        <v>0</v>
      </c>
      <c r="L1029" s="427">
        <f t="shared" si="114"/>
        <v>0</v>
      </c>
      <c r="M1029" s="680">
        <v>0</v>
      </c>
      <c r="N1029" s="22">
        <f t="shared" si="111"/>
        <v>0</v>
      </c>
    </row>
    <row r="1030" spans="1:14" s="6" customFormat="1" ht="15.75">
      <c r="A1030" s="285">
        <v>150</v>
      </c>
      <c r="B1030" s="329" t="s">
        <v>986</v>
      </c>
      <c r="C1030" s="391">
        <v>189.1</v>
      </c>
      <c r="D1030" s="330"/>
      <c r="E1030" s="391"/>
      <c r="F1030" s="330"/>
      <c r="G1030" s="760">
        <f t="shared" si="112"/>
        <v>0</v>
      </c>
      <c r="H1030" s="427">
        <f t="shared" si="113"/>
        <v>0</v>
      </c>
      <c r="I1030" s="550">
        <f t="shared" si="110"/>
        <v>0</v>
      </c>
      <c r="J1030" s="177">
        <v>0</v>
      </c>
      <c r="K1030" s="427">
        <f t="shared" si="115"/>
        <v>0</v>
      </c>
      <c r="L1030" s="427">
        <f t="shared" si="114"/>
        <v>0</v>
      </c>
      <c r="M1030" s="680">
        <v>0</v>
      </c>
      <c r="N1030" s="22">
        <f t="shared" si="111"/>
        <v>0</v>
      </c>
    </row>
    <row r="1031" spans="1:14" s="6" customFormat="1" ht="15.75">
      <c r="A1031" s="285">
        <v>151</v>
      </c>
      <c r="B1031" s="329" t="s">
        <v>987</v>
      </c>
      <c r="C1031" s="391">
        <v>590.4</v>
      </c>
      <c r="D1031" s="330"/>
      <c r="E1031" s="391"/>
      <c r="F1031" s="330"/>
      <c r="G1031" s="760">
        <f t="shared" si="112"/>
        <v>0</v>
      </c>
      <c r="H1031" s="427">
        <f t="shared" si="113"/>
        <v>0</v>
      </c>
      <c r="I1031" s="550">
        <f t="shared" si="110"/>
        <v>0</v>
      </c>
      <c r="J1031" s="177">
        <v>0</v>
      </c>
      <c r="K1031" s="427">
        <f t="shared" si="115"/>
        <v>0</v>
      </c>
      <c r="L1031" s="427">
        <f t="shared" si="114"/>
        <v>0</v>
      </c>
      <c r="M1031" s="680">
        <v>0</v>
      </c>
      <c r="N1031" s="22">
        <f t="shared" si="111"/>
        <v>0</v>
      </c>
    </row>
    <row r="1032" spans="1:14" s="6" customFormat="1" ht="15.75">
      <c r="A1032" s="285">
        <v>152</v>
      </c>
      <c r="B1032" s="329" t="s">
        <v>988</v>
      </c>
      <c r="C1032" s="391">
        <v>761.4</v>
      </c>
      <c r="D1032" s="330"/>
      <c r="E1032" s="391"/>
      <c r="F1032" s="330"/>
      <c r="G1032" s="760">
        <f t="shared" si="112"/>
        <v>0</v>
      </c>
      <c r="H1032" s="427">
        <f t="shared" si="113"/>
        <v>0</v>
      </c>
      <c r="I1032" s="550">
        <f t="shared" si="110"/>
        <v>0</v>
      </c>
      <c r="J1032" s="177">
        <v>0</v>
      </c>
      <c r="K1032" s="427">
        <f t="shared" si="115"/>
        <v>0</v>
      </c>
      <c r="L1032" s="427">
        <f t="shared" si="114"/>
        <v>0</v>
      </c>
      <c r="M1032" s="680">
        <v>0</v>
      </c>
      <c r="N1032" s="22">
        <f t="shared" si="111"/>
        <v>0</v>
      </c>
    </row>
    <row r="1033" spans="1:14" s="6" customFormat="1" ht="15.75">
      <c r="A1033" s="285">
        <v>153</v>
      </c>
      <c r="B1033" s="329" t="s">
        <v>989</v>
      </c>
      <c r="C1033" s="391">
        <v>538.82000000000005</v>
      </c>
      <c r="D1033" s="330"/>
      <c r="E1033" s="391">
        <v>38.299999999999997</v>
      </c>
      <c r="F1033" s="330"/>
      <c r="G1033" s="760">
        <f t="shared" si="112"/>
        <v>0</v>
      </c>
      <c r="H1033" s="427">
        <f t="shared" si="113"/>
        <v>0</v>
      </c>
      <c r="I1033" s="550">
        <f t="shared" si="110"/>
        <v>0</v>
      </c>
      <c r="J1033" s="177">
        <v>0</v>
      </c>
      <c r="K1033" s="427">
        <f t="shared" si="115"/>
        <v>0</v>
      </c>
      <c r="L1033" s="427">
        <f t="shared" si="114"/>
        <v>0</v>
      </c>
      <c r="M1033" s="680">
        <v>0</v>
      </c>
      <c r="N1033" s="22">
        <f t="shared" si="111"/>
        <v>0</v>
      </c>
    </row>
    <row r="1034" spans="1:14" s="6" customFormat="1" ht="15.75">
      <c r="A1034" s="285">
        <v>154</v>
      </c>
      <c r="B1034" s="329" t="s">
        <v>990</v>
      </c>
      <c r="C1034" s="391">
        <v>102.8</v>
      </c>
      <c r="D1034" s="330"/>
      <c r="E1034" s="546">
        <v>34</v>
      </c>
      <c r="F1034" s="330"/>
      <c r="G1034" s="760">
        <f t="shared" si="112"/>
        <v>0</v>
      </c>
      <c r="H1034" s="427">
        <f t="shared" si="113"/>
        <v>0</v>
      </c>
      <c r="I1034" s="550">
        <f t="shared" si="110"/>
        <v>0</v>
      </c>
      <c r="J1034" s="177">
        <v>0</v>
      </c>
      <c r="K1034" s="427">
        <f t="shared" si="115"/>
        <v>0</v>
      </c>
      <c r="L1034" s="427">
        <f t="shared" si="114"/>
        <v>0</v>
      </c>
      <c r="M1034" s="680">
        <v>0</v>
      </c>
      <c r="N1034" s="22">
        <f t="shared" si="111"/>
        <v>0</v>
      </c>
    </row>
    <row r="1035" spans="1:14" s="6" customFormat="1" ht="15.75">
      <c r="A1035" s="285">
        <v>155</v>
      </c>
      <c r="B1035" s="329" t="s">
        <v>991</v>
      </c>
      <c r="C1035" s="391">
        <v>578</v>
      </c>
      <c r="D1035" s="330"/>
      <c r="E1035" s="391"/>
      <c r="F1035" s="330"/>
      <c r="G1035" s="760">
        <f t="shared" si="112"/>
        <v>0</v>
      </c>
      <c r="H1035" s="427">
        <f t="shared" si="113"/>
        <v>0</v>
      </c>
      <c r="I1035" s="550">
        <f t="shared" si="110"/>
        <v>0</v>
      </c>
      <c r="J1035" s="177">
        <v>0</v>
      </c>
      <c r="K1035" s="427">
        <f t="shared" si="115"/>
        <v>0</v>
      </c>
      <c r="L1035" s="427">
        <f t="shared" si="114"/>
        <v>0</v>
      </c>
      <c r="M1035" s="680">
        <v>0</v>
      </c>
      <c r="N1035" s="22">
        <f t="shared" si="111"/>
        <v>0</v>
      </c>
    </row>
    <row r="1036" spans="1:14" s="6" customFormat="1" ht="15.75">
      <c r="A1036" s="285">
        <v>156</v>
      </c>
      <c r="B1036" s="329" t="s">
        <v>992</v>
      </c>
      <c r="C1036" s="391">
        <v>150</v>
      </c>
      <c r="D1036" s="330"/>
      <c r="E1036" s="391"/>
      <c r="F1036" s="330"/>
      <c r="G1036" s="760">
        <f t="shared" si="112"/>
        <v>0</v>
      </c>
      <c r="H1036" s="427">
        <f t="shared" si="113"/>
        <v>0</v>
      </c>
      <c r="I1036" s="550">
        <f t="shared" si="110"/>
        <v>0</v>
      </c>
      <c r="J1036" s="177">
        <v>0</v>
      </c>
      <c r="K1036" s="427">
        <f t="shared" si="115"/>
        <v>0</v>
      </c>
      <c r="L1036" s="427">
        <f t="shared" si="114"/>
        <v>0</v>
      </c>
      <c r="M1036" s="680">
        <v>0</v>
      </c>
      <c r="N1036" s="22">
        <f t="shared" si="111"/>
        <v>0</v>
      </c>
    </row>
    <row r="1037" spans="1:14" s="6" customFormat="1" ht="15.75">
      <c r="A1037" s="285">
        <v>157</v>
      </c>
      <c r="B1037" s="329" t="s">
        <v>993</v>
      </c>
      <c r="C1037" s="391">
        <v>106.6</v>
      </c>
      <c r="D1037" s="330"/>
      <c r="E1037" s="391"/>
      <c r="F1037" s="330"/>
      <c r="G1037" s="760">
        <f t="shared" si="112"/>
        <v>0</v>
      </c>
      <c r="H1037" s="427">
        <f t="shared" si="113"/>
        <v>0</v>
      </c>
      <c r="I1037" s="550">
        <f t="shared" si="110"/>
        <v>0</v>
      </c>
      <c r="J1037" s="177">
        <v>0</v>
      </c>
      <c r="K1037" s="427">
        <f t="shared" si="115"/>
        <v>0</v>
      </c>
      <c r="L1037" s="427">
        <f t="shared" si="114"/>
        <v>0</v>
      </c>
      <c r="M1037" s="680">
        <v>0</v>
      </c>
      <c r="N1037" s="22">
        <f t="shared" si="111"/>
        <v>0</v>
      </c>
    </row>
    <row r="1038" spans="1:14" s="6" customFormat="1" ht="15.75">
      <c r="A1038" s="285">
        <v>158</v>
      </c>
      <c r="B1038" s="329" t="s">
        <v>994</v>
      </c>
      <c r="C1038" s="391">
        <v>128.4</v>
      </c>
      <c r="D1038" s="330"/>
      <c r="E1038" s="391"/>
      <c r="F1038" s="330"/>
      <c r="G1038" s="760">
        <f t="shared" si="112"/>
        <v>0</v>
      </c>
      <c r="H1038" s="427">
        <f t="shared" si="113"/>
        <v>0</v>
      </c>
      <c r="I1038" s="550">
        <f t="shared" si="110"/>
        <v>0</v>
      </c>
      <c r="J1038" s="177">
        <v>0</v>
      </c>
      <c r="K1038" s="427">
        <f t="shared" si="115"/>
        <v>0</v>
      </c>
      <c r="L1038" s="427">
        <f t="shared" si="114"/>
        <v>0</v>
      </c>
      <c r="M1038" s="680">
        <v>0</v>
      </c>
      <c r="N1038" s="22">
        <f t="shared" si="111"/>
        <v>0</v>
      </c>
    </row>
    <row r="1039" spans="1:14" s="6" customFormat="1" ht="15.75">
      <c r="A1039" s="285">
        <v>159</v>
      </c>
      <c r="B1039" s="329" t="s">
        <v>995</v>
      </c>
      <c r="C1039" s="391">
        <v>57.7</v>
      </c>
      <c r="D1039" s="330"/>
      <c r="E1039" s="391"/>
      <c r="F1039" s="330"/>
      <c r="G1039" s="760">
        <f t="shared" si="112"/>
        <v>0</v>
      </c>
      <c r="H1039" s="427">
        <f t="shared" si="113"/>
        <v>0</v>
      </c>
      <c r="I1039" s="550">
        <f t="shared" si="110"/>
        <v>0</v>
      </c>
      <c r="J1039" s="177">
        <v>0</v>
      </c>
      <c r="K1039" s="427">
        <f t="shared" si="115"/>
        <v>0</v>
      </c>
      <c r="L1039" s="427">
        <f t="shared" si="114"/>
        <v>0</v>
      </c>
      <c r="M1039" s="680">
        <v>0</v>
      </c>
      <c r="N1039" s="22">
        <f t="shared" si="111"/>
        <v>0</v>
      </c>
    </row>
    <row r="1040" spans="1:14" s="6" customFormat="1" ht="15.75">
      <c r="A1040" s="285">
        <v>160</v>
      </c>
      <c r="B1040" s="329" t="s">
        <v>996</v>
      </c>
      <c r="C1040" s="391">
        <v>221.8</v>
      </c>
      <c r="D1040" s="391"/>
      <c r="E1040" s="330">
        <v>34.700000000000003</v>
      </c>
      <c r="F1040" s="330"/>
      <c r="G1040" s="760">
        <f t="shared" si="112"/>
        <v>0</v>
      </c>
      <c r="H1040" s="427">
        <f t="shared" si="113"/>
        <v>0</v>
      </c>
      <c r="I1040" s="550">
        <f t="shared" si="110"/>
        <v>0</v>
      </c>
      <c r="J1040" s="177">
        <v>0</v>
      </c>
      <c r="K1040" s="427">
        <f t="shared" si="115"/>
        <v>0</v>
      </c>
      <c r="L1040" s="427">
        <f t="shared" si="114"/>
        <v>0</v>
      </c>
      <c r="M1040" s="680">
        <v>0</v>
      </c>
      <c r="N1040" s="22">
        <f t="shared" si="111"/>
        <v>0</v>
      </c>
    </row>
    <row r="1041" spans="1:14" s="6" customFormat="1" ht="15.75">
      <c r="A1041" s="285">
        <v>161</v>
      </c>
      <c r="B1041" s="329" t="s">
        <v>997</v>
      </c>
      <c r="C1041" s="391">
        <v>90.7</v>
      </c>
      <c r="D1041" s="391"/>
      <c r="E1041" s="330">
        <v>27.8</v>
      </c>
      <c r="F1041" s="330"/>
      <c r="G1041" s="760">
        <f t="shared" si="112"/>
        <v>0</v>
      </c>
      <c r="H1041" s="427">
        <f t="shared" si="113"/>
        <v>0</v>
      </c>
      <c r="I1041" s="550">
        <f t="shared" si="110"/>
        <v>0</v>
      </c>
      <c r="J1041" s="177">
        <v>0</v>
      </c>
      <c r="K1041" s="427">
        <f t="shared" si="115"/>
        <v>0</v>
      </c>
      <c r="L1041" s="427">
        <f t="shared" si="114"/>
        <v>0</v>
      </c>
      <c r="M1041" s="680">
        <v>0</v>
      </c>
      <c r="N1041" s="22">
        <f t="shared" si="111"/>
        <v>0</v>
      </c>
    </row>
    <row r="1042" spans="1:14" s="6" customFormat="1" ht="15.75">
      <c r="A1042" s="285">
        <v>162</v>
      </c>
      <c r="B1042" s="329" t="s">
        <v>998</v>
      </c>
      <c r="C1042" s="391">
        <v>142.1</v>
      </c>
      <c r="D1042" s="330"/>
      <c r="E1042" s="391"/>
      <c r="F1042" s="330"/>
      <c r="G1042" s="760">
        <f t="shared" si="112"/>
        <v>0</v>
      </c>
      <c r="H1042" s="427">
        <f t="shared" si="113"/>
        <v>0</v>
      </c>
      <c r="I1042" s="550">
        <f t="shared" si="110"/>
        <v>0</v>
      </c>
      <c r="J1042" s="177">
        <v>0</v>
      </c>
      <c r="K1042" s="427">
        <f t="shared" si="115"/>
        <v>0</v>
      </c>
      <c r="L1042" s="427">
        <f t="shared" si="114"/>
        <v>0</v>
      </c>
      <c r="M1042" s="680">
        <v>0</v>
      </c>
      <c r="N1042" s="22">
        <f t="shared" si="111"/>
        <v>0</v>
      </c>
    </row>
    <row r="1043" spans="1:14" s="6" customFormat="1" ht="15.75">
      <c r="A1043" s="285">
        <v>163</v>
      </c>
      <c r="B1043" s="329" t="s">
        <v>999</v>
      </c>
      <c r="C1043" s="391">
        <v>259.7</v>
      </c>
      <c r="D1043" s="330"/>
      <c r="E1043" s="391"/>
      <c r="F1043" s="330"/>
      <c r="G1043" s="760">
        <f t="shared" si="112"/>
        <v>0</v>
      </c>
      <c r="H1043" s="427">
        <f t="shared" si="113"/>
        <v>0</v>
      </c>
      <c r="I1043" s="550">
        <f t="shared" si="110"/>
        <v>0</v>
      </c>
      <c r="J1043" s="177">
        <v>0</v>
      </c>
      <c r="K1043" s="427">
        <f t="shared" si="115"/>
        <v>0</v>
      </c>
      <c r="L1043" s="427">
        <f t="shared" si="114"/>
        <v>0</v>
      </c>
      <c r="M1043" s="680">
        <v>0</v>
      </c>
      <c r="N1043" s="22">
        <f t="shared" si="111"/>
        <v>0</v>
      </c>
    </row>
    <row r="1044" spans="1:14" s="6" customFormat="1" ht="15.75">
      <c r="A1044" s="285">
        <v>164</v>
      </c>
      <c r="B1044" s="329" t="s">
        <v>1000</v>
      </c>
      <c r="C1044" s="391">
        <v>204.3</v>
      </c>
      <c r="D1044" s="391"/>
      <c r="E1044" s="330">
        <v>105.1</v>
      </c>
      <c r="F1044" s="330"/>
      <c r="G1044" s="760">
        <f t="shared" si="112"/>
        <v>0</v>
      </c>
      <c r="H1044" s="427">
        <f t="shared" si="113"/>
        <v>0</v>
      </c>
      <c r="I1044" s="550">
        <f t="shared" si="110"/>
        <v>0</v>
      </c>
      <c r="J1044" s="177">
        <v>0</v>
      </c>
      <c r="K1044" s="427">
        <f t="shared" si="115"/>
        <v>0</v>
      </c>
      <c r="L1044" s="427">
        <f t="shared" si="114"/>
        <v>0</v>
      </c>
      <c r="M1044" s="680">
        <v>0</v>
      </c>
      <c r="N1044" s="22">
        <f t="shared" si="111"/>
        <v>0</v>
      </c>
    </row>
    <row r="1045" spans="1:14" s="6" customFormat="1" ht="15.75">
      <c r="A1045" s="285">
        <v>165</v>
      </c>
      <c r="B1045" s="329" t="s">
        <v>1001</v>
      </c>
      <c r="C1045" s="391">
        <v>432.1</v>
      </c>
      <c r="D1045" s="330"/>
      <c r="E1045" s="391"/>
      <c r="F1045" s="330"/>
      <c r="G1045" s="760">
        <f t="shared" si="112"/>
        <v>0</v>
      </c>
      <c r="H1045" s="427">
        <f t="shared" si="113"/>
        <v>0</v>
      </c>
      <c r="I1045" s="550">
        <f t="shared" si="110"/>
        <v>0</v>
      </c>
      <c r="J1045" s="177">
        <v>0</v>
      </c>
      <c r="K1045" s="427">
        <f t="shared" si="115"/>
        <v>0</v>
      </c>
      <c r="L1045" s="427">
        <f t="shared" si="114"/>
        <v>0</v>
      </c>
      <c r="M1045" s="680">
        <v>0</v>
      </c>
      <c r="N1045" s="22">
        <f t="shared" si="111"/>
        <v>0</v>
      </c>
    </row>
    <row r="1046" spans="1:14" s="6" customFormat="1" ht="15.75">
      <c r="A1046" s="285">
        <v>166</v>
      </c>
      <c r="B1046" s="329" t="s">
        <v>1002</v>
      </c>
      <c r="C1046" s="391">
        <v>164.2</v>
      </c>
      <c r="D1046" s="391"/>
      <c r="E1046" s="330">
        <v>77.7</v>
      </c>
      <c r="F1046" s="330"/>
      <c r="G1046" s="760">
        <f t="shared" si="112"/>
        <v>0</v>
      </c>
      <c r="H1046" s="427">
        <f t="shared" si="113"/>
        <v>0</v>
      </c>
      <c r="I1046" s="550">
        <f t="shared" si="110"/>
        <v>0</v>
      </c>
      <c r="J1046" s="177">
        <v>0</v>
      </c>
      <c r="K1046" s="427">
        <f t="shared" si="115"/>
        <v>0</v>
      </c>
      <c r="L1046" s="427">
        <f t="shared" si="114"/>
        <v>0</v>
      </c>
      <c r="M1046" s="680">
        <v>0</v>
      </c>
      <c r="N1046" s="22">
        <f t="shared" si="111"/>
        <v>0</v>
      </c>
    </row>
    <row r="1047" spans="1:14" s="6" customFormat="1" ht="15.75">
      <c r="A1047" s="285">
        <v>167</v>
      </c>
      <c r="B1047" s="329" t="s">
        <v>1003</v>
      </c>
      <c r="C1047" s="391">
        <v>278.3</v>
      </c>
      <c r="D1047" s="330"/>
      <c r="E1047" s="391"/>
      <c r="F1047" s="330"/>
      <c r="G1047" s="760">
        <f t="shared" si="112"/>
        <v>0</v>
      </c>
      <c r="H1047" s="427">
        <f t="shared" si="113"/>
        <v>0</v>
      </c>
      <c r="I1047" s="550">
        <f t="shared" ref="I1047:I1108" si="116">H1047*0.3677</f>
        <v>0</v>
      </c>
      <c r="J1047" s="177">
        <v>0</v>
      </c>
      <c r="K1047" s="427">
        <f t="shared" si="115"/>
        <v>0</v>
      </c>
      <c r="L1047" s="427">
        <f t="shared" si="114"/>
        <v>0</v>
      </c>
      <c r="M1047" s="680">
        <v>0</v>
      </c>
      <c r="N1047" s="22">
        <f t="shared" si="111"/>
        <v>0</v>
      </c>
    </row>
    <row r="1048" spans="1:14" s="6" customFormat="1" ht="15.75">
      <c r="A1048" s="285">
        <v>168</v>
      </c>
      <c r="B1048" s="329" t="s">
        <v>1004</v>
      </c>
      <c r="C1048" s="546">
        <v>150</v>
      </c>
      <c r="D1048" s="330"/>
      <c r="E1048" s="391"/>
      <c r="F1048" s="330"/>
      <c r="G1048" s="760">
        <f t="shared" si="112"/>
        <v>0</v>
      </c>
      <c r="H1048" s="427">
        <f t="shared" si="113"/>
        <v>0</v>
      </c>
      <c r="I1048" s="550">
        <f t="shared" si="116"/>
        <v>0</v>
      </c>
      <c r="J1048" s="177">
        <v>0</v>
      </c>
      <c r="K1048" s="427">
        <f t="shared" si="115"/>
        <v>0</v>
      </c>
      <c r="L1048" s="427">
        <f t="shared" si="114"/>
        <v>0</v>
      </c>
      <c r="M1048" s="680">
        <v>0</v>
      </c>
      <c r="N1048" s="22">
        <f t="shared" si="111"/>
        <v>0</v>
      </c>
    </row>
    <row r="1049" spans="1:14" s="6" customFormat="1" ht="15.75">
      <c r="A1049" s="285">
        <v>169</v>
      </c>
      <c r="B1049" s="329" t="s">
        <v>1005</v>
      </c>
      <c r="C1049" s="391">
        <v>140.6</v>
      </c>
      <c r="D1049" s="330"/>
      <c r="E1049" s="391"/>
      <c r="F1049" s="330"/>
      <c r="G1049" s="760">
        <f t="shared" si="112"/>
        <v>0</v>
      </c>
      <c r="H1049" s="427">
        <f t="shared" si="113"/>
        <v>0</v>
      </c>
      <c r="I1049" s="550">
        <f t="shared" si="116"/>
        <v>0</v>
      </c>
      <c r="J1049" s="177">
        <v>0</v>
      </c>
      <c r="K1049" s="427">
        <f t="shared" si="115"/>
        <v>0</v>
      </c>
      <c r="L1049" s="427">
        <f t="shared" si="114"/>
        <v>0</v>
      </c>
      <c r="M1049" s="680">
        <v>0</v>
      </c>
      <c r="N1049" s="22">
        <f t="shared" si="111"/>
        <v>0</v>
      </c>
    </row>
    <row r="1050" spans="1:14" s="6" customFormat="1" ht="15.75">
      <c r="A1050" s="285">
        <v>170</v>
      </c>
      <c r="B1050" s="329" t="s">
        <v>1006</v>
      </c>
      <c r="C1050" s="391">
        <v>209.1</v>
      </c>
      <c r="D1050" s="330"/>
      <c r="E1050" s="391"/>
      <c r="F1050" s="330"/>
      <c r="G1050" s="760">
        <f t="shared" si="112"/>
        <v>0</v>
      </c>
      <c r="H1050" s="427">
        <f t="shared" si="113"/>
        <v>0</v>
      </c>
      <c r="I1050" s="550">
        <f t="shared" si="116"/>
        <v>0</v>
      </c>
      <c r="J1050" s="177">
        <v>0</v>
      </c>
      <c r="K1050" s="427">
        <f t="shared" si="115"/>
        <v>0</v>
      </c>
      <c r="L1050" s="427">
        <f t="shared" si="114"/>
        <v>0</v>
      </c>
      <c r="M1050" s="680">
        <v>0</v>
      </c>
      <c r="N1050" s="22">
        <f t="shared" si="111"/>
        <v>0</v>
      </c>
    </row>
    <row r="1051" spans="1:14" s="6" customFormat="1" ht="15.75">
      <c r="A1051" s="285">
        <v>171</v>
      </c>
      <c r="B1051" s="329" t="s">
        <v>1007</v>
      </c>
      <c r="C1051" s="391">
        <v>463.5</v>
      </c>
      <c r="D1051" s="330"/>
      <c r="E1051" s="391"/>
      <c r="F1051" s="330">
        <f>C1051+D1051+E1051</f>
        <v>463.5</v>
      </c>
      <c r="G1051" s="760">
        <f t="shared" si="112"/>
        <v>4.2122660369079022E-3</v>
      </c>
      <c r="H1051" s="427">
        <f t="shared" si="113"/>
        <v>9.558179232328829</v>
      </c>
      <c r="I1051" s="550">
        <f t="shared" si="116"/>
        <v>3.5145425037273106</v>
      </c>
      <c r="J1051" s="177">
        <v>1.8938821484473582</v>
      </c>
      <c r="K1051" s="427">
        <f t="shared" si="115"/>
        <v>3.3763418418835287</v>
      </c>
      <c r="L1051" s="427">
        <f t="shared" si="114"/>
        <v>4.1157607052560214</v>
      </c>
      <c r="M1051" s="680">
        <f>(K1051+J1051+I1051+H1051)/F1051</f>
        <v>3.9574855936110098E-2</v>
      </c>
      <c r="N1051" s="22">
        <f t="shared" si="111"/>
        <v>3.7139760260718817</v>
      </c>
    </row>
    <row r="1052" spans="1:14" s="6" customFormat="1" ht="15.75">
      <c r="A1052" s="285">
        <v>172</v>
      </c>
      <c r="B1052" s="329" t="s">
        <v>1008</v>
      </c>
      <c r="C1052" s="391">
        <v>126</v>
      </c>
      <c r="D1052" s="330"/>
      <c r="E1052" s="391"/>
      <c r="F1052" s="330"/>
      <c r="G1052" s="760">
        <f t="shared" si="112"/>
        <v>0</v>
      </c>
      <c r="H1052" s="427">
        <f t="shared" si="113"/>
        <v>0</v>
      </c>
      <c r="I1052" s="550">
        <f t="shared" si="116"/>
        <v>0</v>
      </c>
      <c r="J1052" s="177">
        <v>0</v>
      </c>
      <c r="K1052" s="427">
        <f t="shared" si="115"/>
        <v>0</v>
      </c>
      <c r="L1052" s="427">
        <f t="shared" si="114"/>
        <v>0</v>
      </c>
      <c r="M1052" s="680">
        <v>0</v>
      </c>
      <c r="N1052" s="22">
        <f t="shared" si="111"/>
        <v>0</v>
      </c>
    </row>
    <row r="1053" spans="1:14" s="6" customFormat="1" ht="15.75">
      <c r="A1053" s="285">
        <v>173</v>
      </c>
      <c r="B1053" s="329" t="s">
        <v>1009</v>
      </c>
      <c r="C1053" s="391">
        <v>725.1</v>
      </c>
      <c r="D1053" s="330"/>
      <c r="E1053" s="391"/>
      <c r="F1053" s="330">
        <f>C1053+D1053+E1053</f>
        <v>725.1</v>
      </c>
      <c r="G1053" s="760">
        <f t="shared" si="112"/>
        <v>6.5896744409102911E-3</v>
      </c>
      <c r="H1053" s="427">
        <f t="shared" si="113"/>
        <v>14.95282796410277</v>
      </c>
      <c r="I1053" s="550">
        <f t="shared" si="116"/>
        <v>5.4981548424005888</v>
      </c>
      <c r="J1053" s="177">
        <v>5.7421968515091306</v>
      </c>
      <c r="K1053" s="427">
        <f t="shared" si="115"/>
        <v>5.2819535481116437</v>
      </c>
      <c r="L1053" s="427">
        <f t="shared" si="114"/>
        <v>6.4387013751480939</v>
      </c>
      <c r="M1053" s="680">
        <f>(K1053+J1053+I1053+H1053)/F1053</f>
        <v>4.3407989527132991E-2</v>
      </c>
      <c r="N1053" s="22">
        <f t="shared" si="111"/>
        <v>5.8101489029228084</v>
      </c>
    </row>
    <row r="1054" spans="1:14" s="6" customFormat="1" ht="15.75">
      <c r="A1054" s="285">
        <v>174</v>
      </c>
      <c r="B1054" s="329" t="s">
        <v>1359</v>
      </c>
      <c r="C1054" s="391">
        <v>466.88</v>
      </c>
      <c r="D1054" s="330"/>
      <c r="E1054" s="391"/>
      <c r="F1054" s="330"/>
      <c r="G1054" s="760">
        <f t="shared" si="112"/>
        <v>0</v>
      </c>
      <c r="H1054" s="427">
        <f t="shared" si="113"/>
        <v>0</v>
      </c>
      <c r="I1054" s="550">
        <f t="shared" si="116"/>
        <v>0</v>
      </c>
      <c r="J1054" s="177">
        <v>0</v>
      </c>
      <c r="K1054" s="427">
        <f t="shared" si="115"/>
        <v>0</v>
      </c>
      <c r="L1054" s="427">
        <f t="shared" si="114"/>
        <v>0</v>
      </c>
      <c r="M1054" s="680">
        <v>0</v>
      </c>
      <c r="N1054" s="22">
        <f t="shared" si="111"/>
        <v>0</v>
      </c>
    </row>
    <row r="1055" spans="1:14" s="6" customFormat="1" ht="15.75">
      <c r="A1055" s="285">
        <v>175</v>
      </c>
      <c r="B1055" s="329" t="s">
        <v>1010</v>
      </c>
      <c r="C1055" s="391">
        <v>138.1</v>
      </c>
      <c r="D1055" s="330"/>
      <c r="E1055" s="391"/>
      <c r="F1055" s="330"/>
      <c r="G1055" s="760">
        <f t="shared" si="112"/>
        <v>0</v>
      </c>
      <c r="H1055" s="427">
        <f t="shared" si="113"/>
        <v>0</v>
      </c>
      <c r="I1055" s="550">
        <f t="shared" si="116"/>
        <v>0</v>
      </c>
      <c r="J1055" s="177">
        <v>0</v>
      </c>
      <c r="K1055" s="427">
        <f t="shared" si="115"/>
        <v>0</v>
      </c>
      <c r="L1055" s="427">
        <f t="shared" si="114"/>
        <v>0</v>
      </c>
      <c r="M1055" s="680">
        <v>0</v>
      </c>
      <c r="N1055" s="22">
        <f t="shared" si="111"/>
        <v>0</v>
      </c>
    </row>
    <row r="1056" spans="1:14" s="6" customFormat="1" ht="15.75">
      <c r="A1056" s="285">
        <v>176</v>
      </c>
      <c r="B1056" s="329" t="s">
        <v>1011</v>
      </c>
      <c r="C1056" s="391">
        <v>139.30000000000001</v>
      </c>
      <c r="D1056" s="330"/>
      <c r="E1056" s="391"/>
      <c r="F1056" s="330"/>
      <c r="G1056" s="760">
        <f t="shared" si="112"/>
        <v>0</v>
      </c>
      <c r="H1056" s="427">
        <f t="shared" si="113"/>
        <v>0</v>
      </c>
      <c r="I1056" s="550">
        <f t="shared" si="116"/>
        <v>0</v>
      </c>
      <c r="J1056" s="177">
        <v>0</v>
      </c>
      <c r="K1056" s="427">
        <f t="shared" si="115"/>
        <v>0</v>
      </c>
      <c r="L1056" s="427">
        <f t="shared" si="114"/>
        <v>0</v>
      </c>
      <c r="M1056" s="680">
        <v>0</v>
      </c>
      <c r="N1056" s="22">
        <f t="shared" si="111"/>
        <v>0</v>
      </c>
    </row>
    <row r="1057" spans="1:14" s="6" customFormat="1" ht="15.75">
      <c r="A1057" s="285">
        <v>177</v>
      </c>
      <c r="B1057" s="329" t="s">
        <v>1012</v>
      </c>
      <c r="C1057" s="391">
        <v>807</v>
      </c>
      <c r="D1057" s="330"/>
      <c r="E1057" s="391"/>
      <c r="F1057" s="330">
        <f>C1057+D1057+E1057</f>
        <v>807</v>
      </c>
      <c r="G1057" s="760">
        <f t="shared" si="112"/>
        <v>7.333977760053241E-3</v>
      </c>
      <c r="H1057" s="427">
        <f t="shared" si="113"/>
        <v>16.641748954669612</v>
      </c>
      <c r="I1057" s="550">
        <f t="shared" si="116"/>
        <v>6.1191710906320171</v>
      </c>
      <c r="J1057" s="177">
        <v>6.7580981105341795</v>
      </c>
      <c r="K1057" s="427">
        <f t="shared" si="115"/>
        <v>5.8785498735706749</v>
      </c>
      <c r="L1057" s="427">
        <f t="shared" si="114"/>
        <v>7.1659522958826534</v>
      </c>
      <c r="M1057" s="680">
        <f>(K1057+J1057+I1057+H1057)/F1057</f>
        <v>4.3863157409425632E-2</v>
      </c>
      <c r="N1057" s="22">
        <f t="shared" si="111"/>
        <v>6.4664048609277431</v>
      </c>
    </row>
    <row r="1058" spans="1:14" s="6" customFormat="1" ht="15.75">
      <c r="A1058" s="285">
        <v>178</v>
      </c>
      <c r="B1058" s="329" t="s">
        <v>1013</v>
      </c>
      <c r="C1058" s="391">
        <v>1555.2</v>
      </c>
      <c r="D1058" s="330"/>
      <c r="E1058" s="391"/>
      <c r="F1058" s="330">
        <f>C1058+D1058+E1058</f>
        <v>1555.2</v>
      </c>
      <c r="G1058" s="760">
        <f t="shared" si="112"/>
        <v>1.4133583906362827E-2</v>
      </c>
      <c r="H1058" s="427">
        <f t="shared" si="113"/>
        <v>32.070939249445082</v>
      </c>
      <c r="I1058" s="550">
        <f t="shared" si="116"/>
        <v>11.792484362020957</v>
      </c>
      <c r="J1058" s="177">
        <v>12.04448496006353</v>
      </c>
      <c r="K1058" s="427">
        <f t="shared" si="115"/>
        <v>11.328774180145123</v>
      </c>
      <c r="L1058" s="427">
        <f t="shared" si="114"/>
        <v>13.809775725596905</v>
      </c>
      <c r="M1058" s="680">
        <f>(K1058+J1058+I1058+H1058)/F1058</f>
        <v>4.3233463703494526E-2</v>
      </c>
      <c r="N1058" s="22">
        <f t="shared" si="111"/>
        <v>12.461651598159635</v>
      </c>
    </row>
    <row r="1059" spans="1:14" s="6" customFormat="1" ht="15.75">
      <c r="A1059" s="285">
        <v>179</v>
      </c>
      <c r="B1059" s="329" t="s">
        <v>1014</v>
      </c>
      <c r="C1059" s="391">
        <v>1514.3</v>
      </c>
      <c r="D1059" s="330"/>
      <c r="E1059" s="391"/>
      <c r="F1059" s="330">
        <f>C1059+D1059+E1059</f>
        <v>1514.3</v>
      </c>
      <c r="G1059" s="760">
        <f t="shared" si="112"/>
        <v>1.3761886644422084E-2</v>
      </c>
      <c r="H1059" s="427">
        <f t="shared" si="113"/>
        <v>31.227509841457486</v>
      </c>
      <c r="I1059" s="550">
        <f t="shared" si="116"/>
        <v>11.482355368703919</v>
      </c>
      <c r="J1059" s="177">
        <v>12.206793687705776</v>
      </c>
      <c r="K1059" s="427">
        <f t="shared" si="115"/>
        <v>11.030840239836522</v>
      </c>
      <c r="L1059" s="427">
        <f t="shared" si="114"/>
        <v>13.44659425236072</v>
      </c>
      <c r="M1059" s="680">
        <f>(K1059+J1059+I1059+H1059)/F1059</f>
        <v>4.3549824432215348E-2</v>
      </c>
      <c r="N1059" s="22">
        <f t="shared" si="111"/>
        <v>12.133924263820175</v>
      </c>
    </row>
    <row r="1060" spans="1:14" s="6" customFormat="1" ht="15.75">
      <c r="A1060" s="285">
        <v>180</v>
      </c>
      <c r="B1060" s="329" t="s">
        <v>1015</v>
      </c>
      <c r="C1060" s="546">
        <v>394</v>
      </c>
      <c r="D1060" s="330"/>
      <c r="E1060" s="391"/>
      <c r="F1060" s="330"/>
      <c r="G1060" s="760">
        <f t="shared" si="112"/>
        <v>0</v>
      </c>
      <c r="H1060" s="427">
        <f t="shared" si="113"/>
        <v>0</v>
      </c>
      <c r="I1060" s="550">
        <f t="shared" si="116"/>
        <v>0</v>
      </c>
      <c r="J1060" s="177">
        <v>0</v>
      </c>
      <c r="K1060" s="427">
        <f t="shared" si="115"/>
        <v>0</v>
      </c>
      <c r="L1060" s="427">
        <f t="shared" si="114"/>
        <v>0</v>
      </c>
      <c r="M1060" s="680">
        <v>0</v>
      </c>
      <c r="N1060" s="22">
        <f t="shared" si="111"/>
        <v>0</v>
      </c>
    </row>
    <row r="1061" spans="1:14" s="6" customFormat="1" ht="15.75">
      <c r="A1061" s="285">
        <v>181</v>
      </c>
      <c r="B1061" s="329" t="s">
        <v>1360</v>
      </c>
      <c r="C1061" s="391">
        <v>572.5</v>
      </c>
      <c r="D1061" s="330"/>
      <c r="E1061" s="391"/>
      <c r="F1061" s="330"/>
      <c r="G1061" s="760">
        <f t="shared" si="112"/>
        <v>0</v>
      </c>
      <c r="H1061" s="427">
        <f t="shared" si="113"/>
        <v>0</v>
      </c>
      <c r="I1061" s="550">
        <f t="shared" si="116"/>
        <v>0</v>
      </c>
      <c r="J1061" s="177">
        <v>0</v>
      </c>
      <c r="K1061" s="427">
        <f t="shared" si="115"/>
        <v>0</v>
      </c>
      <c r="L1061" s="427">
        <f t="shared" si="114"/>
        <v>0</v>
      </c>
      <c r="M1061" s="680">
        <v>0</v>
      </c>
      <c r="N1061" s="22">
        <f t="shared" si="111"/>
        <v>0</v>
      </c>
    </row>
    <row r="1062" spans="1:14" s="6" customFormat="1" ht="15.75">
      <c r="A1062" s="285">
        <v>182</v>
      </c>
      <c r="B1062" s="329" t="s">
        <v>1016</v>
      </c>
      <c r="C1062" s="391">
        <v>351.9</v>
      </c>
      <c r="D1062" s="330"/>
      <c r="E1062" s="391"/>
      <c r="F1062" s="330"/>
      <c r="G1062" s="760">
        <f t="shared" si="112"/>
        <v>0</v>
      </c>
      <c r="H1062" s="427">
        <f t="shared" si="113"/>
        <v>0</v>
      </c>
      <c r="I1062" s="550">
        <f t="shared" si="116"/>
        <v>0</v>
      </c>
      <c r="J1062" s="177">
        <v>0</v>
      </c>
      <c r="K1062" s="427">
        <f t="shared" si="115"/>
        <v>0</v>
      </c>
      <c r="L1062" s="427">
        <f t="shared" si="114"/>
        <v>0</v>
      </c>
      <c r="M1062" s="680">
        <v>0</v>
      </c>
      <c r="N1062" s="22">
        <f t="shared" si="111"/>
        <v>0</v>
      </c>
    </row>
    <row r="1063" spans="1:14" s="6" customFormat="1" ht="15.75">
      <c r="A1063" s="285">
        <v>183</v>
      </c>
      <c r="B1063" s="329" t="s">
        <v>1017</v>
      </c>
      <c r="C1063" s="391">
        <v>449.4</v>
      </c>
      <c r="D1063" s="330"/>
      <c r="E1063" s="391"/>
      <c r="F1063" s="330"/>
      <c r="G1063" s="760">
        <f t="shared" si="112"/>
        <v>0</v>
      </c>
      <c r="H1063" s="427">
        <f t="shared" si="113"/>
        <v>0</v>
      </c>
      <c r="I1063" s="550">
        <f t="shared" si="116"/>
        <v>0</v>
      </c>
      <c r="J1063" s="177">
        <v>0</v>
      </c>
      <c r="K1063" s="427">
        <f t="shared" si="115"/>
        <v>0</v>
      </c>
      <c r="L1063" s="427">
        <f t="shared" si="114"/>
        <v>0</v>
      </c>
      <c r="M1063" s="680">
        <v>0</v>
      </c>
      <c r="N1063" s="22">
        <f t="shared" si="111"/>
        <v>0</v>
      </c>
    </row>
    <row r="1064" spans="1:14" s="6" customFormat="1" ht="15.75">
      <c r="A1064" s="285">
        <v>184</v>
      </c>
      <c r="B1064" s="329" t="s">
        <v>1018</v>
      </c>
      <c r="C1064" s="391">
        <v>1394.3</v>
      </c>
      <c r="D1064" s="330"/>
      <c r="E1064" s="391"/>
      <c r="F1064" s="330"/>
      <c r="G1064" s="760">
        <f t="shared" si="112"/>
        <v>0</v>
      </c>
      <c r="H1064" s="427">
        <f t="shared" si="113"/>
        <v>0</v>
      </c>
      <c r="I1064" s="550">
        <f t="shared" si="116"/>
        <v>0</v>
      </c>
      <c r="J1064" s="177">
        <v>0</v>
      </c>
      <c r="K1064" s="427">
        <f t="shared" si="115"/>
        <v>0</v>
      </c>
      <c r="L1064" s="427">
        <f t="shared" si="114"/>
        <v>0</v>
      </c>
      <c r="M1064" s="680">
        <v>0</v>
      </c>
      <c r="N1064" s="22">
        <f t="shared" si="111"/>
        <v>0</v>
      </c>
    </row>
    <row r="1065" spans="1:14" s="6" customFormat="1" ht="15.75">
      <c r="A1065" s="285">
        <v>185</v>
      </c>
      <c r="B1065" s="329" t="s">
        <v>1019</v>
      </c>
      <c r="C1065" s="391">
        <v>398.7</v>
      </c>
      <c r="D1065" s="330"/>
      <c r="E1065" s="391"/>
      <c r="F1065" s="330"/>
      <c r="G1065" s="760">
        <f t="shared" si="112"/>
        <v>0</v>
      </c>
      <c r="H1065" s="427">
        <f t="shared" si="113"/>
        <v>0</v>
      </c>
      <c r="I1065" s="550">
        <f t="shared" si="116"/>
        <v>0</v>
      </c>
      <c r="J1065" s="177">
        <v>0</v>
      </c>
      <c r="K1065" s="427">
        <f t="shared" si="115"/>
        <v>0</v>
      </c>
      <c r="L1065" s="427">
        <f t="shared" si="114"/>
        <v>0</v>
      </c>
      <c r="M1065" s="680">
        <v>0</v>
      </c>
      <c r="N1065" s="22">
        <f t="shared" si="111"/>
        <v>0</v>
      </c>
    </row>
    <row r="1066" spans="1:14" s="6" customFormat="1" ht="15.75">
      <c r="A1066" s="285">
        <v>186</v>
      </c>
      <c r="B1066" s="329" t="s">
        <v>1020</v>
      </c>
      <c r="C1066" s="391">
        <v>359.4</v>
      </c>
      <c r="D1066" s="330"/>
      <c r="E1066" s="391"/>
      <c r="F1066" s="330"/>
      <c r="G1066" s="760">
        <f t="shared" si="112"/>
        <v>0</v>
      </c>
      <c r="H1066" s="427">
        <f t="shared" si="113"/>
        <v>0</v>
      </c>
      <c r="I1066" s="550">
        <f t="shared" si="116"/>
        <v>0</v>
      </c>
      <c r="J1066" s="177">
        <v>0</v>
      </c>
      <c r="K1066" s="427">
        <f t="shared" si="115"/>
        <v>0</v>
      </c>
      <c r="L1066" s="427">
        <f t="shared" si="114"/>
        <v>0</v>
      </c>
      <c r="M1066" s="680">
        <v>0</v>
      </c>
      <c r="N1066" s="22">
        <f t="shared" si="111"/>
        <v>0</v>
      </c>
    </row>
    <row r="1067" spans="1:14" s="6" customFormat="1" ht="15.75">
      <c r="A1067" s="285">
        <v>187</v>
      </c>
      <c r="B1067" s="329" t="s">
        <v>1021</v>
      </c>
      <c r="C1067" s="391">
        <v>694.9</v>
      </c>
      <c r="D1067" s="330"/>
      <c r="E1067" s="391"/>
      <c r="F1067" s="330"/>
      <c r="G1067" s="760">
        <f t="shared" si="112"/>
        <v>0</v>
      </c>
      <c r="H1067" s="427">
        <f t="shared" si="113"/>
        <v>0</v>
      </c>
      <c r="I1067" s="550">
        <f t="shared" si="116"/>
        <v>0</v>
      </c>
      <c r="J1067" s="177">
        <v>0</v>
      </c>
      <c r="K1067" s="427">
        <f t="shared" si="115"/>
        <v>0</v>
      </c>
      <c r="L1067" s="427">
        <f t="shared" si="114"/>
        <v>0</v>
      </c>
      <c r="M1067" s="680">
        <v>0</v>
      </c>
      <c r="N1067" s="22">
        <f t="shared" si="111"/>
        <v>0</v>
      </c>
    </row>
    <row r="1068" spans="1:14" s="6" customFormat="1" ht="15.75">
      <c r="A1068" s="285">
        <v>188</v>
      </c>
      <c r="B1068" s="329" t="s">
        <v>1022</v>
      </c>
      <c r="C1068" s="391">
        <v>629.6</v>
      </c>
      <c r="D1068" s="330"/>
      <c r="E1068" s="391"/>
      <c r="F1068" s="330"/>
      <c r="G1068" s="760">
        <f t="shared" si="112"/>
        <v>0</v>
      </c>
      <c r="H1068" s="427">
        <f t="shared" si="113"/>
        <v>0</v>
      </c>
      <c r="I1068" s="550">
        <f t="shared" si="116"/>
        <v>0</v>
      </c>
      <c r="J1068" s="177">
        <v>0</v>
      </c>
      <c r="K1068" s="427">
        <f t="shared" si="115"/>
        <v>0</v>
      </c>
      <c r="L1068" s="427">
        <f t="shared" si="114"/>
        <v>0</v>
      </c>
      <c r="M1068" s="680">
        <v>0</v>
      </c>
      <c r="N1068" s="22">
        <f t="shared" si="111"/>
        <v>0</v>
      </c>
    </row>
    <row r="1069" spans="1:14" s="6" customFormat="1" ht="15.75">
      <c r="A1069" s="285">
        <v>189</v>
      </c>
      <c r="B1069" s="329" t="s">
        <v>1023</v>
      </c>
      <c r="C1069" s="391">
        <v>969.07</v>
      </c>
      <c r="D1069" s="330"/>
      <c r="E1069" s="391"/>
      <c r="F1069" s="330"/>
      <c r="G1069" s="760">
        <f t="shared" si="112"/>
        <v>0</v>
      </c>
      <c r="H1069" s="427">
        <f t="shared" si="113"/>
        <v>0</v>
      </c>
      <c r="I1069" s="550">
        <f t="shared" si="116"/>
        <v>0</v>
      </c>
      <c r="J1069" s="177">
        <v>0</v>
      </c>
      <c r="K1069" s="427">
        <f t="shared" si="115"/>
        <v>0</v>
      </c>
      <c r="L1069" s="427">
        <f t="shared" si="114"/>
        <v>0</v>
      </c>
      <c r="M1069" s="680">
        <v>0</v>
      </c>
      <c r="N1069" s="22">
        <f t="shared" si="111"/>
        <v>0</v>
      </c>
    </row>
    <row r="1070" spans="1:14" s="6" customFormat="1" ht="15.75">
      <c r="A1070" s="285">
        <v>190</v>
      </c>
      <c r="B1070" s="329" t="s">
        <v>1024</v>
      </c>
      <c r="C1070" s="391">
        <v>315.7</v>
      </c>
      <c r="D1070" s="330"/>
      <c r="E1070" s="391"/>
      <c r="F1070" s="330"/>
      <c r="G1070" s="760">
        <f t="shared" si="112"/>
        <v>0</v>
      </c>
      <c r="H1070" s="427">
        <f t="shared" si="113"/>
        <v>0</v>
      </c>
      <c r="I1070" s="550">
        <f t="shared" si="116"/>
        <v>0</v>
      </c>
      <c r="J1070" s="177">
        <v>0</v>
      </c>
      <c r="K1070" s="427">
        <f t="shared" si="115"/>
        <v>0</v>
      </c>
      <c r="L1070" s="427">
        <f t="shared" si="114"/>
        <v>0</v>
      </c>
      <c r="M1070" s="680">
        <v>0</v>
      </c>
      <c r="N1070" s="22">
        <f t="shared" ref="N1070:N1133" si="117">K1070*1.1</f>
        <v>0</v>
      </c>
    </row>
    <row r="1071" spans="1:14" s="6" customFormat="1" ht="15.75">
      <c r="A1071" s="285">
        <v>191</v>
      </c>
      <c r="B1071" s="329" t="s">
        <v>1025</v>
      </c>
      <c r="C1071" s="391">
        <v>677.4</v>
      </c>
      <c r="D1071" s="330"/>
      <c r="E1071" s="391"/>
      <c r="F1071" s="330"/>
      <c r="G1071" s="760">
        <f t="shared" si="112"/>
        <v>0</v>
      </c>
      <c r="H1071" s="427">
        <f t="shared" si="113"/>
        <v>0</v>
      </c>
      <c r="I1071" s="550">
        <f t="shared" si="116"/>
        <v>0</v>
      </c>
      <c r="J1071" s="177">
        <v>0</v>
      </c>
      <c r="K1071" s="427">
        <f t="shared" si="115"/>
        <v>0</v>
      </c>
      <c r="L1071" s="427">
        <f t="shared" si="114"/>
        <v>0</v>
      </c>
      <c r="M1071" s="680">
        <v>0</v>
      </c>
      <c r="N1071" s="22">
        <f t="shared" si="117"/>
        <v>0</v>
      </c>
    </row>
    <row r="1072" spans="1:14" s="6" customFormat="1" ht="15.75">
      <c r="A1072" s="285">
        <v>192</v>
      </c>
      <c r="B1072" s="329" t="s">
        <v>1026</v>
      </c>
      <c r="C1072" s="391">
        <v>255.8</v>
      </c>
      <c r="D1072" s="330"/>
      <c r="E1072" s="391"/>
      <c r="F1072" s="330"/>
      <c r="G1072" s="760">
        <f t="shared" si="112"/>
        <v>0</v>
      </c>
      <c r="H1072" s="427">
        <f t="shared" si="113"/>
        <v>0</v>
      </c>
      <c r="I1072" s="550">
        <f t="shared" si="116"/>
        <v>0</v>
      </c>
      <c r="J1072" s="177">
        <v>0</v>
      </c>
      <c r="K1072" s="427">
        <f t="shared" si="115"/>
        <v>0</v>
      </c>
      <c r="L1072" s="427">
        <f t="shared" si="114"/>
        <v>0</v>
      </c>
      <c r="M1072" s="680">
        <v>0</v>
      </c>
      <c r="N1072" s="22">
        <f t="shared" si="117"/>
        <v>0</v>
      </c>
    </row>
    <row r="1073" spans="1:14" s="6" customFormat="1" ht="15.75">
      <c r="A1073" s="285">
        <v>193</v>
      </c>
      <c r="B1073" s="329" t="s">
        <v>1027</v>
      </c>
      <c r="C1073" s="391">
        <v>167.8</v>
      </c>
      <c r="D1073" s="330">
        <v>184.7</v>
      </c>
      <c r="E1073" s="391"/>
      <c r="F1073" s="330"/>
      <c r="G1073" s="760">
        <f t="shared" ref="G1073:G1136" si="118">2/220071.57*F1073</f>
        <v>0</v>
      </c>
      <c r="H1073" s="427">
        <f t="shared" ref="H1073:H1136" si="119">G1073*2269.13</f>
        <v>0</v>
      </c>
      <c r="I1073" s="550">
        <f t="shared" si="116"/>
        <v>0</v>
      </c>
      <c r="J1073" s="177">
        <v>0</v>
      </c>
      <c r="K1073" s="427">
        <f t="shared" si="115"/>
        <v>0</v>
      </c>
      <c r="L1073" s="427">
        <f t="shared" si="114"/>
        <v>0</v>
      </c>
      <c r="M1073" s="680">
        <v>0</v>
      </c>
      <c r="N1073" s="22">
        <f t="shared" si="117"/>
        <v>0</v>
      </c>
    </row>
    <row r="1074" spans="1:14" s="6" customFormat="1" ht="15.75">
      <c r="A1074" s="285">
        <v>194</v>
      </c>
      <c r="B1074" s="329" t="s">
        <v>1030</v>
      </c>
      <c r="C1074" s="391">
        <v>642.9</v>
      </c>
      <c r="D1074" s="330"/>
      <c r="E1074" s="391"/>
      <c r="F1074" s="330"/>
      <c r="G1074" s="760">
        <f t="shared" si="118"/>
        <v>0</v>
      </c>
      <c r="H1074" s="427">
        <f t="shared" si="119"/>
        <v>0</v>
      </c>
      <c r="I1074" s="550">
        <f t="shared" si="116"/>
        <v>0</v>
      </c>
      <c r="J1074" s="177">
        <v>0</v>
      </c>
      <c r="K1074" s="427">
        <f t="shared" si="115"/>
        <v>0</v>
      </c>
      <c r="L1074" s="427">
        <f t="shared" ref="L1074:L1137" si="120">K1074*1.219</f>
        <v>0</v>
      </c>
      <c r="M1074" s="680">
        <v>0</v>
      </c>
      <c r="N1074" s="22">
        <f t="shared" si="117"/>
        <v>0</v>
      </c>
    </row>
    <row r="1075" spans="1:14" s="6" customFormat="1" ht="15.75">
      <c r="A1075" s="285">
        <v>195</v>
      </c>
      <c r="B1075" s="329" t="s">
        <v>1031</v>
      </c>
      <c r="C1075" s="391">
        <v>324.39999999999998</v>
      </c>
      <c r="D1075" s="330"/>
      <c r="E1075" s="391"/>
      <c r="F1075" s="330"/>
      <c r="G1075" s="760">
        <f t="shared" si="118"/>
        <v>0</v>
      </c>
      <c r="H1075" s="427">
        <f t="shared" si="119"/>
        <v>0</v>
      </c>
      <c r="I1075" s="550">
        <f t="shared" si="116"/>
        <v>0</v>
      </c>
      <c r="J1075" s="177">
        <v>0</v>
      </c>
      <c r="K1075" s="427">
        <f t="shared" si="115"/>
        <v>0</v>
      </c>
      <c r="L1075" s="427">
        <f t="shared" si="120"/>
        <v>0</v>
      </c>
      <c r="M1075" s="680">
        <v>0</v>
      </c>
      <c r="N1075" s="22">
        <f t="shared" si="117"/>
        <v>0</v>
      </c>
    </row>
    <row r="1076" spans="1:14" s="6" customFormat="1" ht="15.75">
      <c r="A1076" s="285">
        <v>196</v>
      </c>
      <c r="B1076" s="329" t="s">
        <v>1032</v>
      </c>
      <c r="C1076" s="546">
        <v>505</v>
      </c>
      <c r="D1076" s="330"/>
      <c r="E1076" s="391"/>
      <c r="F1076" s="330"/>
      <c r="G1076" s="760">
        <f t="shared" si="118"/>
        <v>0</v>
      </c>
      <c r="H1076" s="427">
        <f t="shared" si="119"/>
        <v>0</v>
      </c>
      <c r="I1076" s="550">
        <f t="shared" si="116"/>
        <v>0</v>
      </c>
      <c r="J1076" s="177">
        <v>0</v>
      </c>
      <c r="K1076" s="427">
        <f t="shared" si="115"/>
        <v>0</v>
      </c>
      <c r="L1076" s="427">
        <f t="shared" si="120"/>
        <v>0</v>
      </c>
      <c r="M1076" s="680">
        <v>0</v>
      </c>
      <c r="N1076" s="22">
        <f t="shared" si="117"/>
        <v>0</v>
      </c>
    </row>
    <row r="1077" spans="1:14" s="6" customFormat="1" ht="15.75">
      <c r="A1077" s="285">
        <v>197</v>
      </c>
      <c r="B1077" s="329" t="s">
        <v>1033</v>
      </c>
      <c r="C1077" s="391">
        <v>548.70000000000005</v>
      </c>
      <c r="D1077" s="330"/>
      <c r="E1077" s="391"/>
      <c r="F1077" s="330"/>
      <c r="G1077" s="760">
        <f t="shared" si="118"/>
        <v>0</v>
      </c>
      <c r="H1077" s="427">
        <f t="shared" si="119"/>
        <v>0</v>
      </c>
      <c r="I1077" s="550">
        <f t="shared" si="116"/>
        <v>0</v>
      </c>
      <c r="J1077" s="177">
        <v>0</v>
      </c>
      <c r="K1077" s="427">
        <f t="shared" si="115"/>
        <v>0</v>
      </c>
      <c r="L1077" s="427">
        <f t="shared" si="120"/>
        <v>0</v>
      </c>
      <c r="M1077" s="680">
        <v>0</v>
      </c>
      <c r="N1077" s="22">
        <f t="shared" si="117"/>
        <v>0</v>
      </c>
    </row>
    <row r="1078" spans="1:14" s="6" customFormat="1" ht="15.75">
      <c r="A1078" s="285">
        <v>198</v>
      </c>
      <c r="B1078" s="329" t="s">
        <v>1034</v>
      </c>
      <c r="C1078" s="391">
        <v>222.33</v>
      </c>
      <c r="D1078" s="330"/>
      <c r="E1078" s="391"/>
      <c r="F1078" s="330"/>
      <c r="G1078" s="760">
        <f t="shared" si="118"/>
        <v>0</v>
      </c>
      <c r="H1078" s="427">
        <f t="shared" si="119"/>
        <v>0</v>
      </c>
      <c r="I1078" s="550">
        <f t="shared" si="116"/>
        <v>0</v>
      </c>
      <c r="J1078" s="177">
        <v>0</v>
      </c>
      <c r="K1078" s="427">
        <f t="shared" si="115"/>
        <v>0</v>
      </c>
      <c r="L1078" s="427">
        <f t="shared" si="120"/>
        <v>0</v>
      </c>
      <c r="M1078" s="680">
        <v>0</v>
      </c>
      <c r="N1078" s="22">
        <f t="shared" si="117"/>
        <v>0</v>
      </c>
    </row>
    <row r="1079" spans="1:14" s="6" customFormat="1" ht="15.75">
      <c r="A1079" s="285">
        <v>199</v>
      </c>
      <c r="B1079" s="329" t="s">
        <v>1035</v>
      </c>
      <c r="C1079" s="391">
        <v>461.2</v>
      </c>
      <c r="D1079" s="330"/>
      <c r="E1079" s="391"/>
      <c r="F1079" s="330"/>
      <c r="G1079" s="760">
        <f t="shared" si="118"/>
        <v>0</v>
      </c>
      <c r="H1079" s="427">
        <f t="shared" si="119"/>
        <v>0</v>
      </c>
      <c r="I1079" s="550">
        <f t="shared" si="116"/>
        <v>0</v>
      </c>
      <c r="J1079" s="177">
        <v>0</v>
      </c>
      <c r="K1079" s="427">
        <f t="shared" si="115"/>
        <v>0</v>
      </c>
      <c r="L1079" s="427">
        <f t="shared" si="120"/>
        <v>0</v>
      </c>
      <c r="M1079" s="680">
        <v>0</v>
      </c>
      <c r="N1079" s="22">
        <f t="shared" si="117"/>
        <v>0</v>
      </c>
    </row>
    <row r="1080" spans="1:14" s="6" customFormat="1" ht="15.75">
      <c r="A1080" s="285">
        <v>200</v>
      </c>
      <c r="B1080" s="329" t="s">
        <v>1036</v>
      </c>
      <c r="C1080" s="391">
        <v>446.5</v>
      </c>
      <c r="D1080" s="330"/>
      <c r="E1080" s="391"/>
      <c r="F1080" s="330"/>
      <c r="G1080" s="760">
        <f t="shared" si="118"/>
        <v>0</v>
      </c>
      <c r="H1080" s="427">
        <f t="shared" si="119"/>
        <v>0</v>
      </c>
      <c r="I1080" s="550">
        <f t="shared" si="116"/>
        <v>0</v>
      </c>
      <c r="J1080" s="177">
        <v>0</v>
      </c>
      <c r="K1080" s="427">
        <f t="shared" si="115"/>
        <v>0</v>
      </c>
      <c r="L1080" s="427">
        <f t="shared" si="120"/>
        <v>0</v>
      </c>
      <c r="M1080" s="680">
        <v>0</v>
      </c>
      <c r="N1080" s="22">
        <f t="shared" si="117"/>
        <v>0</v>
      </c>
    </row>
    <row r="1081" spans="1:14" s="6" customFormat="1" ht="15.75">
      <c r="A1081" s="285">
        <v>201</v>
      </c>
      <c r="B1081" s="329" t="s">
        <v>1037</v>
      </c>
      <c r="C1081" s="391">
        <v>291.5</v>
      </c>
      <c r="D1081" s="330"/>
      <c r="E1081" s="391"/>
      <c r="F1081" s="330"/>
      <c r="G1081" s="760">
        <f t="shared" si="118"/>
        <v>0</v>
      </c>
      <c r="H1081" s="427">
        <f t="shared" si="119"/>
        <v>0</v>
      </c>
      <c r="I1081" s="550">
        <f t="shared" si="116"/>
        <v>0</v>
      </c>
      <c r="J1081" s="177">
        <v>0</v>
      </c>
      <c r="K1081" s="427">
        <f t="shared" si="115"/>
        <v>0</v>
      </c>
      <c r="L1081" s="427">
        <f t="shared" si="120"/>
        <v>0</v>
      </c>
      <c r="M1081" s="680">
        <v>0</v>
      </c>
      <c r="N1081" s="22">
        <f t="shared" si="117"/>
        <v>0</v>
      </c>
    </row>
    <row r="1082" spans="1:14" s="6" customFormat="1" ht="15.75">
      <c r="A1082" s="285">
        <v>202</v>
      </c>
      <c r="B1082" s="329" t="s">
        <v>1038</v>
      </c>
      <c r="C1082" s="391">
        <v>361.5</v>
      </c>
      <c r="D1082" s="330"/>
      <c r="E1082" s="391"/>
      <c r="F1082" s="330"/>
      <c r="G1082" s="760">
        <f t="shared" si="118"/>
        <v>0</v>
      </c>
      <c r="H1082" s="427">
        <f t="shared" si="119"/>
        <v>0</v>
      </c>
      <c r="I1082" s="550">
        <f t="shared" si="116"/>
        <v>0</v>
      </c>
      <c r="J1082" s="177">
        <v>0</v>
      </c>
      <c r="K1082" s="427">
        <f t="shared" si="115"/>
        <v>0</v>
      </c>
      <c r="L1082" s="427">
        <f t="shared" si="120"/>
        <v>0</v>
      </c>
      <c r="M1082" s="680">
        <v>0</v>
      </c>
      <c r="N1082" s="22">
        <f t="shared" si="117"/>
        <v>0</v>
      </c>
    </row>
    <row r="1083" spans="1:14" s="6" customFormat="1" ht="15.75">
      <c r="A1083" s="285">
        <v>203</v>
      </c>
      <c r="B1083" s="329" t="s">
        <v>1039</v>
      </c>
      <c r="C1083" s="391">
        <v>474.6</v>
      </c>
      <c r="D1083" s="391"/>
      <c r="E1083" s="330">
        <v>11.3</v>
      </c>
      <c r="F1083" s="330"/>
      <c r="G1083" s="760">
        <f t="shared" si="118"/>
        <v>0</v>
      </c>
      <c r="H1083" s="427">
        <f t="shared" si="119"/>
        <v>0</v>
      </c>
      <c r="I1083" s="550">
        <f t="shared" si="116"/>
        <v>0</v>
      </c>
      <c r="J1083" s="177">
        <v>0</v>
      </c>
      <c r="K1083" s="427">
        <f t="shared" si="115"/>
        <v>0</v>
      </c>
      <c r="L1083" s="427">
        <f t="shared" si="120"/>
        <v>0</v>
      </c>
      <c r="M1083" s="680">
        <v>0</v>
      </c>
      <c r="N1083" s="22">
        <f t="shared" si="117"/>
        <v>0</v>
      </c>
    </row>
    <row r="1084" spans="1:14" s="6" customFormat="1" ht="15.75">
      <c r="A1084" s="285">
        <v>204</v>
      </c>
      <c r="B1084" s="329" t="s">
        <v>1040</v>
      </c>
      <c r="C1084" s="391">
        <v>399.3</v>
      </c>
      <c r="D1084" s="391"/>
      <c r="E1084" s="330">
        <v>31.2</v>
      </c>
      <c r="F1084" s="330"/>
      <c r="G1084" s="760">
        <f t="shared" si="118"/>
        <v>0</v>
      </c>
      <c r="H1084" s="427">
        <f t="shared" si="119"/>
        <v>0</v>
      </c>
      <c r="I1084" s="550">
        <f t="shared" si="116"/>
        <v>0</v>
      </c>
      <c r="J1084" s="177">
        <v>0</v>
      </c>
      <c r="K1084" s="427">
        <f t="shared" ref="K1084:K1145" si="121">G1084*801.55</f>
        <v>0</v>
      </c>
      <c r="L1084" s="427">
        <f t="shared" si="120"/>
        <v>0</v>
      </c>
      <c r="M1084" s="680">
        <v>0</v>
      </c>
      <c r="N1084" s="22">
        <f t="shared" si="117"/>
        <v>0</v>
      </c>
    </row>
    <row r="1085" spans="1:14" s="6" customFormat="1" ht="15.75">
      <c r="A1085" s="285">
        <v>205</v>
      </c>
      <c r="B1085" s="329" t="s">
        <v>1041</v>
      </c>
      <c r="C1085" s="391">
        <v>96.4</v>
      </c>
      <c r="D1085" s="330"/>
      <c r="E1085" s="391"/>
      <c r="F1085" s="330"/>
      <c r="G1085" s="760">
        <f t="shared" si="118"/>
        <v>0</v>
      </c>
      <c r="H1085" s="427">
        <f t="shared" si="119"/>
        <v>0</v>
      </c>
      <c r="I1085" s="550">
        <f t="shared" si="116"/>
        <v>0</v>
      </c>
      <c r="J1085" s="177">
        <v>0</v>
      </c>
      <c r="K1085" s="427">
        <f t="shared" si="121"/>
        <v>0</v>
      </c>
      <c r="L1085" s="427">
        <f t="shared" si="120"/>
        <v>0</v>
      </c>
      <c r="M1085" s="680">
        <v>0</v>
      </c>
      <c r="N1085" s="22">
        <f t="shared" si="117"/>
        <v>0</v>
      </c>
    </row>
    <row r="1086" spans="1:14" s="6" customFormat="1" ht="15.75">
      <c r="A1086" s="285">
        <v>206</v>
      </c>
      <c r="B1086" s="329" t="s">
        <v>1042</v>
      </c>
      <c r="C1086" s="391">
        <v>76.2</v>
      </c>
      <c r="D1086" s="330"/>
      <c r="E1086" s="391"/>
      <c r="F1086" s="330"/>
      <c r="G1086" s="760">
        <f t="shared" si="118"/>
        <v>0</v>
      </c>
      <c r="H1086" s="427">
        <f t="shared" si="119"/>
        <v>0</v>
      </c>
      <c r="I1086" s="550">
        <f t="shared" si="116"/>
        <v>0</v>
      </c>
      <c r="J1086" s="177">
        <v>0</v>
      </c>
      <c r="K1086" s="427">
        <f t="shared" si="121"/>
        <v>0</v>
      </c>
      <c r="L1086" s="427">
        <f t="shared" si="120"/>
        <v>0</v>
      </c>
      <c r="M1086" s="680">
        <v>0</v>
      </c>
      <c r="N1086" s="22">
        <f t="shared" si="117"/>
        <v>0</v>
      </c>
    </row>
    <row r="1087" spans="1:14" s="6" customFormat="1" ht="15.75">
      <c r="A1087" s="285">
        <v>207</v>
      </c>
      <c r="B1087" s="329" t="s">
        <v>1043</v>
      </c>
      <c r="C1087" s="391">
        <v>84.3</v>
      </c>
      <c r="D1087" s="330"/>
      <c r="E1087" s="391"/>
      <c r="F1087" s="330"/>
      <c r="G1087" s="760">
        <f t="shared" si="118"/>
        <v>0</v>
      </c>
      <c r="H1087" s="427">
        <f t="shared" si="119"/>
        <v>0</v>
      </c>
      <c r="I1087" s="550">
        <f t="shared" si="116"/>
        <v>0</v>
      </c>
      <c r="J1087" s="177">
        <v>0</v>
      </c>
      <c r="K1087" s="427">
        <f t="shared" si="121"/>
        <v>0</v>
      </c>
      <c r="L1087" s="427">
        <f t="shared" si="120"/>
        <v>0</v>
      </c>
      <c r="M1087" s="680">
        <v>0</v>
      </c>
      <c r="N1087" s="22">
        <f t="shared" si="117"/>
        <v>0</v>
      </c>
    </row>
    <row r="1088" spans="1:14" s="6" customFormat="1" ht="15.75">
      <c r="A1088" s="285">
        <v>208</v>
      </c>
      <c r="B1088" s="329" t="s">
        <v>1044</v>
      </c>
      <c r="C1088" s="391">
        <v>236.4</v>
      </c>
      <c r="D1088" s="330"/>
      <c r="E1088" s="391"/>
      <c r="F1088" s="330"/>
      <c r="G1088" s="760">
        <f t="shared" si="118"/>
        <v>0</v>
      </c>
      <c r="H1088" s="427">
        <f t="shared" si="119"/>
        <v>0</v>
      </c>
      <c r="I1088" s="550">
        <f t="shared" si="116"/>
        <v>0</v>
      </c>
      <c r="J1088" s="177">
        <v>0</v>
      </c>
      <c r="K1088" s="427">
        <f t="shared" si="121"/>
        <v>0</v>
      </c>
      <c r="L1088" s="427">
        <f t="shared" si="120"/>
        <v>0</v>
      </c>
      <c r="M1088" s="680">
        <v>0</v>
      </c>
      <c r="N1088" s="22">
        <f t="shared" si="117"/>
        <v>0</v>
      </c>
    </row>
    <row r="1089" spans="1:14" s="6" customFormat="1" ht="15.75">
      <c r="A1089" s="285">
        <v>209</v>
      </c>
      <c r="B1089" s="329" t="s">
        <v>1045</v>
      </c>
      <c r="C1089" s="391">
        <v>84.3</v>
      </c>
      <c r="D1089" s="330"/>
      <c r="E1089" s="391"/>
      <c r="F1089" s="330"/>
      <c r="G1089" s="760">
        <f t="shared" si="118"/>
        <v>0</v>
      </c>
      <c r="H1089" s="427">
        <f t="shared" si="119"/>
        <v>0</v>
      </c>
      <c r="I1089" s="550">
        <f t="shared" si="116"/>
        <v>0</v>
      </c>
      <c r="J1089" s="177">
        <v>0</v>
      </c>
      <c r="K1089" s="427">
        <f t="shared" si="121"/>
        <v>0</v>
      </c>
      <c r="L1089" s="427">
        <f t="shared" si="120"/>
        <v>0</v>
      </c>
      <c r="M1089" s="680">
        <v>0</v>
      </c>
      <c r="N1089" s="22">
        <f t="shared" si="117"/>
        <v>0</v>
      </c>
    </row>
    <row r="1090" spans="1:14" s="6" customFormat="1" ht="15.75">
      <c r="A1090" s="285">
        <v>210</v>
      </c>
      <c r="B1090" s="329" t="s">
        <v>1046</v>
      </c>
      <c r="C1090" s="391">
        <v>84.3</v>
      </c>
      <c r="D1090" s="330"/>
      <c r="E1090" s="391"/>
      <c r="F1090" s="330"/>
      <c r="G1090" s="760">
        <f t="shared" si="118"/>
        <v>0</v>
      </c>
      <c r="H1090" s="427">
        <f t="shared" si="119"/>
        <v>0</v>
      </c>
      <c r="I1090" s="550">
        <f t="shared" si="116"/>
        <v>0</v>
      </c>
      <c r="J1090" s="177">
        <v>0</v>
      </c>
      <c r="K1090" s="427">
        <f t="shared" si="121"/>
        <v>0</v>
      </c>
      <c r="L1090" s="427">
        <f t="shared" si="120"/>
        <v>0</v>
      </c>
      <c r="M1090" s="680">
        <v>0</v>
      </c>
      <c r="N1090" s="22">
        <f t="shared" si="117"/>
        <v>0</v>
      </c>
    </row>
    <row r="1091" spans="1:14" s="6" customFormat="1" ht="15.75">
      <c r="A1091" s="285">
        <v>211</v>
      </c>
      <c r="B1091" s="329" t="s">
        <v>1047</v>
      </c>
      <c r="C1091" s="391">
        <v>176.6</v>
      </c>
      <c r="D1091" s="330"/>
      <c r="E1091" s="391"/>
      <c r="F1091" s="330"/>
      <c r="G1091" s="760">
        <f t="shared" si="118"/>
        <v>0</v>
      </c>
      <c r="H1091" s="427">
        <f t="shared" si="119"/>
        <v>0</v>
      </c>
      <c r="I1091" s="550">
        <f t="shared" si="116"/>
        <v>0</v>
      </c>
      <c r="J1091" s="177">
        <v>0</v>
      </c>
      <c r="K1091" s="427">
        <f t="shared" si="121"/>
        <v>0</v>
      </c>
      <c r="L1091" s="427">
        <f t="shared" si="120"/>
        <v>0</v>
      </c>
      <c r="M1091" s="680">
        <v>0</v>
      </c>
      <c r="N1091" s="22">
        <f t="shared" si="117"/>
        <v>0</v>
      </c>
    </row>
    <row r="1092" spans="1:14" s="6" customFormat="1" ht="15.75">
      <c r="A1092" s="285">
        <v>212</v>
      </c>
      <c r="B1092" s="329" t="s">
        <v>1048</v>
      </c>
      <c r="C1092" s="391">
        <v>111.5</v>
      </c>
      <c r="D1092" s="330"/>
      <c r="E1092" s="391"/>
      <c r="F1092" s="330"/>
      <c r="G1092" s="760">
        <f t="shared" si="118"/>
        <v>0</v>
      </c>
      <c r="H1092" s="427">
        <f t="shared" si="119"/>
        <v>0</v>
      </c>
      <c r="I1092" s="550">
        <f t="shared" si="116"/>
        <v>0</v>
      </c>
      <c r="J1092" s="177">
        <v>0</v>
      </c>
      <c r="K1092" s="427">
        <f t="shared" si="121"/>
        <v>0</v>
      </c>
      <c r="L1092" s="427">
        <f t="shared" si="120"/>
        <v>0</v>
      </c>
      <c r="M1092" s="680">
        <v>0</v>
      </c>
      <c r="N1092" s="22">
        <f t="shared" si="117"/>
        <v>0</v>
      </c>
    </row>
    <row r="1093" spans="1:14" s="6" customFormat="1" ht="15.75">
      <c r="A1093" s="285">
        <v>213</v>
      </c>
      <c r="B1093" s="329" t="s">
        <v>1049</v>
      </c>
      <c r="C1093" s="391">
        <v>94.2</v>
      </c>
      <c r="D1093" s="330"/>
      <c r="E1093" s="391"/>
      <c r="F1093" s="330"/>
      <c r="G1093" s="760">
        <f t="shared" si="118"/>
        <v>0</v>
      </c>
      <c r="H1093" s="427">
        <f t="shared" si="119"/>
        <v>0</v>
      </c>
      <c r="I1093" s="550">
        <f t="shared" si="116"/>
        <v>0</v>
      </c>
      <c r="J1093" s="177">
        <v>0</v>
      </c>
      <c r="K1093" s="427">
        <f t="shared" si="121"/>
        <v>0</v>
      </c>
      <c r="L1093" s="427">
        <f t="shared" si="120"/>
        <v>0</v>
      </c>
      <c r="M1093" s="680">
        <v>0</v>
      </c>
      <c r="N1093" s="22">
        <f t="shared" si="117"/>
        <v>0</v>
      </c>
    </row>
    <row r="1094" spans="1:14" s="6" customFormat="1" ht="15.75">
      <c r="A1094" s="285">
        <v>214</v>
      </c>
      <c r="B1094" s="329" t="s">
        <v>1050</v>
      </c>
      <c r="C1094" s="391">
        <v>131.4</v>
      </c>
      <c r="D1094" s="330"/>
      <c r="E1094" s="391"/>
      <c r="F1094" s="330"/>
      <c r="G1094" s="760">
        <f t="shared" si="118"/>
        <v>0</v>
      </c>
      <c r="H1094" s="427">
        <f t="shared" si="119"/>
        <v>0</v>
      </c>
      <c r="I1094" s="550">
        <f t="shared" si="116"/>
        <v>0</v>
      </c>
      <c r="J1094" s="177">
        <v>0</v>
      </c>
      <c r="K1094" s="427">
        <f t="shared" si="121"/>
        <v>0</v>
      </c>
      <c r="L1094" s="427">
        <f t="shared" si="120"/>
        <v>0</v>
      </c>
      <c r="M1094" s="680">
        <v>0</v>
      </c>
      <c r="N1094" s="22">
        <f t="shared" si="117"/>
        <v>0</v>
      </c>
    </row>
    <row r="1095" spans="1:14" s="6" customFormat="1" ht="15.75">
      <c r="A1095" s="285">
        <v>215</v>
      </c>
      <c r="B1095" s="329" t="s">
        <v>1051</v>
      </c>
      <c r="C1095" s="391">
        <v>87.9</v>
      </c>
      <c r="D1095" s="330"/>
      <c r="E1095" s="391"/>
      <c r="F1095" s="330"/>
      <c r="G1095" s="760">
        <f t="shared" si="118"/>
        <v>0</v>
      </c>
      <c r="H1095" s="427">
        <f t="shared" si="119"/>
        <v>0</v>
      </c>
      <c r="I1095" s="550">
        <f t="shared" si="116"/>
        <v>0</v>
      </c>
      <c r="J1095" s="177">
        <v>0</v>
      </c>
      <c r="K1095" s="427">
        <f t="shared" si="121"/>
        <v>0</v>
      </c>
      <c r="L1095" s="427">
        <f t="shared" si="120"/>
        <v>0</v>
      </c>
      <c r="M1095" s="680">
        <v>0</v>
      </c>
      <c r="N1095" s="22">
        <f t="shared" si="117"/>
        <v>0</v>
      </c>
    </row>
    <row r="1096" spans="1:14" s="6" customFormat="1" ht="15.75">
      <c r="A1096" s="285">
        <v>216</v>
      </c>
      <c r="B1096" s="329" t="s">
        <v>1052</v>
      </c>
      <c r="C1096" s="391">
        <v>69.599999999999994</v>
      </c>
      <c r="D1096" s="330"/>
      <c r="E1096" s="391"/>
      <c r="F1096" s="330"/>
      <c r="G1096" s="760">
        <f t="shared" si="118"/>
        <v>0</v>
      </c>
      <c r="H1096" s="427">
        <f t="shared" si="119"/>
        <v>0</v>
      </c>
      <c r="I1096" s="550">
        <f t="shared" si="116"/>
        <v>0</v>
      </c>
      <c r="J1096" s="177">
        <v>0</v>
      </c>
      <c r="K1096" s="427">
        <f t="shared" si="121"/>
        <v>0</v>
      </c>
      <c r="L1096" s="427">
        <f t="shared" si="120"/>
        <v>0</v>
      </c>
      <c r="M1096" s="680">
        <v>0</v>
      </c>
      <c r="N1096" s="22">
        <f t="shared" si="117"/>
        <v>0</v>
      </c>
    </row>
    <row r="1097" spans="1:14" s="6" customFormat="1" ht="15.75">
      <c r="A1097" s="285">
        <v>217</v>
      </c>
      <c r="B1097" s="329" t="s">
        <v>1053</v>
      </c>
      <c r="C1097" s="391">
        <v>101.5</v>
      </c>
      <c r="D1097" s="330"/>
      <c r="E1097" s="391"/>
      <c r="F1097" s="330"/>
      <c r="G1097" s="760">
        <f t="shared" si="118"/>
        <v>0</v>
      </c>
      <c r="H1097" s="427">
        <f t="shared" si="119"/>
        <v>0</v>
      </c>
      <c r="I1097" s="550">
        <f t="shared" si="116"/>
        <v>0</v>
      </c>
      <c r="J1097" s="177">
        <v>0</v>
      </c>
      <c r="K1097" s="427">
        <f t="shared" si="121"/>
        <v>0</v>
      </c>
      <c r="L1097" s="427">
        <f t="shared" si="120"/>
        <v>0</v>
      </c>
      <c r="M1097" s="680">
        <v>0</v>
      </c>
      <c r="N1097" s="22">
        <f t="shared" si="117"/>
        <v>0</v>
      </c>
    </row>
    <row r="1098" spans="1:14" s="6" customFormat="1" ht="15.75">
      <c r="A1098" s="285">
        <v>218</v>
      </c>
      <c r="B1098" s="329" t="s">
        <v>1054</v>
      </c>
      <c r="C1098" s="391">
        <v>237.8</v>
      </c>
      <c r="D1098" s="330"/>
      <c r="E1098" s="391"/>
      <c r="F1098" s="330"/>
      <c r="G1098" s="760">
        <f t="shared" si="118"/>
        <v>0</v>
      </c>
      <c r="H1098" s="427">
        <f t="shared" si="119"/>
        <v>0</v>
      </c>
      <c r="I1098" s="550">
        <f t="shared" si="116"/>
        <v>0</v>
      </c>
      <c r="J1098" s="177">
        <v>0</v>
      </c>
      <c r="K1098" s="427">
        <f t="shared" si="121"/>
        <v>0</v>
      </c>
      <c r="L1098" s="427">
        <f t="shared" si="120"/>
        <v>0</v>
      </c>
      <c r="M1098" s="680">
        <v>0</v>
      </c>
      <c r="N1098" s="22">
        <f t="shared" si="117"/>
        <v>0</v>
      </c>
    </row>
    <row r="1099" spans="1:14" s="6" customFormat="1" ht="15.75">
      <c r="A1099" s="285">
        <v>219</v>
      </c>
      <c r="B1099" s="329" t="s">
        <v>1055</v>
      </c>
      <c r="C1099" s="391">
        <v>96.6</v>
      </c>
      <c r="D1099" s="330"/>
      <c r="E1099" s="391"/>
      <c r="F1099" s="330"/>
      <c r="G1099" s="760">
        <f t="shared" si="118"/>
        <v>0</v>
      </c>
      <c r="H1099" s="427">
        <f t="shared" si="119"/>
        <v>0</v>
      </c>
      <c r="I1099" s="550">
        <f t="shared" si="116"/>
        <v>0</v>
      </c>
      <c r="J1099" s="177">
        <v>0</v>
      </c>
      <c r="K1099" s="427">
        <f t="shared" si="121"/>
        <v>0</v>
      </c>
      <c r="L1099" s="427">
        <f t="shared" si="120"/>
        <v>0</v>
      </c>
      <c r="M1099" s="680">
        <v>0</v>
      </c>
      <c r="N1099" s="22">
        <f t="shared" si="117"/>
        <v>0</v>
      </c>
    </row>
    <row r="1100" spans="1:14" s="6" customFormat="1" ht="15.75">
      <c r="A1100" s="285">
        <v>220</v>
      </c>
      <c r="B1100" s="329" t="s">
        <v>1056</v>
      </c>
      <c r="C1100" s="391">
        <v>120.2</v>
      </c>
      <c r="D1100" s="330"/>
      <c r="E1100" s="391"/>
      <c r="F1100" s="330"/>
      <c r="G1100" s="760">
        <f t="shared" si="118"/>
        <v>0</v>
      </c>
      <c r="H1100" s="427">
        <f t="shared" si="119"/>
        <v>0</v>
      </c>
      <c r="I1100" s="550">
        <f t="shared" si="116"/>
        <v>0</v>
      </c>
      <c r="J1100" s="177">
        <v>0</v>
      </c>
      <c r="K1100" s="427">
        <f t="shared" si="121"/>
        <v>0</v>
      </c>
      <c r="L1100" s="427">
        <f t="shared" si="120"/>
        <v>0</v>
      </c>
      <c r="M1100" s="680">
        <v>0</v>
      </c>
      <c r="N1100" s="22">
        <f t="shared" si="117"/>
        <v>0</v>
      </c>
    </row>
    <row r="1101" spans="1:14" s="6" customFormat="1" ht="15.75">
      <c r="A1101" s="285">
        <v>221</v>
      </c>
      <c r="B1101" s="329" t="s">
        <v>1057</v>
      </c>
      <c r="C1101" s="391">
        <v>340.3</v>
      </c>
      <c r="D1101" s="330"/>
      <c r="E1101" s="391"/>
      <c r="F1101" s="330"/>
      <c r="G1101" s="760">
        <f t="shared" si="118"/>
        <v>0</v>
      </c>
      <c r="H1101" s="427">
        <f t="shared" si="119"/>
        <v>0</v>
      </c>
      <c r="I1101" s="550">
        <f t="shared" si="116"/>
        <v>0</v>
      </c>
      <c r="J1101" s="177">
        <v>0</v>
      </c>
      <c r="K1101" s="427">
        <f t="shared" si="121"/>
        <v>0</v>
      </c>
      <c r="L1101" s="427">
        <f t="shared" si="120"/>
        <v>0</v>
      </c>
      <c r="M1101" s="680">
        <v>0</v>
      </c>
      <c r="N1101" s="22">
        <f t="shared" si="117"/>
        <v>0</v>
      </c>
    </row>
    <row r="1102" spans="1:14" s="6" customFormat="1" ht="15.75">
      <c r="A1102" s="285">
        <v>222</v>
      </c>
      <c r="B1102" s="329" t="s">
        <v>1058</v>
      </c>
      <c r="C1102" s="391">
        <v>264.89999999999998</v>
      </c>
      <c r="D1102" s="330"/>
      <c r="E1102" s="391"/>
      <c r="F1102" s="330"/>
      <c r="G1102" s="760">
        <f t="shared" si="118"/>
        <v>0</v>
      </c>
      <c r="H1102" s="427">
        <f t="shared" si="119"/>
        <v>0</v>
      </c>
      <c r="I1102" s="550">
        <f t="shared" si="116"/>
        <v>0</v>
      </c>
      <c r="J1102" s="177">
        <v>0</v>
      </c>
      <c r="K1102" s="427">
        <f t="shared" si="121"/>
        <v>0</v>
      </c>
      <c r="L1102" s="427">
        <f t="shared" si="120"/>
        <v>0</v>
      </c>
      <c r="M1102" s="680">
        <v>0</v>
      </c>
      <c r="N1102" s="22">
        <f t="shared" si="117"/>
        <v>0</v>
      </c>
    </row>
    <row r="1103" spans="1:14" s="6" customFormat="1" ht="15.75">
      <c r="A1103" s="285">
        <v>223</v>
      </c>
      <c r="B1103" s="329" t="s">
        <v>1059</v>
      </c>
      <c r="C1103" s="391">
        <v>299.7</v>
      </c>
      <c r="D1103" s="330"/>
      <c r="E1103" s="391"/>
      <c r="F1103" s="330"/>
      <c r="G1103" s="760">
        <f t="shared" si="118"/>
        <v>0</v>
      </c>
      <c r="H1103" s="427">
        <f t="shared" si="119"/>
        <v>0</v>
      </c>
      <c r="I1103" s="550">
        <f t="shared" si="116"/>
        <v>0</v>
      </c>
      <c r="J1103" s="177">
        <v>0</v>
      </c>
      <c r="K1103" s="427">
        <f t="shared" si="121"/>
        <v>0</v>
      </c>
      <c r="L1103" s="427">
        <f t="shared" si="120"/>
        <v>0</v>
      </c>
      <c r="M1103" s="680">
        <v>0</v>
      </c>
      <c r="N1103" s="22">
        <f t="shared" si="117"/>
        <v>0</v>
      </c>
    </row>
    <row r="1104" spans="1:14" s="6" customFormat="1" ht="15.75">
      <c r="A1104" s="285">
        <v>224</v>
      </c>
      <c r="B1104" s="329" t="s">
        <v>1060</v>
      </c>
      <c r="C1104" s="391">
        <v>143.69999999999999</v>
      </c>
      <c r="D1104" s="330"/>
      <c r="E1104" s="391"/>
      <c r="F1104" s="330"/>
      <c r="G1104" s="760">
        <f t="shared" si="118"/>
        <v>0</v>
      </c>
      <c r="H1104" s="427">
        <f t="shared" si="119"/>
        <v>0</v>
      </c>
      <c r="I1104" s="550">
        <f t="shared" si="116"/>
        <v>0</v>
      </c>
      <c r="J1104" s="177">
        <v>0</v>
      </c>
      <c r="K1104" s="427">
        <f t="shared" si="121"/>
        <v>0</v>
      </c>
      <c r="L1104" s="427">
        <f t="shared" si="120"/>
        <v>0</v>
      </c>
      <c r="M1104" s="680">
        <v>0</v>
      </c>
      <c r="N1104" s="22">
        <f t="shared" si="117"/>
        <v>0</v>
      </c>
    </row>
    <row r="1105" spans="1:14" s="6" customFormat="1" ht="15.75">
      <c r="A1105" s="285">
        <v>225</v>
      </c>
      <c r="B1105" s="329" t="s">
        <v>1061</v>
      </c>
      <c r="C1105" s="391">
        <v>295.10000000000002</v>
      </c>
      <c r="D1105" s="330"/>
      <c r="E1105" s="391"/>
      <c r="F1105" s="330"/>
      <c r="G1105" s="760">
        <f t="shared" si="118"/>
        <v>0</v>
      </c>
      <c r="H1105" s="427">
        <f t="shared" si="119"/>
        <v>0</v>
      </c>
      <c r="I1105" s="550">
        <f t="shared" si="116"/>
        <v>0</v>
      </c>
      <c r="J1105" s="177">
        <v>0</v>
      </c>
      <c r="K1105" s="427">
        <f t="shared" si="121"/>
        <v>0</v>
      </c>
      <c r="L1105" s="427">
        <f t="shared" si="120"/>
        <v>0</v>
      </c>
      <c r="M1105" s="680">
        <v>0</v>
      </c>
      <c r="N1105" s="22">
        <f t="shared" si="117"/>
        <v>0</v>
      </c>
    </row>
    <row r="1106" spans="1:14" s="6" customFormat="1" ht="15.75">
      <c r="A1106" s="285">
        <v>226</v>
      </c>
      <c r="B1106" s="329" t="s">
        <v>1062</v>
      </c>
      <c r="C1106" s="391">
        <v>148.69999999999999</v>
      </c>
      <c r="D1106" s="330"/>
      <c r="E1106" s="391"/>
      <c r="F1106" s="330"/>
      <c r="G1106" s="760">
        <f t="shared" si="118"/>
        <v>0</v>
      </c>
      <c r="H1106" s="427">
        <f t="shared" si="119"/>
        <v>0</v>
      </c>
      <c r="I1106" s="550">
        <f t="shared" si="116"/>
        <v>0</v>
      </c>
      <c r="J1106" s="177">
        <v>0</v>
      </c>
      <c r="K1106" s="427">
        <f t="shared" si="121"/>
        <v>0</v>
      </c>
      <c r="L1106" s="427">
        <f t="shared" si="120"/>
        <v>0</v>
      </c>
      <c r="M1106" s="680">
        <v>0</v>
      </c>
      <c r="N1106" s="22">
        <f t="shared" si="117"/>
        <v>0</v>
      </c>
    </row>
    <row r="1107" spans="1:14" s="6" customFormat="1" ht="15.75">
      <c r="A1107" s="285">
        <v>227</v>
      </c>
      <c r="B1107" s="329" t="s">
        <v>1063</v>
      </c>
      <c r="C1107" s="391">
        <v>339.7</v>
      </c>
      <c r="D1107" s="330"/>
      <c r="E1107" s="391"/>
      <c r="F1107" s="330"/>
      <c r="G1107" s="760">
        <f t="shared" si="118"/>
        <v>0</v>
      </c>
      <c r="H1107" s="427">
        <f t="shared" si="119"/>
        <v>0</v>
      </c>
      <c r="I1107" s="550">
        <f t="shared" si="116"/>
        <v>0</v>
      </c>
      <c r="J1107" s="177">
        <v>0</v>
      </c>
      <c r="K1107" s="427">
        <f t="shared" si="121"/>
        <v>0</v>
      </c>
      <c r="L1107" s="427">
        <f t="shared" si="120"/>
        <v>0</v>
      </c>
      <c r="M1107" s="680">
        <v>0</v>
      </c>
      <c r="N1107" s="22">
        <f t="shared" si="117"/>
        <v>0</v>
      </c>
    </row>
    <row r="1108" spans="1:14" s="6" customFormat="1" ht="15.75">
      <c r="A1108" s="285">
        <v>228</v>
      </c>
      <c r="B1108" s="329" t="s">
        <v>1064</v>
      </c>
      <c r="C1108" s="391">
        <v>197.6</v>
      </c>
      <c r="D1108" s="330"/>
      <c r="E1108" s="391"/>
      <c r="F1108" s="330"/>
      <c r="G1108" s="760">
        <f t="shared" si="118"/>
        <v>0</v>
      </c>
      <c r="H1108" s="427">
        <f t="shared" si="119"/>
        <v>0</v>
      </c>
      <c r="I1108" s="550">
        <f t="shared" si="116"/>
        <v>0</v>
      </c>
      <c r="J1108" s="177">
        <v>0</v>
      </c>
      <c r="K1108" s="427">
        <f t="shared" si="121"/>
        <v>0</v>
      </c>
      <c r="L1108" s="427">
        <f t="shared" si="120"/>
        <v>0</v>
      </c>
      <c r="M1108" s="680">
        <v>0</v>
      </c>
      <c r="N1108" s="22">
        <f t="shared" si="117"/>
        <v>0</v>
      </c>
    </row>
    <row r="1109" spans="1:14" s="6" customFormat="1" ht="15.75">
      <c r="A1109" s="285">
        <v>229</v>
      </c>
      <c r="B1109" s="329" t="s">
        <v>1065</v>
      </c>
      <c r="C1109" s="546">
        <v>251</v>
      </c>
      <c r="D1109" s="330"/>
      <c r="E1109" s="391"/>
      <c r="F1109" s="330"/>
      <c r="G1109" s="760">
        <f t="shared" si="118"/>
        <v>0</v>
      </c>
      <c r="H1109" s="427">
        <f t="shared" si="119"/>
        <v>0</v>
      </c>
      <c r="I1109" s="550">
        <f t="shared" ref="I1109:I1145" si="122">H1109*0.3677</f>
        <v>0</v>
      </c>
      <c r="J1109" s="177">
        <v>0</v>
      </c>
      <c r="K1109" s="427">
        <f t="shared" si="121"/>
        <v>0</v>
      </c>
      <c r="L1109" s="427">
        <f t="shared" si="120"/>
        <v>0</v>
      </c>
      <c r="M1109" s="680">
        <v>0</v>
      </c>
      <c r="N1109" s="22">
        <f t="shared" si="117"/>
        <v>0</v>
      </c>
    </row>
    <row r="1110" spans="1:14" s="6" customFormat="1" ht="15.75">
      <c r="A1110" s="285">
        <v>230</v>
      </c>
      <c r="B1110" s="329" t="s">
        <v>1066</v>
      </c>
      <c r="C1110" s="391">
        <v>172.7</v>
      </c>
      <c r="D1110" s="330"/>
      <c r="E1110" s="391"/>
      <c r="F1110" s="330"/>
      <c r="G1110" s="760">
        <f t="shared" si="118"/>
        <v>0</v>
      </c>
      <c r="H1110" s="427">
        <f t="shared" si="119"/>
        <v>0</v>
      </c>
      <c r="I1110" s="550">
        <f t="shared" si="122"/>
        <v>0</v>
      </c>
      <c r="J1110" s="177">
        <v>0</v>
      </c>
      <c r="K1110" s="427">
        <f t="shared" si="121"/>
        <v>0</v>
      </c>
      <c r="L1110" s="427">
        <f t="shared" si="120"/>
        <v>0</v>
      </c>
      <c r="M1110" s="680">
        <v>0</v>
      </c>
      <c r="N1110" s="22">
        <f t="shared" si="117"/>
        <v>0</v>
      </c>
    </row>
    <row r="1111" spans="1:14" s="6" customFormat="1" ht="15.75">
      <c r="A1111" s="285">
        <v>231</v>
      </c>
      <c r="B1111" s="329" t="s">
        <v>1067</v>
      </c>
      <c r="C1111" s="391">
        <v>294.2</v>
      </c>
      <c r="D1111" s="330"/>
      <c r="E1111" s="391"/>
      <c r="F1111" s="330"/>
      <c r="G1111" s="760">
        <f t="shared" si="118"/>
        <v>0</v>
      </c>
      <c r="H1111" s="427">
        <f t="shared" si="119"/>
        <v>0</v>
      </c>
      <c r="I1111" s="550">
        <f t="shared" si="122"/>
        <v>0</v>
      </c>
      <c r="J1111" s="177">
        <v>0</v>
      </c>
      <c r="K1111" s="427">
        <f t="shared" si="121"/>
        <v>0</v>
      </c>
      <c r="L1111" s="427">
        <f t="shared" si="120"/>
        <v>0</v>
      </c>
      <c r="M1111" s="680">
        <v>0</v>
      </c>
      <c r="N1111" s="22">
        <f t="shared" si="117"/>
        <v>0</v>
      </c>
    </row>
    <row r="1112" spans="1:14" s="6" customFormat="1" ht="15.75">
      <c r="A1112" s="285">
        <v>232</v>
      </c>
      <c r="B1112" s="329" t="s">
        <v>1068</v>
      </c>
      <c r="C1112" s="391">
        <v>200.9</v>
      </c>
      <c r="D1112" s="330"/>
      <c r="E1112" s="391"/>
      <c r="F1112" s="330"/>
      <c r="G1112" s="760">
        <f t="shared" si="118"/>
        <v>0</v>
      </c>
      <c r="H1112" s="427">
        <f t="shared" si="119"/>
        <v>0</v>
      </c>
      <c r="I1112" s="550">
        <f t="shared" si="122"/>
        <v>0</v>
      </c>
      <c r="J1112" s="177">
        <v>0</v>
      </c>
      <c r="K1112" s="427">
        <f t="shared" si="121"/>
        <v>0</v>
      </c>
      <c r="L1112" s="427">
        <f t="shared" si="120"/>
        <v>0</v>
      </c>
      <c r="M1112" s="680">
        <v>0</v>
      </c>
      <c r="N1112" s="22">
        <f t="shared" si="117"/>
        <v>0</v>
      </c>
    </row>
    <row r="1113" spans="1:14" s="6" customFormat="1" ht="15.75">
      <c r="A1113" s="285">
        <v>233</v>
      </c>
      <c r="B1113" s="329" t="s">
        <v>1069</v>
      </c>
      <c r="C1113" s="391">
        <v>297.8</v>
      </c>
      <c r="D1113" s="330"/>
      <c r="E1113" s="391"/>
      <c r="F1113" s="330"/>
      <c r="G1113" s="760">
        <f t="shared" si="118"/>
        <v>0</v>
      </c>
      <c r="H1113" s="427">
        <f t="shared" si="119"/>
        <v>0</v>
      </c>
      <c r="I1113" s="550">
        <f t="shared" si="122"/>
        <v>0</v>
      </c>
      <c r="J1113" s="177">
        <v>0</v>
      </c>
      <c r="K1113" s="427">
        <f t="shared" si="121"/>
        <v>0</v>
      </c>
      <c r="L1113" s="427">
        <f t="shared" si="120"/>
        <v>0</v>
      </c>
      <c r="M1113" s="680">
        <v>0</v>
      </c>
      <c r="N1113" s="22">
        <f t="shared" si="117"/>
        <v>0</v>
      </c>
    </row>
    <row r="1114" spans="1:14" s="6" customFormat="1" ht="15.75">
      <c r="A1114" s="285">
        <v>234</v>
      </c>
      <c r="B1114" s="329" t="s">
        <v>1070</v>
      </c>
      <c r="C1114" s="391">
        <v>124.6</v>
      </c>
      <c r="D1114" s="330"/>
      <c r="E1114" s="391"/>
      <c r="F1114" s="330"/>
      <c r="G1114" s="760">
        <f t="shared" si="118"/>
        <v>0</v>
      </c>
      <c r="H1114" s="427">
        <f t="shared" si="119"/>
        <v>0</v>
      </c>
      <c r="I1114" s="550">
        <f t="shared" si="122"/>
        <v>0</v>
      </c>
      <c r="J1114" s="177">
        <v>0</v>
      </c>
      <c r="K1114" s="427">
        <f t="shared" si="121"/>
        <v>0</v>
      </c>
      <c r="L1114" s="427">
        <f t="shared" si="120"/>
        <v>0</v>
      </c>
      <c r="M1114" s="680">
        <v>0</v>
      </c>
      <c r="N1114" s="22">
        <f t="shared" si="117"/>
        <v>0</v>
      </c>
    </row>
    <row r="1115" spans="1:14" s="6" customFormat="1" ht="15.75">
      <c r="A1115" s="285">
        <v>235</v>
      </c>
      <c r="B1115" s="329" t="s">
        <v>1071</v>
      </c>
      <c r="C1115" s="391">
        <v>132.19999999999999</v>
      </c>
      <c r="D1115" s="330"/>
      <c r="E1115" s="391"/>
      <c r="F1115" s="330"/>
      <c r="G1115" s="760">
        <f t="shared" si="118"/>
        <v>0</v>
      </c>
      <c r="H1115" s="427">
        <f t="shared" si="119"/>
        <v>0</v>
      </c>
      <c r="I1115" s="550">
        <f t="shared" si="122"/>
        <v>0</v>
      </c>
      <c r="J1115" s="177">
        <v>0</v>
      </c>
      <c r="K1115" s="427">
        <f t="shared" si="121"/>
        <v>0</v>
      </c>
      <c r="L1115" s="427">
        <f t="shared" si="120"/>
        <v>0</v>
      </c>
      <c r="M1115" s="680">
        <v>0</v>
      </c>
      <c r="N1115" s="22">
        <f t="shared" si="117"/>
        <v>0</v>
      </c>
    </row>
    <row r="1116" spans="1:14" s="6" customFormat="1" ht="15.75">
      <c r="A1116" s="285">
        <v>236</v>
      </c>
      <c r="B1116" s="329" t="s">
        <v>1072</v>
      </c>
      <c r="C1116" s="391">
        <v>225.4</v>
      </c>
      <c r="D1116" s="330"/>
      <c r="E1116" s="391"/>
      <c r="F1116" s="330"/>
      <c r="G1116" s="760">
        <f t="shared" si="118"/>
        <v>0</v>
      </c>
      <c r="H1116" s="427">
        <f t="shared" si="119"/>
        <v>0</v>
      </c>
      <c r="I1116" s="550">
        <f t="shared" si="122"/>
        <v>0</v>
      </c>
      <c r="J1116" s="177">
        <v>0</v>
      </c>
      <c r="K1116" s="427">
        <f t="shared" si="121"/>
        <v>0</v>
      </c>
      <c r="L1116" s="427">
        <f t="shared" si="120"/>
        <v>0</v>
      </c>
      <c r="M1116" s="680">
        <v>0</v>
      </c>
      <c r="N1116" s="22">
        <f t="shared" si="117"/>
        <v>0</v>
      </c>
    </row>
    <row r="1117" spans="1:14" s="6" customFormat="1" ht="15.75">
      <c r="A1117" s="285">
        <v>237</v>
      </c>
      <c r="B1117" s="329" t="s">
        <v>1073</v>
      </c>
      <c r="C1117" s="391">
        <v>415.6</v>
      </c>
      <c r="D1117" s="330"/>
      <c r="E1117" s="391"/>
      <c r="F1117" s="330"/>
      <c r="G1117" s="760">
        <f t="shared" si="118"/>
        <v>0</v>
      </c>
      <c r="H1117" s="427">
        <f t="shared" si="119"/>
        <v>0</v>
      </c>
      <c r="I1117" s="550">
        <f t="shared" si="122"/>
        <v>0</v>
      </c>
      <c r="J1117" s="177">
        <v>0</v>
      </c>
      <c r="K1117" s="427">
        <f t="shared" si="121"/>
        <v>0</v>
      </c>
      <c r="L1117" s="427">
        <f t="shared" si="120"/>
        <v>0</v>
      </c>
      <c r="M1117" s="680">
        <v>0</v>
      </c>
      <c r="N1117" s="22">
        <f t="shared" si="117"/>
        <v>0</v>
      </c>
    </row>
    <row r="1118" spans="1:14" s="6" customFormat="1" ht="15.75">
      <c r="A1118" s="285">
        <v>238</v>
      </c>
      <c r="B1118" s="329" t="s">
        <v>1074</v>
      </c>
      <c r="C1118" s="391">
        <v>1495</v>
      </c>
      <c r="D1118" s="330"/>
      <c r="E1118" s="391"/>
      <c r="F1118" s="330">
        <f>C1118+D1118+E1118</f>
        <v>1495</v>
      </c>
      <c r="G1118" s="760">
        <f t="shared" si="118"/>
        <v>1.3586489158958607E-2</v>
      </c>
      <c r="H1118" s="427">
        <f t="shared" si="119"/>
        <v>30.829510145267744</v>
      </c>
      <c r="I1118" s="550">
        <f t="shared" si="122"/>
        <v>11.33601088041495</v>
      </c>
      <c r="J1118" s="177">
        <v>12.427970865788215</v>
      </c>
      <c r="K1118" s="427">
        <f t="shared" si="121"/>
        <v>10.89025038536327</v>
      </c>
      <c r="L1118" s="427">
        <f t="shared" si="120"/>
        <v>13.275215219757827</v>
      </c>
      <c r="M1118" s="680">
        <f>(K1118+J1118+I1118+H1118)/F1118</f>
        <v>4.380183429888574E-2</v>
      </c>
      <c r="N1118" s="22">
        <f t="shared" si="117"/>
        <v>11.979275423899598</v>
      </c>
    </row>
    <row r="1119" spans="1:14" s="6" customFormat="1" ht="15.75">
      <c r="A1119" s="285">
        <v>239</v>
      </c>
      <c r="B1119" s="329" t="s">
        <v>1075</v>
      </c>
      <c r="C1119" s="391">
        <v>288.60000000000002</v>
      </c>
      <c r="D1119" s="330"/>
      <c r="E1119" s="391"/>
      <c r="F1119" s="330"/>
      <c r="G1119" s="760">
        <f t="shared" si="118"/>
        <v>0</v>
      </c>
      <c r="H1119" s="427">
        <f t="shared" si="119"/>
        <v>0</v>
      </c>
      <c r="I1119" s="550">
        <f t="shared" si="122"/>
        <v>0</v>
      </c>
      <c r="J1119" s="177">
        <v>0</v>
      </c>
      <c r="K1119" s="427">
        <f t="shared" si="121"/>
        <v>0</v>
      </c>
      <c r="L1119" s="427">
        <f t="shared" si="120"/>
        <v>0</v>
      </c>
      <c r="M1119" s="680">
        <v>0</v>
      </c>
      <c r="N1119" s="22">
        <f t="shared" si="117"/>
        <v>0</v>
      </c>
    </row>
    <row r="1120" spans="1:14" s="6" customFormat="1" ht="15.75">
      <c r="A1120" s="285">
        <v>240</v>
      </c>
      <c r="B1120" s="329" t="s">
        <v>1076</v>
      </c>
      <c r="C1120" s="391">
        <v>272.10000000000002</v>
      </c>
      <c r="D1120" s="330"/>
      <c r="E1120" s="391"/>
      <c r="F1120" s="330"/>
      <c r="G1120" s="760">
        <f t="shared" si="118"/>
        <v>0</v>
      </c>
      <c r="H1120" s="427">
        <f t="shared" si="119"/>
        <v>0</v>
      </c>
      <c r="I1120" s="550">
        <f t="shared" si="122"/>
        <v>0</v>
      </c>
      <c r="J1120" s="177">
        <v>0</v>
      </c>
      <c r="K1120" s="427">
        <f t="shared" si="121"/>
        <v>0</v>
      </c>
      <c r="L1120" s="427">
        <f t="shared" si="120"/>
        <v>0</v>
      </c>
      <c r="M1120" s="680">
        <v>0</v>
      </c>
      <c r="N1120" s="22">
        <f t="shared" si="117"/>
        <v>0</v>
      </c>
    </row>
    <row r="1121" spans="1:14" s="6" customFormat="1" ht="15.75">
      <c r="A1121" s="285">
        <v>241</v>
      </c>
      <c r="B1121" s="329" t="s">
        <v>1077</v>
      </c>
      <c r="C1121" s="391">
        <v>287.89999999999998</v>
      </c>
      <c r="D1121" s="330"/>
      <c r="E1121" s="391">
        <v>25.8</v>
      </c>
      <c r="F1121" s="330"/>
      <c r="G1121" s="760">
        <f t="shared" si="118"/>
        <v>0</v>
      </c>
      <c r="H1121" s="427">
        <f t="shared" si="119"/>
        <v>0</v>
      </c>
      <c r="I1121" s="550">
        <f t="shared" si="122"/>
        <v>0</v>
      </c>
      <c r="J1121" s="177">
        <v>0</v>
      </c>
      <c r="K1121" s="427">
        <f t="shared" si="121"/>
        <v>0</v>
      </c>
      <c r="L1121" s="427">
        <f t="shared" si="120"/>
        <v>0</v>
      </c>
      <c r="M1121" s="680">
        <v>0</v>
      </c>
      <c r="N1121" s="22">
        <f t="shared" si="117"/>
        <v>0</v>
      </c>
    </row>
    <row r="1122" spans="1:14" s="6" customFormat="1" ht="15.75">
      <c r="A1122" s="285">
        <v>242</v>
      </c>
      <c r="B1122" s="329" t="s">
        <v>1078</v>
      </c>
      <c r="C1122" s="391">
        <v>731.71</v>
      </c>
      <c r="D1122" s="330"/>
      <c r="E1122" s="391">
        <v>128.69999999999999</v>
      </c>
      <c r="F1122" s="330"/>
      <c r="G1122" s="760">
        <f t="shared" si="118"/>
        <v>0</v>
      </c>
      <c r="H1122" s="427">
        <f t="shared" si="119"/>
        <v>0</v>
      </c>
      <c r="I1122" s="550">
        <f t="shared" si="122"/>
        <v>0</v>
      </c>
      <c r="J1122" s="177">
        <v>0</v>
      </c>
      <c r="K1122" s="427">
        <f t="shared" si="121"/>
        <v>0</v>
      </c>
      <c r="L1122" s="427">
        <f t="shared" si="120"/>
        <v>0</v>
      </c>
      <c r="M1122" s="680">
        <v>0</v>
      </c>
      <c r="N1122" s="22">
        <f t="shared" si="117"/>
        <v>0</v>
      </c>
    </row>
    <row r="1123" spans="1:14" s="6" customFormat="1" ht="15.75">
      <c r="A1123" s="285">
        <v>243</v>
      </c>
      <c r="B1123" s="329" t="s">
        <v>1079</v>
      </c>
      <c r="C1123" s="546">
        <v>294</v>
      </c>
      <c r="D1123" s="330"/>
      <c r="E1123" s="391"/>
      <c r="F1123" s="330"/>
      <c r="G1123" s="760">
        <f t="shared" si="118"/>
        <v>0</v>
      </c>
      <c r="H1123" s="427">
        <f t="shared" si="119"/>
        <v>0</v>
      </c>
      <c r="I1123" s="550">
        <f t="shared" si="122"/>
        <v>0</v>
      </c>
      <c r="J1123" s="177">
        <v>0</v>
      </c>
      <c r="K1123" s="427">
        <f t="shared" si="121"/>
        <v>0</v>
      </c>
      <c r="L1123" s="427">
        <f t="shared" si="120"/>
        <v>0</v>
      </c>
      <c r="M1123" s="680">
        <v>0</v>
      </c>
      <c r="N1123" s="22">
        <f t="shared" si="117"/>
        <v>0</v>
      </c>
    </row>
    <row r="1124" spans="1:14" s="6" customFormat="1" ht="15.75">
      <c r="A1124" s="285">
        <v>244</v>
      </c>
      <c r="B1124" s="329" t="s">
        <v>1080</v>
      </c>
      <c r="C1124" s="391">
        <v>1119.54</v>
      </c>
      <c r="D1124" s="330"/>
      <c r="E1124" s="391"/>
      <c r="F1124" s="330"/>
      <c r="G1124" s="760">
        <f t="shared" si="118"/>
        <v>0</v>
      </c>
      <c r="H1124" s="427">
        <f t="shared" si="119"/>
        <v>0</v>
      </c>
      <c r="I1124" s="550">
        <f t="shared" si="122"/>
        <v>0</v>
      </c>
      <c r="J1124" s="177">
        <v>0</v>
      </c>
      <c r="K1124" s="427">
        <f t="shared" si="121"/>
        <v>0</v>
      </c>
      <c r="L1124" s="427">
        <f t="shared" si="120"/>
        <v>0</v>
      </c>
      <c r="M1124" s="680">
        <v>0</v>
      </c>
      <c r="N1124" s="22">
        <f t="shared" si="117"/>
        <v>0</v>
      </c>
    </row>
    <row r="1125" spans="1:14" s="6" customFormat="1" ht="15.75">
      <c r="A1125" s="285">
        <v>245</v>
      </c>
      <c r="B1125" s="329" t="s">
        <v>1081</v>
      </c>
      <c r="C1125" s="391">
        <v>542.66</v>
      </c>
      <c r="D1125" s="330"/>
      <c r="E1125" s="391"/>
      <c r="F1125" s="330"/>
      <c r="G1125" s="760">
        <f t="shared" si="118"/>
        <v>0</v>
      </c>
      <c r="H1125" s="427">
        <f t="shared" si="119"/>
        <v>0</v>
      </c>
      <c r="I1125" s="550">
        <f t="shared" si="122"/>
        <v>0</v>
      </c>
      <c r="J1125" s="177">
        <v>0</v>
      </c>
      <c r="K1125" s="427">
        <f t="shared" si="121"/>
        <v>0</v>
      </c>
      <c r="L1125" s="427">
        <f t="shared" si="120"/>
        <v>0</v>
      </c>
      <c r="M1125" s="680">
        <v>0</v>
      </c>
      <c r="N1125" s="22">
        <f t="shared" si="117"/>
        <v>0</v>
      </c>
    </row>
    <row r="1126" spans="1:14" s="6" customFormat="1" ht="15.75">
      <c r="A1126" s="285">
        <v>246</v>
      </c>
      <c r="B1126" s="329" t="s">
        <v>1082</v>
      </c>
      <c r="C1126" s="391">
        <v>507.72</v>
      </c>
      <c r="D1126" s="330"/>
      <c r="E1126" s="391"/>
      <c r="F1126" s="330"/>
      <c r="G1126" s="760">
        <f t="shared" si="118"/>
        <v>0</v>
      </c>
      <c r="H1126" s="427">
        <f t="shared" si="119"/>
        <v>0</v>
      </c>
      <c r="I1126" s="550">
        <f t="shared" si="122"/>
        <v>0</v>
      </c>
      <c r="J1126" s="177">
        <v>0</v>
      </c>
      <c r="K1126" s="427">
        <f t="shared" si="121"/>
        <v>0</v>
      </c>
      <c r="L1126" s="427">
        <f t="shared" si="120"/>
        <v>0</v>
      </c>
      <c r="M1126" s="680">
        <v>0</v>
      </c>
      <c r="N1126" s="22">
        <f t="shared" si="117"/>
        <v>0</v>
      </c>
    </row>
    <row r="1127" spans="1:14" s="6" customFormat="1" ht="15.75">
      <c r="A1127" s="285">
        <v>247</v>
      </c>
      <c r="B1127" s="329" t="s">
        <v>1083</v>
      </c>
      <c r="C1127" s="391">
        <v>517.03</v>
      </c>
      <c r="D1127" s="330"/>
      <c r="E1127" s="391"/>
      <c r="F1127" s="330"/>
      <c r="G1127" s="760">
        <f t="shared" si="118"/>
        <v>0</v>
      </c>
      <c r="H1127" s="427">
        <f t="shared" si="119"/>
        <v>0</v>
      </c>
      <c r="I1127" s="550">
        <f t="shared" si="122"/>
        <v>0</v>
      </c>
      <c r="J1127" s="177">
        <v>0</v>
      </c>
      <c r="K1127" s="427">
        <f t="shared" si="121"/>
        <v>0</v>
      </c>
      <c r="L1127" s="427">
        <f t="shared" si="120"/>
        <v>0</v>
      </c>
      <c r="M1127" s="680">
        <v>0</v>
      </c>
      <c r="N1127" s="22">
        <f t="shared" si="117"/>
        <v>0</v>
      </c>
    </row>
    <row r="1128" spans="1:14" s="6" customFormat="1" ht="15.75">
      <c r="A1128" s="285">
        <v>248</v>
      </c>
      <c r="B1128" s="329" t="s">
        <v>1084</v>
      </c>
      <c r="C1128" s="391">
        <v>497.81</v>
      </c>
      <c r="D1128" s="330"/>
      <c r="E1128" s="391"/>
      <c r="F1128" s="330"/>
      <c r="G1128" s="760">
        <f t="shared" si="118"/>
        <v>0</v>
      </c>
      <c r="H1128" s="427">
        <f t="shared" si="119"/>
        <v>0</v>
      </c>
      <c r="I1128" s="550">
        <f t="shared" si="122"/>
        <v>0</v>
      </c>
      <c r="J1128" s="177">
        <v>0</v>
      </c>
      <c r="K1128" s="427">
        <f t="shared" si="121"/>
        <v>0</v>
      </c>
      <c r="L1128" s="427">
        <f t="shared" si="120"/>
        <v>0</v>
      </c>
      <c r="M1128" s="680">
        <v>0</v>
      </c>
      <c r="N1128" s="22">
        <f t="shared" si="117"/>
        <v>0</v>
      </c>
    </row>
    <row r="1129" spans="1:14" s="6" customFormat="1" ht="15.75">
      <c r="A1129" s="285">
        <v>249</v>
      </c>
      <c r="B1129" s="329" t="s">
        <v>1085</v>
      </c>
      <c r="C1129" s="391">
        <v>301.3</v>
      </c>
      <c r="D1129" s="330"/>
      <c r="E1129" s="391"/>
      <c r="F1129" s="330"/>
      <c r="G1129" s="760">
        <f t="shared" si="118"/>
        <v>0</v>
      </c>
      <c r="H1129" s="427">
        <f t="shared" si="119"/>
        <v>0</v>
      </c>
      <c r="I1129" s="550">
        <f t="shared" si="122"/>
        <v>0</v>
      </c>
      <c r="J1129" s="177">
        <v>0</v>
      </c>
      <c r="K1129" s="427">
        <f t="shared" si="121"/>
        <v>0</v>
      </c>
      <c r="L1129" s="427">
        <f t="shared" si="120"/>
        <v>0</v>
      </c>
      <c r="M1129" s="680">
        <v>0</v>
      </c>
      <c r="N1129" s="22">
        <f t="shared" si="117"/>
        <v>0</v>
      </c>
    </row>
    <row r="1130" spans="1:14" s="6" customFormat="1" ht="15.75">
      <c r="A1130" s="285">
        <v>250</v>
      </c>
      <c r="B1130" s="329" t="s">
        <v>1086</v>
      </c>
      <c r="C1130" s="391">
        <v>493.5</v>
      </c>
      <c r="D1130" s="330"/>
      <c r="E1130" s="391"/>
      <c r="F1130" s="330"/>
      <c r="G1130" s="760">
        <f t="shared" si="118"/>
        <v>0</v>
      </c>
      <c r="H1130" s="427">
        <f t="shared" si="119"/>
        <v>0</v>
      </c>
      <c r="I1130" s="550">
        <f t="shared" si="122"/>
        <v>0</v>
      </c>
      <c r="J1130" s="177">
        <v>0</v>
      </c>
      <c r="K1130" s="427">
        <f t="shared" si="121"/>
        <v>0</v>
      </c>
      <c r="L1130" s="427">
        <f t="shared" si="120"/>
        <v>0</v>
      </c>
      <c r="M1130" s="680">
        <v>0</v>
      </c>
      <c r="N1130" s="22">
        <f t="shared" si="117"/>
        <v>0</v>
      </c>
    </row>
    <row r="1131" spans="1:14" s="6" customFormat="1" ht="15.75">
      <c r="A1131" s="285">
        <v>251</v>
      </c>
      <c r="B1131" s="329" t="s">
        <v>1087</v>
      </c>
      <c r="C1131" s="391">
        <v>264.8</v>
      </c>
      <c r="D1131" s="330"/>
      <c r="E1131" s="391"/>
      <c r="F1131" s="330"/>
      <c r="G1131" s="760">
        <f t="shared" si="118"/>
        <v>0</v>
      </c>
      <c r="H1131" s="427">
        <f t="shared" si="119"/>
        <v>0</v>
      </c>
      <c r="I1131" s="550">
        <f t="shared" si="122"/>
        <v>0</v>
      </c>
      <c r="J1131" s="177">
        <v>0</v>
      </c>
      <c r="K1131" s="427">
        <f t="shared" si="121"/>
        <v>0</v>
      </c>
      <c r="L1131" s="427">
        <f t="shared" si="120"/>
        <v>0</v>
      </c>
      <c r="M1131" s="680">
        <v>0</v>
      </c>
      <c r="N1131" s="22">
        <f t="shared" si="117"/>
        <v>0</v>
      </c>
    </row>
    <row r="1132" spans="1:14" s="6" customFormat="1" ht="15.75">
      <c r="A1132" s="285">
        <v>252</v>
      </c>
      <c r="B1132" s="329" t="s">
        <v>1088</v>
      </c>
      <c r="C1132" s="391">
        <v>544.79999999999995</v>
      </c>
      <c r="D1132" s="330"/>
      <c r="E1132" s="391"/>
      <c r="F1132" s="330"/>
      <c r="G1132" s="760">
        <f t="shared" si="118"/>
        <v>0</v>
      </c>
      <c r="H1132" s="427">
        <f t="shared" si="119"/>
        <v>0</v>
      </c>
      <c r="I1132" s="550">
        <f t="shared" si="122"/>
        <v>0</v>
      </c>
      <c r="J1132" s="177">
        <v>0</v>
      </c>
      <c r="K1132" s="427">
        <f t="shared" si="121"/>
        <v>0</v>
      </c>
      <c r="L1132" s="427">
        <f t="shared" si="120"/>
        <v>0</v>
      </c>
      <c r="M1132" s="680">
        <v>0</v>
      </c>
      <c r="N1132" s="22">
        <f t="shared" si="117"/>
        <v>0</v>
      </c>
    </row>
    <row r="1133" spans="1:14" s="6" customFormat="1" ht="15.75">
      <c r="A1133" s="285">
        <v>253</v>
      </c>
      <c r="B1133" s="329" t="s">
        <v>1089</v>
      </c>
      <c r="C1133" s="546">
        <v>205</v>
      </c>
      <c r="D1133" s="330"/>
      <c r="E1133" s="391"/>
      <c r="F1133" s="330"/>
      <c r="G1133" s="760">
        <f t="shared" si="118"/>
        <v>0</v>
      </c>
      <c r="H1133" s="427">
        <f t="shared" si="119"/>
        <v>0</v>
      </c>
      <c r="I1133" s="550">
        <f t="shared" si="122"/>
        <v>0</v>
      </c>
      <c r="J1133" s="177">
        <v>0</v>
      </c>
      <c r="K1133" s="427">
        <f t="shared" si="121"/>
        <v>0</v>
      </c>
      <c r="L1133" s="427">
        <f t="shared" si="120"/>
        <v>0</v>
      </c>
      <c r="M1133" s="680">
        <v>0</v>
      </c>
      <c r="N1133" s="22">
        <f t="shared" si="117"/>
        <v>0</v>
      </c>
    </row>
    <row r="1134" spans="1:14" s="6" customFormat="1" ht="15.75">
      <c r="A1134" s="285">
        <v>254</v>
      </c>
      <c r="B1134" s="329" t="s">
        <v>1090</v>
      </c>
      <c r="C1134" s="391">
        <v>577.32000000000005</v>
      </c>
      <c r="D1134" s="330"/>
      <c r="E1134" s="391"/>
      <c r="F1134" s="330"/>
      <c r="G1134" s="760">
        <f t="shared" si="118"/>
        <v>0</v>
      </c>
      <c r="H1134" s="427">
        <f t="shared" si="119"/>
        <v>0</v>
      </c>
      <c r="I1134" s="550">
        <f t="shared" si="122"/>
        <v>0</v>
      </c>
      <c r="J1134" s="177">
        <v>0</v>
      </c>
      <c r="K1134" s="427">
        <f t="shared" si="121"/>
        <v>0</v>
      </c>
      <c r="L1134" s="427">
        <f t="shared" si="120"/>
        <v>0</v>
      </c>
      <c r="M1134" s="680">
        <v>0</v>
      </c>
      <c r="N1134" s="22">
        <f t="shared" ref="N1134:N1145" si="123">K1134*1.1</f>
        <v>0</v>
      </c>
    </row>
    <row r="1135" spans="1:14" s="6" customFormat="1" ht="15.75">
      <c r="A1135" s="285">
        <v>255</v>
      </c>
      <c r="B1135" s="329" t="s">
        <v>1091</v>
      </c>
      <c r="C1135" s="547">
        <v>353</v>
      </c>
      <c r="D1135" s="330"/>
      <c r="E1135" s="391"/>
      <c r="F1135" s="330"/>
      <c r="G1135" s="760">
        <f t="shared" si="118"/>
        <v>0</v>
      </c>
      <c r="H1135" s="427">
        <f t="shared" si="119"/>
        <v>0</v>
      </c>
      <c r="I1135" s="550">
        <f t="shared" si="122"/>
        <v>0</v>
      </c>
      <c r="J1135" s="177">
        <v>0</v>
      </c>
      <c r="K1135" s="427">
        <f t="shared" si="121"/>
        <v>0</v>
      </c>
      <c r="L1135" s="427">
        <f t="shared" si="120"/>
        <v>0</v>
      </c>
      <c r="M1135" s="680">
        <v>0</v>
      </c>
      <c r="N1135" s="22">
        <f t="shared" si="123"/>
        <v>0</v>
      </c>
    </row>
    <row r="1136" spans="1:14" s="6" customFormat="1" ht="15.75">
      <c r="A1136" s="285">
        <v>256</v>
      </c>
      <c r="B1136" s="329" t="s">
        <v>1092</v>
      </c>
      <c r="C1136" s="391">
        <v>623.29999999999995</v>
      </c>
      <c r="D1136" s="391"/>
      <c r="E1136" s="331">
        <v>23</v>
      </c>
      <c r="F1136" s="330"/>
      <c r="G1136" s="760">
        <f t="shared" si="118"/>
        <v>0</v>
      </c>
      <c r="H1136" s="427">
        <f t="shared" si="119"/>
        <v>0</v>
      </c>
      <c r="I1136" s="550">
        <f t="shared" si="122"/>
        <v>0</v>
      </c>
      <c r="J1136" s="177">
        <v>0</v>
      </c>
      <c r="K1136" s="427">
        <f t="shared" si="121"/>
        <v>0</v>
      </c>
      <c r="L1136" s="427">
        <f t="shared" si="120"/>
        <v>0</v>
      </c>
      <c r="M1136" s="680">
        <v>0</v>
      </c>
      <c r="N1136" s="22">
        <f t="shared" si="123"/>
        <v>0</v>
      </c>
    </row>
    <row r="1137" spans="1:14" s="6" customFormat="1" ht="15.75">
      <c r="A1137" s="285">
        <v>257</v>
      </c>
      <c r="B1137" s="329" t="s">
        <v>1093</v>
      </c>
      <c r="C1137" s="391">
        <v>281.89999999999998</v>
      </c>
      <c r="D1137" s="330"/>
      <c r="E1137" s="391"/>
      <c r="F1137" s="330"/>
      <c r="G1137" s="760">
        <f t="shared" ref="G1137:G1145" si="124">2/220071.57*F1137</f>
        <v>0</v>
      </c>
      <c r="H1137" s="427">
        <f t="shared" ref="H1137:H1145" si="125">G1137*2269.13</f>
        <v>0</v>
      </c>
      <c r="I1137" s="550">
        <f t="shared" si="122"/>
        <v>0</v>
      </c>
      <c r="J1137" s="177">
        <v>0</v>
      </c>
      <c r="K1137" s="427">
        <f t="shared" si="121"/>
        <v>0</v>
      </c>
      <c r="L1137" s="427">
        <f t="shared" si="120"/>
        <v>0</v>
      </c>
      <c r="M1137" s="680">
        <v>0</v>
      </c>
      <c r="N1137" s="22">
        <f t="shared" si="123"/>
        <v>0</v>
      </c>
    </row>
    <row r="1138" spans="1:14" s="6" customFormat="1" ht="15.75">
      <c r="A1138" s="285">
        <v>258</v>
      </c>
      <c r="B1138" s="329" t="s">
        <v>1094</v>
      </c>
      <c r="C1138" s="391">
        <v>305.10000000000002</v>
      </c>
      <c r="D1138" s="330"/>
      <c r="E1138" s="391"/>
      <c r="F1138" s="330"/>
      <c r="G1138" s="760">
        <f t="shared" si="124"/>
        <v>0</v>
      </c>
      <c r="H1138" s="427">
        <f t="shared" si="125"/>
        <v>0</v>
      </c>
      <c r="I1138" s="550">
        <f t="shared" si="122"/>
        <v>0</v>
      </c>
      <c r="J1138" s="177">
        <v>0</v>
      </c>
      <c r="K1138" s="427">
        <f t="shared" si="121"/>
        <v>0</v>
      </c>
      <c r="L1138" s="427">
        <f t="shared" ref="L1138:L1146" si="126">K1138*1.219</f>
        <v>0</v>
      </c>
      <c r="M1138" s="680">
        <v>0</v>
      </c>
      <c r="N1138" s="22">
        <f t="shared" si="123"/>
        <v>0</v>
      </c>
    </row>
    <row r="1139" spans="1:14" s="6" customFormat="1" ht="15.75">
      <c r="A1139" s="285">
        <v>259</v>
      </c>
      <c r="B1139" s="329" t="s">
        <v>1095</v>
      </c>
      <c r="C1139" s="391">
        <v>369.45</v>
      </c>
      <c r="D1139" s="330"/>
      <c r="E1139" s="391"/>
      <c r="F1139" s="330"/>
      <c r="G1139" s="760">
        <f t="shared" si="124"/>
        <v>0</v>
      </c>
      <c r="H1139" s="427">
        <f t="shared" si="125"/>
        <v>0</v>
      </c>
      <c r="I1139" s="550">
        <f t="shared" si="122"/>
        <v>0</v>
      </c>
      <c r="J1139" s="177">
        <v>0</v>
      </c>
      <c r="K1139" s="427">
        <f t="shared" si="121"/>
        <v>0</v>
      </c>
      <c r="L1139" s="427">
        <f t="shared" si="126"/>
        <v>0</v>
      </c>
      <c r="M1139" s="680">
        <v>0</v>
      </c>
      <c r="N1139" s="22">
        <f t="shared" si="123"/>
        <v>0</v>
      </c>
    </row>
    <row r="1140" spans="1:14" s="6" customFormat="1" ht="15.75">
      <c r="A1140" s="285">
        <v>260</v>
      </c>
      <c r="B1140" s="329" t="s">
        <v>1096</v>
      </c>
      <c r="C1140" s="391">
        <v>453.11</v>
      </c>
      <c r="D1140" s="330"/>
      <c r="E1140" s="391"/>
      <c r="F1140" s="330"/>
      <c r="G1140" s="760">
        <f t="shared" si="124"/>
        <v>0</v>
      </c>
      <c r="H1140" s="427">
        <f t="shared" si="125"/>
        <v>0</v>
      </c>
      <c r="I1140" s="550">
        <f t="shared" si="122"/>
        <v>0</v>
      </c>
      <c r="J1140" s="177">
        <v>0</v>
      </c>
      <c r="K1140" s="427">
        <f t="shared" si="121"/>
        <v>0</v>
      </c>
      <c r="L1140" s="427">
        <f t="shared" si="126"/>
        <v>0</v>
      </c>
      <c r="M1140" s="680">
        <v>0</v>
      </c>
      <c r="N1140" s="22">
        <f t="shared" si="123"/>
        <v>0</v>
      </c>
    </row>
    <row r="1141" spans="1:14" s="6" customFormat="1" ht="15.75">
      <c r="A1141" s="285">
        <v>261</v>
      </c>
      <c r="B1141" s="329" t="s">
        <v>1097</v>
      </c>
      <c r="C1141" s="391">
        <v>351.1</v>
      </c>
      <c r="D1141" s="330">
        <v>377.9</v>
      </c>
      <c r="E1141" s="391"/>
      <c r="F1141" s="330"/>
      <c r="G1141" s="760">
        <f t="shared" si="124"/>
        <v>0</v>
      </c>
      <c r="H1141" s="427">
        <f t="shared" si="125"/>
        <v>0</v>
      </c>
      <c r="I1141" s="550">
        <f t="shared" si="122"/>
        <v>0</v>
      </c>
      <c r="J1141" s="177">
        <v>0</v>
      </c>
      <c r="K1141" s="427">
        <f t="shared" si="121"/>
        <v>0</v>
      </c>
      <c r="L1141" s="427">
        <f t="shared" si="126"/>
        <v>0</v>
      </c>
      <c r="M1141" s="680">
        <v>0</v>
      </c>
      <c r="N1141" s="22">
        <f t="shared" si="123"/>
        <v>0</v>
      </c>
    </row>
    <row r="1142" spans="1:14" s="6" customFormat="1" ht="15.75">
      <c r="A1142" s="285">
        <v>262</v>
      </c>
      <c r="B1142" s="329" t="s">
        <v>1098</v>
      </c>
      <c r="C1142" s="391">
        <v>422.76</v>
      </c>
      <c r="D1142" s="330"/>
      <c r="E1142" s="391"/>
      <c r="F1142" s="330"/>
      <c r="G1142" s="760">
        <f t="shared" si="124"/>
        <v>0</v>
      </c>
      <c r="H1142" s="427">
        <f t="shared" si="125"/>
        <v>0</v>
      </c>
      <c r="I1142" s="550">
        <f t="shared" si="122"/>
        <v>0</v>
      </c>
      <c r="J1142" s="177">
        <v>0</v>
      </c>
      <c r="K1142" s="427">
        <f t="shared" si="121"/>
        <v>0</v>
      </c>
      <c r="L1142" s="427">
        <f t="shared" si="126"/>
        <v>0</v>
      </c>
      <c r="M1142" s="680">
        <v>0</v>
      </c>
      <c r="N1142" s="22">
        <f t="shared" si="123"/>
        <v>0</v>
      </c>
    </row>
    <row r="1143" spans="1:14" s="6" customFormat="1" ht="15.75">
      <c r="A1143" s="285">
        <v>263</v>
      </c>
      <c r="B1143" s="329" t="s">
        <v>1099</v>
      </c>
      <c r="C1143" s="391">
        <v>152.30000000000001</v>
      </c>
      <c r="D1143" s="330"/>
      <c r="E1143" s="391"/>
      <c r="F1143" s="330"/>
      <c r="G1143" s="760">
        <f t="shared" si="124"/>
        <v>0</v>
      </c>
      <c r="H1143" s="427">
        <f t="shared" si="125"/>
        <v>0</v>
      </c>
      <c r="I1143" s="550">
        <f t="shared" si="122"/>
        <v>0</v>
      </c>
      <c r="J1143" s="177">
        <v>0</v>
      </c>
      <c r="K1143" s="427">
        <f t="shared" si="121"/>
        <v>0</v>
      </c>
      <c r="L1143" s="427">
        <f t="shared" si="126"/>
        <v>0</v>
      </c>
      <c r="M1143" s="680">
        <v>0</v>
      </c>
      <c r="N1143" s="22">
        <f t="shared" si="123"/>
        <v>0</v>
      </c>
    </row>
    <row r="1144" spans="1:14" s="6" customFormat="1" ht="15.75">
      <c r="A1144" s="285">
        <v>264</v>
      </c>
      <c r="B1144" s="329" t="s">
        <v>1100</v>
      </c>
      <c r="C1144" s="391">
        <v>252.6</v>
      </c>
      <c r="D1144" s="330"/>
      <c r="E1144" s="391"/>
      <c r="F1144" s="330"/>
      <c r="G1144" s="760">
        <f t="shared" si="124"/>
        <v>0</v>
      </c>
      <c r="H1144" s="427">
        <f t="shared" si="125"/>
        <v>0</v>
      </c>
      <c r="I1144" s="550">
        <f t="shared" si="122"/>
        <v>0</v>
      </c>
      <c r="J1144" s="177">
        <v>0</v>
      </c>
      <c r="K1144" s="427">
        <f t="shared" si="121"/>
        <v>0</v>
      </c>
      <c r="L1144" s="427">
        <f t="shared" si="126"/>
        <v>0</v>
      </c>
      <c r="M1144" s="680">
        <v>0</v>
      </c>
      <c r="N1144" s="22">
        <f t="shared" si="123"/>
        <v>0</v>
      </c>
    </row>
    <row r="1145" spans="1:14" s="6" customFormat="1" ht="15.75">
      <c r="A1145" s="285">
        <v>265</v>
      </c>
      <c r="B1145" s="285" t="s">
        <v>1101</v>
      </c>
      <c r="C1145" s="391">
        <v>143.69999999999999</v>
      </c>
      <c r="D1145" s="8"/>
      <c r="E1145" s="8"/>
      <c r="F1145" s="55"/>
      <c r="G1145" s="760">
        <f t="shared" si="124"/>
        <v>0</v>
      </c>
      <c r="H1145" s="427">
        <f t="shared" si="125"/>
        <v>0</v>
      </c>
      <c r="I1145" s="158">
        <f t="shared" si="122"/>
        <v>0</v>
      </c>
      <c r="J1145" s="177">
        <v>0</v>
      </c>
      <c r="K1145" s="427">
        <f t="shared" si="121"/>
        <v>0</v>
      </c>
      <c r="L1145" s="427">
        <f t="shared" si="126"/>
        <v>0</v>
      </c>
      <c r="M1145" s="680">
        <v>0</v>
      </c>
      <c r="N1145" s="22">
        <f t="shared" si="123"/>
        <v>0</v>
      </c>
    </row>
    <row r="1146" spans="1:14" s="67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154">
        <f>SUM(F881:F1145)</f>
        <v>220071.56999999998</v>
      </c>
      <c r="G1146" s="760">
        <f>2/220071.57*F1146</f>
        <v>1.9999999999999998</v>
      </c>
      <c r="H1146" s="427">
        <f>G1146*2269.13</f>
        <v>4538.2599999999993</v>
      </c>
      <c r="I1146" s="427">
        <f>H1146*0.3677</f>
        <v>1668.7182019999998</v>
      </c>
      <c r="J1146" s="177">
        <f>SUM(J880:J1145)</f>
        <v>1752.3622253935607</v>
      </c>
      <c r="K1146" s="427">
        <f>G1146*801.55*1.08</f>
        <v>1731.3479999999997</v>
      </c>
      <c r="L1146" s="427">
        <f t="shared" si="126"/>
        <v>2110.5132119999998</v>
      </c>
      <c r="M1146" s="680">
        <f>(K1146+J1146+I1146+H1146)/F1146</f>
        <v>4.4034258615929175E-2</v>
      </c>
    </row>
    <row r="1147" spans="1:14" s="6" customFormat="1" ht="15.75">
      <c r="A1147" s="154" t="s">
        <v>634</v>
      </c>
      <c r="B1147" s="330"/>
      <c r="C1147" s="330"/>
      <c r="D1147" s="330"/>
      <c r="E1147" s="330"/>
      <c r="F1147" s="433"/>
      <c r="G1147" s="396"/>
      <c r="H1147" s="427"/>
      <c r="I1147" s="427"/>
      <c r="J1147" s="177"/>
      <c r="K1147" s="427"/>
      <c r="L1147" s="427"/>
      <c r="M1147" s="690"/>
    </row>
    <row r="1148" spans="1:14" s="6" customFormat="1" ht="15.75">
      <c r="A1148" s="404">
        <v>1</v>
      </c>
      <c r="B1148" s="404" t="s">
        <v>480</v>
      </c>
      <c r="C1148" s="386">
        <v>219.1</v>
      </c>
      <c r="D1148" s="386"/>
      <c r="E1148" s="386"/>
      <c r="F1148" s="433"/>
      <c r="G1148" s="762">
        <f t="shared" ref="G1148:G1201" si="127">1/165422.71*F1148</f>
        <v>0</v>
      </c>
      <c r="H1148" s="427">
        <f t="shared" ref="H1148:H1201" si="128">G1148*2269.13</f>
        <v>0</v>
      </c>
      <c r="I1148" s="427"/>
      <c r="J1148" s="177">
        <v>0</v>
      </c>
      <c r="K1148" s="427">
        <f t="shared" ref="K1148:K1153" si="129">G1148*801.55</f>
        <v>0</v>
      </c>
      <c r="L1148" s="427"/>
      <c r="M1148" s="690"/>
    </row>
    <row r="1149" spans="1:14" s="6" customFormat="1" ht="15.75">
      <c r="A1149" s="404">
        <v>2</v>
      </c>
      <c r="B1149" s="404" t="s">
        <v>481</v>
      </c>
      <c r="C1149" s="330">
        <v>265.10000000000002</v>
      </c>
      <c r="D1149" s="330"/>
      <c r="E1149" s="330"/>
      <c r="F1149" s="433"/>
      <c r="G1149" s="762">
        <f t="shared" si="127"/>
        <v>0</v>
      </c>
      <c r="H1149" s="427">
        <f t="shared" si="128"/>
        <v>0</v>
      </c>
      <c r="I1149" s="427"/>
      <c r="J1149" s="177">
        <v>0</v>
      </c>
      <c r="K1149" s="427">
        <f t="shared" si="129"/>
        <v>0</v>
      </c>
      <c r="L1149" s="427"/>
      <c r="M1149" s="690"/>
    </row>
    <row r="1150" spans="1:14" s="6" customFormat="1" ht="15.75">
      <c r="A1150" s="404">
        <v>3</v>
      </c>
      <c r="B1150" s="404" t="s">
        <v>482</v>
      </c>
      <c r="C1150" s="330">
        <v>352.7</v>
      </c>
      <c r="D1150" s="330"/>
      <c r="E1150" s="330"/>
      <c r="F1150" s="433"/>
      <c r="G1150" s="762">
        <f t="shared" si="127"/>
        <v>0</v>
      </c>
      <c r="H1150" s="427">
        <f t="shared" si="128"/>
        <v>0</v>
      </c>
      <c r="I1150" s="427"/>
      <c r="J1150" s="177">
        <v>0</v>
      </c>
      <c r="K1150" s="427">
        <f t="shared" si="129"/>
        <v>0</v>
      </c>
      <c r="L1150" s="427"/>
      <c r="M1150" s="690"/>
    </row>
    <row r="1151" spans="1:14" s="6" customFormat="1" ht="15.75">
      <c r="A1151" s="404">
        <v>4</v>
      </c>
      <c r="B1151" s="404" t="s">
        <v>483</v>
      </c>
      <c r="C1151" s="330">
        <v>350.15</v>
      </c>
      <c r="D1151" s="330"/>
      <c r="E1151" s="330"/>
      <c r="F1151" s="433"/>
      <c r="G1151" s="762">
        <f t="shared" si="127"/>
        <v>0</v>
      </c>
      <c r="H1151" s="427">
        <f t="shared" si="128"/>
        <v>0</v>
      </c>
      <c r="I1151" s="427"/>
      <c r="J1151" s="177">
        <v>0</v>
      </c>
      <c r="K1151" s="427">
        <f t="shared" si="129"/>
        <v>0</v>
      </c>
      <c r="L1151" s="427"/>
      <c r="M1151" s="690"/>
    </row>
    <row r="1152" spans="1:14" s="6" customFormat="1" ht="15.75">
      <c r="A1152" s="404">
        <v>5</v>
      </c>
      <c r="B1152" s="404" t="s">
        <v>484</v>
      </c>
      <c r="C1152" s="330">
        <v>348.6</v>
      </c>
      <c r="D1152" s="330"/>
      <c r="E1152" s="330"/>
      <c r="F1152" s="433"/>
      <c r="G1152" s="762">
        <f t="shared" si="127"/>
        <v>0</v>
      </c>
      <c r="H1152" s="427">
        <f t="shared" si="128"/>
        <v>0</v>
      </c>
      <c r="I1152" s="427"/>
      <c r="J1152" s="177">
        <v>0</v>
      </c>
      <c r="K1152" s="427">
        <f t="shared" si="129"/>
        <v>0</v>
      </c>
      <c r="L1152" s="427"/>
      <c r="M1152" s="690"/>
    </row>
    <row r="1153" spans="1:15" s="6" customFormat="1" ht="15.75">
      <c r="A1153" s="404">
        <v>6</v>
      </c>
      <c r="B1153" s="404" t="s">
        <v>485</v>
      </c>
      <c r="C1153" s="330">
        <v>430.37</v>
      </c>
      <c r="D1153" s="330"/>
      <c r="E1153" s="330"/>
      <c r="F1153" s="433"/>
      <c r="G1153" s="762">
        <f t="shared" si="127"/>
        <v>0</v>
      </c>
      <c r="H1153" s="427">
        <f t="shared" si="128"/>
        <v>0</v>
      </c>
      <c r="I1153" s="427"/>
      <c r="J1153" s="177">
        <v>0</v>
      </c>
      <c r="K1153" s="427">
        <f t="shared" si="129"/>
        <v>0</v>
      </c>
      <c r="L1153" s="427"/>
      <c r="M1153" s="690"/>
    </row>
    <row r="1154" spans="1:15" s="6" customFormat="1" ht="15.75">
      <c r="A1154" s="404">
        <v>7</v>
      </c>
      <c r="B1154" s="404" t="s">
        <v>486</v>
      </c>
      <c r="C1154" s="330">
        <v>79.3</v>
      </c>
      <c r="D1154" s="330"/>
      <c r="E1154" s="330"/>
      <c r="F1154" s="433"/>
      <c r="G1154" s="762">
        <f t="shared" si="127"/>
        <v>0</v>
      </c>
      <c r="H1154" s="427">
        <f t="shared" si="128"/>
        <v>0</v>
      </c>
      <c r="I1154" s="427"/>
      <c r="J1154" s="177">
        <v>0</v>
      </c>
      <c r="K1154" s="427">
        <f t="shared" ref="K1154:K1217" si="130">G1154*801.55</f>
        <v>0</v>
      </c>
      <c r="L1154" s="427"/>
      <c r="M1154" s="690"/>
    </row>
    <row r="1155" spans="1:15" s="6" customFormat="1" ht="15.75">
      <c r="A1155" s="404">
        <v>8</v>
      </c>
      <c r="B1155" s="404" t="s">
        <v>487</v>
      </c>
      <c r="C1155" s="330">
        <v>70.099999999999994</v>
      </c>
      <c r="D1155" s="330"/>
      <c r="E1155" s="330"/>
      <c r="F1155" s="433"/>
      <c r="G1155" s="762">
        <f t="shared" si="127"/>
        <v>0</v>
      </c>
      <c r="H1155" s="427">
        <f t="shared" si="128"/>
        <v>0</v>
      </c>
      <c r="I1155" s="427"/>
      <c r="J1155" s="177">
        <v>0</v>
      </c>
      <c r="K1155" s="427">
        <f t="shared" si="130"/>
        <v>0</v>
      </c>
      <c r="L1155" s="427"/>
      <c r="M1155" s="690"/>
      <c r="O1155" s="6">
        <v>0</v>
      </c>
    </row>
    <row r="1156" spans="1:15" s="6" customFormat="1" ht="15.75">
      <c r="A1156" s="404">
        <v>9</v>
      </c>
      <c r="B1156" s="404" t="s">
        <v>488</v>
      </c>
      <c r="C1156" s="330">
        <v>326.92</v>
      </c>
      <c r="D1156" s="330"/>
      <c r="E1156" s="330"/>
      <c r="F1156" s="433"/>
      <c r="G1156" s="762">
        <f t="shared" si="127"/>
        <v>0</v>
      </c>
      <c r="H1156" s="427">
        <f t="shared" si="128"/>
        <v>0</v>
      </c>
      <c r="I1156" s="427"/>
      <c r="J1156" s="177">
        <v>0</v>
      </c>
      <c r="K1156" s="427">
        <f t="shared" si="130"/>
        <v>0</v>
      </c>
      <c r="L1156" s="427"/>
      <c r="M1156" s="690"/>
    </row>
    <row r="1157" spans="1:15" s="6" customFormat="1" ht="15.75">
      <c r="A1157" s="404">
        <v>10</v>
      </c>
      <c r="B1157" s="404" t="s">
        <v>489</v>
      </c>
      <c r="C1157" s="330">
        <v>322.55</v>
      </c>
      <c r="D1157" s="330"/>
      <c r="E1157" s="330"/>
      <c r="F1157" s="433"/>
      <c r="G1157" s="762">
        <f t="shared" si="127"/>
        <v>0</v>
      </c>
      <c r="H1157" s="427">
        <f t="shared" si="128"/>
        <v>0</v>
      </c>
      <c r="I1157" s="427"/>
      <c r="J1157" s="177">
        <v>0</v>
      </c>
      <c r="K1157" s="427">
        <f t="shared" si="130"/>
        <v>0</v>
      </c>
      <c r="L1157" s="427"/>
      <c r="M1157" s="690"/>
    </row>
    <row r="1158" spans="1:15" s="6" customFormat="1" ht="15.75">
      <c r="A1158" s="404">
        <v>11</v>
      </c>
      <c r="B1158" s="404" t="s">
        <v>490</v>
      </c>
      <c r="C1158" s="330">
        <v>415.5</v>
      </c>
      <c r="D1158" s="330"/>
      <c r="E1158" s="330"/>
      <c r="F1158" s="433"/>
      <c r="G1158" s="762">
        <f t="shared" si="127"/>
        <v>0</v>
      </c>
      <c r="H1158" s="427">
        <f t="shared" si="128"/>
        <v>0</v>
      </c>
      <c r="I1158" s="427"/>
      <c r="J1158" s="177">
        <v>0</v>
      </c>
      <c r="K1158" s="427">
        <f t="shared" si="130"/>
        <v>0</v>
      </c>
      <c r="L1158" s="427"/>
      <c r="M1158" s="690"/>
    </row>
    <row r="1159" spans="1:15" s="6" customFormat="1" ht="15.75">
      <c r="A1159" s="404">
        <v>12</v>
      </c>
      <c r="B1159" s="404" t="s">
        <v>491</v>
      </c>
      <c r="C1159" s="330">
        <v>372.82</v>
      </c>
      <c r="D1159" s="330"/>
      <c r="E1159" s="330"/>
      <c r="F1159" s="433"/>
      <c r="G1159" s="762">
        <f t="shared" si="127"/>
        <v>0</v>
      </c>
      <c r="H1159" s="427">
        <f t="shared" si="128"/>
        <v>0</v>
      </c>
      <c r="I1159" s="427"/>
      <c r="J1159" s="177">
        <v>0</v>
      </c>
      <c r="K1159" s="427">
        <f t="shared" si="130"/>
        <v>0</v>
      </c>
      <c r="L1159" s="427"/>
      <c r="M1159" s="690"/>
    </row>
    <row r="1160" spans="1:15" s="6" customFormat="1" ht="15.75">
      <c r="A1160" s="404">
        <v>13</v>
      </c>
      <c r="B1160" s="404" t="s">
        <v>492</v>
      </c>
      <c r="C1160" s="330">
        <v>282.76</v>
      </c>
      <c r="D1160" s="330"/>
      <c r="E1160" s="330"/>
      <c r="F1160" s="433"/>
      <c r="G1160" s="762">
        <f t="shared" si="127"/>
        <v>0</v>
      </c>
      <c r="H1160" s="427">
        <f t="shared" si="128"/>
        <v>0</v>
      </c>
      <c r="I1160" s="427"/>
      <c r="J1160" s="177">
        <v>0</v>
      </c>
      <c r="K1160" s="427">
        <f t="shared" si="130"/>
        <v>0</v>
      </c>
      <c r="L1160" s="427"/>
      <c r="M1160" s="690"/>
    </row>
    <row r="1161" spans="1:15" s="6" customFormat="1" ht="15.75">
      <c r="A1161" s="404">
        <v>15</v>
      </c>
      <c r="B1161" s="404" t="s">
        <v>493</v>
      </c>
      <c r="C1161" s="330">
        <v>180.5</v>
      </c>
      <c r="D1161" s="330"/>
      <c r="E1161" s="330"/>
      <c r="F1161" s="433"/>
      <c r="G1161" s="762">
        <f t="shared" si="127"/>
        <v>0</v>
      </c>
      <c r="H1161" s="427">
        <f t="shared" si="128"/>
        <v>0</v>
      </c>
      <c r="I1161" s="427"/>
      <c r="J1161" s="177">
        <v>0</v>
      </c>
      <c r="K1161" s="427">
        <f t="shared" si="130"/>
        <v>0</v>
      </c>
      <c r="L1161" s="427"/>
      <c r="M1161" s="690"/>
    </row>
    <row r="1162" spans="1:15" s="6" customFormat="1" ht="15.75">
      <c r="A1162" s="404">
        <v>17</v>
      </c>
      <c r="B1162" s="404" t="s">
        <v>494</v>
      </c>
      <c r="C1162" s="330">
        <v>5520.77</v>
      </c>
      <c r="D1162" s="330"/>
      <c r="E1162" s="330"/>
      <c r="F1162" s="433">
        <f t="shared" ref="F1162:F1201" si="131">C1162+D1162+E1162</f>
        <v>5520.77</v>
      </c>
      <c r="G1162" s="762">
        <f t="shared" si="127"/>
        <v>3.3373712714535993E-2</v>
      </c>
      <c r="H1162" s="427">
        <f t="shared" si="128"/>
        <v>75.729292731935061</v>
      </c>
      <c r="I1162" s="427">
        <f t="shared" ref="I1162:I1201" si="132">H1162*0.3677</f>
        <v>27.845660937532525</v>
      </c>
      <c r="J1162" s="177">
        <v>29.918676804148472</v>
      </c>
      <c r="K1162" s="427">
        <f t="shared" si="130"/>
        <v>26.750699426336322</v>
      </c>
      <c r="L1162" s="427"/>
      <c r="M1162" s="680">
        <f>(K1162+J1162+I1162+H1162)/F1162</f>
        <v>2.9025721031659058E-2</v>
      </c>
    </row>
    <row r="1163" spans="1:15" s="6" customFormat="1" ht="15.75">
      <c r="A1163" s="404">
        <v>18</v>
      </c>
      <c r="B1163" s="404" t="s">
        <v>495</v>
      </c>
      <c r="C1163" s="330">
        <v>5310.85</v>
      </c>
      <c r="D1163" s="330"/>
      <c r="E1163" s="330"/>
      <c r="F1163" s="433">
        <f t="shared" si="131"/>
        <v>5310.85</v>
      </c>
      <c r="G1163" s="762">
        <f t="shared" si="127"/>
        <v>3.210472129249968E-2</v>
      </c>
      <c r="H1163" s="427">
        <f t="shared" si="128"/>
        <v>72.849786226449808</v>
      </c>
      <c r="I1163" s="427">
        <f t="shared" si="132"/>
        <v>26.786866395465598</v>
      </c>
      <c r="J1163" s="177">
        <v>28.781058567067983</v>
      </c>
      <c r="K1163" s="427">
        <f t="shared" si="130"/>
        <v>25.733539352003117</v>
      </c>
      <c r="L1163" s="427"/>
      <c r="M1163" s="680">
        <f>(K1163+J1163+I1163+H1163)/F1163</f>
        <v>2.9025721031659055E-2</v>
      </c>
    </row>
    <row r="1164" spans="1:15" s="6" customFormat="1" ht="15.75">
      <c r="A1164" s="404">
        <v>19</v>
      </c>
      <c r="B1164" s="404" t="s">
        <v>496</v>
      </c>
      <c r="C1164" s="330">
        <v>5405.43</v>
      </c>
      <c r="D1164" s="330"/>
      <c r="E1164" s="330"/>
      <c r="F1164" s="433">
        <f t="shared" si="131"/>
        <v>5405.43</v>
      </c>
      <c r="G1164" s="762">
        <f t="shared" si="127"/>
        <v>3.2676468666242985E-2</v>
      </c>
      <c r="H1164" s="427">
        <f t="shared" si="128"/>
        <v>74.14715534463194</v>
      </c>
      <c r="I1164" s="427">
        <f t="shared" si="132"/>
        <v>27.263909020221167</v>
      </c>
      <c r="J1164" s="177">
        <v>29.293615411880637</v>
      </c>
      <c r="K1164" s="427">
        <f t="shared" si="130"/>
        <v>26.191823459427063</v>
      </c>
      <c r="L1164" s="427"/>
      <c r="M1164" s="680">
        <f>(K1164+J1164+I1164+H1164)/F1164</f>
        <v>2.9025721031659055E-2</v>
      </c>
    </row>
    <row r="1165" spans="1:15" s="6" customFormat="1" ht="15.75">
      <c r="A1165" s="404">
        <v>20</v>
      </c>
      <c r="B1165" s="404" t="s">
        <v>497</v>
      </c>
      <c r="C1165" s="330">
        <v>349.2</v>
      </c>
      <c r="D1165" s="330"/>
      <c r="E1165" s="330"/>
      <c r="F1165" s="433"/>
      <c r="G1165" s="762">
        <f t="shared" si="127"/>
        <v>0</v>
      </c>
      <c r="H1165" s="427">
        <f t="shared" si="128"/>
        <v>0</v>
      </c>
      <c r="I1165" s="427"/>
      <c r="J1165" s="177">
        <v>0</v>
      </c>
      <c r="K1165" s="427">
        <f t="shared" si="130"/>
        <v>0</v>
      </c>
      <c r="L1165" s="427"/>
      <c r="M1165" s="680">
        <v>0</v>
      </c>
    </row>
    <row r="1166" spans="1:15" s="6" customFormat="1" ht="15.75">
      <c r="A1166" s="404">
        <v>21</v>
      </c>
      <c r="B1166" s="404" t="s">
        <v>498</v>
      </c>
      <c r="C1166" s="330">
        <v>433.4</v>
      </c>
      <c r="D1166" s="330"/>
      <c r="E1166" s="330"/>
      <c r="F1166" s="433"/>
      <c r="G1166" s="762">
        <f t="shared" si="127"/>
        <v>0</v>
      </c>
      <c r="H1166" s="427">
        <f t="shared" si="128"/>
        <v>0</v>
      </c>
      <c r="I1166" s="427"/>
      <c r="J1166" s="177">
        <v>0</v>
      </c>
      <c r="K1166" s="427">
        <f t="shared" si="130"/>
        <v>0</v>
      </c>
      <c r="L1166" s="427"/>
      <c r="M1166" s="680">
        <v>0</v>
      </c>
    </row>
    <row r="1167" spans="1:15" s="6" customFormat="1" ht="15.75">
      <c r="A1167" s="404">
        <v>22</v>
      </c>
      <c r="B1167" s="404" t="s">
        <v>499</v>
      </c>
      <c r="C1167" s="330">
        <v>360.2</v>
      </c>
      <c r="D1167" s="330"/>
      <c r="E1167" s="330"/>
      <c r="F1167" s="433"/>
      <c r="G1167" s="762">
        <f t="shared" si="127"/>
        <v>0</v>
      </c>
      <c r="H1167" s="427">
        <f t="shared" si="128"/>
        <v>0</v>
      </c>
      <c r="I1167" s="427"/>
      <c r="J1167" s="177">
        <v>0</v>
      </c>
      <c r="K1167" s="427">
        <f t="shared" si="130"/>
        <v>0</v>
      </c>
      <c r="L1167" s="427"/>
      <c r="M1167" s="680">
        <v>0</v>
      </c>
    </row>
    <row r="1168" spans="1:15" s="6" customFormat="1" ht="15.75">
      <c r="A1168" s="404">
        <v>23</v>
      </c>
      <c r="B1168" s="404" t="s">
        <v>500</v>
      </c>
      <c r="C1168" s="330">
        <v>31.8</v>
      </c>
      <c r="D1168" s="330"/>
      <c r="E1168" s="330"/>
      <c r="F1168" s="433"/>
      <c r="G1168" s="762">
        <f t="shared" si="127"/>
        <v>0</v>
      </c>
      <c r="H1168" s="427">
        <f t="shared" si="128"/>
        <v>0</v>
      </c>
      <c r="I1168" s="427"/>
      <c r="J1168" s="177">
        <v>0</v>
      </c>
      <c r="K1168" s="427">
        <f t="shared" si="130"/>
        <v>0</v>
      </c>
      <c r="L1168" s="427"/>
      <c r="M1168" s="680">
        <v>0</v>
      </c>
    </row>
    <row r="1169" spans="1:13" s="6" customFormat="1" ht="15.75">
      <c r="A1169" s="404">
        <v>24</v>
      </c>
      <c r="B1169" s="404" t="s">
        <v>501</v>
      </c>
      <c r="C1169" s="330">
        <v>357.19</v>
      </c>
      <c r="D1169" s="330"/>
      <c r="E1169" s="330"/>
      <c r="F1169" s="433"/>
      <c r="G1169" s="762">
        <f t="shared" si="127"/>
        <v>0</v>
      </c>
      <c r="H1169" s="427">
        <f t="shared" si="128"/>
        <v>0</v>
      </c>
      <c r="I1169" s="427"/>
      <c r="J1169" s="177">
        <v>0</v>
      </c>
      <c r="K1169" s="427">
        <f t="shared" si="130"/>
        <v>0</v>
      </c>
      <c r="L1169" s="427"/>
      <c r="M1169" s="680">
        <v>0</v>
      </c>
    </row>
    <row r="1170" spans="1:13" s="6" customFormat="1" ht="15.75">
      <c r="A1170" s="404">
        <v>25</v>
      </c>
      <c r="B1170" s="404" t="s">
        <v>502</v>
      </c>
      <c r="C1170" s="330">
        <v>306.39999999999998</v>
      </c>
      <c r="D1170" s="330"/>
      <c r="E1170" s="330"/>
      <c r="F1170" s="433"/>
      <c r="G1170" s="762">
        <f t="shared" si="127"/>
        <v>0</v>
      </c>
      <c r="H1170" s="427">
        <f t="shared" si="128"/>
        <v>0</v>
      </c>
      <c r="I1170" s="427"/>
      <c r="J1170" s="177">
        <v>0</v>
      </c>
      <c r="K1170" s="427">
        <f t="shared" si="130"/>
        <v>0</v>
      </c>
      <c r="L1170" s="427"/>
      <c r="M1170" s="680">
        <v>0</v>
      </c>
    </row>
    <row r="1171" spans="1:13" s="6" customFormat="1" ht="15.75">
      <c r="A1171" s="404">
        <v>26</v>
      </c>
      <c r="B1171" s="404" t="s">
        <v>503</v>
      </c>
      <c r="C1171" s="330">
        <v>407.2</v>
      </c>
      <c r="D1171" s="330"/>
      <c r="E1171" s="330"/>
      <c r="F1171" s="433"/>
      <c r="G1171" s="762">
        <f t="shared" si="127"/>
        <v>0</v>
      </c>
      <c r="H1171" s="427">
        <f t="shared" si="128"/>
        <v>0</v>
      </c>
      <c r="I1171" s="427"/>
      <c r="J1171" s="177">
        <v>0</v>
      </c>
      <c r="K1171" s="427">
        <f t="shared" si="130"/>
        <v>0</v>
      </c>
      <c r="L1171" s="427"/>
      <c r="M1171" s="680">
        <v>0</v>
      </c>
    </row>
    <row r="1172" spans="1:13" s="6" customFormat="1" ht="15.75">
      <c r="A1172" s="404">
        <v>27</v>
      </c>
      <c r="B1172" s="404" t="s">
        <v>504</v>
      </c>
      <c r="C1172" s="330">
        <v>52.3</v>
      </c>
      <c r="D1172" s="330"/>
      <c r="E1172" s="330"/>
      <c r="F1172" s="433"/>
      <c r="G1172" s="762">
        <f t="shared" si="127"/>
        <v>0</v>
      </c>
      <c r="H1172" s="427">
        <f t="shared" si="128"/>
        <v>0</v>
      </c>
      <c r="I1172" s="427"/>
      <c r="J1172" s="177">
        <v>0</v>
      </c>
      <c r="K1172" s="427">
        <f t="shared" si="130"/>
        <v>0</v>
      </c>
      <c r="L1172" s="427"/>
      <c r="M1172" s="680">
        <v>0</v>
      </c>
    </row>
    <row r="1173" spans="1:13" s="6" customFormat="1" ht="15.75">
      <c r="A1173" s="404">
        <v>28</v>
      </c>
      <c r="B1173" s="404" t="s">
        <v>505</v>
      </c>
      <c r="C1173" s="330">
        <v>122.2</v>
      </c>
      <c r="D1173" s="330"/>
      <c r="E1173" s="330"/>
      <c r="F1173" s="433"/>
      <c r="G1173" s="762">
        <f t="shared" si="127"/>
        <v>0</v>
      </c>
      <c r="H1173" s="427">
        <f t="shared" si="128"/>
        <v>0</v>
      </c>
      <c r="I1173" s="427"/>
      <c r="J1173" s="177">
        <v>0</v>
      </c>
      <c r="K1173" s="427">
        <f t="shared" si="130"/>
        <v>0</v>
      </c>
      <c r="L1173" s="427"/>
      <c r="M1173" s="680">
        <v>0</v>
      </c>
    </row>
    <row r="1174" spans="1:13" s="6" customFormat="1" ht="15.75">
      <c r="A1174" s="404">
        <v>29</v>
      </c>
      <c r="B1174" s="404" t="s">
        <v>506</v>
      </c>
      <c r="C1174" s="330">
        <v>77.900000000000006</v>
      </c>
      <c r="D1174" s="330"/>
      <c r="E1174" s="330"/>
      <c r="F1174" s="433"/>
      <c r="G1174" s="762">
        <f t="shared" si="127"/>
        <v>0</v>
      </c>
      <c r="H1174" s="427">
        <f t="shared" si="128"/>
        <v>0</v>
      </c>
      <c r="I1174" s="427"/>
      <c r="J1174" s="177">
        <v>0</v>
      </c>
      <c r="K1174" s="427">
        <f t="shared" si="130"/>
        <v>0</v>
      </c>
      <c r="L1174" s="427"/>
      <c r="M1174" s="680">
        <v>0</v>
      </c>
    </row>
    <row r="1175" spans="1:13" s="6" customFormat="1" ht="15.75">
      <c r="A1175" s="404">
        <v>30</v>
      </c>
      <c r="B1175" s="404" t="s">
        <v>507</v>
      </c>
      <c r="C1175" s="330">
        <v>205.19</v>
      </c>
      <c r="D1175" s="330"/>
      <c r="E1175" s="330"/>
      <c r="F1175" s="433"/>
      <c r="G1175" s="762">
        <f t="shared" si="127"/>
        <v>0</v>
      </c>
      <c r="H1175" s="427">
        <f t="shared" si="128"/>
        <v>0</v>
      </c>
      <c r="I1175" s="427"/>
      <c r="J1175" s="177">
        <v>0</v>
      </c>
      <c r="K1175" s="427">
        <f t="shared" si="130"/>
        <v>0</v>
      </c>
      <c r="L1175" s="427"/>
      <c r="M1175" s="680">
        <v>0</v>
      </c>
    </row>
    <row r="1176" spans="1:13" s="6" customFormat="1" ht="15.75">
      <c r="A1176" s="404">
        <v>31</v>
      </c>
      <c r="B1176" s="404" t="s">
        <v>508</v>
      </c>
      <c r="C1176" s="330">
        <v>289.10000000000002</v>
      </c>
      <c r="D1176" s="330"/>
      <c r="E1176" s="330"/>
      <c r="F1176" s="433"/>
      <c r="G1176" s="762">
        <f t="shared" si="127"/>
        <v>0</v>
      </c>
      <c r="H1176" s="427">
        <f t="shared" si="128"/>
        <v>0</v>
      </c>
      <c r="I1176" s="427"/>
      <c r="J1176" s="177">
        <v>0</v>
      </c>
      <c r="K1176" s="427">
        <f t="shared" si="130"/>
        <v>0</v>
      </c>
      <c r="L1176" s="427"/>
      <c r="M1176" s="680">
        <v>0</v>
      </c>
    </row>
    <row r="1177" spans="1:13" s="6" customFormat="1" ht="15.75">
      <c r="A1177" s="404">
        <v>32</v>
      </c>
      <c r="B1177" s="404" t="s">
        <v>509</v>
      </c>
      <c r="C1177" s="330">
        <v>117.92</v>
      </c>
      <c r="D1177" s="330"/>
      <c r="E1177" s="330"/>
      <c r="F1177" s="433"/>
      <c r="G1177" s="762">
        <f t="shared" si="127"/>
        <v>0</v>
      </c>
      <c r="H1177" s="427">
        <f t="shared" si="128"/>
        <v>0</v>
      </c>
      <c r="I1177" s="427"/>
      <c r="J1177" s="177">
        <v>0</v>
      </c>
      <c r="K1177" s="427">
        <f t="shared" si="130"/>
        <v>0</v>
      </c>
      <c r="L1177" s="427"/>
      <c r="M1177" s="680">
        <v>0</v>
      </c>
    </row>
    <row r="1178" spans="1:13" s="6" customFormat="1" ht="15.75">
      <c r="A1178" s="404">
        <v>33</v>
      </c>
      <c r="B1178" s="404" t="s">
        <v>510</v>
      </c>
      <c r="C1178" s="330">
        <v>242.85</v>
      </c>
      <c r="D1178" s="330"/>
      <c r="E1178" s="330"/>
      <c r="F1178" s="433"/>
      <c r="G1178" s="762">
        <f t="shared" si="127"/>
        <v>0</v>
      </c>
      <c r="H1178" s="427">
        <f t="shared" si="128"/>
        <v>0</v>
      </c>
      <c r="I1178" s="427"/>
      <c r="J1178" s="177">
        <v>0</v>
      </c>
      <c r="K1178" s="427">
        <f t="shared" si="130"/>
        <v>0</v>
      </c>
      <c r="L1178" s="427"/>
      <c r="M1178" s="680">
        <v>0</v>
      </c>
    </row>
    <row r="1179" spans="1:13" s="6" customFormat="1" ht="15.75">
      <c r="A1179" s="404">
        <v>34</v>
      </c>
      <c r="B1179" s="404" t="s">
        <v>511</v>
      </c>
      <c r="C1179" s="330">
        <v>415.2</v>
      </c>
      <c r="D1179" s="330"/>
      <c r="E1179" s="330"/>
      <c r="F1179" s="433"/>
      <c r="G1179" s="762">
        <f t="shared" si="127"/>
        <v>0</v>
      </c>
      <c r="H1179" s="427">
        <f t="shared" si="128"/>
        <v>0</v>
      </c>
      <c r="I1179" s="427"/>
      <c r="J1179" s="177">
        <v>0</v>
      </c>
      <c r="K1179" s="427">
        <f t="shared" si="130"/>
        <v>0</v>
      </c>
      <c r="L1179" s="427"/>
      <c r="M1179" s="680">
        <v>0</v>
      </c>
    </row>
    <row r="1180" spans="1:13" s="6" customFormat="1" ht="15.75">
      <c r="A1180" s="404">
        <v>35</v>
      </c>
      <c r="B1180" s="404" t="s">
        <v>512</v>
      </c>
      <c r="C1180" s="330">
        <v>8111.75</v>
      </c>
      <c r="D1180" s="330"/>
      <c r="E1180" s="330"/>
      <c r="F1180" s="433">
        <f t="shared" si="131"/>
        <v>8111.75</v>
      </c>
      <c r="G1180" s="762">
        <f t="shared" si="127"/>
        <v>4.9036495654073128E-2</v>
      </c>
      <c r="H1180" s="427">
        <f t="shared" si="128"/>
        <v>111.27018338352697</v>
      </c>
      <c r="I1180" s="427">
        <f t="shared" si="132"/>
        <v>40.914046430122873</v>
      </c>
      <c r="J1180" s="177">
        <v>43.959959673388198</v>
      </c>
      <c r="K1180" s="427">
        <f t="shared" si="130"/>
        <v>39.305203091522316</v>
      </c>
      <c r="L1180" s="427"/>
      <c r="M1180" s="680">
        <f t="shared" ref="M1180:M1197" si="133">(K1180+J1180+I1180+H1180)/F1180</f>
        <v>2.9025721031659058E-2</v>
      </c>
    </row>
    <row r="1181" spans="1:13" s="6" customFormat="1" ht="15.75">
      <c r="A1181" s="404">
        <v>36</v>
      </c>
      <c r="B1181" s="404" t="s">
        <v>513</v>
      </c>
      <c r="C1181" s="330">
        <v>6280.23</v>
      </c>
      <c r="D1181" s="330"/>
      <c r="E1181" s="330"/>
      <c r="F1181" s="433">
        <f t="shared" si="131"/>
        <v>6280.23</v>
      </c>
      <c r="G1181" s="762">
        <f t="shared" si="127"/>
        <v>3.7964738940620663E-2</v>
      </c>
      <c r="H1181" s="427">
        <f t="shared" si="128"/>
        <v>86.146928072330567</v>
      </c>
      <c r="I1181" s="427">
        <f t="shared" si="132"/>
        <v>31.676225452195951</v>
      </c>
      <c r="J1181" s="177">
        <v>34.034413972275125</v>
      </c>
      <c r="K1181" s="427">
        <f t="shared" si="130"/>
        <v>30.43063649785449</v>
      </c>
      <c r="L1181" s="427"/>
      <c r="M1181" s="680">
        <f t="shared" si="133"/>
        <v>2.9025721031659055E-2</v>
      </c>
    </row>
    <row r="1182" spans="1:13" s="6" customFormat="1" ht="15.75">
      <c r="A1182" s="404">
        <v>37</v>
      </c>
      <c r="B1182" s="404" t="s">
        <v>514</v>
      </c>
      <c r="C1182" s="330">
        <v>8361.6299999999992</v>
      </c>
      <c r="D1182" s="330"/>
      <c r="E1182" s="330"/>
      <c r="F1182" s="433">
        <f t="shared" si="131"/>
        <v>8361.6299999999992</v>
      </c>
      <c r="G1182" s="762">
        <f t="shared" si="127"/>
        <v>5.0547050039260022E-2</v>
      </c>
      <c r="H1182" s="427">
        <f t="shared" si="128"/>
        <v>114.6978276555861</v>
      </c>
      <c r="I1182" s="427">
        <f t="shared" si="132"/>
        <v>42.17439122895901</v>
      </c>
      <c r="J1182" s="177">
        <v>45.314132906437315</v>
      </c>
      <c r="K1182" s="427">
        <f t="shared" si="130"/>
        <v>40.515987958968871</v>
      </c>
      <c r="L1182" s="427"/>
      <c r="M1182" s="680">
        <f t="shared" si="133"/>
        <v>2.9025721031659058E-2</v>
      </c>
    </row>
    <row r="1183" spans="1:13" s="6" customFormat="1" ht="15.75">
      <c r="A1183" s="404">
        <v>38</v>
      </c>
      <c r="B1183" s="404" t="s">
        <v>515</v>
      </c>
      <c r="C1183" s="330">
        <v>6675.9</v>
      </c>
      <c r="D1183" s="330"/>
      <c r="E1183" s="330"/>
      <c r="F1183" s="433">
        <f t="shared" si="131"/>
        <v>6675.9</v>
      </c>
      <c r="G1183" s="762">
        <f t="shared" si="127"/>
        <v>4.035661125367853E-2</v>
      </c>
      <c r="H1183" s="427">
        <f t="shared" si="128"/>
        <v>91.574397294059565</v>
      </c>
      <c r="I1183" s="427">
        <f t="shared" si="132"/>
        <v>33.671905885025701</v>
      </c>
      <c r="J1183" s="177">
        <v>36.178666105781403</v>
      </c>
      <c r="K1183" s="427">
        <f t="shared" si="130"/>
        <v>32.347841750386024</v>
      </c>
      <c r="L1183" s="427"/>
      <c r="M1183" s="680">
        <f t="shared" si="133"/>
        <v>2.9025721031659058E-2</v>
      </c>
    </row>
    <row r="1184" spans="1:13" s="6" customFormat="1" ht="15.75">
      <c r="A1184" s="404">
        <v>39</v>
      </c>
      <c r="B1184" s="404" t="s">
        <v>516</v>
      </c>
      <c r="C1184" s="330">
        <v>4489.2299999999996</v>
      </c>
      <c r="D1184" s="330"/>
      <c r="E1184" s="330">
        <v>48.5</v>
      </c>
      <c r="F1184" s="433">
        <f t="shared" si="131"/>
        <v>4537.7299999999996</v>
      </c>
      <c r="G1184" s="762">
        <f t="shared" si="127"/>
        <v>2.7431118738170831E-2</v>
      </c>
      <c r="H1184" s="427">
        <f t="shared" si="128"/>
        <v>62.244774462345582</v>
      </c>
      <c r="I1184" s="427">
        <f t="shared" si="132"/>
        <v>22.887403569804473</v>
      </c>
      <c r="J1184" s="177">
        <v>24.591293840259354</v>
      </c>
      <c r="K1184" s="427">
        <f t="shared" si="130"/>
        <v>21.987413224580827</v>
      </c>
      <c r="L1184" s="427"/>
      <c r="M1184" s="680">
        <f t="shared" si="133"/>
        <v>2.9025721031659058E-2</v>
      </c>
    </row>
    <row r="1185" spans="1:13" s="6" customFormat="1" ht="15.75">
      <c r="A1185" s="404">
        <v>40</v>
      </c>
      <c r="B1185" s="404" t="s">
        <v>517</v>
      </c>
      <c r="C1185" s="330">
        <v>4352.13</v>
      </c>
      <c r="D1185" s="330"/>
      <c r="E1185" s="330"/>
      <c r="F1185" s="433">
        <f t="shared" si="131"/>
        <v>4352.13</v>
      </c>
      <c r="G1185" s="762">
        <f t="shared" si="127"/>
        <v>2.6309144615028975E-2</v>
      </c>
      <c r="H1185" s="427">
        <f t="shared" si="128"/>
        <v>59.698869320300702</v>
      </c>
      <c r="I1185" s="427">
        <f t="shared" si="132"/>
        <v>21.951274249074569</v>
      </c>
      <c r="J1185" s="177">
        <v>23.585472837962584</v>
      </c>
      <c r="K1185" s="427">
        <f t="shared" si="130"/>
        <v>21.088094866176473</v>
      </c>
      <c r="L1185" s="427"/>
      <c r="M1185" s="680">
        <f t="shared" si="133"/>
        <v>2.9025721031659058E-2</v>
      </c>
    </row>
    <row r="1186" spans="1:13" s="6" customFormat="1" ht="15.75">
      <c r="A1186" s="404">
        <v>41</v>
      </c>
      <c r="B1186" s="404" t="s">
        <v>518</v>
      </c>
      <c r="C1186" s="330">
        <v>4481.0200000000004</v>
      </c>
      <c r="D1186" s="330"/>
      <c r="E1186" s="330">
        <v>48.33</v>
      </c>
      <c r="F1186" s="433">
        <f t="shared" si="131"/>
        <v>4529.3500000000004</v>
      </c>
      <c r="G1186" s="762">
        <f t="shared" si="127"/>
        <v>2.738046063929191E-2</v>
      </c>
      <c r="H1186" s="427">
        <f t="shared" si="128"/>
        <v>62.129824650436454</v>
      </c>
      <c r="I1186" s="427">
        <f t="shared" si="132"/>
        <v>22.845136523965486</v>
      </c>
      <c r="J1186" s="177">
        <v>24.545880154918585</v>
      </c>
      <c r="K1186" s="427">
        <f t="shared" si="130"/>
        <v>21.94680822542443</v>
      </c>
      <c r="L1186" s="427"/>
      <c r="M1186" s="680">
        <f t="shared" si="133"/>
        <v>2.9025721031659055E-2</v>
      </c>
    </row>
    <row r="1187" spans="1:13" s="6" customFormat="1" ht="15.75">
      <c r="A1187" s="404">
        <v>42</v>
      </c>
      <c r="B1187" s="404" t="s">
        <v>519</v>
      </c>
      <c r="C1187" s="330">
        <v>4132.3900000000003</v>
      </c>
      <c r="D1187" s="330"/>
      <c r="E1187" s="330">
        <v>18.8</v>
      </c>
      <c r="F1187" s="433">
        <f t="shared" si="131"/>
        <v>4151.1900000000005</v>
      </c>
      <c r="G1187" s="762">
        <f t="shared" si="127"/>
        <v>2.5094438363390374E-2</v>
      </c>
      <c r="H1187" s="427">
        <f t="shared" si="128"/>
        <v>56.942542923520001</v>
      </c>
      <c r="I1187" s="427">
        <f t="shared" si="132"/>
        <v>20.937773032978306</v>
      </c>
      <c r="J1187" s="177">
        <v>22.496519862738914</v>
      </c>
      <c r="K1187" s="427">
        <f t="shared" si="130"/>
        <v>20.114447070175554</v>
      </c>
      <c r="L1187" s="427"/>
      <c r="M1187" s="680">
        <f t="shared" si="133"/>
        <v>2.9025721031659055E-2</v>
      </c>
    </row>
    <row r="1188" spans="1:13" s="6" customFormat="1" ht="15.75">
      <c r="A1188" s="404">
        <v>43</v>
      </c>
      <c r="B1188" s="404" t="s">
        <v>520</v>
      </c>
      <c r="C1188" s="330">
        <v>8136.02</v>
      </c>
      <c r="D1188" s="330"/>
      <c r="E1188" s="330"/>
      <c r="F1188" s="433">
        <f t="shared" si="131"/>
        <v>8136.02</v>
      </c>
      <c r="G1188" s="762">
        <f t="shared" si="127"/>
        <v>4.9183210697007686E-2</v>
      </c>
      <c r="H1188" s="427">
        <f t="shared" si="128"/>
        <v>111.60309888890106</v>
      </c>
      <c r="I1188" s="427">
        <f t="shared" si="132"/>
        <v>41.036459461448921</v>
      </c>
      <c r="J1188" s="177">
        <v>44.091485943462246</v>
      </c>
      <c r="K1188" s="427">
        <f t="shared" si="130"/>
        <v>39.422802534186509</v>
      </c>
      <c r="L1188" s="427"/>
      <c r="M1188" s="680">
        <f t="shared" si="133"/>
        <v>2.9025721031659058E-2</v>
      </c>
    </row>
    <row r="1189" spans="1:13" s="6" customFormat="1" ht="15.75">
      <c r="A1189" s="404">
        <v>44</v>
      </c>
      <c r="B1189" s="404" t="s">
        <v>521</v>
      </c>
      <c r="C1189" s="330">
        <v>5922.13</v>
      </c>
      <c r="D1189" s="330">
        <v>77.599999999999994</v>
      </c>
      <c r="E1189" s="330">
        <v>240.4</v>
      </c>
      <c r="F1189" s="433">
        <f t="shared" si="131"/>
        <v>6240.13</v>
      </c>
      <c r="G1189" s="762">
        <f t="shared" si="127"/>
        <v>3.7722329660782365E-2</v>
      </c>
      <c r="H1189" s="427">
        <f t="shared" si="128"/>
        <v>85.596869903171097</v>
      </c>
      <c r="I1189" s="427">
        <f t="shared" si="132"/>
        <v>31.473969063396016</v>
      </c>
      <c r="J1189" s="177">
        <v>33.817100275119415</v>
      </c>
      <c r="K1189" s="427">
        <f t="shared" si="130"/>
        <v>30.236333339600105</v>
      </c>
      <c r="L1189" s="427"/>
      <c r="M1189" s="680">
        <f t="shared" si="133"/>
        <v>2.9025721031659055E-2</v>
      </c>
    </row>
    <row r="1190" spans="1:13" s="6" customFormat="1" ht="15.75">
      <c r="A1190" s="404">
        <v>45</v>
      </c>
      <c r="B1190" s="404" t="s">
        <v>522</v>
      </c>
      <c r="C1190" s="330">
        <v>5641.92</v>
      </c>
      <c r="D1190" s="330">
        <v>100.4</v>
      </c>
      <c r="E1190" s="330">
        <v>535.70000000000005</v>
      </c>
      <c r="F1190" s="433">
        <f t="shared" si="131"/>
        <v>6278.0199999999995</v>
      </c>
      <c r="G1190" s="762">
        <f t="shared" si="127"/>
        <v>3.7951379227193167E-2</v>
      </c>
      <c r="H1190" s="427">
        <f t="shared" si="128"/>
        <v>86.116613145800841</v>
      </c>
      <c r="I1190" s="427">
        <f t="shared" si="132"/>
        <v>31.665078653710971</v>
      </c>
      <c r="J1190" s="177">
        <v>34.022437332107692</v>
      </c>
      <c r="K1190" s="427">
        <f t="shared" si="130"/>
        <v>30.419928019556682</v>
      </c>
      <c r="L1190" s="427"/>
      <c r="M1190" s="680">
        <f t="shared" si="133"/>
        <v>2.9025721031659058E-2</v>
      </c>
    </row>
    <row r="1191" spans="1:13" s="6" customFormat="1" ht="15.75">
      <c r="A1191" s="404">
        <v>46</v>
      </c>
      <c r="B1191" s="404" t="s">
        <v>523</v>
      </c>
      <c r="C1191" s="330">
        <f>3994.79-6.68</f>
        <v>3988.11</v>
      </c>
      <c r="D1191" s="330"/>
      <c r="E1191" s="330"/>
      <c r="F1191" s="433">
        <f t="shared" si="131"/>
        <v>3988.11</v>
      </c>
      <c r="G1191" s="762">
        <f t="shared" si="127"/>
        <v>2.4108600324586629E-2</v>
      </c>
      <c r="H1191" s="427">
        <f t="shared" si="128"/>
        <v>54.705548254529262</v>
      </c>
      <c r="I1191" s="427">
        <f t="shared" si="132"/>
        <v>20.115230093190412</v>
      </c>
      <c r="J1191" s="177">
        <v>21.612741365677717</v>
      </c>
      <c r="K1191" s="427">
        <f t="shared" si="130"/>
        <v>19.324248590172413</v>
      </c>
      <c r="L1191" s="427"/>
      <c r="M1191" s="680">
        <f t="shared" si="133"/>
        <v>2.9025721031659058E-2</v>
      </c>
    </row>
    <row r="1192" spans="1:13" s="6" customFormat="1" ht="15.75">
      <c r="A1192" s="404">
        <v>47</v>
      </c>
      <c r="B1192" s="404" t="s">
        <v>524</v>
      </c>
      <c r="C1192" s="330">
        <v>4150.55</v>
      </c>
      <c r="D1192" s="330"/>
      <c r="E1192" s="330"/>
      <c r="F1192" s="433">
        <f t="shared" si="131"/>
        <v>4150.55</v>
      </c>
      <c r="G1192" s="762">
        <f t="shared" si="127"/>
        <v>2.5090569487103677E-2</v>
      </c>
      <c r="H1192" s="427">
        <f t="shared" si="128"/>
        <v>56.933763940271568</v>
      </c>
      <c r="I1192" s="427">
        <f t="shared" si="132"/>
        <v>20.934545000837858</v>
      </c>
      <c r="J1192" s="177">
        <v>22.493051514455129</v>
      </c>
      <c r="K1192" s="427">
        <f t="shared" si="130"/>
        <v>20.111345972387952</v>
      </c>
      <c r="L1192" s="427"/>
      <c r="M1192" s="680">
        <f t="shared" si="133"/>
        <v>2.9025721031659062E-2</v>
      </c>
    </row>
    <row r="1193" spans="1:13" s="6" customFormat="1" ht="15.75">
      <c r="A1193" s="404">
        <v>48</v>
      </c>
      <c r="B1193" s="404" t="s">
        <v>525</v>
      </c>
      <c r="C1193" s="330">
        <v>14374.02</v>
      </c>
      <c r="D1193" s="330"/>
      <c r="E1193" s="330"/>
      <c r="F1193" s="433">
        <f t="shared" si="131"/>
        <v>14374.02</v>
      </c>
      <c r="G1193" s="762">
        <f t="shared" si="127"/>
        <v>8.6892664253898397E-2</v>
      </c>
      <c r="H1193" s="427">
        <f t="shared" si="128"/>
        <v>197.17075123844847</v>
      </c>
      <c r="I1193" s="427">
        <f t="shared" si="132"/>
        <v>72.499685230377509</v>
      </c>
      <c r="J1193" s="177">
        <v>77.897043121949693</v>
      </c>
      <c r="K1193" s="427">
        <f t="shared" si="130"/>
        <v>69.64881503271225</v>
      </c>
      <c r="L1193" s="427"/>
      <c r="M1193" s="680">
        <f t="shared" si="133"/>
        <v>2.9025721031659055E-2</v>
      </c>
    </row>
    <row r="1194" spans="1:13" s="6" customFormat="1" ht="15.75">
      <c r="A1194" s="404">
        <v>49</v>
      </c>
      <c r="B1194" s="404" t="s">
        <v>526</v>
      </c>
      <c r="C1194" s="330">
        <v>4120.28</v>
      </c>
      <c r="D1194" s="330"/>
      <c r="E1194" s="330"/>
      <c r="F1194" s="433">
        <f t="shared" si="131"/>
        <v>4120.28</v>
      </c>
      <c r="G1194" s="762">
        <f t="shared" si="127"/>
        <v>2.4907583728981345E-2</v>
      </c>
      <c r="H1194" s="427">
        <f t="shared" si="128"/>
        <v>56.518545466943444</v>
      </c>
      <c r="I1194" s="427">
        <f t="shared" si="132"/>
        <v>20.781869168195104</v>
      </c>
      <c r="J1194" s="177">
        <v>22.329009479220627</v>
      </c>
      <c r="K1194" s="427">
        <f t="shared" si="130"/>
        <v>19.964673737964997</v>
      </c>
      <c r="L1194" s="427"/>
      <c r="M1194" s="680">
        <f t="shared" si="133"/>
        <v>2.9025721031659058E-2</v>
      </c>
    </row>
    <row r="1195" spans="1:13" s="6" customFormat="1" ht="15.75">
      <c r="A1195" s="404">
        <v>50</v>
      </c>
      <c r="B1195" s="404" t="s">
        <v>527</v>
      </c>
      <c r="C1195" s="330">
        <v>14371.39</v>
      </c>
      <c r="D1195" s="330"/>
      <c r="E1195" s="330"/>
      <c r="F1195" s="433">
        <f t="shared" si="131"/>
        <v>14371.39</v>
      </c>
      <c r="G1195" s="762">
        <f t="shared" si="127"/>
        <v>8.6876765590407745E-2</v>
      </c>
      <c r="H1195" s="427">
        <f t="shared" si="128"/>
        <v>197.13467510416194</v>
      </c>
      <c r="I1195" s="427">
        <f t="shared" si="132"/>
        <v>72.48642003580035</v>
      </c>
      <c r="J1195" s="177">
        <v>77.882790378221017</v>
      </c>
      <c r="K1195" s="427">
        <f t="shared" si="130"/>
        <v>69.636071458991324</v>
      </c>
      <c r="L1195" s="427"/>
      <c r="M1195" s="680">
        <f t="shared" si="133"/>
        <v>2.9025721031659055E-2</v>
      </c>
    </row>
    <row r="1196" spans="1:13" s="6" customFormat="1" ht="15.75">
      <c r="A1196" s="404">
        <v>51</v>
      </c>
      <c r="B1196" s="404" t="s">
        <v>528</v>
      </c>
      <c r="C1196" s="330">
        <v>9061.4</v>
      </c>
      <c r="D1196" s="330"/>
      <c r="E1196" s="330">
        <v>2450</v>
      </c>
      <c r="F1196" s="433">
        <f t="shared" si="131"/>
        <v>11511.4</v>
      </c>
      <c r="G1196" s="762">
        <f t="shared" si="127"/>
        <v>6.9587785135426683E-2</v>
      </c>
      <c r="H1196" s="427">
        <f t="shared" si="128"/>
        <v>157.90373088435075</v>
      </c>
      <c r="I1196" s="427">
        <f t="shared" si="132"/>
        <v>58.061201846175777</v>
      </c>
      <c r="J1196" s="177">
        <v>62.383663178012256</v>
      </c>
      <c r="K1196" s="427">
        <f t="shared" si="130"/>
        <v>55.778089175301254</v>
      </c>
      <c r="L1196" s="427"/>
      <c r="M1196" s="680">
        <f t="shared" si="133"/>
        <v>2.9025721031659055E-2</v>
      </c>
    </row>
    <row r="1197" spans="1:13" s="6" customFormat="1" ht="15.75">
      <c r="A1197" s="404">
        <v>52</v>
      </c>
      <c r="B1197" s="404" t="s">
        <v>529</v>
      </c>
      <c r="C1197" s="330">
        <v>6826.1</v>
      </c>
      <c r="D1197" s="330"/>
      <c r="E1197" s="330">
        <v>98.1</v>
      </c>
      <c r="F1197" s="433">
        <f t="shared" si="131"/>
        <v>6924.2000000000007</v>
      </c>
      <c r="G1197" s="762">
        <f t="shared" si="127"/>
        <v>4.1857614350532646E-2</v>
      </c>
      <c r="H1197" s="427">
        <f t="shared" si="128"/>
        <v>94.980368451224152</v>
      </c>
      <c r="I1197" s="427">
        <f t="shared" si="132"/>
        <v>34.924281479515123</v>
      </c>
      <c r="J1197" s="177">
        <v>37.524276854004938</v>
      </c>
      <c r="K1197" s="427">
        <f t="shared" si="130"/>
        <v>33.550970782669438</v>
      </c>
      <c r="L1197" s="427"/>
      <c r="M1197" s="680">
        <f t="shared" si="133"/>
        <v>2.9025721031659058E-2</v>
      </c>
    </row>
    <row r="1198" spans="1:13" s="6" customFormat="1" ht="15.75">
      <c r="A1198" s="404">
        <v>53</v>
      </c>
      <c r="B1198" s="404" t="s">
        <v>530</v>
      </c>
      <c r="C1198" s="330">
        <v>9038.0300000000007</v>
      </c>
      <c r="D1198" s="330"/>
      <c r="E1198" s="330">
        <v>1829.2</v>
      </c>
      <c r="F1198" s="433">
        <f t="shared" si="131"/>
        <v>10867.230000000001</v>
      </c>
      <c r="G1198" s="762">
        <f t="shared" si="127"/>
        <v>6.5693700701675128E-2</v>
      </c>
      <c r="H1198" s="427">
        <f t="shared" si="128"/>
        <v>149.06754707319209</v>
      </c>
      <c r="I1198" s="427">
        <f t="shared" si="132"/>
        <v>54.812137058812738</v>
      </c>
      <c r="J1198" s="177">
        <v>58.892716437443774</v>
      </c>
      <c r="K1198" s="427">
        <f t="shared" si="130"/>
        <v>52.656785797427695</v>
      </c>
      <c r="L1198" s="427"/>
      <c r="M1198" s="680">
        <f t="shared" ref="M1198:M1232" si="134">(K1198+J1198+I1198+H1198)/F1198</f>
        <v>2.9025721031659058E-2</v>
      </c>
    </row>
    <row r="1199" spans="1:13" s="6" customFormat="1" ht="15.75">
      <c r="A1199" s="404">
        <v>54</v>
      </c>
      <c r="B1199" s="404" t="s">
        <v>531</v>
      </c>
      <c r="C1199" s="330">
        <v>6690.6</v>
      </c>
      <c r="D1199" s="330"/>
      <c r="E1199" s="330">
        <v>855.4</v>
      </c>
      <c r="F1199" s="433">
        <f t="shared" si="131"/>
        <v>7546</v>
      </c>
      <c r="G1199" s="762">
        <f t="shared" si="127"/>
        <v>4.5616469467825792E-2</v>
      </c>
      <c r="H1199" s="427">
        <f t="shared" si="128"/>
        <v>103.50969936352755</v>
      </c>
      <c r="I1199" s="427">
        <f t="shared" si="132"/>
        <v>38.060516455969079</v>
      </c>
      <c r="J1199" s="177">
        <v>40.893993983466864</v>
      </c>
      <c r="K1199" s="427">
        <f t="shared" si="130"/>
        <v>36.563881101935763</v>
      </c>
      <c r="L1199" s="427"/>
      <c r="M1199" s="680">
        <f t="shared" si="134"/>
        <v>2.9025721031659062E-2</v>
      </c>
    </row>
    <row r="1200" spans="1:13" s="6" customFormat="1" ht="15.75">
      <c r="A1200" s="404">
        <v>55</v>
      </c>
      <c r="B1200" s="404" t="s">
        <v>1370</v>
      </c>
      <c r="C1200" s="330">
        <v>2503.4</v>
      </c>
      <c r="D1200" s="330"/>
      <c r="E1200" s="330"/>
      <c r="F1200" s="433">
        <f t="shared" si="131"/>
        <v>2503.4</v>
      </c>
      <c r="G1200" s="762">
        <f t="shared" si="127"/>
        <v>1.5133351400179577E-2</v>
      </c>
      <c r="H1200" s="427">
        <f t="shared" si="128"/>
        <v>34.339541662689484</v>
      </c>
      <c r="I1200" s="427">
        <f t="shared" si="132"/>
        <v>12.626649469370925</v>
      </c>
      <c r="J1200" s="177">
        <v>0</v>
      </c>
      <c r="K1200" s="427">
        <f t="shared" si="130"/>
        <v>12.130137814813938</v>
      </c>
      <c r="L1200" s="427"/>
      <c r="M1200" s="680">
        <f t="shared" si="134"/>
        <v>2.3606426838249719E-2</v>
      </c>
    </row>
    <row r="1201" spans="1:13" s="6" customFormat="1" ht="15.75">
      <c r="A1201" s="404">
        <v>56</v>
      </c>
      <c r="B1201" s="404" t="s">
        <v>1371</v>
      </c>
      <c r="C1201" s="330">
        <v>1175</v>
      </c>
      <c r="D1201" s="330"/>
      <c r="E1201" s="330"/>
      <c r="F1201" s="433">
        <f t="shared" si="131"/>
        <v>1175</v>
      </c>
      <c r="G1201" s="762">
        <f t="shared" si="127"/>
        <v>7.1030150576060569E-3</v>
      </c>
      <c r="H1201" s="427">
        <f t="shared" si="128"/>
        <v>16.117664557665634</v>
      </c>
      <c r="I1201" s="427">
        <f t="shared" si="132"/>
        <v>5.9264652578536543</v>
      </c>
      <c r="J1201" s="177">
        <v>0</v>
      </c>
      <c r="K1201" s="427">
        <f t="shared" si="130"/>
        <v>5.6934217194241343</v>
      </c>
      <c r="L1201" s="427"/>
      <c r="M1201" s="680">
        <f t="shared" si="134"/>
        <v>2.3606426838249719E-2</v>
      </c>
    </row>
    <row r="1202" spans="1:13" s="67" customFormat="1" ht="15.75">
      <c r="A1202" s="396"/>
      <c r="B1202" s="161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153">
        <f>SUM(F1148:F1201)</f>
        <v>165422.71000000005</v>
      </c>
      <c r="G1202" s="762">
        <f>1/165422.71*F1202</f>
        <v>1.0000000000000002</v>
      </c>
      <c r="H1202" s="427">
        <f>G1202*2269.13</f>
        <v>2269.1300000000006</v>
      </c>
      <c r="I1202" s="704">
        <f>H1202*0.3677</f>
        <v>834.35910100000024</v>
      </c>
      <c r="J1202" s="177">
        <f>SUM(J1147:J1201)</f>
        <v>876.54000000000008</v>
      </c>
      <c r="K1202" s="427">
        <f t="shared" si="130"/>
        <v>801.55000000000018</v>
      </c>
      <c r="L1202" s="427"/>
      <c r="M1202" s="680">
        <f t="shared" si="134"/>
        <v>2.8905215620031854E-2</v>
      </c>
    </row>
    <row r="1203" spans="1:13" s="6" customFormat="1" ht="15.75">
      <c r="A1203" s="154" t="s">
        <v>629</v>
      </c>
      <c r="B1203" s="330"/>
      <c r="C1203" s="330"/>
      <c r="D1203" s="330"/>
      <c r="E1203" s="330"/>
      <c r="F1203" s="433"/>
      <c r="G1203" s="396"/>
      <c r="H1203" s="427">
        <f>G1203*2077.52</f>
        <v>0</v>
      </c>
      <c r="I1203" s="427"/>
      <c r="J1203" s="177">
        <v>0</v>
      </c>
      <c r="K1203" s="427">
        <f t="shared" si="130"/>
        <v>0</v>
      </c>
      <c r="L1203" s="427"/>
      <c r="M1203" s="680">
        <v>0</v>
      </c>
    </row>
    <row r="1204" spans="1:13" s="6" customFormat="1" ht="15.75">
      <c r="A1204" s="330">
        <v>1</v>
      </c>
      <c r="B1204" s="330" t="s">
        <v>532</v>
      </c>
      <c r="C1204" s="386">
        <v>3898.29</v>
      </c>
      <c r="D1204" s="386">
        <v>123.1</v>
      </c>
      <c r="E1204" s="386">
        <v>374.5</v>
      </c>
      <c r="F1204" s="433">
        <f t="shared" ref="F1204:F1228" si="135">C1204+D1204+E1204</f>
        <v>4395.8899999999994</v>
      </c>
      <c r="G1204" s="181">
        <f t="shared" ref="G1204:G1231" si="136">1/90456.56*F1204</f>
        <v>4.85966965801043E-2</v>
      </c>
      <c r="H1204" s="427">
        <f t="shared" ref="H1204:H1231" si="137">G1204*2269.13</f>
        <v>110.27222211081208</v>
      </c>
      <c r="I1204" s="427">
        <f t="shared" ref="I1204:I1232" si="138">H1204*0.3677</f>
        <v>40.547096070145606</v>
      </c>
      <c r="J1204" s="177">
        <v>42.596948420324622</v>
      </c>
      <c r="K1204" s="427">
        <f t="shared" si="130"/>
        <v>38.952682143782596</v>
      </c>
      <c r="L1204" s="427"/>
      <c r="M1204" s="680">
        <f t="shared" si="134"/>
        <v>5.2860501228434963E-2</v>
      </c>
    </row>
    <row r="1205" spans="1:13" s="6" customFormat="1" ht="15.75">
      <c r="A1205" s="330">
        <v>2</v>
      </c>
      <c r="B1205" s="330" t="s">
        <v>533</v>
      </c>
      <c r="C1205" s="330">
        <v>3600.73</v>
      </c>
      <c r="D1205" s="330"/>
      <c r="E1205" s="330">
        <v>290.5</v>
      </c>
      <c r="F1205" s="433">
        <f t="shared" si="135"/>
        <v>3891.23</v>
      </c>
      <c r="G1205" s="181">
        <f t="shared" si="136"/>
        <v>4.3017665053811466E-2</v>
      </c>
      <c r="H1205" s="427">
        <f t="shared" si="137"/>
        <v>97.61267430355521</v>
      </c>
      <c r="I1205" s="427">
        <f t="shared" si="138"/>
        <v>35.892180341417252</v>
      </c>
      <c r="J1205" s="177">
        <v>37.706704126267901</v>
      </c>
      <c r="K1205" s="427">
        <f t="shared" si="130"/>
        <v>34.480809423882576</v>
      </c>
      <c r="L1205" s="427"/>
      <c r="M1205" s="680">
        <f t="shared" si="134"/>
        <v>5.2860501228434949E-2</v>
      </c>
    </row>
    <row r="1206" spans="1:13" s="6" customFormat="1" ht="15.75">
      <c r="A1206" s="330">
        <v>3</v>
      </c>
      <c r="B1206" s="330" t="s">
        <v>534</v>
      </c>
      <c r="C1206" s="330">
        <v>5868.42</v>
      </c>
      <c r="D1206" s="330">
        <v>489.8</v>
      </c>
      <c r="E1206" s="330"/>
      <c r="F1206" s="433">
        <f t="shared" si="135"/>
        <v>6358.22</v>
      </c>
      <c r="G1206" s="181">
        <f t="shared" si="136"/>
        <v>7.0290313936324803E-2</v>
      </c>
      <c r="H1206" s="427">
        <f t="shared" si="137"/>
        <v>159.49786006233271</v>
      </c>
      <c r="I1206" s="427">
        <f t="shared" si="138"/>
        <v>58.647363144919737</v>
      </c>
      <c r="J1206" s="177">
        <v>61.612271777746138</v>
      </c>
      <c r="K1206" s="427">
        <f t="shared" si="130"/>
        <v>56.341201135661144</v>
      </c>
      <c r="L1206" s="427"/>
      <c r="M1206" s="680">
        <f t="shared" si="134"/>
        <v>5.2860501228434956E-2</v>
      </c>
    </row>
    <row r="1207" spans="1:13" s="6" customFormat="1" ht="15.75">
      <c r="A1207" s="330">
        <v>4</v>
      </c>
      <c r="B1207" s="330" t="s">
        <v>535</v>
      </c>
      <c r="C1207" s="330">
        <v>4090.86</v>
      </c>
      <c r="D1207" s="330"/>
      <c r="E1207" s="330"/>
      <c r="F1207" s="433">
        <f t="shared" si="135"/>
        <v>4090.86</v>
      </c>
      <c r="G1207" s="181">
        <f t="shared" si="136"/>
        <v>4.5224580726925721E-2</v>
      </c>
      <c r="H1207" s="427">
        <f t="shared" si="137"/>
        <v>102.62045286488896</v>
      </c>
      <c r="I1207" s="427">
        <f t="shared" si="138"/>
        <v>37.733540518419673</v>
      </c>
      <c r="J1207" s="177">
        <v>39.641153990379472</v>
      </c>
      <c r="K1207" s="427">
        <f t="shared" si="130"/>
        <v>36.249762681667313</v>
      </c>
      <c r="L1207" s="427"/>
      <c r="M1207" s="680">
        <f t="shared" si="134"/>
        <v>5.2860501228434956E-2</v>
      </c>
    </row>
    <row r="1208" spans="1:13" s="6" customFormat="1" ht="15.75">
      <c r="A1208" s="330">
        <v>5</v>
      </c>
      <c r="B1208" s="330" t="s">
        <v>536</v>
      </c>
      <c r="C1208" s="330">
        <v>3274.15</v>
      </c>
      <c r="D1208" s="330"/>
      <c r="E1208" s="330"/>
      <c r="F1208" s="433">
        <f t="shared" si="135"/>
        <v>3274.15</v>
      </c>
      <c r="G1208" s="181">
        <f t="shared" si="136"/>
        <v>3.6195827035651149E-2</v>
      </c>
      <c r="H1208" s="427">
        <f t="shared" si="137"/>
        <v>82.133037001407089</v>
      </c>
      <c r="I1208" s="427">
        <f t="shared" si="138"/>
        <v>30.20031770541739</v>
      </c>
      <c r="J1208" s="177">
        <v>31.727090229829656</v>
      </c>
      <c r="K1208" s="427">
        <f t="shared" si="130"/>
        <v>29.012765160426177</v>
      </c>
      <c r="L1208" s="427"/>
      <c r="M1208" s="680">
        <f t="shared" si="134"/>
        <v>5.2860501228434963E-2</v>
      </c>
    </row>
    <row r="1209" spans="1:13" s="6" customFormat="1" ht="15.75">
      <c r="A1209" s="330">
        <v>6</v>
      </c>
      <c r="B1209" s="330" t="s">
        <v>537</v>
      </c>
      <c r="C1209" s="330">
        <v>6596</v>
      </c>
      <c r="D1209" s="330"/>
      <c r="E1209" s="330"/>
      <c r="F1209" s="433">
        <f t="shared" si="135"/>
        <v>6596</v>
      </c>
      <c r="G1209" s="181">
        <f t="shared" si="136"/>
        <v>7.2918979010477517E-2</v>
      </c>
      <c r="H1209" s="427">
        <f t="shared" si="137"/>
        <v>165.46264284204486</v>
      </c>
      <c r="I1209" s="427">
        <f t="shared" si="138"/>
        <v>60.840613773019896</v>
      </c>
      <c r="J1209" s="177">
        <v>63.916401861843958</v>
      </c>
      <c r="K1209" s="427">
        <f t="shared" si="130"/>
        <v>58.448207625848248</v>
      </c>
      <c r="L1209" s="427"/>
      <c r="M1209" s="680">
        <f t="shared" si="134"/>
        <v>5.2860501228434956E-2</v>
      </c>
    </row>
    <row r="1210" spans="1:13" s="6" customFormat="1" ht="15.75">
      <c r="A1210" s="330">
        <v>7</v>
      </c>
      <c r="B1210" s="330" t="s">
        <v>538</v>
      </c>
      <c r="C1210" s="330">
        <v>7101.2</v>
      </c>
      <c r="D1210" s="330"/>
      <c r="E1210" s="330"/>
      <c r="F1210" s="433">
        <f t="shared" si="135"/>
        <v>7101.2</v>
      </c>
      <c r="G1210" s="181">
        <f t="shared" si="136"/>
        <v>7.8503980253062905E-2</v>
      </c>
      <c r="H1210" s="427">
        <f t="shared" si="137"/>
        <v>178.13573671163263</v>
      </c>
      <c r="I1210" s="427">
        <f t="shared" si="138"/>
        <v>65.500510388867326</v>
      </c>
      <c r="J1210" s="177">
        <v>68.811878851019756</v>
      </c>
      <c r="K1210" s="427">
        <f t="shared" si="130"/>
        <v>62.924865371842564</v>
      </c>
      <c r="L1210" s="427"/>
      <c r="M1210" s="680">
        <f t="shared" si="134"/>
        <v>5.2860501228434949E-2</v>
      </c>
    </row>
    <row r="1211" spans="1:13" s="6" customFormat="1" ht="15.75">
      <c r="A1211" s="330">
        <v>8</v>
      </c>
      <c r="B1211" s="330" t="s">
        <v>539</v>
      </c>
      <c r="C1211" s="330">
        <v>7470.48</v>
      </c>
      <c r="D1211" s="330"/>
      <c r="E1211" s="330"/>
      <c r="F1211" s="433">
        <f t="shared" si="135"/>
        <v>7470.48</v>
      </c>
      <c r="G1211" s="181">
        <f t="shared" si="136"/>
        <v>8.2586381794753194E-2</v>
      </c>
      <c r="H1211" s="427">
        <f t="shared" si="137"/>
        <v>187.39923652192832</v>
      </c>
      <c r="I1211" s="427">
        <f t="shared" si="138"/>
        <v>68.906699269113048</v>
      </c>
      <c r="J1211" s="177">
        <v>72.390267098372959</v>
      </c>
      <c r="K1211" s="427">
        <f t="shared" si="130"/>
        <v>66.197114327584416</v>
      </c>
      <c r="L1211" s="427"/>
      <c r="M1211" s="680">
        <f t="shared" si="134"/>
        <v>5.2860501228434956E-2</v>
      </c>
    </row>
    <row r="1212" spans="1:13" s="6" customFormat="1" ht="15.75">
      <c r="A1212" s="330">
        <v>9</v>
      </c>
      <c r="B1212" s="330" t="s">
        <v>540</v>
      </c>
      <c r="C1212" s="330">
        <v>2276.6</v>
      </c>
      <c r="D1212" s="330"/>
      <c r="E1212" s="330"/>
      <c r="F1212" s="433">
        <f t="shared" si="135"/>
        <v>2276.6</v>
      </c>
      <c r="G1212" s="181">
        <f t="shared" si="136"/>
        <v>2.5167881688182701E-2</v>
      </c>
      <c r="H1212" s="427">
        <f t="shared" si="137"/>
        <v>57.109195375106019</v>
      </c>
      <c r="I1212" s="427">
        <f t="shared" si="138"/>
        <v>20.999051139426484</v>
      </c>
      <c r="J1212" s="177">
        <v>22.060655014959664</v>
      </c>
      <c r="K1212" s="427">
        <f t="shared" si="130"/>
        <v>20.173315567162842</v>
      </c>
      <c r="L1212" s="427"/>
      <c r="M1212" s="680">
        <f t="shared" si="134"/>
        <v>5.2860501228434956E-2</v>
      </c>
    </row>
    <row r="1213" spans="1:13" s="6" customFormat="1" ht="15.75">
      <c r="A1213" s="330">
        <v>10</v>
      </c>
      <c r="B1213" s="330" t="s">
        <v>541</v>
      </c>
      <c r="C1213" s="330">
        <v>4642.43</v>
      </c>
      <c r="D1213" s="330"/>
      <c r="E1213" s="330"/>
      <c r="F1213" s="433">
        <f t="shared" si="135"/>
        <v>4642.43</v>
      </c>
      <c r="G1213" s="181">
        <f t="shared" si="136"/>
        <v>5.132220371855839E-2</v>
      </c>
      <c r="H1213" s="427">
        <f t="shared" si="137"/>
        <v>116.4567521238924</v>
      </c>
      <c r="I1213" s="427">
        <f t="shared" si="138"/>
        <v>42.821147755955238</v>
      </c>
      <c r="J1213" s="177">
        <v>44.985964447465172</v>
      </c>
      <c r="K1213" s="427">
        <f t="shared" si="130"/>
        <v>41.137312390610475</v>
      </c>
      <c r="L1213" s="427"/>
      <c r="M1213" s="680">
        <f t="shared" si="134"/>
        <v>5.2860501228434942E-2</v>
      </c>
    </row>
    <row r="1214" spans="1:13" s="6" customFormat="1" ht="15.75">
      <c r="A1214" s="330">
        <v>11</v>
      </c>
      <c r="B1214" s="330" t="s">
        <v>542</v>
      </c>
      <c r="C1214" s="330">
        <v>3634.2</v>
      </c>
      <c r="D1214" s="330"/>
      <c r="E1214" s="330"/>
      <c r="F1214" s="433">
        <f t="shared" si="135"/>
        <v>3634.2</v>
      </c>
      <c r="G1214" s="181">
        <f t="shared" si="136"/>
        <v>4.0176190648859515E-2</v>
      </c>
      <c r="H1214" s="427">
        <f t="shared" si="137"/>
        <v>91.1649994870466</v>
      </c>
      <c r="I1214" s="427">
        <f t="shared" si="138"/>
        <v>33.521370311387038</v>
      </c>
      <c r="J1214" s="177">
        <v>35.21603815135132</v>
      </c>
      <c r="K1214" s="427">
        <f t="shared" si="130"/>
        <v>32.203225614593343</v>
      </c>
      <c r="L1214" s="427"/>
      <c r="M1214" s="680">
        <f t="shared" si="134"/>
        <v>5.2860501228434956E-2</v>
      </c>
    </row>
    <row r="1215" spans="1:13" s="6" customFormat="1" ht="15.75">
      <c r="A1215" s="330">
        <v>12</v>
      </c>
      <c r="B1215" s="330" t="s">
        <v>543</v>
      </c>
      <c r="C1215" s="330">
        <v>5551.35</v>
      </c>
      <c r="D1215" s="330"/>
      <c r="E1215" s="330"/>
      <c r="F1215" s="433">
        <f t="shared" si="135"/>
        <v>5551.35</v>
      </c>
      <c r="G1215" s="181">
        <f t="shared" si="136"/>
        <v>6.1370341741936688E-2</v>
      </c>
      <c r="H1215" s="427">
        <f t="shared" si="137"/>
        <v>139.25728355688079</v>
      </c>
      <c r="I1215" s="427">
        <f t="shared" si="138"/>
        <v>51.204903163865069</v>
      </c>
      <c r="J1215" s="177">
        <v>53.793559350477182</v>
      </c>
      <c r="K1215" s="427">
        <f t="shared" si="130"/>
        <v>49.191397423249349</v>
      </c>
      <c r="L1215" s="427"/>
      <c r="M1215" s="680">
        <f t="shared" si="134"/>
        <v>5.2860501228434956E-2</v>
      </c>
    </row>
    <row r="1216" spans="1:13" s="6" customFormat="1" ht="15.75">
      <c r="A1216" s="330">
        <v>13</v>
      </c>
      <c r="B1216" s="330" t="s">
        <v>545</v>
      </c>
      <c r="C1216" s="330">
        <v>4556.37</v>
      </c>
      <c r="D1216" s="330"/>
      <c r="E1216" s="330"/>
      <c r="F1216" s="433">
        <f t="shared" si="135"/>
        <v>4556.37</v>
      </c>
      <c r="G1216" s="181">
        <f t="shared" si="136"/>
        <v>5.0370807822008708E-2</v>
      </c>
      <c r="H1216" s="427">
        <f t="shared" si="137"/>
        <v>114.29791115315463</v>
      </c>
      <c r="I1216" s="427">
        <f t="shared" si="138"/>
        <v>42.027341931014959</v>
      </c>
      <c r="J1216" s="177">
        <v>44.152027888303508</v>
      </c>
      <c r="K1216" s="427">
        <f t="shared" si="130"/>
        <v>40.374721009731076</v>
      </c>
      <c r="L1216" s="427"/>
      <c r="M1216" s="680">
        <f t="shared" si="134"/>
        <v>5.2860501228434956E-2</v>
      </c>
    </row>
    <row r="1217" spans="1:13" s="6" customFormat="1" ht="15.75">
      <c r="A1217" s="330">
        <v>14</v>
      </c>
      <c r="B1217" s="330" t="s">
        <v>546</v>
      </c>
      <c r="C1217" s="330">
        <v>4596.6099999999997</v>
      </c>
      <c r="D1217" s="330"/>
      <c r="E1217" s="330"/>
      <c r="F1217" s="433">
        <f t="shared" si="135"/>
        <v>4596.6099999999997</v>
      </c>
      <c r="G1217" s="181">
        <f t="shared" si="136"/>
        <v>5.0815662236105369E-2</v>
      </c>
      <c r="H1217" s="427">
        <f t="shared" si="137"/>
        <v>115.30734364981379</v>
      </c>
      <c r="I1217" s="427">
        <f t="shared" si="138"/>
        <v>42.398510260036531</v>
      </c>
      <c r="J1217" s="177">
        <v>44.541960576435798</v>
      </c>
      <c r="K1217" s="427">
        <f t="shared" si="130"/>
        <v>40.731294065350255</v>
      </c>
      <c r="L1217" s="427"/>
      <c r="M1217" s="680">
        <f t="shared" si="134"/>
        <v>5.2860501228434956E-2</v>
      </c>
    </row>
    <row r="1218" spans="1:13" s="6" customFormat="1" ht="15.75">
      <c r="A1218" s="330">
        <v>15</v>
      </c>
      <c r="B1218" s="330" t="s">
        <v>567</v>
      </c>
      <c r="C1218" s="330">
        <v>4490.43</v>
      </c>
      <c r="D1218" s="330"/>
      <c r="E1218" s="330"/>
      <c r="F1218" s="433">
        <f t="shared" si="135"/>
        <v>4490.43</v>
      </c>
      <c r="G1218" s="181">
        <f t="shared" si="136"/>
        <v>4.9641839132507366E-2</v>
      </c>
      <c r="H1218" s="427">
        <f t="shared" si="137"/>
        <v>112.64378643074645</v>
      </c>
      <c r="I1218" s="427">
        <f t="shared" si="138"/>
        <v>41.419120270585474</v>
      </c>
      <c r="J1218" s="177">
        <v>43.513057673208003</v>
      </c>
      <c r="K1218" s="427">
        <f t="shared" ref="K1218:K1228" si="139">G1218*801.55</f>
        <v>39.79041615666128</v>
      </c>
      <c r="L1218" s="427"/>
      <c r="M1218" s="680">
        <f t="shared" si="134"/>
        <v>5.2860501228434956E-2</v>
      </c>
    </row>
    <row r="1219" spans="1:13" s="6" customFormat="1" ht="15.75">
      <c r="A1219" s="330">
        <v>16</v>
      </c>
      <c r="B1219" s="330" t="s">
        <v>568</v>
      </c>
      <c r="C1219" s="330">
        <v>4338.5</v>
      </c>
      <c r="D1219" s="330"/>
      <c r="E1219" s="330"/>
      <c r="F1219" s="433">
        <f t="shared" si="135"/>
        <v>4338.5</v>
      </c>
      <c r="G1219" s="181">
        <f t="shared" si="136"/>
        <v>4.796224839856833E-2</v>
      </c>
      <c r="H1219" s="427">
        <f t="shared" si="137"/>
        <v>108.83257670864336</v>
      </c>
      <c r="I1219" s="427">
        <f t="shared" si="138"/>
        <v>40.017738455768168</v>
      </c>
      <c r="J1219" s="177">
        <v>42.040829211281086</v>
      </c>
      <c r="K1219" s="427">
        <f t="shared" si="139"/>
        <v>38.444140203872443</v>
      </c>
      <c r="L1219" s="427"/>
      <c r="M1219" s="680">
        <f t="shared" si="134"/>
        <v>5.2860501228434956E-2</v>
      </c>
    </row>
    <row r="1220" spans="1:13" s="6" customFormat="1" ht="15.75">
      <c r="A1220" s="330">
        <v>17</v>
      </c>
      <c r="B1220" s="330" t="s">
        <v>569</v>
      </c>
      <c r="C1220" s="330">
        <v>3131.06</v>
      </c>
      <c r="D1220" s="330"/>
      <c r="E1220" s="330"/>
      <c r="F1220" s="433">
        <f t="shared" si="135"/>
        <v>3131.06</v>
      </c>
      <c r="G1220" s="181">
        <f t="shared" si="136"/>
        <v>3.4613962768427188E-2</v>
      </c>
      <c r="H1220" s="427">
        <f t="shared" si="137"/>
        <v>78.543581336721189</v>
      </c>
      <c r="I1220" s="427">
        <f t="shared" si="138"/>
        <v>28.880474857512382</v>
      </c>
      <c r="J1220" s="177">
        <v>30.340522925037167</v>
      </c>
      <c r="K1220" s="427">
        <f t="shared" si="139"/>
        <v>27.744821857032811</v>
      </c>
      <c r="L1220" s="427"/>
      <c r="M1220" s="680">
        <f t="shared" si="134"/>
        <v>5.2860501228434956E-2</v>
      </c>
    </row>
    <row r="1221" spans="1:13" s="6" customFormat="1" ht="15.75">
      <c r="A1221" s="330">
        <v>18</v>
      </c>
      <c r="B1221" s="330" t="s">
        <v>570</v>
      </c>
      <c r="C1221" s="330">
        <v>3376.98</v>
      </c>
      <c r="D1221" s="330"/>
      <c r="E1221" s="330"/>
      <c r="F1221" s="433">
        <f t="shared" si="135"/>
        <v>3376.98</v>
      </c>
      <c r="G1221" s="181">
        <f t="shared" si="136"/>
        <v>3.7332615788175011E-2</v>
      </c>
      <c r="H1221" s="427">
        <f t="shared" si="137"/>
        <v>84.712558463421573</v>
      </c>
      <c r="I1221" s="427">
        <f t="shared" si="138"/>
        <v>31.148807747000113</v>
      </c>
      <c r="J1221" s="177">
        <v>32.723531042966925</v>
      </c>
      <c r="K1221" s="427">
        <f t="shared" si="139"/>
        <v>29.923958185011678</v>
      </c>
      <c r="L1221" s="427"/>
      <c r="M1221" s="680">
        <f t="shared" si="134"/>
        <v>5.2860501228434963E-2</v>
      </c>
    </row>
    <row r="1222" spans="1:13" s="6" customFormat="1" ht="15.75">
      <c r="A1222" s="330">
        <v>20</v>
      </c>
      <c r="B1222" s="330" t="s">
        <v>571</v>
      </c>
      <c r="C1222" s="330">
        <v>50.5</v>
      </c>
      <c r="D1222" s="330"/>
      <c r="E1222" s="330"/>
      <c r="F1222" s="433"/>
      <c r="G1222" s="181">
        <f t="shared" si="136"/>
        <v>0</v>
      </c>
      <c r="H1222" s="427">
        <f t="shared" si="137"/>
        <v>0</v>
      </c>
      <c r="I1222" s="427"/>
      <c r="J1222" s="177">
        <v>0</v>
      </c>
      <c r="K1222" s="427">
        <f t="shared" si="139"/>
        <v>0</v>
      </c>
      <c r="L1222" s="427"/>
      <c r="M1222" s="680">
        <v>0</v>
      </c>
    </row>
    <row r="1223" spans="1:13" s="6" customFormat="1" ht="15.75">
      <c r="A1223" s="330">
        <v>22</v>
      </c>
      <c r="B1223" s="330" t="s">
        <v>356</v>
      </c>
      <c r="C1223" s="330">
        <v>306.8</v>
      </c>
      <c r="D1223" s="330"/>
      <c r="E1223" s="330"/>
      <c r="F1223" s="433"/>
      <c r="G1223" s="181">
        <f t="shared" si="136"/>
        <v>0</v>
      </c>
      <c r="H1223" s="427">
        <f t="shared" si="137"/>
        <v>0</v>
      </c>
      <c r="I1223" s="427"/>
      <c r="J1223" s="177">
        <v>0</v>
      </c>
      <c r="K1223" s="427">
        <f t="shared" si="139"/>
        <v>0</v>
      </c>
      <c r="L1223" s="427"/>
      <c r="M1223" s="680">
        <v>0</v>
      </c>
    </row>
    <row r="1224" spans="1:13" s="6" customFormat="1" ht="15.75">
      <c r="A1224" s="330">
        <v>23</v>
      </c>
      <c r="B1224" s="330" t="s">
        <v>357</v>
      </c>
      <c r="C1224" s="330">
        <v>304.18</v>
      </c>
      <c r="D1224" s="330"/>
      <c r="E1224" s="330"/>
      <c r="F1224" s="433"/>
      <c r="G1224" s="181">
        <f t="shared" si="136"/>
        <v>0</v>
      </c>
      <c r="H1224" s="427">
        <f t="shared" si="137"/>
        <v>0</v>
      </c>
      <c r="I1224" s="427"/>
      <c r="J1224" s="177">
        <v>0</v>
      </c>
      <c r="K1224" s="427">
        <f t="shared" si="139"/>
        <v>0</v>
      </c>
      <c r="L1224" s="427"/>
      <c r="M1224" s="680">
        <v>0</v>
      </c>
    </row>
    <row r="1225" spans="1:13" s="6" customFormat="1" ht="15.75">
      <c r="A1225" s="330">
        <v>24</v>
      </c>
      <c r="B1225" s="330" t="s">
        <v>358</v>
      </c>
      <c r="C1225" s="330">
        <v>823.48</v>
      </c>
      <c r="D1225" s="330"/>
      <c r="E1225" s="330"/>
      <c r="F1225" s="433"/>
      <c r="G1225" s="181">
        <f t="shared" si="136"/>
        <v>0</v>
      </c>
      <c r="H1225" s="427">
        <f t="shared" si="137"/>
        <v>0</v>
      </c>
      <c r="I1225" s="427"/>
      <c r="J1225" s="177">
        <v>0</v>
      </c>
      <c r="K1225" s="427">
        <f t="shared" si="139"/>
        <v>0</v>
      </c>
      <c r="L1225" s="427"/>
      <c r="M1225" s="680">
        <v>0</v>
      </c>
    </row>
    <row r="1226" spans="1:13" s="6" customFormat="1" ht="15.75">
      <c r="A1226" s="330">
        <v>25</v>
      </c>
      <c r="B1226" s="330" t="s">
        <v>359</v>
      </c>
      <c r="C1226" s="330">
        <v>733.47</v>
      </c>
      <c r="D1226" s="330"/>
      <c r="E1226" s="330">
        <v>70</v>
      </c>
      <c r="F1226" s="433"/>
      <c r="G1226" s="181">
        <f t="shared" si="136"/>
        <v>0</v>
      </c>
      <c r="H1226" s="427">
        <f t="shared" si="137"/>
        <v>0</v>
      </c>
      <c r="I1226" s="427"/>
      <c r="J1226" s="177">
        <v>0</v>
      </c>
      <c r="K1226" s="427">
        <f t="shared" si="139"/>
        <v>0</v>
      </c>
      <c r="L1226" s="427"/>
      <c r="M1226" s="680">
        <v>0</v>
      </c>
    </row>
    <row r="1227" spans="1:13" s="6" customFormat="1" ht="15.75">
      <c r="A1227" s="330">
        <v>26</v>
      </c>
      <c r="B1227" s="330" t="s">
        <v>360</v>
      </c>
      <c r="C1227" s="330">
        <v>4465.32</v>
      </c>
      <c r="D1227" s="330"/>
      <c r="E1227" s="330"/>
      <c r="F1227" s="433">
        <f t="shared" si="135"/>
        <v>4465.32</v>
      </c>
      <c r="G1227" s="181">
        <f t="shared" si="136"/>
        <v>4.9364247324903798E-2</v>
      </c>
      <c r="H1227" s="427">
        <f t="shared" si="137"/>
        <v>112.01389453235896</v>
      </c>
      <c r="I1227" s="427">
        <f t="shared" si="138"/>
        <v>41.187509019548393</v>
      </c>
      <c r="J1227" s="177">
        <v>43.269737350171177</v>
      </c>
      <c r="K1227" s="427">
        <f t="shared" si="139"/>
        <v>39.56791244327664</v>
      </c>
      <c r="L1227" s="427"/>
      <c r="M1227" s="680">
        <f t="shared" si="134"/>
        <v>5.2860501228434956E-2</v>
      </c>
    </row>
    <row r="1228" spans="1:13" s="6" customFormat="1" ht="15.75">
      <c r="A1228" s="330">
        <v>27</v>
      </c>
      <c r="B1228" s="330" t="s">
        <v>361</v>
      </c>
      <c r="C1228" s="330">
        <v>2218.6799999999998</v>
      </c>
      <c r="D1228" s="330"/>
      <c r="E1228" s="330"/>
      <c r="F1228" s="433">
        <f t="shared" si="135"/>
        <v>2218.6799999999998</v>
      </c>
      <c r="G1228" s="181">
        <f t="shared" si="136"/>
        <v>2.4527574340655889E-2</v>
      </c>
      <c r="H1228" s="427">
        <f t="shared" si="137"/>
        <v>55.656254763612502</v>
      </c>
      <c r="I1228" s="427">
        <f t="shared" si="138"/>
        <v>20.464804876580317</v>
      </c>
      <c r="J1228" s="177">
        <v>21.49940001255851</v>
      </c>
      <c r="K1228" s="427">
        <f t="shared" si="139"/>
        <v>19.660077212752725</v>
      </c>
      <c r="L1228" s="427"/>
      <c r="M1228" s="680">
        <f>(K1228+J1228+I1228+H1228)/F1228</f>
        <v>5.2860501228434949E-2</v>
      </c>
    </row>
    <row r="1229" spans="1:13" s="6" customFormat="1" ht="15.75">
      <c r="A1229" s="330">
        <v>28</v>
      </c>
      <c r="B1229" s="330" t="s">
        <v>362</v>
      </c>
      <c r="C1229" s="330">
        <v>120.8</v>
      </c>
      <c r="D1229" s="330"/>
      <c r="E1229" s="330"/>
      <c r="F1229" s="433"/>
      <c r="G1229" s="181">
        <f t="shared" si="136"/>
        <v>0</v>
      </c>
      <c r="H1229" s="427">
        <f t="shared" si="137"/>
        <v>0</v>
      </c>
      <c r="I1229" s="427"/>
      <c r="J1229" s="177">
        <v>0</v>
      </c>
      <c r="K1229" s="427">
        <f>G1229*801.55</f>
        <v>0</v>
      </c>
      <c r="L1229" s="427"/>
      <c r="M1229" s="680">
        <v>0</v>
      </c>
    </row>
    <row r="1230" spans="1:13" s="6" customFormat="1" ht="15.75">
      <c r="A1230" s="330">
        <v>30</v>
      </c>
      <c r="B1230" s="330" t="s">
        <v>363</v>
      </c>
      <c r="C1230" s="330">
        <v>174.6</v>
      </c>
      <c r="D1230" s="330"/>
      <c r="E1230" s="330"/>
      <c r="F1230" s="433"/>
      <c r="G1230" s="181">
        <f t="shared" si="136"/>
        <v>0</v>
      </c>
      <c r="H1230" s="427">
        <f t="shared" si="137"/>
        <v>0</v>
      </c>
      <c r="I1230" s="427"/>
      <c r="J1230" s="177">
        <v>0</v>
      </c>
      <c r="K1230" s="427">
        <f>G1230*801.55</f>
        <v>0</v>
      </c>
      <c r="L1230" s="427"/>
      <c r="M1230" s="680">
        <v>0</v>
      </c>
    </row>
    <row r="1231" spans="1:13" s="6" customFormat="1" ht="15.75">
      <c r="A1231" s="330">
        <v>31</v>
      </c>
      <c r="B1231" s="330" t="s">
        <v>364</v>
      </c>
      <c r="C1231" s="330">
        <v>139.19999999999999</v>
      </c>
      <c r="D1231" s="330"/>
      <c r="E1231" s="330"/>
      <c r="F1231" s="433"/>
      <c r="G1231" s="181">
        <f t="shared" si="136"/>
        <v>0</v>
      </c>
      <c r="H1231" s="427">
        <f t="shared" si="137"/>
        <v>0</v>
      </c>
      <c r="I1231" s="427"/>
      <c r="J1231" s="177">
        <v>0</v>
      </c>
      <c r="K1231" s="427">
        <f>G1231*801.55</f>
        <v>0</v>
      </c>
      <c r="L1231" s="427"/>
      <c r="M1231" s="680">
        <v>0</v>
      </c>
    </row>
    <row r="1232" spans="1:13" s="69" customFormat="1" ht="15.75">
      <c r="A1232" s="161"/>
      <c r="B1232" s="161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>SUM(F1204:F1231)</f>
        <v>90456.559999999969</v>
      </c>
      <c r="G1232" s="181">
        <f>1/90456.56*F1232</f>
        <v>0.99999999999999967</v>
      </c>
      <c r="H1232" s="427">
        <f>G1232*2269.13</f>
        <v>2269.1299999999992</v>
      </c>
      <c r="I1232" s="167">
        <f t="shared" si="138"/>
        <v>834.35910099999978</v>
      </c>
      <c r="J1232" s="177">
        <v>876.54</v>
      </c>
      <c r="K1232" s="177">
        <f>G1232*801.55</f>
        <v>801.54999999999973</v>
      </c>
      <c r="L1232" s="177"/>
      <c r="M1232" s="680">
        <f t="shared" si="134"/>
        <v>5.2860501228434956E-2</v>
      </c>
    </row>
    <row r="1233" spans="1:13" s="6" customFormat="1" ht="15.75">
      <c r="A1233" s="523"/>
      <c r="B1233" s="523"/>
      <c r="C1233" s="523"/>
      <c r="D1233" s="523"/>
      <c r="E1233" s="523"/>
      <c r="F1233" s="421"/>
      <c r="G1233" s="761"/>
      <c r="H1233" s="421"/>
      <c r="I1233" s="421"/>
      <c r="J1233" s="421"/>
      <c r="K1233" s="421"/>
      <c r="L1233" s="421"/>
      <c r="M1233" s="694"/>
    </row>
    <row r="1234" spans="1:13" s="69" customFormat="1" ht="15.75">
      <c r="A1234" s="190"/>
      <c r="B1234" s="190" t="s">
        <v>667</v>
      </c>
      <c r="C1234" s="231">
        <f t="shared" ref="C1234:M1234" si="140">C90+C384+C535+C747+C879+C1146+C1202+C1232</f>
        <v>1416838.8599999996</v>
      </c>
      <c r="D1234" s="231">
        <f t="shared" si="140"/>
        <v>5553.0199999999986</v>
      </c>
      <c r="E1234" s="231">
        <f t="shared" si="140"/>
        <v>17157.579999999998</v>
      </c>
      <c r="F1234" s="231">
        <f t="shared" si="140"/>
        <v>1319784.94</v>
      </c>
      <c r="G1234" s="231">
        <f>G90+G384+G535+G747+G879+G1146+G1202+G1232+4</f>
        <v>20.499999999999996</v>
      </c>
      <c r="H1234" s="231">
        <f t="shared" si="140"/>
        <v>37440.644999999997</v>
      </c>
      <c r="I1234" s="231">
        <f t="shared" si="140"/>
        <v>13654.971705225402</v>
      </c>
      <c r="J1234" s="231">
        <f t="shared" si="140"/>
        <v>14984.870462607756</v>
      </c>
      <c r="K1234" s="231">
        <f t="shared" si="140"/>
        <v>13674.442999999999</v>
      </c>
      <c r="L1234" s="231"/>
      <c r="M1234" s="231">
        <f t="shared" si="140"/>
        <v>0.52078088373991105</v>
      </c>
    </row>
    <row r="1235" spans="1:13" s="6" customFormat="1" ht="15.75">
      <c r="A1235" s="523"/>
      <c r="B1235" s="523"/>
      <c r="C1235" s="523"/>
      <c r="D1235" s="523"/>
      <c r="E1235" s="523"/>
      <c r="F1235" s="421"/>
      <c r="G1235" s="543"/>
      <c r="H1235" s="421"/>
      <c r="I1235" s="421"/>
      <c r="J1235" s="421"/>
      <c r="K1235" s="421"/>
      <c r="L1235" s="421"/>
      <c r="M1235" s="694"/>
    </row>
    <row r="1236" spans="1:13" s="6" customFormat="1" ht="15.75">
      <c r="A1236" s="523"/>
      <c r="B1236" s="523"/>
      <c r="C1236" s="523"/>
      <c r="D1236" s="523"/>
      <c r="E1236" s="523"/>
      <c r="F1236" s="421"/>
      <c r="G1236" s="543"/>
      <c r="H1236" s="421"/>
      <c r="I1236" s="421"/>
      <c r="J1236" s="421"/>
      <c r="K1236" s="421"/>
      <c r="L1236" s="421"/>
      <c r="M1236" s="694"/>
    </row>
    <row r="1237" spans="1:13" s="6" customFormat="1" ht="15.75">
      <c r="A1237" s="523"/>
      <c r="B1237" s="523"/>
      <c r="C1237" s="523"/>
      <c r="D1237" s="523"/>
      <c r="E1237" s="523"/>
      <c r="F1237" s="421"/>
      <c r="G1237" s="543"/>
      <c r="H1237" s="421"/>
      <c r="I1237" s="421"/>
      <c r="J1237" s="421"/>
      <c r="K1237" s="421"/>
      <c r="L1237" s="421"/>
      <c r="M1237" s="694"/>
    </row>
    <row r="1238" spans="1:13" s="6" customFormat="1" ht="15.75">
      <c r="A1238" s="523"/>
      <c r="B1238" s="523"/>
      <c r="C1238" s="523"/>
      <c r="D1238" s="523"/>
      <c r="E1238" s="523"/>
      <c r="F1238" s="421"/>
      <c r="G1238" s="543"/>
      <c r="H1238" s="421"/>
      <c r="I1238" s="421"/>
      <c r="J1238" s="421"/>
      <c r="K1238" s="421"/>
      <c r="L1238" s="421"/>
      <c r="M1238" s="694"/>
    </row>
    <row r="1239" spans="1:13" s="6" customFormat="1" ht="15.75">
      <c r="A1239" s="523"/>
      <c r="B1239" s="523"/>
      <c r="C1239" s="523"/>
      <c r="D1239" s="523"/>
      <c r="E1239" s="523"/>
      <c r="F1239" s="421"/>
      <c r="G1239" s="543"/>
      <c r="H1239" s="421"/>
      <c r="I1239" s="421"/>
      <c r="J1239" s="421"/>
      <c r="K1239" s="421"/>
      <c r="L1239" s="421"/>
      <c r="M1239" s="694"/>
    </row>
    <row r="1240" spans="1:13" s="6" customFormat="1" ht="15.75">
      <c r="A1240" s="523"/>
      <c r="B1240" s="523"/>
      <c r="C1240" s="523"/>
      <c r="D1240" s="523"/>
      <c r="E1240" s="523"/>
      <c r="F1240" s="421"/>
      <c r="G1240" s="543"/>
      <c r="H1240" s="421"/>
      <c r="I1240" s="421"/>
      <c r="J1240" s="421"/>
      <c r="K1240" s="421"/>
      <c r="L1240" s="421"/>
      <c r="M1240" s="694"/>
    </row>
    <row r="1241" spans="1:13" s="6" customFormat="1" ht="15.75">
      <c r="A1241" s="523"/>
      <c r="B1241" s="523"/>
      <c r="C1241" s="523"/>
      <c r="D1241" s="523"/>
      <c r="E1241" s="523"/>
      <c r="F1241" s="421"/>
      <c r="G1241" s="543"/>
      <c r="H1241" s="421"/>
      <c r="I1241" s="421"/>
      <c r="J1241" s="421"/>
      <c r="K1241" s="421"/>
      <c r="L1241" s="421"/>
      <c r="M1241" s="694"/>
    </row>
    <row r="1242" spans="1:13" s="6" customFormat="1" ht="15.75">
      <c r="A1242" s="523"/>
      <c r="B1242" s="523"/>
      <c r="C1242" s="523"/>
      <c r="D1242" s="523"/>
      <c r="E1242" s="523"/>
      <c r="F1242" s="421"/>
      <c r="G1242" s="543"/>
      <c r="H1242" s="421"/>
      <c r="I1242" s="421"/>
      <c r="J1242" s="421"/>
      <c r="K1242" s="421"/>
      <c r="L1242" s="421"/>
      <c r="M1242" s="694"/>
    </row>
    <row r="1243" spans="1:13" s="6" customFormat="1" ht="15.75">
      <c r="A1243" s="523"/>
      <c r="B1243" s="523"/>
      <c r="C1243" s="523"/>
      <c r="D1243" s="523"/>
      <c r="E1243" s="523"/>
      <c r="F1243" s="421"/>
      <c r="G1243" s="543"/>
      <c r="H1243" s="421"/>
      <c r="I1243" s="421"/>
      <c r="J1243" s="421"/>
      <c r="K1243" s="421"/>
      <c r="L1243" s="421"/>
      <c r="M1243" s="694"/>
    </row>
    <row r="1244" spans="1:13" s="6" customFormat="1" ht="15.75">
      <c r="A1244" s="523"/>
      <c r="B1244" s="523"/>
      <c r="C1244" s="523"/>
      <c r="D1244" s="523"/>
      <c r="E1244" s="523"/>
      <c r="F1244" s="421"/>
      <c r="G1244" s="543"/>
      <c r="H1244" s="421"/>
      <c r="I1244" s="421"/>
      <c r="J1244" s="421"/>
      <c r="K1244" s="421"/>
      <c r="L1244" s="421"/>
      <c r="M1244" s="694"/>
    </row>
    <row r="1245" spans="1:13" s="6" customFormat="1" ht="15.75">
      <c r="A1245" s="523"/>
      <c r="B1245" s="523"/>
      <c r="C1245" s="523"/>
      <c r="D1245" s="523"/>
      <c r="E1245" s="523"/>
      <c r="F1245" s="421"/>
      <c r="G1245" s="543"/>
      <c r="H1245" s="421"/>
      <c r="I1245" s="421"/>
      <c r="J1245" s="421"/>
      <c r="K1245" s="421"/>
      <c r="L1245" s="421"/>
      <c r="M1245" s="694"/>
    </row>
    <row r="1246" spans="1:13" s="6" customFormat="1" ht="15.75">
      <c r="A1246" s="523"/>
      <c r="B1246" s="523"/>
      <c r="C1246" s="523"/>
      <c r="D1246" s="523"/>
      <c r="E1246" s="523"/>
      <c r="F1246" s="421"/>
      <c r="G1246" s="543"/>
      <c r="H1246" s="421"/>
      <c r="I1246" s="421"/>
      <c r="J1246" s="421"/>
      <c r="K1246" s="421"/>
      <c r="L1246" s="421"/>
      <c r="M1246" s="694"/>
    </row>
    <row r="1247" spans="1:13" s="6" customFormat="1" ht="15.75">
      <c r="A1247" s="523"/>
      <c r="B1247" s="523"/>
      <c r="C1247" s="523"/>
      <c r="D1247" s="523"/>
      <c r="E1247" s="523"/>
      <c r="F1247" s="421"/>
      <c r="G1247" s="543"/>
      <c r="H1247" s="421"/>
      <c r="I1247" s="421"/>
      <c r="J1247" s="421"/>
      <c r="K1247" s="421"/>
      <c r="L1247" s="421"/>
      <c r="M1247" s="694"/>
    </row>
    <row r="1248" spans="1:13" s="6" customFormat="1" ht="15.75">
      <c r="A1248" s="523"/>
      <c r="B1248" s="523"/>
      <c r="C1248" s="523"/>
      <c r="D1248" s="523"/>
      <c r="E1248" s="523"/>
      <c r="F1248" s="421"/>
      <c r="G1248" s="543"/>
      <c r="H1248" s="421"/>
      <c r="I1248" s="421"/>
      <c r="J1248" s="421"/>
      <c r="K1248" s="421"/>
      <c r="L1248" s="421"/>
      <c r="M1248" s="694"/>
    </row>
    <row r="1249" spans="1:13" s="6" customFormat="1" ht="15.75">
      <c r="A1249" s="523"/>
      <c r="B1249" s="523"/>
      <c r="C1249" s="523"/>
      <c r="D1249" s="523"/>
      <c r="E1249" s="523"/>
      <c r="F1249" s="421"/>
      <c r="G1249" s="543"/>
      <c r="H1249" s="421"/>
      <c r="I1249" s="421"/>
      <c r="J1249" s="421"/>
      <c r="K1249" s="421"/>
      <c r="L1249" s="421"/>
      <c r="M1249" s="694"/>
    </row>
    <row r="1250" spans="1:13" s="6" customFormat="1" ht="15.75">
      <c r="A1250" s="523"/>
      <c r="B1250" s="523"/>
      <c r="C1250" s="523"/>
      <c r="D1250" s="523"/>
      <c r="E1250" s="523"/>
      <c r="F1250" s="421"/>
      <c r="G1250" s="543"/>
      <c r="H1250" s="421"/>
      <c r="I1250" s="421"/>
      <c r="J1250" s="421"/>
      <c r="K1250" s="421"/>
      <c r="L1250" s="421"/>
      <c r="M1250" s="694"/>
    </row>
    <row r="1251" spans="1:13" s="6" customFormat="1" ht="15.75">
      <c r="A1251" s="523"/>
      <c r="B1251" s="523"/>
      <c r="C1251" s="523"/>
      <c r="D1251" s="523"/>
      <c r="E1251" s="523"/>
      <c r="F1251" s="421"/>
      <c r="G1251" s="543"/>
      <c r="H1251" s="421"/>
      <c r="I1251" s="421"/>
      <c r="J1251" s="421"/>
      <c r="K1251" s="421"/>
      <c r="L1251" s="421"/>
      <c r="M1251" s="694"/>
    </row>
    <row r="1252" spans="1:13" s="6" customFormat="1" ht="15.75">
      <c r="A1252" s="523"/>
      <c r="B1252" s="523"/>
      <c r="C1252" s="523"/>
      <c r="D1252" s="523"/>
      <c r="E1252" s="523"/>
      <c r="F1252" s="421"/>
      <c r="G1252" s="543"/>
      <c r="H1252" s="421"/>
      <c r="I1252" s="421"/>
      <c r="J1252" s="421"/>
      <c r="K1252" s="421"/>
      <c r="L1252" s="421"/>
      <c r="M1252" s="694"/>
    </row>
    <row r="1253" spans="1:13" s="6" customFormat="1" ht="15.75">
      <c r="A1253" s="523"/>
      <c r="B1253" s="523"/>
      <c r="C1253" s="523"/>
      <c r="D1253" s="523"/>
      <c r="E1253" s="523"/>
      <c r="F1253" s="421"/>
      <c r="G1253" s="543"/>
      <c r="H1253" s="421"/>
      <c r="I1253" s="421"/>
      <c r="J1253" s="421"/>
      <c r="K1253" s="421"/>
      <c r="L1253" s="421"/>
      <c r="M1253" s="694"/>
    </row>
    <row r="1254" spans="1:13" s="6" customFormat="1" ht="15.75">
      <c r="A1254" s="523"/>
      <c r="B1254" s="523"/>
      <c r="C1254" s="523"/>
      <c r="D1254" s="523"/>
      <c r="E1254" s="523"/>
      <c r="F1254" s="421"/>
      <c r="G1254" s="543"/>
      <c r="H1254" s="421"/>
      <c r="I1254" s="421"/>
      <c r="J1254" s="421"/>
      <c r="K1254" s="421"/>
      <c r="L1254" s="421"/>
      <c r="M1254" s="694"/>
    </row>
    <row r="1255" spans="1:13" s="6" customFormat="1" ht="15.75">
      <c r="A1255" s="523"/>
      <c r="B1255" s="523"/>
      <c r="C1255" s="523"/>
      <c r="D1255" s="523"/>
      <c r="E1255" s="523"/>
      <c r="F1255" s="421"/>
      <c r="G1255" s="543"/>
      <c r="H1255" s="421"/>
      <c r="I1255" s="421"/>
      <c r="J1255" s="421"/>
      <c r="K1255" s="421"/>
      <c r="L1255" s="421"/>
      <c r="M1255" s="694"/>
    </row>
    <row r="1256" spans="1:13" s="6" customFormat="1" ht="15.75">
      <c r="A1256" s="523"/>
      <c r="B1256" s="523"/>
      <c r="C1256" s="523"/>
      <c r="D1256" s="523"/>
      <c r="E1256" s="523"/>
      <c r="F1256" s="421"/>
      <c r="G1256" s="543"/>
      <c r="H1256" s="421"/>
      <c r="I1256" s="421"/>
      <c r="J1256" s="421"/>
      <c r="K1256" s="421"/>
      <c r="L1256" s="421"/>
      <c r="M1256" s="694"/>
    </row>
    <row r="1257" spans="1:13" s="6" customFormat="1" ht="15.75">
      <c r="A1257" s="523"/>
      <c r="B1257" s="523"/>
      <c r="C1257" s="523"/>
      <c r="D1257" s="523"/>
      <c r="E1257" s="523"/>
      <c r="F1257" s="421"/>
      <c r="G1257" s="543"/>
      <c r="H1257" s="421"/>
      <c r="I1257" s="421"/>
      <c r="J1257" s="421"/>
      <c r="K1257" s="421"/>
      <c r="L1257" s="421"/>
      <c r="M1257" s="694"/>
    </row>
    <row r="1258" spans="1:13" s="6" customFormat="1" ht="15.75">
      <c r="A1258" s="523"/>
      <c r="B1258" s="523"/>
      <c r="C1258" s="523"/>
      <c r="D1258" s="523"/>
      <c r="E1258" s="523"/>
      <c r="F1258" s="421"/>
      <c r="G1258" s="543"/>
      <c r="H1258" s="421"/>
      <c r="I1258" s="421"/>
      <c r="J1258" s="421"/>
      <c r="K1258" s="421"/>
      <c r="L1258" s="421"/>
      <c r="M1258" s="694"/>
    </row>
    <row r="1259" spans="1:13" s="6" customFormat="1" ht="15.75">
      <c r="A1259" s="523"/>
      <c r="B1259" s="523"/>
      <c r="C1259" s="523"/>
      <c r="D1259" s="523"/>
      <c r="E1259" s="523"/>
      <c r="F1259" s="421"/>
      <c r="G1259" s="543"/>
      <c r="H1259" s="421"/>
      <c r="I1259" s="421"/>
      <c r="J1259" s="421"/>
      <c r="K1259" s="421"/>
      <c r="L1259" s="421"/>
      <c r="M1259" s="694"/>
    </row>
    <row r="1260" spans="1:13" s="6" customFormat="1" ht="15.75">
      <c r="A1260" s="523"/>
      <c r="B1260" s="523"/>
      <c r="C1260" s="523"/>
      <c r="D1260" s="523"/>
      <c r="E1260" s="523"/>
      <c r="F1260" s="421"/>
      <c r="G1260" s="543"/>
      <c r="H1260" s="421"/>
      <c r="I1260" s="421"/>
      <c r="J1260" s="421"/>
      <c r="K1260" s="421"/>
      <c r="L1260" s="421"/>
      <c r="M1260" s="694"/>
    </row>
    <row r="1261" spans="1:13" s="6" customFormat="1" ht="15.75">
      <c r="A1261" s="523"/>
      <c r="B1261" s="523"/>
      <c r="C1261" s="523"/>
      <c r="D1261" s="523"/>
      <c r="E1261" s="523"/>
      <c r="F1261" s="421"/>
      <c r="G1261" s="543"/>
      <c r="H1261" s="421"/>
      <c r="I1261" s="421"/>
      <c r="J1261" s="421"/>
      <c r="K1261" s="421"/>
      <c r="L1261" s="421"/>
      <c r="M1261" s="694"/>
    </row>
    <row r="1262" spans="1:13" s="6" customFormat="1" ht="15.75">
      <c r="A1262" s="523"/>
      <c r="B1262" s="523"/>
      <c r="C1262" s="523"/>
      <c r="D1262" s="523"/>
      <c r="E1262" s="523"/>
      <c r="F1262" s="421"/>
      <c r="G1262" s="543"/>
      <c r="H1262" s="421"/>
      <c r="I1262" s="421"/>
      <c r="J1262" s="421"/>
      <c r="K1262" s="421"/>
      <c r="L1262" s="421"/>
      <c r="M1262" s="694"/>
    </row>
    <row r="1263" spans="1:13" s="6" customFormat="1" ht="15.75">
      <c r="A1263" s="523"/>
      <c r="B1263" s="523"/>
      <c r="C1263" s="523"/>
      <c r="D1263" s="523"/>
      <c r="E1263" s="523"/>
      <c r="F1263" s="421"/>
      <c r="G1263" s="543"/>
      <c r="H1263" s="421"/>
      <c r="I1263" s="421"/>
      <c r="J1263" s="421"/>
      <c r="K1263" s="421"/>
      <c r="L1263" s="421"/>
      <c r="M1263" s="694"/>
    </row>
    <row r="1264" spans="1:13" s="6" customFormat="1" ht="15.75">
      <c r="A1264" s="523"/>
      <c r="B1264" s="523"/>
      <c r="C1264" s="523"/>
      <c r="D1264" s="523"/>
      <c r="E1264" s="523"/>
      <c r="F1264" s="421"/>
      <c r="G1264" s="543"/>
      <c r="H1264" s="421"/>
      <c r="I1264" s="421"/>
      <c r="J1264" s="421"/>
      <c r="K1264" s="421"/>
      <c r="L1264" s="421"/>
      <c r="M1264" s="694"/>
    </row>
    <row r="1265" spans="1:13" s="6" customFormat="1" ht="15.75">
      <c r="A1265" s="523"/>
      <c r="B1265" s="523"/>
      <c r="C1265" s="523"/>
      <c r="D1265" s="523"/>
      <c r="E1265" s="523"/>
      <c r="F1265" s="421"/>
      <c r="G1265" s="543"/>
      <c r="H1265" s="421"/>
      <c r="I1265" s="421"/>
      <c r="J1265" s="421"/>
      <c r="K1265" s="421"/>
      <c r="L1265" s="421"/>
      <c r="M1265" s="694"/>
    </row>
    <row r="1266" spans="1:13" s="6" customFormat="1" ht="15.75">
      <c r="A1266" s="523"/>
      <c r="B1266" s="523"/>
      <c r="C1266" s="523"/>
      <c r="D1266" s="523"/>
      <c r="E1266" s="523"/>
      <c r="F1266" s="421"/>
      <c r="G1266" s="543"/>
      <c r="H1266" s="421"/>
      <c r="I1266" s="421"/>
      <c r="J1266" s="421"/>
      <c r="K1266" s="421"/>
      <c r="L1266" s="421"/>
      <c r="M1266" s="694"/>
    </row>
    <row r="1267" spans="1:13" s="6" customFormat="1" ht="15.75">
      <c r="A1267" s="523"/>
      <c r="B1267" s="523"/>
      <c r="C1267" s="523"/>
      <c r="D1267" s="523"/>
      <c r="E1267" s="523"/>
      <c r="F1267" s="421"/>
      <c r="G1267" s="543"/>
      <c r="H1267" s="421"/>
      <c r="I1267" s="421"/>
      <c r="J1267" s="421"/>
      <c r="K1267" s="421"/>
      <c r="L1267" s="421"/>
      <c r="M1267" s="694"/>
    </row>
    <row r="1268" spans="1:13" s="6" customFormat="1" ht="15.75">
      <c r="A1268" s="523"/>
      <c r="B1268" s="523"/>
      <c r="C1268" s="523"/>
      <c r="D1268" s="523"/>
      <c r="E1268" s="523"/>
      <c r="F1268" s="421"/>
      <c r="G1268" s="543"/>
      <c r="H1268" s="421"/>
      <c r="I1268" s="421"/>
      <c r="J1268" s="421"/>
      <c r="K1268" s="421"/>
      <c r="L1268" s="421"/>
      <c r="M1268" s="694"/>
    </row>
    <row r="1269" spans="1:13" s="6" customFormat="1" ht="15.75">
      <c r="A1269" s="523"/>
      <c r="B1269" s="523"/>
      <c r="C1269" s="523"/>
      <c r="D1269" s="523"/>
      <c r="E1269" s="523"/>
      <c r="F1269" s="421"/>
      <c r="G1269" s="543"/>
      <c r="H1269" s="421"/>
      <c r="I1269" s="421"/>
      <c r="J1269" s="421"/>
      <c r="K1269" s="421"/>
      <c r="L1269" s="421"/>
      <c r="M1269" s="694"/>
    </row>
    <row r="1270" spans="1:13" s="6" customFormat="1" ht="15.75">
      <c r="A1270" s="523"/>
      <c r="B1270" s="523"/>
      <c r="C1270" s="523"/>
      <c r="D1270" s="523"/>
      <c r="E1270" s="523"/>
      <c r="F1270" s="421"/>
      <c r="G1270" s="543"/>
      <c r="H1270" s="421"/>
      <c r="I1270" s="421"/>
      <c r="J1270" s="421"/>
      <c r="K1270" s="421"/>
      <c r="L1270" s="421"/>
      <c r="M1270" s="694"/>
    </row>
    <row r="1271" spans="1:13" s="6" customFormat="1" ht="15.75">
      <c r="A1271" s="523"/>
      <c r="B1271" s="523"/>
      <c r="C1271" s="523"/>
      <c r="D1271" s="523"/>
      <c r="E1271" s="523"/>
      <c r="F1271" s="421"/>
      <c r="G1271" s="543"/>
      <c r="H1271" s="421"/>
      <c r="I1271" s="421"/>
      <c r="J1271" s="421"/>
      <c r="K1271" s="421"/>
      <c r="L1271" s="421"/>
      <c r="M1271" s="694"/>
    </row>
    <row r="1272" spans="1:13" s="6" customFormat="1" ht="15.75">
      <c r="A1272" s="523"/>
      <c r="B1272" s="523"/>
      <c r="C1272" s="523"/>
      <c r="D1272" s="523"/>
      <c r="E1272" s="523"/>
      <c r="F1272" s="421"/>
      <c r="G1272" s="543"/>
      <c r="H1272" s="421"/>
      <c r="I1272" s="421"/>
      <c r="J1272" s="421"/>
      <c r="K1272" s="421"/>
      <c r="L1272" s="421"/>
      <c r="M1272" s="694"/>
    </row>
    <row r="1273" spans="1:13" s="6" customFormat="1" ht="15.75">
      <c r="A1273" s="523"/>
      <c r="B1273" s="523"/>
      <c r="C1273" s="523"/>
      <c r="D1273" s="523"/>
      <c r="E1273" s="523"/>
      <c r="F1273" s="421"/>
      <c r="G1273" s="543"/>
      <c r="H1273" s="421"/>
      <c r="I1273" s="421"/>
      <c r="J1273" s="421"/>
      <c r="K1273" s="421"/>
      <c r="L1273" s="421"/>
      <c r="M1273" s="694"/>
    </row>
    <row r="1274" spans="1:13" s="6" customFormat="1" ht="15.75">
      <c r="A1274" s="523"/>
      <c r="B1274" s="523"/>
      <c r="C1274" s="523"/>
      <c r="D1274" s="523"/>
      <c r="E1274" s="523"/>
      <c r="F1274" s="421"/>
      <c r="G1274" s="543"/>
      <c r="H1274" s="421"/>
      <c r="I1274" s="421"/>
      <c r="J1274" s="421"/>
      <c r="K1274" s="421"/>
      <c r="L1274" s="421"/>
      <c r="M1274" s="694"/>
    </row>
    <row r="1275" spans="1:13" s="6" customFormat="1" ht="15.75">
      <c r="A1275" s="523"/>
      <c r="B1275" s="523"/>
      <c r="C1275" s="523"/>
      <c r="D1275" s="523"/>
      <c r="E1275" s="523"/>
      <c r="F1275" s="421"/>
      <c r="G1275" s="543"/>
      <c r="H1275" s="421"/>
      <c r="I1275" s="421"/>
      <c r="J1275" s="421"/>
      <c r="K1275" s="421"/>
      <c r="L1275" s="421"/>
      <c r="M1275" s="421"/>
    </row>
    <row r="1276" spans="1:13" s="6" customFormat="1" ht="15.75">
      <c r="A1276" s="523"/>
      <c r="B1276" s="523"/>
      <c r="C1276" s="523"/>
      <c r="D1276" s="523"/>
      <c r="E1276" s="523"/>
      <c r="F1276" s="421"/>
      <c r="G1276" s="543"/>
      <c r="H1276" s="421"/>
      <c r="I1276" s="421"/>
      <c r="J1276" s="421"/>
      <c r="K1276" s="421"/>
      <c r="L1276" s="421"/>
      <c r="M1276" s="421"/>
    </row>
    <row r="1277" spans="1:13" s="6" customFormat="1" ht="15.75">
      <c r="A1277" s="523"/>
      <c r="B1277" s="523"/>
      <c r="C1277" s="523"/>
      <c r="D1277" s="523"/>
      <c r="E1277" s="523"/>
      <c r="F1277" s="421"/>
      <c r="G1277" s="543"/>
      <c r="H1277" s="421"/>
      <c r="I1277" s="421"/>
      <c r="J1277" s="421"/>
      <c r="K1277" s="421"/>
      <c r="L1277" s="421"/>
      <c r="M1277" s="421"/>
    </row>
    <row r="1278" spans="1:13" s="6" customFormat="1" ht="15.75">
      <c r="A1278" s="523"/>
      <c r="B1278" s="523"/>
      <c r="C1278" s="523"/>
      <c r="D1278" s="523"/>
      <c r="E1278" s="523"/>
      <c r="F1278" s="421"/>
      <c r="G1278" s="543"/>
      <c r="H1278" s="421"/>
      <c r="I1278" s="421"/>
      <c r="J1278" s="421"/>
      <c r="K1278" s="421"/>
      <c r="L1278" s="421"/>
      <c r="M1278" s="421"/>
    </row>
    <row r="1279" spans="1:13" s="6" customFormat="1" ht="15.75">
      <c r="A1279" s="523"/>
      <c r="B1279" s="523"/>
      <c r="C1279" s="523"/>
      <c r="D1279" s="523"/>
      <c r="E1279" s="523"/>
      <c r="F1279" s="421"/>
      <c r="G1279" s="543"/>
      <c r="H1279" s="421"/>
      <c r="I1279" s="421"/>
      <c r="J1279" s="421"/>
      <c r="K1279" s="421"/>
      <c r="L1279" s="421"/>
      <c r="M1279" s="421"/>
    </row>
    <row r="1280" spans="1:13" s="6" customFormat="1" ht="15.75">
      <c r="A1280" s="523"/>
      <c r="B1280" s="523"/>
      <c r="C1280" s="523"/>
      <c r="D1280" s="523"/>
      <c r="E1280" s="523"/>
      <c r="F1280" s="421"/>
      <c r="G1280" s="543"/>
      <c r="H1280" s="421"/>
      <c r="I1280" s="421"/>
      <c r="J1280" s="421"/>
      <c r="K1280" s="421"/>
      <c r="L1280" s="421"/>
      <c r="M1280" s="421"/>
    </row>
    <row r="1281" spans="1:13" s="6" customFormat="1" ht="15.75">
      <c r="A1281" s="523"/>
      <c r="B1281" s="523"/>
      <c r="C1281" s="523"/>
      <c r="D1281" s="523"/>
      <c r="E1281" s="523"/>
      <c r="F1281" s="421"/>
      <c r="G1281" s="543"/>
      <c r="H1281" s="421"/>
      <c r="I1281" s="421"/>
      <c r="J1281" s="421"/>
      <c r="K1281" s="421"/>
      <c r="L1281" s="421"/>
      <c r="M1281" s="421"/>
    </row>
    <row r="1282" spans="1:13" s="6" customFormat="1" ht="15.75">
      <c r="A1282" s="523"/>
      <c r="B1282" s="523"/>
      <c r="C1282" s="523"/>
      <c r="D1282" s="523"/>
      <c r="E1282" s="523"/>
      <c r="F1282" s="421"/>
      <c r="G1282" s="543"/>
      <c r="H1282" s="421"/>
      <c r="I1282" s="421"/>
      <c r="J1282" s="421"/>
      <c r="K1282" s="421"/>
      <c r="L1282" s="421"/>
      <c r="M1282" s="421"/>
    </row>
    <row r="1283" spans="1:13" s="6" customFormat="1" ht="15.75">
      <c r="A1283" s="523"/>
      <c r="B1283" s="523"/>
      <c r="C1283" s="523"/>
      <c r="D1283" s="523"/>
      <c r="E1283" s="523"/>
      <c r="F1283" s="421"/>
      <c r="G1283" s="543"/>
      <c r="H1283" s="421"/>
      <c r="I1283" s="421"/>
      <c r="J1283" s="421"/>
      <c r="K1283" s="421"/>
      <c r="L1283" s="421"/>
      <c r="M1283" s="421"/>
    </row>
    <row r="1284" spans="1:13" s="6" customFormat="1" ht="15.75">
      <c r="A1284" s="523"/>
      <c r="B1284" s="523"/>
      <c r="C1284" s="523"/>
      <c r="D1284" s="523"/>
      <c r="E1284" s="523"/>
      <c r="F1284" s="421"/>
      <c r="G1284" s="543"/>
      <c r="H1284" s="421"/>
      <c r="I1284" s="421"/>
      <c r="J1284" s="421"/>
      <c r="K1284" s="421"/>
      <c r="L1284" s="421"/>
      <c r="M1284" s="421"/>
    </row>
    <row r="1285" spans="1:13" s="6" customFormat="1" ht="15.75">
      <c r="A1285" s="523"/>
      <c r="B1285" s="523"/>
      <c r="C1285" s="523"/>
      <c r="D1285" s="523"/>
      <c r="E1285" s="523"/>
      <c r="F1285" s="421"/>
      <c r="G1285" s="543"/>
      <c r="H1285" s="421"/>
      <c r="I1285" s="421"/>
      <c r="J1285" s="421"/>
      <c r="K1285" s="421"/>
      <c r="L1285" s="421"/>
      <c r="M1285" s="421"/>
    </row>
    <row r="1286" spans="1:13" s="6" customFormat="1" ht="15.75">
      <c r="A1286" s="523"/>
      <c r="B1286" s="523"/>
      <c r="C1286" s="523"/>
      <c r="D1286" s="523"/>
      <c r="E1286" s="523"/>
      <c r="F1286" s="421"/>
      <c r="G1286" s="543"/>
      <c r="H1286" s="421"/>
      <c r="I1286" s="421"/>
      <c r="J1286" s="421"/>
      <c r="K1286" s="421"/>
      <c r="L1286" s="421"/>
      <c r="M1286" s="421"/>
    </row>
    <row r="1287" spans="1:13" s="6" customFormat="1" ht="15.75">
      <c r="A1287" s="523"/>
      <c r="B1287" s="523"/>
      <c r="C1287" s="523"/>
      <c r="D1287" s="523"/>
      <c r="E1287" s="523"/>
      <c r="F1287" s="421"/>
      <c r="G1287" s="543"/>
      <c r="H1287" s="421"/>
      <c r="I1287" s="421"/>
      <c r="J1287" s="421"/>
      <c r="K1287" s="421"/>
      <c r="L1287" s="421"/>
      <c r="M1287" s="421"/>
    </row>
    <row r="1288" spans="1:13" s="6" customFormat="1" ht="15.75">
      <c r="A1288" s="523"/>
      <c r="B1288" s="523"/>
      <c r="C1288" s="523"/>
      <c r="D1288" s="523"/>
      <c r="E1288" s="523"/>
      <c r="F1288" s="421"/>
      <c r="G1288" s="543"/>
      <c r="H1288" s="421"/>
      <c r="I1288" s="421"/>
      <c r="J1288" s="421"/>
      <c r="K1288" s="421"/>
      <c r="L1288" s="421"/>
      <c r="M1288" s="421"/>
    </row>
    <row r="1289" spans="1:13" s="6" customFormat="1" ht="15.75">
      <c r="A1289" s="523"/>
      <c r="B1289" s="523"/>
      <c r="C1289" s="523"/>
      <c r="D1289" s="523"/>
      <c r="E1289" s="523"/>
      <c r="F1289" s="421"/>
      <c r="G1289" s="543"/>
      <c r="H1289" s="421"/>
      <c r="I1289" s="421"/>
      <c r="J1289" s="421"/>
      <c r="K1289" s="421"/>
      <c r="L1289" s="421"/>
      <c r="M1289" s="421"/>
    </row>
    <row r="1290" spans="1:13" s="6" customFormat="1" ht="15.75">
      <c r="A1290" s="523"/>
      <c r="B1290" s="523"/>
      <c r="C1290" s="523"/>
      <c r="D1290" s="523"/>
      <c r="E1290" s="523"/>
      <c r="F1290" s="421"/>
      <c r="G1290" s="543"/>
      <c r="H1290" s="421"/>
      <c r="I1290" s="421"/>
      <c r="J1290" s="421"/>
      <c r="K1290" s="421"/>
      <c r="L1290" s="421"/>
      <c r="M1290" s="421"/>
    </row>
    <row r="1291" spans="1:13" s="6" customFormat="1" ht="15.75">
      <c r="A1291" s="523"/>
      <c r="B1291" s="523"/>
      <c r="C1291" s="523"/>
      <c r="D1291" s="523"/>
      <c r="E1291" s="523"/>
      <c r="F1291" s="421"/>
      <c r="G1291" s="543"/>
      <c r="H1291" s="421"/>
      <c r="I1291" s="421"/>
      <c r="J1291" s="421"/>
      <c r="K1291" s="421"/>
      <c r="L1291" s="421"/>
      <c r="M1291" s="421"/>
    </row>
    <row r="1292" spans="1:13" s="6" customFormat="1" ht="15.75">
      <c r="A1292" s="523"/>
      <c r="B1292" s="523"/>
      <c r="C1292" s="523"/>
      <c r="D1292" s="523"/>
      <c r="E1292" s="523"/>
      <c r="F1292" s="421"/>
      <c r="G1292" s="543"/>
      <c r="H1292" s="421"/>
      <c r="I1292" s="421"/>
      <c r="J1292" s="421"/>
      <c r="K1292" s="421"/>
      <c r="L1292" s="421"/>
      <c r="M1292" s="421"/>
    </row>
    <row r="1293" spans="1:13" s="6" customFormat="1" ht="15.75">
      <c r="A1293" s="523"/>
      <c r="B1293" s="523"/>
      <c r="C1293" s="523"/>
      <c r="D1293" s="523"/>
      <c r="E1293" s="523"/>
      <c r="F1293" s="421"/>
      <c r="G1293" s="543"/>
      <c r="H1293" s="421"/>
      <c r="I1293" s="421"/>
      <c r="J1293" s="421"/>
      <c r="K1293" s="421"/>
      <c r="L1293" s="421"/>
      <c r="M1293" s="421"/>
    </row>
    <row r="1294" spans="1:13" s="6" customFormat="1" ht="15.75">
      <c r="A1294" s="523"/>
      <c r="B1294" s="523"/>
      <c r="C1294" s="523"/>
      <c r="D1294" s="523"/>
      <c r="E1294" s="523"/>
      <c r="F1294" s="421"/>
      <c r="G1294" s="543"/>
      <c r="H1294" s="421"/>
      <c r="I1294" s="421"/>
      <c r="J1294" s="421"/>
      <c r="K1294" s="421"/>
      <c r="L1294" s="421"/>
      <c r="M1294" s="421"/>
    </row>
    <row r="1295" spans="1:13" s="6" customFormat="1" ht="15.75">
      <c r="A1295" s="523"/>
      <c r="B1295" s="523"/>
      <c r="C1295" s="523"/>
      <c r="D1295" s="523"/>
      <c r="E1295" s="523"/>
      <c r="F1295" s="421"/>
      <c r="G1295" s="543"/>
      <c r="H1295" s="421"/>
      <c r="I1295" s="421"/>
      <c r="J1295" s="421"/>
      <c r="K1295" s="421"/>
      <c r="L1295" s="421"/>
      <c r="M1295" s="421"/>
    </row>
    <row r="1296" spans="1:13" s="6" customFormat="1" ht="15.75">
      <c r="A1296" s="523"/>
      <c r="B1296" s="523"/>
      <c r="C1296" s="523"/>
      <c r="D1296" s="523"/>
      <c r="E1296" s="523"/>
      <c r="F1296" s="421"/>
      <c r="G1296" s="543"/>
      <c r="H1296" s="421"/>
      <c r="I1296" s="421"/>
      <c r="J1296" s="421"/>
      <c r="K1296" s="421"/>
      <c r="L1296" s="421"/>
      <c r="M1296" s="421"/>
    </row>
    <row r="1297" spans="1:13" s="6" customFormat="1" ht="15.75">
      <c r="A1297" s="523"/>
      <c r="B1297" s="523"/>
      <c r="C1297" s="523"/>
      <c r="D1297" s="523"/>
      <c r="E1297" s="523"/>
      <c r="F1297" s="421"/>
      <c r="G1297" s="543"/>
      <c r="H1297" s="421"/>
      <c r="I1297" s="421"/>
      <c r="J1297" s="421"/>
      <c r="K1297" s="421"/>
      <c r="L1297" s="421"/>
      <c r="M1297" s="421"/>
    </row>
    <row r="1298" spans="1:13" s="6" customFormat="1" ht="15.75">
      <c r="A1298" s="523"/>
      <c r="B1298" s="523"/>
      <c r="C1298" s="523"/>
      <c r="D1298" s="523"/>
      <c r="E1298" s="523"/>
      <c r="F1298" s="421"/>
      <c r="G1298" s="543"/>
      <c r="H1298" s="421"/>
      <c r="I1298" s="421"/>
      <c r="J1298" s="421"/>
      <c r="K1298" s="421"/>
      <c r="L1298" s="421"/>
      <c r="M1298" s="421"/>
    </row>
    <row r="1299" spans="1:13" s="6" customFormat="1" ht="15.75">
      <c r="A1299" s="523"/>
      <c r="B1299" s="523"/>
      <c r="C1299" s="523"/>
      <c r="D1299" s="523"/>
      <c r="E1299" s="523"/>
      <c r="F1299" s="421"/>
      <c r="G1299" s="543"/>
      <c r="H1299" s="421"/>
      <c r="I1299" s="421"/>
      <c r="J1299" s="421"/>
      <c r="K1299" s="421"/>
      <c r="L1299" s="421"/>
      <c r="M1299" s="421"/>
    </row>
    <row r="1300" spans="1:13" s="6" customFormat="1" ht="15.75">
      <c r="A1300" s="523"/>
      <c r="B1300" s="523"/>
      <c r="C1300" s="523"/>
      <c r="D1300" s="523"/>
      <c r="E1300" s="523"/>
      <c r="F1300" s="421"/>
      <c r="G1300" s="543"/>
      <c r="H1300" s="421"/>
      <c r="I1300" s="421"/>
      <c r="J1300" s="421"/>
      <c r="K1300" s="421"/>
      <c r="L1300" s="421"/>
      <c r="M1300" s="421"/>
    </row>
    <row r="1301" spans="1:13" s="6" customFormat="1" ht="15.75">
      <c r="A1301" s="523"/>
      <c r="B1301" s="523"/>
      <c r="C1301" s="523"/>
      <c r="D1301" s="523"/>
      <c r="E1301" s="523"/>
      <c r="F1301" s="421"/>
      <c r="G1301" s="543"/>
      <c r="H1301" s="421"/>
      <c r="I1301" s="421"/>
      <c r="J1301" s="421"/>
      <c r="K1301" s="421"/>
      <c r="L1301" s="421"/>
      <c r="M1301" s="421"/>
    </row>
    <row r="1302" spans="1:13" s="6" customFormat="1" ht="15.75">
      <c r="A1302" s="523"/>
      <c r="B1302" s="523"/>
      <c r="C1302" s="523"/>
      <c r="D1302" s="523"/>
      <c r="E1302" s="523"/>
      <c r="F1302" s="421"/>
      <c r="G1302" s="543"/>
      <c r="H1302" s="421"/>
      <c r="I1302" s="421"/>
      <c r="J1302" s="421"/>
      <c r="K1302" s="421"/>
      <c r="L1302" s="421"/>
      <c r="M1302" s="421"/>
    </row>
    <row r="1303" spans="1:13" s="6" customFormat="1" ht="15.75">
      <c r="A1303" s="523"/>
      <c r="B1303" s="523"/>
      <c r="C1303" s="523"/>
      <c r="D1303" s="523"/>
      <c r="E1303" s="523"/>
      <c r="F1303" s="421"/>
      <c r="G1303" s="543"/>
      <c r="H1303" s="421"/>
      <c r="I1303" s="421"/>
      <c r="J1303" s="421"/>
      <c r="K1303" s="421"/>
      <c r="L1303" s="421"/>
      <c r="M1303" s="421"/>
    </row>
    <row r="1304" spans="1:13" s="6" customFormat="1" ht="15.75">
      <c r="A1304" s="523"/>
      <c r="B1304" s="523"/>
      <c r="C1304" s="523"/>
      <c r="D1304" s="523"/>
      <c r="E1304" s="523"/>
      <c r="F1304" s="421"/>
      <c r="G1304" s="543"/>
      <c r="H1304" s="421"/>
      <c r="I1304" s="421"/>
      <c r="J1304" s="421"/>
      <c r="K1304" s="421"/>
      <c r="L1304" s="421"/>
      <c r="M1304" s="421"/>
    </row>
    <row r="1305" spans="1:13" s="6" customFormat="1" ht="15.75">
      <c r="A1305" s="523"/>
      <c r="B1305" s="523"/>
      <c r="C1305" s="523"/>
      <c r="D1305" s="523"/>
      <c r="E1305" s="523"/>
      <c r="F1305" s="421"/>
      <c r="G1305" s="543"/>
      <c r="H1305" s="421"/>
      <c r="I1305" s="421"/>
      <c r="J1305" s="421"/>
      <c r="K1305" s="421"/>
      <c r="L1305" s="421"/>
      <c r="M1305" s="421"/>
    </row>
    <row r="1306" spans="1:13" s="6" customFormat="1" ht="15.75">
      <c r="A1306" s="523"/>
      <c r="B1306" s="523"/>
      <c r="C1306" s="523"/>
      <c r="D1306" s="523"/>
      <c r="E1306" s="523"/>
      <c r="F1306" s="421"/>
      <c r="G1306" s="543"/>
      <c r="H1306" s="421"/>
      <c r="I1306" s="421"/>
      <c r="J1306" s="421"/>
      <c r="K1306" s="421"/>
      <c r="L1306" s="421"/>
      <c r="M1306" s="421"/>
    </row>
    <row r="1307" spans="1:13" s="6" customFormat="1" ht="15.75">
      <c r="A1307" s="523"/>
      <c r="B1307" s="523"/>
      <c r="C1307" s="523"/>
      <c r="D1307" s="523"/>
      <c r="E1307" s="523"/>
      <c r="F1307" s="421"/>
      <c r="G1307" s="543"/>
      <c r="H1307" s="421"/>
      <c r="I1307" s="421"/>
      <c r="J1307" s="421"/>
      <c r="K1307" s="421"/>
      <c r="L1307" s="421"/>
      <c r="M1307" s="421"/>
    </row>
    <row r="1308" spans="1:13" s="6" customFormat="1" ht="15.75">
      <c r="A1308" s="523"/>
      <c r="B1308" s="523"/>
      <c r="C1308" s="523"/>
      <c r="D1308" s="523"/>
      <c r="E1308" s="523"/>
      <c r="F1308" s="421"/>
      <c r="G1308" s="543"/>
      <c r="H1308" s="421"/>
      <c r="I1308" s="421"/>
      <c r="J1308" s="421"/>
      <c r="K1308" s="421"/>
      <c r="L1308" s="421"/>
      <c r="M1308" s="421"/>
    </row>
    <row r="1309" spans="1:13" s="6" customFormat="1" ht="15.75">
      <c r="A1309" s="523"/>
      <c r="B1309" s="523"/>
      <c r="C1309" s="523"/>
      <c r="D1309" s="523"/>
      <c r="E1309" s="523"/>
      <c r="F1309" s="421"/>
      <c r="G1309" s="543"/>
      <c r="H1309" s="421"/>
      <c r="I1309" s="421"/>
      <c r="J1309" s="421"/>
      <c r="K1309" s="421"/>
      <c r="L1309" s="421"/>
      <c r="M1309" s="421"/>
    </row>
    <row r="1310" spans="1:13" s="6" customFormat="1" ht="15.75">
      <c r="A1310" s="523"/>
      <c r="B1310" s="523"/>
      <c r="C1310" s="523"/>
      <c r="D1310" s="523"/>
      <c r="E1310" s="523"/>
      <c r="F1310" s="421"/>
      <c r="G1310" s="543"/>
      <c r="H1310" s="421"/>
      <c r="I1310" s="421"/>
      <c r="J1310" s="421"/>
      <c r="K1310" s="421"/>
      <c r="L1310" s="421"/>
      <c r="M1310" s="421"/>
    </row>
    <row r="1311" spans="1:13" s="6" customFormat="1" ht="15.75">
      <c r="A1311" s="523"/>
      <c r="B1311" s="523"/>
      <c r="C1311" s="523"/>
      <c r="D1311" s="523"/>
      <c r="E1311" s="523"/>
      <c r="F1311" s="421"/>
      <c r="G1311" s="543"/>
      <c r="H1311" s="421"/>
      <c r="I1311" s="421"/>
      <c r="J1311" s="421"/>
      <c r="K1311" s="421"/>
      <c r="L1311" s="421"/>
      <c r="M1311" s="421"/>
    </row>
    <row r="1312" spans="1:13" s="6" customFormat="1" ht="15.75">
      <c r="A1312" s="523"/>
      <c r="B1312" s="523"/>
      <c r="C1312" s="523"/>
      <c r="D1312" s="523"/>
      <c r="E1312" s="523"/>
      <c r="F1312" s="421"/>
      <c r="G1312" s="543"/>
      <c r="H1312" s="421"/>
      <c r="I1312" s="421"/>
      <c r="J1312" s="421"/>
      <c r="K1312" s="421"/>
      <c r="L1312" s="421"/>
      <c r="M1312" s="421"/>
    </row>
    <row r="1313" spans="1:13" s="6" customFormat="1" ht="15.75">
      <c r="A1313" s="523"/>
      <c r="B1313" s="523"/>
      <c r="C1313" s="523"/>
      <c r="D1313" s="523"/>
      <c r="E1313" s="523"/>
      <c r="F1313" s="421"/>
      <c r="G1313" s="543"/>
      <c r="H1313" s="421"/>
      <c r="I1313" s="421"/>
      <c r="J1313" s="421"/>
      <c r="K1313" s="421"/>
      <c r="L1313" s="421"/>
      <c r="M1313" s="421"/>
    </row>
    <row r="1314" spans="1:13" s="6" customFormat="1" ht="15.75">
      <c r="A1314" s="523"/>
      <c r="B1314" s="523"/>
      <c r="C1314" s="523"/>
      <c r="D1314" s="523"/>
      <c r="E1314" s="523"/>
      <c r="F1314" s="421"/>
      <c r="G1314" s="543"/>
      <c r="H1314" s="421"/>
      <c r="I1314" s="421"/>
      <c r="J1314" s="421"/>
      <c r="K1314" s="421"/>
      <c r="L1314" s="421"/>
      <c r="M1314" s="421"/>
    </row>
    <row r="1315" spans="1:13" s="6" customFormat="1" ht="15.75">
      <c r="A1315" s="523"/>
      <c r="B1315" s="523"/>
      <c r="C1315" s="523"/>
      <c r="D1315" s="523"/>
      <c r="E1315" s="523"/>
      <c r="F1315" s="421"/>
      <c r="G1315" s="543"/>
      <c r="H1315" s="421"/>
      <c r="I1315" s="421"/>
      <c r="J1315" s="421"/>
      <c r="K1315" s="421"/>
      <c r="L1315" s="421"/>
      <c r="M1315" s="421"/>
    </row>
    <row r="1316" spans="1:13" s="6" customFormat="1" ht="15.75">
      <c r="A1316" s="523"/>
      <c r="B1316" s="523"/>
      <c r="C1316" s="523"/>
      <c r="D1316" s="523"/>
      <c r="E1316" s="523"/>
      <c r="F1316" s="421"/>
      <c r="G1316" s="543"/>
      <c r="H1316" s="421"/>
      <c r="I1316" s="421"/>
      <c r="J1316" s="421"/>
      <c r="K1316" s="421"/>
      <c r="L1316" s="421"/>
      <c r="M1316" s="421"/>
    </row>
    <row r="1317" spans="1:13" s="6" customFormat="1" ht="15.75">
      <c r="A1317" s="523"/>
      <c r="B1317" s="523"/>
      <c r="C1317" s="523"/>
      <c r="D1317" s="523"/>
      <c r="E1317" s="523"/>
      <c r="F1317" s="421"/>
      <c r="G1317" s="543"/>
      <c r="H1317" s="421"/>
      <c r="I1317" s="421"/>
      <c r="J1317" s="421"/>
      <c r="K1317" s="421"/>
      <c r="L1317" s="421"/>
      <c r="M1317" s="421"/>
    </row>
    <row r="1318" spans="1:13" s="6" customFormat="1" ht="15.75">
      <c r="A1318" s="523"/>
      <c r="B1318" s="523"/>
      <c r="C1318" s="523"/>
      <c r="D1318" s="523"/>
      <c r="E1318" s="523"/>
      <c r="F1318" s="421"/>
      <c r="G1318" s="543"/>
      <c r="H1318" s="421"/>
      <c r="I1318" s="421"/>
      <c r="J1318" s="421"/>
      <c r="K1318" s="421"/>
      <c r="L1318" s="421"/>
      <c r="M1318" s="421"/>
    </row>
    <row r="1319" spans="1:13" s="6" customFormat="1" ht="15.75">
      <c r="A1319" s="523"/>
      <c r="B1319" s="523"/>
      <c r="C1319" s="523"/>
      <c r="D1319" s="523"/>
      <c r="E1319" s="523"/>
      <c r="F1319" s="421"/>
      <c r="G1319" s="543"/>
      <c r="H1319" s="421"/>
      <c r="I1319" s="421"/>
      <c r="J1319" s="421"/>
      <c r="K1319" s="421"/>
      <c r="L1319" s="421"/>
      <c r="M1319" s="421"/>
    </row>
    <row r="1320" spans="1:13" s="6" customFormat="1" ht="15.75">
      <c r="A1320" s="523"/>
      <c r="B1320" s="523"/>
      <c r="C1320" s="523"/>
      <c r="D1320" s="523"/>
      <c r="E1320" s="523"/>
      <c r="F1320" s="421"/>
      <c r="G1320" s="543"/>
      <c r="H1320" s="421"/>
      <c r="I1320" s="421"/>
      <c r="J1320" s="421"/>
      <c r="K1320" s="421"/>
      <c r="L1320" s="421"/>
      <c r="M1320" s="421"/>
    </row>
    <row r="1321" spans="1:13" s="6" customFormat="1" ht="15.75">
      <c r="A1321" s="523"/>
      <c r="B1321" s="523"/>
      <c r="C1321" s="523"/>
      <c r="D1321" s="523"/>
      <c r="E1321" s="523"/>
      <c r="F1321" s="421"/>
      <c r="G1321" s="543"/>
      <c r="H1321" s="421"/>
      <c r="I1321" s="421"/>
      <c r="J1321" s="421"/>
      <c r="K1321" s="421"/>
      <c r="L1321" s="421"/>
      <c r="M1321" s="421"/>
    </row>
    <row r="1322" spans="1:13" s="6" customFormat="1" ht="15.75">
      <c r="A1322" s="523"/>
      <c r="B1322" s="523"/>
      <c r="C1322" s="523"/>
      <c r="D1322" s="523"/>
      <c r="E1322" s="523"/>
      <c r="F1322" s="421"/>
      <c r="G1322" s="543"/>
      <c r="H1322" s="421"/>
      <c r="I1322" s="421"/>
      <c r="J1322" s="421"/>
      <c r="K1322" s="421"/>
      <c r="L1322" s="421"/>
      <c r="M1322" s="421"/>
    </row>
    <row r="1323" spans="1:13" s="6" customFormat="1" ht="15.75">
      <c r="A1323" s="523"/>
      <c r="B1323" s="523"/>
      <c r="C1323" s="523"/>
      <c r="D1323" s="523"/>
      <c r="E1323" s="523"/>
      <c r="F1323" s="421"/>
      <c r="G1323" s="543"/>
      <c r="H1323" s="421"/>
      <c r="I1323" s="421"/>
      <c r="J1323" s="421"/>
      <c r="K1323" s="421"/>
      <c r="L1323" s="421"/>
      <c r="M1323" s="421"/>
    </row>
    <row r="1324" spans="1:13" s="6" customFormat="1" ht="15.75">
      <c r="A1324" s="523"/>
      <c r="B1324" s="523"/>
      <c r="C1324" s="523"/>
      <c r="D1324" s="523"/>
      <c r="E1324" s="523"/>
      <c r="F1324" s="421"/>
      <c r="G1324" s="543"/>
      <c r="H1324" s="421"/>
      <c r="I1324" s="421"/>
      <c r="J1324" s="421"/>
      <c r="K1324" s="421"/>
      <c r="L1324" s="421"/>
      <c r="M1324" s="421"/>
    </row>
    <row r="1325" spans="1:13" s="6" customFormat="1" ht="15.75">
      <c r="A1325" s="523"/>
      <c r="B1325" s="523"/>
      <c r="C1325" s="523"/>
      <c r="D1325" s="523"/>
      <c r="E1325" s="523"/>
      <c r="F1325" s="421"/>
      <c r="G1325" s="543"/>
      <c r="H1325" s="421"/>
      <c r="I1325" s="421"/>
      <c r="J1325" s="421"/>
      <c r="K1325" s="421"/>
      <c r="L1325" s="421"/>
      <c r="M1325" s="421"/>
    </row>
    <row r="1326" spans="1:13" s="6" customFormat="1" ht="15.75">
      <c r="A1326" s="523"/>
      <c r="B1326" s="523"/>
      <c r="C1326" s="523"/>
      <c r="D1326" s="523"/>
      <c r="E1326" s="523"/>
      <c r="F1326" s="421"/>
      <c r="G1326" s="543"/>
      <c r="H1326" s="421"/>
      <c r="I1326" s="421"/>
      <c r="J1326" s="421"/>
      <c r="K1326" s="421"/>
      <c r="L1326" s="421"/>
      <c r="M1326" s="421"/>
    </row>
    <row r="1327" spans="1:13" s="6" customFormat="1" ht="15.75">
      <c r="A1327" s="523"/>
      <c r="B1327" s="523"/>
      <c r="C1327" s="523"/>
      <c r="D1327" s="523"/>
      <c r="E1327" s="523"/>
      <c r="F1327" s="421"/>
      <c r="G1327" s="543"/>
      <c r="H1327" s="421"/>
      <c r="I1327" s="421"/>
      <c r="J1327" s="421"/>
      <c r="K1327" s="421"/>
      <c r="L1327" s="421"/>
      <c r="M1327" s="421"/>
    </row>
    <row r="1328" spans="1:13" s="6" customFormat="1" ht="15.75">
      <c r="A1328" s="523"/>
      <c r="B1328" s="523"/>
      <c r="C1328" s="523"/>
      <c r="D1328" s="523"/>
      <c r="E1328" s="523"/>
      <c r="F1328" s="421"/>
      <c r="G1328" s="543"/>
      <c r="H1328" s="421"/>
      <c r="I1328" s="421"/>
      <c r="J1328" s="421"/>
      <c r="K1328" s="421"/>
      <c r="L1328" s="421"/>
      <c r="M1328" s="421"/>
    </row>
    <row r="1329" spans="1:13" s="6" customFormat="1" ht="15.75">
      <c r="A1329" s="523"/>
      <c r="B1329" s="523"/>
      <c r="C1329" s="523"/>
      <c r="D1329" s="523"/>
      <c r="E1329" s="523"/>
      <c r="F1329" s="421"/>
      <c r="G1329" s="543"/>
      <c r="H1329" s="421"/>
      <c r="I1329" s="421"/>
      <c r="J1329" s="421"/>
      <c r="K1329" s="421"/>
      <c r="L1329" s="421"/>
      <c r="M1329" s="421"/>
    </row>
    <row r="1330" spans="1:13" s="6" customFormat="1" ht="15.75">
      <c r="A1330" s="523"/>
      <c r="B1330" s="523"/>
      <c r="C1330" s="523"/>
      <c r="D1330" s="523"/>
      <c r="E1330" s="523"/>
      <c r="F1330" s="421"/>
      <c r="G1330" s="543"/>
      <c r="H1330" s="421"/>
      <c r="I1330" s="421"/>
      <c r="J1330" s="421"/>
      <c r="K1330" s="421"/>
      <c r="L1330" s="421"/>
      <c r="M1330" s="421"/>
    </row>
    <row r="1331" spans="1:13" s="6" customFormat="1" ht="15.75">
      <c r="A1331" s="523"/>
      <c r="B1331" s="523"/>
      <c r="C1331" s="523"/>
      <c r="D1331" s="523"/>
      <c r="E1331" s="523"/>
      <c r="F1331" s="421"/>
      <c r="G1331" s="543"/>
      <c r="H1331" s="421"/>
      <c r="I1331" s="421"/>
      <c r="J1331" s="421"/>
      <c r="K1331" s="421"/>
      <c r="L1331" s="421"/>
      <c r="M1331" s="421"/>
    </row>
    <row r="1332" spans="1:13" s="6" customFormat="1" ht="15.75">
      <c r="A1332" s="523"/>
      <c r="B1332" s="523"/>
      <c r="C1332" s="523"/>
      <c r="D1332" s="523"/>
      <c r="E1332" s="523"/>
      <c r="F1332" s="421"/>
      <c r="G1332" s="543"/>
      <c r="H1332" s="421"/>
      <c r="I1332" s="421"/>
      <c r="J1332" s="421"/>
      <c r="K1332" s="421"/>
      <c r="L1332" s="421"/>
      <c r="M1332" s="42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1345"/>
  <sheetViews>
    <sheetView view="pageBreakPreview" zoomScale="75" zoomScaleNormal="100" workbookViewId="0">
      <pane ySplit="1635" topLeftCell="A1210" activePane="bottomLeft"/>
      <selection activeCell="P1" sqref="P1:P65536"/>
      <selection pane="bottomLeft" activeCell="D1235" sqref="D1235"/>
    </sheetView>
  </sheetViews>
  <sheetFormatPr defaultRowHeight="15"/>
  <cols>
    <col min="1" max="1" width="9.140625" style="12"/>
    <col min="2" max="2" width="25.7109375" style="734" customWidth="1"/>
    <col min="3" max="5" width="12.85546875" style="734" customWidth="1"/>
    <col min="6" max="6" width="12.85546875" style="735" customWidth="1"/>
    <col min="7" max="7" width="9.140625" style="729"/>
    <col min="8" max="9" width="12.140625" style="734" customWidth="1"/>
    <col min="10" max="10" width="9.140625" style="735"/>
    <col min="11" max="11" width="9.140625" style="543"/>
    <col min="12" max="12" width="12.140625" style="735" customWidth="1"/>
    <col min="13" max="13" width="9.140625" style="735"/>
    <col min="14" max="14" width="12.42578125" style="735" customWidth="1"/>
    <col min="15" max="15" width="11.85546875" style="735" customWidth="1"/>
    <col min="16" max="16" width="11.85546875" style="735" hidden="1" customWidth="1"/>
    <col min="17" max="17" width="11.28515625" style="735" customWidth="1"/>
    <col min="18" max="18" width="9.140625" style="1"/>
  </cols>
  <sheetData>
    <row r="1" spans="1:19" s="6" customFormat="1" ht="15.75">
      <c r="A1" s="5" t="s">
        <v>635</v>
      </c>
      <c r="F1" s="34"/>
      <c r="G1" s="25"/>
      <c r="J1" s="34"/>
      <c r="K1" s="67"/>
      <c r="L1" s="34"/>
      <c r="M1" s="34"/>
      <c r="N1" s="34"/>
      <c r="O1" s="34"/>
      <c r="P1" s="34"/>
      <c r="Q1" s="34"/>
      <c r="S1" s="6" t="s">
        <v>616</v>
      </c>
    </row>
    <row r="2" spans="1:19" s="6" customFormat="1" ht="15.75">
      <c r="B2" s="5" t="s">
        <v>672</v>
      </c>
      <c r="F2" s="34"/>
      <c r="G2" s="25"/>
      <c r="J2" s="34"/>
      <c r="K2" s="67"/>
      <c r="L2" s="34"/>
      <c r="M2" s="34"/>
      <c r="N2" s="34"/>
      <c r="O2" s="34"/>
      <c r="P2" s="34"/>
      <c r="Q2" s="34"/>
    </row>
    <row r="3" spans="1:19" s="6" customFormat="1" ht="63.75" customHeight="1">
      <c r="A3" s="8" t="s">
        <v>574</v>
      </c>
      <c r="B3" s="8" t="s">
        <v>674</v>
      </c>
      <c r="C3" s="15" t="s">
        <v>1336</v>
      </c>
      <c r="D3" s="15" t="s">
        <v>610</v>
      </c>
      <c r="E3" s="15" t="s">
        <v>611</v>
      </c>
      <c r="F3" s="44" t="s">
        <v>575</v>
      </c>
      <c r="G3" s="26" t="s">
        <v>587</v>
      </c>
      <c r="H3" s="14" t="s">
        <v>1329</v>
      </c>
      <c r="I3" s="14" t="s">
        <v>1330</v>
      </c>
      <c r="J3" s="44" t="s">
        <v>1333</v>
      </c>
      <c r="K3" s="223" t="s">
        <v>631</v>
      </c>
      <c r="L3" s="44" t="s">
        <v>578</v>
      </c>
      <c r="M3" s="44" t="s">
        <v>579</v>
      </c>
      <c r="N3" s="44" t="s">
        <v>580</v>
      </c>
      <c r="O3" s="44" t="s">
        <v>581</v>
      </c>
      <c r="P3" s="44">
        <v>1.29</v>
      </c>
      <c r="Q3" s="44" t="s">
        <v>1346</v>
      </c>
    </row>
    <row r="4" spans="1:19" s="2" customFormat="1" ht="15.75">
      <c r="A4" s="3">
        <v>1</v>
      </c>
      <c r="B4" s="3">
        <v>2</v>
      </c>
      <c r="C4" s="4">
        <v>3</v>
      </c>
      <c r="D4" s="4">
        <v>4</v>
      </c>
      <c r="E4" s="4">
        <v>5</v>
      </c>
      <c r="F4" s="36"/>
      <c r="G4" s="27">
        <v>6</v>
      </c>
      <c r="H4" s="4"/>
      <c r="I4" s="4"/>
      <c r="J4" s="36"/>
      <c r="K4" s="229">
        <v>7</v>
      </c>
      <c r="L4" s="36">
        <v>8</v>
      </c>
      <c r="M4" s="36">
        <v>9</v>
      </c>
      <c r="N4" s="36">
        <v>10</v>
      </c>
      <c r="O4" s="36">
        <v>11</v>
      </c>
      <c r="P4" s="36"/>
      <c r="Q4" s="36">
        <v>12</v>
      </c>
    </row>
    <row r="5" spans="1:19" s="6" customFormat="1" ht="15.75">
      <c r="A5" s="9" t="s">
        <v>589</v>
      </c>
      <c r="B5" s="8"/>
      <c r="C5" s="8"/>
      <c r="D5" s="8"/>
      <c r="E5" s="8"/>
      <c r="F5" s="40"/>
      <c r="G5" s="24"/>
      <c r="H5" s="8"/>
      <c r="I5" s="8"/>
      <c r="J5" s="40"/>
      <c r="K5" s="61"/>
      <c r="L5" s="37"/>
      <c r="M5" s="37"/>
      <c r="N5" s="37"/>
      <c r="O5" s="37"/>
      <c r="P5" s="37"/>
      <c r="Q5" s="37"/>
    </row>
    <row r="6" spans="1:19" s="6" customFormat="1" ht="15.75">
      <c r="A6" s="756">
        <v>1</v>
      </c>
      <c r="B6" s="418" t="s">
        <v>683</v>
      </c>
      <c r="C6" s="386">
        <v>9570.0499999999993</v>
      </c>
      <c r="D6" s="386"/>
      <c r="E6" s="386"/>
      <c r="F6" s="40">
        <f>C6+D6+E6</f>
        <v>9570.0499999999993</v>
      </c>
      <c r="G6" s="24">
        <v>140</v>
      </c>
      <c r="H6" s="8"/>
      <c r="I6" s="8"/>
      <c r="J6" s="40">
        <f>G6+H6+I6</f>
        <v>140</v>
      </c>
      <c r="K6" s="72">
        <f>4/5175*J6</f>
        <v>0.10821256038647342</v>
      </c>
      <c r="L6" s="37">
        <f t="shared" ref="L6:L66" si="0">K6*2269.13</f>
        <v>245.54836714975843</v>
      </c>
      <c r="M6" s="37">
        <f t="shared" ref="M6:M78" si="1">L6*0.3677</f>
        <v>90.288134600966188</v>
      </c>
      <c r="N6" s="37">
        <v>114.76792144026187</v>
      </c>
      <c r="O6" s="37">
        <f>K6*301.1</f>
        <v>32.582801932367147</v>
      </c>
      <c r="P6" s="37"/>
      <c r="Q6" s="45">
        <f>(O6+N6+M6+L6)/F6</f>
        <v>5.0489519398890674E-2</v>
      </c>
      <c r="R6" s="6" t="s">
        <v>8</v>
      </c>
    </row>
    <row r="7" spans="1:19" s="6" customFormat="1" ht="15.75">
      <c r="A7" s="756">
        <v>2</v>
      </c>
      <c r="B7" s="418" t="s">
        <v>684</v>
      </c>
      <c r="C7" s="330">
        <v>4259.1400000000003</v>
      </c>
      <c r="D7" s="330"/>
      <c r="E7" s="330"/>
      <c r="F7" s="40">
        <f t="shared" ref="F7:F79" si="2">C7+D7+E7</f>
        <v>4259.1400000000003</v>
      </c>
      <c r="G7" s="24">
        <v>71</v>
      </c>
      <c r="H7" s="8"/>
      <c r="I7" s="8"/>
      <c r="J7" s="40">
        <f t="shared" ref="J7:J79" si="3">G7+H7+I7</f>
        <v>71</v>
      </c>
      <c r="K7" s="72">
        <f t="shared" ref="K7:K66" si="4">4/5175*J7</f>
        <v>5.4879227053140092E-2</v>
      </c>
      <c r="L7" s="37">
        <f t="shared" si="0"/>
        <v>124.52810048309178</v>
      </c>
      <c r="M7" s="37">
        <f t="shared" si="1"/>
        <v>45.788982547632848</v>
      </c>
      <c r="N7" s="37">
        <v>58.203731587561371</v>
      </c>
      <c r="O7" s="37">
        <f t="shared" ref="O7:O59" si="5">K7*301.1</f>
        <v>16.524135265700483</v>
      </c>
      <c r="P7" s="37"/>
      <c r="Q7" s="45">
        <f t="shared" ref="Q7:Q70" si="6">(O7+N7+M7+L7)/F7</f>
        <v>5.7533903530756554E-2</v>
      </c>
    </row>
    <row r="8" spans="1:19" s="6" customFormat="1" ht="15.75">
      <c r="A8" s="756">
        <v>3</v>
      </c>
      <c r="B8" s="418" t="s">
        <v>685</v>
      </c>
      <c r="C8" s="330">
        <v>8696.41</v>
      </c>
      <c r="D8" s="330"/>
      <c r="E8" s="330"/>
      <c r="F8" s="40">
        <f t="shared" si="2"/>
        <v>8696.41</v>
      </c>
      <c r="G8" s="24">
        <v>145</v>
      </c>
      <c r="H8" s="8"/>
      <c r="I8" s="8"/>
      <c r="J8" s="40">
        <f t="shared" si="3"/>
        <v>145</v>
      </c>
      <c r="K8" s="72">
        <f t="shared" si="4"/>
        <v>0.11207729468599034</v>
      </c>
      <c r="L8" s="37">
        <f t="shared" si="0"/>
        <v>254.31795169082127</v>
      </c>
      <c r="M8" s="37">
        <f t="shared" si="1"/>
        <v>93.512710836714987</v>
      </c>
      <c r="N8" s="37">
        <v>118.86677577741408</v>
      </c>
      <c r="O8" s="37">
        <f t="shared" si="5"/>
        <v>33.746473429951692</v>
      </c>
      <c r="P8" s="37"/>
      <c r="Q8" s="45">
        <f t="shared" si="6"/>
        <v>5.7546034712588533E-2</v>
      </c>
      <c r="R8" s="6" t="s">
        <v>9</v>
      </c>
    </row>
    <row r="9" spans="1:19" s="6" customFormat="1" ht="15.75">
      <c r="A9" s="756">
        <v>4</v>
      </c>
      <c r="B9" s="418" t="s">
        <v>686</v>
      </c>
      <c r="C9" s="330">
        <v>2719.72</v>
      </c>
      <c r="D9" s="330"/>
      <c r="E9" s="330"/>
      <c r="F9" s="40">
        <f t="shared" si="2"/>
        <v>2719.72</v>
      </c>
      <c r="G9" s="24">
        <v>50</v>
      </c>
      <c r="H9" s="8"/>
      <c r="I9" s="8"/>
      <c r="J9" s="40">
        <f t="shared" si="3"/>
        <v>50</v>
      </c>
      <c r="K9" s="72">
        <f t="shared" si="4"/>
        <v>3.864734299516908E-2</v>
      </c>
      <c r="L9" s="37">
        <f t="shared" si="0"/>
        <v>87.695845410628024</v>
      </c>
      <c r="M9" s="37">
        <f t="shared" si="1"/>
        <v>32.245762357487926</v>
      </c>
      <c r="N9" s="37">
        <v>40.988543371522091</v>
      </c>
      <c r="O9" s="37">
        <f t="shared" si="5"/>
        <v>11.636714975845411</v>
      </c>
      <c r="P9" s="37"/>
      <c r="Q9" s="45">
        <f t="shared" si="6"/>
        <v>6.3450232419323849E-2</v>
      </c>
      <c r="R9" s="6" t="s">
        <v>555</v>
      </c>
    </row>
    <row r="10" spans="1:19" s="6" customFormat="1" ht="15.75">
      <c r="A10" s="756">
        <v>5</v>
      </c>
      <c r="B10" s="418" t="s">
        <v>687</v>
      </c>
      <c r="C10" s="330">
        <v>4138.7</v>
      </c>
      <c r="D10" s="330"/>
      <c r="E10" s="330"/>
      <c r="F10" s="40">
        <f t="shared" si="2"/>
        <v>4138.7</v>
      </c>
      <c r="G10" s="24">
        <v>72</v>
      </c>
      <c r="H10" s="8"/>
      <c r="I10" s="8"/>
      <c r="J10" s="40">
        <f t="shared" si="3"/>
        <v>72</v>
      </c>
      <c r="K10" s="72">
        <f t="shared" si="4"/>
        <v>5.5652173913043473E-2</v>
      </c>
      <c r="L10" s="37">
        <f t="shared" si="0"/>
        <v>126.28201739130434</v>
      </c>
      <c r="M10" s="37">
        <f t="shared" si="1"/>
        <v>46.433897794782609</v>
      </c>
      <c r="N10" s="37">
        <v>59.023502454991821</v>
      </c>
      <c r="O10" s="37">
        <f t="shared" si="5"/>
        <v>16.756869565217389</v>
      </c>
      <c r="P10" s="37"/>
      <c r="Q10" s="45">
        <f t="shared" si="6"/>
        <v>6.0042111582452505E-2</v>
      </c>
      <c r="R10" s="6" t="s">
        <v>10</v>
      </c>
    </row>
    <row r="11" spans="1:19" s="6" customFormat="1" ht="15.75">
      <c r="A11" s="756">
        <v>6</v>
      </c>
      <c r="B11" s="418" t="s">
        <v>688</v>
      </c>
      <c r="C11" s="330">
        <v>4166.1899999999996</v>
      </c>
      <c r="D11" s="330"/>
      <c r="E11" s="330"/>
      <c r="F11" s="40">
        <f t="shared" si="2"/>
        <v>4166.1899999999996</v>
      </c>
      <c r="G11" s="24">
        <v>72</v>
      </c>
      <c r="H11" s="8"/>
      <c r="I11" s="8"/>
      <c r="J11" s="40">
        <f t="shared" si="3"/>
        <v>72</v>
      </c>
      <c r="K11" s="72">
        <f t="shared" si="4"/>
        <v>5.5652173913043473E-2</v>
      </c>
      <c r="L11" s="37">
        <f t="shared" si="0"/>
        <v>126.28201739130434</v>
      </c>
      <c r="M11" s="37">
        <f t="shared" si="1"/>
        <v>46.433897794782609</v>
      </c>
      <c r="N11" s="37">
        <v>59.023502454991821</v>
      </c>
      <c r="O11" s="37">
        <f t="shared" si="5"/>
        <v>16.756869565217389</v>
      </c>
      <c r="P11" s="37"/>
      <c r="Q11" s="45">
        <f t="shared" si="6"/>
        <v>5.9645932424180412E-2</v>
      </c>
    </row>
    <row r="12" spans="1:19" s="6" customFormat="1" ht="15.75">
      <c r="A12" s="756">
        <v>7</v>
      </c>
      <c r="B12" s="418" t="s">
        <v>689</v>
      </c>
      <c r="C12" s="330">
        <v>3572.8</v>
      </c>
      <c r="D12" s="330"/>
      <c r="E12" s="330"/>
      <c r="F12" s="40">
        <f t="shared" si="2"/>
        <v>3572.8</v>
      </c>
      <c r="G12" s="24">
        <v>72</v>
      </c>
      <c r="H12" s="8"/>
      <c r="I12" s="8"/>
      <c r="J12" s="40">
        <f t="shared" si="3"/>
        <v>72</v>
      </c>
      <c r="K12" s="72">
        <f t="shared" si="4"/>
        <v>5.5652173913043473E-2</v>
      </c>
      <c r="L12" s="37">
        <f t="shared" si="0"/>
        <v>126.28201739130434</v>
      </c>
      <c r="M12" s="37">
        <f t="shared" si="1"/>
        <v>46.433897794782609</v>
      </c>
      <c r="N12" s="37">
        <v>59.023502454991821</v>
      </c>
      <c r="O12" s="37">
        <f t="shared" si="5"/>
        <v>16.756869565217389</v>
      </c>
      <c r="P12" s="37"/>
      <c r="Q12" s="45">
        <f t="shared" si="6"/>
        <v>6.9552252352859417E-2</v>
      </c>
    </row>
    <row r="13" spans="1:19" s="6" customFormat="1" ht="15.75">
      <c r="A13" s="756">
        <v>8</v>
      </c>
      <c r="B13" s="418" t="s">
        <v>690</v>
      </c>
      <c r="C13" s="330">
        <v>6443.05</v>
      </c>
      <c r="D13" s="330"/>
      <c r="E13" s="330"/>
      <c r="F13" s="40">
        <f t="shared" si="2"/>
        <v>6443.05</v>
      </c>
      <c r="G13" s="24">
        <v>107</v>
      </c>
      <c r="H13" s="8"/>
      <c r="I13" s="8"/>
      <c r="J13" s="40">
        <f t="shared" si="3"/>
        <v>107</v>
      </c>
      <c r="K13" s="72">
        <f t="shared" si="4"/>
        <v>8.2705314009661829E-2</v>
      </c>
      <c r="L13" s="37">
        <f t="shared" si="0"/>
        <v>187.66910917874395</v>
      </c>
      <c r="M13" s="37">
        <f t="shared" si="1"/>
        <v>69.00593144502416</v>
      </c>
      <c r="N13" s="37">
        <v>87.715482815057271</v>
      </c>
      <c r="O13" s="37">
        <f t="shared" si="5"/>
        <v>24.90257004830918</v>
      </c>
      <c r="P13" s="37"/>
      <c r="Q13" s="45">
        <f t="shared" si="6"/>
        <v>5.7316502818872204E-2</v>
      </c>
    </row>
    <row r="14" spans="1:19" s="6" customFormat="1" ht="15.75">
      <c r="A14" s="756">
        <v>9</v>
      </c>
      <c r="B14" s="418" t="s">
        <v>691</v>
      </c>
      <c r="C14" s="330">
        <v>6459.7</v>
      </c>
      <c r="D14" s="330"/>
      <c r="E14" s="330"/>
      <c r="F14" s="40">
        <f t="shared" si="2"/>
        <v>6459.7</v>
      </c>
      <c r="G14" s="24">
        <v>106</v>
      </c>
      <c r="H14" s="8"/>
      <c r="I14" s="8"/>
      <c r="J14" s="40">
        <f t="shared" si="3"/>
        <v>106</v>
      </c>
      <c r="K14" s="72">
        <f t="shared" si="4"/>
        <v>8.1932367149758448E-2</v>
      </c>
      <c r="L14" s="37">
        <f t="shared" si="0"/>
        <v>185.91519227053141</v>
      </c>
      <c r="M14" s="37">
        <f t="shared" si="1"/>
        <v>68.361016197874406</v>
      </c>
      <c r="N14" s="37">
        <v>86.895711947626836</v>
      </c>
      <c r="O14" s="37">
        <f t="shared" si="5"/>
        <v>24.66983574879227</v>
      </c>
      <c r="P14" s="37"/>
      <c r="Q14" s="45">
        <f t="shared" si="6"/>
        <v>5.6634480883760073E-2</v>
      </c>
    </row>
    <row r="15" spans="1:19" s="6" customFormat="1" ht="15.75">
      <c r="A15" s="756">
        <v>10</v>
      </c>
      <c r="B15" s="418" t="s">
        <v>692</v>
      </c>
      <c r="C15" s="330">
        <v>4374.04</v>
      </c>
      <c r="D15" s="330"/>
      <c r="E15" s="330"/>
      <c r="F15" s="40">
        <f t="shared" si="2"/>
        <v>4374.04</v>
      </c>
      <c r="G15" s="24">
        <v>71</v>
      </c>
      <c r="H15" s="8"/>
      <c r="I15" s="8"/>
      <c r="J15" s="40">
        <f t="shared" si="3"/>
        <v>71</v>
      </c>
      <c r="K15" s="72">
        <f t="shared" si="4"/>
        <v>5.4879227053140092E-2</v>
      </c>
      <c r="L15" s="37">
        <f t="shared" si="0"/>
        <v>124.52810048309178</v>
      </c>
      <c r="M15" s="37">
        <f t="shared" si="1"/>
        <v>45.788982547632848</v>
      </c>
      <c r="N15" s="37">
        <v>58.203731587561371</v>
      </c>
      <c r="O15" s="37">
        <f t="shared" si="5"/>
        <v>16.524135265700483</v>
      </c>
      <c r="P15" s="37"/>
      <c r="Q15" s="45">
        <f t="shared" si="6"/>
        <v>5.6022567211087802E-2</v>
      </c>
    </row>
    <row r="16" spans="1:19" s="6" customFormat="1" ht="15.75">
      <c r="A16" s="756">
        <v>11</v>
      </c>
      <c r="B16" s="418" t="s">
        <v>693</v>
      </c>
      <c r="C16" s="330">
        <v>3413.87</v>
      </c>
      <c r="D16" s="330"/>
      <c r="E16" s="330">
        <v>85.7</v>
      </c>
      <c r="F16" s="40">
        <f t="shared" si="2"/>
        <v>3499.5699999999997</v>
      </c>
      <c r="G16" s="24">
        <v>70</v>
      </c>
      <c r="H16" s="8"/>
      <c r="I16" s="8">
        <v>2</v>
      </c>
      <c r="J16" s="40">
        <f t="shared" si="3"/>
        <v>72</v>
      </c>
      <c r="K16" s="72">
        <f t="shared" si="4"/>
        <v>5.5652173913043473E-2</v>
      </c>
      <c r="L16" s="37">
        <f t="shared" si="0"/>
        <v>126.28201739130434</v>
      </c>
      <c r="M16" s="37">
        <f t="shared" si="1"/>
        <v>46.433897794782609</v>
      </c>
      <c r="N16" s="37">
        <v>59.023502454991821</v>
      </c>
      <c r="O16" s="37">
        <f t="shared" si="5"/>
        <v>16.756869565217389</v>
      </c>
      <c r="P16" s="37"/>
      <c r="Q16" s="45">
        <f t="shared" si="6"/>
        <v>7.1007663000396098E-2</v>
      </c>
    </row>
    <row r="17" spans="1:17" s="6" customFormat="1" ht="15.75">
      <c r="A17" s="756">
        <v>12</v>
      </c>
      <c r="B17" s="418" t="s">
        <v>694</v>
      </c>
      <c r="C17" s="330">
        <v>3466.61</v>
      </c>
      <c r="D17" s="330">
        <v>97.8</v>
      </c>
      <c r="E17" s="330"/>
      <c r="F17" s="40">
        <f t="shared" si="2"/>
        <v>3564.4100000000003</v>
      </c>
      <c r="G17" s="24">
        <v>70</v>
      </c>
      <c r="H17" s="8">
        <v>1</v>
      </c>
      <c r="I17" s="8"/>
      <c r="J17" s="40">
        <f t="shared" si="3"/>
        <v>71</v>
      </c>
      <c r="K17" s="72">
        <f t="shared" si="4"/>
        <v>5.4879227053140092E-2</v>
      </c>
      <c r="L17" s="37">
        <f t="shared" si="0"/>
        <v>124.52810048309178</v>
      </c>
      <c r="M17" s="37">
        <f t="shared" si="1"/>
        <v>45.788982547632848</v>
      </c>
      <c r="N17" s="37">
        <v>58.203731587561371</v>
      </c>
      <c r="O17" s="37">
        <f t="shared" si="5"/>
        <v>16.524135265700483</v>
      </c>
      <c r="P17" s="37"/>
      <c r="Q17" s="45">
        <f t="shared" si="6"/>
        <v>6.8747688925793179E-2</v>
      </c>
    </row>
    <row r="18" spans="1:17" s="6" customFormat="1" ht="15.75">
      <c r="A18" s="756">
        <v>13</v>
      </c>
      <c r="B18" s="418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2"/>
        <v>6484.8600000000006</v>
      </c>
      <c r="G18" s="24">
        <v>98</v>
      </c>
      <c r="H18" s="8">
        <v>1</v>
      </c>
      <c r="I18" s="8">
        <v>7</v>
      </c>
      <c r="J18" s="40">
        <f t="shared" si="3"/>
        <v>106</v>
      </c>
      <c r="K18" s="72">
        <f t="shared" si="4"/>
        <v>8.1932367149758448E-2</v>
      </c>
      <c r="L18" s="37">
        <f t="shared" si="0"/>
        <v>185.91519227053141</v>
      </c>
      <c r="M18" s="37">
        <f t="shared" si="1"/>
        <v>68.361016197874406</v>
      </c>
      <c r="N18" s="37">
        <v>86.895711947626836</v>
      </c>
      <c r="O18" s="37">
        <f t="shared" si="5"/>
        <v>24.66983574879227</v>
      </c>
      <c r="P18" s="37"/>
      <c r="Q18" s="45">
        <f t="shared" si="6"/>
        <v>5.6414750073991556E-2</v>
      </c>
    </row>
    <row r="19" spans="1:17" s="6" customFormat="1" ht="15.75">
      <c r="A19" s="756">
        <v>14</v>
      </c>
      <c r="B19" s="418" t="s">
        <v>696</v>
      </c>
      <c r="C19" s="330">
        <v>5966.95</v>
      </c>
      <c r="D19" s="330"/>
      <c r="E19" s="330">
        <v>49.5</v>
      </c>
      <c r="F19" s="40">
        <f t="shared" si="2"/>
        <v>6016.45</v>
      </c>
      <c r="G19" s="24">
        <v>104</v>
      </c>
      <c r="H19" s="8"/>
      <c r="I19" s="8">
        <v>1</v>
      </c>
      <c r="J19" s="40">
        <f t="shared" si="3"/>
        <v>105</v>
      </c>
      <c r="K19" s="72">
        <f t="shared" si="4"/>
        <v>8.1159420289855067E-2</v>
      </c>
      <c r="L19" s="37">
        <f t="shared" si="0"/>
        <v>184.16127536231883</v>
      </c>
      <c r="M19" s="37">
        <f t="shared" si="1"/>
        <v>67.716100950724638</v>
      </c>
      <c r="N19" s="37">
        <v>86.075941080196401</v>
      </c>
      <c r="O19" s="37">
        <f t="shared" si="5"/>
        <v>24.437101449275364</v>
      </c>
      <c r="P19" s="37"/>
      <c r="Q19" s="45">
        <f t="shared" si="6"/>
        <v>6.0233263609356893E-2</v>
      </c>
    </row>
    <row r="20" spans="1:17" s="6" customFormat="1" ht="15.75">
      <c r="A20" s="756">
        <v>15</v>
      </c>
      <c r="B20" s="418" t="s">
        <v>697</v>
      </c>
      <c r="C20" s="330">
        <v>8566.1200000000008</v>
      </c>
      <c r="D20" s="330"/>
      <c r="E20" s="330"/>
      <c r="F20" s="40">
        <f t="shared" si="2"/>
        <v>8566.1200000000008</v>
      </c>
      <c r="G20" s="24">
        <v>145</v>
      </c>
      <c r="H20" s="8"/>
      <c r="I20" s="8"/>
      <c r="J20" s="40">
        <f t="shared" si="3"/>
        <v>145</v>
      </c>
      <c r="K20" s="72">
        <f t="shared" si="4"/>
        <v>0.11207729468599034</v>
      </c>
      <c r="L20" s="37">
        <f t="shared" si="0"/>
        <v>254.31795169082127</v>
      </c>
      <c r="M20" s="37">
        <f t="shared" si="1"/>
        <v>93.512710836714987</v>
      </c>
      <c r="N20" s="37">
        <v>118.86677577741408</v>
      </c>
      <c r="O20" s="37">
        <f t="shared" si="5"/>
        <v>33.746473429951692</v>
      </c>
      <c r="P20" s="37"/>
      <c r="Q20" s="45">
        <f t="shared" si="6"/>
        <v>5.842130529748614E-2</v>
      </c>
    </row>
    <row r="21" spans="1:17" s="6" customFormat="1" ht="15.75">
      <c r="A21" s="756">
        <v>16</v>
      </c>
      <c r="B21" s="418" t="s">
        <v>698</v>
      </c>
      <c r="C21" s="330">
        <v>5774.55</v>
      </c>
      <c r="D21" s="330">
        <v>201.5</v>
      </c>
      <c r="E21" s="330"/>
      <c r="F21" s="40">
        <f t="shared" si="2"/>
        <v>5976.05</v>
      </c>
      <c r="G21" s="24">
        <v>124</v>
      </c>
      <c r="H21" s="8">
        <v>2</v>
      </c>
      <c r="I21" s="8"/>
      <c r="J21" s="40">
        <f t="shared" si="3"/>
        <v>126</v>
      </c>
      <c r="K21" s="72">
        <f t="shared" si="4"/>
        <v>9.7391304347826085E-2</v>
      </c>
      <c r="L21" s="37">
        <f t="shared" si="0"/>
        <v>220.99353043478263</v>
      </c>
      <c r="M21" s="37">
        <f t="shared" si="1"/>
        <v>81.259321140869574</v>
      </c>
      <c r="N21" s="37">
        <v>103.29112929623568</v>
      </c>
      <c r="O21" s="37">
        <f t="shared" si="5"/>
        <v>29.324521739130436</v>
      </c>
      <c r="P21" s="37"/>
      <c r="Q21" s="45">
        <f t="shared" si="6"/>
        <v>7.2768551570187384E-2</v>
      </c>
    </row>
    <row r="22" spans="1:17" s="6" customFormat="1" ht="15.75">
      <c r="A22" s="756">
        <v>17</v>
      </c>
      <c r="B22" s="418" t="s">
        <v>699</v>
      </c>
      <c r="C22" s="330">
        <v>3226.62</v>
      </c>
      <c r="D22" s="330"/>
      <c r="E22" s="330"/>
      <c r="F22" s="40">
        <f t="shared" si="2"/>
        <v>3226.62</v>
      </c>
      <c r="G22" s="24">
        <v>120</v>
      </c>
      <c r="H22" s="8"/>
      <c r="I22" s="8"/>
      <c r="J22" s="40">
        <f t="shared" si="3"/>
        <v>120</v>
      </c>
      <c r="K22" s="72">
        <f t="shared" si="4"/>
        <v>9.2753623188405798E-2</v>
      </c>
      <c r="L22" s="37">
        <f t="shared" si="0"/>
        <v>210.47002898550727</v>
      </c>
      <c r="M22" s="37">
        <f t="shared" si="1"/>
        <v>77.389829657971035</v>
      </c>
      <c r="N22" s="37">
        <v>98.372504091653028</v>
      </c>
      <c r="O22" s="37">
        <f t="shared" si="5"/>
        <v>27.928115942028988</v>
      </c>
      <c r="P22" s="37"/>
      <c r="Q22" s="45">
        <f t="shared" si="6"/>
        <v>0.12835737665952618</v>
      </c>
    </row>
    <row r="23" spans="1:17" s="6" customFormat="1" ht="15.75">
      <c r="A23" s="756">
        <v>18</v>
      </c>
      <c r="B23" s="418" t="s">
        <v>700</v>
      </c>
      <c r="C23" s="330">
        <v>3233.9</v>
      </c>
      <c r="D23" s="330"/>
      <c r="E23" s="330"/>
      <c r="F23" s="40">
        <f t="shared" si="2"/>
        <v>3233.9</v>
      </c>
      <c r="G23" s="24">
        <v>120</v>
      </c>
      <c r="H23" s="8"/>
      <c r="I23" s="8"/>
      <c r="J23" s="40">
        <f t="shared" si="3"/>
        <v>120</v>
      </c>
      <c r="K23" s="72">
        <f t="shared" si="4"/>
        <v>9.2753623188405798E-2</v>
      </c>
      <c r="L23" s="37">
        <f t="shared" si="0"/>
        <v>210.47002898550727</v>
      </c>
      <c r="M23" s="37">
        <f t="shared" si="1"/>
        <v>77.389829657971035</v>
      </c>
      <c r="N23" s="37">
        <v>98.372504091653028</v>
      </c>
      <c r="O23" s="37">
        <f t="shared" si="5"/>
        <v>27.928115942028988</v>
      </c>
      <c r="P23" s="37"/>
      <c r="Q23" s="45">
        <f t="shared" si="6"/>
        <v>0.1280684247123165</v>
      </c>
    </row>
    <row r="24" spans="1:17" s="6" customFormat="1" ht="15.75">
      <c r="A24" s="756">
        <v>19</v>
      </c>
      <c r="B24" s="418" t="s">
        <v>701</v>
      </c>
      <c r="C24" s="330">
        <v>6095.4</v>
      </c>
      <c r="D24" s="330"/>
      <c r="E24" s="330"/>
      <c r="F24" s="40">
        <f t="shared" si="2"/>
        <v>6095.4</v>
      </c>
      <c r="G24" s="24">
        <v>129</v>
      </c>
      <c r="H24" s="8"/>
      <c r="I24" s="8"/>
      <c r="J24" s="40">
        <f t="shared" si="3"/>
        <v>129</v>
      </c>
      <c r="K24" s="72">
        <f t="shared" si="4"/>
        <v>9.9710144927536229E-2</v>
      </c>
      <c r="L24" s="37">
        <f t="shared" si="0"/>
        <v>226.25528115942029</v>
      </c>
      <c r="M24" s="37">
        <f t="shared" si="1"/>
        <v>83.19406688231885</v>
      </c>
      <c r="N24" s="37">
        <v>105.750441898527</v>
      </c>
      <c r="O24" s="37">
        <f t="shared" si="5"/>
        <v>30.022724637681161</v>
      </c>
      <c r="P24" s="37"/>
      <c r="Q24" s="45">
        <f t="shared" si="6"/>
        <v>7.3042378609762662E-2</v>
      </c>
    </row>
    <row r="25" spans="1:17" s="6" customFormat="1" ht="15.75">
      <c r="A25" s="756">
        <v>20</v>
      </c>
      <c r="B25" s="418" t="s">
        <v>702</v>
      </c>
      <c r="C25" s="330">
        <v>6384.91</v>
      </c>
      <c r="D25" s="330"/>
      <c r="E25" s="330"/>
      <c r="F25" s="40">
        <f t="shared" si="2"/>
        <v>6384.91</v>
      </c>
      <c r="G25" s="24">
        <v>109</v>
      </c>
      <c r="H25" s="8"/>
      <c r="I25" s="8"/>
      <c r="J25" s="40">
        <f t="shared" si="3"/>
        <v>109</v>
      </c>
      <c r="K25" s="72">
        <f t="shared" si="4"/>
        <v>8.4251207729468591E-2</v>
      </c>
      <c r="L25" s="37">
        <f t="shared" si="0"/>
        <v>191.17694299516907</v>
      </c>
      <c r="M25" s="37">
        <f t="shared" si="1"/>
        <v>70.295761939323668</v>
      </c>
      <c r="N25" s="37">
        <v>89.355024549918156</v>
      </c>
      <c r="O25" s="37">
        <f t="shared" si="5"/>
        <v>25.368038647342996</v>
      </c>
      <c r="P25" s="37"/>
      <c r="Q25" s="45">
        <f t="shared" si="6"/>
        <v>5.8919509927587682E-2</v>
      </c>
    </row>
    <row r="26" spans="1:17" s="6" customFormat="1" ht="15.75">
      <c r="A26" s="756">
        <v>21</v>
      </c>
      <c r="B26" s="418" t="s">
        <v>703</v>
      </c>
      <c r="C26" s="330">
        <v>3929.49</v>
      </c>
      <c r="D26" s="330">
        <v>464.4</v>
      </c>
      <c r="E26" s="330"/>
      <c r="F26" s="40">
        <f t="shared" si="2"/>
        <v>4393.8899999999994</v>
      </c>
      <c r="G26" s="24">
        <v>63</v>
      </c>
      <c r="H26" s="8">
        <v>2</v>
      </c>
      <c r="I26" s="8"/>
      <c r="J26" s="40">
        <f t="shared" si="3"/>
        <v>65</v>
      </c>
      <c r="K26" s="72">
        <f t="shared" si="4"/>
        <v>5.0241545893719805E-2</v>
      </c>
      <c r="L26" s="37">
        <f t="shared" si="0"/>
        <v>114.00459903381643</v>
      </c>
      <c r="M26" s="37">
        <f t="shared" si="1"/>
        <v>41.919491064734302</v>
      </c>
      <c r="N26" s="37">
        <v>53.285106382978725</v>
      </c>
      <c r="O26" s="37">
        <f t="shared" si="5"/>
        <v>15.127729468599034</v>
      </c>
      <c r="P26" s="37"/>
      <c r="Q26" s="45">
        <f t="shared" si="6"/>
        <v>5.1056563990024451E-2</v>
      </c>
    </row>
    <row r="27" spans="1:17" s="6" customFormat="1" ht="15.75">
      <c r="A27" s="756">
        <v>22</v>
      </c>
      <c r="B27" s="418" t="s">
        <v>704</v>
      </c>
      <c r="C27" s="330">
        <v>7174.09</v>
      </c>
      <c r="D27" s="330"/>
      <c r="E27" s="330"/>
      <c r="F27" s="40">
        <f t="shared" si="2"/>
        <v>7174.09</v>
      </c>
      <c r="G27" s="24">
        <v>143</v>
      </c>
      <c r="H27" s="8"/>
      <c r="I27" s="8"/>
      <c r="J27" s="40">
        <f t="shared" si="3"/>
        <v>143</v>
      </c>
      <c r="K27" s="72">
        <f t="shared" si="4"/>
        <v>0.11053140096618357</v>
      </c>
      <c r="L27" s="37">
        <f t="shared" si="0"/>
        <v>250.81011787439613</v>
      </c>
      <c r="M27" s="37">
        <f t="shared" si="1"/>
        <v>92.222880342415465</v>
      </c>
      <c r="N27" s="37">
        <v>117.22723404255318</v>
      </c>
      <c r="O27" s="37">
        <f t="shared" si="5"/>
        <v>33.281004830917873</v>
      </c>
      <c r="P27" s="37"/>
      <c r="Q27" s="45">
        <f t="shared" si="6"/>
        <v>6.8794960349017456E-2</v>
      </c>
    </row>
    <row r="28" spans="1:17" s="6" customFormat="1" ht="15.75">
      <c r="A28" s="756">
        <v>23</v>
      </c>
      <c r="B28" s="418" t="s">
        <v>705</v>
      </c>
      <c r="C28" s="330">
        <v>3836.07</v>
      </c>
      <c r="D28" s="330"/>
      <c r="E28" s="330">
        <v>416</v>
      </c>
      <c r="F28" s="40">
        <f t="shared" si="2"/>
        <v>4252.07</v>
      </c>
      <c r="G28" s="24">
        <v>64</v>
      </c>
      <c r="H28" s="8"/>
      <c r="I28" s="8">
        <v>2</v>
      </c>
      <c r="J28" s="40">
        <f t="shared" si="3"/>
        <v>66</v>
      </c>
      <c r="K28" s="72">
        <f t="shared" si="4"/>
        <v>5.1014492753623186E-2</v>
      </c>
      <c r="L28" s="37">
        <f t="shared" si="0"/>
        <v>115.75851594202899</v>
      </c>
      <c r="M28" s="37">
        <f t="shared" si="1"/>
        <v>42.564406311884063</v>
      </c>
      <c r="N28" s="37">
        <v>54.104877250409167</v>
      </c>
      <c r="O28" s="37">
        <f t="shared" si="5"/>
        <v>15.360463768115942</v>
      </c>
      <c r="P28" s="37"/>
      <c r="Q28" s="45">
        <f t="shared" si="6"/>
        <v>5.3571146117641098E-2</v>
      </c>
    </row>
    <row r="29" spans="1:17" s="6" customFormat="1" ht="15.75">
      <c r="A29" s="756">
        <v>24</v>
      </c>
      <c r="B29" s="418" t="s">
        <v>706</v>
      </c>
      <c r="C29" s="330">
        <v>2413.89</v>
      </c>
      <c r="D29" s="330"/>
      <c r="E29" s="330"/>
      <c r="F29" s="40">
        <f t="shared" si="2"/>
        <v>2413.89</v>
      </c>
      <c r="G29" s="24">
        <v>40</v>
      </c>
      <c r="H29" s="8"/>
      <c r="I29" s="8"/>
      <c r="J29" s="40">
        <f t="shared" si="3"/>
        <v>40</v>
      </c>
      <c r="K29" s="72">
        <f t="shared" si="4"/>
        <v>3.0917874396135265E-2</v>
      </c>
      <c r="L29" s="37">
        <f t="shared" si="0"/>
        <v>70.156676328502414</v>
      </c>
      <c r="M29" s="37">
        <f t="shared" si="1"/>
        <v>25.796609885990339</v>
      </c>
      <c r="N29" s="37">
        <v>32.790834697217676</v>
      </c>
      <c r="O29" s="37">
        <f t="shared" si="5"/>
        <v>9.3093719806763282</v>
      </c>
      <c r="P29" s="37"/>
      <c r="Q29" s="45">
        <f t="shared" si="6"/>
        <v>5.7191294090611744E-2</v>
      </c>
    </row>
    <row r="30" spans="1:17" s="6" customFormat="1" ht="15.75">
      <c r="A30" s="756">
        <v>25</v>
      </c>
      <c r="B30" s="418" t="s">
        <v>707</v>
      </c>
      <c r="C30" s="330">
        <v>6323.28</v>
      </c>
      <c r="D30" s="330"/>
      <c r="E30" s="330"/>
      <c r="F30" s="40">
        <f t="shared" si="2"/>
        <v>6323.28</v>
      </c>
      <c r="G30" s="24">
        <v>109</v>
      </c>
      <c r="H30" s="8"/>
      <c r="I30" s="8"/>
      <c r="J30" s="40">
        <f t="shared" si="3"/>
        <v>109</v>
      </c>
      <c r="K30" s="72">
        <f t="shared" si="4"/>
        <v>8.4251207729468591E-2</v>
      </c>
      <c r="L30" s="37">
        <f t="shared" si="0"/>
        <v>191.17694299516907</v>
      </c>
      <c r="M30" s="37">
        <f t="shared" si="1"/>
        <v>70.295761939323668</v>
      </c>
      <c r="N30" s="37">
        <v>89.355024549918156</v>
      </c>
      <c r="O30" s="37">
        <f t="shared" si="5"/>
        <v>25.368038647342996</v>
      </c>
      <c r="P30" s="37"/>
      <c r="Q30" s="45">
        <f t="shared" si="6"/>
        <v>5.9493770342568079E-2</v>
      </c>
    </row>
    <row r="31" spans="1:17" s="6" customFormat="1" ht="15.75">
      <c r="A31" s="756">
        <v>26</v>
      </c>
      <c r="B31" s="418" t="s">
        <v>708</v>
      </c>
      <c r="C31" s="330">
        <v>4396.59</v>
      </c>
      <c r="D31" s="330"/>
      <c r="E31" s="330"/>
      <c r="F31" s="40">
        <f t="shared" si="2"/>
        <v>4396.59</v>
      </c>
      <c r="G31" s="24">
        <v>71</v>
      </c>
      <c r="H31" s="8"/>
      <c r="I31" s="8"/>
      <c r="J31" s="40">
        <f t="shared" si="3"/>
        <v>71</v>
      </c>
      <c r="K31" s="72">
        <f t="shared" si="4"/>
        <v>5.4879227053140092E-2</v>
      </c>
      <c r="L31" s="37">
        <f t="shared" si="0"/>
        <v>124.52810048309178</v>
      </c>
      <c r="M31" s="37">
        <f t="shared" si="1"/>
        <v>45.788982547632848</v>
      </c>
      <c r="N31" s="37">
        <v>58.203731587561371</v>
      </c>
      <c r="O31" s="37">
        <f t="shared" si="5"/>
        <v>16.524135265700483</v>
      </c>
      <c r="P31" s="37"/>
      <c r="Q31" s="45">
        <f t="shared" si="6"/>
        <v>5.573522886691424E-2</v>
      </c>
    </row>
    <row r="32" spans="1:17" s="6" customFormat="1" ht="15.75">
      <c r="A32" s="756">
        <v>27</v>
      </c>
      <c r="B32" s="418" t="s">
        <v>709</v>
      </c>
      <c r="C32" s="330">
        <v>6702.46</v>
      </c>
      <c r="D32" s="330"/>
      <c r="E32" s="330"/>
      <c r="F32" s="40">
        <f t="shared" si="2"/>
        <v>6702.46</v>
      </c>
      <c r="G32" s="24">
        <v>107</v>
      </c>
      <c r="H32" s="8"/>
      <c r="I32" s="8"/>
      <c r="J32" s="40">
        <f t="shared" si="3"/>
        <v>107</v>
      </c>
      <c r="K32" s="72">
        <f t="shared" si="4"/>
        <v>8.2705314009661829E-2</v>
      </c>
      <c r="L32" s="37">
        <f t="shared" si="0"/>
        <v>187.66910917874395</v>
      </c>
      <c r="M32" s="37">
        <f t="shared" si="1"/>
        <v>69.00593144502416</v>
      </c>
      <c r="N32" s="37">
        <v>87.715482815057271</v>
      </c>
      <c r="O32" s="37">
        <f t="shared" si="5"/>
        <v>24.90257004830918</v>
      </c>
      <c r="P32" s="37"/>
      <c r="Q32" s="45">
        <f t="shared" si="6"/>
        <v>5.5098142098145245E-2</v>
      </c>
    </row>
    <row r="33" spans="1:24" s="6" customFormat="1" ht="15.75">
      <c r="A33" s="756">
        <v>28</v>
      </c>
      <c r="B33" s="418" t="s">
        <v>710</v>
      </c>
      <c r="C33" s="330">
        <v>6185.24</v>
      </c>
      <c r="D33" s="330"/>
      <c r="E33" s="330"/>
      <c r="F33" s="40">
        <f t="shared" si="2"/>
        <v>6185.24</v>
      </c>
      <c r="G33" s="24">
        <v>106</v>
      </c>
      <c r="H33" s="8"/>
      <c r="I33" s="8"/>
      <c r="J33" s="40">
        <f t="shared" si="3"/>
        <v>106</v>
      </c>
      <c r="K33" s="72">
        <f t="shared" si="4"/>
        <v>8.1932367149758448E-2</v>
      </c>
      <c r="L33" s="37">
        <f t="shared" si="0"/>
        <v>185.91519227053141</v>
      </c>
      <c r="M33" s="37">
        <f t="shared" si="1"/>
        <v>68.361016197874406</v>
      </c>
      <c r="N33" s="37">
        <v>86.895711947626836</v>
      </c>
      <c r="O33" s="37">
        <f t="shared" si="5"/>
        <v>24.66983574879227</v>
      </c>
      <c r="P33" s="37"/>
      <c r="Q33" s="45">
        <f t="shared" si="6"/>
        <v>5.9147544180149024E-2</v>
      </c>
    </row>
    <row r="34" spans="1:24" s="6" customFormat="1" ht="15.75">
      <c r="A34" s="756">
        <v>29</v>
      </c>
      <c r="B34" s="418" t="s">
        <v>711</v>
      </c>
      <c r="C34" s="330">
        <v>6856.85</v>
      </c>
      <c r="D34" s="330"/>
      <c r="E34" s="330"/>
      <c r="F34" s="40">
        <f t="shared" si="2"/>
        <v>6856.85</v>
      </c>
      <c r="G34" s="24">
        <v>107</v>
      </c>
      <c r="H34" s="8"/>
      <c r="I34" s="8"/>
      <c r="J34" s="40">
        <f t="shared" si="3"/>
        <v>107</v>
      </c>
      <c r="K34" s="72">
        <f t="shared" si="4"/>
        <v>8.2705314009661829E-2</v>
      </c>
      <c r="L34" s="37">
        <f t="shared" si="0"/>
        <v>187.66910917874395</v>
      </c>
      <c r="M34" s="37">
        <f t="shared" si="1"/>
        <v>69.00593144502416</v>
      </c>
      <c r="N34" s="37">
        <v>87.715482815057271</v>
      </c>
      <c r="O34" s="37">
        <f t="shared" si="5"/>
        <v>24.90257004830918</v>
      </c>
      <c r="P34" s="37"/>
      <c r="Q34" s="45">
        <f t="shared" si="6"/>
        <v>5.3857542966104635E-2</v>
      </c>
    </row>
    <row r="35" spans="1:24" s="6" customFormat="1" ht="15.75">
      <c r="A35" s="756">
        <v>30</v>
      </c>
      <c r="B35" s="418" t="s">
        <v>712</v>
      </c>
      <c r="C35" s="330">
        <v>6358.97</v>
      </c>
      <c r="D35" s="330"/>
      <c r="E35" s="330"/>
      <c r="F35" s="40">
        <f t="shared" si="2"/>
        <v>6358.97</v>
      </c>
      <c r="G35" s="24">
        <v>106</v>
      </c>
      <c r="H35" s="8"/>
      <c r="I35" s="8"/>
      <c r="J35" s="40">
        <f t="shared" si="3"/>
        <v>106</v>
      </c>
      <c r="K35" s="72">
        <f t="shared" si="4"/>
        <v>8.1932367149758448E-2</v>
      </c>
      <c r="L35" s="37">
        <f t="shared" si="0"/>
        <v>185.91519227053141</v>
      </c>
      <c r="M35" s="37">
        <f t="shared" si="1"/>
        <v>68.361016197874406</v>
      </c>
      <c r="N35" s="37">
        <v>86.895711947626836</v>
      </c>
      <c r="O35" s="37">
        <f t="shared" si="5"/>
        <v>24.66983574879227</v>
      </c>
      <c r="P35" s="37"/>
      <c r="Q35" s="45">
        <f t="shared" si="6"/>
        <v>5.7531605930649918E-2</v>
      </c>
    </row>
    <row r="36" spans="1:24" s="6" customFormat="1" ht="15.75">
      <c r="A36" s="756">
        <v>31</v>
      </c>
      <c r="B36" s="418" t="s">
        <v>713</v>
      </c>
      <c r="C36" s="330">
        <v>4302.43</v>
      </c>
      <c r="D36" s="330"/>
      <c r="E36" s="330"/>
      <c r="F36" s="40">
        <f t="shared" si="2"/>
        <v>4302.43</v>
      </c>
      <c r="G36" s="24">
        <v>71</v>
      </c>
      <c r="H36" s="8"/>
      <c r="I36" s="8"/>
      <c r="J36" s="40">
        <f t="shared" si="3"/>
        <v>71</v>
      </c>
      <c r="K36" s="72">
        <f t="shared" si="4"/>
        <v>5.4879227053140092E-2</v>
      </c>
      <c r="L36" s="37">
        <f t="shared" si="0"/>
        <v>124.52810048309178</v>
      </c>
      <c r="M36" s="37">
        <f t="shared" si="1"/>
        <v>45.788982547632848</v>
      </c>
      <c r="N36" s="37">
        <v>58.203731587561371</v>
      </c>
      <c r="O36" s="37">
        <f t="shared" si="5"/>
        <v>16.524135265700483</v>
      </c>
      <c r="P36" s="37"/>
      <c r="Q36" s="45">
        <f t="shared" si="6"/>
        <v>5.6955011443297496E-2</v>
      </c>
    </row>
    <row r="37" spans="1:24" s="6" customFormat="1" ht="15.75">
      <c r="A37" s="756">
        <v>32</v>
      </c>
      <c r="B37" s="418" t="s">
        <v>714</v>
      </c>
      <c r="C37" s="330">
        <v>4355.7</v>
      </c>
      <c r="D37" s="330"/>
      <c r="E37" s="330"/>
      <c r="F37" s="40">
        <f t="shared" si="2"/>
        <v>4355.7</v>
      </c>
      <c r="G37" s="24">
        <v>72</v>
      </c>
      <c r="H37" s="8"/>
      <c r="I37" s="8"/>
      <c r="J37" s="40">
        <f t="shared" si="3"/>
        <v>72</v>
      </c>
      <c r="K37" s="72">
        <f t="shared" si="4"/>
        <v>5.5652173913043473E-2</v>
      </c>
      <c r="L37" s="37">
        <f t="shared" si="0"/>
        <v>126.28201739130434</v>
      </c>
      <c r="M37" s="37">
        <f t="shared" si="1"/>
        <v>46.433897794782609</v>
      </c>
      <c r="N37" s="37">
        <v>59.023502454991821</v>
      </c>
      <c r="O37" s="37">
        <f t="shared" si="5"/>
        <v>16.756869565217389</v>
      </c>
      <c r="P37" s="37"/>
      <c r="Q37" s="45">
        <f t="shared" si="6"/>
        <v>5.705082700973349E-2</v>
      </c>
    </row>
    <row r="38" spans="1:24" s="6" customFormat="1" ht="15.75">
      <c r="A38" s="756">
        <v>33</v>
      </c>
      <c r="B38" s="418" t="s">
        <v>715</v>
      </c>
      <c r="C38" s="330">
        <v>61.3</v>
      </c>
      <c r="D38" s="330"/>
      <c r="E38" s="330"/>
      <c r="F38" s="40">
        <f t="shared" si="2"/>
        <v>61.3</v>
      </c>
      <c r="G38" s="24">
        <v>2</v>
      </c>
      <c r="H38" s="8"/>
      <c r="I38" s="8"/>
      <c r="J38" s="40">
        <f t="shared" si="3"/>
        <v>2</v>
      </c>
      <c r="K38" s="72">
        <v>1.8704699555763386E-3</v>
      </c>
      <c r="L38" s="37">
        <f t="shared" si="0"/>
        <v>4.2443394902969374</v>
      </c>
      <c r="M38" s="37">
        <f t="shared" si="1"/>
        <v>1.560643630582184</v>
      </c>
      <c r="N38" s="37">
        <v>1.6395417348608838</v>
      </c>
      <c r="O38" s="37">
        <f t="shared" si="5"/>
        <v>0.56319850362403556</v>
      </c>
      <c r="P38" s="37"/>
      <c r="Q38" s="45">
        <f t="shared" si="6"/>
        <v>0.13063170243660752</v>
      </c>
    </row>
    <row r="39" spans="1:24" s="6" customFormat="1" ht="15.75">
      <c r="A39" s="756">
        <v>34</v>
      </c>
      <c r="B39" s="418" t="s">
        <v>716</v>
      </c>
      <c r="C39" s="330">
        <v>105.7</v>
      </c>
      <c r="D39" s="330"/>
      <c r="E39" s="330"/>
      <c r="F39" s="40">
        <f t="shared" si="2"/>
        <v>105.7</v>
      </c>
      <c r="G39" s="24">
        <v>4</v>
      </c>
      <c r="H39" s="8"/>
      <c r="I39" s="8"/>
      <c r="J39" s="40">
        <f t="shared" si="3"/>
        <v>4</v>
      </c>
      <c r="K39" s="72">
        <f t="shared" si="4"/>
        <v>3.0917874396135265E-3</v>
      </c>
      <c r="L39" s="37">
        <f t="shared" si="0"/>
        <v>7.0156676328502421</v>
      </c>
      <c r="M39" s="37">
        <f t="shared" si="1"/>
        <v>2.5796609885990343</v>
      </c>
      <c r="N39" s="37">
        <v>3.2790834697217677</v>
      </c>
      <c r="O39" s="37">
        <f t="shared" si="5"/>
        <v>0.93093719806763287</v>
      </c>
      <c r="P39" s="37"/>
      <c r="Q39" s="45">
        <f t="shared" si="6"/>
        <v>0.13060879176195531</v>
      </c>
    </row>
    <row r="40" spans="1:24" s="6" customFormat="1" ht="15.75">
      <c r="A40" s="756">
        <v>35</v>
      </c>
      <c r="B40" s="418" t="s">
        <v>717</v>
      </c>
      <c r="C40" s="330">
        <v>124.1</v>
      </c>
      <c r="D40" s="330"/>
      <c r="E40" s="330"/>
      <c r="F40" s="40">
        <f t="shared" si="2"/>
        <v>124.1</v>
      </c>
      <c r="G40" s="24">
        <v>2</v>
      </c>
      <c r="H40" s="8"/>
      <c r="I40" s="8"/>
      <c r="J40" s="40">
        <f t="shared" si="3"/>
        <v>2</v>
      </c>
      <c r="K40" s="72">
        <v>3.7409399111526772E-3</v>
      </c>
      <c r="L40" s="37">
        <f t="shared" si="0"/>
        <v>8.4886789805938747</v>
      </c>
      <c r="M40" s="37">
        <f t="shared" si="1"/>
        <v>3.1212872611643681</v>
      </c>
      <c r="N40" s="37">
        <v>1.6395417348608838</v>
      </c>
      <c r="O40" s="37">
        <f>K40*301.1</f>
        <v>1.1263970072480711</v>
      </c>
      <c r="P40" s="37"/>
      <c r="Q40" s="45">
        <f t="shared" si="6"/>
        <v>0.11584129721085575</v>
      </c>
      <c r="R40" s="6">
        <v>2</v>
      </c>
      <c r="S40" s="22">
        <v>1.8704699555763386E-3</v>
      </c>
      <c r="T40" s="22">
        <v>3.2790834697217677</v>
      </c>
      <c r="U40" s="22">
        <v>1.205718991816694</v>
      </c>
      <c r="V40" s="22">
        <v>1.6395417348608838</v>
      </c>
      <c r="W40" s="22">
        <v>0.56319850362403556</v>
      </c>
      <c r="X40" s="22">
        <v>5.388833763113119E-2</v>
      </c>
    </row>
    <row r="41" spans="1:24" s="6" customFormat="1" ht="15.75">
      <c r="A41" s="756">
        <v>36</v>
      </c>
      <c r="B41" s="418" t="s">
        <v>718</v>
      </c>
      <c r="C41" s="330">
        <v>2349.19</v>
      </c>
      <c r="D41" s="330"/>
      <c r="E41" s="330"/>
      <c r="F41" s="40">
        <f t="shared" si="2"/>
        <v>2349.19</v>
      </c>
      <c r="G41" s="24">
        <v>40</v>
      </c>
      <c r="H41" s="8"/>
      <c r="I41" s="8"/>
      <c r="J41" s="40">
        <f t="shared" si="3"/>
        <v>40</v>
      </c>
      <c r="K41" s="72">
        <f t="shared" si="4"/>
        <v>3.0917874396135265E-2</v>
      </c>
      <c r="L41" s="37">
        <f t="shared" si="0"/>
        <v>70.156676328502414</v>
      </c>
      <c r="M41" s="37">
        <f t="shared" si="1"/>
        <v>25.796609885990339</v>
      </c>
      <c r="N41" s="37">
        <v>32.790834697217676</v>
      </c>
      <c r="O41" s="37">
        <f t="shared" si="5"/>
        <v>9.3093719806763282</v>
      </c>
      <c r="P41" s="37"/>
      <c r="Q41" s="45">
        <f t="shared" si="6"/>
        <v>5.876642284889122E-2</v>
      </c>
    </row>
    <row r="42" spans="1:24" s="6" customFormat="1" ht="15.75">
      <c r="A42" s="756">
        <v>37</v>
      </c>
      <c r="B42" s="418" t="s">
        <v>719</v>
      </c>
      <c r="C42" s="330">
        <v>3321.01</v>
      </c>
      <c r="D42" s="330"/>
      <c r="E42" s="330"/>
      <c r="F42" s="40">
        <f t="shared" si="2"/>
        <v>3321.01</v>
      </c>
      <c r="G42" s="24">
        <v>119</v>
      </c>
      <c r="H42" s="8"/>
      <c r="I42" s="8"/>
      <c r="J42" s="40">
        <f t="shared" si="3"/>
        <v>119</v>
      </c>
      <c r="K42" s="72">
        <f t="shared" si="4"/>
        <v>9.1980676328502417E-2</v>
      </c>
      <c r="L42" s="37">
        <f t="shared" si="0"/>
        <v>208.7161120772947</v>
      </c>
      <c r="M42" s="37">
        <f t="shared" si="1"/>
        <v>76.744914410821266</v>
      </c>
      <c r="N42" s="37">
        <v>97.552733224222578</v>
      </c>
      <c r="O42" s="37">
        <f t="shared" si="5"/>
        <v>27.695381642512078</v>
      </c>
      <c r="P42" s="37"/>
      <c r="Q42" s="45">
        <f t="shared" si="6"/>
        <v>0.1236699502123904</v>
      </c>
    </row>
    <row r="43" spans="1:24" s="6" customFormat="1" ht="15.75">
      <c r="A43" s="756">
        <v>38</v>
      </c>
      <c r="B43" s="418" t="s">
        <v>720</v>
      </c>
      <c r="C43" s="330">
        <v>3969.9</v>
      </c>
      <c r="D43" s="330"/>
      <c r="E43" s="330"/>
      <c r="F43" s="40">
        <f t="shared" si="2"/>
        <v>3969.9</v>
      </c>
      <c r="G43" s="24">
        <v>107</v>
      </c>
      <c r="H43" s="8"/>
      <c r="I43" s="8"/>
      <c r="J43" s="40">
        <f t="shared" si="3"/>
        <v>107</v>
      </c>
      <c r="K43" s="72">
        <f t="shared" si="4"/>
        <v>8.2705314009661829E-2</v>
      </c>
      <c r="L43" s="37">
        <f t="shared" si="0"/>
        <v>187.66910917874395</v>
      </c>
      <c r="M43" s="37">
        <f t="shared" si="1"/>
        <v>69.00593144502416</v>
      </c>
      <c r="N43" s="37">
        <v>87.715482815057271</v>
      </c>
      <c r="O43" s="37">
        <f t="shared" si="5"/>
        <v>24.90257004830918</v>
      </c>
      <c r="P43" s="37"/>
      <c r="Q43" s="45">
        <f t="shared" si="6"/>
        <v>9.3023273504908077E-2</v>
      </c>
    </row>
    <row r="44" spans="1:24" s="6" customFormat="1" ht="15.75">
      <c r="A44" s="756">
        <v>39</v>
      </c>
      <c r="B44" s="418" t="s">
        <v>721</v>
      </c>
      <c r="C44" s="330">
        <v>6582.1</v>
      </c>
      <c r="D44" s="330"/>
      <c r="E44" s="330"/>
      <c r="F44" s="40">
        <f t="shared" si="2"/>
        <v>6582.1</v>
      </c>
      <c r="G44" s="24">
        <v>118</v>
      </c>
      <c r="H44" s="8"/>
      <c r="I44" s="8"/>
      <c r="J44" s="40">
        <f t="shared" si="3"/>
        <v>118</v>
      </c>
      <c r="K44" s="72">
        <f t="shared" si="4"/>
        <v>9.1207729468599036E-2</v>
      </c>
      <c r="L44" s="37">
        <f t="shared" si="0"/>
        <v>206.96219516908215</v>
      </c>
      <c r="M44" s="37">
        <f t="shared" si="1"/>
        <v>76.099999163671512</v>
      </c>
      <c r="N44" s="37">
        <v>96.732962356792129</v>
      </c>
      <c r="O44" s="37">
        <f t="shared" si="5"/>
        <v>27.462647342995172</v>
      </c>
      <c r="P44" s="37"/>
      <c r="Q44" s="45">
        <f t="shared" si="6"/>
        <v>6.18735364142965E-2</v>
      </c>
    </row>
    <row r="45" spans="1:24" s="6" customFormat="1" ht="15.75">
      <c r="A45" s="756">
        <v>40</v>
      </c>
      <c r="B45" s="418" t="s">
        <v>722</v>
      </c>
      <c r="C45" s="330">
        <v>8461.27</v>
      </c>
      <c r="D45" s="330">
        <v>287.3</v>
      </c>
      <c r="E45" s="330"/>
      <c r="F45" s="40">
        <f t="shared" si="2"/>
        <v>8748.57</v>
      </c>
      <c r="G45" s="24">
        <v>156</v>
      </c>
      <c r="H45" s="8">
        <v>1</v>
      </c>
      <c r="I45" s="8"/>
      <c r="J45" s="40">
        <f t="shared" si="3"/>
        <v>157</v>
      </c>
      <c r="K45" s="72">
        <f t="shared" si="4"/>
        <v>0.12135265700483092</v>
      </c>
      <c r="L45" s="37">
        <f t="shared" si="0"/>
        <v>275.36495458937196</v>
      </c>
      <c r="M45" s="37">
        <f t="shared" si="1"/>
        <v>101.25169380251208</v>
      </c>
      <c r="N45" s="37">
        <v>128.7040261865794</v>
      </c>
      <c r="O45" s="37">
        <f t="shared" si="5"/>
        <v>36.539285024154594</v>
      </c>
      <c r="P45" s="37"/>
      <c r="Q45" s="45">
        <f t="shared" si="6"/>
        <v>6.1936974797323234E-2</v>
      </c>
    </row>
    <row r="46" spans="1:24" s="6" customFormat="1" ht="15.75">
      <c r="A46" s="756">
        <v>41</v>
      </c>
      <c r="B46" s="418" t="s">
        <v>723</v>
      </c>
      <c r="C46" s="330">
        <v>3715.24</v>
      </c>
      <c r="D46" s="330"/>
      <c r="E46" s="330">
        <v>109.3</v>
      </c>
      <c r="F46" s="40">
        <f t="shared" si="2"/>
        <v>3824.54</v>
      </c>
      <c r="G46" s="24">
        <v>105</v>
      </c>
      <c r="H46" s="8"/>
      <c r="I46" s="8">
        <v>1</v>
      </c>
      <c r="J46" s="40">
        <f t="shared" si="3"/>
        <v>106</v>
      </c>
      <c r="K46" s="72">
        <f t="shared" si="4"/>
        <v>8.1932367149758448E-2</v>
      </c>
      <c r="L46" s="37">
        <f t="shared" si="0"/>
        <v>185.91519227053141</v>
      </c>
      <c r="M46" s="37">
        <f t="shared" si="1"/>
        <v>68.361016197874406</v>
      </c>
      <c r="N46" s="37">
        <v>86.895711947626836</v>
      </c>
      <c r="O46" s="37">
        <f t="shared" si="5"/>
        <v>24.66983574879227</v>
      </c>
      <c r="P46" s="37"/>
      <c r="Q46" s="45">
        <f t="shared" si="6"/>
        <v>9.5656407349596267E-2</v>
      </c>
    </row>
    <row r="47" spans="1:24" s="6" customFormat="1" ht="15.75">
      <c r="A47" s="756">
        <v>42</v>
      </c>
      <c r="B47" s="418" t="s">
        <v>724</v>
      </c>
      <c r="C47" s="330">
        <v>355.8</v>
      </c>
      <c r="D47" s="330"/>
      <c r="E47" s="330"/>
      <c r="F47" s="40">
        <f t="shared" si="2"/>
        <v>355.8</v>
      </c>
      <c r="G47" s="24">
        <v>8</v>
      </c>
      <c r="H47" s="8"/>
      <c r="I47" s="8"/>
      <c r="J47" s="40">
        <f t="shared" si="3"/>
        <v>8</v>
      </c>
      <c r="K47" s="72">
        <f t="shared" si="4"/>
        <v>6.183574879227053E-3</v>
      </c>
      <c r="L47" s="37">
        <f t="shared" si="0"/>
        <v>14.031335265700484</v>
      </c>
      <c r="M47" s="37">
        <f t="shared" si="1"/>
        <v>5.1593219771980685</v>
      </c>
      <c r="N47" s="37">
        <v>6.5581669394435353</v>
      </c>
      <c r="O47" s="37">
        <f t="shared" si="5"/>
        <v>1.8618743961352657</v>
      </c>
      <c r="P47" s="37"/>
      <c r="Q47" s="45">
        <f t="shared" si="6"/>
        <v>7.7601738556709821E-2</v>
      </c>
    </row>
    <row r="48" spans="1:24" s="6" customFormat="1" ht="15.75">
      <c r="A48" s="756">
        <v>43</v>
      </c>
      <c r="B48" s="418" t="s">
        <v>725</v>
      </c>
      <c r="C48" s="330">
        <v>907.4</v>
      </c>
      <c r="D48" s="330"/>
      <c r="E48" s="330"/>
      <c r="F48" s="40">
        <f t="shared" si="2"/>
        <v>907.4</v>
      </c>
      <c r="G48" s="24">
        <v>17</v>
      </c>
      <c r="H48" s="8"/>
      <c r="I48" s="8"/>
      <c r="J48" s="40">
        <f t="shared" si="3"/>
        <v>17</v>
      </c>
      <c r="K48" s="72">
        <f t="shared" si="4"/>
        <v>1.3140096618357487E-2</v>
      </c>
      <c r="L48" s="37">
        <f t="shared" si="0"/>
        <v>29.816587439613528</v>
      </c>
      <c r="M48" s="37">
        <f t="shared" si="1"/>
        <v>10.963559201545895</v>
      </c>
      <c r="N48" s="37">
        <v>13.936104746317513</v>
      </c>
      <c r="O48" s="37">
        <f t="shared" si="5"/>
        <v>3.9564830917874398</v>
      </c>
      <c r="P48" s="37"/>
      <c r="Q48" s="45">
        <f t="shared" si="6"/>
        <v>6.466027604062638E-2</v>
      </c>
    </row>
    <row r="49" spans="1:17" s="6" customFormat="1" ht="15.75">
      <c r="A49" s="756">
        <v>44</v>
      </c>
      <c r="B49" s="418" t="s">
        <v>726</v>
      </c>
      <c r="C49" s="330">
        <v>2273.6</v>
      </c>
      <c r="D49" s="330"/>
      <c r="E49" s="330"/>
      <c r="F49" s="40">
        <f t="shared" si="2"/>
        <v>2273.6</v>
      </c>
      <c r="G49" s="24">
        <v>40</v>
      </c>
      <c r="H49" s="8"/>
      <c r="I49" s="8"/>
      <c r="J49" s="40">
        <f t="shared" si="3"/>
        <v>40</v>
      </c>
      <c r="K49" s="72">
        <f t="shared" si="4"/>
        <v>3.0917874396135265E-2</v>
      </c>
      <c r="L49" s="37">
        <f t="shared" si="0"/>
        <v>70.156676328502414</v>
      </c>
      <c r="M49" s="37">
        <f t="shared" si="1"/>
        <v>25.796609885990339</v>
      </c>
      <c r="N49" s="37">
        <v>32.790834697217676</v>
      </c>
      <c r="O49" s="37">
        <f t="shared" si="5"/>
        <v>9.3093719806763282</v>
      </c>
      <c r="P49" s="37"/>
      <c r="Q49" s="45">
        <f t="shared" si="6"/>
        <v>6.0720220308051888E-2</v>
      </c>
    </row>
    <row r="50" spans="1:17" s="6" customFormat="1" ht="15.75">
      <c r="A50" s="756">
        <v>45</v>
      </c>
      <c r="B50" s="418" t="s">
        <v>727</v>
      </c>
      <c r="C50" s="330">
        <v>154.1</v>
      </c>
      <c r="D50" s="330"/>
      <c r="E50" s="330"/>
      <c r="F50" s="40">
        <f t="shared" si="2"/>
        <v>154.1</v>
      </c>
      <c r="G50" s="24">
        <v>3</v>
      </c>
      <c r="H50" s="8"/>
      <c r="I50" s="8"/>
      <c r="J50" s="40">
        <f t="shared" si="3"/>
        <v>3</v>
      </c>
      <c r="K50" s="72">
        <f t="shared" si="4"/>
        <v>2.3188405797101449E-3</v>
      </c>
      <c r="L50" s="37">
        <f t="shared" si="0"/>
        <v>5.2617507246376816</v>
      </c>
      <c r="M50" s="37">
        <f t="shared" si="1"/>
        <v>1.9347457414492757</v>
      </c>
      <c r="N50" s="37">
        <v>2.4593126022913259</v>
      </c>
      <c r="O50" s="37">
        <f t="shared" si="5"/>
        <v>0.6982028985507247</v>
      </c>
      <c r="P50" s="37"/>
      <c r="Q50" s="45">
        <f t="shared" si="6"/>
        <v>6.7190213932050671E-2</v>
      </c>
    </row>
    <row r="51" spans="1:17" s="6" customFormat="1" ht="15.75">
      <c r="A51" s="756">
        <v>46</v>
      </c>
      <c r="B51" s="418" t="s">
        <v>728</v>
      </c>
      <c r="C51" s="330">
        <v>93.9</v>
      </c>
      <c r="D51" s="330"/>
      <c r="E51" s="330"/>
      <c r="F51" s="40">
        <f t="shared" si="2"/>
        <v>93.9</v>
      </c>
      <c r="G51" s="24">
        <v>3</v>
      </c>
      <c r="H51" s="8"/>
      <c r="I51" s="8"/>
      <c r="J51" s="40">
        <f t="shared" si="3"/>
        <v>3</v>
      </c>
      <c r="K51" s="72">
        <f t="shared" si="4"/>
        <v>2.3188405797101449E-3</v>
      </c>
      <c r="L51" s="37">
        <f t="shared" si="0"/>
        <v>5.2617507246376816</v>
      </c>
      <c r="M51" s="37">
        <f t="shared" si="1"/>
        <v>1.9347457414492757</v>
      </c>
      <c r="N51" s="37">
        <v>2.4593126022913259</v>
      </c>
      <c r="O51" s="37">
        <f t="shared" si="5"/>
        <v>0.6982028985507247</v>
      </c>
      <c r="P51" s="37"/>
      <c r="Q51" s="45">
        <f t="shared" si="6"/>
        <v>0.11026636812490956</v>
      </c>
    </row>
    <row r="52" spans="1:17" s="6" customFormat="1" ht="15.75">
      <c r="A52" s="756">
        <v>47</v>
      </c>
      <c r="B52" s="418" t="s">
        <v>729</v>
      </c>
      <c r="C52" s="330">
        <v>296.10000000000002</v>
      </c>
      <c r="D52" s="330"/>
      <c r="E52" s="330"/>
      <c r="F52" s="40">
        <f t="shared" si="2"/>
        <v>296.10000000000002</v>
      </c>
      <c r="G52" s="24">
        <v>9</v>
      </c>
      <c r="H52" s="8"/>
      <c r="I52" s="8"/>
      <c r="J52" s="40">
        <f t="shared" si="3"/>
        <v>9</v>
      </c>
      <c r="K52" s="72">
        <f t="shared" si="4"/>
        <v>6.9565217391304342E-3</v>
      </c>
      <c r="L52" s="37">
        <f t="shared" si="0"/>
        <v>15.785252173913042</v>
      </c>
      <c r="M52" s="37">
        <f t="shared" si="1"/>
        <v>5.8042372243478262</v>
      </c>
      <c r="N52" s="37">
        <v>7.3779378068739776</v>
      </c>
      <c r="O52" s="37">
        <f t="shared" si="5"/>
        <v>2.0946086956521737</v>
      </c>
      <c r="P52" s="37"/>
      <c r="Q52" s="45">
        <f t="shared" si="6"/>
        <v>0.10490386997901728</v>
      </c>
    </row>
    <row r="53" spans="1:17" s="6" customFormat="1" ht="15.75">
      <c r="A53" s="756">
        <v>48</v>
      </c>
      <c r="B53" s="418" t="s">
        <v>647</v>
      </c>
      <c r="C53" s="330">
        <v>4177.21</v>
      </c>
      <c r="D53" s="330">
        <v>6.6</v>
      </c>
      <c r="E53" s="330"/>
      <c r="F53" s="40">
        <f t="shared" si="2"/>
        <v>4183.8100000000004</v>
      </c>
      <c r="G53" s="24">
        <v>108</v>
      </c>
      <c r="H53" s="8"/>
      <c r="I53" s="8"/>
      <c r="J53" s="40">
        <f t="shared" si="3"/>
        <v>108</v>
      </c>
      <c r="K53" s="72">
        <f t="shared" si="4"/>
        <v>8.347826086956521E-2</v>
      </c>
      <c r="L53" s="37">
        <f t="shared" si="0"/>
        <v>189.42302608695653</v>
      </c>
      <c r="M53" s="37">
        <f t="shared" si="1"/>
        <v>69.650846692173914</v>
      </c>
      <c r="N53" s="37">
        <v>88.535253682487721</v>
      </c>
      <c r="O53" s="37">
        <f t="shared" si="5"/>
        <v>25.135304347826086</v>
      </c>
      <c r="P53" s="37"/>
      <c r="Q53" s="45">
        <f t="shared" si="6"/>
        <v>8.9092102846315718E-2</v>
      </c>
    </row>
    <row r="54" spans="1:17" s="6" customFormat="1" ht="15.75">
      <c r="A54" s="756">
        <v>49</v>
      </c>
      <c r="B54" s="418" t="s">
        <v>648</v>
      </c>
      <c r="C54" s="330">
        <v>4140.68</v>
      </c>
      <c r="D54" s="330"/>
      <c r="E54" s="330"/>
      <c r="F54" s="40">
        <f t="shared" si="2"/>
        <v>4140.68</v>
      </c>
      <c r="G54" s="24">
        <v>108</v>
      </c>
      <c r="H54" s="8"/>
      <c r="I54" s="8"/>
      <c r="J54" s="40">
        <f t="shared" si="3"/>
        <v>108</v>
      </c>
      <c r="K54" s="72">
        <f t="shared" si="4"/>
        <v>8.347826086956521E-2</v>
      </c>
      <c r="L54" s="37">
        <f t="shared" si="0"/>
        <v>189.42302608695653</v>
      </c>
      <c r="M54" s="37">
        <f t="shared" si="1"/>
        <v>69.650846692173914</v>
      </c>
      <c r="N54" s="37">
        <v>88.535253682487721</v>
      </c>
      <c r="O54" s="37">
        <f t="shared" si="5"/>
        <v>25.135304347826086</v>
      </c>
      <c r="P54" s="37"/>
      <c r="Q54" s="45">
        <f t="shared" si="6"/>
        <v>9.0020100758678334E-2</v>
      </c>
    </row>
    <row r="55" spans="1:17" s="6" customFormat="1" ht="15.75">
      <c r="A55" s="756">
        <v>50</v>
      </c>
      <c r="B55" s="418" t="s">
        <v>1354</v>
      </c>
      <c r="C55" s="818">
        <v>7831.81</v>
      </c>
      <c r="D55" s="330"/>
      <c r="E55" s="330"/>
      <c r="F55" s="40">
        <f t="shared" si="2"/>
        <v>7831.81</v>
      </c>
      <c r="G55" s="24">
        <v>162</v>
      </c>
      <c r="H55" s="8"/>
      <c r="I55" s="8"/>
      <c r="J55" s="40">
        <f t="shared" si="3"/>
        <v>162</v>
      </c>
      <c r="K55" s="72">
        <f t="shared" si="4"/>
        <v>0.12521739130434784</v>
      </c>
      <c r="L55" s="37">
        <f t="shared" si="0"/>
        <v>284.1345391304348</v>
      </c>
      <c r="M55" s="37">
        <f t="shared" si="1"/>
        <v>104.47627003826088</v>
      </c>
      <c r="N55" s="37">
        <v>132.8028805237316</v>
      </c>
      <c r="O55" s="37">
        <f t="shared" si="5"/>
        <v>37.702956521739139</v>
      </c>
      <c r="P55" s="37"/>
      <c r="Q55" s="45">
        <f t="shared" si="6"/>
        <v>7.139047630294483E-2</v>
      </c>
    </row>
    <row r="56" spans="1:17" s="6" customFormat="1" ht="15.75">
      <c r="A56" s="756">
        <v>51</v>
      </c>
      <c r="B56" s="146" t="s">
        <v>1374</v>
      </c>
      <c r="C56" s="818">
        <v>996.1</v>
      </c>
      <c r="D56" s="330"/>
      <c r="E56" s="330"/>
      <c r="F56" s="40">
        <f t="shared" si="2"/>
        <v>996.1</v>
      </c>
      <c r="G56" s="24">
        <v>35</v>
      </c>
      <c r="H56" s="8"/>
      <c r="I56" s="8"/>
      <c r="J56" s="40">
        <f t="shared" ref="J56:J66" si="7">G56+H56+I56</f>
        <v>35</v>
      </c>
      <c r="K56" s="72">
        <f t="shared" si="4"/>
        <v>2.7053140096618356E-2</v>
      </c>
      <c r="L56" s="37">
        <f t="shared" si="0"/>
        <v>61.387091787439608</v>
      </c>
      <c r="M56" s="37">
        <f t="shared" si="1"/>
        <v>22.572033650241547</v>
      </c>
      <c r="N56" s="37">
        <v>28.691980360065468</v>
      </c>
      <c r="O56" s="37">
        <f t="shared" si="5"/>
        <v>8.1457004830917867</v>
      </c>
      <c r="P56" s="37"/>
      <c r="Q56" s="45">
        <f t="shared" si="6"/>
        <v>0.121269758338358</v>
      </c>
    </row>
    <row r="57" spans="1:17" s="6" customFormat="1" ht="15.75">
      <c r="A57" s="756">
        <v>52</v>
      </c>
      <c r="B57" s="146" t="s">
        <v>1376</v>
      </c>
      <c r="C57" s="818">
        <v>533.79999999999995</v>
      </c>
      <c r="D57" s="330"/>
      <c r="E57" s="330"/>
      <c r="F57" s="40">
        <f t="shared" si="2"/>
        <v>533.79999999999995</v>
      </c>
      <c r="G57" s="24">
        <v>12</v>
      </c>
      <c r="H57" s="8"/>
      <c r="I57" s="8"/>
      <c r="J57" s="40">
        <f t="shared" si="7"/>
        <v>12</v>
      </c>
      <c r="K57" s="72">
        <f t="shared" si="4"/>
        <v>9.2753623188405795E-3</v>
      </c>
      <c r="L57" s="37">
        <f t="shared" si="0"/>
        <v>21.047002898550726</v>
      </c>
      <c r="M57" s="37">
        <f t="shared" si="1"/>
        <v>7.7389829657971028</v>
      </c>
      <c r="N57" s="37">
        <v>9.8372504091653035</v>
      </c>
      <c r="O57" s="37">
        <f t="shared" si="5"/>
        <v>2.7928115942028988</v>
      </c>
      <c r="P57" s="37"/>
      <c r="Q57" s="45">
        <f t="shared" si="6"/>
        <v>7.7587200951135318E-2</v>
      </c>
    </row>
    <row r="58" spans="1:17" s="6" customFormat="1" ht="15.75">
      <c r="A58" s="756">
        <v>53</v>
      </c>
      <c r="B58" s="146" t="s">
        <v>1375</v>
      </c>
      <c r="C58" s="818">
        <v>987.3</v>
      </c>
      <c r="D58" s="330"/>
      <c r="E58" s="330"/>
      <c r="F58" s="40">
        <f t="shared" si="2"/>
        <v>987.3</v>
      </c>
      <c r="G58" s="24">
        <v>34</v>
      </c>
      <c r="H58" s="8"/>
      <c r="I58" s="8"/>
      <c r="J58" s="40">
        <f t="shared" si="7"/>
        <v>34</v>
      </c>
      <c r="K58" s="72">
        <f t="shared" si="4"/>
        <v>2.6280193236714974E-2</v>
      </c>
      <c r="L58" s="37">
        <f t="shared" si="0"/>
        <v>59.633174879227056</v>
      </c>
      <c r="M58" s="37">
        <f t="shared" si="1"/>
        <v>21.927118403091789</v>
      </c>
      <c r="N58" s="37">
        <v>27.872209492635026</v>
      </c>
      <c r="O58" s="37">
        <f t="shared" si="5"/>
        <v>7.9129661835748797</v>
      </c>
      <c r="P58" s="37"/>
      <c r="Q58" s="45">
        <f t="shared" si="6"/>
        <v>0.11885492652540136</v>
      </c>
    </row>
    <row r="59" spans="1:17" s="6" customFormat="1" ht="15.75">
      <c r="A59" s="756">
        <v>54</v>
      </c>
      <c r="B59" s="146" t="s">
        <v>1377</v>
      </c>
      <c r="C59" s="818">
        <v>442.6</v>
      </c>
      <c r="D59" s="330"/>
      <c r="E59" s="330"/>
      <c r="F59" s="40">
        <f t="shared" si="2"/>
        <v>442.6</v>
      </c>
      <c r="G59" s="24">
        <v>11</v>
      </c>
      <c r="H59" s="8"/>
      <c r="I59" s="8"/>
      <c r="J59" s="40">
        <f t="shared" si="7"/>
        <v>11</v>
      </c>
      <c r="K59" s="72">
        <f t="shared" si="4"/>
        <v>8.5024154589371983E-3</v>
      </c>
      <c r="L59" s="37">
        <f t="shared" si="0"/>
        <v>19.293085990338167</v>
      </c>
      <c r="M59" s="37">
        <f t="shared" si="1"/>
        <v>7.0940677186473442</v>
      </c>
      <c r="N59" s="37">
        <v>9.0174795417348612</v>
      </c>
      <c r="O59" s="37">
        <f t="shared" si="5"/>
        <v>2.5600772946859904</v>
      </c>
      <c r="P59" s="37"/>
      <c r="Q59" s="45">
        <f t="shared" si="6"/>
        <v>8.5776571498884679E-2</v>
      </c>
    </row>
    <row r="60" spans="1:17" s="6" customFormat="1" ht="15.75">
      <c r="A60" s="279">
        <v>55</v>
      </c>
      <c r="B60" s="142" t="s">
        <v>1407</v>
      </c>
      <c r="C60" s="284">
        <v>7013.2</v>
      </c>
      <c r="D60" s="284"/>
      <c r="E60" s="284"/>
      <c r="F60" s="8">
        <f t="shared" ref="F60:F66" si="8">C60+D60+E60</f>
        <v>7013.2</v>
      </c>
      <c r="G60" s="24">
        <v>222</v>
      </c>
      <c r="H60" s="8"/>
      <c r="I60" s="8"/>
      <c r="J60" s="8">
        <f t="shared" si="7"/>
        <v>222</v>
      </c>
      <c r="K60" s="72">
        <f t="shared" si="4"/>
        <v>0.17159420289855071</v>
      </c>
      <c r="L60" s="37">
        <f t="shared" si="0"/>
        <v>389.36955362318838</v>
      </c>
      <c r="M60" s="37">
        <f t="shared" si="1"/>
        <v>143.17118486724638</v>
      </c>
      <c r="N60" s="37">
        <v>181.98913256955808</v>
      </c>
      <c r="O60" s="37">
        <f t="shared" ref="O60:O67" si="9">K60*301.1</f>
        <v>51.667014492753623</v>
      </c>
      <c r="P60" s="37"/>
      <c r="Q60" s="45">
        <f t="shared" si="6"/>
        <v>0.10925068236364947</v>
      </c>
    </row>
    <row r="61" spans="1:17" s="6" customFormat="1" ht="15.75">
      <c r="A61" s="279">
        <v>56</v>
      </c>
      <c r="B61" s="234" t="s">
        <v>1390</v>
      </c>
      <c r="C61" s="284">
        <v>8402.66</v>
      </c>
      <c r="D61" s="284"/>
      <c r="E61" s="284"/>
      <c r="F61" s="8">
        <f t="shared" si="8"/>
        <v>8402.66</v>
      </c>
      <c r="G61" s="24">
        <v>342</v>
      </c>
      <c r="H61" s="8"/>
      <c r="I61" s="8"/>
      <c r="J61" s="8">
        <f t="shared" si="7"/>
        <v>342</v>
      </c>
      <c r="K61" s="72">
        <f t="shared" si="4"/>
        <v>0.26434782608695651</v>
      </c>
      <c r="L61" s="37">
        <f t="shared" si="0"/>
        <v>599.83958260869565</v>
      </c>
      <c r="M61" s="37">
        <f t="shared" si="1"/>
        <v>220.56101452521742</v>
      </c>
      <c r="N61" s="37">
        <v>280.36163666121115</v>
      </c>
      <c r="O61" s="37">
        <f t="shared" si="9"/>
        <v>79.595130434782604</v>
      </c>
      <c r="P61" s="37"/>
      <c r="Q61" s="45">
        <f t="shared" si="6"/>
        <v>0.14047425032429098</v>
      </c>
    </row>
    <row r="62" spans="1:17" s="6" customFormat="1" ht="15.75">
      <c r="A62" s="279">
        <v>57</v>
      </c>
      <c r="B62" s="233" t="s">
        <v>1386</v>
      </c>
      <c r="C62" s="285">
        <v>2601.63</v>
      </c>
      <c r="D62" s="285"/>
      <c r="E62" s="285"/>
      <c r="F62" s="8">
        <f t="shared" si="8"/>
        <v>2601.63</v>
      </c>
      <c r="G62" s="24">
        <v>54</v>
      </c>
      <c r="H62" s="8"/>
      <c r="I62" s="8"/>
      <c r="J62" s="8">
        <f t="shared" si="7"/>
        <v>54</v>
      </c>
      <c r="K62" s="72">
        <f t="shared" si="4"/>
        <v>4.1739130434782605E-2</v>
      </c>
      <c r="L62" s="37">
        <f t="shared" si="0"/>
        <v>94.711513043478263</v>
      </c>
      <c r="M62" s="37">
        <f t="shared" si="1"/>
        <v>34.825423346086957</v>
      </c>
      <c r="N62" s="37">
        <v>44.26762684124386</v>
      </c>
      <c r="O62" s="37">
        <f t="shared" si="9"/>
        <v>12.567652173913043</v>
      </c>
      <c r="P62" s="37"/>
      <c r="Q62" s="45">
        <f t="shared" si="6"/>
        <v>7.163671060247695E-2</v>
      </c>
    </row>
    <row r="63" spans="1:17" s="6" customFormat="1" ht="15.75">
      <c r="A63" s="279">
        <v>58</v>
      </c>
      <c r="B63" s="233" t="s">
        <v>1385</v>
      </c>
      <c r="C63" s="285">
        <v>2594.2600000000002</v>
      </c>
      <c r="D63" s="285"/>
      <c r="E63" s="285"/>
      <c r="F63" s="8">
        <f t="shared" si="8"/>
        <v>2594.2600000000002</v>
      </c>
      <c r="G63" s="24">
        <v>54</v>
      </c>
      <c r="H63" s="8"/>
      <c r="I63" s="8"/>
      <c r="J63" s="8">
        <f t="shared" si="7"/>
        <v>54</v>
      </c>
      <c r="K63" s="72">
        <f t="shared" si="4"/>
        <v>4.1739130434782605E-2</v>
      </c>
      <c r="L63" s="37">
        <f t="shared" si="0"/>
        <v>94.711513043478263</v>
      </c>
      <c r="M63" s="37">
        <f t="shared" si="1"/>
        <v>34.825423346086957</v>
      </c>
      <c r="N63" s="37">
        <v>44.26762684124386</v>
      </c>
      <c r="O63" s="37">
        <f t="shared" si="9"/>
        <v>12.567652173913043</v>
      </c>
      <c r="P63" s="37"/>
      <c r="Q63" s="45">
        <f t="shared" si="6"/>
        <v>7.1840222415919031E-2</v>
      </c>
    </row>
    <row r="64" spans="1:17" s="6" customFormat="1" ht="15.75">
      <c r="A64" s="279">
        <v>59</v>
      </c>
      <c r="B64" s="233" t="s">
        <v>1388</v>
      </c>
      <c r="C64" s="285">
        <v>2653.52</v>
      </c>
      <c r="D64" s="285"/>
      <c r="E64" s="285"/>
      <c r="F64" s="8">
        <f t="shared" si="8"/>
        <v>2653.52</v>
      </c>
      <c r="G64" s="24">
        <v>72</v>
      </c>
      <c r="H64" s="8"/>
      <c r="I64" s="8"/>
      <c r="J64" s="8">
        <f t="shared" si="7"/>
        <v>72</v>
      </c>
      <c r="K64" s="72">
        <f t="shared" si="4"/>
        <v>5.5652173913043473E-2</v>
      </c>
      <c r="L64" s="37">
        <f t="shared" si="0"/>
        <v>126.28201739130434</v>
      </c>
      <c r="M64" s="37">
        <f t="shared" si="1"/>
        <v>46.433897794782609</v>
      </c>
      <c r="N64" s="37">
        <v>59.023502454991821</v>
      </c>
      <c r="O64" s="37">
        <f t="shared" si="9"/>
        <v>16.756869565217389</v>
      </c>
      <c r="P64" s="37"/>
      <c r="Q64" s="45">
        <f t="shared" si="6"/>
        <v>9.3647791313536802E-2</v>
      </c>
    </row>
    <row r="65" spans="1:18" s="6" customFormat="1" ht="15.75">
      <c r="A65" s="279">
        <v>60</v>
      </c>
      <c r="B65" s="763" t="s">
        <v>1389</v>
      </c>
      <c r="C65" s="285">
        <v>2150.9</v>
      </c>
      <c r="D65" s="285"/>
      <c r="E65" s="285"/>
      <c r="F65" s="8">
        <f t="shared" si="8"/>
        <v>2150.9</v>
      </c>
      <c r="G65" s="24">
        <v>40</v>
      </c>
      <c r="H65" s="8"/>
      <c r="I65" s="8"/>
      <c r="J65" s="8">
        <f t="shared" si="7"/>
        <v>40</v>
      </c>
      <c r="K65" s="72">
        <f t="shared" si="4"/>
        <v>3.0917874396135265E-2</v>
      </c>
      <c r="L65" s="37">
        <f t="shared" si="0"/>
        <v>70.156676328502414</v>
      </c>
      <c r="M65" s="37">
        <f t="shared" si="1"/>
        <v>25.796609885990339</v>
      </c>
      <c r="N65" s="37">
        <v>32.790834697217676</v>
      </c>
      <c r="O65" s="37">
        <f t="shared" si="9"/>
        <v>9.3093719806763282</v>
      </c>
      <c r="P65" s="37"/>
      <c r="Q65" s="45">
        <f t="shared" si="6"/>
        <v>6.4184059180987851E-2</v>
      </c>
    </row>
    <row r="66" spans="1:18" s="6" customFormat="1" ht="15.75">
      <c r="A66" s="279">
        <v>61</v>
      </c>
      <c r="B66" s="763" t="s">
        <v>1397</v>
      </c>
      <c r="C66" s="284">
        <v>3353.7</v>
      </c>
      <c r="D66" s="284"/>
      <c r="E66" s="284"/>
      <c r="F66" s="8">
        <f t="shared" si="8"/>
        <v>3353.7</v>
      </c>
      <c r="G66" s="8">
        <v>114</v>
      </c>
      <c r="H66" s="8"/>
      <c r="I66" s="8"/>
      <c r="J66" s="8">
        <f t="shared" si="7"/>
        <v>114</v>
      </c>
      <c r="K66" s="72">
        <f t="shared" si="4"/>
        <v>8.8115942028985511E-2</v>
      </c>
      <c r="L66" s="37">
        <f t="shared" si="0"/>
        <v>199.94652753623191</v>
      </c>
      <c r="M66" s="37">
        <f t="shared" si="1"/>
        <v>73.520338175072482</v>
      </c>
      <c r="N66" s="37">
        <v>93.453878887070374</v>
      </c>
      <c r="O66" s="37">
        <f t="shared" si="9"/>
        <v>26.531710144927541</v>
      </c>
      <c r="P66" s="37"/>
      <c r="Q66" s="45">
        <f t="shared" si="6"/>
        <v>0.11731891783501873</v>
      </c>
    </row>
    <row r="67" spans="1:18" s="6" customFormat="1" ht="15.75">
      <c r="A67" s="385"/>
      <c r="B67" s="63" t="s">
        <v>749</v>
      </c>
      <c r="C67" s="65">
        <f>SUM(C6:C66)</f>
        <v>249781.08</v>
      </c>
      <c r="D67" s="65">
        <f t="shared" ref="D67:I67" si="10">SUM(D6:D66)</f>
        <v>1319.2</v>
      </c>
      <c r="E67" s="65">
        <f t="shared" si="10"/>
        <v>1116.55</v>
      </c>
      <c r="F67" s="65">
        <f t="shared" si="10"/>
        <v>252216.83000000002</v>
      </c>
      <c r="G67" s="65">
        <f t="shared" si="10"/>
        <v>5155</v>
      </c>
      <c r="H67" s="65">
        <f t="shared" si="10"/>
        <v>7</v>
      </c>
      <c r="I67" s="65">
        <f t="shared" si="10"/>
        <v>13</v>
      </c>
      <c r="J67" s="65">
        <f>SUM(J6:J66)</f>
        <v>5175</v>
      </c>
      <c r="K67" s="72">
        <f>4/5175*J67</f>
        <v>4</v>
      </c>
      <c r="L67" s="37">
        <f>K67*2269.13</f>
        <v>9076.52</v>
      </c>
      <c r="M67" s="64">
        <f t="shared" si="1"/>
        <v>3337.4364040000005</v>
      </c>
      <c r="N67" s="37">
        <f>L67*0.5</f>
        <v>4538.26</v>
      </c>
      <c r="O67" s="37">
        <f t="shared" si="9"/>
        <v>1204.4000000000001</v>
      </c>
      <c r="P67" s="37"/>
      <c r="Q67" s="45">
        <f t="shared" si="6"/>
        <v>7.1988123885309313E-2</v>
      </c>
    </row>
    <row r="68" spans="1:18" s="6" customFormat="1" ht="21" thickBot="1">
      <c r="A68" s="774" t="s">
        <v>984</v>
      </c>
      <c r="B68" s="783"/>
      <c r="C68" s="783"/>
      <c r="D68" s="783"/>
      <c r="E68" s="783"/>
      <c r="F68" s="783"/>
      <c r="G68" s="783"/>
      <c r="H68" s="783"/>
      <c r="I68" s="783"/>
      <c r="J68" s="783"/>
      <c r="K68" s="783"/>
      <c r="L68" s="37">
        <f>K68*2077.52</f>
        <v>0</v>
      </c>
      <c r="M68" s="784"/>
      <c r="N68" s="37">
        <f>L68*0.5</f>
        <v>0</v>
      </c>
      <c r="O68" s="37"/>
      <c r="P68" s="37"/>
      <c r="Q68" s="45" t="e">
        <f>(O68+N68+M68+L68)/F68</f>
        <v>#DIV/0!</v>
      </c>
    </row>
    <row r="69" spans="1:18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si="2"/>
        <v>6328.85</v>
      </c>
      <c r="G69" s="24">
        <v>108</v>
      </c>
      <c r="H69" s="8"/>
      <c r="I69" s="8"/>
      <c r="J69" s="40">
        <f t="shared" si="3"/>
        <v>108</v>
      </c>
      <c r="K69" s="72">
        <f t="shared" ref="K69:K89" si="11">2/2063*J69</f>
        <v>0.10470189045079981</v>
      </c>
      <c r="L69" s="37">
        <f t="shared" ref="L69:L89" si="12">K69*2269.13</f>
        <v>237.58220067862337</v>
      </c>
      <c r="M69" s="37">
        <f t="shared" si="1"/>
        <v>87.358975189529815</v>
      </c>
      <c r="N69" s="37">
        <v>98.354618181818168</v>
      </c>
      <c r="O69" s="37">
        <f t="shared" ref="O69:O87" si="13">K69*301.1</f>
        <v>31.525739214735825</v>
      </c>
      <c r="P69" s="37"/>
      <c r="Q69" s="45">
        <f t="shared" si="6"/>
        <v>7.1864799017942779E-2</v>
      </c>
      <c r="R69" s="6" t="s">
        <v>563</v>
      </c>
    </row>
    <row r="70" spans="1:18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2"/>
        <v>7565.74</v>
      </c>
      <c r="G70" s="24">
        <v>165</v>
      </c>
      <c r="H70" s="8">
        <v>1</v>
      </c>
      <c r="I70" s="8"/>
      <c r="J70" s="40">
        <f t="shared" si="3"/>
        <v>166</v>
      </c>
      <c r="K70" s="72">
        <f t="shared" si="11"/>
        <v>0.1609306834706738</v>
      </c>
      <c r="L70" s="37">
        <f t="shared" si="12"/>
        <v>365.17264178381004</v>
      </c>
      <c r="M70" s="37">
        <f t="shared" si="1"/>
        <v>134.27398038390697</v>
      </c>
      <c r="N70" s="37">
        <v>151.17469090909091</v>
      </c>
      <c r="O70" s="37">
        <f t="shared" si="13"/>
        <v>48.456228793019882</v>
      </c>
      <c r="P70" s="37"/>
      <c r="Q70" s="45">
        <f t="shared" si="6"/>
        <v>9.2400418448139607E-2</v>
      </c>
      <c r="R70" s="6" t="s">
        <v>555</v>
      </c>
    </row>
    <row r="71" spans="1:18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2"/>
        <v>7217.2</v>
      </c>
      <c r="G71" s="24">
        <v>120</v>
      </c>
      <c r="H71" s="8"/>
      <c r="I71" s="8"/>
      <c r="J71" s="40">
        <f t="shared" si="3"/>
        <v>120</v>
      </c>
      <c r="K71" s="72">
        <f t="shared" si="11"/>
        <v>0.11633543383422201</v>
      </c>
      <c r="L71" s="37">
        <f t="shared" si="12"/>
        <v>263.98022297624823</v>
      </c>
      <c r="M71" s="37">
        <f t="shared" si="1"/>
        <v>97.065527988366483</v>
      </c>
      <c r="N71" s="37">
        <v>109.28290909090909</v>
      </c>
      <c r="O71" s="37">
        <f t="shared" si="13"/>
        <v>35.028599127484249</v>
      </c>
      <c r="P71" s="37"/>
      <c r="Q71" s="45">
        <f t="shared" ref="Q71:Q134" si="14">(O71+N71+M71+L71)/F71</f>
        <v>7.0021235268941981E-2</v>
      </c>
      <c r="R71" s="6" t="s">
        <v>564</v>
      </c>
    </row>
    <row r="72" spans="1:18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2"/>
        <v>6435.2</v>
      </c>
      <c r="G72" s="24">
        <v>106</v>
      </c>
      <c r="H72" s="8"/>
      <c r="I72" s="8">
        <v>1</v>
      </c>
      <c r="J72" s="40">
        <f t="shared" si="3"/>
        <v>107</v>
      </c>
      <c r="K72" s="72">
        <f t="shared" si="11"/>
        <v>0.1037324285021813</v>
      </c>
      <c r="L72" s="37">
        <f t="shared" si="12"/>
        <v>235.38236548715466</v>
      </c>
      <c r="M72" s="37">
        <f t="shared" si="1"/>
        <v>86.550095789626781</v>
      </c>
      <c r="N72" s="37">
        <v>97.443927272727265</v>
      </c>
      <c r="O72" s="37">
        <f t="shared" si="13"/>
        <v>31.233834222006791</v>
      </c>
      <c r="P72" s="37"/>
      <c r="Q72" s="45">
        <f t="shared" si="14"/>
        <v>7.0022722335205664E-2</v>
      </c>
      <c r="R72" s="6" t="s">
        <v>565</v>
      </c>
    </row>
    <row r="73" spans="1:18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2"/>
        <v>8881.51</v>
      </c>
      <c r="G73" s="24">
        <v>144</v>
      </c>
      <c r="H73" s="8"/>
      <c r="I73" s="8"/>
      <c r="J73" s="40">
        <f t="shared" si="3"/>
        <v>144</v>
      </c>
      <c r="K73" s="72">
        <f t="shared" si="11"/>
        <v>0.13960252060106643</v>
      </c>
      <c r="L73" s="37">
        <f t="shared" si="12"/>
        <v>316.7762675714979</v>
      </c>
      <c r="M73" s="37">
        <f t="shared" si="1"/>
        <v>116.47863358603979</v>
      </c>
      <c r="N73" s="37">
        <v>131.13949090909091</v>
      </c>
      <c r="O73" s="37">
        <f t="shared" si="13"/>
        <v>42.034318952981103</v>
      </c>
      <c r="P73" s="37"/>
      <c r="Q73" s="45">
        <f t="shared" si="14"/>
        <v>6.8279910850701023E-2</v>
      </c>
    </row>
    <row r="74" spans="1:18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2"/>
        <v>7938.92</v>
      </c>
      <c r="G74" s="24">
        <v>213</v>
      </c>
      <c r="H74" s="8"/>
      <c r="I74" s="8"/>
      <c r="J74" s="40">
        <f t="shared" si="3"/>
        <v>213</v>
      </c>
      <c r="K74" s="72">
        <f t="shared" si="11"/>
        <v>0.20649539505574407</v>
      </c>
      <c r="L74" s="37">
        <f t="shared" si="12"/>
        <v>468.56489578284055</v>
      </c>
      <c r="M74" s="37">
        <f t="shared" si="1"/>
        <v>172.29131217935048</v>
      </c>
      <c r="N74" s="37">
        <v>193.97716363636363</v>
      </c>
      <c r="O74" s="37">
        <f t="shared" si="13"/>
        <v>62.175763451284546</v>
      </c>
      <c r="P74" s="37"/>
      <c r="Q74" s="45">
        <f t="shared" si="14"/>
        <v>0.11298881145670181</v>
      </c>
    </row>
    <row r="75" spans="1:18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2"/>
        <v>7102.99</v>
      </c>
      <c r="G75" s="24">
        <v>108</v>
      </c>
      <c r="H75" s="8"/>
      <c r="I75" s="8"/>
      <c r="J75" s="40">
        <f t="shared" si="3"/>
        <v>108</v>
      </c>
      <c r="K75" s="72">
        <f t="shared" si="11"/>
        <v>0.10470189045079981</v>
      </c>
      <c r="L75" s="37">
        <f t="shared" si="12"/>
        <v>237.58220067862337</v>
      </c>
      <c r="M75" s="37">
        <f t="shared" si="1"/>
        <v>87.358975189529815</v>
      </c>
      <c r="N75" s="37">
        <v>98.354618181818168</v>
      </c>
      <c r="O75" s="37">
        <f t="shared" si="13"/>
        <v>31.525739214735825</v>
      </c>
      <c r="P75" s="37"/>
      <c r="Q75" s="45">
        <f t="shared" si="14"/>
        <v>6.4032405123012587E-2</v>
      </c>
    </row>
    <row r="76" spans="1:18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2"/>
        <v>2982.2</v>
      </c>
      <c r="G76" s="24">
        <v>55</v>
      </c>
      <c r="H76" s="8"/>
      <c r="I76" s="8"/>
      <c r="J76" s="40">
        <f t="shared" si="3"/>
        <v>55</v>
      </c>
      <c r="K76" s="72">
        <f t="shared" si="11"/>
        <v>5.3320407174018425E-2</v>
      </c>
      <c r="L76" s="37">
        <f t="shared" si="12"/>
        <v>120.99093553078043</v>
      </c>
      <c r="M76" s="37">
        <f t="shared" si="1"/>
        <v>44.48836699466797</v>
      </c>
      <c r="N76" s="37">
        <v>50.087999999999994</v>
      </c>
      <c r="O76" s="37">
        <f t="shared" si="13"/>
        <v>16.054774600096948</v>
      </c>
      <c r="P76" s="37"/>
      <c r="Q76" s="45">
        <f t="shared" si="14"/>
        <v>7.7668190304320747E-2</v>
      </c>
    </row>
    <row r="77" spans="1:18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2"/>
        <v>2528.85</v>
      </c>
      <c r="G77" s="24">
        <v>43</v>
      </c>
      <c r="H77" s="8">
        <v>1</v>
      </c>
      <c r="I77" s="8"/>
      <c r="J77" s="40">
        <f t="shared" si="3"/>
        <v>44</v>
      </c>
      <c r="K77" s="72">
        <f t="shared" si="11"/>
        <v>4.265632573921474E-2</v>
      </c>
      <c r="L77" s="37">
        <f t="shared" si="12"/>
        <v>96.792748424624349</v>
      </c>
      <c r="M77" s="37">
        <f t="shared" si="1"/>
        <v>35.590693595734379</v>
      </c>
      <c r="N77" s="37">
        <v>40.070399999999999</v>
      </c>
      <c r="O77" s="37">
        <f t="shared" si="13"/>
        <v>12.843819680077559</v>
      </c>
      <c r="P77" s="37"/>
      <c r="Q77" s="45">
        <f t="shared" si="14"/>
        <v>7.3273488621482599E-2</v>
      </c>
    </row>
    <row r="78" spans="1:18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2"/>
        <v>4250.83</v>
      </c>
      <c r="G78" s="24">
        <v>72</v>
      </c>
      <c r="H78" s="8"/>
      <c r="I78" s="8"/>
      <c r="J78" s="40">
        <f t="shared" si="3"/>
        <v>72</v>
      </c>
      <c r="K78" s="72">
        <f t="shared" si="11"/>
        <v>6.9801260300533213E-2</v>
      </c>
      <c r="L78" s="37">
        <f t="shared" si="12"/>
        <v>158.38813378574895</v>
      </c>
      <c r="M78" s="37">
        <f t="shared" si="1"/>
        <v>58.239316793019896</v>
      </c>
      <c r="N78" s="37">
        <v>65.569745454545455</v>
      </c>
      <c r="O78" s="37">
        <f t="shared" si="13"/>
        <v>21.017159476490551</v>
      </c>
      <c r="P78" s="37"/>
      <c r="Q78" s="45">
        <f t="shared" si="14"/>
        <v>7.1330623786367564E-2</v>
      </c>
    </row>
    <row r="79" spans="1:18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2"/>
        <v>2862.08</v>
      </c>
      <c r="G79" s="24">
        <v>69</v>
      </c>
      <c r="H79" s="8"/>
      <c r="I79" s="8"/>
      <c r="J79" s="40">
        <f t="shared" si="3"/>
        <v>69</v>
      </c>
      <c r="K79" s="72">
        <f t="shared" si="11"/>
        <v>6.6892874454677662E-2</v>
      </c>
      <c r="L79" s="37">
        <f t="shared" si="12"/>
        <v>151.78862821134274</v>
      </c>
      <c r="M79" s="37">
        <f t="shared" ref="M79:M144" si="15">L79*0.3677</f>
        <v>55.812678593310729</v>
      </c>
      <c r="N79" s="37">
        <v>62.837672727272725</v>
      </c>
      <c r="O79" s="37">
        <f t="shared" si="13"/>
        <v>20.141444498303446</v>
      </c>
      <c r="P79" s="37"/>
      <c r="Q79" s="45">
        <f t="shared" si="14"/>
        <v>0.10152770853024012</v>
      </c>
    </row>
    <row r="80" spans="1:18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145" si="16">C80+D80+E80</f>
        <v>6415.24</v>
      </c>
      <c r="G80" s="24">
        <v>106</v>
      </c>
      <c r="H80" s="8"/>
      <c r="I80" s="8"/>
      <c r="J80" s="40">
        <f t="shared" ref="J80:J92" si="17">G80+H80+I80</f>
        <v>106</v>
      </c>
      <c r="K80" s="72">
        <f t="shared" si="11"/>
        <v>0.10276296655356278</v>
      </c>
      <c r="L80" s="37">
        <f t="shared" si="12"/>
        <v>233.18253029568592</v>
      </c>
      <c r="M80" s="37">
        <f t="shared" si="15"/>
        <v>85.741216389723718</v>
      </c>
      <c r="N80" s="37">
        <v>96.533236363636362</v>
      </c>
      <c r="O80" s="37">
        <f t="shared" si="13"/>
        <v>30.941929229277754</v>
      </c>
      <c r="P80" s="37"/>
      <c r="Q80" s="45">
        <f t="shared" si="14"/>
        <v>6.9584132827193335E-2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6"/>
        <v>2523.4899999999998</v>
      </c>
      <c r="G81" s="24">
        <v>40</v>
      </c>
      <c r="H81" s="8"/>
      <c r="I81" s="8"/>
      <c r="J81" s="40">
        <f t="shared" si="17"/>
        <v>40</v>
      </c>
      <c r="K81" s="72">
        <f t="shared" si="11"/>
        <v>3.8778477944740673E-2</v>
      </c>
      <c r="L81" s="37">
        <f t="shared" si="12"/>
        <v>87.993407658749405</v>
      </c>
      <c r="M81" s="37">
        <f t="shared" si="15"/>
        <v>32.355175996122156</v>
      </c>
      <c r="N81" s="37">
        <v>36.42763636363636</v>
      </c>
      <c r="O81" s="37">
        <f>K81*201.1</f>
        <v>7.7983519146873492</v>
      </c>
      <c r="P81" s="37"/>
      <c r="Q81" s="45">
        <f t="shared" si="14"/>
        <v>6.5217049377328737E-2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6"/>
        <v>2727.04</v>
      </c>
      <c r="G82" s="24">
        <v>75</v>
      </c>
      <c r="H82" s="8"/>
      <c r="I82" s="8"/>
      <c r="J82" s="40">
        <f t="shared" si="17"/>
        <v>75</v>
      </c>
      <c r="K82" s="72">
        <f t="shared" si="11"/>
        <v>7.2709646146388751E-2</v>
      </c>
      <c r="L82" s="37">
        <f t="shared" si="12"/>
        <v>164.98763936015513</v>
      </c>
      <c r="M82" s="37">
        <f t="shared" si="15"/>
        <v>60.665954992729048</v>
      </c>
      <c r="N82" s="37">
        <v>68.301818181818177</v>
      </c>
      <c r="O82" s="37">
        <f t="shared" si="13"/>
        <v>21.892874454677656</v>
      </c>
      <c r="P82" s="37"/>
      <c r="Q82" s="45">
        <f t="shared" si="14"/>
        <v>0.11582092194811223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6"/>
        <v>11075.779999999999</v>
      </c>
      <c r="G83" s="24">
        <v>179</v>
      </c>
      <c r="H83" s="8"/>
      <c r="I83" s="8"/>
      <c r="J83" s="40">
        <f t="shared" si="17"/>
        <v>179</v>
      </c>
      <c r="K83" s="72">
        <f t="shared" si="11"/>
        <v>0.1735336888027145</v>
      </c>
      <c r="L83" s="37">
        <f t="shared" si="12"/>
        <v>393.77049927290358</v>
      </c>
      <c r="M83" s="37">
        <f t="shared" si="15"/>
        <v>144.78941258264666</v>
      </c>
      <c r="N83" s="37">
        <v>163.01367272727273</v>
      </c>
      <c r="O83" s="37">
        <f t="shared" si="13"/>
        <v>52.250993698497339</v>
      </c>
      <c r="P83" s="37"/>
      <c r="Q83" s="45">
        <f t="shared" si="14"/>
        <v>6.8060631240537503E-2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6"/>
        <v>6438.12</v>
      </c>
      <c r="G84" s="24">
        <v>107</v>
      </c>
      <c r="H84" s="8"/>
      <c r="I84" s="8"/>
      <c r="J84" s="40">
        <f t="shared" si="17"/>
        <v>107</v>
      </c>
      <c r="K84" s="72">
        <f t="shared" si="11"/>
        <v>0.1037324285021813</v>
      </c>
      <c r="L84" s="37">
        <f t="shared" si="12"/>
        <v>235.38236548715466</v>
      </c>
      <c r="M84" s="37">
        <f t="shared" si="15"/>
        <v>86.550095789626781</v>
      </c>
      <c r="N84" s="37">
        <v>97.443927272727265</v>
      </c>
      <c r="O84" s="37">
        <f t="shared" si="13"/>
        <v>31.233834222006791</v>
      </c>
      <c r="P84" s="37"/>
      <c r="Q84" s="45">
        <f t="shared" si="14"/>
        <v>6.9990963630922623E-2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6"/>
        <v>6322.5</v>
      </c>
      <c r="G85" s="24">
        <v>109</v>
      </c>
      <c r="H85" s="8"/>
      <c r="I85" s="8"/>
      <c r="J85" s="40">
        <f t="shared" si="17"/>
        <v>109</v>
      </c>
      <c r="K85" s="72">
        <f t="shared" si="11"/>
        <v>0.10567135239941833</v>
      </c>
      <c r="L85" s="37">
        <f t="shared" si="12"/>
        <v>239.78203587009213</v>
      </c>
      <c r="M85" s="37">
        <f t="shared" si="15"/>
        <v>88.167854589432878</v>
      </c>
      <c r="N85" s="37">
        <v>99.265309090909085</v>
      </c>
      <c r="O85" s="37">
        <f t="shared" si="13"/>
        <v>31.817644207464863</v>
      </c>
      <c r="P85" s="37"/>
      <c r="Q85" s="45">
        <f t="shared" si="14"/>
        <v>7.2603059510936957E-2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6"/>
        <v>3207.6099999999997</v>
      </c>
      <c r="G86" s="24">
        <v>53</v>
      </c>
      <c r="H86" s="8"/>
      <c r="I86" s="8"/>
      <c r="J86" s="40">
        <f t="shared" si="17"/>
        <v>53</v>
      </c>
      <c r="K86" s="72">
        <f t="shared" si="11"/>
        <v>5.1381483276781388E-2</v>
      </c>
      <c r="L86" s="37">
        <f t="shared" si="12"/>
        <v>116.59126514784296</v>
      </c>
      <c r="M86" s="37">
        <f t="shared" si="15"/>
        <v>42.870608194861859</v>
      </c>
      <c r="N86" s="37">
        <v>48.266618181818181</v>
      </c>
      <c r="O86" s="37">
        <f t="shared" si="13"/>
        <v>15.470964614638877</v>
      </c>
      <c r="P86" s="37"/>
      <c r="Q86" s="45">
        <f t="shared" si="14"/>
        <v>6.9584349761711031E-2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6"/>
        <v>2997.37</v>
      </c>
      <c r="G87" s="24">
        <v>50</v>
      </c>
      <c r="H87" s="8"/>
      <c r="I87" s="8"/>
      <c r="J87" s="40">
        <f t="shared" si="17"/>
        <v>50</v>
      </c>
      <c r="K87" s="72">
        <f t="shared" si="11"/>
        <v>4.8473097430925836E-2</v>
      </c>
      <c r="L87" s="37">
        <f t="shared" si="12"/>
        <v>109.99175957343675</v>
      </c>
      <c r="M87" s="37">
        <f t="shared" si="15"/>
        <v>40.443969995152699</v>
      </c>
      <c r="N87" s="37">
        <v>45.534545454545459</v>
      </c>
      <c r="O87" s="37">
        <f t="shared" si="13"/>
        <v>14.59524963645177</v>
      </c>
      <c r="P87" s="37"/>
      <c r="Q87" s="45">
        <f t="shared" si="14"/>
        <v>7.0250094135721211E-2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16"/>
        <v>6397.6</v>
      </c>
      <c r="G88" s="24">
        <v>108</v>
      </c>
      <c r="H88" s="8"/>
      <c r="I88" s="8"/>
      <c r="J88" s="8">
        <f t="shared" si="17"/>
        <v>108</v>
      </c>
      <c r="K88" s="72">
        <f t="shared" si="11"/>
        <v>0.10470189045079981</v>
      </c>
      <c r="L88" s="37">
        <f t="shared" si="12"/>
        <v>237.58220067862337</v>
      </c>
      <c r="M88" s="37">
        <f t="shared" si="15"/>
        <v>87.358975189529815</v>
      </c>
      <c r="N88" s="37">
        <v>98.354618181818168</v>
      </c>
      <c r="O88" s="37">
        <f>K88*301.1</f>
        <v>31.525739214735825</v>
      </c>
      <c r="P88" s="37"/>
      <c r="Q88" s="45">
        <f t="shared" si="14"/>
        <v>7.1092524269211449E-2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16"/>
        <v>566.29999999999995</v>
      </c>
      <c r="G89" s="24">
        <v>30</v>
      </c>
      <c r="H89" s="8"/>
      <c r="I89" s="8"/>
      <c r="J89" s="8">
        <f t="shared" si="17"/>
        <v>30</v>
      </c>
      <c r="K89" s="72">
        <f t="shared" si="11"/>
        <v>2.9083858458555503E-2</v>
      </c>
      <c r="L89" s="37">
        <f t="shared" si="12"/>
        <v>65.995055744062057</v>
      </c>
      <c r="M89" s="37">
        <f t="shared" si="15"/>
        <v>24.266381997091621</v>
      </c>
      <c r="N89" s="37">
        <v>0</v>
      </c>
      <c r="O89" s="37">
        <v>6.76</v>
      </c>
      <c r="P89" s="37"/>
      <c r="Q89" s="45">
        <f t="shared" si="14"/>
        <v>0.17132515935220499</v>
      </c>
      <c r="S89" s="6">
        <v>2</v>
      </c>
    </row>
    <row r="90" spans="1:19" s="69" customFormat="1" ht="15" customHeight="1">
      <c r="A90" s="63"/>
      <c r="B90" s="63" t="s">
        <v>749</v>
      </c>
      <c r="C90" s="65">
        <f>SUM(C69:C89)</f>
        <v>112321.67</v>
      </c>
      <c r="D90" s="65">
        <f t="shared" ref="D90:I90" si="18">SUM(D69:D88)</f>
        <v>0</v>
      </c>
      <c r="E90" s="65">
        <f t="shared" si="18"/>
        <v>443.75</v>
      </c>
      <c r="F90" s="65">
        <f>SUM(F69:F89)</f>
        <v>112765.42</v>
      </c>
      <c r="G90" s="65">
        <f>SUM(G69:G89)</f>
        <v>2060</v>
      </c>
      <c r="H90" s="65">
        <f t="shared" si="18"/>
        <v>2</v>
      </c>
      <c r="I90" s="65">
        <f t="shared" si="18"/>
        <v>1</v>
      </c>
      <c r="J90" s="65">
        <f>SUM(J69:J89)</f>
        <v>2063</v>
      </c>
      <c r="K90" s="72">
        <f>2/2063*J90</f>
        <v>2</v>
      </c>
      <c r="L90" s="37">
        <f>K90*2269.13</f>
        <v>4538.26</v>
      </c>
      <c r="M90" s="37">
        <f>SUM(M69:M89)</f>
        <v>1668.7182020000005</v>
      </c>
      <c r="N90" s="37">
        <f>SUM(N69:N89)</f>
        <v>1851.4346181818178</v>
      </c>
      <c r="O90" s="37">
        <f>SUM(O69:O88)</f>
        <v>589.56500242365496</v>
      </c>
      <c r="P90" s="37"/>
      <c r="Q90" s="45">
        <f t="shared" si="14"/>
        <v>7.6689980160633234E-2</v>
      </c>
      <c r="R90" s="5"/>
    </row>
    <row r="91" spans="1:19" s="6" customFormat="1" ht="15.75">
      <c r="A91" s="9" t="s">
        <v>50</v>
      </c>
      <c r="B91" s="8"/>
      <c r="C91" s="8"/>
      <c r="D91" s="8"/>
      <c r="E91" s="8"/>
      <c r="F91" s="40">
        <f t="shared" si="16"/>
        <v>0</v>
      </c>
      <c r="G91" s="24"/>
      <c r="H91" s="8"/>
      <c r="I91" s="8"/>
      <c r="J91" s="40">
        <f t="shared" si="17"/>
        <v>0</v>
      </c>
      <c r="K91" s="61"/>
      <c r="L91" s="37">
        <f>K91*2077.52</f>
        <v>0</v>
      </c>
      <c r="M91" s="37"/>
      <c r="N91" s="37">
        <f>L91*0.5</f>
        <v>0</v>
      </c>
      <c r="O91" s="37">
        <f t="shared" ref="O91:O154" si="19">K91*301.1</f>
        <v>0</v>
      </c>
      <c r="P91" s="37"/>
      <c r="Q91" s="45" t="e">
        <f t="shared" si="14"/>
        <v>#DIV/0!</v>
      </c>
    </row>
    <row r="92" spans="1:19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si="16"/>
        <v>689.3</v>
      </c>
      <c r="G92" s="827">
        <v>10</v>
      </c>
      <c r="H92" s="330">
        <v>1</v>
      </c>
      <c r="I92" s="330">
        <v>1</v>
      </c>
      <c r="J92" s="8">
        <f t="shared" si="17"/>
        <v>12</v>
      </c>
      <c r="K92" s="72">
        <f t="shared" ref="K92:K155" si="20">2/4989*J92</f>
        <v>4.810583283223091E-3</v>
      </c>
      <c r="L92" s="316">
        <f>K92*2269.13</f>
        <v>10.915838845460014</v>
      </c>
      <c r="M92" s="96">
        <f t="shared" si="15"/>
        <v>4.0137539434756473</v>
      </c>
      <c r="N92" s="37">
        <v>4.3563802029405672</v>
      </c>
      <c r="O92" s="37">
        <f t="shared" si="19"/>
        <v>1.4484666265784729</v>
      </c>
      <c r="P92" s="117">
        <f>O92*1.219</f>
        <v>1.7656808177991585</v>
      </c>
      <c r="Q92" s="45">
        <f t="shared" si="14"/>
        <v>3.0080428867626147E-2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16"/>
        <v>356.29999999999995</v>
      </c>
      <c r="G93" s="827">
        <v>7</v>
      </c>
      <c r="H93" s="330"/>
      <c r="I93" s="330">
        <v>1</v>
      </c>
      <c r="J93" s="8">
        <f t="shared" ref="J93:J156" si="21">G93+H93+I93</f>
        <v>8</v>
      </c>
      <c r="K93" s="72">
        <f t="shared" si="20"/>
        <v>3.2070555221487274E-3</v>
      </c>
      <c r="L93" s="316">
        <f t="shared" ref="L93:L155" si="22">K93*2269.13</f>
        <v>7.2772258969733423</v>
      </c>
      <c r="M93" s="96">
        <f t="shared" si="15"/>
        <v>2.6758359623170982</v>
      </c>
      <c r="N93" s="37">
        <v>2.9042534686270449</v>
      </c>
      <c r="O93" s="37">
        <f t="shared" si="19"/>
        <v>0.96564441771898191</v>
      </c>
      <c r="P93" s="117">
        <f t="shared" ref="P93:P156" si="23">O93*1.219</f>
        <v>1.1771205451994391</v>
      </c>
      <c r="Q93" s="45">
        <f t="shared" si="14"/>
        <v>3.8795845483122281E-2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16"/>
        <v>425.13</v>
      </c>
      <c r="G94" s="827">
        <v>9</v>
      </c>
      <c r="H94" s="330"/>
      <c r="I94" s="330"/>
      <c r="J94" s="8">
        <f t="shared" si="21"/>
        <v>9</v>
      </c>
      <c r="K94" s="72">
        <f t="shared" si="20"/>
        <v>3.6079374624173183E-3</v>
      </c>
      <c r="L94" s="316">
        <f t="shared" si="22"/>
        <v>8.18687913409501</v>
      </c>
      <c r="M94" s="96">
        <f t="shared" si="15"/>
        <v>3.0103154576067355</v>
      </c>
      <c r="N94" s="37">
        <v>3.2672851522054258</v>
      </c>
      <c r="O94" s="37">
        <f t="shared" si="19"/>
        <v>1.0863499699338546</v>
      </c>
      <c r="P94" s="117">
        <f t="shared" si="23"/>
        <v>1.3242606133493688</v>
      </c>
      <c r="Q94" s="45">
        <f t="shared" si="14"/>
        <v>3.6578998691790807E-2</v>
      </c>
    </row>
    <row r="95" spans="1:19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16"/>
        <v>690.66</v>
      </c>
      <c r="G95" s="827">
        <v>12</v>
      </c>
      <c r="H95" s="330"/>
      <c r="I95" s="330"/>
      <c r="J95" s="8">
        <f t="shared" si="21"/>
        <v>12</v>
      </c>
      <c r="K95" s="72">
        <f t="shared" si="20"/>
        <v>4.810583283223091E-3</v>
      </c>
      <c r="L95" s="316">
        <f t="shared" si="22"/>
        <v>10.915838845460014</v>
      </c>
      <c r="M95" s="96">
        <f t="shared" si="15"/>
        <v>4.0137539434756473</v>
      </c>
      <c r="N95" s="37">
        <v>4.3563802029405672</v>
      </c>
      <c r="O95" s="37">
        <f t="shared" si="19"/>
        <v>1.4484666265784729</v>
      </c>
      <c r="P95" s="117">
        <f t="shared" si="23"/>
        <v>1.7656808177991585</v>
      </c>
      <c r="Q95" s="45">
        <f t="shared" si="14"/>
        <v>3.0021196563366492E-2</v>
      </c>
    </row>
    <row r="96" spans="1:19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16"/>
        <v>618.05999999999995</v>
      </c>
      <c r="G96" s="827">
        <v>15</v>
      </c>
      <c r="H96" s="330"/>
      <c r="I96" s="330">
        <v>1</v>
      </c>
      <c r="J96" s="8">
        <f t="shared" si="21"/>
        <v>16</v>
      </c>
      <c r="K96" s="72">
        <f t="shared" si="20"/>
        <v>6.4141110442974547E-3</v>
      </c>
      <c r="L96" s="316">
        <f t="shared" si="22"/>
        <v>14.554451793946685</v>
      </c>
      <c r="M96" s="96">
        <f t="shared" si="15"/>
        <v>5.3516719246341964</v>
      </c>
      <c r="N96" s="37">
        <v>5.8085069372540898</v>
      </c>
      <c r="O96" s="37">
        <f t="shared" si="19"/>
        <v>1.9312888354379638</v>
      </c>
      <c r="P96" s="117">
        <f t="shared" si="23"/>
        <v>2.3542410903988782</v>
      </c>
      <c r="Q96" s="45">
        <f t="shared" si="14"/>
        <v>4.4730154825215897E-2</v>
      </c>
    </row>
    <row r="97" spans="1:17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16"/>
        <v>1327.4</v>
      </c>
      <c r="G97" s="827">
        <v>21</v>
      </c>
      <c r="H97" s="330"/>
      <c r="I97" s="330">
        <v>1</v>
      </c>
      <c r="J97" s="8">
        <f t="shared" si="21"/>
        <v>22</v>
      </c>
      <c r="K97" s="72">
        <f t="shared" si="20"/>
        <v>8.8194026859090002E-3</v>
      </c>
      <c r="L97" s="316">
        <f t="shared" si="22"/>
        <v>20.012371216676691</v>
      </c>
      <c r="M97" s="96">
        <f t="shared" si="15"/>
        <v>7.35854889637202</v>
      </c>
      <c r="N97" s="37">
        <v>7.9866970387243725</v>
      </c>
      <c r="O97" s="37">
        <f t="shared" si="19"/>
        <v>2.6555221487272003</v>
      </c>
      <c r="P97" s="117">
        <f t="shared" si="23"/>
        <v>3.2370814992984576</v>
      </c>
      <c r="Q97" s="45">
        <f t="shared" si="14"/>
        <v>2.8637290417734128E-2</v>
      </c>
    </row>
    <row r="98" spans="1:17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16"/>
        <v>1528.3</v>
      </c>
      <c r="G98" s="827">
        <v>23</v>
      </c>
      <c r="H98" s="330"/>
      <c r="I98" s="330">
        <v>2</v>
      </c>
      <c r="J98" s="8">
        <f t="shared" si="21"/>
        <v>25</v>
      </c>
      <c r="K98" s="72">
        <f t="shared" si="20"/>
        <v>1.0022048506714773E-2</v>
      </c>
      <c r="L98" s="316">
        <f t="shared" si="22"/>
        <v>22.741330928041695</v>
      </c>
      <c r="M98" s="96">
        <f t="shared" si="15"/>
        <v>8.3619873822409314</v>
      </c>
      <c r="N98" s="37">
        <v>9.0757920894595152</v>
      </c>
      <c r="O98" s="37">
        <f t="shared" si="19"/>
        <v>3.0176388053718184</v>
      </c>
      <c r="P98" s="117">
        <f t="shared" si="23"/>
        <v>3.678501703748247</v>
      </c>
      <c r="Q98" s="45">
        <f t="shared" si="14"/>
        <v>2.826457449788259E-2</v>
      </c>
    </row>
    <row r="99" spans="1:17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16"/>
        <v>736.94</v>
      </c>
      <c r="G99" s="827">
        <v>15</v>
      </c>
      <c r="H99" s="330"/>
      <c r="I99" s="330"/>
      <c r="J99" s="8">
        <f t="shared" si="21"/>
        <v>15</v>
      </c>
      <c r="K99" s="72">
        <f t="shared" si="20"/>
        <v>6.0132291040288638E-3</v>
      </c>
      <c r="L99" s="316">
        <f t="shared" si="22"/>
        <v>13.644798556825016</v>
      </c>
      <c r="M99" s="96">
        <f t="shared" si="15"/>
        <v>5.0171924293445587</v>
      </c>
      <c r="N99" s="37">
        <v>5.4454752536757089</v>
      </c>
      <c r="O99" s="37">
        <f t="shared" si="19"/>
        <v>1.810583283223091</v>
      </c>
      <c r="P99" s="117">
        <f t="shared" si="23"/>
        <v>2.2071010222489482</v>
      </c>
      <c r="Q99" s="45">
        <f t="shared" si="14"/>
        <v>3.5169823219079403E-2</v>
      </c>
    </row>
    <row r="100" spans="1:17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16"/>
        <v>588.29</v>
      </c>
      <c r="G100" s="827">
        <v>13</v>
      </c>
      <c r="H100" s="330"/>
      <c r="I100" s="330"/>
      <c r="J100" s="8">
        <f t="shared" si="21"/>
        <v>13</v>
      </c>
      <c r="K100" s="72">
        <f t="shared" si="20"/>
        <v>5.211465223491682E-3</v>
      </c>
      <c r="L100" s="316">
        <f t="shared" si="22"/>
        <v>11.825492082581681</v>
      </c>
      <c r="M100" s="96">
        <f t="shared" si="15"/>
        <v>4.3482334387652841</v>
      </c>
      <c r="N100" s="37">
        <v>4.7194118865189481</v>
      </c>
      <c r="O100" s="37">
        <f t="shared" si="19"/>
        <v>1.5691721787933455</v>
      </c>
      <c r="P100" s="117">
        <f t="shared" si="23"/>
        <v>1.9128208859490883</v>
      </c>
      <c r="Q100" s="45">
        <f t="shared" si="14"/>
        <v>3.8182375336414456E-2</v>
      </c>
    </row>
    <row r="101" spans="1:17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16"/>
        <v>264.32</v>
      </c>
      <c r="G101" s="827">
        <v>6</v>
      </c>
      <c r="H101" s="330"/>
      <c r="I101" s="330"/>
      <c r="J101" s="8">
        <f t="shared" si="21"/>
        <v>6</v>
      </c>
      <c r="K101" s="72">
        <f t="shared" si="20"/>
        <v>2.4052916416115455E-3</v>
      </c>
      <c r="L101" s="316">
        <f t="shared" si="22"/>
        <v>5.457919422730007</v>
      </c>
      <c r="M101" s="96">
        <f t="shared" si="15"/>
        <v>2.0068769717378236</v>
      </c>
      <c r="N101" s="37">
        <v>2.1781901014702836</v>
      </c>
      <c r="O101" s="37">
        <f t="shared" si="19"/>
        <v>0.72423331328923646</v>
      </c>
      <c r="P101" s="117">
        <f t="shared" si="23"/>
        <v>0.88284040889957927</v>
      </c>
      <c r="Q101" s="45">
        <f t="shared" si="14"/>
        <v>3.9222229907791124E-2</v>
      </c>
    </row>
    <row r="102" spans="1:17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16"/>
        <v>202.70000000000002</v>
      </c>
      <c r="G102" s="827">
        <v>5</v>
      </c>
      <c r="H102" s="330"/>
      <c r="I102" s="330">
        <v>1</v>
      </c>
      <c r="J102" s="8">
        <f t="shared" si="21"/>
        <v>6</v>
      </c>
      <c r="K102" s="72">
        <f t="shared" si="20"/>
        <v>2.4052916416115455E-3</v>
      </c>
      <c r="L102" s="316">
        <f t="shared" si="22"/>
        <v>5.457919422730007</v>
      </c>
      <c r="M102" s="96">
        <f t="shared" si="15"/>
        <v>2.0068769717378236</v>
      </c>
      <c r="N102" s="37">
        <v>2.1781901014702836</v>
      </c>
      <c r="O102" s="37">
        <f t="shared" si="19"/>
        <v>0.72423331328923646</v>
      </c>
      <c r="P102" s="117">
        <f t="shared" si="23"/>
        <v>0.88284040889957927</v>
      </c>
      <c r="Q102" s="45">
        <f t="shared" si="14"/>
        <v>5.1145633000628264E-2</v>
      </c>
    </row>
    <row r="103" spans="1:17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16"/>
        <v>366.9</v>
      </c>
      <c r="G103" s="827">
        <v>9</v>
      </c>
      <c r="H103" s="330"/>
      <c r="I103" s="330"/>
      <c r="J103" s="8">
        <f t="shared" si="21"/>
        <v>9</v>
      </c>
      <c r="K103" s="72">
        <f t="shared" si="20"/>
        <v>3.6079374624173183E-3</v>
      </c>
      <c r="L103" s="316">
        <f t="shared" si="22"/>
        <v>8.18687913409501</v>
      </c>
      <c r="M103" s="96">
        <f t="shared" si="15"/>
        <v>3.0103154576067355</v>
      </c>
      <c r="N103" s="37">
        <v>3.2672851522054258</v>
      </c>
      <c r="O103" s="37">
        <f t="shared" si="19"/>
        <v>1.0863499699338546</v>
      </c>
      <c r="P103" s="117">
        <f t="shared" si="23"/>
        <v>1.3242606133493688</v>
      </c>
      <c r="Q103" s="45">
        <f t="shared" si="14"/>
        <v>4.2384381885639213E-2</v>
      </c>
    </row>
    <row r="104" spans="1:17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16"/>
        <v>580.66999999999996</v>
      </c>
      <c r="G104" s="827">
        <v>13</v>
      </c>
      <c r="H104" s="330"/>
      <c r="I104" s="330"/>
      <c r="J104" s="8">
        <f t="shared" si="21"/>
        <v>13</v>
      </c>
      <c r="K104" s="72">
        <f t="shared" si="20"/>
        <v>5.211465223491682E-3</v>
      </c>
      <c r="L104" s="316">
        <f t="shared" si="22"/>
        <v>11.825492082581681</v>
      </c>
      <c r="M104" s="96">
        <f t="shared" si="15"/>
        <v>4.3482334387652841</v>
      </c>
      <c r="N104" s="37">
        <v>4.7194118865189481</v>
      </c>
      <c r="O104" s="37">
        <f t="shared" si="19"/>
        <v>1.5691721787933455</v>
      </c>
      <c r="P104" s="117">
        <f t="shared" si="23"/>
        <v>1.9128208859490883</v>
      </c>
      <c r="Q104" s="45">
        <f t="shared" si="14"/>
        <v>3.868343394123902E-2</v>
      </c>
    </row>
    <row r="105" spans="1:17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16"/>
        <v>612.9</v>
      </c>
      <c r="G105" s="827">
        <v>14</v>
      </c>
      <c r="H105" s="330">
        <v>1</v>
      </c>
      <c r="I105" s="330"/>
      <c r="J105" s="8">
        <f t="shared" si="21"/>
        <v>15</v>
      </c>
      <c r="K105" s="72">
        <f t="shared" si="20"/>
        <v>6.0132291040288638E-3</v>
      </c>
      <c r="L105" s="316">
        <f t="shared" si="22"/>
        <v>13.644798556825016</v>
      </c>
      <c r="M105" s="96">
        <f t="shared" si="15"/>
        <v>5.0171924293445587</v>
      </c>
      <c r="N105" s="37">
        <v>5.4454752536757089</v>
      </c>
      <c r="O105" s="37">
        <f t="shared" si="19"/>
        <v>1.810583283223091</v>
      </c>
      <c r="P105" s="117">
        <f t="shared" si="23"/>
        <v>2.2071010222489482</v>
      </c>
      <c r="Q105" s="45">
        <f t="shared" si="14"/>
        <v>4.2287566524830116E-2</v>
      </c>
    </row>
    <row r="106" spans="1:17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16"/>
        <v>851.5</v>
      </c>
      <c r="G106" s="827">
        <v>14</v>
      </c>
      <c r="H106" s="330"/>
      <c r="I106" s="330"/>
      <c r="J106" s="8">
        <f t="shared" si="21"/>
        <v>14</v>
      </c>
      <c r="K106" s="72">
        <f t="shared" si="20"/>
        <v>5.6123471637602729E-3</v>
      </c>
      <c r="L106" s="316">
        <f t="shared" si="22"/>
        <v>12.735145319703349</v>
      </c>
      <c r="M106" s="96">
        <f t="shared" si="15"/>
        <v>4.6827129340549218</v>
      </c>
      <c r="N106" s="37">
        <v>5.0824435700973281</v>
      </c>
      <c r="O106" s="37">
        <f t="shared" si="19"/>
        <v>1.6898777310082183</v>
      </c>
      <c r="P106" s="117">
        <f t="shared" si="23"/>
        <v>2.0599609540990182</v>
      </c>
      <c r="Q106" s="45">
        <f t="shared" si="14"/>
        <v>2.8408901414989803E-2</v>
      </c>
    </row>
    <row r="107" spans="1:17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16"/>
        <v>545.6</v>
      </c>
      <c r="G107" s="827">
        <v>8</v>
      </c>
      <c r="H107" s="330"/>
      <c r="I107" s="330">
        <v>1</v>
      </c>
      <c r="J107" s="8">
        <f t="shared" si="21"/>
        <v>9</v>
      </c>
      <c r="K107" s="72">
        <f t="shared" si="20"/>
        <v>3.6079374624173183E-3</v>
      </c>
      <c r="L107" s="316">
        <f t="shared" si="22"/>
        <v>8.18687913409501</v>
      </c>
      <c r="M107" s="96">
        <f t="shared" si="15"/>
        <v>3.0103154576067355</v>
      </c>
      <c r="N107" s="37">
        <v>3.2672851522054258</v>
      </c>
      <c r="O107" s="37">
        <f t="shared" si="19"/>
        <v>1.0863499699338546</v>
      </c>
      <c r="P107" s="117">
        <f t="shared" si="23"/>
        <v>1.3242606133493688</v>
      </c>
      <c r="Q107" s="45">
        <f t="shared" si="14"/>
        <v>2.8502253874342055E-2</v>
      </c>
    </row>
    <row r="108" spans="1:17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16"/>
        <v>564.81000000000006</v>
      </c>
      <c r="G108" s="827">
        <v>8</v>
      </c>
      <c r="H108" s="330"/>
      <c r="I108" s="330">
        <v>1</v>
      </c>
      <c r="J108" s="8">
        <f t="shared" si="21"/>
        <v>9</v>
      </c>
      <c r="K108" s="72">
        <f t="shared" si="20"/>
        <v>3.6079374624173183E-3</v>
      </c>
      <c r="L108" s="316">
        <f t="shared" si="22"/>
        <v>8.18687913409501</v>
      </c>
      <c r="M108" s="96">
        <f t="shared" si="15"/>
        <v>3.0103154576067355</v>
      </c>
      <c r="N108" s="37">
        <v>3.2672851522054258</v>
      </c>
      <c r="O108" s="37">
        <f t="shared" si="19"/>
        <v>1.0863499699338546</v>
      </c>
      <c r="P108" s="117">
        <f t="shared" si="23"/>
        <v>1.3242606133493688</v>
      </c>
      <c r="Q108" s="45">
        <f t="shared" si="14"/>
        <v>2.7532851248811146E-2</v>
      </c>
    </row>
    <row r="109" spans="1:17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16"/>
        <v>536.25</v>
      </c>
      <c r="G109" s="827">
        <v>12</v>
      </c>
      <c r="H109" s="330"/>
      <c r="I109" s="330"/>
      <c r="J109" s="8">
        <f t="shared" si="21"/>
        <v>12</v>
      </c>
      <c r="K109" s="72">
        <f t="shared" si="20"/>
        <v>4.810583283223091E-3</v>
      </c>
      <c r="L109" s="316">
        <f t="shared" si="22"/>
        <v>10.915838845460014</v>
      </c>
      <c r="M109" s="96">
        <f t="shared" si="15"/>
        <v>4.0137539434756473</v>
      </c>
      <c r="N109" s="37">
        <v>4.3563802029405672</v>
      </c>
      <c r="O109" s="37">
        <f t="shared" si="19"/>
        <v>1.4484666265784729</v>
      </c>
      <c r="P109" s="117">
        <f t="shared" si="23"/>
        <v>1.7656808177991585</v>
      </c>
      <c r="Q109" s="45">
        <f t="shared" si="14"/>
        <v>3.8665621666115993E-2</v>
      </c>
    </row>
    <row r="110" spans="1:17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16"/>
        <v>603.17000000000007</v>
      </c>
      <c r="G110" s="827">
        <v>9</v>
      </c>
      <c r="H110" s="330">
        <v>1</v>
      </c>
      <c r="I110" s="330"/>
      <c r="J110" s="8">
        <f t="shared" si="21"/>
        <v>10</v>
      </c>
      <c r="K110" s="72">
        <f t="shared" si="20"/>
        <v>4.0088194026859092E-3</v>
      </c>
      <c r="L110" s="316">
        <f t="shared" si="22"/>
        <v>9.0965323712166768</v>
      </c>
      <c r="M110" s="96">
        <f t="shared" si="15"/>
        <v>3.3447949528963723</v>
      </c>
      <c r="N110" s="37">
        <v>3.6303168357838063</v>
      </c>
      <c r="O110" s="37">
        <f t="shared" si="19"/>
        <v>1.2070555221487274</v>
      </c>
      <c r="P110" s="117">
        <f t="shared" si="23"/>
        <v>1.4714006814992988</v>
      </c>
      <c r="Q110" s="45">
        <f t="shared" si="14"/>
        <v>2.8646483880242025E-2</v>
      </c>
    </row>
    <row r="111" spans="1:17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16"/>
        <v>226.9</v>
      </c>
      <c r="G111" s="827">
        <v>5</v>
      </c>
      <c r="H111" s="330"/>
      <c r="I111" s="330">
        <v>1</v>
      </c>
      <c r="J111" s="8">
        <f t="shared" si="21"/>
        <v>6</v>
      </c>
      <c r="K111" s="72">
        <f t="shared" si="20"/>
        <v>2.4052916416115455E-3</v>
      </c>
      <c r="L111" s="316">
        <f t="shared" si="22"/>
        <v>5.457919422730007</v>
      </c>
      <c r="M111" s="96">
        <f t="shared" si="15"/>
        <v>2.0068769717378236</v>
      </c>
      <c r="N111" s="37">
        <v>2.1781901014702836</v>
      </c>
      <c r="O111" s="37">
        <f t="shared" si="19"/>
        <v>0.72423331328923646</v>
      </c>
      <c r="P111" s="117">
        <f t="shared" si="23"/>
        <v>0.88284040889957927</v>
      </c>
      <c r="Q111" s="45">
        <f t="shared" si="14"/>
        <v>4.5690699908450198E-2</v>
      </c>
    </row>
    <row r="112" spans="1:17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16"/>
        <v>385.59999999999997</v>
      </c>
      <c r="G112" s="827">
        <v>6</v>
      </c>
      <c r="H112" s="330"/>
      <c r="I112" s="330">
        <v>1</v>
      </c>
      <c r="J112" s="8">
        <f t="shared" si="21"/>
        <v>7</v>
      </c>
      <c r="K112" s="72">
        <f t="shared" si="20"/>
        <v>2.8061735818801364E-3</v>
      </c>
      <c r="L112" s="316">
        <f t="shared" si="22"/>
        <v>6.3675726598516746</v>
      </c>
      <c r="M112" s="96">
        <f t="shared" si="15"/>
        <v>2.3413564670274609</v>
      </c>
      <c r="N112" s="37">
        <v>2.541221785048664</v>
      </c>
      <c r="O112" s="37">
        <f t="shared" si="19"/>
        <v>0.84493886550410913</v>
      </c>
      <c r="P112" s="117">
        <f t="shared" si="23"/>
        <v>1.0299804770495091</v>
      </c>
      <c r="Q112" s="45">
        <f t="shared" si="14"/>
        <v>3.1366934070103498E-2</v>
      </c>
    </row>
    <row r="113" spans="1:17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16"/>
        <v>340.18</v>
      </c>
      <c r="G113" s="827">
        <v>6</v>
      </c>
      <c r="H113" s="330">
        <v>1</v>
      </c>
      <c r="I113" s="330"/>
      <c r="J113" s="8">
        <f t="shared" si="21"/>
        <v>7</v>
      </c>
      <c r="K113" s="72">
        <f t="shared" si="20"/>
        <v>2.8061735818801364E-3</v>
      </c>
      <c r="L113" s="316">
        <f t="shared" si="22"/>
        <v>6.3675726598516746</v>
      </c>
      <c r="M113" s="96">
        <f t="shared" si="15"/>
        <v>2.3413564670274609</v>
      </c>
      <c r="N113" s="37">
        <v>2.541221785048664</v>
      </c>
      <c r="O113" s="37">
        <f t="shared" si="19"/>
        <v>0.84493886550410913</v>
      </c>
      <c r="P113" s="117">
        <f t="shared" si="23"/>
        <v>1.0299804770495091</v>
      </c>
      <c r="Q113" s="45">
        <f t="shared" si="14"/>
        <v>3.5554970243494355E-2</v>
      </c>
    </row>
    <row r="114" spans="1:17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16"/>
        <v>304.7</v>
      </c>
      <c r="G114" s="827">
        <v>6</v>
      </c>
      <c r="H114" s="330"/>
      <c r="I114" s="330"/>
      <c r="J114" s="8">
        <f t="shared" si="21"/>
        <v>6</v>
      </c>
      <c r="K114" s="72">
        <f t="shared" si="20"/>
        <v>2.4052916416115455E-3</v>
      </c>
      <c r="L114" s="316">
        <f t="shared" si="22"/>
        <v>5.457919422730007</v>
      </c>
      <c r="M114" s="96">
        <f t="shared" si="15"/>
        <v>2.0068769717378236</v>
      </c>
      <c r="N114" s="37">
        <v>2.1781901014702836</v>
      </c>
      <c r="O114" s="37">
        <f t="shared" si="19"/>
        <v>0.72423331328923646</v>
      </c>
      <c r="P114" s="117">
        <f t="shared" si="23"/>
        <v>0.88284040889957927</v>
      </c>
      <c r="Q114" s="45">
        <f t="shared" si="14"/>
        <v>3.4024351195363803E-2</v>
      </c>
    </row>
    <row r="115" spans="1:17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16"/>
        <v>979.97</v>
      </c>
      <c r="G115" s="827">
        <v>14</v>
      </c>
      <c r="H115" s="330"/>
      <c r="I115" s="330">
        <v>2</v>
      </c>
      <c r="J115" s="8">
        <f t="shared" si="21"/>
        <v>16</v>
      </c>
      <c r="K115" s="72">
        <f t="shared" si="20"/>
        <v>6.4141110442974547E-3</v>
      </c>
      <c r="L115" s="316">
        <f t="shared" si="22"/>
        <v>14.554451793946685</v>
      </c>
      <c r="M115" s="96">
        <f t="shared" si="15"/>
        <v>5.3516719246341964</v>
      </c>
      <c r="N115" s="37">
        <v>5.8085069372540898</v>
      </c>
      <c r="O115" s="37">
        <f t="shared" si="19"/>
        <v>1.9312888354379638</v>
      </c>
      <c r="P115" s="117">
        <f t="shared" si="23"/>
        <v>2.3542410903988782</v>
      </c>
      <c r="Q115" s="45">
        <f t="shared" si="14"/>
        <v>2.8210985531468242E-2</v>
      </c>
    </row>
    <row r="116" spans="1:17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16"/>
        <v>1330.1</v>
      </c>
      <c r="G116" s="827">
        <v>24</v>
      </c>
      <c r="H116" s="330"/>
      <c r="I116" s="330"/>
      <c r="J116" s="8">
        <f t="shared" si="21"/>
        <v>24</v>
      </c>
      <c r="K116" s="72">
        <f t="shared" si="20"/>
        <v>9.6211665664461821E-3</v>
      </c>
      <c r="L116" s="316">
        <f t="shared" si="22"/>
        <v>21.831677690920028</v>
      </c>
      <c r="M116" s="96">
        <f t="shared" si="15"/>
        <v>8.0275078869512946</v>
      </c>
      <c r="N116" s="37">
        <v>8.7127604058811343</v>
      </c>
      <c r="O116" s="37">
        <f t="shared" si="19"/>
        <v>2.8969332531569458</v>
      </c>
      <c r="P116" s="117">
        <f t="shared" si="23"/>
        <v>3.5313616355983171</v>
      </c>
      <c r="Q116" s="45">
        <f t="shared" si="14"/>
        <v>3.117726429359402E-2</v>
      </c>
    </row>
    <row r="117" spans="1:17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16"/>
        <v>820.65</v>
      </c>
      <c r="G117" s="827">
        <v>23</v>
      </c>
      <c r="H117" s="330">
        <v>1</v>
      </c>
      <c r="I117" s="330"/>
      <c r="J117" s="8">
        <f t="shared" si="21"/>
        <v>24</v>
      </c>
      <c r="K117" s="72">
        <f t="shared" si="20"/>
        <v>9.6211665664461821E-3</v>
      </c>
      <c r="L117" s="316">
        <f t="shared" si="22"/>
        <v>21.831677690920028</v>
      </c>
      <c r="M117" s="96">
        <f t="shared" si="15"/>
        <v>8.0275078869512946</v>
      </c>
      <c r="N117" s="37">
        <v>8.7127604058811343</v>
      </c>
      <c r="O117" s="37">
        <f t="shared" si="19"/>
        <v>2.8969332531569458</v>
      </c>
      <c r="P117" s="117">
        <f t="shared" si="23"/>
        <v>3.5313616355983171</v>
      </c>
      <c r="Q117" s="45">
        <f t="shared" si="14"/>
        <v>5.0531748293315547E-2</v>
      </c>
    </row>
    <row r="118" spans="1:17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16"/>
        <v>1463.87</v>
      </c>
      <c r="G118" s="827">
        <v>29</v>
      </c>
      <c r="H118" s="330">
        <v>1</v>
      </c>
      <c r="I118" s="330">
        <v>1</v>
      </c>
      <c r="J118" s="8">
        <f t="shared" si="21"/>
        <v>31</v>
      </c>
      <c r="K118" s="72">
        <f t="shared" si="20"/>
        <v>1.2427340148326319E-2</v>
      </c>
      <c r="L118" s="316">
        <f t="shared" si="22"/>
        <v>28.199250350771699</v>
      </c>
      <c r="M118" s="96">
        <f t="shared" si="15"/>
        <v>10.368864353978754</v>
      </c>
      <c r="N118" s="37">
        <v>11.253982190929799</v>
      </c>
      <c r="O118" s="37">
        <f t="shared" si="19"/>
        <v>3.7418721186610546</v>
      </c>
      <c r="P118" s="117">
        <f t="shared" si="23"/>
        <v>4.561342112647826</v>
      </c>
      <c r="Q118" s="45">
        <f t="shared" si="14"/>
        <v>3.6590659699523395E-2</v>
      </c>
    </row>
    <row r="119" spans="1:17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16"/>
        <v>595.18000000000006</v>
      </c>
      <c r="G119" s="827">
        <v>14</v>
      </c>
      <c r="H119" s="330">
        <v>1</v>
      </c>
      <c r="I119" s="330">
        <v>1</v>
      </c>
      <c r="J119" s="8">
        <f t="shared" si="21"/>
        <v>16</v>
      </c>
      <c r="K119" s="72">
        <f t="shared" si="20"/>
        <v>6.4141110442974547E-3</v>
      </c>
      <c r="L119" s="316">
        <f t="shared" si="22"/>
        <v>14.554451793946685</v>
      </c>
      <c r="M119" s="96">
        <f t="shared" si="15"/>
        <v>5.3516719246341964</v>
      </c>
      <c r="N119" s="37">
        <v>5.8085069372540898</v>
      </c>
      <c r="O119" s="37">
        <f t="shared" si="19"/>
        <v>1.9312888354379638</v>
      </c>
      <c r="P119" s="117">
        <f t="shared" si="23"/>
        <v>2.3542410903988782</v>
      </c>
      <c r="Q119" s="45">
        <f t="shared" si="14"/>
        <v>4.6449678233934158E-2</v>
      </c>
    </row>
    <row r="120" spans="1:17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16"/>
        <v>142</v>
      </c>
      <c r="G120" s="827">
        <v>4</v>
      </c>
      <c r="H120" s="330"/>
      <c r="I120" s="330"/>
      <c r="J120" s="8">
        <f t="shared" si="21"/>
        <v>4</v>
      </c>
      <c r="K120" s="72">
        <f t="shared" si="20"/>
        <v>1.6035277610743637E-3</v>
      </c>
      <c r="L120" s="316">
        <f t="shared" si="22"/>
        <v>3.6386129484866712</v>
      </c>
      <c r="M120" s="96">
        <f t="shared" si="15"/>
        <v>1.3379179811585491</v>
      </c>
      <c r="N120" s="37">
        <v>1.4521267343135225</v>
      </c>
      <c r="O120" s="37">
        <f t="shared" si="19"/>
        <v>0.48282220885949095</v>
      </c>
      <c r="P120" s="117">
        <f t="shared" si="23"/>
        <v>0.58856027259971955</v>
      </c>
      <c r="Q120" s="45">
        <f t="shared" si="14"/>
        <v>4.867239347055094E-2</v>
      </c>
    </row>
    <row r="121" spans="1:17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16"/>
        <v>576.93999999999994</v>
      </c>
      <c r="G121" s="827">
        <v>12</v>
      </c>
      <c r="H121" s="330">
        <v>1</v>
      </c>
      <c r="I121" s="330"/>
      <c r="J121" s="8">
        <f t="shared" si="21"/>
        <v>13</v>
      </c>
      <c r="K121" s="72">
        <f t="shared" si="20"/>
        <v>5.211465223491682E-3</v>
      </c>
      <c r="L121" s="316">
        <f t="shared" si="22"/>
        <v>11.825492082581681</v>
      </c>
      <c r="M121" s="96">
        <f t="shared" si="15"/>
        <v>4.3482334387652841</v>
      </c>
      <c r="N121" s="37">
        <v>4.7194118865189481</v>
      </c>
      <c r="O121" s="37">
        <f t="shared" si="19"/>
        <v>1.5691721787933455</v>
      </c>
      <c r="P121" s="117">
        <f t="shared" si="23"/>
        <v>1.9128208859490883</v>
      </c>
      <c r="Q121" s="45">
        <f t="shared" si="14"/>
        <v>3.8933527900057649E-2</v>
      </c>
    </row>
    <row r="122" spans="1:17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16"/>
        <v>587.76</v>
      </c>
      <c r="G122" s="827">
        <v>12</v>
      </c>
      <c r="H122" s="330"/>
      <c r="I122" s="330"/>
      <c r="J122" s="8">
        <f t="shared" si="21"/>
        <v>12</v>
      </c>
      <c r="K122" s="72">
        <f t="shared" si="20"/>
        <v>4.810583283223091E-3</v>
      </c>
      <c r="L122" s="316">
        <f t="shared" si="22"/>
        <v>10.915838845460014</v>
      </c>
      <c r="M122" s="96">
        <f t="shared" si="15"/>
        <v>4.0137539434756473</v>
      </c>
      <c r="N122" s="37">
        <v>4.3563802029405672</v>
      </c>
      <c r="O122" s="37">
        <f t="shared" si="19"/>
        <v>1.4484666265784729</v>
      </c>
      <c r="P122" s="117">
        <f t="shared" si="23"/>
        <v>1.7656808177991585</v>
      </c>
      <c r="Q122" s="45">
        <f t="shared" si="14"/>
        <v>3.527705120874966E-2</v>
      </c>
    </row>
    <row r="123" spans="1:17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16"/>
        <v>1891.7</v>
      </c>
      <c r="G123" s="827">
        <v>38</v>
      </c>
      <c r="H123" s="330"/>
      <c r="I123" s="330">
        <v>1</v>
      </c>
      <c r="J123" s="8">
        <f t="shared" si="21"/>
        <v>39</v>
      </c>
      <c r="K123" s="72">
        <f t="shared" si="20"/>
        <v>1.5634395670475046E-2</v>
      </c>
      <c r="L123" s="316">
        <f t="shared" si="22"/>
        <v>35.47647624774504</v>
      </c>
      <c r="M123" s="96">
        <f t="shared" si="15"/>
        <v>13.044700316295852</v>
      </c>
      <c r="N123" s="37">
        <v>14.158235659556844</v>
      </c>
      <c r="O123" s="37">
        <f t="shared" si="19"/>
        <v>4.7075165363800364</v>
      </c>
      <c r="P123" s="117">
        <f t="shared" si="23"/>
        <v>5.7384626578472648</v>
      </c>
      <c r="Q123" s="45">
        <f t="shared" si="14"/>
        <v>3.5622418332704853E-2</v>
      </c>
    </row>
    <row r="124" spans="1:17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16"/>
        <v>262.7</v>
      </c>
      <c r="G124" s="827">
        <v>8</v>
      </c>
      <c r="H124" s="330"/>
      <c r="I124" s="330"/>
      <c r="J124" s="8">
        <f t="shared" si="21"/>
        <v>8</v>
      </c>
      <c r="K124" s="72">
        <f t="shared" si="20"/>
        <v>3.2070555221487274E-3</v>
      </c>
      <c r="L124" s="316">
        <f t="shared" si="22"/>
        <v>7.2772258969733423</v>
      </c>
      <c r="M124" s="96">
        <f t="shared" si="15"/>
        <v>2.6758359623170982</v>
      </c>
      <c r="N124" s="37">
        <v>2.9042534686270449</v>
      </c>
      <c r="O124" s="37">
        <f t="shared" si="19"/>
        <v>0.96564441771898191</v>
      </c>
      <c r="P124" s="117">
        <f t="shared" si="23"/>
        <v>1.1771205451994391</v>
      </c>
      <c r="Q124" s="45">
        <f t="shared" si="14"/>
        <v>5.2618803751946969E-2</v>
      </c>
    </row>
    <row r="125" spans="1:17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16"/>
        <v>1857.4</v>
      </c>
      <c r="G125" s="827">
        <v>40</v>
      </c>
      <c r="H125" s="330"/>
      <c r="I125" s="330"/>
      <c r="J125" s="8">
        <f t="shared" si="21"/>
        <v>40</v>
      </c>
      <c r="K125" s="72">
        <f t="shared" si="20"/>
        <v>1.6035277610743637E-2</v>
      </c>
      <c r="L125" s="316">
        <f t="shared" si="22"/>
        <v>36.386129484866707</v>
      </c>
      <c r="M125" s="96">
        <f t="shared" si="15"/>
        <v>13.379179811585489</v>
      </c>
      <c r="N125" s="37">
        <v>14.521267343135225</v>
      </c>
      <c r="O125" s="37">
        <f t="shared" si="19"/>
        <v>4.8282220885949094</v>
      </c>
      <c r="P125" s="117">
        <f t="shared" si="23"/>
        <v>5.8856027259971953</v>
      </c>
      <c r="Q125" s="45">
        <f t="shared" si="14"/>
        <v>3.7210508629364883E-2</v>
      </c>
    </row>
    <row r="126" spans="1:17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16"/>
        <v>2470.1999999999998</v>
      </c>
      <c r="G126" s="827">
        <v>55</v>
      </c>
      <c r="H126" s="330"/>
      <c r="I126" s="330"/>
      <c r="J126" s="8">
        <f t="shared" si="21"/>
        <v>55</v>
      </c>
      <c r="K126" s="72">
        <f t="shared" si="20"/>
        <v>2.2048506714772501E-2</v>
      </c>
      <c r="L126" s="316">
        <f t="shared" si="22"/>
        <v>50.030928041691723</v>
      </c>
      <c r="M126" s="96">
        <f t="shared" si="15"/>
        <v>18.396372240930049</v>
      </c>
      <c r="N126" s="37">
        <v>19.966742596810935</v>
      </c>
      <c r="O126" s="37">
        <f t="shared" si="19"/>
        <v>6.638805371818</v>
      </c>
      <c r="P126" s="117">
        <f t="shared" si="23"/>
        <v>8.0927037482461426</v>
      </c>
      <c r="Q126" s="45">
        <f t="shared" si="14"/>
        <v>3.8471722229475633E-2</v>
      </c>
    </row>
    <row r="127" spans="1:17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16"/>
        <v>121.8</v>
      </c>
      <c r="G127" s="827">
        <v>3</v>
      </c>
      <c r="H127" s="330"/>
      <c r="I127" s="330"/>
      <c r="J127" s="8">
        <f t="shared" si="21"/>
        <v>3</v>
      </c>
      <c r="K127" s="72">
        <f t="shared" si="20"/>
        <v>1.2026458208057728E-3</v>
      </c>
      <c r="L127" s="316">
        <f t="shared" si="22"/>
        <v>2.7289597113650035</v>
      </c>
      <c r="M127" s="96">
        <f t="shared" si="15"/>
        <v>1.0034384858689118</v>
      </c>
      <c r="N127" s="37">
        <v>1.0890950507351418</v>
      </c>
      <c r="O127" s="37">
        <f t="shared" si="19"/>
        <v>0.36211665664461823</v>
      </c>
      <c r="P127" s="117">
        <f t="shared" si="23"/>
        <v>0.44142020444978963</v>
      </c>
      <c r="Q127" s="45">
        <f t="shared" si="14"/>
        <v>4.2558373601097502E-2</v>
      </c>
    </row>
    <row r="128" spans="1:17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16"/>
        <v>1831.3</v>
      </c>
      <c r="G128" s="827">
        <v>38</v>
      </c>
      <c r="H128" s="330"/>
      <c r="I128" s="330"/>
      <c r="J128" s="8">
        <f t="shared" si="21"/>
        <v>38</v>
      </c>
      <c r="K128" s="72">
        <f t="shared" si="20"/>
        <v>1.5233513730206455E-2</v>
      </c>
      <c r="L128" s="316">
        <f t="shared" si="22"/>
        <v>34.566823010623374</v>
      </c>
      <c r="M128" s="96">
        <f t="shared" si="15"/>
        <v>12.710220821006216</v>
      </c>
      <c r="N128" s="37">
        <v>13.795203975978463</v>
      </c>
      <c r="O128" s="37">
        <f t="shared" si="19"/>
        <v>4.5868109841651643</v>
      </c>
      <c r="P128" s="117">
        <f t="shared" si="23"/>
        <v>5.5913225896973353</v>
      </c>
      <c r="Q128" s="45">
        <f t="shared" si="14"/>
        <v>3.5853797188758377E-2</v>
      </c>
    </row>
    <row r="129" spans="1:17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16"/>
        <v>1844.3</v>
      </c>
      <c r="G129" s="827">
        <v>38</v>
      </c>
      <c r="H129" s="330"/>
      <c r="I129" s="330"/>
      <c r="J129" s="8">
        <f t="shared" si="21"/>
        <v>38</v>
      </c>
      <c r="K129" s="72">
        <f t="shared" si="20"/>
        <v>1.5233513730206455E-2</v>
      </c>
      <c r="L129" s="316">
        <f t="shared" si="22"/>
        <v>34.566823010623374</v>
      </c>
      <c r="M129" s="96">
        <f t="shared" si="15"/>
        <v>12.710220821006216</v>
      </c>
      <c r="N129" s="37">
        <v>13.795203975978463</v>
      </c>
      <c r="O129" s="37">
        <f t="shared" si="19"/>
        <v>4.5868109841651643</v>
      </c>
      <c r="P129" s="117">
        <f t="shared" si="23"/>
        <v>5.5913225896973353</v>
      </c>
      <c r="Q129" s="45">
        <f t="shared" si="14"/>
        <v>3.560107292293728E-2</v>
      </c>
    </row>
    <row r="130" spans="1:17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16"/>
        <v>193.76</v>
      </c>
      <c r="G130" s="827">
        <v>4</v>
      </c>
      <c r="H130" s="330"/>
      <c r="I130" s="330"/>
      <c r="J130" s="8">
        <f t="shared" si="21"/>
        <v>4</v>
      </c>
      <c r="K130" s="72">
        <f t="shared" si="20"/>
        <v>1.6035277610743637E-3</v>
      </c>
      <c r="L130" s="316">
        <f t="shared" si="22"/>
        <v>3.6386129484866712</v>
      </c>
      <c r="M130" s="96">
        <f t="shared" si="15"/>
        <v>1.3379179811585491</v>
      </c>
      <c r="N130" s="37">
        <v>1.4521267343135225</v>
      </c>
      <c r="O130" s="37">
        <f t="shared" si="19"/>
        <v>0.48282220885949095</v>
      </c>
      <c r="P130" s="117">
        <f t="shared" si="23"/>
        <v>0.58856027259971955</v>
      </c>
      <c r="Q130" s="45">
        <f t="shared" si="14"/>
        <v>3.5670313133867849E-2</v>
      </c>
    </row>
    <row r="131" spans="1:17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16"/>
        <v>1841.4</v>
      </c>
      <c r="G131" s="827">
        <v>40</v>
      </c>
      <c r="H131" s="330"/>
      <c r="I131" s="330"/>
      <c r="J131" s="8">
        <f t="shared" si="21"/>
        <v>40</v>
      </c>
      <c r="K131" s="72">
        <f t="shared" si="20"/>
        <v>1.6035277610743637E-2</v>
      </c>
      <c r="L131" s="316">
        <f t="shared" si="22"/>
        <v>36.386129484866707</v>
      </c>
      <c r="M131" s="96">
        <f t="shared" si="15"/>
        <v>13.379179811585489</v>
      </c>
      <c r="N131" s="37">
        <v>14.521267343135225</v>
      </c>
      <c r="O131" s="37">
        <f t="shared" si="19"/>
        <v>4.8282220885949094</v>
      </c>
      <c r="P131" s="117">
        <f t="shared" si="23"/>
        <v>5.8856027259971953</v>
      </c>
      <c r="Q131" s="45">
        <f t="shared" si="14"/>
        <v>3.7533832262508053E-2</v>
      </c>
    </row>
    <row r="132" spans="1:17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16"/>
        <v>262.3</v>
      </c>
      <c r="G132" s="827">
        <v>5</v>
      </c>
      <c r="H132" s="330"/>
      <c r="I132" s="330"/>
      <c r="J132" s="8">
        <f t="shared" si="21"/>
        <v>5</v>
      </c>
      <c r="K132" s="72">
        <f t="shared" si="20"/>
        <v>2.0044097013429546E-3</v>
      </c>
      <c r="L132" s="316">
        <f t="shared" si="22"/>
        <v>4.5482661856083384</v>
      </c>
      <c r="M132" s="96">
        <f t="shared" si="15"/>
        <v>1.6723974764481861</v>
      </c>
      <c r="N132" s="37">
        <v>1.8151584178919031</v>
      </c>
      <c r="O132" s="37">
        <f t="shared" si="19"/>
        <v>0.60352776107436368</v>
      </c>
      <c r="P132" s="117">
        <f t="shared" si="23"/>
        <v>0.73570034074964941</v>
      </c>
      <c r="Q132" s="45">
        <f t="shared" si="14"/>
        <v>3.2936903701954984E-2</v>
      </c>
    </row>
    <row r="133" spans="1:17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16"/>
        <v>94.7</v>
      </c>
      <c r="G133" s="827">
        <v>3</v>
      </c>
      <c r="H133" s="330"/>
      <c r="I133" s="330"/>
      <c r="J133" s="8">
        <f t="shared" si="21"/>
        <v>3</v>
      </c>
      <c r="K133" s="72">
        <f t="shared" si="20"/>
        <v>1.2026458208057728E-3</v>
      </c>
      <c r="L133" s="316">
        <f t="shared" si="22"/>
        <v>2.7289597113650035</v>
      </c>
      <c r="M133" s="96">
        <f t="shared" si="15"/>
        <v>1.0034384858689118</v>
      </c>
      <c r="N133" s="37">
        <v>1.0890950507351418</v>
      </c>
      <c r="O133" s="37">
        <f t="shared" si="19"/>
        <v>0.36211665664461823</v>
      </c>
      <c r="P133" s="117">
        <f t="shared" si="23"/>
        <v>0.44142020444978963</v>
      </c>
      <c r="Q133" s="45">
        <f t="shared" si="14"/>
        <v>5.4737169003312304E-2</v>
      </c>
    </row>
    <row r="134" spans="1:17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16"/>
        <v>38</v>
      </c>
      <c r="G134" s="827">
        <v>1</v>
      </c>
      <c r="H134" s="330"/>
      <c r="I134" s="330"/>
      <c r="J134" s="8">
        <f t="shared" si="21"/>
        <v>1</v>
      </c>
      <c r="K134" s="72">
        <f t="shared" si="20"/>
        <v>4.0088194026859092E-4</v>
      </c>
      <c r="L134" s="316">
        <f t="shared" si="22"/>
        <v>0.90965323712166779</v>
      </c>
      <c r="M134" s="96">
        <f t="shared" si="15"/>
        <v>0.33447949528963727</v>
      </c>
      <c r="N134" s="37">
        <v>0.36303168357838062</v>
      </c>
      <c r="O134" s="37">
        <f t="shared" si="19"/>
        <v>0.12070555221487274</v>
      </c>
      <c r="P134" s="117">
        <f t="shared" si="23"/>
        <v>0.14714006814992989</v>
      </c>
      <c r="Q134" s="45">
        <f t="shared" si="14"/>
        <v>4.5470262321172593E-2</v>
      </c>
    </row>
    <row r="135" spans="1:17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16"/>
        <v>1812.3999999999999</v>
      </c>
      <c r="G135" s="827">
        <v>37</v>
      </c>
      <c r="H135" s="330">
        <v>2</v>
      </c>
      <c r="I135" s="330"/>
      <c r="J135" s="8">
        <f t="shared" si="21"/>
        <v>39</v>
      </c>
      <c r="K135" s="72">
        <f t="shared" si="20"/>
        <v>1.5634395670475046E-2</v>
      </c>
      <c r="L135" s="316">
        <f t="shared" si="22"/>
        <v>35.47647624774504</v>
      </c>
      <c r="M135" s="96">
        <f t="shared" si="15"/>
        <v>13.044700316295852</v>
      </c>
      <c r="N135" s="37">
        <v>14.158235659556844</v>
      </c>
      <c r="O135" s="37">
        <f t="shared" si="19"/>
        <v>4.7075165363800364</v>
      </c>
      <c r="P135" s="117">
        <f t="shared" si="23"/>
        <v>5.7384626578472648</v>
      </c>
      <c r="Q135" s="45">
        <f t="shared" ref="Q135:Q198" si="24">(O135+N135+M135+L135)/F135</f>
        <v>3.7181046546004071E-2</v>
      </c>
    </row>
    <row r="136" spans="1:17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16"/>
        <v>155.80000000000001</v>
      </c>
      <c r="G136" s="827">
        <v>4</v>
      </c>
      <c r="H136" s="330"/>
      <c r="I136" s="330"/>
      <c r="J136" s="8">
        <f t="shared" si="21"/>
        <v>4</v>
      </c>
      <c r="K136" s="72">
        <f t="shared" si="20"/>
        <v>1.6035277610743637E-3</v>
      </c>
      <c r="L136" s="316">
        <f t="shared" si="22"/>
        <v>3.6386129484866712</v>
      </c>
      <c r="M136" s="96">
        <f t="shared" si="15"/>
        <v>1.3379179811585491</v>
      </c>
      <c r="N136" s="37">
        <v>1.4521267343135225</v>
      </c>
      <c r="O136" s="37">
        <f t="shared" si="19"/>
        <v>0.48282220885949095</v>
      </c>
      <c r="P136" s="117">
        <f t="shared" si="23"/>
        <v>0.58856027259971955</v>
      </c>
      <c r="Q136" s="45">
        <f t="shared" si="24"/>
        <v>4.4361231532851306E-2</v>
      </c>
    </row>
    <row r="137" spans="1:17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16"/>
        <v>378.1</v>
      </c>
      <c r="G137" s="827">
        <v>14</v>
      </c>
      <c r="H137" s="330"/>
      <c r="I137" s="330"/>
      <c r="J137" s="8">
        <f t="shared" si="21"/>
        <v>14</v>
      </c>
      <c r="K137" s="72">
        <f t="shared" si="20"/>
        <v>5.6123471637602729E-3</v>
      </c>
      <c r="L137" s="316">
        <f t="shared" si="22"/>
        <v>12.735145319703349</v>
      </c>
      <c r="M137" s="96">
        <f t="shared" si="15"/>
        <v>4.6827129340549218</v>
      </c>
      <c r="N137" s="37">
        <v>5.0824435700973281</v>
      </c>
      <c r="O137" s="37">
        <f t="shared" si="19"/>
        <v>1.6898777310082183</v>
      </c>
      <c r="P137" s="117">
        <f t="shared" si="23"/>
        <v>2.0599609540990182</v>
      </c>
      <c r="Q137" s="45">
        <f t="shared" si="24"/>
        <v>6.3978258542353394E-2</v>
      </c>
    </row>
    <row r="138" spans="1:17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16"/>
        <v>120.9</v>
      </c>
      <c r="G138" s="827">
        <v>4</v>
      </c>
      <c r="H138" s="330"/>
      <c r="I138" s="330"/>
      <c r="J138" s="8">
        <f t="shared" si="21"/>
        <v>4</v>
      </c>
      <c r="K138" s="72">
        <f t="shared" si="20"/>
        <v>1.6035277610743637E-3</v>
      </c>
      <c r="L138" s="316">
        <f t="shared" si="22"/>
        <v>3.6386129484866712</v>
      </c>
      <c r="M138" s="96">
        <f t="shared" si="15"/>
        <v>1.3379179811585491</v>
      </c>
      <c r="N138" s="37">
        <v>1.4521267343135225</v>
      </c>
      <c r="O138" s="37">
        <f t="shared" si="19"/>
        <v>0.48282220885949095</v>
      </c>
      <c r="P138" s="117">
        <f t="shared" si="23"/>
        <v>0.58856027259971955</v>
      </c>
      <c r="Q138" s="45">
        <f t="shared" si="24"/>
        <v>5.7166913753666115E-2</v>
      </c>
    </row>
    <row r="139" spans="1:17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16"/>
        <v>2549</v>
      </c>
      <c r="G139" s="827">
        <v>58</v>
      </c>
      <c r="H139" s="330"/>
      <c r="I139" s="330">
        <v>1</v>
      </c>
      <c r="J139" s="8">
        <f t="shared" si="21"/>
        <v>59</v>
      </c>
      <c r="K139" s="72">
        <f t="shared" si="20"/>
        <v>2.3652034475846864E-2</v>
      </c>
      <c r="L139" s="316">
        <f t="shared" si="22"/>
        <v>53.669540990178398</v>
      </c>
      <c r="M139" s="96">
        <f t="shared" si="15"/>
        <v>19.7342902220886</v>
      </c>
      <c r="N139" s="37">
        <v>21.418869331124455</v>
      </c>
      <c r="O139" s="37">
        <f t="shared" si="19"/>
        <v>7.1216275806774911</v>
      </c>
      <c r="P139" s="117">
        <f t="shared" si="23"/>
        <v>8.6812640208458625</v>
      </c>
      <c r="Q139" s="45">
        <f t="shared" si="24"/>
        <v>3.9993851755225157E-2</v>
      </c>
    </row>
    <row r="140" spans="1:17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16"/>
        <v>2593.29</v>
      </c>
      <c r="G140" s="827">
        <v>60</v>
      </c>
      <c r="H140" s="330"/>
      <c r="I140" s="330"/>
      <c r="J140" s="8">
        <f t="shared" si="21"/>
        <v>60</v>
      </c>
      <c r="K140" s="72">
        <f t="shared" si="20"/>
        <v>2.4052916416115455E-2</v>
      </c>
      <c r="L140" s="316">
        <f t="shared" si="22"/>
        <v>54.579194227300064</v>
      </c>
      <c r="M140" s="96">
        <f t="shared" si="15"/>
        <v>20.068769717378235</v>
      </c>
      <c r="N140" s="37">
        <v>21.781901014702836</v>
      </c>
      <c r="O140" s="37">
        <f t="shared" si="19"/>
        <v>7.2423331328923641</v>
      </c>
      <c r="P140" s="117">
        <f t="shared" si="23"/>
        <v>8.8284040889957929</v>
      </c>
      <c r="Q140" s="45">
        <f t="shared" si="24"/>
        <v>3.9977093997305937E-2</v>
      </c>
    </row>
    <row r="141" spans="1:17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16"/>
        <v>385.82</v>
      </c>
      <c r="G141" s="827">
        <v>8</v>
      </c>
      <c r="H141" s="330">
        <v>2</v>
      </c>
      <c r="I141" s="330"/>
      <c r="J141" s="8">
        <f t="shared" si="21"/>
        <v>10</v>
      </c>
      <c r="K141" s="72">
        <f t="shared" si="20"/>
        <v>4.0088194026859092E-3</v>
      </c>
      <c r="L141" s="316">
        <f t="shared" si="22"/>
        <v>9.0965323712166768</v>
      </c>
      <c r="M141" s="96">
        <f t="shared" si="15"/>
        <v>3.3447949528963723</v>
      </c>
      <c r="N141" s="37">
        <v>3.6303168357838063</v>
      </c>
      <c r="O141" s="37">
        <f t="shared" si="19"/>
        <v>1.2070555221487274</v>
      </c>
      <c r="P141" s="117">
        <f t="shared" si="23"/>
        <v>1.4714006814992988</v>
      </c>
      <c r="Q141" s="45">
        <f t="shared" si="24"/>
        <v>4.4784354574790276E-2</v>
      </c>
    </row>
    <row r="142" spans="1:17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16"/>
        <v>1699.75</v>
      </c>
      <c r="G142" s="827">
        <v>36</v>
      </c>
      <c r="H142" s="330"/>
      <c r="I142" s="330"/>
      <c r="J142" s="8">
        <f t="shared" si="21"/>
        <v>36</v>
      </c>
      <c r="K142" s="72">
        <f t="shared" si="20"/>
        <v>1.4431749849669273E-2</v>
      </c>
      <c r="L142" s="316">
        <f t="shared" si="22"/>
        <v>32.74751653638004</v>
      </c>
      <c r="M142" s="96">
        <f t="shared" si="15"/>
        <v>12.041261830426942</v>
      </c>
      <c r="N142" s="37">
        <v>13.069140608821703</v>
      </c>
      <c r="O142" s="37">
        <f t="shared" si="19"/>
        <v>4.3453998797354183</v>
      </c>
      <c r="P142" s="117">
        <f t="shared" si="23"/>
        <v>5.2970424533974754</v>
      </c>
      <c r="Q142" s="45">
        <f t="shared" si="24"/>
        <v>3.6595569263341142E-2</v>
      </c>
    </row>
    <row r="143" spans="1:17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16"/>
        <v>224.06</v>
      </c>
      <c r="G143" s="827">
        <v>3</v>
      </c>
      <c r="H143" s="330"/>
      <c r="I143" s="330">
        <v>1</v>
      </c>
      <c r="J143" s="8">
        <f t="shared" si="21"/>
        <v>4</v>
      </c>
      <c r="K143" s="72">
        <f t="shared" si="20"/>
        <v>1.6035277610743637E-3</v>
      </c>
      <c r="L143" s="316">
        <f t="shared" si="22"/>
        <v>3.6386129484866712</v>
      </c>
      <c r="M143" s="96">
        <f t="shared" si="15"/>
        <v>1.3379179811585491</v>
      </c>
      <c r="N143" s="37">
        <v>1.4521267343135225</v>
      </c>
      <c r="O143" s="37">
        <f t="shared" si="19"/>
        <v>0.48282220885949095</v>
      </c>
      <c r="P143" s="117">
        <f t="shared" si="23"/>
        <v>0.58856027259971955</v>
      </c>
      <c r="Q143" s="45">
        <f t="shared" si="24"/>
        <v>3.0846558389798419E-2</v>
      </c>
    </row>
    <row r="144" spans="1:17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si="16"/>
        <v>138.9</v>
      </c>
      <c r="G144" s="827">
        <v>4</v>
      </c>
      <c r="H144" s="330"/>
      <c r="I144" s="330"/>
      <c r="J144" s="8">
        <f t="shared" si="21"/>
        <v>4</v>
      </c>
      <c r="K144" s="72">
        <f t="shared" si="20"/>
        <v>1.6035277610743637E-3</v>
      </c>
      <c r="L144" s="316">
        <f t="shared" si="22"/>
        <v>3.6386129484866712</v>
      </c>
      <c r="M144" s="96">
        <f t="shared" si="15"/>
        <v>1.3379179811585491</v>
      </c>
      <c r="N144" s="37">
        <v>1.4521267343135225</v>
      </c>
      <c r="O144" s="37">
        <f t="shared" si="19"/>
        <v>0.48282220885949095</v>
      </c>
      <c r="P144" s="117">
        <f t="shared" si="23"/>
        <v>0.58856027259971955</v>
      </c>
      <c r="Q144" s="45">
        <f t="shared" si="24"/>
        <v>4.9758674390340055E-2</v>
      </c>
    </row>
    <row r="145" spans="1:17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si="16"/>
        <v>8410.83</v>
      </c>
      <c r="G145" s="827">
        <v>141</v>
      </c>
      <c r="H145" s="330">
        <v>1</v>
      </c>
      <c r="I145" s="330">
        <v>2</v>
      </c>
      <c r="J145" s="8">
        <f t="shared" si="21"/>
        <v>144</v>
      </c>
      <c r="K145" s="72">
        <f t="shared" si="20"/>
        <v>5.7726999398677092E-2</v>
      </c>
      <c r="L145" s="316">
        <f t="shared" si="22"/>
        <v>130.99006614552016</v>
      </c>
      <c r="M145" s="96">
        <f t="shared" ref="M145:M207" si="25">L145*0.3677</f>
        <v>48.165047321707767</v>
      </c>
      <c r="N145" s="37">
        <v>52.276562435286813</v>
      </c>
      <c r="O145" s="37">
        <f t="shared" si="19"/>
        <v>17.381599518941673</v>
      </c>
      <c r="P145" s="117">
        <f t="shared" si="23"/>
        <v>21.188169813589901</v>
      </c>
      <c r="Q145" s="45">
        <f t="shared" si="24"/>
        <v>2.9582487747517951E-2</v>
      </c>
    </row>
    <row r="146" spans="1:17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ref="F146:F208" si="26">C146+D146+E146</f>
        <v>953.56</v>
      </c>
      <c r="G146" s="827">
        <v>20</v>
      </c>
      <c r="H146" s="330"/>
      <c r="I146" s="330"/>
      <c r="J146" s="8">
        <f t="shared" si="21"/>
        <v>20</v>
      </c>
      <c r="K146" s="72">
        <f t="shared" si="20"/>
        <v>8.0176388053718184E-3</v>
      </c>
      <c r="L146" s="316">
        <f t="shared" si="22"/>
        <v>18.193064742433354</v>
      </c>
      <c r="M146" s="96">
        <f t="shared" si="25"/>
        <v>6.6895899057927446</v>
      </c>
      <c r="N146" s="37">
        <v>7.2606336715676125</v>
      </c>
      <c r="O146" s="37">
        <f t="shared" si="19"/>
        <v>2.4141110442974547</v>
      </c>
      <c r="P146" s="117">
        <f t="shared" si="23"/>
        <v>2.9428013629985976</v>
      </c>
      <c r="Q146" s="45">
        <f t="shared" si="24"/>
        <v>3.6240403712499654E-2</v>
      </c>
    </row>
    <row r="147" spans="1:17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26"/>
        <v>1720.1</v>
      </c>
      <c r="G147" s="827">
        <v>30</v>
      </c>
      <c r="H147" s="330"/>
      <c r="I147" s="330">
        <v>1</v>
      </c>
      <c r="J147" s="8">
        <f t="shared" si="21"/>
        <v>31</v>
      </c>
      <c r="K147" s="72">
        <f t="shared" si="20"/>
        <v>1.2427340148326319E-2</v>
      </c>
      <c r="L147" s="316">
        <f t="shared" si="22"/>
        <v>28.199250350771699</v>
      </c>
      <c r="M147" s="96">
        <f t="shared" si="25"/>
        <v>10.368864353978754</v>
      </c>
      <c r="N147" s="37">
        <v>11.253982190929799</v>
      </c>
      <c r="O147" s="37">
        <f t="shared" si="19"/>
        <v>3.7418721186610546</v>
      </c>
      <c r="P147" s="117">
        <f t="shared" si="23"/>
        <v>4.561342112647826</v>
      </c>
      <c r="Q147" s="45">
        <f t="shared" si="24"/>
        <v>3.1140031983222669E-2</v>
      </c>
    </row>
    <row r="148" spans="1:17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26"/>
        <v>1033.02</v>
      </c>
      <c r="G148" s="827">
        <v>4</v>
      </c>
      <c r="H148" s="330"/>
      <c r="I148" s="330"/>
      <c r="J148" s="8">
        <f t="shared" si="21"/>
        <v>4</v>
      </c>
      <c r="K148" s="72">
        <f t="shared" si="20"/>
        <v>1.6035277610743637E-3</v>
      </c>
      <c r="L148" s="316">
        <f t="shared" si="22"/>
        <v>3.6386129484866712</v>
      </c>
      <c r="M148" s="96">
        <f t="shared" si="25"/>
        <v>1.3379179811585491</v>
      </c>
      <c r="N148" s="37">
        <v>1.4521267343135225</v>
      </c>
      <c r="O148" s="37">
        <f t="shared" si="19"/>
        <v>0.48282220885949095</v>
      </c>
      <c r="P148" s="117">
        <f t="shared" si="23"/>
        <v>0.58856027259971955</v>
      </c>
      <c r="Q148" s="45">
        <f t="shared" si="24"/>
        <v>6.690557658920673E-3</v>
      </c>
    </row>
    <row r="149" spans="1:17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26"/>
        <v>220.38</v>
      </c>
      <c r="G149" s="827">
        <v>20</v>
      </c>
      <c r="H149" s="330"/>
      <c r="I149" s="330"/>
      <c r="J149" s="8">
        <f t="shared" si="21"/>
        <v>20</v>
      </c>
      <c r="K149" s="72">
        <f t="shared" si="20"/>
        <v>8.0176388053718184E-3</v>
      </c>
      <c r="L149" s="316">
        <f t="shared" si="22"/>
        <v>18.193064742433354</v>
      </c>
      <c r="M149" s="96">
        <f t="shared" si="25"/>
        <v>6.6895899057927446</v>
      </c>
      <c r="N149" s="37">
        <v>7.2606336715676125</v>
      </c>
      <c r="O149" s="37">
        <f t="shared" si="19"/>
        <v>2.4141110442974547</v>
      </c>
      <c r="P149" s="117">
        <f t="shared" si="23"/>
        <v>2.9428013629985976</v>
      </c>
      <c r="Q149" s="45">
        <f t="shared" si="24"/>
        <v>0.1568082374266774</v>
      </c>
    </row>
    <row r="150" spans="1:17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26"/>
        <v>1973.5500000000002</v>
      </c>
      <c r="G150" s="827">
        <v>24</v>
      </c>
      <c r="H150" s="330">
        <v>1</v>
      </c>
      <c r="I150" s="330"/>
      <c r="J150" s="8">
        <f t="shared" si="21"/>
        <v>25</v>
      </c>
      <c r="K150" s="72">
        <f t="shared" si="20"/>
        <v>1.0022048506714773E-2</v>
      </c>
      <c r="L150" s="316">
        <f t="shared" si="22"/>
        <v>22.741330928041695</v>
      </c>
      <c r="M150" s="96">
        <f t="shared" si="25"/>
        <v>8.3619873822409314</v>
      </c>
      <c r="N150" s="37">
        <v>9.0757920894595152</v>
      </c>
      <c r="O150" s="37">
        <f t="shared" si="19"/>
        <v>3.0176388053718184</v>
      </c>
      <c r="P150" s="117">
        <f t="shared" si="23"/>
        <v>3.678501703748247</v>
      </c>
      <c r="Q150" s="45">
        <f t="shared" si="24"/>
        <v>2.188784130379973E-2</v>
      </c>
    </row>
    <row r="151" spans="1:17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26"/>
        <v>1290.5</v>
      </c>
      <c r="G151" s="827">
        <v>24</v>
      </c>
      <c r="H151" s="330">
        <v>3</v>
      </c>
      <c r="I151" s="330"/>
      <c r="J151" s="8">
        <f t="shared" si="21"/>
        <v>27</v>
      </c>
      <c r="K151" s="72">
        <f t="shared" si="20"/>
        <v>1.0823812387251955E-2</v>
      </c>
      <c r="L151" s="316">
        <f t="shared" si="22"/>
        <v>24.560637402285028</v>
      </c>
      <c r="M151" s="96">
        <f t="shared" si="25"/>
        <v>9.0309463728202051</v>
      </c>
      <c r="N151" s="37">
        <v>9.801855456616277</v>
      </c>
      <c r="O151" s="37">
        <f t="shared" si="19"/>
        <v>3.2590499098015639</v>
      </c>
      <c r="P151" s="117">
        <f t="shared" si="23"/>
        <v>3.9727818400481065</v>
      </c>
      <c r="Q151" s="45">
        <f t="shared" si="24"/>
        <v>3.615070836228057E-2</v>
      </c>
    </row>
    <row r="152" spans="1:17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26"/>
        <v>231.77</v>
      </c>
      <c r="G152" s="827">
        <v>5</v>
      </c>
      <c r="H152" s="330">
        <v>1</v>
      </c>
      <c r="I152" s="330"/>
      <c r="J152" s="8">
        <f t="shared" si="21"/>
        <v>6</v>
      </c>
      <c r="K152" s="72">
        <f t="shared" si="20"/>
        <v>2.4052916416115455E-3</v>
      </c>
      <c r="L152" s="316">
        <f t="shared" si="22"/>
        <v>5.457919422730007</v>
      </c>
      <c r="M152" s="96">
        <f t="shared" si="25"/>
        <v>2.0068769717378236</v>
      </c>
      <c r="N152" s="37">
        <v>2.1781901014702836</v>
      </c>
      <c r="O152" s="37">
        <f t="shared" si="19"/>
        <v>0.72423331328923646</v>
      </c>
      <c r="P152" s="117">
        <f t="shared" si="23"/>
        <v>0.88284040889957927</v>
      </c>
      <c r="Q152" s="45">
        <f t="shared" si="24"/>
        <v>4.4730637309519566E-2</v>
      </c>
    </row>
    <row r="153" spans="1:17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26"/>
        <v>1422.83</v>
      </c>
      <c r="G153" s="827">
        <v>30</v>
      </c>
      <c r="H153" s="330"/>
      <c r="I153" s="330"/>
      <c r="J153" s="8">
        <f t="shared" si="21"/>
        <v>30</v>
      </c>
      <c r="K153" s="72">
        <f t="shared" si="20"/>
        <v>1.2026458208057728E-2</v>
      </c>
      <c r="L153" s="316">
        <f t="shared" si="22"/>
        <v>27.289597113650032</v>
      </c>
      <c r="M153" s="96">
        <f t="shared" si="25"/>
        <v>10.034384858689117</v>
      </c>
      <c r="N153" s="37">
        <v>10.890950507351418</v>
      </c>
      <c r="O153" s="37">
        <f t="shared" si="19"/>
        <v>3.6211665664461821</v>
      </c>
      <c r="P153" s="117">
        <f t="shared" si="23"/>
        <v>4.4142020444978964</v>
      </c>
      <c r="Q153" s="45">
        <f t="shared" si="24"/>
        <v>3.6431688287523287E-2</v>
      </c>
    </row>
    <row r="154" spans="1:17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26"/>
        <v>377.6</v>
      </c>
      <c r="G154" s="827">
        <v>8</v>
      </c>
      <c r="H154" s="330"/>
      <c r="I154" s="330"/>
      <c r="J154" s="8">
        <f t="shared" si="21"/>
        <v>8</v>
      </c>
      <c r="K154" s="72">
        <f t="shared" si="20"/>
        <v>3.2070555221487274E-3</v>
      </c>
      <c r="L154" s="316">
        <f t="shared" si="22"/>
        <v>7.2772258969733423</v>
      </c>
      <c r="M154" s="96">
        <f t="shared" si="25"/>
        <v>2.6758359623170982</v>
      </c>
      <c r="N154" s="37">
        <v>2.9042534686270449</v>
      </c>
      <c r="O154" s="37">
        <f t="shared" si="19"/>
        <v>0.96564441771898191</v>
      </c>
      <c r="P154" s="117">
        <f t="shared" si="23"/>
        <v>1.1771205451994391</v>
      </c>
      <c r="Q154" s="45">
        <f t="shared" si="24"/>
        <v>3.6607414580605048E-2</v>
      </c>
    </row>
    <row r="155" spans="1:17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26"/>
        <v>1852.5099999999998</v>
      </c>
      <c r="G155" s="827">
        <v>36</v>
      </c>
      <c r="H155" s="330">
        <v>2</v>
      </c>
      <c r="I155" s="330"/>
      <c r="J155" s="8">
        <f t="shared" si="21"/>
        <v>38</v>
      </c>
      <c r="K155" s="72">
        <f t="shared" si="20"/>
        <v>1.5233513730206455E-2</v>
      </c>
      <c r="L155" s="316">
        <f t="shared" si="22"/>
        <v>34.566823010623374</v>
      </c>
      <c r="M155" s="96">
        <f t="shared" si="25"/>
        <v>12.710220821006216</v>
      </c>
      <c r="N155" s="37">
        <v>13.795203975978463</v>
      </c>
      <c r="O155" s="37">
        <f t="shared" ref="O155:O218" si="27">K155*301.1</f>
        <v>4.5868109841651643</v>
      </c>
      <c r="P155" s="117">
        <f t="shared" si="23"/>
        <v>5.5913225896973353</v>
      </c>
      <c r="Q155" s="45">
        <f t="shared" si="24"/>
        <v>3.5443295200443307E-2</v>
      </c>
    </row>
    <row r="156" spans="1:17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26"/>
        <v>2010.19</v>
      </c>
      <c r="G156" s="827">
        <v>48</v>
      </c>
      <c r="H156" s="330"/>
      <c r="I156" s="330"/>
      <c r="J156" s="8">
        <f t="shared" si="21"/>
        <v>48</v>
      </c>
      <c r="K156" s="72">
        <f t="shared" ref="K156:K219" si="28">2/4989*J156</f>
        <v>1.9242333132892364E-2</v>
      </c>
      <c r="L156" s="316">
        <f t="shared" ref="L156:L219" si="29">K156*2269.13</f>
        <v>43.663355381840056</v>
      </c>
      <c r="M156" s="96">
        <f t="shared" si="25"/>
        <v>16.055015773902589</v>
      </c>
      <c r="N156" s="37">
        <v>17.425520811762269</v>
      </c>
      <c r="O156" s="37">
        <f t="shared" si="27"/>
        <v>5.7938665063138917</v>
      </c>
      <c r="P156" s="117">
        <f t="shared" si="23"/>
        <v>7.0627232711966341</v>
      </c>
      <c r="Q156" s="45">
        <f t="shared" si="24"/>
        <v>4.1258666331948128E-2</v>
      </c>
    </row>
    <row r="157" spans="1:17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26"/>
        <v>1464.32</v>
      </c>
      <c r="G157" s="827">
        <v>32</v>
      </c>
      <c r="H157" s="330"/>
      <c r="I157" s="330"/>
      <c r="J157" s="8">
        <f t="shared" ref="J157:J220" si="30">G157+H157+I157</f>
        <v>32</v>
      </c>
      <c r="K157" s="72">
        <f t="shared" si="28"/>
        <v>1.2828222088594909E-2</v>
      </c>
      <c r="L157" s="316">
        <f t="shared" si="29"/>
        <v>29.108903587893369</v>
      </c>
      <c r="M157" s="96">
        <f t="shared" si="25"/>
        <v>10.703343849268393</v>
      </c>
      <c r="N157" s="37">
        <v>11.61701387450818</v>
      </c>
      <c r="O157" s="37">
        <f t="shared" si="27"/>
        <v>3.8625776708759276</v>
      </c>
      <c r="P157" s="117">
        <f t="shared" ref="P157:P220" si="31">O157*1.219</f>
        <v>4.7084821807977564</v>
      </c>
      <c r="Q157" s="45">
        <f t="shared" si="24"/>
        <v>3.7759396158316402E-2</v>
      </c>
    </row>
    <row r="158" spans="1:17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26"/>
        <v>152.11000000000001</v>
      </c>
      <c r="G158" s="827">
        <v>4</v>
      </c>
      <c r="H158" s="330"/>
      <c r="I158" s="330"/>
      <c r="J158" s="8">
        <f t="shared" si="30"/>
        <v>4</v>
      </c>
      <c r="K158" s="72">
        <f t="shared" si="28"/>
        <v>1.6035277610743637E-3</v>
      </c>
      <c r="L158" s="316">
        <f t="shared" si="29"/>
        <v>3.6386129484866712</v>
      </c>
      <c r="M158" s="96">
        <f t="shared" si="25"/>
        <v>1.3379179811585491</v>
      </c>
      <c r="N158" s="37">
        <v>1.4521267343135225</v>
      </c>
      <c r="O158" s="37">
        <f t="shared" si="27"/>
        <v>0.48282220885949095</v>
      </c>
      <c r="P158" s="117">
        <f t="shared" si="31"/>
        <v>0.58856027259971955</v>
      </c>
      <c r="Q158" s="45">
        <f t="shared" si="24"/>
        <v>4.5437380006694054E-2</v>
      </c>
    </row>
    <row r="159" spans="1:17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26"/>
        <v>2553.5700000000002</v>
      </c>
      <c r="G159" s="827">
        <v>60</v>
      </c>
      <c r="H159" s="330"/>
      <c r="I159" s="330"/>
      <c r="J159" s="8">
        <f t="shared" si="30"/>
        <v>60</v>
      </c>
      <c r="K159" s="72">
        <f t="shared" si="28"/>
        <v>2.4052916416115455E-2</v>
      </c>
      <c r="L159" s="316">
        <f t="shared" si="29"/>
        <v>54.579194227300064</v>
      </c>
      <c r="M159" s="96">
        <f t="shared" si="25"/>
        <v>20.068769717378235</v>
      </c>
      <c r="N159" s="37">
        <v>21.781901014702836</v>
      </c>
      <c r="O159" s="37">
        <f t="shared" si="27"/>
        <v>7.2423331328923641</v>
      </c>
      <c r="P159" s="117">
        <f t="shared" si="31"/>
        <v>8.8284040889957929</v>
      </c>
      <c r="Q159" s="45">
        <f t="shared" si="24"/>
        <v>4.059892546210736E-2</v>
      </c>
    </row>
    <row r="160" spans="1:17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26"/>
        <v>101.99</v>
      </c>
      <c r="G160" s="827">
        <v>1</v>
      </c>
      <c r="H160" s="330">
        <v>1</v>
      </c>
      <c r="I160" s="330"/>
      <c r="J160" s="8">
        <f t="shared" si="30"/>
        <v>2</v>
      </c>
      <c r="K160" s="72">
        <f t="shared" si="28"/>
        <v>8.0176388053718184E-4</v>
      </c>
      <c r="L160" s="316">
        <f t="shared" si="29"/>
        <v>1.8193064742433356</v>
      </c>
      <c r="M160" s="96">
        <f t="shared" si="25"/>
        <v>0.66895899057927455</v>
      </c>
      <c r="N160" s="37">
        <v>0.72606336715676123</v>
      </c>
      <c r="O160" s="37">
        <f t="shared" si="27"/>
        <v>0.24141110442974548</v>
      </c>
      <c r="P160" s="117">
        <f t="shared" si="31"/>
        <v>0.29428013629985977</v>
      </c>
      <c r="Q160" s="45">
        <f t="shared" si="24"/>
        <v>3.3883125173145574E-2</v>
      </c>
    </row>
    <row r="161" spans="1:17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26"/>
        <v>166.1</v>
      </c>
      <c r="G161" s="827">
        <v>3</v>
      </c>
      <c r="H161" s="330"/>
      <c r="I161" s="330"/>
      <c r="J161" s="8">
        <f t="shared" si="30"/>
        <v>3</v>
      </c>
      <c r="K161" s="72">
        <f t="shared" si="28"/>
        <v>1.2026458208057728E-3</v>
      </c>
      <c r="L161" s="316">
        <f t="shared" si="29"/>
        <v>2.7289597113650035</v>
      </c>
      <c r="M161" s="96">
        <f t="shared" si="25"/>
        <v>1.0034384858689118</v>
      </c>
      <c r="N161" s="37">
        <v>1.0890950507351418</v>
      </c>
      <c r="O161" s="37">
        <f t="shared" si="27"/>
        <v>0.36211665664461823</v>
      </c>
      <c r="P161" s="117">
        <f t="shared" si="31"/>
        <v>0.44142020444978963</v>
      </c>
      <c r="Q161" s="45">
        <f t="shared" si="24"/>
        <v>3.1207765831509183E-2</v>
      </c>
    </row>
    <row r="162" spans="1:17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26"/>
        <v>315.39999999999998</v>
      </c>
      <c r="G162" s="827">
        <v>8</v>
      </c>
      <c r="H162" s="330"/>
      <c r="I162" s="330"/>
      <c r="J162" s="8">
        <f t="shared" si="30"/>
        <v>8</v>
      </c>
      <c r="K162" s="72">
        <f t="shared" si="28"/>
        <v>3.2070555221487274E-3</v>
      </c>
      <c r="L162" s="316">
        <f t="shared" si="29"/>
        <v>7.2772258969733423</v>
      </c>
      <c r="M162" s="96">
        <f t="shared" si="25"/>
        <v>2.6758359623170982</v>
      </c>
      <c r="N162" s="37">
        <v>2.9042534686270449</v>
      </c>
      <c r="O162" s="37">
        <f t="shared" si="27"/>
        <v>0.96564441771898191</v>
      </c>
      <c r="P162" s="117">
        <f t="shared" si="31"/>
        <v>1.1771205451994391</v>
      </c>
      <c r="Q162" s="45">
        <f t="shared" si="24"/>
        <v>4.3826758863780811E-2</v>
      </c>
    </row>
    <row r="163" spans="1:17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26"/>
        <v>1497.91</v>
      </c>
      <c r="G163" s="827">
        <v>29</v>
      </c>
      <c r="H163" s="330">
        <v>2</v>
      </c>
      <c r="I163" s="330"/>
      <c r="J163" s="8">
        <f t="shared" si="30"/>
        <v>31</v>
      </c>
      <c r="K163" s="72">
        <f t="shared" si="28"/>
        <v>1.2427340148326319E-2</v>
      </c>
      <c r="L163" s="316">
        <f t="shared" si="29"/>
        <v>28.199250350771699</v>
      </c>
      <c r="M163" s="96">
        <f t="shared" si="25"/>
        <v>10.368864353978754</v>
      </c>
      <c r="N163" s="37">
        <v>11.253982190929799</v>
      </c>
      <c r="O163" s="37">
        <f t="shared" si="27"/>
        <v>3.7418721186610546</v>
      </c>
      <c r="P163" s="117">
        <f t="shared" si="31"/>
        <v>4.561342112647826</v>
      </c>
      <c r="Q163" s="45">
        <f t="shared" si="24"/>
        <v>3.5759137073883819E-2</v>
      </c>
    </row>
    <row r="164" spans="1:17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26"/>
        <v>165.93</v>
      </c>
      <c r="G164" s="827">
        <v>3</v>
      </c>
      <c r="H164" s="330"/>
      <c r="I164" s="330"/>
      <c r="J164" s="8">
        <f t="shared" si="30"/>
        <v>3</v>
      </c>
      <c r="K164" s="72">
        <f t="shared" si="28"/>
        <v>1.2026458208057728E-3</v>
      </c>
      <c r="L164" s="316">
        <f t="shared" si="29"/>
        <v>2.7289597113650035</v>
      </c>
      <c r="M164" s="96">
        <f t="shared" si="25"/>
        <v>1.0034384858689118</v>
      </c>
      <c r="N164" s="37">
        <v>1.0890950507351418</v>
      </c>
      <c r="O164" s="37">
        <f t="shared" si="27"/>
        <v>0.36211665664461823</v>
      </c>
      <c r="P164" s="117">
        <f t="shared" si="31"/>
        <v>0.44142020444978963</v>
      </c>
      <c r="Q164" s="45">
        <f t="shared" si="24"/>
        <v>3.1239739074390857E-2</v>
      </c>
    </row>
    <row r="165" spans="1:17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26"/>
        <v>977.29000000000008</v>
      </c>
      <c r="G165" s="827">
        <v>15</v>
      </c>
      <c r="H165" s="330">
        <v>2</v>
      </c>
      <c r="I165" s="330"/>
      <c r="J165" s="8">
        <f t="shared" si="30"/>
        <v>17</v>
      </c>
      <c r="K165" s="72">
        <f t="shared" si="28"/>
        <v>6.8149929845660456E-3</v>
      </c>
      <c r="L165" s="316">
        <f t="shared" si="29"/>
        <v>15.464105031068351</v>
      </c>
      <c r="M165" s="96">
        <f t="shared" si="25"/>
        <v>5.6861514199238332</v>
      </c>
      <c r="N165" s="37">
        <v>6.1715386208324707</v>
      </c>
      <c r="O165" s="37">
        <f t="shared" si="27"/>
        <v>2.0519943876528366</v>
      </c>
      <c r="P165" s="117">
        <f t="shared" si="31"/>
        <v>2.5013811585488082</v>
      </c>
      <c r="Q165" s="45">
        <f t="shared" si="24"/>
        <v>3.0056369613397752E-2</v>
      </c>
    </row>
    <row r="166" spans="1:17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26"/>
        <v>144.9</v>
      </c>
      <c r="G166" s="827">
        <v>3</v>
      </c>
      <c r="H166" s="330"/>
      <c r="I166" s="330"/>
      <c r="J166" s="8">
        <f t="shared" si="30"/>
        <v>3</v>
      </c>
      <c r="K166" s="72">
        <f t="shared" si="28"/>
        <v>1.2026458208057728E-3</v>
      </c>
      <c r="L166" s="316">
        <f t="shared" si="29"/>
        <v>2.7289597113650035</v>
      </c>
      <c r="M166" s="96">
        <f t="shared" si="25"/>
        <v>1.0034384858689118</v>
      </c>
      <c r="N166" s="37">
        <v>1.0890950507351418</v>
      </c>
      <c r="O166" s="37">
        <f t="shared" si="27"/>
        <v>0.36211665664461823</v>
      </c>
      <c r="P166" s="117">
        <f t="shared" si="31"/>
        <v>0.44142020444978963</v>
      </c>
      <c r="Q166" s="45">
        <f t="shared" si="24"/>
        <v>3.5773705345850067E-2</v>
      </c>
    </row>
    <row r="167" spans="1:17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26"/>
        <v>231.9</v>
      </c>
      <c r="G167" s="827">
        <v>4</v>
      </c>
      <c r="H167" s="330">
        <v>1</v>
      </c>
      <c r="I167" s="330"/>
      <c r="J167" s="8">
        <f t="shared" si="30"/>
        <v>5</v>
      </c>
      <c r="K167" s="72">
        <f t="shared" si="28"/>
        <v>2.0044097013429546E-3</v>
      </c>
      <c r="L167" s="316">
        <f t="shared" si="29"/>
        <v>4.5482661856083384</v>
      </c>
      <c r="M167" s="96">
        <f t="shared" si="25"/>
        <v>1.6723974764481861</v>
      </c>
      <c r="N167" s="37">
        <v>1.8151584178919031</v>
      </c>
      <c r="O167" s="37">
        <f t="shared" si="27"/>
        <v>0.60352776107436368</v>
      </c>
      <c r="P167" s="117">
        <f t="shared" si="31"/>
        <v>0.73570034074964941</v>
      </c>
      <c r="Q167" s="45">
        <f t="shared" si="24"/>
        <v>3.7254634933259131E-2</v>
      </c>
    </row>
    <row r="168" spans="1:17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26"/>
        <v>3146.6</v>
      </c>
      <c r="G168" s="827">
        <v>52</v>
      </c>
      <c r="H168" s="330"/>
      <c r="I168" s="330"/>
      <c r="J168" s="8">
        <f t="shared" si="30"/>
        <v>52</v>
      </c>
      <c r="K168" s="72">
        <f t="shared" si="28"/>
        <v>2.0845860893966728E-2</v>
      </c>
      <c r="L168" s="316">
        <f t="shared" si="29"/>
        <v>47.301968330326723</v>
      </c>
      <c r="M168" s="96">
        <f t="shared" si="25"/>
        <v>17.392933755061136</v>
      </c>
      <c r="N168" s="37">
        <v>18.877647546075792</v>
      </c>
      <c r="O168" s="37">
        <f t="shared" si="27"/>
        <v>6.2766887151733819</v>
      </c>
      <c r="P168" s="117">
        <f t="shared" si="31"/>
        <v>7.6512835437963531</v>
      </c>
      <c r="Q168" s="45">
        <f t="shared" si="24"/>
        <v>2.8554388338726575E-2</v>
      </c>
    </row>
    <row r="169" spans="1:17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26"/>
        <v>848.35</v>
      </c>
      <c r="G169" s="827">
        <v>17</v>
      </c>
      <c r="H169" s="330"/>
      <c r="I169" s="330"/>
      <c r="J169" s="8">
        <f t="shared" si="30"/>
        <v>17</v>
      </c>
      <c r="K169" s="72">
        <f t="shared" si="28"/>
        <v>6.8149929845660456E-3</v>
      </c>
      <c r="L169" s="316">
        <f t="shared" si="29"/>
        <v>15.464105031068351</v>
      </c>
      <c r="M169" s="96">
        <f t="shared" si="25"/>
        <v>5.6861514199238332</v>
      </c>
      <c r="N169" s="37">
        <v>6.1715386208324707</v>
      </c>
      <c r="O169" s="37">
        <f t="shared" si="27"/>
        <v>2.0519943876528366</v>
      </c>
      <c r="P169" s="117">
        <f t="shared" si="31"/>
        <v>2.5013811585488082</v>
      </c>
      <c r="Q169" s="45">
        <f t="shared" si="24"/>
        <v>3.4624611845909696E-2</v>
      </c>
    </row>
    <row r="170" spans="1:17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26"/>
        <v>885.4</v>
      </c>
      <c r="G170" s="827">
        <v>18</v>
      </c>
      <c r="H170" s="330"/>
      <c r="I170" s="330"/>
      <c r="J170" s="8">
        <f t="shared" si="30"/>
        <v>18</v>
      </c>
      <c r="K170" s="72">
        <f t="shared" si="28"/>
        <v>7.2158749248346366E-3</v>
      </c>
      <c r="L170" s="316">
        <f t="shared" si="29"/>
        <v>16.37375826819002</v>
      </c>
      <c r="M170" s="96">
        <f t="shared" si="25"/>
        <v>6.0206309152134709</v>
      </c>
      <c r="N170" s="37">
        <v>6.5345703044108516</v>
      </c>
      <c r="O170" s="37">
        <f t="shared" si="27"/>
        <v>2.1726999398677092</v>
      </c>
      <c r="P170" s="117">
        <f t="shared" si="31"/>
        <v>2.6485212266987377</v>
      </c>
      <c r="Q170" s="45">
        <f t="shared" si="24"/>
        <v>3.5127241278159083E-2</v>
      </c>
    </row>
    <row r="171" spans="1:17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26"/>
        <v>877.79</v>
      </c>
      <c r="G171" s="827">
        <v>17</v>
      </c>
      <c r="H171" s="330"/>
      <c r="I171" s="330"/>
      <c r="J171" s="8">
        <f t="shared" si="30"/>
        <v>17</v>
      </c>
      <c r="K171" s="72">
        <f t="shared" si="28"/>
        <v>6.8149929845660456E-3</v>
      </c>
      <c r="L171" s="316">
        <f t="shared" si="29"/>
        <v>15.464105031068351</v>
      </c>
      <c r="M171" s="96">
        <f t="shared" si="25"/>
        <v>5.6861514199238332</v>
      </c>
      <c r="N171" s="37">
        <v>6.1715386208324707</v>
      </c>
      <c r="O171" s="37">
        <f t="shared" si="27"/>
        <v>2.0519943876528366</v>
      </c>
      <c r="P171" s="117">
        <f t="shared" si="31"/>
        <v>2.5013811585488082</v>
      </c>
      <c r="Q171" s="45">
        <f t="shared" si="24"/>
        <v>3.346334483131215E-2</v>
      </c>
    </row>
    <row r="172" spans="1:17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26"/>
        <v>949.9</v>
      </c>
      <c r="G172" s="827">
        <v>19</v>
      </c>
      <c r="H172" s="330"/>
      <c r="I172" s="330">
        <v>1</v>
      </c>
      <c r="J172" s="8">
        <f t="shared" si="30"/>
        <v>20</v>
      </c>
      <c r="K172" s="72">
        <f t="shared" si="28"/>
        <v>8.0176388053718184E-3</v>
      </c>
      <c r="L172" s="316">
        <f t="shared" si="29"/>
        <v>18.193064742433354</v>
      </c>
      <c r="M172" s="96">
        <f t="shared" si="25"/>
        <v>6.6895899057927446</v>
      </c>
      <c r="N172" s="37">
        <v>7.2606336715676125</v>
      </c>
      <c r="O172" s="37">
        <f t="shared" si="27"/>
        <v>2.4141110442974547</v>
      </c>
      <c r="P172" s="117">
        <f t="shared" si="31"/>
        <v>2.9428013629985976</v>
      </c>
      <c r="Q172" s="45">
        <f t="shared" si="24"/>
        <v>3.6380039334762783E-2</v>
      </c>
    </row>
    <row r="173" spans="1:17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26"/>
        <v>1056</v>
      </c>
      <c r="G173" s="827">
        <v>13</v>
      </c>
      <c r="H173" s="330"/>
      <c r="I173" s="330">
        <v>1</v>
      </c>
      <c r="J173" s="8">
        <f t="shared" si="30"/>
        <v>14</v>
      </c>
      <c r="K173" s="72">
        <f t="shared" si="28"/>
        <v>5.6123471637602729E-3</v>
      </c>
      <c r="L173" s="316">
        <f t="shared" si="29"/>
        <v>12.735145319703349</v>
      </c>
      <c r="M173" s="96">
        <f t="shared" si="25"/>
        <v>4.6827129340549218</v>
      </c>
      <c r="N173" s="37">
        <v>5.0824435700973281</v>
      </c>
      <c r="O173" s="37">
        <f t="shared" si="27"/>
        <v>1.6898777310082183</v>
      </c>
      <c r="P173" s="117">
        <f t="shared" si="31"/>
        <v>2.0599609540990182</v>
      </c>
      <c r="Q173" s="45">
        <f t="shared" si="24"/>
        <v>2.290736700271195E-2</v>
      </c>
    </row>
    <row r="174" spans="1:17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26"/>
        <v>998.3</v>
      </c>
      <c r="G174" s="827">
        <v>17</v>
      </c>
      <c r="H174" s="330">
        <v>1</v>
      </c>
      <c r="I174" s="330"/>
      <c r="J174" s="8">
        <f t="shared" si="30"/>
        <v>18</v>
      </c>
      <c r="K174" s="72">
        <f t="shared" si="28"/>
        <v>7.2158749248346366E-3</v>
      </c>
      <c r="L174" s="316">
        <f t="shared" si="29"/>
        <v>16.37375826819002</v>
      </c>
      <c r="M174" s="96">
        <f t="shared" si="25"/>
        <v>6.0206309152134709</v>
      </c>
      <c r="N174" s="37">
        <v>6.5345703044108516</v>
      </c>
      <c r="O174" s="37">
        <f t="shared" si="27"/>
        <v>2.1726999398677092</v>
      </c>
      <c r="P174" s="117">
        <f t="shared" si="31"/>
        <v>2.6485212266987377</v>
      </c>
      <c r="Q174" s="45">
        <f t="shared" si="24"/>
        <v>3.1154622285567517E-2</v>
      </c>
    </row>
    <row r="175" spans="1:17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26"/>
        <v>304</v>
      </c>
      <c r="G175" s="827">
        <v>7</v>
      </c>
      <c r="H175" s="330"/>
      <c r="I175" s="330"/>
      <c r="J175" s="8">
        <f t="shared" si="30"/>
        <v>7</v>
      </c>
      <c r="K175" s="72">
        <f t="shared" si="28"/>
        <v>2.8061735818801364E-3</v>
      </c>
      <c r="L175" s="316">
        <f t="shared" si="29"/>
        <v>6.3675726598516746</v>
      </c>
      <c r="M175" s="96">
        <f t="shared" si="25"/>
        <v>2.3413564670274609</v>
      </c>
      <c r="N175" s="37">
        <v>2.541221785048664</v>
      </c>
      <c r="O175" s="37">
        <f t="shared" si="27"/>
        <v>0.84493886550410913</v>
      </c>
      <c r="P175" s="117">
        <f t="shared" si="31"/>
        <v>1.0299804770495091</v>
      </c>
      <c r="Q175" s="45">
        <f t="shared" si="24"/>
        <v>3.9786479531026014E-2</v>
      </c>
    </row>
    <row r="176" spans="1:17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26"/>
        <v>1347.46</v>
      </c>
      <c r="G176" s="827">
        <v>24</v>
      </c>
      <c r="H176" s="330">
        <v>1</v>
      </c>
      <c r="I176" s="330">
        <v>1</v>
      </c>
      <c r="J176" s="8">
        <f t="shared" si="30"/>
        <v>26</v>
      </c>
      <c r="K176" s="72">
        <f t="shared" si="28"/>
        <v>1.0422930446983364E-2</v>
      </c>
      <c r="L176" s="316">
        <f t="shared" si="29"/>
        <v>23.650984165163361</v>
      </c>
      <c r="M176" s="96">
        <f t="shared" si="25"/>
        <v>8.6964668775305682</v>
      </c>
      <c r="N176" s="37">
        <v>9.4388237730378961</v>
      </c>
      <c r="O176" s="37">
        <f t="shared" si="27"/>
        <v>3.1383443575866909</v>
      </c>
      <c r="P176" s="117">
        <f t="shared" si="31"/>
        <v>3.8256417718981766</v>
      </c>
      <c r="Q176" s="45">
        <f t="shared" si="24"/>
        <v>3.3340224699299807E-2</v>
      </c>
    </row>
    <row r="177" spans="1:17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26"/>
        <v>930.9</v>
      </c>
      <c r="G177" s="827">
        <v>16</v>
      </c>
      <c r="H177" s="330"/>
      <c r="I177" s="330"/>
      <c r="J177" s="8">
        <f t="shared" si="30"/>
        <v>16</v>
      </c>
      <c r="K177" s="72">
        <f t="shared" si="28"/>
        <v>6.4141110442974547E-3</v>
      </c>
      <c r="L177" s="316">
        <f t="shared" si="29"/>
        <v>14.554451793946685</v>
      </c>
      <c r="M177" s="96">
        <f t="shared" si="25"/>
        <v>5.3516719246341964</v>
      </c>
      <c r="N177" s="37">
        <v>5.8085069372540898</v>
      </c>
      <c r="O177" s="37">
        <f t="shared" si="27"/>
        <v>1.9312888354379638</v>
      </c>
      <c r="P177" s="117">
        <f t="shared" si="31"/>
        <v>2.3542410903988782</v>
      </c>
      <c r="Q177" s="45">
        <f t="shared" si="24"/>
        <v>2.9698055098585169E-2</v>
      </c>
    </row>
    <row r="178" spans="1:17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26"/>
        <v>791.4</v>
      </c>
      <c r="G178" s="827">
        <v>19</v>
      </c>
      <c r="H178" s="330"/>
      <c r="I178" s="330"/>
      <c r="J178" s="8">
        <f t="shared" si="30"/>
        <v>19</v>
      </c>
      <c r="K178" s="72">
        <f t="shared" si="28"/>
        <v>7.6167568651032275E-3</v>
      </c>
      <c r="L178" s="316">
        <f t="shared" si="29"/>
        <v>17.283411505311687</v>
      </c>
      <c r="M178" s="96">
        <f t="shared" si="25"/>
        <v>6.3551104105031078</v>
      </c>
      <c r="N178" s="37">
        <v>6.8976019879892316</v>
      </c>
      <c r="O178" s="37">
        <f t="shared" si="27"/>
        <v>2.2934054920825822</v>
      </c>
      <c r="P178" s="117">
        <f t="shared" si="31"/>
        <v>2.7956612948486677</v>
      </c>
      <c r="Q178" s="45">
        <f t="shared" si="24"/>
        <v>4.1482852408246916E-2</v>
      </c>
    </row>
    <row r="179" spans="1:17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26"/>
        <v>574.42999999999995</v>
      </c>
      <c r="G179" s="827">
        <v>17</v>
      </c>
      <c r="H179" s="330"/>
      <c r="I179" s="330"/>
      <c r="J179" s="8">
        <f t="shared" si="30"/>
        <v>17</v>
      </c>
      <c r="K179" s="72">
        <f t="shared" si="28"/>
        <v>6.8149929845660456E-3</v>
      </c>
      <c r="L179" s="316">
        <f t="shared" si="29"/>
        <v>15.464105031068351</v>
      </c>
      <c r="M179" s="96">
        <f t="shared" si="25"/>
        <v>5.6861514199238332</v>
      </c>
      <c r="N179" s="37">
        <v>6.1715386208324707</v>
      </c>
      <c r="O179" s="37">
        <f t="shared" si="27"/>
        <v>2.0519943876528366</v>
      </c>
      <c r="P179" s="117">
        <f t="shared" si="31"/>
        <v>2.5013811585488082</v>
      </c>
      <c r="Q179" s="45">
        <f t="shared" si="24"/>
        <v>5.1135542119105017E-2</v>
      </c>
    </row>
    <row r="180" spans="1:17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26"/>
        <v>326.89999999999998</v>
      </c>
      <c r="G180" s="827">
        <v>5</v>
      </c>
      <c r="H180" s="330"/>
      <c r="I180" s="330"/>
      <c r="J180" s="8">
        <f t="shared" si="30"/>
        <v>5</v>
      </c>
      <c r="K180" s="72">
        <f t="shared" si="28"/>
        <v>2.0044097013429546E-3</v>
      </c>
      <c r="L180" s="316">
        <f t="shared" si="29"/>
        <v>4.5482661856083384</v>
      </c>
      <c r="M180" s="96">
        <f t="shared" si="25"/>
        <v>1.6723974764481861</v>
      </c>
      <c r="N180" s="37">
        <v>1.8151584178919031</v>
      </c>
      <c r="O180" s="37">
        <f t="shared" si="27"/>
        <v>0.60352776107436368</v>
      </c>
      <c r="P180" s="117">
        <f t="shared" si="31"/>
        <v>0.73570034074964941</v>
      </c>
      <c r="Q180" s="45">
        <f t="shared" si="24"/>
        <v>2.6428112086334637E-2</v>
      </c>
    </row>
    <row r="181" spans="1:17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26"/>
        <v>323.60000000000002</v>
      </c>
      <c r="G181" s="827">
        <v>6</v>
      </c>
      <c r="H181" s="330"/>
      <c r="I181" s="330"/>
      <c r="J181" s="8">
        <f t="shared" si="30"/>
        <v>6</v>
      </c>
      <c r="K181" s="72">
        <f t="shared" si="28"/>
        <v>2.4052916416115455E-3</v>
      </c>
      <c r="L181" s="316">
        <f t="shared" si="29"/>
        <v>5.457919422730007</v>
      </c>
      <c r="M181" s="96">
        <f t="shared" si="25"/>
        <v>2.0068769717378236</v>
      </c>
      <c r="N181" s="37">
        <v>2.1781901014702836</v>
      </c>
      <c r="O181" s="37">
        <f t="shared" si="27"/>
        <v>0.72423331328923646</v>
      </c>
      <c r="P181" s="117">
        <f t="shared" si="31"/>
        <v>0.88284040889957927</v>
      </c>
      <c r="Q181" s="45">
        <f t="shared" si="24"/>
        <v>3.2037144033459052E-2</v>
      </c>
    </row>
    <row r="182" spans="1:17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26"/>
        <v>483.2</v>
      </c>
      <c r="G182" s="827">
        <v>8</v>
      </c>
      <c r="H182" s="330"/>
      <c r="I182" s="330"/>
      <c r="J182" s="8">
        <f t="shared" si="30"/>
        <v>8</v>
      </c>
      <c r="K182" s="72">
        <f t="shared" si="28"/>
        <v>3.2070555221487274E-3</v>
      </c>
      <c r="L182" s="316">
        <f t="shared" si="29"/>
        <v>7.2772258969733423</v>
      </c>
      <c r="M182" s="96">
        <f t="shared" si="25"/>
        <v>2.6758359623170982</v>
      </c>
      <c r="N182" s="37">
        <v>2.9042534686270449</v>
      </c>
      <c r="O182" s="37">
        <f t="shared" si="27"/>
        <v>0.96564441771898191</v>
      </c>
      <c r="P182" s="117">
        <f t="shared" si="31"/>
        <v>1.1771205451994391</v>
      </c>
      <c r="Q182" s="45">
        <f t="shared" si="24"/>
        <v>2.8607118678883419E-2</v>
      </c>
    </row>
    <row r="183" spans="1:17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26"/>
        <v>408.2</v>
      </c>
      <c r="G183" s="827">
        <v>8</v>
      </c>
      <c r="H183" s="330"/>
      <c r="I183" s="330"/>
      <c r="J183" s="8">
        <f t="shared" si="30"/>
        <v>8</v>
      </c>
      <c r="K183" s="72">
        <f t="shared" si="28"/>
        <v>3.2070555221487274E-3</v>
      </c>
      <c r="L183" s="316">
        <f t="shared" si="29"/>
        <v>7.2772258969733423</v>
      </c>
      <c r="M183" s="96">
        <f t="shared" si="25"/>
        <v>2.6758359623170982</v>
      </c>
      <c r="N183" s="37">
        <v>2.9042534686270449</v>
      </c>
      <c r="O183" s="37">
        <f t="shared" si="27"/>
        <v>0.96564441771898191</v>
      </c>
      <c r="P183" s="117">
        <f t="shared" si="31"/>
        <v>1.1771205451994391</v>
      </c>
      <c r="Q183" s="45">
        <f t="shared" si="24"/>
        <v>3.3863203688477381E-2</v>
      </c>
    </row>
    <row r="184" spans="1:17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26"/>
        <v>482.97</v>
      </c>
      <c r="G184" s="827">
        <v>8</v>
      </c>
      <c r="H184" s="330"/>
      <c r="I184" s="330"/>
      <c r="J184" s="8">
        <f t="shared" si="30"/>
        <v>8</v>
      </c>
      <c r="K184" s="72">
        <f t="shared" si="28"/>
        <v>3.2070555221487274E-3</v>
      </c>
      <c r="L184" s="316">
        <f t="shared" si="29"/>
        <v>7.2772258969733423</v>
      </c>
      <c r="M184" s="96">
        <f t="shared" si="25"/>
        <v>2.6758359623170982</v>
      </c>
      <c r="N184" s="37">
        <v>2.9042534686270449</v>
      </c>
      <c r="O184" s="37">
        <f t="shared" si="27"/>
        <v>0.96564441771898191</v>
      </c>
      <c r="P184" s="117">
        <f t="shared" si="31"/>
        <v>1.1771205451994391</v>
      </c>
      <c r="Q184" s="45">
        <f t="shared" si="24"/>
        <v>2.8620741962516235E-2</v>
      </c>
    </row>
    <row r="185" spans="1:17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26"/>
        <v>699.05</v>
      </c>
      <c r="G185" s="827">
        <v>13</v>
      </c>
      <c r="H185" s="330"/>
      <c r="I185" s="330"/>
      <c r="J185" s="8">
        <f t="shared" si="30"/>
        <v>13</v>
      </c>
      <c r="K185" s="72">
        <f t="shared" si="28"/>
        <v>5.211465223491682E-3</v>
      </c>
      <c r="L185" s="316">
        <f t="shared" si="29"/>
        <v>11.825492082581681</v>
      </c>
      <c r="M185" s="96">
        <f t="shared" si="25"/>
        <v>4.3482334387652841</v>
      </c>
      <c r="N185" s="37">
        <v>4.7194118865189481</v>
      </c>
      <c r="O185" s="37">
        <f t="shared" si="27"/>
        <v>1.5691721787933455</v>
      </c>
      <c r="P185" s="117">
        <f t="shared" si="31"/>
        <v>1.9128208859490883</v>
      </c>
      <c r="Q185" s="45">
        <f t="shared" si="24"/>
        <v>3.2132622254000799E-2</v>
      </c>
    </row>
    <row r="186" spans="1:17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26"/>
        <v>6095.81</v>
      </c>
      <c r="G186" s="827">
        <v>108</v>
      </c>
      <c r="H186" s="330"/>
      <c r="I186" s="330"/>
      <c r="J186" s="8">
        <f t="shared" si="30"/>
        <v>108</v>
      </c>
      <c r="K186" s="72">
        <f t="shared" si="28"/>
        <v>4.3295249549007819E-2</v>
      </c>
      <c r="L186" s="316">
        <f t="shared" si="29"/>
        <v>98.242549609140113</v>
      </c>
      <c r="M186" s="96">
        <f t="shared" si="25"/>
        <v>36.12378549128082</v>
      </c>
      <c r="N186" s="37">
        <v>39.207421826465108</v>
      </c>
      <c r="O186" s="37">
        <f t="shared" si="27"/>
        <v>13.036199639206256</v>
      </c>
      <c r="P186" s="117">
        <f t="shared" si="31"/>
        <v>15.891127360192426</v>
      </c>
      <c r="Q186" s="45">
        <f t="shared" si="24"/>
        <v>3.0612823655279987E-2</v>
      </c>
    </row>
    <row r="187" spans="1:17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26"/>
        <v>166.2</v>
      </c>
      <c r="G187" s="827">
        <v>5</v>
      </c>
      <c r="H187" s="330"/>
      <c r="I187" s="330"/>
      <c r="J187" s="8">
        <f t="shared" si="30"/>
        <v>5</v>
      </c>
      <c r="K187" s="72">
        <f t="shared" si="28"/>
        <v>2.0044097013429546E-3</v>
      </c>
      <c r="L187" s="316">
        <f t="shared" si="29"/>
        <v>4.5482661856083384</v>
      </c>
      <c r="M187" s="96">
        <f t="shared" si="25"/>
        <v>1.6723974764481861</v>
      </c>
      <c r="N187" s="37">
        <v>1.8151584178919031</v>
      </c>
      <c r="O187" s="37">
        <f t="shared" si="27"/>
        <v>0.60352776107436368</v>
      </c>
      <c r="P187" s="117">
        <f t="shared" si="31"/>
        <v>0.73570034074964941</v>
      </c>
      <c r="Q187" s="45">
        <f t="shared" si="24"/>
        <v>5.1981647659583588E-2</v>
      </c>
    </row>
    <row r="188" spans="1:17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26"/>
        <v>273.2</v>
      </c>
      <c r="G188" s="827">
        <v>8</v>
      </c>
      <c r="H188" s="330"/>
      <c r="I188" s="330"/>
      <c r="J188" s="8">
        <f t="shared" si="30"/>
        <v>8</v>
      </c>
      <c r="K188" s="72">
        <f t="shared" si="28"/>
        <v>3.2070555221487274E-3</v>
      </c>
      <c r="L188" s="316">
        <f t="shared" si="29"/>
        <v>7.2772258969733423</v>
      </c>
      <c r="M188" s="96">
        <f t="shared" si="25"/>
        <v>2.6758359623170982</v>
      </c>
      <c r="N188" s="37">
        <v>2.9042534686270449</v>
      </c>
      <c r="O188" s="37">
        <f t="shared" si="27"/>
        <v>0.96564441771898191</v>
      </c>
      <c r="P188" s="117">
        <f t="shared" si="31"/>
        <v>1.1771205451994391</v>
      </c>
      <c r="Q188" s="45">
        <f t="shared" si="24"/>
        <v>5.059648515972353E-2</v>
      </c>
    </row>
    <row r="189" spans="1:17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26"/>
        <v>4159.58</v>
      </c>
      <c r="G189" s="827">
        <v>72</v>
      </c>
      <c r="H189" s="330"/>
      <c r="I189" s="330"/>
      <c r="J189" s="8">
        <f t="shared" si="30"/>
        <v>72</v>
      </c>
      <c r="K189" s="72">
        <f t="shared" si="28"/>
        <v>2.8863499699338546E-2</v>
      </c>
      <c r="L189" s="316">
        <f t="shared" si="29"/>
        <v>65.49503307276008</v>
      </c>
      <c r="M189" s="96">
        <f t="shared" si="25"/>
        <v>24.082523660853884</v>
      </c>
      <c r="N189" s="37">
        <v>26.138281217643407</v>
      </c>
      <c r="O189" s="37">
        <f t="shared" si="27"/>
        <v>8.6907997594708366</v>
      </c>
      <c r="P189" s="117">
        <f t="shared" si="31"/>
        <v>10.594084906794951</v>
      </c>
      <c r="Q189" s="45">
        <f t="shared" si="24"/>
        <v>2.9908461361658679E-2</v>
      </c>
    </row>
    <row r="190" spans="1:17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26"/>
        <v>2240.77</v>
      </c>
      <c r="G190" s="827">
        <v>42</v>
      </c>
      <c r="H190" s="330"/>
      <c r="I190" s="330">
        <v>1</v>
      </c>
      <c r="J190" s="8">
        <f t="shared" si="30"/>
        <v>43</v>
      </c>
      <c r="K190" s="72">
        <f t="shared" si="28"/>
        <v>1.723792343154941E-2</v>
      </c>
      <c r="L190" s="316">
        <f t="shared" si="29"/>
        <v>39.115089196231715</v>
      </c>
      <c r="M190" s="96">
        <f t="shared" si="25"/>
        <v>14.382618297454403</v>
      </c>
      <c r="N190" s="37">
        <v>15.610362393870364</v>
      </c>
      <c r="O190" s="37">
        <f t="shared" si="27"/>
        <v>5.1903387452395275</v>
      </c>
      <c r="P190" s="117">
        <f t="shared" si="31"/>
        <v>6.3270229304469847</v>
      </c>
      <c r="Q190" s="45">
        <f t="shared" si="24"/>
        <v>3.3157534522863123E-2</v>
      </c>
    </row>
    <row r="191" spans="1:17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26"/>
        <v>454.48</v>
      </c>
      <c r="G191" s="827">
        <v>12</v>
      </c>
      <c r="H191" s="330"/>
      <c r="I191" s="330"/>
      <c r="J191" s="8">
        <f t="shared" si="30"/>
        <v>12</v>
      </c>
      <c r="K191" s="72">
        <f t="shared" si="28"/>
        <v>4.810583283223091E-3</v>
      </c>
      <c r="L191" s="316">
        <f t="shared" si="29"/>
        <v>10.915838845460014</v>
      </c>
      <c r="M191" s="96">
        <f t="shared" si="25"/>
        <v>4.0137539434756473</v>
      </c>
      <c r="N191" s="37">
        <v>4.3563802029405672</v>
      </c>
      <c r="O191" s="37">
        <f t="shared" si="27"/>
        <v>1.4484666265784729</v>
      </c>
      <c r="P191" s="117">
        <f t="shared" si="31"/>
        <v>1.7656808177991585</v>
      </c>
      <c r="Q191" s="45">
        <f t="shared" si="24"/>
        <v>4.5622336777096241E-2</v>
      </c>
    </row>
    <row r="192" spans="1:17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26"/>
        <v>166.2</v>
      </c>
      <c r="G192" s="827">
        <v>2</v>
      </c>
      <c r="H192" s="330"/>
      <c r="I192" s="330"/>
      <c r="J192" s="8">
        <f t="shared" si="30"/>
        <v>2</v>
      </c>
      <c r="K192" s="72">
        <f t="shared" si="28"/>
        <v>8.0176388053718184E-4</v>
      </c>
      <c r="L192" s="316">
        <f t="shared" si="29"/>
        <v>1.8193064742433356</v>
      </c>
      <c r="M192" s="96">
        <f t="shared" si="25"/>
        <v>0.66895899057927455</v>
      </c>
      <c r="N192" s="37">
        <v>0.72606336715676123</v>
      </c>
      <c r="O192" s="37">
        <f t="shared" si="27"/>
        <v>0.24141110442974548</v>
      </c>
      <c r="P192" s="117">
        <f t="shared" si="31"/>
        <v>0.29428013629985977</v>
      </c>
      <c r="Q192" s="45">
        <f t="shared" si="24"/>
        <v>2.0792659063833437E-2</v>
      </c>
    </row>
    <row r="193" spans="1:17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26"/>
        <v>338.6</v>
      </c>
      <c r="G193" s="827">
        <v>5</v>
      </c>
      <c r="H193" s="330">
        <v>1</v>
      </c>
      <c r="I193" s="330"/>
      <c r="J193" s="8">
        <f t="shared" si="30"/>
        <v>6</v>
      </c>
      <c r="K193" s="72">
        <f t="shared" si="28"/>
        <v>2.4052916416115455E-3</v>
      </c>
      <c r="L193" s="316">
        <f t="shared" si="29"/>
        <v>5.457919422730007</v>
      </c>
      <c r="M193" s="96">
        <f t="shared" si="25"/>
        <v>2.0068769717378236</v>
      </c>
      <c r="N193" s="37">
        <v>2.1781901014702836</v>
      </c>
      <c r="O193" s="37">
        <f t="shared" si="27"/>
        <v>0.72423331328923646</v>
      </c>
      <c r="P193" s="117">
        <f t="shared" si="31"/>
        <v>0.88284040889957927</v>
      </c>
      <c r="Q193" s="45">
        <f t="shared" si="24"/>
        <v>3.0617896660446987E-2</v>
      </c>
    </row>
    <row r="194" spans="1:17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26"/>
        <v>453.7</v>
      </c>
      <c r="G194" s="827">
        <v>9</v>
      </c>
      <c r="H194" s="330"/>
      <c r="I194" s="330"/>
      <c r="J194" s="8">
        <f t="shared" si="30"/>
        <v>9</v>
      </c>
      <c r="K194" s="72">
        <f t="shared" si="28"/>
        <v>3.6079374624173183E-3</v>
      </c>
      <c r="L194" s="316">
        <f t="shared" si="29"/>
        <v>8.18687913409501</v>
      </c>
      <c r="M194" s="96">
        <f t="shared" si="25"/>
        <v>3.0103154576067355</v>
      </c>
      <c r="N194" s="37">
        <v>3.2672851522054258</v>
      </c>
      <c r="O194" s="37">
        <f t="shared" si="27"/>
        <v>1.0863499699338546</v>
      </c>
      <c r="P194" s="117">
        <f t="shared" si="31"/>
        <v>1.3242606133493688</v>
      </c>
      <c r="Q194" s="45">
        <f t="shared" si="24"/>
        <v>3.4275577945428758E-2</v>
      </c>
    </row>
    <row r="195" spans="1:17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26"/>
        <v>135</v>
      </c>
      <c r="G195" s="827">
        <v>2</v>
      </c>
      <c r="H195" s="330"/>
      <c r="I195" s="330"/>
      <c r="J195" s="8">
        <f t="shared" si="30"/>
        <v>2</v>
      </c>
      <c r="K195" s="72">
        <f t="shared" si="28"/>
        <v>8.0176388053718184E-4</v>
      </c>
      <c r="L195" s="316">
        <f t="shared" si="29"/>
        <v>1.8193064742433356</v>
      </c>
      <c r="M195" s="96">
        <f t="shared" si="25"/>
        <v>0.66895899057927455</v>
      </c>
      <c r="N195" s="37">
        <v>0.72606336715676123</v>
      </c>
      <c r="O195" s="37">
        <f t="shared" si="27"/>
        <v>0.24141110442974548</v>
      </c>
      <c r="P195" s="117">
        <f t="shared" si="31"/>
        <v>0.29428013629985977</v>
      </c>
      <c r="Q195" s="45">
        <f t="shared" si="24"/>
        <v>2.5598073603030496E-2</v>
      </c>
    </row>
    <row r="196" spans="1:17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26"/>
        <v>89.9</v>
      </c>
      <c r="G196" s="827">
        <v>3</v>
      </c>
      <c r="H196" s="330"/>
      <c r="I196" s="330"/>
      <c r="J196" s="8">
        <f t="shared" si="30"/>
        <v>3</v>
      </c>
      <c r="K196" s="72">
        <f t="shared" si="28"/>
        <v>1.2026458208057728E-3</v>
      </c>
      <c r="L196" s="316">
        <f t="shared" si="29"/>
        <v>2.7289597113650035</v>
      </c>
      <c r="M196" s="96">
        <f t="shared" si="25"/>
        <v>1.0034384858689118</v>
      </c>
      <c r="N196" s="37">
        <v>1.0890950507351418</v>
      </c>
      <c r="O196" s="37">
        <f t="shared" si="27"/>
        <v>0.36211665664461823</v>
      </c>
      <c r="P196" s="117">
        <f t="shared" si="31"/>
        <v>0.44142020444978963</v>
      </c>
      <c r="Q196" s="45">
        <f t="shared" si="24"/>
        <v>5.765973197568048E-2</v>
      </c>
    </row>
    <row r="197" spans="1:17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26"/>
        <v>224.08</v>
      </c>
      <c r="G197" s="827">
        <v>3</v>
      </c>
      <c r="H197" s="330"/>
      <c r="I197" s="330"/>
      <c r="J197" s="8">
        <f t="shared" si="30"/>
        <v>3</v>
      </c>
      <c r="K197" s="72">
        <f t="shared" si="28"/>
        <v>1.2026458208057728E-3</v>
      </c>
      <c r="L197" s="316">
        <f t="shared" si="29"/>
        <v>2.7289597113650035</v>
      </c>
      <c r="M197" s="96">
        <f t="shared" si="25"/>
        <v>1.0034384858689118</v>
      </c>
      <c r="N197" s="37">
        <v>1.0890950507351418</v>
      </c>
      <c r="O197" s="37">
        <f t="shared" si="27"/>
        <v>0.36211665664461823</v>
      </c>
      <c r="P197" s="117">
        <f t="shared" si="31"/>
        <v>0.44142020444978963</v>
      </c>
      <c r="Q197" s="45">
        <f t="shared" si="24"/>
        <v>2.3132853912056744E-2</v>
      </c>
    </row>
    <row r="198" spans="1:17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26"/>
        <v>653.71</v>
      </c>
      <c r="G198" s="827">
        <v>12</v>
      </c>
      <c r="H198" s="330"/>
      <c r="I198" s="330"/>
      <c r="J198" s="8">
        <f t="shared" si="30"/>
        <v>12</v>
      </c>
      <c r="K198" s="72">
        <f t="shared" si="28"/>
        <v>4.810583283223091E-3</v>
      </c>
      <c r="L198" s="316">
        <f t="shared" si="29"/>
        <v>10.915838845460014</v>
      </c>
      <c r="M198" s="96">
        <f t="shared" si="25"/>
        <v>4.0137539434756473</v>
      </c>
      <c r="N198" s="37">
        <v>4.3563802029405672</v>
      </c>
      <c r="O198" s="37">
        <f t="shared" si="27"/>
        <v>1.4484666265784729</v>
      </c>
      <c r="P198" s="117">
        <f t="shared" si="31"/>
        <v>1.7656808177991585</v>
      </c>
      <c r="Q198" s="45">
        <f t="shared" si="24"/>
        <v>3.171810071507962E-2</v>
      </c>
    </row>
    <row r="199" spans="1:17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26"/>
        <v>182.11</v>
      </c>
      <c r="G199" s="827">
        <v>2</v>
      </c>
      <c r="H199" s="330"/>
      <c r="I199" s="330"/>
      <c r="J199" s="8">
        <f t="shared" si="30"/>
        <v>2</v>
      </c>
      <c r="K199" s="72">
        <f t="shared" si="28"/>
        <v>8.0176388053718184E-4</v>
      </c>
      <c r="L199" s="316">
        <f t="shared" si="29"/>
        <v>1.8193064742433356</v>
      </c>
      <c r="M199" s="96">
        <f t="shared" si="25"/>
        <v>0.66895899057927455</v>
      </c>
      <c r="N199" s="37">
        <v>0.72606336715676123</v>
      </c>
      <c r="O199" s="37">
        <f t="shared" si="27"/>
        <v>0.24141110442974548</v>
      </c>
      <c r="P199" s="117">
        <f t="shared" si="31"/>
        <v>0.29428013629985977</v>
      </c>
      <c r="Q199" s="45">
        <f t="shared" ref="Q199:Q262" si="32">(O199+N199+M199+L199)/F199</f>
        <v>1.8976112988902952E-2</v>
      </c>
    </row>
    <row r="200" spans="1:17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26"/>
        <v>2379.1</v>
      </c>
      <c r="G200" s="827">
        <v>44</v>
      </c>
      <c r="H200" s="330"/>
      <c r="I200" s="330"/>
      <c r="J200" s="8">
        <f t="shared" si="30"/>
        <v>44</v>
      </c>
      <c r="K200" s="72">
        <f t="shared" si="28"/>
        <v>1.7638805371818E-2</v>
      </c>
      <c r="L200" s="316">
        <f t="shared" si="29"/>
        <v>40.024742433353381</v>
      </c>
      <c r="M200" s="96">
        <f t="shared" si="25"/>
        <v>14.71709779274404</v>
      </c>
      <c r="N200" s="37">
        <v>15.973394077448745</v>
      </c>
      <c r="O200" s="37">
        <f t="shared" si="27"/>
        <v>5.3110442974544005</v>
      </c>
      <c r="P200" s="117">
        <f t="shared" si="31"/>
        <v>6.4741629985969151</v>
      </c>
      <c r="Q200" s="45">
        <f t="shared" si="32"/>
        <v>3.1955898701610093E-2</v>
      </c>
    </row>
    <row r="201" spans="1:17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26"/>
        <v>140.19999999999999</v>
      </c>
      <c r="G201" s="827">
        <v>4</v>
      </c>
      <c r="H201" s="330"/>
      <c r="I201" s="330"/>
      <c r="J201" s="8">
        <f t="shared" si="30"/>
        <v>4</v>
      </c>
      <c r="K201" s="72">
        <f t="shared" si="28"/>
        <v>1.6035277610743637E-3</v>
      </c>
      <c r="L201" s="316">
        <f t="shared" si="29"/>
        <v>3.6386129484866712</v>
      </c>
      <c r="M201" s="96">
        <f t="shared" si="25"/>
        <v>1.3379179811585491</v>
      </c>
      <c r="N201" s="37">
        <v>1.4521267343135225</v>
      </c>
      <c r="O201" s="37">
        <f t="shared" si="27"/>
        <v>0.48282220885949095</v>
      </c>
      <c r="P201" s="117">
        <f t="shared" si="31"/>
        <v>0.58856027259971955</v>
      </c>
      <c r="Q201" s="45">
        <f t="shared" si="32"/>
        <v>4.9297288679160015E-2</v>
      </c>
    </row>
    <row r="202" spans="1:17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26"/>
        <v>116.79</v>
      </c>
      <c r="G202" s="827">
        <v>2</v>
      </c>
      <c r="H202" s="330"/>
      <c r="I202" s="330"/>
      <c r="J202" s="8">
        <f t="shared" si="30"/>
        <v>2</v>
      </c>
      <c r="K202" s="72">
        <f t="shared" si="28"/>
        <v>8.0176388053718184E-4</v>
      </c>
      <c r="L202" s="316">
        <f t="shared" si="29"/>
        <v>1.8193064742433356</v>
      </c>
      <c r="M202" s="96">
        <f t="shared" si="25"/>
        <v>0.66895899057927455</v>
      </c>
      <c r="N202" s="37">
        <v>0.72606336715676123</v>
      </c>
      <c r="O202" s="37">
        <f t="shared" si="27"/>
        <v>0.24141110442974548</v>
      </c>
      <c r="P202" s="117">
        <f t="shared" si="31"/>
        <v>0.29428013629985977</v>
      </c>
      <c r="Q202" s="45">
        <f t="shared" si="32"/>
        <v>2.9589347858627595E-2</v>
      </c>
    </row>
    <row r="203" spans="1:17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26"/>
        <v>59.7</v>
      </c>
      <c r="G203" s="827">
        <v>1</v>
      </c>
      <c r="H203" s="330"/>
      <c r="I203" s="330"/>
      <c r="J203" s="8">
        <f t="shared" si="30"/>
        <v>1</v>
      </c>
      <c r="K203" s="72">
        <f t="shared" si="28"/>
        <v>4.0088194026859092E-4</v>
      </c>
      <c r="L203" s="316">
        <f t="shared" si="29"/>
        <v>0.90965323712166779</v>
      </c>
      <c r="M203" s="96">
        <f t="shared" si="25"/>
        <v>0.33447949528963727</v>
      </c>
      <c r="N203" s="37">
        <v>0.36303168357838062</v>
      </c>
      <c r="O203" s="37">
        <f t="shared" si="27"/>
        <v>0.12070555221487274</v>
      </c>
      <c r="P203" s="117">
        <f t="shared" si="31"/>
        <v>0.14714006814992989</v>
      </c>
      <c r="Q203" s="45">
        <f t="shared" si="32"/>
        <v>2.894254553106463E-2</v>
      </c>
    </row>
    <row r="204" spans="1:17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26"/>
        <v>137.5</v>
      </c>
      <c r="G204" s="827">
        <v>2</v>
      </c>
      <c r="H204" s="330"/>
      <c r="I204" s="330"/>
      <c r="J204" s="8">
        <f t="shared" si="30"/>
        <v>2</v>
      </c>
      <c r="K204" s="72">
        <f t="shared" si="28"/>
        <v>8.0176388053718184E-4</v>
      </c>
      <c r="L204" s="316">
        <f t="shared" si="29"/>
        <v>1.8193064742433356</v>
      </c>
      <c r="M204" s="96">
        <f t="shared" si="25"/>
        <v>0.66895899057927455</v>
      </c>
      <c r="N204" s="37">
        <v>0.72606336715676123</v>
      </c>
      <c r="O204" s="37">
        <f t="shared" si="27"/>
        <v>0.24141110442974548</v>
      </c>
      <c r="P204" s="117">
        <f t="shared" si="31"/>
        <v>0.29428013629985977</v>
      </c>
      <c r="Q204" s="45">
        <f t="shared" si="32"/>
        <v>2.5132654082975395E-2</v>
      </c>
    </row>
    <row r="205" spans="1:17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26"/>
        <v>1908.3000000000002</v>
      </c>
      <c r="G205" s="827">
        <v>32</v>
      </c>
      <c r="H205" s="330">
        <v>1</v>
      </c>
      <c r="I205" s="330"/>
      <c r="J205" s="8">
        <f t="shared" si="30"/>
        <v>33</v>
      </c>
      <c r="K205" s="72">
        <f t="shared" si="28"/>
        <v>1.32291040288635E-2</v>
      </c>
      <c r="L205" s="316">
        <f t="shared" si="29"/>
        <v>30.018556825015036</v>
      </c>
      <c r="M205" s="96">
        <f t="shared" si="25"/>
        <v>11.03782334455803</v>
      </c>
      <c r="N205" s="37">
        <v>11.980045558086561</v>
      </c>
      <c r="O205" s="37">
        <f t="shared" si="27"/>
        <v>3.9832832230908002</v>
      </c>
      <c r="P205" s="117">
        <f t="shared" si="31"/>
        <v>4.8556222489476859</v>
      </c>
      <c r="Q205" s="45">
        <f t="shared" si="32"/>
        <v>2.9879845386338848E-2</v>
      </c>
    </row>
    <row r="206" spans="1:17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26"/>
        <v>140.4</v>
      </c>
      <c r="G206" s="827">
        <v>4</v>
      </c>
      <c r="H206" s="330"/>
      <c r="I206" s="330"/>
      <c r="J206" s="8">
        <f t="shared" si="30"/>
        <v>4</v>
      </c>
      <c r="K206" s="72">
        <f t="shared" si="28"/>
        <v>1.6035277610743637E-3</v>
      </c>
      <c r="L206" s="316">
        <f t="shared" si="29"/>
        <v>3.6386129484866712</v>
      </c>
      <c r="M206" s="96">
        <f t="shared" si="25"/>
        <v>1.3379179811585491</v>
      </c>
      <c r="N206" s="37">
        <v>1.4521267343135225</v>
      </c>
      <c r="O206" s="37">
        <f t="shared" si="27"/>
        <v>0.48282220885949095</v>
      </c>
      <c r="P206" s="117">
        <f t="shared" si="31"/>
        <v>0.58856027259971955</v>
      </c>
      <c r="Q206" s="45">
        <f t="shared" si="32"/>
        <v>4.9227064621212485E-2</v>
      </c>
    </row>
    <row r="207" spans="1:17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si="26"/>
        <v>290.7</v>
      </c>
      <c r="G207" s="827">
        <v>6</v>
      </c>
      <c r="H207" s="330"/>
      <c r="I207" s="330"/>
      <c r="J207" s="8">
        <f t="shared" si="30"/>
        <v>6</v>
      </c>
      <c r="K207" s="72">
        <f t="shared" si="28"/>
        <v>2.4052916416115455E-3</v>
      </c>
      <c r="L207" s="316">
        <f t="shared" si="29"/>
        <v>5.457919422730007</v>
      </c>
      <c r="M207" s="96">
        <f t="shared" si="25"/>
        <v>2.0068769717378236</v>
      </c>
      <c r="N207" s="37">
        <v>2.1781901014702836</v>
      </c>
      <c r="O207" s="37">
        <f t="shared" si="27"/>
        <v>0.72423331328923646</v>
      </c>
      <c r="P207" s="117">
        <f t="shared" si="31"/>
        <v>0.88284040889957927</v>
      </c>
      <c r="Q207" s="45">
        <f t="shared" si="32"/>
        <v>3.5662950840135363E-2</v>
      </c>
    </row>
    <row r="208" spans="1:17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si="26"/>
        <v>2427.7199999999998</v>
      </c>
      <c r="G208" s="827">
        <v>40</v>
      </c>
      <c r="H208" s="330"/>
      <c r="I208" s="330"/>
      <c r="J208" s="8">
        <f t="shared" si="30"/>
        <v>40</v>
      </c>
      <c r="K208" s="72">
        <f t="shared" si="28"/>
        <v>1.6035277610743637E-2</v>
      </c>
      <c r="L208" s="316">
        <f t="shared" si="29"/>
        <v>36.386129484866707</v>
      </c>
      <c r="M208" s="96">
        <f t="shared" ref="M208:M269" si="33">L208*0.3677</f>
        <v>13.379179811585489</v>
      </c>
      <c r="N208" s="37">
        <v>14.521267343135225</v>
      </c>
      <c r="O208" s="37">
        <f t="shared" si="27"/>
        <v>4.8282220885949094</v>
      </c>
      <c r="P208" s="117">
        <f t="shared" si="31"/>
        <v>5.8856027259971953</v>
      </c>
      <c r="Q208" s="45">
        <f t="shared" si="32"/>
        <v>2.8469015672393169E-2</v>
      </c>
    </row>
    <row r="209" spans="1:17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ref="F209:F270" si="34">C209+D209+E209</f>
        <v>93</v>
      </c>
      <c r="G209" s="827">
        <v>2</v>
      </c>
      <c r="H209" s="330"/>
      <c r="I209" s="330"/>
      <c r="J209" s="8">
        <f t="shared" si="30"/>
        <v>2</v>
      </c>
      <c r="K209" s="72">
        <f t="shared" si="28"/>
        <v>8.0176388053718184E-4</v>
      </c>
      <c r="L209" s="316">
        <f t="shared" si="29"/>
        <v>1.8193064742433356</v>
      </c>
      <c r="M209" s="96">
        <f t="shared" si="33"/>
        <v>0.66895899057927455</v>
      </c>
      <c r="N209" s="37">
        <v>0.72606336715676123</v>
      </c>
      <c r="O209" s="37">
        <f t="shared" si="27"/>
        <v>0.24141110442974548</v>
      </c>
      <c r="P209" s="117">
        <f t="shared" si="31"/>
        <v>0.29428013629985977</v>
      </c>
      <c r="Q209" s="45">
        <f t="shared" si="32"/>
        <v>3.7158493939882978E-2</v>
      </c>
    </row>
    <row r="210" spans="1:17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34"/>
        <v>1473.7</v>
      </c>
      <c r="G210" s="827">
        <v>30</v>
      </c>
      <c r="H210" s="330">
        <v>1</v>
      </c>
      <c r="I210" s="330"/>
      <c r="J210" s="8">
        <f t="shared" si="30"/>
        <v>31</v>
      </c>
      <c r="K210" s="72">
        <f t="shared" si="28"/>
        <v>1.2427340148326319E-2</v>
      </c>
      <c r="L210" s="316">
        <f t="shared" si="29"/>
        <v>28.199250350771699</v>
      </c>
      <c r="M210" s="96">
        <f t="shared" si="33"/>
        <v>10.368864353978754</v>
      </c>
      <c r="N210" s="37">
        <v>11.253982190929799</v>
      </c>
      <c r="O210" s="37">
        <f t="shared" si="27"/>
        <v>3.7418721186610546</v>
      </c>
      <c r="P210" s="117">
        <f t="shared" si="31"/>
        <v>4.561342112647826</v>
      </c>
      <c r="Q210" s="45">
        <f t="shared" si="32"/>
        <v>3.6346589546272179E-2</v>
      </c>
    </row>
    <row r="211" spans="1:17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34"/>
        <v>2507</v>
      </c>
      <c r="G211" s="827">
        <v>60</v>
      </c>
      <c r="H211" s="330"/>
      <c r="I211" s="330"/>
      <c r="J211" s="8">
        <f t="shared" si="30"/>
        <v>60</v>
      </c>
      <c r="K211" s="72">
        <f t="shared" si="28"/>
        <v>2.4052916416115455E-2</v>
      </c>
      <c r="L211" s="316">
        <f t="shared" si="29"/>
        <v>54.579194227300064</v>
      </c>
      <c r="M211" s="96">
        <f t="shared" si="33"/>
        <v>20.068769717378235</v>
      </c>
      <c r="N211" s="37">
        <v>21.781901014702836</v>
      </c>
      <c r="O211" s="37">
        <f t="shared" si="27"/>
        <v>7.2423331328923641</v>
      </c>
      <c r="P211" s="117">
        <f t="shared" si="31"/>
        <v>8.8284040889957929</v>
      </c>
      <c r="Q211" s="45">
        <f t="shared" si="32"/>
        <v>4.1353090583276228E-2</v>
      </c>
    </row>
    <row r="212" spans="1:17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34"/>
        <v>3505.3</v>
      </c>
      <c r="G212" s="827">
        <v>86</v>
      </c>
      <c r="H212" s="330"/>
      <c r="I212" s="330"/>
      <c r="J212" s="8">
        <f t="shared" si="30"/>
        <v>86</v>
      </c>
      <c r="K212" s="72">
        <f t="shared" si="28"/>
        <v>3.4475846863098819E-2</v>
      </c>
      <c r="L212" s="316">
        <f t="shared" si="29"/>
        <v>78.230178392463429</v>
      </c>
      <c r="M212" s="96">
        <f t="shared" si="33"/>
        <v>28.765236594908806</v>
      </c>
      <c r="N212" s="37">
        <v>31.220724787740728</v>
      </c>
      <c r="O212" s="37">
        <f t="shared" si="27"/>
        <v>10.380677490479055</v>
      </c>
      <c r="P212" s="117">
        <f t="shared" si="31"/>
        <v>12.654045860893969</v>
      </c>
      <c r="Q212" s="45">
        <f t="shared" si="32"/>
        <v>4.2392039844119475E-2</v>
      </c>
    </row>
    <row r="213" spans="1:17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34"/>
        <v>191.78</v>
      </c>
      <c r="G213" s="827">
        <v>4</v>
      </c>
      <c r="H213" s="330"/>
      <c r="I213" s="330"/>
      <c r="J213" s="8">
        <f t="shared" si="30"/>
        <v>4</v>
      </c>
      <c r="K213" s="72">
        <f t="shared" si="28"/>
        <v>1.6035277610743637E-3</v>
      </c>
      <c r="L213" s="316">
        <f t="shared" si="29"/>
        <v>3.6386129484866712</v>
      </c>
      <c r="M213" s="96">
        <f t="shared" si="33"/>
        <v>1.3379179811585491</v>
      </c>
      <c r="N213" s="37">
        <v>1.4521267343135225</v>
      </c>
      <c r="O213" s="37">
        <f t="shared" si="27"/>
        <v>0.48282220885949095</v>
      </c>
      <c r="P213" s="117">
        <f t="shared" si="31"/>
        <v>0.58856027259971955</v>
      </c>
      <c r="Q213" s="45">
        <f t="shared" si="32"/>
        <v>3.603858521648886E-2</v>
      </c>
    </row>
    <row r="214" spans="1:17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34"/>
        <v>3560.1</v>
      </c>
      <c r="G214" s="827">
        <v>88</v>
      </c>
      <c r="H214" s="330"/>
      <c r="I214" s="330"/>
      <c r="J214" s="8">
        <f t="shared" si="30"/>
        <v>88</v>
      </c>
      <c r="K214" s="72">
        <f t="shared" si="28"/>
        <v>3.5277610743636001E-2</v>
      </c>
      <c r="L214" s="316">
        <f t="shared" si="29"/>
        <v>80.049484866706763</v>
      </c>
      <c r="M214" s="96">
        <f t="shared" si="33"/>
        <v>29.43419558548808</v>
      </c>
      <c r="N214" s="37">
        <v>31.94678815489749</v>
      </c>
      <c r="O214" s="37">
        <f t="shared" si="27"/>
        <v>10.622088594908801</v>
      </c>
      <c r="P214" s="117">
        <f t="shared" si="31"/>
        <v>12.94832599719383</v>
      </c>
      <c r="Q214" s="45">
        <f t="shared" si="32"/>
        <v>4.2710192747956836E-2</v>
      </c>
    </row>
    <row r="215" spans="1:17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34"/>
        <v>291.19</v>
      </c>
      <c r="G215" s="827">
        <v>8</v>
      </c>
      <c r="H215" s="330"/>
      <c r="I215" s="330"/>
      <c r="J215" s="8">
        <f t="shared" si="30"/>
        <v>8</v>
      </c>
      <c r="K215" s="72">
        <f t="shared" si="28"/>
        <v>3.2070555221487274E-3</v>
      </c>
      <c r="L215" s="316">
        <f t="shared" si="29"/>
        <v>7.2772258969733423</v>
      </c>
      <c r="M215" s="96">
        <f t="shared" si="33"/>
        <v>2.6758359623170982</v>
      </c>
      <c r="N215" s="37">
        <v>2.9042534686270449</v>
      </c>
      <c r="O215" s="37">
        <f t="shared" si="27"/>
        <v>0.96564441771898191</v>
      </c>
      <c r="P215" s="117">
        <f t="shared" si="31"/>
        <v>1.1771205451994391</v>
      </c>
      <c r="Q215" s="45">
        <f t="shared" si="32"/>
        <v>4.7470585341654818E-2</v>
      </c>
    </row>
    <row r="216" spans="1:17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34"/>
        <v>173.45</v>
      </c>
      <c r="G216" s="827">
        <v>5</v>
      </c>
      <c r="H216" s="330">
        <v>1</v>
      </c>
      <c r="I216" s="330"/>
      <c r="J216" s="8">
        <f t="shared" si="30"/>
        <v>6</v>
      </c>
      <c r="K216" s="72">
        <f t="shared" si="28"/>
        <v>2.4052916416115455E-3</v>
      </c>
      <c r="L216" s="316">
        <f t="shared" si="29"/>
        <v>5.457919422730007</v>
      </c>
      <c r="M216" s="96">
        <f t="shared" si="33"/>
        <v>2.0068769717378236</v>
      </c>
      <c r="N216" s="37">
        <v>2.1781901014702836</v>
      </c>
      <c r="O216" s="37">
        <f t="shared" si="27"/>
        <v>0.72423331328923646</v>
      </c>
      <c r="P216" s="117">
        <f t="shared" si="31"/>
        <v>0.88284040889957927</v>
      </c>
      <c r="Q216" s="45">
        <f t="shared" si="32"/>
        <v>5.9770653267381672E-2</v>
      </c>
    </row>
    <row r="217" spans="1:17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34"/>
        <v>209.66</v>
      </c>
      <c r="G217" s="827">
        <v>3</v>
      </c>
      <c r="H217" s="330">
        <v>1</v>
      </c>
      <c r="I217" s="330">
        <v>1</v>
      </c>
      <c r="J217" s="8">
        <f t="shared" si="30"/>
        <v>5</v>
      </c>
      <c r="K217" s="72">
        <f t="shared" si="28"/>
        <v>2.0044097013429546E-3</v>
      </c>
      <c r="L217" s="316">
        <f t="shared" si="29"/>
        <v>4.5482661856083384</v>
      </c>
      <c r="M217" s="96">
        <f t="shared" si="33"/>
        <v>1.6723974764481861</v>
      </c>
      <c r="N217" s="37">
        <v>1.8151584178919031</v>
      </c>
      <c r="O217" s="37">
        <f t="shared" si="27"/>
        <v>0.60352776107436368</v>
      </c>
      <c r="P217" s="117">
        <f t="shared" si="31"/>
        <v>0.73570034074964941</v>
      </c>
      <c r="Q217" s="45">
        <f t="shared" si="32"/>
        <v>4.1206476395224609E-2</v>
      </c>
    </row>
    <row r="218" spans="1:17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34"/>
        <v>408.46</v>
      </c>
      <c r="G218" s="827">
        <v>14</v>
      </c>
      <c r="H218" s="330"/>
      <c r="I218" s="330"/>
      <c r="J218" s="8">
        <f t="shared" si="30"/>
        <v>14</v>
      </c>
      <c r="K218" s="72">
        <f t="shared" si="28"/>
        <v>5.6123471637602729E-3</v>
      </c>
      <c r="L218" s="316">
        <f t="shared" si="29"/>
        <v>12.735145319703349</v>
      </c>
      <c r="M218" s="96">
        <f t="shared" si="33"/>
        <v>4.6827129340549218</v>
      </c>
      <c r="N218" s="37">
        <v>5.0824435700973281</v>
      </c>
      <c r="O218" s="37">
        <f t="shared" si="27"/>
        <v>1.6898777310082183</v>
      </c>
      <c r="P218" s="117">
        <f t="shared" si="31"/>
        <v>2.0599609540990182</v>
      </c>
      <c r="Q218" s="45">
        <f t="shared" si="32"/>
        <v>5.9222884872114329E-2</v>
      </c>
    </row>
    <row r="219" spans="1:17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34"/>
        <v>67.3</v>
      </c>
      <c r="G219" s="827">
        <v>1</v>
      </c>
      <c r="H219" s="330"/>
      <c r="I219" s="330"/>
      <c r="J219" s="8">
        <f t="shared" si="30"/>
        <v>1</v>
      </c>
      <c r="K219" s="72">
        <f t="shared" si="28"/>
        <v>4.0088194026859092E-4</v>
      </c>
      <c r="L219" s="316">
        <f t="shared" si="29"/>
        <v>0.90965323712166779</v>
      </c>
      <c r="M219" s="96">
        <f t="shared" si="33"/>
        <v>0.33447949528963727</v>
      </c>
      <c r="N219" s="37">
        <v>0.36303168357838062</v>
      </c>
      <c r="O219" s="37">
        <f t="shared" ref="O219:O282" si="35">K219*301.1</f>
        <v>0.12070555221487274</v>
      </c>
      <c r="P219" s="117">
        <f t="shared" si="31"/>
        <v>0.14714006814992989</v>
      </c>
      <c r="Q219" s="45">
        <f t="shared" si="32"/>
        <v>2.5674145144198492E-2</v>
      </c>
    </row>
    <row r="220" spans="1:17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34"/>
        <v>352.8</v>
      </c>
      <c r="G220" s="827">
        <v>12</v>
      </c>
      <c r="H220" s="330"/>
      <c r="I220" s="330"/>
      <c r="J220" s="8">
        <f t="shared" si="30"/>
        <v>12</v>
      </c>
      <c r="K220" s="72">
        <f t="shared" ref="K220:K283" si="36">2/4989*J220</f>
        <v>4.810583283223091E-3</v>
      </c>
      <c r="L220" s="316">
        <f t="shared" ref="L220:L283" si="37">K220*2269.13</f>
        <v>10.915838845460014</v>
      </c>
      <c r="M220" s="96">
        <f t="shared" si="33"/>
        <v>4.0137539434756473</v>
      </c>
      <c r="N220" s="37">
        <v>4.3563802029405672</v>
      </c>
      <c r="O220" s="37">
        <f t="shared" si="35"/>
        <v>1.4484666265784729</v>
      </c>
      <c r="P220" s="117">
        <f t="shared" si="31"/>
        <v>1.7656808177991585</v>
      </c>
      <c r="Q220" s="45">
        <f t="shared" si="32"/>
        <v>5.8771087353896544E-2</v>
      </c>
    </row>
    <row r="221" spans="1:17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34"/>
        <v>111.58</v>
      </c>
      <c r="G221" s="827">
        <v>3</v>
      </c>
      <c r="H221" s="330"/>
      <c r="I221" s="330"/>
      <c r="J221" s="8">
        <f t="shared" ref="J221:J284" si="38">G221+H221+I221</f>
        <v>3</v>
      </c>
      <c r="K221" s="72">
        <f t="shared" si="36"/>
        <v>1.2026458208057728E-3</v>
      </c>
      <c r="L221" s="316">
        <f t="shared" si="37"/>
        <v>2.7289597113650035</v>
      </c>
      <c r="M221" s="96">
        <f t="shared" si="33"/>
        <v>1.0034384858689118</v>
      </c>
      <c r="N221" s="37">
        <v>1.0890950507351418</v>
      </c>
      <c r="O221" s="37">
        <f t="shared" si="35"/>
        <v>0.36211665664461823</v>
      </c>
      <c r="P221" s="117">
        <f t="shared" ref="P221:P284" si="39">O221*1.219</f>
        <v>0.44142020444978963</v>
      </c>
      <c r="Q221" s="45">
        <f t="shared" si="32"/>
        <v>4.6456442952264525E-2</v>
      </c>
    </row>
    <row r="222" spans="1:17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34"/>
        <v>115.8</v>
      </c>
      <c r="G222" s="827">
        <v>4</v>
      </c>
      <c r="H222" s="330"/>
      <c r="I222" s="330"/>
      <c r="J222" s="8">
        <f t="shared" si="38"/>
        <v>4</v>
      </c>
      <c r="K222" s="72">
        <f t="shared" si="36"/>
        <v>1.6035277610743637E-3</v>
      </c>
      <c r="L222" s="316">
        <f t="shared" si="37"/>
        <v>3.6386129484866712</v>
      </c>
      <c r="M222" s="96">
        <f t="shared" si="33"/>
        <v>1.3379179811585491</v>
      </c>
      <c r="N222" s="37">
        <v>1.4521267343135225</v>
      </c>
      <c r="O222" s="37">
        <f t="shared" si="35"/>
        <v>0.48282220885949095</v>
      </c>
      <c r="P222" s="117">
        <f t="shared" si="39"/>
        <v>0.58856027259971955</v>
      </c>
      <c r="Q222" s="45">
        <f t="shared" si="32"/>
        <v>5.9684627571832759E-2</v>
      </c>
    </row>
    <row r="223" spans="1:17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34"/>
        <v>141.30000000000001</v>
      </c>
      <c r="G223" s="827">
        <v>3</v>
      </c>
      <c r="H223" s="330">
        <v>1</v>
      </c>
      <c r="I223" s="330"/>
      <c r="J223" s="8">
        <f t="shared" si="38"/>
        <v>4</v>
      </c>
      <c r="K223" s="72">
        <f t="shared" si="36"/>
        <v>1.6035277610743637E-3</v>
      </c>
      <c r="L223" s="316">
        <f t="shared" si="37"/>
        <v>3.6386129484866712</v>
      </c>
      <c r="M223" s="96">
        <f t="shared" si="33"/>
        <v>1.3379179811585491</v>
      </c>
      <c r="N223" s="37">
        <v>1.4521267343135225</v>
      </c>
      <c r="O223" s="37">
        <f t="shared" si="35"/>
        <v>0.48282220885949095</v>
      </c>
      <c r="P223" s="117">
        <f t="shared" si="39"/>
        <v>0.58856027259971955</v>
      </c>
      <c r="Q223" s="45">
        <f t="shared" si="32"/>
        <v>4.8913516438911772E-2</v>
      </c>
    </row>
    <row r="224" spans="1:17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34"/>
        <v>161.1</v>
      </c>
      <c r="G224" s="827">
        <v>3</v>
      </c>
      <c r="H224" s="330"/>
      <c r="I224" s="330">
        <v>1</v>
      </c>
      <c r="J224" s="8">
        <f t="shared" si="38"/>
        <v>4</v>
      </c>
      <c r="K224" s="72">
        <f t="shared" si="36"/>
        <v>1.6035277610743637E-3</v>
      </c>
      <c r="L224" s="316">
        <f t="shared" si="37"/>
        <v>3.6386129484866712</v>
      </c>
      <c r="M224" s="96">
        <f t="shared" si="33"/>
        <v>1.3379179811585491</v>
      </c>
      <c r="N224" s="37">
        <v>1.4521267343135225</v>
      </c>
      <c r="O224" s="37">
        <f t="shared" si="35"/>
        <v>0.48282220885949095</v>
      </c>
      <c r="P224" s="117">
        <f t="shared" si="39"/>
        <v>0.58856027259971955</v>
      </c>
      <c r="Q224" s="45">
        <f t="shared" si="32"/>
        <v>4.2901799334687983E-2</v>
      </c>
    </row>
    <row r="225" spans="1:17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34"/>
        <v>308.8</v>
      </c>
      <c r="G225" s="827">
        <v>8</v>
      </c>
      <c r="H225" s="330"/>
      <c r="I225" s="330"/>
      <c r="J225" s="8">
        <f t="shared" si="38"/>
        <v>8</v>
      </c>
      <c r="K225" s="72">
        <f t="shared" si="36"/>
        <v>3.2070555221487274E-3</v>
      </c>
      <c r="L225" s="316">
        <f t="shared" si="37"/>
        <v>7.2772258969733423</v>
      </c>
      <c r="M225" s="96">
        <f t="shared" si="33"/>
        <v>2.6758359623170982</v>
      </c>
      <c r="N225" s="37">
        <v>2.9042534686270449</v>
      </c>
      <c r="O225" s="37">
        <f t="shared" si="35"/>
        <v>0.96564441771898191</v>
      </c>
      <c r="P225" s="117">
        <f t="shared" si="39"/>
        <v>1.1771205451994391</v>
      </c>
      <c r="Q225" s="45">
        <f t="shared" si="32"/>
        <v>4.4763470678874567E-2</v>
      </c>
    </row>
    <row r="226" spans="1:17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34"/>
        <v>343.31</v>
      </c>
      <c r="G226" s="827">
        <v>8</v>
      </c>
      <c r="H226" s="330"/>
      <c r="I226" s="330"/>
      <c r="J226" s="8">
        <f t="shared" si="38"/>
        <v>8</v>
      </c>
      <c r="K226" s="72">
        <f t="shared" si="36"/>
        <v>3.2070555221487274E-3</v>
      </c>
      <c r="L226" s="316">
        <f t="shared" si="37"/>
        <v>7.2772258969733423</v>
      </c>
      <c r="M226" s="96">
        <f t="shared" si="33"/>
        <v>2.6758359623170982</v>
      </c>
      <c r="N226" s="37">
        <v>2.9042534686270449</v>
      </c>
      <c r="O226" s="37">
        <f t="shared" si="35"/>
        <v>0.96564441771898191</v>
      </c>
      <c r="P226" s="117">
        <f t="shared" si="39"/>
        <v>1.1771205451994391</v>
      </c>
      <c r="Q226" s="45">
        <f t="shared" si="32"/>
        <v>4.0263784176506563E-2</v>
      </c>
    </row>
    <row r="227" spans="1:17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34"/>
        <v>146.82</v>
      </c>
      <c r="G227" s="827">
        <v>3</v>
      </c>
      <c r="H227" s="330"/>
      <c r="I227" s="330"/>
      <c r="J227" s="8">
        <f t="shared" si="38"/>
        <v>3</v>
      </c>
      <c r="K227" s="72">
        <f t="shared" si="36"/>
        <v>1.2026458208057728E-3</v>
      </c>
      <c r="L227" s="316">
        <f t="shared" si="37"/>
        <v>2.7289597113650035</v>
      </c>
      <c r="M227" s="96">
        <f t="shared" si="33"/>
        <v>1.0034384858689118</v>
      </c>
      <c r="N227" s="37">
        <v>1.0890950507351418</v>
      </c>
      <c r="O227" s="37">
        <f t="shared" si="35"/>
        <v>0.36211665664461823</v>
      </c>
      <c r="P227" s="117">
        <f t="shared" si="39"/>
        <v>0.44142020444978963</v>
      </c>
      <c r="Q227" s="45">
        <f t="shared" si="32"/>
        <v>3.5305884107163024E-2</v>
      </c>
    </row>
    <row r="228" spans="1:17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34"/>
        <v>218.19</v>
      </c>
      <c r="G228" s="827">
        <v>4</v>
      </c>
      <c r="H228" s="330"/>
      <c r="I228" s="330"/>
      <c r="J228" s="8">
        <f t="shared" si="38"/>
        <v>4</v>
      </c>
      <c r="K228" s="72">
        <f t="shared" si="36"/>
        <v>1.6035277610743637E-3</v>
      </c>
      <c r="L228" s="316">
        <f t="shared" si="37"/>
        <v>3.6386129484866712</v>
      </c>
      <c r="M228" s="96">
        <f t="shared" si="33"/>
        <v>1.3379179811585491</v>
      </c>
      <c r="N228" s="37">
        <v>1.4521267343135225</v>
      </c>
      <c r="O228" s="37">
        <f t="shared" si="35"/>
        <v>0.48282220885949095</v>
      </c>
      <c r="P228" s="117">
        <f t="shared" si="39"/>
        <v>0.58856027259971955</v>
      </c>
      <c r="Q228" s="45">
        <f t="shared" si="32"/>
        <v>3.1676428217692072E-2</v>
      </c>
    </row>
    <row r="229" spans="1:17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34"/>
        <v>109.6</v>
      </c>
      <c r="G229" s="827">
        <v>4</v>
      </c>
      <c r="H229" s="330"/>
      <c r="I229" s="330"/>
      <c r="J229" s="8">
        <f t="shared" si="38"/>
        <v>4</v>
      </c>
      <c r="K229" s="72">
        <f t="shared" si="36"/>
        <v>1.6035277610743637E-3</v>
      </c>
      <c r="L229" s="316">
        <f t="shared" si="37"/>
        <v>3.6386129484866712</v>
      </c>
      <c r="M229" s="96">
        <f t="shared" si="33"/>
        <v>1.3379179811585491</v>
      </c>
      <c r="N229" s="37">
        <v>1.4521267343135225</v>
      </c>
      <c r="O229" s="37">
        <f t="shared" si="35"/>
        <v>0.48282220885949095</v>
      </c>
      <c r="P229" s="117">
        <f t="shared" si="39"/>
        <v>0.58856027259971955</v>
      </c>
      <c r="Q229" s="45">
        <f t="shared" si="32"/>
        <v>6.3060947744691911E-2</v>
      </c>
    </row>
    <row r="230" spans="1:17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34"/>
        <v>41.4</v>
      </c>
      <c r="G230" s="827">
        <v>1</v>
      </c>
      <c r="H230" s="330"/>
      <c r="I230" s="330"/>
      <c r="J230" s="8">
        <f t="shared" si="38"/>
        <v>1</v>
      </c>
      <c r="K230" s="72">
        <f t="shared" si="36"/>
        <v>4.0088194026859092E-4</v>
      </c>
      <c r="L230" s="316">
        <f t="shared" si="37"/>
        <v>0.90965323712166779</v>
      </c>
      <c r="M230" s="96">
        <f t="shared" si="33"/>
        <v>0.33447949528963727</v>
      </c>
      <c r="N230" s="37">
        <v>0.36303168357838062</v>
      </c>
      <c r="O230" s="37">
        <f t="shared" si="35"/>
        <v>0.12070555221487274</v>
      </c>
      <c r="P230" s="117">
        <f t="shared" si="39"/>
        <v>0.14714006814992989</v>
      </c>
      <c r="Q230" s="45">
        <f t="shared" si="32"/>
        <v>4.1735989570158415E-2</v>
      </c>
    </row>
    <row r="231" spans="1:17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34"/>
        <v>143.4</v>
      </c>
      <c r="G231" s="827">
        <v>4</v>
      </c>
      <c r="H231" s="330"/>
      <c r="I231" s="330"/>
      <c r="J231" s="8">
        <f t="shared" si="38"/>
        <v>4</v>
      </c>
      <c r="K231" s="72">
        <f t="shared" si="36"/>
        <v>1.6035277610743637E-3</v>
      </c>
      <c r="L231" s="316">
        <f t="shared" si="37"/>
        <v>3.6386129484866712</v>
      </c>
      <c r="M231" s="96">
        <f t="shared" si="33"/>
        <v>1.3379179811585491</v>
      </c>
      <c r="N231" s="37">
        <v>1.4521267343135225</v>
      </c>
      <c r="O231" s="37">
        <f t="shared" si="35"/>
        <v>0.48282220885949095</v>
      </c>
      <c r="P231" s="117">
        <f t="shared" si="39"/>
        <v>0.58856027259971955</v>
      </c>
      <c r="Q231" s="45">
        <f t="shared" si="32"/>
        <v>4.819720971281892E-2</v>
      </c>
    </row>
    <row r="232" spans="1:17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34"/>
        <v>473.2</v>
      </c>
      <c r="G232" s="827">
        <v>10</v>
      </c>
      <c r="H232" s="330"/>
      <c r="I232" s="330"/>
      <c r="J232" s="8">
        <f t="shared" si="38"/>
        <v>10</v>
      </c>
      <c r="K232" s="72">
        <f t="shared" si="36"/>
        <v>4.0088194026859092E-3</v>
      </c>
      <c r="L232" s="316">
        <f t="shared" si="37"/>
        <v>9.0965323712166768</v>
      </c>
      <c r="M232" s="96">
        <f t="shared" si="33"/>
        <v>3.3447949528963723</v>
      </c>
      <c r="N232" s="37">
        <v>3.6303168357838063</v>
      </c>
      <c r="O232" s="37">
        <f t="shared" si="35"/>
        <v>1.2070555221487274</v>
      </c>
      <c r="P232" s="117">
        <f t="shared" si="39"/>
        <v>1.4714006814992988</v>
      </c>
      <c r="Q232" s="45">
        <f t="shared" si="32"/>
        <v>3.6514580900349924E-2</v>
      </c>
    </row>
    <row r="233" spans="1:17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34"/>
        <v>306.10000000000002</v>
      </c>
      <c r="G233" s="827">
        <v>8</v>
      </c>
      <c r="H233" s="330"/>
      <c r="I233" s="330"/>
      <c r="J233" s="8">
        <f t="shared" si="38"/>
        <v>8</v>
      </c>
      <c r="K233" s="72">
        <f t="shared" si="36"/>
        <v>3.2070555221487274E-3</v>
      </c>
      <c r="L233" s="316">
        <f t="shared" si="37"/>
        <v>7.2772258969733423</v>
      </c>
      <c r="M233" s="96">
        <f t="shared" si="33"/>
        <v>2.6758359623170982</v>
      </c>
      <c r="N233" s="37">
        <v>2.9042534686270449</v>
      </c>
      <c r="O233" s="37">
        <f t="shared" si="35"/>
        <v>0.96564441771898191</v>
      </c>
      <c r="P233" s="117">
        <f t="shared" si="39"/>
        <v>1.1771205451994391</v>
      </c>
      <c r="Q233" s="45">
        <f t="shared" si="32"/>
        <v>4.5158313445398453E-2</v>
      </c>
    </row>
    <row r="234" spans="1:17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34"/>
        <v>239.7</v>
      </c>
      <c r="G234" s="827">
        <v>7</v>
      </c>
      <c r="H234" s="330"/>
      <c r="I234" s="330"/>
      <c r="J234" s="8">
        <f t="shared" si="38"/>
        <v>7</v>
      </c>
      <c r="K234" s="72">
        <f t="shared" si="36"/>
        <v>2.8061735818801364E-3</v>
      </c>
      <c r="L234" s="316">
        <f t="shared" si="37"/>
        <v>6.3675726598516746</v>
      </c>
      <c r="M234" s="96">
        <f t="shared" si="33"/>
        <v>2.3413564670274609</v>
      </c>
      <c r="N234" s="37">
        <v>2.541221785048664</v>
      </c>
      <c r="O234" s="37">
        <f t="shared" si="35"/>
        <v>0.84493886550410913</v>
      </c>
      <c r="P234" s="117">
        <f t="shared" si="39"/>
        <v>1.0299804770495091</v>
      </c>
      <c r="Q234" s="45">
        <f t="shared" si="32"/>
        <v>5.0459281507851103E-2</v>
      </c>
    </row>
    <row r="235" spans="1:17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34"/>
        <v>193.7</v>
      </c>
      <c r="G235" s="827">
        <v>4</v>
      </c>
      <c r="H235" s="330"/>
      <c r="I235" s="330"/>
      <c r="J235" s="8">
        <f t="shared" si="38"/>
        <v>4</v>
      </c>
      <c r="K235" s="72">
        <f t="shared" si="36"/>
        <v>1.6035277610743637E-3</v>
      </c>
      <c r="L235" s="316">
        <f t="shared" si="37"/>
        <v>3.6386129484866712</v>
      </c>
      <c r="M235" s="96">
        <f t="shared" si="33"/>
        <v>1.3379179811585491</v>
      </c>
      <c r="N235" s="37">
        <v>1.4521267343135225</v>
      </c>
      <c r="O235" s="37">
        <f t="shared" si="35"/>
        <v>0.48282220885949095</v>
      </c>
      <c r="P235" s="117">
        <f t="shared" si="39"/>
        <v>0.58856027259971955</v>
      </c>
      <c r="Q235" s="45">
        <f t="shared" si="32"/>
        <v>3.5681362275778186E-2</v>
      </c>
    </row>
    <row r="236" spans="1:17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34"/>
        <v>83.9</v>
      </c>
      <c r="G236" s="827">
        <v>3</v>
      </c>
      <c r="H236" s="330"/>
      <c r="I236" s="330"/>
      <c r="J236" s="8">
        <f t="shared" si="38"/>
        <v>3</v>
      </c>
      <c r="K236" s="72">
        <f t="shared" si="36"/>
        <v>1.2026458208057728E-3</v>
      </c>
      <c r="L236" s="316">
        <f t="shared" si="37"/>
        <v>2.7289597113650035</v>
      </c>
      <c r="M236" s="96">
        <f t="shared" si="33"/>
        <v>1.0034384858689118</v>
      </c>
      <c r="N236" s="37">
        <v>1.0890950507351418</v>
      </c>
      <c r="O236" s="37">
        <f t="shared" si="35"/>
        <v>0.36211665664461823</v>
      </c>
      <c r="P236" s="117">
        <f t="shared" si="39"/>
        <v>0.44142020444978963</v>
      </c>
      <c r="Q236" s="45">
        <f t="shared" si="32"/>
        <v>6.178319314199851E-2</v>
      </c>
    </row>
    <row r="237" spans="1:17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34"/>
        <v>2111.66</v>
      </c>
      <c r="G237" s="827">
        <v>40</v>
      </c>
      <c r="H237" s="330"/>
      <c r="I237" s="330"/>
      <c r="J237" s="8">
        <f t="shared" si="38"/>
        <v>40</v>
      </c>
      <c r="K237" s="72">
        <f t="shared" si="36"/>
        <v>1.6035277610743637E-2</v>
      </c>
      <c r="L237" s="316">
        <f t="shared" si="37"/>
        <v>36.386129484866707</v>
      </c>
      <c r="M237" s="96">
        <f t="shared" si="33"/>
        <v>13.379179811585489</v>
      </c>
      <c r="N237" s="37">
        <v>14.521267343135225</v>
      </c>
      <c r="O237" s="37">
        <f t="shared" si="35"/>
        <v>4.8282220885949094</v>
      </c>
      <c r="P237" s="117">
        <f t="shared" si="39"/>
        <v>5.8856027259971953</v>
      </c>
      <c r="Q237" s="45">
        <f t="shared" si="32"/>
        <v>3.2730079050691085E-2</v>
      </c>
    </row>
    <row r="238" spans="1:17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34"/>
        <v>424.8</v>
      </c>
      <c r="G238" s="827">
        <v>7</v>
      </c>
      <c r="H238" s="330"/>
      <c r="I238" s="330"/>
      <c r="J238" s="8">
        <f t="shared" si="38"/>
        <v>7</v>
      </c>
      <c r="K238" s="72">
        <f t="shared" si="36"/>
        <v>2.8061735818801364E-3</v>
      </c>
      <c r="L238" s="316">
        <f t="shared" si="37"/>
        <v>6.3675726598516746</v>
      </c>
      <c r="M238" s="96">
        <f t="shared" si="33"/>
        <v>2.3413564670274609</v>
      </c>
      <c r="N238" s="37">
        <v>2.541221785048664</v>
      </c>
      <c r="O238" s="37">
        <f t="shared" si="35"/>
        <v>0.84493886550410913</v>
      </c>
      <c r="P238" s="117">
        <f t="shared" si="39"/>
        <v>1.0299804770495091</v>
      </c>
      <c r="Q238" s="45">
        <f t="shared" si="32"/>
        <v>2.8472433562692818E-2</v>
      </c>
    </row>
    <row r="239" spans="1:17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34"/>
        <v>105.5</v>
      </c>
      <c r="G239" s="827">
        <v>3</v>
      </c>
      <c r="H239" s="330"/>
      <c r="I239" s="330"/>
      <c r="J239" s="8">
        <f t="shared" si="38"/>
        <v>3</v>
      </c>
      <c r="K239" s="72">
        <f t="shared" si="36"/>
        <v>1.2026458208057728E-3</v>
      </c>
      <c r="L239" s="316">
        <f t="shared" si="37"/>
        <v>2.7289597113650035</v>
      </c>
      <c r="M239" s="96">
        <f t="shared" si="33"/>
        <v>1.0034384858689118</v>
      </c>
      <c r="N239" s="37">
        <v>1.0890950507351418</v>
      </c>
      <c r="O239" s="37">
        <f t="shared" si="35"/>
        <v>0.36211665664461823</v>
      </c>
      <c r="P239" s="117">
        <f t="shared" si="39"/>
        <v>0.44142020444978963</v>
      </c>
      <c r="Q239" s="45">
        <f t="shared" si="32"/>
        <v>4.9133743171693604E-2</v>
      </c>
    </row>
    <row r="240" spans="1:17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34"/>
        <v>158.6</v>
      </c>
      <c r="G240" s="827">
        <v>5</v>
      </c>
      <c r="H240" s="330"/>
      <c r="I240" s="330"/>
      <c r="J240" s="8">
        <f t="shared" si="38"/>
        <v>5</v>
      </c>
      <c r="K240" s="72">
        <f t="shared" si="36"/>
        <v>2.0044097013429546E-3</v>
      </c>
      <c r="L240" s="316">
        <f t="shared" si="37"/>
        <v>4.5482661856083384</v>
      </c>
      <c r="M240" s="96">
        <f t="shared" si="33"/>
        <v>1.6723974764481861</v>
      </c>
      <c r="N240" s="37">
        <v>1.8151584178919031</v>
      </c>
      <c r="O240" s="37">
        <f t="shared" si="35"/>
        <v>0.60352776107436368</v>
      </c>
      <c r="P240" s="117">
        <f t="shared" si="39"/>
        <v>0.73570034074964941</v>
      </c>
      <c r="Q240" s="45">
        <f t="shared" si="32"/>
        <v>5.4472571507079397E-2</v>
      </c>
    </row>
    <row r="241" spans="1:17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34"/>
        <v>84.9</v>
      </c>
      <c r="G241" s="827">
        <v>2</v>
      </c>
      <c r="H241" s="330"/>
      <c r="I241" s="330"/>
      <c r="J241" s="8">
        <f t="shared" si="38"/>
        <v>2</v>
      </c>
      <c r="K241" s="72">
        <f t="shared" si="36"/>
        <v>8.0176388053718184E-4</v>
      </c>
      <c r="L241" s="316">
        <f t="shared" si="37"/>
        <v>1.8193064742433356</v>
      </c>
      <c r="M241" s="96">
        <f t="shared" si="33"/>
        <v>0.66895899057927455</v>
      </c>
      <c r="N241" s="37">
        <v>0.72606336715676123</v>
      </c>
      <c r="O241" s="37">
        <f t="shared" si="35"/>
        <v>0.24141110442974548</v>
      </c>
      <c r="P241" s="117">
        <f t="shared" si="39"/>
        <v>0.29428013629985977</v>
      </c>
      <c r="Q241" s="45">
        <f t="shared" si="32"/>
        <v>4.070365060552552E-2</v>
      </c>
    </row>
    <row r="242" spans="1:17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34"/>
        <v>191.6</v>
      </c>
      <c r="G242" s="827">
        <v>4</v>
      </c>
      <c r="H242" s="330"/>
      <c r="I242" s="330"/>
      <c r="J242" s="8">
        <f t="shared" si="38"/>
        <v>4</v>
      </c>
      <c r="K242" s="72">
        <f t="shared" si="36"/>
        <v>1.6035277610743637E-3</v>
      </c>
      <c r="L242" s="316">
        <f t="shared" si="37"/>
        <v>3.6386129484866712</v>
      </c>
      <c r="M242" s="96">
        <f t="shared" si="33"/>
        <v>1.3379179811585491</v>
      </c>
      <c r="N242" s="37">
        <v>1.4521267343135225</v>
      </c>
      <c r="O242" s="37">
        <f t="shared" si="35"/>
        <v>0.48282220885949095</v>
      </c>
      <c r="P242" s="117">
        <f t="shared" si="39"/>
        <v>0.58856027259971955</v>
      </c>
      <c r="Q242" s="45">
        <f t="shared" si="32"/>
        <v>3.6072441924938588E-2</v>
      </c>
    </row>
    <row r="243" spans="1:17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34"/>
        <v>220.11</v>
      </c>
      <c r="G243" s="827">
        <v>5</v>
      </c>
      <c r="H243" s="330"/>
      <c r="I243" s="330"/>
      <c r="J243" s="8">
        <f t="shared" si="38"/>
        <v>5</v>
      </c>
      <c r="K243" s="72">
        <f t="shared" si="36"/>
        <v>2.0044097013429546E-3</v>
      </c>
      <c r="L243" s="316">
        <f t="shared" si="37"/>
        <v>4.5482661856083384</v>
      </c>
      <c r="M243" s="96">
        <f t="shared" si="33"/>
        <v>1.6723974764481861</v>
      </c>
      <c r="N243" s="37">
        <v>1.8151584178919031</v>
      </c>
      <c r="O243" s="37">
        <f t="shared" si="35"/>
        <v>0.60352776107436368</v>
      </c>
      <c r="P243" s="117">
        <f t="shared" si="39"/>
        <v>0.73570034074964941</v>
      </c>
      <c r="Q243" s="45">
        <f t="shared" si="32"/>
        <v>3.9250146931183463E-2</v>
      </c>
    </row>
    <row r="244" spans="1:17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34"/>
        <v>154.1</v>
      </c>
      <c r="G244" s="827">
        <v>3</v>
      </c>
      <c r="H244" s="330"/>
      <c r="I244" s="330"/>
      <c r="J244" s="8">
        <f t="shared" si="38"/>
        <v>3</v>
      </c>
      <c r="K244" s="72">
        <f t="shared" si="36"/>
        <v>1.2026458208057728E-3</v>
      </c>
      <c r="L244" s="316">
        <f t="shared" si="37"/>
        <v>2.7289597113650035</v>
      </c>
      <c r="M244" s="96">
        <f t="shared" si="33"/>
        <v>1.0034384858689118</v>
      </c>
      <c r="N244" s="37">
        <v>1.0890950507351418</v>
      </c>
      <c r="O244" s="37">
        <f t="shared" si="35"/>
        <v>0.36211665664461823</v>
      </c>
      <c r="P244" s="117">
        <f t="shared" si="39"/>
        <v>0.44142020444978963</v>
      </c>
      <c r="Q244" s="45">
        <f t="shared" si="32"/>
        <v>3.3637961743112753E-2</v>
      </c>
    </row>
    <row r="245" spans="1:17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34"/>
        <v>219.1</v>
      </c>
      <c r="G245" s="827">
        <v>4</v>
      </c>
      <c r="H245" s="330"/>
      <c r="I245" s="330"/>
      <c r="J245" s="8">
        <f t="shared" si="38"/>
        <v>4</v>
      </c>
      <c r="K245" s="72">
        <f t="shared" si="36"/>
        <v>1.6035277610743637E-3</v>
      </c>
      <c r="L245" s="316">
        <f t="shared" si="37"/>
        <v>3.6386129484866712</v>
      </c>
      <c r="M245" s="96">
        <f t="shared" si="33"/>
        <v>1.3379179811585491</v>
      </c>
      <c r="N245" s="37">
        <v>1.4521267343135225</v>
      </c>
      <c r="O245" s="37">
        <f t="shared" si="35"/>
        <v>0.48282220885949095</v>
      </c>
      <c r="P245" s="117">
        <f t="shared" si="39"/>
        <v>0.58856027259971955</v>
      </c>
      <c r="Q245" s="45">
        <f t="shared" si="32"/>
        <v>3.1544864777810287E-2</v>
      </c>
    </row>
    <row r="246" spans="1:17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34"/>
        <v>255.8</v>
      </c>
      <c r="G246" s="827">
        <v>6</v>
      </c>
      <c r="H246" s="330"/>
      <c r="I246" s="330"/>
      <c r="J246" s="8">
        <f t="shared" si="38"/>
        <v>6</v>
      </c>
      <c r="K246" s="72">
        <f t="shared" si="36"/>
        <v>2.4052916416115455E-3</v>
      </c>
      <c r="L246" s="316">
        <f t="shared" si="37"/>
        <v>5.457919422730007</v>
      </c>
      <c r="M246" s="96">
        <f t="shared" si="33"/>
        <v>2.0068769717378236</v>
      </c>
      <c r="N246" s="37">
        <v>2.1781901014702836</v>
      </c>
      <c r="O246" s="37">
        <f t="shared" si="35"/>
        <v>0.72423331328923646</v>
      </c>
      <c r="P246" s="117">
        <f t="shared" si="39"/>
        <v>0.88284040889957927</v>
      </c>
      <c r="Q246" s="45">
        <f t="shared" si="32"/>
        <v>4.0528615360544765E-2</v>
      </c>
    </row>
    <row r="247" spans="1:17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34"/>
        <v>58.3</v>
      </c>
      <c r="G247" s="827">
        <v>2</v>
      </c>
      <c r="H247" s="330"/>
      <c r="I247" s="330"/>
      <c r="J247" s="8">
        <f t="shared" si="38"/>
        <v>2</v>
      </c>
      <c r="K247" s="72">
        <f t="shared" si="36"/>
        <v>8.0176388053718184E-4</v>
      </c>
      <c r="L247" s="316">
        <f t="shared" si="37"/>
        <v>1.8193064742433356</v>
      </c>
      <c r="M247" s="96">
        <f t="shared" si="33"/>
        <v>0.66895899057927455</v>
      </c>
      <c r="N247" s="37">
        <v>0.72606336715676123</v>
      </c>
      <c r="O247" s="37">
        <f t="shared" si="35"/>
        <v>0.24141110442974548</v>
      </c>
      <c r="P247" s="117">
        <f t="shared" si="39"/>
        <v>0.29428013629985977</v>
      </c>
      <c r="Q247" s="45">
        <f t="shared" si="32"/>
        <v>5.9275127554187255E-2</v>
      </c>
    </row>
    <row r="248" spans="1:17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34"/>
        <v>47.2</v>
      </c>
      <c r="G248" s="827">
        <v>1</v>
      </c>
      <c r="H248" s="330"/>
      <c r="I248" s="330"/>
      <c r="J248" s="8">
        <f t="shared" si="38"/>
        <v>1</v>
      </c>
      <c r="K248" s="72">
        <f t="shared" si="36"/>
        <v>4.0088194026859092E-4</v>
      </c>
      <c r="L248" s="316">
        <f t="shared" si="37"/>
        <v>0.90965323712166779</v>
      </c>
      <c r="M248" s="96">
        <f t="shared" si="33"/>
        <v>0.33447949528963727</v>
      </c>
      <c r="N248" s="37">
        <v>0.36303168357838062</v>
      </c>
      <c r="O248" s="37">
        <f t="shared" si="35"/>
        <v>0.12070555221487274</v>
      </c>
      <c r="P248" s="117">
        <f t="shared" si="39"/>
        <v>0.14714006814992989</v>
      </c>
      <c r="Q248" s="45">
        <f t="shared" si="32"/>
        <v>3.6607414580605048E-2</v>
      </c>
    </row>
    <row r="249" spans="1:17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34"/>
        <v>101.5</v>
      </c>
      <c r="G249" s="827">
        <v>1</v>
      </c>
      <c r="H249" s="330"/>
      <c r="I249" s="330"/>
      <c r="J249" s="8">
        <f t="shared" si="38"/>
        <v>1</v>
      </c>
      <c r="K249" s="72">
        <f t="shared" si="36"/>
        <v>4.0088194026859092E-4</v>
      </c>
      <c r="L249" s="316">
        <f t="shared" si="37"/>
        <v>0.90965323712166779</v>
      </c>
      <c r="M249" s="96">
        <f t="shared" si="33"/>
        <v>0.33447949528963727</v>
      </c>
      <c r="N249" s="37">
        <v>0.36303168357838062</v>
      </c>
      <c r="O249" s="37">
        <f t="shared" si="35"/>
        <v>0.12070555221487274</v>
      </c>
      <c r="P249" s="117">
        <f t="shared" si="39"/>
        <v>0.14714006814992989</v>
      </c>
      <c r="Q249" s="45">
        <f t="shared" si="32"/>
        <v>1.7023349440438998E-2</v>
      </c>
    </row>
    <row r="250" spans="1:17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34"/>
        <v>57.8</v>
      </c>
      <c r="G250" s="827">
        <v>2</v>
      </c>
      <c r="H250" s="330"/>
      <c r="I250" s="330"/>
      <c r="J250" s="8">
        <f t="shared" si="38"/>
        <v>2</v>
      </c>
      <c r="K250" s="72">
        <f t="shared" si="36"/>
        <v>8.0176388053718184E-4</v>
      </c>
      <c r="L250" s="316">
        <f t="shared" si="37"/>
        <v>1.8193064742433356</v>
      </c>
      <c r="M250" s="96">
        <f t="shared" si="33"/>
        <v>0.66895899057927455</v>
      </c>
      <c r="N250" s="37">
        <v>0.72606336715676123</v>
      </c>
      <c r="O250" s="37">
        <f t="shared" si="35"/>
        <v>0.24141110442974548</v>
      </c>
      <c r="P250" s="117">
        <f t="shared" si="39"/>
        <v>0.29428013629985977</v>
      </c>
      <c r="Q250" s="45">
        <f t="shared" si="32"/>
        <v>5.9787888173168116E-2</v>
      </c>
    </row>
    <row r="251" spans="1:17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34"/>
        <v>670.84999999999991</v>
      </c>
      <c r="G251" s="827">
        <v>13</v>
      </c>
      <c r="H251" s="330">
        <v>1</v>
      </c>
      <c r="I251" s="330">
        <v>1</v>
      </c>
      <c r="J251" s="8">
        <f t="shared" si="38"/>
        <v>15</v>
      </c>
      <c r="K251" s="72">
        <f t="shared" si="36"/>
        <v>6.0132291040288638E-3</v>
      </c>
      <c r="L251" s="316">
        <f t="shared" si="37"/>
        <v>13.644798556825016</v>
      </c>
      <c r="M251" s="96">
        <f t="shared" si="33"/>
        <v>5.0171924293445587</v>
      </c>
      <c r="N251" s="37">
        <v>5.4454752536757089</v>
      </c>
      <c r="O251" s="37">
        <f t="shared" si="35"/>
        <v>1.810583283223091</v>
      </c>
      <c r="P251" s="117">
        <f t="shared" si="39"/>
        <v>2.2071010222489482</v>
      </c>
      <c r="Q251" s="45">
        <f t="shared" si="32"/>
        <v>3.8634641906638414E-2</v>
      </c>
    </row>
    <row r="252" spans="1:17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34"/>
        <v>648.9</v>
      </c>
      <c r="G252" s="827">
        <v>15</v>
      </c>
      <c r="H252" s="330"/>
      <c r="I252" s="330"/>
      <c r="J252" s="8">
        <f t="shared" si="38"/>
        <v>15</v>
      </c>
      <c r="K252" s="72">
        <f t="shared" si="36"/>
        <v>6.0132291040288638E-3</v>
      </c>
      <c r="L252" s="316">
        <f t="shared" si="37"/>
        <v>13.644798556825016</v>
      </c>
      <c r="M252" s="96">
        <f t="shared" si="33"/>
        <v>5.0171924293445587</v>
      </c>
      <c r="N252" s="37">
        <v>5.4454752536757089</v>
      </c>
      <c r="O252" s="37">
        <f t="shared" si="35"/>
        <v>1.810583283223091</v>
      </c>
      <c r="P252" s="117">
        <f t="shared" si="39"/>
        <v>2.2071010222489482</v>
      </c>
      <c r="Q252" s="45">
        <f t="shared" si="32"/>
        <v>3.994151567740542E-2</v>
      </c>
    </row>
    <row r="253" spans="1:17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34"/>
        <v>753.1</v>
      </c>
      <c r="G253" s="827">
        <v>11</v>
      </c>
      <c r="H253" s="330">
        <v>1</v>
      </c>
      <c r="I253" s="330">
        <v>2</v>
      </c>
      <c r="J253" s="8">
        <f t="shared" si="38"/>
        <v>14</v>
      </c>
      <c r="K253" s="72">
        <f t="shared" si="36"/>
        <v>5.6123471637602729E-3</v>
      </c>
      <c r="L253" s="316">
        <f t="shared" si="37"/>
        <v>12.735145319703349</v>
      </c>
      <c r="M253" s="96">
        <f t="shared" si="33"/>
        <v>4.6827129340549218</v>
      </c>
      <c r="N253" s="37">
        <v>5.0824435700973281</v>
      </c>
      <c r="O253" s="37">
        <f t="shared" si="35"/>
        <v>1.6898777310082183</v>
      </c>
      <c r="P253" s="117">
        <f t="shared" si="39"/>
        <v>2.0599609540990182</v>
      </c>
      <c r="Q253" s="45">
        <f t="shared" si="32"/>
        <v>3.2120806738632074E-2</v>
      </c>
    </row>
    <row r="254" spans="1:17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34"/>
        <v>276.60000000000002</v>
      </c>
      <c r="G254" s="827">
        <v>7</v>
      </c>
      <c r="H254" s="330"/>
      <c r="I254" s="330"/>
      <c r="J254" s="8">
        <f t="shared" si="38"/>
        <v>7</v>
      </c>
      <c r="K254" s="72">
        <f t="shared" si="36"/>
        <v>2.8061735818801364E-3</v>
      </c>
      <c r="L254" s="316">
        <f t="shared" si="37"/>
        <v>6.3675726598516746</v>
      </c>
      <c r="M254" s="96">
        <f t="shared" si="33"/>
        <v>2.3413564670274609</v>
      </c>
      <c r="N254" s="37">
        <v>2.541221785048664</v>
      </c>
      <c r="O254" s="37">
        <f t="shared" si="35"/>
        <v>0.84493886550410913</v>
      </c>
      <c r="P254" s="117">
        <f t="shared" si="39"/>
        <v>1.0299804770495091</v>
      </c>
      <c r="Q254" s="45">
        <f t="shared" si="32"/>
        <v>4.3727728768734299E-2</v>
      </c>
    </row>
    <row r="255" spans="1:17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34"/>
        <v>238.8</v>
      </c>
      <c r="G255" s="827">
        <v>7</v>
      </c>
      <c r="H255" s="330"/>
      <c r="I255" s="330"/>
      <c r="J255" s="8">
        <f t="shared" si="38"/>
        <v>7</v>
      </c>
      <c r="K255" s="72">
        <f t="shared" si="36"/>
        <v>2.8061735818801364E-3</v>
      </c>
      <c r="L255" s="316">
        <f t="shared" si="37"/>
        <v>6.3675726598516746</v>
      </c>
      <c r="M255" s="96">
        <f t="shared" si="33"/>
        <v>2.3413564670274609</v>
      </c>
      <c r="N255" s="37">
        <v>2.541221785048664</v>
      </c>
      <c r="O255" s="37">
        <f t="shared" si="35"/>
        <v>0.84493886550410913</v>
      </c>
      <c r="P255" s="117">
        <f t="shared" si="39"/>
        <v>1.0299804770495091</v>
      </c>
      <c r="Q255" s="45">
        <f t="shared" si="32"/>
        <v>5.0649454679363097E-2</v>
      </c>
    </row>
    <row r="256" spans="1:17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34"/>
        <v>754.13</v>
      </c>
      <c r="G256" s="827">
        <v>9</v>
      </c>
      <c r="H256" s="330"/>
      <c r="I256" s="330"/>
      <c r="J256" s="8">
        <f t="shared" si="38"/>
        <v>9</v>
      </c>
      <c r="K256" s="72">
        <f t="shared" si="36"/>
        <v>3.6079374624173183E-3</v>
      </c>
      <c r="L256" s="316">
        <f t="shared" si="37"/>
        <v>8.18687913409501</v>
      </c>
      <c r="M256" s="96">
        <f t="shared" si="33"/>
        <v>3.0103154576067355</v>
      </c>
      <c r="N256" s="37">
        <v>3.2672851522054258</v>
      </c>
      <c r="O256" s="37">
        <f t="shared" si="35"/>
        <v>1.0863499699338546</v>
      </c>
      <c r="P256" s="117">
        <f t="shared" si="39"/>
        <v>1.3242606133493688</v>
      </c>
      <c r="Q256" s="45">
        <f t="shared" si="32"/>
        <v>2.062088726591042E-2</v>
      </c>
    </row>
    <row r="257" spans="1:17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34"/>
        <v>911.08</v>
      </c>
      <c r="G257" s="827">
        <v>15</v>
      </c>
      <c r="H257" s="330">
        <v>2</v>
      </c>
      <c r="I257" s="330"/>
      <c r="J257" s="8">
        <f t="shared" si="38"/>
        <v>17</v>
      </c>
      <c r="K257" s="72">
        <f t="shared" si="36"/>
        <v>6.8149929845660456E-3</v>
      </c>
      <c r="L257" s="316">
        <f t="shared" si="37"/>
        <v>15.464105031068351</v>
      </c>
      <c r="M257" s="96">
        <f t="shared" si="33"/>
        <v>5.6861514199238332</v>
      </c>
      <c r="N257" s="37">
        <v>6.1715386208324707</v>
      </c>
      <c r="O257" s="37">
        <f t="shared" si="35"/>
        <v>2.0519943876528366</v>
      </c>
      <c r="P257" s="117">
        <f t="shared" si="39"/>
        <v>2.5013811585488082</v>
      </c>
      <c r="Q257" s="45">
        <f t="shared" si="32"/>
        <v>3.2240625915921202E-2</v>
      </c>
    </row>
    <row r="258" spans="1:17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34"/>
        <v>707.90000000000009</v>
      </c>
      <c r="G258" s="827">
        <v>10</v>
      </c>
      <c r="H258" s="330"/>
      <c r="I258" s="330">
        <v>1</v>
      </c>
      <c r="J258" s="8">
        <f t="shared" si="38"/>
        <v>11</v>
      </c>
      <c r="K258" s="72">
        <f t="shared" si="36"/>
        <v>4.4097013429545001E-3</v>
      </c>
      <c r="L258" s="316">
        <f t="shared" si="37"/>
        <v>10.006185608338345</v>
      </c>
      <c r="M258" s="96">
        <f t="shared" si="33"/>
        <v>3.67927444818601</v>
      </c>
      <c r="N258" s="37">
        <v>3.9933485193621863</v>
      </c>
      <c r="O258" s="37">
        <f t="shared" si="35"/>
        <v>1.3277610743636001</v>
      </c>
      <c r="P258" s="117">
        <f t="shared" si="39"/>
        <v>1.6185407496492288</v>
      </c>
      <c r="Q258" s="45">
        <f t="shared" si="32"/>
        <v>2.6849229623181439E-2</v>
      </c>
    </row>
    <row r="259" spans="1:17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34"/>
        <v>814.34</v>
      </c>
      <c r="G259" s="827">
        <v>17</v>
      </c>
      <c r="H259" s="330"/>
      <c r="I259" s="330"/>
      <c r="J259" s="8">
        <f t="shared" si="38"/>
        <v>17</v>
      </c>
      <c r="K259" s="72">
        <f t="shared" si="36"/>
        <v>6.8149929845660456E-3</v>
      </c>
      <c r="L259" s="316">
        <f t="shared" si="37"/>
        <v>15.464105031068351</v>
      </c>
      <c r="M259" s="96">
        <f t="shared" si="33"/>
        <v>5.6861514199238332</v>
      </c>
      <c r="N259" s="37">
        <v>6.1715386208324707</v>
      </c>
      <c r="O259" s="37">
        <f t="shared" si="35"/>
        <v>2.0519943876528366</v>
      </c>
      <c r="P259" s="117">
        <f t="shared" si="39"/>
        <v>2.5013811585488082</v>
      </c>
      <c r="Q259" s="45">
        <f t="shared" si="32"/>
        <v>3.6070670063459355E-2</v>
      </c>
    </row>
    <row r="260" spans="1:17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34"/>
        <v>562.29999999999995</v>
      </c>
      <c r="G260" s="827">
        <v>9</v>
      </c>
      <c r="H260" s="330"/>
      <c r="I260" s="330"/>
      <c r="J260" s="8">
        <f t="shared" si="38"/>
        <v>9</v>
      </c>
      <c r="K260" s="72">
        <f t="shared" si="36"/>
        <v>3.6079374624173183E-3</v>
      </c>
      <c r="L260" s="316">
        <f t="shared" si="37"/>
        <v>8.18687913409501</v>
      </c>
      <c r="M260" s="96">
        <f t="shared" si="33"/>
        <v>3.0103154576067355</v>
      </c>
      <c r="N260" s="37">
        <v>3.2672851522054258</v>
      </c>
      <c r="O260" s="37">
        <f t="shared" si="35"/>
        <v>1.0863499699338546</v>
      </c>
      <c r="P260" s="117">
        <f t="shared" si="39"/>
        <v>1.3242606133493688</v>
      </c>
      <c r="Q260" s="45">
        <f t="shared" si="32"/>
        <v>2.7655752647769923E-2</v>
      </c>
    </row>
    <row r="261" spans="1:17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34"/>
        <v>410.5</v>
      </c>
      <c r="G261" s="827">
        <v>10</v>
      </c>
      <c r="H261" s="330"/>
      <c r="I261" s="330"/>
      <c r="J261" s="8">
        <f t="shared" si="38"/>
        <v>10</v>
      </c>
      <c r="K261" s="72">
        <f t="shared" si="36"/>
        <v>4.0088194026859092E-3</v>
      </c>
      <c r="L261" s="316">
        <f t="shared" si="37"/>
        <v>9.0965323712166768</v>
      </c>
      <c r="M261" s="96">
        <f t="shared" si="33"/>
        <v>3.3447949528963723</v>
      </c>
      <c r="N261" s="37">
        <v>3.6303168357838063</v>
      </c>
      <c r="O261" s="37">
        <f t="shared" si="35"/>
        <v>1.2070555221487274</v>
      </c>
      <c r="P261" s="117">
        <f t="shared" si="39"/>
        <v>1.4714006814992988</v>
      </c>
      <c r="Q261" s="45">
        <f t="shared" si="32"/>
        <v>4.2091838445908851E-2</v>
      </c>
    </row>
    <row r="262" spans="1:17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34"/>
        <v>523.27</v>
      </c>
      <c r="G262" s="827">
        <v>12</v>
      </c>
      <c r="H262" s="330"/>
      <c r="I262" s="330">
        <v>1</v>
      </c>
      <c r="J262" s="8">
        <f t="shared" si="38"/>
        <v>13</v>
      </c>
      <c r="K262" s="72">
        <f t="shared" si="36"/>
        <v>5.211465223491682E-3</v>
      </c>
      <c r="L262" s="316">
        <f t="shared" si="37"/>
        <v>11.825492082581681</v>
      </c>
      <c r="M262" s="96">
        <f t="shared" si="33"/>
        <v>4.3482334387652841</v>
      </c>
      <c r="N262" s="37">
        <v>4.7194118865189481</v>
      </c>
      <c r="O262" s="37">
        <f t="shared" si="35"/>
        <v>1.5691721787933455</v>
      </c>
      <c r="P262" s="117">
        <f t="shared" si="39"/>
        <v>1.9128208859490883</v>
      </c>
      <c r="Q262" s="45">
        <f t="shared" si="32"/>
        <v>4.2926805638884818E-2</v>
      </c>
    </row>
    <row r="263" spans="1:17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34"/>
        <v>684.1</v>
      </c>
      <c r="G263" s="827">
        <v>15</v>
      </c>
      <c r="H263" s="330">
        <v>2</v>
      </c>
      <c r="I263" s="330"/>
      <c r="J263" s="8">
        <f t="shared" si="38"/>
        <v>17</v>
      </c>
      <c r="K263" s="72">
        <f t="shared" si="36"/>
        <v>6.8149929845660456E-3</v>
      </c>
      <c r="L263" s="316">
        <f t="shared" si="37"/>
        <v>15.464105031068351</v>
      </c>
      <c r="M263" s="96">
        <f t="shared" si="33"/>
        <v>5.6861514199238332</v>
      </c>
      <c r="N263" s="37">
        <v>6.1715386208324707</v>
      </c>
      <c r="O263" s="37">
        <f t="shared" si="35"/>
        <v>2.0519943876528366</v>
      </c>
      <c r="P263" s="117">
        <f t="shared" si="39"/>
        <v>2.5013811585488082</v>
      </c>
      <c r="Q263" s="45">
        <f t="shared" ref="Q263:Q326" si="40">(O263+N263+M263+L263)/F263</f>
        <v>4.2937859171871789E-2</v>
      </c>
    </row>
    <row r="264" spans="1:17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34"/>
        <v>659.08</v>
      </c>
      <c r="G264" s="827">
        <v>12</v>
      </c>
      <c r="H264" s="330"/>
      <c r="I264" s="330"/>
      <c r="J264" s="8">
        <f t="shared" si="38"/>
        <v>12</v>
      </c>
      <c r="K264" s="72">
        <f t="shared" si="36"/>
        <v>4.810583283223091E-3</v>
      </c>
      <c r="L264" s="316">
        <f t="shared" si="37"/>
        <v>10.915838845460014</v>
      </c>
      <c r="M264" s="96">
        <f t="shared" si="33"/>
        <v>4.0137539434756473</v>
      </c>
      <c r="N264" s="37">
        <v>4.3563802029405672</v>
      </c>
      <c r="O264" s="37">
        <f t="shared" si="35"/>
        <v>1.4484666265784729</v>
      </c>
      <c r="P264" s="117">
        <f t="shared" si="39"/>
        <v>1.7656808177991585</v>
      </c>
      <c r="Q264" s="45">
        <f t="shared" si="40"/>
        <v>3.1459670477718485E-2</v>
      </c>
    </row>
    <row r="265" spans="1:17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34"/>
        <v>466.5</v>
      </c>
      <c r="G265" s="827">
        <v>13</v>
      </c>
      <c r="H265" s="330"/>
      <c r="I265" s="330">
        <v>1</v>
      </c>
      <c r="J265" s="8">
        <f t="shared" si="38"/>
        <v>14</v>
      </c>
      <c r="K265" s="72">
        <f t="shared" si="36"/>
        <v>5.6123471637602729E-3</v>
      </c>
      <c r="L265" s="316">
        <f t="shared" si="37"/>
        <v>12.735145319703349</v>
      </c>
      <c r="M265" s="96">
        <f t="shared" si="33"/>
        <v>4.6827129340549218</v>
      </c>
      <c r="N265" s="37">
        <v>5.0824435700973281</v>
      </c>
      <c r="O265" s="37">
        <f t="shared" si="35"/>
        <v>1.6898777310082183</v>
      </c>
      <c r="P265" s="117">
        <f t="shared" si="39"/>
        <v>2.0599609540990182</v>
      </c>
      <c r="Q265" s="45">
        <f t="shared" si="40"/>
        <v>5.1854618552762737E-2</v>
      </c>
    </row>
    <row r="266" spans="1:17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34"/>
        <v>412.04</v>
      </c>
      <c r="G266" s="827">
        <v>9</v>
      </c>
      <c r="H266" s="330"/>
      <c r="I266" s="330">
        <v>1</v>
      </c>
      <c r="J266" s="8">
        <f t="shared" si="38"/>
        <v>10</v>
      </c>
      <c r="K266" s="72">
        <f t="shared" si="36"/>
        <v>4.0088194026859092E-3</v>
      </c>
      <c r="L266" s="316">
        <f t="shared" si="37"/>
        <v>9.0965323712166768</v>
      </c>
      <c r="M266" s="96">
        <f t="shared" si="33"/>
        <v>3.3447949528963723</v>
      </c>
      <c r="N266" s="37">
        <v>3.6303168357838063</v>
      </c>
      <c r="O266" s="37">
        <f t="shared" si="35"/>
        <v>1.2070555221487274</v>
      </c>
      <c r="P266" s="117">
        <f t="shared" si="39"/>
        <v>1.4714006814992988</v>
      </c>
      <c r="Q266" s="45">
        <f t="shared" si="40"/>
        <v>4.1934520148639895E-2</v>
      </c>
    </row>
    <row r="267" spans="1:17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34"/>
        <v>303.5</v>
      </c>
      <c r="G267" s="827">
        <v>11</v>
      </c>
      <c r="H267" s="330"/>
      <c r="I267" s="330"/>
      <c r="J267" s="8">
        <f t="shared" si="38"/>
        <v>11</v>
      </c>
      <c r="K267" s="72">
        <f t="shared" si="36"/>
        <v>4.4097013429545001E-3</v>
      </c>
      <c r="L267" s="316">
        <f t="shared" si="37"/>
        <v>10.006185608338345</v>
      </c>
      <c r="M267" s="96">
        <f t="shared" si="33"/>
        <v>3.67927444818601</v>
      </c>
      <c r="N267" s="37">
        <v>3.9933485193621863</v>
      </c>
      <c r="O267" s="37">
        <f t="shared" si="35"/>
        <v>1.3277610743636001</v>
      </c>
      <c r="P267" s="117">
        <f t="shared" si="39"/>
        <v>1.6185407496492288</v>
      </c>
      <c r="Q267" s="45">
        <f t="shared" si="40"/>
        <v>6.2624611697694038E-2</v>
      </c>
    </row>
    <row r="268" spans="1:17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34"/>
        <v>654.13</v>
      </c>
      <c r="G268" s="827">
        <v>12</v>
      </c>
      <c r="H268" s="330"/>
      <c r="I268" s="330"/>
      <c r="J268" s="8">
        <f t="shared" si="38"/>
        <v>12</v>
      </c>
      <c r="K268" s="72">
        <f t="shared" si="36"/>
        <v>4.810583283223091E-3</v>
      </c>
      <c r="L268" s="316">
        <f t="shared" si="37"/>
        <v>10.915838845460014</v>
      </c>
      <c r="M268" s="96">
        <f t="shared" si="33"/>
        <v>4.0137539434756473</v>
      </c>
      <c r="N268" s="37">
        <v>4.3563802029405672</v>
      </c>
      <c r="O268" s="37">
        <f t="shared" si="35"/>
        <v>1.4484666265784729</v>
      </c>
      <c r="P268" s="117">
        <f t="shared" si="39"/>
        <v>1.7656808177991585</v>
      </c>
      <c r="Q268" s="45">
        <f t="shared" si="40"/>
        <v>3.1697735340765143E-2</v>
      </c>
    </row>
    <row r="269" spans="1:17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si="34"/>
        <v>642.62</v>
      </c>
      <c r="G269" s="827">
        <v>20</v>
      </c>
      <c r="H269" s="330"/>
      <c r="I269" s="330">
        <v>2</v>
      </c>
      <c r="J269" s="8">
        <f t="shared" si="38"/>
        <v>22</v>
      </c>
      <c r="K269" s="72">
        <f t="shared" si="36"/>
        <v>8.8194026859090002E-3</v>
      </c>
      <c r="L269" s="316">
        <f t="shared" si="37"/>
        <v>20.012371216676691</v>
      </c>
      <c r="M269" s="96">
        <f t="shared" si="33"/>
        <v>7.35854889637202</v>
      </c>
      <c r="N269" s="37">
        <v>7.9866970387243725</v>
      </c>
      <c r="O269" s="37">
        <f t="shared" si="35"/>
        <v>2.6555221487272003</v>
      </c>
      <c r="P269" s="117">
        <f t="shared" si="39"/>
        <v>3.2370814992984576</v>
      </c>
      <c r="Q269" s="45">
        <f t="shared" si="40"/>
        <v>5.9153371044319017E-2</v>
      </c>
    </row>
    <row r="270" spans="1:17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si="34"/>
        <v>278.7</v>
      </c>
      <c r="G270" s="827">
        <v>9</v>
      </c>
      <c r="H270" s="330"/>
      <c r="I270" s="330"/>
      <c r="J270" s="8">
        <f t="shared" si="38"/>
        <v>9</v>
      </c>
      <c r="K270" s="72">
        <f t="shared" si="36"/>
        <v>3.6079374624173183E-3</v>
      </c>
      <c r="L270" s="316">
        <f t="shared" si="37"/>
        <v>8.18687913409501</v>
      </c>
      <c r="M270" s="96">
        <f t="shared" ref="M270:M333" si="41">L270*0.3677</f>
        <v>3.0103154576067355</v>
      </c>
      <c r="N270" s="37">
        <v>3.2672851522054258</v>
      </c>
      <c r="O270" s="37">
        <f t="shared" si="35"/>
        <v>1.0863499699338546</v>
      </c>
      <c r="P270" s="117">
        <f t="shared" si="39"/>
        <v>1.3242606133493688</v>
      </c>
      <c r="Q270" s="45">
        <f t="shared" si="40"/>
        <v>5.5797738478080471E-2</v>
      </c>
    </row>
    <row r="271" spans="1:17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ref="F271:F334" si="42">C271+D271+E271</f>
        <v>3583.55</v>
      </c>
      <c r="G271" s="827">
        <v>59</v>
      </c>
      <c r="H271" s="330"/>
      <c r="I271" s="330"/>
      <c r="J271" s="8">
        <f t="shared" si="38"/>
        <v>59</v>
      </c>
      <c r="K271" s="72">
        <f t="shared" si="36"/>
        <v>2.3652034475846864E-2</v>
      </c>
      <c r="L271" s="316">
        <f t="shared" si="37"/>
        <v>53.669540990178398</v>
      </c>
      <c r="M271" s="96">
        <f t="shared" si="41"/>
        <v>19.7342902220886</v>
      </c>
      <c r="N271" s="37">
        <v>21.418869331124455</v>
      </c>
      <c r="O271" s="37">
        <f t="shared" si="35"/>
        <v>7.1216275806774911</v>
      </c>
      <c r="P271" s="117">
        <f t="shared" si="39"/>
        <v>8.6812640208458625</v>
      </c>
      <c r="Q271" s="45">
        <f t="shared" si="40"/>
        <v>2.8447859838447609E-2</v>
      </c>
    </row>
    <row r="272" spans="1:17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42"/>
        <v>513.5</v>
      </c>
      <c r="G272" s="827">
        <v>16</v>
      </c>
      <c r="H272" s="330"/>
      <c r="I272" s="330">
        <v>1</v>
      </c>
      <c r="J272" s="8">
        <f t="shared" si="38"/>
        <v>17</v>
      </c>
      <c r="K272" s="72">
        <f t="shared" si="36"/>
        <v>6.8149929845660456E-3</v>
      </c>
      <c r="L272" s="316">
        <f t="shared" si="37"/>
        <v>15.464105031068351</v>
      </c>
      <c r="M272" s="96">
        <f t="shared" si="41"/>
        <v>5.6861514199238332</v>
      </c>
      <c r="N272" s="37">
        <v>6.1715386208324707</v>
      </c>
      <c r="O272" s="37">
        <f t="shared" si="35"/>
        <v>2.0519943876528366</v>
      </c>
      <c r="P272" s="117">
        <f t="shared" si="39"/>
        <v>2.5013811585488082</v>
      </c>
      <c r="Q272" s="45">
        <f t="shared" si="40"/>
        <v>5.720309534464945E-2</v>
      </c>
    </row>
    <row r="273" spans="1:17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42"/>
        <v>420.4</v>
      </c>
      <c r="G273" s="827">
        <v>12</v>
      </c>
      <c r="H273" s="330"/>
      <c r="I273" s="330"/>
      <c r="J273" s="8">
        <f t="shared" si="38"/>
        <v>12</v>
      </c>
      <c r="K273" s="72">
        <f t="shared" si="36"/>
        <v>4.810583283223091E-3</v>
      </c>
      <c r="L273" s="316">
        <f t="shared" si="37"/>
        <v>10.915838845460014</v>
      </c>
      <c r="M273" s="96">
        <f t="shared" si="41"/>
        <v>4.0137539434756473</v>
      </c>
      <c r="N273" s="37">
        <v>4.3563802029405672</v>
      </c>
      <c r="O273" s="37">
        <f t="shared" si="35"/>
        <v>1.4484666265784729</v>
      </c>
      <c r="P273" s="117">
        <f t="shared" si="39"/>
        <v>1.7656808177991585</v>
      </c>
      <c r="Q273" s="45">
        <f t="shared" si="40"/>
        <v>4.9320741242756191E-2</v>
      </c>
    </row>
    <row r="274" spans="1:17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42"/>
        <v>344.2</v>
      </c>
      <c r="G274" s="827">
        <v>11</v>
      </c>
      <c r="H274" s="330"/>
      <c r="I274" s="330">
        <v>1</v>
      </c>
      <c r="J274" s="8">
        <f t="shared" si="38"/>
        <v>12</v>
      </c>
      <c r="K274" s="72">
        <f t="shared" si="36"/>
        <v>4.810583283223091E-3</v>
      </c>
      <c r="L274" s="316">
        <f t="shared" si="37"/>
        <v>10.915838845460014</v>
      </c>
      <c r="M274" s="96">
        <f t="shared" si="41"/>
        <v>4.0137539434756473</v>
      </c>
      <c r="N274" s="37">
        <v>4.3563802029405672</v>
      </c>
      <c r="O274" s="37">
        <f t="shared" si="35"/>
        <v>1.4484666265784729</v>
      </c>
      <c r="P274" s="117">
        <f t="shared" si="39"/>
        <v>1.7656808177991585</v>
      </c>
      <c r="Q274" s="45">
        <f t="shared" si="40"/>
        <v>6.0239510803180421E-2</v>
      </c>
    </row>
    <row r="275" spans="1:17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42"/>
        <v>349.5</v>
      </c>
      <c r="G275" s="827">
        <v>11</v>
      </c>
      <c r="H275" s="330"/>
      <c r="I275" s="330"/>
      <c r="J275" s="8">
        <f t="shared" si="38"/>
        <v>11</v>
      </c>
      <c r="K275" s="72">
        <f t="shared" si="36"/>
        <v>4.4097013429545001E-3</v>
      </c>
      <c r="L275" s="316">
        <f t="shared" si="37"/>
        <v>10.006185608338345</v>
      </c>
      <c r="M275" s="96">
        <f t="shared" si="41"/>
        <v>3.67927444818601</v>
      </c>
      <c r="N275" s="37">
        <v>3.9933485193621863</v>
      </c>
      <c r="O275" s="37">
        <f t="shared" si="35"/>
        <v>1.3277610743636001</v>
      </c>
      <c r="P275" s="117">
        <f t="shared" si="39"/>
        <v>1.6185407496492288</v>
      </c>
      <c r="Q275" s="45">
        <f t="shared" si="40"/>
        <v>5.4382173534335172E-2</v>
      </c>
    </row>
    <row r="276" spans="1:17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42"/>
        <v>437.7</v>
      </c>
      <c r="G276" s="827">
        <v>11</v>
      </c>
      <c r="H276" s="330">
        <v>1</v>
      </c>
      <c r="I276" s="330">
        <v>1</v>
      </c>
      <c r="J276" s="8">
        <f t="shared" si="38"/>
        <v>13</v>
      </c>
      <c r="K276" s="72">
        <f t="shared" si="36"/>
        <v>5.211465223491682E-3</v>
      </c>
      <c r="L276" s="316">
        <f t="shared" si="37"/>
        <v>11.825492082581681</v>
      </c>
      <c r="M276" s="96">
        <f t="shared" si="41"/>
        <v>4.3482334387652841</v>
      </c>
      <c r="N276" s="37">
        <v>4.7194118865189481</v>
      </c>
      <c r="O276" s="37">
        <f t="shared" si="35"/>
        <v>1.5691721787933455</v>
      </c>
      <c r="P276" s="117">
        <f t="shared" si="39"/>
        <v>1.9128208859490883</v>
      </c>
      <c r="Q276" s="45">
        <f t="shared" si="40"/>
        <v>5.1318961815534067E-2</v>
      </c>
    </row>
    <row r="277" spans="1:17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42"/>
        <v>555.74</v>
      </c>
      <c r="G277" s="827">
        <v>13</v>
      </c>
      <c r="H277" s="330">
        <v>1</v>
      </c>
      <c r="I277" s="330"/>
      <c r="J277" s="8">
        <f t="shared" si="38"/>
        <v>14</v>
      </c>
      <c r="K277" s="72">
        <f t="shared" si="36"/>
        <v>5.6123471637602729E-3</v>
      </c>
      <c r="L277" s="316">
        <f t="shared" si="37"/>
        <v>12.735145319703349</v>
      </c>
      <c r="M277" s="96">
        <f t="shared" si="41"/>
        <v>4.6827129340549218</v>
      </c>
      <c r="N277" s="37">
        <v>5.0824435700973281</v>
      </c>
      <c r="O277" s="37">
        <f t="shared" si="35"/>
        <v>1.6898777310082183</v>
      </c>
      <c r="P277" s="117">
        <f t="shared" si="39"/>
        <v>2.0599609540990182</v>
      </c>
      <c r="Q277" s="45">
        <f t="shared" si="40"/>
        <v>4.3527871945269039E-2</v>
      </c>
    </row>
    <row r="278" spans="1:17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42"/>
        <v>396.6</v>
      </c>
      <c r="G278" s="827">
        <v>11</v>
      </c>
      <c r="H278" s="330"/>
      <c r="I278" s="330">
        <v>1</v>
      </c>
      <c r="J278" s="8">
        <f t="shared" si="38"/>
        <v>12</v>
      </c>
      <c r="K278" s="72">
        <f t="shared" si="36"/>
        <v>4.810583283223091E-3</v>
      </c>
      <c r="L278" s="316">
        <f t="shared" si="37"/>
        <v>10.915838845460014</v>
      </c>
      <c r="M278" s="96">
        <f t="shared" si="41"/>
        <v>4.0137539434756473</v>
      </c>
      <c r="N278" s="37">
        <v>4.3563802029405672</v>
      </c>
      <c r="O278" s="37">
        <f t="shared" si="35"/>
        <v>1.4484666265784729</v>
      </c>
      <c r="P278" s="117">
        <f t="shared" si="39"/>
        <v>1.7656808177991585</v>
      </c>
      <c r="Q278" s="45">
        <f t="shared" si="40"/>
        <v>5.2280483152936714E-2</v>
      </c>
    </row>
    <row r="279" spans="1:17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42"/>
        <v>1778.9</v>
      </c>
      <c r="G279" s="827">
        <v>29</v>
      </c>
      <c r="H279" s="330">
        <v>2</v>
      </c>
      <c r="I279" s="330">
        <v>2</v>
      </c>
      <c r="J279" s="8">
        <f t="shared" si="38"/>
        <v>33</v>
      </c>
      <c r="K279" s="72">
        <f t="shared" si="36"/>
        <v>1.32291040288635E-2</v>
      </c>
      <c r="L279" s="316">
        <f t="shared" si="37"/>
        <v>30.018556825015036</v>
      </c>
      <c r="M279" s="96">
        <f t="shared" si="41"/>
        <v>11.03782334455803</v>
      </c>
      <c r="N279" s="37">
        <v>11.980045558086561</v>
      </c>
      <c r="O279" s="37">
        <f t="shared" si="35"/>
        <v>3.9832832230908002</v>
      </c>
      <c r="P279" s="117">
        <f t="shared" si="39"/>
        <v>4.8556222489476859</v>
      </c>
      <c r="Q279" s="45">
        <f t="shared" si="40"/>
        <v>3.2053352605964598E-2</v>
      </c>
    </row>
    <row r="280" spans="1:17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42"/>
        <v>731.78</v>
      </c>
      <c r="G280" s="827">
        <v>21</v>
      </c>
      <c r="H280" s="330"/>
      <c r="I280" s="330">
        <v>1</v>
      </c>
      <c r="J280" s="8">
        <f t="shared" si="38"/>
        <v>22</v>
      </c>
      <c r="K280" s="72">
        <f t="shared" si="36"/>
        <v>8.8194026859090002E-3</v>
      </c>
      <c r="L280" s="316">
        <f t="shared" si="37"/>
        <v>20.012371216676691</v>
      </c>
      <c r="M280" s="96">
        <f t="shared" si="41"/>
        <v>7.35854889637202</v>
      </c>
      <c r="N280" s="37">
        <v>7.9866970387243725</v>
      </c>
      <c r="O280" s="37">
        <f t="shared" si="35"/>
        <v>2.6555221487272003</v>
      </c>
      <c r="P280" s="117">
        <f t="shared" si="39"/>
        <v>3.2370814992984576</v>
      </c>
      <c r="Q280" s="45">
        <f t="shared" si="40"/>
        <v>5.1946130395064481E-2</v>
      </c>
    </row>
    <row r="281" spans="1:17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42"/>
        <v>185.4</v>
      </c>
      <c r="G281" s="827">
        <v>6</v>
      </c>
      <c r="H281" s="330"/>
      <c r="I281" s="330"/>
      <c r="J281" s="8">
        <f t="shared" si="38"/>
        <v>6</v>
      </c>
      <c r="K281" s="72">
        <f t="shared" si="36"/>
        <v>2.4052916416115455E-3</v>
      </c>
      <c r="L281" s="316">
        <f t="shared" si="37"/>
        <v>5.457919422730007</v>
      </c>
      <c r="M281" s="96">
        <f t="shared" si="41"/>
        <v>2.0068769717378236</v>
      </c>
      <c r="N281" s="37">
        <v>2.1781901014702836</v>
      </c>
      <c r="O281" s="37">
        <f t="shared" si="35"/>
        <v>0.72423331328923646</v>
      </c>
      <c r="P281" s="117">
        <f t="shared" si="39"/>
        <v>0.88284040889957927</v>
      </c>
      <c r="Q281" s="45">
        <f t="shared" si="40"/>
        <v>5.5918121948367587E-2</v>
      </c>
    </row>
    <row r="282" spans="1:17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42"/>
        <v>478.6</v>
      </c>
      <c r="G282" s="827">
        <v>15</v>
      </c>
      <c r="H282" s="330"/>
      <c r="I282" s="330"/>
      <c r="J282" s="8">
        <f t="shared" si="38"/>
        <v>15</v>
      </c>
      <c r="K282" s="72">
        <f t="shared" si="36"/>
        <v>6.0132291040288638E-3</v>
      </c>
      <c r="L282" s="316">
        <f t="shared" si="37"/>
        <v>13.644798556825016</v>
      </c>
      <c r="M282" s="96">
        <f t="shared" si="41"/>
        <v>5.0171924293445587</v>
      </c>
      <c r="N282" s="37">
        <v>5.4454752536757089</v>
      </c>
      <c r="O282" s="37">
        <f t="shared" si="35"/>
        <v>1.810583283223091</v>
      </c>
      <c r="P282" s="117">
        <f t="shared" si="39"/>
        <v>2.2071010222489482</v>
      </c>
      <c r="Q282" s="45">
        <f t="shared" si="40"/>
        <v>5.4153885338630116E-2</v>
      </c>
    </row>
    <row r="283" spans="1:17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42"/>
        <v>496.38</v>
      </c>
      <c r="G283" s="827">
        <v>9</v>
      </c>
      <c r="H283" s="330"/>
      <c r="I283" s="330"/>
      <c r="J283" s="8">
        <f t="shared" si="38"/>
        <v>9</v>
      </c>
      <c r="K283" s="72">
        <f t="shared" si="36"/>
        <v>3.6079374624173183E-3</v>
      </c>
      <c r="L283" s="316">
        <f t="shared" si="37"/>
        <v>8.18687913409501</v>
      </c>
      <c r="M283" s="96">
        <f t="shared" si="41"/>
        <v>3.0103154576067355</v>
      </c>
      <c r="N283" s="37">
        <v>3.2672851522054258</v>
      </c>
      <c r="O283" s="37">
        <f t="shared" ref="O283:O346" si="43">K283*301.1</f>
        <v>1.0863499699338546</v>
      </c>
      <c r="P283" s="117">
        <f t="shared" si="39"/>
        <v>1.3242606133493688</v>
      </c>
      <c r="Q283" s="45">
        <f t="shared" si="40"/>
        <v>3.1328477605546204E-2</v>
      </c>
    </row>
    <row r="284" spans="1:17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42"/>
        <v>260.8</v>
      </c>
      <c r="G284" s="827">
        <v>7</v>
      </c>
      <c r="H284" s="330"/>
      <c r="I284" s="330">
        <v>1</v>
      </c>
      <c r="J284" s="8">
        <f t="shared" si="38"/>
        <v>8</v>
      </c>
      <c r="K284" s="72">
        <f t="shared" ref="K284:K347" si="44">2/4989*J284</f>
        <v>3.2070555221487274E-3</v>
      </c>
      <c r="L284" s="316">
        <f t="shared" ref="L284:L347" si="45">K284*2269.13</f>
        <v>7.2772258969733423</v>
      </c>
      <c r="M284" s="96">
        <f t="shared" si="41"/>
        <v>2.6758359623170982</v>
      </c>
      <c r="N284" s="37">
        <v>2.9042534686270449</v>
      </c>
      <c r="O284" s="37">
        <f t="shared" si="43"/>
        <v>0.96564441771898191</v>
      </c>
      <c r="P284" s="117">
        <f t="shared" si="39"/>
        <v>1.1771205451994391</v>
      </c>
      <c r="Q284" s="45">
        <f t="shared" si="40"/>
        <v>5.3002146263943506E-2</v>
      </c>
    </row>
    <row r="285" spans="1:17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42"/>
        <v>282.8</v>
      </c>
      <c r="G285" s="827">
        <v>6</v>
      </c>
      <c r="H285" s="330"/>
      <c r="I285" s="330"/>
      <c r="J285" s="8">
        <f t="shared" ref="J285:J348" si="46">G285+H285+I285</f>
        <v>6</v>
      </c>
      <c r="K285" s="72">
        <f t="shared" si="44"/>
        <v>2.4052916416115455E-3</v>
      </c>
      <c r="L285" s="316">
        <f t="shared" si="45"/>
        <v>5.457919422730007</v>
      </c>
      <c r="M285" s="96">
        <f t="shared" si="41"/>
        <v>2.0068769717378236</v>
      </c>
      <c r="N285" s="37">
        <v>2.1781901014702836</v>
      </c>
      <c r="O285" s="37">
        <f t="shared" si="43"/>
        <v>0.72423331328923646</v>
      </c>
      <c r="P285" s="117">
        <f t="shared" ref="P285:P348" si="47">O285*1.219</f>
        <v>0.88284040889957927</v>
      </c>
      <c r="Q285" s="45">
        <f t="shared" si="40"/>
        <v>3.6659193101935467E-2</v>
      </c>
    </row>
    <row r="286" spans="1:17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42"/>
        <v>227.3</v>
      </c>
      <c r="G286" s="827">
        <v>5</v>
      </c>
      <c r="H286" s="330"/>
      <c r="I286" s="330"/>
      <c r="J286" s="8">
        <f t="shared" si="46"/>
        <v>5</v>
      </c>
      <c r="K286" s="72">
        <f t="shared" si="44"/>
        <v>2.0044097013429546E-3</v>
      </c>
      <c r="L286" s="316">
        <f t="shared" si="45"/>
        <v>4.5482661856083384</v>
      </c>
      <c r="M286" s="96">
        <f t="shared" si="41"/>
        <v>1.6723974764481861</v>
      </c>
      <c r="N286" s="37">
        <v>1.8151584178919031</v>
      </c>
      <c r="O286" s="37">
        <f t="shared" si="43"/>
        <v>0.60352776107436368</v>
      </c>
      <c r="P286" s="117">
        <f t="shared" si="47"/>
        <v>0.73570034074964941</v>
      </c>
      <c r="Q286" s="45">
        <f t="shared" si="40"/>
        <v>3.8008578271107749E-2</v>
      </c>
    </row>
    <row r="287" spans="1:17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42"/>
        <v>7849.73</v>
      </c>
      <c r="G287" s="827">
        <v>192</v>
      </c>
      <c r="H287" s="330"/>
      <c r="I287" s="330"/>
      <c r="J287" s="8">
        <f t="shared" si="46"/>
        <v>192</v>
      </c>
      <c r="K287" s="72">
        <f t="shared" si="44"/>
        <v>7.6969332531569457E-2</v>
      </c>
      <c r="L287" s="316">
        <f t="shared" si="45"/>
        <v>174.65342152736022</v>
      </c>
      <c r="M287" s="96">
        <f t="shared" si="41"/>
        <v>64.220063095610357</v>
      </c>
      <c r="N287" s="37">
        <v>69.702083247049075</v>
      </c>
      <c r="O287" s="37">
        <f t="shared" si="43"/>
        <v>23.175466025255567</v>
      </c>
      <c r="P287" s="117">
        <f t="shared" si="47"/>
        <v>28.250893084786536</v>
      </c>
      <c r="Q287" s="45">
        <f t="shared" si="40"/>
        <v>4.2262731825843086E-2</v>
      </c>
    </row>
    <row r="288" spans="1:17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42"/>
        <v>454.20000000000005</v>
      </c>
      <c r="G288" s="827">
        <v>13</v>
      </c>
      <c r="H288" s="330">
        <v>1</v>
      </c>
      <c r="I288" s="330">
        <v>1</v>
      </c>
      <c r="J288" s="8">
        <f t="shared" si="46"/>
        <v>15</v>
      </c>
      <c r="K288" s="72">
        <f t="shared" si="44"/>
        <v>6.0132291040288638E-3</v>
      </c>
      <c r="L288" s="316">
        <f t="shared" si="45"/>
        <v>13.644798556825016</v>
      </c>
      <c r="M288" s="96">
        <f t="shared" si="41"/>
        <v>5.0171924293445587</v>
      </c>
      <c r="N288" s="37">
        <v>5.4454752536757089</v>
      </c>
      <c r="O288" s="37">
        <f t="shared" si="43"/>
        <v>1.810583283223091</v>
      </c>
      <c r="P288" s="117">
        <f t="shared" si="47"/>
        <v>2.2071010222489482</v>
      </c>
      <c r="Q288" s="45">
        <f t="shared" si="40"/>
        <v>5.7063076889186201E-2</v>
      </c>
    </row>
    <row r="289" spans="1:17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42"/>
        <v>493.90000000000003</v>
      </c>
      <c r="G289" s="827">
        <v>13</v>
      </c>
      <c r="H289" s="330">
        <v>1</v>
      </c>
      <c r="I289" s="330">
        <v>1</v>
      </c>
      <c r="J289" s="8">
        <f t="shared" si="46"/>
        <v>15</v>
      </c>
      <c r="K289" s="72">
        <f t="shared" si="44"/>
        <v>6.0132291040288638E-3</v>
      </c>
      <c r="L289" s="316">
        <f t="shared" si="45"/>
        <v>13.644798556825016</v>
      </c>
      <c r="M289" s="96">
        <f t="shared" si="41"/>
        <v>5.0171924293445587</v>
      </c>
      <c r="N289" s="37">
        <v>5.4454752536757089</v>
      </c>
      <c r="O289" s="37">
        <f t="shared" si="43"/>
        <v>1.810583283223091</v>
      </c>
      <c r="P289" s="117">
        <f t="shared" si="47"/>
        <v>2.2071010222489482</v>
      </c>
      <c r="Q289" s="45">
        <f t="shared" si="40"/>
        <v>5.2476310028484255E-2</v>
      </c>
    </row>
    <row r="290" spans="1:17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42"/>
        <v>698.82</v>
      </c>
      <c r="G290" s="827">
        <v>16</v>
      </c>
      <c r="H290" s="330"/>
      <c r="I290" s="330">
        <v>2</v>
      </c>
      <c r="J290" s="8">
        <f t="shared" si="46"/>
        <v>18</v>
      </c>
      <c r="K290" s="72">
        <f t="shared" si="44"/>
        <v>7.2158749248346366E-3</v>
      </c>
      <c r="L290" s="316">
        <f t="shared" si="45"/>
        <v>16.37375826819002</v>
      </c>
      <c r="M290" s="96">
        <f t="shared" si="41"/>
        <v>6.0206309152134709</v>
      </c>
      <c r="N290" s="37">
        <v>6.5345703044108516</v>
      </c>
      <c r="O290" s="37">
        <f t="shared" si="43"/>
        <v>2.1726999398677092</v>
      </c>
      <c r="P290" s="117">
        <f t="shared" si="47"/>
        <v>2.6485212266987377</v>
      </c>
      <c r="Q290" s="45">
        <f t="shared" si="40"/>
        <v>4.4505966382876919E-2</v>
      </c>
    </row>
    <row r="291" spans="1:17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42"/>
        <v>559.52</v>
      </c>
      <c r="G291" s="827">
        <v>15</v>
      </c>
      <c r="H291" s="330">
        <v>1</v>
      </c>
      <c r="I291" s="330">
        <v>1</v>
      </c>
      <c r="J291" s="8">
        <f t="shared" si="46"/>
        <v>17</v>
      </c>
      <c r="K291" s="72">
        <f t="shared" si="44"/>
        <v>6.8149929845660456E-3</v>
      </c>
      <c r="L291" s="316">
        <f t="shared" si="45"/>
        <v>15.464105031068351</v>
      </c>
      <c r="M291" s="96">
        <f t="shared" si="41"/>
        <v>5.6861514199238332</v>
      </c>
      <c r="N291" s="37">
        <v>6.1715386208324707</v>
      </c>
      <c r="O291" s="37">
        <f t="shared" si="43"/>
        <v>2.0519943876528366</v>
      </c>
      <c r="P291" s="117">
        <f t="shared" si="47"/>
        <v>2.5013811585488082</v>
      </c>
      <c r="Q291" s="45">
        <f t="shared" si="40"/>
        <v>5.2498193915280052E-2</v>
      </c>
    </row>
    <row r="292" spans="1:17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42"/>
        <v>958</v>
      </c>
      <c r="G292" s="827">
        <v>19</v>
      </c>
      <c r="H292" s="330">
        <v>1</v>
      </c>
      <c r="I292" s="330"/>
      <c r="J292" s="8">
        <f t="shared" si="46"/>
        <v>20</v>
      </c>
      <c r="K292" s="72">
        <f t="shared" si="44"/>
        <v>8.0176388053718184E-3</v>
      </c>
      <c r="L292" s="316">
        <f t="shared" si="45"/>
        <v>18.193064742433354</v>
      </c>
      <c r="M292" s="96">
        <f t="shared" si="41"/>
        <v>6.6895899057927446</v>
      </c>
      <c r="N292" s="37">
        <v>7.2606336715676125</v>
      </c>
      <c r="O292" s="37">
        <f t="shared" si="43"/>
        <v>2.4141110442974547</v>
      </c>
      <c r="P292" s="117">
        <f t="shared" si="47"/>
        <v>2.9428013629985976</v>
      </c>
      <c r="Q292" s="45">
        <f t="shared" si="40"/>
        <v>3.6072441924938588E-2</v>
      </c>
    </row>
    <row r="293" spans="1:17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42"/>
        <v>700</v>
      </c>
      <c r="G293" s="827">
        <v>22</v>
      </c>
      <c r="H293" s="330">
        <v>1</v>
      </c>
      <c r="I293" s="330"/>
      <c r="J293" s="8">
        <f t="shared" si="46"/>
        <v>23</v>
      </c>
      <c r="K293" s="72">
        <f t="shared" si="44"/>
        <v>9.2202846261775911E-3</v>
      </c>
      <c r="L293" s="316">
        <f t="shared" si="45"/>
        <v>20.922024453798358</v>
      </c>
      <c r="M293" s="96">
        <f t="shared" si="41"/>
        <v>7.6930283916616569</v>
      </c>
      <c r="N293" s="37">
        <v>8.3497287223027534</v>
      </c>
      <c r="O293" s="37">
        <f t="shared" si="43"/>
        <v>2.7762277009420728</v>
      </c>
      <c r="P293" s="117">
        <f t="shared" si="47"/>
        <v>3.3842215674483871</v>
      </c>
      <c r="Q293" s="45">
        <f t="shared" si="40"/>
        <v>5.6772870383864062E-2</v>
      </c>
    </row>
    <row r="294" spans="1:17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42"/>
        <v>209.86</v>
      </c>
      <c r="G294" s="827">
        <v>6</v>
      </c>
      <c r="H294" s="330"/>
      <c r="I294" s="330"/>
      <c r="J294" s="8">
        <f t="shared" si="46"/>
        <v>6</v>
      </c>
      <c r="K294" s="72">
        <f t="shared" si="44"/>
        <v>2.4052916416115455E-3</v>
      </c>
      <c r="L294" s="316">
        <f t="shared" si="45"/>
        <v>5.457919422730007</v>
      </c>
      <c r="M294" s="96">
        <f t="shared" si="41"/>
        <v>2.0068769717378236</v>
      </c>
      <c r="N294" s="37">
        <v>2.1781901014702836</v>
      </c>
      <c r="O294" s="37">
        <f t="shared" si="43"/>
        <v>0.72423331328923646</v>
      </c>
      <c r="P294" s="117">
        <f t="shared" si="47"/>
        <v>0.88284040889957927</v>
      </c>
      <c r="Q294" s="45">
        <f t="shared" si="40"/>
        <v>4.9400647142034453E-2</v>
      </c>
    </row>
    <row r="295" spans="1:17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42"/>
        <v>577.53</v>
      </c>
      <c r="G295" s="827">
        <v>18</v>
      </c>
      <c r="H295" s="330"/>
      <c r="I295" s="330"/>
      <c r="J295" s="8">
        <f t="shared" si="46"/>
        <v>18</v>
      </c>
      <c r="K295" s="72">
        <f t="shared" si="44"/>
        <v>7.2158749248346366E-3</v>
      </c>
      <c r="L295" s="316">
        <f t="shared" si="45"/>
        <v>16.37375826819002</v>
      </c>
      <c r="M295" s="96">
        <f t="shared" si="41"/>
        <v>6.0206309152134709</v>
      </c>
      <c r="N295" s="37">
        <v>6.5345703044108516</v>
      </c>
      <c r="O295" s="37">
        <f t="shared" si="43"/>
        <v>2.1726999398677092</v>
      </c>
      <c r="P295" s="117">
        <f t="shared" si="47"/>
        <v>2.6485212266987377</v>
      </c>
      <c r="Q295" s="45">
        <f t="shared" si="40"/>
        <v>5.3852889767946346E-2</v>
      </c>
    </row>
    <row r="296" spans="1:17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42"/>
        <v>265.16000000000003</v>
      </c>
      <c r="G296" s="827">
        <v>8</v>
      </c>
      <c r="H296" s="330"/>
      <c r="I296" s="330"/>
      <c r="J296" s="8">
        <f t="shared" si="46"/>
        <v>8</v>
      </c>
      <c r="K296" s="72">
        <f t="shared" si="44"/>
        <v>3.2070555221487274E-3</v>
      </c>
      <c r="L296" s="316">
        <f t="shared" si="45"/>
        <v>7.2772258969733423</v>
      </c>
      <c r="M296" s="96">
        <f t="shared" si="41"/>
        <v>2.6758359623170982</v>
      </c>
      <c r="N296" s="37">
        <v>2.9042534686270449</v>
      </c>
      <c r="O296" s="37">
        <f t="shared" si="43"/>
        <v>0.96564441771898191</v>
      </c>
      <c r="P296" s="117">
        <f t="shared" si="47"/>
        <v>1.1771205451994391</v>
      </c>
      <c r="Q296" s="45">
        <f t="shared" si="40"/>
        <v>5.213063714601171E-2</v>
      </c>
    </row>
    <row r="297" spans="1:17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42"/>
        <v>134.88</v>
      </c>
      <c r="G297" s="827">
        <v>4</v>
      </c>
      <c r="H297" s="330"/>
      <c r="I297" s="330"/>
      <c r="J297" s="8">
        <f t="shared" si="46"/>
        <v>4</v>
      </c>
      <c r="K297" s="72">
        <f t="shared" si="44"/>
        <v>1.6035277610743637E-3</v>
      </c>
      <c r="L297" s="316">
        <f t="shared" si="45"/>
        <v>3.6386129484866712</v>
      </c>
      <c r="M297" s="96">
        <f t="shared" si="41"/>
        <v>1.3379179811585491</v>
      </c>
      <c r="N297" s="37">
        <v>1.4521267343135225</v>
      </c>
      <c r="O297" s="37">
        <f t="shared" si="43"/>
        <v>0.48282220885949095</v>
      </c>
      <c r="P297" s="117">
        <f t="shared" si="47"/>
        <v>0.58856027259971955</v>
      </c>
      <c r="Q297" s="45">
        <f t="shared" si="40"/>
        <v>5.1241695379731861E-2</v>
      </c>
    </row>
    <row r="298" spans="1:17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42"/>
        <v>427.34000000000003</v>
      </c>
      <c r="G298" s="827">
        <v>7</v>
      </c>
      <c r="H298" s="330"/>
      <c r="I298" s="330">
        <v>1</v>
      </c>
      <c r="J298" s="8">
        <f t="shared" si="46"/>
        <v>8</v>
      </c>
      <c r="K298" s="72">
        <f t="shared" si="44"/>
        <v>3.2070555221487274E-3</v>
      </c>
      <c r="L298" s="316">
        <f t="shared" si="45"/>
        <v>7.2772258969733423</v>
      </c>
      <c r="M298" s="96">
        <f t="shared" si="41"/>
        <v>2.6758359623170982</v>
      </c>
      <c r="N298" s="37">
        <v>2.9042534686270449</v>
      </c>
      <c r="O298" s="37">
        <f t="shared" si="43"/>
        <v>0.96564441771898191</v>
      </c>
      <c r="P298" s="117">
        <f t="shared" si="47"/>
        <v>1.1771205451994391</v>
      </c>
      <c r="Q298" s="45">
        <f t="shared" si="40"/>
        <v>3.2346515059756789E-2</v>
      </c>
    </row>
    <row r="299" spans="1:17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42"/>
        <v>603</v>
      </c>
      <c r="G299" s="827">
        <v>13</v>
      </c>
      <c r="H299" s="330"/>
      <c r="I299" s="330">
        <v>1</v>
      </c>
      <c r="J299" s="8">
        <f t="shared" si="46"/>
        <v>14</v>
      </c>
      <c r="K299" s="72">
        <f t="shared" si="44"/>
        <v>5.6123471637602729E-3</v>
      </c>
      <c r="L299" s="316">
        <f t="shared" si="45"/>
        <v>12.735145319703349</v>
      </c>
      <c r="M299" s="96">
        <f t="shared" si="41"/>
        <v>4.6827129340549218</v>
      </c>
      <c r="N299" s="37">
        <v>5.0824435700973281</v>
      </c>
      <c r="O299" s="37">
        <f t="shared" si="43"/>
        <v>1.6898777310082183</v>
      </c>
      <c r="P299" s="117">
        <f t="shared" si="47"/>
        <v>2.0599609540990182</v>
      </c>
      <c r="Q299" s="45">
        <f t="shared" si="40"/>
        <v>4.0116384004749282E-2</v>
      </c>
    </row>
    <row r="300" spans="1:17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42"/>
        <v>375.70000000000005</v>
      </c>
      <c r="G300" s="827">
        <v>9</v>
      </c>
      <c r="H300" s="330">
        <v>1</v>
      </c>
      <c r="I300" s="330"/>
      <c r="J300" s="8">
        <f t="shared" si="46"/>
        <v>10</v>
      </c>
      <c r="K300" s="72">
        <f t="shared" si="44"/>
        <v>4.0088194026859092E-3</v>
      </c>
      <c r="L300" s="316">
        <f t="shared" si="45"/>
        <v>9.0965323712166768</v>
      </c>
      <c r="M300" s="96">
        <f t="shared" si="41"/>
        <v>3.3447949528963723</v>
      </c>
      <c r="N300" s="37">
        <v>3.6303168357838063</v>
      </c>
      <c r="O300" s="37">
        <f t="shared" si="43"/>
        <v>1.2070555221487274</v>
      </c>
      <c r="P300" s="117">
        <f t="shared" si="47"/>
        <v>1.4714006814992988</v>
      </c>
      <c r="Q300" s="45">
        <f t="shared" si="40"/>
        <v>4.5990683210129307E-2</v>
      </c>
    </row>
    <row r="301" spans="1:17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42"/>
        <v>607.62</v>
      </c>
      <c r="G301" s="827">
        <v>13</v>
      </c>
      <c r="H301" s="330"/>
      <c r="I301" s="330">
        <v>1</v>
      </c>
      <c r="J301" s="8">
        <f t="shared" si="46"/>
        <v>14</v>
      </c>
      <c r="K301" s="72">
        <f t="shared" si="44"/>
        <v>5.6123471637602729E-3</v>
      </c>
      <c r="L301" s="316">
        <f t="shared" si="45"/>
        <v>12.735145319703349</v>
      </c>
      <c r="M301" s="96">
        <f t="shared" si="41"/>
        <v>4.6827129340549218</v>
      </c>
      <c r="N301" s="37">
        <v>5.0824435700973281</v>
      </c>
      <c r="O301" s="37">
        <f t="shared" si="43"/>
        <v>1.6898777310082183</v>
      </c>
      <c r="P301" s="117">
        <f t="shared" si="47"/>
        <v>2.0599609540990182</v>
      </c>
      <c r="Q301" s="45">
        <f t="shared" si="40"/>
        <v>3.9811361632046044E-2</v>
      </c>
    </row>
    <row r="302" spans="1:17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42"/>
        <v>400.32000000000005</v>
      </c>
      <c r="G302" s="827">
        <v>11</v>
      </c>
      <c r="H302" s="330"/>
      <c r="I302" s="330">
        <v>1</v>
      </c>
      <c r="J302" s="8">
        <f t="shared" si="46"/>
        <v>12</v>
      </c>
      <c r="K302" s="72">
        <f t="shared" si="44"/>
        <v>4.810583283223091E-3</v>
      </c>
      <c r="L302" s="316">
        <f t="shared" si="45"/>
        <v>10.915838845460014</v>
      </c>
      <c r="M302" s="96">
        <f t="shared" si="41"/>
        <v>4.0137539434756473</v>
      </c>
      <c r="N302" s="37">
        <v>4.3563802029405672</v>
      </c>
      <c r="O302" s="37">
        <f t="shared" si="43"/>
        <v>1.4484666265784729</v>
      </c>
      <c r="P302" s="117">
        <f t="shared" si="47"/>
        <v>1.7656808177991585</v>
      </c>
      <c r="Q302" s="45">
        <f t="shared" si="40"/>
        <v>5.1794663315484359E-2</v>
      </c>
    </row>
    <row r="303" spans="1:17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42"/>
        <v>311.52000000000004</v>
      </c>
      <c r="G303" s="827">
        <v>5</v>
      </c>
      <c r="H303" s="330"/>
      <c r="I303" s="330">
        <v>1</v>
      </c>
      <c r="J303" s="8">
        <f t="shared" si="46"/>
        <v>6</v>
      </c>
      <c r="K303" s="72">
        <f t="shared" si="44"/>
        <v>2.4052916416115455E-3</v>
      </c>
      <c r="L303" s="316">
        <f t="shared" si="45"/>
        <v>5.457919422730007</v>
      </c>
      <c r="M303" s="96">
        <f t="shared" si="41"/>
        <v>2.0068769717378236</v>
      </c>
      <c r="N303" s="37">
        <v>2.1781901014702836</v>
      </c>
      <c r="O303" s="37">
        <f t="shared" si="43"/>
        <v>0.72423331328923646</v>
      </c>
      <c r="P303" s="117">
        <f t="shared" si="47"/>
        <v>0.88284040889957927</v>
      </c>
      <c r="Q303" s="45">
        <f t="shared" si="40"/>
        <v>3.3279467800550043E-2</v>
      </c>
    </row>
    <row r="304" spans="1:17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42"/>
        <v>451.70000000000005</v>
      </c>
      <c r="G304" s="827">
        <v>11</v>
      </c>
      <c r="H304" s="330">
        <v>1</v>
      </c>
      <c r="I304" s="330"/>
      <c r="J304" s="8">
        <f t="shared" si="46"/>
        <v>12</v>
      </c>
      <c r="K304" s="72">
        <f t="shared" si="44"/>
        <v>4.810583283223091E-3</v>
      </c>
      <c r="L304" s="316">
        <f t="shared" si="45"/>
        <v>10.915838845460014</v>
      </c>
      <c r="M304" s="96">
        <f t="shared" si="41"/>
        <v>4.0137539434756473</v>
      </c>
      <c r="N304" s="37">
        <v>4.3563802029405672</v>
      </c>
      <c r="O304" s="37">
        <f t="shared" si="43"/>
        <v>1.4484666265784729</v>
      </c>
      <c r="P304" s="117">
        <f t="shared" si="47"/>
        <v>1.7656808177991585</v>
      </c>
      <c r="Q304" s="45">
        <f t="shared" si="40"/>
        <v>4.5903120696158289E-2</v>
      </c>
    </row>
    <row r="305" spans="1:17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42"/>
        <v>529.70000000000005</v>
      </c>
      <c r="G305" s="827">
        <v>17</v>
      </c>
      <c r="H305" s="330">
        <v>1</v>
      </c>
      <c r="I305" s="330">
        <v>1</v>
      </c>
      <c r="J305" s="8">
        <f t="shared" si="46"/>
        <v>19</v>
      </c>
      <c r="K305" s="72">
        <f t="shared" si="44"/>
        <v>7.6167568651032275E-3</v>
      </c>
      <c r="L305" s="316">
        <f t="shared" si="45"/>
        <v>17.283411505311687</v>
      </c>
      <c r="M305" s="96">
        <f t="shared" si="41"/>
        <v>6.3551104105031078</v>
      </c>
      <c r="N305" s="37">
        <v>6.8976019879892316</v>
      </c>
      <c r="O305" s="37">
        <f t="shared" si="43"/>
        <v>2.2934054920825822</v>
      </c>
      <c r="P305" s="117">
        <f t="shared" si="47"/>
        <v>2.7956612948486677</v>
      </c>
      <c r="Q305" s="45">
        <f t="shared" si="40"/>
        <v>6.197758994881368E-2</v>
      </c>
    </row>
    <row r="306" spans="1:17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42"/>
        <v>306.10000000000002</v>
      </c>
      <c r="G306" s="827">
        <v>7</v>
      </c>
      <c r="H306" s="330"/>
      <c r="I306" s="330">
        <v>1</v>
      </c>
      <c r="J306" s="8">
        <f t="shared" si="46"/>
        <v>8</v>
      </c>
      <c r="K306" s="72">
        <f t="shared" si="44"/>
        <v>3.2070555221487274E-3</v>
      </c>
      <c r="L306" s="316">
        <f t="shared" si="45"/>
        <v>7.2772258969733423</v>
      </c>
      <c r="M306" s="96">
        <f t="shared" si="41"/>
        <v>2.6758359623170982</v>
      </c>
      <c r="N306" s="37">
        <v>2.9042534686270449</v>
      </c>
      <c r="O306" s="37">
        <f t="shared" si="43"/>
        <v>0.96564441771898191</v>
      </c>
      <c r="P306" s="117">
        <f t="shared" si="47"/>
        <v>1.1771205451994391</v>
      </c>
      <c r="Q306" s="45">
        <f t="shared" si="40"/>
        <v>4.5158313445398453E-2</v>
      </c>
    </row>
    <row r="307" spans="1:17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42"/>
        <v>551.6</v>
      </c>
      <c r="G307" s="827">
        <v>10</v>
      </c>
      <c r="H307" s="330"/>
      <c r="I307" s="330"/>
      <c r="J307" s="8">
        <f t="shared" si="46"/>
        <v>10</v>
      </c>
      <c r="K307" s="72">
        <f t="shared" si="44"/>
        <v>4.0088194026859092E-3</v>
      </c>
      <c r="L307" s="316">
        <f t="shared" si="45"/>
        <v>9.0965323712166768</v>
      </c>
      <c r="M307" s="96">
        <f t="shared" si="41"/>
        <v>3.3447949528963723</v>
      </c>
      <c r="N307" s="37">
        <v>3.6303168357838063</v>
      </c>
      <c r="O307" s="37">
        <f t="shared" si="43"/>
        <v>1.2070555221487274</v>
      </c>
      <c r="P307" s="117">
        <f t="shared" si="47"/>
        <v>1.4714006814992988</v>
      </c>
      <c r="Q307" s="45">
        <f t="shared" si="40"/>
        <v>3.1324691229234196E-2</v>
      </c>
    </row>
    <row r="308" spans="1:17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42"/>
        <v>329.2</v>
      </c>
      <c r="G308" s="827">
        <v>6</v>
      </c>
      <c r="H308" s="330"/>
      <c r="I308" s="330">
        <v>1</v>
      </c>
      <c r="J308" s="8">
        <f t="shared" si="46"/>
        <v>7</v>
      </c>
      <c r="K308" s="72">
        <f t="shared" si="44"/>
        <v>2.8061735818801364E-3</v>
      </c>
      <c r="L308" s="316">
        <f t="shared" si="45"/>
        <v>6.3675726598516746</v>
      </c>
      <c r="M308" s="96">
        <f t="shared" si="41"/>
        <v>2.3413564670274609</v>
      </c>
      <c r="N308" s="37">
        <v>2.541221785048664</v>
      </c>
      <c r="O308" s="37">
        <f t="shared" si="43"/>
        <v>0.84493886550410913</v>
      </c>
      <c r="P308" s="117">
        <f t="shared" si="47"/>
        <v>1.0299804770495091</v>
      </c>
      <c r="Q308" s="45">
        <f t="shared" si="40"/>
        <v>3.6740855946026454E-2</v>
      </c>
    </row>
    <row r="309" spans="1:17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42"/>
        <v>631.40000000000009</v>
      </c>
      <c r="G309" s="827">
        <v>12</v>
      </c>
      <c r="H309" s="330">
        <v>1</v>
      </c>
      <c r="I309" s="330"/>
      <c r="J309" s="8">
        <f t="shared" si="46"/>
        <v>13</v>
      </c>
      <c r="K309" s="72">
        <f t="shared" si="44"/>
        <v>5.211465223491682E-3</v>
      </c>
      <c r="L309" s="316">
        <f t="shared" si="45"/>
        <v>11.825492082581681</v>
      </c>
      <c r="M309" s="96">
        <f t="shared" si="41"/>
        <v>4.3482334387652841</v>
      </c>
      <c r="N309" s="37">
        <v>4.7194118865189481</v>
      </c>
      <c r="O309" s="37">
        <f t="shared" si="43"/>
        <v>1.5691721787933455</v>
      </c>
      <c r="P309" s="117">
        <f t="shared" si="47"/>
        <v>1.9128208859490883</v>
      </c>
      <c r="Q309" s="45">
        <f t="shared" si="40"/>
        <v>3.5575403209786596E-2</v>
      </c>
    </row>
    <row r="310" spans="1:17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42"/>
        <v>373.3</v>
      </c>
      <c r="G310" s="827">
        <v>8</v>
      </c>
      <c r="H310" s="330"/>
      <c r="I310" s="330"/>
      <c r="J310" s="8">
        <f t="shared" si="46"/>
        <v>8</v>
      </c>
      <c r="K310" s="72">
        <f t="shared" si="44"/>
        <v>3.2070555221487274E-3</v>
      </c>
      <c r="L310" s="316">
        <f t="shared" si="45"/>
        <v>7.2772258969733423</v>
      </c>
      <c r="M310" s="96">
        <f t="shared" si="41"/>
        <v>2.6758359623170982</v>
      </c>
      <c r="N310" s="37">
        <v>2.9042534686270449</v>
      </c>
      <c r="O310" s="37">
        <f t="shared" si="43"/>
        <v>0.96564441771898191</v>
      </c>
      <c r="P310" s="117">
        <f t="shared" si="47"/>
        <v>1.1771205451994391</v>
      </c>
      <c r="Q310" s="45">
        <f t="shared" si="40"/>
        <v>3.702909120181213E-2</v>
      </c>
    </row>
    <row r="311" spans="1:17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42"/>
        <v>918.4</v>
      </c>
      <c r="G311" s="827">
        <v>17</v>
      </c>
      <c r="H311" s="330"/>
      <c r="I311" s="330">
        <v>1</v>
      </c>
      <c r="J311" s="8">
        <f t="shared" si="46"/>
        <v>18</v>
      </c>
      <c r="K311" s="72">
        <f t="shared" si="44"/>
        <v>7.2158749248346366E-3</v>
      </c>
      <c r="L311" s="316">
        <f t="shared" si="45"/>
        <v>16.37375826819002</v>
      </c>
      <c r="M311" s="96">
        <f t="shared" si="41"/>
        <v>6.0206309152134709</v>
      </c>
      <c r="N311" s="37">
        <v>6.5345703044108516</v>
      </c>
      <c r="O311" s="37">
        <f t="shared" si="43"/>
        <v>2.1726999398677092</v>
      </c>
      <c r="P311" s="117">
        <f t="shared" si="47"/>
        <v>2.6485212266987377</v>
      </c>
      <c r="Q311" s="45">
        <f t="shared" si="40"/>
        <v>3.3865047286239167E-2</v>
      </c>
    </row>
    <row r="312" spans="1:17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42"/>
        <v>778.80000000000007</v>
      </c>
      <c r="G312" s="827">
        <v>13</v>
      </c>
      <c r="H312" s="330"/>
      <c r="I312" s="330">
        <v>1</v>
      </c>
      <c r="J312" s="8">
        <f t="shared" si="46"/>
        <v>14</v>
      </c>
      <c r="K312" s="72">
        <f t="shared" si="44"/>
        <v>5.6123471637602729E-3</v>
      </c>
      <c r="L312" s="316">
        <f t="shared" si="45"/>
        <v>12.735145319703349</v>
      </c>
      <c r="M312" s="96">
        <f t="shared" si="41"/>
        <v>4.6827129340549218</v>
      </c>
      <c r="N312" s="37">
        <v>5.0824435700973281</v>
      </c>
      <c r="O312" s="37">
        <f t="shared" si="43"/>
        <v>1.6898777310082183</v>
      </c>
      <c r="P312" s="117">
        <f t="shared" si="47"/>
        <v>2.0599609540990182</v>
      </c>
      <c r="Q312" s="45">
        <f t="shared" si="40"/>
        <v>3.1060836613846707E-2</v>
      </c>
    </row>
    <row r="313" spans="1:17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42"/>
        <v>806.91</v>
      </c>
      <c r="G313" s="827">
        <v>14</v>
      </c>
      <c r="H313" s="330"/>
      <c r="I313" s="330"/>
      <c r="J313" s="8">
        <f t="shared" si="46"/>
        <v>14</v>
      </c>
      <c r="K313" s="72">
        <f t="shared" si="44"/>
        <v>5.6123471637602729E-3</v>
      </c>
      <c r="L313" s="316">
        <f t="shared" si="45"/>
        <v>12.735145319703349</v>
      </c>
      <c r="M313" s="96">
        <f t="shared" si="41"/>
        <v>4.6827129340549218</v>
      </c>
      <c r="N313" s="37">
        <v>5.0824435700973281</v>
      </c>
      <c r="O313" s="37">
        <f t="shared" si="43"/>
        <v>1.6898777310082183</v>
      </c>
      <c r="P313" s="117">
        <f t="shared" si="47"/>
        <v>2.0599609540990182</v>
      </c>
      <c r="Q313" s="45">
        <f t="shared" si="40"/>
        <v>2.9978782707939942E-2</v>
      </c>
    </row>
    <row r="314" spans="1:17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42"/>
        <v>805</v>
      </c>
      <c r="G314" s="827">
        <v>14</v>
      </c>
      <c r="H314" s="330"/>
      <c r="I314" s="330">
        <v>1</v>
      </c>
      <c r="J314" s="8">
        <f t="shared" si="46"/>
        <v>15</v>
      </c>
      <c r="K314" s="72">
        <f t="shared" si="44"/>
        <v>6.0132291040288638E-3</v>
      </c>
      <c r="L314" s="316">
        <f t="shared" si="45"/>
        <v>13.644798556825016</v>
      </c>
      <c r="M314" s="96">
        <f t="shared" si="41"/>
        <v>5.0171924293445587</v>
      </c>
      <c r="N314" s="37">
        <v>5.4454752536757089</v>
      </c>
      <c r="O314" s="37">
        <f t="shared" si="43"/>
        <v>1.810583283223091</v>
      </c>
      <c r="P314" s="117">
        <f t="shared" si="47"/>
        <v>2.2071010222489482</v>
      </c>
      <c r="Q314" s="45">
        <f t="shared" si="40"/>
        <v>3.2196334811265062E-2</v>
      </c>
    </row>
    <row r="315" spans="1:17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42"/>
        <v>491.9</v>
      </c>
      <c r="G315" s="827">
        <v>12</v>
      </c>
      <c r="H315" s="330"/>
      <c r="I315" s="330">
        <v>1</v>
      </c>
      <c r="J315" s="8">
        <f t="shared" si="46"/>
        <v>13</v>
      </c>
      <c r="K315" s="72">
        <f t="shared" si="44"/>
        <v>5.211465223491682E-3</v>
      </c>
      <c r="L315" s="316">
        <f t="shared" si="45"/>
        <v>11.825492082581681</v>
      </c>
      <c r="M315" s="96">
        <f t="shared" si="41"/>
        <v>4.3482334387652841</v>
      </c>
      <c r="N315" s="37">
        <v>4.7194118865189481</v>
      </c>
      <c r="O315" s="37">
        <f t="shared" si="43"/>
        <v>1.5691721787933455</v>
      </c>
      <c r="P315" s="117">
        <f t="shared" si="47"/>
        <v>1.9128208859490883</v>
      </c>
      <c r="Q315" s="45">
        <f t="shared" si="40"/>
        <v>4.5664382164381498E-2</v>
      </c>
    </row>
    <row r="316" spans="1:17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42"/>
        <v>640.20000000000005</v>
      </c>
      <c r="G316" s="827">
        <v>16</v>
      </c>
      <c r="H316" s="330"/>
      <c r="I316" s="330"/>
      <c r="J316" s="8">
        <f t="shared" si="46"/>
        <v>16</v>
      </c>
      <c r="K316" s="72">
        <f t="shared" si="44"/>
        <v>6.4141110442974547E-3</v>
      </c>
      <c r="L316" s="316">
        <f t="shared" si="45"/>
        <v>14.554451793946685</v>
      </c>
      <c r="M316" s="96">
        <f t="shared" si="41"/>
        <v>5.3516719246341964</v>
      </c>
      <c r="N316" s="37">
        <v>5.8085069372540898</v>
      </c>
      <c r="O316" s="37">
        <f t="shared" si="43"/>
        <v>1.9312888354379638</v>
      </c>
      <c r="P316" s="117">
        <f t="shared" si="47"/>
        <v>2.3542410903988782</v>
      </c>
      <c r="Q316" s="45">
        <f t="shared" si="40"/>
        <v>4.3183254438102052E-2</v>
      </c>
    </row>
    <row r="317" spans="1:17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42"/>
        <v>537.94000000000005</v>
      </c>
      <c r="G317" s="827">
        <v>9</v>
      </c>
      <c r="H317" s="330"/>
      <c r="I317" s="330"/>
      <c r="J317" s="8">
        <f t="shared" si="46"/>
        <v>9</v>
      </c>
      <c r="K317" s="72">
        <f t="shared" si="44"/>
        <v>3.6079374624173183E-3</v>
      </c>
      <c r="L317" s="316">
        <f t="shared" si="45"/>
        <v>8.18687913409501</v>
      </c>
      <c r="M317" s="96">
        <f t="shared" si="41"/>
        <v>3.0103154576067355</v>
      </c>
      <c r="N317" s="37">
        <v>3.2672851522054258</v>
      </c>
      <c r="O317" s="37">
        <f t="shared" si="43"/>
        <v>1.0863499699338546</v>
      </c>
      <c r="P317" s="117">
        <f t="shared" si="47"/>
        <v>1.3242606133493688</v>
      </c>
      <c r="Q317" s="45">
        <f t="shared" si="40"/>
        <v>2.8908111896942083E-2</v>
      </c>
    </row>
    <row r="318" spans="1:17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42"/>
        <v>929.9</v>
      </c>
      <c r="G318" s="827">
        <v>24</v>
      </c>
      <c r="H318" s="330"/>
      <c r="I318" s="330">
        <v>1</v>
      </c>
      <c r="J318" s="8">
        <f t="shared" si="46"/>
        <v>25</v>
      </c>
      <c r="K318" s="72">
        <f t="shared" si="44"/>
        <v>1.0022048506714773E-2</v>
      </c>
      <c r="L318" s="316">
        <f t="shared" si="45"/>
        <v>22.741330928041695</v>
      </c>
      <c r="M318" s="96">
        <f t="shared" si="41"/>
        <v>8.3619873822409314</v>
      </c>
      <c r="N318" s="37">
        <v>9.0757920894595152</v>
      </c>
      <c r="O318" s="37">
        <f t="shared" si="43"/>
        <v>3.0176388053718184</v>
      </c>
      <c r="P318" s="117">
        <f t="shared" si="47"/>
        <v>3.678501703748247</v>
      </c>
      <c r="Q318" s="45">
        <f t="shared" si="40"/>
        <v>4.645311238317449E-2</v>
      </c>
    </row>
    <row r="319" spans="1:17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42"/>
        <v>1417.36</v>
      </c>
      <c r="G319" s="827">
        <v>27</v>
      </c>
      <c r="H319" s="330">
        <v>1</v>
      </c>
      <c r="I319" s="330">
        <v>1</v>
      </c>
      <c r="J319" s="8">
        <f t="shared" si="46"/>
        <v>29</v>
      </c>
      <c r="K319" s="72">
        <f t="shared" si="44"/>
        <v>1.1625576267789137E-2</v>
      </c>
      <c r="L319" s="316">
        <f t="shared" si="45"/>
        <v>26.379943876528365</v>
      </c>
      <c r="M319" s="96">
        <f t="shared" si="41"/>
        <v>9.6999053633994805</v>
      </c>
      <c r="N319" s="37">
        <v>10.527918823773037</v>
      </c>
      <c r="O319" s="37">
        <f t="shared" si="43"/>
        <v>3.5004610142313095</v>
      </c>
      <c r="P319" s="117">
        <f t="shared" si="47"/>
        <v>4.2670619763479669</v>
      </c>
      <c r="Q319" s="45">
        <f t="shared" si="40"/>
        <v>3.5353212365194585E-2</v>
      </c>
    </row>
    <row r="320" spans="1:17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42"/>
        <v>785.9799999999999</v>
      </c>
      <c r="G320" s="827">
        <v>19</v>
      </c>
      <c r="H320" s="330"/>
      <c r="I320" s="330">
        <v>2</v>
      </c>
      <c r="J320" s="8">
        <f t="shared" si="46"/>
        <v>21</v>
      </c>
      <c r="K320" s="72">
        <f t="shared" si="44"/>
        <v>8.4185207456404093E-3</v>
      </c>
      <c r="L320" s="316">
        <f t="shared" si="45"/>
        <v>19.102717979555024</v>
      </c>
      <c r="M320" s="96">
        <f t="shared" si="41"/>
        <v>7.0240694010823832</v>
      </c>
      <c r="N320" s="37">
        <v>7.6236653551459916</v>
      </c>
      <c r="O320" s="37">
        <f t="shared" si="43"/>
        <v>2.5348165965123273</v>
      </c>
      <c r="P320" s="117">
        <f t="shared" si="47"/>
        <v>3.0899414311485272</v>
      </c>
      <c r="Q320" s="45">
        <f t="shared" si="40"/>
        <v>4.6165639497564484E-2</v>
      </c>
    </row>
    <row r="321" spans="1:17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42"/>
        <v>485.67999999999995</v>
      </c>
      <c r="G321" s="827">
        <v>14</v>
      </c>
      <c r="H321" s="330">
        <v>2</v>
      </c>
      <c r="I321" s="330"/>
      <c r="J321" s="8">
        <f t="shared" si="46"/>
        <v>16</v>
      </c>
      <c r="K321" s="72">
        <f t="shared" si="44"/>
        <v>6.4141110442974547E-3</v>
      </c>
      <c r="L321" s="316">
        <f t="shared" si="45"/>
        <v>14.554451793946685</v>
      </c>
      <c r="M321" s="96">
        <f t="shared" si="41"/>
        <v>5.3516719246341964</v>
      </c>
      <c r="N321" s="37">
        <v>5.8085069372540898</v>
      </c>
      <c r="O321" s="37">
        <f t="shared" si="43"/>
        <v>1.9312888354379638</v>
      </c>
      <c r="P321" s="117">
        <f t="shared" si="47"/>
        <v>2.3542410903988782</v>
      </c>
      <c r="Q321" s="45">
        <f t="shared" si="40"/>
        <v>5.6922087570566909E-2</v>
      </c>
    </row>
    <row r="322" spans="1:17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42"/>
        <v>461.17</v>
      </c>
      <c r="G322" s="827">
        <v>13</v>
      </c>
      <c r="H322" s="330">
        <v>2</v>
      </c>
      <c r="I322" s="330"/>
      <c r="J322" s="8">
        <f t="shared" si="46"/>
        <v>15</v>
      </c>
      <c r="K322" s="72">
        <f t="shared" si="44"/>
        <v>6.0132291040288638E-3</v>
      </c>
      <c r="L322" s="316">
        <f t="shared" si="45"/>
        <v>13.644798556825016</v>
      </c>
      <c r="M322" s="96">
        <f t="shared" si="41"/>
        <v>5.0171924293445587</v>
      </c>
      <c r="N322" s="37">
        <v>5.4454752536757089</v>
      </c>
      <c r="O322" s="37">
        <f t="shared" si="43"/>
        <v>1.810583283223091</v>
      </c>
      <c r="P322" s="117">
        <f t="shared" si="47"/>
        <v>2.2071010222489482</v>
      </c>
      <c r="Q322" s="45">
        <f t="shared" si="40"/>
        <v>5.6200640811562709E-2</v>
      </c>
    </row>
    <row r="323" spans="1:17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42"/>
        <v>305.37</v>
      </c>
      <c r="G323" s="827">
        <v>6</v>
      </c>
      <c r="H323" s="330"/>
      <c r="I323" s="330"/>
      <c r="J323" s="8">
        <f t="shared" si="46"/>
        <v>6</v>
      </c>
      <c r="K323" s="72">
        <f t="shared" si="44"/>
        <v>2.4052916416115455E-3</v>
      </c>
      <c r="L323" s="316">
        <f t="shared" si="45"/>
        <v>5.457919422730007</v>
      </c>
      <c r="M323" s="96">
        <f t="shared" si="41"/>
        <v>2.0068769717378236</v>
      </c>
      <c r="N323" s="37">
        <v>2.1781901014702836</v>
      </c>
      <c r="O323" s="37">
        <f t="shared" si="43"/>
        <v>0.72423331328923646</v>
      </c>
      <c r="P323" s="117">
        <f t="shared" si="47"/>
        <v>0.88284040889957927</v>
      </c>
      <c r="Q323" s="45">
        <f t="shared" si="40"/>
        <v>3.3949699738767235E-2</v>
      </c>
    </row>
    <row r="324" spans="1:17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42"/>
        <v>170.8</v>
      </c>
      <c r="G324" s="827">
        <v>2</v>
      </c>
      <c r="H324" s="330"/>
      <c r="I324" s="330"/>
      <c r="J324" s="8">
        <f t="shared" si="46"/>
        <v>2</v>
      </c>
      <c r="K324" s="72">
        <f t="shared" si="44"/>
        <v>8.0176388053718184E-4</v>
      </c>
      <c r="L324" s="316">
        <f t="shared" si="45"/>
        <v>1.8193064742433356</v>
      </c>
      <c r="M324" s="96">
        <f t="shared" si="41"/>
        <v>0.66895899057927455</v>
      </c>
      <c r="N324" s="37">
        <v>0.72606336715676123</v>
      </c>
      <c r="O324" s="37">
        <f t="shared" si="43"/>
        <v>0.24141110442974548</v>
      </c>
      <c r="P324" s="117">
        <f t="shared" si="47"/>
        <v>0.29428013629985977</v>
      </c>
      <c r="Q324" s="45">
        <f t="shared" si="40"/>
        <v>2.0232669416915202E-2</v>
      </c>
    </row>
    <row r="325" spans="1:17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42"/>
        <v>678.2</v>
      </c>
      <c r="G325" s="827">
        <v>15</v>
      </c>
      <c r="H325" s="330"/>
      <c r="I325" s="330"/>
      <c r="J325" s="8">
        <f t="shared" si="46"/>
        <v>15</v>
      </c>
      <c r="K325" s="72">
        <f t="shared" si="44"/>
        <v>6.0132291040288638E-3</v>
      </c>
      <c r="L325" s="316">
        <f t="shared" si="45"/>
        <v>13.644798556825016</v>
      </c>
      <c r="M325" s="96">
        <f t="shared" si="41"/>
        <v>5.0171924293445587</v>
      </c>
      <c r="N325" s="37">
        <v>5.4454752536757089</v>
      </c>
      <c r="O325" s="37">
        <f t="shared" si="43"/>
        <v>1.810583283223091</v>
      </c>
      <c r="P325" s="117">
        <f t="shared" si="47"/>
        <v>2.2071010222489482</v>
      </c>
      <c r="Q325" s="45">
        <f t="shared" si="40"/>
        <v>3.821593854772689E-2</v>
      </c>
    </row>
    <row r="326" spans="1:17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42"/>
        <v>2613.27</v>
      </c>
      <c r="G326" s="827">
        <v>55</v>
      </c>
      <c r="H326" s="330"/>
      <c r="I326" s="330"/>
      <c r="J326" s="8">
        <f t="shared" si="46"/>
        <v>55</v>
      </c>
      <c r="K326" s="72">
        <f t="shared" si="44"/>
        <v>2.2048506714772501E-2</v>
      </c>
      <c r="L326" s="316">
        <f t="shared" si="45"/>
        <v>50.030928041691723</v>
      </c>
      <c r="M326" s="96">
        <f t="shared" si="41"/>
        <v>18.396372240930049</v>
      </c>
      <c r="N326" s="37">
        <v>19.966742596810935</v>
      </c>
      <c r="O326" s="37">
        <f t="shared" si="43"/>
        <v>6.638805371818</v>
      </c>
      <c r="P326" s="117">
        <f t="shared" si="47"/>
        <v>8.0927037482461426</v>
      </c>
      <c r="Q326" s="45">
        <f t="shared" si="40"/>
        <v>3.6365491606780279E-2</v>
      </c>
    </row>
    <row r="327" spans="1:17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42"/>
        <v>2055.4499999999998</v>
      </c>
      <c r="G327" s="827">
        <v>48</v>
      </c>
      <c r="H327" s="330"/>
      <c r="I327" s="330"/>
      <c r="J327" s="8">
        <f t="shared" si="46"/>
        <v>48</v>
      </c>
      <c r="K327" s="72">
        <f t="shared" si="44"/>
        <v>1.9242333132892364E-2</v>
      </c>
      <c r="L327" s="316">
        <f t="shared" si="45"/>
        <v>43.663355381840056</v>
      </c>
      <c r="M327" s="96">
        <f t="shared" si="41"/>
        <v>16.055015773902589</v>
      </c>
      <c r="N327" s="37">
        <v>17.425520811762269</v>
      </c>
      <c r="O327" s="37">
        <f t="shared" si="43"/>
        <v>5.7938665063138917</v>
      </c>
      <c r="P327" s="117">
        <f t="shared" si="47"/>
        <v>7.0627232711966341</v>
      </c>
      <c r="Q327" s="45">
        <f t="shared" ref="Q327:Q390" si="48">(O327+N327+M327+L327)/F327</f>
        <v>4.035017075278835E-2</v>
      </c>
    </row>
    <row r="328" spans="1:17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42"/>
        <v>3486.96</v>
      </c>
      <c r="G328" s="827">
        <v>74</v>
      </c>
      <c r="H328" s="330"/>
      <c r="I328" s="330"/>
      <c r="J328" s="8">
        <f t="shared" si="46"/>
        <v>74</v>
      </c>
      <c r="K328" s="72">
        <f t="shared" si="44"/>
        <v>2.9665263579875728E-2</v>
      </c>
      <c r="L328" s="316">
        <f t="shared" si="45"/>
        <v>67.314339547003414</v>
      </c>
      <c r="M328" s="96">
        <f t="shared" si="41"/>
        <v>24.751482651433157</v>
      </c>
      <c r="N328" s="37">
        <v>26.864344584800165</v>
      </c>
      <c r="O328" s="37">
        <f t="shared" si="43"/>
        <v>8.9322108639005826</v>
      </c>
      <c r="P328" s="117">
        <f t="shared" si="47"/>
        <v>10.888365043094812</v>
      </c>
      <c r="Q328" s="45">
        <f t="shared" si="48"/>
        <v>3.6668725092096649E-2</v>
      </c>
    </row>
    <row r="329" spans="1:17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42"/>
        <v>394.94</v>
      </c>
      <c r="G329" s="827">
        <v>13</v>
      </c>
      <c r="H329" s="330"/>
      <c r="I329" s="330"/>
      <c r="J329" s="8">
        <f t="shared" si="46"/>
        <v>13</v>
      </c>
      <c r="K329" s="72">
        <f t="shared" si="44"/>
        <v>5.211465223491682E-3</v>
      </c>
      <c r="L329" s="316">
        <f t="shared" si="45"/>
        <v>11.825492082581681</v>
      </c>
      <c r="M329" s="96">
        <f t="shared" si="41"/>
        <v>4.3482334387652841</v>
      </c>
      <c r="N329" s="37">
        <v>4.7194118865189481</v>
      </c>
      <c r="O329" s="37">
        <f t="shared" si="43"/>
        <v>1.5691721787933455</v>
      </c>
      <c r="P329" s="117">
        <f t="shared" si="47"/>
        <v>1.9128208859490883</v>
      </c>
      <c r="Q329" s="45">
        <f t="shared" si="48"/>
        <v>5.6875245826351492E-2</v>
      </c>
    </row>
    <row r="330" spans="1:17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42"/>
        <v>351.67</v>
      </c>
      <c r="G330" s="827">
        <v>10</v>
      </c>
      <c r="H330" s="330"/>
      <c r="I330" s="330">
        <v>1</v>
      </c>
      <c r="J330" s="8">
        <f t="shared" si="46"/>
        <v>11</v>
      </c>
      <c r="K330" s="72">
        <f t="shared" si="44"/>
        <v>4.4097013429545001E-3</v>
      </c>
      <c r="L330" s="316">
        <f t="shared" si="45"/>
        <v>10.006185608338345</v>
      </c>
      <c r="M330" s="96">
        <f t="shared" si="41"/>
        <v>3.67927444818601</v>
      </c>
      <c r="N330" s="37">
        <v>3.9933485193621863</v>
      </c>
      <c r="O330" s="37">
        <f t="shared" si="43"/>
        <v>1.3277610743636001</v>
      </c>
      <c r="P330" s="117">
        <f t="shared" si="47"/>
        <v>1.6185407496492288</v>
      </c>
      <c r="Q330" s="45">
        <f t="shared" si="48"/>
        <v>5.4046605198766293E-2</v>
      </c>
    </row>
    <row r="331" spans="1:17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42"/>
        <v>615.6</v>
      </c>
      <c r="G331" s="827">
        <v>12</v>
      </c>
      <c r="H331" s="330"/>
      <c r="I331" s="330"/>
      <c r="J331" s="8">
        <f t="shared" si="46"/>
        <v>12</v>
      </c>
      <c r="K331" s="72">
        <f t="shared" si="44"/>
        <v>4.810583283223091E-3</v>
      </c>
      <c r="L331" s="316">
        <f t="shared" si="45"/>
        <v>10.915838845460014</v>
      </c>
      <c r="M331" s="96">
        <f t="shared" si="41"/>
        <v>4.0137539434756473</v>
      </c>
      <c r="N331" s="37">
        <v>4.3563802029405672</v>
      </c>
      <c r="O331" s="37">
        <f t="shared" si="43"/>
        <v>1.4484666265784729</v>
      </c>
      <c r="P331" s="117">
        <f t="shared" si="47"/>
        <v>1.7656808177991585</v>
      </c>
      <c r="Q331" s="45">
        <f t="shared" si="48"/>
        <v>3.3681675793461173E-2</v>
      </c>
    </row>
    <row r="332" spans="1:17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42"/>
        <v>571.49</v>
      </c>
      <c r="G332" s="827">
        <v>15</v>
      </c>
      <c r="H332" s="330"/>
      <c r="I332" s="330"/>
      <c r="J332" s="8">
        <f t="shared" si="46"/>
        <v>15</v>
      </c>
      <c r="K332" s="72">
        <f t="shared" si="44"/>
        <v>6.0132291040288638E-3</v>
      </c>
      <c r="L332" s="316">
        <f t="shared" si="45"/>
        <v>13.644798556825016</v>
      </c>
      <c r="M332" s="96">
        <f t="shared" si="41"/>
        <v>5.0171924293445587</v>
      </c>
      <c r="N332" s="37">
        <v>5.4454752536757089</v>
      </c>
      <c r="O332" s="37">
        <f t="shared" si="43"/>
        <v>1.810583283223091</v>
      </c>
      <c r="P332" s="117">
        <f t="shared" si="47"/>
        <v>2.2071010222489482</v>
      </c>
      <c r="Q332" s="45">
        <f t="shared" si="48"/>
        <v>4.5351711356398844E-2</v>
      </c>
    </row>
    <row r="333" spans="1:17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si="42"/>
        <v>339.26</v>
      </c>
      <c r="G333" s="827">
        <v>11</v>
      </c>
      <c r="H333" s="330">
        <v>1</v>
      </c>
      <c r="I333" s="330"/>
      <c r="J333" s="8">
        <f t="shared" si="46"/>
        <v>12</v>
      </c>
      <c r="K333" s="72">
        <f t="shared" si="44"/>
        <v>4.810583283223091E-3</v>
      </c>
      <c r="L333" s="316">
        <f t="shared" si="45"/>
        <v>10.915838845460014</v>
      </c>
      <c r="M333" s="96">
        <f t="shared" si="41"/>
        <v>4.0137539434756473</v>
      </c>
      <c r="N333" s="37">
        <v>4.3563802029405672</v>
      </c>
      <c r="O333" s="37">
        <f t="shared" si="43"/>
        <v>1.4484666265784729</v>
      </c>
      <c r="P333" s="117">
        <f t="shared" si="47"/>
        <v>1.7656808177991585</v>
      </c>
      <c r="Q333" s="45">
        <f t="shared" si="48"/>
        <v>6.1116664559496263E-2</v>
      </c>
    </row>
    <row r="334" spans="1:17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si="42"/>
        <v>364.76</v>
      </c>
      <c r="G334" s="827">
        <v>11</v>
      </c>
      <c r="H334" s="330"/>
      <c r="I334" s="330"/>
      <c r="J334" s="8">
        <f t="shared" si="46"/>
        <v>11</v>
      </c>
      <c r="K334" s="72">
        <f t="shared" si="44"/>
        <v>4.4097013429545001E-3</v>
      </c>
      <c r="L334" s="316">
        <f t="shared" si="45"/>
        <v>10.006185608338345</v>
      </c>
      <c r="M334" s="96">
        <f t="shared" ref="M334:M383" si="49">L334*0.3677</f>
        <v>3.67927444818601</v>
      </c>
      <c r="N334" s="37">
        <v>3.9933485193621863</v>
      </c>
      <c r="O334" s="37">
        <f t="shared" si="43"/>
        <v>1.3277610743636001</v>
      </c>
      <c r="P334" s="117">
        <f t="shared" si="47"/>
        <v>1.6185407496492288</v>
      </c>
      <c r="Q334" s="45">
        <f t="shared" si="48"/>
        <v>5.2107055735963768E-2</v>
      </c>
    </row>
    <row r="335" spans="1:17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ref="F335:F379" si="50">C335+D335+E335</f>
        <v>329.3</v>
      </c>
      <c r="G335" s="827">
        <v>12</v>
      </c>
      <c r="H335" s="330"/>
      <c r="I335" s="330">
        <v>1</v>
      </c>
      <c r="J335" s="8">
        <f t="shared" si="46"/>
        <v>13</v>
      </c>
      <c r="K335" s="72">
        <f t="shared" si="44"/>
        <v>5.211465223491682E-3</v>
      </c>
      <c r="L335" s="316">
        <f t="shared" si="45"/>
        <v>11.825492082581681</v>
      </c>
      <c r="M335" s="96">
        <f t="shared" si="49"/>
        <v>4.3482334387652841</v>
      </c>
      <c r="N335" s="37">
        <v>4.7194118865189481</v>
      </c>
      <c r="O335" s="37">
        <f t="shared" si="43"/>
        <v>1.5691721787933455</v>
      </c>
      <c r="P335" s="117">
        <f t="shared" si="47"/>
        <v>1.9128208859490883</v>
      </c>
      <c r="Q335" s="45">
        <f t="shared" si="48"/>
        <v>6.8212297560459337E-2</v>
      </c>
    </row>
    <row r="336" spans="1:17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50"/>
        <v>445.65</v>
      </c>
      <c r="G336" s="827">
        <v>15</v>
      </c>
      <c r="H336" s="330"/>
      <c r="I336" s="330">
        <v>1</v>
      </c>
      <c r="J336" s="8">
        <f t="shared" si="46"/>
        <v>16</v>
      </c>
      <c r="K336" s="72">
        <f t="shared" si="44"/>
        <v>6.4141110442974547E-3</v>
      </c>
      <c r="L336" s="316">
        <f t="shared" si="45"/>
        <v>14.554451793946685</v>
      </c>
      <c r="M336" s="96">
        <f t="shared" si="49"/>
        <v>5.3516719246341964</v>
      </c>
      <c r="N336" s="37">
        <v>5.8085069372540898</v>
      </c>
      <c r="O336" s="37">
        <f t="shared" si="43"/>
        <v>1.9312888354379638</v>
      </c>
      <c r="P336" s="117">
        <f t="shared" si="47"/>
        <v>2.3542410903988782</v>
      </c>
      <c r="Q336" s="45">
        <f t="shared" si="48"/>
        <v>6.2035048785533349E-2</v>
      </c>
    </row>
    <row r="337" spans="1:17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50"/>
        <v>515.54999999999995</v>
      </c>
      <c r="G337" s="827">
        <v>18</v>
      </c>
      <c r="H337" s="330"/>
      <c r="I337" s="330"/>
      <c r="J337" s="8">
        <f t="shared" si="46"/>
        <v>18</v>
      </c>
      <c r="K337" s="72">
        <f t="shared" si="44"/>
        <v>7.2158749248346366E-3</v>
      </c>
      <c r="L337" s="316">
        <f t="shared" si="45"/>
        <v>16.37375826819002</v>
      </c>
      <c r="M337" s="96">
        <f t="shared" si="49"/>
        <v>6.0206309152134709</v>
      </c>
      <c r="N337" s="37">
        <v>6.5345703044108516</v>
      </c>
      <c r="O337" s="37">
        <f t="shared" si="43"/>
        <v>2.1726999398677092</v>
      </c>
      <c r="P337" s="117">
        <f t="shared" si="47"/>
        <v>2.6485212266987377</v>
      </c>
      <c r="Q337" s="45">
        <f t="shared" si="48"/>
        <v>6.0327144656545539E-2</v>
      </c>
    </row>
    <row r="338" spans="1:17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50"/>
        <v>969.83999999999992</v>
      </c>
      <c r="G338" s="827">
        <v>28</v>
      </c>
      <c r="H338" s="330">
        <v>1</v>
      </c>
      <c r="I338" s="330"/>
      <c r="J338" s="8">
        <f t="shared" si="46"/>
        <v>29</v>
      </c>
      <c r="K338" s="72">
        <f t="shared" si="44"/>
        <v>1.1625576267789137E-2</v>
      </c>
      <c r="L338" s="316">
        <f t="shared" si="45"/>
        <v>26.379943876528365</v>
      </c>
      <c r="M338" s="96">
        <f t="shared" si="49"/>
        <v>9.6999053633994805</v>
      </c>
      <c r="N338" s="37">
        <v>10.527918823773037</v>
      </c>
      <c r="O338" s="37">
        <f t="shared" si="43"/>
        <v>3.5004610142313095</v>
      </c>
      <c r="P338" s="117">
        <f t="shared" si="47"/>
        <v>4.2670619763479669</v>
      </c>
      <c r="Q338" s="45">
        <f t="shared" si="48"/>
        <v>5.166649042927926E-2</v>
      </c>
    </row>
    <row r="339" spans="1:17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50"/>
        <v>505.24</v>
      </c>
      <c r="G339" s="827">
        <v>16</v>
      </c>
      <c r="H339" s="330"/>
      <c r="I339" s="330">
        <v>1</v>
      </c>
      <c r="J339" s="8">
        <f t="shared" si="46"/>
        <v>17</v>
      </c>
      <c r="K339" s="72">
        <f t="shared" si="44"/>
        <v>6.8149929845660456E-3</v>
      </c>
      <c r="L339" s="316">
        <f t="shared" si="45"/>
        <v>15.464105031068351</v>
      </c>
      <c r="M339" s="96">
        <f t="shared" si="49"/>
        <v>5.6861514199238332</v>
      </c>
      <c r="N339" s="37">
        <v>6.1715386208324707</v>
      </c>
      <c r="O339" s="37">
        <f t="shared" si="43"/>
        <v>2.0519943876528366</v>
      </c>
      <c r="P339" s="117">
        <f t="shared" si="47"/>
        <v>2.5013811585488082</v>
      </c>
      <c r="Q339" s="45">
        <f t="shared" si="48"/>
        <v>5.8138289643491194E-2</v>
      </c>
    </row>
    <row r="340" spans="1:17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50"/>
        <v>497.67999999999995</v>
      </c>
      <c r="G340" s="827">
        <v>12</v>
      </c>
      <c r="H340" s="330"/>
      <c r="I340" s="330">
        <v>1</v>
      </c>
      <c r="J340" s="8">
        <f t="shared" si="46"/>
        <v>13</v>
      </c>
      <c r="K340" s="72">
        <f t="shared" si="44"/>
        <v>5.211465223491682E-3</v>
      </c>
      <c r="L340" s="316">
        <f t="shared" si="45"/>
        <v>11.825492082581681</v>
      </c>
      <c r="M340" s="96">
        <f t="shared" si="49"/>
        <v>4.3482334387652841</v>
      </c>
      <c r="N340" s="37">
        <v>4.7194118865189481</v>
      </c>
      <c r="O340" s="37">
        <f t="shared" si="43"/>
        <v>1.5691721787933455</v>
      </c>
      <c r="P340" s="117">
        <f t="shared" si="47"/>
        <v>1.9128208859490883</v>
      </c>
      <c r="Q340" s="45">
        <f t="shared" si="48"/>
        <v>4.5134041124134508E-2</v>
      </c>
    </row>
    <row r="341" spans="1:17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50"/>
        <v>244.79999999999998</v>
      </c>
      <c r="G341" s="827">
        <v>9</v>
      </c>
      <c r="H341" s="330"/>
      <c r="I341" s="330">
        <v>1</v>
      </c>
      <c r="J341" s="8">
        <f t="shared" si="46"/>
        <v>10</v>
      </c>
      <c r="K341" s="72">
        <f t="shared" si="44"/>
        <v>4.0088194026859092E-3</v>
      </c>
      <c r="L341" s="316">
        <f t="shared" si="45"/>
        <v>9.0965323712166768</v>
      </c>
      <c r="M341" s="96">
        <f t="shared" si="49"/>
        <v>3.3447949528963723</v>
      </c>
      <c r="N341" s="37">
        <v>3.6303168357838063</v>
      </c>
      <c r="O341" s="37">
        <f t="shared" si="43"/>
        <v>1.2070555221487274</v>
      </c>
      <c r="P341" s="117">
        <f t="shared" si="47"/>
        <v>1.4714006814992988</v>
      </c>
      <c r="Q341" s="45">
        <f t="shared" si="48"/>
        <v>7.0582923537767919E-2</v>
      </c>
    </row>
    <row r="342" spans="1:17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50"/>
        <v>607.48</v>
      </c>
      <c r="G342" s="827">
        <v>17</v>
      </c>
      <c r="H342" s="330">
        <v>1</v>
      </c>
      <c r="I342" s="330">
        <v>1</v>
      </c>
      <c r="J342" s="8">
        <f t="shared" si="46"/>
        <v>19</v>
      </c>
      <c r="K342" s="72">
        <f t="shared" si="44"/>
        <v>7.6167568651032275E-3</v>
      </c>
      <c r="L342" s="316">
        <f t="shared" si="45"/>
        <v>17.283411505311687</v>
      </c>
      <c r="M342" s="96">
        <f t="shared" si="49"/>
        <v>6.3551104105031078</v>
      </c>
      <c r="N342" s="37">
        <v>6.8976019879892316</v>
      </c>
      <c r="O342" s="37">
        <f t="shared" si="43"/>
        <v>2.2934054920825822</v>
      </c>
      <c r="P342" s="117">
        <f t="shared" si="47"/>
        <v>2.7956612948486677</v>
      </c>
      <c r="Q342" s="45">
        <f t="shared" si="48"/>
        <v>5.4042156772052756E-2</v>
      </c>
    </row>
    <row r="343" spans="1:17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50"/>
        <v>480.34999999999997</v>
      </c>
      <c r="G343" s="827">
        <v>15</v>
      </c>
      <c r="H343" s="330">
        <v>1</v>
      </c>
      <c r="I343" s="330">
        <v>1</v>
      </c>
      <c r="J343" s="8">
        <f t="shared" si="46"/>
        <v>17</v>
      </c>
      <c r="K343" s="72">
        <f t="shared" si="44"/>
        <v>6.8149929845660456E-3</v>
      </c>
      <c r="L343" s="316">
        <f t="shared" si="45"/>
        <v>15.464105031068351</v>
      </c>
      <c r="M343" s="96">
        <f t="shared" si="49"/>
        <v>5.6861514199238332</v>
      </c>
      <c r="N343" s="37">
        <v>6.1715386208324707</v>
      </c>
      <c r="O343" s="37">
        <f t="shared" si="43"/>
        <v>2.0519943876528366</v>
      </c>
      <c r="P343" s="117">
        <f t="shared" si="47"/>
        <v>2.5013811585488082</v>
      </c>
      <c r="Q343" s="45">
        <f t="shared" si="48"/>
        <v>6.1150805578177363E-2</v>
      </c>
    </row>
    <row r="344" spans="1:17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50"/>
        <v>1165.33</v>
      </c>
      <c r="G344" s="827">
        <v>14</v>
      </c>
      <c r="H344" s="330">
        <v>2</v>
      </c>
      <c r="I344" s="330"/>
      <c r="J344" s="8">
        <f t="shared" si="46"/>
        <v>16</v>
      </c>
      <c r="K344" s="72">
        <f t="shared" si="44"/>
        <v>6.4141110442974547E-3</v>
      </c>
      <c r="L344" s="316">
        <f t="shared" si="45"/>
        <v>14.554451793946685</v>
      </c>
      <c r="M344" s="96">
        <f t="shared" si="49"/>
        <v>5.3516719246341964</v>
      </c>
      <c r="N344" s="37">
        <v>5.8085069372540898</v>
      </c>
      <c r="O344" s="37">
        <f t="shared" si="43"/>
        <v>1.9312888354379638</v>
      </c>
      <c r="P344" s="117">
        <f t="shared" si="47"/>
        <v>2.3542410903988782</v>
      </c>
      <c r="Q344" s="45">
        <f t="shared" si="48"/>
        <v>2.3723682983595149E-2</v>
      </c>
    </row>
    <row r="345" spans="1:17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50"/>
        <v>1416.02</v>
      </c>
      <c r="G345" s="827">
        <v>19</v>
      </c>
      <c r="H345" s="330"/>
      <c r="I345" s="330">
        <v>1</v>
      </c>
      <c r="J345" s="8">
        <f t="shared" si="46"/>
        <v>20</v>
      </c>
      <c r="K345" s="72">
        <f t="shared" si="44"/>
        <v>8.0176388053718184E-3</v>
      </c>
      <c r="L345" s="316">
        <f t="shared" si="45"/>
        <v>18.193064742433354</v>
      </c>
      <c r="M345" s="96">
        <f t="shared" si="49"/>
        <v>6.6895899057927446</v>
      </c>
      <c r="N345" s="37">
        <v>7.2606336715676125</v>
      </c>
      <c r="O345" s="37">
        <f t="shared" si="43"/>
        <v>2.4141110442974547</v>
      </c>
      <c r="P345" s="117">
        <f t="shared" si="47"/>
        <v>2.9428013629985976</v>
      </c>
      <c r="Q345" s="45">
        <f t="shared" si="48"/>
        <v>2.4404598356019807E-2</v>
      </c>
    </row>
    <row r="346" spans="1:17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50"/>
        <v>1501.81</v>
      </c>
      <c r="G346" s="827">
        <v>21</v>
      </c>
      <c r="H346" s="330">
        <v>1</v>
      </c>
      <c r="I346" s="330"/>
      <c r="J346" s="8">
        <f t="shared" si="46"/>
        <v>22</v>
      </c>
      <c r="K346" s="72">
        <f t="shared" si="44"/>
        <v>8.8194026859090002E-3</v>
      </c>
      <c r="L346" s="316">
        <f t="shared" si="45"/>
        <v>20.012371216676691</v>
      </c>
      <c r="M346" s="96">
        <f t="shared" si="49"/>
        <v>7.35854889637202</v>
      </c>
      <c r="N346" s="37">
        <v>7.9866970387243725</v>
      </c>
      <c r="O346" s="37">
        <f t="shared" si="43"/>
        <v>2.6555221487272003</v>
      </c>
      <c r="P346" s="117">
        <f t="shared" si="47"/>
        <v>3.2370814992984576</v>
      </c>
      <c r="Q346" s="45">
        <f t="shared" si="48"/>
        <v>2.5311550263016153E-2</v>
      </c>
    </row>
    <row r="347" spans="1:17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50"/>
        <v>970</v>
      </c>
      <c r="G347" s="827">
        <v>16</v>
      </c>
      <c r="H347" s="330"/>
      <c r="I347" s="330">
        <v>1</v>
      </c>
      <c r="J347" s="8">
        <f t="shared" si="46"/>
        <v>17</v>
      </c>
      <c r="K347" s="72">
        <f t="shared" si="44"/>
        <v>6.8149929845660456E-3</v>
      </c>
      <c r="L347" s="316">
        <f t="shared" si="45"/>
        <v>15.464105031068351</v>
      </c>
      <c r="M347" s="96">
        <f t="shared" si="49"/>
        <v>5.6861514199238332</v>
      </c>
      <c r="N347" s="37">
        <v>6.1715386208324707</v>
      </c>
      <c r="O347" s="37">
        <f t="shared" ref="O347:O379" si="51">K347*301.1</f>
        <v>2.0519943876528366</v>
      </c>
      <c r="P347" s="117">
        <f t="shared" si="47"/>
        <v>2.5013811585488082</v>
      </c>
      <c r="Q347" s="45">
        <f t="shared" si="48"/>
        <v>3.0282257174719066E-2</v>
      </c>
    </row>
    <row r="348" spans="1:17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50"/>
        <v>2158</v>
      </c>
      <c r="G348" s="827">
        <v>29</v>
      </c>
      <c r="H348" s="330"/>
      <c r="I348" s="330"/>
      <c r="J348" s="8">
        <f t="shared" si="46"/>
        <v>29</v>
      </c>
      <c r="K348" s="72">
        <f t="shared" ref="K348:K382" si="52">2/4989*J348</f>
        <v>1.1625576267789137E-2</v>
      </c>
      <c r="L348" s="316">
        <f t="shared" ref="L348:L383" si="53">K348*2269.13</f>
        <v>26.379943876528365</v>
      </c>
      <c r="M348" s="96">
        <f t="shared" si="49"/>
        <v>9.6999053633994805</v>
      </c>
      <c r="N348" s="37">
        <v>10.527918823773037</v>
      </c>
      <c r="O348" s="37">
        <f t="shared" si="51"/>
        <v>3.5004610142313095</v>
      </c>
      <c r="P348" s="117">
        <f t="shared" si="47"/>
        <v>4.2670619763479669</v>
      </c>
      <c r="Q348" s="45">
        <f t="shared" si="48"/>
        <v>2.3219753974945408E-2</v>
      </c>
    </row>
    <row r="349" spans="1:17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50"/>
        <v>729.1</v>
      </c>
      <c r="G349" s="827">
        <v>10</v>
      </c>
      <c r="H349" s="330"/>
      <c r="I349" s="330">
        <v>1</v>
      </c>
      <c r="J349" s="8">
        <f t="shared" ref="J349:J383" si="54">G349+H349+I349</f>
        <v>11</v>
      </c>
      <c r="K349" s="72">
        <f t="shared" si="52"/>
        <v>4.4097013429545001E-3</v>
      </c>
      <c r="L349" s="316">
        <f t="shared" si="53"/>
        <v>10.006185608338345</v>
      </c>
      <c r="M349" s="96">
        <f t="shared" si="49"/>
        <v>3.67927444818601</v>
      </c>
      <c r="N349" s="37">
        <v>3.9933485193621863</v>
      </c>
      <c r="O349" s="37">
        <f t="shared" si="51"/>
        <v>1.3277610743636001</v>
      </c>
      <c r="P349" s="117">
        <f t="shared" ref="P349:P412" si="55">O349*1.219</f>
        <v>1.6185407496492288</v>
      </c>
      <c r="Q349" s="45">
        <f t="shared" si="48"/>
        <v>2.606853607221251E-2</v>
      </c>
    </row>
    <row r="350" spans="1:17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50"/>
        <v>1052.04</v>
      </c>
      <c r="G350" s="827">
        <v>14</v>
      </c>
      <c r="H350" s="330">
        <v>2</v>
      </c>
      <c r="I350" s="330">
        <v>1</v>
      </c>
      <c r="J350" s="8">
        <f t="shared" si="54"/>
        <v>17</v>
      </c>
      <c r="K350" s="72">
        <f t="shared" si="52"/>
        <v>6.8149929845660456E-3</v>
      </c>
      <c r="L350" s="316">
        <f t="shared" si="53"/>
        <v>15.464105031068351</v>
      </c>
      <c r="M350" s="96">
        <f t="shared" si="49"/>
        <v>5.6861514199238332</v>
      </c>
      <c r="N350" s="37">
        <v>6.1715386208324707</v>
      </c>
      <c r="O350" s="37">
        <f t="shared" si="51"/>
        <v>2.0519943876528366</v>
      </c>
      <c r="P350" s="117">
        <f t="shared" si="55"/>
        <v>2.5013811585488082</v>
      </c>
      <c r="Q350" s="45">
        <f t="shared" si="48"/>
        <v>2.7920791471310494E-2</v>
      </c>
    </row>
    <row r="351" spans="1:17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50"/>
        <v>608.6</v>
      </c>
      <c r="G351" s="827">
        <v>13</v>
      </c>
      <c r="H351" s="330"/>
      <c r="I351" s="330"/>
      <c r="J351" s="8">
        <f t="shared" si="54"/>
        <v>13</v>
      </c>
      <c r="K351" s="72">
        <f t="shared" si="52"/>
        <v>5.211465223491682E-3</v>
      </c>
      <c r="L351" s="316">
        <f t="shared" si="53"/>
        <v>11.825492082581681</v>
      </c>
      <c r="M351" s="96">
        <f t="shared" si="49"/>
        <v>4.3482334387652841</v>
      </c>
      <c r="N351" s="37">
        <v>4.7194118865189481</v>
      </c>
      <c r="O351" s="37">
        <f t="shared" si="51"/>
        <v>1.5691721787933455</v>
      </c>
      <c r="P351" s="117">
        <f t="shared" si="55"/>
        <v>1.9128208859490883</v>
      </c>
      <c r="Q351" s="45">
        <f t="shared" si="48"/>
        <v>3.690816560410657E-2</v>
      </c>
    </row>
    <row r="352" spans="1:17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50"/>
        <v>415.8</v>
      </c>
      <c r="G352" s="827">
        <v>9</v>
      </c>
      <c r="H352" s="330"/>
      <c r="I352" s="330"/>
      <c r="J352" s="8">
        <f t="shared" si="54"/>
        <v>9</v>
      </c>
      <c r="K352" s="72">
        <f t="shared" si="52"/>
        <v>3.6079374624173183E-3</v>
      </c>
      <c r="L352" s="316">
        <f t="shared" si="53"/>
        <v>8.18687913409501</v>
      </c>
      <c r="M352" s="96">
        <f t="shared" si="49"/>
        <v>3.0103154576067355</v>
      </c>
      <c r="N352" s="37">
        <v>3.2672851522054258</v>
      </c>
      <c r="O352" s="37">
        <f t="shared" si="51"/>
        <v>1.0863499699338546</v>
      </c>
      <c r="P352" s="117">
        <f t="shared" si="55"/>
        <v>1.3242606133493688</v>
      </c>
      <c r="Q352" s="45">
        <f t="shared" si="48"/>
        <v>3.739978286157053E-2</v>
      </c>
    </row>
    <row r="353" spans="1:17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50"/>
        <v>460.4</v>
      </c>
      <c r="G353" s="827">
        <v>9</v>
      </c>
      <c r="H353" s="330"/>
      <c r="I353" s="330"/>
      <c r="J353" s="8">
        <f t="shared" si="54"/>
        <v>9</v>
      </c>
      <c r="K353" s="72">
        <f t="shared" si="52"/>
        <v>3.6079374624173183E-3</v>
      </c>
      <c r="L353" s="316">
        <f t="shared" si="53"/>
        <v>8.18687913409501</v>
      </c>
      <c r="M353" s="96">
        <f t="shared" si="49"/>
        <v>3.0103154576067355</v>
      </c>
      <c r="N353" s="37">
        <v>3.2672851522054258</v>
      </c>
      <c r="O353" s="37">
        <f t="shared" si="51"/>
        <v>1.0863499699338546</v>
      </c>
      <c r="P353" s="117">
        <f t="shared" si="55"/>
        <v>1.3242606133493688</v>
      </c>
      <c r="Q353" s="45">
        <f t="shared" si="48"/>
        <v>3.3776780438403618E-2</v>
      </c>
    </row>
    <row r="354" spans="1:17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50"/>
        <v>573</v>
      </c>
      <c r="G354" s="827">
        <v>11</v>
      </c>
      <c r="H354" s="330">
        <v>1</v>
      </c>
      <c r="I354" s="330">
        <v>2</v>
      </c>
      <c r="J354" s="8">
        <f t="shared" si="54"/>
        <v>14</v>
      </c>
      <c r="K354" s="72">
        <f t="shared" si="52"/>
        <v>5.6123471637602729E-3</v>
      </c>
      <c r="L354" s="316">
        <f t="shared" si="53"/>
        <v>12.735145319703349</v>
      </c>
      <c r="M354" s="96">
        <f t="shared" si="49"/>
        <v>4.6827129340549218</v>
      </c>
      <c r="N354" s="37">
        <v>5.0824435700973281</v>
      </c>
      <c r="O354" s="37">
        <f t="shared" si="51"/>
        <v>1.6898777310082183</v>
      </c>
      <c r="P354" s="117">
        <f t="shared" si="55"/>
        <v>2.0599609540990182</v>
      </c>
      <c r="Q354" s="45">
        <f t="shared" si="48"/>
        <v>4.221671824583563E-2</v>
      </c>
    </row>
    <row r="355" spans="1:17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50"/>
        <v>791.22</v>
      </c>
      <c r="G355" s="827">
        <v>17</v>
      </c>
      <c r="H355" s="330"/>
      <c r="I355" s="330"/>
      <c r="J355" s="8">
        <f t="shared" si="54"/>
        <v>17</v>
      </c>
      <c r="K355" s="72">
        <f t="shared" si="52"/>
        <v>6.8149929845660456E-3</v>
      </c>
      <c r="L355" s="316">
        <f t="shared" si="53"/>
        <v>15.464105031068351</v>
      </c>
      <c r="M355" s="96">
        <f t="shared" si="49"/>
        <v>5.6861514199238332</v>
      </c>
      <c r="N355" s="37">
        <v>6.1715386208324707</v>
      </c>
      <c r="O355" s="37">
        <f t="shared" si="51"/>
        <v>2.0519943876528366</v>
      </c>
      <c r="P355" s="117">
        <f t="shared" si="55"/>
        <v>2.5013811585488082</v>
      </c>
      <c r="Q355" s="45">
        <f t="shared" si="48"/>
        <v>3.7124680189425815E-2</v>
      </c>
    </row>
    <row r="356" spans="1:17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50"/>
        <v>765.5</v>
      </c>
      <c r="G356" s="827">
        <v>19</v>
      </c>
      <c r="H356" s="330"/>
      <c r="I356" s="330"/>
      <c r="J356" s="8">
        <f t="shared" si="54"/>
        <v>19</v>
      </c>
      <c r="K356" s="72">
        <f t="shared" si="52"/>
        <v>7.6167568651032275E-3</v>
      </c>
      <c r="L356" s="316">
        <f t="shared" si="53"/>
        <v>17.283411505311687</v>
      </c>
      <c r="M356" s="96">
        <f t="shared" si="49"/>
        <v>6.3551104105031078</v>
      </c>
      <c r="N356" s="37">
        <v>6.8976019879892316</v>
      </c>
      <c r="O356" s="37">
        <f t="shared" si="51"/>
        <v>2.2934054920825822</v>
      </c>
      <c r="P356" s="117">
        <f t="shared" si="55"/>
        <v>2.7956612948486677</v>
      </c>
      <c r="Q356" s="45">
        <f t="shared" si="48"/>
        <v>4.2886387192536395E-2</v>
      </c>
    </row>
    <row r="357" spans="1:17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50"/>
        <v>806.19999999999993</v>
      </c>
      <c r="G357" s="827">
        <v>20</v>
      </c>
      <c r="H357" s="330"/>
      <c r="I357" s="330">
        <v>1</v>
      </c>
      <c r="J357" s="8">
        <f t="shared" si="54"/>
        <v>21</v>
      </c>
      <c r="K357" s="72">
        <f t="shared" si="52"/>
        <v>8.4185207456404093E-3</v>
      </c>
      <c r="L357" s="316">
        <f t="shared" si="53"/>
        <v>19.102717979555024</v>
      </c>
      <c r="M357" s="96">
        <f t="shared" si="49"/>
        <v>7.0240694010823832</v>
      </c>
      <c r="N357" s="37">
        <v>7.6236653551459916</v>
      </c>
      <c r="O357" s="37">
        <f t="shared" si="51"/>
        <v>2.5348165965123273</v>
      </c>
      <c r="P357" s="117">
        <f t="shared" si="55"/>
        <v>3.0899414311485272</v>
      </c>
      <c r="Q357" s="45">
        <f t="shared" si="48"/>
        <v>4.5007776398282968E-2</v>
      </c>
    </row>
    <row r="358" spans="1:17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50"/>
        <v>753</v>
      </c>
      <c r="G358" s="827">
        <v>18</v>
      </c>
      <c r="H358" s="330"/>
      <c r="I358" s="330">
        <v>1</v>
      </c>
      <c r="J358" s="8">
        <f t="shared" si="54"/>
        <v>19</v>
      </c>
      <c r="K358" s="72">
        <f t="shared" si="52"/>
        <v>7.6167568651032275E-3</v>
      </c>
      <c r="L358" s="316">
        <f t="shared" si="53"/>
        <v>17.283411505311687</v>
      </c>
      <c r="M358" s="96">
        <f t="shared" si="49"/>
        <v>6.3551104105031078</v>
      </c>
      <c r="N358" s="37">
        <v>6.8976019879892316</v>
      </c>
      <c r="O358" s="37">
        <f t="shared" si="51"/>
        <v>2.2934054920825822</v>
      </c>
      <c r="P358" s="117">
        <f t="shared" si="55"/>
        <v>2.7956612948486677</v>
      </c>
      <c r="Q358" s="45">
        <f t="shared" si="48"/>
        <v>4.3598312610739189E-2</v>
      </c>
    </row>
    <row r="359" spans="1:17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50"/>
        <v>612.20000000000005</v>
      </c>
      <c r="G359" s="827">
        <v>15</v>
      </c>
      <c r="H359" s="330"/>
      <c r="I359" s="330">
        <v>1</v>
      </c>
      <c r="J359" s="8">
        <f t="shared" si="54"/>
        <v>16</v>
      </c>
      <c r="K359" s="72">
        <f t="shared" si="52"/>
        <v>6.4141110442974547E-3</v>
      </c>
      <c r="L359" s="316">
        <f t="shared" si="53"/>
        <v>14.554451793946685</v>
      </c>
      <c r="M359" s="96">
        <f t="shared" si="49"/>
        <v>5.3516719246341964</v>
      </c>
      <c r="N359" s="37">
        <v>5.8085069372540898</v>
      </c>
      <c r="O359" s="37">
        <f t="shared" si="51"/>
        <v>1.9312888354379638</v>
      </c>
      <c r="P359" s="117">
        <f t="shared" si="55"/>
        <v>2.3542410903988782</v>
      </c>
      <c r="Q359" s="45">
        <f t="shared" si="48"/>
        <v>4.5158313445398453E-2</v>
      </c>
    </row>
    <row r="360" spans="1:17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50"/>
        <v>611.79999999999995</v>
      </c>
      <c r="G360" s="827">
        <v>13</v>
      </c>
      <c r="H360" s="330"/>
      <c r="I360" s="330"/>
      <c r="J360" s="8">
        <f t="shared" si="54"/>
        <v>13</v>
      </c>
      <c r="K360" s="72">
        <f t="shared" si="52"/>
        <v>5.211465223491682E-3</v>
      </c>
      <c r="L360" s="316">
        <f t="shared" si="53"/>
        <v>11.825492082581681</v>
      </c>
      <c r="M360" s="96">
        <f t="shared" si="49"/>
        <v>4.3482334387652841</v>
      </c>
      <c r="N360" s="37">
        <v>4.7194118865189481</v>
      </c>
      <c r="O360" s="37">
        <f t="shared" si="51"/>
        <v>1.5691721787933455</v>
      </c>
      <c r="P360" s="117">
        <f t="shared" si="55"/>
        <v>1.9128208859490883</v>
      </c>
      <c r="Q360" s="45">
        <f t="shared" si="48"/>
        <v>3.6715118644425074E-2</v>
      </c>
    </row>
    <row r="361" spans="1:17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50"/>
        <v>510.4</v>
      </c>
      <c r="G361" s="827">
        <v>8</v>
      </c>
      <c r="H361" s="330"/>
      <c r="I361" s="330"/>
      <c r="J361" s="8">
        <f t="shared" si="54"/>
        <v>8</v>
      </c>
      <c r="K361" s="72">
        <f t="shared" si="52"/>
        <v>3.2070555221487274E-3</v>
      </c>
      <c r="L361" s="316">
        <f t="shared" si="53"/>
        <v>7.2772258969733423</v>
      </c>
      <c r="M361" s="96">
        <f t="shared" si="49"/>
        <v>2.6758359623170982</v>
      </c>
      <c r="N361" s="37">
        <v>2.9042534686270449</v>
      </c>
      <c r="O361" s="37">
        <f t="shared" si="51"/>
        <v>0.96564441771898191</v>
      </c>
      <c r="P361" s="117">
        <f t="shared" si="55"/>
        <v>1.1771205451994391</v>
      </c>
      <c r="Q361" s="45">
        <f t="shared" si="48"/>
        <v>2.7082601382516589E-2</v>
      </c>
    </row>
    <row r="362" spans="1:17" s="6" customFormat="1" ht="15.75">
      <c r="A362" s="268">
        <v>271</v>
      </c>
      <c r="B362" s="122" t="s">
        <v>1314</v>
      </c>
      <c r="C362" s="55">
        <v>564</v>
      </c>
      <c r="D362" s="256">
        <v>87.5</v>
      </c>
      <c r="E362" s="256"/>
      <c r="F362" s="95">
        <f t="shared" si="50"/>
        <v>651.5</v>
      </c>
      <c r="G362" s="827">
        <v>12</v>
      </c>
      <c r="H362" s="330">
        <v>2</v>
      </c>
      <c r="I362" s="330"/>
      <c r="J362" s="8">
        <f t="shared" si="54"/>
        <v>14</v>
      </c>
      <c r="K362" s="72">
        <f t="shared" si="52"/>
        <v>5.6123471637602729E-3</v>
      </c>
      <c r="L362" s="316">
        <f t="shared" si="53"/>
        <v>12.735145319703349</v>
      </c>
      <c r="M362" s="96">
        <f t="shared" si="49"/>
        <v>4.6827129340549218</v>
      </c>
      <c r="N362" s="37">
        <v>5.0824435700973281</v>
      </c>
      <c r="O362" s="37">
        <f t="shared" si="51"/>
        <v>1.6898777310082183</v>
      </c>
      <c r="P362" s="117">
        <f t="shared" si="55"/>
        <v>2.0599609540990182</v>
      </c>
      <c r="Q362" s="45">
        <f t="shared" si="48"/>
        <v>3.7129976292960581E-2</v>
      </c>
    </row>
    <row r="363" spans="1:17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50"/>
        <v>789.90000000000009</v>
      </c>
      <c r="G363" s="827">
        <v>13</v>
      </c>
      <c r="H363" s="330">
        <v>2</v>
      </c>
      <c r="I363" s="330"/>
      <c r="J363" s="8">
        <f t="shared" si="54"/>
        <v>15</v>
      </c>
      <c r="K363" s="72">
        <f t="shared" si="52"/>
        <v>6.0132291040288638E-3</v>
      </c>
      <c r="L363" s="316">
        <f t="shared" si="53"/>
        <v>13.644798556825016</v>
      </c>
      <c r="M363" s="96">
        <f t="shared" si="49"/>
        <v>5.0171924293445587</v>
      </c>
      <c r="N363" s="37">
        <v>5.4454752536757089</v>
      </c>
      <c r="O363" s="37">
        <f t="shared" si="51"/>
        <v>1.810583283223091</v>
      </c>
      <c r="P363" s="117">
        <f t="shared" si="55"/>
        <v>2.2071010222489482</v>
      </c>
      <c r="Q363" s="45">
        <f t="shared" si="48"/>
        <v>3.2811811017936919E-2</v>
      </c>
    </row>
    <row r="364" spans="1:17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50"/>
        <v>770.6</v>
      </c>
      <c r="G364" s="827">
        <v>17</v>
      </c>
      <c r="H364" s="330"/>
      <c r="I364" s="330"/>
      <c r="J364" s="8">
        <f t="shared" si="54"/>
        <v>17</v>
      </c>
      <c r="K364" s="72">
        <f t="shared" si="52"/>
        <v>6.8149929845660456E-3</v>
      </c>
      <c r="L364" s="316">
        <f t="shared" si="53"/>
        <v>15.464105031068351</v>
      </c>
      <c r="M364" s="96">
        <f t="shared" si="49"/>
        <v>5.6861514199238332</v>
      </c>
      <c r="N364" s="37">
        <v>6.1715386208324707</v>
      </c>
      <c r="O364" s="37">
        <f t="shared" si="51"/>
        <v>2.0519943876528366</v>
      </c>
      <c r="P364" s="117">
        <f t="shared" si="55"/>
        <v>2.5013811585488082</v>
      </c>
      <c r="Q364" s="45">
        <f t="shared" si="48"/>
        <v>3.8118076121823892E-2</v>
      </c>
    </row>
    <row r="365" spans="1:17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50"/>
        <v>958.2</v>
      </c>
      <c r="G365" s="827">
        <v>16</v>
      </c>
      <c r="H365" s="330"/>
      <c r="I365" s="330"/>
      <c r="J365" s="8">
        <f t="shared" si="54"/>
        <v>16</v>
      </c>
      <c r="K365" s="72">
        <f t="shared" si="52"/>
        <v>6.4141110442974547E-3</v>
      </c>
      <c r="L365" s="316">
        <f t="shared" si="53"/>
        <v>14.554451793946685</v>
      </c>
      <c r="M365" s="96">
        <f t="shared" si="49"/>
        <v>5.3516719246341964</v>
      </c>
      <c r="N365" s="37">
        <v>5.8085069372540898</v>
      </c>
      <c r="O365" s="37">
        <f t="shared" si="51"/>
        <v>1.9312888354379638</v>
      </c>
      <c r="P365" s="117">
        <f t="shared" si="55"/>
        <v>2.3542410903988782</v>
      </c>
      <c r="Q365" s="45">
        <f t="shared" si="48"/>
        <v>2.885193017248271E-2</v>
      </c>
    </row>
    <row r="366" spans="1:17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50"/>
        <v>1194.4199999999998</v>
      </c>
      <c r="G366" s="827">
        <v>14</v>
      </c>
      <c r="H366" s="330">
        <v>1</v>
      </c>
      <c r="I366" s="330">
        <v>2</v>
      </c>
      <c r="J366" s="8">
        <f t="shared" si="54"/>
        <v>17</v>
      </c>
      <c r="K366" s="72">
        <f t="shared" si="52"/>
        <v>6.8149929845660456E-3</v>
      </c>
      <c r="L366" s="316">
        <f t="shared" si="53"/>
        <v>15.464105031068351</v>
      </c>
      <c r="M366" s="96">
        <f t="shared" si="49"/>
        <v>5.6861514199238332</v>
      </c>
      <c r="N366" s="37">
        <v>6.1715386208324707</v>
      </c>
      <c r="O366" s="37">
        <f t="shared" si="51"/>
        <v>2.0519943876528366</v>
      </c>
      <c r="P366" s="117">
        <f t="shared" si="55"/>
        <v>2.5013811585488082</v>
      </c>
      <c r="Q366" s="45">
        <f t="shared" si="48"/>
        <v>2.4592513068667218E-2</v>
      </c>
    </row>
    <row r="367" spans="1:17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50"/>
        <v>437.85999999999996</v>
      </c>
      <c r="G367" s="827">
        <v>8</v>
      </c>
      <c r="H367" s="330">
        <v>1</v>
      </c>
      <c r="I367" s="330">
        <v>3</v>
      </c>
      <c r="J367" s="8">
        <f t="shared" si="54"/>
        <v>12</v>
      </c>
      <c r="K367" s="72">
        <f t="shared" si="52"/>
        <v>4.810583283223091E-3</v>
      </c>
      <c r="L367" s="316">
        <f t="shared" si="53"/>
        <v>10.915838845460014</v>
      </c>
      <c r="M367" s="96">
        <f t="shared" si="49"/>
        <v>4.0137539434756473</v>
      </c>
      <c r="N367" s="37">
        <v>4.3563802029405672</v>
      </c>
      <c r="O367" s="37">
        <f t="shared" si="51"/>
        <v>1.4484666265784729</v>
      </c>
      <c r="P367" s="117">
        <f t="shared" si="55"/>
        <v>1.7656808177991585</v>
      </c>
      <c r="Q367" s="45">
        <f t="shared" si="48"/>
        <v>4.735403923275637E-2</v>
      </c>
    </row>
    <row r="368" spans="1:17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50"/>
        <v>712.5</v>
      </c>
      <c r="G368" s="827">
        <v>13</v>
      </c>
      <c r="H368" s="330">
        <v>1</v>
      </c>
      <c r="I368" s="330"/>
      <c r="J368" s="8">
        <f t="shared" si="54"/>
        <v>14</v>
      </c>
      <c r="K368" s="72">
        <f t="shared" si="52"/>
        <v>5.6123471637602729E-3</v>
      </c>
      <c r="L368" s="316">
        <f t="shared" si="53"/>
        <v>12.735145319703349</v>
      </c>
      <c r="M368" s="96">
        <f t="shared" si="49"/>
        <v>4.6827129340549218</v>
      </c>
      <c r="N368" s="37">
        <v>5.0824435700973281</v>
      </c>
      <c r="O368" s="37">
        <f t="shared" si="51"/>
        <v>1.6898777310082183</v>
      </c>
      <c r="P368" s="117">
        <f t="shared" si="55"/>
        <v>2.0599609540990182</v>
      </c>
      <c r="Q368" s="45">
        <f t="shared" si="48"/>
        <v>3.3951129199808867E-2</v>
      </c>
    </row>
    <row r="369" spans="1:18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50"/>
        <v>1035.06</v>
      </c>
      <c r="G369" s="827">
        <v>17</v>
      </c>
      <c r="H369" s="330">
        <v>1</v>
      </c>
      <c r="I369" s="330"/>
      <c r="J369" s="8">
        <f t="shared" si="54"/>
        <v>18</v>
      </c>
      <c r="K369" s="72">
        <f t="shared" si="52"/>
        <v>7.2158749248346366E-3</v>
      </c>
      <c r="L369" s="316">
        <f t="shared" si="53"/>
        <v>16.37375826819002</v>
      </c>
      <c r="M369" s="96">
        <f t="shared" si="49"/>
        <v>6.0206309152134709</v>
      </c>
      <c r="N369" s="37">
        <v>6.5345703044108516</v>
      </c>
      <c r="O369" s="37">
        <f t="shared" si="51"/>
        <v>2.1726999398677092</v>
      </c>
      <c r="P369" s="117">
        <f t="shared" si="55"/>
        <v>2.6485212266987377</v>
      </c>
      <c r="Q369" s="45">
        <f t="shared" si="48"/>
        <v>3.0048170567582608E-2</v>
      </c>
    </row>
    <row r="370" spans="1:18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50"/>
        <v>684.4</v>
      </c>
      <c r="G370" s="827">
        <v>13</v>
      </c>
      <c r="H370" s="330"/>
      <c r="I370" s="330">
        <v>1</v>
      </c>
      <c r="J370" s="8">
        <f t="shared" si="54"/>
        <v>14</v>
      </c>
      <c r="K370" s="72">
        <f t="shared" si="52"/>
        <v>5.6123471637602729E-3</v>
      </c>
      <c r="L370" s="316">
        <f t="shared" si="53"/>
        <v>12.735145319703349</v>
      </c>
      <c r="M370" s="96">
        <f t="shared" si="49"/>
        <v>4.6827129340549218</v>
      </c>
      <c r="N370" s="37">
        <v>5.0824435700973281</v>
      </c>
      <c r="O370" s="37">
        <f t="shared" si="51"/>
        <v>1.6898777310082183</v>
      </c>
      <c r="P370" s="117">
        <f t="shared" si="55"/>
        <v>2.0599609540990182</v>
      </c>
      <c r="Q370" s="45">
        <f t="shared" si="48"/>
        <v>3.5345089939894533E-2</v>
      </c>
    </row>
    <row r="371" spans="1:18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50"/>
        <v>858.85</v>
      </c>
      <c r="G371" s="827">
        <v>16</v>
      </c>
      <c r="H371" s="330">
        <v>1</v>
      </c>
      <c r="I371" s="330">
        <v>1</v>
      </c>
      <c r="J371" s="8">
        <f t="shared" si="54"/>
        <v>18</v>
      </c>
      <c r="K371" s="72">
        <f t="shared" si="52"/>
        <v>7.2158749248346366E-3</v>
      </c>
      <c r="L371" s="316">
        <f t="shared" si="53"/>
        <v>16.37375826819002</v>
      </c>
      <c r="M371" s="96">
        <f t="shared" si="49"/>
        <v>6.0206309152134709</v>
      </c>
      <c r="N371" s="37">
        <v>6.5345703044108516</v>
      </c>
      <c r="O371" s="37">
        <f t="shared" si="51"/>
        <v>2.1726999398677092</v>
      </c>
      <c r="P371" s="117">
        <f t="shared" si="55"/>
        <v>2.6485212266987377</v>
      </c>
      <c r="Q371" s="45">
        <f t="shared" si="48"/>
        <v>3.6213144818864819E-2</v>
      </c>
    </row>
    <row r="372" spans="1:18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50"/>
        <v>827.7</v>
      </c>
      <c r="G372" s="827">
        <v>14</v>
      </c>
      <c r="H372" s="330"/>
      <c r="I372" s="330">
        <v>2</v>
      </c>
      <c r="J372" s="8">
        <f t="shared" si="54"/>
        <v>16</v>
      </c>
      <c r="K372" s="72">
        <f t="shared" si="52"/>
        <v>6.4141110442974547E-3</v>
      </c>
      <c r="L372" s="316">
        <f t="shared" si="53"/>
        <v>14.554451793946685</v>
      </c>
      <c r="M372" s="96">
        <f t="shared" si="49"/>
        <v>5.3516719246341964</v>
      </c>
      <c r="N372" s="37">
        <v>5.8085069372540898</v>
      </c>
      <c r="O372" s="37">
        <f t="shared" si="51"/>
        <v>1.9312888354379638</v>
      </c>
      <c r="P372" s="117">
        <f t="shared" si="55"/>
        <v>2.3542410903988782</v>
      </c>
      <c r="Q372" s="45">
        <f t="shared" si="48"/>
        <v>3.3400893429108292E-2</v>
      </c>
    </row>
    <row r="373" spans="1:18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50"/>
        <v>837.19</v>
      </c>
      <c r="G373" s="827">
        <v>14</v>
      </c>
      <c r="H373" s="330"/>
      <c r="I373" s="330"/>
      <c r="J373" s="8">
        <f t="shared" si="54"/>
        <v>14</v>
      </c>
      <c r="K373" s="72">
        <f t="shared" si="52"/>
        <v>5.6123471637602729E-3</v>
      </c>
      <c r="L373" s="316">
        <f t="shared" si="53"/>
        <v>12.735145319703349</v>
      </c>
      <c r="M373" s="96">
        <f t="shared" si="49"/>
        <v>4.6827129340549218</v>
      </c>
      <c r="N373" s="37">
        <v>5.0824435700973281</v>
      </c>
      <c r="O373" s="37">
        <f t="shared" si="51"/>
        <v>1.6898777310082183</v>
      </c>
      <c r="P373" s="117">
        <f t="shared" si="55"/>
        <v>2.0599609540990182</v>
      </c>
      <c r="Q373" s="45">
        <f t="shared" si="48"/>
        <v>2.8894491757980645E-2</v>
      </c>
    </row>
    <row r="374" spans="1:18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50"/>
        <v>325.10000000000002</v>
      </c>
      <c r="G374" s="827">
        <v>7</v>
      </c>
      <c r="H374" s="330"/>
      <c r="I374" s="330"/>
      <c r="J374" s="8">
        <f t="shared" si="54"/>
        <v>7</v>
      </c>
      <c r="K374" s="72">
        <f t="shared" si="52"/>
        <v>2.8061735818801364E-3</v>
      </c>
      <c r="L374" s="316">
        <f t="shared" si="53"/>
        <v>6.3675726598516746</v>
      </c>
      <c r="M374" s="96">
        <f t="shared" si="49"/>
        <v>2.3413564670274609</v>
      </c>
      <c r="N374" s="37">
        <v>2.541221785048664</v>
      </c>
      <c r="O374" s="37">
        <f t="shared" si="51"/>
        <v>0.84493886550410913</v>
      </c>
      <c r="P374" s="117">
        <f t="shared" si="55"/>
        <v>1.0299804770495091</v>
      </c>
      <c r="Q374" s="45">
        <f t="shared" si="48"/>
        <v>3.7204213403358687E-2</v>
      </c>
    </row>
    <row r="375" spans="1:18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50"/>
        <v>513</v>
      </c>
      <c r="G375" s="827">
        <v>9</v>
      </c>
      <c r="H375" s="330"/>
      <c r="I375" s="330">
        <v>1</v>
      </c>
      <c r="J375" s="8">
        <f t="shared" si="54"/>
        <v>10</v>
      </c>
      <c r="K375" s="72">
        <f t="shared" si="52"/>
        <v>4.0088194026859092E-3</v>
      </c>
      <c r="L375" s="316">
        <f t="shared" si="53"/>
        <v>9.0965323712166768</v>
      </c>
      <c r="M375" s="96">
        <f t="shared" si="49"/>
        <v>3.3447949528963723</v>
      </c>
      <c r="N375" s="37">
        <v>3.6303168357838063</v>
      </c>
      <c r="O375" s="37">
        <f t="shared" si="51"/>
        <v>1.2070555221487274</v>
      </c>
      <c r="P375" s="117">
        <f t="shared" si="55"/>
        <v>1.4714006814992988</v>
      </c>
      <c r="Q375" s="45">
        <f t="shared" si="48"/>
        <v>3.368167579346118E-2</v>
      </c>
    </row>
    <row r="376" spans="1:18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50"/>
        <v>1023.42</v>
      </c>
      <c r="G376" s="827">
        <v>16</v>
      </c>
      <c r="H376" s="330"/>
      <c r="I376" s="330">
        <v>1</v>
      </c>
      <c r="J376" s="8">
        <f t="shared" si="54"/>
        <v>17</v>
      </c>
      <c r="K376" s="72">
        <f t="shared" si="52"/>
        <v>6.8149929845660456E-3</v>
      </c>
      <c r="L376" s="316">
        <f t="shared" si="53"/>
        <v>15.464105031068351</v>
      </c>
      <c r="M376" s="96">
        <f t="shared" si="49"/>
        <v>5.6861514199238332</v>
      </c>
      <c r="N376" s="37">
        <v>6.1715386208324707</v>
      </c>
      <c r="O376" s="37">
        <f t="shared" si="51"/>
        <v>2.0519943876528366</v>
      </c>
      <c r="P376" s="117">
        <f t="shared" si="55"/>
        <v>2.5013811585488082</v>
      </c>
      <c r="Q376" s="45">
        <f t="shared" si="48"/>
        <v>2.8701598033532172E-2</v>
      </c>
    </row>
    <row r="377" spans="1:18" s="6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50"/>
        <v>74.599999999999994</v>
      </c>
      <c r="G377" s="827">
        <v>1</v>
      </c>
      <c r="H377" s="154"/>
      <c r="I377" s="154"/>
      <c r="J377" s="8">
        <f t="shared" si="54"/>
        <v>1</v>
      </c>
      <c r="K377" s="72">
        <f t="shared" si="52"/>
        <v>4.0088194026859092E-4</v>
      </c>
      <c r="L377" s="316">
        <f t="shared" si="53"/>
        <v>0.90965323712166779</v>
      </c>
      <c r="M377" s="96">
        <f t="shared" si="49"/>
        <v>0.33447949528963727</v>
      </c>
      <c r="N377" s="37">
        <v>0.36303168357838062</v>
      </c>
      <c r="O377" s="37">
        <f>K377*2701.1</f>
        <v>1.082822208859491</v>
      </c>
      <c r="P377" s="117">
        <f t="shared" si="55"/>
        <v>1.3199602725997197</v>
      </c>
      <c r="Q377" s="45">
        <f t="shared" si="48"/>
        <v>3.6058801941677973E-2</v>
      </c>
    </row>
    <row r="378" spans="1:18" s="6" customFormat="1" ht="15.75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95">
        <f t="shared" si="50"/>
        <v>577.79999999999995</v>
      </c>
      <c r="G378" s="827">
        <v>17</v>
      </c>
      <c r="H378" s="330"/>
      <c r="I378" s="330">
        <v>1</v>
      </c>
      <c r="J378" s="8">
        <f t="shared" si="54"/>
        <v>18</v>
      </c>
      <c r="K378" s="72">
        <f t="shared" si="52"/>
        <v>7.2158749248346366E-3</v>
      </c>
      <c r="L378" s="316">
        <f t="shared" si="53"/>
        <v>16.37375826819002</v>
      </c>
      <c r="M378" s="96">
        <f t="shared" si="49"/>
        <v>6.0206309152134709</v>
      </c>
      <c r="N378" s="37">
        <v>6.5345703044108516</v>
      </c>
      <c r="O378" s="37">
        <f t="shared" si="51"/>
        <v>2.1726999398677092</v>
      </c>
      <c r="P378" s="117">
        <f t="shared" si="55"/>
        <v>2.6485212266987377</v>
      </c>
      <c r="Q378" s="45">
        <f t="shared" si="48"/>
        <v>5.3827724866185624E-2</v>
      </c>
    </row>
    <row r="379" spans="1:18" s="6" customFormat="1" ht="15.75">
      <c r="A379" s="275">
        <v>288</v>
      </c>
      <c r="B379" s="122" t="s">
        <v>1357</v>
      </c>
      <c r="C379" s="535">
        <v>379.4</v>
      </c>
      <c r="D379" s="413"/>
      <c r="E379" s="413"/>
      <c r="F379" s="95">
        <f t="shared" si="50"/>
        <v>379.4</v>
      </c>
      <c r="G379" s="827">
        <v>9</v>
      </c>
      <c r="H379" s="330"/>
      <c r="I379" s="330"/>
      <c r="J379" s="8">
        <f t="shared" si="54"/>
        <v>9</v>
      </c>
      <c r="K379" s="72">
        <f t="shared" si="52"/>
        <v>3.6079374624173183E-3</v>
      </c>
      <c r="L379" s="316">
        <f t="shared" si="53"/>
        <v>8.18687913409501</v>
      </c>
      <c r="M379" s="96">
        <f t="shared" si="49"/>
        <v>3.0103154576067355</v>
      </c>
      <c r="N379" s="37">
        <v>3.2672851522054258</v>
      </c>
      <c r="O379" s="37">
        <f t="shared" si="51"/>
        <v>1.0863499699338546</v>
      </c>
      <c r="P379" s="117">
        <f t="shared" si="55"/>
        <v>1.3242606133493688</v>
      </c>
      <c r="Q379" s="45">
        <f t="shared" si="48"/>
        <v>4.09879539110201E-2</v>
      </c>
    </row>
    <row r="380" spans="1:18" s="6" customFormat="1" ht="15.75">
      <c r="A380" s="268">
        <v>289</v>
      </c>
      <c r="B380" s="291" t="s">
        <v>1395</v>
      </c>
      <c r="C380" s="538">
        <f>1893+1096.4</f>
        <v>2989.4</v>
      </c>
      <c r="D380" s="255"/>
      <c r="E380" s="255"/>
      <c r="F380" s="299">
        <f>C380+D380+E380</f>
        <v>2989.4</v>
      </c>
      <c r="G380" s="800">
        <v>91</v>
      </c>
      <c r="H380" s="160"/>
      <c r="I380" s="799"/>
      <c r="J380" s="8">
        <f t="shared" si="54"/>
        <v>91</v>
      </c>
      <c r="K380" s="72">
        <f t="shared" si="52"/>
        <v>3.6480256564441774E-2</v>
      </c>
      <c r="L380" s="316">
        <f t="shared" si="53"/>
        <v>82.77844457807177</v>
      </c>
      <c r="M380" s="96">
        <f t="shared" si="49"/>
        <v>30.437634071356992</v>
      </c>
      <c r="N380" s="37">
        <v>33.035883205632636</v>
      </c>
      <c r="O380" s="37">
        <f t="shared" ref="O380:O387" si="56">K380*301.1</f>
        <v>10.984205251553419</v>
      </c>
      <c r="P380" s="117">
        <f t="shared" si="55"/>
        <v>13.38974620164362</v>
      </c>
      <c r="Q380" s="45">
        <f t="shared" si="48"/>
        <v>5.2597901621266742E-2</v>
      </c>
    </row>
    <row r="381" spans="1:18" s="6" customFormat="1" ht="15.75">
      <c r="A381" s="268">
        <v>290</v>
      </c>
      <c r="B381" s="292" t="s">
        <v>1396</v>
      </c>
      <c r="C381" s="586">
        <v>527.29999999999995</v>
      </c>
      <c r="D381" s="255"/>
      <c r="E381" s="255"/>
      <c r="F381" s="299">
        <f>C381+D381+E381</f>
        <v>527.29999999999995</v>
      </c>
      <c r="G381" s="800">
        <v>14</v>
      </c>
      <c r="H381" s="160"/>
      <c r="I381" s="799"/>
      <c r="J381" s="8">
        <f t="shared" si="54"/>
        <v>14</v>
      </c>
      <c r="K381" s="72">
        <f t="shared" si="52"/>
        <v>5.6123471637602729E-3</v>
      </c>
      <c r="L381" s="316">
        <f t="shared" si="53"/>
        <v>12.735145319703349</v>
      </c>
      <c r="M381" s="96">
        <f t="shared" si="49"/>
        <v>4.6827129340549218</v>
      </c>
      <c r="N381" s="37">
        <v>5.0824435700973281</v>
      </c>
      <c r="O381" s="37">
        <f t="shared" si="56"/>
        <v>1.6898777310082183</v>
      </c>
      <c r="P381" s="117">
        <f t="shared" si="55"/>
        <v>2.0599609540990182</v>
      </c>
      <c r="Q381" s="45">
        <f t="shared" si="48"/>
        <v>4.5875553868507148E-2</v>
      </c>
    </row>
    <row r="382" spans="1:18" s="6" customFormat="1" ht="15.75">
      <c r="A382" s="268">
        <v>291</v>
      </c>
      <c r="B382" s="301" t="s">
        <v>1400</v>
      </c>
      <c r="C382" s="538">
        <v>2299.1999999999998</v>
      </c>
      <c r="D382" s="255"/>
      <c r="E382" s="255"/>
      <c r="F382" s="299">
        <f>C382+D382+E382</f>
        <v>2299.1999999999998</v>
      </c>
      <c r="G382" s="800">
        <v>56</v>
      </c>
      <c r="H382" s="160"/>
      <c r="I382" s="799"/>
      <c r="J382" s="8">
        <f t="shared" si="54"/>
        <v>56</v>
      </c>
      <c r="K382" s="72">
        <f t="shared" si="52"/>
        <v>2.2449388655041091E-2</v>
      </c>
      <c r="L382" s="316">
        <f t="shared" si="53"/>
        <v>50.940581278813397</v>
      </c>
      <c r="M382" s="96">
        <f t="shared" si="49"/>
        <v>18.730851736219687</v>
      </c>
      <c r="N382" s="37">
        <v>20.329774280389312</v>
      </c>
      <c r="O382" s="37">
        <f t="shared" si="56"/>
        <v>6.759510924032873</v>
      </c>
      <c r="P382" s="117">
        <f t="shared" si="55"/>
        <v>8.239843816396073</v>
      </c>
      <c r="Q382" s="45">
        <f t="shared" si="48"/>
        <v>4.2084515579095025E-2</v>
      </c>
    </row>
    <row r="383" spans="1:18" s="6" customFormat="1" ht="15.75">
      <c r="A383" s="268">
        <v>292</v>
      </c>
      <c r="B383" s="302" t="s">
        <v>1401</v>
      </c>
      <c r="C383" s="539">
        <v>292.60000000000002</v>
      </c>
      <c r="D383" s="413"/>
      <c r="E383" s="413"/>
      <c r="F383" s="299">
        <f>C383+D383+E383</f>
        <v>292.60000000000002</v>
      </c>
      <c r="G383" s="800">
        <v>7</v>
      </c>
      <c r="H383" s="533"/>
      <c r="I383" s="799"/>
      <c r="J383" s="8">
        <f t="shared" si="54"/>
        <v>7</v>
      </c>
      <c r="K383" s="72">
        <f>2/4989*J383</f>
        <v>2.8061735818801364E-3</v>
      </c>
      <c r="L383" s="316">
        <f t="shared" si="53"/>
        <v>6.3675726598516746</v>
      </c>
      <c r="M383" s="96">
        <f t="shared" si="49"/>
        <v>2.3413564670274609</v>
      </c>
      <c r="N383" s="37">
        <v>2.541221785048664</v>
      </c>
      <c r="O383" s="37">
        <f t="shared" si="56"/>
        <v>0.84493886550410913</v>
      </c>
      <c r="P383" s="117">
        <f t="shared" si="55"/>
        <v>1.0299804770495091</v>
      </c>
      <c r="Q383" s="45">
        <f t="shared" si="48"/>
        <v>4.1336602110156898E-2</v>
      </c>
    </row>
    <row r="384" spans="1:18" s="69" customFormat="1" ht="15.75">
      <c r="B384" s="63" t="s">
        <v>244</v>
      </c>
      <c r="C384" s="63">
        <f t="shared" ref="C384:I384" si="57">SUM(C92:C383)</f>
        <v>223930.76000000007</v>
      </c>
      <c r="D384" s="63">
        <f t="shared" si="57"/>
        <v>4473.8499999999995</v>
      </c>
      <c r="E384" s="63">
        <f t="shared" si="57"/>
        <v>3784.1</v>
      </c>
      <c r="F384" s="63">
        <f t="shared" si="57"/>
        <v>232188.70999999996</v>
      </c>
      <c r="G384" s="30">
        <f t="shared" si="57"/>
        <v>4818</v>
      </c>
      <c r="H384" s="63">
        <f t="shared" si="57"/>
        <v>77</v>
      </c>
      <c r="I384" s="63">
        <f t="shared" si="57"/>
        <v>94</v>
      </c>
      <c r="J384" s="63">
        <f>SUM(J92:J383)</f>
        <v>4989</v>
      </c>
      <c r="K384" s="72">
        <f>2/4989*J384</f>
        <v>2</v>
      </c>
      <c r="L384" s="316">
        <f>K384*2269.13</f>
        <v>4538.26</v>
      </c>
      <c r="M384" s="64">
        <f t="shared" ref="M384:M399" si="58">L384*0.3677</f>
        <v>1668.7182020000002</v>
      </c>
      <c r="N384" s="37">
        <f>SUM(N91:N383)</f>
        <v>1811.165069372543</v>
      </c>
      <c r="O384" s="37">
        <f t="shared" si="56"/>
        <v>602.20000000000005</v>
      </c>
      <c r="P384" s="117">
        <f t="shared" si="55"/>
        <v>734.08180000000016</v>
      </c>
      <c r="Q384" s="45">
        <f t="shared" si="48"/>
        <v>3.7126453182726005E-2</v>
      </c>
      <c r="R384" s="5"/>
    </row>
    <row r="385" spans="1:17" s="6" customFormat="1" ht="15.75">
      <c r="A385" s="5" t="s">
        <v>668</v>
      </c>
      <c r="B385" s="8"/>
      <c r="C385" s="8"/>
      <c r="D385" s="8"/>
      <c r="E385" s="8"/>
      <c r="F385" s="40">
        <f t="shared" ref="F385:F448" si="59">C385+D385+E385</f>
        <v>0</v>
      </c>
      <c r="G385" s="24"/>
      <c r="H385" s="8"/>
      <c r="I385" s="8"/>
      <c r="J385" s="40"/>
      <c r="K385" s="66"/>
      <c r="L385" s="37"/>
      <c r="M385" s="37"/>
      <c r="N385" s="37"/>
      <c r="O385" s="37">
        <f t="shared" si="56"/>
        <v>0</v>
      </c>
      <c r="P385" s="117">
        <f t="shared" si="55"/>
        <v>0</v>
      </c>
      <c r="Q385" s="45" t="e">
        <f t="shared" si="48"/>
        <v>#DIV/0!</v>
      </c>
    </row>
    <row r="386" spans="1:17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59"/>
        <v>4235</v>
      </c>
      <c r="G386" s="820">
        <v>70</v>
      </c>
      <c r="H386" s="8"/>
      <c r="I386" s="8"/>
      <c r="J386" s="40">
        <f t="shared" ref="J386:J400" si="60">G386+H386+I386</f>
        <v>70</v>
      </c>
      <c r="K386" s="66">
        <f t="shared" ref="K386:K449" si="61">5/5435*J386</f>
        <v>6.439742410303588E-2</v>
      </c>
      <c r="L386" s="37">
        <f t="shared" ref="L386:L449" si="62">K386*2269.13</f>
        <v>146.1261269549218</v>
      </c>
      <c r="M386" s="37">
        <f t="shared" si="58"/>
        <v>53.730576881324751</v>
      </c>
      <c r="N386" s="37">
        <v>56.728735207100584</v>
      </c>
      <c r="O386" s="37">
        <f t="shared" si="56"/>
        <v>19.390064397424105</v>
      </c>
      <c r="P386" s="117">
        <f t="shared" si="55"/>
        <v>23.636488500459986</v>
      </c>
      <c r="Q386" s="45">
        <f t="shared" si="48"/>
        <v>6.5165408132413519E-2</v>
      </c>
    </row>
    <row r="387" spans="1:17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59"/>
        <v>12601</v>
      </c>
      <c r="G387" s="730">
        <v>220</v>
      </c>
      <c r="H387" s="8"/>
      <c r="I387" s="8"/>
      <c r="J387" s="40">
        <f t="shared" si="60"/>
        <v>220</v>
      </c>
      <c r="K387" s="66">
        <f t="shared" si="61"/>
        <v>0.20239190432382703</v>
      </c>
      <c r="L387" s="37">
        <f t="shared" si="62"/>
        <v>459.25354185832566</v>
      </c>
      <c r="M387" s="37">
        <f t="shared" si="58"/>
        <v>168.86752734130636</v>
      </c>
      <c r="N387" s="37">
        <v>178.29031065088756</v>
      </c>
      <c r="O387" s="37">
        <f t="shared" si="56"/>
        <v>60.940202391904322</v>
      </c>
      <c r="P387" s="117">
        <f t="shared" si="55"/>
        <v>74.286106715731378</v>
      </c>
      <c r="Q387" s="45">
        <f t="shared" si="48"/>
        <v>6.8831964307786986E-2</v>
      </c>
    </row>
    <row r="388" spans="1:17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59"/>
        <v>12482</v>
      </c>
      <c r="G388" s="730">
        <v>220</v>
      </c>
      <c r="H388" s="8"/>
      <c r="I388" s="8"/>
      <c r="J388" s="40">
        <f t="shared" si="60"/>
        <v>220</v>
      </c>
      <c r="K388" s="66">
        <f t="shared" si="61"/>
        <v>0.20239190432382703</v>
      </c>
      <c r="L388" s="37">
        <f t="shared" si="62"/>
        <v>459.25354185832566</v>
      </c>
      <c r="M388" s="37">
        <f t="shared" si="58"/>
        <v>168.86752734130636</v>
      </c>
      <c r="N388" s="37">
        <v>178.29031065088756</v>
      </c>
      <c r="O388" s="37">
        <f t="shared" ref="O388:O451" si="63">K388*301.1</f>
        <v>60.940202391904322</v>
      </c>
      <c r="P388" s="117">
        <f t="shared" si="55"/>
        <v>74.286106715731378</v>
      </c>
      <c r="Q388" s="45">
        <f t="shared" si="48"/>
        <v>6.9488189572378137E-2</v>
      </c>
    </row>
    <row r="389" spans="1:17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59"/>
        <v>6092</v>
      </c>
      <c r="G389" s="730">
        <v>136</v>
      </c>
      <c r="H389" s="8"/>
      <c r="I389" s="8"/>
      <c r="J389" s="40">
        <f t="shared" si="60"/>
        <v>136</v>
      </c>
      <c r="K389" s="66">
        <f t="shared" si="61"/>
        <v>0.125114995400184</v>
      </c>
      <c r="L389" s="37">
        <f t="shared" si="62"/>
        <v>283.90218951241957</v>
      </c>
      <c r="M389" s="37">
        <f t="shared" si="58"/>
        <v>104.39083508371668</v>
      </c>
      <c r="N389" s="37">
        <v>110.21582840236687</v>
      </c>
      <c r="O389" s="37">
        <f t="shared" si="63"/>
        <v>37.672125114995403</v>
      </c>
      <c r="P389" s="117">
        <f t="shared" si="55"/>
        <v>45.922320515179401</v>
      </c>
      <c r="Q389" s="45">
        <f t="shared" si="48"/>
        <v>8.8013949132222324E-2</v>
      </c>
    </row>
    <row r="390" spans="1:17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59"/>
        <v>12853.2</v>
      </c>
      <c r="G390" s="730">
        <v>220</v>
      </c>
      <c r="H390" s="8"/>
      <c r="I390" s="8"/>
      <c r="J390" s="40">
        <f t="shared" si="60"/>
        <v>220</v>
      </c>
      <c r="K390" s="66">
        <f t="shared" si="61"/>
        <v>0.20239190432382703</v>
      </c>
      <c r="L390" s="37">
        <f t="shared" si="62"/>
        <v>459.25354185832566</v>
      </c>
      <c r="M390" s="37">
        <f t="shared" si="58"/>
        <v>168.86752734130636</v>
      </c>
      <c r="N390" s="37">
        <v>178.29031065088756</v>
      </c>
      <c r="O390" s="37">
        <f t="shared" si="63"/>
        <v>60.940202391904322</v>
      </c>
      <c r="P390" s="117">
        <f t="shared" si="55"/>
        <v>74.286106715731378</v>
      </c>
      <c r="Q390" s="45">
        <f t="shared" si="48"/>
        <v>6.748137290654653E-2</v>
      </c>
    </row>
    <row r="391" spans="1:17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59"/>
        <v>6317.1</v>
      </c>
      <c r="G391" s="730">
        <v>136</v>
      </c>
      <c r="H391" s="8">
        <v>1</v>
      </c>
      <c r="I391" s="8"/>
      <c r="J391" s="40">
        <f t="shared" si="60"/>
        <v>137</v>
      </c>
      <c r="K391" s="66">
        <f t="shared" si="61"/>
        <v>0.12603495860165592</v>
      </c>
      <c r="L391" s="37">
        <f t="shared" si="62"/>
        <v>285.98970561177549</v>
      </c>
      <c r="M391" s="37">
        <f t="shared" si="58"/>
        <v>105.15841475344986</v>
      </c>
      <c r="N391" s="37">
        <v>111.02623890532543</v>
      </c>
      <c r="O391" s="37">
        <f t="shared" si="63"/>
        <v>37.949126034958603</v>
      </c>
      <c r="P391" s="117">
        <f t="shared" si="55"/>
        <v>46.25998463661454</v>
      </c>
      <c r="Q391" s="45">
        <f t="shared" ref="Q391:Q454" si="64">(O391+N391+M391+L391)/F391</f>
        <v>8.550181021441948E-2</v>
      </c>
    </row>
    <row r="392" spans="1:17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59"/>
        <v>6243.1</v>
      </c>
      <c r="G392" s="730">
        <v>136</v>
      </c>
      <c r="H392" s="8">
        <v>1</v>
      </c>
      <c r="I392" s="8"/>
      <c r="J392" s="40">
        <f t="shared" si="60"/>
        <v>137</v>
      </c>
      <c r="K392" s="66">
        <f t="shared" si="61"/>
        <v>0.12603495860165592</v>
      </c>
      <c r="L392" s="37">
        <f t="shared" si="62"/>
        <v>285.98970561177549</v>
      </c>
      <c r="M392" s="37">
        <f t="shared" si="58"/>
        <v>105.15841475344986</v>
      </c>
      <c r="N392" s="37">
        <v>111.02623890532543</v>
      </c>
      <c r="O392" s="37">
        <f t="shared" si="63"/>
        <v>37.949126034958603</v>
      </c>
      <c r="P392" s="117">
        <f t="shared" si="55"/>
        <v>46.25998463661454</v>
      </c>
      <c r="Q392" s="45">
        <f t="shared" si="64"/>
        <v>8.6515270507521794E-2</v>
      </c>
    </row>
    <row r="393" spans="1:17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59"/>
        <v>3918</v>
      </c>
      <c r="G393" s="730">
        <v>70</v>
      </c>
      <c r="H393" s="8"/>
      <c r="I393" s="8"/>
      <c r="J393" s="40">
        <f t="shared" si="60"/>
        <v>70</v>
      </c>
      <c r="K393" s="66">
        <f t="shared" si="61"/>
        <v>6.439742410303588E-2</v>
      </c>
      <c r="L393" s="37">
        <f t="shared" si="62"/>
        <v>146.1261269549218</v>
      </c>
      <c r="M393" s="37">
        <f t="shared" si="58"/>
        <v>53.730576881324751</v>
      </c>
      <c r="N393" s="37">
        <v>56.728735207100584</v>
      </c>
      <c r="O393" s="37">
        <f t="shared" si="63"/>
        <v>19.390064397424105</v>
      </c>
      <c r="P393" s="117">
        <f t="shared" si="55"/>
        <v>23.636488500459986</v>
      </c>
      <c r="Q393" s="45">
        <f t="shared" si="64"/>
        <v>7.04378518225552E-2</v>
      </c>
    </row>
    <row r="394" spans="1:17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59"/>
        <v>4332</v>
      </c>
      <c r="G394" s="730">
        <v>70</v>
      </c>
      <c r="H394" s="8"/>
      <c r="I394" s="8"/>
      <c r="J394" s="40">
        <f t="shared" si="60"/>
        <v>70</v>
      </c>
      <c r="K394" s="66">
        <f t="shared" si="61"/>
        <v>6.439742410303588E-2</v>
      </c>
      <c r="L394" s="37">
        <f t="shared" si="62"/>
        <v>146.1261269549218</v>
      </c>
      <c r="M394" s="37">
        <f t="shared" si="58"/>
        <v>53.730576881324751</v>
      </c>
      <c r="N394" s="37">
        <v>56.728735207100584</v>
      </c>
      <c r="O394" s="37">
        <f t="shared" si="63"/>
        <v>19.390064397424105</v>
      </c>
      <c r="P394" s="117">
        <f t="shared" si="55"/>
        <v>23.636488500459986</v>
      </c>
      <c r="Q394" s="45">
        <f t="shared" si="64"/>
        <v>6.3706256565274996E-2</v>
      </c>
    </row>
    <row r="395" spans="1:17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59"/>
        <v>3911</v>
      </c>
      <c r="G395" s="730">
        <v>70</v>
      </c>
      <c r="H395" s="8"/>
      <c r="I395" s="8"/>
      <c r="J395" s="40">
        <f t="shared" si="60"/>
        <v>70</v>
      </c>
      <c r="K395" s="66">
        <f t="shared" si="61"/>
        <v>6.439742410303588E-2</v>
      </c>
      <c r="L395" s="37">
        <f t="shared" si="62"/>
        <v>146.1261269549218</v>
      </c>
      <c r="M395" s="37">
        <f t="shared" si="58"/>
        <v>53.730576881324751</v>
      </c>
      <c r="N395" s="37">
        <v>56.728735207100584</v>
      </c>
      <c r="O395" s="37">
        <f t="shared" si="63"/>
        <v>19.390064397424105</v>
      </c>
      <c r="P395" s="117">
        <f t="shared" si="55"/>
        <v>23.636488500459986</v>
      </c>
      <c r="Q395" s="45">
        <f t="shared" si="64"/>
        <v>7.05639231502867E-2</v>
      </c>
    </row>
    <row r="396" spans="1:17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59"/>
        <v>3338</v>
      </c>
      <c r="G396" s="730">
        <v>120</v>
      </c>
      <c r="H396" s="8"/>
      <c r="I396" s="8"/>
      <c r="J396" s="40">
        <f t="shared" si="60"/>
        <v>120</v>
      </c>
      <c r="K396" s="66">
        <f t="shared" si="61"/>
        <v>0.11039558417663294</v>
      </c>
      <c r="L396" s="37">
        <f t="shared" si="62"/>
        <v>250.50193192272312</v>
      </c>
      <c r="M396" s="37">
        <f t="shared" si="58"/>
        <v>92.109560367985296</v>
      </c>
      <c r="N396" s="37">
        <v>97.249260355029577</v>
      </c>
      <c r="O396" s="37">
        <f t="shared" si="63"/>
        <v>33.240110395584182</v>
      </c>
      <c r="P396" s="117">
        <f t="shared" si="55"/>
        <v>40.519694572217119</v>
      </c>
      <c r="Q396" s="45">
        <f t="shared" si="64"/>
        <v>0.14173183434431463</v>
      </c>
    </row>
    <row r="397" spans="1:17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59"/>
        <v>3353</v>
      </c>
      <c r="G397" s="730">
        <v>120</v>
      </c>
      <c r="H397" s="8"/>
      <c r="I397" s="8"/>
      <c r="J397" s="40">
        <f t="shared" si="60"/>
        <v>120</v>
      </c>
      <c r="K397" s="66">
        <f t="shared" si="61"/>
        <v>0.11039558417663294</v>
      </c>
      <c r="L397" s="37">
        <f t="shared" si="62"/>
        <v>250.50193192272312</v>
      </c>
      <c r="M397" s="37">
        <f t="shared" si="58"/>
        <v>92.109560367985296</v>
      </c>
      <c r="N397" s="37">
        <v>97.249260355029577</v>
      </c>
      <c r="O397" s="37">
        <f t="shared" si="63"/>
        <v>33.240110395584182</v>
      </c>
      <c r="P397" s="117">
        <f t="shared" si="55"/>
        <v>40.519694572217119</v>
      </c>
      <c r="Q397" s="45">
        <f t="shared" si="64"/>
        <v>0.1410977819986049</v>
      </c>
    </row>
    <row r="398" spans="1:17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59"/>
        <v>4050</v>
      </c>
      <c r="G398" s="730">
        <v>90</v>
      </c>
      <c r="H398" s="8"/>
      <c r="I398" s="8"/>
      <c r="J398" s="40">
        <f t="shared" si="60"/>
        <v>90</v>
      </c>
      <c r="K398" s="66">
        <f t="shared" si="61"/>
        <v>8.2796688132474705E-2</v>
      </c>
      <c r="L398" s="37">
        <f t="shared" si="62"/>
        <v>187.87644894204234</v>
      </c>
      <c r="M398" s="37">
        <f t="shared" si="58"/>
        <v>69.082170275988972</v>
      </c>
      <c r="N398" s="37">
        <v>72.936945266272176</v>
      </c>
      <c r="O398" s="37">
        <f t="shared" si="63"/>
        <v>24.930082796688136</v>
      </c>
      <c r="P398" s="117">
        <f t="shared" si="55"/>
        <v>30.38977092916284</v>
      </c>
      <c r="Q398" s="45">
        <f t="shared" si="64"/>
        <v>8.7611270933578178E-2</v>
      </c>
    </row>
    <row r="399" spans="1:17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59"/>
        <v>4035</v>
      </c>
      <c r="G399" s="730">
        <v>90</v>
      </c>
      <c r="H399" s="8"/>
      <c r="I399" s="8"/>
      <c r="J399" s="40">
        <f t="shared" si="60"/>
        <v>90</v>
      </c>
      <c r="K399" s="66">
        <f t="shared" si="61"/>
        <v>8.2796688132474705E-2</v>
      </c>
      <c r="L399" s="37">
        <f t="shared" si="62"/>
        <v>187.87644894204234</v>
      </c>
      <c r="M399" s="37">
        <f t="shared" si="58"/>
        <v>69.082170275988972</v>
      </c>
      <c r="N399" s="37">
        <v>72.936945266272176</v>
      </c>
      <c r="O399" s="37">
        <f t="shared" si="63"/>
        <v>24.930082796688136</v>
      </c>
      <c r="P399" s="117">
        <f t="shared" si="55"/>
        <v>30.38977092916284</v>
      </c>
      <c r="Q399" s="45">
        <f t="shared" si="64"/>
        <v>8.7936963390580325E-2</v>
      </c>
    </row>
    <row r="400" spans="1:17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59"/>
        <v>4018</v>
      </c>
      <c r="G400" s="730">
        <v>90</v>
      </c>
      <c r="H400" s="8"/>
      <c r="I400" s="8"/>
      <c r="J400" s="40">
        <f t="shared" si="60"/>
        <v>90</v>
      </c>
      <c r="K400" s="66">
        <f t="shared" si="61"/>
        <v>8.2796688132474705E-2</v>
      </c>
      <c r="L400" s="37">
        <f t="shared" si="62"/>
        <v>187.87644894204234</v>
      </c>
      <c r="M400" s="37">
        <f t="shared" ref="M400:M463" si="65">L400*0.3677</f>
        <v>69.082170275988972</v>
      </c>
      <c r="N400" s="37">
        <v>72.936945266272176</v>
      </c>
      <c r="O400" s="37">
        <f t="shared" si="63"/>
        <v>24.930082796688136</v>
      </c>
      <c r="P400" s="117">
        <f t="shared" si="55"/>
        <v>30.38977092916284</v>
      </c>
      <c r="Q400" s="45">
        <f t="shared" si="64"/>
        <v>8.8309021224736592E-2</v>
      </c>
    </row>
    <row r="401" spans="1:17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59"/>
        <v>4031</v>
      </c>
      <c r="G401" s="730">
        <v>90</v>
      </c>
      <c r="H401" s="8"/>
      <c r="I401" s="8"/>
      <c r="J401" s="40">
        <f t="shared" ref="J401:J464" si="66">G401+H401+I401</f>
        <v>90</v>
      </c>
      <c r="K401" s="66">
        <f t="shared" si="61"/>
        <v>8.2796688132474705E-2</v>
      </c>
      <c r="L401" s="37">
        <f t="shared" si="62"/>
        <v>187.87644894204234</v>
      </c>
      <c r="M401" s="37">
        <f t="shared" si="65"/>
        <v>69.082170275988972</v>
      </c>
      <c r="N401" s="37">
        <v>72.936945266272176</v>
      </c>
      <c r="O401" s="37">
        <f t="shared" si="63"/>
        <v>24.930082796688136</v>
      </c>
      <c r="P401" s="117">
        <f t="shared" si="55"/>
        <v>30.38977092916284</v>
      </c>
      <c r="Q401" s="45">
        <f t="shared" si="64"/>
        <v>8.8024224083600014E-2</v>
      </c>
    </row>
    <row r="402" spans="1:17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59"/>
        <v>4302</v>
      </c>
      <c r="G402" s="730">
        <v>70</v>
      </c>
      <c r="H402" s="8"/>
      <c r="I402" s="8"/>
      <c r="J402" s="40">
        <f t="shared" si="66"/>
        <v>70</v>
      </c>
      <c r="K402" s="66">
        <f t="shared" si="61"/>
        <v>6.439742410303588E-2</v>
      </c>
      <c r="L402" s="37">
        <f t="shared" si="62"/>
        <v>146.1261269549218</v>
      </c>
      <c r="M402" s="37">
        <f t="shared" si="65"/>
        <v>53.730576881324751</v>
      </c>
      <c r="N402" s="37">
        <v>56.728735207100584</v>
      </c>
      <c r="O402" s="37">
        <f t="shared" si="63"/>
        <v>19.390064397424105</v>
      </c>
      <c r="P402" s="117">
        <f t="shared" si="55"/>
        <v>23.636488500459986</v>
      </c>
      <c r="Q402" s="45">
        <f t="shared" si="64"/>
        <v>6.4150512189858497E-2</v>
      </c>
    </row>
    <row r="403" spans="1:17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59"/>
        <v>4275</v>
      </c>
      <c r="G403" s="730">
        <v>70</v>
      </c>
      <c r="H403" s="8"/>
      <c r="I403" s="8"/>
      <c r="J403" s="40">
        <f t="shared" si="66"/>
        <v>70</v>
      </c>
      <c r="K403" s="66">
        <f t="shared" si="61"/>
        <v>6.439742410303588E-2</v>
      </c>
      <c r="L403" s="37">
        <f t="shared" si="62"/>
        <v>146.1261269549218</v>
      </c>
      <c r="M403" s="37">
        <f t="shared" si="65"/>
        <v>53.730576881324751</v>
      </c>
      <c r="N403" s="37">
        <v>56.728735207100584</v>
      </c>
      <c r="O403" s="37">
        <f t="shared" si="63"/>
        <v>19.390064397424105</v>
      </c>
      <c r="P403" s="117">
        <f t="shared" si="55"/>
        <v>23.636488500459986</v>
      </c>
      <c r="Q403" s="45">
        <f t="shared" si="64"/>
        <v>6.455567331947866E-2</v>
      </c>
    </row>
    <row r="404" spans="1:17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59"/>
        <v>4125</v>
      </c>
      <c r="G404" s="730">
        <v>171</v>
      </c>
      <c r="H404" s="8"/>
      <c r="I404" s="8"/>
      <c r="J404" s="40">
        <f t="shared" si="66"/>
        <v>171</v>
      </c>
      <c r="K404" s="66">
        <f t="shared" si="61"/>
        <v>0.15731370745170192</v>
      </c>
      <c r="L404" s="37">
        <f t="shared" si="62"/>
        <v>356.96525298988041</v>
      </c>
      <c r="M404" s="37">
        <f t="shared" si="65"/>
        <v>131.25612352437903</v>
      </c>
      <c r="N404" s="37">
        <v>138.58019600591714</v>
      </c>
      <c r="O404" s="37">
        <f t="shared" si="63"/>
        <v>47.367157313707452</v>
      </c>
      <c r="P404" s="117">
        <f t="shared" si="55"/>
        <v>57.740564765409388</v>
      </c>
      <c r="Q404" s="45">
        <f t="shared" si="64"/>
        <v>0.16343484359609312</v>
      </c>
    </row>
    <row r="405" spans="1:17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59"/>
        <v>3975</v>
      </c>
      <c r="G405" s="730">
        <v>90</v>
      </c>
      <c r="H405" s="8"/>
      <c r="I405" s="8"/>
      <c r="J405" s="40">
        <f t="shared" si="66"/>
        <v>90</v>
      </c>
      <c r="K405" s="66">
        <f t="shared" si="61"/>
        <v>8.2796688132474705E-2</v>
      </c>
      <c r="L405" s="37">
        <f t="shared" si="62"/>
        <v>187.87644894204234</v>
      </c>
      <c r="M405" s="37">
        <f t="shared" si="65"/>
        <v>69.082170275988972</v>
      </c>
      <c r="N405" s="37">
        <v>72.936945266272176</v>
      </c>
      <c r="O405" s="37">
        <f t="shared" si="63"/>
        <v>24.930082796688136</v>
      </c>
      <c r="P405" s="117">
        <f t="shared" si="55"/>
        <v>30.38977092916284</v>
      </c>
      <c r="Q405" s="45">
        <f t="shared" si="64"/>
        <v>8.9264313781381541E-2</v>
      </c>
    </row>
    <row r="406" spans="1:17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59"/>
        <v>3357</v>
      </c>
      <c r="G406" s="730">
        <v>120</v>
      </c>
      <c r="H406" s="8"/>
      <c r="I406" s="8"/>
      <c r="J406" s="40">
        <f t="shared" si="66"/>
        <v>120</v>
      </c>
      <c r="K406" s="66">
        <f t="shared" si="61"/>
        <v>0.11039558417663294</v>
      </c>
      <c r="L406" s="37">
        <f t="shared" si="62"/>
        <v>250.50193192272312</v>
      </c>
      <c r="M406" s="37">
        <f t="shared" si="65"/>
        <v>92.109560367985296</v>
      </c>
      <c r="N406" s="37">
        <v>97.249260355029577</v>
      </c>
      <c r="O406" s="37">
        <f t="shared" si="63"/>
        <v>33.240110395584182</v>
      </c>
      <c r="P406" s="117">
        <f t="shared" si="55"/>
        <v>40.519694572217119</v>
      </c>
      <c r="Q406" s="45">
        <f t="shared" si="64"/>
        <v>0.14092965833819548</v>
      </c>
    </row>
    <row r="407" spans="1:17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59"/>
        <v>6146</v>
      </c>
      <c r="G407" s="730">
        <v>106</v>
      </c>
      <c r="H407" s="8"/>
      <c r="I407" s="8"/>
      <c r="J407" s="40">
        <f t="shared" si="66"/>
        <v>106</v>
      </c>
      <c r="K407" s="66">
        <f t="shared" si="61"/>
        <v>9.7516099356025759E-2</v>
      </c>
      <c r="L407" s="37">
        <f t="shared" si="62"/>
        <v>221.27670653173874</v>
      </c>
      <c r="M407" s="37">
        <f t="shared" si="65"/>
        <v>81.363444991720343</v>
      </c>
      <c r="N407" s="37">
        <v>85.903513313609466</v>
      </c>
      <c r="O407" s="37">
        <f t="shared" si="63"/>
        <v>29.362097516099357</v>
      </c>
      <c r="P407" s="117">
        <f t="shared" si="55"/>
        <v>35.792396872125117</v>
      </c>
      <c r="Q407" s="45">
        <f t="shared" si="64"/>
        <v>6.799638176914545E-2</v>
      </c>
    </row>
    <row r="408" spans="1:17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59"/>
        <v>983</v>
      </c>
      <c r="G408" s="730">
        <v>15</v>
      </c>
      <c r="H408" s="8"/>
      <c r="I408" s="8"/>
      <c r="J408" s="40">
        <f t="shared" si="66"/>
        <v>15</v>
      </c>
      <c r="K408" s="66">
        <f t="shared" si="61"/>
        <v>1.3799448022079117E-2</v>
      </c>
      <c r="L408" s="37">
        <f t="shared" si="62"/>
        <v>31.31274149034039</v>
      </c>
      <c r="M408" s="37">
        <f t="shared" si="65"/>
        <v>11.513695045998162</v>
      </c>
      <c r="N408" s="37">
        <v>12.156157544378697</v>
      </c>
      <c r="O408" s="37">
        <f t="shared" si="63"/>
        <v>4.1550137994480227</v>
      </c>
      <c r="P408" s="117">
        <f t="shared" si="55"/>
        <v>5.0649618215271399</v>
      </c>
      <c r="Q408" s="45">
        <f t="shared" si="64"/>
        <v>6.0160333550524185E-2</v>
      </c>
    </row>
    <row r="409" spans="1:17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59"/>
        <v>3815</v>
      </c>
      <c r="G409" s="730">
        <v>70</v>
      </c>
      <c r="H409" s="8"/>
      <c r="I409" s="8"/>
      <c r="J409" s="40">
        <f t="shared" si="66"/>
        <v>70</v>
      </c>
      <c r="K409" s="66">
        <f t="shared" si="61"/>
        <v>6.439742410303588E-2</v>
      </c>
      <c r="L409" s="37">
        <f t="shared" si="62"/>
        <v>146.1261269549218</v>
      </c>
      <c r="M409" s="37">
        <f t="shared" si="65"/>
        <v>53.730576881324751</v>
      </c>
      <c r="N409" s="37">
        <v>56.728735207100584</v>
      </c>
      <c r="O409" s="37">
        <f t="shared" si="63"/>
        <v>19.390064397424105</v>
      </c>
      <c r="P409" s="117">
        <f t="shared" si="55"/>
        <v>23.636488500459986</v>
      </c>
      <c r="Q409" s="45">
        <f t="shared" si="64"/>
        <v>7.2339581504789321E-2</v>
      </c>
    </row>
    <row r="410" spans="1:17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59"/>
        <v>4215</v>
      </c>
      <c r="G410" s="730">
        <v>171</v>
      </c>
      <c r="H410" s="8"/>
      <c r="I410" s="8"/>
      <c r="J410" s="40">
        <f t="shared" si="66"/>
        <v>171</v>
      </c>
      <c r="K410" s="66">
        <f t="shared" si="61"/>
        <v>0.15731370745170192</v>
      </c>
      <c r="L410" s="37">
        <f t="shared" si="62"/>
        <v>356.96525298988041</v>
      </c>
      <c r="M410" s="37">
        <f t="shared" si="65"/>
        <v>131.25612352437903</v>
      </c>
      <c r="N410" s="37">
        <v>138.58019600591714</v>
      </c>
      <c r="O410" s="37">
        <f t="shared" si="63"/>
        <v>47.367157313707452</v>
      </c>
      <c r="P410" s="117">
        <f t="shared" si="55"/>
        <v>57.740564765409388</v>
      </c>
      <c r="Q410" s="45">
        <f t="shared" si="64"/>
        <v>0.15994513163318722</v>
      </c>
    </row>
    <row r="411" spans="1:17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59"/>
        <v>12662</v>
      </c>
      <c r="G411" s="730">
        <v>216</v>
      </c>
      <c r="H411" s="8"/>
      <c r="I411" s="8"/>
      <c r="J411" s="40">
        <f t="shared" si="66"/>
        <v>216</v>
      </c>
      <c r="K411" s="66">
        <f t="shared" si="61"/>
        <v>0.19871205151793928</v>
      </c>
      <c r="L411" s="37">
        <f t="shared" si="62"/>
        <v>450.90347746090157</v>
      </c>
      <c r="M411" s="37">
        <f t="shared" si="65"/>
        <v>165.79720866237352</v>
      </c>
      <c r="N411" s="37">
        <v>175.04866863905323</v>
      </c>
      <c r="O411" s="37">
        <f t="shared" si="63"/>
        <v>59.832198712051522</v>
      </c>
      <c r="P411" s="117">
        <f t="shared" si="55"/>
        <v>72.935450229990806</v>
      </c>
      <c r="Q411" s="45">
        <f t="shared" si="64"/>
        <v>6.7254900764048331E-2</v>
      </c>
    </row>
    <row r="412" spans="1:17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59"/>
        <v>3976</v>
      </c>
      <c r="G412" s="730">
        <v>108</v>
      </c>
      <c r="H412" s="8"/>
      <c r="I412" s="8"/>
      <c r="J412" s="40">
        <f t="shared" si="66"/>
        <v>108</v>
      </c>
      <c r="K412" s="66">
        <f t="shared" si="61"/>
        <v>9.9356025758969638E-2</v>
      </c>
      <c r="L412" s="37">
        <f t="shared" si="62"/>
        <v>225.45173873045078</v>
      </c>
      <c r="M412" s="37">
        <f t="shared" si="65"/>
        <v>82.89860433118676</v>
      </c>
      <c r="N412" s="37">
        <v>87.524334319526616</v>
      </c>
      <c r="O412" s="37">
        <f t="shared" si="63"/>
        <v>29.916099356025761</v>
      </c>
      <c r="P412" s="117">
        <f t="shared" si="55"/>
        <v>36.467725114995403</v>
      </c>
      <c r="Q412" s="45">
        <f t="shared" si="64"/>
        <v>0.1070902355978848</v>
      </c>
    </row>
    <row r="413" spans="1:17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59"/>
        <v>12839</v>
      </c>
      <c r="G413" s="730">
        <v>216</v>
      </c>
      <c r="H413" s="8"/>
      <c r="I413" s="8"/>
      <c r="J413" s="40">
        <f t="shared" si="66"/>
        <v>216</v>
      </c>
      <c r="K413" s="66">
        <f t="shared" si="61"/>
        <v>0.19871205151793928</v>
      </c>
      <c r="L413" s="37">
        <f t="shared" si="62"/>
        <v>450.90347746090157</v>
      </c>
      <c r="M413" s="37">
        <f t="shared" si="65"/>
        <v>165.79720866237352</v>
      </c>
      <c r="N413" s="37">
        <v>175.04866863905323</v>
      </c>
      <c r="O413" s="37">
        <f t="shared" si="63"/>
        <v>59.832198712051522</v>
      </c>
      <c r="P413" s="117">
        <f t="shared" ref="P413:P476" si="67">O413*1.219</f>
        <v>72.935450229990806</v>
      </c>
      <c r="Q413" s="45">
        <f t="shared" si="64"/>
        <v>6.6327716603659159E-2</v>
      </c>
    </row>
    <row r="414" spans="1:17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59"/>
        <v>10313</v>
      </c>
      <c r="G414" s="730">
        <v>180</v>
      </c>
      <c r="H414" s="8"/>
      <c r="I414" s="8"/>
      <c r="J414" s="40">
        <f t="shared" si="66"/>
        <v>180</v>
      </c>
      <c r="K414" s="66">
        <f t="shared" si="61"/>
        <v>0.16559337626494941</v>
      </c>
      <c r="L414" s="37">
        <f t="shared" si="62"/>
        <v>375.75289788408469</v>
      </c>
      <c r="M414" s="37">
        <f t="shared" si="65"/>
        <v>138.16434055197794</v>
      </c>
      <c r="N414" s="37">
        <v>145.87389053254435</v>
      </c>
      <c r="O414" s="37">
        <f t="shared" si="63"/>
        <v>49.860165593376273</v>
      </c>
      <c r="P414" s="117">
        <f t="shared" si="67"/>
        <v>60.779541858325679</v>
      </c>
      <c r="Q414" s="45">
        <f t="shared" si="64"/>
        <v>6.8811334680692643E-2</v>
      </c>
    </row>
    <row r="415" spans="1:17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59"/>
        <v>6385</v>
      </c>
      <c r="G415" s="730">
        <v>108</v>
      </c>
      <c r="H415" s="8"/>
      <c r="I415" s="8"/>
      <c r="J415" s="40">
        <f t="shared" si="66"/>
        <v>108</v>
      </c>
      <c r="K415" s="66">
        <f t="shared" si="61"/>
        <v>9.9356025758969638E-2</v>
      </c>
      <c r="L415" s="37">
        <f t="shared" si="62"/>
        <v>225.45173873045078</v>
      </c>
      <c r="M415" s="37">
        <f t="shared" si="65"/>
        <v>82.89860433118676</v>
      </c>
      <c r="N415" s="37">
        <v>87.524334319526616</v>
      </c>
      <c r="O415" s="37">
        <f t="shared" si="63"/>
        <v>29.916099356025761</v>
      </c>
      <c r="P415" s="117">
        <f t="shared" si="67"/>
        <v>36.467725114995403</v>
      </c>
      <c r="Q415" s="45">
        <f t="shared" si="64"/>
        <v>6.6686104422425993E-2</v>
      </c>
    </row>
    <row r="416" spans="1:17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59"/>
        <v>3041.2</v>
      </c>
      <c r="G416" s="730">
        <v>53</v>
      </c>
      <c r="H416" s="8">
        <v>1</v>
      </c>
      <c r="I416" s="8"/>
      <c r="J416" s="40">
        <f t="shared" si="66"/>
        <v>54</v>
      </c>
      <c r="K416" s="66">
        <f t="shared" si="61"/>
        <v>4.9678012879484819E-2</v>
      </c>
      <c r="L416" s="37">
        <f t="shared" si="62"/>
        <v>112.72586936522539</v>
      </c>
      <c r="M416" s="37">
        <f t="shared" si="65"/>
        <v>41.44930216559338</v>
      </c>
      <c r="N416" s="37">
        <v>43.762167159763308</v>
      </c>
      <c r="O416" s="37">
        <f t="shared" si="63"/>
        <v>14.95804967801288</v>
      </c>
      <c r="P416" s="117">
        <f t="shared" si="67"/>
        <v>18.233862557497702</v>
      </c>
      <c r="Q416" s="45">
        <f t="shared" si="64"/>
        <v>7.0003744695710565E-2</v>
      </c>
    </row>
    <row r="417" spans="1:17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59"/>
        <v>3886</v>
      </c>
      <c r="G417" s="730">
        <v>78</v>
      </c>
      <c r="H417" s="8"/>
      <c r="I417" s="8"/>
      <c r="J417" s="40">
        <f t="shared" si="66"/>
        <v>78</v>
      </c>
      <c r="K417" s="66">
        <f t="shared" si="61"/>
        <v>7.1757129714811407E-2</v>
      </c>
      <c r="L417" s="37">
        <f t="shared" si="62"/>
        <v>162.82625574977001</v>
      </c>
      <c r="M417" s="37">
        <f t="shared" si="65"/>
        <v>59.871214239190437</v>
      </c>
      <c r="N417" s="37">
        <v>63.212019230769222</v>
      </c>
      <c r="O417" s="37">
        <f t="shared" si="63"/>
        <v>21.606071757129715</v>
      </c>
      <c r="P417" s="117">
        <f t="shared" si="67"/>
        <v>26.337801471941123</v>
      </c>
      <c r="Q417" s="45">
        <f t="shared" si="64"/>
        <v>7.9134215382619513E-2</v>
      </c>
    </row>
    <row r="418" spans="1:17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59"/>
        <v>4071</v>
      </c>
      <c r="G418" s="730">
        <v>144</v>
      </c>
      <c r="H418" s="8"/>
      <c r="I418" s="8"/>
      <c r="J418" s="40">
        <f t="shared" si="66"/>
        <v>144</v>
      </c>
      <c r="K418" s="66">
        <f t="shared" si="61"/>
        <v>0.13247470101195952</v>
      </c>
      <c r="L418" s="37">
        <f t="shared" si="62"/>
        <v>300.60231830726769</v>
      </c>
      <c r="M418" s="37">
        <f t="shared" si="65"/>
        <v>110.53147244158234</v>
      </c>
      <c r="N418" s="37">
        <v>116.69911242603548</v>
      </c>
      <c r="O418" s="37">
        <f t="shared" si="63"/>
        <v>39.888132474701017</v>
      </c>
      <c r="P418" s="117">
        <f t="shared" si="67"/>
        <v>48.623633486660545</v>
      </c>
      <c r="Q418" s="45">
        <f t="shared" si="64"/>
        <v>0.13945493383679355</v>
      </c>
    </row>
    <row r="419" spans="1:17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59"/>
        <v>352.6</v>
      </c>
      <c r="G419" s="730">
        <v>3</v>
      </c>
      <c r="H419" s="8"/>
      <c r="I419" s="8">
        <v>3</v>
      </c>
      <c r="J419" s="40">
        <f t="shared" si="66"/>
        <v>6</v>
      </c>
      <c r="K419" s="66">
        <f t="shared" si="61"/>
        <v>5.5197792088316471E-3</v>
      </c>
      <c r="L419" s="37">
        <f t="shared" si="62"/>
        <v>12.525096596136157</v>
      </c>
      <c r="M419" s="37">
        <f t="shared" si="65"/>
        <v>4.605478018399265</v>
      </c>
      <c r="N419" s="37">
        <v>6.8074482248520694</v>
      </c>
      <c r="O419" s="37">
        <f>K419*901.1</f>
        <v>4.9738730450781974</v>
      </c>
      <c r="P419" s="117">
        <f t="shared" si="67"/>
        <v>6.0631512419503233</v>
      </c>
      <c r="Q419" s="45">
        <f t="shared" si="64"/>
        <v>8.1996301430702453E-2</v>
      </c>
    </row>
    <row r="420" spans="1:17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59"/>
        <v>656.95</v>
      </c>
      <c r="G420" s="730">
        <v>19</v>
      </c>
      <c r="H420" s="8"/>
      <c r="I420" s="8"/>
      <c r="J420" s="40">
        <f t="shared" si="66"/>
        <v>19</v>
      </c>
      <c r="K420" s="66">
        <f t="shared" si="61"/>
        <v>1.7479300827966882E-2</v>
      </c>
      <c r="L420" s="37">
        <f t="shared" si="62"/>
        <v>39.662805887764492</v>
      </c>
      <c r="M420" s="37">
        <f t="shared" si="65"/>
        <v>14.584013724931005</v>
      </c>
      <c r="N420" s="37">
        <v>15.397799556213016</v>
      </c>
      <c r="O420" s="37">
        <f t="shared" si="63"/>
        <v>5.2630174793008289</v>
      </c>
      <c r="P420" s="117">
        <f t="shared" si="67"/>
        <v>6.4156183072677111</v>
      </c>
      <c r="Q420" s="45">
        <f t="shared" si="64"/>
        <v>0.11402334522902709</v>
      </c>
    </row>
    <row r="421" spans="1:17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59"/>
        <v>485.16</v>
      </c>
      <c r="G421" s="730">
        <v>10</v>
      </c>
      <c r="H421" s="8"/>
      <c r="I421" s="8"/>
      <c r="J421" s="40">
        <f t="shared" si="66"/>
        <v>10</v>
      </c>
      <c r="K421" s="66">
        <f t="shared" si="61"/>
        <v>9.1996320147194107E-3</v>
      </c>
      <c r="L421" s="37">
        <f t="shared" si="62"/>
        <v>20.875160993560257</v>
      </c>
      <c r="M421" s="37">
        <f t="shared" si="65"/>
        <v>7.6757966973321068</v>
      </c>
      <c r="N421" s="37">
        <v>8.1041050295857975</v>
      </c>
      <c r="O421" s="37">
        <f t="shared" si="63"/>
        <v>2.7700091996320149</v>
      </c>
      <c r="P421" s="117">
        <f t="shared" si="67"/>
        <v>3.3766412143514262</v>
      </c>
      <c r="Q421" s="45">
        <f t="shared" si="64"/>
        <v>8.1262000000227097E-2</v>
      </c>
    </row>
    <row r="422" spans="1:17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59"/>
        <v>286.92</v>
      </c>
      <c r="G422" s="730">
        <v>8</v>
      </c>
      <c r="H422" s="8"/>
      <c r="I422" s="8"/>
      <c r="J422" s="40">
        <f t="shared" si="66"/>
        <v>8</v>
      </c>
      <c r="K422" s="66">
        <f t="shared" si="61"/>
        <v>7.3597056117755289E-3</v>
      </c>
      <c r="L422" s="37">
        <f t="shared" si="62"/>
        <v>16.700128794848208</v>
      </c>
      <c r="M422" s="37">
        <f t="shared" si="65"/>
        <v>6.1406373578656863</v>
      </c>
      <c r="N422" s="37">
        <v>6.4832840236686389</v>
      </c>
      <c r="O422" s="37">
        <f t="shared" si="63"/>
        <v>2.2160073597056118</v>
      </c>
      <c r="P422" s="117">
        <f t="shared" si="67"/>
        <v>2.701312971481141</v>
      </c>
      <c r="Q422" s="45">
        <f t="shared" si="64"/>
        <v>0.10992631233824113</v>
      </c>
    </row>
    <row r="423" spans="1:17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59"/>
        <v>226.94</v>
      </c>
      <c r="G423" s="730">
        <v>5</v>
      </c>
      <c r="H423" s="8"/>
      <c r="I423" s="8"/>
      <c r="J423" s="40">
        <f t="shared" si="66"/>
        <v>5</v>
      </c>
      <c r="K423" s="66">
        <f t="shared" si="61"/>
        <v>4.5998160073597054E-3</v>
      </c>
      <c r="L423" s="37">
        <f t="shared" si="62"/>
        <v>10.437580496780129</v>
      </c>
      <c r="M423" s="37">
        <f t="shared" si="65"/>
        <v>3.8378983486660534</v>
      </c>
      <c r="N423" s="37">
        <v>4.0520525147928987</v>
      </c>
      <c r="O423" s="37">
        <f t="shared" si="63"/>
        <v>1.3850045998160074</v>
      </c>
      <c r="P423" s="117">
        <f t="shared" si="67"/>
        <v>1.6883206071757131</v>
      </c>
      <c r="Q423" s="45">
        <f t="shared" si="64"/>
        <v>8.6862324667555696E-2</v>
      </c>
    </row>
    <row r="424" spans="1:17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59"/>
        <v>307.14999999999998</v>
      </c>
      <c r="G424" s="730">
        <v>10</v>
      </c>
      <c r="H424" s="8"/>
      <c r="I424" s="8"/>
      <c r="J424" s="40">
        <f t="shared" si="66"/>
        <v>10</v>
      </c>
      <c r="K424" s="66">
        <f t="shared" si="61"/>
        <v>9.1996320147194107E-3</v>
      </c>
      <c r="L424" s="37">
        <f t="shared" si="62"/>
        <v>20.875160993560257</v>
      </c>
      <c r="M424" s="37">
        <f t="shared" si="65"/>
        <v>7.6757966973321068</v>
      </c>
      <c r="N424" s="37">
        <v>8.1041050295857975</v>
      </c>
      <c r="O424" s="37">
        <f t="shared" si="63"/>
        <v>2.7700091996320149</v>
      </c>
      <c r="P424" s="117">
        <f t="shared" si="67"/>
        <v>3.3766412143514262</v>
      </c>
      <c r="Q424" s="45">
        <f t="shared" si="64"/>
        <v>0.12835771421165612</v>
      </c>
    </row>
    <row r="425" spans="1:17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59"/>
        <v>329.65</v>
      </c>
      <c r="G425" s="730">
        <v>10</v>
      </c>
      <c r="H425" s="8"/>
      <c r="I425" s="8"/>
      <c r="J425" s="40">
        <f t="shared" si="66"/>
        <v>10</v>
      </c>
      <c r="K425" s="66">
        <f t="shared" si="61"/>
        <v>9.1996320147194107E-3</v>
      </c>
      <c r="L425" s="37">
        <f t="shared" si="62"/>
        <v>20.875160993560257</v>
      </c>
      <c r="M425" s="37">
        <f t="shared" si="65"/>
        <v>7.6757966973321068</v>
      </c>
      <c r="N425" s="37">
        <v>8.1041050295857975</v>
      </c>
      <c r="O425" s="37">
        <f t="shared" si="63"/>
        <v>2.7700091996320149</v>
      </c>
      <c r="P425" s="117">
        <f t="shared" si="67"/>
        <v>3.3766412143514262</v>
      </c>
      <c r="Q425" s="45">
        <f t="shared" si="64"/>
        <v>0.11959675995786495</v>
      </c>
    </row>
    <row r="426" spans="1:17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59"/>
        <v>255.16</v>
      </c>
      <c r="G426" s="730">
        <v>8</v>
      </c>
      <c r="H426" s="8"/>
      <c r="I426" s="8"/>
      <c r="J426" s="40">
        <f t="shared" si="66"/>
        <v>8</v>
      </c>
      <c r="K426" s="66">
        <f t="shared" si="61"/>
        <v>7.3597056117755289E-3</v>
      </c>
      <c r="L426" s="37">
        <f t="shared" si="62"/>
        <v>16.700128794848208</v>
      </c>
      <c r="M426" s="37">
        <f t="shared" si="65"/>
        <v>6.1406373578656863</v>
      </c>
      <c r="N426" s="37">
        <v>6.4832840236686389</v>
      </c>
      <c r="O426" s="37">
        <f t="shared" si="63"/>
        <v>2.2160073597056118</v>
      </c>
      <c r="P426" s="117">
        <f t="shared" si="67"/>
        <v>2.701312971481141</v>
      </c>
      <c r="Q426" s="45">
        <f t="shared" si="64"/>
        <v>0.12360894158993629</v>
      </c>
    </row>
    <row r="427" spans="1:17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59"/>
        <v>509.32</v>
      </c>
      <c r="G427" s="730">
        <v>16</v>
      </c>
      <c r="H427" s="8"/>
      <c r="I427" s="8"/>
      <c r="J427" s="40">
        <f t="shared" si="66"/>
        <v>16</v>
      </c>
      <c r="K427" s="66">
        <f t="shared" si="61"/>
        <v>1.4719411223551058E-2</v>
      </c>
      <c r="L427" s="37">
        <f t="shared" si="62"/>
        <v>33.400257589696416</v>
      </c>
      <c r="M427" s="37">
        <f t="shared" si="65"/>
        <v>12.281274715731373</v>
      </c>
      <c r="N427" s="37">
        <v>12.966568047337278</v>
      </c>
      <c r="O427" s="37">
        <f t="shared" si="63"/>
        <v>4.4320147194112236</v>
      </c>
      <c r="P427" s="117">
        <f t="shared" si="67"/>
        <v>5.402625942962282</v>
      </c>
      <c r="Q427" s="45">
        <f t="shared" si="64"/>
        <v>0.12385163565572978</v>
      </c>
    </row>
    <row r="428" spans="1:17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59"/>
        <v>509.19</v>
      </c>
      <c r="G428" s="730">
        <v>14</v>
      </c>
      <c r="H428" s="8"/>
      <c r="I428" s="8"/>
      <c r="J428" s="40">
        <f t="shared" si="66"/>
        <v>14</v>
      </c>
      <c r="K428" s="66">
        <f t="shared" si="61"/>
        <v>1.2879484820607176E-2</v>
      </c>
      <c r="L428" s="37">
        <f t="shared" si="62"/>
        <v>29.225225390984363</v>
      </c>
      <c r="M428" s="37">
        <f t="shared" si="65"/>
        <v>10.746115376264951</v>
      </c>
      <c r="N428" s="37">
        <v>11.345747041420118</v>
      </c>
      <c r="O428" s="37">
        <f t="shared" si="63"/>
        <v>3.878012879484821</v>
      </c>
      <c r="P428" s="117">
        <f t="shared" si="67"/>
        <v>4.7272977000919969</v>
      </c>
      <c r="Q428" s="45">
        <f t="shared" si="64"/>
        <v>0.10839784891328239</v>
      </c>
    </row>
    <row r="429" spans="1:17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59"/>
        <v>291.43</v>
      </c>
      <c r="G429" s="730">
        <v>10</v>
      </c>
      <c r="H429" s="8"/>
      <c r="I429" s="8"/>
      <c r="J429" s="40">
        <f t="shared" si="66"/>
        <v>10</v>
      </c>
      <c r="K429" s="66">
        <f t="shared" si="61"/>
        <v>9.1996320147194107E-3</v>
      </c>
      <c r="L429" s="37">
        <f t="shared" si="62"/>
        <v>20.875160993560257</v>
      </c>
      <c r="M429" s="37">
        <f t="shared" si="65"/>
        <v>7.6757966973321068</v>
      </c>
      <c r="N429" s="37">
        <v>8.1041050295857975</v>
      </c>
      <c r="O429" s="37">
        <f t="shared" si="63"/>
        <v>2.7700091996320149</v>
      </c>
      <c r="P429" s="117">
        <f t="shared" si="67"/>
        <v>3.3766412143514262</v>
      </c>
      <c r="Q429" s="45">
        <f t="shared" si="64"/>
        <v>0.13528144638544479</v>
      </c>
    </row>
    <row r="430" spans="1:17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59"/>
        <v>449.48</v>
      </c>
      <c r="G430" s="730">
        <v>13</v>
      </c>
      <c r="H430" s="8"/>
      <c r="I430" s="8"/>
      <c r="J430" s="40">
        <f t="shared" si="66"/>
        <v>13</v>
      </c>
      <c r="K430" s="66">
        <f t="shared" si="61"/>
        <v>1.1959521619135235E-2</v>
      </c>
      <c r="L430" s="37">
        <f t="shared" si="62"/>
        <v>27.137709291628337</v>
      </c>
      <c r="M430" s="37">
        <f t="shared" si="65"/>
        <v>9.9785357065317406</v>
      </c>
      <c r="N430" s="37">
        <v>10.535336538461538</v>
      </c>
      <c r="O430" s="37">
        <f t="shared" si="63"/>
        <v>3.6010119595216197</v>
      </c>
      <c r="P430" s="117">
        <f t="shared" si="67"/>
        <v>4.3896335786568548</v>
      </c>
      <c r="Q430" s="45">
        <f t="shared" si="64"/>
        <v>0.11402641607222397</v>
      </c>
    </row>
    <row r="431" spans="1:17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59"/>
        <v>467.46</v>
      </c>
      <c r="G431" s="730">
        <v>10</v>
      </c>
      <c r="H431" s="8"/>
      <c r="I431" s="8"/>
      <c r="J431" s="40">
        <f t="shared" si="66"/>
        <v>10</v>
      </c>
      <c r="K431" s="66">
        <f t="shared" si="61"/>
        <v>9.1996320147194107E-3</v>
      </c>
      <c r="L431" s="37">
        <f t="shared" si="62"/>
        <v>20.875160993560257</v>
      </c>
      <c r="M431" s="37">
        <f t="shared" si="65"/>
        <v>7.6757966973321068</v>
      </c>
      <c r="N431" s="37">
        <v>8.1041050295857975</v>
      </c>
      <c r="O431" s="37">
        <f t="shared" si="63"/>
        <v>2.7700091996320149</v>
      </c>
      <c r="P431" s="117">
        <f t="shared" si="67"/>
        <v>3.3766412143514262</v>
      </c>
      <c r="Q431" s="45">
        <f t="shared" si="64"/>
        <v>8.4338920806293974E-2</v>
      </c>
    </row>
    <row r="432" spans="1:17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59"/>
        <v>558.4</v>
      </c>
      <c r="G432" s="730">
        <v>11</v>
      </c>
      <c r="H432" s="8"/>
      <c r="I432" s="8">
        <v>3</v>
      </c>
      <c r="J432" s="40">
        <f t="shared" si="66"/>
        <v>14</v>
      </c>
      <c r="K432" s="66">
        <f t="shared" si="61"/>
        <v>1.2879484820607176E-2</v>
      </c>
      <c r="L432" s="37">
        <f t="shared" si="62"/>
        <v>29.225225390984363</v>
      </c>
      <c r="M432" s="37">
        <f t="shared" si="65"/>
        <v>10.746115376264951</v>
      </c>
      <c r="N432" s="37">
        <v>11.345747041420118</v>
      </c>
      <c r="O432" s="37">
        <f t="shared" si="63"/>
        <v>3.878012879484821</v>
      </c>
      <c r="P432" s="117">
        <f t="shared" si="67"/>
        <v>4.7272977000919969</v>
      </c>
      <c r="Q432" s="45">
        <f t="shared" si="64"/>
        <v>9.8845094355577104E-2</v>
      </c>
    </row>
    <row r="433" spans="1:18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59"/>
        <v>331.42</v>
      </c>
      <c r="G433" s="730">
        <v>10</v>
      </c>
      <c r="H433" s="8"/>
      <c r="I433" s="8"/>
      <c r="J433" s="40">
        <f t="shared" si="66"/>
        <v>10</v>
      </c>
      <c r="K433" s="66">
        <f t="shared" si="61"/>
        <v>9.1996320147194107E-3</v>
      </c>
      <c r="L433" s="37">
        <f t="shared" si="62"/>
        <v>20.875160993560257</v>
      </c>
      <c r="M433" s="37">
        <f t="shared" si="65"/>
        <v>7.6757966973321068</v>
      </c>
      <c r="N433" s="37">
        <v>8.1041050295857975</v>
      </c>
      <c r="O433" s="37">
        <f t="shared" si="63"/>
        <v>2.7700091996320149</v>
      </c>
      <c r="P433" s="117">
        <f t="shared" si="67"/>
        <v>3.3766412143514262</v>
      </c>
      <c r="Q433" s="45">
        <f t="shared" si="64"/>
        <v>0.11895803488054485</v>
      </c>
    </row>
    <row r="434" spans="1:18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59"/>
        <v>154.9</v>
      </c>
      <c r="G434" s="730">
        <v>3</v>
      </c>
      <c r="H434" s="8"/>
      <c r="I434" s="8"/>
      <c r="J434" s="40">
        <f t="shared" si="66"/>
        <v>3</v>
      </c>
      <c r="K434" s="66">
        <f t="shared" si="61"/>
        <v>2.7598896044158236E-3</v>
      </c>
      <c r="L434" s="37">
        <f t="shared" si="62"/>
        <v>6.2625482980680784</v>
      </c>
      <c r="M434" s="37">
        <f t="shared" si="65"/>
        <v>2.3027390091996325</v>
      </c>
      <c r="N434" s="37">
        <v>2.4312315088757392</v>
      </c>
      <c r="O434" s="37">
        <f t="shared" si="63"/>
        <v>0.83100275988960459</v>
      </c>
      <c r="P434" s="117">
        <f t="shared" si="67"/>
        <v>1.0129923643054282</v>
      </c>
      <c r="Q434" s="45">
        <f t="shared" si="64"/>
        <v>7.63558526535381E-2</v>
      </c>
    </row>
    <row r="435" spans="1:18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59"/>
        <v>119.9</v>
      </c>
      <c r="G435" s="730">
        <v>3</v>
      </c>
      <c r="H435" s="8"/>
      <c r="I435" s="8"/>
      <c r="J435" s="40">
        <f t="shared" si="66"/>
        <v>3</v>
      </c>
      <c r="K435" s="66">
        <f t="shared" si="61"/>
        <v>2.7598896044158236E-3</v>
      </c>
      <c r="L435" s="37">
        <f t="shared" si="62"/>
        <v>6.2625482980680784</v>
      </c>
      <c r="M435" s="37">
        <f t="shared" si="65"/>
        <v>2.3027390091996325</v>
      </c>
      <c r="N435" s="37">
        <v>2.4312315088757392</v>
      </c>
      <c r="O435" s="37">
        <f t="shared" si="63"/>
        <v>0.83100275988960459</v>
      </c>
      <c r="P435" s="117">
        <f t="shared" si="67"/>
        <v>1.0129923643054282</v>
      </c>
      <c r="Q435" s="45">
        <f t="shared" si="64"/>
        <v>9.8644883870167246E-2</v>
      </c>
    </row>
    <row r="436" spans="1:18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59"/>
        <v>300.3</v>
      </c>
      <c r="G436" s="730">
        <v>10</v>
      </c>
      <c r="H436" s="8"/>
      <c r="I436" s="8">
        <v>1</v>
      </c>
      <c r="J436" s="40">
        <f t="shared" si="66"/>
        <v>11</v>
      </c>
      <c r="K436" s="66">
        <f t="shared" si="61"/>
        <v>1.0119595216191352E-2</v>
      </c>
      <c r="L436" s="37">
        <f t="shared" si="62"/>
        <v>22.962677092916284</v>
      </c>
      <c r="M436" s="37">
        <f t="shared" si="65"/>
        <v>8.4433763670653175</v>
      </c>
      <c r="N436" s="37">
        <v>8.9145155325443781</v>
      </c>
      <c r="O436" s="37">
        <f t="shared" si="63"/>
        <v>3.0470101195952162</v>
      </c>
      <c r="P436" s="117">
        <f t="shared" si="67"/>
        <v>3.7143053357865687</v>
      </c>
      <c r="Q436" s="45">
        <f t="shared" si="64"/>
        <v>0.14441418285754642</v>
      </c>
    </row>
    <row r="437" spans="1:18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59"/>
        <v>226.84</v>
      </c>
      <c r="G437" s="730">
        <v>8</v>
      </c>
      <c r="H437" s="8"/>
      <c r="I437" s="8"/>
      <c r="J437" s="40">
        <f t="shared" si="66"/>
        <v>8</v>
      </c>
      <c r="K437" s="66">
        <f t="shared" si="61"/>
        <v>7.3597056117755289E-3</v>
      </c>
      <c r="L437" s="37">
        <f t="shared" si="62"/>
        <v>16.700128794848208</v>
      </c>
      <c r="M437" s="37">
        <f t="shared" si="65"/>
        <v>6.1406373578656863</v>
      </c>
      <c r="N437" s="37">
        <v>6.4832840236686389</v>
      </c>
      <c r="O437" s="37">
        <f t="shared" si="63"/>
        <v>2.2160073597056118</v>
      </c>
      <c r="P437" s="117">
        <f t="shared" si="67"/>
        <v>2.701312971481141</v>
      </c>
      <c r="Q437" s="45">
        <f t="shared" si="64"/>
        <v>0.13904098719841362</v>
      </c>
    </row>
    <row r="438" spans="1:18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59"/>
        <v>216.3</v>
      </c>
      <c r="G438" s="730">
        <v>7</v>
      </c>
      <c r="H438" s="8"/>
      <c r="I438" s="8"/>
      <c r="J438" s="40">
        <f t="shared" si="66"/>
        <v>7</v>
      </c>
      <c r="K438" s="66">
        <f t="shared" si="61"/>
        <v>6.439742410303588E-3</v>
      </c>
      <c r="L438" s="37">
        <f t="shared" si="62"/>
        <v>14.612612695492182</v>
      </c>
      <c r="M438" s="37">
        <f t="shared" si="65"/>
        <v>5.3730576881324756</v>
      </c>
      <c r="N438" s="37">
        <v>5.6728735207100591</v>
      </c>
      <c r="O438" s="37">
        <f t="shared" si="63"/>
        <v>1.9390064397424105</v>
      </c>
      <c r="P438" s="117">
        <f t="shared" si="67"/>
        <v>2.3636488500459985</v>
      </c>
      <c r="Q438" s="45">
        <f t="shared" si="64"/>
        <v>0.12758922951491969</v>
      </c>
      <c r="R438" s="5"/>
    </row>
    <row r="439" spans="1:18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59"/>
        <v>307.64999999999998</v>
      </c>
      <c r="G439" s="730">
        <v>7</v>
      </c>
      <c r="H439" s="8"/>
      <c r="I439" s="8"/>
      <c r="J439" s="40">
        <f t="shared" si="66"/>
        <v>7</v>
      </c>
      <c r="K439" s="66">
        <f t="shared" si="61"/>
        <v>6.439742410303588E-3</v>
      </c>
      <c r="L439" s="37">
        <f t="shared" si="62"/>
        <v>14.612612695492182</v>
      </c>
      <c r="M439" s="37">
        <f t="shared" si="65"/>
        <v>5.3730576881324756</v>
      </c>
      <c r="N439" s="37">
        <v>5.6728735207100591</v>
      </c>
      <c r="O439" s="37">
        <f t="shared" si="63"/>
        <v>1.9390064397424105</v>
      </c>
      <c r="P439" s="117">
        <f t="shared" si="67"/>
        <v>2.3636488500459985</v>
      </c>
      <c r="Q439" s="45">
        <f t="shared" si="64"/>
        <v>8.9704372969533985E-2</v>
      </c>
    </row>
    <row r="440" spans="1:18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59"/>
        <v>350.66</v>
      </c>
      <c r="G440" s="730">
        <v>6</v>
      </c>
      <c r="H440" s="8"/>
      <c r="I440" s="8"/>
      <c r="J440" s="40">
        <f t="shared" si="66"/>
        <v>6</v>
      </c>
      <c r="K440" s="66">
        <f t="shared" si="61"/>
        <v>5.5197792088316471E-3</v>
      </c>
      <c r="L440" s="37">
        <f t="shared" si="62"/>
        <v>12.525096596136157</v>
      </c>
      <c r="M440" s="37">
        <f t="shared" si="65"/>
        <v>4.605478018399265</v>
      </c>
      <c r="N440" s="37">
        <v>4.8624630177514785</v>
      </c>
      <c r="O440" s="37">
        <f t="shared" si="63"/>
        <v>1.6620055197792092</v>
      </c>
      <c r="P440" s="117">
        <f t="shared" si="67"/>
        <v>2.0259847286108563</v>
      </c>
      <c r="Q440" s="45">
        <f t="shared" si="64"/>
        <v>6.7458629875281201E-2</v>
      </c>
    </row>
    <row r="441" spans="1:18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59"/>
        <v>485.8</v>
      </c>
      <c r="G441" s="730">
        <v>10</v>
      </c>
      <c r="H441" s="8"/>
      <c r="I441" s="8"/>
      <c r="J441" s="40">
        <f t="shared" si="66"/>
        <v>10</v>
      </c>
      <c r="K441" s="66">
        <f t="shared" si="61"/>
        <v>9.1996320147194107E-3</v>
      </c>
      <c r="L441" s="37">
        <f t="shared" si="62"/>
        <v>20.875160993560257</v>
      </c>
      <c r="M441" s="37">
        <f t="shared" si="65"/>
        <v>7.6757966973321068</v>
      </c>
      <c r="N441" s="37">
        <v>8.1041050295857975</v>
      </c>
      <c r="O441" s="37">
        <f t="shared" si="63"/>
        <v>2.7700091996320149</v>
      </c>
      <c r="P441" s="117">
        <f t="shared" si="67"/>
        <v>3.3766412143514262</v>
      </c>
      <c r="Q441" s="45">
        <f t="shared" si="64"/>
        <v>8.1154944257122635E-2</v>
      </c>
    </row>
    <row r="442" spans="1:18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59"/>
        <v>402.96</v>
      </c>
      <c r="G442" s="730">
        <v>7</v>
      </c>
      <c r="H442" s="8"/>
      <c r="I442" s="8"/>
      <c r="J442" s="40">
        <f t="shared" si="66"/>
        <v>7</v>
      </c>
      <c r="K442" s="66">
        <f t="shared" si="61"/>
        <v>6.439742410303588E-3</v>
      </c>
      <c r="L442" s="37">
        <f t="shared" si="62"/>
        <v>14.612612695492182</v>
      </c>
      <c r="M442" s="37">
        <f t="shared" si="65"/>
        <v>5.3730576881324756</v>
      </c>
      <c r="N442" s="37">
        <v>5.6728735207100591</v>
      </c>
      <c r="O442" s="37">
        <f t="shared" si="63"/>
        <v>1.9390064397424105</v>
      </c>
      <c r="P442" s="117">
        <f t="shared" si="67"/>
        <v>2.3636488500459985</v>
      </c>
      <c r="Q442" s="45">
        <f t="shared" si="64"/>
        <v>6.8487071530864432E-2</v>
      </c>
    </row>
    <row r="443" spans="1:18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59"/>
        <v>526.67999999999995</v>
      </c>
      <c r="G443" s="730">
        <v>12</v>
      </c>
      <c r="H443" s="8"/>
      <c r="I443" s="8"/>
      <c r="J443" s="40">
        <f t="shared" si="66"/>
        <v>12</v>
      </c>
      <c r="K443" s="66">
        <f t="shared" si="61"/>
        <v>1.1039558417663294E-2</v>
      </c>
      <c r="L443" s="37">
        <f t="shared" si="62"/>
        <v>25.050193192272314</v>
      </c>
      <c r="M443" s="37">
        <f t="shared" si="65"/>
        <v>9.2109560367985299</v>
      </c>
      <c r="N443" s="37">
        <v>9.724926035502957</v>
      </c>
      <c r="O443" s="37">
        <f t="shared" si="63"/>
        <v>3.3240110395584184</v>
      </c>
      <c r="P443" s="117">
        <f t="shared" si="67"/>
        <v>4.0519694572217126</v>
      </c>
      <c r="Q443" s="45">
        <f t="shared" si="64"/>
        <v>8.9827003691296842E-2</v>
      </c>
    </row>
    <row r="444" spans="1:18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59"/>
        <v>198.5</v>
      </c>
      <c r="G444" s="730">
        <v>8</v>
      </c>
      <c r="H444" s="8"/>
      <c r="I444" s="8"/>
      <c r="J444" s="40">
        <f t="shared" si="66"/>
        <v>8</v>
      </c>
      <c r="K444" s="66">
        <f t="shared" si="61"/>
        <v>7.3597056117755289E-3</v>
      </c>
      <c r="L444" s="37">
        <f t="shared" si="62"/>
        <v>16.700128794848208</v>
      </c>
      <c r="M444" s="37">
        <f t="shared" si="65"/>
        <v>6.1406373578656863</v>
      </c>
      <c r="N444" s="37">
        <v>6.4832840236686389</v>
      </c>
      <c r="O444" s="37">
        <f t="shared" si="63"/>
        <v>2.2160073597056118</v>
      </c>
      <c r="P444" s="117">
        <f t="shared" si="67"/>
        <v>2.701312971481141</v>
      </c>
      <c r="Q444" s="45">
        <f t="shared" si="64"/>
        <v>0.15889197751177908</v>
      </c>
    </row>
    <row r="445" spans="1:18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59"/>
        <v>879.8</v>
      </c>
      <c r="G445" s="730">
        <v>15</v>
      </c>
      <c r="H445" s="8"/>
      <c r="I445" s="8">
        <v>3</v>
      </c>
      <c r="J445" s="40">
        <f t="shared" si="66"/>
        <v>18</v>
      </c>
      <c r="K445" s="66">
        <f t="shared" si="61"/>
        <v>1.655933762649494E-2</v>
      </c>
      <c r="L445" s="37">
        <f t="shared" si="62"/>
        <v>37.575289788408462</v>
      </c>
      <c r="M445" s="37">
        <f t="shared" si="65"/>
        <v>13.816434055197792</v>
      </c>
      <c r="N445" s="37">
        <v>14.587389053254435</v>
      </c>
      <c r="O445" s="37">
        <f t="shared" si="63"/>
        <v>4.9860165593376271</v>
      </c>
      <c r="P445" s="117">
        <f t="shared" si="67"/>
        <v>6.0779541858325681</v>
      </c>
      <c r="Q445" s="45">
        <f t="shared" si="64"/>
        <v>8.0660524501248387E-2</v>
      </c>
    </row>
    <row r="446" spans="1:18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59"/>
        <v>1786.8</v>
      </c>
      <c r="G446" s="730">
        <v>45</v>
      </c>
      <c r="H446" s="8">
        <v>1</v>
      </c>
      <c r="I446" s="8">
        <v>4</v>
      </c>
      <c r="J446" s="40">
        <f t="shared" si="66"/>
        <v>50</v>
      </c>
      <c r="K446" s="66">
        <f t="shared" si="61"/>
        <v>4.5998160073597055E-2</v>
      </c>
      <c r="L446" s="37">
        <f t="shared" si="62"/>
        <v>104.37580496780129</v>
      </c>
      <c r="M446" s="37">
        <f t="shared" si="65"/>
        <v>38.378983486660537</v>
      </c>
      <c r="N446" s="37">
        <v>40.520525147928993</v>
      </c>
      <c r="O446" s="37">
        <f t="shared" si="63"/>
        <v>13.850045998160075</v>
      </c>
      <c r="P446" s="117">
        <f t="shared" si="67"/>
        <v>16.883206071757133</v>
      </c>
      <c r="Q446" s="45">
        <f t="shared" si="64"/>
        <v>0.11032312491635936</v>
      </c>
    </row>
    <row r="447" spans="1:18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59"/>
        <v>776.28</v>
      </c>
      <c r="G447" s="730">
        <v>13</v>
      </c>
      <c r="H447" s="8">
        <v>1</v>
      </c>
      <c r="I447" s="8"/>
      <c r="J447" s="40">
        <f t="shared" si="66"/>
        <v>14</v>
      </c>
      <c r="K447" s="66">
        <f t="shared" si="61"/>
        <v>1.2879484820607176E-2</v>
      </c>
      <c r="L447" s="37">
        <f t="shared" si="62"/>
        <v>29.225225390984363</v>
      </c>
      <c r="M447" s="37">
        <f t="shared" si="65"/>
        <v>10.746115376264951</v>
      </c>
      <c r="N447" s="37">
        <v>11.345747041420118</v>
      </c>
      <c r="O447" s="37">
        <f t="shared" si="63"/>
        <v>3.878012879484821</v>
      </c>
      <c r="P447" s="117">
        <f t="shared" si="67"/>
        <v>4.7272977000919969</v>
      </c>
      <c r="Q447" s="45">
        <f t="shared" si="64"/>
        <v>7.1102051692886914E-2</v>
      </c>
    </row>
    <row r="448" spans="1:18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si="59"/>
        <v>475.29</v>
      </c>
      <c r="G448" s="730">
        <v>10</v>
      </c>
      <c r="H448" s="8"/>
      <c r="I448" s="8"/>
      <c r="J448" s="40">
        <f t="shared" si="66"/>
        <v>10</v>
      </c>
      <c r="K448" s="66">
        <f t="shared" si="61"/>
        <v>9.1996320147194107E-3</v>
      </c>
      <c r="L448" s="37">
        <f t="shared" si="62"/>
        <v>20.875160993560257</v>
      </c>
      <c r="M448" s="37">
        <f t="shared" si="65"/>
        <v>7.6757966973321068</v>
      </c>
      <c r="N448" s="37">
        <v>8.1041050295857975</v>
      </c>
      <c r="O448" s="37">
        <f t="shared" si="63"/>
        <v>2.7700091996320149</v>
      </c>
      <c r="P448" s="117">
        <f t="shared" si="67"/>
        <v>3.3766412143514262</v>
      </c>
      <c r="Q448" s="45">
        <f t="shared" si="64"/>
        <v>8.2949508552904908E-2</v>
      </c>
    </row>
    <row r="449" spans="1:18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ref="F449:F511" si="68">C449+D449+E449</f>
        <v>487.96</v>
      </c>
      <c r="G449" s="730">
        <v>8</v>
      </c>
      <c r="H449" s="8"/>
      <c r="I449" s="8"/>
      <c r="J449" s="40">
        <f t="shared" si="66"/>
        <v>8</v>
      </c>
      <c r="K449" s="66">
        <f t="shared" si="61"/>
        <v>7.3597056117755289E-3</v>
      </c>
      <c r="L449" s="37">
        <f t="shared" si="62"/>
        <v>16.700128794848208</v>
      </c>
      <c r="M449" s="37">
        <f t="shared" si="65"/>
        <v>6.1406373578656863</v>
      </c>
      <c r="N449" s="37">
        <v>6.4832840236686389</v>
      </c>
      <c r="O449" s="37">
        <f t="shared" si="63"/>
        <v>2.2160073597056118</v>
      </c>
      <c r="P449" s="117">
        <f t="shared" si="67"/>
        <v>2.701312971481141</v>
      </c>
      <c r="Q449" s="45">
        <f t="shared" si="64"/>
        <v>6.4636563521780779E-2</v>
      </c>
    </row>
    <row r="450" spans="1:18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68"/>
        <v>1058.94</v>
      </c>
      <c r="G450" s="730">
        <v>15</v>
      </c>
      <c r="H450" s="8">
        <v>1</v>
      </c>
      <c r="I450" s="8">
        <v>3</v>
      </c>
      <c r="J450" s="40">
        <f t="shared" si="66"/>
        <v>19</v>
      </c>
      <c r="K450" s="66">
        <f t="shared" ref="K450:K493" si="69">5/5435*J450</f>
        <v>1.7479300827966882E-2</v>
      </c>
      <c r="L450" s="37">
        <f t="shared" ref="L450:L513" si="70">K450*2269.13</f>
        <v>39.662805887764492</v>
      </c>
      <c r="M450" s="37">
        <f t="shared" si="65"/>
        <v>14.584013724931005</v>
      </c>
      <c r="N450" s="37">
        <v>15.397799556213016</v>
      </c>
      <c r="O450" s="37">
        <f t="shared" si="63"/>
        <v>5.2630174793008289</v>
      </c>
      <c r="P450" s="117">
        <f t="shared" si="67"/>
        <v>6.4156183072677111</v>
      </c>
      <c r="Q450" s="45">
        <f t="shared" si="64"/>
        <v>7.0738320063657378E-2</v>
      </c>
    </row>
    <row r="451" spans="1:18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68"/>
        <v>435.39</v>
      </c>
      <c r="G451" s="730">
        <v>9</v>
      </c>
      <c r="H451" s="8"/>
      <c r="I451" s="8"/>
      <c r="J451" s="40">
        <f t="shared" si="66"/>
        <v>9</v>
      </c>
      <c r="K451" s="66">
        <f t="shared" si="69"/>
        <v>8.2796688132474698E-3</v>
      </c>
      <c r="L451" s="37">
        <f t="shared" si="70"/>
        <v>18.787644894204231</v>
      </c>
      <c r="M451" s="37">
        <f t="shared" si="65"/>
        <v>6.9082170275988961</v>
      </c>
      <c r="N451" s="37">
        <v>7.2936945266272177</v>
      </c>
      <c r="O451" s="37">
        <f t="shared" si="63"/>
        <v>2.4930082796688136</v>
      </c>
      <c r="P451" s="117">
        <f t="shared" si="67"/>
        <v>3.038977092916284</v>
      </c>
      <c r="Q451" s="45">
        <f t="shared" si="64"/>
        <v>8.1496048894322715E-2</v>
      </c>
    </row>
    <row r="452" spans="1:18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68"/>
        <v>539.61</v>
      </c>
      <c r="G452" s="730">
        <v>15</v>
      </c>
      <c r="H452" s="8"/>
      <c r="I452" s="8">
        <v>2</v>
      </c>
      <c r="J452" s="40">
        <f t="shared" si="66"/>
        <v>17</v>
      </c>
      <c r="K452" s="66">
        <f t="shared" si="69"/>
        <v>1.5639374425023E-2</v>
      </c>
      <c r="L452" s="37">
        <f t="shared" si="70"/>
        <v>35.487773689052446</v>
      </c>
      <c r="M452" s="37">
        <f t="shared" si="65"/>
        <v>13.048854385464585</v>
      </c>
      <c r="N452" s="37">
        <v>13.776978550295858</v>
      </c>
      <c r="O452" s="37">
        <f t="shared" ref="O452:O515" si="71">K452*301.1</f>
        <v>4.7090156393744254</v>
      </c>
      <c r="P452" s="117">
        <f t="shared" si="67"/>
        <v>5.7402900643974251</v>
      </c>
      <c r="Q452" s="45">
        <f t="shared" si="64"/>
        <v>0.1242056712518065</v>
      </c>
    </row>
    <row r="453" spans="1:18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68"/>
        <v>466.35</v>
      </c>
      <c r="G453" s="730">
        <v>16</v>
      </c>
      <c r="H453" s="8"/>
      <c r="I453" s="8">
        <v>1</v>
      </c>
      <c r="J453" s="40">
        <f t="shared" si="66"/>
        <v>17</v>
      </c>
      <c r="K453" s="66">
        <f t="shared" si="69"/>
        <v>1.5639374425023E-2</v>
      </c>
      <c r="L453" s="37">
        <f t="shared" si="70"/>
        <v>35.487773689052446</v>
      </c>
      <c r="M453" s="37">
        <f t="shared" si="65"/>
        <v>13.048854385464585</v>
      </c>
      <c r="N453" s="37">
        <v>13.776978550295858</v>
      </c>
      <c r="O453" s="37">
        <f t="shared" si="71"/>
        <v>4.7090156393744254</v>
      </c>
      <c r="P453" s="117">
        <f t="shared" si="67"/>
        <v>5.7402900643974251</v>
      </c>
      <c r="Q453" s="45">
        <f t="shared" si="64"/>
        <v>0.14371742739184581</v>
      </c>
    </row>
    <row r="454" spans="1:18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68"/>
        <v>270.3</v>
      </c>
      <c r="G454" s="730">
        <v>8</v>
      </c>
      <c r="H454" s="8"/>
      <c r="I454" s="8"/>
      <c r="J454" s="40">
        <f t="shared" si="66"/>
        <v>8</v>
      </c>
      <c r="K454" s="66">
        <f t="shared" si="69"/>
        <v>7.3597056117755289E-3</v>
      </c>
      <c r="L454" s="37">
        <f t="shared" si="70"/>
        <v>16.700128794848208</v>
      </c>
      <c r="M454" s="37">
        <f t="shared" si="65"/>
        <v>6.1406373578656863</v>
      </c>
      <c r="N454" s="37">
        <v>6.4832840236686389</v>
      </c>
      <c r="O454" s="37">
        <f t="shared" si="71"/>
        <v>2.2160073597056118</v>
      </c>
      <c r="P454" s="117">
        <f t="shared" si="67"/>
        <v>2.701312971481141</v>
      </c>
      <c r="Q454" s="45">
        <f t="shared" si="64"/>
        <v>0.11668537749200202</v>
      </c>
    </row>
    <row r="455" spans="1:18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68"/>
        <v>1056.99</v>
      </c>
      <c r="G455" s="730">
        <v>25</v>
      </c>
      <c r="H455" s="8"/>
      <c r="I455" s="8"/>
      <c r="J455" s="40">
        <f t="shared" si="66"/>
        <v>25</v>
      </c>
      <c r="K455" s="66">
        <f t="shared" si="69"/>
        <v>2.2999080036798528E-2</v>
      </c>
      <c r="L455" s="37">
        <f t="shared" si="70"/>
        <v>52.187902483900643</v>
      </c>
      <c r="M455" s="37">
        <f t="shared" si="65"/>
        <v>19.189491743330269</v>
      </c>
      <c r="N455" s="37">
        <v>20.260262573964496</v>
      </c>
      <c r="O455" s="37">
        <f t="shared" si="71"/>
        <v>6.9250229990800376</v>
      </c>
      <c r="P455" s="117">
        <f t="shared" si="67"/>
        <v>8.4416030358785665</v>
      </c>
      <c r="Q455" s="45">
        <f t="shared" ref="Q455:Q518" si="72">(O455+N455+M455+L455)/F455</f>
        <v>9.3248450600550092E-2</v>
      </c>
    </row>
    <row r="456" spans="1:18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68"/>
        <v>353.79999999999995</v>
      </c>
      <c r="G456" s="730">
        <v>8</v>
      </c>
      <c r="H456" s="8"/>
      <c r="I456" s="8">
        <v>1</v>
      </c>
      <c r="J456" s="40">
        <f t="shared" si="66"/>
        <v>9</v>
      </c>
      <c r="K456" s="66">
        <f t="shared" si="69"/>
        <v>8.2796688132474698E-3</v>
      </c>
      <c r="L456" s="37">
        <f t="shared" si="70"/>
        <v>18.787644894204231</v>
      </c>
      <c r="M456" s="37">
        <f t="shared" si="65"/>
        <v>6.9082170275988961</v>
      </c>
      <c r="N456" s="37">
        <v>7.2936945266272177</v>
      </c>
      <c r="O456" s="37">
        <f t="shared" si="71"/>
        <v>2.4930082796688136</v>
      </c>
      <c r="P456" s="117">
        <f t="shared" si="67"/>
        <v>3.038977092916284</v>
      </c>
      <c r="Q456" s="45">
        <f t="shared" si="72"/>
        <v>0.10028989465262625</v>
      </c>
    </row>
    <row r="457" spans="1:18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68"/>
        <v>239.3</v>
      </c>
      <c r="G457" s="730">
        <v>5</v>
      </c>
      <c r="H457" s="8"/>
      <c r="I457" s="8"/>
      <c r="J457" s="40">
        <f t="shared" si="66"/>
        <v>5</v>
      </c>
      <c r="K457" s="66">
        <f t="shared" si="69"/>
        <v>4.5998160073597054E-3</v>
      </c>
      <c r="L457" s="37">
        <f t="shared" si="70"/>
        <v>10.437580496780129</v>
      </c>
      <c r="M457" s="37">
        <f t="shared" si="65"/>
        <v>3.8378983486660534</v>
      </c>
      <c r="N457" s="37">
        <v>4.0520525147928987</v>
      </c>
      <c r="O457" s="37">
        <f t="shared" si="71"/>
        <v>1.3850045998160074</v>
      </c>
      <c r="P457" s="117">
        <f t="shared" si="67"/>
        <v>1.6883206071757131</v>
      </c>
      <c r="Q457" s="45">
        <f t="shared" si="72"/>
        <v>8.2375829335792267E-2</v>
      </c>
    </row>
    <row r="458" spans="1:18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68"/>
        <v>144.6</v>
      </c>
      <c r="G458" s="730">
        <v>4</v>
      </c>
      <c r="H458" s="8"/>
      <c r="I458" s="8">
        <v>1</v>
      </c>
      <c r="J458" s="40">
        <f t="shared" si="66"/>
        <v>5</v>
      </c>
      <c r="K458" s="66">
        <f t="shared" si="69"/>
        <v>4.5998160073597054E-3</v>
      </c>
      <c r="L458" s="37">
        <f t="shared" si="70"/>
        <v>10.437580496780129</v>
      </c>
      <c r="M458" s="37">
        <f t="shared" si="65"/>
        <v>3.8378983486660534</v>
      </c>
      <c r="N458" s="37">
        <v>3.241642011834319</v>
      </c>
      <c r="O458" s="37">
        <f t="shared" si="71"/>
        <v>1.3850045998160074</v>
      </c>
      <c r="P458" s="117">
        <f t="shared" si="67"/>
        <v>1.6883206071757131</v>
      </c>
      <c r="Q458" s="45">
        <f t="shared" si="72"/>
        <v>0.13072009306429122</v>
      </c>
    </row>
    <row r="459" spans="1:18" s="69" customFormat="1" ht="15" customHeight="1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68"/>
        <v>375.5</v>
      </c>
      <c r="G459" s="730">
        <v>9</v>
      </c>
      <c r="H459" s="8"/>
      <c r="I459" s="8"/>
      <c r="J459" s="40">
        <f t="shared" si="66"/>
        <v>9</v>
      </c>
      <c r="K459" s="66">
        <f t="shared" si="69"/>
        <v>8.2796688132474698E-3</v>
      </c>
      <c r="L459" s="37">
        <f t="shared" si="70"/>
        <v>18.787644894204231</v>
      </c>
      <c r="M459" s="37">
        <f t="shared" si="65"/>
        <v>6.9082170275988961</v>
      </c>
      <c r="N459" s="37">
        <v>7.2936945266272177</v>
      </c>
      <c r="O459" s="37">
        <f t="shared" si="71"/>
        <v>2.4930082796688136</v>
      </c>
      <c r="P459" s="117">
        <f t="shared" si="67"/>
        <v>3.038977092916284</v>
      </c>
      <c r="Q459" s="45">
        <f t="shared" si="72"/>
        <v>9.4494180367774072E-2</v>
      </c>
      <c r="R459" s="5"/>
    </row>
    <row r="460" spans="1:18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68"/>
        <v>993.91</v>
      </c>
      <c r="G460" s="730">
        <v>28</v>
      </c>
      <c r="H460" s="8"/>
      <c r="I460" s="8">
        <v>1</v>
      </c>
      <c r="J460" s="40">
        <f t="shared" si="66"/>
        <v>29</v>
      </c>
      <c r="K460" s="66">
        <f t="shared" si="69"/>
        <v>2.6678932842686291E-2</v>
      </c>
      <c r="L460" s="37">
        <f t="shared" si="70"/>
        <v>60.537966881324749</v>
      </c>
      <c r="M460" s="37">
        <f t="shared" si="65"/>
        <v>22.259810422263111</v>
      </c>
      <c r="N460" s="37">
        <v>23.501904585798815</v>
      </c>
      <c r="O460" s="37">
        <f t="shared" si="71"/>
        <v>8.0330266789328437</v>
      </c>
      <c r="P460" s="117">
        <f t="shared" si="67"/>
        <v>9.7922595216191368</v>
      </c>
      <c r="Q460" s="45">
        <f t="shared" si="72"/>
        <v>0.11503326112859265</v>
      </c>
    </row>
    <row r="461" spans="1:18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68"/>
        <v>716.19999999999993</v>
      </c>
      <c r="G461" s="730">
        <v>14</v>
      </c>
      <c r="H461" s="8"/>
      <c r="I461" s="8">
        <v>2</v>
      </c>
      <c r="J461" s="40">
        <f t="shared" si="66"/>
        <v>16</v>
      </c>
      <c r="K461" s="66">
        <f t="shared" si="69"/>
        <v>1.4719411223551058E-2</v>
      </c>
      <c r="L461" s="37">
        <f t="shared" si="70"/>
        <v>33.400257589696416</v>
      </c>
      <c r="M461" s="37">
        <f t="shared" si="65"/>
        <v>12.281274715731373</v>
      </c>
      <c r="N461" s="37">
        <v>12.966568047337278</v>
      </c>
      <c r="O461" s="37">
        <f t="shared" si="71"/>
        <v>4.4320147194112236</v>
      </c>
      <c r="P461" s="117">
        <f t="shared" si="67"/>
        <v>5.402625942962282</v>
      </c>
      <c r="Q461" s="45">
        <f t="shared" si="72"/>
        <v>8.8076117107199522E-2</v>
      </c>
    </row>
    <row r="462" spans="1:18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68"/>
        <v>472.2</v>
      </c>
      <c r="G462" s="730">
        <v>13</v>
      </c>
      <c r="H462" s="8"/>
      <c r="I462" s="8"/>
      <c r="J462" s="40">
        <f t="shared" si="66"/>
        <v>13</v>
      </c>
      <c r="K462" s="66">
        <f t="shared" si="69"/>
        <v>1.1959521619135235E-2</v>
      </c>
      <c r="L462" s="37">
        <f t="shared" si="70"/>
        <v>27.137709291628337</v>
      </c>
      <c r="M462" s="37">
        <f t="shared" si="65"/>
        <v>9.9785357065317406</v>
      </c>
      <c r="N462" s="37">
        <v>10.535336538461538</v>
      </c>
      <c r="O462" s="37">
        <f t="shared" si="71"/>
        <v>3.6010119595216197</v>
      </c>
      <c r="P462" s="117">
        <f t="shared" si="67"/>
        <v>4.3896335786568548</v>
      </c>
      <c r="Q462" s="45">
        <f t="shared" si="72"/>
        <v>0.1085400116394393</v>
      </c>
    </row>
    <row r="463" spans="1:18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68"/>
        <v>337.29999999999995</v>
      </c>
      <c r="G463" s="730">
        <v>8</v>
      </c>
      <c r="H463" s="8"/>
      <c r="I463" s="8">
        <v>2</v>
      </c>
      <c r="J463" s="40">
        <f t="shared" si="66"/>
        <v>10</v>
      </c>
      <c r="K463" s="66">
        <f t="shared" si="69"/>
        <v>9.1996320147194107E-3</v>
      </c>
      <c r="L463" s="37">
        <f t="shared" si="70"/>
        <v>20.875160993560257</v>
      </c>
      <c r="M463" s="37">
        <f t="shared" si="65"/>
        <v>7.6757966973321068</v>
      </c>
      <c r="N463" s="37">
        <v>8.1041050295857975</v>
      </c>
      <c r="O463" s="37">
        <f t="shared" si="71"/>
        <v>2.7700091996320149</v>
      </c>
      <c r="P463" s="117">
        <f t="shared" si="67"/>
        <v>3.3766412143514262</v>
      </c>
      <c r="Q463" s="45">
        <f t="shared" si="72"/>
        <v>0.11688429267746867</v>
      </c>
    </row>
    <row r="464" spans="1:18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68"/>
        <v>395.5</v>
      </c>
      <c r="G464" s="730">
        <v>11</v>
      </c>
      <c r="H464" s="8"/>
      <c r="I464" s="8"/>
      <c r="J464" s="40">
        <f t="shared" si="66"/>
        <v>11</v>
      </c>
      <c r="K464" s="66">
        <f t="shared" si="69"/>
        <v>1.0119595216191352E-2</v>
      </c>
      <c r="L464" s="37">
        <f t="shared" si="70"/>
        <v>22.962677092916284</v>
      </c>
      <c r="M464" s="37">
        <f t="shared" ref="M464:M525" si="73">L464*0.3677</f>
        <v>8.4433763670653175</v>
      </c>
      <c r="N464" s="37">
        <v>8.9145155325443781</v>
      </c>
      <c r="O464" s="37">
        <f t="shared" si="71"/>
        <v>3.0470101195952162</v>
      </c>
      <c r="P464" s="117">
        <f t="shared" si="67"/>
        <v>3.7143053357865687</v>
      </c>
      <c r="Q464" s="45">
        <f t="shared" si="72"/>
        <v>0.10965253884227862</v>
      </c>
    </row>
    <row r="465" spans="1:17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68"/>
        <v>464.09999999999997</v>
      </c>
      <c r="G465" s="730">
        <v>10</v>
      </c>
      <c r="H465" s="8"/>
      <c r="I465" s="8">
        <v>2</v>
      </c>
      <c r="J465" s="40">
        <f t="shared" ref="J465:J526" si="74">G465+H465+I465</f>
        <v>12</v>
      </c>
      <c r="K465" s="66">
        <f t="shared" si="69"/>
        <v>1.1039558417663294E-2</v>
      </c>
      <c r="L465" s="37">
        <f t="shared" si="70"/>
        <v>25.050193192272314</v>
      </c>
      <c r="M465" s="37">
        <f t="shared" si="73"/>
        <v>9.2109560367985299</v>
      </c>
      <c r="N465" s="37">
        <v>9.724926035502957</v>
      </c>
      <c r="O465" s="37">
        <f t="shared" si="71"/>
        <v>3.3240110395584184</v>
      </c>
      <c r="P465" s="117">
        <f t="shared" si="67"/>
        <v>4.0519694572217126</v>
      </c>
      <c r="Q465" s="45">
        <f t="shared" si="72"/>
        <v>0.1019394231935622</v>
      </c>
    </row>
    <row r="466" spans="1:17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68"/>
        <v>350.27000000000004</v>
      </c>
      <c r="G466" s="730">
        <v>8</v>
      </c>
      <c r="H466" s="8"/>
      <c r="I466" s="8">
        <v>1</v>
      </c>
      <c r="J466" s="40">
        <f t="shared" si="74"/>
        <v>9</v>
      </c>
      <c r="K466" s="66">
        <f t="shared" si="69"/>
        <v>8.2796688132474698E-3</v>
      </c>
      <c r="L466" s="37">
        <f t="shared" si="70"/>
        <v>18.787644894204231</v>
      </c>
      <c r="M466" s="37">
        <f t="shared" si="73"/>
        <v>6.9082170275988961</v>
      </c>
      <c r="N466" s="37">
        <v>7.2936945266272177</v>
      </c>
      <c r="O466" s="37">
        <f t="shared" si="71"/>
        <v>2.4930082796688136</v>
      </c>
      <c r="P466" s="117">
        <f t="shared" si="67"/>
        <v>3.038977092916284</v>
      </c>
      <c r="Q466" s="45">
        <f t="shared" si="72"/>
        <v>0.10130061018100082</v>
      </c>
    </row>
    <row r="467" spans="1:17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68"/>
        <v>396.61</v>
      </c>
      <c r="G467" s="730">
        <v>9</v>
      </c>
      <c r="H467" s="8"/>
      <c r="I467" s="8"/>
      <c r="J467" s="40">
        <f t="shared" si="74"/>
        <v>9</v>
      </c>
      <c r="K467" s="66">
        <f t="shared" si="69"/>
        <v>8.2796688132474698E-3</v>
      </c>
      <c r="L467" s="37">
        <f t="shared" si="70"/>
        <v>18.787644894204231</v>
      </c>
      <c r="M467" s="37">
        <f t="shared" si="73"/>
        <v>6.9082170275988961</v>
      </c>
      <c r="N467" s="37">
        <v>7.2936945266272177</v>
      </c>
      <c r="O467" s="37">
        <f t="shared" si="71"/>
        <v>2.4930082796688136</v>
      </c>
      <c r="P467" s="117">
        <f t="shared" si="67"/>
        <v>3.038977092916284</v>
      </c>
      <c r="Q467" s="45">
        <f t="shared" si="72"/>
        <v>8.9464624512995541E-2</v>
      </c>
    </row>
    <row r="468" spans="1:17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68"/>
        <v>380.01000000000005</v>
      </c>
      <c r="G468" s="730">
        <v>9</v>
      </c>
      <c r="H468" s="8"/>
      <c r="I468" s="8">
        <v>1</v>
      </c>
      <c r="J468" s="40">
        <f t="shared" si="74"/>
        <v>10</v>
      </c>
      <c r="K468" s="66">
        <f t="shared" si="69"/>
        <v>9.1996320147194107E-3</v>
      </c>
      <c r="L468" s="37">
        <f t="shared" si="70"/>
        <v>20.875160993560257</v>
      </c>
      <c r="M468" s="37">
        <f t="shared" si="73"/>
        <v>7.6757966973321068</v>
      </c>
      <c r="N468" s="37">
        <v>8.1041050295857975</v>
      </c>
      <c r="O468" s="37">
        <f t="shared" si="71"/>
        <v>2.7700091996320149</v>
      </c>
      <c r="P468" s="117">
        <f t="shared" si="67"/>
        <v>3.3766412143514262</v>
      </c>
      <c r="Q468" s="45">
        <f t="shared" si="72"/>
        <v>0.10374745906715659</v>
      </c>
    </row>
    <row r="469" spans="1:17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68"/>
        <v>501.9</v>
      </c>
      <c r="G469" s="730">
        <v>13</v>
      </c>
      <c r="H469" s="8"/>
      <c r="I469" s="8"/>
      <c r="J469" s="40">
        <f t="shared" si="74"/>
        <v>13</v>
      </c>
      <c r="K469" s="66">
        <f t="shared" si="69"/>
        <v>1.1959521619135235E-2</v>
      </c>
      <c r="L469" s="37">
        <f t="shared" si="70"/>
        <v>27.137709291628337</v>
      </c>
      <c r="M469" s="37">
        <f t="shared" si="73"/>
        <v>9.9785357065317406</v>
      </c>
      <c r="N469" s="37">
        <v>10.535336538461538</v>
      </c>
      <c r="O469" s="37">
        <f t="shared" si="71"/>
        <v>3.6010119595216197</v>
      </c>
      <c r="P469" s="117">
        <f t="shared" si="67"/>
        <v>4.3896335786568548</v>
      </c>
      <c r="Q469" s="45">
        <f t="shared" si="72"/>
        <v>0.10211714185324415</v>
      </c>
    </row>
    <row r="470" spans="1:17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68"/>
        <v>406.9</v>
      </c>
      <c r="G470" s="730">
        <v>10</v>
      </c>
      <c r="H470" s="8"/>
      <c r="I470" s="8"/>
      <c r="J470" s="40">
        <f t="shared" si="74"/>
        <v>10</v>
      </c>
      <c r="K470" s="66">
        <f t="shared" si="69"/>
        <v>9.1996320147194107E-3</v>
      </c>
      <c r="L470" s="37">
        <f t="shared" si="70"/>
        <v>20.875160993560257</v>
      </c>
      <c r="M470" s="37">
        <f t="shared" si="73"/>
        <v>7.6757966973321068</v>
      </c>
      <c r="N470" s="37">
        <v>8.1041050295857975</v>
      </c>
      <c r="O470" s="37">
        <f t="shared" si="71"/>
        <v>2.7700091996320149</v>
      </c>
      <c r="P470" s="117">
        <f t="shared" si="67"/>
        <v>3.3766412143514262</v>
      </c>
      <c r="Q470" s="45">
        <f t="shared" si="72"/>
        <v>9.689130479260305E-2</v>
      </c>
    </row>
    <row r="471" spans="1:17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68"/>
        <v>583.66999999999996</v>
      </c>
      <c r="G471" s="730">
        <v>13</v>
      </c>
      <c r="H471" s="8"/>
      <c r="I471" s="8"/>
      <c r="J471" s="40">
        <f t="shared" si="74"/>
        <v>13</v>
      </c>
      <c r="K471" s="66">
        <f t="shared" si="69"/>
        <v>1.1959521619135235E-2</v>
      </c>
      <c r="L471" s="37">
        <f t="shared" si="70"/>
        <v>27.137709291628337</v>
      </c>
      <c r="M471" s="37">
        <f t="shared" si="73"/>
        <v>9.9785357065317406</v>
      </c>
      <c r="N471" s="37">
        <v>10.535336538461538</v>
      </c>
      <c r="O471" s="37">
        <f t="shared" si="71"/>
        <v>3.6010119595216197</v>
      </c>
      <c r="P471" s="117">
        <f t="shared" si="67"/>
        <v>4.3896335786568548</v>
      </c>
      <c r="Q471" s="45">
        <f t="shared" si="72"/>
        <v>8.7810909411385266E-2</v>
      </c>
    </row>
    <row r="472" spans="1:17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68"/>
        <v>634.80999999999995</v>
      </c>
      <c r="G472" s="730">
        <v>19</v>
      </c>
      <c r="H472" s="8"/>
      <c r="I472" s="8"/>
      <c r="J472" s="40">
        <f t="shared" si="74"/>
        <v>19</v>
      </c>
      <c r="K472" s="66">
        <f t="shared" si="69"/>
        <v>1.7479300827966882E-2</v>
      </c>
      <c r="L472" s="37">
        <f t="shared" si="70"/>
        <v>39.662805887764492</v>
      </c>
      <c r="M472" s="37">
        <f t="shared" si="73"/>
        <v>14.584013724931005</v>
      </c>
      <c r="N472" s="37">
        <v>15.397799556213016</v>
      </c>
      <c r="O472" s="37">
        <f t="shared" si="71"/>
        <v>5.2630174793008289</v>
      </c>
      <c r="P472" s="117">
        <f t="shared" si="67"/>
        <v>6.4156183072677111</v>
      </c>
      <c r="Q472" s="45">
        <f t="shared" si="72"/>
        <v>0.11800008923647919</v>
      </c>
    </row>
    <row r="473" spans="1:17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68"/>
        <v>312.74</v>
      </c>
      <c r="G473" s="730">
        <v>6</v>
      </c>
      <c r="H473" s="8"/>
      <c r="I473" s="8"/>
      <c r="J473" s="40">
        <f t="shared" si="74"/>
        <v>6</v>
      </c>
      <c r="K473" s="66">
        <f t="shared" si="69"/>
        <v>5.5197792088316471E-3</v>
      </c>
      <c r="L473" s="37">
        <f t="shared" si="70"/>
        <v>12.525096596136157</v>
      </c>
      <c r="M473" s="37">
        <f t="shared" si="73"/>
        <v>4.605478018399265</v>
      </c>
      <c r="N473" s="37">
        <v>4.8624630177514785</v>
      </c>
      <c r="O473" s="37">
        <f t="shared" si="71"/>
        <v>1.6620055197792092</v>
      </c>
      <c r="P473" s="117">
        <f t="shared" si="67"/>
        <v>2.0259847286108563</v>
      </c>
      <c r="Q473" s="45">
        <f t="shared" si="72"/>
        <v>7.5638048065697086E-2</v>
      </c>
    </row>
    <row r="474" spans="1:17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68"/>
        <v>359.3</v>
      </c>
      <c r="G474" s="730">
        <v>6</v>
      </c>
      <c r="H474" s="8"/>
      <c r="I474" s="8"/>
      <c r="J474" s="40">
        <f t="shared" si="74"/>
        <v>6</v>
      </c>
      <c r="K474" s="66">
        <f t="shared" si="69"/>
        <v>5.5197792088316471E-3</v>
      </c>
      <c r="L474" s="37">
        <f t="shared" si="70"/>
        <v>12.525096596136157</v>
      </c>
      <c r="M474" s="37">
        <f t="shared" si="73"/>
        <v>4.605478018399265</v>
      </c>
      <c r="N474" s="37">
        <v>4.8624630177514785</v>
      </c>
      <c r="O474" s="37">
        <f t="shared" si="71"/>
        <v>1.6620055197792092</v>
      </c>
      <c r="P474" s="117">
        <f t="shared" si="67"/>
        <v>2.0259847286108563</v>
      </c>
      <c r="Q474" s="45">
        <f t="shared" si="72"/>
        <v>6.5836468555708613E-2</v>
      </c>
    </row>
    <row r="475" spans="1:17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68"/>
        <v>417.17</v>
      </c>
      <c r="G475" s="730">
        <v>12</v>
      </c>
      <c r="H475" s="8"/>
      <c r="I475" s="8">
        <v>1</v>
      </c>
      <c r="J475" s="40">
        <f t="shared" si="74"/>
        <v>13</v>
      </c>
      <c r="K475" s="66">
        <f t="shared" si="69"/>
        <v>1.1959521619135235E-2</v>
      </c>
      <c r="L475" s="37">
        <f t="shared" si="70"/>
        <v>27.137709291628337</v>
      </c>
      <c r="M475" s="37">
        <f t="shared" si="73"/>
        <v>9.9785357065317406</v>
      </c>
      <c r="N475" s="37">
        <v>10.535336538461538</v>
      </c>
      <c r="O475" s="37">
        <f t="shared" si="71"/>
        <v>3.6010119595216197</v>
      </c>
      <c r="P475" s="117">
        <f t="shared" si="67"/>
        <v>4.3896335786568548</v>
      </c>
      <c r="Q475" s="45">
        <f t="shared" si="72"/>
        <v>0.12285781215366214</v>
      </c>
    </row>
    <row r="476" spans="1:17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68"/>
        <v>249.3</v>
      </c>
      <c r="G476" s="730">
        <v>6</v>
      </c>
      <c r="H476" s="8"/>
      <c r="I476" s="8">
        <v>1</v>
      </c>
      <c r="J476" s="40">
        <f t="shared" si="74"/>
        <v>7</v>
      </c>
      <c r="K476" s="66">
        <f t="shared" si="69"/>
        <v>6.439742410303588E-3</v>
      </c>
      <c r="L476" s="37">
        <f t="shared" si="70"/>
        <v>14.612612695492182</v>
      </c>
      <c r="M476" s="37">
        <f t="shared" si="73"/>
        <v>5.3730576881324756</v>
      </c>
      <c r="N476" s="37">
        <v>5.6728735207100591</v>
      </c>
      <c r="O476" s="37">
        <f t="shared" si="71"/>
        <v>1.9390064397424105</v>
      </c>
      <c r="P476" s="117">
        <f t="shared" si="67"/>
        <v>2.3636488500459985</v>
      </c>
      <c r="Q476" s="45">
        <f t="shared" si="72"/>
        <v>0.11070016182943092</v>
      </c>
    </row>
    <row r="477" spans="1:17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68"/>
        <v>534.94000000000005</v>
      </c>
      <c r="G477" s="730">
        <v>13</v>
      </c>
      <c r="H477" s="8"/>
      <c r="I477" s="8">
        <v>2</v>
      </c>
      <c r="J477" s="40">
        <f t="shared" si="74"/>
        <v>15</v>
      </c>
      <c r="K477" s="66">
        <f t="shared" si="69"/>
        <v>1.3799448022079117E-2</v>
      </c>
      <c r="L477" s="37">
        <f t="shared" si="70"/>
        <v>31.31274149034039</v>
      </c>
      <c r="M477" s="37">
        <f t="shared" si="73"/>
        <v>11.513695045998162</v>
      </c>
      <c r="N477" s="37">
        <v>12.156157544378697</v>
      </c>
      <c r="O477" s="37">
        <f t="shared" si="71"/>
        <v>4.1550137994480227</v>
      </c>
      <c r="P477" s="117">
        <f t="shared" ref="P477:P540" si="75">O477*1.219</f>
        <v>5.0649618215271399</v>
      </c>
      <c r="Q477" s="45">
        <f t="shared" si="72"/>
        <v>0.11054998295166799</v>
      </c>
    </row>
    <row r="478" spans="1:17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68"/>
        <v>382.94</v>
      </c>
      <c r="G478" s="730">
        <v>9</v>
      </c>
      <c r="H478" s="8"/>
      <c r="I478" s="8">
        <v>2</v>
      </c>
      <c r="J478" s="40">
        <f t="shared" si="74"/>
        <v>11</v>
      </c>
      <c r="K478" s="66">
        <f t="shared" si="69"/>
        <v>1.0119595216191352E-2</v>
      </c>
      <c r="L478" s="37">
        <f t="shared" si="70"/>
        <v>22.962677092916284</v>
      </c>
      <c r="M478" s="37">
        <f t="shared" si="73"/>
        <v>8.4433763670653175</v>
      </c>
      <c r="N478" s="37">
        <v>8.9145155325443781</v>
      </c>
      <c r="O478" s="37">
        <f t="shared" si="71"/>
        <v>3.0470101195952162</v>
      </c>
      <c r="P478" s="117">
        <f t="shared" si="75"/>
        <v>3.7143053357865687</v>
      </c>
      <c r="Q478" s="45">
        <f t="shared" si="72"/>
        <v>0.11324901841573404</v>
      </c>
    </row>
    <row r="479" spans="1:17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68"/>
        <v>367.5</v>
      </c>
      <c r="G479" s="730">
        <v>11</v>
      </c>
      <c r="H479" s="8"/>
      <c r="I479" s="8"/>
      <c r="J479" s="40">
        <f t="shared" si="74"/>
        <v>11</v>
      </c>
      <c r="K479" s="66">
        <f t="shared" si="69"/>
        <v>1.0119595216191352E-2</v>
      </c>
      <c r="L479" s="37">
        <f t="shared" si="70"/>
        <v>22.962677092916284</v>
      </c>
      <c r="M479" s="37">
        <f t="shared" si="73"/>
        <v>8.4433763670653175</v>
      </c>
      <c r="N479" s="37">
        <v>8.9145155325443781</v>
      </c>
      <c r="O479" s="37">
        <f t="shared" si="71"/>
        <v>3.0470101195952162</v>
      </c>
      <c r="P479" s="117">
        <f t="shared" si="75"/>
        <v>3.7143053357865687</v>
      </c>
      <c r="Q479" s="45">
        <f t="shared" si="72"/>
        <v>0.11800701799216651</v>
      </c>
    </row>
    <row r="480" spans="1:17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68"/>
        <v>131.4</v>
      </c>
      <c r="G480" s="730">
        <v>4</v>
      </c>
      <c r="H480" s="8"/>
      <c r="I480" s="8"/>
      <c r="J480" s="40">
        <f t="shared" si="74"/>
        <v>4</v>
      </c>
      <c r="K480" s="66">
        <f t="shared" si="69"/>
        <v>3.6798528058877645E-3</v>
      </c>
      <c r="L480" s="37">
        <f t="shared" si="70"/>
        <v>8.350064397424104</v>
      </c>
      <c r="M480" s="37">
        <f t="shared" si="73"/>
        <v>3.0703186789328432</v>
      </c>
      <c r="N480" s="37">
        <v>3.2416420118343194</v>
      </c>
      <c r="O480" s="37">
        <f t="shared" si="71"/>
        <v>1.1080036798528059</v>
      </c>
      <c r="P480" s="117">
        <f t="shared" si="75"/>
        <v>1.3506564857405705</v>
      </c>
      <c r="Q480" s="45">
        <f t="shared" si="72"/>
        <v>0.12001543963503861</v>
      </c>
    </row>
    <row r="481" spans="1:17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68"/>
        <v>471.36</v>
      </c>
      <c r="G481" s="730">
        <v>15</v>
      </c>
      <c r="H481" s="8"/>
      <c r="I481" s="8"/>
      <c r="J481" s="40">
        <f t="shared" si="74"/>
        <v>15</v>
      </c>
      <c r="K481" s="66">
        <f t="shared" si="69"/>
        <v>1.3799448022079117E-2</v>
      </c>
      <c r="L481" s="37">
        <f t="shared" si="70"/>
        <v>31.31274149034039</v>
      </c>
      <c r="M481" s="37">
        <f t="shared" si="73"/>
        <v>11.513695045998162</v>
      </c>
      <c r="N481" s="37">
        <v>12.156157544378697</v>
      </c>
      <c r="O481" s="37">
        <f t="shared" si="71"/>
        <v>4.1550137994480227</v>
      </c>
      <c r="P481" s="117">
        <f t="shared" si="75"/>
        <v>5.0649618215271399</v>
      </c>
      <c r="Q481" s="45">
        <f t="shared" si="72"/>
        <v>0.12546165962356856</v>
      </c>
    </row>
    <row r="482" spans="1:17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68"/>
        <v>530.79999999999995</v>
      </c>
      <c r="G482" s="730">
        <v>17</v>
      </c>
      <c r="H482" s="8"/>
      <c r="I482" s="8"/>
      <c r="J482" s="40">
        <f t="shared" si="74"/>
        <v>17</v>
      </c>
      <c r="K482" s="66">
        <f t="shared" si="69"/>
        <v>1.5639374425023E-2</v>
      </c>
      <c r="L482" s="37">
        <f t="shared" si="70"/>
        <v>35.487773689052446</v>
      </c>
      <c r="M482" s="37">
        <f t="shared" si="73"/>
        <v>13.048854385464585</v>
      </c>
      <c r="N482" s="37">
        <v>13.776978550295858</v>
      </c>
      <c r="O482" s="37">
        <f t="shared" si="71"/>
        <v>4.7090156393744254</v>
      </c>
      <c r="P482" s="117">
        <f t="shared" si="75"/>
        <v>5.7402900643974251</v>
      </c>
      <c r="Q482" s="45">
        <f t="shared" si="72"/>
        <v>0.12626718587827301</v>
      </c>
    </row>
    <row r="483" spans="1:17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68"/>
        <v>330.15</v>
      </c>
      <c r="G483" s="730">
        <v>10</v>
      </c>
      <c r="H483" s="8"/>
      <c r="I483" s="8"/>
      <c r="J483" s="40">
        <f t="shared" si="74"/>
        <v>10</v>
      </c>
      <c r="K483" s="66">
        <f t="shared" si="69"/>
        <v>9.1996320147194107E-3</v>
      </c>
      <c r="L483" s="37">
        <f t="shared" si="70"/>
        <v>20.875160993560257</v>
      </c>
      <c r="M483" s="37">
        <f t="shared" si="73"/>
        <v>7.6757966973321068</v>
      </c>
      <c r="N483" s="37">
        <v>8.1041050295857975</v>
      </c>
      <c r="O483" s="37">
        <f t="shared" si="71"/>
        <v>2.7700091996320149</v>
      </c>
      <c r="P483" s="117">
        <f t="shared" si="75"/>
        <v>3.3766412143514262</v>
      </c>
      <c r="Q483" s="45">
        <f t="shared" si="72"/>
        <v>0.11941563507529965</v>
      </c>
    </row>
    <row r="484" spans="1:17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68"/>
        <v>242.1</v>
      </c>
      <c r="G484" s="730">
        <v>5</v>
      </c>
      <c r="H484" s="8"/>
      <c r="I484" s="8"/>
      <c r="J484" s="40">
        <f t="shared" si="74"/>
        <v>5</v>
      </c>
      <c r="K484" s="66">
        <f t="shared" si="69"/>
        <v>4.5998160073597054E-3</v>
      </c>
      <c r="L484" s="37">
        <f t="shared" si="70"/>
        <v>10.437580496780129</v>
      </c>
      <c r="M484" s="37">
        <f t="shared" si="73"/>
        <v>3.8378983486660534</v>
      </c>
      <c r="N484" s="37">
        <v>4.0520525147928987</v>
      </c>
      <c r="O484" s="37">
        <f t="shared" si="71"/>
        <v>1.3850045998160074</v>
      </c>
      <c r="P484" s="117">
        <f t="shared" si="75"/>
        <v>1.6883206071757131</v>
      </c>
      <c r="Q484" s="45">
        <f t="shared" si="72"/>
        <v>8.1423114250537332E-2</v>
      </c>
    </row>
    <row r="485" spans="1:17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68"/>
        <v>528.74</v>
      </c>
      <c r="G485" s="730">
        <v>16</v>
      </c>
      <c r="H485" s="8"/>
      <c r="I485" s="8"/>
      <c r="J485" s="40">
        <f t="shared" si="74"/>
        <v>16</v>
      </c>
      <c r="K485" s="66">
        <f t="shared" si="69"/>
        <v>1.4719411223551058E-2</v>
      </c>
      <c r="L485" s="37">
        <f t="shared" si="70"/>
        <v>33.400257589696416</v>
      </c>
      <c r="M485" s="37">
        <f t="shared" si="73"/>
        <v>12.281274715731373</v>
      </c>
      <c r="N485" s="37">
        <v>12.966568047337278</v>
      </c>
      <c r="O485" s="37">
        <f t="shared" si="71"/>
        <v>4.4320147194112236</v>
      </c>
      <c r="P485" s="117">
        <f t="shared" si="75"/>
        <v>5.402625942962282</v>
      </c>
      <c r="Q485" s="45">
        <f t="shared" si="72"/>
        <v>0.1193027103532479</v>
      </c>
    </row>
    <row r="486" spans="1:17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68"/>
        <v>140.6</v>
      </c>
      <c r="G486" s="730">
        <v>2</v>
      </c>
      <c r="H486" s="8"/>
      <c r="I486" s="8"/>
      <c r="J486" s="40">
        <f t="shared" si="74"/>
        <v>2</v>
      </c>
      <c r="K486" s="66">
        <f t="shared" si="69"/>
        <v>1.8399264029438822E-3</v>
      </c>
      <c r="L486" s="37">
        <f t="shared" si="70"/>
        <v>4.175032198712052</v>
      </c>
      <c r="M486" s="37">
        <f t="shared" si="73"/>
        <v>1.5351593394664216</v>
      </c>
      <c r="N486" s="37">
        <v>1.6208210059171597</v>
      </c>
      <c r="O486" s="37">
        <f t="shared" si="71"/>
        <v>0.55400183992640295</v>
      </c>
      <c r="P486" s="117">
        <f t="shared" si="75"/>
        <v>0.67532824287028526</v>
      </c>
      <c r="Q486" s="45">
        <f t="shared" si="72"/>
        <v>5.6081183385647486E-2</v>
      </c>
    </row>
    <row r="487" spans="1:17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68"/>
        <v>183.6</v>
      </c>
      <c r="G487" s="730">
        <v>4</v>
      </c>
      <c r="H487" s="8"/>
      <c r="I487" s="8"/>
      <c r="J487" s="40">
        <f t="shared" si="74"/>
        <v>4</v>
      </c>
      <c r="K487" s="66">
        <f t="shared" si="69"/>
        <v>3.6798528058877645E-3</v>
      </c>
      <c r="L487" s="37">
        <f t="shared" si="70"/>
        <v>8.350064397424104</v>
      </c>
      <c r="M487" s="37">
        <f t="shared" si="73"/>
        <v>3.0703186789328432</v>
      </c>
      <c r="N487" s="37">
        <v>3.2416420118343194</v>
      </c>
      <c r="O487" s="37">
        <f t="shared" si="71"/>
        <v>1.1080036798528059</v>
      </c>
      <c r="P487" s="117">
        <f t="shared" si="75"/>
        <v>1.3506564857405705</v>
      </c>
      <c r="Q487" s="45">
        <f t="shared" si="72"/>
        <v>8.589340287605704E-2</v>
      </c>
    </row>
    <row r="488" spans="1:17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68"/>
        <v>384.7</v>
      </c>
      <c r="G488" s="730">
        <v>9</v>
      </c>
      <c r="H488" s="8"/>
      <c r="I488" s="8"/>
      <c r="J488" s="40">
        <f t="shared" si="74"/>
        <v>9</v>
      </c>
      <c r="K488" s="66">
        <f t="shared" si="69"/>
        <v>8.2796688132474698E-3</v>
      </c>
      <c r="L488" s="37">
        <f t="shared" si="70"/>
        <v>18.787644894204231</v>
      </c>
      <c r="M488" s="37">
        <f t="shared" si="73"/>
        <v>6.9082170275988961</v>
      </c>
      <c r="N488" s="37">
        <v>7.2936945266272177</v>
      </c>
      <c r="O488" s="37">
        <f t="shared" si="71"/>
        <v>2.4930082796688136</v>
      </c>
      <c r="P488" s="117">
        <f t="shared" si="75"/>
        <v>3.038977092916284</v>
      </c>
      <c r="Q488" s="45">
        <f t="shared" si="72"/>
        <v>9.2234376730177189E-2</v>
      </c>
    </row>
    <row r="489" spans="1:17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730">
        <v>52</v>
      </c>
      <c r="H489" s="8"/>
      <c r="I489" s="8">
        <v>3</v>
      </c>
      <c r="J489" s="40">
        <f t="shared" si="74"/>
        <v>55</v>
      </c>
      <c r="K489" s="66">
        <f t="shared" si="69"/>
        <v>5.0597976080956758E-2</v>
      </c>
      <c r="L489" s="37">
        <f t="shared" si="70"/>
        <v>114.81338546458142</v>
      </c>
      <c r="M489" s="37">
        <f t="shared" si="73"/>
        <v>42.216881835326589</v>
      </c>
      <c r="N489" s="37">
        <v>44.572577662721891</v>
      </c>
      <c r="O489" s="37">
        <f t="shared" si="71"/>
        <v>15.23505059797608</v>
      </c>
      <c r="P489" s="117">
        <f t="shared" si="75"/>
        <v>18.571526678932845</v>
      </c>
      <c r="Q489" s="45">
        <f t="shared" si="72"/>
        <v>0.1140729747750272</v>
      </c>
    </row>
    <row r="490" spans="1:17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730">
        <v>9</v>
      </c>
      <c r="H490" s="8"/>
      <c r="I490" s="8"/>
      <c r="J490" s="40">
        <f t="shared" si="74"/>
        <v>9</v>
      </c>
      <c r="K490" s="66">
        <f t="shared" si="69"/>
        <v>8.2796688132474698E-3</v>
      </c>
      <c r="L490" s="37">
        <f t="shared" si="70"/>
        <v>18.787644894204231</v>
      </c>
      <c r="M490" s="37">
        <f t="shared" si="73"/>
        <v>6.9082170275988961</v>
      </c>
      <c r="N490" s="37">
        <v>7.2936945266272177</v>
      </c>
      <c r="O490" s="37">
        <f t="shared" si="71"/>
        <v>2.4930082796688136</v>
      </c>
      <c r="P490" s="117">
        <f t="shared" si="75"/>
        <v>3.038977092916284</v>
      </c>
      <c r="Q490" s="45">
        <f t="shared" si="72"/>
        <v>9.7909946821465685E-2</v>
      </c>
    </row>
    <row r="491" spans="1:17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68"/>
        <v>196.1</v>
      </c>
      <c r="G491" s="730">
        <v>4</v>
      </c>
      <c r="H491" s="8"/>
      <c r="I491" s="8">
        <v>1</v>
      </c>
      <c r="J491" s="40">
        <f t="shared" si="74"/>
        <v>5</v>
      </c>
      <c r="K491" s="66">
        <f t="shared" si="69"/>
        <v>4.5998160073597054E-3</v>
      </c>
      <c r="L491" s="37">
        <f t="shared" si="70"/>
        <v>10.437580496780129</v>
      </c>
      <c r="M491" s="37">
        <f t="shared" si="73"/>
        <v>3.8378983486660534</v>
      </c>
      <c r="N491" s="37">
        <v>4.0520525147928987</v>
      </c>
      <c r="O491" s="37">
        <f t="shared" si="71"/>
        <v>1.3850045998160074</v>
      </c>
      <c r="P491" s="117">
        <f t="shared" si="75"/>
        <v>1.6883206071757131</v>
      </c>
      <c r="Q491" s="45">
        <f t="shared" si="72"/>
        <v>0.10052287587993416</v>
      </c>
    </row>
    <row r="492" spans="1:17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68"/>
        <v>98.48</v>
      </c>
      <c r="G492" s="730">
        <v>4</v>
      </c>
      <c r="H492" s="8"/>
      <c r="I492" s="8"/>
      <c r="J492" s="40">
        <f t="shared" si="74"/>
        <v>4</v>
      </c>
      <c r="K492" s="66">
        <f t="shared" si="69"/>
        <v>3.6798528058877645E-3</v>
      </c>
      <c r="L492" s="37">
        <f t="shared" si="70"/>
        <v>8.350064397424104</v>
      </c>
      <c r="M492" s="37">
        <f t="shared" si="73"/>
        <v>3.0703186789328432</v>
      </c>
      <c r="N492" s="37">
        <v>3.2416420118343194</v>
      </c>
      <c r="O492" s="37">
        <f t="shared" si="71"/>
        <v>1.1080036798528059</v>
      </c>
      <c r="P492" s="117">
        <f t="shared" si="75"/>
        <v>1.3506564857405705</v>
      </c>
      <c r="Q492" s="45">
        <f t="shared" si="72"/>
        <v>0.16013432948866849</v>
      </c>
    </row>
    <row r="493" spans="1:17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68"/>
        <v>2328.6</v>
      </c>
      <c r="G493" s="730">
        <v>48</v>
      </c>
      <c r="H493" s="8"/>
      <c r="I493" s="8"/>
      <c r="J493" s="40">
        <f t="shared" si="74"/>
        <v>48</v>
      </c>
      <c r="K493" s="66">
        <f t="shared" si="69"/>
        <v>4.4158233670653177E-2</v>
      </c>
      <c r="L493" s="37">
        <f t="shared" si="70"/>
        <v>100.20077276908926</v>
      </c>
      <c r="M493" s="37">
        <f t="shared" si="73"/>
        <v>36.84382414719412</v>
      </c>
      <c r="N493" s="37">
        <v>38.899704142011828</v>
      </c>
      <c r="O493" s="37">
        <f t="shared" si="71"/>
        <v>13.296044158233673</v>
      </c>
      <c r="P493" s="117">
        <f t="shared" si="75"/>
        <v>16.207877828886851</v>
      </c>
      <c r="Q493" s="45">
        <f t="shared" si="72"/>
        <v>8.1267862757248496E-2</v>
      </c>
    </row>
    <row r="494" spans="1:17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68"/>
        <v>479.01</v>
      </c>
      <c r="G494" s="730">
        <v>15</v>
      </c>
      <c r="H494" s="8"/>
      <c r="I494" s="8"/>
      <c r="J494" s="40">
        <f t="shared" si="74"/>
        <v>15</v>
      </c>
      <c r="K494" s="66">
        <f t="shared" ref="K494:K512" si="76">5/5435*J494</f>
        <v>1.3799448022079117E-2</v>
      </c>
      <c r="L494" s="37">
        <f t="shared" si="70"/>
        <v>31.31274149034039</v>
      </c>
      <c r="M494" s="37">
        <f t="shared" si="73"/>
        <v>11.513695045998162</v>
      </c>
      <c r="N494" s="37">
        <v>12.156157544378697</v>
      </c>
      <c r="O494" s="37">
        <f t="shared" si="71"/>
        <v>4.1550137994480227</v>
      </c>
      <c r="P494" s="117">
        <f t="shared" si="75"/>
        <v>5.0649618215271399</v>
      </c>
      <c r="Q494" s="45">
        <f t="shared" si="72"/>
        <v>0.12345798183788496</v>
      </c>
    </row>
    <row r="495" spans="1:17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68"/>
        <v>479.14</v>
      </c>
      <c r="G495" s="730">
        <v>15</v>
      </c>
      <c r="H495" s="8"/>
      <c r="I495" s="8"/>
      <c r="J495" s="40">
        <f t="shared" si="74"/>
        <v>15</v>
      </c>
      <c r="K495" s="66">
        <f t="shared" si="76"/>
        <v>1.3799448022079117E-2</v>
      </c>
      <c r="L495" s="37">
        <f t="shared" si="70"/>
        <v>31.31274149034039</v>
      </c>
      <c r="M495" s="37">
        <f t="shared" si="73"/>
        <v>11.513695045998162</v>
      </c>
      <c r="N495" s="37">
        <v>12.156157544378697</v>
      </c>
      <c r="O495" s="37">
        <f t="shared" si="71"/>
        <v>4.1550137994480227</v>
      </c>
      <c r="P495" s="117">
        <f t="shared" si="75"/>
        <v>5.0649618215271399</v>
      </c>
      <c r="Q495" s="45">
        <f t="shared" si="72"/>
        <v>0.12342448528648262</v>
      </c>
    </row>
    <row r="496" spans="1:17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68"/>
        <v>1158.5899999999999</v>
      </c>
      <c r="G496" s="730">
        <v>34</v>
      </c>
      <c r="H496" s="8"/>
      <c r="I496" s="8"/>
      <c r="J496" s="40">
        <f t="shared" si="74"/>
        <v>34</v>
      </c>
      <c r="K496" s="66">
        <f t="shared" si="76"/>
        <v>3.1278748850046001E-2</v>
      </c>
      <c r="L496" s="37">
        <f t="shared" si="70"/>
        <v>70.975547378104892</v>
      </c>
      <c r="M496" s="37">
        <f t="shared" si="73"/>
        <v>26.09770877092917</v>
      </c>
      <c r="N496" s="37">
        <v>27.553957100591717</v>
      </c>
      <c r="O496" s="37">
        <f t="shared" si="71"/>
        <v>9.4180312787488507</v>
      </c>
      <c r="P496" s="117">
        <f t="shared" si="75"/>
        <v>11.48058012879485</v>
      </c>
      <c r="Q496" s="45">
        <f t="shared" si="72"/>
        <v>0.11569687683164417</v>
      </c>
    </row>
    <row r="497" spans="1:17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68"/>
        <v>368.99</v>
      </c>
      <c r="G497" s="730">
        <v>12</v>
      </c>
      <c r="H497" s="8"/>
      <c r="I497" s="8"/>
      <c r="J497" s="40">
        <f t="shared" si="74"/>
        <v>12</v>
      </c>
      <c r="K497" s="66">
        <f t="shared" si="76"/>
        <v>1.1039558417663294E-2</v>
      </c>
      <c r="L497" s="37">
        <f t="shared" si="70"/>
        <v>25.050193192272314</v>
      </c>
      <c r="M497" s="37">
        <f t="shared" si="73"/>
        <v>9.2109560367985299</v>
      </c>
      <c r="N497" s="37">
        <v>9.724926035502957</v>
      </c>
      <c r="O497" s="37">
        <f t="shared" si="71"/>
        <v>3.3240110395584184</v>
      </c>
      <c r="P497" s="117">
        <f t="shared" si="75"/>
        <v>4.0519694572217126</v>
      </c>
      <c r="Q497" s="45">
        <f t="shared" si="72"/>
        <v>0.12821509066406192</v>
      </c>
    </row>
    <row r="498" spans="1:17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68"/>
        <v>346.24</v>
      </c>
      <c r="G498" s="730">
        <v>9</v>
      </c>
      <c r="H498" s="8"/>
      <c r="I498" s="8"/>
      <c r="J498" s="40">
        <f t="shared" si="74"/>
        <v>9</v>
      </c>
      <c r="K498" s="66">
        <f t="shared" si="76"/>
        <v>8.2796688132474698E-3</v>
      </c>
      <c r="L498" s="37">
        <f t="shared" si="70"/>
        <v>18.787644894204231</v>
      </c>
      <c r="M498" s="37">
        <f t="shared" si="73"/>
        <v>6.9082170275988961</v>
      </c>
      <c r="N498" s="37">
        <v>7.2936945266272177</v>
      </c>
      <c r="O498" s="37">
        <f t="shared" si="71"/>
        <v>2.4930082796688136</v>
      </c>
      <c r="P498" s="117">
        <f t="shared" si="75"/>
        <v>3.038977092916284</v>
      </c>
      <c r="Q498" s="45">
        <f t="shared" si="72"/>
        <v>0.10247968093836403</v>
      </c>
    </row>
    <row r="499" spans="1:17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68"/>
        <v>151.5</v>
      </c>
      <c r="G499" s="730">
        <v>3</v>
      </c>
      <c r="H499" s="8"/>
      <c r="I499" s="8"/>
      <c r="J499" s="40">
        <f t="shared" si="74"/>
        <v>3</v>
      </c>
      <c r="K499" s="66">
        <f t="shared" si="76"/>
        <v>2.7598896044158236E-3</v>
      </c>
      <c r="L499" s="37">
        <f t="shared" si="70"/>
        <v>6.2625482980680784</v>
      </c>
      <c r="M499" s="37">
        <f t="shared" si="73"/>
        <v>2.3027390091996325</v>
      </c>
      <c r="N499" s="37">
        <v>2.4312315088757392</v>
      </c>
      <c r="O499" s="37">
        <f t="shared" si="71"/>
        <v>0.83100275988960459</v>
      </c>
      <c r="P499" s="117">
        <f t="shared" si="75"/>
        <v>1.0129923643054282</v>
      </c>
      <c r="Q499" s="45">
        <f t="shared" si="72"/>
        <v>7.806944934675282E-2</v>
      </c>
    </row>
    <row r="500" spans="1:17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68"/>
        <v>123.6</v>
      </c>
      <c r="G500" s="730">
        <v>4</v>
      </c>
      <c r="H500" s="8"/>
      <c r="I500" s="8">
        <v>1</v>
      </c>
      <c r="J500" s="40">
        <f t="shared" si="74"/>
        <v>5</v>
      </c>
      <c r="K500" s="66">
        <f t="shared" si="76"/>
        <v>4.5998160073597054E-3</v>
      </c>
      <c r="L500" s="37">
        <f t="shared" si="70"/>
        <v>10.437580496780129</v>
      </c>
      <c r="M500" s="37">
        <f t="shared" si="73"/>
        <v>3.8378983486660534</v>
      </c>
      <c r="N500" s="37">
        <v>4.0520525147928987</v>
      </c>
      <c r="O500" s="37">
        <f t="shared" si="71"/>
        <v>1.3850045998160074</v>
      </c>
      <c r="P500" s="117">
        <f t="shared" si="75"/>
        <v>1.6883206071757131</v>
      </c>
      <c r="Q500" s="45">
        <f t="shared" si="72"/>
        <v>0.15948653689364958</v>
      </c>
    </row>
    <row r="501" spans="1:17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68"/>
        <v>624.51</v>
      </c>
      <c r="G501" s="730">
        <v>20</v>
      </c>
      <c r="H501" s="8"/>
      <c r="I501" s="8"/>
      <c r="J501" s="40">
        <f t="shared" si="74"/>
        <v>20</v>
      </c>
      <c r="K501" s="66">
        <f t="shared" si="76"/>
        <v>1.8399264029438821E-2</v>
      </c>
      <c r="L501" s="37">
        <f t="shared" si="70"/>
        <v>41.750321987120515</v>
      </c>
      <c r="M501" s="37">
        <f t="shared" si="73"/>
        <v>15.351593394664214</v>
      </c>
      <c r="N501" s="37">
        <v>16.208210059171595</v>
      </c>
      <c r="O501" s="37">
        <f t="shared" si="71"/>
        <v>5.5400183992640297</v>
      </c>
      <c r="P501" s="117">
        <f t="shared" si="75"/>
        <v>6.7532824287028523</v>
      </c>
      <c r="Q501" s="45">
        <f t="shared" si="72"/>
        <v>0.12625921737077125</v>
      </c>
    </row>
    <row r="502" spans="1:17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68"/>
        <v>202.5</v>
      </c>
      <c r="G502" s="730">
        <v>5</v>
      </c>
      <c r="H502" s="8"/>
      <c r="I502" s="8"/>
      <c r="J502" s="40">
        <f t="shared" si="74"/>
        <v>5</v>
      </c>
      <c r="K502" s="66">
        <f t="shared" si="76"/>
        <v>4.5998160073597054E-3</v>
      </c>
      <c r="L502" s="37">
        <f t="shared" si="70"/>
        <v>10.437580496780129</v>
      </c>
      <c r="M502" s="37">
        <f t="shared" si="73"/>
        <v>3.8378983486660534</v>
      </c>
      <c r="N502" s="37">
        <v>4.0520525147928987</v>
      </c>
      <c r="O502" s="37">
        <f t="shared" si="71"/>
        <v>1.3850045998160074</v>
      </c>
      <c r="P502" s="117">
        <f t="shared" si="75"/>
        <v>1.6883206071757131</v>
      </c>
      <c r="Q502" s="45">
        <f t="shared" si="72"/>
        <v>9.7345856592864641E-2</v>
      </c>
    </row>
    <row r="503" spans="1:17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68"/>
        <v>132.5</v>
      </c>
      <c r="G503" s="730">
        <v>4</v>
      </c>
      <c r="H503" s="8"/>
      <c r="I503" s="8"/>
      <c r="J503" s="40">
        <f t="shared" si="74"/>
        <v>4</v>
      </c>
      <c r="K503" s="66">
        <f t="shared" si="76"/>
        <v>3.6798528058877645E-3</v>
      </c>
      <c r="L503" s="37">
        <f t="shared" si="70"/>
        <v>8.350064397424104</v>
      </c>
      <c r="M503" s="37">
        <f t="shared" si="73"/>
        <v>3.0703186789328432</v>
      </c>
      <c r="N503" s="37">
        <v>3.2416420118343194</v>
      </c>
      <c r="O503" s="37">
        <f t="shared" si="71"/>
        <v>1.1080036798528059</v>
      </c>
      <c r="P503" s="117">
        <f t="shared" si="75"/>
        <v>1.3506564857405705</v>
      </c>
      <c r="Q503" s="45">
        <f t="shared" si="72"/>
        <v>0.11901908504184205</v>
      </c>
    </row>
    <row r="504" spans="1:17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68"/>
        <v>156.1</v>
      </c>
      <c r="G504" s="730">
        <v>2</v>
      </c>
      <c r="H504" s="8"/>
      <c r="I504" s="8"/>
      <c r="J504" s="40">
        <f t="shared" si="74"/>
        <v>2</v>
      </c>
      <c r="K504" s="66">
        <f t="shared" si="76"/>
        <v>1.8399264029438822E-3</v>
      </c>
      <c r="L504" s="37">
        <f t="shared" si="70"/>
        <v>4.175032198712052</v>
      </c>
      <c r="M504" s="37">
        <f t="shared" si="73"/>
        <v>1.5351593394664216</v>
      </c>
      <c r="N504" s="37">
        <v>1.6208210059171597</v>
      </c>
      <c r="O504" s="37">
        <f t="shared" si="71"/>
        <v>0.55400183992640295</v>
      </c>
      <c r="P504" s="117">
        <f t="shared" si="75"/>
        <v>0.67532824287028526</v>
      </c>
      <c r="Q504" s="45">
        <f t="shared" si="72"/>
        <v>5.0512584138514005E-2</v>
      </c>
    </row>
    <row r="505" spans="1:17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68"/>
        <v>138</v>
      </c>
      <c r="G505" s="730">
        <v>5</v>
      </c>
      <c r="H505" s="8"/>
      <c r="I505" s="8"/>
      <c r="J505" s="40">
        <f t="shared" si="74"/>
        <v>5</v>
      </c>
      <c r="K505" s="66">
        <f t="shared" si="76"/>
        <v>4.5998160073597054E-3</v>
      </c>
      <c r="L505" s="37">
        <f t="shared" si="70"/>
        <v>10.437580496780129</v>
      </c>
      <c r="M505" s="37">
        <f t="shared" si="73"/>
        <v>3.8378983486660534</v>
      </c>
      <c r="N505" s="37">
        <v>4.0520525147928987</v>
      </c>
      <c r="O505" s="37">
        <f t="shared" si="71"/>
        <v>1.3850045998160074</v>
      </c>
      <c r="P505" s="117">
        <f t="shared" si="75"/>
        <v>1.6883206071757131</v>
      </c>
      <c r="Q505" s="45">
        <f t="shared" si="72"/>
        <v>0.14284446347866006</v>
      </c>
    </row>
    <row r="506" spans="1:17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68"/>
        <v>137.69999999999999</v>
      </c>
      <c r="G506" s="730">
        <v>4</v>
      </c>
      <c r="H506" s="8"/>
      <c r="I506" s="8"/>
      <c r="J506" s="40">
        <f t="shared" si="74"/>
        <v>4</v>
      </c>
      <c r="K506" s="66">
        <f t="shared" si="76"/>
        <v>3.6798528058877645E-3</v>
      </c>
      <c r="L506" s="37">
        <f t="shared" si="70"/>
        <v>8.350064397424104</v>
      </c>
      <c r="M506" s="37">
        <f t="shared" si="73"/>
        <v>3.0703186789328432</v>
      </c>
      <c r="N506" s="37">
        <v>3.2416420118343194</v>
      </c>
      <c r="O506" s="37">
        <f t="shared" si="71"/>
        <v>1.1080036798528059</v>
      </c>
      <c r="P506" s="117">
        <f t="shared" si="75"/>
        <v>1.3506564857405705</v>
      </c>
      <c r="Q506" s="45">
        <f t="shared" si="72"/>
        <v>0.11452453716807606</v>
      </c>
    </row>
    <row r="507" spans="1:17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68"/>
        <v>184.88</v>
      </c>
      <c r="G507" s="730">
        <v>4</v>
      </c>
      <c r="H507" s="8"/>
      <c r="I507" s="8"/>
      <c r="J507" s="40">
        <f t="shared" si="74"/>
        <v>4</v>
      </c>
      <c r="K507" s="66">
        <f t="shared" si="76"/>
        <v>3.6798528058877645E-3</v>
      </c>
      <c r="L507" s="37">
        <f t="shared" si="70"/>
        <v>8.350064397424104</v>
      </c>
      <c r="M507" s="37">
        <f t="shared" si="73"/>
        <v>3.0703186789328432</v>
      </c>
      <c r="N507" s="37">
        <v>3.2416420118343194</v>
      </c>
      <c r="O507" s="37">
        <f t="shared" si="71"/>
        <v>1.1080036798528059</v>
      </c>
      <c r="P507" s="117">
        <f t="shared" si="75"/>
        <v>1.3506564857405705</v>
      </c>
      <c r="Q507" s="45">
        <f t="shared" si="72"/>
        <v>8.5298727650606199E-2</v>
      </c>
    </row>
    <row r="508" spans="1:17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68"/>
        <v>657.19</v>
      </c>
      <c r="G508" s="730">
        <v>20</v>
      </c>
      <c r="H508" s="8"/>
      <c r="I508" s="8">
        <v>1</v>
      </c>
      <c r="J508" s="40">
        <f t="shared" si="74"/>
        <v>21</v>
      </c>
      <c r="K508" s="66">
        <f t="shared" si="76"/>
        <v>1.9319227230910764E-2</v>
      </c>
      <c r="L508" s="37">
        <f t="shared" si="70"/>
        <v>43.837838086476545</v>
      </c>
      <c r="M508" s="37">
        <f t="shared" si="73"/>
        <v>16.119173064397426</v>
      </c>
      <c r="N508" s="37">
        <v>17.018620562130174</v>
      </c>
      <c r="O508" s="37">
        <f t="shared" si="71"/>
        <v>5.8170193192272315</v>
      </c>
      <c r="P508" s="117">
        <f t="shared" si="75"/>
        <v>7.0909465501379954</v>
      </c>
      <c r="Q508" s="45">
        <f t="shared" si="72"/>
        <v>0.12597977910837257</v>
      </c>
    </row>
    <row r="509" spans="1:17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68"/>
        <v>815.3</v>
      </c>
      <c r="G509" s="730">
        <v>29</v>
      </c>
      <c r="H509" s="8"/>
      <c r="I509" s="8"/>
      <c r="J509" s="40">
        <f t="shared" si="74"/>
        <v>29</v>
      </c>
      <c r="K509" s="66">
        <f t="shared" si="76"/>
        <v>2.6678932842686291E-2</v>
      </c>
      <c r="L509" s="37">
        <f t="shared" si="70"/>
        <v>60.537966881324749</v>
      </c>
      <c r="M509" s="37">
        <f t="shared" si="73"/>
        <v>22.259810422263111</v>
      </c>
      <c r="N509" s="37">
        <v>23.501904585798815</v>
      </c>
      <c r="O509" s="37">
        <f t="shared" si="71"/>
        <v>8.0330266789328437</v>
      </c>
      <c r="P509" s="117">
        <f t="shared" si="75"/>
        <v>9.7922595216191368</v>
      </c>
      <c r="Q509" s="45">
        <f t="shared" si="72"/>
        <v>0.14023391214070835</v>
      </c>
    </row>
    <row r="510" spans="1:17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68"/>
        <v>800.4</v>
      </c>
      <c r="G510" s="730">
        <v>32</v>
      </c>
      <c r="H510" s="8"/>
      <c r="I510" s="8"/>
      <c r="J510" s="40">
        <f t="shared" si="74"/>
        <v>32</v>
      </c>
      <c r="K510" s="66">
        <f t="shared" si="76"/>
        <v>2.9438822447102116E-2</v>
      </c>
      <c r="L510" s="37">
        <f t="shared" si="70"/>
        <v>66.800515179392832</v>
      </c>
      <c r="M510" s="37">
        <f t="shared" si="73"/>
        <v>24.562549431462745</v>
      </c>
      <c r="N510" s="37">
        <v>25.933136094674555</v>
      </c>
      <c r="O510" s="37">
        <f t="shared" si="71"/>
        <v>8.8640294388224472</v>
      </c>
      <c r="P510" s="117">
        <f t="shared" si="75"/>
        <v>10.805251885924564</v>
      </c>
      <c r="Q510" s="45">
        <f t="shared" si="72"/>
        <v>0.15762147694196973</v>
      </c>
    </row>
    <row r="511" spans="1:17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si="68"/>
        <v>285.10000000000002</v>
      </c>
      <c r="G511" s="730">
        <v>12</v>
      </c>
      <c r="H511" s="8"/>
      <c r="I511" s="8"/>
      <c r="J511" s="40">
        <f t="shared" si="74"/>
        <v>12</v>
      </c>
      <c r="K511" s="66">
        <f t="shared" si="76"/>
        <v>1.1039558417663294E-2</v>
      </c>
      <c r="L511" s="37">
        <f t="shared" si="70"/>
        <v>25.050193192272314</v>
      </c>
      <c r="M511" s="37">
        <f t="shared" si="73"/>
        <v>9.2109560367985299</v>
      </c>
      <c r="N511" s="37">
        <v>9.724926035502957</v>
      </c>
      <c r="O511" s="37">
        <f t="shared" si="71"/>
        <v>3.3240110395584184</v>
      </c>
      <c r="P511" s="117">
        <f t="shared" si="75"/>
        <v>4.0519694572217126</v>
      </c>
      <c r="Q511" s="45">
        <f t="shared" si="72"/>
        <v>0.16594207753115472</v>
      </c>
    </row>
    <row r="512" spans="1:17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ref="F512:F535" si="77">C512+D512+E512</f>
        <v>415.84</v>
      </c>
      <c r="G512" s="730">
        <v>10</v>
      </c>
      <c r="H512" s="8"/>
      <c r="I512" s="8"/>
      <c r="J512" s="40">
        <f t="shared" si="74"/>
        <v>10</v>
      </c>
      <c r="K512" s="66">
        <f t="shared" si="76"/>
        <v>9.1996320147194107E-3</v>
      </c>
      <c r="L512" s="37">
        <f t="shared" si="70"/>
        <v>20.875160993560257</v>
      </c>
      <c r="M512" s="37">
        <f t="shared" si="73"/>
        <v>7.6757966973321068</v>
      </c>
      <c r="N512" s="37">
        <v>8.1041050295857975</v>
      </c>
      <c r="O512" s="37">
        <f t="shared" si="71"/>
        <v>2.7700091996320149</v>
      </c>
      <c r="P512" s="117">
        <f t="shared" si="75"/>
        <v>3.3766412143514262</v>
      </c>
      <c r="Q512" s="45">
        <f t="shared" si="72"/>
        <v>9.4808272220349599E-2</v>
      </c>
    </row>
    <row r="513" spans="1:17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77"/>
        <v>516.34</v>
      </c>
      <c r="G513" s="730">
        <v>15</v>
      </c>
      <c r="H513" s="8"/>
      <c r="I513" s="8"/>
      <c r="J513" s="40">
        <f t="shared" si="74"/>
        <v>15</v>
      </c>
      <c r="K513" s="66">
        <f>5/5435*J513</f>
        <v>1.3799448022079117E-2</v>
      </c>
      <c r="L513" s="37">
        <f t="shared" si="70"/>
        <v>31.31274149034039</v>
      </c>
      <c r="M513" s="37">
        <f t="shared" si="73"/>
        <v>11.513695045998162</v>
      </c>
      <c r="N513" s="37">
        <v>12.156157544378697</v>
      </c>
      <c r="O513" s="37">
        <f t="shared" si="71"/>
        <v>4.1550137994480227</v>
      </c>
      <c r="P513" s="117">
        <f t="shared" si="75"/>
        <v>5.0649618215271399</v>
      </c>
      <c r="Q513" s="45">
        <f t="shared" si="72"/>
        <v>0.11453230019011751</v>
      </c>
    </row>
    <row r="514" spans="1:17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77"/>
        <v>605.14</v>
      </c>
      <c r="G514" s="730">
        <v>14</v>
      </c>
      <c r="H514" s="8"/>
      <c r="I514" s="8"/>
      <c r="J514" s="40">
        <f t="shared" si="74"/>
        <v>14</v>
      </c>
      <c r="K514" s="66">
        <f>5/5435*J514</f>
        <v>1.2879484820607176E-2</v>
      </c>
      <c r="L514" s="37">
        <f t="shared" ref="L514:L534" si="78">K514*2269.13</f>
        <v>29.225225390984363</v>
      </c>
      <c r="M514" s="37">
        <f t="shared" si="73"/>
        <v>10.746115376264951</v>
      </c>
      <c r="N514" s="37">
        <v>11.345747041420118</v>
      </c>
      <c r="O514" s="37">
        <f t="shared" si="71"/>
        <v>3.878012879484821</v>
      </c>
      <c r="P514" s="117">
        <f t="shared" si="75"/>
        <v>4.7272977000919969</v>
      </c>
      <c r="Q514" s="45">
        <f t="shared" si="72"/>
        <v>9.1210464831533625E-2</v>
      </c>
    </row>
    <row r="515" spans="1:17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77"/>
        <v>476.1</v>
      </c>
      <c r="G515" s="730">
        <v>16</v>
      </c>
      <c r="H515" s="8"/>
      <c r="I515" s="8"/>
      <c r="J515" s="40">
        <f t="shared" si="74"/>
        <v>16</v>
      </c>
      <c r="K515" s="66">
        <f>5/5435*J515</f>
        <v>1.4719411223551058E-2</v>
      </c>
      <c r="L515" s="37">
        <f t="shared" si="78"/>
        <v>33.400257589696416</v>
      </c>
      <c r="M515" s="37">
        <f t="shared" si="73"/>
        <v>12.281274715731373</v>
      </c>
      <c r="N515" s="37">
        <v>12.966568047337278</v>
      </c>
      <c r="O515" s="37">
        <f t="shared" si="71"/>
        <v>4.4320147194112236</v>
      </c>
      <c r="P515" s="117">
        <f t="shared" si="75"/>
        <v>5.402625942962282</v>
      </c>
      <c r="Q515" s="45">
        <f t="shared" si="72"/>
        <v>0.13249341540049631</v>
      </c>
    </row>
    <row r="516" spans="1:17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77"/>
        <v>417.52</v>
      </c>
      <c r="G516" s="730">
        <v>14</v>
      </c>
      <c r="H516" s="8"/>
      <c r="I516" s="8"/>
      <c r="J516" s="40">
        <f t="shared" si="74"/>
        <v>14</v>
      </c>
      <c r="K516" s="66">
        <f t="shared" ref="K516:K521" si="79">5/5435*J516</f>
        <v>1.2879484820607176E-2</v>
      </c>
      <c r="L516" s="37">
        <f t="shared" si="78"/>
        <v>29.225225390984363</v>
      </c>
      <c r="M516" s="37">
        <f t="shared" si="73"/>
        <v>10.746115376264951</v>
      </c>
      <c r="N516" s="37">
        <v>11.345747041420118</v>
      </c>
      <c r="O516" s="37">
        <f t="shared" ref="O516:O534" si="80">K516*301.1</f>
        <v>3.878012879484821</v>
      </c>
      <c r="P516" s="117">
        <f t="shared" si="75"/>
        <v>4.7272977000919969</v>
      </c>
      <c r="Q516" s="45">
        <f t="shared" si="72"/>
        <v>0.13219750116917575</v>
      </c>
    </row>
    <row r="517" spans="1:17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77"/>
        <v>273.56</v>
      </c>
      <c r="G517" s="730">
        <v>11</v>
      </c>
      <c r="H517" s="8"/>
      <c r="I517" s="8"/>
      <c r="J517" s="40">
        <f t="shared" si="74"/>
        <v>11</v>
      </c>
      <c r="K517" s="66">
        <f t="shared" si="79"/>
        <v>1.0119595216191352E-2</v>
      </c>
      <c r="L517" s="37">
        <f t="shared" si="78"/>
        <v>22.962677092916284</v>
      </c>
      <c r="M517" s="37">
        <f t="shared" si="73"/>
        <v>8.4433763670653175</v>
      </c>
      <c r="N517" s="37">
        <v>8.9145155325443781</v>
      </c>
      <c r="O517" s="37">
        <f t="shared" si="80"/>
        <v>3.0470101195952162</v>
      </c>
      <c r="P517" s="117">
        <f t="shared" si="75"/>
        <v>3.7143053357865687</v>
      </c>
      <c r="Q517" s="45">
        <f t="shared" si="72"/>
        <v>0.158530410557542</v>
      </c>
    </row>
    <row r="518" spans="1:17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77"/>
        <v>645.95000000000005</v>
      </c>
      <c r="G518" s="730">
        <v>19</v>
      </c>
      <c r="H518" s="8"/>
      <c r="I518" s="8"/>
      <c r="J518" s="40">
        <f t="shared" si="74"/>
        <v>19</v>
      </c>
      <c r="K518" s="66">
        <f t="shared" si="79"/>
        <v>1.7479300827966882E-2</v>
      </c>
      <c r="L518" s="37">
        <f t="shared" si="78"/>
        <v>39.662805887764492</v>
      </c>
      <c r="M518" s="37">
        <f t="shared" si="73"/>
        <v>14.584013724931005</v>
      </c>
      <c r="N518" s="37">
        <v>15.397799556213016</v>
      </c>
      <c r="O518" s="37">
        <f t="shared" si="80"/>
        <v>5.2630174793008289</v>
      </c>
      <c r="P518" s="117">
        <f t="shared" si="75"/>
        <v>6.4156183072677111</v>
      </c>
      <c r="Q518" s="45">
        <f t="shared" si="72"/>
        <v>0.11596506950725187</v>
      </c>
    </row>
    <row r="519" spans="1:17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77"/>
        <v>867.68</v>
      </c>
      <c r="G519" s="730">
        <v>27</v>
      </c>
      <c r="H519" s="8"/>
      <c r="I519" s="8"/>
      <c r="J519" s="40">
        <f t="shared" si="74"/>
        <v>27</v>
      </c>
      <c r="K519" s="66">
        <f t="shared" si="79"/>
        <v>2.4839006439742409E-2</v>
      </c>
      <c r="L519" s="37">
        <f t="shared" si="78"/>
        <v>56.362934682612696</v>
      </c>
      <c r="M519" s="37">
        <f t="shared" si="73"/>
        <v>20.72465108279669</v>
      </c>
      <c r="N519" s="37">
        <v>21.881083579881654</v>
      </c>
      <c r="O519" s="37">
        <f t="shared" si="80"/>
        <v>7.4790248390064402</v>
      </c>
      <c r="P519" s="117">
        <f t="shared" si="75"/>
        <v>9.1169312787488508</v>
      </c>
      <c r="Q519" s="45">
        <f t="shared" ref="Q519:Q582" si="81">(O519+N519+M519+L519)/F519</f>
        <v>0.12268082033041847</v>
      </c>
    </row>
    <row r="520" spans="1:17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77"/>
        <v>556.85</v>
      </c>
      <c r="G520" s="730">
        <v>14</v>
      </c>
      <c r="H520" s="8"/>
      <c r="I520" s="8">
        <v>1</v>
      </c>
      <c r="J520" s="40">
        <f t="shared" si="74"/>
        <v>15</v>
      </c>
      <c r="K520" s="66">
        <f t="shared" si="79"/>
        <v>1.3799448022079117E-2</v>
      </c>
      <c r="L520" s="37">
        <f t="shared" si="78"/>
        <v>31.31274149034039</v>
      </c>
      <c r="M520" s="37">
        <f t="shared" si="73"/>
        <v>11.513695045998162</v>
      </c>
      <c r="N520" s="37">
        <v>12.156157544378697</v>
      </c>
      <c r="O520" s="37">
        <f t="shared" si="80"/>
        <v>4.1550137994480227</v>
      </c>
      <c r="P520" s="117">
        <f t="shared" si="75"/>
        <v>5.0649618215271399</v>
      </c>
      <c r="Q520" s="45">
        <f t="shared" si="81"/>
        <v>0.10620024760737232</v>
      </c>
    </row>
    <row r="521" spans="1:17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77"/>
        <v>335.18</v>
      </c>
      <c r="G521" s="730">
        <v>8</v>
      </c>
      <c r="H521" s="8"/>
      <c r="I521" s="8"/>
      <c r="J521" s="40">
        <f t="shared" si="74"/>
        <v>8</v>
      </c>
      <c r="K521" s="66">
        <f t="shared" si="79"/>
        <v>7.3597056117755289E-3</v>
      </c>
      <c r="L521" s="37">
        <f t="shared" si="78"/>
        <v>16.700128794848208</v>
      </c>
      <c r="M521" s="37">
        <f t="shared" si="73"/>
        <v>6.1406373578656863</v>
      </c>
      <c r="N521" s="37">
        <v>6.4832840236686389</v>
      </c>
      <c r="O521" s="37">
        <f t="shared" si="80"/>
        <v>2.2160073597056118</v>
      </c>
      <c r="P521" s="117">
        <f t="shared" si="75"/>
        <v>2.701312971481141</v>
      </c>
      <c r="Q521" s="45">
        <f t="shared" si="81"/>
        <v>9.4098864896736509E-2</v>
      </c>
    </row>
    <row r="522" spans="1:17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77"/>
        <v>274.58999999999997</v>
      </c>
      <c r="G522" s="730">
        <v>7</v>
      </c>
      <c r="H522" s="8"/>
      <c r="I522" s="8"/>
      <c r="J522" s="40">
        <f t="shared" si="74"/>
        <v>7</v>
      </c>
      <c r="K522" s="66">
        <f t="shared" ref="K522:K530" si="82">5/5435*J522</f>
        <v>6.439742410303588E-3</v>
      </c>
      <c r="L522" s="37">
        <f t="shared" si="78"/>
        <v>14.612612695492182</v>
      </c>
      <c r="M522" s="37">
        <f t="shared" si="73"/>
        <v>5.3730576881324756</v>
      </c>
      <c r="N522" s="37">
        <v>5.6728735207100591</v>
      </c>
      <c r="O522" s="37">
        <f t="shared" si="80"/>
        <v>1.9390064397424105</v>
      </c>
      <c r="P522" s="117">
        <f t="shared" si="75"/>
        <v>2.3636488500459985</v>
      </c>
      <c r="Q522" s="45">
        <f t="shared" si="81"/>
        <v>0.10050457170354758</v>
      </c>
    </row>
    <row r="523" spans="1:17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77"/>
        <v>345.54</v>
      </c>
      <c r="G523" s="730">
        <v>10</v>
      </c>
      <c r="H523" s="8"/>
      <c r="I523" s="8"/>
      <c r="J523" s="40">
        <f t="shared" si="74"/>
        <v>10</v>
      </c>
      <c r="K523" s="66">
        <f t="shared" si="82"/>
        <v>9.1996320147194107E-3</v>
      </c>
      <c r="L523" s="37">
        <f t="shared" si="78"/>
        <v>20.875160993560257</v>
      </c>
      <c r="M523" s="37">
        <f t="shared" si="73"/>
        <v>7.6757966973321068</v>
      </c>
      <c r="N523" s="37">
        <v>8.1041050295857975</v>
      </c>
      <c r="O523" s="37">
        <f t="shared" si="80"/>
        <v>2.7700091996320149</v>
      </c>
      <c r="P523" s="117">
        <f t="shared" si="75"/>
        <v>3.3766412143514262</v>
      </c>
      <c r="Q523" s="45">
        <f t="shared" si="81"/>
        <v>0.11409698419896444</v>
      </c>
    </row>
    <row r="524" spans="1:17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77"/>
        <v>212.4</v>
      </c>
      <c r="G524" s="730">
        <v>7</v>
      </c>
      <c r="H524" s="8"/>
      <c r="I524" s="8"/>
      <c r="J524" s="40">
        <f t="shared" si="74"/>
        <v>7</v>
      </c>
      <c r="K524" s="66">
        <f t="shared" si="82"/>
        <v>6.439742410303588E-3</v>
      </c>
      <c r="L524" s="37">
        <f t="shared" si="78"/>
        <v>14.612612695492182</v>
      </c>
      <c r="M524" s="37">
        <f t="shared" si="73"/>
        <v>5.3730576881324756</v>
      </c>
      <c r="N524" s="37">
        <v>5.6728735207100591</v>
      </c>
      <c r="O524" s="37">
        <f t="shared" si="80"/>
        <v>1.9390064397424105</v>
      </c>
      <c r="P524" s="117">
        <f t="shared" si="75"/>
        <v>2.3636488500459985</v>
      </c>
      <c r="Q524" s="45">
        <f t="shared" si="81"/>
        <v>0.1299319696048829</v>
      </c>
    </row>
    <row r="525" spans="1:17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77"/>
        <v>257.2</v>
      </c>
      <c r="G525" s="730">
        <v>7</v>
      </c>
      <c r="H525" s="8"/>
      <c r="I525" s="8"/>
      <c r="J525" s="40">
        <f t="shared" si="74"/>
        <v>7</v>
      </c>
      <c r="K525" s="66">
        <f t="shared" si="82"/>
        <v>6.439742410303588E-3</v>
      </c>
      <c r="L525" s="37">
        <f t="shared" si="78"/>
        <v>14.612612695492182</v>
      </c>
      <c r="M525" s="37">
        <f t="shared" si="73"/>
        <v>5.3730576881324756</v>
      </c>
      <c r="N525" s="37">
        <v>5.6728735207100591</v>
      </c>
      <c r="O525" s="37">
        <f t="shared" si="80"/>
        <v>1.9390064397424105</v>
      </c>
      <c r="P525" s="117">
        <f t="shared" si="75"/>
        <v>2.3636488500459985</v>
      </c>
      <c r="Q525" s="45">
        <f t="shared" si="81"/>
        <v>0.10729996245753161</v>
      </c>
    </row>
    <row r="526" spans="1:17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77"/>
        <v>406.14</v>
      </c>
      <c r="G526" s="730">
        <v>9</v>
      </c>
      <c r="H526" s="8"/>
      <c r="I526" s="8">
        <v>1</v>
      </c>
      <c r="J526" s="40">
        <f t="shared" si="74"/>
        <v>10</v>
      </c>
      <c r="K526" s="66">
        <f t="shared" si="82"/>
        <v>9.1996320147194107E-3</v>
      </c>
      <c r="L526" s="37">
        <f t="shared" si="78"/>
        <v>20.875160993560257</v>
      </c>
      <c r="M526" s="37">
        <f t="shared" ref="M526:M534" si="83">L526*0.3677</f>
        <v>7.6757966973321068</v>
      </c>
      <c r="N526" s="37">
        <v>8.1041050295857975</v>
      </c>
      <c r="O526" s="37">
        <f t="shared" si="80"/>
        <v>2.7700091996320149</v>
      </c>
      <c r="P526" s="117">
        <f t="shared" si="75"/>
        <v>3.3766412143514262</v>
      </c>
      <c r="Q526" s="45">
        <f t="shared" si="81"/>
        <v>9.7072615157606193E-2</v>
      </c>
    </row>
    <row r="527" spans="1:17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77"/>
        <v>253.51</v>
      </c>
      <c r="G527" s="730">
        <v>9</v>
      </c>
      <c r="H527" s="8"/>
      <c r="I527" s="8"/>
      <c r="J527" s="40">
        <f t="shared" ref="J527:J534" si="84">G527+H527+I527</f>
        <v>9</v>
      </c>
      <c r="K527" s="66">
        <f t="shared" si="82"/>
        <v>8.2796688132474698E-3</v>
      </c>
      <c r="L527" s="37">
        <f t="shared" si="78"/>
        <v>18.787644894204231</v>
      </c>
      <c r="M527" s="37">
        <f t="shared" si="83"/>
        <v>6.9082170275988961</v>
      </c>
      <c r="N527" s="37">
        <v>7.2936945266272177</v>
      </c>
      <c r="O527" s="37">
        <f t="shared" si="80"/>
        <v>2.4930082796688136</v>
      </c>
      <c r="P527" s="117">
        <f t="shared" si="75"/>
        <v>3.038977092916284</v>
      </c>
      <c r="Q527" s="45">
        <f t="shared" si="81"/>
        <v>0.13996514823123019</v>
      </c>
    </row>
    <row r="528" spans="1:17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77"/>
        <v>354.64</v>
      </c>
      <c r="G528" s="730">
        <v>11</v>
      </c>
      <c r="H528" s="8"/>
      <c r="I528" s="8"/>
      <c r="J528" s="40">
        <f t="shared" si="84"/>
        <v>11</v>
      </c>
      <c r="K528" s="66">
        <f t="shared" si="82"/>
        <v>1.0119595216191352E-2</v>
      </c>
      <c r="L528" s="37">
        <f t="shared" si="78"/>
        <v>22.962677092916284</v>
      </c>
      <c r="M528" s="37">
        <f t="shared" si="83"/>
        <v>8.4433763670653175</v>
      </c>
      <c r="N528" s="37">
        <v>8.9145155325443781</v>
      </c>
      <c r="O528" s="37">
        <f t="shared" si="80"/>
        <v>3.0470101195952162</v>
      </c>
      <c r="P528" s="117">
        <f t="shared" si="75"/>
        <v>3.7143053357865687</v>
      </c>
      <c r="Q528" s="45">
        <f t="shared" si="81"/>
        <v>0.12228620322614819</v>
      </c>
    </row>
    <row r="529" spans="1:18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77"/>
        <v>286.98</v>
      </c>
      <c r="G529" s="730">
        <v>8</v>
      </c>
      <c r="H529" s="8"/>
      <c r="I529" s="8"/>
      <c r="J529" s="40">
        <f t="shared" si="84"/>
        <v>8</v>
      </c>
      <c r="K529" s="66">
        <f t="shared" si="82"/>
        <v>7.3597056117755289E-3</v>
      </c>
      <c r="L529" s="37">
        <f t="shared" si="78"/>
        <v>16.700128794848208</v>
      </c>
      <c r="M529" s="37">
        <f t="shared" si="83"/>
        <v>6.1406373578656863</v>
      </c>
      <c r="N529" s="37">
        <v>6.4832840236686389</v>
      </c>
      <c r="O529" s="37">
        <f t="shared" si="80"/>
        <v>2.2160073597056118</v>
      </c>
      <c r="P529" s="117">
        <f t="shared" si="75"/>
        <v>2.701312971481141</v>
      </c>
      <c r="Q529" s="45">
        <f t="shared" si="81"/>
        <v>0.10990332962606503</v>
      </c>
    </row>
    <row r="530" spans="1:18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77"/>
        <v>128.9</v>
      </c>
      <c r="G530" s="730">
        <v>3</v>
      </c>
      <c r="H530" s="8"/>
      <c r="I530" s="8"/>
      <c r="J530" s="40">
        <f t="shared" si="84"/>
        <v>3</v>
      </c>
      <c r="K530" s="66">
        <f t="shared" si="82"/>
        <v>2.7598896044158236E-3</v>
      </c>
      <c r="L530" s="37">
        <f t="shared" si="78"/>
        <v>6.2625482980680784</v>
      </c>
      <c r="M530" s="37">
        <f t="shared" si="83"/>
        <v>2.3027390091996325</v>
      </c>
      <c r="N530" s="37">
        <v>2.4312315088757392</v>
      </c>
      <c r="O530" s="37">
        <f t="shared" si="80"/>
        <v>0.83100275988960459</v>
      </c>
      <c r="P530" s="117">
        <f t="shared" si="75"/>
        <v>1.0129923643054282</v>
      </c>
      <c r="Q530" s="45">
        <f t="shared" si="81"/>
        <v>9.175734349133477E-2</v>
      </c>
    </row>
    <row r="531" spans="1:18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77"/>
        <v>2048.73</v>
      </c>
      <c r="G531" s="730">
        <v>48</v>
      </c>
      <c r="H531" s="8"/>
      <c r="I531" s="8"/>
      <c r="J531" s="40">
        <f t="shared" si="84"/>
        <v>48</v>
      </c>
      <c r="K531" s="66">
        <f>5/5435*J531</f>
        <v>4.4158233670653177E-2</v>
      </c>
      <c r="L531" s="37">
        <f t="shared" si="78"/>
        <v>100.20077276908926</v>
      </c>
      <c r="M531" s="37">
        <f t="shared" si="83"/>
        <v>36.84382414719412</v>
      </c>
      <c r="N531" s="37">
        <v>38.899704142011828</v>
      </c>
      <c r="O531" s="37">
        <f t="shared" si="80"/>
        <v>13.296044158233673</v>
      </c>
      <c r="P531" s="117">
        <f t="shared" si="75"/>
        <v>16.207877828886851</v>
      </c>
      <c r="Q531" s="45">
        <f t="shared" si="81"/>
        <v>9.2369587606238424E-2</v>
      </c>
    </row>
    <row r="532" spans="1:18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77"/>
        <v>2056.27</v>
      </c>
      <c r="G532" s="730">
        <v>48</v>
      </c>
      <c r="H532" s="8"/>
      <c r="I532" s="8"/>
      <c r="J532" s="40">
        <f t="shared" si="84"/>
        <v>48</v>
      </c>
      <c r="K532" s="66">
        <f>5/5435*J532</f>
        <v>4.4158233670653177E-2</v>
      </c>
      <c r="L532" s="37">
        <f t="shared" si="78"/>
        <v>100.20077276908926</v>
      </c>
      <c r="M532" s="37">
        <f t="shared" si="83"/>
        <v>36.84382414719412</v>
      </c>
      <c r="N532" s="37">
        <v>38.899704142011828</v>
      </c>
      <c r="O532" s="37">
        <f t="shared" si="80"/>
        <v>13.296044158233673</v>
      </c>
      <c r="P532" s="117">
        <f t="shared" si="75"/>
        <v>16.207877828886851</v>
      </c>
      <c r="Q532" s="45">
        <f t="shared" si="81"/>
        <v>9.2030883695491769E-2</v>
      </c>
    </row>
    <row r="533" spans="1:18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77"/>
        <v>75.900000000000006</v>
      </c>
      <c r="G533" s="730">
        <v>2</v>
      </c>
      <c r="H533" s="8"/>
      <c r="I533" s="8"/>
      <c r="J533" s="40">
        <f t="shared" si="84"/>
        <v>2</v>
      </c>
      <c r="K533" s="66">
        <f>5/5435*J533</f>
        <v>1.8399264029438822E-3</v>
      </c>
      <c r="L533" s="37">
        <f t="shared" si="78"/>
        <v>4.175032198712052</v>
      </c>
      <c r="M533" s="37">
        <f t="shared" si="83"/>
        <v>1.5351593394664216</v>
      </c>
      <c r="N533" s="37">
        <v>1.6208210059171597</v>
      </c>
      <c r="O533" s="37">
        <f t="shared" si="80"/>
        <v>0.55400183992640295</v>
      </c>
      <c r="P533" s="117">
        <f t="shared" si="75"/>
        <v>0.67532824287028526</v>
      </c>
      <c r="Q533" s="45">
        <f t="shared" si="81"/>
        <v>0.1038868825299346</v>
      </c>
    </row>
    <row r="534" spans="1:18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77"/>
        <v>903</v>
      </c>
      <c r="G534" s="281">
        <v>34</v>
      </c>
      <c r="H534" s="160"/>
      <c r="I534" s="160"/>
      <c r="J534" s="40">
        <f t="shared" si="84"/>
        <v>34</v>
      </c>
      <c r="K534" s="66">
        <f>5/5435*J534</f>
        <v>3.1278748850046001E-2</v>
      </c>
      <c r="L534" s="37">
        <f t="shared" si="78"/>
        <v>70.975547378104892</v>
      </c>
      <c r="M534" s="37">
        <f t="shared" si="83"/>
        <v>26.09770877092917</v>
      </c>
      <c r="N534" s="37">
        <v>27.553957100591717</v>
      </c>
      <c r="O534" s="37">
        <f t="shared" si="80"/>
        <v>9.4180312787488507</v>
      </c>
      <c r="P534" s="117">
        <f t="shared" si="75"/>
        <v>11.48058012879485</v>
      </c>
      <c r="Q534" s="45">
        <f t="shared" si="81"/>
        <v>0.14844434610008261</v>
      </c>
    </row>
    <row r="535" spans="1:18" s="67" customFormat="1" ht="15.75">
      <c r="A535" s="61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77"/>
        <v>243872.61000000004</v>
      </c>
      <c r="G535" s="155">
        <f>SUM(G386:G534)</f>
        <v>5384</v>
      </c>
      <c r="H535" s="63">
        <f>SUM(H386:H533)</f>
        <v>6</v>
      </c>
      <c r="I535" s="63">
        <f>SUM(I386:I533)</f>
        <v>45</v>
      </c>
      <c r="J535" s="63">
        <f>SUM(J386:J534)</f>
        <v>5435</v>
      </c>
      <c r="K535" s="66">
        <f>5/5435*J535</f>
        <v>5</v>
      </c>
      <c r="L535" s="37">
        <f>K535*2269.13</f>
        <v>11345.650000000001</v>
      </c>
      <c r="M535" s="62">
        <f t="shared" ref="M535:M580" si="85">L535*0.3677</f>
        <v>4171.795505000001</v>
      </c>
      <c r="N535" s="37">
        <f>SUM(N385:N534)</f>
        <v>4405.7156582840289</v>
      </c>
      <c r="O535" s="37">
        <f>K535*301.1*1.08</f>
        <v>1625.94</v>
      </c>
      <c r="P535" s="117">
        <f t="shared" si="75"/>
        <v>1982.0208600000003</v>
      </c>
      <c r="Q535" s="45">
        <f t="shared" si="81"/>
        <v>8.8362121368545765E-2</v>
      </c>
      <c r="R535" s="6"/>
    </row>
    <row r="536" spans="1:18" s="6" customFormat="1" ht="15.75">
      <c r="A536" s="9" t="s">
        <v>245</v>
      </c>
      <c r="B536" s="8"/>
      <c r="C536" s="8"/>
      <c r="D536" s="8"/>
      <c r="E536" s="8"/>
      <c r="F536" s="40">
        <f t="shared" ref="F536:F581" si="86">C536+D536+E536</f>
        <v>0</v>
      </c>
      <c r="G536" s="24"/>
      <c r="H536" s="8"/>
      <c r="I536" s="8"/>
      <c r="J536" s="40"/>
      <c r="K536" s="61"/>
      <c r="L536" s="37"/>
      <c r="M536" s="37"/>
      <c r="N536" s="37"/>
      <c r="O536" s="37"/>
      <c r="P536" s="117">
        <f t="shared" si="75"/>
        <v>0</v>
      </c>
      <c r="Q536" s="45" t="e">
        <f t="shared" si="81"/>
        <v>#DIV/0!</v>
      </c>
    </row>
    <row r="537" spans="1:18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si="86"/>
        <v>4713.8</v>
      </c>
      <c r="G537" s="24">
        <v>171</v>
      </c>
      <c r="H537" s="386">
        <v>1</v>
      </c>
      <c r="I537" s="386">
        <v>1</v>
      </c>
      <c r="J537" s="40">
        <f t="shared" ref="J537:J581" si="87">G537+H537+I537</f>
        <v>173</v>
      </c>
      <c r="K537" s="64">
        <f t="shared" ref="K537:K600" si="88">3/5255*J537</f>
        <v>9.876308277830638E-2</v>
      </c>
      <c r="L537" s="37">
        <f t="shared" ref="L537:L600" si="89">K537*2269.13</f>
        <v>224.10627402473835</v>
      </c>
      <c r="M537" s="37">
        <f t="shared" si="85"/>
        <v>82.403876958896305</v>
      </c>
      <c r="N537" s="37">
        <v>86.471062535639604</v>
      </c>
      <c r="O537" s="37">
        <f t="shared" ref="O537:O600" si="90">K537*301.1</f>
        <v>29.737564224548052</v>
      </c>
      <c r="P537" s="117">
        <f t="shared" si="75"/>
        <v>36.250090789724077</v>
      </c>
      <c r="Q537" s="45">
        <f t="shared" si="81"/>
        <v>8.9676858955369837E-2</v>
      </c>
    </row>
    <row r="538" spans="1:18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86"/>
        <v>14312.59</v>
      </c>
      <c r="G538" s="24">
        <v>251</v>
      </c>
      <c r="H538" s="330"/>
      <c r="I538" s="330"/>
      <c r="J538" s="40">
        <f t="shared" si="87"/>
        <v>251</v>
      </c>
      <c r="K538" s="64">
        <f t="shared" si="88"/>
        <v>0.1432921027592769</v>
      </c>
      <c r="L538" s="37">
        <f t="shared" si="89"/>
        <v>325.14840913415799</v>
      </c>
      <c r="M538" s="37">
        <f t="shared" si="85"/>
        <v>119.5570700386299</v>
      </c>
      <c r="N538" s="37">
        <v>125.45801558639042</v>
      </c>
      <c r="O538" s="37">
        <f t="shared" si="90"/>
        <v>43.145252140818279</v>
      </c>
      <c r="P538" s="117">
        <f t="shared" si="75"/>
        <v>52.594062359657485</v>
      </c>
      <c r="Q538" s="45">
        <f t="shared" si="81"/>
        <v>4.2850996702902586E-2</v>
      </c>
    </row>
    <row r="539" spans="1:18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86"/>
        <v>4226.7</v>
      </c>
      <c r="G539" s="24">
        <v>84</v>
      </c>
      <c r="H539" s="330"/>
      <c r="I539" s="330"/>
      <c r="J539" s="40">
        <f t="shared" si="87"/>
        <v>84</v>
      </c>
      <c r="K539" s="64">
        <f t="shared" si="88"/>
        <v>4.7954329210275932E-2</v>
      </c>
      <c r="L539" s="37">
        <f t="shared" si="89"/>
        <v>108.81460704091343</v>
      </c>
      <c r="M539" s="37">
        <f t="shared" si="85"/>
        <v>40.01113100894387</v>
      </c>
      <c r="N539" s="37">
        <v>41.985949439270101</v>
      </c>
      <c r="O539" s="37">
        <f t="shared" si="90"/>
        <v>14.439048525214085</v>
      </c>
      <c r="P539" s="117">
        <f t="shared" si="75"/>
        <v>17.601200152235972</v>
      </c>
      <c r="Q539" s="45">
        <f t="shared" si="81"/>
        <v>4.8560516718560938E-2</v>
      </c>
    </row>
    <row r="540" spans="1:18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86"/>
        <v>4136.82</v>
      </c>
      <c r="G540" s="24">
        <v>84</v>
      </c>
      <c r="H540" s="330"/>
      <c r="I540" s="330"/>
      <c r="J540" s="40">
        <f t="shared" si="87"/>
        <v>84</v>
      </c>
      <c r="K540" s="64">
        <f t="shared" si="88"/>
        <v>4.7954329210275932E-2</v>
      </c>
      <c r="L540" s="37">
        <f t="shared" si="89"/>
        <v>108.81460704091343</v>
      </c>
      <c r="M540" s="37">
        <f t="shared" si="85"/>
        <v>40.01113100894387</v>
      </c>
      <c r="N540" s="37">
        <v>41.985949439270101</v>
      </c>
      <c r="O540" s="37">
        <f t="shared" si="90"/>
        <v>14.439048525214085</v>
      </c>
      <c r="P540" s="117">
        <f t="shared" si="75"/>
        <v>17.601200152235972</v>
      </c>
      <c r="Q540" s="45">
        <f t="shared" si="81"/>
        <v>4.9615582987498012E-2</v>
      </c>
    </row>
    <row r="541" spans="1:18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86"/>
        <v>7984.78</v>
      </c>
      <c r="G541" s="24">
        <v>144</v>
      </c>
      <c r="H541" s="330"/>
      <c r="I541" s="330"/>
      <c r="J541" s="40">
        <f t="shared" si="87"/>
        <v>144</v>
      </c>
      <c r="K541" s="64">
        <f t="shared" si="88"/>
        <v>8.2207421503330172E-2</v>
      </c>
      <c r="L541" s="37">
        <f t="shared" si="89"/>
        <v>186.53932635585161</v>
      </c>
      <c r="M541" s="37">
        <f t="shared" si="85"/>
        <v>68.590510301046649</v>
      </c>
      <c r="N541" s="37">
        <v>71.975913324463022</v>
      </c>
      <c r="O541" s="37">
        <f t="shared" si="90"/>
        <v>24.752654614652716</v>
      </c>
      <c r="P541" s="117">
        <f t="shared" ref="P541:P604" si="91">O541*1.219</f>
        <v>30.173485975261663</v>
      </c>
      <c r="Q541" s="45">
        <f t="shared" si="81"/>
        <v>4.4066136399000852E-2</v>
      </c>
    </row>
    <row r="542" spans="1:18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86"/>
        <v>4209.92</v>
      </c>
      <c r="G542" s="24">
        <v>84</v>
      </c>
      <c r="H542" s="330"/>
      <c r="I542" s="330"/>
      <c r="J542" s="40">
        <f t="shared" si="87"/>
        <v>84</v>
      </c>
      <c r="K542" s="64">
        <f t="shared" si="88"/>
        <v>4.7954329210275932E-2</v>
      </c>
      <c r="L542" s="37">
        <f t="shared" si="89"/>
        <v>108.81460704091343</v>
      </c>
      <c r="M542" s="37">
        <f t="shared" si="85"/>
        <v>40.01113100894387</v>
      </c>
      <c r="N542" s="37">
        <v>41.985949439270101</v>
      </c>
      <c r="O542" s="37">
        <f t="shared" si="90"/>
        <v>14.439048525214085</v>
      </c>
      <c r="P542" s="117">
        <f t="shared" si="91"/>
        <v>17.601200152235972</v>
      </c>
      <c r="Q542" s="45">
        <f t="shared" si="81"/>
        <v>4.8754070389542201E-2</v>
      </c>
    </row>
    <row r="543" spans="1:18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86"/>
        <v>8071.9</v>
      </c>
      <c r="G543" s="24">
        <v>144</v>
      </c>
      <c r="H543" s="330"/>
      <c r="I543" s="330"/>
      <c r="J543" s="40">
        <f t="shared" si="87"/>
        <v>144</v>
      </c>
      <c r="K543" s="64">
        <f t="shared" si="88"/>
        <v>8.2207421503330172E-2</v>
      </c>
      <c r="L543" s="37">
        <f t="shared" si="89"/>
        <v>186.53932635585161</v>
      </c>
      <c r="M543" s="37">
        <f t="shared" si="85"/>
        <v>68.590510301046649</v>
      </c>
      <c r="N543" s="37">
        <v>71.975913324463022</v>
      </c>
      <c r="O543" s="37">
        <f t="shared" si="90"/>
        <v>24.752654614652716</v>
      </c>
      <c r="P543" s="117">
        <f t="shared" si="91"/>
        <v>30.173485975261663</v>
      </c>
      <c r="Q543" s="45">
        <f t="shared" si="81"/>
        <v>4.3590530680015116E-2</v>
      </c>
    </row>
    <row r="544" spans="1:18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86"/>
        <v>4461.2</v>
      </c>
      <c r="G544" s="24">
        <v>171</v>
      </c>
      <c r="H544" s="330"/>
      <c r="I544" s="330">
        <v>1</v>
      </c>
      <c r="J544" s="40">
        <f t="shared" si="87"/>
        <v>172</v>
      </c>
      <c r="K544" s="64">
        <f t="shared" si="88"/>
        <v>9.8192197906755485E-2</v>
      </c>
      <c r="L544" s="37">
        <f t="shared" si="89"/>
        <v>222.8108620361561</v>
      </c>
      <c r="M544" s="37">
        <f t="shared" si="85"/>
        <v>81.927553970694603</v>
      </c>
      <c r="N544" s="37">
        <v>85.971229804219732</v>
      </c>
      <c r="O544" s="37">
        <f t="shared" si="90"/>
        <v>29.565670789724077</v>
      </c>
      <c r="P544" s="117">
        <f t="shared" si="91"/>
        <v>36.04055269267365</v>
      </c>
      <c r="Q544" s="45">
        <f t="shared" si="81"/>
        <v>9.4206786649510113E-2</v>
      </c>
    </row>
    <row r="545" spans="1:17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86"/>
        <v>10161.57</v>
      </c>
      <c r="G545" s="24">
        <v>180</v>
      </c>
      <c r="H545" s="330"/>
      <c r="I545" s="330"/>
      <c r="J545" s="40">
        <f t="shared" si="87"/>
        <v>180</v>
      </c>
      <c r="K545" s="64">
        <f t="shared" si="88"/>
        <v>0.10275927687916271</v>
      </c>
      <c r="L545" s="37">
        <f t="shared" si="89"/>
        <v>233.17415794481448</v>
      </c>
      <c r="M545" s="37">
        <f t="shared" si="85"/>
        <v>85.738137876308286</v>
      </c>
      <c r="N545" s="37">
        <v>89.969891655578778</v>
      </c>
      <c r="O545" s="37">
        <f t="shared" si="90"/>
        <v>30.940818268315894</v>
      </c>
      <c r="P545" s="117">
        <f t="shared" si="91"/>
        <v>37.716857469077077</v>
      </c>
      <c r="Q545" s="45">
        <f t="shared" si="81"/>
        <v>4.32829775069224E-2</v>
      </c>
    </row>
    <row r="546" spans="1:17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86"/>
        <v>7889.76</v>
      </c>
      <c r="G546" s="24">
        <v>144</v>
      </c>
      <c r="H546" s="330"/>
      <c r="I546" s="330"/>
      <c r="J546" s="40">
        <f t="shared" si="87"/>
        <v>144</v>
      </c>
      <c r="K546" s="64">
        <f t="shared" si="88"/>
        <v>8.2207421503330172E-2</v>
      </c>
      <c r="L546" s="37">
        <f t="shared" si="89"/>
        <v>186.53932635585161</v>
      </c>
      <c r="M546" s="37">
        <f t="shared" si="85"/>
        <v>68.590510301046649</v>
      </c>
      <c r="N546" s="37">
        <v>71.975913324463022</v>
      </c>
      <c r="O546" s="37">
        <f t="shared" si="90"/>
        <v>24.752654614652716</v>
      </c>
      <c r="P546" s="117">
        <f t="shared" si="91"/>
        <v>30.173485975261663</v>
      </c>
      <c r="Q546" s="45">
        <f t="shared" si="81"/>
        <v>4.4596845099979465E-2</v>
      </c>
    </row>
    <row r="547" spans="1:17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86"/>
        <v>7084.55</v>
      </c>
      <c r="G547" s="24">
        <v>116</v>
      </c>
      <c r="H547" s="330"/>
      <c r="I547" s="330">
        <v>1</v>
      </c>
      <c r="J547" s="40">
        <f t="shared" si="87"/>
        <v>117</v>
      </c>
      <c r="K547" s="64">
        <f t="shared" si="88"/>
        <v>6.6793529971455767E-2</v>
      </c>
      <c r="L547" s="37">
        <f t="shared" si="89"/>
        <v>151.56320266412942</v>
      </c>
      <c r="M547" s="37">
        <f t="shared" si="85"/>
        <v>55.729789619600389</v>
      </c>
      <c r="N547" s="37">
        <v>58.480429576126213</v>
      </c>
      <c r="O547" s="37">
        <f t="shared" si="90"/>
        <v>20.111531874405333</v>
      </c>
      <c r="P547" s="117">
        <f t="shared" si="91"/>
        <v>24.515957354900102</v>
      </c>
      <c r="Q547" s="45">
        <f t="shared" si="81"/>
        <v>4.0353297490209161E-2</v>
      </c>
    </row>
    <row r="548" spans="1:17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86"/>
        <v>4792.88</v>
      </c>
      <c r="G548" s="24">
        <v>80</v>
      </c>
      <c r="H548" s="330"/>
      <c r="I548" s="330"/>
      <c r="J548" s="40">
        <f t="shared" si="87"/>
        <v>80</v>
      </c>
      <c r="K548" s="64">
        <f t="shared" si="88"/>
        <v>4.5670789724072319E-2</v>
      </c>
      <c r="L548" s="37">
        <f t="shared" si="89"/>
        <v>103.63295908658422</v>
      </c>
      <c r="M548" s="37">
        <f t="shared" si="85"/>
        <v>38.105839056137022</v>
      </c>
      <c r="N548" s="37">
        <v>39.986618513590564</v>
      </c>
      <c r="O548" s="37">
        <f t="shared" si="90"/>
        <v>13.751474785918177</v>
      </c>
      <c r="P548" s="117">
        <f t="shared" si="91"/>
        <v>16.763047764034258</v>
      </c>
      <c r="Q548" s="45">
        <f t="shared" si="81"/>
        <v>4.0784849911166147E-2</v>
      </c>
    </row>
    <row r="549" spans="1:17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86"/>
        <v>4816.47</v>
      </c>
      <c r="G549" s="24">
        <v>80</v>
      </c>
      <c r="H549" s="330"/>
      <c r="I549" s="330"/>
      <c r="J549" s="40">
        <f t="shared" si="87"/>
        <v>80</v>
      </c>
      <c r="K549" s="64">
        <f t="shared" si="88"/>
        <v>4.5670789724072319E-2</v>
      </c>
      <c r="L549" s="37">
        <f t="shared" si="89"/>
        <v>103.63295908658422</v>
      </c>
      <c r="M549" s="37">
        <f t="shared" si="85"/>
        <v>38.105839056137022</v>
      </c>
      <c r="N549" s="37">
        <v>39.986618513590564</v>
      </c>
      <c r="O549" s="37">
        <f t="shared" si="90"/>
        <v>13.751474785918177</v>
      </c>
      <c r="P549" s="117">
        <f t="shared" si="91"/>
        <v>16.763047764034258</v>
      </c>
      <c r="Q549" s="45">
        <f t="shared" si="81"/>
        <v>4.0585094777343157E-2</v>
      </c>
    </row>
    <row r="550" spans="1:17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86"/>
        <v>5818.22</v>
      </c>
      <c r="G550" s="24">
        <v>120</v>
      </c>
      <c r="H550" s="330"/>
      <c r="I550" s="330"/>
      <c r="J550" s="40">
        <f t="shared" si="87"/>
        <v>120</v>
      </c>
      <c r="K550" s="64">
        <f t="shared" si="88"/>
        <v>6.8506184586108479E-2</v>
      </c>
      <c r="L550" s="37">
        <f t="shared" si="89"/>
        <v>155.44943862987634</v>
      </c>
      <c r="M550" s="37">
        <f t="shared" si="85"/>
        <v>57.158758584205536</v>
      </c>
      <c r="N550" s="37">
        <v>59.979927770385856</v>
      </c>
      <c r="O550" s="37">
        <f t="shared" si="90"/>
        <v>20.627212178877265</v>
      </c>
      <c r="P550" s="117">
        <f t="shared" si="91"/>
        <v>25.144571646051389</v>
      </c>
      <c r="Q550" s="45">
        <f t="shared" si="81"/>
        <v>5.0396055350836681E-2</v>
      </c>
    </row>
    <row r="551" spans="1:17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86"/>
        <v>16414.989999999998</v>
      </c>
      <c r="G551" s="24">
        <v>256</v>
      </c>
      <c r="H551" s="330">
        <v>4</v>
      </c>
      <c r="I551" s="330">
        <v>3</v>
      </c>
      <c r="J551" s="40">
        <f t="shared" si="87"/>
        <v>263</v>
      </c>
      <c r="K551" s="64">
        <f t="shared" si="88"/>
        <v>0.15014272121788774</v>
      </c>
      <c r="L551" s="37">
        <f t="shared" si="89"/>
        <v>340.69335299714561</v>
      </c>
      <c r="M551" s="37">
        <f t="shared" si="85"/>
        <v>125.27294589705045</v>
      </c>
      <c r="N551" s="37">
        <v>131.45600836342899</v>
      </c>
      <c r="O551" s="37">
        <f t="shared" si="90"/>
        <v>45.207973358706006</v>
      </c>
      <c r="P551" s="117">
        <f t="shared" si="91"/>
        <v>55.108519524262626</v>
      </c>
      <c r="Q551" s="45">
        <f t="shared" si="81"/>
        <v>3.9148990076529507E-2</v>
      </c>
    </row>
    <row r="552" spans="1:17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86"/>
        <v>14876.619999999999</v>
      </c>
      <c r="G552" s="24">
        <v>256</v>
      </c>
      <c r="H552" s="330">
        <v>1</v>
      </c>
      <c r="I552" s="330">
        <v>1</v>
      </c>
      <c r="J552" s="40">
        <f t="shared" si="87"/>
        <v>258</v>
      </c>
      <c r="K552" s="64">
        <f t="shared" si="88"/>
        <v>0.14728829686013323</v>
      </c>
      <c r="L552" s="37">
        <f t="shared" si="89"/>
        <v>334.21629305423414</v>
      </c>
      <c r="M552" s="37">
        <f t="shared" si="85"/>
        <v>122.8913309560419</v>
      </c>
      <c r="N552" s="37">
        <v>154.74821364759549</v>
      </c>
      <c r="O552" s="37">
        <f t="shared" si="90"/>
        <v>44.348506184586121</v>
      </c>
      <c r="P552" s="117">
        <f t="shared" si="91"/>
        <v>54.060829039010486</v>
      </c>
      <c r="Q552" s="45">
        <f t="shared" si="81"/>
        <v>4.4109773849332554E-2</v>
      </c>
    </row>
    <row r="553" spans="1:17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>
        <f t="shared" si="86"/>
        <v>351.06</v>
      </c>
      <c r="G553" s="24">
        <v>6</v>
      </c>
      <c r="H553" s="330"/>
      <c r="I553" s="330"/>
      <c r="J553" s="40">
        <f t="shared" si="87"/>
        <v>6</v>
      </c>
      <c r="K553" s="64">
        <f t="shared" si="88"/>
        <v>3.4253092293054237E-3</v>
      </c>
      <c r="L553" s="37">
        <f t="shared" si="89"/>
        <v>7.7724719314938167</v>
      </c>
      <c r="M553" s="37">
        <f t="shared" si="85"/>
        <v>2.8579379292102765</v>
      </c>
      <c r="N553" s="37">
        <v>3.5987956662231513</v>
      </c>
      <c r="O553" s="37">
        <f t="shared" si="90"/>
        <v>1.0313606089438632</v>
      </c>
      <c r="P553" s="117">
        <f t="shared" si="91"/>
        <v>1.2572285823025693</v>
      </c>
      <c r="Q553" s="45">
        <f t="shared" si="81"/>
        <v>4.3469965635136748E-2</v>
      </c>
    </row>
    <row r="554" spans="1:17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>
        <f t="shared" si="86"/>
        <v>377.1</v>
      </c>
      <c r="G554" s="24">
        <v>12</v>
      </c>
      <c r="H554" s="330"/>
      <c r="I554" s="330"/>
      <c r="J554" s="40">
        <f t="shared" si="87"/>
        <v>12</v>
      </c>
      <c r="K554" s="64">
        <f t="shared" si="88"/>
        <v>6.8506184586108474E-3</v>
      </c>
      <c r="L554" s="37">
        <f t="shared" si="89"/>
        <v>15.544943862987633</v>
      </c>
      <c r="M554" s="37">
        <f t="shared" si="85"/>
        <v>5.7158758584205529</v>
      </c>
      <c r="N554" s="37">
        <v>7.1975913324463026</v>
      </c>
      <c r="O554" s="37">
        <f t="shared" si="90"/>
        <v>2.0627212178877263</v>
      </c>
      <c r="P554" s="117">
        <f t="shared" si="91"/>
        <v>2.5144571646051386</v>
      </c>
      <c r="Q554" s="45">
        <f t="shared" si="81"/>
        <v>8.0936441982875126E-2</v>
      </c>
    </row>
    <row r="555" spans="1:17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>
        <f t="shared" si="86"/>
        <v>82.9</v>
      </c>
      <c r="G555" s="24">
        <v>2</v>
      </c>
      <c r="H555" s="330"/>
      <c r="I555" s="330"/>
      <c r="J555" s="40">
        <f t="shared" si="87"/>
        <v>2</v>
      </c>
      <c r="K555" s="64">
        <f t="shared" si="88"/>
        <v>1.1417697431018079E-3</v>
      </c>
      <c r="L555" s="37">
        <f t="shared" si="89"/>
        <v>2.5908239771646056</v>
      </c>
      <c r="M555" s="37">
        <f t="shared" si="85"/>
        <v>0.95264597640342552</v>
      </c>
      <c r="N555" s="37">
        <v>1.1995985554077171</v>
      </c>
      <c r="O555" s="37">
        <f t="shared" si="90"/>
        <v>0.34378686964795441</v>
      </c>
      <c r="P555" s="117">
        <f t="shared" si="91"/>
        <v>0.41907619410085645</v>
      </c>
      <c r="Q555" s="45">
        <f t="shared" si="81"/>
        <v>6.1361343529839595E-2</v>
      </c>
    </row>
    <row r="556" spans="1:17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>
        <f t="shared" si="86"/>
        <v>56.1</v>
      </c>
      <c r="G556" s="24">
        <v>2</v>
      </c>
      <c r="H556" s="330"/>
      <c r="I556" s="330"/>
      <c r="J556" s="40">
        <f t="shared" si="87"/>
        <v>2</v>
      </c>
      <c r="K556" s="64">
        <f t="shared" si="88"/>
        <v>1.1417697431018079E-3</v>
      </c>
      <c r="L556" s="37">
        <f t="shared" si="89"/>
        <v>2.5908239771646056</v>
      </c>
      <c r="M556" s="37">
        <f t="shared" si="85"/>
        <v>0.95264597640342552</v>
      </c>
      <c r="N556" s="37">
        <v>1.1995985554077171</v>
      </c>
      <c r="O556" s="37">
        <f t="shared" si="90"/>
        <v>0.34378686964795441</v>
      </c>
      <c r="P556" s="117">
        <f t="shared" si="91"/>
        <v>0.41907619410085645</v>
      </c>
      <c r="Q556" s="45">
        <v>0</v>
      </c>
    </row>
    <row r="557" spans="1:17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>
        <f t="shared" si="86"/>
        <v>87</v>
      </c>
      <c r="G557" s="24">
        <v>2</v>
      </c>
      <c r="H557" s="330"/>
      <c r="I557" s="330"/>
      <c r="J557" s="40">
        <f t="shared" si="87"/>
        <v>2</v>
      </c>
      <c r="K557" s="64">
        <f t="shared" si="88"/>
        <v>1.1417697431018079E-3</v>
      </c>
      <c r="L557" s="37">
        <f t="shared" si="89"/>
        <v>2.5908239771646056</v>
      </c>
      <c r="M557" s="37">
        <f t="shared" si="85"/>
        <v>0.95264597640342552</v>
      </c>
      <c r="N557" s="37">
        <v>1.1995985554077171</v>
      </c>
      <c r="O557" s="37">
        <f t="shared" si="90"/>
        <v>0.34378686964795441</v>
      </c>
      <c r="P557" s="117">
        <f t="shared" si="91"/>
        <v>0.41907619410085645</v>
      </c>
      <c r="Q557" s="45">
        <f t="shared" si="81"/>
        <v>5.8469602053146011E-2</v>
      </c>
    </row>
    <row r="558" spans="1:17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 t="shared" si="86"/>
        <v>4409.5</v>
      </c>
      <c r="G558" s="24">
        <v>171</v>
      </c>
      <c r="H558" s="330"/>
      <c r="I558" s="330">
        <v>1</v>
      </c>
      <c r="J558" s="40">
        <f t="shared" si="87"/>
        <v>172</v>
      </c>
      <c r="K558" s="64">
        <f t="shared" si="88"/>
        <v>9.8192197906755485E-2</v>
      </c>
      <c r="L558" s="37">
        <f t="shared" si="89"/>
        <v>222.8108620361561</v>
      </c>
      <c r="M558" s="37">
        <f t="shared" si="85"/>
        <v>81.927553970694603</v>
      </c>
      <c r="N558" s="37">
        <v>103.16547576506368</v>
      </c>
      <c r="O558" s="37">
        <f t="shared" si="90"/>
        <v>29.565670789724077</v>
      </c>
      <c r="P558" s="117">
        <f t="shared" si="91"/>
        <v>36.04055269267365</v>
      </c>
      <c r="Q558" s="45">
        <f t="shared" si="81"/>
        <v>9.9210695671082538E-2</v>
      </c>
    </row>
    <row r="559" spans="1:17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>
        <f t="shared" si="86"/>
        <v>354.7</v>
      </c>
      <c r="G559" s="24">
        <v>8</v>
      </c>
      <c r="H559" s="330"/>
      <c r="I559" s="330"/>
      <c r="J559" s="40">
        <f t="shared" si="87"/>
        <v>8</v>
      </c>
      <c r="K559" s="64">
        <f t="shared" si="88"/>
        <v>4.5670789724072316E-3</v>
      </c>
      <c r="L559" s="37">
        <f t="shared" si="89"/>
        <v>10.363295908658422</v>
      </c>
      <c r="M559" s="37">
        <f t="shared" si="85"/>
        <v>3.8105839056137021</v>
      </c>
      <c r="N559" s="37">
        <v>4.7983942216308684</v>
      </c>
      <c r="O559" s="37">
        <f t="shared" si="90"/>
        <v>1.3751474785918176</v>
      </c>
      <c r="P559" s="117">
        <f t="shared" si="91"/>
        <v>1.6763047764034258</v>
      </c>
      <c r="Q559" s="45">
        <f t="shared" si="81"/>
        <v>5.73651579207635E-2</v>
      </c>
    </row>
    <row r="560" spans="1:17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>
        <f t="shared" si="86"/>
        <v>352.4</v>
      </c>
      <c r="G560" s="24">
        <v>8</v>
      </c>
      <c r="H560" s="330"/>
      <c r="I560" s="330"/>
      <c r="J560" s="40">
        <f t="shared" si="87"/>
        <v>8</v>
      </c>
      <c r="K560" s="64">
        <f t="shared" si="88"/>
        <v>4.5670789724072316E-3</v>
      </c>
      <c r="L560" s="37">
        <f t="shared" si="89"/>
        <v>10.363295908658422</v>
      </c>
      <c r="M560" s="37">
        <f t="shared" si="85"/>
        <v>3.8105839056137021</v>
      </c>
      <c r="N560" s="37">
        <v>4.7983942216308684</v>
      </c>
      <c r="O560" s="37">
        <f t="shared" si="90"/>
        <v>1.3751474785918176</v>
      </c>
      <c r="P560" s="117">
        <f t="shared" si="91"/>
        <v>1.6763047764034258</v>
      </c>
      <c r="Q560" s="45">
        <f t="shared" si="81"/>
        <v>5.7739561618884258E-2</v>
      </c>
    </row>
    <row r="561" spans="1:17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>
        <f t="shared" si="86"/>
        <v>216.7</v>
      </c>
      <c r="G561" s="24">
        <v>5</v>
      </c>
      <c r="H561" s="330"/>
      <c r="I561" s="330"/>
      <c r="J561" s="40">
        <f t="shared" si="87"/>
        <v>5</v>
      </c>
      <c r="K561" s="64">
        <f t="shared" si="88"/>
        <v>2.85442435775452E-3</v>
      </c>
      <c r="L561" s="37">
        <f t="shared" si="89"/>
        <v>6.4770599429115139</v>
      </c>
      <c r="M561" s="37">
        <f t="shared" si="85"/>
        <v>2.3816149410085639</v>
      </c>
      <c r="N561" s="37">
        <v>2.9989963885192923</v>
      </c>
      <c r="O561" s="37">
        <f t="shared" si="90"/>
        <v>0.85946717411988605</v>
      </c>
      <c r="P561" s="117">
        <f t="shared" si="91"/>
        <v>1.0476904852521411</v>
      </c>
      <c r="Q561" s="45">
        <f t="shared" si="81"/>
        <v>5.8685456606180242E-2</v>
      </c>
    </row>
    <row r="562" spans="1:17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>
        <f t="shared" si="86"/>
        <v>42.7</v>
      </c>
      <c r="G562" s="24">
        <v>2</v>
      </c>
      <c r="H562" s="330"/>
      <c r="I562" s="330"/>
      <c r="J562" s="40">
        <f t="shared" si="87"/>
        <v>2</v>
      </c>
      <c r="K562" s="64">
        <f t="shared" si="88"/>
        <v>1.1417697431018079E-3</v>
      </c>
      <c r="L562" s="37">
        <f t="shared" si="89"/>
        <v>2.5908239771646056</v>
      </c>
      <c r="M562" s="37">
        <f t="shared" si="85"/>
        <v>0.95264597640342552</v>
      </c>
      <c r="N562" s="37">
        <v>1.1995985554077171</v>
      </c>
      <c r="O562" s="37">
        <f t="shared" si="90"/>
        <v>0.34378686964795441</v>
      </c>
      <c r="P562" s="117">
        <f t="shared" si="91"/>
        <v>0.41907619410085645</v>
      </c>
      <c r="Q562" s="45">
        <f t="shared" si="81"/>
        <v>0.11913010254388062</v>
      </c>
    </row>
    <row r="563" spans="1:17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>
        <f t="shared" si="86"/>
        <v>79.7</v>
      </c>
      <c r="G563" s="24">
        <v>3</v>
      </c>
      <c r="H563" s="330"/>
      <c r="I563" s="330"/>
      <c r="J563" s="40">
        <f t="shared" si="87"/>
        <v>3</v>
      </c>
      <c r="K563" s="64">
        <f t="shared" si="88"/>
        <v>1.7126546146527118E-3</v>
      </c>
      <c r="L563" s="37">
        <f t="shared" si="89"/>
        <v>3.8862359657469083</v>
      </c>
      <c r="M563" s="37">
        <f t="shared" si="85"/>
        <v>1.4289689646051382</v>
      </c>
      <c r="N563" s="37">
        <v>1.7993978331115756</v>
      </c>
      <c r="O563" s="37">
        <f t="shared" si="90"/>
        <v>0.51568030447193158</v>
      </c>
      <c r="P563" s="117">
        <f t="shared" si="91"/>
        <v>0.62861429115128464</v>
      </c>
      <c r="Q563" s="45">
        <f t="shared" si="81"/>
        <v>9.5737554177359518E-2</v>
      </c>
    </row>
    <row r="564" spans="1:17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>
        <f t="shared" si="86"/>
        <v>23.5</v>
      </c>
      <c r="G564" s="24">
        <v>1</v>
      </c>
      <c r="H564" s="330"/>
      <c r="I564" s="330"/>
      <c r="J564" s="40">
        <f t="shared" si="87"/>
        <v>1</v>
      </c>
      <c r="K564" s="64">
        <f t="shared" si="88"/>
        <v>5.7088487155090395E-4</v>
      </c>
      <c r="L564" s="37">
        <f t="shared" si="89"/>
        <v>1.2954119885823028</v>
      </c>
      <c r="M564" s="37">
        <f t="shared" si="85"/>
        <v>0.47632298820171276</v>
      </c>
      <c r="N564" s="37">
        <v>0.59979927770385855</v>
      </c>
      <c r="O564" s="37">
        <f t="shared" si="90"/>
        <v>0.1718934348239772</v>
      </c>
      <c r="P564" s="117">
        <f t="shared" si="91"/>
        <v>0.20953809705042822</v>
      </c>
      <c r="Q564" s="45">
        <v>0</v>
      </c>
    </row>
    <row r="565" spans="1:17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>
        <f t="shared" si="86"/>
        <v>29</v>
      </c>
      <c r="G565" s="24">
        <v>1</v>
      </c>
      <c r="H565" s="330"/>
      <c r="I565" s="330"/>
      <c r="J565" s="40">
        <f t="shared" si="87"/>
        <v>1</v>
      </c>
      <c r="K565" s="64">
        <f t="shared" si="88"/>
        <v>5.7088487155090395E-4</v>
      </c>
      <c r="L565" s="37">
        <f t="shared" si="89"/>
        <v>1.2954119885823028</v>
      </c>
      <c r="M565" s="37">
        <f t="shared" si="85"/>
        <v>0.47632298820171276</v>
      </c>
      <c r="N565" s="37">
        <v>0.59979927770385855</v>
      </c>
      <c r="O565" s="37">
        <f t="shared" si="90"/>
        <v>0.1718934348239772</v>
      </c>
      <c r="P565" s="117">
        <f t="shared" si="91"/>
        <v>0.20953809705042822</v>
      </c>
      <c r="Q565" s="45">
        <v>0</v>
      </c>
    </row>
    <row r="566" spans="1:17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>
        <f t="shared" si="86"/>
        <v>84.7</v>
      </c>
      <c r="G566" s="24">
        <v>2</v>
      </c>
      <c r="H566" s="330"/>
      <c r="I566" s="330"/>
      <c r="J566" s="40">
        <f t="shared" si="87"/>
        <v>2</v>
      </c>
      <c r="K566" s="64">
        <f t="shared" si="88"/>
        <v>1.1417697431018079E-3</v>
      </c>
      <c r="L566" s="37">
        <f t="shared" si="89"/>
        <v>2.5908239771646056</v>
      </c>
      <c r="M566" s="37">
        <f t="shared" si="85"/>
        <v>0.95264597640342552</v>
      </c>
      <c r="N566" s="37">
        <v>1.1995985554077171</v>
      </c>
      <c r="O566" s="37">
        <f t="shared" si="90"/>
        <v>0.34378686964795441</v>
      </c>
      <c r="P566" s="117">
        <f t="shared" si="91"/>
        <v>0.41907619410085645</v>
      </c>
      <c r="Q566" s="45">
        <f t="shared" si="81"/>
        <v>6.0057324422948082E-2</v>
      </c>
    </row>
    <row r="567" spans="1:17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>
        <f t="shared" si="86"/>
        <v>177.23</v>
      </c>
      <c r="G567" s="24">
        <v>3</v>
      </c>
      <c r="H567" s="330"/>
      <c r="I567" s="330"/>
      <c r="J567" s="40">
        <f t="shared" si="87"/>
        <v>3</v>
      </c>
      <c r="K567" s="64">
        <f t="shared" si="88"/>
        <v>1.7126546146527118E-3</v>
      </c>
      <c r="L567" s="37">
        <f t="shared" si="89"/>
        <v>3.8862359657469083</v>
      </c>
      <c r="M567" s="37">
        <f t="shared" si="85"/>
        <v>1.4289689646051382</v>
      </c>
      <c r="N567" s="37">
        <v>1.7993978331115756</v>
      </c>
      <c r="O567" s="37">
        <f t="shared" si="90"/>
        <v>0.51568030447193158</v>
      </c>
      <c r="P567" s="117">
        <f t="shared" si="91"/>
        <v>0.62861429115128464</v>
      </c>
      <c r="Q567" s="45">
        <f t="shared" si="81"/>
        <v>4.3052999311265328E-2</v>
      </c>
    </row>
    <row r="568" spans="1:17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>
        <f t="shared" si="86"/>
        <v>108.36</v>
      </c>
      <c r="G568" s="24">
        <v>4</v>
      </c>
      <c r="H568" s="330"/>
      <c r="I568" s="330"/>
      <c r="J568" s="40">
        <f t="shared" si="87"/>
        <v>4</v>
      </c>
      <c r="K568" s="64">
        <f t="shared" si="88"/>
        <v>2.2835394862036158E-3</v>
      </c>
      <c r="L568" s="37">
        <f t="shared" si="89"/>
        <v>5.1816479543292111</v>
      </c>
      <c r="M568" s="37">
        <f t="shared" si="85"/>
        <v>1.905291952806851</v>
      </c>
      <c r="N568" s="37">
        <v>2.3991971108154342</v>
      </c>
      <c r="O568" s="37">
        <f t="shared" si="90"/>
        <v>0.68757373929590881</v>
      </c>
      <c r="P568" s="117">
        <f t="shared" si="91"/>
        <v>0.83815238820171289</v>
      </c>
      <c r="Q568" s="45">
        <v>0</v>
      </c>
    </row>
    <row r="569" spans="1:17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>
        <f t="shared" si="86"/>
        <v>76.2</v>
      </c>
      <c r="G569" s="24">
        <v>2</v>
      </c>
      <c r="H569" s="330"/>
      <c r="I569" s="330"/>
      <c r="J569" s="40">
        <f t="shared" si="87"/>
        <v>2</v>
      </c>
      <c r="K569" s="64">
        <f t="shared" si="88"/>
        <v>1.1417697431018079E-3</v>
      </c>
      <c r="L569" s="37">
        <f t="shared" si="89"/>
        <v>2.5908239771646056</v>
      </c>
      <c r="M569" s="37">
        <f t="shared" si="85"/>
        <v>0.95264597640342552</v>
      </c>
      <c r="N569" s="37">
        <v>1.1995985554077171</v>
      </c>
      <c r="O569" s="37">
        <f t="shared" si="90"/>
        <v>0.34378686964795441</v>
      </c>
      <c r="P569" s="117">
        <f t="shared" si="91"/>
        <v>0.41907619410085645</v>
      </c>
      <c r="Q569" s="45">
        <f t="shared" si="81"/>
        <v>6.6756632265402918E-2</v>
      </c>
    </row>
    <row r="570" spans="1:17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>
        <f t="shared" si="86"/>
        <v>98.5</v>
      </c>
      <c r="G570" s="24">
        <v>2</v>
      </c>
      <c r="H570" s="330"/>
      <c r="I570" s="330"/>
      <c r="J570" s="40">
        <f t="shared" si="87"/>
        <v>2</v>
      </c>
      <c r="K570" s="64">
        <f t="shared" si="88"/>
        <v>1.1417697431018079E-3</v>
      </c>
      <c r="L570" s="37">
        <f t="shared" si="89"/>
        <v>2.5908239771646056</v>
      </c>
      <c r="M570" s="37">
        <f t="shared" si="85"/>
        <v>0.95264597640342552</v>
      </c>
      <c r="N570" s="37">
        <v>1.1995985554077171</v>
      </c>
      <c r="O570" s="37">
        <f t="shared" si="90"/>
        <v>0.34378686964795441</v>
      </c>
      <c r="P570" s="117">
        <f t="shared" si="91"/>
        <v>0.41907619410085645</v>
      </c>
      <c r="Q570" s="45">
        <f t="shared" si="81"/>
        <v>5.1643201813438608E-2</v>
      </c>
    </row>
    <row r="571" spans="1:17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>
        <f t="shared" si="86"/>
        <v>93.4</v>
      </c>
      <c r="G571" s="24">
        <v>2</v>
      </c>
      <c r="H571" s="330"/>
      <c r="I571" s="330"/>
      <c r="J571" s="40">
        <f t="shared" si="87"/>
        <v>2</v>
      </c>
      <c r="K571" s="64">
        <f t="shared" si="88"/>
        <v>1.1417697431018079E-3</v>
      </c>
      <c r="L571" s="37">
        <f t="shared" si="89"/>
        <v>2.5908239771646056</v>
      </c>
      <c r="M571" s="37">
        <f t="shared" si="85"/>
        <v>0.95264597640342552</v>
      </c>
      <c r="N571" s="37">
        <v>1.1995985554077171</v>
      </c>
      <c r="O571" s="37">
        <f t="shared" si="90"/>
        <v>0.34378686964795441</v>
      </c>
      <c r="P571" s="117">
        <f t="shared" si="91"/>
        <v>0.41907619410085645</v>
      </c>
      <c r="Q571" s="45">
        <f t="shared" si="81"/>
        <v>5.4463119685478616E-2</v>
      </c>
    </row>
    <row r="572" spans="1:17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>
        <f t="shared" si="86"/>
        <v>92.7</v>
      </c>
      <c r="G572" s="24">
        <v>1</v>
      </c>
      <c r="H572" s="330"/>
      <c r="I572" s="330"/>
      <c r="J572" s="40">
        <f t="shared" si="87"/>
        <v>1</v>
      </c>
      <c r="K572" s="64">
        <f t="shared" si="88"/>
        <v>5.7088487155090395E-4</v>
      </c>
      <c r="L572" s="37">
        <f t="shared" si="89"/>
        <v>1.2954119885823028</v>
      </c>
      <c r="M572" s="37">
        <f t="shared" si="85"/>
        <v>0.47632298820171276</v>
      </c>
      <c r="N572" s="37">
        <v>0.59979927770385855</v>
      </c>
      <c r="O572" s="37">
        <f t="shared" si="90"/>
        <v>0.1718934348239772</v>
      </c>
      <c r="P572" s="117">
        <f t="shared" si="91"/>
        <v>0.20953809705042822</v>
      </c>
      <c r="Q572" s="45">
        <f t="shared" si="81"/>
        <v>2.743719190196172E-2</v>
      </c>
    </row>
    <row r="573" spans="1:17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>
        <f t="shared" si="86"/>
        <v>346.6</v>
      </c>
      <c r="G573" s="24">
        <v>8</v>
      </c>
      <c r="H573" s="330"/>
      <c r="I573" s="330"/>
      <c r="J573" s="40">
        <f t="shared" si="87"/>
        <v>8</v>
      </c>
      <c r="K573" s="64">
        <f t="shared" si="88"/>
        <v>4.5670789724072316E-3</v>
      </c>
      <c r="L573" s="37">
        <f t="shared" si="89"/>
        <v>10.363295908658422</v>
      </c>
      <c r="M573" s="37">
        <f t="shared" si="85"/>
        <v>3.8105839056137021</v>
      </c>
      <c r="N573" s="37">
        <v>4.7983942216308684</v>
      </c>
      <c r="O573" s="37">
        <f t="shared" si="90"/>
        <v>1.3751474785918176</v>
      </c>
      <c r="P573" s="117">
        <f t="shared" si="91"/>
        <v>1.6763047764034258</v>
      </c>
      <c r="Q573" s="45">
        <f t="shared" si="81"/>
        <v>5.8705774710025423E-2</v>
      </c>
    </row>
    <row r="574" spans="1:17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>
        <f t="shared" si="86"/>
        <v>195</v>
      </c>
      <c r="G574" s="24">
        <v>2</v>
      </c>
      <c r="H574" s="330"/>
      <c r="I574" s="330"/>
      <c r="J574" s="40">
        <f t="shared" si="87"/>
        <v>2</v>
      </c>
      <c r="K574" s="64">
        <f t="shared" si="88"/>
        <v>1.1417697431018079E-3</v>
      </c>
      <c r="L574" s="37">
        <f t="shared" si="89"/>
        <v>2.5908239771646056</v>
      </c>
      <c r="M574" s="37">
        <f t="shared" si="85"/>
        <v>0.95264597640342552</v>
      </c>
      <c r="N574" s="37">
        <v>1.1995985554077171</v>
      </c>
      <c r="O574" s="37">
        <f t="shared" si="90"/>
        <v>0.34378686964795441</v>
      </c>
      <c r="P574" s="117">
        <f t="shared" si="91"/>
        <v>0.41907619410085645</v>
      </c>
      <c r="Q574" s="45">
        <f t="shared" si="81"/>
        <v>2.6086437839095911E-2</v>
      </c>
    </row>
    <row r="575" spans="1:17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>
        <f t="shared" si="86"/>
        <v>68.099999999999994</v>
      </c>
      <c r="G575" s="24">
        <v>1</v>
      </c>
      <c r="H575" s="330"/>
      <c r="I575" s="330"/>
      <c r="J575" s="40">
        <f t="shared" si="87"/>
        <v>1</v>
      </c>
      <c r="K575" s="64">
        <f t="shared" si="88"/>
        <v>5.7088487155090395E-4</v>
      </c>
      <c r="L575" s="37">
        <f t="shared" si="89"/>
        <v>1.2954119885823028</v>
      </c>
      <c r="M575" s="37">
        <f t="shared" si="85"/>
        <v>0.47632298820171276</v>
      </c>
      <c r="N575" s="37">
        <v>0.59979927770385855</v>
      </c>
      <c r="O575" s="37">
        <f t="shared" si="90"/>
        <v>0.1718934348239772</v>
      </c>
      <c r="P575" s="117">
        <f t="shared" si="91"/>
        <v>0.20953809705042822</v>
      </c>
      <c r="Q575" s="45">
        <f t="shared" si="81"/>
        <v>3.7348424218969924E-2</v>
      </c>
    </row>
    <row r="576" spans="1:17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>
        <f t="shared" si="86"/>
        <v>293.2</v>
      </c>
      <c r="G576" s="24">
        <v>5</v>
      </c>
      <c r="H576" s="330"/>
      <c r="I576" s="330"/>
      <c r="J576" s="40">
        <f t="shared" si="87"/>
        <v>5</v>
      </c>
      <c r="K576" s="64">
        <f t="shared" si="88"/>
        <v>2.85442435775452E-3</v>
      </c>
      <c r="L576" s="37">
        <f t="shared" si="89"/>
        <v>6.4770599429115139</v>
      </c>
      <c r="M576" s="37">
        <f t="shared" si="85"/>
        <v>2.3816149410085639</v>
      </c>
      <c r="N576" s="37">
        <v>2.9989963885192923</v>
      </c>
      <c r="O576" s="37">
        <f t="shared" si="90"/>
        <v>0.85946717411988605</v>
      </c>
      <c r="P576" s="117">
        <f t="shared" si="91"/>
        <v>1.0476904852521411</v>
      </c>
      <c r="Q576" s="45">
        <f t="shared" si="81"/>
        <v>4.337359633887878E-2</v>
      </c>
    </row>
    <row r="577" spans="1:17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>
        <f t="shared" si="86"/>
        <v>95.9</v>
      </c>
      <c r="G577" s="24">
        <v>2</v>
      </c>
      <c r="H577" s="330"/>
      <c r="I577" s="330"/>
      <c r="J577" s="40">
        <f t="shared" si="87"/>
        <v>2</v>
      </c>
      <c r="K577" s="64">
        <f t="shared" si="88"/>
        <v>1.1417697431018079E-3</v>
      </c>
      <c r="L577" s="37">
        <f t="shared" si="89"/>
        <v>2.5908239771646056</v>
      </c>
      <c r="M577" s="37">
        <f t="shared" si="85"/>
        <v>0.95264597640342552</v>
      </c>
      <c r="N577" s="37">
        <v>1.1995985554077171</v>
      </c>
      <c r="O577" s="37">
        <f t="shared" si="90"/>
        <v>0.34378686964795441</v>
      </c>
      <c r="P577" s="117">
        <f t="shared" si="91"/>
        <v>0.41907619410085645</v>
      </c>
      <c r="Q577" s="45">
        <f t="shared" si="81"/>
        <v>5.3043330329757069E-2</v>
      </c>
    </row>
    <row r="578" spans="1:17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 t="shared" si="86"/>
        <v>4501</v>
      </c>
      <c r="G578" s="24">
        <v>80</v>
      </c>
      <c r="H578" s="330"/>
      <c r="I578" s="330"/>
      <c r="J578" s="40">
        <f t="shared" si="87"/>
        <v>80</v>
      </c>
      <c r="K578" s="64">
        <f t="shared" si="88"/>
        <v>4.5670789724072319E-2</v>
      </c>
      <c r="L578" s="37">
        <f t="shared" si="89"/>
        <v>103.63295908658422</v>
      </c>
      <c r="M578" s="37">
        <f t="shared" si="85"/>
        <v>38.105839056137022</v>
      </c>
      <c r="N578" s="37">
        <v>47.983942216308677</v>
      </c>
      <c r="O578" s="37">
        <f t="shared" si="90"/>
        <v>13.751474785918177</v>
      </c>
      <c r="P578" s="117">
        <f t="shared" si="91"/>
        <v>16.763047764034258</v>
      </c>
      <c r="Q578" s="45">
        <f t="shared" si="81"/>
        <v>4.5206446377460144E-2</v>
      </c>
    </row>
    <row r="579" spans="1:17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>
        <f t="shared" si="86"/>
        <v>195.86</v>
      </c>
      <c r="G579" s="24">
        <v>2</v>
      </c>
      <c r="H579" s="330"/>
      <c r="I579" s="330"/>
      <c r="J579" s="40">
        <f t="shared" si="87"/>
        <v>2</v>
      </c>
      <c r="K579" s="64">
        <f t="shared" si="88"/>
        <v>1.1417697431018079E-3</v>
      </c>
      <c r="L579" s="37">
        <f t="shared" si="89"/>
        <v>2.5908239771646056</v>
      </c>
      <c r="M579" s="37">
        <f t="shared" si="85"/>
        <v>0.95264597640342552</v>
      </c>
      <c r="N579" s="37">
        <v>1.1995985554077171</v>
      </c>
      <c r="O579" s="37">
        <f t="shared" si="90"/>
        <v>0.34378686964795441</v>
      </c>
      <c r="P579" s="117">
        <f t="shared" si="91"/>
        <v>0.41907619410085645</v>
      </c>
      <c r="Q579" s="45">
        <f t="shared" si="81"/>
        <v>2.5971895122146954E-2</v>
      </c>
    </row>
    <row r="580" spans="1:17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>
        <f t="shared" si="86"/>
        <v>148</v>
      </c>
      <c r="G580" s="24">
        <v>3</v>
      </c>
      <c r="H580" s="330"/>
      <c r="I580" s="330"/>
      <c r="J580" s="40">
        <f t="shared" si="87"/>
        <v>3</v>
      </c>
      <c r="K580" s="64">
        <f t="shared" si="88"/>
        <v>1.7126546146527118E-3</v>
      </c>
      <c r="L580" s="37">
        <f t="shared" si="89"/>
        <v>3.8862359657469083</v>
      </c>
      <c r="M580" s="37">
        <f t="shared" si="85"/>
        <v>1.4289689646051382</v>
      </c>
      <c r="N580" s="37">
        <v>1.7993978331115756</v>
      </c>
      <c r="O580" s="37">
        <f t="shared" si="90"/>
        <v>0.51568030447193158</v>
      </c>
      <c r="P580" s="117">
        <f t="shared" si="91"/>
        <v>0.62861429115128464</v>
      </c>
      <c r="Q580" s="45">
        <f t="shared" si="81"/>
        <v>5.1555966675240227E-2</v>
      </c>
    </row>
    <row r="581" spans="1:17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>
        <f t="shared" si="86"/>
        <v>74.95</v>
      </c>
      <c r="G581" s="24">
        <v>2</v>
      </c>
      <c r="H581" s="330"/>
      <c r="I581" s="330"/>
      <c r="J581" s="40">
        <f t="shared" si="87"/>
        <v>2</v>
      </c>
      <c r="K581" s="64">
        <f t="shared" si="88"/>
        <v>1.1417697431018079E-3</v>
      </c>
      <c r="L581" s="37">
        <f t="shared" si="89"/>
        <v>2.5908239771646056</v>
      </c>
      <c r="M581" s="37">
        <f t="shared" ref="M581:M637" si="92">L581*0.3677</f>
        <v>0.95264597640342552</v>
      </c>
      <c r="N581" s="37">
        <v>1.1995985554077171</v>
      </c>
      <c r="O581" s="37">
        <f t="shared" si="90"/>
        <v>0.34378686964795441</v>
      </c>
      <c r="P581" s="117">
        <f t="shared" si="91"/>
        <v>0.41907619410085645</v>
      </c>
      <c r="Q581" s="45">
        <f t="shared" si="81"/>
        <v>6.7869985038341601E-2</v>
      </c>
    </row>
    <row r="582" spans="1:17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>
        <f t="shared" ref="F582:F638" si="93">C582+D582+E582</f>
        <v>87.3</v>
      </c>
      <c r="G582" s="24">
        <v>2</v>
      </c>
      <c r="H582" s="330"/>
      <c r="I582" s="330"/>
      <c r="J582" s="40">
        <f t="shared" ref="J582:J638" si="94">G582+H582+I582</f>
        <v>2</v>
      </c>
      <c r="K582" s="64">
        <f t="shared" si="88"/>
        <v>1.1417697431018079E-3</v>
      </c>
      <c r="L582" s="37">
        <f t="shared" si="89"/>
        <v>2.5908239771646056</v>
      </c>
      <c r="M582" s="37">
        <f t="shared" si="92"/>
        <v>0.95264597640342552</v>
      </c>
      <c r="N582" s="37">
        <v>1.1995985554077171</v>
      </c>
      <c r="O582" s="37">
        <f t="shared" si="90"/>
        <v>0.34378686964795441</v>
      </c>
      <c r="P582" s="117">
        <f t="shared" si="91"/>
        <v>0.41907619410085645</v>
      </c>
      <c r="Q582" s="45">
        <f t="shared" si="81"/>
        <v>5.8268675585609428E-2</v>
      </c>
    </row>
    <row r="583" spans="1:17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>
        <f t="shared" si="93"/>
        <v>92.6</v>
      </c>
      <c r="G583" s="24">
        <v>2</v>
      </c>
      <c r="H583" s="330"/>
      <c r="I583" s="330"/>
      <c r="J583" s="40">
        <f t="shared" si="94"/>
        <v>2</v>
      </c>
      <c r="K583" s="64">
        <f t="shared" si="88"/>
        <v>1.1417697431018079E-3</v>
      </c>
      <c r="L583" s="37">
        <f t="shared" si="89"/>
        <v>2.5908239771646056</v>
      </c>
      <c r="M583" s="37">
        <f t="shared" si="92"/>
        <v>0.95264597640342552</v>
      </c>
      <c r="N583" s="37">
        <v>1.1995985554077171</v>
      </c>
      <c r="O583" s="37">
        <f t="shared" si="90"/>
        <v>0.34378686964795441</v>
      </c>
      <c r="P583" s="117">
        <f t="shared" si="91"/>
        <v>0.41907619410085645</v>
      </c>
      <c r="Q583" s="45">
        <f t="shared" ref="Q583:Q646" si="95">(O583+N583+M583+L583)/F583</f>
        <v>5.4933643397664184E-2</v>
      </c>
    </row>
    <row r="584" spans="1:17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>
        <f t="shared" si="93"/>
        <v>110.7</v>
      </c>
      <c r="G584" s="24">
        <v>2</v>
      </c>
      <c r="H584" s="330"/>
      <c r="I584" s="330"/>
      <c r="J584" s="40">
        <f t="shared" si="94"/>
        <v>2</v>
      </c>
      <c r="K584" s="64">
        <f t="shared" si="88"/>
        <v>1.1417697431018079E-3</v>
      </c>
      <c r="L584" s="37">
        <f t="shared" si="89"/>
        <v>2.5908239771646056</v>
      </c>
      <c r="M584" s="37">
        <f t="shared" si="92"/>
        <v>0.95264597640342552</v>
      </c>
      <c r="N584" s="37">
        <v>1.1995985554077171</v>
      </c>
      <c r="O584" s="37">
        <f t="shared" si="90"/>
        <v>0.34378686964795441</v>
      </c>
      <c r="P584" s="117">
        <f t="shared" si="91"/>
        <v>0.41907619410085645</v>
      </c>
      <c r="Q584" s="45">
        <f t="shared" si="95"/>
        <v>4.5951719770765155E-2</v>
      </c>
    </row>
    <row r="585" spans="1:17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>
        <f t="shared" si="93"/>
        <v>78.7</v>
      </c>
      <c r="G585" s="24">
        <v>2</v>
      </c>
      <c r="H585" s="330"/>
      <c r="I585" s="330"/>
      <c r="J585" s="40">
        <f t="shared" si="94"/>
        <v>2</v>
      </c>
      <c r="K585" s="64">
        <f t="shared" si="88"/>
        <v>1.1417697431018079E-3</v>
      </c>
      <c r="L585" s="37">
        <f t="shared" si="89"/>
        <v>2.5908239771646056</v>
      </c>
      <c r="M585" s="37">
        <f t="shared" si="92"/>
        <v>0.95264597640342552</v>
      </c>
      <c r="N585" s="37">
        <v>1.1995985554077171</v>
      </c>
      <c r="O585" s="37">
        <f t="shared" si="90"/>
        <v>0.34378686964795441</v>
      </c>
      <c r="P585" s="117">
        <f t="shared" si="91"/>
        <v>0.41907619410085645</v>
      </c>
      <c r="Q585" s="45">
        <f t="shared" si="95"/>
        <v>6.4636027682639166E-2</v>
      </c>
    </row>
    <row r="586" spans="1:17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>
        <f t="shared" si="93"/>
        <v>114</v>
      </c>
      <c r="G586" s="24">
        <v>2</v>
      </c>
      <c r="H586" s="330"/>
      <c r="I586" s="330"/>
      <c r="J586" s="40">
        <f t="shared" si="94"/>
        <v>2</v>
      </c>
      <c r="K586" s="64">
        <f t="shared" si="88"/>
        <v>1.1417697431018079E-3</v>
      </c>
      <c r="L586" s="37">
        <f t="shared" si="89"/>
        <v>2.5908239771646056</v>
      </c>
      <c r="M586" s="37">
        <f t="shared" si="92"/>
        <v>0.95264597640342552</v>
      </c>
      <c r="N586" s="37">
        <v>1.1995985554077171</v>
      </c>
      <c r="O586" s="37">
        <f t="shared" si="90"/>
        <v>0.34378686964795441</v>
      </c>
      <c r="P586" s="117">
        <f t="shared" si="91"/>
        <v>0.41907619410085645</v>
      </c>
      <c r="Q586" s="45">
        <f t="shared" si="95"/>
        <v>4.4621538408979852E-2</v>
      </c>
    </row>
    <row r="587" spans="1:17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>
        <f t="shared" si="93"/>
        <v>25.1</v>
      </c>
      <c r="G587" s="24">
        <v>1</v>
      </c>
      <c r="H587" s="330"/>
      <c r="I587" s="330"/>
      <c r="J587" s="40">
        <f t="shared" si="94"/>
        <v>1</v>
      </c>
      <c r="K587" s="64">
        <f t="shared" si="88"/>
        <v>5.7088487155090395E-4</v>
      </c>
      <c r="L587" s="37">
        <f t="shared" si="89"/>
        <v>1.2954119885823028</v>
      </c>
      <c r="M587" s="37">
        <f t="shared" si="92"/>
        <v>0.47632298820171276</v>
      </c>
      <c r="N587" s="37">
        <v>0.59979927770385855</v>
      </c>
      <c r="O587" s="37">
        <f t="shared" si="90"/>
        <v>0.1718934348239772</v>
      </c>
      <c r="P587" s="117">
        <f t="shared" si="91"/>
        <v>0.20953809705042822</v>
      </c>
      <c r="Q587" s="45">
        <f t="shared" si="95"/>
        <v>0.10133178045067137</v>
      </c>
    </row>
    <row r="588" spans="1:17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>
        <f t="shared" si="93"/>
        <v>66.599999999999994</v>
      </c>
      <c r="G588" s="24">
        <v>1</v>
      </c>
      <c r="H588" s="330"/>
      <c r="I588" s="330"/>
      <c r="J588" s="40">
        <f t="shared" si="94"/>
        <v>1</v>
      </c>
      <c r="K588" s="64">
        <f t="shared" si="88"/>
        <v>5.7088487155090395E-4</v>
      </c>
      <c r="L588" s="37">
        <f t="shared" si="89"/>
        <v>1.2954119885823028</v>
      </c>
      <c r="M588" s="37">
        <f t="shared" si="92"/>
        <v>0.47632298820171276</v>
      </c>
      <c r="N588" s="37">
        <v>0.59979927770385855</v>
      </c>
      <c r="O588" s="37">
        <f t="shared" si="90"/>
        <v>0.1718934348239772</v>
      </c>
      <c r="P588" s="117">
        <f t="shared" si="91"/>
        <v>0.20953809705042822</v>
      </c>
      <c r="Q588" s="45">
        <f t="shared" si="95"/>
        <v>3.8189604944622396E-2</v>
      </c>
    </row>
    <row r="589" spans="1:17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>
        <f t="shared" si="93"/>
        <v>156.4</v>
      </c>
      <c r="G589" s="24">
        <v>3</v>
      </c>
      <c r="H589" s="330"/>
      <c r="I589" s="330"/>
      <c r="J589" s="40">
        <f t="shared" si="94"/>
        <v>3</v>
      </c>
      <c r="K589" s="64">
        <f t="shared" si="88"/>
        <v>1.7126546146527118E-3</v>
      </c>
      <c r="L589" s="37">
        <f t="shared" si="89"/>
        <v>3.8862359657469083</v>
      </c>
      <c r="M589" s="37">
        <f t="shared" si="92"/>
        <v>1.4289689646051382</v>
      </c>
      <c r="N589" s="37">
        <v>1.7993978331115756</v>
      </c>
      <c r="O589" s="37">
        <f t="shared" si="90"/>
        <v>0.51568030447193158</v>
      </c>
      <c r="P589" s="117">
        <f t="shared" si="91"/>
        <v>0.62861429115128464</v>
      </c>
      <c r="Q589" s="45">
        <f t="shared" si="95"/>
        <v>4.8786976137695351E-2</v>
      </c>
    </row>
    <row r="590" spans="1:17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>
        <f t="shared" si="93"/>
        <v>72.7</v>
      </c>
      <c r="G590" s="24">
        <v>2</v>
      </c>
      <c r="H590" s="330"/>
      <c r="I590" s="330"/>
      <c r="J590" s="40">
        <f t="shared" si="94"/>
        <v>2</v>
      </c>
      <c r="K590" s="64">
        <f t="shared" si="88"/>
        <v>1.1417697431018079E-3</v>
      </c>
      <c r="L590" s="37">
        <f t="shared" si="89"/>
        <v>2.5908239771646056</v>
      </c>
      <c r="M590" s="37">
        <f t="shared" si="92"/>
        <v>0.95264597640342552</v>
      </c>
      <c r="N590" s="37">
        <v>1.1995985554077171</v>
      </c>
      <c r="O590" s="37">
        <f t="shared" si="90"/>
        <v>0.34378686964795441</v>
      </c>
      <c r="P590" s="117">
        <f t="shared" si="91"/>
        <v>0.41907619410085645</v>
      </c>
      <c r="Q590" s="45">
        <f t="shared" si="95"/>
        <v>6.9970500393723559E-2</v>
      </c>
    </row>
    <row r="591" spans="1:17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>
        <f t="shared" si="93"/>
        <v>59.6</v>
      </c>
      <c r="G591" s="24">
        <v>1</v>
      </c>
      <c r="H591" s="330"/>
      <c r="I591" s="330"/>
      <c r="J591" s="40">
        <f t="shared" si="94"/>
        <v>1</v>
      </c>
      <c r="K591" s="64">
        <f t="shared" si="88"/>
        <v>5.7088487155090395E-4</v>
      </c>
      <c r="L591" s="37">
        <f t="shared" si="89"/>
        <v>1.2954119885823028</v>
      </c>
      <c r="M591" s="37">
        <f t="shared" si="92"/>
        <v>0.47632298820171276</v>
      </c>
      <c r="N591" s="37">
        <v>0.59979927770385855</v>
      </c>
      <c r="O591" s="37">
        <f t="shared" si="90"/>
        <v>0.1718934348239772</v>
      </c>
      <c r="P591" s="117">
        <f t="shared" si="91"/>
        <v>0.20953809705042822</v>
      </c>
      <c r="Q591" s="45">
        <f t="shared" si="95"/>
        <v>4.2674961230064624E-2</v>
      </c>
    </row>
    <row r="592" spans="1:17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>
        <f t="shared" si="93"/>
        <v>176</v>
      </c>
      <c r="G592" s="24">
        <v>5</v>
      </c>
      <c r="H592" s="330"/>
      <c r="I592" s="330"/>
      <c r="J592" s="40">
        <f t="shared" si="94"/>
        <v>5</v>
      </c>
      <c r="K592" s="64">
        <f t="shared" si="88"/>
        <v>2.85442435775452E-3</v>
      </c>
      <c r="L592" s="37">
        <f t="shared" si="89"/>
        <v>6.4770599429115139</v>
      </c>
      <c r="M592" s="37">
        <f t="shared" si="92"/>
        <v>2.3816149410085639</v>
      </c>
      <c r="N592" s="37">
        <v>2.9989963885192923</v>
      </c>
      <c r="O592" s="37">
        <f t="shared" si="90"/>
        <v>0.85946717411988605</v>
      </c>
      <c r="P592" s="117">
        <f t="shared" si="91"/>
        <v>1.0476904852521411</v>
      </c>
      <c r="Q592" s="45">
        <f t="shared" si="95"/>
        <v>7.2256468446359412E-2</v>
      </c>
    </row>
    <row r="593" spans="1:17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>
        <f t="shared" si="93"/>
        <v>149</v>
      </c>
      <c r="G593" s="24">
        <v>3</v>
      </c>
      <c r="H593" s="330"/>
      <c r="I593" s="330"/>
      <c r="J593" s="40">
        <f t="shared" si="94"/>
        <v>3</v>
      </c>
      <c r="K593" s="64">
        <f t="shared" si="88"/>
        <v>1.7126546146527118E-3</v>
      </c>
      <c r="L593" s="37">
        <f t="shared" si="89"/>
        <v>3.8862359657469083</v>
      </c>
      <c r="M593" s="37">
        <f t="shared" si="92"/>
        <v>1.4289689646051382</v>
      </c>
      <c r="N593" s="37">
        <v>2.3991971108154342</v>
      </c>
      <c r="O593" s="37">
        <f>K593*701.1</f>
        <v>1.2007421503330162</v>
      </c>
      <c r="P593" s="117">
        <f t="shared" si="91"/>
        <v>1.4637046812559469</v>
      </c>
      <c r="Q593" s="45">
        <f t="shared" si="95"/>
        <v>5.9833182493291927E-2</v>
      </c>
    </row>
    <row r="594" spans="1:17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>
        <f t="shared" si="93"/>
        <v>224.8</v>
      </c>
      <c r="G594" s="24">
        <v>5</v>
      </c>
      <c r="H594" s="330"/>
      <c r="I594" s="330"/>
      <c r="J594" s="40">
        <f t="shared" si="94"/>
        <v>5</v>
      </c>
      <c r="K594" s="64">
        <f t="shared" si="88"/>
        <v>2.85442435775452E-3</v>
      </c>
      <c r="L594" s="37">
        <f t="shared" si="89"/>
        <v>6.4770599429115139</v>
      </c>
      <c r="M594" s="37">
        <f t="shared" si="92"/>
        <v>2.3816149410085639</v>
      </c>
      <c r="N594" s="37">
        <v>2.9989963885192923</v>
      </c>
      <c r="O594" s="37">
        <f t="shared" si="90"/>
        <v>0.85946717411988605</v>
      </c>
      <c r="P594" s="117">
        <f t="shared" si="91"/>
        <v>1.0476904852521411</v>
      </c>
      <c r="Q594" s="45">
        <f t="shared" si="95"/>
        <v>5.6570900562986019E-2</v>
      </c>
    </row>
    <row r="595" spans="1:17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>
        <f t="shared" si="93"/>
        <v>243.4</v>
      </c>
      <c r="G595" s="24">
        <v>6</v>
      </c>
      <c r="H595" s="330"/>
      <c r="I595" s="330"/>
      <c r="J595" s="40">
        <f t="shared" si="94"/>
        <v>6</v>
      </c>
      <c r="K595" s="64">
        <f t="shared" si="88"/>
        <v>3.4253092293054237E-3</v>
      </c>
      <c r="L595" s="37">
        <f t="shared" si="89"/>
        <v>7.7724719314938167</v>
      </c>
      <c r="M595" s="37">
        <f t="shared" si="92"/>
        <v>2.8579379292102765</v>
      </c>
      <c r="N595" s="37">
        <v>3.5987956662231513</v>
      </c>
      <c r="O595" s="37">
        <f t="shared" si="90"/>
        <v>1.0313606089438632</v>
      </c>
      <c r="P595" s="117">
        <f t="shared" si="91"/>
        <v>1.2572285823025693</v>
      </c>
      <c r="Q595" s="45">
        <f t="shared" si="95"/>
        <v>6.2697477961672576E-2</v>
      </c>
    </row>
    <row r="596" spans="1:17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>
        <f t="shared" si="93"/>
        <v>169.9</v>
      </c>
      <c r="G596" s="24">
        <v>4</v>
      </c>
      <c r="H596" s="330"/>
      <c r="I596" s="330"/>
      <c r="J596" s="40">
        <f t="shared" si="94"/>
        <v>4</v>
      </c>
      <c r="K596" s="64">
        <f t="shared" si="88"/>
        <v>2.2835394862036158E-3</v>
      </c>
      <c r="L596" s="37">
        <f t="shared" si="89"/>
        <v>5.1816479543292111</v>
      </c>
      <c r="M596" s="37">
        <f t="shared" si="92"/>
        <v>1.905291952806851</v>
      </c>
      <c r="N596" s="37">
        <v>2.3991971108154342</v>
      </c>
      <c r="O596" s="37">
        <f t="shared" si="90"/>
        <v>0.68757373929590881</v>
      </c>
      <c r="P596" s="117">
        <f t="shared" si="91"/>
        <v>0.83815238820171289</v>
      </c>
      <c r="Q596" s="45">
        <f t="shared" si="95"/>
        <v>5.988058126690645E-2</v>
      </c>
    </row>
    <row r="597" spans="1:17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>
        <f t="shared" si="93"/>
        <v>377.1</v>
      </c>
      <c r="G597" s="24">
        <v>8</v>
      </c>
      <c r="H597" s="330"/>
      <c r="I597" s="330"/>
      <c r="J597" s="40">
        <f t="shared" si="94"/>
        <v>8</v>
      </c>
      <c r="K597" s="64">
        <f t="shared" si="88"/>
        <v>4.5670789724072316E-3</v>
      </c>
      <c r="L597" s="37">
        <f t="shared" si="89"/>
        <v>10.363295908658422</v>
      </c>
      <c r="M597" s="37">
        <f t="shared" si="92"/>
        <v>3.8105839056137021</v>
      </c>
      <c r="N597" s="37">
        <v>4.7983942216308684</v>
      </c>
      <c r="O597" s="37">
        <f t="shared" si="90"/>
        <v>1.3751474785918176</v>
      </c>
      <c r="P597" s="117">
        <f t="shared" si="91"/>
        <v>1.6763047764034258</v>
      </c>
      <c r="Q597" s="45">
        <f t="shared" si="95"/>
        <v>5.3957627988583425E-2</v>
      </c>
    </row>
    <row r="598" spans="1:17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>
        <f t="shared" si="93"/>
        <v>87.1</v>
      </c>
      <c r="G598" s="24">
        <v>2</v>
      </c>
      <c r="H598" s="330"/>
      <c r="I598" s="330"/>
      <c r="J598" s="40">
        <f t="shared" si="94"/>
        <v>2</v>
      </c>
      <c r="K598" s="64">
        <f t="shared" si="88"/>
        <v>1.1417697431018079E-3</v>
      </c>
      <c r="L598" s="37">
        <f t="shared" si="89"/>
        <v>2.5908239771646056</v>
      </c>
      <c r="M598" s="37">
        <f t="shared" si="92"/>
        <v>0.95264597640342552</v>
      </c>
      <c r="N598" s="37">
        <v>1.1995985554077171</v>
      </c>
      <c r="O598" s="37">
        <f t="shared" si="90"/>
        <v>0.34378686964795441</v>
      </c>
      <c r="P598" s="117">
        <f t="shared" si="91"/>
        <v>0.41907619410085645</v>
      </c>
      <c r="Q598" s="45">
        <f t="shared" si="95"/>
        <v>5.8402472774095333E-2</v>
      </c>
    </row>
    <row r="599" spans="1:17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>
        <f t="shared" si="93"/>
        <v>348.2</v>
      </c>
      <c r="G599" s="24">
        <v>8</v>
      </c>
      <c r="H599" s="330"/>
      <c r="I599" s="330"/>
      <c r="J599" s="40">
        <f t="shared" si="94"/>
        <v>8</v>
      </c>
      <c r="K599" s="64">
        <f t="shared" si="88"/>
        <v>4.5670789724072316E-3</v>
      </c>
      <c r="L599" s="37">
        <f t="shared" si="89"/>
        <v>10.363295908658422</v>
      </c>
      <c r="M599" s="37">
        <f t="shared" si="92"/>
        <v>3.8105839056137021</v>
      </c>
      <c r="N599" s="37">
        <v>4.7983942216308684</v>
      </c>
      <c r="O599" s="37">
        <f t="shared" si="90"/>
        <v>1.3751474785918176</v>
      </c>
      <c r="P599" s="117">
        <f t="shared" si="91"/>
        <v>1.6763047764034258</v>
      </c>
      <c r="Q599" s="45">
        <f t="shared" si="95"/>
        <v>5.843601813467781E-2</v>
      </c>
    </row>
    <row r="600" spans="1:17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>
        <f t="shared" si="93"/>
        <v>227.7</v>
      </c>
      <c r="G600" s="24">
        <v>7</v>
      </c>
      <c r="H600" s="330"/>
      <c r="I600" s="330"/>
      <c r="J600" s="40">
        <f t="shared" si="94"/>
        <v>7</v>
      </c>
      <c r="K600" s="64">
        <f t="shared" si="88"/>
        <v>3.9961941008563274E-3</v>
      </c>
      <c r="L600" s="37">
        <f t="shared" si="89"/>
        <v>9.0678839200761185</v>
      </c>
      <c r="M600" s="37">
        <f t="shared" si="92"/>
        <v>3.334260917411989</v>
      </c>
      <c r="N600" s="37">
        <v>4.1985949439270103</v>
      </c>
      <c r="O600" s="37">
        <f t="shared" si="90"/>
        <v>1.2032540437678403</v>
      </c>
      <c r="P600" s="117">
        <f t="shared" si="91"/>
        <v>1.4667666793529974</v>
      </c>
      <c r="Q600" s="45">
        <f t="shared" si="95"/>
        <v>7.8190574550649788E-2</v>
      </c>
    </row>
    <row r="601" spans="1:17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>
        <f t="shared" si="93"/>
        <v>409.2</v>
      </c>
      <c r="G601" s="24">
        <v>8</v>
      </c>
      <c r="H601" s="330"/>
      <c r="I601" s="330"/>
      <c r="J601" s="40">
        <f t="shared" si="94"/>
        <v>8</v>
      </c>
      <c r="K601" s="64">
        <f t="shared" ref="K601:K664" si="96">3/5255*J601</f>
        <v>4.5670789724072316E-3</v>
      </c>
      <c r="L601" s="37">
        <f t="shared" ref="L601:L664" si="97">K601*2269.13</f>
        <v>10.363295908658422</v>
      </c>
      <c r="M601" s="37">
        <f t="shared" si="92"/>
        <v>3.8105839056137021</v>
      </c>
      <c r="N601" s="37">
        <v>4.7983942216308684</v>
      </c>
      <c r="O601" s="37">
        <f t="shared" ref="O601:O664" si="98">K601*301.1</f>
        <v>1.3751474785918176</v>
      </c>
      <c r="P601" s="117">
        <f t="shared" si="91"/>
        <v>1.6763047764034258</v>
      </c>
      <c r="Q601" s="45">
        <f t="shared" si="95"/>
        <v>4.9724881511473147E-2</v>
      </c>
    </row>
    <row r="602" spans="1:17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>
        <f t="shared" si="93"/>
        <v>177.6</v>
      </c>
      <c r="G602" s="24">
        <v>4</v>
      </c>
      <c r="H602" s="330"/>
      <c r="I602" s="330"/>
      <c r="J602" s="40">
        <f t="shared" si="94"/>
        <v>4</v>
      </c>
      <c r="K602" s="64">
        <f t="shared" si="96"/>
        <v>2.2835394862036158E-3</v>
      </c>
      <c r="L602" s="37">
        <f t="shared" si="97"/>
        <v>5.1816479543292111</v>
      </c>
      <c r="M602" s="37">
        <f t="shared" si="92"/>
        <v>1.905291952806851</v>
      </c>
      <c r="N602" s="37">
        <v>2.3991971108154342</v>
      </c>
      <c r="O602" s="37">
        <f t="shared" si="98"/>
        <v>0.68757373929590881</v>
      </c>
      <c r="P602" s="117">
        <f t="shared" si="91"/>
        <v>0.83815238820171289</v>
      </c>
      <c r="Q602" s="45">
        <f t="shared" si="95"/>
        <v>5.7284407416933594E-2</v>
      </c>
    </row>
    <row r="603" spans="1:17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>
        <f t="shared" si="93"/>
        <v>383.9</v>
      </c>
      <c r="G603" s="24">
        <v>8</v>
      </c>
      <c r="H603" s="330"/>
      <c r="I603" s="330"/>
      <c r="J603" s="40">
        <f t="shared" si="94"/>
        <v>8</v>
      </c>
      <c r="K603" s="64">
        <f t="shared" si="96"/>
        <v>4.5670789724072316E-3</v>
      </c>
      <c r="L603" s="37">
        <f t="shared" si="97"/>
        <v>10.363295908658422</v>
      </c>
      <c r="M603" s="37">
        <f t="shared" si="92"/>
        <v>3.8105839056137021</v>
      </c>
      <c r="N603" s="37">
        <v>4.7983942216308684</v>
      </c>
      <c r="O603" s="37">
        <f t="shared" si="98"/>
        <v>1.3751474785918176</v>
      </c>
      <c r="P603" s="117">
        <f t="shared" si="91"/>
        <v>1.6763047764034258</v>
      </c>
      <c r="Q603" s="45">
        <f t="shared" si="95"/>
        <v>5.3001879433432701E-2</v>
      </c>
    </row>
    <row r="604" spans="1:17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>
        <f t="shared" si="93"/>
        <v>123.2</v>
      </c>
      <c r="G604" s="24">
        <v>4</v>
      </c>
      <c r="H604" s="330"/>
      <c r="I604" s="330"/>
      <c r="J604" s="40">
        <f t="shared" si="94"/>
        <v>4</v>
      </c>
      <c r="K604" s="64">
        <f t="shared" si="96"/>
        <v>2.2835394862036158E-3</v>
      </c>
      <c r="L604" s="37">
        <f t="shared" si="97"/>
        <v>5.1816479543292111</v>
      </c>
      <c r="M604" s="37">
        <f t="shared" si="92"/>
        <v>1.905291952806851</v>
      </c>
      <c r="N604" s="37">
        <v>2.3991971108154342</v>
      </c>
      <c r="O604" s="37">
        <f t="shared" si="98"/>
        <v>0.68757373929590881</v>
      </c>
      <c r="P604" s="117">
        <f t="shared" si="91"/>
        <v>0.83815238820171289</v>
      </c>
      <c r="Q604" s="45">
        <f t="shared" si="95"/>
        <v>8.2578821081553622E-2</v>
      </c>
    </row>
    <row r="605" spans="1:17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>
        <f t="shared" si="93"/>
        <v>423.7</v>
      </c>
      <c r="G605" s="24">
        <v>8</v>
      </c>
      <c r="H605" s="330"/>
      <c r="I605" s="330"/>
      <c r="J605" s="40">
        <f t="shared" si="94"/>
        <v>8</v>
      </c>
      <c r="K605" s="64">
        <f t="shared" si="96"/>
        <v>4.5670789724072316E-3</v>
      </c>
      <c r="L605" s="37">
        <f t="shared" si="97"/>
        <v>10.363295908658422</v>
      </c>
      <c r="M605" s="37">
        <f t="shared" si="92"/>
        <v>3.8105839056137021</v>
      </c>
      <c r="N605" s="37">
        <v>4.7983942216308684</v>
      </c>
      <c r="O605" s="37">
        <f t="shared" si="98"/>
        <v>1.3751474785918176</v>
      </c>
      <c r="P605" s="117">
        <f t="shared" ref="P605:P668" si="99">O605*1.219</f>
        <v>1.6763047764034258</v>
      </c>
      <c r="Q605" s="45">
        <f t="shared" si="95"/>
        <v>4.8023180350471588E-2</v>
      </c>
    </row>
    <row r="606" spans="1:17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>
        <f t="shared" si="93"/>
        <v>138.80000000000001</v>
      </c>
      <c r="G606" s="24">
        <v>5</v>
      </c>
      <c r="H606" s="330"/>
      <c r="I606" s="330"/>
      <c r="J606" s="40">
        <f t="shared" si="94"/>
        <v>5</v>
      </c>
      <c r="K606" s="64">
        <f t="shared" si="96"/>
        <v>2.85442435775452E-3</v>
      </c>
      <c r="L606" s="37">
        <f t="shared" si="97"/>
        <v>6.4770599429115139</v>
      </c>
      <c r="M606" s="37">
        <f t="shared" si="92"/>
        <v>2.3816149410085639</v>
      </c>
      <c r="N606" s="37">
        <v>2.9989963885192923</v>
      </c>
      <c r="O606" s="37">
        <f t="shared" si="98"/>
        <v>0.85946717411988605</v>
      </c>
      <c r="P606" s="117">
        <f t="shared" si="99"/>
        <v>1.0476904852521411</v>
      </c>
      <c r="Q606" s="45">
        <f t="shared" si="95"/>
        <v>9.1622034917573897E-2</v>
      </c>
    </row>
    <row r="607" spans="1:17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>
        <f t="shared" si="93"/>
        <v>341.6</v>
      </c>
      <c r="G607" s="24">
        <v>2</v>
      </c>
      <c r="H607" s="330"/>
      <c r="I607" s="330">
        <v>1</v>
      </c>
      <c r="J607" s="40">
        <f t="shared" si="94"/>
        <v>3</v>
      </c>
      <c r="K607" s="64">
        <f t="shared" si="96"/>
        <v>1.7126546146527118E-3</v>
      </c>
      <c r="L607" s="37">
        <f t="shared" si="97"/>
        <v>3.8862359657469083</v>
      </c>
      <c r="M607" s="37">
        <f t="shared" si="92"/>
        <v>1.4289689646051382</v>
      </c>
      <c r="N607" s="37">
        <v>1.7993978331115756</v>
      </c>
      <c r="O607" s="37">
        <f t="shared" si="98"/>
        <v>0.51568030447193158</v>
      </c>
      <c r="P607" s="117">
        <f t="shared" si="99"/>
        <v>0.62861429115128464</v>
      </c>
      <c r="Q607" s="45">
        <f t="shared" si="95"/>
        <v>2.2336894226977613E-2</v>
      </c>
    </row>
    <row r="608" spans="1:17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>
        <f t="shared" si="93"/>
        <v>353.3</v>
      </c>
      <c r="G608" s="24">
        <v>8</v>
      </c>
      <c r="H608" s="330"/>
      <c r="I608" s="330"/>
      <c r="J608" s="40">
        <f t="shared" si="94"/>
        <v>8</v>
      </c>
      <c r="K608" s="64">
        <f t="shared" si="96"/>
        <v>4.5670789724072316E-3</v>
      </c>
      <c r="L608" s="37">
        <f t="shared" si="97"/>
        <v>10.363295908658422</v>
      </c>
      <c r="M608" s="37">
        <f t="shared" si="92"/>
        <v>3.8105839056137021</v>
      </c>
      <c r="N608" s="37">
        <v>4.7983942216308684</v>
      </c>
      <c r="O608" s="37">
        <f t="shared" si="98"/>
        <v>1.3751474785918176</v>
      </c>
      <c r="P608" s="117">
        <f t="shared" si="99"/>
        <v>1.6763047764034258</v>
      </c>
      <c r="Q608" s="45">
        <f t="shared" si="95"/>
        <v>5.7592475274539513E-2</v>
      </c>
    </row>
    <row r="609" spans="1:17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>
        <f t="shared" si="93"/>
        <v>354.5</v>
      </c>
      <c r="G609" s="24">
        <v>8</v>
      </c>
      <c r="H609" s="330"/>
      <c r="I609" s="330"/>
      <c r="J609" s="40">
        <f t="shared" si="94"/>
        <v>8</v>
      </c>
      <c r="K609" s="64">
        <f t="shared" si="96"/>
        <v>4.5670789724072316E-3</v>
      </c>
      <c r="L609" s="37">
        <f t="shared" si="97"/>
        <v>10.363295908658422</v>
      </c>
      <c r="M609" s="37">
        <f t="shared" si="92"/>
        <v>3.8105839056137021</v>
      </c>
      <c r="N609" s="37">
        <v>4.7983942216308684</v>
      </c>
      <c r="O609" s="37">
        <f t="shared" si="98"/>
        <v>1.3751474785918176</v>
      </c>
      <c r="P609" s="117">
        <f t="shared" si="99"/>
        <v>1.6763047764034258</v>
      </c>
      <c r="Q609" s="45">
        <f t="shared" si="95"/>
        <v>5.7397521902665193E-2</v>
      </c>
    </row>
    <row r="610" spans="1:17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>
        <f t="shared" si="93"/>
        <v>404.4</v>
      </c>
      <c r="G610" s="24">
        <v>8</v>
      </c>
      <c r="H610" s="330"/>
      <c r="I610" s="330"/>
      <c r="J610" s="40">
        <f t="shared" si="94"/>
        <v>8</v>
      </c>
      <c r="K610" s="64">
        <f t="shared" si="96"/>
        <v>4.5670789724072316E-3</v>
      </c>
      <c r="L610" s="37">
        <f t="shared" si="97"/>
        <v>10.363295908658422</v>
      </c>
      <c r="M610" s="37">
        <f t="shared" si="92"/>
        <v>3.8105839056137021</v>
      </c>
      <c r="N610" s="37">
        <v>4.7983942216308684</v>
      </c>
      <c r="O610" s="37">
        <f t="shared" si="98"/>
        <v>1.3751474785918176</v>
      </c>
      <c r="P610" s="117">
        <f t="shared" si="99"/>
        <v>1.6763047764034258</v>
      </c>
      <c r="Q610" s="45">
        <f t="shared" si="95"/>
        <v>5.0315087820214668E-2</v>
      </c>
    </row>
    <row r="611" spans="1:17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>
        <f t="shared" si="93"/>
        <v>348.3</v>
      </c>
      <c r="G611" s="24">
        <v>8</v>
      </c>
      <c r="H611" s="330"/>
      <c r="I611" s="330"/>
      <c r="J611" s="40">
        <f t="shared" si="94"/>
        <v>8</v>
      </c>
      <c r="K611" s="64">
        <f t="shared" si="96"/>
        <v>4.5670789724072316E-3</v>
      </c>
      <c r="L611" s="37">
        <f t="shared" si="97"/>
        <v>10.363295908658422</v>
      </c>
      <c r="M611" s="37">
        <f t="shared" si="92"/>
        <v>3.8105839056137021</v>
      </c>
      <c r="N611" s="37">
        <v>4.7983942216308684</v>
      </c>
      <c r="O611" s="37">
        <f t="shared" si="98"/>
        <v>1.3751474785918176</v>
      </c>
      <c r="P611" s="117">
        <f t="shared" si="99"/>
        <v>1.6763047764034258</v>
      </c>
      <c r="Q611" s="45">
        <f t="shared" si="95"/>
        <v>5.8419240638802217E-2</v>
      </c>
    </row>
    <row r="612" spans="1:17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>
        <f t="shared" si="93"/>
        <v>73.400000000000006</v>
      </c>
      <c r="G612" s="24">
        <v>2</v>
      </c>
      <c r="H612" s="330"/>
      <c r="I612" s="330"/>
      <c r="J612" s="40">
        <f t="shared" si="94"/>
        <v>2</v>
      </c>
      <c r="K612" s="64">
        <f t="shared" si="96"/>
        <v>1.1417697431018079E-3</v>
      </c>
      <c r="L612" s="37">
        <f t="shared" si="97"/>
        <v>2.5908239771646056</v>
      </c>
      <c r="M612" s="37">
        <f t="shared" si="92"/>
        <v>0.95264597640342552</v>
      </c>
      <c r="N612" s="37">
        <v>1.1995985554077171</v>
      </c>
      <c r="O612" s="37">
        <f t="shared" si="98"/>
        <v>0.34378686964795441</v>
      </c>
      <c r="P612" s="117">
        <f t="shared" si="99"/>
        <v>0.41907619410085645</v>
      </c>
      <c r="Q612" s="45">
        <f t="shared" si="95"/>
        <v>6.9303206793238453E-2</v>
      </c>
    </row>
    <row r="613" spans="1:17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>
        <f t="shared" si="93"/>
        <v>117.2</v>
      </c>
      <c r="G613" s="24">
        <v>2</v>
      </c>
      <c r="H613" s="330"/>
      <c r="I613" s="330"/>
      <c r="J613" s="40">
        <f t="shared" si="94"/>
        <v>2</v>
      </c>
      <c r="K613" s="64">
        <f t="shared" si="96"/>
        <v>1.1417697431018079E-3</v>
      </c>
      <c r="L613" s="37">
        <f t="shared" si="97"/>
        <v>2.5908239771646056</v>
      </c>
      <c r="M613" s="37">
        <f t="shared" si="92"/>
        <v>0.95264597640342552</v>
      </c>
      <c r="N613" s="37">
        <v>1.1995985554077171</v>
      </c>
      <c r="O613" s="37">
        <f t="shared" si="98"/>
        <v>0.34378686964795441</v>
      </c>
      <c r="P613" s="117">
        <f t="shared" si="99"/>
        <v>0.41907619410085645</v>
      </c>
      <c r="Q613" s="45">
        <f t="shared" si="95"/>
        <v>4.3403202889280741E-2</v>
      </c>
    </row>
    <row r="614" spans="1:17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>
        <f t="shared" si="93"/>
        <v>65.900000000000006</v>
      </c>
      <c r="G614" s="24">
        <v>2</v>
      </c>
      <c r="H614" s="330"/>
      <c r="I614" s="330"/>
      <c r="J614" s="40">
        <f t="shared" si="94"/>
        <v>2</v>
      </c>
      <c r="K614" s="64">
        <f t="shared" si="96"/>
        <v>1.1417697431018079E-3</v>
      </c>
      <c r="L614" s="37">
        <f t="shared" si="97"/>
        <v>2.5908239771646056</v>
      </c>
      <c r="M614" s="37">
        <f t="shared" si="92"/>
        <v>0.95264597640342552</v>
      </c>
      <c r="N614" s="37">
        <v>1.1995985554077171</v>
      </c>
      <c r="O614" s="37">
        <f t="shared" si="98"/>
        <v>0.34378686964795441</v>
      </c>
      <c r="P614" s="117">
        <f t="shared" si="99"/>
        <v>0.41907619410085645</v>
      </c>
      <c r="Q614" s="45">
        <f t="shared" si="95"/>
        <v>7.7190521678660126E-2</v>
      </c>
    </row>
    <row r="615" spans="1:17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>
        <f t="shared" si="93"/>
        <v>212.3</v>
      </c>
      <c r="G615" s="24">
        <v>2</v>
      </c>
      <c r="H615" s="330"/>
      <c r="I615" s="330"/>
      <c r="J615" s="40">
        <f t="shared" si="94"/>
        <v>2</v>
      </c>
      <c r="K615" s="64">
        <f t="shared" si="96"/>
        <v>1.1417697431018079E-3</v>
      </c>
      <c r="L615" s="37">
        <f t="shared" si="97"/>
        <v>2.5908239771646056</v>
      </c>
      <c r="M615" s="37">
        <f t="shared" si="92"/>
        <v>0.95264597640342552</v>
      </c>
      <c r="N615" s="37">
        <v>1.1995985554077171</v>
      </c>
      <c r="O615" s="37">
        <f t="shared" si="98"/>
        <v>0.34378686964795441</v>
      </c>
      <c r="P615" s="117">
        <f t="shared" si="99"/>
        <v>0.41907619410085645</v>
      </c>
      <c r="Q615" s="45">
        <f t="shared" si="95"/>
        <v>2.3960694199829029E-2</v>
      </c>
    </row>
    <row r="616" spans="1:17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>
        <f t="shared" si="93"/>
        <v>200.1</v>
      </c>
      <c r="G616" s="24">
        <v>6</v>
      </c>
      <c r="H616" s="330"/>
      <c r="I616" s="330"/>
      <c r="J616" s="40">
        <f t="shared" si="94"/>
        <v>6</v>
      </c>
      <c r="K616" s="64">
        <f t="shared" si="96"/>
        <v>3.4253092293054237E-3</v>
      </c>
      <c r="L616" s="37">
        <f t="shared" si="97"/>
        <v>7.7724719314938167</v>
      </c>
      <c r="M616" s="37">
        <f t="shared" si="92"/>
        <v>2.8579379292102765</v>
      </c>
      <c r="N616" s="37">
        <v>3.5987956662231513</v>
      </c>
      <c r="O616" s="37">
        <f t="shared" si="98"/>
        <v>1.0313606089438632</v>
      </c>
      <c r="P616" s="117">
        <f t="shared" si="99"/>
        <v>1.2572285823025693</v>
      </c>
      <c r="Q616" s="45">
        <f t="shared" si="95"/>
        <v>7.6264698330190436E-2</v>
      </c>
    </row>
    <row r="617" spans="1:17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>
        <f t="shared" si="93"/>
        <v>79.099999999999994</v>
      </c>
      <c r="G617" s="24">
        <v>2</v>
      </c>
      <c r="H617" s="330"/>
      <c r="I617" s="330"/>
      <c r="J617" s="40">
        <f t="shared" si="94"/>
        <v>2</v>
      </c>
      <c r="K617" s="64">
        <f t="shared" si="96"/>
        <v>1.1417697431018079E-3</v>
      </c>
      <c r="L617" s="37">
        <f t="shared" si="97"/>
        <v>2.5908239771646056</v>
      </c>
      <c r="M617" s="37">
        <f t="shared" si="92"/>
        <v>0.95264597640342552</v>
      </c>
      <c r="N617" s="37">
        <v>1.1995985554077171</v>
      </c>
      <c r="O617" s="37">
        <f t="shared" si="98"/>
        <v>0.34378686964795441</v>
      </c>
      <c r="P617" s="117">
        <f t="shared" si="99"/>
        <v>0.41907619410085645</v>
      </c>
      <c r="Q617" s="45">
        <f t="shared" si="95"/>
        <v>6.4309170399793975E-2</v>
      </c>
    </row>
    <row r="618" spans="1:17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 t="shared" si="93"/>
        <v>3257.2000000000003</v>
      </c>
      <c r="G618" s="24">
        <v>44</v>
      </c>
      <c r="H618" s="330">
        <v>2</v>
      </c>
      <c r="I618" s="330"/>
      <c r="J618" s="40">
        <f t="shared" si="94"/>
        <v>46</v>
      </c>
      <c r="K618" s="64">
        <f t="shared" si="96"/>
        <v>2.6260704091341583E-2</v>
      </c>
      <c r="L618" s="37">
        <f t="shared" si="97"/>
        <v>59.588951474785929</v>
      </c>
      <c r="M618" s="37">
        <f t="shared" si="92"/>
        <v>21.910857457278787</v>
      </c>
      <c r="N618" s="37">
        <v>27.590766774377492</v>
      </c>
      <c r="O618" s="37">
        <f t="shared" si="98"/>
        <v>7.9070980019029511</v>
      </c>
      <c r="P618" s="117">
        <f t="shared" si="99"/>
        <v>9.6387524643196976</v>
      </c>
      <c r="Q618" s="45">
        <f t="shared" si="95"/>
        <v>3.5919708248908618E-2</v>
      </c>
    </row>
    <row r="619" spans="1:17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 t="shared" si="93"/>
        <v>4789.17</v>
      </c>
      <c r="G619" s="24">
        <v>80</v>
      </c>
      <c r="H619" s="330"/>
      <c r="I619" s="330"/>
      <c r="J619" s="40">
        <f t="shared" si="94"/>
        <v>80</v>
      </c>
      <c r="K619" s="64">
        <f t="shared" si="96"/>
        <v>4.5670789724072319E-2</v>
      </c>
      <c r="L619" s="37">
        <f t="shared" si="97"/>
        <v>103.63295908658422</v>
      </c>
      <c r="M619" s="37">
        <f t="shared" si="92"/>
        <v>38.105839056137022</v>
      </c>
      <c r="N619" s="37">
        <v>47.983942216308677</v>
      </c>
      <c r="O619" s="37">
        <f t="shared" si="98"/>
        <v>13.751474785918177</v>
      </c>
      <c r="P619" s="117">
        <f t="shared" si="99"/>
        <v>16.763047764034258</v>
      </c>
      <c r="Q619" s="45">
        <f t="shared" si="95"/>
        <v>4.2486321250853096E-2</v>
      </c>
    </row>
    <row r="620" spans="1:17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 t="shared" si="93"/>
        <v>6316.36</v>
      </c>
      <c r="G620" s="24">
        <v>123</v>
      </c>
      <c r="H620" s="330">
        <v>1</v>
      </c>
      <c r="I620" s="330"/>
      <c r="J620" s="40">
        <f t="shared" si="94"/>
        <v>124</v>
      </c>
      <c r="K620" s="64">
        <f t="shared" si="96"/>
        <v>7.0789724072312085E-2</v>
      </c>
      <c r="L620" s="37">
        <f t="shared" si="97"/>
        <v>160.63108658420552</v>
      </c>
      <c r="M620" s="37">
        <f t="shared" si="92"/>
        <v>59.064050537012371</v>
      </c>
      <c r="N620" s="37">
        <v>74.375110435278458</v>
      </c>
      <c r="O620" s="37">
        <f t="shared" si="98"/>
        <v>21.314785918173172</v>
      </c>
      <c r="P620" s="117">
        <f t="shared" si="99"/>
        <v>25.982724034253099</v>
      </c>
      <c r="Q620" s="45">
        <f t="shared" si="95"/>
        <v>4.9931453158887321E-2</v>
      </c>
    </row>
    <row r="621" spans="1:17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 t="shared" si="93"/>
        <v>4812.1099999999997</v>
      </c>
      <c r="G621" s="24">
        <v>80</v>
      </c>
      <c r="H621" s="330"/>
      <c r="I621" s="330"/>
      <c r="J621" s="40">
        <f t="shared" si="94"/>
        <v>80</v>
      </c>
      <c r="K621" s="64">
        <f t="shared" si="96"/>
        <v>4.5670789724072319E-2</v>
      </c>
      <c r="L621" s="37">
        <f t="shared" si="97"/>
        <v>103.63295908658422</v>
      </c>
      <c r="M621" s="37">
        <f t="shared" si="92"/>
        <v>38.105839056137022</v>
      </c>
      <c r="N621" s="37">
        <v>47.983942216308677</v>
      </c>
      <c r="O621" s="37">
        <f t="shared" si="98"/>
        <v>13.751474785918177</v>
      </c>
      <c r="P621" s="117">
        <f t="shared" si="99"/>
        <v>16.763047764034258</v>
      </c>
      <c r="Q621" s="45">
        <f t="shared" si="95"/>
        <v>4.2283783027600809E-2</v>
      </c>
    </row>
    <row r="622" spans="1:17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 t="shared" si="93"/>
        <v>11145.01</v>
      </c>
      <c r="G622" s="24">
        <v>232</v>
      </c>
      <c r="H622" s="330"/>
      <c r="I622" s="330"/>
      <c r="J622" s="40">
        <f t="shared" si="94"/>
        <v>232</v>
      </c>
      <c r="K622" s="64">
        <f t="shared" si="96"/>
        <v>0.13244529019980972</v>
      </c>
      <c r="L622" s="37">
        <f t="shared" si="97"/>
        <v>300.53558135109427</v>
      </c>
      <c r="M622" s="37">
        <f t="shared" si="92"/>
        <v>110.50693326279738</v>
      </c>
      <c r="N622" s="37">
        <v>139.15343242729517</v>
      </c>
      <c r="O622" s="37">
        <f t="shared" si="98"/>
        <v>39.87927687916271</v>
      </c>
      <c r="P622" s="117">
        <f t="shared" si="99"/>
        <v>48.612838515699345</v>
      </c>
      <c r="Q622" s="45">
        <f t="shared" si="95"/>
        <v>5.2945239521575087E-2</v>
      </c>
    </row>
    <row r="623" spans="1:17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>
        <f t="shared" si="93"/>
        <v>74.5</v>
      </c>
      <c r="G623" s="24">
        <v>2</v>
      </c>
      <c r="H623" s="330"/>
      <c r="I623" s="330"/>
      <c r="J623" s="40">
        <f t="shared" si="94"/>
        <v>2</v>
      </c>
      <c r="K623" s="64">
        <f t="shared" si="96"/>
        <v>1.1417697431018079E-3</v>
      </c>
      <c r="L623" s="37">
        <f t="shared" si="97"/>
        <v>2.5908239771646056</v>
      </c>
      <c r="M623" s="37">
        <f t="shared" si="92"/>
        <v>0.95264597640342552</v>
      </c>
      <c r="N623" s="37">
        <v>1.1995985554077171</v>
      </c>
      <c r="O623" s="37">
        <f t="shared" si="98"/>
        <v>0.34378686964795441</v>
      </c>
      <c r="P623" s="117">
        <f t="shared" si="99"/>
        <v>0.41907619410085645</v>
      </c>
      <c r="Q623" s="45">
        <f t="shared" si="95"/>
        <v>6.8279937968103402E-2</v>
      </c>
    </row>
    <row r="624" spans="1:17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>
        <f t="shared" si="93"/>
        <v>227.9</v>
      </c>
      <c r="G624" s="24">
        <v>6</v>
      </c>
      <c r="H624" s="330"/>
      <c r="I624" s="330"/>
      <c r="J624" s="40">
        <f t="shared" si="94"/>
        <v>6</v>
      </c>
      <c r="K624" s="64">
        <f t="shared" si="96"/>
        <v>3.4253092293054237E-3</v>
      </c>
      <c r="L624" s="37">
        <f t="shared" si="97"/>
        <v>7.7724719314938167</v>
      </c>
      <c r="M624" s="37">
        <f t="shared" si="92"/>
        <v>2.8579379292102765</v>
      </c>
      <c r="N624" s="37">
        <v>3.5987956662231513</v>
      </c>
      <c r="O624" s="37">
        <f t="shared" si="98"/>
        <v>1.0313606089438632</v>
      </c>
      <c r="P624" s="117">
        <f t="shared" si="99"/>
        <v>1.2572285823025693</v>
      </c>
      <c r="Q624" s="45">
        <f t="shared" si="95"/>
        <v>6.6961676769947812E-2</v>
      </c>
    </row>
    <row r="625" spans="1:17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>
        <f t="shared" si="93"/>
        <v>374.6</v>
      </c>
      <c r="G625" s="24">
        <v>8</v>
      </c>
      <c r="H625" s="330"/>
      <c r="I625" s="330"/>
      <c r="J625" s="40">
        <f t="shared" si="94"/>
        <v>8</v>
      </c>
      <c r="K625" s="64">
        <f t="shared" si="96"/>
        <v>4.5670789724072316E-3</v>
      </c>
      <c r="L625" s="37">
        <f t="shared" si="97"/>
        <v>10.363295908658422</v>
      </c>
      <c r="M625" s="37">
        <f t="shared" si="92"/>
        <v>3.8105839056137021</v>
      </c>
      <c r="N625" s="37">
        <v>4.7983942216308684</v>
      </c>
      <c r="O625" s="37">
        <f t="shared" si="98"/>
        <v>1.3751474785918176</v>
      </c>
      <c r="P625" s="117">
        <f t="shared" si="99"/>
        <v>1.6763047764034258</v>
      </c>
      <c r="Q625" s="45">
        <f t="shared" si="95"/>
        <v>5.4317729616910865E-2</v>
      </c>
    </row>
    <row r="626" spans="1:17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>
        <f t="shared" si="93"/>
        <v>738.4</v>
      </c>
      <c r="G626" s="24">
        <v>20</v>
      </c>
      <c r="H626" s="330"/>
      <c r="I626" s="330">
        <v>1</v>
      </c>
      <c r="J626" s="40">
        <f t="shared" si="94"/>
        <v>21</v>
      </c>
      <c r="K626" s="64">
        <f t="shared" si="96"/>
        <v>1.1988582302568983E-2</v>
      </c>
      <c r="L626" s="37">
        <f t="shared" si="97"/>
        <v>27.203651760228357</v>
      </c>
      <c r="M626" s="37">
        <f t="shared" si="92"/>
        <v>10.002782752235968</v>
      </c>
      <c r="N626" s="37">
        <v>12.59578483178103</v>
      </c>
      <c r="O626" s="37">
        <f t="shared" si="98"/>
        <v>3.6097621313035213</v>
      </c>
      <c r="P626" s="117">
        <f t="shared" si="99"/>
        <v>4.4003000380589929</v>
      </c>
      <c r="Q626" s="45">
        <f t="shared" si="95"/>
        <v>7.2334752810873343E-2</v>
      </c>
    </row>
    <row r="627" spans="1:17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>
        <f t="shared" si="93"/>
        <v>442.3</v>
      </c>
      <c r="G627" s="24">
        <v>11</v>
      </c>
      <c r="H627" s="330"/>
      <c r="I627" s="330">
        <v>1</v>
      </c>
      <c r="J627" s="40">
        <f t="shared" si="94"/>
        <v>12</v>
      </c>
      <c r="K627" s="64">
        <f t="shared" si="96"/>
        <v>6.8506184586108474E-3</v>
      </c>
      <c r="L627" s="37">
        <f t="shared" si="97"/>
        <v>15.544943862987633</v>
      </c>
      <c r="M627" s="37">
        <f t="shared" si="92"/>
        <v>5.7158758584205529</v>
      </c>
      <c r="N627" s="37">
        <v>7.1975913324463026</v>
      </c>
      <c r="O627" s="37">
        <f t="shared" si="98"/>
        <v>2.0627212178877263</v>
      </c>
      <c r="P627" s="117">
        <f t="shared" si="99"/>
        <v>2.5144571646051386</v>
      </c>
      <c r="Q627" s="45">
        <f t="shared" si="95"/>
        <v>6.9005499144793606E-2</v>
      </c>
    </row>
    <row r="628" spans="1:17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>
        <f t="shared" si="93"/>
        <v>1043.4000000000001</v>
      </c>
      <c r="G628" s="24">
        <v>21</v>
      </c>
      <c r="H628" s="330"/>
      <c r="I628" s="330">
        <v>2</v>
      </c>
      <c r="J628" s="40">
        <f t="shared" si="94"/>
        <v>23</v>
      </c>
      <c r="K628" s="64">
        <f t="shared" si="96"/>
        <v>1.3130352045670791E-2</v>
      </c>
      <c r="L628" s="37">
        <f t="shared" si="97"/>
        <v>29.794475737392965</v>
      </c>
      <c r="M628" s="37">
        <f t="shared" si="92"/>
        <v>10.955428728639394</v>
      </c>
      <c r="N628" s="37">
        <v>13.795383387188746</v>
      </c>
      <c r="O628" s="37">
        <f t="shared" si="98"/>
        <v>3.9535490009514755</v>
      </c>
      <c r="P628" s="117">
        <f t="shared" si="99"/>
        <v>4.8193762321598488</v>
      </c>
      <c r="Q628" s="45">
        <f t="shared" si="95"/>
        <v>5.6065590237849891E-2</v>
      </c>
    </row>
    <row r="629" spans="1:17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>
        <f t="shared" si="93"/>
        <v>473.6</v>
      </c>
      <c r="G629" s="24">
        <v>12</v>
      </c>
      <c r="H629" s="330"/>
      <c r="I629" s="330">
        <v>1</v>
      </c>
      <c r="J629" s="40">
        <f t="shared" si="94"/>
        <v>13</v>
      </c>
      <c r="K629" s="64">
        <f t="shared" si="96"/>
        <v>7.4215033301617515E-3</v>
      </c>
      <c r="L629" s="37">
        <f t="shared" si="97"/>
        <v>16.840355851569935</v>
      </c>
      <c r="M629" s="37">
        <f t="shared" si="92"/>
        <v>6.1921988466222659</v>
      </c>
      <c r="N629" s="37">
        <v>7.7973906101501598</v>
      </c>
      <c r="O629" s="37">
        <f t="shared" si="98"/>
        <v>2.2346146527117035</v>
      </c>
      <c r="P629" s="117">
        <f t="shared" si="99"/>
        <v>2.7239952616555665</v>
      </c>
      <c r="Q629" s="45">
        <f t="shared" si="95"/>
        <v>6.9815371539387799E-2</v>
      </c>
    </row>
    <row r="630" spans="1:17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>
        <f t="shared" si="93"/>
        <v>345.2</v>
      </c>
      <c r="G630" s="24">
        <v>9</v>
      </c>
      <c r="H630" s="330"/>
      <c r="I630" s="330"/>
      <c r="J630" s="40">
        <f t="shared" si="94"/>
        <v>9</v>
      </c>
      <c r="K630" s="64">
        <f t="shared" si="96"/>
        <v>5.1379638439581357E-3</v>
      </c>
      <c r="L630" s="37">
        <f t="shared" si="97"/>
        <v>11.658707897240726</v>
      </c>
      <c r="M630" s="37">
        <f t="shared" si="92"/>
        <v>4.2869068938154156</v>
      </c>
      <c r="N630" s="37">
        <v>5.3981934993347265</v>
      </c>
      <c r="O630" s="37">
        <f t="shared" si="98"/>
        <v>1.5470409134157947</v>
      </c>
      <c r="P630" s="117">
        <f t="shared" si="99"/>
        <v>1.8858428734538539</v>
      </c>
      <c r="Q630" s="45">
        <f t="shared" si="95"/>
        <v>6.6311845897470051E-2</v>
      </c>
    </row>
    <row r="631" spans="1:17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>
        <f t="shared" si="93"/>
        <v>864.9</v>
      </c>
      <c r="G631" s="24">
        <v>21</v>
      </c>
      <c r="H631" s="330"/>
      <c r="I631" s="330"/>
      <c r="J631" s="40">
        <f t="shared" si="94"/>
        <v>21</v>
      </c>
      <c r="K631" s="64">
        <f t="shared" si="96"/>
        <v>1.1988582302568983E-2</v>
      </c>
      <c r="L631" s="37">
        <f t="shared" si="97"/>
        <v>27.203651760228357</v>
      </c>
      <c r="M631" s="37">
        <f t="shared" si="92"/>
        <v>10.002782752235968</v>
      </c>
      <c r="N631" s="37">
        <v>12.59578483178103</v>
      </c>
      <c r="O631" s="37">
        <f t="shared" si="98"/>
        <v>3.6097621313035213</v>
      </c>
      <c r="P631" s="117">
        <f t="shared" si="99"/>
        <v>4.4003000380589929</v>
      </c>
      <c r="Q631" s="45">
        <f t="shared" si="95"/>
        <v>6.1755094780377932E-2</v>
      </c>
    </row>
    <row r="632" spans="1:17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>
        <f t="shared" si="93"/>
        <v>1116.9000000000001</v>
      </c>
      <c r="G632" s="24">
        <v>32</v>
      </c>
      <c r="H632" s="330"/>
      <c r="I632" s="330"/>
      <c r="J632" s="40">
        <f t="shared" si="94"/>
        <v>32</v>
      </c>
      <c r="K632" s="64">
        <f t="shared" si="96"/>
        <v>1.8268315889628926E-2</v>
      </c>
      <c r="L632" s="37">
        <f t="shared" si="97"/>
        <v>41.453183634633689</v>
      </c>
      <c r="M632" s="37">
        <f t="shared" si="92"/>
        <v>15.242335622454808</v>
      </c>
      <c r="N632" s="37">
        <v>19.193576886523473</v>
      </c>
      <c r="O632" s="37">
        <f t="shared" si="98"/>
        <v>5.5005899143672705</v>
      </c>
      <c r="P632" s="117">
        <f t="shared" si="99"/>
        <v>6.7052191056137032</v>
      </c>
      <c r="Q632" s="45">
        <f t="shared" si="95"/>
        <v>7.2871059233574398E-2</v>
      </c>
    </row>
    <row r="633" spans="1:17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>
        <f t="shared" si="93"/>
        <v>506.2</v>
      </c>
      <c r="G633" s="24">
        <v>15</v>
      </c>
      <c r="H633" s="330"/>
      <c r="I633" s="330">
        <v>1</v>
      </c>
      <c r="J633" s="40">
        <f t="shared" si="94"/>
        <v>16</v>
      </c>
      <c r="K633" s="64">
        <f t="shared" si="96"/>
        <v>9.1341579448144632E-3</v>
      </c>
      <c r="L633" s="37">
        <f t="shared" si="97"/>
        <v>20.726591817316844</v>
      </c>
      <c r="M633" s="37">
        <f t="shared" si="92"/>
        <v>7.6211678112274042</v>
      </c>
      <c r="N633" s="37">
        <v>9.5967884432617367</v>
      </c>
      <c r="O633" s="37">
        <f t="shared" si="98"/>
        <v>2.7502949571836353</v>
      </c>
      <c r="P633" s="117">
        <f t="shared" si="99"/>
        <v>3.3526095528068516</v>
      </c>
      <c r="Q633" s="45">
        <f t="shared" si="95"/>
        <v>8.0392815150117786E-2</v>
      </c>
    </row>
    <row r="634" spans="1:17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>
        <f t="shared" si="93"/>
        <v>369.5</v>
      </c>
      <c r="G634" s="24">
        <v>7</v>
      </c>
      <c r="H634" s="330"/>
      <c r="I634" s="330"/>
      <c r="J634" s="40">
        <f t="shared" si="94"/>
        <v>7</v>
      </c>
      <c r="K634" s="64">
        <f t="shared" si="96"/>
        <v>3.9961941008563274E-3</v>
      </c>
      <c r="L634" s="37">
        <f t="shared" si="97"/>
        <v>9.0678839200761185</v>
      </c>
      <c r="M634" s="37">
        <f t="shared" si="92"/>
        <v>3.334260917411989</v>
      </c>
      <c r="N634" s="37">
        <v>4.1985949439270103</v>
      </c>
      <c r="O634" s="37">
        <f t="shared" si="98"/>
        <v>1.2032540437678403</v>
      </c>
      <c r="P634" s="117">
        <f t="shared" si="99"/>
        <v>1.4667666793529974</v>
      </c>
      <c r="Q634" s="45">
        <f t="shared" si="95"/>
        <v>4.8184015765041832E-2</v>
      </c>
    </row>
    <row r="635" spans="1:17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>
        <f t="shared" si="93"/>
        <v>510.1</v>
      </c>
      <c r="G635" s="24">
        <v>14</v>
      </c>
      <c r="H635" s="330"/>
      <c r="I635" s="330"/>
      <c r="J635" s="40">
        <f t="shared" si="94"/>
        <v>14</v>
      </c>
      <c r="K635" s="64">
        <f t="shared" si="96"/>
        <v>7.9923882017126548E-3</v>
      </c>
      <c r="L635" s="37">
        <f t="shared" si="97"/>
        <v>18.135767840152237</v>
      </c>
      <c r="M635" s="37">
        <f t="shared" si="92"/>
        <v>6.6685218348239781</v>
      </c>
      <c r="N635" s="37">
        <v>8.3971898878540205</v>
      </c>
      <c r="O635" s="37">
        <f t="shared" si="98"/>
        <v>2.4065080875356806</v>
      </c>
      <c r="P635" s="117">
        <f t="shared" si="99"/>
        <v>2.9335333587059949</v>
      </c>
      <c r="Q635" s="45">
        <f t="shared" si="95"/>
        <v>6.9805896197541489E-2</v>
      </c>
    </row>
    <row r="636" spans="1:17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>
        <f t="shared" si="93"/>
        <v>312</v>
      </c>
      <c r="G636" s="24">
        <v>6</v>
      </c>
      <c r="H636" s="330"/>
      <c r="I636" s="330"/>
      <c r="J636" s="40">
        <f t="shared" si="94"/>
        <v>6</v>
      </c>
      <c r="K636" s="64">
        <f t="shared" si="96"/>
        <v>3.4253092293054237E-3</v>
      </c>
      <c r="L636" s="37">
        <f t="shared" si="97"/>
        <v>7.7724719314938167</v>
      </c>
      <c r="M636" s="37">
        <f t="shared" si="92"/>
        <v>2.8579379292102765</v>
      </c>
      <c r="N636" s="37">
        <v>3.5987956662231513</v>
      </c>
      <c r="O636" s="37">
        <f t="shared" si="98"/>
        <v>1.0313606089438632</v>
      </c>
      <c r="P636" s="117">
        <f t="shared" si="99"/>
        <v>1.2572285823025693</v>
      </c>
      <c r="Q636" s="45">
        <f t="shared" si="95"/>
        <v>4.8912070948304832E-2</v>
      </c>
    </row>
    <row r="637" spans="1:17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>
        <f t="shared" si="93"/>
        <v>488.2</v>
      </c>
      <c r="G637" s="24">
        <v>11</v>
      </c>
      <c r="H637" s="330"/>
      <c r="I637" s="330"/>
      <c r="J637" s="40">
        <f t="shared" si="94"/>
        <v>11</v>
      </c>
      <c r="K637" s="64">
        <f t="shared" si="96"/>
        <v>6.2797335870599432E-3</v>
      </c>
      <c r="L637" s="37">
        <f t="shared" si="97"/>
        <v>14.24953187440533</v>
      </c>
      <c r="M637" s="37">
        <f t="shared" si="92"/>
        <v>5.2395528702188399</v>
      </c>
      <c r="N637" s="37">
        <v>6.5977920547424445</v>
      </c>
      <c r="O637" s="37">
        <f t="shared" si="98"/>
        <v>1.890827783063749</v>
      </c>
      <c r="P637" s="117">
        <f t="shared" si="99"/>
        <v>2.3049190675547102</v>
      </c>
      <c r="Q637" s="45">
        <f t="shared" si="95"/>
        <v>5.7307875015219917E-2</v>
      </c>
    </row>
    <row r="638" spans="1:17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>
        <f t="shared" si="93"/>
        <v>223.7</v>
      </c>
      <c r="G638" s="24">
        <v>6</v>
      </c>
      <c r="H638" s="330"/>
      <c r="I638" s="330"/>
      <c r="J638" s="40">
        <f t="shared" si="94"/>
        <v>6</v>
      </c>
      <c r="K638" s="64">
        <f t="shared" si="96"/>
        <v>3.4253092293054237E-3</v>
      </c>
      <c r="L638" s="37">
        <f t="shared" si="97"/>
        <v>7.7724719314938167</v>
      </c>
      <c r="M638" s="37">
        <f t="shared" ref="M638:M696" si="100">L638*0.3677</f>
        <v>2.8579379292102765</v>
      </c>
      <c r="N638" s="37">
        <v>3.5987956662231513</v>
      </c>
      <c r="O638" s="37">
        <f t="shared" si="98"/>
        <v>1.0313606089438632</v>
      </c>
      <c r="P638" s="117">
        <f t="shared" si="99"/>
        <v>1.2572285823025693</v>
      </c>
      <c r="Q638" s="45">
        <f t="shared" si="95"/>
        <v>6.8218891979754614E-2</v>
      </c>
    </row>
    <row r="639" spans="1:17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>
        <f t="shared" ref="F639:F697" si="101">C639+D639+E639</f>
        <v>388.5</v>
      </c>
      <c r="G639" s="24">
        <v>10</v>
      </c>
      <c r="H639" s="330"/>
      <c r="I639" s="330"/>
      <c r="J639" s="40">
        <f t="shared" ref="J639:J697" si="102">G639+H639+I639</f>
        <v>10</v>
      </c>
      <c r="K639" s="64">
        <f t="shared" si="96"/>
        <v>5.7088487155090399E-3</v>
      </c>
      <c r="L639" s="37">
        <f t="shared" si="97"/>
        <v>12.954119885823028</v>
      </c>
      <c r="M639" s="37">
        <f t="shared" si="100"/>
        <v>4.7632298820171277</v>
      </c>
      <c r="N639" s="37">
        <v>5.9979927770385846</v>
      </c>
      <c r="O639" s="37">
        <f t="shared" si="98"/>
        <v>1.7189343482397721</v>
      </c>
      <c r="P639" s="117">
        <f t="shared" si="99"/>
        <v>2.0953809705042823</v>
      </c>
      <c r="Q639" s="45">
        <f t="shared" si="95"/>
        <v>6.5467894190781251E-2</v>
      </c>
    </row>
    <row r="640" spans="1:17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>
        <f t="shared" si="101"/>
        <v>528.32000000000005</v>
      </c>
      <c r="G640" s="24">
        <v>10</v>
      </c>
      <c r="H640" s="330"/>
      <c r="I640" s="330"/>
      <c r="J640" s="40">
        <f t="shared" si="102"/>
        <v>10</v>
      </c>
      <c r="K640" s="64">
        <f t="shared" si="96"/>
        <v>5.7088487155090399E-3</v>
      </c>
      <c r="L640" s="37">
        <f t="shared" si="97"/>
        <v>12.954119885823028</v>
      </c>
      <c r="M640" s="37">
        <f t="shared" si="100"/>
        <v>4.7632298820171277</v>
      </c>
      <c r="N640" s="37">
        <v>5.9979927770385846</v>
      </c>
      <c r="O640" s="37">
        <f t="shared" si="98"/>
        <v>1.7189343482397721</v>
      </c>
      <c r="P640" s="117">
        <f t="shared" si="99"/>
        <v>2.0953809705042823</v>
      </c>
      <c r="Q640" s="45">
        <f t="shared" si="95"/>
        <v>4.8141802114473262E-2</v>
      </c>
    </row>
    <row r="641" spans="1:17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>
        <f t="shared" si="101"/>
        <v>262.17</v>
      </c>
      <c r="G641" s="24">
        <v>5</v>
      </c>
      <c r="H641" s="330"/>
      <c r="I641" s="330"/>
      <c r="J641" s="40">
        <f t="shared" si="102"/>
        <v>5</v>
      </c>
      <c r="K641" s="64">
        <f t="shared" si="96"/>
        <v>2.85442435775452E-3</v>
      </c>
      <c r="L641" s="37">
        <f t="shared" si="97"/>
        <v>6.4770599429115139</v>
      </c>
      <c r="M641" s="37">
        <f t="shared" si="100"/>
        <v>2.3816149410085639</v>
      </c>
      <c r="N641" s="37">
        <v>2.9989963885192923</v>
      </c>
      <c r="O641" s="37">
        <f t="shared" si="98"/>
        <v>0.85946717411988605</v>
      </c>
      <c r="P641" s="117">
        <f t="shared" si="99"/>
        <v>1.0476904852521411</v>
      </c>
      <c r="Q641" s="45">
        <f t="shared" si="95"/>
        <v>4.850722220909813E-2</v>
      </c>
    </row>
    <row r="642" spans="1:17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>
        <f t="shared" si="101"/>
        <v>513.29999999999995</v>
      </c>
      <c r="G642" s="24">
        <v>12</v>
      </c>
      <c r="H642" s="330"/>
      <c r="I642" s="330"/>
      <c r="J642" s="40">
        <f t="shared" si="102"/>
        <v>12</v>
      </c>
      <c r="K642" s="64">
        <f t="shared" si="96"/>
        <v>6.8506184586108474E-3</v>
      </c>
      <c r="L642" s="37">
        <f t="shared" si="97"/>
        <v>15.544943862987633</v>
      </c>
      <c r="M642" s="37">
        <f t="shared" si="100"/>
        <v>5.7158758584205529</v>
      </c>
      <c r="N642" s="37">
        <v>7.1975913324463026</v>
      </c>
      <c r="O642" s="37">
        <f t="shared" si="98"/>
        <v>2.0627212178877263</v>
      </c>
      <c r="P642" s="117">
        <f t="shared" si="99"/>
        <v>2.5144571646051386</v>
      </c>
      <c r="Q642" s="45">
        <f t="shared" si="95"/>
        <v>5.9460612257436617E-2</v>
      </c>
    </row>
    <row r="643" spans="1:17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>
        <f t="shared" si="101"/>
        <v>577.70000000000005</v>
      </c>
      <c r="G643" s="24">
        <v>13</v>
      </c>
      <c r="H643" s="330"/>
      <c r="I643" s="330"/>
      <c r="J643" s="40">
        <f t="shared" si="102"/>
        <v>13</v>
      </c>
      <c r="K643" s="64">
        <f t="shared" si="96"/>
        <v>7.4215033301617515E-3</v>
      </c>
      <c r="L643" s="37">
        <f t="shared" si="97"/>
        <v>16.840355851569935</v>
      </c>
      <c r="M643" s="37">
        <f t="shared" si="100"/>
        <v>6.1921988466222659</v>
      </c>
      <c r="N643" s="37">
        <v>7.7973906101501598</v>
      </c>
      <c r="O643" s="37">
        <f t="shared" si="98"/>
        <v>2.2346146527117035</v>
      </c>
      <c r="P643" s="117">
        <f t="shared" si="99"/>
        <v>2.7239952616555665</v>
      </c>
      <c r="Q643" s="45">
        <f t="shared" si="95"/>
        <v>5.7234827697860591E-2</v>
      </c>
    </row>
    <row r="644" spans="1:17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>
        <f t="shared" si="101"/>
        <v>432.4</v>
      </c>
      <c r="G644" s="24">
        <v>11</v>
      </c>
      <c r="H644" s="330"/>
      <c r="I644" s="330"/>
      <c r="J644" s="40">
        <f t="shared" si="102"/>
        <v>11</v>
      </c>
      <c r="K644" s="64">
        <f t="shared" si="96"/>
        <v>6.2797335870599432E-3</v>
      </c>
      <c r="L644" s="37">
        <f t="shared" si="97"/>
        <v>14.24953187440533</v>
      </c>
      <c r="M644" s="37">
        <f t="shared" si="100"/>
        <v>5.2395528702188399</v>
      </c>
      <c r="N644" s="37">
        <v>6.5977920547424445</v>
      </c>
      <c r="O644" s="37">
        <f t="shared" si="98"/>
        <v>1.890827783063749</v>
      </c>
      <c r="P644" s="117">
        <f t="shared" si="99"/>
        <v>2.3049190675547102</v>
      </c>
      <c r="Q644" s="45">
        <f t="shared" si="95"/>
        <v>6.4703294593964761E-2</v>
      </c>
    </row>
    <row r="645" spans="1:17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>
        <f t="shared" si="101"/>
        <v>488.9</v>
      </c>
      <c r="G645" s="24">
        <v>9</v>
      </c>
      <c r="H645" s="330"/>
      <c r="I645" s="330"/>
      <c r="J645" s="40">
        <f t="shared" si="102"/>
        <v>9</v>
      </c>
      <c r="K645" s="64">
        <f t="shared" si="96"/>
        <v>5.1379638439581357E-3</v>
      </c>
      <c r="L645" s="37">
        <f t="shared" si="97"/>
        <v>11.658707897240726</v>
      </c>
      <c r="M645" s="37">
        <f t="shared" si="100"/>
        <v>4.2869068938154156</v>
      </c>
      <c r="N645" s="37">
        <v>5.3981934993347265</v>
      </c>
      <c r="O645" s="37">
        <f t="shared" si="98"/>
        <v>1.5470409134157947</v>
      </c>
      <c r="P645" s="117">
        <f t="shared" si="99"/>
        <v>1.8858428734538539</v>
      </c>
      <c r="Q645" s="45">
        <f t="shared" si="95"/>
        <v>4.6821127436708243E-2</v>
      </c>
    </row>
    <row r="646" spans="1:17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>
        <f t="shared" si="101"/>
        <v>540.1</v>
      </c>
      <c r="G646" s="24">
        <v>13</v>
      </c>
      <c r="H646" s="330"/>
      <c r="I646" s="330"/>
      <c r="J646" s="40">
        <f t="shared" si="102"/>
        <v>13</v>
      </c>
      <c r="K646" s="64">
        <f t="shared" si="96"/>
        <v>7.4215033301617515E-3</v>
      </c>
      <c r="L646" s="37">
        <f t="shared" si="97"/>
        <v>16.840355851569935</v>
      </c>
      <c r="M646" s="37">
        <f t="shared" si="100"/>
        <v>6.1921988466222659</v>
      </c>
      <c r="N646" s="37">
        <v>7.7973906101501598</v>
      </c>
      <c r="O646" s="37">
        <f t="shared" si="98"/>
        <v>2.2346146527117035</v>
      </c>
      <c r="P646" s="117">
        <f t="shared" si="99"/>
        <v>2.7239952616555665</v>
      </c>
      <c r="Q646" s="45">
        <f t="shared" si="95"/>
        <v>6.1219329681640559E-2</v>
      </c>
    </row>
    <row r="647" spans="1:17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>
        <f t="shared" si="101"/>
        <v>236.8</v>
      </c>
      <c r="G647" s="24">
        <v>7</v>
      </c>
      <c r="H647" s="330"/>
      <c r="I647" s="330"/>
      <c r="J647" s="40">
        <f t="shared" si="102"/>
        <v>7</v>
      </c>
      <c r="K647" s="64">
        <f t="shared" si="96"/>
        <v>3.9961941008563274E-3</v>
      </c>
      <c r="L647" s="37">
        <f t="shared" si="97"/>
        <v>9.0678839200761185</v>
      </c>
      <c r="M647" s="37">
        <f t="shared" si="100"/>
        <v>3.334260917411989</v>
      </c>
      <c r="N647" s="37">
        <v>4.1985949439270103</v>
      </c>
      <c r="O647" s="37">
        <f t="shared" si="98"/>
        <v>1.2032540437678403</v>
      </c>
      <c r="P647" s="117">
        <f t="shared" si="99"/>
        <v>1.4667666793529974</v>
      </c>
      <c r="Q647" s="45">
        <f t="shared" ref="Q647:Q710" si="103">(O647+N647+M647+L647)/F647</f>
        <v>7.5185784734725314E-2</v>
      </c>
    </row>
    <row r="648" spans="1:17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>
        <f t="shared" si="101"/>
        <v>375.5</v>
      </c>
      <c r="G648" s="24">
        <v>9</v>
      </c>
      <c r="H648" s="330"/>
      <c r="I648" s="330"/>
      <c r="J648" s="40">
        <f t="shared" si="102"/>
        <v>9</v>
      </c>
      <c r="K648" s="64">
        <f t="shared" si="96"/>
        <v>5.1379638439581357E-3</v>
      </c>
      <c r="L648" s="37">
        <f t="shared" si="97"/>
        <v>11.658707897240726</v>
      </c>
      <c r="M648" s="37">
        <f t="shared" si="100"/>
        <v>4.2869068938154156</v>
      </c>
      <c r="N648" s="37">
        <v>5.3981934993347265</v>
      </c>
      <c r="O648" s="37">
        <f t="shared" si="98"/>
        <v>1.5470409134157947</v>
      </c>
      <c r="P648" s="117">
        <f t="shared" si="99"/>
        <v>1.8858428734538539</v>
      </c>
      <c r="Q648" s="45">
        <f t="shared" si="103"/>
        <v>6.0960983232507752E-2</v>
      </c>
    </row>
    <row r="649" spans="1:17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>
        <f t="shared" si="101"/>
        <v>618.54</v>
      </c>
      <c r="G649" s="24">
        <v>13</v>
      </c>
      <c r="H649" s="330"/>
      <c r="I649" s="330">
        <v>1</v>
      </c>
      <c r="J649" s="40">
        <f t="shared" si="102"/>
        <v>14</v>
      </c>
      <c r="K649" s="64">
        <f t="shared" si="96"/>
        <v>7.9923882017126548E-3</v>
      </c>
      <c r="L649" s="37">
        <f t="shared" si="97"/>
        <v>18.135767840152237</v>
      </c>
      <c r="M649" s="37">
        <f t="shared" si="100"/>
        <v>6.6685218348239781</v>
      </c>
      <c r="N649" s="37">
        <v>8.3971898878540205</v>
      </c>
      <c r="O649" s="37">
        <f t="shared" si="98"/>
        <v>2.4065080875356806</v>
      </c>
      <c r="P649" s="117">
        <f t="shared" si="99"/>
        <v>2.9335333587059949</v>
      </c>
      <c r="Q649" s="45">
        <f t="shared" si="103"/>
        <v>5.7567801032052765E-2</v>
      </c>
    </row>
    <row r="650" spans="1:17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>
        <f t="shared" si="101"/>
        <v>473.5</v>
      </c>
      <c r="G650" s="24">
        <v>12</v>
      </c>
      <c r="H650" s="330"/>
      <c r="I650" s="330"/>
      <c r="J650" s="40">
        <f t="shared" si="102"/>
        <v>12</v>
      </c>
      <c r="K650" s="64">
        <f t="shared" si="96"/>
        <v>6.8506184586108474E-3</v>
      </c>
      <c r="L650" s="37">
        <f t="shared" si="97"/>
        <v>15.544943862987633</v>
      </c>
      <c r="M650" s="37">
        <f t="shared" si="100"/>
        <v>5.7158758584205529</v>
      </c>
      <c r="N650" s="37">
        <v>7.1975913324463026</v>
      </c>
      <c r="O650" s="37">
        <f t="shared" si="98"/>
        <v>2.0627212178877263</v>
      </c>
      <c r="P650" s="117">
        <f t="shared" si="99"/>
        <v>2.5144571646051386</v>
      </c>
      <c r="Q650" s="45">
        <f t="shared" si="103"/>
        <v>6.4458568683721684E-2</v>
      </c>
    </row>
    <row r="651" spans="1:17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>
        <f t="shared" si="101"/>
        <v>281.8</v>
      </c>
      <c r="G651" s="24">
        <v>8</v>
      </c>
      <c r="H651" s="330"/>
      <c r="I651" s="330"/>
      <c r="J651" s="40">
        <f t="shared" si="102"/>
        <v>8</v>
      </c>
      <c r="K651" s="64">
        <f t="shared" si="96"/>
        <v>4.5670789724072316E-3</v>
      </c>
      <c r="L651" s="37">
        <f t="shared" si="97"/>
        <v>10.363295908658422</v>
      </c>
      <c r="M651" s="37">
        <f t="shared" si="100"/>
        <v>3.8105839056137021</v>
      </c>
      <c r="N651" s="37">
        <v>4.7983942216308684</v>
      </c>
      <c r="O651" s="37">
        <f t="shared" si="98"/>
        <v>1.3751474785918176</v>
      </c>
      <c r="P651" s="117">
        <f t="shared" si="99"/>
        <v>1.6763047764034258</v>
      </c>
      <c r="Q651" s="45">
        <f t="shared" si="103"/>
        <v>7.2205186353778608E-2</v>
      </c>
    </row>
    <row r="652" spans="1:17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>
        <f t="shared" si="101"/>
        <v>295.89999999999998</v>
      </c>
      <c r="G652" s="24">
        <v>8</v>
      </c>
      <c r="H652" s="330"/>
      <c r="I652" s="330"/>
      <c r="J652" s="40">
        <f t="shared" si="102"/>
        <v>8</v>
      </c>
      <c r="K652" s="64">
        <f t="shared" si="96"/>
        <v>4.5670789724072316E-3</v>
      </c>
      <c r="L652" s="37">
        <f t="shared" si="97"/>
        <v>10.363295908658422</v>
      </c>
      <c r="M652" s="37">
        <f t="shared" si="100"/>
        <v>3.8105839056137021</v>
      </c>
      <c r="N652" s="37">
        <v>4.7983942216308684</v>
      </c>
      <c r="O652" s="37">
        <f t="shared" si="98"/>
        <v>1.3751474785918176</v>
      </c>
      <c r="P652" s="117">
        <f t="shared" si="99"/>
        <v>1.6763047764034258</v>
      </c>
      <c r="Q652" s="45">
        <f t="shared" si="103"/>
        <v>6.8764520157130152E-2</v>
      </c>
    </row>
    <row r="653" spans="1:17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>
        <f t="shared" si="101"/>
        <v>346.1</v>
      </c>
      <c r="G653" s="24">
        <v>11</v>
      </c>
      <c r="H653" s="330"/>
      <c r="I653" s="330"/>
      <c r="J653" s="40">
        <f t="shared" si="102"/>
        <v>11</v>
      </c>
      <c r="K653" s="64">
        <f t="shared" si="96"/>
        <v>6.2797335870599432E-3</v>
      </c>
      <c r="L653" s="37">
        <f t="shared" si="97"/>
        <v>14.24953187440533</v>
      </c>
      <c r="M653" s="37">
        <f t="shared" si="100"/>
        <v>5.2395528702188399</v>
      </c>
      <c r="N653" s="37">
        <v>6.5977920547424445</v>
      </c>
      <c r="O653" s="37">
        <f t="shared" si="98"/>
        <v>1.890827783063749</v>
      </c>
      <c r="P653" s="117">
        <f t="shared" si="99"/>
        <v>2.3049190675547102</v>
      </c>
      <c r="Q653" s="45">
        <f t="shared" si="103"/>
        <v>8.083705455773002E-2</v>
      </c>
    </row>
    <row r="654" spans="1:17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>
        <f t="shared" si="101"/>
        <v>665.4</v>
      </c>
      <c r="G654" s="24">
        <v>20</v>
      </c>
      <c r="H654" s="330"/>
      <c r="I654" s="330">
        <v>1</v>
      </c>
      <c r="J654" s="40">
        <f t="shared" si="102"/>
        <v>21</v>
      </c>
      <c r="K654" s="64">
        <f t="shared" si="96"/>
        <v>1.1988582302568983E-2</v>
      </c>
      <c r="L654" s="37">
        <f t="shared" si="97"/>
        <v>27.203651760228357</v>
      </c>
      <c r="M654" s="37">
        <f t="shared" si="100"/>
        <v>10.002782752235968</v>
      </c>
      <c r="N654" s="37">
        <v>12.59578483178103</v>
      </c>
      <c r="O654" s="37">
        <f t="shared" si="98"/>
        <v>3.6097621313035213</v>
      </c>
      <c r="P654" s="117">
        <f t="shared" si="99"/>
        <v>4.4003000380589929</v>
      </c>
      <c r="Q654" s="45">
        <f t="shared" si="103"/>
        <v>8.0270486136983579E-2</v>
      </c>
    </row>
    <row r="655" spans="1:17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>
        <f t="shared" si="101"/>
        <v>415.51</v>
      </c>
      <c r="G655" s="24">
        <v>12</v>
      </c>
      <c r="H655" s="330"/>
      <c r="I655" s="330"/>
      <c r="J655" s="40">
        <f t="shared" si="102"/>
        <v>12</v>
      </c>
      <c r="K655" s="64">
        <f t="shared" si="96"/>
        <v>6.8506184586108474E-3</v>
      </c>
      <c r="L655" s="37">
        <f t="shared" si="97"/>
        <v>15.544943862987633</v>
      </c>
      <c r="M655" s="37">
        <f t="shared" si="100"/>
        <v>5.7158758584205529</v>
      </c>
      <c r="N655" s="37">
        <v>7.1975913324463026</v>
      </c>
      <c r="O655" s="37">
        <f t="shared" si="98"/>
        <v>2.0627212178877263</v>
      </c>
      <c r="P655" s="117">
        <f t="shared" si="99"/>
        <v>2.5144571646051386</v>
      </c>
      <c r="Q655" s="45">
        <f t="shared" si="103"/>
        <v>7.3454627498116085E-2</v>
      </c>
    </row>
    <row r="656" spans="1:17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>
        <f t="shared" si="101"/>
        <v>1654.8</v>
      </c>
      <c r="G656" s="24">
        <v>51</v>
      </c>
      <c r="H656" s="330"/>
      <c r="I656" s="330">
        <v>4</v>
      </c>
      <c r="J656" s="40">
        <f t="shared" si="102"/>
        <v>55</v>
      </c>
      <c r="K656" s="64">
        <f t="shared" si="96"/>
        <v>3.1398667935299718E-2</v>
      </c>
      <c r="L656" s="37">
        <f t="shared" si="97"/>
        <v>71.247659372026646</v>
      </c>
      <c r="M656" s="37">
        <f t="shared" si="100"/>
        <v>26.1977643510942</v>
      </c>
      <c r="N656" s="37">
        <v>32.988960273712223</v>
      </c>
      <c r="O656" s="37">
        <f t="shared" si="98"/>
        <v>9.4541389153187456</v>
      </c>
      <c r="P656" s="117">
        <f t="shared" si="99"/>
        <v>11.524595337773551</v>
      </c>
      <c r="Q656" s="45">
        <f t="shared" si="103"/>
        <v>8.4535002968426282E-2</v>
      </c>
    </row>
    <row r="657" spans="1:17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 t="shared" si="101"/>
        <v>3220.9</v>
      </c>
      <c r="G657" s="24">
        <v>72</v>
      </c>
      <c r="H657" s="330"/>
      <c r="I657" s="330"/>
      <c r="J657" s="40">
        <f t="shared" si="102"/>
        <v>72</v>
      </c>
      <c r="K657" s="64">
        <f t="shared" si="96"/>
        <v>4.1103710751665086E-2</v>
      </c>
      <c r="L657" s="37">
        <f t="shared" si="97"/>
        <v>93.269663177925807</v>
      </c>
      <c r="M657" s="37">
        <f t="shared" si="100"/>
        <v>34.295255150523325</v>
      </c>
      <c r="N657" s="37">
        <v>43.185547994677812</v>
      </c>
      <c r="O657" s="37">
        <f t="shared" si="98"/>
        <v>12.376327307326358</v>
      </c>
      <c r="P657" s="117">
        <f t="shared" si="99"/>
        <v>15.086742987630831</v>
      </c>
      <c r="Q657" s="45">
        <f t="shared" si="103"/>
        <v>5.6855783672406242E-2</v>
      </c>
    </row>
    <row r="658" spans="1:17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 t="shared" si="101"/>
        <v>3593.47</v>
      </c>
      <c r="G658" s="24">
        <v>80</v>
      </c>
      <c r="H658" s="330"/>
      <c r="I658" s="330"/>
      <c r="J658" s="40">
        <f t="shared" si="102"/>
        <v>80</v>
      </c>
      <c r="K658" s="64">
        <f t="shared" si="96"/>
        <v>4.5670789724072319E-2</v>
      </c>
      <c r="L658" s="37">
        <f t="shared" si="97"/>
        <v>103.63295908658422</v>
      </c>
      <c r="M658" s="37">
        <f t="shared" si="100"/>
        <v>38.105839056137022</v>
      </c>
      <c r="N658" s="37">
        <v>47.983942216308677</v>
      </c>
      <c r="O658" s="37">
        <f t="shared" si="98"/>
        <v>13.751474785918177</v>
      </c>
      <c r="P658" s="117">
        <f t="shared" si="99"/>
        <v>16.763047764034258</v>
      </c>
      <c r="Q658" s="45">
        <f t="shared" si="103"/>
        <v>5.6623323735817507E-2</v>
      </c>
    </row>
    <row r="659" spans="1:17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 t="shared" si="101"/>
        <v>5258.9</v>
      </c>
      <c r="G659" s="24">
        <v>119</v>
      </c>
      <c r="H659" s="330"/>
      <c r="I659" s="330"/>
      <c r="J659" s="40">
        <f t="shared" si="102"/>
        <v>119</v>
      </c>
      <c r="K659" s="64">
        <f t="shared" si="96"/>
        <v>6.793529971455757E-2</v>
      </c>
      <c r="L659" s="37">
        <f t="shared" si="97"/>
        <v>154.15402664129402</v>
      </c>
      <c r="M659" s="37">
        <f t="shared" si="100"/>
        <v>56.682435596003813</v>
      </c>
      <c r="N659" s="37">
        <v>71.376114046759156</v>
      </c>
      <c r="O659" s="37">
        <f t="shared" si="98"/>
        <v>20.455318744053287</v>
      </c>
      <c r="P659" s="117">
        <f t="shared" si="99"/>
        <v>24.935033549000959</v>
      </c>
      <c r="Q659" s="45">
        <f t="shared" si="103"/>
        <v>5.7553460805132302E-2</v>
      </c>
    </row>
    <row r="660" spans="1:17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 t="shared" si="101"/>
        <v>3743.95</v>
      </c>
      <c r="G660" s="24">
        <v>90</v>
      </c>
      <c r="H660" s="330"/>
      <c r="I660" s="330"/>
      <c r="J660" s="40">
        <f t="shared" si="102"/>
        <v>90</v>
      </c>
      <c r="K660" s="64">
        <f t="shared" si="96"/>
        <v>5.1379638439581356E-2</v>
      </c>
      <c r="L660" s="37">
        <f t="shared" si="97"/>
        <v>116.58707897240724</v>
      </c>
      <c r="M660" s="37">
        <f t="shared" si="100"/>
        <v>42.869068938154143</v>
      </c>
      <c r="N660" s="37">
        <v>53.981934993347267</v>
      </c>
      <c r="O660" s="37">
        <f t="shared" si="98"/>
        <v>15.470409134157947</v>
      </c>
      <c r="P660" s="117">
        <f t="shared" si="99"/>
        <v>18.858428734538538</v>
      </c>
      <c r="Q660" s="45">
        <f t="shared" si="103"/>
        <v>6.1140905203880019E-2</v>
      </c>
    </row>
    <row r="661" spans="1:17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>
        <f t="shared" si="101"/>
        <v>3185.57</v>
      </c>
      <c r="G661" s="24">
        <v>77</v>
      </c>
      <c r="H661" s="330"/>
      <c r="I661" s="330">
        <v>1</v>
      </c>
      <c r="J661" s="40">
        <f t="shared" si="102"/>
        <v>78</v>
      </c>
      <c r="K661" s="64">
        <f t="shared" si="96"/>
        <v>4.4529019980970509E-2</v>
      </c>
      <c r="L661" s="37">
        <f t="shared" si="97"/>
        <v>101.04213510941962</v>
      </c>
      <c r="M661" s="37">
        <f t="shared" si="100"/>
        <v>37.153193079733597</v>
      </c>
      <c r="N661" s="37">
        <v>46.784343660900966</v>
      </c>
      <c r="O661" s="37">
        <f t="shared" si="98"/>
        <v>13.407687916270222</v>
      </c>
      <c r="P661" s="117">
        <f t="shared" si="99"/>
        <v>16.343971569933402</v>
      </c>
      <c r="Q661" s="45">
        <f t="shared" si="103"/>
        <v>6.2276879731515668E-2</v>
      </c>
    </row>
    <row r="662" spans="1:17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>
        <f t="shared" si="101"/>
        <v>272.89999999999998</v>
      </c>
      <c r="G662" s="24">
        <v>9</v>
      </c>
      <c r="H662" s="330"/>
      <c r="I662" s="330"/>
      <c r="J662" s="40">
        <f t="shared" si="102"/>
        <v>9</v>
      </c>
      <c r="K662" s="64">
        <f t="shared" si="96"/>
        <v>5.1379638439581357E-3</v>
      </c>
      <c r="L662" s="37">
        <f t="shared" si="97"/>
        <v>11.658707897240726</v>
      </c>
      <c r="M662" s="37">
        <f t="shared" si="100"/>
        <v>4.2869068938154156</v>
      </c>
      <c r="N662" s="37">
        <v>5.3981934993347265</v>
      </c>
      <c r="O662" s="37">
        <f t="shared" si="98"/>
        <v>1.5470409134157947</v>
      </c>
      <c r="P662" s="117">
        <f t="shared" si="99"/>
        <v>1.8858428734538539</v>
      </c>
      <c r="Q662" s="45">
        <f t="shared" si="103"/>
        <v>8.387998975378036E-2</v>
      </c>
    </row>
    <row r="663" spans="1:17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>
        <f t="shared" si="101"/>
        <v>604.1</v>
      </c>
      <c r="G663" s="24">
        <v>19</v>
      </c>
      <c r="H663" s="330"/>
      <c r="I663" s="330"/>
      <c r="J663" s="40">
        <f t="shared" si="102"/>
        <v>19</v>
      </c>
      <c r="K663" s="64">
        <f t="shared" si="96"/>
        <v>1.0846812559467175E-2</v>
      </c>
      <c r="L663" s="37">
        <f t="shared" si="97"/>
        <v>24.61282778306375</v>
      </c>
      <c r="M663" s="37">
        <f t="shared" si="100"/>
        <v>9.0501367758325415</v>
      </c>
      <c r="N663" s="37">
        <v>11.396186276373312</v>
      </c>
      <c r="O663" s="37">
        <f t="shared" si="98"/>
        <v>3.2659752616555666</v>
      </c>
      <c r="P663" s="117">
        <f t="shared" si="99"/>
        <v>3.9812238439581358</v>
      </c>
      <c r="Q663" s="45">
        <f t="shared" si="103"/>
        <v>7.999524266996387E-2</v>
      </c>
    </row>
    <row r="664" spans="1:17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>
        <f t="shared" si="101"/>
        <v>464.8</v>
      </c>
      <c r="G664" s="24">
        <v>12</v>
      </c>
      <c r="H664" s="330"/>
      <c r="I664" s="330"/>
      <c r="J664" s="40">
        <f t="shared" si="102"/>
        <v>12</v>
      </c>
      <c r="K664" s="64">
        <f t="shared" si="96"/>
        <v>6.8506184586108474E-3</v>
      </c>
      <c r="L664" s="37">
        <f t="shared" si="97"/>
        <v>15.544943862987633</v>
      </c>
      <c r="M664" s="37">
        <f t="shared" si="100"/>
        <v>5.7158758584205529</v>
      </c>
      <c r="N664" s="37">
        <v>7.1975913324463026</v>
      </c>
      <c r="O664" s="37">
        <f t="shared" si="98"/>
        <v>2.0627212178877263</v>
      </c>
      <c r="P664" s="117">
        <f t="shared" si="99"/>
        <v>2.5144571646051386</v>
      </c>
      <c r="Q664" s="45">
        <f t="shared" si="103"/>
        <v>6.5665086643163104E-2</v>
      </c>
    </row>
    <row r="665" spans="1:17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>
        <f t="shared" si="101"/>
        <v>83.39</v>
      </c>
      <c r="G665" s="24">
        <v>1</v>
      </c>
      <c r="H665" s="330"/>
      <c r="I665" s="330"/>
      <c r="J665" s="40">
        <f t="shared" si="102"/>
        <v>1</v>
      </c>
      <c r="K665" s="64">
        <f t="shared" ref="K665:K728" si="104">3/5255*J665</f>
        <v>5.7088487155090395E-4</v>
      </c>
      <c r="L665" s="37">
        <f t="shared" ref="L665:L728" si="105">K665*2269.13</f>
        <v>1.2954119885823028</v>
      </c>
      <c r="M665" s="37">
        <f t="shared" si="100"/>
        <v>0.47632298820171276</v>
      </c>
      <c r="N665" s="37">
        <v>0.59979927770385855</v>
      </c>
      <c r="O665" s="37">
        <f t="shared" ref="O665:O728" si="106">K665*301.1</f>
        <v>0.1718934348239772</v>
      </c>
      <c r="P665" s="117">
        <f t="shared" si="99"/>
        <v>0.20953809705042822</v>
      </c>
      <c r="Q665" s="45">
        <f>(O665+N665+M665+L665)/F665</f>
        <v>3.0500392005178695E-2</v>
      </c>
    </row>
    <row r="666" spans="1:17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>
        <f t="shared" si="101"/>
        <v>489.6</v>
      </c>
      <c r="G666" s="24">
        <v>13</v>
      </c>
      <c r="H666" s="330"/>
      <c r="I666" s="330"/>
      <c r="J666" s="40">
        <f t="shared" si="102"/>
        <v>13</v>
      </c>
      <c r="K666" s="64">
        <f t="shared" si="104"/>
        <v>7.4215033301617515E-3</v>
      </c>
      <c r="L666" s="37">
        <f t="shared" si="105"/>
        <v>16.840355851569935</v>
      </c>
      <c r="M666" s="37">
        <f t="shared" si="100"/>
        <v>6.1921988466222659</v>
      </c>
      <c r="N666" s="37">
        <v>7.7973906101501598</v>
      </c>
      <c r="O666" s="37">
        <f t="shared" si="106"/>
        <v>2.2346146527117035</v>
      </c>
      <c r="P666" s="117">
        <f t="shared" si="99"/>
        <v>2.7239952616555665</v>
      </c>
      <c r="Q666" s="45">
        <f t="shared" si="103"/>
        <v>6.7533823449865332E-2</v>
      </c>
    </row>
    <row r="667" spans="1:17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>
        <f t="shared" si="101"/>
        <v>127.92</v>
      </c>
      <c r="G667" s="24">
        <v>3</v>
      </c>
      <c r="H667" s="330"/>
      <c r="I667" s="330"/>
      <c r="J667" s="40">
        <f t="shared" si="102"/>
        <v>3</v>
      </c>
      <c r="K667" s="64">
        <f t="shared" si="104"/>
        <v>1.7126546146527118E-3</v>
      </c>
      <c r="L667" s="37">
        <f t="shared" si="105"/>
        <v>3.8862359657469083</v>
      </c>
      <c r="M667" s="37">
        <f t="shared" si="100"/>
        <v>1.4289689646051382</v>
      </c>
      <c r="N667" s="37">
        <v>1.7993978331115756</v>
      </c>
      <c r="O667" s="37">
        <f t="shared" si="106"/>
        <v>0.51568030447193158</v>
      </c>
      <c r="P667" s="117">
        <f t="shared" si="99"/>
        <v>0.62861429115128464</v>
      </c>
      <c r="Q667" s="45">
        <f t="shared" si="103"/>
        <v>5.9648867010127844E-2</v>
      </c>
    </row>
    <row r="668" spans="1:17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>
        <f t="shared" si="101"/>
        <v>129.1</v>
      </c>
      <c r="G668" s="24">
        <v>4</v>
      </c>
      <c r="H668" s="330"/>
      <c r="I668" s="330"/>
      <c r="J668" s="40">
        <f t="shared" si="102"/>
        <v>4</v>
      </c>
      <c r="K668" s="64">
        <f t="shared" si="104"/>
        <v>2.2835394862036158E-3</v>
      </c>
      <c r="L668" s="37">
        <f t="shared" si="105"/>
        <v>5.1816479543292111</v>
      </c>
      <c r="M668" s="37">
        <f t="shared" si="100"/>
        <v>1.905291952806851</v>
      </c>
      <c r="N668" s="37">
        <v>2.3991971108154342</v>
      </c>
      <c r="O668" s="37">
        <f t="shared" si="106"/>
        <v>0.68757373929590881</v>
      </c>
      <c r="P668" s="117">
        <f t="shared" si="99"/>
        <v>0.83815238820171289</v>
      </c>
      <c r="Q668" s="45">
        <f t="shared" si="103"/>
        <v>7.8804885803620495E-2</v>
      </c>
    </row>
    <row r="669" spans="1:17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>
        <f t="shared" si="101"/>
        <v>136.4</v>
      </c>
      <c r="G669" s="24">
        <v>4</v>
      </c>
      <c r="H669" s="330"/>
      <c r="I669" s="330"/>
      <c r="J669" s="40">
        <f t="shared" si="102"/>
        <v>4</v>
      </c>
      <c r="K669" s="64">
        <f t="shared" si="104"/>
        <v>2.2835394862036158E-3</v>
      </c>
      <c r="L669" s="37">
        <f t="shared" si="105"/>
        <v>5.1816479543292111</v>
      </c>
      <c r="M669" s="37">
        <f t="shared" si="100"/>
        <v>1.905291952806851</v>
      </c>
      <c r="N669" s="37">
        <v>2.3991971108154342</v>
      </c>
      <c r="O669" s="37">
        <f t="shared" si="106"/>
        <v>0.68757373929590881</v>
      </c>
      <c r="P669" s="117">
        <f t="shared" ref="P669:P732" si="107">O669*1.219</f>
        <v>0.83815238820171289</v>
      </c>
      <c r="Q669" s="45">
        <f t="shared" si="103"/>
        <v>7.4587322267209724E-2</v>
      </c>
    </row>
    <row r="670" spans="1:17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>
        <f t="shared" si="101"/>
        <v>68.2</v>
      </c>
      <c r="G670" s="24">
        <v>2</v>
      </c>
      <c r="H670" s="330"/>
      <c r="I670" s="330"/>
      <c r="J670" s="40">
        <f t="shared" si="102"/>
        <v>2</v>
      </c>
      <c r="K670" s="64">
        <f t="shared" si="104"/>
        <v>1.1417697431018079E-3</v>
      </c>
      <c r="L670" s="37">
        <f t="shared" si="105"/>
        <v>2.5908239771646056</v>
      </c>
      <c r="M670" s="37">
        <f t="shared" si="100"/>
        <v>0.95264597640342552</v>
      </c>
      <c r="N670" s="37">
        <v>1.1995985554077171</v>
      </c>
      <c r="O670" s="37">
        <f t="shared" si="106"/>
        <v>0.34378686964795441</v>
      </c>
      <c r="P670" s="117">
        <f t="shared" si="107"/>
        <v>0.41907619410085645</v>
      </c>
      <c r="Q670" s="45">
        <f t="shared" si="103"/>
        <v>7.4587322267209724E-2</v>
      </c>
    </row>
    <row r="671" spans="1:17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>
        <f t="shared" si="101"/>
        <v>117.1</v>
      </c>
      <c r="G671" s="24">
        <v>4</v>
      </c>
      <c r="H671" s="330"/>
      <c r="I671" s="330"/>
      <c r="J671" s="40">
        <f t="shared" si="102"/>
        <v>4</v>
      </c>
      <c r="K671" s="64">
        <f t="shared" si="104"/>
        <v>2.2835394862036158E-3</v>
      </c>
      <c r="L671" s="37">
        <f t="shared" si="105"/>
        <v>5.1816479543292111</v>
      </c>
      <c r="M671" s="37">
        <f t="shared" si="100"/>
        <v>1.905291952806851</v>
      </c>
      <c r="N671" s="37">
        <v>2.3991971108154342</v>
      </c>
      <c r="O671" s="37">
        <f t="shared" si="106"/>
        <v>0.68757373929590881</v>
      </c>
      <c r="P671" s="117">
        <f t="shared" si="107"/>
        <v>0.83815238820171289</v>
      </c>
      <c r="Q671" s="45">
        <f t="shared" si="103"/>
        <v>8.6880535928671274E-2</v>
      </c>
    </row>
    <row r="672" spans="1:17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>
        <f t="shared" si="101"/>
        <v>291.16000000000003</v>
      </c>
      <c r="G672" s="24">
        <v>11</v>
      </c>
      <c r="H672" s="330"/>
      <c r="I672" s="330"/>
      <c r="J672" s="40">
        <f t="shared" si="102"/>
        <v>11</v>
      </c>
      <c r="K672" s="64">
        <f t="shared" si="104"/>
        <v>6.2797335870599432E-3</v>
      </c>
      <c r="L672" s="37">
        <f t="shared" si="105"/>
        <v>14.24953187440533</v>
      </c>
      <c r="M672" s="37">
        <f t="shared" si="100"/>
        <v>5.2395528702188399</v>
      </c>
      <c r="N672" s="37">
        <v>6.5977920547424445</v>
      </c>
      <c r="O672" s="37">
        <f t="shared" si="106"/>
        <v>1.890827783063749</v>
      </c>
      <c r="P672" s="117">
        <f t="shared" si="107"/>
        <v>2.3049190675547102</v>
      </c>
      <c r="Q672" s="45">
        <f t="shared" si="103"/>
        <v>9.6090481461843527E-2</v>
      </c>
    </row>
    <row r="673" spans="1:17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>
        <f t="shared" si="101"/>
        <v>455.20000000000005</v>
      </c>
      <c r="G673" s="24">
        <v>9</v>
      </c>
      <c r="H673" s="330">
        <v>1</v>
      </c>
      <c r="I673" s="330"/>
      <c r="J673" s="40">
        <f t="shared" si="102"/>
        <v>10</v>
      </c>
      <c r="K673" s="64">
        <f t="shared" si="104"/>
        <v>5.7088487155090399E-3</v>
      </c>
      <c r="L673" s="37">
        <f t="shared" si="105"/>
        <v>12.954119885823028</v>
      </c>
      <c r="M673" s="37">
        <f t="shared" si="100"/>
        <v>4.7632298820171277</v>
      </c>
      <c r="N673" s="37">
        <v>5.9979927770385846</v>
      </c>
      <c r="O673" s="37">
        <f t="shared" si="106"/>
        <v>1.7189343482397721</v>
      </c>
      <c r="P673" s="117">
        <f t="shared" si="107"/>
        <v>2.0953809705042823</v>
      </c>
      <c r="Q673" s="45">
        <f t="shared" si="103"/>
        <v>5.587494923795807E-2</v>
      </c>
    </row>
    <row r="674" spans="1:17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>
        <f t="shared" si="101"/>
        <v>120</v>
      </c>
      <c r="G674" s="24">
        <v>4</v>
      </c>
      <c r="H674" s="330"/>
      <c r="I674" s="330"/>
      <c r="J674" s="40">
        <f t="shared" si="102"/>
        <v>4</v>
      </c>
      <c r="K674" s="64">
        <f t="shared" si="104"/>
        <v>2.2835394862036158E-3</v>
      </c>
      <c r="L674" s="37">
        <f t="shared" si="105"/>
        <v>5.1816479543292111</v>
      </c>
      <c r="M674" s="37">
        <f t="shared" si="100"/>
        <v>1.905291952806851</v>
      </c>
      <c r="N674" s="37">
        <v>2.3991971108154342</v>
      </c>
      <c r="O674" s="37">
        <f t="shared" si="106"/>
        <v>0.68757373929590881</v>
      </c>
      <c r="P674" s="117">
        <f t="shared" si="107"/>
        <v>0.83815238820171289</v>
      </c>
      <c r="Q674" s="45">
        <f t="shared" si="103"/>
        <v>8.4780922977061718E-2</v>
      </c>
    </row>
    <row r="675" spans="1:17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>
        <f t="shared" si="101"/>
        <v>390.8</v>
      </c>
      <c r="G675" s="24">
        <v>6</v>
      </c>
      <c r="H675" s="330"/>
      <c r="I675" s="330"/>
      <c r="J675" s="40">
        <f t="shared" si="102"/>
        <v>6</v>
      </c>
      <c r="K675" s="64">
        <f t="shared" si="104"/>
        <v>3.4253092293054237E-3</v>
      </c>
      <c r="L675" s="37">
        <f t="shared" si="105"/>
        <v>7.7724719314938167</v>
      </c>
      <c r="M675" s="37">
        <f t="shared" si="100"/>
        <v>2.8579379292102765</v>
      </c>
      <c r="N675" s="37">
        <v>3.5987956662231513</v>
      </c>
      <c r="O675" s="37">
        <f t="shared" si="106"/>
        <v>1.0313606089438632</v>
      </c>
      <c r="P675" s="117">
        <f t="shared" si="107"/>
        <v>1.2572285823025693</v>
      </c>
      <c r="Q675" s="45">
        <f t="shared" si="103"/>
        <v>3.9049555107142031E-2</v>
      </c>
    </row>
    <row r="676" spans="1:17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>
        <f t="shared" si="101"/>
        <v>105.1</v>
      </c>
      <c r="G676" s="24">
        <v>3</v>
      </c>
      <c r="H676" s="330"/>
      <c r="I676" s="330"/>
      <c r="J676" s="40">
        <f t="shared" si="102"/>
        <v>3</v>
      </c>
      <c r="K676" s="64">
        <f t="shared" si="104"/>
        <v>1.7126546146527118E-3</v>
      </c>
      <c r="L676" s="37">
        <f t="shared" si="105"/>
        <v>3.8862359657469083</v>
      </c>
      <c r="M676" s="37">
        <f t="shared" si="100"/>
        <v>1.4289689646051382</v>
      </c>
      <c r="N676" s="37">
        <v>1.7993978331115756</v>
      </c>
      <c r="O676" s="37">
        <f t="shared" si="106"/>
        <v>0.51568030447193158</v>
      </c>
      <c r="P676" s="117">
        <f t="shared" si="107"/>
        <v>0.62861429115128464</v>
      </c>
      <c r="Q676" s="45">
        <f t="shared" si="103"/>
        <v>7.2600219485590423E-2</v>
      </c>
    </row>
    <row r="677" spans="1:17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>
        <f t="shared" si="101"/>
        <v>168.5</v>
      </c>
      <c r="G677" s="24">
        <v>4</v>
      </c>
      <c r="H677" s="330"/>
      <c r="I677" s="330"/>
      <c r="J677" s="40">
        <f t="shared" si="102"/>
        <v>4</v>
      </c>
      <c r="K677" s="64">
        <f t="shared" si="104"/>
        <v>2.2835394862036158E-3</v>
      </c>
      <c r="L677" s="37">
        <f t="shared" si="105"/>
        <v>5.1816479543292111</v>
      </c>
      <c r="M677" s="37">
        <f t="shared" si="100"/>
        <v>1.905291952806851</v>
      </c>
      <c r="N677" s="37">
        <v>2.3991971108154342</v>
      </c>
      <c r="O677" s="37">
        <f t="shared" si="106"/>
        <v>0.68757373929590881</v>
      </c>
      <c r="P677" s="117">
        <f t="shared" si="107"/>
        <v>0.83815238820171289</v>
      </c>
      <c r="Q677" s="45">
        <f t="shared" si="103"/>
        <v>6.0378105384257599E-2</v>
      </c>
    </row>
    <row r="678" spans="1:17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>
        <f t="shared" si="101"/>
        <v>73.3</v>
      </c>
      <c r="G678" s="24">
        <v>1</v>
      </c>
      <c r="H678" s="330"/>
      <c r="I678" s="330"/>
      <c r="J678" s="40">
        <f t="shared" si="102"/>
        <v>1</v>
      </c>
      <c r="K678" s="64">
        <f t="shared" si="104"/>
        <v>5.7088487155090395E-4</v>
      </c>
      <c r="L678" s="37">
        <f t="shared" si="105"/>
        <v>1.2954119885823028</v>
      </c>
      <c r="M678" s="37">
        <f t="shared" si="100"/>
        <v>0.47632298820171276</v>
      </c>
      <c r="N678" s="37">
        <v>0.59979927770385855</v>
      </c>
      <c r="O678" s="37">
        <f t="shared" si="106"/>
        <v>0.1718934348239772</v>
      </c>
      <c r="P678" s="117">
        <f t="shared" si="107"/>
        <v>0.20953809705042822</v>
      </c>
      <c r="Q678" s="45">
        <f t="shared" si="103"/>
        <v>3.4698877071103022E-2</v>
      </c>
    </row>
    <row r="679" spans="1:17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>
        <f t="shared" si="101"/>
        <v>87.3</v>
      </c>
      <c r="G679" s="24">
        <v>2</v>
      </c>
      <c r="H679" s="330"/>
      <c r="I679" s="330"/>
      <c r="J679" s="40">
        <f t="shared" si="102"/>
        <v>2</v>
      </c>
      <c r="K679" s="64">
        <f t="shared" si="104"/>
        <v>1.1417697431018079E-3</v>
      </c>
      <c r="L679" s="37">
        <f t="shared" si="105"/>
        <v>2.5908239771646056</v>
      </c>
      <c r="M679" s="37">
        <f t="shared" si="100"/>
        <v>0.95264597640342552</v>
      </c>
      <c r="N679" s="37">
        <v>1.1995985554077171</v>
      </c>
      <c r="O679" s="37">
        <f t="shared" si="106"/>
        <v>0.34378686964795441</v>
      </c>
      <c r="P679" s="117">
        <f t="shared" si="107"/>
        <v>0.41907619410085645</v>
      </c>
      <c r="Q679" s="45">
        <f t="shared" si="103"/>
        <v>5.8268675585609428E-2</v>
      </c>
    </row>
    <row r="680" spans="1:17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>
        <f t="shared" si="101"/>
        <v>227.3</v>
      </c>
      <c r="G680" s="24">
        <v>5</v>
      </c>
      <c r="H680" s="330"/>
      <c r="I680" s="330"/>
      <c r="J680" s="40">
        <f t="shared" si="102"/>
        <v>5</v>
      </c>
      <c r="K680" s="64">
        <f t="shared" si="104"/>
        <v>2.85442435775452E-3</v>
      </c>
      <c r="L680" s="37">
        <f t="shared" si="105"/>
        <v>6.4770599429115139</v>
      </c>
      <c r="M680" s="37">
        <f t="shared" si="100"/>
        <v>2.3816149410085639</v>
      </c>
      <c r="N680" s="37">
        <v>3.4988291199391739</v>
      </c>
      <c r="O680" s="37">
        <f t="shared" si="106"/>
        <v>0.85946717411988605</v>
      </c>
      <c r="P680" s="117">
        <f t="shared" si="107"/>
        <v>1.0476904852521411</v>
      </c>
      <c r="Q680" s="45">
        <f t="shared" si="103"/>
        <v>5.8147695459653037E-2</v>
      </c>
    </row>
    <row r="681" spans="1:17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>
        <f t="shared" si="101"/>
        <v>53.5</v>
      </c>
      <c r="G681" s="24">
        <v>2</v>
      </c>
      <c r="H681" s="330"/>
      <c r="I681" s="330"/>
      <c r="J681" s="40">
        <f t="shared" si="102"/>
        <v>2</v>
      </c>
      <c r="K681" s="64">
        <f t="shared" si="104"/>
        <v>1.1417697431018079E-3</v>
      </c>
      <c r="L681" s="37">
        <f t="shared" si="105"/>
        <v>2.5908239771646056</v>
      </c>
      <c r="M681" s="37">
        <f t="shared" si="100"/>
        <v>0.95264597640342552</v>
      </c>
      <c r="N681" s="37">
        <v>1.1995985554077171</v>
      </c>
      <c r="O681" s="37">
        <f t="shared" si="106"/>
        <v>0.34378686964795441</v>
      </c>
      <c r="P681" s="117">
        <f t="shared" si="107"/>
        <v>0.41907619410085645</v>
      </c>
      <c r="Q681" s="45">
        <f t="shared" si="103"/>
        <v>9.5081408946237442E-2</v>
      </c>
    </row>
    <row r="682" spans="1:17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>
        <f t="shared" si="101"/>
        <v>1851.82</v>
      </c>
      <c r="G682" s="24">
        <v>40</v>
      </c>
      <c r="H682" s="330"/>
      <c r="I682" s="330"/>
      <c r="J682" s="40">
        <f t="shared" si="102"/>
        <v>40</v>
      </c>
      <c r="K682" s="64">
        <f t="shared" si="104"/>
        <v>2.283539486203616E-2</v>
      </c>
      <c r="L682" s="37">
        <f t="shared" si="105"/>
        <v>51.816479543292111</v>
      </c>
      <c r="M682" s="37">
        <f t="shared" si="100"/>
        <v>19.052919528068511</v>
      </c>
      <c r="N682" s="37">
        <v>23.991971108154338</v>
      </c>
      <c r="O682" s="37">
        <f t="shared" si="106"/>
        <v>6.8757373929590884</v>
      </c>
      <c r="P682" s="117">
        <f t="shared" si="107"/>
        <v>8.3815238820171292</v>
      </c>
      <c r="Q682" s="45">
        <f t="shared" si="103"/>
        <v>5.4938983039644278E-2</v>
      </c>
    </row>
    <row r="683" spans="1:17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>
        <f t="shared" si="101"/>
        <v>933.25</v>
      </c>
      <c r="G683" s="24">
        <v>24</v>
      </c>
      <c r="H683" s="330"/>
      <c r="I683" s="330"/>
      <c r="J683" s="40">
        <f t="shared" si="102"/>
        <v>24</v>
      </c>
      <c r="K683" s="64">
        <f t="shared" si="104"/>
        <v>1.3701236917221695E-2</v>
      </c>
      <c r="L683" s="37">
        <f t="shared" si="105"/>
        <v>31.089887725975267</v>
      </c>
      <c r="M683" s="37">
        <f t="shared" si="100"/>
        <v>11.431751716841106</v>
      </c>
      <c r="N683" s="37">
        <v>14.395182664892605</v>
      </c>
      <c r="O683" s="37">
        <f t="shared" si="106"/>
        <v>4.1254424357754527</v>
      </c>
      <c r="P683" s="117">
        <f t="shared" si="107"/>
        <v>5.0289143292102771</v>
      </c>
      <c r="Q683" s="45">
        <f t="shared" si="103"/>
        <v>6.5408266320369057E-2</v>
      </c>
    </row>
    <row r="684" spans="1:17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>
        <f t="shared" si="101"/>
        <v>1158.5</v>
      </c>
      <c r="G684" s="24">
        <v>27</v>
      </c>
      <c r="H684" s="330"/>
      <c r="I684" s="330"/>
      <c r="J684" s="40">
        <f t="shared" si="102"/>
        <v>27</v>
      </c>
      <c r="K684" s="64">
        <f t="shared" si="104"/>
        <v>1.5413891531874406E-2</v>
      </c>
      <c r="L684" s="37">
        <f t="shared" si="105"/>
        <v>34.976123691722172</v>
      </c>
      <c r="M684" s="37">
        <f t="shared" si="100"/>
        <v>12.860720681446244</v>
      </c>
      <c r="N684" s="37">
        <v>16.194580498004179</v>
      </c>
      <c r="O684" s="37">
        <f t="shared" si="106"/>
        <v>4.6411227402473845</v>
      </c>
      <c r="P684" s="117">
        <f t="shared" si="107"/>
        <v>5.6575286203615622</v>
      </c>
      <c r="Q684" s="45">
        <f t="shared" si="103"/>
        <v>5.9277123531652987E-2</v>
      </c>
    </row>
    <row r="685" spans="1:17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 t="shared" si="101"/>
        <v>3775.6499999999996</v>
      </c>
      <c r="G685" s="24">
        <v>70</v>
      </c>
      <c r="H685" s="330"/>
      <c r="I685" s="330">
        <v>1</v>
      </c>
      <c r="J685" s="40">
        <f t="shared" si="102"/>
        <v>71</v>
      </c>
      <c r="K685" s="64">
        <f t="shared" si="104"/>
        <v>4.0532825880114177E-2</v>
      </c>
      <c r="L685" s="37">
        <f t="shared" si="105"/>
        <v>91.974251189343491</v>
      </c>
      <c r="M685" s="37">
        <f t="shared" si="100"/>
        <v>33.818932162321602</v>
      </c>
      <c r="N685" s="37">
        <v>42.58574871697396</v>
      </c>
      <c r="O685" s="37">
        <f t="shared" si="106"/>
        <v>12.20443387250238</v>
      </c>
      <c r="P685" s="117">
        <f t="shared" si="107"/>
        <v>14.877204890580401</v>
      </c>
      <c r="Q685" s="45">
        <f t="shared" si="103"/>
        <v>4.7828417872721636E-2</v>
      </c>
    </row>
    <row r="686" spans="1:17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>
        <f t="shared" si="101"/>
        <v>79.3</v>
      </c>
      <c r="G686" s="24">
        <v>2</v>
      </c>
      <c r="H686" s="330"/>
      <c r="I686" s="330"/>
      <c r="J686" s="40">
        <f t="shared" si="102"/>
        <v>2</v>
      </c>
      <c r="K686" s="64">
        <f t="shared" si="104"/>
        <v>1.1417697431018079E-3</v>
      </c>
      <c r="L686" s="37">
        <f t="shared" si="105"/>
        <v>2.5908239771646056</v>
      </c>
      <c r="M686" s="37">
        <f t="shared" si="100"/>
        <v>0.95264597640342552</v>
      </c>
      <c r="N686" s="37">
        <v>1.1995985554077171</v>
      </c>
      <c r="O686" s="37">
        <f t="shared" si="106"/>
        <v>0.34378686964795441</v>
      </c>
      <c r="P686" s="117">
        <f t="shared" si="107"/>
        <v>0.41907619410085645</v>
      </c>
      <c r="Q686" s="45">
        <f t="shared" si="103"/>
        <v>6.41469782928588E-2</v>
      </c>
    </row>
    <row r="687" spans="1:17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>
        <f t="shared" si="101"/>
        <v>377.9</v>
      </c>
      <c r="G687" s="24">
        <v>8</v>
      </c>
      <c r="H687" s="330"/>
      <c r="I687" s="330"/>
      <c r="J687" s="40">
        <f t="shared" si="102"/>
        <v>8</v>
      </c>
      <c r="K687" s="64">
        <f t="shared" si="104"/>
        <v>4.5670789724072316E-3</v>
      </c>
      <c r="L687" s="37">
        <f t="shared" si="105"/>
        <v>10.363295908658422</v>
      </c>
      <c r="M687" s="37">
        <f t="shared" si="100"/>
        <v>3.8105839056137021</v>
      </c>
      <c r="N687" s="37">
        <v>4.7983942216308684</v>
      </c>
      <c r="O687" s="37">
        <f t="shared" si="106"/>
        <v>1.3751474785918176</v>
      </c>
      <c r="P687" s="117">
        <f t="shared" si="107"/>
        <v>1.6763047764034258</v>
      </c>
      <c r="Q687" s="45">
        <f t="shared" si="103"/>
        <v>5.3843401731925943E-2</v>
      </c>
    </row>
    <row r="688" spans="1:17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>
        <f t="shared" si="101"/>
        <v>86.1</v>
      </c>
      <c r="G688" s="24">
        <v>2</v>
      </c>
      <c r="H688" s="330"/>
      <c r="I688" s="330"/>
      <c r="J688" s="40">
        <f t="shared" si="102"/>
        <v>2</v>
      </c>
      <c r="K688" s="64">
        <f t="shared" si="104"/>
        <v>1.1417697431018079E-3</v>
      </c>
      <c r="L688" s="37">
        <f t="shared" si="105"/>
        <v>2.5908239771646056</v>
      </c>
      <c r="M688" s="37">
        <f t="shared" si="100"/>
        <v>0.95264597640342552</v>
      </c>
      <c r="N688" s="37">
        <v>1.1995985554077171</v>
      </c>
      <c r="O688" s="37">
        <f t="shared" si="106"/>
        <v>0.34378686964795441</v>
      </c>
      <c r="P688" s="117">
        <f t="shared" si="107"/>
        <v>0.41907619410085645</v>
      </c>
      <c r="Q688" s="45">
        <f t="shared" si="103"/>
        <v>5.9080782562412351E-2</v>
      </c>
    </row>
    <row r="689" spans="1:17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>
        <f t="shared" si="101"/>
        <v>59.7</v>
      </c>
      <c r="G689" s="24">
        <v>2</v>
      </c>
      <c r="H689" s="330"/>
      <c r="I689" s="330"/>
      <c r="J689" s="40">
        <f t="shared" si="102"/>
        <v>2</v>
      </c>
      <c r="K689" s="64">
        <f t="shared" si="104"/>
        <v>1.1417697431018079E-3</v>
      </c>
      <c r="L689" s="37">
        <f t="shared" si="105"/>
        <v>2.5908239771646056</v>
      </c>
      <c r="M689" s="37">
        <f t="shared" si="100"/>
        <v>0.95264597640342552</v>
      </c>
      <c r="N689" s="37">
        <v>1.1995985554077171</v>
      </c>
      <c r="O689" s="37">
        <f t="shared" si="106"/>
        <v>0.34378686964795441</v>
      </c>
      <c r="P689" s="117">
        <f t="shared" si="107"/>
        <v>0.41907619410085645</v>
      </c>
      <c r="Q689" s="45">
        <f t="shared" si="103"/>
        <v>8.520695776589117E-2</v>
      </c>
    </row>
    <row r="690" spans="1:17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>
        <f t="shared" si="101"/>
        <v>66.099999999999994</v>
      </c>
      <c r="G690" s="24">
        <v>2</v>
      </c>
      <c r="H690" s="330"/>
      <c r="I690" s="330"/>
      <c r="J690" s="40">
        <f t="shared" si="102"/>
        <v>2</v>
      </c>
      <c r="K690" s="64">
        <f t="shared" si="104"/>
        <v>1.1417697431018079E-3</v>
      </c>
      <c r="L690" s="37">
        <f t="shared" si="105"/>
        <v>2.5908239771646056</v>
      </c>
      <c r="M690" s="37">
        <f t="shared" si="100"/>
        <v>0.95264597640342552</v>
      </c>
      <c r="N690" s="37">
        <v>1.1995985554077171</v>
      </c>
      <c r="O690" s="37">
        <f t="shared" si="106"/>
        <v>0.34378686964795441</v>
      </c>
      <c r="P690" s="117">
        <f t="shared" si="107"/>
        <v>0.41907619410085645</v>
      </c>
      <c r="Q690" s="45">
        <f t="shared" si="103"/>
        <v>7.6956964880842721E-2</v>
      </c>
    </row>
    <row r="691" spans="1:17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>
        <f t="shared" si="101"/>
        <v>111.6</v>
      </c>
      <c r="G691" s="24">
        <v>2</v>
      </c>
      <c r="H691" s="330"/>
      <c r="I691" s="330"/>
      <c r="J691" s="40">
        <f t="shared" si="102"/>
        <v>2</v>
      </c>
      <c r="K691" s="64">
        <f t="shared" si="104"/>
        <v>1.1417697431018079E-3</v>
      </c>
      <c r="L691" s="37">
        <f t="shared" si="105"/>
        <v>2.5908239771646056</v>
      </c>
      <c r="M691" s="37">
        <f t="shared" si="100"/>
        <v>0.95264597640342552</v>
      </c>
      <c r="N691" s="37">
        <v>1.1995985554077171</v>
      </c>
      <c r="O691" s="37">
        <f t="shared" si="106"/>
        <v>0.34378686964795441</v>
      </c>
      <c r="P691" s="117">
        <f t="shared" si="107"/>
        <v>0.41907619410085645</v>
      </c>
      <c r="Q691" s="45">
        <f t="shared" si="103"/>
        <v>4.5581141385517054E-2</v>
      </c>
    </row>
    <row r="692" spans="1:17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>
        <f t="shared" si="101"/>
        <v>119.2</v>
      </c>
      <c r="G692" s="24">
        <v>4</v>
      </c>
      <c r="H692" s="330"/>
      <c r="I692" s="330"/>
      <c r="J692" s="40">
        <f t="shared" si="102"/>
        <v>4</v>
      </c>
      <c r="K692" s="64">
        <f t="shared" si="104"/>
        <v>2.2835394862036158E-3</v>
      </c>
      <c r="L692" s="37">
        <f t="shared" si="105"/>
        <v>5.1816479543292111</v>
      </c>
      <c r="M692" s="37">
        <f t="shared" si="100"/>
        <v>1.905291952806851</v>
      </c>
      <c r="N692" s="37">
        <v>2.3991971108154342</v>
      </c>
      <c r="O692" s="37">
        <f t="shared" si="106"/>
        <v>0.68757373929590881</v>
      </c>
      <c r="P692" s="117">
        <f t="shared" si="107"/>
        <v>0.83815238820171289</v>
      </c>
      <c r="Q692" s="45">
        <f t="shared" si="103"/>
        <v>8.5349922460129249E-2</v>
      </c>
    </row>
    <row r="693" spans="1:17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>
        <f t="shared" si="101"/>
        <v>139.6</v>
      </c>
      <c r="G693" s="24">
        <v>4</v>
      </c>
      <c r="H693" s="330"/>
      <c r="I693" s="330"/>
      <c r="J693" s="40">
        <f t="shared" si="102"/>
        <v>4</v>
      </c>
      <c r="K693" s="64">
        <f t="shared" si="104"/>
        <v>2.2835394862036158E-3</v>
      </c>
      <c r="L693" s="37">
        <f t="shared" si="105"/>
        <v>5.1816479543292111</v>
      </c>
      <c r="M693" s="37">
        <f t="shared" si="100"/>
        <v>1.905291952806851</v>
      </c>
      <c r="N693" s="37">
        <v>2.3991971108154342</v>
      </c>
      <c r="O693" s="37">
        <f t="shared" si="106"/>
        <v>0.68757373929590881</v>
      </c>
      <c r="P693" s="117">
        <f t="shared" si="107"/>
        <v>0.83815238820171289</v>
      </c>
      <c r="Q693" s="45">
        <f t="shared" si="103"/>
        <v>7.287758422096996E-2</v>
      </c>
    </row>
    <row r="694" spans="1:17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>
        <f t="shared" si="101"/>
        <v>66.5</v>
      </c>
      <c r="G694" s="24">
        <v>2</v>
      </c>
      <c r="H694" s="330"/>
      <c r="I694" s="330"/>
      <c r="J694" s="40">
        <f t="shared" si="102"/>
        <v>2</v>
      </c>
      <c r="K694" s="64">
        <f t="shared" si="104"/>
        <v>1.1417697431018079E-3</v>
      </c>
      <c r="L694" s="37">
        <f t="shared" si="105"/>
        <v>2.5908239771646056</v>
      </c>
      <c r="M694" s="37">
        <f t="shared" si="100"/>
        <v>0.95264597640342552</v>
      </c>
      <c r="N694" s="37">
        <v>1.1995985554077171</v>
      </c>
      <c r="O694" s="37">
        <f t="shared" si="106"/>
        <v>0.34378686964795441</v>
      </c>
      <c r="P694" s="117">
        <f t="shared" si="107"/>
        <v>0.41907619410085645</v>
      </c>
      <c r="Q694" s="45">
        <f t="shared" si="103"/>
        <v>7.6494065843965453E-2</v>
      </c>
    </row>
    <row r="695" spans="1:17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>
        <f t="shared" si="101"/>
        <v>67</v>
      </c>
      <c r="G695" s="24">
        <v>2</v>
      </c>
      <c r="H695" s="330"/>
      <c r="I695" s="330"/>
      <c r="J695" s="40">
        <f t="shared" si="102"/>
        <v>2</v>
      </c>
      <c r="K695" s="64">
        <f t="shared" si="104"/>
        <v>1.1417697431018079E-3</v>
      </c>
      <c r="L695" s="37">
        <f t="shared" si="105"/>
        <v>2.5908239771646056</v>
      </c>
      <c r="M695" s="37">
        <f t="shared" si="100"/>
        <v>0.95264597640342552</v>
      </c>
      <c r="N695" s="37">
        <v>1.1995985554077171</v>
      </c>
      <c r="O695" s="37">
        <f t="shared" si="106"/>
        <v>0.34378686964795441</v>
      </c>
      <c r="P695" s="117">
        <f t="shared" si="107"/>
        <v>0.41907619410085645</v>
      </c>
      <c r="Q695" s="45">
        <f t="shared" si="103"/>
        <v>7.5923214606323924E-2</v>
      </c>
    </row>
    <row r="696" spans="1:17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>
        <f t="shared" si="101"/>
        <v>212.2</v>
      </c>
      <c r="G696" s="24">
        <v>6</v>
      </c>
      <c r="H696" s="330"/>
      <c r="I696" s="330"/>
      <c r="J696" s="40">
        <f t="shared" si="102"/>
        <v>6</v>
      </c>
      <c r="K696" s="64">
        <f t="shared" si="104"/>
        <v>3.4253092293054237E-3</v>
      </c>
      <c r="L696" s="37">
        <f t="shared" si="105"/>
        <v>7.7724719314938167</v>
      </c>
      <c r="M696" s="37">
        <f t="shared" si="100"/>
        <v>2.8579379292102765</v>
      </c>
      <c r="N696" s="37">
        <v>3.5987956662231513</v>
      </c>
      <c r="O696" s="37">
        <f t="shared" si="106"/>
        <v>1.0313606089438632</v>
      </c>
      <c r="P696" s="117">
        <f t="shared" si="107"/>
        <v>1.2572285823025693</v>
      </c>
      <c r="Q696" s="45">
        <f t="shared" si="103"/>
        <v>7.1915957284972229E-2</v>
      </c>
    </row>
    <row r="697" spans="1:17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>
        <f t="shared" si="101"/>
        <v>41.6</v>
      </c>
      <c r="G697" s="24">
        <v>1</v>
      </c>
      <c r="H697" s="330"/>
      <c r="I697" s="330"/>
      <c r="J697" s="40">
        <f t="shared" si="102"/>
        <v>1</v>
      </c>
      <c r="K697" s="64">
        <f t="shared" si="104"/>
        <v>5.7088487155090395E-4</v>
      </c>
      <c r="L697" s="37">
        <f t="shared" si="105"/>
        <v>1.2954119885823028</v>
      </c>
      <c r="M697" s="37">
        <f t="shared" ref="M697:M743" si="108">L697*0.3677</f>
        <v>0.47632298820171276</v>
      </c>
      <c r="N697" s="37">
        <v>0.59979927770385855</v>
      </c>
      <c r="O697" s="37">
        <f t="shared" si="106"/>
        <v>0.1718934348239772</v>
      </c>
      <c r="P697" s="117">
        <f t="shared" si="107"/>
        <v>0.20953809705042822</v>
      </c>
      <c r="Q697" s="45">
        <f t="shared" si="103"/>
        <v>6.1140088685381046E-2</v>
      </c>
    </row>
    <row r="698" spans="1:17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>
        <f t="shared" ref="F698:F746" si="109">C698+D698+E698</f>
        <v>466.8</v>
      </c>
      <c r="G698" s="24">
        <v>12</v>
      </c>
      <c r="H698" s="330"/>
      <c r="I698" s="330"/>
      <c r="J698" s="40">
        <f t="shared" ref="J698:J745" si="110">G698+H698+I698</f>
        <v>12</v>
      </c>
      <c r="K698" s="64">
        <f t="shared" si="104"/>
        <v>6.8506184586108474E-3</v>
      </c>
      <c r="L698" s="37">
        <f t="shared" si="105"/>
        <v>15.544943862987633</v>
      </c>
      <c r="M698" s="37">
        <f t="shared" si="108"/>
        <v>5.7158758584205529</v>
      </c>
      <c r="N698" s="37">
        <v>7.1975913324463026</v>
      </c>
      <c r="O698" s="37">
        <f t="shared" si="106"/>
        <v>2.0627212178877263</v>
      </c>
      <c r="P698" s="117">
        <f t="shared" si="107"/>
        <v>2.5144571646051386</v>
      </c>
      <c r="Q698" s="45">
        <f t="shared" si="103"/>
        <v>6.5383745226525736E-2</v>
      </c>
    </row>
    <row r="699" spans="1:17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>
        <f t="shared" si="109"/>
        <v>681.36</v>
      </c>
      <c r="G699" s="24">
        <v>16</v>
      </c>
      <c r="H699" s="330"/>
      <c r="I699" s="330"/>
      <c r="J699" s="40">
        <f t="shared" si="110"/>
        <v>16</v>
      </c>
      <c r="K699" s="64">
        <f t="shared" si="104"/>
        <v>9.1341579448144632E-3</v>
      </c>
      <c r="L699" s="37">
        <f t="shared" si="105"/>
        <v>20.726591817316844</v>
      </c>
      <c r="M699" s="37">
        <f t="shared" si="108"/>
        <v>7.6211678112274042</v>
      </c>
      <c r="N699" s="37">
        <v>9.5967884432617367</v>
      </c>
      <c r="O699" s="37">
        <f t="shared" si="106"/>
        <v>2.7502949571836353</v>
      </c>
      <c r="P699" s="117">
        <f t="shared" si="107"/>
        <v>3.3526095528068516</v>
      </c>
      <c r="Q699" s="45">
        <f t="shared" si="103"/>
        <v>5.9725905584404167E-2</v>
      </c>
    </row>
    <row r="700" spans="1:17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>
        <f t="shared" si="109"/>
        <v>58.2</v>
      </c>
      <c r="G700" s="24">
        <v>2</v>
      </c>
      <c r="H700" s="330"/>
      <c r="I700" s="330"/>
      <c r="J700" s="40">
        <f t="shared" si="110"/>
        <v>2</v>
      </c>
      <c r="K700" s="64">
        <f t="shared" si="104"/>
        <v>1.1417697431018079E-3</v>
      </c>
      <c r="L700" s="37">
        <f t="shared" si="105"/>
        <v>2.5908239771646056</v>
      </c>
      <c r="M700" s="37">
        <f t="shared" si="108"/>
        <v>0.95264597640342552</v>
      </c>
      <c r="N700" s="37">
        <v>1.1995985554077171</v>
      </c>
      <c r="O700" s="37">
        <f t="shared" si="106"/>
        <v>0.34378686964795441</v>
      </c>
      <c r="P700" s="117">
        <f t="shared" si="107"/>
        <v>0.41907619410085645</v>
      </c>
      <c r="Q700" s="45">
        <f t="shared" si="103"/>
        <v>8.7403013378414135E-2</v>
      </c>
    </row>
    <row r="701" spans="1:17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>
        <f t="shared" si="109"/>
        <v>504.2</v>
      </c>
      <c r="G701" s="24">
        <v>12</v>
      </c>
      <c r="H701" s="330"/>
      <c r="I701" s="330"/>
      <c r="J701" s="40">
        <f t="shared" si="110"/>
        <v>12</v>
      </c>
      <c r="K701" s="64">
        <f t="shared" si="104"/>
        <v>6.8506184586108474E-3</v>
      </c>
      <c r="L701" s="37">
        <f t="shared" si="105"/>
        <v>15.544943862987633</v>
      </c>
      <c r="M701" s="37">
        <f t="shared" si="108"/>
        <v>5.7158758584205529</v>
      </c>
      <c r="N701" s="37">
        <v>7.1975913324463026</v>
      </c>
      <c r="O701" s="37">
        <f t="shared" si="106"/>
        <v>2.0627212178877263</v>
      </c>
      <c r="P701" s="117">
        <f t="shared" si="107"/>
        <v>2.5144571646051386</v>
      </c>
      <c r="Q701" s="45">
        <f t="shared" si="103"/>
        <v>6.0533780784891342E-2</v>
      </c>
    </row>
    <row r="702" spans="1:17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>
        <f t="shared" si="109"/>
        <v>166.6</v>
      </c>
      <c r="G702" s="24">
        <v>4</v>
      </c>
      <c r="H702" s="330"/>
      <c r="I702" s="330"/>
      <c r="J702" s="40">
        <f t="shared" si="110"/>
        <v>4</v>
      </c>
      <c r="K702" s="64">
        <f t="shared" si="104"/>
        <v>2.2835394862036158E-3</v>
      </c>
      <c r="L702" s="37">
        <f t="shared" si="105"/>
        <v>5.1816479543292111</v>
      </c>
      <c r="M702" s="37">
        <f t="shared" si="108"/>
        <v>1.905291952806851</v>
      </c>
      <c r="N702" s="37">
        <v>2.3991971108154342</v>
      </c>
      <c r="O702" s="37">
        <f t="shared" si="106"/>
        <v>0.68757373929590881</v>
      </c>
      <c r="P702" s="117">
        <f t="shared" si="107"/>
        <v>0.83815238820171289</v>
      </c>
      <c r="Q702" s="45">
        <f t="shared" si="103"/>
        <v>6.1066691219972428E-2</v>
      </c>
    </row>
    <row r="703" spans="1:17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>
        <f t="shared" si="109"/>
        <v>37.799999999999997</v>
      </c>
      <c r="G703" s="24">
        <v>2</v>
      </c>
      <c r="H703" s="330"/>
      <c r="I703" s="330"/>
      <c r="J703" s="40">
        <f t="shared" si="110"/>
        <v>2</v>
      </c>
      <c r="K703" s="64">
        <f t="shared" si="104"/>
        <v>1.1417697431018079E-3</v>
      </c>
      <c r="L703" s="37">
        <f t="shared" si="105"/>
        <v>2.5908239771646056</v>
      </c>
      <c r="M703" s="37">
        <f t="shared" si="108"/>
        <v>0.95264597640342552</v>
      </c>
      <c r="N703" s="37">
        <v>1.1995985554077171</v>
      </c>
      <c r="O703" s="37">
        <f t="shared" si="106"/>
        <v>0.34378686964795441</v>
      </c>
      <c r="P703" s="117">
        <f t="shared" si="107"/>
        <v>0.41907619410085645</v>
      </c>
      <c r="Q703" s="45">
        <f t="shared" si="103"/>
        <v>0.13457289361438368</v>
      </c>
    </row>
    <row r="704" spans="1:17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>
        <f t="shared" si="109"/>
        <v>55.5</v>
      </c>
      <c r="G704" s="24">
        <v>1</v>
      </c>
      <c r="H704" s="330"/>
      <c r="I704" s="330"/>
      <c r="J704" s="40">
        <f t="shared" si="110"/>
        <v>1</v>
      </c>
      <c r="K704" s="64">
        <f t="shared" si="104"/>
        <v>5.7088487155090395E-4</v>
      </c>
      <c r="L704" s="37">
        <f t="shared" si="105"/>
        <v>1.2954119885823028</v>
      </c>
      <c r="M704" s="37">
        <f t="shared" si="108"/>
        <v>0.47632298820171276</v>
      </c>
      <c r="N704" s="37">
        <v>0.59979927770385855</v>
      </c>
      <c r="O704" s="37">
        <f t="shared" si="106"/>
        <v>0.1718934348239772</v>
      </c>
      <c r="P704" s="117">
        <f t="shared" si="107"/>
        <v>0.20953809705042822</v>
      </c>
      <c r="Q704" s="45">
        <f t="shared" si="103"/>
        <v>4.5827525933546873E-2</v>
      </c>
    </row>
    <row r="705" spans="1:17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>
        <f t="shared" si="109"/>
        <v>146.19999999999999</v>
      </c>
      <c r="G705" s="24">
        <v>4</v>
      </c>
      <c r="H705" s="330"/>
      <c r="I705" s="330"/>
      <c r="J705" s="40">
        <f t="shared" si="110"/>
        <v>4</v>
      </c>
      <c r="K705" s="64">
        <f t="shared" si="104"/>
        <v>2.2835394862036158E-3</v>
      </c>
      <c r="L705" s="37">
        <f t="shared" si="105"/>
        <v>5.1816479543292111</v>
      </c>
      <c r="M705" s="37">
        <f t="shared" si="108"/>
        <v>1.905291952806851</v>
      </c>
      <c r="N705" s="37">
        <v>2.3991971108154342</v>
      </c>
      <c r="O705" s="37">
        <f t="shared" si="106"/>
        <v>0.68757373929590881</v>
      </c>
      <c r="P705" s="117">
        <f t="shared" si="107"/>
        <v>0.83815238820171289</v>
      </c>
      <c r="Q705" s="45">
        <f t="shared" si="103"/>
        <v>6.9587624878573229E-2</v>
      </c>
    </row>
    <row r="706" spans="1:17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>
        <f t="shared" si="109"/>
        <v>47.9</v>
      </c>
      <c r="G706" s="24">
        <v>2</v>
      </c>
      <c r="H706" s="330"/>
      <c r="I706" s="330"/>
      <c r="J706" s="40">
        <f t="shared" si="110"/>
        <v>2</v>
      </c>
      <c r="K706" s="64">
        <f t="shared" si="104"/>
        <v>1.1417697431018079E-3</v>
      </c>
      <c r="L706" s="37">
        <f t="shared" si="105"/>
        <v>2.5908239771646056</v>
      </c>
      <c r="M706" s="37">
        <f t="shared" si="108"/>
        <v>0.95264597640342552</v>
      </c>
      <c r="N706" s="37">
        <v>1.1995985554077171</v>
      </c>
      <c r="O706" s="37">
        <f t="shared" si="106"/>
        <v>0.34378686964795441</v>
      </c>
      <c r="P706" s="117">
        <f t="shared" si="107"/>
        <v>0.41907619410085645</v>
      </c>
      <c r="Q706" s="45">
        <f t="shared" si="103"/>
        <v>0.10619739830112115</v>
      </c>
    </row>
    <row r="707" spans="1:17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>
        <f t="shared" si="109"/>
        <v>72.400000000000006</v>
      </c>
      <c r="G707" s="24">
        <v>2</v>
      </c>
      <c r="H707" s="330"/>
      <c r="I707" s="330"/>
      <c r="J707" s="40">
        <f t="shared" si="110"/>
        <v>2</v>
      </c>
      <c r="K707" s="64">
        <f t="shared" si="104"/>
        <v>1.1417697431018079E-3</v>
      </c>
      <c r="L707" s="37">
        <f t="shared" si="105"/>
        <v>2.5908239771646056</v>
      </c>
      <c r="M707" s="37">
        <f t="shared" si="108"/>
        <v>0.95264597640342552</v>
      </c>
      <c r="N707" s="37">
        <v>1.1995985554077171</v>
      </c>
      <c r="O707" s="37">
        <f t="shared" si="106"/>
        <v>0.34378686964795441</v>
      </c>
      <c r="P707" s="117">
        <f t="shared" si="107"/>
        <v>0.41907619410085645</v>
      </c>
      <c r="Q707" s="45">
        <f t="shared" si="103"/>
        <v>7.0260433406404726E-2</v>
      </c>
    </row>
    <row r="708" spans="1:17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>
        <f t="shared" si="109"/>
        <v>73</v>
      </c>
      <c r="G708" s="24">
        <v>2</v>
      </c>
      <c r="H708" s="330"/>
      <c r="I708" s="330"/>
      <c r="J708" s="40">
        <f t="shared" si="110"/>
        <v>2</v>
      </c>
      <c r="K708" s="64">
        <f t="shared" si="104"/>
        <v>1.1417697431018079E-3</v>
      </c>
      <c r="L708" s="37">
        <f t="shared" si="105"/>
        <v>2.5908239771646056</v>
      </c>
      <c r="M708" s="37">
        <f t="shared" si="108"/>
        <v>0.95264597640342552</v>
      </c>
      <c r="N708" s="37">
        <v>1.1995985554077171</v>
      </c>
      <c r="O708" s="37">
        <f t="shared" si="106"/>
        <v>0.34378686964795441</v>
      </c>
      <c r="P708" s="117">
        <f t="shared" si="107"/>
        <v>0.41907619410085645</v>
      </c>
      <c r="Q708" s="45">
        <f t="shared" si="103"/>
        <v>6.9682950392105522E-2</v>
      </c>
    </row>
    <row r="709" spans="1:17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>
        <f t="shared" si="109"/>
        <v>110</v>
      </c>
      <c r="G709" s="24">
        <v>4</v>
      </c>
      <c r="H709" s="330"/>
      <c r="I709" s="330"/>
      <c r="J709" s="40">
        <f t="shared" si="110"/>
        <v>4</v>
      </c>
      <c r="K709" s="64">
        <f t="shared" si="104"/>
        <v>2.2835394862036158E-3</v>
      </c>
      <c r="L709" s="37">
        <f t="shared" si="105"/>
        <v>5.1816479543292111</v>
      </c>
      <c r="M709" s="37">
        <f t="shared" si="108"/>
        <v>1.905291952806851</v>
      </c>
      <c r="N709" s="37">
        <v>2.3991971108154342</v>
      </c>
      <c r="O709" s="37">
        <f t="shared" si="106"/>
        <v>0.68757373929590881</v>
      </c>
      <c r="P709" s="117">
        <f t="shared" si="107"/>
        <v>0.83815238820171289</v>
      </c>
      <c r="Q709" s="45">
        <f t="shared" si="103"/>
        <v>9.2488279611340055E-2</v>
      </c>
    </row>
    <row r="710" spans="1:17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>
        <f t="shared" si="109"/>
        <v>382</v>
      </c>
      <c r="G710" s="24">
        <v>10</v>
      </c>
      <c r="H710" s="330"/>
      <c r="I710" s="330"/>
      <c r="J710" s="40">
        <f t="shared" si="110"/>
        <v>10</v>
      </c>
      <c r="K710" s="64">
        <f t="shared" si="104"/>
        <v>5.7088487155090399E-3</v>
      </c>
      <c r="L710" s="37">
        <f t="shared" si="105"/>
        <v>12.954119885823028</v>
      </c>
      <c r="M710" s="37">
        <f t="shared" si="108"/>
        <v>4.7632298820171277</v>
      </c>
      <c r="N710" s="37">
        <v>5.9979927770385846</v>
      </c>
      <c r="O710" s="37">
        <f t="shared" si="106"/>
        <v>1.7189343482397721</v>
      </c>
      <c r="P710" s="117">
        <f t="shared" si="107"/>
        <v>2.0953809705042823</v>
      </c>
      <c r="Q710" s="45">
        <f t="shared" si="103"/>
        <v>6.6581876683556321E-2</v>
      </c>
    </row>
    <row r="711" spans="1:17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>
        <f t="shared" si="109"/>
        <v>226.9</v>
      </c>
      <c r="G711" s="24">
        <v>9</v>
      </c>
      <c r="H711" s="330"/>
      <c r="I711" s="330"/>
      <c r="J711" s="40">
        <f t="shared" si="110"/>
        <v>9</v>
      </c>
      <c r="K711" s="64">
        <f t="shared" si="104"/>
        <v>5.1379638439581357E-3</v>
      </c>
      <c r="L711" s="37">
        <f t="shared" si="105"/>
        <v>11.658707897240726</v>
      </c>
      <c r="M711" s="37">
        <f t="shared" si="108"/>
        <v>4.2869068938154156</v>
      </c>
      <c r="N711" s="37">
        <v>5.3981934993347265</v>
      </c>
      <c r="O711" s="37">
        <f t="shared" si="106"/>
        <v>1.5470409134157947</v>
      </c>
      <c r="P711" s="117">
        <f t="shared" si="107"/>
        <v>1.8858428734538539</v>
      </c>
      <c r="Q711" s="45">
        <f t="shared" ref="Q711:Q774" si="111">(O711+N711+M711+L711)/F711</f>
        <v>0.10088518820540616</v>
      </c>
    </row>
    <row r="712" spans="1:17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>
        <f t="shared" si="109"/>
        <v>142.6</v>
      </c>
      <c r="G712" s="24">
        <v>2</v>
      </c>
      <c r="H712" s="330"/>
      <c r="I712" s="330"/>
      <c r="J712" s="40">
        <f t="shared" si="110"/>
        <v>2</v>
      </c>
      <c r="K712" s="64">
        <f t="shared" si="104"/>
        <v>1.1417697431018079E-3</v>
      </c>
      <c r="L712" s="37">
        <f t="shared" si="105"/>
        <v>2.5908239771646056</v>
      </c>
      <c r="M712" s="37">
        <f t="shared" si="108"/>
        <v>0.95264597640342552</v>
      </c>
      <c r="N712" s="37">
        <v>1.1995985554077171</v>
      </c>
      <c r="O712" s="37">
        <f t="shared" si="106"/>
        <v>0.34378686964795441</v>
      </c>
      <c r="P712" s="117">
        <f t="shared" si="107"/>
        <v>0.41907619410085645</v>
      </c>
      <c r="Q712" s="45">
        <f t="shared" si="111"/>
        <v>3.5672197606056825E-2</v>
      </c>
    </row>
    <row r="713" spans="1:17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>
        <f t="shared" si="109"/>
        <v>428.31</v>
      </c>
      <c r="G713" s="24">
        <v>10</v>
      </c>
      <c r="H713" s="330"/>
      <c r="I713" s="330"/>
      <c r="J713" s="40">
        <f t="shared" si="110"/>
        <v>10</v>
      </c>
      <c r="K713" s="64">
        <f t="shared" si="104"/>
        <v>5.7088487155090399E-3</v>
      </c>
      <c r="L713" s="37">
        <f t="shared" si="105"/>
        <v>12.954119885823028</v>
      </c>
      <c r="M713" s="37">
        <f t="shared" si="108"/>
        <v>4.7632298820171277</v>
      </c>
      <c r="N713" s="37">
        <v>5.9979927770385846</v>
      </c>
      <c r="O713" s="37">
        <f t="shared" si="106"/>
        <v>1.7189343482397721</v>
      </c>
      <c r="P713" s="117">
        <f t="shared" si="107"/>
        <v>2.0953809705042823</v>
      </c>
      <c r="Q713" s="45">
        <f t="shared" si="111"/>
        <v>5.9382869634420195E-2</v>
      </c>
    </row>
    <row r="714" spans="1:17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>
        <f t="shared" si="109"/>
        <v>744.3</v>
      </c>
      <c r="G714" s="24">
        <v>14</v>
      </c>
      <c r="H714" s="330"/>
      <c r="I714" s="330"/>
      <c r="J714" s="40">
        <f t="shared" si="110"/>
        <v>14</v>
      </c>
      <c r="K714" s="64">
        <f t="shared" si="104"/>
        <v>7.9923882017126548E-3</v>
      </c>
      <c r="L714" s="37">
        <f t="shared" si="105"/>
        <v>18.135767840152237</v>
      </c>
      <c r="M714" s="37">
        <f t="shared" si="108"/>
        <v>6.6685218348239781</v>
      </c>
      <c r="N714" s="37">
        <v>8.3971898878540205</v>
      </c>
      <c r="O714" s="37">
        <f t="shared" si="106"/>
        <v>2.4065080875356806</v>
      </c>
      <c r="P714" s="117">
        <f t="shared" si="107"/>
        <v>2.9335333587059949</v>
      </c>
      <c r="Q714" s="45">
        <f t="shared" si="111"/>
        <v>4.7840907766177505E-2</v>
      </c>
    </row>
    <row r="715" spans="1:17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>
        <f t="shared" si="109"/>
        <v>1084.5899999999999</v>
      </c>
      <c r="G715" s="24">
        <v>27</v>
      </c>
      <c r="H715" s="330"/>
      <c r="I715" s="330"/>
      <c r="J715" s="40">
        <f t="shared" si="110"/>
        <v>27</v>
      </c>
      <c r="K715" s="64">
        <f t="shared" si="104"/>
        <v>1.5413891531874406E-2</v>
      </c>
      <c r="L715" s="37">
        <f t="shared" si="105"/>
        <v>34.976123691722172</v>
      </c>
      <c r="M715" s="37">
        <f t="shared" si="108"/>
        <v>12.860720681446244</v>
      </c>
      <c r="N715" s="37">
        <v>16.194580498004179</v>
      </c>
      <c r="O715" s="37">
        <f t="shared" si="106"/>
        <v>4.6411227402473845</v>
      </c>
      <c r="P715" s="117">
        <f t="shared" si="107"/>
        <v>5.6575286203615622</v>
      </c>
      <c r="Q715" s="45">
        <f t="shared" si="111"/>
        <v>6.3316596696834745E-2</v>
      </c>
    </row>
    <row r="716" spans="1:17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>
        <f t="shared" si="109"/>
        <v>1069.71</v>
      </c>
      <c r="G716" s="24">
        <v>24</v>
      </c>
      <c r="H716" s="330"/>
      <c r="I716" s="330"/>
      <c r="J716" s="40">
        <f t="shared" si="110"/>
        <v>24</v>
      </c>
      <c r="K716" s="64">
        <f t="shared" si="104"/>
        <v>1.3701236917221695E-2</v>
      </c>
      <c r="L716" s="37">
        <f t="shared" si="105"/>
        <v>31.089887725975267</v>
      </c>
      <c r="M716" s="37">
        <f t="shared" si="108"/>
        <v>11.431751716841106</v>
      </c>
      <c r="N716" s="37">
        <v>14.395182664892605</v>
      </c>
      <c r="O716" s="37">
        <f t="shared" si="106"/>
        <v>4.1254424357754527</v>
      </c>
      <c r="P716" s="117">
        <f t="shared" si="107"/>
        <v>5.0289143292102771</v>
      </c>
      <c r="Q716" s="45">
        <f t="shared" si="111"/>
        <v>5.706431139606475E-2</v>
      </c>
    </row>
    <row r="717" spans="1:17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>
        <f t="shared" si="109"/>
        <v>196.8</v>
      </c>
      <c r="G717" s="24">
        <v>5</v>
      </c>
      <c r="H717" s="330"/>
      <c r="I717" s="330"/>
      <c r="J717" s="40">
        <f t="shared" si="110"/>
        <v>5</v>
      </c>
      <c r="K717" s="64">
        <f t="shared" si="104"/>
        <v>2.85442435775452E-3</v>
      </c>
      <c r="L717" s="37">
        <f t="shared" si="105"/>
        <v>6.4770599429115139</v>
      </c>
      <c r="M717" s="37">
        <f t="shared" si="108"/>
        <v>2.3816149410085639</v>
      </c>
      <c r="N717" s="37">
        <v>2.9989963885192923</v>
      </c>
      <c r="O717" s="37">
        <f t="shared" si="106"/>
        <v>0.85946717411988605</v>
      </c>
      <c r="P717" s="117">
        <f t="shared" si="107"/>
        <v>1.0476904852521411</v>
      </c>
      <c r="Q717" s="45">
        <f t="shared" si="111"/>
        <v>6.4619605927638504E-2</v>
      </c>
    </row>
    <row r="718" spans="1:17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>
        <f t="shared" si="109"/>
        <v>625.9</v>
      </c>
      <c r="G718" s="24">
        <v>32</v>
      </c>
      <c r="H718" s="330"/>
      <c r="I718" s="330"/>
      <c r="J718" s="40">
        <f t="shared" si="110"/>
        <v>32</v>
      </c>
      <c r="K718" s="64">
        <f t="shared" si="104"/>
        <v>1.8268315889628926E-2</v>
      </c>
      <c r="L718" s="37">
        <f t="shared" si="105"/>
        <v>41.453183634633689</v>
      </c>
      <c r="M718" s="37">
        <f t="shared" si="108"/>
        <v>15.242335622454808</v>
      </c>
      <c r="N718" s="37">
        <v>19.193576886523473</v>
      </c>
      <c r="O718" s="37">
        <f t="shared" si="106"/>
        <v>5.5005899143672705</v>
      </c>
      <c r="P718" s="117">
        <f t="shared" si="107"/>
        <v>6.7052191056137032</v>
      </c>
      <c r="Q718" s="45">
        <f t="shared" si="111"/>
        <v>0.13003624549924789</v>
      </c>
    </row>
    <row r="719" spans="1:17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>
        <f t="shared" si="109"/>
        <v>127.5</v>
      </c>
      <c r="G719" s="24">
        <v>4</v>
      </c>
      <c r="H719" s="330"/>
      <c r="I719" s="330"/>
      <c r="J719" s="40">
        <f t="shared" si="110"/>
        <v>4</v>
      </c>
      <c r="K719" s="64">
        <f t="shared" si="104"/>
        <v>2.2835394862036158E-3</v>
      </c>
      <c r="L719" s="37">
        <f t="shared" si="105"/>
        <v>5.1816479543292111</v>
      </c>
      <c r="M719" s="37">
        <f t="shared" si="108"/>
        <v>1.905291952806851</v>
      </c>
      <c r="N719" s="37">
        <v>2.3991971108154342</v>
      </c>
      <c r="O719" s="37">
        <f t="shared" si="106"/>
        <v>0.68757373929590881</v>
      </c>
      <c r="P719" s="117">
        <f t="shared" si="107"/>
        <v>0.83815238820171289</v>
      </c>
      <c r="Q719" s="45">
        <f t="shared" si="111"/>
        <v>7.9793809860763967E-2</v>
      </c>
    </row>
    <row r="720" spans="1:17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>
        <f t="shared" si="109"/>
        <v>561.25</v>
      </c>
      <c r="G720" s="24">
        <v>12</v>
      </c>
      <c r="H720" s="330"/>
      <c r="I720" s="330"/>
      <c r="J720" s="40">
        <f t="shared" si="110"/>
        <v>12</v>
      </c>
      <c r="K720" s="64">
        <f t="shared" si="104"/>
        <v>6.8506184586108474E-3</v>
      </c>
      <c r="L720" s="37">
        <f t="shared" si="105"/>
        <v>15.544943862987633</v>
      </c>
      <c r="M720" s="37">
        <f t="shared" si="108"/>
        <v>5.7158758584205529</v>
      </c>
      <c r="N720" s="37">
        <v>7.1975913324463026</v>
      </c>
      <c r="O720" s="37">
        <f t="shared" si="106"/>
        <v>2.0627212178877263</v>
      </c>
      <c r="P720" s="117">
        <f t="shared" si="107"/>
        <v>2.5144571646051386</v>
      </c>
      <c r="Q720" s="45">
        <f t="shared" si="111"/>
        <v>5.4380636564351381E-2</v>
      </c>
    </row>
    <row r="721" spans="1:17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>
        <f t="shared" si="109"/>
        <v>122.9</v>
      </c>
      <c r="G721" s="24">
        <v>4</v>
      </c>
      <c r="H721" s="330"/>
      <c r="I721" s="330"/>
      <c r="J721" s="40">
        <f t="shared" si="110"/>
        <v>4</v>
      </c>
      <c r="K721" s="64">
        <f t="shared" si="104"/>
        <v>2.2835394862036158E-3</v>
      </c>
      <c r="L721" s="37">
        <f t="shared" si="105"/>
        <v>5.1816479543292111</v>
      </c>
      <c r="M721" s="37">
        <f t="shared" si="108"/>
        <v>1.905291952806851</v>
      </c>
      <c r="N721" s="37">
        <v>2.3991971108154342</v>
      </c>
      <c r="O721" s="37">
        <f t="shared" si="106"/>
        <v>0.68757373929590881</v>
      </c>
      <c r="P721" s="117">
        <f t="shared" si="107"/>
        <v>0.83815238820171289</v>
      </c>
      <c r="Q721" s="45">
        <f t="shared" si="111"/>
        <v>8.2780396722924379E-2</v>
      </c>
    </row>
    <row r="722" spans="1:17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>
        <f t="shared" si="109"/>
        <v>82.5</v>
      </c>
      <c r="G722" s="24">
        <v>2</v>
      </c>
      <c r="H722" s="330"/>
      <c r="I722" s="330"/>
      <c r="J722" s="40">
        <f t="shared" si="110"/>
        <v>2</v>
      </c>
      <c r="K722" s="64">
        <f t="shared" si="104"/>
        <v>1.1417697431018079E-3</v>
      </c>
      <c r="L722" s="37">
        <f t="shared" si="105"/>
        <v>2.5908239771646056</v>
      </c>
      <c r="M722" s="37">
        <f t="shared" si="108"/>
        <v>0.95264597640342552</v>
      </c>
      <c r="N722" s="37">
        <v>1.3995316479756699</v>
      </c>
      <c r="O722" s="37">
        <f t="shared" si="106"/>
        <v>0.34378686964795441</v>
      </c>
      <c r="P722" s="117">
        <f t="shared" si="107"/>
        <v>0.41907619410085645</v>
      </c>
      <c r="Q722" s="45">
        <f t="shared" si="111"/>
        <v>6.4082284499292805E-2</v>
      </c>
    </row>
    <row r="723" spans="1:17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>
        <f t="shared" si="109"/>
        <v>118.7</v>
      </c>
      <c r="G723" s="24">
        <v>3</v>
      </c>
      <c r="H723" s="330"/>
      <c r="I723" s="330"/>
      <c r="J723" s="40">
        <f t="shared" si="110"/>
        <v>3</v>
      </c>
      <c r="K723" s="64">
        <f t="shared" si="104"/>
        <v>1.7126546146527118E-3</v>
      </c>
      <c r="L723" s="37">
        <f t="shared" si="105"/>
        <v>3.8862359657469083</v>
      </c>
      <c r="M723" s="37">
        <f t="shared" si="108"/>
        <v>1.4289689646051382</v>
      </c>
      <c r="N723" s="37">
        <v>1.7993978331115756</v>
      </c>
      <c r="O723" s="37">
        <f t="shared" si="106"/>
        <v>0.51568030447193158</v>
      </c>
      <c r="P723" s="117">
        <f t="shared" si="107"/>
        <v>0.62861429115128464</v>
      </c>
      <c r="Q723" s="45">
        <f t="shared" si="111"/>
        <v>6.4282081448488237E-2</v>
      </c>
    </row>
    <row r="724" spans="1:17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>
        <f t="shared" si="109"/>
        <v>113.8</v>
      </c>
      <c r="G724" s="24">
        <v>3</v>
      </c>
      <c r="H724" s="330"/>
      <c r="I724" s="330"/>
      <c r="J724" s="40">
        <f t="shared" si="110"/>
        <v>3</v>
      </c>
      <c r="K724" s="64">
        <f t="shared" si="104"/>
        <v>1.7126546146527118E-3</v>
      </c>
      <c r="L724" s="37">
        <f t="shared" si="105"/>
        <v>3.8862359657469083</v>
      </c>
      <c r="M724" s="37">
        <f t="shared" si="108"/>
        <v>1.4289689646051382</v>
      </c>
      <c r="N724" s="37">
        <v>1.7993978331115756</v>
      </c>
      <c r="O724" s="37">
        <f t="shared" si="106"/>
        <v>0.51568030447193158</v>
      </c>
      <c r="P724" s="117">
        <f t="shared" si="107"/>
        <v>0.62861429115128464</v>
      </c>
      <c r="Q724" s="45">
        <f t="shared" si="111"/>
        <v>6.7049939085549681E-2</v>
      </c>
    </row>
    <row r="725" spans="1:17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>
        <f t="shared" si="109"/>
        <v>294</v>
      </c>
      <c r="G725" s="24">
        <v>6</v>
      </c>
      <c r="H725" s="330"/>
      <c r="I725" s="330"/>
      <c r="J725" s="40">
        <f t="shared" si="110"/>
        <v>6</v>
      </c>
      <c r="K725" s="64">
        <f t="shared" si="104"/>
        <v>3.4253092293054237E-3</v>
      </c>
      <c r="L725" s="37">
        <f t="shared" si="105"/>
        <v>7.7724719314938167</v>
      </c>
      <c r="M725" s="37">
        <f t="shared" si="108"/>
        <v>2.8579379292102765</v>
      </c>
      <c r="N725" s="37">
        <v>3.5987956662231513</v>
      </c>
      <c r="O725" s="37">
        <f t="shared" si="106"/>
        <v>1.0313606089438632</v>
      </c>
      <c r="P725" s="117">
        <f t="shared" si="107"/>
        <v>1.2572285823025693</v>
      </c>
      <c r="Q725" s="45">
        <f t="shared" si="111"/>
        <v>5.1906687536976553E-2</v>
      </c>
    </row>
    <row r="726" spans="1:17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>
        <f t="shared" si="109"/>
        <v>38.6</v>
      </c>
      <c r="G726" s="24">
        <v>3</v>
      </c>
      <c r="H726" s="330"/>
      <c r="I726" s="330"/>
      <c r="J726" s="40">
        <f t="shared" si="110"/>
        <v>3</v>
      </c>
      <c r="K726" s="64">
        <f t="shared" si="104"/>
        <v>1.7126546146527118E-3</v>
      </c>
      <c r="L726" s="37">
        <f t="shared" si="105"/>
        <v>3.8862359657469083</v>
      </c>
      <c r="M726" s="37">
        <f t="shared" si="108"/>
        <v>1.4289689646051382</v>
      </c>
      <c r="N726" s="37">
        <v>1.7993978331115756</v>
      </c>
      <c r="O726" s="37">
        <f t="shared" si="106"/>
        <v>0.51568030447193158</v>
      </c>
      <c r="P726" s="117">
        <f t="shared" si="107"/>
        <v>0.62861429115128464</v>
      </c>
      <c r="Q726" s="45">
        <f t="shared" si="111"/>
        <v>0.19767572714858947</v>
      </c>
    </row>
    <row r="727" spans="1:17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>
        <f t="shared" si="109"/>
        <v>295.8</v>
      </c>
      <c r="G727" s="24">
        <v>10</v>
      </c>
      <c r="H727" s="330"/>
      <c r="I727" s="330"/>
      <c r="J727" s="40">
        <f t="shared" si="110"/>
        <v>10</v>
      </c>
      <c r="K727" s="64">
        <f t="shared" si="104"/>
        <v>5.7088487155090399E-3</v>
      </c>
      <c r="L727" s="37">
        <f t="shared" si="105"/>
        <v>12.954119885823028</v>
      </c>
      <c r="M727" s="37">
        <f t="shared" si="108"/>
        <v>4.7632298820171277</v>
      </c>
      <c r="N727" s="37">
        <v>5.9979927770385846</v>
      </c>
      <c r="O727" s="37">
        <f t="shared" si="106"/>
        <v>1.7189343482397721</v>
      </c>
      <c r="P727" s="117">
        <f t="shared" si="107"/>
        <v>2.0953809705042823</v>
      </c>
      <c r="Q727" s="45">
        <f t="shared" si="111"/>
        <v>8.5984708901685303E-2</v>
      </c>
    </row>
    <row r="728" spans="1:17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 t="shared" si="109"/>
        <v>2954.3</v>
      </c>
      <c r="G728" s="24">
        <v>88</v>
      </c>
      <c r="H728" s="330"/>
      <c r="I728" s="330">
        <v>4</v>
      </c>
      <c r="J728" s="40">
        <f t="shared" si="110"/>
        <v>92</v>
      </c>
      <c r="K728" s="64">
        <f t="shared" si="104"/>
        <v>5.2521408182683166E-2</v>
      </c>
      <c r="L728" s="37">
        <f t="shared" si="105"/>
        <v>119.17790294957186</v>
      </c>
      <c r="M728" s="37">
        <f t="shared" si="108"/>
        <v>43.821714914557575</v>
      </c>
      <c r="N728" s="37">
        <v>55.181533548754985</v>
      </c>
      <c r="O728" s="37">
        <f t="shared" si="106"/>
        <v>15.814196003805902</v>
      </c>
      <c r="P728" s="117">
        <f t="shared" si="107"/>
        <v>19.277504928639395</v>
      </c>
      <c r="Q728" s="45">
        <f t="shared" si="111"/>
        <v>7.9205005387635072E-2</v>
      </c>
    </row>
    <row r="729" spans="1:17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>
        <f t="shared" si="109"/>
        <v>601.58000000000004</v>
      </c>
      <c r="G729" s="24">
        <v>16</v>
      </c>
      <c r="H729" s="330"/>
      <c r="I729" s="330"/>
      <c r="J729" s="40">
        <f t="shared" si="110"/>
        <v>16</v>
      </c>
      <c r="K729" s="64">
        <f t="shared" ref="K729:K746" si="112">3/5255*J729</f>
        <v>9.1341579448144632E-3</v>
      </c>
      <c r="L729" s="37">
        <f t="shared" ref="L729:L746" si="113">K729*2269.13</f>
        <v>20.726591817316844</v>
      </c>
      <c r="M729" s="37">
        <f t="shared" si="108"/>
        <v>7.6211678112274042</v>
      </c>
      <c r="N729" s="37">
        <v>9.5967884432617367</v>
      </c>
      <c r="O729" s="37">
        <f t="shared" ref="O729:O744" si="114">K729*301.1</f>
        <v>2.7502949571836353</v>
      </c>
      <c r="P729" s="117">
        <f t="shared" si="107"/>
        <v>3.3526095528068516</v>
      </c>
      <c r="Q729" s="45">
        <f t="shared" si="111"/>
        <v>6.7646602328850058E-2</v>
      </c>
    </row>
    <row r="730" spans="1:17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>
        <f t="shared" si="109"/>
        <v>392.31</v>
      </c>
      <c r="G730" s="24">
        <v>9</v>
      </c>
      <c r="H730" s="330"/>
      <c r="I730" s="330"/>
      <c r="J730" s="40">
        <f t="shared" si="110"/>
        <v>9</v>
      </c>
      <c r="K730" s="64">
        <f t="shared" si="112"/>
        <v>5.1379638439581357E-3</v>
      </c>
      <c r="L730" s="37">
        <f t="shared" si="113"/>
        <v>11.658707897240726</v>
      </c>
      <c r="M730" s="37">
        <f t="shared" si="108"/>
        <v>4.2869068938154156</v>
      </c>
      <c r="N730" s="37">
        <v>5.3981934993347265</v>
      </c>
      <c r="O730" s="37">
        <f t="shared" si="114"/>
        <v>1.5470409134157947</v>
      </c>
      <c r="P730" s="117">
        <f t="shared" si="107"/>
        <v>1.8858428734538539</v>
      </c>
      <c r="Q730" s="45">
        <f t="shared" si="111"/>
        <v>5.8348880231976395E-2</v>
      </c>
    </row>
    <row r="731" spans="1:17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>
        <f t="shared" si="109"/>
        <v>600.88</v>
      </c>
      <c r="G731" s="24">
        <v>17</v>
      </c>
      <c r="H731" s="330"/>
      <c r="I731" s="330"/>
      <c r="J731" s="40">
        <f t="shared" si="110"/>
        <v>17</v>
      </c>
      <c r="K731" s="64">
        <f t="shared" si="112"/>
        <v>9.7050428163653665E-3</v>
      </c>
      <c r="L731" s="37">
        <f t="shared" si="113"/>
        <v>22.022003805899146</v>
      </c>
      <c r="M731" s="37">
        <f t="shared" si="108"/>
        <v>8.0974907994291172</v>
      </c>
      <c r="N731" s="37">
        <v>10.196587720965594</v>
      </c>
      <c r="O731" s="37">
        <f t="shared" si="114"/>
        <v>2.9221883920076119</v>
      </c>
      <c r="P731" s="117">
        <f t="shared" si="107"/>
        <v>3.5621476498572791</v>
      </c>
      <c r="Q731" s="45">
        <f t="shared" si="111"/>
        <v>7.195824577003973E-2</v>
      </c>
    </row>
    <row r="732" spans="1:17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>
        <f t="shared" si="109"/>
        <v>307.3</v>
      </c>
      <c r="G732" s="24">
        <v>7</v>
      </c>
      <c r="H732" s="330"/>
      <c r="I732" s="330"/>
      <c r="J732" s="40">
        <f t="shared" si="110"/>
        <v>7</v>
      </c>
      <c r="K732" s="64">
        <f t="shared" si="112"/>
        <v>3.9961941008563274E-3</v>
      </c>
      <c r="L732" s="37">
        <f t="shared" si="113"/>
        <v>9.0678839200761185</v>
      </c>
      <c r="M732" s="37">
        <f t="shared" si="108"/>
        <v>3.334260917411989</v>
      </c>
      <c r="N732" s="37">
        <v>4.1985949439270103</v>
      </c>
      <c r="O732" s="37">
        <f t="shared" si="114"/>
        <v>1.2032540437678403</v>
      </c>
      <c r="P732" s="117">
        <f t="shared" si="107"/>
        <v>1.4667666793529974</v>
      </c>
      <c r="Q732" s="45">
        <f t="shared" si="111"/>
        <v>5.7936849414848536E-2</v>
      </c>
    </row>
    <row r="733" spans="1:17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>
        <f t="shared" si="109"/>
        <v>800.1</v>
      </c>
      <c r="G733" s="24">
        <v>22</v>
      </c>
      <c r="H733" s="330"/>
      <c r="I733" s="330">
        <v>1</v>
      </c>
      <c r="J733" s="40">
        <f t="shared" si="110"/>
        <v>23</v>
      </c>
      <c r="K733" s="64">
        <f t="shared" si="112"/>
        <v>1.3130352045670791E-2</v>
      </c>
      <c r="L733" s="37">
        <f t="shared" si="113"/>
        <v>29.794475737392965</v>
      </c>
      <c r="M733" s="37">
        <f t="shared" si="108"/>
        <v>10.955428728639394</v>
      </c>
      <c r="N733" s="37">
        <v>13.795383387188746</v>
      </c>
      <c r="O733" s="37">
        <f t="shared" si="114"/>
        <v>3.9535490009514755</v>
      </c>
      <c r="P733" s="117">
        <f t="shared" ref="P733:P747" si="115">O733*1.219</f>
        <v>4.8193762321598488</v>
      </c>
      <c r="Q733" s="45">
        <f t="shared" si="111"/>
        <v>7.3114406766869866E-2</v>
      </c>
    </row>
    <row r="734" spans="1:17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>
        <f t="shared" si="109"/>
        <v>325.2</v>
      </c>
      <c r="G734" s="24">
        <v>8</v>
      </c>
      <c r="H734" s="330"/>
      <c r="I734" s="330"/>
      <c r="J734" s="40">
        <f t="shared" si="110"/>
        <v>8</v>
      </c>
      <c r="K734" s="64">
        <f t="shared" si="112"/>
        <v>4.5670789724072316E-3</v>
      </c>
      <c r="L734" s="37">
        <f t="shared" si="113"/>
        <v>10.363295908658422</v>
      </c>
      <c r="M734" s="37">
        <f t="shared" si="108"/>
        <v>3.8105839056137021</v>
      </c>
      <c r="N734" s="37">
        <v>4.7983942216308684</v>
      </c>
      <c r="O734" s="37">
        <f t="shared" si="114"/>
        <v>1.3751474785918176</v>
      </c>
      <c r="P734" s="117">
        <f t="shared" si="115"/>
        <v>1.6763047764034258</v>
      </c>
      <c r="Q734" s="45">
        <f t="shared" si="111"/>
        <v>6.2568946846540019E-2</v>
      </c>
    </row>
    <row r="735" spans="1:17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>
        <f t="shared" si="109"/>
        <v>420.25</v>
      </c>
      <c r="G735" s="24">
        <v>13</v>
      </c>
      <c r="H735" s="330"/>
      <c r="I735" s="330">
        <v>2</v>
      </c>
      <c r="J735" s="40">
        <f t="shared" si="110"/>
        <v>15</v>
      </c>
      <c r="K735" s="64">
        <f t="shared" si="112"/>
        <v>8.5632730732635599E-3</v>
      </c>
      <c r="L735" s="37">
        <f t="shared" si="113"/>
        <v>19.431179828734543</v>
      </c>
      <c r="M735" s="37">
        <f t="shared" si="108"/>
        <v>7.144844823025692</v>
      </c>
      <c r="N735" s="37">
        <v>8.9969891655578778</v>
      </c>
      <c r="O735" s="37">
        <f t="shared" si="114"/>
        <v>2.5784015223596581</v>
      </c>
      <c r="P735" s="117">
        <f t="shared" si="115"/>
        <v>3.1430714557564237</v>
      </c>
      <c r="Q735" s="45">
        <f t="shared" si="111"/>
        <v>9.0782665888584815E-2</v>
      </c>
    </row>
    <row r="736" spans="1:17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>
        <f t="shared" si="109"/>
        <v>468.48</v>
      </c>
      <c r="G736" s="24">
        <v>17</v>
      </c>
      <c r="H736" s="330"/>
      <c r="I736" s="330"/>
      <c r="J736" s="40">
        <f t="shared" si="110"/>
        <v>17</v>
      </c>
      <c r="K736" s="64">
        <f t="shared" si="112"/>
        <v>9.7050428163653665E-3</v>
      </c>
      <c r="L736" s="37">
        <f t="shared" si="113"/>
        <v>22.022003805899146</v>
      </c>
      <c r="M736" s="37">
        <f t="shared" si="108"/>
        <v>8.0974907994291172</v>
      </c>
      <c r="N736" s="37">
        <v>10.196587720965594</v>
      </c>
      <c r="O736" s="37">
        <f t="shared" si="114"/>
        <v>2.9221883920076119</v>
      </c>
      <c r="P736" s="117">
        <f t="shared" si="115"/>
        <v>3.5621476498572791</v>
      </c>
      <c r="Q736" s="45">
        <f t="shared" si="111"/>
        <v>9.2294806007303345E-2</v>
      </c>
    </row>
    <row r="737" spans="1:18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>
        <f t="shared" si="109"/>
        <v>1026.08</v>
      </c>
      <c r="G737" s="24">
        <v>33</v>
      </c>
      <c r="H737" s="330"/>
      <c r="I737" s="330">
        <v>1</v>
      </c>
      <c r="J737" s="40">
        <f t="shared" si="110"/>
        <v>34</v>
      </c>
      <c r="K737" s="64">
        <f t="shared" si="112"/>
        <v>1.9410085632730733E-2</v>
      </c>
      <c r="L737" s="37">
        <f t="shared" si="113"/>
        <v>44.044007611798293</v>
      </c>
      <c r="M737" s="37">
        <f t="shared" si="108"/>
        <v>16.194981598858234</v>
      </c>
      <c r="N737" s="37">
        <v>20.393175441931188</v>
      </c>
      <c r="O737" s="37">
        <f t="shared" si="114"/>
        <v>5.8443767840152239</v>
      </c>
      <c r="P737" s="117">
        <f t="shared" si="115"/>
        <v>7.1242952997145581</v>
      </c>
      <c r="Q737" s="45">
        <f t="shared" si="111"/>
        <v>8.4278556678429511E-2</v>
      </c>
    </row>
    <row r="738" spans="1:18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>
        <f t="shared" si="109"/>
        <v>1242.02</v>
      </c>
      <c r="G738" s="24">
        <v>26</v>
      </c>
      <c r="H738" s="330"/>
      <c r="I738" s="330">
        <v>2</v>
      </c>
      <c r="J738" s="40">
        <f t="shared" si="110"/>
        <v>28</v>
      </c>
      <c r="K738" s="64">
        <f t="shared" si="112"/>
        <v>1.598477640342531E-2</v>
      </c>
      <c r="L738" s="37">
        <f t="shared" si="113"/>
        <v>36.271535680304474</v>
      </c>
      <c r="M738" s="37">
        <f t="shared" si="108"/>
        <v>13.337043669647956</v>
      </c>
      <c r="N738" s="37">
        <v>16.794379775708041</v>
      </c>
      <c r="O738" s="37">
        <f t="shared" si="114"/>
        <v>4.8130161750713611</v>
      </c>
      <c r="P738" s="117">
        <f t="shared" si="115"/>
        <v>5.8670667174119897</v>
      </c>
      <c r="Q738" s="45">
        <f t="shared" si="111"/>
        <v>5.733883133985912E-2</v>
      </c>
    </row>
    <row r="739" spans="1:18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>
        <f t="shared" si="109"/>
        <v>827.02</v>
      </c>
      <c r="G739" s="24">
        <v>22</v>
      </c>
      <c r="H739" s="330"/>
      <c r="I739" s="330">
        <v>4</v>
      </c>
      <c r="J739" s="40">
        <f t="shared" si="110"/>
        <v>26</v>
      </c>
      <c r="K739" s="64">
        <f t="shared" si="112"/>
        <v>1.4843006660323503E-2</v>
      </c>
      <c r="L739" s="37">
        <f t="shared" si="113"/>
        <v>33.68071170313987</v>
      </c>
      <c r="M739" s="37">
        <f t="shared" si="108"/>
        <v>12.384397693244532</v>
      </c>
      <c r="N739" s="37">
        <v>15.59478122030032</v>
      </c>
      <c r="O739" s="37">
        <f t="shared" si="114"/>
        <v>4.4692293054234069</v>
      </c>
      <c r="P739" s="117">
        <f t="shared" si="115"/>
        <v>5.447990523311133</v>
      </c>
      <c r="Q739" s="45">
        <f t="shared" si="111"/>
        <v>7.9960726369505131E-2</v>
      </c>
    </row>
    <row r="740" spans="1:18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>
        <f t="shared" si="109"/>
        <v>487.41</v>
      </c>
      <c r="G740" s="24">
        <v>12</v>
      </c>
      <c r="H740" s="330"/>
      <c r="I740" s="330"/>
      <c r="J740" s="40">
        <f t="shared" si="110"/>
        <v>12</v>
      </c>
      <c r="K740" s="64">
        <f t="shared" si="112"/>
        <v>6.8506184586108474E-3</v>
      </c>
      <c r="L740" s="37">
        <f t="shared" si="113"/>
        <v>15.544943862987633</v>
      </c>
      <c r="M740" s="37">
        <f t="shared" si="108"/>
        <v>5.7158758584205529</v>
      </c>
      <c r="N740" s="37">
        <v>7.1975913324463026</v>
      </c>
      <c r="O740" s="37">
        <f t="shared" si="114"/>
        <v>2.0627212178877263</v>
      </c>
      <c r="P740" s="117">
        <f t="shared" si="115"/>
        <v>2.5144571646051386</v>
      </c>
      <c r="Q740" s="45">
        <f t="shared" si="111"/>
        <v>6.2619011246675724E-2</v>
      </c>
    </row>
    <row r="741" spans="1:18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>
        <f t="shared" si="109"/>
        <v>685</v>
      </c>
      <c r="G741" s="24">
        <v>8</v>
      </c>
      <c r="H741" s="330">
        <v>1</v>
      </c>
      <c r="I741" s="330">
        <v>2</v>
      </c>
      <c r="J741" s="40">
        <f t="shared" si="110"/>
        <v>11</v>
      </c>
      <c r="K741" s="64">
        <f t="shared" si="112"/>
        <v>6.2797335870599432E-3</v>
      </c>
      <c r="L741" s="37">
        <f t="shared" si="113"/>
        <v>14.24953187440533</v>
      </c>
      <c r="M741" s="37">
        <f t="shared" si="108"/>
        <v>5.2395528702188399</v>
      </c>
      <c r="N741" s="37">
        <v>6.5977920547424445</v>
      </c>
      <c r="O741" s="37">
        <f t="shared" si="114"/>
        <v>1.890827783063749</v>
      </c>
      <c r="P741" s="117">
        <f t="shared" si="115"/>
        <v>2.3049190675547102</v>
      </c>
      <c r="Q741" s="45">
        <f t="shared" si="111"/>
        <v>4.0843364353912941E-2</v>
      </c>
    </row>
    <row r="742" spans="1:18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>
        <f t="shared" si="109"/>
        <v>636.55999999999995</v>
      </c>
      <c r="G742" s="24">
        <v>14</v>
      </c>
      <c r="H742" s="330"/>
      <c r="I742" s="330"/>
      <c r="J742" s="40">
        <f t="shared" si="110"/>
        <v>14</v>
      </c>
      <c r="K742" s="64">
        <f t="shared" si="112"/>
        <v>7.9923882017126548E-3</v>
      </c>
      <c r="L742" s="37">
        <f t="shared" si="113"/>
        <v>18.135767840152237</v>
      </c>
      <c r="M742" s="37">
        <f t="shared" si="108"/>
        <v>6.6685218348239781</v>
      </c>
      <c r="N742" s="37">
        <v>8.3971898878540205</v>
      </c>
      <c r="O742" s="37">
        <f t="shared" si="114"/>
        <v>2.4065080875356806</v>
      </c>
      <c r="P742" s="117">
        <f t="shared" si="115"/>
        <v>2.9335333587059949</v>
      </c>
      <c r="Q742" s="45">
        <f t="shared" si="111"/>
        <v>5.5938148250543412E-2</v>
      </c>
    </row>
    <row r="743" spans="1:18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>
        <f t="shared" si="109"/>
        <v>505.1</v>
      </c>
      <c r="G743" s="24">
        <v>16</v>
      </c>
      <c r="H743" s="330">
        <v>1</v>
      </c>
      <c r="I743" s="330"/>
      <c r="J743" s="40">
        <f t="shared" si="110"/>
        <v>17</v>
      </c>
      <c r="K743" s="64">
        <f t="shared" si="112"/>
        <v>9.7050428163653665E-3</v>
      </c>
      <c r="L743" s="37">
        <f t="shared" si="113"/>
        <v>22.022003805899146</v>
      </c>
      <c r="M743" s="37">
        <f t="shared" si="108"/>
        <v>8.0974907994291172</v>
      </c>
      <c r="N743" s="37">
        <v>10.196587720965594</v>
      </c>
      <c r="O743" s="37">
        <f t="shared" si="114"/>
        <v>2.9221883920076119</v>
      </c>
      <c r="P743" s="117">
        <f t="shared" si="115"/>
        <v>3.5621476498572791</v>
      </c>
      <c r="Q743" s="45">
        <f t="shared" si="111"/>
        <v>8.5603386890321653E-2</v>
      </c>
    </row>
    <row r="744" spans="1:18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>
        <f t="shared" si="109"/>
        <v>536.88</v>
      </c>
      <c r="G744" s="24">
        <v>13</v>
      </c>
      <c r="H744" s="330"/>
      <c r="I744" s="330"/>
      <c r="J744" s="40">
        <f t="shared" si="110"/>
        <v>13</v>
      </c>
      <c r="K744" s="64">
        <f t="shared" si="112"/>
        <v>7.4215033301617515E-3</v>
      </c>
      <c r="L744" s="37">
        <f t="shared" si="113"/>
        <v>16.840355851569935</v>
      </c>
      <c r="M744" s="37">
        <f>L744*0.3677</f>
        <v>6.1921988466222659</v>
      </c>
      <c r="N744" s="37">
        <v>7.7973906101501598</v>
      </c>
      <c r="O744" s="37">
        <f t="shared" si="114"/>
        <v>2.2346146527117035</v>
      </c>
      <c r="P744" s="117">
        <f t="shared" si="115"/>
        <v>2.7239952616555665</v>
      </c>
      <c r="Q744" s="45">
        <f t="shared" si="111"/>
        <v>6.1586499703945141E-2</v>
      </c>
    </row>
    <row r="745" spans="1:18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>
        <f t="shared" si="109"/>
        <v>132.6</v>
      </c>
      <c r="G745" s="147">
        <v>0</v>
      </c>
      <c r="H745" s="55">
        <v>1</v>
      </c>
      <c r="I745" s="55"/>
      <c r="J745" s="40">
        <f t="shared" si="110"/>
        <v>1</v>
      </c>
      <c r="K745" s="64">
        <f t="shared" si="112"/>
        <v>5.7088487155090395E-4</v>
      </c>
      <c r="L745" s="37">
        <f t="shared" si="113"/>
        <v>1.2954119885823028</v>
      </c>
      <c r="M745" s="37">
        <f>L745*0.3677</f>
        <v>0.47632298820171276</v>
      </c>
      <c r="N745" s="37">
        <v>0</v>
      </c>
      <c r="O745" s="37">
        <f>K745*301.1*1.08</f>
        <v>0.18564490960989538</v>
      </c>
      <c r="P745" s="117">
        <f t="shared" si="115"/>
        <v>0.22630114481446248</v>
      </c>
      <c r="Q745" s="45">
        <f t="shared" si="111"/>
        <v>1.4761537604780627E-2</v>
      </c>
    </row>
    <row r="746" spans="1:18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109"/>
        <v>380.2</v>
      </c>
      <c r="G746" s="147">
        <v>9</v>
      </c>
      <c r="H746" s="55"/>
      <c r="I746" s="55"/>
      <c r="J746" s="40">
        <v>9</v>
      </c>
      <c r="K746" s="64">
        <f t="shared" si="112"/>
        <v>5.1379638439581357E-3</v>
      </c>
      <c r="L746" s="37">
        <f t="shared" si="113"/>
        <v>11.658707897240726</v>
      </c>
      <c r="M746" s="37">
        <f>L746*0.3677</f>
        <v>4.2869068938154156</v>
      </c>
      <c r="N746" s="37">
        <v>8</v>
      </c>
      <c r="O746" s="37">
        <f>K746*301.1*1.08</f>
        <v>1.6708041864890584</v>
      </c>
      <c r="P746" s="117">
        <f t="shared" si="115"/>
        <v>2.0367103033301621</v>
      </c>
      <c r="Q746" s="45">
        <f t="shared" si="111"/>
        <v>6.7376167747357191E-2</v>
      </c>
    </row>
    <row r="747" spans="1:18" s="69" customFormat="1" ht="15.75">
      <c r="A747" s="392">
        <v>1</v>
      </c>
      <c r="B747" s="174" t="s">
        <v>681</v>
      </c>
      <c r="C747" s="153">
        <f t="shared" ref="C747:I747" si="116">SUM(C537:C745)</f>
        <v>241028.47000000006</v>
      </c>
      <c r="D747" s="153">
        <f t="shared" si="116"/>
        <v>1953.5199999999998</v>
      </c>
      <c r="E747" s="153">
        <f t="shared" si="116"/>
        <v>3342.3999999999992</v>
      </c>
      <c r="F747" s="153">
        <f t="shared" si="116"/>
        <v>246324.39000000004</v>
      </c>
      <c r="G747" s="30">
        <f>SUM(G537:G746)</f>
        <v>5203</v>
      </c>
      <c r="H747" s="63">
        <f t="shared" si="116"/>
        <v>13</v>
      </c>
      <c r="I747" s="63">
        <f t="shared" si="116"/>
        <v>39</v>
      </c>
      <c r="J747" s="63">
        <f>SUM(J537:J746)</f>
        <v>5255</v>
      </c>
      <c r="K747" s="64">
        <f>3/5255*J747</f>
        <v>3.0000000000000004</v>
      </c>
      <c r="L747" s="37">
        <f>K747*2269.13</f>
        <v>6807.3900000000012</v>
      </c>
      <c r="M747" s="64">
        <f t="shared" ref="M747:M809" si="117">L747*0.3677</f>
        <v>2503.0773030000005</v>
      </c>
      <c r="N747" s="37">
        <f>SUM(N536:N746)</f>
        <v>2943.3176985363943</v>
      </c>
      <c r="O747" s="37">
        <f>K747*301.1*1.08</f>
        <v>975.56400000000031</v>
      </c>
      <c r="P747" s="117">
        <f t="shared" si="115"/>
        <v>1189.2125160000005</v>
      </c>
      <c r="Q747" s="45">
        <f t="shared" si="111"/>
        <v>5.3707020248934319E-2</v>
      </c>
      <c r="R747" s="5"/>
    </row>
    <row r="748" spans="1:18" s="6" customFormat="1" ht="15.75">
      <c r="A748" s="9" t="s">
        <v>593</v>
      </c>
      <c r="B748" s="8"/>
      <c r="C748" s="8"/>
      <c r="D748" s="8"/>
      <c r="E748" s="8"/>
      <c r="F748" s="40">
        <f t="shared" ref="F748:F809" si="118">C748+D748+E748</f>
        <v>0</v>
      </c>
      <c r="G748" s="24"/>
      <c r="H748" s="8"/>
      <c r="I748" s="8"/>
      <c r="J748" s="40">
        <f t="shared" ref="J748:J809" si="119">G748+H748+I748</f>
        <v>0</v>
      </c>
      <c r="K748" s="66"/>
      <c r="L748" s="37">
        <f>K748*2077.52</f>
        <v>0</v>
      </c>
      <c r="M748" s="37"/>
      <c r="N748" s="37">
        <f>L748*0.5</f>
        <v>0</v>
      </c>
      <c r="O748" s="37">
        <f t="shared" ref="O748:O811" si="120">K748*301.1</f>
        <v>0</v>
      </c>
      <c r="P748" s="37"/>
      <c r="Q748" s="45">
        <v>0</v>
      </c>
    </row>
    <row r="749" spans="1:18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40">
        <f t="shared" si="118"/>
        <v>4275.08</v>
      </c>
      <c r="G749" s="24">
        <v>72</v>
      </c>
      <c r="H749" s="8"/>
      <c r="I749" s="8"/>
      <c r="J749" s="40">
        <f t="shared" si="119"/>
        <v>72</v>
      </c>
      <c r="K749" s="66">
        <f t="shared" ref="K749:K812" si="121">3/5364*J749</f>
        <v>4.0268456375838924E-2</v>
      </c>
      <c r="L749" s="37">
        <f>K749*2269.13</f>
        <v>91.374362416107374</v>
      </c>
      <c r="M749" s="37">
        <f t="shared" si="117"/>
        <v>33.598353060402687</v>
      </c>
      <c r="N749" s="37">
        <v>35.561435499515035</v>
      </c>
      <c r="O749" s="37">
        <f t="shared" si="120"/>
        <v>12.124832214765101</v>
      </c>
      <c r="P749" s="37"/>
      <c r="Q749" s="45">
        <f t="shared" si="111"/>
        <v>4.0387310457533007E-2</v>
      </c>
    </row>
    <row r="750" spans="1:18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40">
        <f t="shared" si="118"/>
        <v>4574.41</v>
      </c>
      <c r="G750" s="24">
        <v>75</v>
      </c>
      <c r="H750" s="8"/>
      <c r="I750" s="8"/>
      <c r="J750" s="40">
        <f t="shared" si="119"/>
        <v>75</v>
      </c>
      <c r="K750" s="66">
        <f t="shared" si="121"/>
        <v>4.1946308724832217E-2</v>
      </c>
      <c r="L750" s="37">
        <f t="shared" ref="L750:L812" si="122">K750*2269.13</f>
        <v>95.181627516778534</v>
      </c>
      <c r="M750" s="37">
        <f t="shared" si="117"/>
        <v>34.998284437919466</v>
      </c>
      <c r="N750" s="37">
        <v>37.043161978661495</v>
      </c>
      <c r="O750" s="37">
        <f t="shared" si="120"/>
        <v>12.630033557046982</v>
      </c>
      <c r="P750" s="37"/>
      <c r="Q750" s="45">
        <f t="shared" si="111"/>
        <v>3.9317225060807072E-2</v>
      </c>
    </row>
    <row r="751" spans="1:18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40">
        <f t="shared" si="118"/>
        <v>8527.85</v>
      </c>
      <c r="G751" s="24">
        <v>144</v>
      </c>
      <c r="H751" s="8"/>
      <c r="I751" s="8"/>
      <c r="J751" s="40">
        <f t="shared" si="119"/>
        <v>144</v>
      </c>
      <c r="K751" s="66">
        <f t="shared" si="121"/>
        <v>8.0536912751677847E-2</v>
      </c>
      <c r="L751" s="37">
        <f t="shared" si="122"/>
        <v>182.74872483221475</v>
      </c>
      <c r="M751" s="37">
        <f t="shared" si="117"/>
        <v>67.196706120805374</v>
      </c>
      <c r="N751" s="37">
        <v>71.12287099903007</v>
      </c>
      <c r="O751" s="37">
        <f t="shared" si="120"/>
        <v>24.249664429530203</v>
      </c>
      <c r="P751" s="37"/>
      <c r="Q751" s="45">
        <f t="shared" si="111"/>
        <v>4.049296908148952E-2</v>
      </c>
    </row>
    <row r="752" spans="1:18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40">
        <f t="shared" si="118"/>
        <v>5131.3999999999996</v>
      </c>
      <c r="G752" s="24">
        <v>90</v>
      </c>
      <c r="H752" s="8"/>
      <c r="I752" s="8"/>
      <c r="J752" s="40">
        <f t="shared" si="119"/>
        <v>90</v>
      </c>
      <c r="K752" s="66">
        <f t="shared" si="121"/>
        <v>5.0335570469798654E-2</v>
      </c>
      <c r="L752" s="37">
        <f t="shared" si="122"/>
        <v>114.21795302013423</v>
      </c>
      <c r="M752" s="37">
        <f t="shared" si="117"/>
        <v>41.997941325503362</v>
      </c>
      <c r="N752" s="37">
        <v>44.451794374393792</v>
      </c>
      <c r="O752" s="37">
        <f t="shared" si="120"/>
        <v>15.156040268456376</v>
      </c>
      <c r="P752" s="37"/>
      <c r="Q752" s="45">
        <f t="shared" si="111"/>
        <v>4.2059424131521174E-2</v>
      </c>
    </row>
    <row r="753" spans="1:17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40">
        <f t="shared" si="118"/>
        <v>4290.1499999999996</v>
      </c>
      <c r="G753" s="24">
        <v>72</v>
      </c>
      <c r="H753" s="8"/>
      <c r="I753" s="8"/>
      <c r="J753" s="40">
        <f t="shared" si="119"/>
        <v>72</v>
      </c>
      <c r="K753" s="66">
        <f t="shared" si="121"/>
        <v>4.0268456375838924E-2</v>
      </c>
      <c r="L753" s="37">
        <f t="shared" si="122"/>
        <v>91.374362416107374</v>
      </c>
      <c r="M753" s="37">
        <f t="shared" si="117"/>
        <v>33.598353060402687</v>
      </c>
      <c r="N753" s="37">
        <v>35.561435499515035</v>
      </c>
      <c r="O753" s="37">
        <f t="shared" si="120"/>
        <v>12.124832214765101</v>
      </c>
      <c r="P753" s="37"/>
      <c r="Q753" s="45">
        <f t="shared" si="111"/>
        <v>4.0245442045334132E-2</v>
      </c>
    </row>
    <row r="754" spans="1:17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40">
        <f t="shared" si="118"/>
        <v>5185.3900000000003</v>
      </c>
      <c r="G754" s="24">
        <v>90</v>
      </c>
      <c r="H754" s="8"/>
      <c r="I754" s="8"/>
      <c r="J754" s="40">
        <f t="shared" si="119"/>
        <v>90</v>
      </c>
      <c r="K754" s="66">
        <f t="shared" si="121"/>
        <v>5.0335570469798654E-2</v>
      </c>
      <c r="L754" s="37">
        <f t="shared" si="122"/>
        <v>114.21795302013423</v>
      </c>
      <c r="M754" s="37">
        <f t="shared" si="117"/>
        <v>41.997941325503362</v>
      </c>
      <c r="N754" s="37">
        <v>44.451794374393792</v>
      </c>
      <c r="O754" s="37">
        <f t="shared" si="120"/>
        <v>15.156040268456376</v>
      </c>
      <c r="P754" s="37"/>
      <c r="Q754" s="45">
        <f t="shared" si="111"/>
        <v>4.1621503684098539E-2</v>
      </c>
    </row>
    <row r="755" spans="1:17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40">
        <f t="shared" si="118"/>
        <v>4246.38</v>
      </c>
      <c r="G755" s="24">
        <v>72</v>
      </c>
      <c r="H755" s="8"/>
      <c r="I755" s="8"/>
      <c r="J755" s="40">
        <f t="shared" si="119"/>
        <v>72</v>
      </c>
      <c r="K755" s="66">
        <f t="shared" si="121"/>
        <v>4.0268456375838924E-2</v>
      </c>
      <c r="L755" s="37">
        <f t="shared" si="122"/>
        <v>91.374362416107374</v>
      </c>
      <c r="M755" s="37">
        <f t="shared" si="117"/>
        <v>33.598353060402687</v>
      </c>
      <c r="N755" s="37">
        <v>35.561435499515035</v>
      </c>
      <c r="O755" s="37">
        <f t="shared" si="120"/>
        <v>12.124832214765101</v>
      </c>
      <c r="P755" s="37"/>
      <c r="Q755" s="45">
        <f t="shared" si="111"/>
        <v>4.0660276091821781E-2</v>
      </c>
    </row>
    <row r="756" spans="1:17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40">
        <f t="shared" si="118"/>
        <v>4446.42</v>
      </c>
      <c r="G756" s="24">
        <v>78</v>
      </c>
      <c r="H756" s="8"/>
      <c r="I756" s="8"/>
      <c r="J756" s="40">
        <f t="shared" si="119"/>
        <v>78</v>
      </c>
      <c r="K756" s="66">
        <f t="shared" si="121"/>
        <v>4.3624161073825503E-2</v>
      </c>
      <c r="L756" s="37">
        <f t="shared" si="122"/>
        <v>98.988892617449665</v>
      </c>
      <c r="M756" s="37">
        <f t="shared" si="117"/>
        <v>36.398215815436245</v>
      </c>
      <c r="N756" s="37">
        <v>38.524888457807954</v>
      </c>
      <c r="O756" s="37">
        <f t="shared" si="120"/>
        <v>13.135234899328859</v>
      </c>
      <c r="P756" s="37"/>
      <c r="Q756" s="45">
        <f t="shared" si="111"/>
        <v>4.2066928403079941E-2</v>
      </c>
    </row>
    <row r="757" spans="1:17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40">
        <f t="shared" si="118"/>
        <v>2920.24</v>
      </c>
      <c r="G757" s="24">
        <v>60</v>
      </c>
      <c r="H757" s="8"/>
      <c r="I757" s="8"/>
      <c r="J757" s="40">
        <f t="shared" si="119"/>
        <v>60</v>
      </c>
      <c r="K757" s="66">
        <f t="shared" si="121"/>
        <v>3.3557046979865772E-2</v>
      </c>
      <c r="L757" s="37">
        <f t="shared" si="122"/>
        <v>76.145302013422821</v>
      </c>
      <c r="M757" s="37">
        <f t="shared" si="117"/>
        <v>27.998627550335573</v>
      </c>
      <c r="N757" s="37">
        <v>29.634529582929197</v>
      </c>
      <c r="O757" s="37">
        <f t="shared" si="120"/>
        <v>10.104026845637584</v>
      </c>
      <c r="P757" s="37"/>
      <c r="Q757" s="45">
        <f t="shared" si="111"/>
        <v>4.9270774317290766E-2</v>
      </c>
    </row>
    <row r="758" spans="1:17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40">
        <f t="shared" si="118"/>
        <v>4278.99</v>
      </c>
      <c r="G758" s="24">
        <v>72</v>
      </c>
      <c r="H758" s="8"/>
      <c r="I758" s="8"/>
      <c r="J758" s="40">
        <f t="shared" si="119"/>
        <v>72</v>
      </c>
      <c r="K758" s="66">
        <f t="shared" si="121"/>
        <v>4.0268456375838924E-2</v>
      </c>
      <c r="L758" s="37">
        <f t="shared" si="122"/>
        <v>91.374362416107374</v>
      </c>
      <c r="M758" s="37">
        <f t="shared" si="117"/>
        <v>33.598353060402687</v>
      </c>
      <c r="N758" s="37">
        <v>35.561435499515035</v>
      </c>
      <c r="O758" s="37">
        <f t="shared" si="120"/>
        <v>12.124832214765101</v>
      </c>
      <c r="P758" s="37"/>
      <c r="Q758" s="45">
        <f t="shared" si="111"/>
        <v>4.0350405864652689E-2</v>
      </c>
    </row>
    <row r="759" spans="1:17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40">
        <f t="shared" si="118"/>
        <v>8595.7800000000007</v>
      </c>
      <c r="G759" s="24">
        <v>144</v>
      </c>
      <c r="H759" s="8"/>
      <c r="I759" s="8"/>
      <c r="J759" s="40">
        <f t="shared" si="119"/>
        <v>144</v>
      </c>
      <c r="K759" s="66">
        <f t="shared" si="121"/>
        <v>8.0536912751677847E-2</v>
      </c>
      <c r="L759" s="37">
        <f t="shared" si="122"/>
        <v>182.74872483221475</v>
      </c>
      <c r="M759" s="37">
        <f t="shared" si="117"/>
        <v>67.196706120805374</v>
      </c>
      <c r="N759" s="37">
        <v>71.12287099903007</v>
      </c>
      <c r="O759" s="37">
        <f t="shared" si="120"/>
        <v>24.249664429530203</v>
      </c>
      <c r="P759" s="37"/>
      <c r="Q759" s="45">
        <f t="shared" si="111"/>
        <v>4.0172964685180446E-2</v>
      </c>
    </row>
    <row r="760" spans="1:17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40">
        <f t="shared" si="118"/>
        <v>4516.6000000000004</v>
      </c>
      <c r="G760" s="24">
        <v>80</v>
      </c>
      <c r="H760" s="8"/>
      <c r="I760" s="8"/>
      <c r="J760" s="40">
        <f t="shared" si="119"/>
        <v>80</v>
      </c>
      <c r="K760" s="66">
        <f t="shared" si="121"/>
        <v>4.4742729306487691E-2</v>
      </c>
      <c r="L760" s="37">
        <f t="shared" si="122"/>
        <v>101.52706935123042</v>
      </c>
      <c r="M760" s="37">
        <f t="shared" si="117"/>
        <v>37.331503400447431</v>
      </c>
      <c r="N760" s="37">
        <v>39.51270611057226</v>
      </c>
      <c r="O760" s="37">
        <f t="shared" si="120"/>
        <v>13.472035794183444</v>
      </c>
      <c r="P760" s="37"/>
      <c r="Q760" s="45">
        <f t="shared" si="111"/>
        <v>4.2475161549934366E-2</v>
      </c>
    </row>
    <row r="761" spans="1:17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40">
        <f t="shared" si="118"/>
        <v>5874.29</v>
      </c>
      <c r="G761" s="24">
        <v>119</v>
      </c>
      <c r="H761" s="8"/>
      <c r="I761" s="8"/>
      <c r="J761" s="40">
        <f t="shared" si="119"/>
        <v>119</v>
      </c>
      <c r="K761" s="66">
        <f t="shared" si="121"/>
        <v>6.6554809843400439E-2</v>
      </c>
      <c r="L761" s="37">
        <f t="shared" si="122"/>
        <v>151.02151565995524</v>
      </c>
      <c r="M761" s="37">
        <f t="shared" si="117"/>
        <v>55.530611308165547</v>
      </c>
      <c r="N761" s="37">
        <v>58.775150339476234</v>
      </c>
      <c r="O761" s="37">
        <f t="shared" si="120"/>
        <v>20.039653243847873</v>
      </c>
      <c r="P761" s="37"/>
      <c r="Q761" s="45">
        <f t="shared" si="111"/>
        <v>4.8578965381594189E-2</v>
      </c>
    </row>
    <row r="762" spans="1:17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40">
        <f t="shared" si="118"/>
        <v>5810.95</v>
      </c>
      <c r="G762" s="24">
        <v>119</v>
      </c>
      <c r="H762" s="8"/>
      <c r="I762" s="8"/>
      <c r="J762" s="40">
        <f t="shared" si="119"/>
        <v>119</v>
      </c>
      <c r="K762" s="66">
        <f t="shared" si="121"/>
        <v>6.6554809843400439E-2</v>
      </c>
      <c r="L762" s="37">
        <f t="shared" si="122"/>
        <v>151.02151565995524</v>
      </c>
      <c r="M762" s="37">
        <f t="shared" si="117"/>
        <v>55.530611308165547</v>
      </c>
      <c r="N762" s="37">
        <v>58.775150339476234</v>
      </c>
      <c r="O762" s="37">
        <f t="shared" si="120"/>
        <v>20.039653243847873</v>
      </c>
      <c r="P762" s="37"/>
      <c r="Q762" s="45">
        <f t="shared" si="111"/>
        <v>4.9108481496389564E-2</v>
      </c>
    </row>
    <row r="763" spans="1:17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40">
        <f t="shared" si="118"/>
        <v>4535.62</v>
      </c>
      <c r="G763" s="24">
        <v>92</v>
      </c>
      <c r="H763" s="8"/>
      <c r="I763" s="8">
        <v>3</v>
      </c>
      <c r="J763" s="40">
        <f t="shared" si="119"/>
        <v>95</v>
      </c>
      <c r="K763" s="66">
        <f t="shared" si="121"/>
        <v>5.3131991051454136E-2</v>
      </c>
      <c r="L763" s="37">
        <f t="shared" si="122"/>
        <v>120.56339485458614</v>
      </c>
      <c r="M763" s="37">
        <f t="shared" si="117"/>
        <v>44.331160288031327</v>
      </c>
      <c r="N763" s="37">
        <v>46.921338506304558</v>
      </c>
      <c r="O763" s="37">
        <f t="shared" si="120"/>
        <v>15.998042505592842</v>
      </c>
      <c r="P763" s="37"/>
      <c r="Q763" s="45">
        <f t="shared" si="111"/>
        <v>5.0227738689421701E-2</v>
      </c>
    </row>
    <row r="764" spans="1:17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40">
        <f t="shared" si="118"/>
        <v>6970.5</v>
      </c>
      <c r="G764" s="24">
        <v>121</v>
      </c>
      <c r="H764" s="8"/>
      <c r="I764" s="8">
        <v>5</v>
      </c>
      <c r="J764" s="40">
        <f t="shared" si="119"/>
        <v>126</v>
      </c>
      <c r="K764" s="66">
        <f t="shared" si="121"/>
        <v>7.0469798657718116E-2</v>
      </c>
      <c r="L764" s="37">
        <f t="shared" si="122"/>
        <v>159.9051342281879</v>
      </c>
      <c r="M764" s="37">
        <f t="shared" si="117"/>
        <v>58.797117855704698</v>
      </c>
      <c r="N764" s="37">
        <v>62.232512124151306</v>
      </c>
      <c r="O764" s="37">
        <f t="shared" si="120"/>
        <v>21.218456375838926</v>
      </c>
      <c r="P764" s="37"/>
      <c r="Q764" s="45">
        <f t="shared" si="111"/>
        <v>4.3347424228374266E-2</v>
      </c>
    </row>
    <row r="765" spans="1:17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40">
        <f t="shared" si="118"/>
        <v>7328.65</v>
      </c>
      <c r="G765" s="24">
        <v>119</v>
      </c>
      <c r="H765" s="8"/>
      <c r="I765" s="8">
        <v>1</v>
      </c>
      <c r="J765" s="40">
        <f t="shared" si="119"/>
        <v>120</v>
      </c>
      <c r="K765" s="66">
        <f t="shared" si="121"/>
        <v>6.7114093959731544E-2</v>
      </c>
      <c r="L765" s="37">
        <f t="shared" si="122"/>
        <v>152.29060402684564</v>
      </c>
      <c r="M765" s="37">
        <f t="shared" si="117"/>
        <v>55.997255100671147</v>
      </c>
      <c r="N765" s="37">
        <v>59.269059165858394</v>
      </c>
      <c r="O765" s="37">
        <f t="shared" si="120"/>
        <v>20.208053691275168</v>
      </c>
      <c r="P765" s="37"/>
      <c r="Q765" s="45">
        <f t="shared" si="111"/>
        <v>3.9265754536599556E-2</v>
      </c>
    </row>
    <row r="766" spans="1:17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40">
        <f t="shared" si="118"/>
        <v>6535.5999999999995</v>
      </c>
      <c r="G766" s="24">
        <v>104</v>
      </c>
      <c r="H766" s="8"/>
      <c r="I766" s="8">
        <v>2</v>
      </c>
      <c r="J766" s="40">
        <f t="shared" si="119"/>
        <v>106</v>
      </c>
      <c r="K766" s="66">
        <f t="shared" si="121"/>
        <v>5.9284116331096197E-2</v>
      </c>
      <c r="L766" s="37">
        <f t="shared" si="122"/>
        <v>134.52336689038032</v>
      </c>
      <c r="M766" s="37">
        <f t="shared" si="117"/>
        <v>49.464242005592844</v>
      </c>
      <c r="N766" s="37">
        <v>52.354335596508243</v>
      </c>
      <c r="O766" s="37">
        <f t="shared" si="120"/>
        <v>17.850447427293066</v>
      </c>
      <c r="P766" s="37"/>
      <c r="Q766" s="45">
        <f t="shared" si="111"/>
        <v>3.8893505098196723E-2</v>
      </c>
    </row>
    <row r="767" spans="1:17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40">
        <f t="shared" si="118"/>
        <v>11062.33</v>
      </c>
      <c r="G767" s="24">
        <v>216</v>
      </c>
      <c r="H767" s="8"/>
      <c r="I767" s="8"/>
      <c r="J767" s="40">
        <f t="shared" si="119"/>
        <v>216</v>
      </c>
      <c r="K767" s="66">
        <f t="shared" si="121"/>
        <v>0.12080536912751677</v>
      </c>
      <c r="L767" s="37">
        <f t="shared" si="122"/>
        <v>274.12308724832212</v>
      </c>
      <c r="M767" s="37">
        <f t="shared" si="117"/>
        <v>100.79505918120805</v>
      </c>
      <c r="N767" s="37">
        <v>106.68430649854511</v>
      </c>
      <c r="O767" s="37">
        <f t="shared" si="120"/>
        <v>36.374496644295306</v>
      </c>
      <c r="P767" s="37"/>
      <c r="Q767" s="45">
        <f t="shared" si="111"/>
        <v>4.6823494650075577E-2</v>
      </c>
    </row>
    <row r="768" spans="1:17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40">
        <f t="shared" si="118"/>
        <v>8492.94</v>
      </c>
      <c r="G768" s="24">
        <v>144</v>
      </c>
      <c r="H768" s="8"/>
      <c r="I768" s="8"/>
      <c r="J768" s="40">
        <f t="shared" si="119"/>
        <v>144</v>
      </c>
      <c r="K768" s="66">
        <f t="shared" si="121"/>
        <v>8.0536912751677847E-2</v>
      </c>
      <c r="L768" s="37">
        <f t="shared" si="122"/>
        <v>182.74872483221475</v>
      </c>
      <c r="M768" s="37">
        <f t="shared" si="117"/>
        <v>67.196706120805374</v>
      </c>
      <c r="N768" s="37">
        <v>71.12287099903007</v>
      </c>
      <c r="O768" s="37">
        <f t="shared" si="120"/>
        <v>24.249664429530203</v>
      </c>
      <c r="P768" s="37"/>
      <c r="Q768" s="45">
        <f t="shared" si="111"/>
        <v>4.0659414334915871E-2</v>
      </c>
    </row>
    <row r="769" spans="1:17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40">
        <f t="shared" si="118"/>
        <v>3876.37</v>
      </c>
      <c r="G769" s="24">
        <v>90</v>
      </c>
      <c r="H769" s="8"/>
      <c r="I769" s="8"/>
      <c r="J769" s="40">
        <f t="shared" si="119"/>
        <v>90</v>
      </c>
      <c r="K769" s="66">
        <f t="shared" si="121"/>
        <v>5.0335570469798654E-2</v>
      </c>
      <c r="L769" s="37">
        <f t="shared" si="122"/>
        <v>114.21795302013423</v>
      </c>
      <c r="M769" s="37">
        <f t="shared" si="117"/>
        <v>41.997941325503362</v>
      </c>
      <c r="N769" s="37">
        <v>44.451794374393792</v>
      </c>
      <c r="O769" s="37">
        <f t="shared" si="120"/>
        <v>15.156040268456376</v>
      </c>
      <c r="P769" s="37"/>
      <c r="Q769" s="45">
        <f t="shared" si="111"/>
        <v>5.567676176125802E-2</v>
      </c>
    </row>
    <row r="770" spans="1:17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40">
        <f t="shared" si="118"/>
        <v>5695.76</v>
      </c>
      <c r="G770" s="24">
        <v>116</v>
      </c>
      <c r="H770" s="8"/>
      <c r="I770" s="8">
        <v>1</v>
      </c>
      <c r="J770" s="40">
        <f t="shared" si="119"/>
        <v>117</v>
      </c>
      <c r="K770" s="66">
        <f t="shared" si="121"/>
        <v>6.5436241610738258E-2</v>
      </c>
      <c r="L770" s="37">
        <f t="shared" si="122"/>
        <v>148.4833389261745</v>
      </c>
      <c r="M770" s="37">
        <f t="shared" si="117"/>
        <v>54.597323723154368</v>
      </c>
      <c r="N770" s="37">
        <v>57.787332686711927</v>
      </c>
      <c r="O770" s="37">
        <f t="shared" si="120"/>
        <v>19.702852348993289</v>
      </c>
      <c r="P770" s="37"/>
      <c r="Q770" s="45">
        <f t="shared" si="111"/>
        <v>4.9259597961472057E-2</v>
      </c>
    </row>
    <row r="771" spans="1:17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40">
        <f t="shared" si="118"/>
        <v>5815.2</v>
      </c>
      <c r="G771" s="24">
        <v>119</v>
      </c>
      <c r="H771" s="8"/>
      <c r="I771" s="8"/>
      <c r="J771" s="40">
        <f t="shared" si="119"/>
        <v>119</v>
      </c>
      <c r="K771" s="66">
        <f t="shared" si="121"/>
        <v>6.6554809843400439E-2</v>
      </c>
      <c r="L771" s="37">
        <f t="shared" si="122"/>
        <v>151.02151565995524</v>
      </c>
      <c r="M771" s="37">
        <f t="shared" si="117"/>
        <v>55.530611308165547</v>
      </c>
      <c r="N771" s="37">
        <v>58.775150339476234</v>
      </c>
      <c r="O771" s="37">
        <f t="shared" si="120"/>
        <v>20.039653243847873</v>
      </c>
      <c r="P771" s="37"/>
      <c r="Q771" s="45">
        <f t="shared" si="111"/>
        <v>4.9072590891361421E-2</v>
      </c>
    </row>
    <row r="772" spans="1:17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40">
        <f t="shared" si="118"/>
        <v>5690.31</v>
      </c>
      <c r="G772" s="24">
        <v>119</v>
      </c>
      <c r="H772" s="8"/>
      <c r="I772" s="8"/>
      <c r="J772" s="40">
        <f t="shared" si="119"/>
        <v>119</v>
      </c>
      <c r="K772" s="66">
        <f t="shared" si="121"/>
        <v>6.6554809843400439E-2</v>
      </c>
      <c r="L772" s="37">
        <f t="shared" si="122"/>
        <v>151.02151565995524</v>
      </c>
      <c r="M772" s="37">
        <f t="shared" si="117"/>
        <v>55.530611308165547</v>
      </c>
      <c r="N772" s="37">
        <v>58.775150339476234</v>
      </c>
      <c r="O772" s="37">
        <f t="shared" si="120"/>
        <v>20.039653243847873</v>
      </c>
      <c r="P772" s="37"/>
      <c r="Q772" s="45">
        <f t="shared" si="111"/>
        <v>5.0149628148808217E-2</v>
      </c>
    </row>
    <row r="773" spans="1:17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40">
        <f t="shared" si="118"/>
        <v>3955.02</v>
      </c>
      <c r="G773" s="24">
        <v>90</v>
      </c>
      <c r="H773" s="8"/>
      <c r="I773" s="8"/>
      <c r="J773" s="40">
        <f t="shared" si="119"/>
        <v>90</v>
      </c>
      <c r="K773" s="66">
        <f t="shared" si="121"/>
        <v>5.0335570469798654E-2</v>
      </c>
      <c r="L773" s="37">
        <f t="shared" si="122"/>
        <v>114.21795302013423</v>
      </c>
      <c r="M773" s="37">
        <f t="shared" si="117"/>
        <v>41.997941325503362</v>
      </c>
      <c r="N773" s="37">
        <v>44.451794374393792</v>
      </c>
      <c r="O773" s="37">
        <f t="shared" si="120"/>
        <v>15.156040268456376</v>
      </c>
      <c r="P773" s="37"/>
      <c r="Q773" s="45">
        <f t="shared" si="111"/>
        <v>5.4569567028355796E-2</v>
      </c>
    </row>
    <row r="774" spans="1:17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40">
        <f t="shared" si="118"/>
        <v>3905.27</v>
      </c>
      <c r="G774" s="24">
        <v>92</v>
      </c>
      <c r="H774" s="8"/>
      <c r="I774" s="8"/>
      <c r="J774" s="40">
        <f t="shared" si="119"/>
        <v>92</v>
      </c>
      <c r="K774" s="66">
        <f t="shared" si="121"/>
        <v>5.145413870246085E-2</v>
      </c>
      <c r="L774" s="37">
        <f t="shared" si="122"/>
        <v>116.75612975391499</v>
      </c>
      <c r="M774" s="37">
        <f t="shared" si="117"/>
        <v>42.931228910514548</v>
      </c>
      <c r="N774" s="37">
        <v>45.439612027158098</v>
      </c>
      <c r="O774" s="37">
        <f t="shared" si="120"/>
        <v>15.492841163310963</v>
      </c>
      <c r="P774" s="37"/>
      <c r="Q774" s="45">
        <f t="shared" si="111"/>
        <v>5.649284475974737E-2</v>
      </c>
    </row>
    <row r="775" spans="1:17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40">
        <f t="shared" si="118"/>
        <v>4859.2700000000004</v>
      </c>
      <c r="G775" s="24">
        <v>70</v>
      </c>
      <c r="H775" s="8"/>
      <c r="I775" s="8">
        <v>1</v>
      </c>
      <c r="J775" s="40">
        <f t="shared" si="119"/>
        <v>71</v>
      </c>
      <c r="K775" s="66">
        <f t="shared" si="121"/>
        <v>3.9709172259507826E-2</v>
      </c>
      <c r="L775" s="37">
        <f t="shared" si="122"/>
        <v>90.105274049217002</v>
      </c>
      <c r="M775" s="37">
        <f t="shared" si="117"/>
        <v>33.131709267897094</v>
      </c>
      <c r="N775" s="37">
        <v>35.067526673132882</v>
      </c>
      <c r="O775" s="37">
        <f t="shared" si="120"/>
        <v>11.956431767337808</v>
      </c>
      <c r="P775" s="37"/>
      <c r="Q775" s="45">
        <f t="shared" ref="Q775:Q838" si="123">(O775+N775+M775+L775)/F775</f>
        <v>3.5038378554306464E-2</v>
      </c>
    </row>
    <row r="776" spans="1:17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40">
        <f t="shared" si="118"/>
        <v>4953.4199999999992</v>
      </c>
      <c r="G776" s="24">
        <v>67</v>
      </c>
      <c r="H776" s="8">
        <v>5</v>
      </c>
      <c r="I776" s="8">
        <v>1</v>
      </c>
      <c r="J776" s="40">
        <f t="shared" si="119"/>
        <v>73</v>
      </c>
      <c r="K776" s="66">
        <f t="shared" si="121"/>
        <v>4.0827740492170021E-2</v>
      </c>
      <c r="L776" s="37">
        <f t="shared" si="122"/>
        <v>92.64345078299776</v>
      </c>
      <c r="M776" s="37">
        <f t="shared" si="117"/>
        <v>34.06499685290828</v>
      </c>
      <c r="N776" s="37">
        <v>36.055344325897181</v>
      </c>
      <c r="O776" s="37">
        <f t="shared" si="120"/>
        <v>12.293232662192395</v>
      </c>
      <c r="P776" s="37"/>
      <c r="Q776" s="45">
        <f t="shared" si="123"/>
        <v>3.5340638311307272E-2</v>
      </c>
    </row>
    <row r="777" spans="1:17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40">
        <f t="shared" si="118"/>
        <v>10932.24</v>
      </c>
      <c r="G777" s="24">
        <v>216</v>
      </c>
      <c r="H777" s="8"/>
      <c r="I777" s="8"/>
      <c r="J777" s="40">
        <f t="shared" si="119"/>
        <v>216</v>
      </c>
      <c r="K777" s="66">
        <f t="shared" si="121"/>
        <v>0.12080536912751677</v>
      </c>
      <c r="L777" s="37">
        <f t="shared" si="122"/>
        <v>274.12308724832212</v>
      </c>
      <c r="M777" s="37">
        <f t="shared" si="117"/>
        <v>100.79505918120805</v>
      </c>
      <c r="N777" s="37">
        <v>106.68430649854511</v>
      </c>
      <c r="O777" s="37">
        <f t="shared" si="120"/>
        <v>36.374496644295306</v>
      </c>
      <c r="P777" s="37"/>
      <c r="Q777" s="45">
        <f t="shared" si="123"/>
        <v>4.7380678577525794E-2</v>
      </c>
    </row>
    <row r="778" spans="1:17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40">
        <f t="shared" si="118"/>
        <v>4713.08</v>
      </c>
      <c r="G778" s="24">
        <v>80</v>
      </c>
      <c r="H778" s="8"/>
      <c r="I778" s="8"/>
      <c r="J778" s="40">
        <f t="shared" si="119"/>
        <v>80</v>
      </c>
      <c r="K778" s="66">
        <f t="shared" si="121"/>
        <v>4.4742729306487691E-2</v>
      </c>
      <c r="L778" s="37">
        <f t="shared" si="122"/>
        <v>101.52706935123042</v>
      </c>
      <c r="M778" s="37">
        <f t="shared" si="117"/>
        <v>37.331503400447431</v>
      </c>
      <c r="N778" s="37">
        <v>39.51270611057226</v>
      </c>
      <c r="O778" s="37">
        <f t="shared" si="120"/>
        <v>13.472035794183444</v>
      </c>
      <c r="P778" s="37"/>
      <c r="Q778" s="45">
        <f t="shared" si="123"/>
        <v>4.0704446912938792E-2</v>
      </c>
    </row>
    <row r="779" spans="1:17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40">
        <f t="shared" si="118"/>
        <v>4688.58</v>
      </c>
      <c r="G779" s="24">
        <v>80</v>
      </c>
      <c r="H779" s="8"/>
      <c r="I779" s="8"/>
      <c r="J779" s="40">
        <f t="shared" si="119"/>
        <v>80</v>
      </c>
      <c r="K779" s="66">
        <f t="shared" si="121"/>
        <v>4.4742729306487691E-2</v>
      </c>
      <c r="L779" s="37">
        <f t="shared" si="122"/>
        <v>101.52706935123042</v>
      </c>
      <c r="M779" s="37">
        <f t="shared" si="117"/>
        <v>37.331503400447431</v>
      </c>
      <c r="N779" s="37">
        <v>39.51270611057226</v>
      </c>
      <c r="O779" s="37">
        <f t="shared" si="120"/>
        <v>13.472035794183444</v>
      </c>
      <c r="P779" s="37"/>
      <c r="Q779" s="45">
        <f t="shared" si="123"/>
        <v>4.0917146482822853E-2</v>
      </c>
    </row>
    <row r="780" spans="1:17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40">
        <f t="shared" si="118"/>
        <v>2330.62</v>
      </c>
      <c r="G780" s="24">
        <v>40</v>
      </c>
      <c r="H780" s="8"/>
      <c r="I780" s="8"/>
      <c r="J780" s="40">
        <f t="shared" si="119"/>
        <v>40</v>
      </c>
      <c r="K780" s="66">
        <f t="shared" si="121"/>
        <v>2.2371364653243846E-2</v>
      </c>
      <c r="L780" s="37">
        <f t="shared" si="122"/>
        <v>50.763534675615212</v>
      </c>
      <c r="M780" s="37">
        <f t="shared" si="117"/>
        <v>18.665751700223716</v>
      </c>
      <c r="N780" s="37">
        <v>19.75635305528613</v>
      </c>
      <c r="O780" s="37">
        <f t="shared" si="120"/>
        <v>6.7360178970917222</v>
      </c>
      <c r="P780" s="37"/>
      <c r="Q780" s="45">
        <f t="shared" si="123"/>
        <v>4.1157141588168293E-2</v>
      </c>
    </row>
    <row r="781" spans="1:17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40">
        <f t="shared" si="118"/>
        <v>2305.7800000000002</v>
      </c>
      <c r="G781" s="24">
        <v>40</v>
      </c>
      <c r="H781" s="8"/>
      <c r="I781" s="8"/>
      <c r="J781" s="40">
        <f t="shared" si="119"/>
        <v>40</v>
      </c>
      <c r="K781" s="66">
        <f t="shared" si="121"/>
        <v>2.2371364653243846E-2</v>
      </c>
      <c r="L781" s="37">
        <f t="shared" si="122"/>
        <v>50.763534675615212</v>
      </c>
      <c r="M781" s="37">
        <f t="shared" si="117"/>
        <v>18.665751700223716</v>
      </c>
      <c r="N781" s="37">
        <v>19.75635305528613</v>
      </c>
      <c r="O781" s="37">
        <f t="shared" si="120"/>
        <v>6.7360178970917222</v>
      </c>
      <c r="P781" s="37"/>
      <c r="Q781" s="45">
        <f t="shared" si="123"/>
        <v>4.1600524476843745E-2</v>
      </c>
    </row>
    <row r="782" spans="1:17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40">
        <f t="shared" si="118"/>
        <v>2216.46</v>
      </c>
      <c r="G782" s="24">
        <v>40</v>
      </c>
      <c r="H782" s="8"/>
      <c r="I782" s="8"/>
      <c r="J782" s="40">
        <f t="shared" si="119"/>
        <v>40</v>
      </c>
      <c r="K782" s="66">
        <f t="shared" si="121"/>
        <v>2.2371364653243846E-2</v>
      </c>
      <c r="L782" s="37">
        <f t="shared" si="122"/>
        <v>50.763534675615212</v>
      </c>
      <c r="M782" s="37">
        <f t="shared" si="117"/>
        <v>18.665751700223716</v>
      </c>
      <c r="N782" s="37">
        <v>19.75635305528613</v>
      </c>
      <c r="O782" s="37">
        <f t="shared" si="120"/>
        <v>6.7360178970917222</v>
      </c>
      <c r="P782" s="37"/>
      <c r="Q782" s="45">
        <f t="shared" si="123"/>
        <v>4.3276962962659725E-2</v>
      </c>
    </row>
    <row r="783" spans="1:17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40">
        <f t="shared" si="118"/>
        <v>5853.7699999999995</v>
      </c>
      <c r="G783" s="24">
        <v>120</v>
      </c>
      <c r="H783" s="8"/>
      <c r="I783" s="8">
        <v>2</v>
      </c>
      <c r="J783" s="40">
        <f t="shared" si="119"/>
        <v>122</v>
      </c>
      <c r="K783" s="66">
        <f t="shared" si="121"/>
        <v>6.8232662192393739E-2</v>
      </c>
      <c r="L783" s="37">
        <f t="shared" si="122"/>
        <v>154.82878076062642</v>
      </c>
      <c r="M783" s="37">
        <f t="shared" si="117"/>
        <v>56.93054268568234</v>
      </c>
      <c r="N783" s="37">
        <v>60.2568768186227</v>
      </c>
      <c r="O783" s="37">
        <f t="shared" si="120"/>
        <v>20.544854586129755</v>
      </c>
      <c r="P783" s="37"/>
      <c r="Q783" s="45">
        <f t="shared" si="123"/>
        <v>4.9978228534954608E-2</v>
      </c>
    </row>
    <row r="784" spans="1:17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40">
        <f t="shared" si="118"/>
        <v>5132.7700000000004</v>
      </c>
      <c r="G784" s="24">
        <v>85</v>
      </c>
      <c r="H784" s="8"/>
      <c r="I784" s="8">
        <v>1</v>
      </c>
      <c r="J784" s="40">
        <f t="shared" si="119"/>
        <v>86</v>
      </c>
      <c r="K784" s="66">
        <f t="shared" si="121"/>
        <v>4.8098434004474271E-2</v>
      </c>
      <c r="L784" s="37">
        <f t="shared" si="122"/>
        <v>109.1415995525727</v>
      </c>
      <c r="M784" s="37">
        <f t="shared" si="117"/>
        <v>40.131366155480983</v>
      </c>
      <c r="N784" s="37">
        <v>42.476159068865179</v>
      </c>
      <c r="O784" s="37">
        <f t="shared" si="120"/>
        <v>14.482438478747204</v>
      </c>
      <c r="P784" s="37"/>
      <c r="Q784" s="45">
        <f t="shared" si="123"/>
        <v>4.0179389151601581E-2</v>
      </c>
    </row>
    <row r="785" spans="1:17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40">
        <f t="shared" si="118"/>
        <v>4658.3100000000004</v>
      </c>
      <c r="G785" s="24">
        <v>94</v>
      </c>
      <c r="H785" s="8"/>
      <c r="I785" s="8">
        <v>2</v>
      </c>
      <c r="J785" s="40">
        <f t="shared" si="119"/>
        <v>96</v>
      </c>
      <c r="K785" s="66">
        <f t="shared" si="121"/>
        <v>5.3691275167785234E-2</v>
      </c>
      <c r="L785" s="37">
        <f t="shared" si="122"/>
        <v>121.83248322147651</v>
      </c>
      <c r="M785" s="37">
        <f t="shared" si="117"/>
        <v>44.797804080536913</v>
      </c>
      <c r="N785" s="37">
        <v>47.415247332686711</v>
      </c>
      <c r="O785" s="37">
        <f t="shared" si="120"/>
        <v>16.166442953020134</v>
      </c>
      <c r="P785" s="37"/>
      <c r="Q785" s="45">
        <f t="shared" si="123"/>
        <v>4.9419634500005423E-2</v>
      </c>
    </row>
    <row r="786" spans="1:17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40">
        <f t="shared" si="118"/>
        <v>4519.6099999999997</v>
      </c>
      <c r="G786" s="24">
        <v>80</v>
      </c>
      <c r="H786" s="8"/>
      <c r="I786" s="8"/>
      <c r="J786" s="40">
        <f t="shared" si="119"/>
        <v>80</v>
      </c>
      <c r="K786" s="66">
        <f t="shared" si="121"/>
        <v>4.4742729306487691E-2</v>
      </c>
      <c r="L786" s="37">
        <f t="shared" si="122"/>
        <v>101.52706935123042</v>
      </c>
      <c r="M786" s="37">
        <f t="shared" si="117"/>
        <v>37.331503400447431</v>
      </c>
      <c r="N786" s="37">
        <v>39.51270611057226</v>
      </c>
      <c r="O786" s="37">
        <f t="shared" si="120"/>
        <v>13.472035794183444</v>
      </c>
      <c r="P786" s="37"/>
      <c r="Q786" s="45">
        <f t="shared" si="123"/>
        <v>4.2446873658663821E-2</v>
      </c>
    </row>
    <row r="787" spans="1:17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40">
        <f t="shared" si="118"/>
        <v>7164.75</v>
      </c>
      <c r="G787" s="24">
        <v>120</v>
      </c>
      <c r="H787" s="8"/>
      <c r="I787" s="8"/>
      <c r="J787" s="40">
        <f t="shared" si="119"/>
        <v>120</v>
      </c>
      <c r="K787" s="66">
        <f t="shared" si="121"/>
        <v>6.7114093959731544E-2</v>
      </c>
      <c r="L787" s="37">
        <f t="shared" si="122"/>
        <v>152.29060402684564</v>
      </c>
      <c r="M787" s="37">
        <f t="shared" si="117"/>
        <v>55.997255100671147</v>
      </c>
      <c r="N787" s="37">
        <v>59.269059165858394</v>
      </c>
      <c r="O787" s="37">
        <f t="shared" si="120"/>
        <v>20.208053691275168</v>
      </c>
      <c r="P787" s="37"/>
      <c r="Q787" s="45">
        <f t="shared" si="123"/>
        <v>4.0163993437963688E-2</v>
      </c>
    </row>
    <row r="788" spans="1:17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40">
        <f t="shared" si="118"/>
        <v>4422.5</v>
      </c>
      <c r="G788" s="24">
        <v>80</v>
      </c>
      <c r="H788" s="8"/>
      <c r="I788" s="8"/>
      <c r="J788" s="40">
        <f t="shared" si="119"/>
        <v>80</v>
      </c>
      <c r="K788" s="66">
        <f t="shared" si="121"/>
        <v>4.4742729306487691E-2</v>
      </c>
      <c r="L788" s="37">
        <f t="shared" si="122"/>
        <v>101.52706935123042</v>
      </c>
      <c r="M788" s="37">
        <f t="shared" si="117"/>
        <v>37.331503400447431</v>
      </c>
      <c r="N788" s="37">
        <v>39.51270611057226</v>
      </c>
      <c r="O788" s="37">
        <f t="shared" si="120"/>
        <v>13.472035794183444</v>
      </c>
      <c r="P788" s="37"/>
      <c r="Q788" s="45">
        <f t="shared" si="123"/>
        <v>4.3378929260923363E-2</v>
      </c>
    </row>
    <row r="789" spans="1:17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40">
        <f t="shared" si="118"/>
        <v>9048.7900000000009</v>
      </c>
      <c r="G789" s="24">
        <v>160</v>
      </c>
      <c r="H789" s="8"/>
      <c r="I789" s="8"/>
      <c r="J789" s="40">
        <f t="shared" si="119"/>
        <v>160</v>
      </c>
      <c r="K789" s="66">
        <f t="shared" si="121"/>
        <v>8.9485458612975383E-2</v>
      </c>
      <c r="L789" s="37">
        <f t="shared" si="122"/>
        <v>203.05413870246085</v>
      </c>
      <c r="M789" s="37">
        <f t="shared" si="117"/>
        <v>74.663006800894863</v>
      </c>
      <c r="N789" s="37">
        <v>79.025412221144521</v>
      </c>
      <c r="O789" s="37">
        <f t="shared" si="120"/>
        <v>26.944071588366889</v>
      </c>
      <c r="P789" s="37"/>
      <c r="Q789" s="45">
        <f t="shared" si="123"/>
        <v>4.2401981846508438E-2</v>
      </c>
    </row>
    <row r="790" spans="1:17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40">
        <f t="shared" si="118"/>
        <v>4583.33</v>
      </c>
      <c r="G790" s="24">
        <v>80</v>
      </c>
      <c r="H790" s="8"/>
      <c r="I790" s="8"/>
      <c r="J790" s="40">
        <f t="shared" si="119"/>
        <v>80</v>
      </c>
      <c r="K790" s="66">
        <f t="shared" si="121"/>
        <v>4.4742729306487691E-2</v>
      </c>
      <c r="L790" s="37">
        <f t="shared" si="122"/>
        <v>101.52706935123042</v>
      </c>
      <c r="M790" s="37">
        <f t="shared" si="117"/>
        <v>37.331503400447431</v>
      </c>
      <c r="N790" s="37">
        <v>39.51270611057226</v>
      </c>
      <c r="O790" s="37">
        <f t="shared" si="120"/>
        <v>13.472035794183444</v>
      </c>
      <c r="P790" s="37"/>
      <c r="Q790" s="45">
        <f t="shared" si="123"/>
        <v>4.1856753639042697E-2</v>
      </c>
    </row>
    <row r="791" spans="1:17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40">
        <f t="shared" si="118"/>
        <v>2213.66</v>
      </c>
      <c r="G791" s="24">
        <v>36</v>
      </c>
      <c r="H791" s="8"/>
      <c r="I791" s="8">
        <v>1</v>
      </c>
      <c r="J791" s="40">
        <f t="shared" si="119"/>
        <v>37</v>
      </c>
      <c r="K791" s="66">
        <f t="shared" si="121"/>
        <v>2.0693512304250559E-2</v>
      </c>
      <c r="L791" s="37">
        <f t="shared" si="122"/>
        <v>46.956269574944073</v>
      </c>
      <c r="M791" s="37">
        <f t="shared" si="117"/>
        <v>17.265820322706936</v>
      </c>
      <c r="N791" s="37">
        <v>18.274626576139671</v>
      </c>
      <c r="O791" s="37">
        <f t="shared" si="120"/>
        <v>6.2308165548098442</v>
      </c>
      <c r="P791" s="37"/>
      <c r="Q791" s="45">
        <f t="shared" si="123"/>
        <v>4.0081825135115844E-2</v>
      </c>
    </row>
    <row r="792" spans="1:17" s="6" customFormat="1" ht="15.75">
      <c r="A792" s="8">
        <v>44</v>
      </c>
      <c r="B792" s="8" t="s">
        <v>1029</v>
      </c>
      <c r="C792" s="32"/>
      <c r="D792" s="55"/>
      <c r="E792" s="55"/>
      <c r="F792" s="40">
        <f t="shared" si="118"/>
        <v>0</v>
      </c>
      <c r="G792" s="24"/>
      <c r="H792" s="8"/>
      <c r="I792" s="8"/>
      <c r="J792" s="40">
        <f t="shared" si="119"/>
        <v>0</v>
      </c>
      <c r="K792" s="66">
        <f t="shared" si="121"/>
        <v>0</v>
      </c>
      <c r="L792" s="37">
        <f t="shared" si="122"/>
        <v>0</v>
      </c>
      <c r="M792" s="37">
        <f t="shared" si="117"/>
        <v>0</v>
      </c>
      <c r="N792" s="37">
        <v>0</v>
      </c>
      <c r="O792" s="37">
        <f t="shared" si="120"/>
        <v>0</v>
      </c>
      <c r="P792" s="37"/>
      <c r="Q792" s="45">
        <v>0</v>
      </c>
    </row>
    <row r="793" spans="1:17" s="6" customFormat="1" ht="15.75">
      <c r="A793" s="8">
        <v>45</v>
      </c>
      <c r="B793" s="8" t="s">
        <v>389</v>
      </c>
      <c r="C793" s="32"/>
      <c r="D793" s="55"/>
      <c r="E793" s="55"/>
      <c r="F793" s="40">
        <f t="shared" si="118"/>
        <v>0</v>
      </c>
      <c r="G793" s="24"/>
      <c r="H793" s="8"/>
      <c r="I793" s="8"/>
      <c r="J793" s="40">
        <f t="shared" si="119"/>
        <v>0</v>
      </c>
      <c r="K793" s="66">
        <f t="shared" si="121"/>
        <v>0</v>
      </c>
      <c r="L793" s="37">
        <f t="shared" si="122"/>
        <v>0</v>
      </c>
      <c r="M793" s="37">
        <f t="shared" si="117"/>
        <v>0</v>
      </c>
      <c r="N793" s="37">
        <v>0</v>
      </c>
      <c r="O793" s="37">
        <f t="shared" si="120"/>
        <v>0</v>
      </c>
      <c r="P793" s="37"/>
      <c r="Q793" s="45">
        <v>0</v>
      </c>
    </row>
    <row r="794" spans="1:17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40">
        <f t="shared" si="118"/>
        <v>113.2</v>
      </c>
      <c r="G794" s="24">
        <v>3</v>
      </c>
      <c r="H794" s="8"/>
      <c r="I794" s="8"/>
      <c r="J794" s="40">
        <f t="shared" si="119"/>
        <v>3</v>
      </c>
      <c r="K794" s="66">
        <f t="shared" si="121"/>
        <v>1.6778523489932886E-3</v>
      </c>
      <c r="L794" s="37">
        <f t="shared" si="122"/>
        <v>3.8072651006711409</v>
      </c>
      <c r="M794" s="37">
        <f t="shared" si="117"/>
        <v>1.3999313775167785</v>
      </c>
      <c r="N794" s="37">
        <v>1.4817264791464597</v>
      </c>
      <c r="O794" s="37">
        <f t="shared" si="120"/>
        <v>0.50520134228187918</v>
      </c>
      <c r="P794" s="37"/>
      <c r="Q794" s="45">
        <f t="shared" si="123"/>
        <v>6.3552334802263771E-2</v>
      </c>
    </row>
    <row r="795" spans="1:17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40">
        <f t="shared" si="118"/>
        <v>149.19999999999999</v>
      </c>
      <c r="G795" s="24">
        <v>4</v>
      </c>
      <c r="H795" s="8"/>
      <c r="I795" s="8"/>
      <c r="J795" s="40">
        <f t="shared" si="119"/>
        <v>4</v>
      </c>
      <c r="K795" s="66">
        <f t="shared" si="121"/>
        <v>2.2371364653243847E-3</v>
      </c>
      <c r="L795" s="37">
        <f t="shared" si="122"/>
        <v>5.0763534675615212</v>
      </c>
      <c r="M795" s="37">
        <f t="shared" si="117"/>
        <v>1.8665751700223714</v>
      </c>
      <c r="N795" s="37">
        <v>1.9756353055286129</v>
      </c>
      <c r="O795" s="37">
        <f t="shared" si="120"/>
        <v>0.67360178970917228</v>
      </c>
      <c r="P795" s="37"/>
      <c r="Q795" s="45">
        <f t="shared" si="123"/>
        <v>6.4290655045721692E-2</v>
      </c>
    </row>
    <row r="796" spans="1:17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40">
        <f t="shared" si="118"/>
        <v>685</v>
      </c>
      <c r="G796" s="24">
        <v>12</v>
      </c>
      <c r="H796" s="8"/>
      <c r="I796" s="8">
        <v>1</v>
      </c>
      <c r="J796" s="40">
        <f t="shared" si="119"/>
        <v>13</v>
      </c>
      <c r="K796" s="66">
        <f t="shared" si="121"/>
        <v>7.2706935123042502E-3</v>
      </c>
      <c r="L796" s="37">
        <f t="shared" si="122"/>
        <v>16.498148769574943</v>
      </c>
      <c r="M796" s="37">
        <f t="shared" si="117"/>
        <v>6.0663693025727072</v>
      </c>
      <c r="N796" s="37">
        <v>6.420814742967992</v>
      </c>
      <c r="O796" s="37">
        <f t="shared" si="120"/>
        <v>2.1892058165548098</v>
      </c>
      <c r="P796" s="37"/>
      <c r="Q796" s="45">
        <f t="shared" si="123"/>
        <v>4.5510275374701391E-2</v>
      </c>
    </row>
    <row r="797" spans="1:17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40">
        <f t="shared" si="118"/>
        <v>480.56</v>
      </c>
      <c r="G797" s="24">
        <v>9</v>
      </c>
      <c r="H797" s="8"/>
      <c r="I797" s="8">
        <v>1</v>
      </c>
      <c r="J797" s="40">
        <f t="shared" si="119"/>
        <v>10</v>
      </c>
      <c r="K797" s="66">
        <f t="shared" si="121"/>
        <v>5.5928411633109614E-3</v>
      </c>
      <c r="L797" s="37">
        <f t="shared" si="122"/>
        <v>12.690883668903803</v>
      </c>
      <c r="M797" s="37">
        <f t="shared" si="117"/>
        <v>4.6664379250559289</v>
      </c>
      <c r="N797" s="37">
        <v>4.9390882638215325</v>
      </c>
      <c r="O797" s="37">
        <f t="shared" si="120"/>
        <v>1.6840044742729305</v>
      </c>
      <c r="P797" s="37"/>
      <c r="Q797" s="45">
        <f t="shared" si="123"/>
        <v>4.9900978716610193E-2</v>
      </c>
    </row>
    <row r="798" spans="1:17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40">
        <f t="shared" si="118"/>
        <v>514.09</v>
      </c>
      <c r="G798" s="24">
        <v>12</v>
      </c>
      <c r="H798" s="8"/>
      <c r="I798" s="8"/>
      <c r="J798" s="40">
        <f t="shared" si="119"/>
        <v>12</v>
      </c>
      <c r="K798" s="66">
        <f t="shared" si="121"/>
        <v>6.7114093959731542E-3</v>
      </c>
      <c r="L798" s="37">
        <f t="shared" si="122"/>
        <v>15.229060402684564</v>
      </c>
      <c r="M798" s="37">
        <f t="shared" si="117"/>
        <v>5.5997255100671142</v>
      </c>
      <c r="N798" s="37">
        <v>5.9269059165858389</v>
      </c>
      <c r="O798" s="37">
        <f t="shared" si="120"/>
        <v>2.0208053691275167</v>
      </c>
      <c r="P798" s="37"/>
      <c r="Q798" s="45">
        <f t="shared" si="123"/>
        <v>5.5975601934418161E-2</v>
      </c>
    </row>
    <row r="799" spans="1:17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40">
        <f t="shared" si="118"/>
        <v>550.09999999999991</v>
      </c>
      <c r="G799" s="24">
        <v>9</v>
      </c>
      <c r="H799" s="8"/>
      <c r="I799" s="8">
        <v>1</v>
      </c>
      <c r="J799" s="40">
        <f t="shared" si="119"/>
        <v>10</v>
      </c>
      <c r="K799" s="66">
        <f t="shared" si="121"/>
        <v>5.5928411633109614E-3</v>
      </c>
      <c r="L799" s="37">
        <f t="shared" si="122"/>
        <v>12.690883668903803</v>
      </c>
      <c r="M799" s="37">
        <f t="shared" si="117"/>
        <v>4.6664379250559289</v>
      </c>
      <c r="N799" s="37">
        <v>4.9390882638215325</v>
      </c>
      <c r="O799" s="37">
        <f t="shared" si="120"/>
        <v>1.6840044742729305</v>
      </c>
      <c r="P799" s="37"/>
      <c r="Q799" s="45">
        <f t="shared" si="123"/>
        <v>4.3592827362396287E-2</v>
      </c>
    </row>
    <row r="800" spans="1:17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40">
        <f t="shared" si="118"/>
        <v>1211.25</v>
      </c>
      <c r="G800" s="24">
        <v>34</v>
      </c>
      <c r="H800" s="8"/>
      <c r="I800" s="8"/>
      <c r="J800" s="40">
        <f t="shared" si="119"/>
        <v>34</v>
      </c>
      <c r="K800" s="66">
        <f t="shared" si="121"/>
        <v>1.901565995525727E-2</v>
      </c>
      <c r="L800" s="37">
        <f t="shared" si="122"/>
        <v>43.149004474272928</v>
      </c>
      <c r="M800" s="37">
        <f t="shared" si="117"/>
        <v>15.865888945190157</v>
      </c>
      <c r="N800" s="37">
        <v>16.792900096993211</v>
      </c>
      <c r="O800" s="37">
        <f t="shared" si="120"/>
        <v>5.7256152125279645</v>
      </c>
      <c r="P800" s="37"/>
      <c r="Q800" s="45">
        <f t="shared" si="123"/>
        <v>6.7313443739099491E-2</v>
      </c>
    </row>
    <row r="801" spans="1:17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40">
        <f t="shared" si="118"/>
        <v>337.37</v>
      </c>
      <c r="G801" s="24">
        <v>7</v>
      </c>
      <c r="H801" s="8"/>
      <c r="I801" s="8">
        <v>1</v>
      </c>
      <c r="J801" s="40">
        <f t="shared" si="119"/>
        <v>8</v>
      </c>
      <c r="K801" s="66">
        <f t="shared" si="121"/>
        <v>4.4742729306487695E-3</v>
      </c>
      <c r="L801" s="37">
        <f t="shared" si="122"/>
        <v>10.152706935123042</v>
      </c>
      <c r="M801" s="37">
        <f t="shared" si="117"/>
        <v>3.7331503400447428</v>
      </c>
      <c r="N801" s="37">
        <v>3.9512706110572258</v>
      </c>
      <c r="O801" s="37">
        <f t="shared" si="120"/>
        <v>1.3472035794183446</v>
      </c>
      <c r="P801" s="37"/>
      <c r="Q801" s="45">
        <f t="shared" si="123"/>
        <v>5.6864366913606287E-2</v>
      </c>
    </row>
    <row r="802" spans="1:17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40">
        <f t="shared" si="118"/>
        <v>238.68</v>
      </c>
      <c r="G802" s="24">
        <v>4</v>
      </c>
      <c r="H802" s="8"/>
      <c r="I802" s="8">
        <v>1</v>
      </c>
      <c r="J802" s="40">
        <f t="shared" si="119"/>
        <v>5</v>
      </c>
      <c r="K802" s="66">
        <f t="shared" si="121"/>
        <v>2.7964205816554807E-3</v>
      </c>
      <c r="L802" s="37">
        <f t="shared" si="122"/>
        <v>6.3454418344519015</v>
      </c>
      <c r="M802" s="37">
        <f t="shared" si="117"/>
        <v>2.3332189625279645</v>
      </c>
      <c r="N802" s="37">
        <v>2.4695441319107663</v>
      </c>
      <c r="O802" s="37">
        <f t="shared" si="120"/>
        <v>0.84200223713646527</v>
      </c>
      <c r="P802" s="37"/>
      <c r="Q802" s="45">
        <f t="shared" si="123"/>
        <v>5.0235491729625846E-2</v>
      </c>
    </row>
    <row r="803" spans="1:17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40">
        <f t="shared" si="118"/>
        <v>741.27</v>
      </c>
      <c r="G803" s="24">
        <v>10</v>
      </c>
      <c r="H803" s="8"/>
      <c r="I803" s="8">
        <v>1</v>
      </c>
      <c r="J803" s="40">
        <f t="shared" si="119"/>
        <v>11</v>
      </c>
      <c r="K803" s="66">
        <f t="shared" si="121"/>
        <v>6.1521252796420582E-3</v>
      </c>
      <c r="L803" s="37">
        <f t="shared" si="122"/>
        <v>13.959972035794184</v>
      </c>
      <c r="M803" s="37">
        <f t="shared" si="117"/>
        <v>5.133081717561522</v>
      </c>
      <c r="N803" s="37">
        <v>5.4329970902036857</v>
      </c>
      <c r="O803" s="37">
        <f t="shared" si="120"/>
        <v>1.8524049217002239</v>
      </c>
      <c r="P803" s="37"/>
      <c r="Q803" s="45">
        <f t="shared" si="123"/>
        <v>3.5585489450887825E-2</v>
      </c>
    </row>
    <row r="804" spans="1:17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40">
        <f t="shared" si="118"/>
        <v>733.6</v>
      </c>
      <c r="G804" s="24">
        <v>20</v>
      </c>
      <c r="H804" s="8"/>
      <c r="I804" s="8">
        <v>1</v>
      </c>
      <c r="J804" s="40">
        <f t="shared" si="119"/>
        <v>21</v>
      </c>
      <c r="K804" s="66">
        <f t="shared" si="121"/>
        <v>1.1744966442953021E-2</v>
      </c>
      <c r="L804" s="37">
        <f t="shared" si="122"/>
        <v>26.650855704697989</v>
      </c>
      <c r="M804" s="37">
        <f t="shared" si="117"/>
        <v>9.7995196426174509</v>
      </c>
      <c r="N804" s="37">
        <v>10.372085354025218</v>
      </c>
      <c r="O804" s="37">
        <f t="shared" si="120"/>
        <v>3.5364093959731546</v>
      </c>
      <c r="P804" s="37"/>
      <c r="Q804" s="45">
        <f t="shared" si="123"/>
        <v>6.8646224232979572E-2</v>
      </c>
    </row>
    <row r="805" spans="1:17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40">
        <f t="shared" si="118"/>
        <v>220.5</v>
      </c>
      <c r="G805" s="24">
        <v>7</v>
      </c>
      <c r="H805" s="8"/>
      <c r="I805" s="8"/>
      <c r="J805" s="40">
        <f t="shared" si="119"/>
        <v>7</v>
      </c>
      <c r="K805" s="66">
        <f t="shared" si="121"/>
        <v>3.9149888143176735E-3</v>
      </c>
      <c r="L805" s="37">
        <f t="shared" si="122"/>
        <v>8.8836185682326629</v>
      </c>
      <c r="M805" s="37">
        <f t="shared" si="117"/>
        <v>3.2665065475391506</v>
      </c>
      <c r="N805" s="37">
        <v>3.4573617846750726</v>
      </c>
      <c r="O805" s="37">
        <f t="shared" si="120"/>
        <v>1.1788031319910517</v>
      </c>
      <c r="P805" s="37"/>
      <c r="Q805" s="45">
        <f t="shared" si="123"/>
        <v>7.6128299466838731E-2</v>
      </c>
    </row>
    <row r="806" spans="1:17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40">
        <f t="shared" si="118"/>
        <v>330.61</v>
      </c>
      <c r="G806" s="24">
        <v>12</v>
      </c>
      <c r="H806" s="8"/>
      <c r="I806" s="8"/>
      <c r="J806" s="40">
        <f t="shared" si="119"/>
        <v>12</v>
      </c>
      <c r="K806" s="66">
        <f t="shared" si="121"/>
        <v>6.7114093959731542E-3</v>
      </c>
      <c r="L806" s="37">
        <f t="shared" si="122"/>
        <v>15.229060402684564</v>
      </c>
      <c r="M806" s="37">
        <f t="shared" si="117"/>
        <v>5.5997255100671142</v>
      </c>
      <c r="N806" s="37">
        <v>5.9269059165858389</v>
      </c>
      <c r="O806" s="37">
        <f t="shared" si="120"/>
        <v>2.0208053691275167</v>
      </c>
      <c r="P806" s="37"/>
      <c r="Q806" s="45">
        <f t="shared" si="123"/>
        <v>8.7040613406929715E-2</v>
      </c>
    </row>
    <row r="807" spans="1:17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40">
        <f t="shared" si="118"/>
        <v>1037.5</v>
      </c>
      <c r="G807" s="24">
        <v>26</v>
      </c>
      <c r="H807" s="8"/>
      <c r="I807" s="8">
        <v>1</v>
      </c>
      <c r="J807" s="40">
        <f t="shared" si="119"/>
        <v>27</v>
      </c>
      <c r="K807" s="66">
        <f t="shared" si="121"/>
        <v>1.5100671140939596E-2</v>
      </c>
      <c r="L807" s="37">
        <f t="shared" si="122"/>
        <v>34.265385906040265</v>
      </c>
      <c r="M807" s="37">
        <f t="shared" si="117"/>
        <v>12.599382397651006</v>
      </c>
      <c r="N807" s="37">
        <v>13.335538312318139</v>
      </c>
      <c r="O807" s="37">
        <f t="shared" si="120"/>
        <v>4.5468120805369132</v>
      </c>
      <c r="P807" s="37"/>
      <c r="Q807" s="45">
        <f t="shared" si="123"/>
        <v>6.2406861394261513E-2</v>
      </c>
    </row>
    <row r="808" spans="1:17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40">
        <f t="shared" si="118"/>
        <v>230.10000000000002</v>
      </c>
      <c r="G808" s="24">
        <v>5</v>
      </c>
      <c r="H808" s="8"/>
      <c r="I808" s="8">
        <v>1</v>
      </c>
      <c r="J808" s="40">
        <f t="shared" si="119"/>
        <v>6</v>
      </c>
      <c r="K808" s="66">
        <f t="shared" si="121"/>
        <v>3.3557046979865771E-3</v>
      </c>
      <c r="L808" s="37">
        <f t="shared" si="122"/>
        <v>7.6145302013422818</v>
      </c>
      <c r="M808" s="37">
        <f t="shared" si="117"/>
        <v>2.7998627550335571</v>
      </c>
      <c r="N808" s="37">
        <v>2.9634529582929194</v>
      </c>
      <c r="O808" s="37">
        <f t="shared" si="120"/>
        <v>1.0104026845637584</v>
      </c>
      <c r="P808" s="37"/>
      <c r="Q808" s="45">
        <f t="shared" si="123"/>
        <v>6.253041546819868E-2</v>
      </c>
    </row>
    <row r="809" spans="1:17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40">
        <f t="shared" si="118"/>
        <v>1331.77</v>
      </c>
      <c r="G809" s="24">
        <v>32</v>
      </c>
      <c r="H809" s="8"/>
      <c r="I809" s="8"/>
      <c r="J809" s="40">
        <f t="shared" si="119"/>
        <v>32</v>
      </c>
      <c r="K809" s="66">
        <f t="shared" si="121"/>
        <v>1.7897091722595078E-2</v>
      </c>
      <c r="L809" s="37">
        <f t="shared" si="122"/>
        <v>40.610827740492169</v>
      </c>
      <c r="M809" s="37">
        <f t="shared" si="117"/>
        <v>14.932601360178971</v>
      </c>
      <c r="N809" s="37">
        <v>15.805082444228903</v>
      </c>
      <c r="O809" s="37">
        <f t="shared" si="120"/>
        <v>5.3888143176733783</v>
      </c>
      <c r="P809" s="37"/>
      <c r="Q809" s="45">
        <f t="shared" si="123"/>
        <v>5.7620554497077883E-2</v>
      </c>
    </row>
    <row r="810" spans="1:17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40">
        <f t="shared" ref="F810:F871" si="124">C810+D810+E810</f>
        <v>483.9</v>
      </c>
      <c r="G810" s="24">
        <v>9</v>
      </c>
      <c r="H810" s="8"/>
      <c r="I810" s="8"/>
      <c r="J810" s="40">
        <f t="shared" ref="J810:J871" si="125">G810+H810+I810</f>
        <v>9</v>
      </c>
      <c r="K810" s="66">
        <f t="shared" si="121"/>
        <v>5.0335570469798654E-3</v>
      </c>
      <c r="L810" s="37">
        <f t="shared" si="122"/>
        <v>11.421795302013422</v>
      </c>
      <c r="M810" s="37">
        <f t="shared" ref="M810:M871" si="126">L810*0.3677</f>
        <v>4.1997941325503358</v>
      </c>
      <c r="N810" s="37">
        <v>4.4451794374393794</v>
      </c>
      <c r="O810" s="37">
        <f t="shared" si="120"/>
        <v>1.5156040268456377</v>
      </c>
      <c r="P810" s="37"/>
      <c r="Q810" s="45">
        <f t="shared" si="123"/>
        <v>4.4600894603944563E-2</v>
      </c>
    </row>
    <row r="811" spans="1:17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40">
        <f t="shared" si="124"/>
        <v>665.8</v>
      </c>
      <c r="G811" s="24">
        <v>18</v>
      </c>
      <c r="H811" s="8"/>
      <c r="I811" s="8"/>
      <c r="J811" s="40">
        <f t="shared" si="125"/>
        <v>18</v>
      </c>
      <c r="K811" s="66">
        <f t="shared" si="121"/>
        <v>1.0067114093959731E-2</v>
      </c>
      <c r="L811" s="37">
        <f t="shared" si="122"/>
        <v>22.843590604026843</v>
      </c>
      <c r="M811" s="37">
        <f t="shared" si="126"/>
        <v>8.3995882651006717</v>
      </c>
      <c r="N811" s="37">
        <v>8.8903588748787588</v>
      </c>
      <c r="O811" s="37">
        <f t="shared" si="120"/>
        <v>3.0312080536912753</v>
      </c>
      <c r="P811" s="37"/>
      <c r="Q811" s="45">
        <f t="shared" si="123"/>
        <v>6.4831399515917015E-2</v>
      </c>
    </row>
    <row r="812" spans="1:17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40">
        <f t="shared" si="124"/>
        <v>59.2</v>
      </c>
      <c r="G812" s="24">
        <v>1</v>
      </c>
      <c r="H812" s="8"/>
      <c r="I812" s="8"/>
      <c r="J812" s="40">
        <f t="shared" si="125"/>
        <v>1</v>
      </c>
      <c r="K812" s="66">
        <f t="shared" si="121"/>
        <v>5.5928411633109618E-4</v>
      </c>
      <c r="L812" s="37">
        <f t="shared" si="122"/>
        <v>1.2690883668903803</v>
      </c>
      <c r="M812" s="37">
        <f t="shared" si="126"/>
        <v>0.46664379250559285</v>
      </c>
      <c r="N812" s="37">
        <v>0.49390882638215322</v>
      </c>
      <c r="O812" s="37">
        <f t="shared" ref="O812:O875" si="127">K812*301.1</f>
        <v>0.16840044742729307</v>
      </c>
      <c r="P812" s="37"/>
      <c r="Q812" s="45">
        <f t="shared" si="123"/>
        <v>4.0507456641983429E-2</v>
      </c>
    </row>
    <row r="813" spans="1:17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40">
        <f t="shared" si="124"/>
        <v>421.78</v>
      </c>
      <c r="G813" s="24">
        <v>8</v>
      </c>
      <c r="H813" s="8"/>
      <c r="I813" s="8">
        <v>1</v>
      </c>
      <c r="J813" s="40">
        <f t="shared" si="125"/>
        <v>9</v>
      </c>
      <c r="K813" s="66">
        <f t="shared" ref="K813:K876" si="128">3/5364*J813</f>
        <v>5.0335570469798654E-3</v>
      </c>
      <c r="L813" s="37">
        <f t="shared" ref="L813:L876" si="129">K813*2269.13</f>
        <v>11.421795302013422</v>
      </c>
      <c r="M813" s="37">
        <f t="shared" si="126"/>
        <v>4.1997941325503358</v>
      </c>
      <c r="N813" s="37">
        <v>4.4451794374393794</v>
      </c>
      <c r="O813" s="37">
        <f t="shared" si="127"/>
        <v>1.5156040268456377</v>
      </c>
      <c r="P813" s="37"/>
      <c r="Q813" s="45">
        <f t="shared" si="123"/>
        <v>5.116973990907292E-2</v>
      </c>
    </row>
    <row r="814" spans="1:17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40">
        <f t="shared" si="124"/>
        <v>212.60000000000002</v>
      </c>
      <c r="G814" s="24">
        <v>5</v>
      </c>
      <c r="H814" s="8"/>
      <c r="I814" s="8">
        <v>1</v>
      </c>
      <c r="J814" s="40">
        <f t="shared" si="125"/>
        <v>6</v>
      </c>
      <c r="K814" s="66">
        <f t="shared" si="128"/>
        <v>3.3557046979865771E-3</v>
      </c>
      <c r="L814" s="37">
        <f t="shared" si="129"/>
        <v>7.6145302013422818</v>
      </c>
      <c r="M814" s="37">
        <f t="shared" si="126"/>
        <v>2.7998627550335571</v>
      </c>
      <c r="N814" s="37">
        <v>3.5561435499515031</v>
      </c>
      <c r="O814" s="37">
        <f t="shared" si="127"/>
        <v>1.0104026845637584</v>
      </c>
      <c r="P814" s="37"/>
      <c r="Q814" s="45">
        <f t="shared" si="123"/>
        <v>7.0465377191397449E-2</v>
      </c>
    </row>
    <row r="815" spans="1:17" s="6" customFormat="1" ht="15.75">
      <c r="A815" s="8">
        <v>68</v>
      </c>
      <c r="B815" s="8" t="s">
        <v>827</v>
      </c>
      <c r="C815" s="8">
        <v>205.2</v>
      </c>
      <c r="D815" s="55"/>
      <c r="E815" s="55"/>
      <c r="F815" s="40">
        <f t="shared" si="124"/>
        <v>205.2</v>
      </c>
      <c r="G815" s="24">
        <v>3</v>
      </c>
      <c r="H815" s="8"/>
      <c r="I815" s="8">
        <v>2</v>
      </c>
      <c r="J815" s="40">
        <f t="shared" si="125"/>
        <v>5</v>
      </c>
      <c r="K815" s="66">
        <f t="shared" si="128"/>
        <v>2.7964205816554807E-3</v>
      </c>
      <c r="L815" s="37">
        <f t="shared" si="129"/>
        <v>6.3454418344519015</v>
      </c>
      <c r="M815" s="37">
        <f t="shared" si="126"/>
        <v>2.3332189625279645</v>
      </c>
      <c r="N815" s="37">
        <v>2.4695441319107663</v>
      </c>
      <c r="O815" s="37">
        <f t="shared" si="127"/>
        <v>0.84200223713646527</v>
      </c>
      <c r="P815" s="37"/>
      <c r="Q815" s="45">
        <f t="shared" si="123"/>
        <v>5.8431808801301652E-2</v>
      </c>
    </row>
    <row r="816" spans="1:17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40">
        <f t="shared" si="124"/>
        <v>177.45</v>
      </c>
      <c r="G816" s="24">
        <v>5</v>
      </c>
      <c r="H816" s="8"/>
      <c r="I816" s="8"/>
      <c r="J816" s="40">
        <f t="shared" si="125"/>
        <v>5</v>
      </c>
      <c r="K816" s="66">
        <f t="shared" si="128"/>
        <v>2.7964205816554807E-3</v>
      </c>
      <c r="L816" s="37">
        <f t="shared" si="129"/>
        <v>6.3454418344519015</v>
      </c>
      <c r="M816" s="37">
        <f t="shared" si="126"/>
        <v>2.3332189625279645</v>
      </c>
      <c r="N816" s="37">
        <v>2.4695441319107663</v>
      </c>
      <c r="O816" s="37">
        <f t="shared" si="127"/>
        <v>0.84200223713646527</v>
      </c>
      <c r="P816" s="37"/>
      <c r="Q816" s="45">
        <f t="shared" si="123"/>
        <v>6.7569496568200049E-2</v>
      </c>
    </row>
    <row r="817" spans="1:17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40">
        <f t="shared" si="124"/>
        <v>200</v>
      </c>
      <c r="G817" s="24">
        <v>7</v>
      </c>
      <c r="H817" s="8"/>
      <c r="I817" s="8"/>
      <c r="J817" s="40">
        <f t="shared" si="125"/>
        <v>7</v>
      </c>
      <c r="K817" s="66">
        <f t="shared" si="128"/>
        <v>3.9149888143176735E-3</v>
      </c>
      <c r="L817" s="37">
        <f t="shared" si="129"/>
        <v>8.8836185682326629</v>
      </c>
      <c r="M817" s="37">
        <f t="shared" si="126"/>
        <v>3.2665065475391506</v>
      </c>
      <c r="N817" s="37">
        <v>3.4573617846750726</v>
      </c>
      <c r="O817" s="37">
        <f t="shared" si="127"/>
        <v>1.1788031319910517</v>
      </c>
      <c r="P817" s="37"/>
      <c r="Q817" s="45">
        <f t="shared" si="123"/>
        <v>8.3931450162189697E-2</v>
      </c>
    </row>
    <row r="818" spans="1:17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40">
        <f t="shared" si="124"/>
        <v>542.18000000000006</v>
      </c>
      <c r="G818" s="24">
        <v>9</v>
      </c>
      <c r="H818" s="8"/>
      <c r="I818" s="8">
        <v>1</v>
      </c>
      <c r="J818" s="40">
        <f t="shared" si="125"/>
        <v>10</v>
      </c>
      <c r="K818" s="66">
        <f t="shared" si="128"/>
        <v>5.5928411633109614E-3</v>
      </c>
      <c r="L818" s="37">
        <f t="shared" si="129"/>
        <v>12.690883668903803</v>
      </c>
      <c r="M818" s="37">
        <f t="shared" si="126"/>
        <v>4.6664379250559289</v>
      </c>
      <c r="N818" s="37">
        <v>4.9390882638215325</v>
      </c>
      <c r="O818" s="37">
        <f t="shared" si="127"/>
        <v>1.6840044742729305</v>
      </c>
      <c r="P818" s="37"/>
      <c r="Q818" s="45">
        <f t="shared" si="123"/>
        <v>4.4229618082655561E-2</v>
      </c>
    </row>
    <row r="819" spans="1:17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40">
        <f t="shared" si="124"/>
        <v>204.3</v>
      </c>
      <c r="G819" s="24">
        <v>5</v>
      </c>
      <c r="H819" s="8"/>
      <c r="I819" s="8"/>
      <c r="J819" s="40">
        <f t="shared" si="125"/>
        <v>5</v>
      </c>
      <c r="K819" s="66">
        <f t="shared" si="128"/>
        <v>2.7964205816554807E-3</v>
      </c>
      <c r="L819" s="37">
        <f t="shared" si="129"/>
        <v>6.3454418344519015</v>
      </c>
      <c r="M819" s="37">
        <f t="shared" si="126"/>
        <v>2.3332189625279645</v>
      </c>
      <c r="N819" s="37">
        <v>2.4695441319107663</v>
      </c>
      <c r="O819" s="37">
        <f t="shared" si="127"/>
        <v>0.84200223713646527</v>
      </c>
      <c r="P819" s="37"/>
      <c r="Q819" s="45">
        <f t="shared" si="123"/>
        <v>5.868921765064658E-2</v>
      </c>
    </row>
    <row r="820" spans="1:17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40">
        <f t="shared" si="124"/>
        <v>306.39999999999998</v>
      </c>
      <c r="G820" s="24">
        <v>6</v>
      </c>
      <c r="H820" s="8"/>
      <c r="I820" s="8"/>
      <c r="J820" s="40">
        <f t="shared" si="125"/>
        <v>6</v>
      </c>
      <c r="K820" s="66">
        <f t="shared" si="128"/>
        <v>3.3557046979865771E-3</v>
      </c>
      <c r="L820" s="37">
        <f t="shared" si="129"/>
        <v>7.6145302013422818</v>
      </c>
      <c r="M820" s="37">
        <f t="shared" si="126"/>
        <v>2.7998627550335571</v>
      </c>
      <c r="N820" s="37">
        <v>2.9634529582929194</v>
      </c>
      <c r="O820" s="37">
        <f t="shared" si="127"/>
        <v>1.0104026845637584</v>
      </c>
      <c r="P820" s="37"/>
      <c r="Q820" s="45">
        <f t="shared" si="123"/>
        <v>4.6959035898278455E-2</v>
      </c>
    </row>
    <row r="821" spans="1:17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40">
        <f t="shared" si="124"/>
        <v>301.42</v>
      </c>
      <c r="G821" s="24">
        <v>6</v>
      </c>
      <c r="H821" s="8"/>
      <c r="I821" s="8"/>
      <c r="J821" s="40">
        <f t="shared" si="125"/>
        <v>6</v>
      </c>
      <c r="K821" s="66">
        <f t="shared" si="128"/>
        <v>3.3557046979865771E-3</v>
      </c>
      <c r="L821" s="37">
        <f t="shared" si="129"/>
        <v>7.6145302013422818</v>
      </c>
      <c r="M821" s="37">
        <f t="shared" si="126"/>
        <v>2.7998627550335571</v>
      </c>
      <c r="N821" s="37">
        <v>2.9634529582929194</v>
      </c>
      <c r="O821" s="37">
        <f t="shared" si="127"/>
        <v>1.0104026845637584</v>
      </c>
      <c r="P821" s="37"/>
      <c r="Q821" s="45">
        <f t="shared" si="123"/>
        <v>4.7734883548644802E-2</v>
      </c>
    </row>
    <row r="822" spans="1:17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40">
        <f t="shared" si="124"/>
        <v>394.72</v>
      </c>
      <c r="G822" s="24">
        <v>12</v>
      </c>
      <c r="H822" s="8"/>
      <c r="I822" s="8"/>
      <c r="J822" s="40">
        <f t="shared" si="125"/>
        <v>12</v>
      </c>
      <c r="K822" s="66">
        <f t="shared" si="128"/>
        <v>6.7114093959731542E-3</v>
      </c>
      <c r="L822" s="37">
        <f t="shared" si="129"/>
        <v>15.229060402684564</v>
      </c>
      <c r="M822" s="37">
        <f t="shared" si="126"/>
        <v>5.5997255100671142</v>
      </c>
      <c r="N822" s="37">
        <v>5.9269059165858389</v>
      </c>
      <c r="O822" s="37">
        <f t="shared" si="127"/>
        <v>2.0208053691275167</v>
      </c>
      <c r="P822" s="37"/>
      <c r="Q822" s="45">
        <f t="shared" si="123"/>
        <v>7.2903570121769942E-2</v>
      </c>
    </row>
    <row r="823" spans="1:17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40">
        <f t="shared" si="124"/>
        <v>680.89</v>
      </c>
      <c r="G823" s="24">
        <v>20</v>
      </c>
      <c r="H823" s="8"/>
      <c r="I823" s="8"/>
      <c r="J823" s="40">
        <f t="shared" si="125"/>
        <v>20</v>
      </c>
      <c r="K823" s="66">
        <f t="shared" si="128"/>
        <v>1.1185682326621923E-2</v>
      </c>
      <c r="L823" s="37">
        <f t="shared" si="129"/>
        <v>25.381767337807606</v>
      </c>
      <c r="M823" s="37">
        <f t="shared" si="126"/>
        <v>9.3328758501118578</v>
      </c>
      <c r="N823" s="37">
        <v>9.8781765276430651</v>
      </c>
      <c r="O823" s="37">
        <f t="shared" si="127"/>
        <v>3.3680089485458611</v>
      </c>
      <c r="P823" s="37"/>
      <c r="Q823" s="45">
        <f t="shared" si="123"/>
        <v>7.0438438902184486E-2</v>
      </c>
    </row>
    <row r="824" spans="1:17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40">
        <f t="shared" si="124"/>
        <v>581.98</v>
      </c>
      <c r="G824" s="24">
        <v>15</v>
      </c>
      <c r="H824" s="8"/>
      <c r="I824" s="8"/>
      <c r="J824" s="40">
        <f t="shared" si="125"/>
        <v>15</v>
      </c>
      <c r="K824" s="66">
        <f t="shared" si="128"/>
        <v>8.389261744966443E-3</v>
      </c>
      <c r="L824" s="37">
        <f t="shared" si="129"/>
        <v>19.036325503355705</v>
      </c>
      <c r="M824" s="37">
        <f t="shared" si="126"/>
        <v>6.9996568875838934</v>
      </c>
      <c r="N824" s="37">
        <v>7.4086323957322993</v>
      </c>
      <c r="O824" s="37">
        <f t="shared" si="127"/>
        <v>2.526006711409396</v>
      </c>
      <c r="P824" s="37"/>
      <c r="Q824" s="45">
        <f t="shared" si="123"/>
        <v>6.1807315540192607E-2</v>
      </c>
    </row>
    <row r="825" spans="1:17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40">
        <f t="shared" si="124"/>
        <v>260.39999999999998</v>
      </c>
      <c r="G825" s="24">
        <v>5</v>
      </c>
      <c r="H825" s="8"/>
      <c r="I825" s="8"/>
      <c r="J825" s="40">
        <f t="shared" si="125"/>
        <v>5</v>
      </c>
      <c r="K825" s="66">
        <f t="shared" si="128"/>
        <v>2.7964205816554807E-3</v>
      </c>
      <c r="L825" s="37">
        <f t="shared" si="129"/>
        <v>6.3454418344519015</v>
      </c>
      <c r="M825" s="37">
        <f t="shared" si="126"/>
        <v>2.3332189625279645</v>
      </c>
      <c r="N825" s="37">
        <v>2.4695441319107663</v>
      </c>
      <c r="O825" s="37">
        <f t="shared" si="127"/>
        <v>0.84200223713646527</v>
      </c>
      <c r="P825" s="37"/>
      <c r="Q825" s="45">
        <f t="shared" si="123"/>
        <v>4.6045342419458901E-2</v>
      </c>
    </row>
    <row r="826" spans="1:17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40">
        <f t="shared" si="124"/>
        <v>135.71</v>
      </c>
      <c r="G826" s="24">
        <v>3</v>
      </c>
      <c r="H826" s="8"/>
      <c r="I826" s="8"/>
      <c r="J826" s="40">
        <f t="shared" si="125"/>
        <v>3</v>
      </c>
      <c r="K826" s="66">
        <f t="shared" si="128"/>
        <v>1.6778523489932886E-3</v>
      </c>
      <c r="L826" s="37">
        <f t="shared" si="129"/>
        <v>3.8072651006711409</v>
      </c>
      <c r="M826" s="37">
        <f t="shared" si="126"/>
        <v>1.3999313775167785</v>
      </c>
      <c r="N826" s="37">
        <v>1.4817264791464597</v>
      </c>
      <c r="O826" s="37">
        <f t="shared" si="127"/>
        <v>0.50520134228187918</v>
      </c>
      <c r="P826" s="37"/>
      <c r="Q826" s="45">
        <f t="shared" si="123"/>
        <v>5.3011010976466419E-2</v>
      </c>
    </row>
    <row r="827" spans="1:17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40">
        <f t="shared" si="124"/>
        <v>201.8</v>
      </c>
      <c r="G827" s="24">
        <v>4</v>
      </c>
      <c r="H827" s="8"/>
      <c r="I827" s="8"/>
      <c r="J827" s="40">
        <f t="shared" si="125"/>
        <v>4</v>
      </c>
      <c r="K827" s="66">
        <f t="shared" si="128"/>
        <v>2.2371364653243847E-3</v>
      </c>
      <c r="L827" s="37">
        <f t="shared" si="129"/>
        <v>5.0763534675615212</v>
      </c>
      <c r="M827" s="37">
        <f t="shared" si="126"/>
        <v>1.8665751700223714</v>
      </c>
      <c r="N827" s="37">
        <v>1.9756353055286129</v>
      </c>
      <c r="O827" s="37">
        <f t="shared" si="127"/>
        <v>0.67360178970917228</v>
      </c>
      <c r="P827" s="37"/>
      <c r="Q827" s="45">
        <f t="shared" si="123"/>
        <v>4.7533031381673321E-2</v>
      </c>
    </row>
    <row r="828" spans="1:17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40">
        <f t="shared" si="124"/>
        <v>1437.1</v>
      </c>
      <c r="G828" s="24">
        <v>32</v>
      </c>
      <c r="H828" s="8"/>
      <c r="I828" s="8"/>
      <c r="J828" s="40">
        <f t="shared" si="125"/>
        <v>32</v>
      </c>
      <c r="K828" s="66">
        <f t="shared" si="128"/>
        <v>1.7897091722595078E-2</v>
      </c>
      <c r="L828" s="37">
        <f t="shared" si="129"/>
        <v>40.610827740492169</v>
      </c>
      <c r="M828" s="37">
        <f t="shared" si="126"/>
        <v>14.932601360178971</v>
      </c>
      <c r="N828" s="37">
        <v>15.805082444228903</v>
      </c>
      <c r="O828" s="37">
        <f t="shared" si="127"/>
        <v>5.3888143176733783</v>
      </c>
      <c r="P828" s="37"/>
      <c r="Q828" s="45">
        <f t="shared" si="123"/>
        <v>5.3397345948488911E-2</v>
      </c>
    </row>
    <row r="829" spans="1:17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40">
        <f t="shared" si="124"/>
        <v>213.86</v>
      </c>
      <c r="G829" s="24">
        <v>2</v>
      </c>
      <c r="H829" s="8"/>
      <c r="I829" s="8">
        <v>1</v>
      </c>
      <c r="J829" s="40">
        <f t="shared" si="125"/>
        <v>3</v>
      </c>
      <c r="K829" s="66">
        <f t="shared" si="128"/>
        <v>1.6778523489932886E-3</v>
      </c>
      <c r="L829" s="37">
        <f t="shared" si="129"/>
        <v>3.8072651006711409</v>
      </c>
      <c r="M829" s="37">
        <f t="shared" si="126"/>
        <v>1.3999313775167785</v>
      </c>
      <c r="N829" s="37">
        <v>1.4817264791464597</v>
      </c>
      <c r="O829" s="37">
        <f t="shared" si="127"/>
        <v>0.50520134228187918</v>
      </c>
      <c r="P829" s="37"/>
      <c r="Q829" s="45">
        <f t="shared" si="123"/>
        <v>3.3639410360124654E-2</v>
      </c>
    </row>
    <row r="830" spans="1:17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40">
        <f t="shared" si="124"/>
        <v>397.89</v>
      </c>
      <c r="G830" s="24">
        <v>14</v>
      </c>
      <c r="H830" s="8"/>
      <c r="I830" s="8"/>
      <c r="J830" s="40">
        <f t="shared" si="125"/>
        <v>14</v>
      </c>
      <c r="K830" s="66">
        <f t="shared" si="128"/>
        <v>7.829977628635347E-3</v>
      </c>
      <c r="L830" s="37">
        <f t="shared" si="129"/>
        <v>17.767237136465326</v>
      </c>
      <c r="M830" s="37">
        <f t="shared" si="126"/>
        <v>6.5330130950783012</v>
      </c>
      <c r="N830" s="37">
        <v>6.9147235693501452</v>
      </c>
      <c r="O830" s="37">
        <f t="shared" si="127"/>
        <v>2.3576062639821034</v>
      </c>
      <c r="P830" s="37"/>
      <c r="Q830" s="45">
        <f t="shared" si="123"/>
        <v>8.4376536391655682E-2</v>
      </c>
    </row>
    <row r="831" spans="1:17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40">
        <f t="shared" si="124"/>
        <v>352.17</v>
      </c>
      <c r="G831" s="24">
        <v>11</v>
      </c>
      <c r="H831" s="8"/>
      <c r="I831" s="8"/>
      <c r="J831" s="40">
        <f t="shared" si="125"/>
        <v>11</v>
      </c>
      <c r="K831" s="66">
        <f t="shared" si="128"/>
        <v>6.1521252796420582E-3</v>
      </c>
      <c r="L831" s="37">
        <f t="shared" si="129"/>
        <v>13.959972035794184</v>
      </c>
      <c r="M831" s="37">
        <f t="shared" si="126"/>
        <v>5.133081717561522</v>
      </c>
      <c r="N831" s="37">
        <v>5.4329970902036857</v>
      </c>
      <c r="O831" s="37">
        <f t="shared" si="127"/>
        <v>1.8524049217002239</v>
      </c>
      <c r="P831" s="37"/>
      <c r="Q831" s="45">
        <f t="shared" si="123"/>
        <v>7.4902620226764388E-2</v>
      </c>
    </row>
    <row r="832" spans="1:17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40">
        <f t="shared" si="124"/>
        <v>653.07000000000005</v>
      </c>
      <c r="G832" s="24">
        <v>25</v>
      </c>
      <c r="H832" s="8"/>
      <c r="I832" s="8"/>
      <c r="J832" s="40">
        <f t="shared" si="125"/>
        <v>25</v>
      </c>
      <c r="K832" s="66">
        <f t="shared" si="128"/>
        <v>1.3982102908277404E-2</v>
      </c>
      <c r="L832" s="37">
        <f t="shared" si="129"/>
        <v>31.727209172259506</v>
      </c>
      <c r="M832" s="37">
        <f t="shared" si="126"/>
        <v>11.666094812639821</v>
      </c>
      <c r="N832" s="37">
        <v>12.347720659553831</v>
      </c>
      <c r="O832" s="37">
        <f t="shared" si="127"/>
        <v>4.210011185682327</v>
      </c>
      <c r="P832" s="37"/>
      <c r="Q832" s="45">
        <f t="shared" si="123"/>
        <v>9.1798790068653408E-2</v>
      </c>
    </row>
    <row r="833" spans="1:17" s="6" customFormat="1" ht="15.75">
      <c r="A833" s="8">
        <v>87</v>
      </c>
      <c r="B833" s="8" t="s">
        <v>916</v>
      </c>
      <c r="C833" s="8">
        <v>786.94</v>
      </c>
      <c r="D833" s="55"/>
      <c r="E833" s="55"/>
      <c r="F833" s="40">
        <f t="shared" si="124"/>
        <v>786.94</v>
      </c>
      <c r="G833" s="24">
        <v>22</v>
      </c>
      <c r="H833" s="8"/>
      <c r="I833" s="8"/>
      <c r="J833" s="40">
        <f t="shared" si="125"/>
        <v>22</v>
      </c>
      <c r="K833" s="66">
        <f t="shared" si="128"/>
        <v>1.2304250559284116E-2</v>
      </c>
      <c r="L833" s="37">
        <f t="shared" si="129"/>
        <v>27.919944071588368</v>
      </c>
      <c r="M833" s="37">
        <f t="shared" si="126"/>
        <v>10.266163435123044</v>
      </c>
      <c r="N833" s="37">
        <v>10.865994180407371</v>
      </c>
      <c r="O833" s="37">
        <f t="shared" si="127"/>
        <v>3.7048098434004477</v>
      </c>
      <c r="P833" s="37"/>
      <c r="Q833" s="45">
        <f t="shared" si="123"/>
        <v>6.70405768298971E-2</v>
      </c>
    </row>
    <row r="834" spans="1:17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40">
        <f t="shared" si="124"/>
        <v>3342.78</v>
      </c>
      <c r="G834" s="24">
        <v>59</v>
      </c>
      <c r="H834" s="8"/>
      <c r="I834" s="8">
        <v>1</v>
      </c>
      <c r="J834" s="40">
        <f t="shared" si="125"/>
        <v>60</v>
      </c>
      <c r="K834" s="66">
        <f t="shared" si="128"/>
        <v>3.3557046979865772E-2</v>
      </c>
      <c r="L834" s="37">
        <f t="shared" si="129"/>
        <v>76.145302013422821</v>
      </c>
      <c r="M834" s="37">
        <f t="shared" si="126"/>
        <v>27.998627550335573</v>
      </c>
      <c r="N834" s="37">
        <v>29.634529582929197</v>
      </c>
      <c r="O834" s="37">
        <f t="shared" si="127"/>
        <v>10.104026845637584</v>
      </c>
      <c r="P834" s="37"/>
      <c r="Q834" s="45">
        <f t="shared" si="123"/>
        <v>4.3042762608465159E-2</v>
      </c>
    </row>
    <row r="835" spans="1:17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40">
        <f t="shared" si="124"/>
        <v>139.80000000000001</v>
      </c>
      <c r="G835" s="24">
        <v>3</v>
      </c>
      <c r="H835" s="8"/>
      <c r="I835" s="8"/>
      <c r="J835" s="40">
        <f t="shared" si="125"/>
        <v>3</v>
      </c>
      <c r="K835" s="66">
        <f t="shared" si="128"/>
        <v>1.6778523489932886E-3</v>
      </c>
      <c r="L835" s="37">
        <f t="shared" si="129"/>
        <v>3.8072651006711409</v>
      </c>
      <c r="M835" s="37">
        <f t="shared" si="126"/>
        <v>1.3999313775167785</v>
      </c>
      <c r="N835" s="37">
        <v>1.4817264791464597</v>
      </c>
      <c r="O835" s="37">
        <f t="shared" si="127"/>
        <v>0.50520134228187918</v>
      </c>
      <c r="P835" s="37"/>
      <c r="Q835" s="45">
        <f t="shared" si="123"/>
        <v>5.146011659239097E-2</v>
      </c>
    </row>
    <row r="836" spans="1:17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40">
        <f t="shared" si="124"/>
        <v>3135.2999999999997</v>
      </c>
      <c r="G836" s="24">
        <v>63</v>
      </c>
      <c r="H836" s="8"/>
      <c r="I836" s="8">
        <v>2</v>
      </c>
      <c r="J836" s="40">
        <f t="shared" si="125"/>
        <v>65</v>
      </c>
      <c r="K836" s="66">
        <f t="shared" si="128"/>
        <v>3.6353467561521254E-2</v>
      </c>
      <c r="L836" s="37">
        <f t="shared" si="129"/>
        <v>82.490743847874725</v>
      </c>
      <c r="M836" s="37">
        <f t="shared" si="126"/>
        <v>30.331846512863539</v>
      </c>
      <c r="N836" s="37">
        <v>32.104073714839963</v>
      </c>
      <c r="O836" s="37">
        <f t="shared" si="127"/>
        <v>10.94602908277405</v>
      </c>
      <c r="P836" s="37"/>
      <c r="Q836" s="45">
        <f t="shared" si="123"/>
        <v>4.9715399852758038E-2</v>
      </c>
    </row>
    <row r="837" spans="1:17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40">
        <f t="shared" si="124"/>
        <v>230.5</v>
      </c>
      <c r="G837" s="24">
        <v>7</v>
      </c>
      <c r="H837" s="8"/>
      <c r="I837" s="8"/>
      <c r="J837" s="40">
        <f t="shared" si="125"/>
        <v>7</v>
      </c>
      <c r="K837" s="66">
        <f t="shared" si="128"/>
        <v>3.9149888143176735E-3</v>
      </c>
      <c r="L837" s="37">
        <f t="shared" si="129"/>
        <v>8.8836185682326629</v>
      </c>
      <c r="M837" s="37">
        <f t="shared" si="126"/>
        <v>3.2665065475391506</v>
      </c>
      <c r="N837" s="37">
        <v>3.4573617846750726</v>
      </c>
      <c r="O837" s="37">
        <f t="shared" si="127"/>
        <v>1.1788031319910517</v>
      </c>
      <c r="P837" s="37"/>
      <c r="Q837" s="45">
        <f t="shared" si="123"/>
        <v>7.2825553286064812E-2</v>
      </c>
    </row>
    <row r="838" spans="1:17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40">
        <f t="shared" si="124"/>
        <v>65.900000000000006</v>
      </c>
      <c r="G838" s="24">
        <v>2</v>
      </c>
      <c r="H838" s="8"/>
      <c r="I838" s="8"/>
      <c r="J838" s="40">
        <f t="shared" si="125"/>
        <v>2</v>
      </c>
      <c r="K838" s="66">
        <f t="shared" si="128"/>
        <v>1.1185682326621924E-3</v>
      </c>
      <c r="L838" s="37">
        <f t="shared" si="129"/>
        <v>2.5381767337807606</v>
      </c>
      <c r="M838" s="37">
        <f t="shared" si="126"/>
        <v>0.93328758501118569</v>
      </c>
      <c r="N838" s="37">
        <v>0.98781765276430644</v>
      </c>
      <c r="O838" s="37">
        <f t="shared" si="127"/>
        <v>0.33680089485458614</v>
      </c>
      <c r="P838" s="37"/>
      <c r="Q838" s="45">
        <f t="shared" si="123"/>
        <v>7.2778192206537751E-2</v>
      </c>
    </row>
    <row r="839" spans="1:17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40">
        <f t="shared" si="124"/>
        <v>75.900000000000006</v>
      </c>
      <c r="G839" s="24">
        <v>2</v>
      </c>
      <c r="H839" s="8"/>
      <c r="I839" s="8"/>
      <c r="J839" s="40">
        <f t="shared" si="125"/>
        <v>2</v>
      </c>
      <c r="K839" s="66">
        <f t="shared" si="128"/>
        <v>1.1185682326621924E-3</v>
      </c>
      <c r="L839" s="37">
        <f t="shared" si="129"/>
        <v>2.5381767337807606</v>
      </c>
      <c r="M839" s="37">
        <f t="shared" si="126"/>
        <v>0.93328758501118569</v>
      </c>
      <c r="N839" s="37">
        <v>0.98781765276430644</v>
      </c>
      <c r="O839" s="37">
        <f t="shared" si="127"/>
        <v>0.33680089485458614</v>
      </c>
      <c r="P839" s="37"/>
      <c r="Q839" s="45">
        <f t="shared" ref="Q839:Q902" si="130">(O839+N839+M839+L839)/F839</f>
        <v>6.3189497581170456E-2</v>
      </c>
    </row>
    <row r="840" spans="1:17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40">
        <f t="shared" si="124"/>
        <v>115.8</v>
      </c>
      <c r="G840" s="24">
        <v>3</v>
      </c>
      <c r="H840" s="8"/>
      <c r="I840" s="8"/>
      <c r="J840" s="40">
        <f t="shared" si="125"/>
        <v>3</v>
      </c>
      <c r="K840" s="66">
        <f t="shared" si="128"/>
        <v>1.6778523489932886E-3</v>
      </c>
      <c r="L840" s="37">
        <f t="shared" si="129"/>
        <v>3.8072651006711409</v>
      </c>
      <c r="M840" s="37">
        <f t="shared" si="126"/>
        <v>1.3999313775167785</v>
      </c>
      <c r="N840" s="37">
        <v>1.4817264791464597</v>
      </c>
      <c r="O840" s="37">
        <f t="shared" si="127"/>
        <v>0.50520134228187918</v>
      </c>
      <c r="P840" s="37"/>
      <c r="Q840" s="45">
        <f t="shared" si="130"/>
        <v>6.2125425730710351E-2</v>
      </c>
    </row>
    <row r="841" spans="1:17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40">
        <f t="shared" si="124"/>
        <v>43.6</v>
      </c>
      <c r="G841" s="24">
        <v>1</v>
      </c>
      <c r="H841" s="8"/>
      <c r="I841" s="8"/>
      <c r="J841" s="40">
        <f t="shared" si="125"/>
        <v>1</v>
      </c>
      <c r="K841" s="66">
        <f t="shared" si="128"/>
        <v>5.5928411633109618E-4</v>
      </c>
      <c r="L841" s="37">
        <f t="shared" si="129"/>
        <v>1.2690883668903803</v>
      </c>
      <c r="M841" s="37">
        <f t="shared" si="126"/>
        <v>0.46664379250559285</v>
      </c>
      <c r="N841" s="37">
        <v>0.49390882638215322</v>
      </c>
      <c r="O841" s="37">
        <f t="shared" si="127"/>
        <v>0.16840044742729307</v>
      </c>
      <c r="P841" s="37"/>
      <c r="Q841" s="45">
        <f t="shared" si="130"/>
        <v>5.5000950302876585E-2</v>
      </c>
    </row>
    <row r="842" spans="1:17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40">
        <f t="shared" si="124"/>
        <v>229.9</v>
      </c>
      <c r="G842" s="24">
        <v>8</v>
      </c>
      <c r="H842" s="8"/>
      <c r="I842" s="8"/>
      <c r="J842" s="40">
        <f t="shared" si="125"/>
        <v>8</v>
      </c>
      <c r="K842" s="66">
        <f t="shared" si="128"/>
        <v>4.4742729306487695E-3</v>
      </c>
      <c r="L842" s="37">
        <f t="shared" si="129"/>
        <v>10.152706935123042</v>
      </c>
      <c r="M842" s="37">
        <f t="shared" si="126"/>
        <v>3.7331503400447428</v>
      </c>
      <c r="N842" s="37">
        <v>3.9512706110572258</v>
      </c>
      <c r="O842" s="37">
        <f t="shared" si="127"/>
        <v>1.3472035794183446</v>
      </c>
      <c r="P842" s="37"/>
      <c r="Q842" s="45">
        <f t="shared" si="130"/>
        <v>8.3446417858387786E-2</v>
      </c>
    </row>
    <row r="843" spans="1:17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40">
        <f t="shared" si="124"/>
        <v>274.3</v>
      </c>
      <c r="G843" s="24">
        <v>5</v>
      </c>
      <c r="H843" s="8"/>
      <c r="I843" s="8"/>
      <c r="J843" s="40">
        <f t="shared" si="125"/>
        <v>5</v>
      </c>
      <c r="K843" s="66">
        <f t="shared" si="128"/>
        <v>2.7964205816554807E-3</v>
      </c>
      <c r="L843" s="37">
        <f t="shared" si="129"/>
        <v>6.3454418344519015</v>
      </c>
      <c r="M843" s="37">
        <f t="shared" si="126"/>
        <v>2.3332189625279645</v>
      </c>
      <c r="N843" s="37">
        <v>2.4695441319107663</v>
      </c>
      <c r="O843" s="37">
        <f t="shared" si="127"/>
        <v>0.84200223713646527</v>
      </c>
      <c r="P843" s="37"/>
      <c r="Q843" s="45">
        <f t="shared" si="130"/>
        <v>4.371202029175026E-2</v>
      </c>
    </row>
    <row r="844" spans="1:17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40">
        <f t="shared" si="124"/>
        <v>282</v>
      </c>
      <c r="G844" s="24">
        <v>9</v>
      </c>
      <c r="H844" s="8"/>
      <c r="I844" s="8"/>
      <c r="J844" s="40">
        <f t="shared" si="125"/>
        <v>9</v>
      </c>
      <c r="K844" s="66">
        <f t="shared" si="128"/>
        <v>5.0335570469798654E-3</v>
      </c>
      <c r="L844" s="37">
        <f t="shared" si="129"/>
        <v>11.421795302013422</v>
      </c>
      <c r="M844" s="37">
        <f t="shared" si="126"/>
        <v>4.1997941325503358</v>
      </c>
      <c r="N844" s="37">
        <v>4.4451794374393794</v>
      </c>
      <c r="O844" s="37">
        <f t="shared" si="127"/>
        <v>1.5156040268456377</v>
      </c>
      <c r="P844" s="37"/>
      <c r="Q844" s="45">
        <f t="shared" si="130"/>
        <v>7.6533237229960194E-2</v>
      </c>
    </row>
    <row r="845" spans="1:17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40">
        <f t="shared" si="124"/>
        <v>181.2</v>
      </c>
      <c r="G845" s="24">
        <v>5</v>
      </c>
      <c r="H845" s="8"/>
      <c r="I845" s="8"/>
      <c r="J845" s="40">
        <f t="shared" si="125"/>
        <v>5</v>
      </c>
      <c r="K845" s="66">
        <f t="shared" si="128"/>
        <v>2.7964205816554807E-3</v>
      </c>
      <c r="L845" s="37">
        <f t="shared" si="129"/>
        <v>6.3454418344519015</v>
      </c>
      <c r="M845" s="37">
        <f t="shared" si="126"/>
        <v>2.3332189625279645</v>
      </c>
      <c r="N845" s="37">
        <v>2.4695441319107663</v>
      </c>
      <c r="O845" s="37">
        <f t="shared" si="127"/>
        <v>0.84200223713646527</v>
      </c>
      <c r="P845" s="37"/>
      <c r="Q845" s="45">
        <f t="shared" si="130"/>
        <v>6.6171121225315113E-2</v>
      </c>
    </row>
    <row r="846" spans="1:17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40">
        <f t="shared" si="124"/>
        <v>171</v>
      </c>
      <c r="G846" s="24">
        <v>4</v>
      </c>
      <c r="H846" s="8"/>
      <c r="I846" s="8"/>
      <c r="J846" s="40">
        <f t="shared" si="125"/>
        <v>4</v>
      </c>
      <c r="K846" s="66">
        <f t="shared" si="128"/>
        <v>2.2371364653243847E-3</v>
      </c>
      <c r="L846" s="37">
        <f t="shared" si="129"/>
        <v>5.0763534675615212</v>
      </c>
      <c r="M846" s="37">
        <f t="shared" si="126"/>
        <v>1.8665751700223714</v>
      </c>
      <c r="N846" s="37">
        <v>1.9756353055286129</v>
      </c>
      <c r="O846" s="37">
        <f t="shared" si="127"/>
        <v>0.67360178970917228</v>
      </c>
      <c r="P846" s="37"/>
      <c r="Q846" s="45">
        <f t="shared" si="130"/>
        <v>5.6094536449249568E-2</v>
      </c>
    </row>
    <row r="847" spans="1:17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40">
        <f t="shared" si="124"/>
        <v>160.5</v>
      </c>
      <c r="G847" s="24">
        <v>4</v>
      </c>
      <c r="H847" s="8"/>
      <c r="I847" s="8"/>
      <c r="J847" s="40">
        <f t="shared" si="125"/>
        <v>4</v>
      </c>
      <c r="K847" s="66">
        <f t="shared" si="128"/>
        <v>2.2371364653243847E-3</v>
      </c>
      <c r="L847" s="37">
        <f t="shared" si="129"/>
        <v>5.0763534675615212</v>
      </c>
      <c r="M847" s="37">
        <f t="shared" si="126"/>
        <v>1.8665751700223714</v>
      </c>
      <c r="N847" s="37">
        <v>1.9756353055286129</v>
      </c>
      <c r="O847" s="37">
        <f t="shared" si="127"/>
        <v>0.67360178970917228</v>
      </c>
      <c r="P847" s="37"/>
      <c r="Q847" s="45">
        <f t="shared" si="130"/>
        <v>5.9764272478639732E-2</v>
      </c>
    </row>
    <row r="848" spans="1:17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40">
        <f t="shared" si="124"/>
        <v>165.6</v>
      </c>
      <c r="G848" s="24">
        <v>4</v>
      </c>
      <c r="H848" s="8"/>
      <c r="I848" s="8"/>
      <c r="J848" s="40">
        <f t="shared" si="125"/>
        <v>4</v>
      </c>
      <c r="K848" s="66">
        <f t="shared" si="128"/>
        <v>2.2371364653243847E-3</v>
      </c>
      <c r="L848" s="37">
        <f t="shared" si="129"/>
        <v>5.0763534675615212</v>
      </c>
      <c r="M848" s="37">
        <f t="shared" si="126"/>
        <v>1.8665751700223714</v>
      </c>
      <c r="N848" s="37">
        <v>1.9756353055286129</v>
      </c>
      <c r="O848" s="37">
        <f t="shared" si="127"/>
        <v>0.67360178970917228</v>
      </c>
      <c r="P848" s="37"/>
      <c r="Q848" s="45">
        <f t="shared" si="130"/>
        <v>5.7923706116072927E-2</v>
      </c>
    </row>
    <row r="849" spans="1:17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40">
        <f t="shared" si="124"/>
        <v>158.6</v>
      </c>
      <c r="G849" s="24">
        <v>4</v>
      </c>
      <c r="H849" s="8"/>
      <c r="I849" s="8"/>
      <c r="J849" s="40">
        <f t="shared" si="125"/>
        <v>4</v>
      </c>
      <c r="K849" s="66">
        <f t="shared" si="128"/>
        <v>2.2371364653243847E-3</v>
      </c>
      <c r="L849" s="37">
        <f t="shared" si="129"/>
        <v>5.0763534675615212</v>
      </c>
      <c r="M849" s="37">
        <f t="shared" si="126"/>
        <v>1.8665751700223714</v>
      </c>
      <c r="N849" s="37">
        <v>1.9756353055286129</v>
      </c>
      <c r="O849" s="37">
        <f t="shared" si="127"/>
        <v>0.67360178970917228</v>
      </c>
      <c r="P849" s="37"/>
      <c r="Q849" s="45">
        <f t="shared" si="130"/>
        <v>6.0480237911864292E-2</v>
      </c>
    </row>
    <row r="850" spans="1:17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40">
        <f t="shared" si="124"/>
        <v>414.61</v>
      </c>
      <c r="G850" s="24">
        <v>12</v>
      </c>
      <c r="H850" s="8"/>
      <c r="I850" s="8"/>
      <c r="J850" s="40">
        <f t="shared" si="125"/>
        <v>12</v>
      </c>
      <c r="K850" s="66">
        <f t="shared" si="128"/>
        <v>6.7114093959731542E-3</v>
      </c>
      <c r="L850" s="37">
        <f t="shared" si="129"/>
        <v>15.229060402684564</v>
      </c>
      <c r="M850" s="37">
        <f t="shared" si="126"/>
        <v>5.5997255100671142</v>
      </c>
      <c r="N850" s="37">
        <v>5.9269059165858389</v>
      </c>
      <c r="O850" s="37">
        <f t="shared" si="127"/>
        <v>2.0208053691275167</v>
      </c>
      <c r="P850" s="37"/>
      <c r="Q850" s="45">
        <f t="shared" si="130"/>
        <v>6.9406182191613888E-2</v>
      </c>
    </row>
    <row r="851" spans="1:17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40">
        <f t="shared" si="124"/>
        <v>148.1</v>
      </c>
      <c r="G851" s="24">
        <v>3</v>
      </c>
      <c r="H851" s="8"/>
      <c r="I851" s="8"/>
      <c r="J851" s="40">
        <f t="shared" si="125"/>
        <v>3</v>
      </c>
      <c r="K851" s="66">
        <f t="shared" si="128"/>
        <v>1.6778523489932886E-3</v>
      </c>
      <c r="L851" s="37">
        <f t="shared" si="129"/>
        <v>3.8072651006711409</v>
      </c>
      <c r="M851" s="37">
        <f t="shared" si="126"/>
        <v>1.3999313775167785</v>
      </c>
      <c r="N851" s="37">
        <v>1.4817264791464597</v>
      </c>
      <c r="O851" s="37">
        <f t="shared" si="127"/>
        <v>0.50520134228187918</v>
      </c>
      <c r="P851" s="37"/>
      <c r="Q851" s="45">
        <f t="shared" si="130"/>
        <v>4.8576126263445367E-2</v>
      </c>
    </row>
    <row r="852" spans="1:17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40">
        <f t="shared" si="124"/>
        <v>27.8</v>
      </c>
      <c r="G852" s="24">
        <v>1</v>
      </c>
      <c r="H852" s="8"/>
      <c r="I852" s="8"/>
      <c r="J852" s="40">
        <f t="shared" si="125"/>
        <v>1</v>
      </c>
      <c r="K852" s="66">
        <f t="shared" si="128"/>
        <v>5.5928411633109618E-4</v>
      </c>
      <c r="L852" s="37">
        <f t="shared" si="129"/>
        <v>1.2690883668903803</v>
      </c>
      <c r="M852" s="37">
        <f t="shared" si="126"/>
        <v>0.46664379250559285</v>
      </c>
      <c r="N852" s="37">
        <v>0.49390882638215322</v>
      </c>
      <c r="O852" s="37">
        <f t="shared" si="127"/>
        <v>0.16840044742729307</v>
      </c>
      <c r="P852" s="37"/>
      <c r="Q852" s="45">
        <f t="shared" si="130"/>
        <v>8.6260483208828023E-2</v>
      </c>
    </row>
    <row r="853" spans="1:17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40">
        <f t="shared" si="124"/>
        <v>140.9</v>
      </c>
      <c r="G853" s="24">
        <v>4</v>
      </c>
      <c r="H853" s="8"/>
      <c r="I853" s="8"/>
      <c r="J853" s="40">
        <f t="shared" si="125"/>
        <v>4</v>
      </c>
      <c r="K853" s="66">
        <f t="shared" si="128"/>
        <v>2.2371364653243847E-3</v>
      </c>
      <c r="L853" s="37">
        <f t="shared" si="129"/>
        <v>5.0763534675615212</v>
      </c>
      <c r="M853" s="37">
        <f t="shared" si="126"/>
        <v>1.8665751700223714</v>
      </c>
      <c r="N853" s="37">
        <v>1.9756353055286129</v>
      </c>
      <c r="O853" s="37">
        <f t="shared" si="127"/>
        <v>0.67360178970917228</v>
      </c>
      <c r="P853" s="37"/>
      <c r="Q853" s="45">
        <f t="shared" si="130"/>
        <v>6.8077826350757112E-2</v>
      </c>
    </row>
    <row r="854" spans="1:17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40">
        <f t="shared" si="124"/>
        <v>66.599999999999994</v>
      </c>
      <c r="G854" s="24">
        <v>2</v>
      </c>
      <c r="H854" s="8"/>
      <c r="I854" s="8"/>
      <c r="J854" s="40">
        <f t="shared" si="125"/>
        <v>2</v>
      </c>
      <c r="K854" s="66">
        <f t="shared" si="128"/>
        <v>1.1185682326621924E-3</v>
      </c>
      <c r="L854" s="37">
        <f t="shared" si="129"/>
        <v>2.5381767337807606</v>
      </c>
      <c r="M854" s="37">
        <f t="shared" si="126"/>
        <v>0.93328758501118569</v>
      </c>
      <c r="N854" s="37">
        <v>0.98781765276430644</v>
      </c>
      <c r="O854" s="37">
        <f t="shared" si="127"/>
        <v>0.33680089485458614</v>
      </c>
      <c r="P854" s="37"/>
      <c r="Q854" s="45">
        <f t="shared" si="130"/>
        <v>7.2013256252415003E-2</v>
      </c>
    </row>
    <row r="855" spans="1:17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40">
        <f t="shared" si="124"/>
        <v>97.5</v>
      </c>
      <c r="G855" s="24">
        <v>4</v>
      </c>
      <c r="H855" s="8"/>
      <c r="I855" s="8"/>
      <c r="J855" s="40">
        <f t="shared" si="125"/>
        <v>4</v>
      </c>
      <c r="K855" s="66">
        <f t="shared" si="128"/>
        <v>2.2371364653243847E-3</v>
      </c>
      <c r="L855" s="37">
        <f t="shared" si="129"/>
        <v>5.0763534675615212</v>
      </c>
      <c r="M855" s="37">
        <f t="shared" si="126"/>
        <v>1.8665751700223714</v>
      </c>
      <c r="N855" s="37">
        <v>1.9756353055286129</v>
      </c>
      <c r="O855" s="37">
        <f t="shared" si="127"/>
        <v>0.67360178970917228</v>
      </c>
      <c r="P855" s="37"/>
      <c r="Q855" s="45">
        <f t="shared" si="130"/>
        <v>9.8381187003299245E-2</v>
      </c>
    </row>
    <row r="856" spans="1:17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40">
        <f t="shared" si="124"/>
        <v>522.6</v>
      </c>
      <c r="G856" s="24">
        <v>8</v>
      </c>
      <c r="H856" s="8"/>
      <c r="I856" s="8"/>
      <c r="J856" s="40">
        <f t="shared" si="125"/>
        <v>8</v>
      </c>
      <c r="K856" s="66">
        <f t="shared" si="128"/>
        <v>4.4742729306487695E-3</v>
      </c>
      <c r="L856" s="37">
        <f t="shared" si="129"/>
        <v>10.152706935123042</v>
      </c>
      <c r="M856" s="37">
        <f t="shared" si="126"/>
        <v>3.7331503400447428</v>
      </c>
      <c r="N856" s="37">
        <v>3.9512706110572258</v>
      </c>
      <c r="O856" s="37">
        <f t="shared" si="127"/>
        <v>1.3472035794183446</v>
      </c>
      <c r="P856" s="37"/>
      <c r="Q856" s="45">
        <f t="shared" si="130"/>
        <v>3.6709398135559422E-2</v>
      </c>
    </row>
    <row r="857" spans="1:17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40">
        <f t="shared" si="124"/>
        <v>71.8</v>
      </c>
      <c r="G857" s="24">
        <v>2</v>
      </c>
      <c r="H857" s="8"/>
      <c r="I857" s="8"/>
      <c r="J857" s="40">
        <f t="shared" si="125"/>
        <v>2</v>
      </c>
      <c r="K857" s="66">
        <f t="shared" si="128"/>
        <v>1.1185682326621924E-3</v>
      </c>
      <c r="L857" s="37">
        <f t="shared" si="129"/>
        <v>2.5381767337807606</v>
      </c>
      <c r="M857" s="37">
        <f t="shared" si="126"/>
        <v>0.93328758501118569</v>
      </c>
      <c r="N857" s="37">
        <v>0.98781765276430644</v>
      </c>
      <c r="O857" s="37">
        <f t="shared" si="127"/>
        <v>0.33680089485458614</v>
      </c>
      <c r="P857" s="37"/>
      <c r="Q857" s="45">
        <f t="shared" si="130"/>
        <v>6.679781150990026E-2</v>
      </c>
    </row>
    <row r="858" spans="1:17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40">
        <f t="shared" si="124"/>
        <v>199</v>
      </c>
      <c r="G858" s="24">
        <v>7</v>
      </c>
      <c r="H858" s="8"/>
      <c r="I858" s="8"/>
      <c r="J858" s="40">
        <f t="shared" si="125"/>
        <v>7</v>
      </c>
      <c r="K858" s="66">
        <f t="shared" si="128"/>
        <v>3.9149888143176735E-3</v>
      </c>
      <c r="L858" s="37">
        <f t="shared" si="129"/>
        <v>8.8836185682326629</v>
      </c>
      <c r="M858" s="37">
        <f t="shared" si="126"/>
        <v>3.2665065475391506</v>
      </c>
      <c r="N858" s="37">
        <v>3.4573617846750726</v>
      </c>
      <c r="O858" s="37">
        <f t="shared" si="127"/>
        <v>1.1788031319910517</v>
      </c>
      <c r="P858" s="37"/>
      <c r="Q858" s="45">
        <f t="shared" si="130"/>
        <v>8.4353216243406734E-2</v>
      </c>
    </row>
    <row r="859" spans="1:17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40">
        <f t="shared" si="124"/>
        <v>128.5</v>
      </c>
      <c r="G859" s="24">
        <v>3</v>
      </c>
      <c r="H859" s="8"/>
      <c r="I859" s="8"/>
      <c r="J859" s="40">
        <f t="shared" si="125"/>
        <v>3</v>
      </c>
      <c r="K859" s="66">
        <f t="shared" si="128"/>
        <v>1.6778523489932886E-3</v>
      </c>
      <c r="L859" s="37">
        <f t="shared" si="129"/>
        <v>3.8072651006711409</v>
      </c>
      <c r="M859" s="37">
        <f t="shared" si="126"/>
        <v>1.3999313775167785</v>
      </c>
      <c r="N859" s="37">
        <v>1.4817264791464597</v>
      </c>
      <c r="O859" s="37">
        <f t="shared" si="127"/>
        <v>0.50520134228187918</v>
      </c>
      <c r="P859" s="37"/>
      <c r="Q859" s="45">
        <f t="shared" si="130"/>
        <v>5.598540310985415E-2</v>
      </c>
    </row>
    <row r="860" spans="1:17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40">
        <f t="shared" si="124"/>
        <v>43.4</v>
      </c>
      <c r="G860" s="24">
        <v>1</v>
      </c>
      <c r="H860" s="8"/>
      <c r="I860" s="8"/>
      <c r="J860" s="40">
        <f t="shared" si="125"/>
        <v>1</v>
      </c>
      <c r="K860" s="66">
        <f t="shared" si="128"/>
        <v>5.5928411633109618E-4</v>
      </c>
      <c r="L860" s="37">
        <f t="shared" si="129"/>
        <v>1.2690883668903803</v>
      </c>
      <c r="M860" s="37">
        <f t="shared" si="126"/>
        <v>0.46664379250559285</v>
      </c>
      <c r="N860" s="37">
        <v>0.49390882638215322</v>
      </c>
      <c r="O860" s="37">
        <f t="shared" si="127"/>
        <v>0.16840044742729307</v>
      </c>
      <c r="P860" s="37"/>
      <c r="Q860" s="45">
        <f t="shared" si="130"/>
        <v>5.5254410903350676E-2</v>
      </c>
    </row>
    <row r="861" spans="1:17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40">
        <f t="shared" si="124"/>
        <v>35.4</v>
      </c>
      <c r="G861" s="24">
        <v>1</v>
      </c>
      <c r="H861" s="8"/>
      <c r="I861" s="8"/>
      <c r="J861" s="40">
        <f t="shared" si="125"/>
        <v>1</v>
      </c>
      <c r="K861" s="66">
        <f t="shared" si="128"/>
        <v>5.5928411633109618E-4</v>
      </c>
      <c r="L861" s="37">
        <f t="shared" si="129"/>
        <v>1.2690883668903803</v>
      </c>
      <c r="M861" s="37">
        <f t="shared" si="126"/>
        <v>0.46664379250559285</v>
      </c>
      <c r="N861" s="37">
        <v>0.49390882638215322</v>
      </c>
      <c r="O861" s="37">
        <f t="shared" si="127"/>
        <v>0.16840044742729307</v>
      </c>
      <c r="P861" s="37"/>
      <c r="Q861" s="45">
        <f t="shared" si="130"/>
        <v>6.7741283423881901E-2</v>
      </c>
    </row>
    <row r="862" spans="1:17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40">
        <f t="shared" si="124"/>
        <v>407.14</v>
      </c>
      <c r="G862" s="24">
        <v>8</v>
      </c>
      <c r="H862" s="8"/>
      <c r="I862" s="8"/>
      <c r="J862" s="40">
        <f t="shared" si="125"/>
        <v>8</v>
      </c>
      <c r="K862" s="66">
        <f t="shared" si="128"/>
        <v>4.4742729306487695E-3</v>
      </c>
      <c r="L862" s="37">
        <f t="shared" si="129"/>
        <v>10.152706935123042</v>
      </c>
      <c r="M862" s="37">
        <f t="shared" si="126"/>
        <v>3.7331503400447428</v>
      </c>
      <c r="N862" s="37">
        <v>3.9512706110572258</v>
      </c>
      <c r="O862" s="37">
        <f t="shared" si="127"/>
        <v>1.3472035794183446</v>
      </c>
      <c r="P862" s="37"/>
      <c r="Q862" s="45">
        <f t="shared" si="130"/>
        <v>4.7119741282220746E-2</v>
      </c>
    </row>
    <row r="863" spans="1:17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40">
        <f t="shared" si="124"/>
        <v>207.4</v>
      </c>
      <c r="G863" s="24">
        <v>4</v>
      </c>
      <c r="H863" s="8"/>
      <c r="I863" s="8"/>
      <c r="J863" s="40">
        <f t="shared" si="125"/>
        <v>4</v>
      </c>
      <c r="K863" s="66">
        <f t="shared" si="128"/>
        <v>2.2371364653243847E-3</v>
      </c>
      <c r="L863" s="37">
        <f t="shared" si="129"/>
        <v>5.0763534675615212</v>
      </c>
      <c r="M863" s="37">
        <f t="shared" si="126"/>
        <v>1.8665751700223714</v>
      </c>
      <c r="N863" s="37">
        <v>1.9756353055286129</v>
      </c>
      <c r="O863" s="37">
        <f t="shared" si="127"/>
        <v>0.67360178970917228</v>
      </c>
      <c r="P863" s="37"/>
      <c r="Q863" s="45">
        <f t="shared" si="130"/>
        <v>4.6249593697307988E-2</v>
      </c>
    </row>
    <row r="864" spans="1:17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40">
        <f t="shared" si="124"/>
        <v>619.29999999999995</v>
      </c>
      <c r="G864" s="24">
        <v>9</v>
      </c>
      <c r="H864" s="8"/>
      <c r="I864" s="8">
        <v>1</v>
      </c>
      <c r="J864" s="40">
        <f t="shared" si="125"/>
        <v>10</v>
      </c>
      <c r="K864" s="66">
        <f t="shared" si="128"/>
        <v>5.5928411633109614E-3</v>
      </c>
      <c r="L864" s="37">
        <f t="shared" si="129"/>
        <v>12.690883668903803</v>
      </c>
      <c r="M864" s="37">
        <f t="shared" si="126"/>
        <v>4.6664379250559289</v>
      </c>
      <c r="N864" s="37">
        <v>4.9390882638215325</v>
      </c>
      <c r="O864" s="37">
        <f t="shared" si="127"/>
        <v>1.6840044742729305</v>
      </c>
      <c r="P864" s="37"/>
      <c r="Q864" s="45">
        <f t="shared" si="130"/>
        <v>3.8721805800184396E-2</v>
      </c>
    </row>
    <row r="865" spans="1:18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40">
        <f t="shared" si="124"/>
        <v>326.7</v>
      </c>
      <c r="G865" s="24">
        <v>11</v>
      </c>
      <c r="H865" s="8"/>
      <c r="I865" s="8"/>
      <c r="J865" s="40">
        <f t="shared" si="125"/>
        <v>11</v>
      </c>
      <c r="K865" s="66">
        <f t="shared" si="128"/>
        <v>6.1521252796420582E-3</v>
      </c>
      <c r="L865" s="37">
        <f t="shared" si="129"/>
        <v>13.959972035794184</v>
      </c>
      <c r="M865" s="37">
        <f t="shared" si="126"/>
        <v>5.133081717561522</v>
      </c>
      <c r="N865" s="37">
        <v>5.4329970902036857</v>
      </c>
      <c r="O865" s="37">
        <f t="shared" si="127"/>
        <v>1.8524049217002239</v>
      </c>
      <c r="P865" s="37"/>
      <c r="Q865" s="45">
        <f t="shared" si="130"/>
        <v>8.0742135798162279E-2</v>
      </c>
    </row>
    <row r="866" spans="1:18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40">
        <f t="shared" si="124"/>
        <v>485.4</v>
      </c>
      <c r="G866" s="24">
        <v>15</v>
      </c>
      <c r="H866" s="8"/>
      <c r="I866" s="8"/>
      <c r="J866" s="40">
        <f t="shared" si="125"/>
        <v>15</v>
      </c>
      <c r="K866" s="66">
        <f t="shared" si="128"/>
        <v>8.389261744966443E-3</v>
      </c>
      <c r="L866" s="37">
        <f t="shared" si="129"/>
        <v>19.036325503355705</v>
      </c>
      <c r="M866" s="37">
        <f t="shared" si="126"/>
        <v>6.9996568875838934</v>
      </c>
      <c r="N866" s="37">
        <v>7.4086323957322993</v>
      </c>
      <c r="O866" s="37">
        <f t="shared" si="127"/>
        <v>2.526006711409396</v>
      </c>
      <c r="P866" s="37"/>
      <c r="Q866" s="45">
        <f t="shared" si="130"/>
        <v>7.4105112274580331E-2</v>
      </c>
    </row>
    <row r="867" spans="1:18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40">
        <f t="shared" si="124"/>
        <v>133.6</v>
      </c>
      <c r="G867" s="24">
        <v>3</v>
      </c>
      <c r="H867" s="8"/>
      <c r="I867" s="8"/>
      <c r="J867" s="40">
        <f t="shared" si="125"/>
        <v>3</v>
      </c>
      <c r="K867" s="66">
        <f t="shared" si="128"/>
        <v>1.6778523489932886E-3</v>
      </c>
      <c r="L867" s="37">
        <f t="shared" si="129"/>
        <v>3.8072651006711409</v>
      </c>
      <c r="M867" s="37">
        <f t="shared" si="126"/>
        <v>1.3999313775167785</v>
      </c>
      <c r="N867" s="37">
        <v>1.4817264791464597</v>
      </c>
      <c r="O867" s="37">
        <f t="shared" si="127"/>
        <v>0.50520134228187918</v>
      </c>
      <c r="P867" s="37"/>
      <c r="Q867" s="45">
        <f t="shared" si="130"/>
        <v>5.3848235775570796E-2</v>
      </c>
    </row>
    <row r="868" spans="1:18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40">
        <f t="shared" si="124"/>
        <v>562.28</v>
      </c>
      <c r="G868" s="24">
        <v>12</v>
      </c>
      <c r="H868" s="8"/>
      <c r="I868" s="8"/>
      <c r="J868" s="40">
        <f t="shared" si="125"/>
        <v>12</v>
      </c>
      <c r="K868" s="66">
        <f t="shared" si="128"/>
        <v>6.7114093959731542E-3</v>
      </c>
      <c r="L868" s="37">
        <f t="shared" si="129"/>
        <v>15.229060402684564</v>
      </c>
      <c r="M868" s="37">
        <f t="shared" si="126"/>
        <v>5.5997255100671142</v>
      </c>
      <c r="N868" s="37">
        <v>5.9269059165858389</v>
      </c>
      <c r="O868" s="37">
        <f t="shared" si="127"/>
        <v>2.0208053691275167</v>
      </c>
      <c r="P868" s="37"/>
      <c r="Q868" s="45">
        <f t="shared" si="130"/>
        <v>5.1178233617530475E-2</v>
      </c>
    </row>
    <row r="869" spans="1:18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40">
        <f t="shared" si="124"/>
        <v>156.78</v>
      </c>
      <c r="G869" s="24">
        <v>5</v>
      </c>
      <c r="H869" s="8"/>
      <c r="I869" s="8"/>
      <c r="J869" s="40">
        <f t="shared" si="125"/>
        <v>5</v>
      </c>
      <c r="K869" s="66">
        <f t="shared" si="128"/>
        <v>2.7964205816554807E-3</v>
      </c>
      <c r="L869" s="37">
        <f t="shared" si="129"/>
        <v>6.3454418344519015</v>
      </c>
      <c r="M869" s="37">
        <f t="shared" si="126"/>
        <v>2.3332189625279645</v>
      </c>
      <c r="N869" s="37">
        <v>2.4695441319107663</v>
      </c>
      <c r="O869" s="37">
        <f t="shared" si="127"/>
        <v>0.84200223713646527</v>
      </c>
      <c r="P869" s="37"/>
      <c r="Q869" s="45">
        <f t="shared" si="130"/>
        <v>7.6477912782415475E-2</v>
      </c>
    </row>
    <row r="870" spans="1:18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40">
        <f t="shared" si="124"/>
        <v>169.82</v>
      </c>
      <c r="G870" s="24">
        <v>5</v>
      </c>
      <c r="H870" s="8"/>
      <c r="I870" s="8"/>
      <c r="J870" s="40">
        <f t="shared" si="125"/>
        <v>5</v>
      </c>
      <c r="K870" s="66">
        <f t="shared" si="128"/>
        <v>2.7964205816554807E-3</v>
      </c>
      <c r="L870" s="37">
        <f t="shared" si="129"/>
        <v>6.3454418344519015</v>
      </c>
      <c r="M870" s="37">
        <f t="shared" si="126"/>
        <v>2.3332189625279645</v>
      </c>
      <c r="N870" s="37">
        <v>2.4695441319107663</v>
      </c>
      <c r="O870" s="37">
        <f t="shared" si="127"/>
        <v>0.84200223713646527</v>
      </c>
      <c r="P870" s="37"/>
      <c r="Q870" s="45">
        <f t="shared" si="130"/>
        <v>7.0605389035608868E-2</v>
      </c>
    </row>
    <row r="871" spans="1:18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40">
        <f t="shared" si="124"/>
        <v>263.20999999999998</v>
      </c>
      <c r="G871" s="24">
        <v>6</v>
      </c>
      <c r="H871" s="8"/>
      <c r="I871" s="8"/>
      <c r="J871" s="40">
        <f t="shared" si="125"/>
        <v>6</v>
      </c>
      <c r="K871" s="66">
        <f t="shared" si="128"/>
        <v>3.3557046979865771E-3</v>
      </c>
      <c r="L871" s="37">
        <f t="shared" si="129"/>
        <v>7.6145302013422818</v>
      </c>
      <c r="M871" s="37">
        <f t="shared" si="126"/>
        <v>2.7998627550335571</v>
      </c>
      <c r="N871" s="37">
        <v>2.9634529582929194</v>
      </c>
      <c r="O871" s="37">
        <f t="shared" si="127"/>
        <v>1.0104026845637584</v>
      </c>
      <c r="P871" s="37"/>
      <c r="Q871" s="45">
        <f t="shared" si="130"/>
        <v>5.4664521101905394E-2</v>
      </c>
    </row>
    <row r="872" spans="1:18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40">
        <f t="shared" ref="F872:F878" si="131">C872+D872+E872</f>
        <v>83.5</v>
      </c>
      <c r="G872" s="24">
        <v>1</v>
      </c>
      <c r="H872" s="8"/>
      <c r="I872" s="8"/>
      <c r="J872" s="40">
        <f t="shared" ref="J872:J878" si="132">G872+H872+I872</f>
        <v>1</v>
      </c>
      <c r="K872" s="66">
        <f t="shared" si="128"/>
        <v>5.5928411633109618E-4</v>
      </c>
      <c r="L872" s="37">
        <f t="shared" si="129"/>
        <v>1.2690883668903803</v>
      </c>
      <c r="M872" s="37">
        <f t="shared" ref="M872:M879" si="133">L872*0.3677</f>
        <v>0.46664379250559285</v>
      </c>
      <c r="N872" s="37">
        <v>0.49390882638215322</v>
      </c>
      <c r="O872" s="37">
        <f t="shared" si="127"/>
        <v>0.16840044742729307</v>
      </c>
      <c r="P872" s="37"/>
      <c r="Q872" s="45">
        <f t="shared" si="130"/>
        <v>2.8719059080304421E-2</v>
      </c>
    </row>
    <row r="873" spans="1:18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40">
        <f t="shared" si="131"/>
        <v>1770.4</v>
      </c>
      <c r="G873" s="24">
        <v>60</v>
      </c>
      <c r="H873" s="8"/>
      <c r="I873" s="8"/>
      <c r="J873" s="40">
        <f t="shared" si="132"/>
        <v>60</v>
      </c>
      <c r="K873" s="66">
        <f t="shared" si="128"/>
        <v>3.3557046979865772E-2</v>
      </c>
      <c r="L873" s="37">
        <f t="shared" si="129"/>
        <v>76.145302013422821</v>
      </c>
      <c r="M873" s="37">
        <f t="shared" si="133"/>
        <v>27.998627550335573</v>
      </c>
      <c r="N873" s="37">
        <v>23.707623666343359</v>
      </c>
      <c r="O873" s="37">
        <f t="shared" si="127"/>
        <v>10.104026845637584</v>
      </c>
      <c r="P873" s="37"/>
      <c r="Q873" s="45">
        <f t="shared" si="130"/>
        <v>7.792339588552831E-2</v>
      </c>
    </row>
    <row r="874" spans="1:18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40">
        <f t="shared" si="131"/>
        <v>4761.2</v>
      </c>
      <c r="G874" s="24">
        <v>72</v>
      </c>
      <c r="H874" s="8"/>
      <c r="I874" s="8"/>
      <c r="J874" s="40">
        <f t="shared" si="132"/>
        <v>72</v>
      </c>
      <c r="K874" s="66">
        <f t="shared" si="128"/>
        <v>4.0268456375838924E-2</v>
      </c>
      <c r="L874" s="37">
        <f t="shared" si="129"/>
        <v>91.374362416107374</v>
      </c>
      <c r="M874" s="37">
        <f t="shared" si="133"/>
        <v>33.598353060402687</v>
      </c>
      <c r="N874" s="37">
        <v>35.561435499515035</v>
      </c>
      <c r="O874" s="37">
        <f t="shared" si="127"/>
        <v>12.124832214765101</v>
      </c>
      <c r="P874" s="37"/>
      <c r="Q874" s="45">
        <f t="shared" si="130"/>
        <v>3.6263753505584771E-2</v>
      </c>
    </row>
    <row r="875" spans="1:18" s="6" customFormat="1" ht="15.75">
      <c r="A875" s="32">
        <v>130</v>
      </c>
      <c r="B875" s="195" t="s">
        <v>1382</v>
      </c>
      <c r="C875" s="550">
        <v>725.2</v>
      </c>
      <c r="D875" s="533"/>
      <c r="E875" s="533"/>
      <c r="F875" s="40">
        <f t="shared" si="131"/>
        <v>725.2</v>
      </c>
      <c r="G875" s="24">
        <v>15</v>
      </c>
      <c r="H875" s="8"/>
      <c r="I875" s="8"/>
      <c r="J875" s="40">
        <f t="shared" si="132"/>
        <v>15</v>
      </c>
      <c r="K875" s="66">
        <f t="shared" si="128"/>
        <v>8.389261744966443E-3</v>
      </c>
      <c r="L875" s="37">
        <f t="shared" si="129"/>
        <v>19.036325503355705</v>
      </c>
      <c r="M875" s="37">
        <f t="shared" si="133"/>
        <v>6.9996568875838934</v>
      </c>
      <c r="N875" s="37">
        <v>7.4086323957322993</v>
      </c>
      <c r="O875" s="37">
        <f t="shared" si="127"/>
        <v>2.526006711409396</v>
      </c>
      <c r="P875" s="37"/>
      <c r="Q875" s="45">
        <f t="shared" si="130"/>
        <v>4.9600967316714414E-2</v>
      </c>
    </row>
    <row r="876" spans="1:18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 t="shared" si="131"/>
        <v>2911.81</v>
      </c>
      <c r="G876" s="40">
        <v>71</v>
      </c>
      <c r="H876" s="8"/>
      <c r="I876" s="8"/>
      <c r="J876" s="40">
        <f t="shared" si="132"/>
        <v>71</v>
      </c>
      <c r="K876" s="66">
        <f t="shared" si="128"/>
        <v>3.9709172259507826E-2</v>
      </c>
      <c r="L876" s="37">
        <f t="shared" si="129"/>
        <v>90.105274049217002</v>
      </c>
      <c r="M876" s="37">
        <f t="shared" si="133"/>
        <v>33.131709267897094</v>
      </c>
      <c r="N876" s="37">
        <v>23.707623666343359</v>
      </c>
      <c r="O876" s="37">
        <f>K876*301.1</f>
        <v>11.956431767337808</v>
      </c>
      <c r="P876" s="37"/>
      <c r="Q876" s="45">
        <f t="shared" si="130"/>
        <v>5.4571225028691869E-2</v>
      </c>
    </row>
    <row r="877" spans="1:18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 t="shared" si="131"/>
        <v>2933</v>
      </c>
      <c r="G877" s="40">
        <v>67</v>
      </c>
      <c r="H877" s="8"/>
      <c r="I877" s="8"/>
      <c r="J877" s="40">
        <f t="shared" si="132"/>
        <v>67</v>
      </c>
      <c r="K877" s="66">
        <f>3/5364*J877</f>
        <v>3.7472035794183442E-2</v>
      </c>
      <c r="L877" s="37">
        <f>K877*2269.13</f>
        <v>85.028920581655484</v>
      </c>
      <c r="M877" s="37">
        <f t="shared" si="133"/>
        <v>31.265134097874725</v>
      </c>
      <c r="N877" s="37">
        <v>35.561435499515035</v>
      </c>
      <c r="O877" s="37">
        <f>K877*301.1</f>
        <v>11.282829977628635</v>
      </c>
      <c r="P877" s="37"/>
      <c r="Q877" s="45">
        <f t="shared" si="130"/>
        <v>5.5621657059895635E-2</v>
      </c>
    </row>
    <row r="878" spans="1:18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 t="shared" si="131"/>
        <v>3120.67</v>
      </c>
      <c r="G878" s="40">
        <v>75</v>
      </c>
      <c r="H878" s="8"/>
      <c r="I878" s="8"/>
      <c r="J878" s="40">
        <f t="shared" si="132"/>
        <v>75</v>
      </c>
      <c r="K878" s="66">
        <f>3/5364*J878</f>
        <v>4.1946308724832217E-2</v>
      </c>
      <c r="L878" s="37">
        <f>K878*2269.13</f>
        <v>95.181627516778534</v>
      </c>
      <c r="M878" s="37">
        <f t="shared" si="133"/>
        <v>34.998284437919466</v>
      </c>
      <c r="N878" s="37">
        <v>7.4086323957322993</v>
      </c>
      <c r="O878" s="37">
        <f>K878*301.1</f>
        <v>12.630033557046982</v>
      </c>
      <c r="P878" s="37"/>
      <c r="Q878" s="45">
        <f t="shared" si="130"/>
        <v>4.8136643063020852E-2</v>
      </c>
    </row>
    <row r="879" spans="1:18" s="69" customFormat="1" ht="16.5" thickBot="1">
      <c r="A879" s="63"/>
      <c r="B879" s="63" t="s">
        <v>681</v>
      </c>
      <c r="C879" s="186">
        <f t="shared" ref="C879:I879" si="134">SUM(C749:C875)</f>
        <v>265431.31999999989</v>
      </c>
      <c r="D879" s="186">
        <f t="shared" si="134"/>
        <v>216.9</v>
      </c>
      <c r="E879" s="186">
        <f t="shared" si="134"/>
        <v>5608.6</v>
      </c>
      <c r="F879" s="63">
        <f t="shared" si="134"/>
        <v>271256.81999999995</v>
      </c>
      <c r="G879" s="30">
        <f t="shared" si="134"/>
        <v>5107</v>
      </c>
      <c r="H879" s="30">
        <f t="shared" si="134"/>
        <v>5</v>
      </c>
      <c r="I879" s="30">
        <f t="shared" si="134"/>
        <v>39</v>
      </c>
      <c r="J879" s="30">
        <f>SUM(J749:J878)</f>
        <v>5364</v>
      </c>
      <c r="K879" s="66">
        <f>3/5364*J879</f>
        <v>3</v>
      </c>
      <c r="L879" s="37">
        <f>K879*2269.13</f>
        <v>6807.39</v>
      </c>
      <c r="M879" s="64">
        <f t="shared" si="133"/>
        <v>2503.0773030000005</v>
      </c>
      <c r="N879" s="37">
        <f>SUM(N748:N875)</f>
        <v>2538.7901493695476</v>
      </c>
      <c r="O879" s="37">
        <f>K879*301.1</f>
        <v>903.30000000000007</v>
      </c>
      <c r="P879" s="37"/>
      <c r="Q879" s="45">
        <f t="shared" si="130"/>
        <v>4.7012854653274899E-2</v>
      </c>
      <c r="R879" s="5"/>
    </row>
    <row r="880" spans="1:18" s="6" customFormat="1" ht="16.5" thickBot="1">
      <c r="A880" s="9" t="s">
        <v>392</v>
      </c>
      <c r="B880" s="8"/>
      <c r="C880" s="138"/>
      <c r="D880" s="138"/>
      <c r="E880" s="138"/>
      <c r="F880" s="40">
        <f t="shared" ref="F880:F942" si="135">C880+D880+E880</f>
        <v>0</v>
      </c>
      <c r="G880" s="24"/>
      <c r="H880" s="8"/>
      <c r="I880" s="8"/>
      <c r="J880" s="40">
        <f t="shared" ref="J880:J941" si="136">G880+H880+I880</f>
        <v>0</v>
      </c>
      <c r="K880" s="61"/>
      <c r="L880" s="37">
        <f>K880*2077.52</f>
        <v>0</v>
      </c>
      <c r="M880" s="37"/>
      <c r="N880" s="37">
        <f>L880*0.5</f>
        <v>0</v>
      </c>
      <c r="O880" s="37">
        <f>K880*301.1</f>
        <v>0</v>
      </c>
      <c r="P880" s="37"/>
      <c r="Q880" s="45">
        <v>0</v>
      </c>
    </row>
    <row r="881" spans="1:19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8">
        <f t="shared" si="135"/>
        <v>4265.91</v>
      </c>
      <c r="G881" s="330">
        <v>84</v>
      </c>
      <c r="H881" s="386"/>
      <c r="I881" s="386"/>
      <c r="J881" s="8">
        <f t="shared" si="136"/>
        <v>84</v>
      </c>
      <c r="K881" s="221">
        <f t="shared" ref="K881:K944" si="137">4/6375*J881</f>
        <v>5.2705882352941179E-2</v>
      </c>
      <c r="L881" s="37">
        <f t="shared" ref="L881:L944" si="138">K881*2269.13</f>
        <v>119.59649882352942</v>
      </c>
      <c r="M881" s="7">
        <f t="shared" ref="M881:M943" si="139">L881*0.3677</f>
        <v>43.975632617411769</v>
      </c>
      <c r="N881" s="37">
        <v>45.989606495940038</v>
      </c>
      <c r="O881" s="37">
        <f>K881*801.1</f>
        <v>42.222682352941177</v>
      </c>
      <c r="P881" s="37">
        <f>O881*1.219</f>
        <v>51.469449788235302</v>
      </c>
      <c r="Q881" s="45">
        <f t="shared" si="130"/>
        <v>5.9022440766406788E-2</v>
      </c>
      <c r="R881" s="55"/>
      <c r="S881" s="6">
        <f>N881*1.1</f>
        <v>50.588567145534043</v>
      </c>
    </row>
    <row r="882" spans="1:19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8">
        <f t="shared" si="135"/>
        <v>9865.73</v>
      </c>
      <c r="G882" s="330">
        <v>180</v>
      </c>
      <c r="H882" s="330"/>
      <c r="I882" s="330"/>
      <c r="J882" s="8">
        <f t="shared" si="136"/>
        <v>180</v>
      </c>
      <c r="K882" s="221">
        <f t="shared" si="137"/>
        <v>0.11294117647058824</v>
      </c>
      <c r="L882" s="37">
        <f t="shared" si="138"/>
        <v>256.27821176470593</v>
      </c>
      <c r="M882" s="7">
        <f t="shared" si="139"/>
        <v>94.233498465882377</v>
      </c>
      <c r="N882" s="37">
        <v>98.54915677701436</v>
      </c>
      <c r="O882" s="37">
        <f t="shared" ref="O882:O945" si="140">K882*801.1</f>
        <v>90.477176470588248</v>
      </c>
      <c r="P882" s="37">
        <f t="shared" ref="P882:P945" si="141">O882*1.219</f>
        <v>110.29167811764708</v>
      </c>
      <c r="Q882" s="45">
        <f t="shared" si="130"/>
        <v>5.4688101486478041E-2</v>
      </c>
      <c r="R882" s="55"/>
      <c r="S882" s="6">
        <f t="shared" ref="S882:S944" si="142">N882*1.1</f>
        <v>108.4040724547158</v>
      </c>
    </row>
    <row r="883" spans="1:19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8">
        <f t="shared" si="135"/>
        <v>4252.49</v>
      </c>
      <c r="G883" s="330">
        <v>85</v>
      </c>
      <c r="H883" s="330"/>
      <c r="I883" s="330"/>
      <c r="J883" s="8">
        <f t="shared" si="136"/>
        <v>85</v>
      </c>
      <c r="K883" s="221">
        <f t="shared" si="137"/>
        <v>5.3333333333333337E-2</v>
      </c>
      <c r="L883" s="37">
        <f t="shared" si="138"/>
        <v>121.02026666666669</v>
      </c>
      <c r="M883" s="7">
        <f t="shared" si="139"/>
        <v>44.499152053333347</v>
      </c>
      <c r="N883" s="37">
        <v>46.53710181136789</v>
      </c>
      <c r="O883" s="37">
        <f t="shared" si="140"/>
        <v>42.725333333333339</v>
      </c>
      <c r="P883" s="37">
        <f t="shared" si="141"/>
        <v>52.082181333333345</v>
      </c>
      <c r="Q883" s="45">
        <f t="shared" si="130"/>
        <v>5.9913569194683887E-2</v>
      </c>
      <c r="R883" s="55"/>
      <c r="S883" s="6">
        <f t="shared" si="142"/>
        <v>51.190811992504685</v>
      </c>
    </row>
    <row r="884" spans="1:19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8">
        <f t="shared" si="135"/>
        <v>5951.3</v>
      </c>
      <c r="G884" s="330">
        <v>108</v>
      </c>
      <c r="H884" s="330"/>
      <c r="I884" s="330">
        <v>1</v>
      </c>
      <c r="J884" s="8">
        <f t="shared" si="136"/>
        <v>109</v>
      </c>
      <c r="K884" s="221">
        <f t="shared" si="137"/>
        <v>6.8392156862745093E-2</v>
      </c>
      <c r="L884" s="37">
        <f t="shared" si="138"/>
        <v>155.19069490196077</v>
      </c>
      <c r="M884" s="7">
        <f t="shared" si="139"/>
        <v>57.063618515450976</v>
      </c>
      <c r="N884" s="37">
        <v>59.676989381636474</v>
      </c>
      <c r="O884" s="37">
        <f t="shared" si="140"/>
        <v>54.788956862745096</v>
      </c>
      <c r="P884" s="37">
        <f t="shared" si="141"/>
        <v>66.787738415686277</v>
      </c>
      <c r="Q884" s="45">
        <f t="shared" si="130"/>
        <v>5.4898973276728324E-2</v>
      </c>
      <c r="R884" s="55"/>
      <c r="S884" s="6">
        <f t="shared" si="142"/>
        <v>65.644688319800125</v>
      </c>
    </row>
    <row r="885" spans="1:19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8">
        <f t="shared" si="135"/>
        <v>4295.57</v>
      </c>
      <c r="G885" s="330">
        <v>84</v>
      </c>
      <c r="H885" s="330"/>
      <c r="I885" s="330"/>
      <c r="J885" s="8">
        <f t="shared" si="136"/>
        <v>84</v>
      </c>
      <c r="K885" s="221">
        <f t="shared" si="137"/>
        <v>5.2705882352941179E-2</v>
      </c>
      <c r="L885" s="37">
        <f t="shared" si="138"/>
        <v>119.59649882352942</v>
      </c>
      <c r="M885" s="7">
        <f t="shared" si="139"/>
        <v>43.975632617411769</v>
      </c>
      <c r="N885" s="37">
        <v>45.989606495940038</v>
      </c>
      <c r="O885" s="37">
        <f t="shared" si="140"/>
        <v>42.222682352941177</v>
      </c>
      <c r="P885" s="37">
        <f t="shared" si="141"/>
        <v>51.469449788235302</v>
      </c>
      <c r="Q885" s="45">
        <f t="shared" si="130"/>
        <v>5.8614903328271309E-2</v>
      </c>
      <c r="R885" s="55"/>
      <c r="S885" s="6">
        <f t="shared" si="142"/>
        <v>50.588567145534043</v>
      </c>
    </row>
    <row r="886" spans="1:19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8">
        <f t="shared" si="135"/>
        <v>7972.34</v>
      </c>
      <c r="G886" s="330">
        <v>144</v>
      </c>
      <c r="H886" s="330"/>
      <c r="I886" s="330"/>
      <c r="J886" s="8">
        <f t="shared" si="136"/>
        <v>144</v>
      </c>
      <c r="K886" s="221">
        <f t="shared" si="137"/>
        <v>9.0352941176470594E-2</v>
      </c>
      <c r="L886" s="37">
        <f t="shared" si="138"/>
        <v>205.02256941176472</v>
      </c>
      <c r="M886" s="7">
        <f t="shared" si="139"/>
        <v>75.386798772705887</v>
      </c>
      <c r="N886" s="37">
        <v>78.839325421611491</v>
      </c>
      <c r="O886" s="37">
        <f>K886*801.1</f>
        <v>72.381741176470598</v>
      </c>
      <c r="P886" s="37">
        <f t="shared" si="141"/>
        <v>88.233342494117665</v>
      </c>
      <c r="Q886" s="45">
        <f t="shared" si="130"/>
        <v>5.414099684440863E-2</v>
      </c>
      <c r="R886" s="55"/>
      <c r="S886" s="6">
        <f t="shared" si="142"/>
        <v>86.723257963772653</v>
      </c>
    </row>
    <row r="887" spans="1:19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8">
        <f t="shared" si="135"/>
        <v>3946.89</v>
      </c>
      <c r="G887" s="330">
        <v>72</v>
      </c>
      <c r="H887" s="330"/>
      <c r="I887" s="330">
        <v>1</v>
      </c>
      <c r="J887" s="8">
        <f t="shared" si="136"/>
        <v>73</v>
      </c>
      <c r="K887" s="221">
        <f t="shared" si="137"/>
        <v>4.5803921568627455E-2</v>
      </c>
      <c r="L887" s="37">
        <f t="shared" si="138"/>
        <v>103.93505254901962</v>
      </c>
      <c r="M887" s="7">
        <f t="shared" si="139"/>
        <v>38.216918822274515</v>
      </c>
      <c r="N887" s="37">
        <v>39.967158026233598</v>
      </c>
      <c r="O887" s="37">
        <f t="shared" si="140"/>
        <v>36.693521568627453</v>
      </c>
      <c r="P887" s="37">
        <f t="shared" si="141"/>
        <v>44.729402792156868</v>
      </c>
      <c r="Q887" s="45">
        <f t="shared" si="130"/>
        <v>5.5439257482766229E-2</v>
      </c>
      <c r="R887" s="55"/>
      <c r="S887" s="6">
        <f t="shared" si="142"/>
        <v>43.963873828856961</v>
      </c>
    </row>
    <row r="888" spans="1:19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8">
        <f t="shared" si="135"/>
        <v>8036.22</v>
      </c>
      <c r="G888" s="330">
        <v>144</v>
      </c>
      <c r="H888" s="330"/>
      <c r="I888" s="330"/>
      <c r="J888" s="8">
        <f t="shared" si="136"/>
        <v>144</v>
      </c>
      <c r="K888" s="221">
        <f t="shared" si="137"/>
        <v>9.0352941176470594E-2</v>
      </c>
      <c r="L888" s="37">
        <f t="shared" si="138"/>
        <v>205.02256941176472</v>
      </c>
      <c r="M888" s="7">
        <f t="shared" si="139"/>
        <v>75.386798772705887</v>
      </c>
      <c r="N888" s="37">
        <v>78.839325421611491</v>
      </c>
      <c r="O888" s="37">
        <f t="shared" si="140"/>
        <v>72.381741176470598</v>
      </c>
      <c r="P888" s="37">
        <f t="shared" si="141"/>
        <v>88.233342494117665</v>
      </c>
      <c r="Q888" s="45">
        <f t="shared" si="130"/>
        <v>5.3710629472880619E-2</v>
      </c>
      <c r="R888" s="8"/>
      <c r="S888" s="6">
        <f t="shared" si="142"/>
        <v>86.723257963772653</v>
      </c>
    </row>
    <row r="889" spans="1:19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8">
        <f t="shared" si="135"/>
        <v>3993.05</v>
      </c>
      <c r="G889" s="330">
        <v>72</v>
      </c>
      <c r="H889" s="330"/>
      <c r="I889" s="330"/>
      <c r="J889" s="8">
        <f t="shared" si="136"/>
        <v>72</v>
      </c>
      <c r="K889" s="221">
        <f t="shared" si="137"/>
        <v>4.5176470588235297E-2</v>
      </c>
      <c r="L889" s="37">
        <f t="shared" si="138"/>
        <v>102.51128470588236</v>
      </c>
      <c r="M889" s="7">
        <f t="shared" si="139"/>
        <v>37.693399386352944</v>
      </c>
      <c r="N889" s="37">
        <v>39.419662710805746</v>
      </c>
      <c r="O889" s="37">
        <f>K889*801.1</f>
        <v>36.190870588235299</v>
      </c>
      <c r="P889" s="37">
        <f t="shared" si="141"/>
        <v>44.116671247058832</v>
      </c>
      <c r="Q889" s="45">
        <f t="shared" si="130"/>
        <v>5.4047712247849725E-2</v>
      </c>
      <c r="R889" s="8"/>
      <c r="S889" s="6">
        <f t="shared" si="142"/>
        <v>43.361628981886327</v>
      </c>
    </row>
    <row r="890" spans="1:19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8">
        <f t="shared" si="135"/>
        <v>8196.09</v>
      </c>
      <c r="G890" s="330">
        <v>146</v>
      </c>
      <c r="H890" s="330"/>
      <c r="I890" s="330"/>
      <c r="J890" s="8">
        <f t="shared" si="136"/>
        <v>146</v>
      </c>
      <c r="K890" s="221">
        <f t="shared" si="137"/>
        <v>9.160784313725491E-2</v>
      </c>
      <c r="L890" s="37">
        <f t="shared" si="138"/>
        <v>207.87010509803923</v>
      </c>
      <c r="M890" s="7">
        <f t="shared" si="139"/>
        <v>76.43383764454903</v>
      </c>
      <c r="N890" s="37">
        <v>79.934316052467196</v>
      </c>
      <c r="O890" s="37">
        <f>K890*801.1</f>
        <v>73.387043137254906</v>
      </c>
      <c r="P890" s="37">
        <f t="shared" si="141"/>
        <v>89.458805584313737</v>
      </c>
      <c r="Q890" s="45">
        <f t="shared" si="130"/>
        <v>5.339439927237382E-2</v>
      </c>
      <c r="R890" s="8"/>
      <c r="S890" s="6">
        <f t="shared" si="142"/>
        <v>87.927747657713923</v>
      </c>
    </row>
    <row r="891" spans="1:19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8">
        <f t="shared" si="135"/>
        <v>3935.64</v>
      </c>
      <c r="G891" s="330">
        <v>72</v>
      </c>
      <c r="H891" s="330"/>
      <c r="I891" s="330"/>
      <c r="J891" s="8">
        <f t="shared" si="136"/>
        <v>72</v>
      </c>
      <c r="K891" s="221">
        <f t="shared" si="137"/>
        <v>4.5176470588235297E-2</v>
      </c>
      <c r="L891" s="37">
        <f t="shared" si="138"/>
        <v>102.51128470588236</v>
      </c>
      <c r="M891" s="7">
        <f t="shared" si="139"/>
        <v>37.693399386352944</v>
      </c>
      <c r="N891" s="37">
        <v>39.419662710805746</v>
      </c>
      <c r="O891" s="37">
        <f t="shared" si="140"/>
        <v>36.190870588235299</v>
      </c>
      <c r="P891" s="37">
        <f t="shared" si="141"/>
        <v>44.116671247058832</v>
      </c>
      <c r="Q891" s="45">
        <f t="shared" si="130"/>
        <v>5.4836117478040763E-2</v>
      </c>
      <c r="R891" s="55"/>
      <c r="S891" s="6">
        <f t="shared" si="142"/>
        <v>43.361628981886327</v>
      </c>
    </row>
    <row r="892" spans="1:19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8">
        <f t="shared" si="135"/>
        <v>4128.3999999999996</v>
      </c>
      <c r="G892" s="330">
        <v>70</v>
      </c>
      <c r="H892" s="330"/>
      <c r="I892" s="730">
        <v>3</v>
      </c>
      <c r="J892" s="8">
        <f t="shared" si="136"/>
        <v>73</v>
      </c>
      <c r="K892" s="221">
        <f t="shared" si="137"/>
        <v>4.5803921568627455E-2</v>
      </c>
      <c r="L892" s="37">
        <f t="shared" si="138"/>
        <v>103.93505254901962</v>
      </c>
      <c r="M892" s="7">
        <f t="shared" si="139"/>
        <v>38.216918822274515</v>
      </c>
      <c r="N892" s="37">
        <v>39.967158026233598</v>
      </c>
      <c r="O892" s="37">
        <f t="shared" si="140"/>
        <v>36.693521568627453</v>
      </c>
      <c r="P892" s="37">
        <f t="shared" si="141"/>
        <v>44.729402792156868</v>
      </c>
      <c r="Q892" s="45">
        <f t="shared" si="130"/>
        <v>5.300180480722682E-2</v>
      </c>
      <c r="R892" s="8"/>
      <c r="S892" s="6">
        <f t="shared" si="142"/>
        <v>43.963873828856961</v>
      </c>
    </row>
    <row r="893" spans="1:19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8">
        <f t="shared" si="135"/>
        <v>18171.13</v>
      </c>
      <c r="G893" s="330">
        <v>327</v>
      </c>
      <c r="H893" s="330">
        <v>3</v>
      </c>
      <c r="I893" s="330"/>
      <c r="J893" s="8">
        <f t="shared" si="136"/>
        <v>330</v>
      </c>
      <c r="K893" s="221">
        <f t="shared" si="137"/>
        <v>0.20705882352941177</v>
      </c>
      <c r="L893" s="37">
        <f t="shared" si="138"/>
        <v>469.84338823529413</v>
      </c>
      <c r="M893" s="7">
        <f t="shared" si="139"/>
        <v>172.76141385411768</v>
      </c>
      <c r="N893" s="37">
        <v>180.67345409119298</v>
      </c>
      <c r="O893" s="37">
        <f>K893*801.1</f>
        <v>165.87482352941177</v>
      </c>
      <c r="P893" s="37">
        <f t="shared" si="141"/>
        <v>202.20140988235295</v>
      </c>
      <c r="Q893" s="45">
        <f t="shared" si="130"/>
        <v>5.4435419245254225E-2</v>
      </c>
      <c r="R893" s="8"/>
      <c r="S893" s="6">
        <f t="shared" si="142"/>
        <v>198.74079950031231</v>
      </c>
    </row>
    <row r="894" spans="1:19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8">
        <f t="shared" si="135"/>
        <v>3212.3</v>
      </c>
      <c r="G894" s="330">
        <v>55</v>
      </c>
      <c r="H894" s="330"/>
      <c r="I894" s="330"/>
      <c r="J894" s="8">
        <f t="shared" si="136"/>
        <v>55</v>
      </c>
      <c r="K894" s="221">
        <f t="shared" si="137"/>
        <v>3.4509803921568626E-2</v>
      </c>
      <c r="L894" s="37">
        <f t="shared" si="138"/>
        <v>78.307231372549026</v>
      </c>
      <c r="M894" s="7">
        <f t="shared" si="139"/>
        <v>28.793568975686281</v>
      </c>
      <c r="N894" s="37">
        <v>30.112242348532167</v>
      </c>
      <c r="O894" s="37">
        <f t="shared" si="140"/>
        <v>27.645803921568628</v>
      </c>
      <c r="P894" s="37">
        <f t="shared" si="141"/>
        <v>33.70023498039216</v>
      </c>
      <c r="Q894" s="45">
        <f t="shared" si="130"/>
        <v>5.132112399786324E-2</v>
      </c>
      <c r="R894" s="8"/>
      <c r="S894" s="6">
        <f t="shared" si="142"/>
        <v>33.123466583385387</v>
      </c>
    </row>
    <row r="895" spans="1:19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8">
        <f t="shared" si="135"/>
        <v>4181.6099999999997</v>
      </c>
      <c r="G895" s="330">
        <v>163</v>
      </c>
      <c r="H895" s="730">
        <v>1</v>
      </c>
      <c r="I895" s="730"/>
      <c r="J895" s="8">
        <f t="shared" si="136"/>
        <v>164</v>
      </c>
      <c r="K895" s="221">
        <f t="shared" si="137"/>
        <v>0.10290196078431373</v>
      </c>
      <c r="L895" s="37">
        <f t="shared" si="138"/>
        <v>233.49792627450981</v>
      </c>
      <c r="M895" s="7">
        <f t="shared" si="139"/>
        <v>85.857187491137267</v>
      </c>
      <c r="N895" s="37">
        <v>89.789231730168638</v>
      </c>
      <c r="O895" s="37">
        <f t="shared" si="140"/>
        <v>82.434760784313724</v>
      </c>
      <c r="P895" s="37">
        <f t="shared" si="141"/>
        <v>100.48797339607843</v>
      </c>
      <c r="Q895" s="45">
        <f t="shared" si="130"/>
        <v>0.11755737772774827</v>
      </c>
      <c r="R895" s="8"/>
      <c r="S895" s="6">
        <f t="shared" si="142"/>
        <v>98.768154903185504</v>
      </c>
    </row>
    <row r="896" spans="1:19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8">
        <f t="shared" si="135"/>
        <v>6299.01</v>
      </c>
      <c r="G896" s="330">
        <v>101</v>
      </c>
      <c r="H896" s="330"/>
      <c r="I896" s="330"/>
      <c r="J896" s="8">
        <f t="shared" si="136"/>
        <v>101</v>
      </c>
      <c r="K896" s="221">
        <f t="shared" si="137"/>
        <v>6.3372549019607843E-2</v>
      </c>
      <c r="L896" s="37">
        <f t="shared" si="138"/>
        <v>143.80055215686275</v>
      </c>
      <c r="M896" s="7">
        <f t="shared" si="139"/>
        <v>52.875463028078435</v>
      </c>
      <c r="N896" s="37">
        <v>55.297026858213606</v>
      </c>
      <c r="O896" s="37">
        <f t="shared" si="140"/>
        <v>50.767749019607848</v>
      </c>
      <c r="P896" s="37">
        <f t="shared" si="141"/>
        <v>61.885886054901974</v>
      </c>
      <c r="Q896" s="45">
        <f t="shared" si="130"/>
        <v>4.8061646363914745E-2</v>
      </c>
      <c r="R896" s="8"/>
      <c r="S896" s="6">
        <f t="shared" si="142"/>
        <v>60.826729544034968</v>
      </c>
    </row>
    <row r="897" spans="1:19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8">
        <f t="shared" si="135"/>
        <v>147.65</v>
      </c>
      <c r="G897" s="330">
        <v>3</v>
      </c>
      <c r="H897" s="330"/>
      <c r="I897" s="330"/>
      <c r="J897" s="8">
        <f t="shared" si="136"/>
        <v>3</v>
      </c>
      <c r="K897" s="221">
        <f t="shared" si="137"/>
        <v>1.8823529411764706E-3</v>
      </c>
      <c r="L897" s="37">
        <f t="shared" si="138"/>
        <v>4.2713035294117647</v>
      </c>
      <c r="M897" s="7">
        <f t="shared" si="139"/>
        <v>1.5705583077647061</v>
      </c>
      <c r="N897" s="37">
        <v>1.6424859462835726</v>
      </c>
      <c r="O897" s="37">
        <f>K897*1801.1</f>
        <v>3.3903058823529411</v>
      </c>
      <c r="P897" s="37">
        <f t="shared" si="141"/>
        <v>4.132782870588235</v>
      </c>
      <c r="Q897" s="45">
        <f t="shared" si="130"/>
        <v>7.3651565633680902E-2</v>
      </c>
      <c r="R897" s="8"/>
      <c r="S897" s="6">
        <f t="shared" si="142"/>
        <v>1.80673454091193</v>
      </c>
    </row>
    <row r="898" spans="1:19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8">
        <f t="shared" si="135"/>
        <v>4248.3</v>
      </c>
      <c r="G898" s="330">
        <v>171</v>
      </c>
      <c r="H898" s="330"/>
      <c r="I898" s="330"/>
      <c r="J898" s="8">
        <f t="shared" si="136"/>
        <v>171</v>
      </c>
      <c r="K898" s="221">
        <f t="shared" si="137"/>
        <v>0.10729411764705883</v>
      </c>
      <c r="L898" s="37">
        <f t="shared" si="138"/>
        <v>243.46430117647063</v>
      </c>
      <c r="M898" s="7">
        <f t="shared" si="139"/>
        <v>89.521823542588251</v>
      </c>
      <c r="N898" s="37">
        <v>93.621698938163647</v>
      </c>
      <c r="O898" s="37">
        <f>K898*1101.1</f>
        <v>118.14155294117647</v>
      </c>
      <c r="P898" s="37">
        <f t="shared" si="141"/>
        <v>144.01455303529411</v>
      </c>
      <c r="Q898" s="45">
        <f t="shared" si="130"/>
        <v>0.12822761495148621</v>
      </c>
      <c r="R898" s="8"/>
      <c r="S898" s="6">
        <f t="shared" si="142"/>
        <v>102.98386883198002</v>
      </c>
    </row>
    <row r="899" spans="1:19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8">
        <f t="shared" si="135"/>
        <v>4085.47</v>
      </c>
      <c r="G899" s="330">
        <v>108</v>
      </c>
      <c r="H899" s="330"/>
      <c r="I899" s="330"/>
      <c r="J899" s="8">
        <f t="shared" si="136"/>
        <v>108</v>
      </c>
      <c r="K899" s="221">
        <f t="shared" si="137"/>
        <v>6.7764705882352949E-2</v>
      </c>
      <c r="L899" s="37">
        <f t="shared" si="138"/>
        <v>153.76692705882357</v>
      </c>
      <c r="M899" s="7">
        <f t="shared" si="139"/>
        <v>56.540099079529433</v>
      </c>
      <c r="N899" s="37">
        <v>59.129494066208608</v>
      </c>
      <c r="O899" s="37">
        <f>K899*1801.1</f>
        <v>122.05101176470589</v>
      </c>
      <c r="P899" s="37">
        <f t="shared" si="141"/>
        <v>148.7801833411765</v>
      </c>
      <c r="Q899" s="45">
        <f t="shared" si="130"/>
        <v>9.5824356064116864E-2</v>
      </c>
      <c r="R899" s="8"/>
      <c r="S899" s="6">
        <f t="shared" si="142"/>
        <v>65.042443472829476</v>
      </c>
    </row>
    <row r="900" spans="1:19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8">
        <f t="shared" si="135"/>
        <v>4100.95</v>
      </c>
      <c r="G900" s="330">
        <v>105</v>
      </c>
      <c r="H900" s="330">
        <v>2</v>
      </c>
      <c r="I900" s="330"/>
      <c r="J900" s="8">
        <f t="shared" si="136"/>
        <v>107</v>
      </c>
      <c r="K900" s="221">
        <f t="shared" si="137"/>
        <v>6.7137254901960791E-2</v>
      </c>
      <c r="L900" s="37">
        <f t="shared" si="138"/>
        <v>152.34315921568628</v>
      </c>
      <c r="M900" s="7">
        <f t="shared" si="139"/>
        <v>56.016579643607848</v>
      </c>
      <c r="N900" s="37">
        <v>58.581998750780762</v>
      </c>
      <c r="O900" s="37">
        <f>K900*801.1</f>
        <v>53.783654901960794</v>
      </c>
      <c r="P900" s="37">
        <f t="shared" si="141"/>
        <v>65.562275325490219</v>
      </c>
      <c r="Q900" s="45">
        <f t="shared" si="130"/>
        <v>7.8207584221225743E-2</v>
      </c>
      <c r="R900" s="8"/>
      <c r="S900" s="6">
        <f t="shared" si="142"/>
        <v>64.440198625858841</v>
      </c>
    </row>
    <row r="901" spans="1:19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8">
        <f t="shared" si="135"/>
        <v>7076.23</v>
      </c>
      <c r="G901" s="330">
        <v>120</v>
      </c>
      <c r="H901" s="330"/>
      <c r="I901" s="330"/>
      <c r="J901" s="8">
        <f t="shared" si="136"/>
        <v>120</v>
      </c>
      <c r="K901" s="221">
        <f t="shared" si="137"/>
        <v>7.5294117647058831E-2</v>
      </c>
      <c r="L901" s="37">
        <f t="shared" si="138"/>
        <v>170.85214117647061</v>
      </c>
      <c r="M901" s="7">
        <f t="shared" si="139"/>
        <v>62.822332310588251</v>
      </c>
      <c r="N901" s="37">
        <v>65.699437851342893</v>
      </c>
      <c r="O901" s="37">
        <f>K901*1501.1</f>
        <v>113.024</v>
      </c>
      <c r="P901" s="37">
        <f t="shared" si="141"/>
        <v>137.77625600000002</v>
      </c>
      <c r="Q901" s="45">
        <f t="shared" si="130"/>
        <v>5.8279325479584719E-2</v>
      </c>
      <c r="R901" s="242"/>
      <c r="S901" s="6">
        <f t="shared" si="142"/>
        <v>72.269381636477192</v>
      </c>
    </row>
    <row r="902" spans="1:19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8">
        <f t="shared" si="135"/>
        <v>4062.74</v>
      </c>
      <c r="G902" s="330">
        <v>108</v>
      </c>
      <c r="H902" s="330"/>
      <c r="I902" s="330"/>
      <c r="J902" s="8">
        <f t="shared" si="136"/>
        <v>108</v>
      </c>
      <c r="K902" s="221">
        <f t="shared" si="137"/>
        <v>6.7764705882352949E-2</v>
      </c>
      <c r="L902" s="37">
        <f t="shared" si="138"/>
        <v>153.76692705882357</v>
      </c>
      <c r="M902" s="7">
        <f t="shared" si="139"/>
        <v>56.540099079529433</v>
      </c>
      <c r="N902" s="37">
        <v>59.129494066208608</v>
      </c>
      <c r="O902" s="37">
        <f t="shared" si="140"/>
        <v>54.286305882352949</v>
      </c>
      <c r="P902" s="37">
        <f t="shared" si="141"/>
        <v>66.175006870588248</v>
      </c>
      <c r="Q902" s="45">
        <f t="shared" si="130"/>
        <v>7.968091142601165E-2</v>
      </c>
      <c r="R902" s="242"/>
      <c r="S902" s="6">
        <f t="shared" si="142"/>
        <v>65.042443472829476</v>
      </c>
    </row>
    <row r="903" spans="1:19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8">
        <f t="shared" si="135"/>
        <v>6379.08</v>
      </c>
      <c r="G903" s="330">
        <v>108</v>
      </c>
      <c r="H903" s="330"/>
      <c r="I903" s="330"/>
      <c r="J903" s="8">
        <f t="shared" si="136"/>
        <v>108</v>
      </c>
      <c r="K903" s="221">
        <f t="shared" si="137"/>
        <v>6.7764705882352949E-2</v>
      </c>
      <c r="L903" s="37">
        <f t="shared" si="138"/>
        <v>153.76692705882357</v>
      </c>
      <c r="M903" s="7">
        <f t="shared" si="139"/>
        <v>56.540099079529433</v>
      </c>
      <c r="N903" s="37">
        <v>59.129494066208608</v>
      </c>
      <c r="O903" s="37">
        <f>K903*1201.1</f>
        <v>81.392188235294114</v>
      </c>
      <c r="P903" s="37">
        <f t="shared" si="141"/>
        <v>99.217077458823525</v>
      </c>
      <c r="Q903" s="45">
        <f t="shared" ref="Q903:Q966" si="143">(O903+N903+M903+L903)/F903</f>
        <v>5.499675634101716E-2</v>
      </c>
      <c r="R903" s="8"/>
      <c r="S903" s="6">
        <f t="shared" si="142"/>
        <v>65.042443472829476</v>
      </c>
    </row>
    <row r="904" spans="1:19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8">
        <f t="shared" si="135"/>
        <v>6509.3399999999992</v>
      </c>
      <c r="G904" s="330">
        <v>107</v>
      </c>
      <c r="H904" s="330"/>
      <c r="I904" s="330">
        <v>1</v>
      </c>
      <c r="J904" s="8">
        <f t="shared" si="136"/>
        <v>108</v>
      </c>
      <c r="K904" s="221">
        <f t="shared" si="137"/>
        <v>6.7764705882352949E-2</v>
      </c>
      <c r="L904" s="37">
        <f t="shared" si="138"/>
        <v>153.76692705882357</v>
      </c>
      <c r="M904" s="7">
        <f t="shared" si="139"/>
        <v>56.540099079529433</v>
      </c>
      <c r="N904" s="37">
        <v>59.129494066208608</v>
      </c>
      <c r="O904" s="37">
        <f>K904*1801.1</f>
        <v>122.05101176470589</v>
      </c>
      <c r="P904" s="37">
        <f t="shared" si="141"/>
        <v>148.7801833411765</v>
      </c>
      <c r="Q904" s="45">
        <f t="shared" si="143"/>
        <v>6.0142431025152709E-2</v>
      </c>
      <c r="R904" s="8"/>
      <c r="S904" s="6">
        <f t="shared" si="142"/>
        <v>65.042443472829476</v>
      </c>
    </row>
    <row r="905" spans="1:19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8">
        <f t="shared" si="135"/>
        <v>4249.6000000000004</v>
      </c>
      <c r="G905" s="330">
        <v>171</v>
      </c>
      <c r="H905" s="330"/>
      <c r="I905" s="330"/>
      <c r="J905" s="8">
        <f t="shared" si="136"/>
        <v>171</v>
      </c>
      <c r="K905" s="221">
        <f t="shared" si="137"/>
        <v>0.10729411764705883</v>
      </c>
      <c r="L905" s="37">
        <f t="shared" si="138"/>
        <v>243.46430117647063</v>
      </c>
      <c r="M905" s="7">
        <f t="shared" si="139"/>
        <v>89.521823542588251</v>
      </c>
      <c r="N905" s="37">
        <v>93.621698938163647</v>
      </c>
      <c r="O905" s="37">
        <f>K905*1801.1</f>
        <v>193.24743529411765</v>
      </c>
      <c r="P905" s="37">
        <f t="shared" si="141"/>
        <v>235.56862362352942</v>
      </c>
      <c r="Q905" s="45">
        <f t="shared" si="143"/>
        <v>0.14586202441437784</v>
      </c>
      <c r="R905" s="8"/>
      <c r="S905" s="6">
        <f t="shared" si="142"/>
        <v>102.98386883198002</v>
      </c>
    </row>
    <row r="906" spans="1:19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8">
        <f t="shared" si="135"/>
        <v>2807.52</v>
      </c>
      <c r="G906" s="330">
        <v>90</v>
      </c>
      <c r="H906" s="330"/>
      <c r="I906" s="330"/>
      <c r="J906" s="8">
        <f t="shared" si="136"/>
        <v>90</v>
      </c>
      <c r="K906" s="221">
        <f t="shared" si="137"/>
        <v>5.647058823529412E-2</v>
      </c>
      <c r="L906" s="37">
        <f t="shared" si="138"/>
        <v>128.13910588235296</v>
      </c>
      <c r="M906" s="7">
        <f t="shared" si="139"/>
        <v>47.116749232941189</v>
      </c>
      <c r="N906" s="37">
        <v>49.27457838850718</v>
      </c>
      <c r="O906" s="37">
        <f t="shared" si="140"/>
        <v>45.238588235294124</v>
      </c>
      <c r="P906" s="37">
        <f t="shared" si="141"/>
        <v>55.14583905882354</v>
      </c>
      <c r="Q906" s="45">
        <f t="shared" si="143"/>
        <v>9.6088014240003808E-2</v>
      </c>
      <c r="R906" s="8"/>
      <c r="S906" s="6">
        <f t="shared" si="142"/>
        <v>54.202036227357901</v>
      </c>
    </row>
    <row r="907" spans="1:19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8">
        <f t="shared" si="135"/>
        <v>4226.7</v>
      </c>
      <c r="G907" s="330">
        <v>69</v>
      </c>
      <c r="H907" s="330"/>
      <c r="I907" s="330"/>
      <c r="J907" s="8">
        <f t="shared" si="136"/>
        <v>69</v>
      </c>
      <c r="K907" s="221">
        <f t="shared" si="137"/>
        <v>4.3294117647058823E-2</v>
      </c>
      <c r="L907" s="37">
        <f t="shared" si="138"/>
        <v>98.239981176470593</v>
      </c>
      <c r="M907" s="7">
        <f t="shared" si="139"/>
        <v>36.122841078588237</v>
      </c>
      <c r="N907" s="37">
        <v>37.777176764522167</v>
      </c>
      <c r="O907" s="37">
        <f>K907*1201.1</f>
        <v>52.000564705882347</v>
      </c>
      <c r="P907" s="37">
        <f t="shared" si="141"/>
        <v>63.388688376470583</v>
      </c>
      <c r="Q907" s="45">
        <f t="shared" si="143"/>
        <v>5.3029683612620566E-2</v>
      </c>
      <c r="R907" s="8"/>
      <c r="S907" s="6">
        <f t="shared" si="142"/>
        <v>41.554894440974387</v>
      </c>
    </row>
    <row r="908" spans="1:19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8">
        <f t="shared" si="135"/>
        <v>4709.3599999999997</v>
      </c>
      <c r="G908" s="330">
        <v>159</v>
      </c>
      <c r="H908" s="330"/>
      <c r="I908" s="330"/>
      <c r="J908" s="8">
        <f t="shared" si="136"/>
        <v>159</v>
      </c>
      <c r="K908" s="221">
        <f t="shared" si="137"/>
        <v>9.976470588235295E-2</v>
      </c>
      <c r="L908" s="37">
        <f t="shared" si="138"/>
        <v>226.37908705882356</v>
      </c>
      <c r="M908" s="7">
        <f t="shared" si="139"/>
        <v>83.239590311529426</v>
      </c>
      <c r="N908" s="37">
        <v>87.051755153029347</v>
      </c>
      <c r="O908" s="37">
        <f>K908*1801.1</f>
        <v>179.68621176470589</v>
      </c>
      <c r="P908" s="37">
        <f t="shared" si="141"/>
        <v>219.0374921411765</v>
      </c>
      <c r="Q908" s="45">
        <f t="shared" si="143"/>
        <v>0.12238534414189789</v>
      </c>
      <c r="R908" s="8"/>
      <c r="S908" s="6">
        <f t="shared" si="142"/>
        <v>95.756930668332288</v>
      </c>
    </row>
    <row r="909" spans="1:19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764">
        <v>5649.9</v>
      </c>
      <c r="G909" s="330">
        <v>197</v>
      </c>
      <c r="H909" s="330"/>
      <c r="I909" s="330">
        <v>1</v>
      </c>
      <c r="J909" s="8">
        <f t="shared" si="136"/>
        <v>198</v>
      </c>
      <c r="K909" s="221">
        <f t="shared" si="137"/>
        <v>0.12423529411764707</v>
      </c>
      <c r="L909" s="37">
        <f t="shared" si="138"/>
        <v>281.90603294117653</v>
      </c>
      <c r="M909" s="7">
        <f t="shared" si="139"/>
        <v>103.65684831247061</v>
      </c>
      <c r="N909" s="37">
        <v>108.40407245471579</v>
      </c>
      <c r="O909" s="37">
        <f>K909*1101.1</f>
        <v>136.79548235294118</v>
      </c>
      <c r="P909" s="37">
        <f t="shared" si="141"/>
        <v>166.75369298823531</v>
      </c>
      <c r="Q909" s="45">
        <f t="shared" si="143"/>
        <v>0.11164134516740193</v>
      </c>
      <c r="R909" s="8"/>
      <c r="S909" s="6">
        <f t="shared" si="142"/>
        <v>119.24447970018737</v>
      </c>
    </row>
    <row r="910" spans="1:19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8">
        <f t="shared" si="135"/>
        <v>3555.12</v>
      </c>
      <c r="G910" s="330">
        <v>72</v>
      </c>
      <c r="H910" s="330"/>
      <c r="I910" s="330"/>
      <c r="J910" s="8">
        <f t="shared" si="136"/>
        <v>72</v>
      </c>
      <c r="K910" s="221">
        <f t="shared" si="137"/>
        <v>4.5176470588235297E-2</v>
      </c>
      <c r="L910" s="37">
        <f t="shared" si="138"/>
        <v>102.51128470588236</v>
      </c>
      <c r="M910" s="7">
        <f t="shared" si="139"/>
        <v>37.693399386352944</v>
      </c>
      <c r="N910" s="37">
        <v>39.419662710805746</v>
      </c>
      <c r="O910" s="37">
        <f t="shared" si="140"/>
        <v>36.190870588235299</v>
      </c>
      <c r="P910" s="37">
        <f t="shared" si="141"/>
        <v>44.116671247058832</v>
      </c>
      <c r="Q910" s="45">
        <f t="shared" si="143"/>
        <v>6.0705466310919561E-2</v>
      </c>
      <c r="R910" s="8"/>
      <c r="S910" s="6">
        <f t="shared" si="142"/>
        <v>43.361628981886327</v>
      </c>
    </row>
    <row r="911" spans="1:19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8">
        <f t="shared" si="135"/>
        <v>342.6</v>
      </c>
      <c r="G911" s="330">
        <v>8</v>
      </c>
      <c r="H911" s="330"/>
      <c r="I911" s="330"/>
      <c r="J911" s="8">
        <f t="shared" si="136"/>
        <v>8</v>
      </c>
      <c r="K911" s="221">
        <f t="shared" si="137"/>
        <v>5.019607843137255E-3</v>
      </c>
      <c r="L911" s="37">
        <f t="shared" si="138"/>
        <v>11.390142745098039</v>
      </c>
      <c r="M911" s="7">
        <f t="shared" si="139"/>
        <v>4.1881554873725495</v>
      </c>
      <c r="N911" s="37">
        <v>4.3799625234228605</v>
      </c>
      <c r="O911" s="37">
        <f>K911*2601.1</f>
        <v>13.056501960784313</v>
      </c>
      <c r="P911" s="37">
        <f t="shared" si="141"/>
        <v>15.915875890196078</v>
      </c>
      <c r="Q911" s="45">
        <f t="shared" si="143"/>
        <v>9.6365331922585409E-2</v>
      </c>
      <c r="R911" s="8"/>
      <c r="S911" s="6">
        <f t="shared" si="142"/>
        <v>4.8179587757651472</v>
      </c>
    </row>
    <row r="912" spans="1:19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8">
        <f t="shared" si="135"/>
        <v>361.6</v>
      </c>
      <c r="G912" s="330">
        <v>8</v>
      </c>
      <c r="H912" s="330"/>
      <c r="I912" s="330"/>
      <c r="J912" s="8">
        <f t="shared" si="136"/>
        <v>8</v>
      </c>
      <c r="K912" s="221">
        <f t="shared" si="137"/>
        <v>5.019607843137255E-3</v>
      </c>
      <c r="L912" s="37">
        <f t="shared" si="138"/>
        <v>11.390142745098039</v>
      </c>
      <c r="M912" s="7">
        <f t="shared" si="139"/>
        <v>4.1881554873725495</v>
      </c>
      <c r="N912" s="37">
        <v>4.3799625234228605</v>
      </c>
      <c r="O912" s="37">
        <f>K912*2201.1</f>
        <v>11.048658823529411</v>
      </c>
      <c r="P912" s="37">
        <f t="shared" si="141"/>
        <v>13.468315105882354</v>
      </c>
      <c r="Q912" s="45">
        <f t="shared" si="143"/>
        <v>8.5749224500616325E-2</v>
      </c>
      <c r="R912" s="8"/>
      <c r="S912" s="6">
        <f t="shared" si="142"/>
        <v>4.8179587757651472</v>
      </c>
    </row>
    <row r="913" spans="1:19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8">
        <f t="shared" si="135"/>
        <v>7926.65</v>
      </c>
      <c r="G913" s="330">
        <v>264</v>
      </c>
      <c r="H913" s="330"/>
      <c r="I913" s="330">
        <v>3</v>
      </c>
      <c r="J913" s="8">
        <f t="shared" si="136"/>
        <v>267</v>
      </c>
      <c r="K913" s="221">
        <f t="shared" si="137"/>
        <v>0.1675294117647059</v>
      </c>
      <c r="L913" s="37">
        <f t="shared" si="138"/>
        <v>380.1460141176471</v>
      </c>
      <c r="M913" s="7">
        <f t="shared" si="139"/>
        <v>139.77968939105884</v>
      </c>
      <c r="N913" s="37">
        <v>146.18124921923794</v>
      </c>
      <c r="O913" s="37">
        <f>K913*2201.1</f>
        <v>368.74898823529412</v>
      </c>
      <c r="P913" s="37">
        <f t="shared" si="141"/>
        <v>449.50501665882359</v>
      </c>
      <c r="Q913" s="45">
        <f t="shared" si="143"/>
        <v>0.13055400969681241</v>
      </c>
      <c r="R913" s="8"/>
      <c r="S913" s="6">
        <f t="shared" si="142"/>
        <v>160.79937414116173</v>
      </c>
    </row>
    <row r="914" spans="1:19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8">
        <f t="shared" si="135"/>
        <v>4021.5</v>
      </c>
      <c r="G914" s="330">
        <v>108</v>
      </c>
      <c r="H914" s="330"/>
      <c r="I914" s="330"/>
      <c r="J914" s="8">
        <f t="shared" si="136"/>
        <v>108</v>
      </c>
      <c r="K914" s="221">
        <f t="shared" si="137"/>
        <v>6.7764705882352949E-2</v>
      </c>
      <c r="L914" s="37">
        <f t="shared" si="138"/>
        <v>153.76692705882357</v>
      </c>
      <c r="M914" s="7">
        <f t="shared" si="139"/>
        <v>56.540099079529433</v>
      </c>
      <c r="N914" s="37">
        <v>59.129494066208608</v>
      </c>
      <c r="O914" s="37">
        <f t="shared" si="140"/>
        <v>54.286305882352949</v>
      </c>
      <c r="P914" s="37">
        <f t="shared" si="141"/>
        <v>66.175006870588248</v>
      </c>
      <c r="Q914" s="45">
        <f t="shared" si="143"/>
        <v>8.0498029612561126E-2</v>
      </c>
      <c r="R914" s="8"/>
      <c r="S914" s="6">
        <f t="shared" si="142"/>
        <v>65.042443472829476</v>
      </c>
    </row>
    <row r="915" spans="1:19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8">
        <f t="shared" si="135"/>
        <v>4138.7700000000004</v>
      </c>
      <c r="G915" s="330">
        <v>108</v>
      </c>
      <c r="H915" s="330"/>
      <c r="I915" s="330"/>
      <c r="J915" s="8">
        <f t="shared" si="136"/>
        <v>108</v>
      </c>
      <c r="K915" s="221">
        <f t="shared" si="137"/>
        <v>6.7764705882352949E-2</v>
      </c>
      <c r="L915" s="37">
        <f t="shared" si="138"/>
        <v>153.76692705882357</v>
      </c>
      <c r="M915" s="7">
        <f t="shared" si="139"/>
        <v>56.540099079529433</v>
      </c>
      <c r="N915" s="37">
        <v>59.129494066208608</v>
      </c>
      <c r="O915" s="37">
        <f t="shared" si="140"/>
        <v>54.286305882352949</v>
      </c>
      <c r="P915" s="37">
        <f t="shared" si="141"/>
        <v>66.175006870588248</v>
      </c>
      <c r="Q915" s="45">
        <f t="shared" si="143"/>
        <v>7.8217157775598678E-2</v>
      </c>
      <c r="R915" s="8"/>
      <c r="S915" s="6">
        <f t="shared" si="142"/>
        <v>65.042443472829476</v>
      </c>
    </row>
    <row r="916" spans="1:19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8">
        <f t="shared" si="135"/>
        <v>361.5</v>
      </c>
      <c r="G916" s="330">
        <v>8</v>
      </c>
      <c r="H916" s="330"/>
      <c r="I916" s="330"/>
      <c r="J916" s="8">
        <f t="shared" si="136"/>
        <v>8</v>
      </c>
      <c r="K916" s="221">
        <f>4/6375*J916</f>
        <v>5.019607843137255E-3</v>
      </c>
      <c r="L916" s="37">
        <f t="shared" si="138"/>
        <v>11.390142745098039</v>
      </c>
      <c r="M916" s="7">
        <f t="shared" si="139"/>
        <v>4.1881554873725495</v>
      </c>
      <c r="N916" s="37">
        <v>4.3799625234228605</v>
      </c>
      <c r="O916" s="37">
        <f>K916*2801.1</f>
        <v>14.060423529411764</v>
      </c>
      <c r="P916" s="37">
        <f t="shared" si="141"/>
        <v>17.139656282352941</v>
      </c>
      <c r="Q916" s="45">
        <f t="shared" si="143"/>
        <v>9.4104244219378186E-2</v>
      </c>
      <c r="R916" s="8"/>
      <c r="S916" s="6">
        <f t="shared" si="142"/>
        <v>4.8179587757651472</v>
      </c>
    </row>
    <row r="917" spans="1:19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8">
        <f t="shared" si="135"/>
        <v>5864.56</v>
      </c>
      <c r="G917" s="330">
        <v>98</v>
      </c>
      <c r="H917" s="330"/>
      <c r="I917" s="330">
        <v>1</v>
      </c>
      <c r="J917" s="8">
        <f t="shared" si="136"/>
        <v>99</v>
      </c>
      <c r="K917" s="221">
        <f t="shared" si="137"/>
        <v>6.2117647058823534E-2</v>
      </c>
      <c r="L917" s="37">
        <f t="shared" si="138"/>
        <v>140.95301647058827</v>
      </c>
      <c r="M917" s="7">
        <f t="shared" si="139"/>
        <v>51.828424156235307</v>
      </c>
      <c r="N917" s="37">
        <v>54.202036227357894</v>
      </c>
      <c r="O917" s="37">
        <f>K917*1201.1</f>
        <v>74.609505882352948</v>
      </c>
      <c r="P917" s="37">
        <f t="shared" si="141"/>
        <v>90.948987670588252</v>
      </c>
      <c r="Q917" s="45">
        <f t="shared" si="143"/>
        <v>5.4836677045939398E-2</v>
      </c>
      <c r="R917" s="8"/>
      <c r="S917" s="6">
        <f t="shared" si="142"/>
        <v>59.622239850093685</v>
      </c>
    </row>
    <row r="918" spans="1:19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8">
        <f t="shared" si="135"/>
        <v>135.35</v>
      </c>
      <c r="G918" s="330">
        <v>5</v>
      </c>
      <c r="H918" s="330"/>
      <c r="I918" s="330"/>
      <c r="J918" s="8">
        <f t="shared" si="136"/>
        <v>5</v>
      </c>
      <c r="K918" s="221">
        <f t="shared" si="137"/>
        <v>3.1372549019607846E-3</v>
      </c>
      <c r="L918" s="37">
        <f t="shared" si="138"/>
        <v>7.1188392156862754</v>
      </c>
      <c r="M918" s="7">
        <f t="shared" si="139"/>
        <v>2.6175971796078437</v>
      </c>
      <c r="N918" s="37">
        <v>2.7374765771392875</v>
      </c>
      <c r="O918" s="37">
        <f t="shared" si="140"/>
        <v>2.5132549019607846</v>
      </c>
      <c r="P918" s="37">
        <f t="shared" si="141"/>
        <v>3.0636577254901964</v>
      </c>
      <c r="Q918" s="45">
        <f t="shared" si="143"/>
        <v>0.11072898318724929</v>
      </c>
      <c r="R918" s="8"/>
      <c r="S918" s="6">
        <f t="shared" si="142"/>
        <v>3.0112242348532163</v>
      </c>
    </row>
    <row r="919" spans="1:19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8">
        <f t="shared" si="135"/>
        <v>37.4</v>
      </c>
      <c r="G919" s="330">
        <v>1</v>
      </c>
      <c r="H919" s="330"/>
      <c r="I919" s="330"/>
      <c r="J919" s="8">
        <f t="shared" si="136"/>
        <v>1</v>
      </c>
      <c r="K919" s="221">
        <f t="shared" si="137"/>
        <v>6.2745098039215688E-4</v>
      </c>
      <c r="L919" s="37">
        <f t="shared" si="138"/>
        <v>1.4237678431372549</v>
      </c>
      <c r="M919" s="7">
        <f t="shared" si="139"/>
        <v>0.52351943592156869</v>
      </c>
      <c r="N919" s="37">
        <v>0.54749531542785757</v>
      </c>
      <c r="O919" s="37">
        <f t="shared" si="140"/>
        <v>0.50265098039215694</v>
      </c>
      <c r="P919" s="37">
        <f t="shared" si="141"/>
        <v>0.6127315450980394</v>
      </c>
      <c r="Q919" s="45">
        <f t="shared" si="143"/>
        <v>8.0145282750771069E-2</v>
      </c>
      <c r="R919" s="8"/>
      <c r="S919" s="6">
        <f t="shared" si="142"/>
        <v>0.6022448469706434</v>
      </c>
    </row>
    <row r="920" spans="1:19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8">
        <f t="shared" si="135"/>
        <v>236.9</v>
      </c>
      <c r="G920" s="330">
        <v>5</v>
      </c>
      <c r="H920" s="330"/>
      <c r="I920" s="330">
        <v>1</v>
      </c>
      <c r="J920" s="8">
        <f t="shared" si="136"/>
        <v>6</v>
      </c>
      <c r="K920" s="221">
        <f t="shared" si="137"/>
        <v>3.7647058823529413E-3</v>
      </c>
      <c r="L920" s="37">
        <f t="shared" si="138"/>
        <v>8.5426070588235294</v>
      </c>
      <c r="M920" s="7">
        <f t="shared" si="139"/>
        <v>3.1411166155294121</v>
      </c>
      <c r="N920" s="37">
        <v>3.2849718925671452</v>
      </c>
      <c r="O920" s="37">
        <f>K920*1801.1</f>
        <v>6.7806117647058821</v>
      </c>
      <c r="P920" s="37">
        <f t="shared" si="141"/>
        <v>8.26556574117647</v>
      </c>
      <c r="Q920" s="45">
        <f t="shared" si="143"/>
        <v>9.1807966786095277E-2</v>
      </c>
      <c r="R920" s="8"/>
      <c r="S920" s="6">
        <f t="shared" si="142"/>
        <v>3.61346908182386</v>
      </c>
    </row>
    <row r="921" spans="1:19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8">
        <f t="shared" si="135"/>
        <v>362.6</v>
      </c>
      <c r="G921" s="330">
        <v>5</v>
      </c>
      <c r="H921" s="330"/>
      <c r="I921" s="330">
        <v>2</v>
      </c>
      <c r="J921" s="8">
        <f t="shared" si="136"/>
        <v>7</v>
      </c>
      <c r="K921" s="221">
        <f t="shared" si="137"/>
        <v>4.3921568627450979E-3</v>
      </c>
      <c r="L921" s="37">
        <f t="shared" si="138"/>
        <v>9.9663749019607852</v>
      </c>
      <c r="M921" s="7">
        <f t="shared" si="139"/>
        <v>3.664636051450981</v>
      </c>
      <c r="N921" s="37">
        <v>3.8324672079950028</v>
      </c>
      <c r="O921" s="37">
        <f>K921*1801.1</f>
        <v>7.9107137254901954</v>
      </c>
      <c r="P921" s="37">
        <f t="shared" si="141"/>
        <v>9.643160031372549</v>
      </c>
      <c r="Q921" s="45">
        <f t="shared" si="143"/>
        <v>6.9978466317972873E-2</v>
      </c>
      <c r="R921" s="8"/>
      <c r="S921" s="6">
        <f t="shared" si="142"/>
        <v>4.2157139287945036</v>
      </c>
    </row>
    <row r="922" spans="1:19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8">
        <f t="shared" si="135"/>
        <v>494.9</v>
      </c>
      <c r="G922" s="330">
        <v>13</v>
      </c>
      <c r="H922" s="330"/>
      <c r="I922" s="330"/>
      <c r="J922" s="8">
        <f t="shared" si="136"/>
        <v>13</v>
      </c>
      <c r="K922" s="221">
        <f t="shared" si="137"/>
        <v>8.1568627450980397E-3</v>
      </c>
      <c r="L922" s="37">
        <f t="shared" si="138"/>
        <v>18.508981960784315</v>
      </c>
      <c r="M922" s="7">
        <f t="shared" si="139"/>
        <v>6.8057526669803927</v>
      </c>
      <c r="N922" s="37">
        <v>7.1174391005621489</v>
      </c>
      <c r="O922" s="37">
        <f>K922*1801.1</f>
        <v>14.691325490196078</v>
      </c>
      <c r="P922" s="37">
        <f t="shared" si="141"/>
        <v>17.908725772549019</v>
      </c>
      <c r="Q922" s="45">
        <f t="shared" si="143"/>
        <v>9.521822432516254E-2</v>
      </c>
      <c r="R922" s="8"/>
      <c r="S922" s="6">
        <f t="shared" si="142"/>
        <v>7.8291830106183644</v>
      </c>
    </row>
    <row r="923" spans="1:19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8">
        <f t="shared" si="135"/>
        <v>277.2</v>
      </c>
      <c r="G923" s="330">
        <v>7</v>
      </c>
      <c r="H923" s="330"/>
      <c r="I923" s="330"/>
      <c r="J923" s="8">
        <f t="shared" si="136"/>
        <v>7</v>
      </c>
      <c r="K923" s="221">
        <f t="shared" si="137"/>
        <v>4.3921568627450979E-3</v>
      </c>
      <c r="L923" s="37">
        <f t="shared" si="138"/>
        <v>9.9663749019607852</v>
      </c>
      <c r="M923" s="7">
        <f t="shared" si="139"/>
        <v>3.664636051450981</v>
      </c>
      <c r="N923" s="37">
        <v>3.8324672079950028</v>
      </c>
      <c r="O923" s="37">
        <f>K923*1801.1</f>
        <v>7.9107137254901954</v>
      </c>
      <c r="P923" s="37">
        <f t="shared" si="141"/>
        <v>9.643160031372549</v>
      </c>
      <c r="Q923" s="45">
        <f t="shared" si="143"/>
        <v>9.1537488769469585E-2</v>
      </c>
      <c r="R923" s="8"/>
      <c r="S923" s="6">
        <f t="shared" si="142"/>
        <v>4.2157139287945036</v>
      </c>
    </row>
    <row r="924" spans="1:19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8">
        <f t="shared" si="135"/>
        <v>7127.52</v>
      </c>
      <c r="G924" s="330">
        <v>120</v>
      </c>
      <c r="H924" s="330"/>
      <c r="I924" s="330"/>
      <c r="J924" s="8">
        <f t="shared" si="136"/>
        <v>120</v>
      </c>
      <c r="K924" s="221">
        <f t="shared" si="137"/>
        <v>7.5294117647058831E-2</v>
      </c>
      <c r="L924" s="37">
        <f t="shared" si="138"/>
        <v>170.85214117647061</v>
      </c>
      <c r="M924" s="7">
        <f t="shared" si="139"/>
        <v>62.822332310588251</v>
      </c>
      <c r="N924" s="37">
        <v>65.699437851342893</v>
      </c>
      <c r="O924" s="37">
        <f t="shared" si="140"/>
        <v>60.318117647058834</v>
      </c>
      <c r="P924" s="37">
        <f t="shared" si="141"/>
        <v>73.527785411764725</v>
      </c>
      <c r="Q924" s="45">
        <f t="shared" si="143"/>
        <v>5.046524302779376E-2</v>
      </c>
      <c r="R924" s="8"/>
      <c r="S924" s="6">
        <f t="shared" si="142"/>
        <v>72.269381636477192</v>
      </c>
    </row>
    <row r="925" spans="1:19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8">
        <f t="shared" si="135"/>
        <v>52.9</v>
      </c>
      <c r="G925" s="330">
        <v>2</v>
      </c>
      <c r="H925" s="330"/>
      <c r="I925" s="330"/>
      <c r="J925" s="8">
        <f t="shared" si="136"/>
        <v>2</v>
      </c>
      <c r="K925" s="221">
        <f t="shared" si="137"/>
        <v>1.2549019607843138E-3</v>
      </c>
      <c r="L925" s="37">
        <f t="shared" si="138"/>
        <v>2.8475356862745098</v>
      </c>
      <c r="M925" s="7">
        <f t="shared" si="139"/>
        <v>1.0470388718431374</v>
      </c>
      <c r="N925" s="37">
        <v>1.0949906308557151</v>
      </c>
      <c r="O925" s="37">
        <f t="shared" si="140"/>
        <v>1.0053019607843139</v>
      </c>
      <c r="P925" s="37">
        <f t="shared" si="141"/>
        <v>1.2254630901960788</v>
      </c>
      <c r="Q925" s="45">
        <f t="shared" si="143"/>
        <v>0.11332452078937005</v>
      </c>
      <c r="R925" s="8"/>
      <c r="S925" s="6">
        <f t="shared" si="142"/>
        <v>1.2044896939412868</v>
      </c>
    </row>
    <row r="926" spans="1:19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8">
        <f t="shared" si="135"/>
        <v>119.9</v>
      </c>
      <c r="G926" s="330">
        <v>4</v>
      </c>
      <c r="H926" s="330"/>
      <c r="I926" s="330"/>
      <c r="J926" s="8">
        <f t="shared" si="136"/>
        <v>4</v>
      </c>
      <c r="K926" s="221">
        <f t="shared" si="137"/>
        <v>2.5098039215686275E-3</v>
      </c>
      <c r="L926" s="37">
        <f t="shared" si="138"/>
        <v>5.6950713725490196</v>
      </c>
      <c r="M926" s="7">
        <f t="shared" si="139"/>
        <v>2.0940777436862748</v>
      </c>
      <c r="N926" s="37">
        <v>2.1899812617114303</v>
      </c>
      <c r="O926" s="37">
        <f t="shared" si="140"/>
        <v>2.0106039215686278</v>
      </c>
      <c r="P926" s="37">
        <f t="shared" si="141"/>
        <v>2.4509261803921576</v>
      </c>
      <c r="Q926" s="45">
        <f t="shared" si="143"/>
        <v>9.9997783982613442E-2</v>
      </c>
      <c r="R926" s="8"/>
      <c r="S926" s="6">
        <f t="shared" si="142"/>
        <v>2.4089793878825736</v>
      </c>
    </row>
    <row r="927" spans="1:19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8">
        <f t="shared" si="135"/>
        <v>75.3</v>
      </c>
      <c r="G927" s="330">
        <v>1</v>
      </c>
      <c r="H927" s="330"/>
      <c r="I927" s="330"/>
      <c r="J927" s="8">
        <f t="shared" si="136"/>
        <v>1</v>
      </c>
      <c r="K927" s="221">
        <f t="shared" si="137"/>
        <v>6.2745098039215688E-4</v>
      </c>
      <c r="L927" s="37">
        <f t="shared" si="138"/>
        <v>1.4237678431372549</v>
      </c>
      <c r="M927" s="7">
        <f t="shared" si="139"/>
        <v>0.52351943592156869</v>
      </c>
      <c r="N927" s="37">
        <v>0.54749531542785757</v>
      </c>
      <c r="O927" s="37">
        <f>K927*1801.1</f>
        <v>1.1301019607843137</v>
      </c>
      <c r="P927" s="37">
        <f t="shared" si="141"/>
        <v>1.3775942901960785</v>
      </c>
      <c r="Q927" s="45">
        <f t="shared" si="143"/>
        <v>4.8139237121792765E-2</v>
      </c>
      <c r="R927" s="8"/>
      <c r="S927" s="6">
        <f t="shared" si="142"/>
        <v>0.6022448469706434</v>
      </c>
    </row>
    <row r="928" spans="1:19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8">
        <f t="shared" si="135"/>
        <v>120.8</v>
      </c>
      <c r="G928" s="330">
        <v>3</v>
      </c>
      <c r="H928" s="330"/>
      <c r="I928" s="330"/>
      <c r="J928" s="8">
        <f t="shared" si="136"/>
        <v>3</v>
      </c>
      <c r="K928" s="221">
        <f t="shared" si="137"/>
        <v>1.8823529411764706E-3</v>
      </c>
      <c r="L928" s="37">
        <f t="shared" si="138"/>
        <v>4.2713035294117647</v>
      </c>
      <c r="M928" s="7">
        <f t="shared" si="139"/>
        <v>1.5705583077647061</v>
      </c>
      <c r="N928" s="37">
        <v>1.6424859462835726</v>
      </c>
      <c r="O928" s="37">
        <f>K928*1801.1</f>
        <v>3.3903058823529411</v>
      </c>
      <c r="P928" s="37">
        <f t="shared" si="141"/>
        <v>4.132782870588235</v>
      </c>
      <c r="Q928" s="45">
        <f t="shared" si="143"/>
        <v>9.0021967432226707E-2</v>
      </c>
      <c r="R928" s="8"/>
      <c r="S928" s="6">
        <f t="shared" si="142"/>
        <v>1.80673454091193</v>
      </c>
    </row>
    <row r="929" spans="1:19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8">
        <f t="shared" si="135"/>
        <v>429.7</v>
      </c>
      <c r="G929" s="330">
        <v>9</v>
      </c>
      <c r="H929" s="330"/>
      <c r="I929" s="330"/>
      <c r="J929" s="8">
        <f t="shared" si="136"/>
        <v>9</v>
      </c>
      <c r="K929" s="221">
        <f t="shared" si="137"/>
        <v>5.6470588235294121E-3</v>
      </c>
      <c r="L929" s="37">
        <f t="shared" si="138"/>
        <v>12.813910588235295</v>
      </c>
      <c r="M929" s="7">
        <f t="shared" si="139"/>
        <v>4.711674923294118</v>
      </c>
      <c r="N929" s="37">
        <v>4.9274578388507182</v>
      </c>
      <c r="O929" s="37">
        <f>K929*1001.1</f>
        <v>5.6532705882352943</v>
      </c>
      <c r="P929" s="37">
        <f t="shared" si="141"/>
        <v>6.8913368470588239</v>
      </c>
      <c r="Q929" s="45">
        <f t="shared" si="143"/>
        <v>6.5409155081720793E-2</v>
      </c>
      <c r="R929" s="8"/>
      <c r="S929" s="6">
        <f t="shared" si="142"/>
        <v>5.4202036227357908</v>
      </c>
    </row>
    <row r="930" spans="1:19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8">
        <f t="shared" si="135"/>
        <v>249.1</v>
      </c>
      <c r="G930" s="330">
        <v>6</v>
      </c>
      <c r="H930" s="330"/>
      <c r="I930" s="330"/>
      <c r="J930" s="8">
        <f t="shared" si="136"/>
        <v>6</v>
      </c>
      <c r="K930" s="221">
        <f t="shared" si="137"/>
        <v>3.7647058823529413E-3</v>
      </c>
      <c r="L930" s="37">
        <f t="shared" si="138"/>
        <v>8.5426070588235294</v>
      </c>
      <c r="M930" s="7">
        <f t="shared" si="139"/>
        <v>3.1411166155294121</v>
      </c>
      <c r="N930" s="37">
        <v>3.2849718925671452</v>
      </c>
      <c r="O930" s="37">
        <f>K930*1801.1</f>
        <v>6.7806117647058821</v>
      </c>
      <c r="P930" s="37">
        <f t="shared" si="141"/>
        <v>8.26556574117647</v>
      </c>
      <c r="Q930" s="45">
        <f t="shared" si="143"/>
        <v>8.7311550909779087E-2</v>
      </c>
      <c r="R930" s="8"/>
      <c r="S930" s="6">
        <f t="shared" si="142"/>
        <v>3.61346908182386</v>
      </c>
    </row>
    <row r="931" spans="1:19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8">
        <f t="shared" si="135"/>
        <v>103</v>
      </c>
      <c r="G931" s="330">
        <v>1</v>
      </c>
      <c r="H931" s="330"/>
      <c r="I931" s="330">
        <v>1</v>
      </c>
      <c r="J931" s="8">
        <f t="shared" si="136"/>
        <v>2</v>
      </c>
      <c r="K931" s="221">
        <f t="shared" si="137"/>
        <v>1.2549019607843138E-3</v>
      </c>
      <c r="L931" s="37">
        <f t="shared" si="138"/>
        <v>2.8475356862745098</v>
      </c>
      <c r="M931" s="7">
        <f t="shared" si="139"/>
        <v>1.0470388718431374</v>
      </c>
      <c r="N931" s="37">
        <v>1.0949906308557151</v>
      </c>
      <c r="O931" s="37">
        <f>K931*2801.1</f>
        <v>3.5151058823529411</v>
      </c>
      <c r="P931" s="37">
        <f t="shared" si="141"/>
        <v>4.2849140705882354</v>
      </c>
      <c r="Q931" s="45">
        <f t="shared" si="143"/>
        <v>8.2569622051711686E-2</v>
      </c>
      <c r="R931" s="8"/>
      <c r="S931" s="6">
        <f t="shared" si="142"/>
        <v>1.2044896939412868</v>
      </c>
    </row>
    <row r="932" spans="1:19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8">
        <f t="shared" si="135"/>
        <v>176.5</v>
      </c>
      <c r="G932" s="330">
        <v>2</v>
      </c>
      <c r="H932" s="330">
        <v>1</v>
      </c>
      <c r="I932" s="330"/>
      <c r="J932" s="8">
        <f t="shared" si="136"/>
        <v>3</v>
      </c>
      <c r="K932" s="221">
        <f t="shared" si="137"/>
        <v>1.8823529411764706E-3</v>
      </c>
      <c r="L932" s="37">
        <f t="shared" si="138"/>
        <v>4.2713035294117647</v>
      </c>
      <c r="M932" s="7">
        <f t="shared" si="139"/>
        <v>1.5705583077647061</v>
      </c>
      <c r="N932" s="37">
        <v>1.6424859462835726</v>
      </c>
      <c r="O932" s="37">
        <f>K932*2801.1</f>
        <v>5.2726588235294116</v>
      </c>
      <c r="P932" s="37">
        <f t="shared" si="141"/>
        <v>6.4273711058823535</v>
      </c>
      <c r="Q932" s="45">
        <f t="shared" si="143"/>
        <v>7.2277657829968589E-2</v>
      </c>
      <c r="R932" s="8"/>
      <c r="S932" s="6">
        <f t="shared" si="142"/>
        <v>1.80673454091193</v>
      </c>
    </row>
    <row r="933" spans="1:19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8">
        <f t="shared" si="135"/>
        <v>109.5</v>
      </c>
      <c r="G933" s="330">
        <v>2</v>
      </c>
      <c r="H933" s="330"/>
      <c r="I933" s="330"/>
      <c r="J933" s="8">
        <f t="shared" si="136"/>
        <v>2</v>
      </c>
      <c r="K933" s="221">
        <f t="shared" si="137"/>
        <v>1.2549019607843138E-3</v>
      </c>
      <c r="L933" s="37">
        <f t="shared" si="138"/>
        <v>2.8475356862745098</v>
      </c>
      <c r="M933" s="7">
        <f t="shared" si="139"/>
        <v>1.0470388718431374</v>
      </c>
      <c r="N933" s="37">
        <v>1.0949906308557151</v>
      </c>
      <c r="O933" s="37">
        <f t="shared" si="140"/>
        <v>1.0053019607843139</v>
      </c>
      <c r="P933" s="37">
        <f t="shared" si="141"/>
        <v>1.2254630901960788</v>
      </c>
      <c r="Q933" s="45">
        <f t="shared" si="143"/>
        <v>5.4747645203266443E-2</v>
      </c>
      <c r="R933" s="8"/>
      <c r="S933" s="6">
        <f t="shared" si="142"/>
        <v>1.2044896939412868</v>
      </c>
    </row>
    <row r="934" spans="1:19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8">
        <f t="shared" si="135"/>
        <v>111.4</v>
      </c>
      <c r="G934" s="330">
        <v>3</v>
      </c>
      <c r="H934" s="330"/>
      <c r="I934" s="330"/>
      <c r="J934" s="8">
        <f t="shared" si="136"/>
        <v>3</v>
      </c>
      <c r="K934" s="221">
        <f t="shared" si="137"/>
        <v>1.8823529411764706E-3</v>
      </c>
      <c r="L934" s="37">
        <f t="shared" si="138"/>
        <v>4.2713035294117647</v>
      </c>
      <c r="M934" s="7">
        <f t="shared" si="139"/>
        <v>1.5705583077647061</v>
      </c>
      <c r="N934" s="37">
        <v>1.6424859462835726</v>
      </c>
      <c r="O934" s="37">
        <f t="shared" si="140"/>
        <v>1.5079529411764707</v>
      </c>
      <c r="P934" s="37">
        <f t="shared" si="141"/>
        <v>1.8381946352941179</v>
      </c>
      <c r="Q934" s="45">
        <f t="shared" si="143"/>
        <v>8.0720832357598873E-2</v>
      </c>
      <c r="R934" s="8"/>
      <c r="S934" s="6">
        <f t="shared" si="142"/>
        <v>1.80673454091193</v>
      </c>
    </row>
    <row r="935" spans="1:19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8">
        <f t="shared" si="135"/>
        <v>92.9</v>
      </c>
      <c r="G935" s="330">
        <v>2</v>
      </c>
      <c r="H935" s="330"/>
      <c r="I935" s="330"/>
      <c r="J935" s="8">
        <f t="shared" si="136"/>
        <v>2</v>
      </c>
      <c r="K935" s="221">
        <f t="shared" si="137"/>
        <v>1.2549019607843138E-3</v>
      </c>
      <c r="L935" s="37">
        <f t="shared" si="138"/>
        <v>2.8475356862745098</v>
      </c>
      <c r="M935" s="7">
        <f t="shared" si="139"/>
        <v>1.0470388718431374</v>
      </c>
      <c r="N935" s="37">
        <v>1.0949906308557151</v>
      </c>
      <c r="O935" s="37">
        <f t="shared" si="140"/>
        <v>1.0053019607843139</v>
      </c>
      <c r="P935" s="37">
        <f t="shared" si="141"/>
        <v>1.2254630901960788</v>
      </c>
      <c r="Q935" s="45">
        <f t="shared" si="143"/>
        <v>6.4530324539910394E-2</v>
      </c>
      <c r="R935" s="8"/>
      <c r="S935" s="6">
        <f t="shared" si="142"/>
        <v>1.2044896939412868</v>
      </c>
    </row>
    <row r="936" spans="1:19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8">
        <f t="shared" si="135"/>
        <v>101.8</v>
      </c>
      <c r="G936" s="330">
        <v>3</v>
      </c>
      <c r="H936" s="330"/>
      <c r="I936" s="330"/>
      <c r="J936" s="8">
        <f t="shared" si="136"/>
        <v>3</v>
      </c>
      <c r="K936" s="221">
        <f t="shared" si="137"/>
        <v>1.8823529411764706E-3</v>
      </c>
      <c r="L936" s="37">
        <f t="shared" si="138"/>
        <v>4.2713035294117647</v>
      </c>
      <c r="M936" s="7">
        <f t="shared" si="139"/>
        <v>1.5705583077647061</v>
      </c>
      <c r="N936" s="37">
        <v>1.6424859462835726</v>
      </c>
      <c r="O936" s="37">
        <f t="shared" si="140"/>
        <v>1.5079529411764707</v>
      </c>
      <c r="P936" s="37">
        <f t="shared" si="141"/>
        <v>1.8381946352941179</v>
      </c>
      <c r="Q936" s="45">
        <f t="shared" si="143"/>
        <v>8.8333013012146508E-2</v>
      </c>
      <c r="R936" s="8"/>
      <c r="S936" s="6">
        <f t="shared" si="142"/>
        <v>1.80673454091193</v>
      </c>
    </row>
    <row r="937" spans="1:19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8">
        <f t="shared" si="135"/>
        <v>202</v>
      </c>
      <c r="G937" s="330">
        <v>7</v>
      </c>
      <c r="H937" s="330"/>
      <c r="I937" s="330"/>
      <c r="J937" s="8">
        <f t="shared" si="136"/>
        <v>7</v>
      </c>
      <c r="K937" s="221">
        <f t="shared" si="137"/>
        <v>4.3921568627450979E-3</v>
      </c>
      <c r="L937" s="37">
        <f t="shared" si="138"/>
        <v>9.9663749019607852</v>
      </c>
      <c r="M937" s="7">
        <f t="shared" si="139"/>
        <v>3.664636051450981</v>
      </c>
      <c r="N937" s="37">
        <v>3.8324672079950028</v>
      </c>
      <c r="O937" s="37">
        <f t="shared" si="140"/>
        <v>3.5185568627450983</v>
      </c>
      <c r="P937" s="37">
        <f t="shared" si="141"/>
        <v>4.2891208156862755</v>
      </c>
      <c r="Q937" s="45">
        <f t="shared" si="143"/>
        <v>0.10387146051560331</v>
      </c>
      <c r="R937" s="8"/>
      <c r="S937" s="6">
        <f t="shared" si="142"/>
        <v>4.2157139287945036</v>
      </c>
    </row>
    <row r="938" spans="1:19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8">
        <f t="shared" si="135"/>
        <v>214.1</v>
      </c>
      <c r="G938" s="330">
        <v>4</v>
      </c>
      <c r="H938" s="330"/>
      <c r="I938" s="330"/>
      <c r="J938" s="8">
        <f t="shared" si="136"/>
        <v>4</v>
      </c>
      <c r="K938" s="221">
        <f t="shared" si="137"/>
        <v>2.5098039215686275E-3</v>
      </c>
      <c r="L938" s="37">
        <f t="shared" si="138"/>
        <v>5.6950713725490196</v>
      </c>
      <c r="M938" s="7">
        <f t="shared" si="139"/>
        <v>2.0940777436862748</v>
      </c>
      <c r="N938" s="37">
        <v>2.1899812617114303</v>
      </c>
      <c r="O938" s="37">
        <f t="shared" si="140"/>
        <v>2.0106039215686278</v>
      </c>
      <c r="P938" s="37">
        <f t="shared" si="141"/>
        <v>2.4509261803921576</v>
      </c>
      <c r="Q938" s="45">
        <f t="shared" si="143"/>
        <v>5.6000627274709724E-2</v>
      </c>
      <c r="R938" s="8"/>
      <c r="S938" s="6">
        <f t="shared" si="142"/>
        <v>2.4089793878825736</v>
      </c>
    </row>
    <row r="939" spans="1:19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8">
        <f t="shared" si="135"/>
        <v>161.19999999999999</v>
      </c>
      <c r="G939" s="330">
        <v>3</v>
      </c>
      <c r="H939" s="330"/>
      <c r="I939" s="330"/>
      <c r="J939" s="8">
        <f t="shared" si="136"/>
        <v>3</v>
      </c>
      <c r="K939" s="221">
        <f t="shared" si="137"/>
        <v>1.8823529411764706E-3</v>
      </c>
      <c r="L939" s="37">
        <f t="shared" si="138"/>
        <v>4.2713035294117647</v>
      </c>
      <c r="M939" s="7">
        <f t="shared" si="139"/>
        <v>1.5705583077647061</v>
      </c>
      <c r="N939" s="37">
        <v>1.6424859462835726</v>
      </c>
      <c r="O939" s="37">
        <f t="shared" si="140"/>
        <v>1.5079529411764707</v>
      </c>
      <c r="P939" s="37">
        <f t="shared" si="141"/>
        <v>1.8381946352941179</v>
      </c>
      <c r="Q939" s="45">
        <f t="shared" si="143"/>
        <v>5.5783503254568954E-2</v>
      </c>
      <c r="R939" s="8"/>
      <c r="S939" s="6">
        <f t="shared" si="142"/>
        <v>1.80673454091193</v>
      </c>
    </row>
    <row r="940" spans="1:19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8">
        <f t="shared" si="135"/>
        <v>134.9</v>
      </c>
      <c r="G940" s="330">
        <v>4</v>
      </c>
      <c r="H940" s="330"/>
      <c r="I940" s="330"/>
      <c r="J940" s="8">
        <f t="shared" si="136"/>
        <v>4</v>
      </c>
      <c r="K940" s="221">
        <f t="shared" si="137"/>
        <v>2.5098039215686275E-3</v>
      </c>
      <c r="L940" s="37">
        <f t="shared" si="138"/>
        <v>5.6950713725490196</v>
      </c>
      <c r="M940" s="7">
        <f t="shared" si="139"/>
        <v>2.0940777436862748</v>
      </c>
      <c r="N940" s="37">
        <v>2.1899812617114303</v>
      </c>
      <c r="O940" s="37">
        <f>K940*1201.1</f>
        <v>3.0145254901960783</v>
      </c>
      <c r="P940" s="37">
        <f t="shared" si="141"/>
        <v>3.6747065725490198</v>
      </c>
      <c r="Q940" s="45">
        <f t="shared" si="143"/>
        <v>9.6320651357618997E-2</v>
      </c>
      <c r="R940" s="8"/>
      <c r="S940" s="6">
        <f t="shared" si="142"/>
        <v>2.4089793878825736</v>
      </c>
    </row>
    <row r="941" spans="1:19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8">
        <f t="shared" si="135"/>
        <v>80.599999999999994</v>
      </c>
      <c r="G941" s="330">
        <v>2</v>
      </c>
      <c r="H941" s="330"/>
      <c r="I941" s="330"/>
      <c r="J941" s="8">
        <f t="shared" si="136"/>
        <v>2</v>
      </c>
      <c r="K941" s="221">
        <f t="shared" si="137"/>
        <v>1.2549019607843138E-3</v>
      </c>
      <c r="L941" s="37">
        <f t="shared" si="138"/>
        <v>2.8475356862745098</v>
      </c>
      <c r="M941" s="7">
        <f t="shared" si="139"/>
        <v>1.0470388718431374</v>
      </c>
      <c r="N941" s="37">
        <v>1.0949906308557151</v>
      </c>
      <c r="O941" s="37">
        <f t="shared" si="140"/>
        <v>1.0053019607843139</v>
      </c>
      <c r="P941" s="37">
        <f t="shared" si="141"/>
        <v>1.2254630901960788</v>
      </c>
      <c r="Q941" s="45">
        <f t="shared" si="143"/>
        <v>7.4378004339425263E-2</v>
      </c>
      <c r="R941" s="8"/>
      <c r="S941" s="6">
        <f t="shared" si="142"/>
        <v>1.2044896939412868</v>
      </c>
    </row>
    <row r="942" spans="1:19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8">
        <f t="shared" si="135"/>
        <v>249.4</v>
      </c>
      <c r="G942" s="330">
        <v>5</v>
      </c>
      <c r="H942" s="330"/>
      <c r="I942" s="330"/>
      <c r="J942" s="8">
        <f t="shared" ref="J942:J1000" si="144">G942+H942+I942</f>
        <v>5</v>
      </c>
      <c r="K942" s="221">
        <f t="shared" si="137"/>
        <v>3.1372549019607846E-3</v>
      </c>
      <c r="L942" s="37">
        <f t="shared" si="138"/>
        <v>7.1188392156862754</v>
      </c>
      <c r="M942" s="7">
        <f t="shared" si="139"/>
        <v>2.6175971796078437</v>
      </c>
      <c r="N942" s="37">
        <v>2.7374765771392875</v>
      </c>
      <c r="O942" s="37">
        <f>K942*2201.1</f>
        <v>6.9054117647058826</v>
      </c>
      <c r="P942" s="37">
        <f t="shared" si="141"/>
        <v>8.4176969411764713</v>
      </c>
      <c r="Q942" s="45">
        <f t="shared" si="143"/>
        <v>7.7703788039852797E-2</v>
      </c>
      <c r="R942" s="8"/>
      <c r="S942" s="6">
        <f t="shared" si="142"/>
        <v>3.0112242348532163</v>
      </c>
    </row>
    <row r="943" spans="1:19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8">
        <f t="shared" ref="F943:F1001" si="145">C943+D943+E943</f>
        <v>110.5</v>
      </c>
      <c r="G943" s="330">
        <v>2</v>
      </c>
      <c r="H943" s="330"/>
      <c r="I943" s="330"/>
      <c r="J943" s="8">
        <f t="shared" si="144"/>
        <v>2</v>
      </c>
      <c r="K943" s="221">
        <f t="shared" si="137"/>
        <v>1.2549019607843138E-3</v>
      </c>
      <c r="L943" s="37">
        <f t="shared" si="138"/>
        <v>2.8475356862745098</v>
      </c>
      <c r="M943" s="7">
        <f t="shared" si="139"/>
        <v>1.0470388718431374</v>
      </c>
      <c r="N943" s="37">
        <v>1.0949906308557151</v>
      </c>
      <c r="O943" s="37">
        <f t="shared" si="140"/>
        <v>1.0053019607843139</v>
      </c>
      <c r="P943" s="37">
        <f t="shared" si="141"/>
        <v>1.2254630901960788</v>
      </c>
      <c r="Q943" s="45">
        <f t="shared" si="143"/>
        <v>5.4252191400521954E-2</v>
      </c>
      <c r="R943" s="8"/>
      <c r="S943" s="6">
        <f t="shared" si="142"/>
        <v>1.2044896939412868</v>
      </c>
    </row>
    <row r="944" spans="1:19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8">
        <f t="shared" si="145"/>
        <v>168.5</v>
      </c>
      <c r="G944" s="330">
        <v>4</v>
      </c>
      <c r="H944" s="330"/>
      <c r="I944" s="330"/>
      <c r="J944" s="8">
        <f t="shared" si="144"/>
        <v>4</v>
      </c>
      <c r="K944" s="221">
        <f t="shared" si="137"/>
        <v>2.5098039215686275E-3</v>
      </c>
      <c r="L944" s="37">
        <f t="shared" si="138"/>
        <v>5.6950713725490196</v>
      </c>
      <c r="M944" s="7">
        <f t="shared" ref="M944:M1002" si="146">L944*0.3677</f>
        <v>2.0940777436862748</v>
      </c>
      <c r="N944" s="37">
        <v>2.1899812617114303</v>
      </c>
      <c r="O944" s="37">
        <f t="shared" si="140"/>
        <v>2.0106039215686278</v>
      </c>
      <c r="P944" s="37">
        <f t="shared" si="141"/>
        <v>2.4509261803921576</v>
      </c>
      <c r="Q944" s="45">
        <f t="shared" si="143"/>
        <v>7.1155693172197929E-2</v>
      </c>
      <c r="R944" s="8"/>
      <c r="S944" s="6">
        <f t="shared" si="142"/>
        <v>2.4089793878825736</v>
      </c>
    </row>
    <row r="945" spans="1:19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8">
        <f t="shared" si="145"/>
        <v>130</v>
      </c>
      <c r="G945" s="330">
        <v>4</v>
      </c>
      <c r="H945" s="330"/>
      <c r="I945" s="330"/>
      <c r="J945" s="8">
        <f t="shared" si="144"/>
        <v>4</v>
      </c>
      <c r="K945" s="221">
        <f t="shared" ref="K945:K1008" si="147">4/6375*J945</f>
        <v>2.5098039215686275E-3</v>
      </c>
      <c r="L945" s="37">
        <f t="shared" ref="L945:L1008" si="148">K945*2269.13</f>
        <v>5.6950713725490196</v>
      </c>
      <c r="M945" s="7">
        <f t="shared" si="146"/>
        <v>2.0940777436862748</v>
      </c>
      <c r="N945" s="37">
        <v>2.1899812617114303</v>
      </c>
      <c r="O945" s="37">
        <f t="shared" si="140"/>
        <v>2.0106039215686278</v>
      </c>
      <c r="P945" s="37">
        <f t="shared" si="141"/>
        <v>2.4509261803921576</v>
      </c>
      <c r="Q945" s="45">
        <f t="shared" si="143"/>
        <v>9.2228725380887319E-2</v>
      </c>
      <c r="R945" s="8"/>
      <c r="S945" s="6">
        <f t="shared" ref="S945:S1006" si="149">N945*1.1</f>
        <v>2.4089793878825736</v>
      </c>
    </row>
    <row r="946" spans="1:19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8">
        <f t="shared" si="145"/>
        <v>175.8</v>
      </c>
      <c r="G946" s="330">
        <v>4</v>
      </c>
      <c r="H946" s="330"/>
      <c r="I946" s="330"/>
      <c r="J946" s="8">
        <f t="shared" si="144"/>
        <v>4</v>
      </c>
      <c r="K946" s="221">
        <f t="shared" si="147"/>
        <v>2.5098039215686275E-3</v>
      </c>
      <c r="L946" s="37">
        <f t="shared" si="148"/>
        <v>5.6950713725490196</v>
      </c>
      <c r="M946" s="7">
        <f t="shared" si="146"/>
        <v>2.0940777436862748</v>
      </c>
      <c r="N946" s="37">
        <v>2.1899812617114303</v>
      </c>
      <c r="O946" s="37">
        <f t="shared" ref="O946:O1002" si="150">K946*801.1</f>
        <v>2.0106039215686278</v>
      </c>
      <c r="P946" s="37">
        <f t="shared" ref="P946:P1009" si="151">O946*1.219</f>
        <v>2.4509261803921576</v>
      </c>
      <c r="Q946" s="45">
        <f t="shared" si="143"/>
        <v>6.8200991464819977E-2</v>
      </c>
      <c r="R946" s="8"/>
      <c r="S946" s="6">
        <f t="shared" si="149"/>
        <v>2.4089793878825736</v>
      </c>
    </row>
    <row r="947" spans="1:19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8">
        <f t="shared" si="145"/>
        <v>129.80000000000001</v>
      </c>
      <c r="G947" s="330">
        <v>4</v>
      </c>
      <c r="H947" s="330"/>
      <c r="I947" s="330"/>
      <c r="J947" s="8">
        <f t="shared" si="144"/>
        <v>4</v>
      </c>
      <c r="K947" s="221">
        <f t="shared" si="147"/>
        <v>2.5098039215686275E-3</v>
      </c>
      <c r="L947" s="37">
        <f t="shared" si="148"/>
        <v>5.6950713725490196</v>
      </c>
      <c r="M947" s="7">
        <f t="shared" si="146"/>
        <v>2.0940777436862748</v>
      </c>
      <c r="N947" s="37">
        <v>2.1899812617114303</v>
      </c>
      <c r="O947" s="37">
        <f t="shared" si="150"/>
        <v>2.0106039215686278</v>
      </c>
      <c r="P947" s="37">
        <f t="shared" si="151"/>
        <v>2.4509261803921576</v>
      </c>
      <c r="Q947" s="45">
        <f t="shared" si="143"/>
        <v>9.2370834356820877E-2</v>
      </c>
      <c r="R947" s="8"/>
      <c r="S947" s="6">
        <f t="shared" si="149"/>
        <v>2.4089793878825736</v>
      </c>
    </row>
    <row r="948" spans="1:19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8">
        <f t="shared" si="145"/>
        <v>152.30000000000001</v>
      </c>
      <c r="G948" s="330">
        <v>2</v>
      </c>
      <c r="H948" s="330"/>
      <c r="I948" s="330"/>
      <c r="J948" s="8">
        <f t="shared" si="144"/>
        <v>2</v>
      </c>
      <c r="K948" s="221">
        <f t="shared" si="147"/>
        <v>1.2549019607843138E-3</v>
      </c>
      <c r="L948" s="37">
        <f t="shared" si="148"/>
        <v>2.8475356862745098</v>
      </c>
      <c r="M948" s="7">
        <f t="shared" si="146"/>
        <v>1.0470388718431374</v>
      </c>
      <c r="N948" s="37">
        <v>1.0949906308557151</v>
      </c>
      <c r="O948" s="37">
        <f t="shared" si="150"/>
        <v>1.0053019607843139</v>
      </c>
      <c r="P948" s="37">
        <f t="shared" si="151"/>
        <v>1.2254630901960788</v>
      </c>
      <c r="Q948" s="45">
        <f t="shared" si="143"/>
        <v>3.9362226853300562E-2</v>
      </c>
      <c r="R948" s="8"/>
      <c r="S948" s="6">
        <f t="shared" si="149"/>
        <v>1.2044896939412868</v>
      </c>
    </row>
    <row r="949" spans="1:19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8">
        <f t="shared" si="145"/>
        <v>239.4</v>
      </c>
      <c r="G949" s="330">
        <v>5</v>
      </c>
      <c r="H949" s="330"/>
      <c r="I949" s="330"/>
      <c r="J949" s="8">
        <f t="shared" si="144"/>
        <v>5</v>
      </c>
      <c r="K949" s="221">
        <f t="shared" si="147"/>
        <v>3.1372549019607846E-3</v>
      </c>
      <c r="L949" s="37">
        <f t="shared" si="148"/>
        <v>7.1188392156862754</v>
      </c>
      <c r="M949" s="7">
        <f t="shared" si="146"/>
        <v>2.6175971796078437</v>
      </c>
      <c r="N949" s="37">
        <v>2.7374765771392875</v>
      </c>
      <c r="O949" s="37">
        <f t="shared" si="150"/>
        <v>2.5132549019607846</v>
      </c>
      <c r="P949" s="37">
        <f t="shared" si="151"/>
        <v>3.0636577254901964</v>
      </c>
      <c r="Q949" s="45">
        <f t="shared" si="143"/>
        <v>6.26030404110033E-2</v>
      </c>
      <c r="R949" s="8"/>
      <c r="S949" s="6">
        <f t="shared" si="149"/>
        <v>3.0112242348532163</v>
      </c>
    </row>
    <row r="950" spans="1:19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8">
        <f t="shared" si="145"/>
        <v>84.2</v>
      </c>
      <c r="G950" s="330">
        <v>2</v>
      </c>
      <c r="H950" s="330"/>
      <c r="I950" s="330"/>
      <c r="J950" s="8">
        <f t="shared" si="144"/>
        <v>2</v>
      </c>
      <c r="K950" s="221">
        <f t="shared" si="147"/>
        <v>1.2549019607843138E-3</v>
      </c>
      <c r="L950" s="37">
        <f t="shared" si="148"/>
        <v>2.8475356862745098</v>
      </c>
      <c r="M950" s="7">
        <f t="shared" si="146"/>
        <v>1.0470388718431374</v>
      </c>
      <c r="N950" s="37">
        <v>1.0949906308557151</v>
      </c>
      <c r="O950" s="37">
        <f>K950*1801.1</f>
        <v>2.2602039215686274</v>
      </c>
      <c r="P950" s="37">
        <f t="shared" si="151"/>
        <v>2.755188580392157</v>
      </c>
      <c r="Q950" s="45">
        <f t="shared" si="143"/>
        <v>8.610177090904976E-2</v>
      </c>
      <c r="R950" s="8"/>
      <c r="S950" s="6">
        <f t="shared" si="149"/>
        <v>1.2044896939412868</v>
      </c>
    </row>
    <row r="951" spans="1:19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8">
        <f t="shared" si="145"/>
        <v>193.9</v>
      </c>
      <c r="G951" s="330">
        <v>4</v>
      </c>
      <c r="H951" s="330"/>
      <c r="I951" s="330"/>
      <c r="J951" s="8">
        <f t="shared" si="144"/>
        <v>4</v>
      </c>
      <c r="K951" s="221">
        <f t="shared" si="147"/>
        <v>2.5098039215686275E-3</v>
      </c>
      <c r="L951" s="37">
        <f t="shared" si="148"/>
        <v>5.6950713725490196</v>
      </c>
      <c r="M951" s="7">
        <f t="shared" si="146"/>
        <v>2.0940777436862748</v>
      </c>
      <c r="N951" s="37">
        <v>2.1899812617114303</v>
      </c>
      <c r="O951" s="37">
        <f>K951*1801.1</f>
        <v>4.5204078431372547</v>
      </c>
      <c r="P951" s="37">
        <f t="shared" si="151"/>
        <v>5.5103771607843139</v>
      </c>
      <c r="Q951" s="45">
        <f t="shared" si="143"/>
        <v>7.4778433321732757E-2</v>
      </c>
      <c r="R951" s="8"/>
      <c r="S951" s="6">
        <f t="shared" si="149"/>
        <v>2.4089793878825736</v>
      </c>
    </row>
    <row r="952" spans="1:19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8">
        <f t="shared" si="145"/>
        <v>252.4</v>
      </c>
      <c r="G952" s="330">
        <v>7</v>
      </c>
      <c r="H952" s="330"/>
      <c r="I952" s="330"/>
      <c r="J952" s="8">
        <f t="shared" si="144"/>
        <v>7</v>
      </c>
      <c r="K952" s="221">
        <f t="shared" si="147"/>
        <v>4.3921568627450979E-3</v>
      </c>
      <c r="L952" s="37">
        <f t="shared" si="148"/>
        <v>9.9663749019607852</v>
      </c>
      <c r="M952" s="7">
        <f t="shared" si="146"/>
        <v>3.664636051450981</v>
      </c>
      <c r="N952" s="37">
        <v>3.8324672079950028</v>
      </c>
      <c r="O952" s="37">
        <f t="shared" si="150"/>
        <v>3.5185568627450983</v>
      </c>
      <c r="P952" s="37">
        <f t="shared" si="151"/>
        <v>4.2891208156862755</v>
      </c>
      <c r="Q952" s="45">
        <f t="shared" si="143"/>
        <v>8.3130091220886965E-2</v>
      </c>
      <c r="R952" s="8"/>
      <c r="S952" s="6">
        <f t="shared" si="149"/>
        <v>4.2157139287945036</v>
      </c>
    </row>
    <row r="953" spans="1:19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8">
        <f t="shared" si="145"/>
        <v>79</v>
      </c>
      <c r="G953" s="330">
        <v>1</v>
      </c>
      <c r="H953" s="330"/>
      <c r="I953" s="330"/>
      <c r="J953" s="8">
        <f t="shared" si="144"/>
        <v>1</v>
      </c>
      <c r="K953" s="221">
        <f t="shared" si="147"/>
        <v>6.2745098039215688E-4</v>
      </c>
      <c r="L953" s="37">
        <f t="shared" si="148"/>
        <v>1.4237678431372549</v>
      </c>
      <c r="M953" s="7">
        <f t="shared" si="146"/>
        <v>0.52351943592156869</v>
      </c>
      <c r="N953" s="37">
        <v>0.54749531542785757</v>
      </c>
      <c r="O953" s="37">
        <f t="shared" si="150"/>
        <v>0.50265098039215694</v>
      </c>
      <c r="P953" s="37">
        <f t="shared" si="151"/>
        <v>0.6127315450980394</v>
      </c>
      <c r="Q953" s="45">
        <f t="shared" si="143"/>
        <v>3.7942197150365037E-2</v>
      </c>
      <c r="R953" s="8"/>
      <c r="S953" s="6">
        <f t="shared" si="149"/>
        <v>0.6022448469706434</v>
      </c>
    </row>
    <row r="954" spans="1:19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8">
        <f t="shared" si="145"/>
        <v>549.69000000000005</v>
      </c>
      <c r="G954" s="330">
        <v>12</v>
      </c>
      <c r="H954" s="330"/>
      <c r="I954" s="330"/>
      <c r="J954" s="8">
        <f t="shared" si="144"/>
        <v>12</v>
      </c>
      <c r="K954" s="221">
        <f t="shared" si="147"/>
        <v>7.5294117647058826E-3</v>
      </c>
      <c r="L954" s="37">
        <f t="shared" si="148"/>
        <v>17.085214117647059</v>
      </c>
      <c r="M954" s="7">
        <f t="shared" si="146"/>
        <v>6.2822332310588243</v>
      </c>
      <c r="N954" s="37">
        <v>6.5699437851342903</v>
      </c>
      <c r="O954" s="37">
        <f t="shared" si="150"/>
        <v>6.0318117647058829</v>
      </c>
      <c r="P954" s="37">
        <f t="shared" si="151"/>
        <v>7.3527785411764714</v>
      </c>
      <c r="Q954" s="45">
        <f t="shared" si="143"/>
        <v>6.5435432513864272E-2</v>
      </c>
      <c r="R954" s="8"/>
      <c r="S954" s="6">
        <f t="shared" si="149"/>
        <v>7.2269381636477199</v>
      </c>
    </row>
    <row r="955" spans="1:19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8">
        <f t="shared" si="145"/>
        <v>192.1</v>
      </c>
      <c r="G955" s="330">
        <v>4</v>
      </c>
      <c r="H955" s="330"/>
      <c r="I955" s="330"/>
      <c r="J955" s="8">
        <f t="shared" si="144"/>
        <v>4</v>
      </c>
      <c r="K955" s="221">
        <f t="shared" si="147"/>
        <v>2.5098039215686275E-3</v>
      </c>
      <c r="L955" s="37">
        <f t="shared" si="148"/>
        <v>5.6950713725490196</v>
      </c>
      <c r="M955" s="7">
        <f t="shared" si="146"/>
        <v>2.0940777436862748</v>
      </c>
      <c r="N955" s="37">
        <v>2.1899812617114303</v>
      </c>
      <c r="O955" s="37">
        <f t="shared" si="150"/>
        <v>2.0106039215686278</v>
      </c>
      <c r="P955" s="37">
        <f t="shared" si="151"/>
        <v>2.4509261803921576</v>
      </c>
      <c r="Q955" s="45">
        <f t="shared" si="143"/>
        <v>6.2414025505025256E-2</v>
      </c>
      <c r="R955" s="8"/>
      <c r="S955" s="6">
        <f t="shared" si="149"/>
        <v>2.4089793878825736</v>
      </c>
    </row>
    <row r="956" spans="1:19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8">
        <f t="shared" si="145"/>
        <v>166.8</v>
      </c>
      <c r="G956" s="330">
        <v>4</v>
      </c>
      <c r="H956" s="330"/>
      <c r="I956" s="330"/>
      <c r="J956" s="8">
        <f t="shared" si="144"/>
        <v>4</v>
      </c>
      <c r="K956" s="221">
        <f t="shared" si="147"/>
        <v>2.5098039215686275E-3</v>
      </c>
      <c r="L956" s="37">
        <f t="shared" si="148"/>
        <v>5.6950713725490196</v>
      </c>
      <c r="M956" s="7">
        <f t="shared" si="146"/>
        <v>2.0940777436862748</v>
      </c>
      <c r="N956" s="37">
        <v>2.1899812617114303</v>
      </c>
      <c r="O956" s="37">
        <f t="shared" si="150"/>
        <v>2.0106039215686278</v>
      </c>
      <c r="P956" s="37">
        <f t="shared" si="151"/>
        <v>2.4509261803921576</v>
      </c>
      <c r="Q956" s="45">
        <f t="shared" si="143"/>
        <v>7.1880901076231116E-2</v>
      </c>
      <c r="R956" s="8"/>
      <c r="S956" s="6">
        <f t="shared" si="149"/>
        <v>2.4089793878825736</v>
      </c>
    </row>
    <row r="957" spans="1:19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8">
        <f t="shared" si="145"/>
        <v>119.9</v>
      </c>
      <c r="G957" s="330">
        <v>3</v>
      </c>
      <c r="H957" s="330"/>
      <c r="I957" s="330"/>
      <c r="J957" s="8">
        <f t="shared" si="144"/>
        <v>3</v>
      </c>
      <c r="K957" s="221">
        <f t="shared" si="147"/>
        <v>1.8823529411764706E-3</v>
      </c>
      <c r="L957" s="37">
        <f t="shared" si="148"/>
        <v>4.2713035294117647</v>
      </c>
      <c r="M957" s="7">
        <f t="shared" si="146"/>
        <v>1.5705583077647061</v>
      </c>
      <c r="N957" s="37">
        <v>1.6424859462835726</v>
      </c>
      <c r="O957" s="37">
        <f t="shared" si="150"/>
        <v>1.5079529411764707</v>
      </c>
      <c r="P957" s="37">
        <f t="shared" si="151"/>
        <v>1.8381946352941179</v>
      </c>
      <c r="Q957" s="45">
        <f t="shared" si="143"/>
        <v>7.4998337986960081E-2</v>
      </c>
      <c r="R957" s="8"/>
      <c r="S957" s="6">
        <f t="shared" si="149"/>
        <v>1.80673454091193</v>
      </c>
    </row>
    <row r="958" spans="1:19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8">
        <f t="shared" si="145"/>
        <v>188.7</v>
      </c>
      <c r="G958" s="330">
        <v>4</v>
      </c>
      <c r="H958" s="330"/>
      <c r="I958" s="330"/>
      <c r="J958" s="8">
        <f t="shared" si="144"/>
        <v>4</v>
      </c>
      <c r="K958" s="221">
        <f t="shared" si="147"/>
        <v>2.5098039215686275E-3</v>
      </c>
      <c r="L958" s="37">
        <f t="shared" si="148"/>
        <v>5.6950713725490196</v>
      </c>
      <c r="M958" s="7">
        <f t="shared" si="146"/>
        <v>2.0940777436862748</v>
      </c>
      <c r="N958" s="37">
        <v>2.1899812617114303</v>
      </c>
      <c r="O958" s="37">
        <f t="shared" si="150"/>
        <v>2.0106039215686278</v>
      </c>
      <c r="P958" s="37">
        <f t="shared" si="151"/>
        <v>2.4509261803921576</v>
      </c>
      <c r="Q958" s="45">
        <f t="shared" si="143"/>
        <v>6.3538602541151845E-2</v>
      </c>
      <c r="R958" s="8"/>
      <c r="S958" s="6">
        <f t="shared" si="149"/>
        <v>2.4089793878825736</v>
      </c>
    </row>
    <row r="959" spans="1:19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8">
        <f t="shared" si="145"/>
        <v>4734.5</v>
      </c>
      <c r="G959" s="330">
        <v>80</v>
      </c>
      <c r="H959" s="330"/>
      <c r="I959" s="330"/>
      <c r="J959" s="8">
        <f t="shared" si="144"/>
        <v>80</v>
      </c>
      <c r="K959" s="221">
        <f t="shared" si="147"/>
        <v>5.0196078431372554E-2</v>
      </c>
      <c r="L959" s="37">
        <f t="shared" si="148"/>
        <v>113.90142745098041</v>
      </c>
      <c r="M959" s="7">
        <f t="shared" si="146"/>
        <v>41.881554873725499</v>
      </c>
      <c r="N959" s="37">
        <v>43.7996252342286</v>
      </c>
      <c r="O959" s="37">
        <f t="shared" si="150"/>
        <v>40.212078431372554</v>
      </c>
      <c r="P959" s="37">
        <f t="shared" si="151"/>
        <v>49.018523607843143</v>
      </c>
      <c r="Q959" s="45">
        <f t="shared" si="143"/>
        <v>5.064836540084635E-2</v>
      </c>
      <c r="R959" s="8"/>
      <c r="S959" s="6">
        <f t="shared" si="149"/>
        <v>48.179587757651461</v>
      </c>
    </row>
    <row r="960" spans="1:19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8">
        <f t="shared" si="145"/>
        <v>66.3</v>
      </c>
      <c r="G960" s="330">
        <v>3</v>
      </c>
      <c r="H960" s="330"/>
      <c r="I960" s="330"/>
      <c r="J960" s="8">
        <f t="shared" si="144"/>
        <v>3</v>
      </c>
      <c r="K960" s="221">
        <f t="shared" si="147"/>
        <v>1.8823529411764706E-3</v>
      </c>
      <c r="L960" s="37">
        <f t="shared" si="148"/>
        <v>4.2713035294117647</v>
      </c>
      <c r="M960" s="7">
        <f t="shared" si="146"/>
        <v>1.5705583077647061</v>
      </c>
      <c r="N960" s="37">
        <v>1.6424859462835726</v>
      </c>
      <c r="O960" s="37">
        <f t="shared" si="150"/>
        <v>1.5079529411764707</v>
      </c>
      <c r="P960" s="37">
        <f t="shared" si="151"/>
        <v>1.8381946352941179</v>
      </c>
      <c r="Q960" s="45">
        <f t="shared" si="143"/>
        <v>0.13563047850130491</v>
      </c>
      <c r="R960" s="8"/>
      <c r="S960" s="6">
        <f t="shared" si="149"/>
        <v>1.80673454091193</v>
      </c>
    </row>
    <row r="961" spans="1:19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8">
        <f t="shared" si="145"/>
        <v>19.8</v>
      </c>
      <c r="G961" s="330">
        <v>1</v>
      </c>
      <c r="H961" s="330"/>
      <c r="I961" s="330"/>
      <c r="J961" s="8">
        <f t="shared" si="144"/>
        <v>1</v>
      </c>
      <c r="K961" s="221">
        <f t="shared" si="147"/>
        <v>6.2745098039215688E-4</v>
      </c>
      <c r="L961" s="37">
        <f t="shared" si="148"/>
        <v>1.4237678431372549</v>
      </c>
      <c r="M961" s="7">
        <f t="shared" si="146"/>
        <v>0.52351943592156869</v>
      </c>
      <c r="N961" s="37">
        <v>0.54749531542785757</v>
      </c>
      <c r="O961" s="37">
        <f t="shared" si="150"/>
        <v>0.50265098039215694</v>
      </c>
      <c r="P961" s="37">
        <f t="shared" si="151"/>
        <v>0.6127315450980394</v>
      </c>
      <c r="Q961" s="45">
        <f t="shared" si="143"/>
        <v>0.15138553408478977</v>
      </c>
      <c r="R961" s="8"/>
      <c r="S961" s="6">
        <f t="shared" si="149"/>
        <v>0.6022448469706434</v>
      </c>
    </row>
    <row r="962" spans="1:19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8">
        <f t="shared" si="145"/>
        <v>61.2</v>
      </c>
      <c r="G962" s="330">
        <v>2</v>
      </c>
      <c r="H962" s="330"/>
      <c r="I962" s="330"/>
      <c r="J962" s="8">
        <f t="shared" si="144"/>
        <v>2</v>
      </c>
      <c r="K962" s="221">
        <f t="shared" si="147"/>
        <v>1.2549019607843138E-3</v>
      </c>
      <c r="L962" s="37">
        <f t="shared" si="148"/>
        <v>2.8475356862745098</v>
      </c>
      <c r="M962" s="7">
        <f t="shared" si="146"/>
        <v>1.0470388718431374</v>
      </c>
      <c r="N962" s="37">
        <v>1.0949906308557151</v>
      </c>
      <c r="O962" s="37">
        <f t="shared" si="150"/>
        <v>1.0053019607843139</v>
      </c>
      <c r="P962" s="37">
        <f t="shared" si="151"/>
        <v>1.2254630901960788</v>
      </c>
      <c r="Q962" s="45">
        <f t="shared" si="143"/>
        <v>9.7955345584275738E-2</v>
      </c>
      <c r="R962" s="8"/>
      <c r="S962" s="6">
        <f t="shared" si="149"/>
        <v>1.2044896939412868</v>
      </c>
    </row>
    <row r="963" spans="1:19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8">
        <f t="shared" si="145"/>
        <v>47.1</v>
      </c>
      <c r="G963" s="330">
        <v>1</v>
      </c>
      <c r="H963" s="330"/>
      <c r="I963" s="330"/>
      <c r="J963" s="8">
        <f t="shared" si="144"/>
        <v>1</v>
      </c>
      <c r="K963" s="221">
        <f t="shared" si="147"/>
        <v>6.2745098039215688E-4</v>
      </c>
      <c r="L963" s="37">
        <f t="shared" si="148"/>
        <v>1.4237678431372549</v>
      </c>
      <c r="M963" s="7">
        <f t="shared" si="146"/>
        <v>0.52351943592156869</v>
      </c>
      <c r="N963" s="37">
        <v>0.54749531542785757</v>
      </c>
      <c r="O963" s="37">
        <f t="shared" si="150"/>
        <v>0.50265098039215694</v>
      </c>
      <c r="P963" s="37">
        <f t="shared" si="151"/>
        <v>0.6127315450980394</v>
      </c>
      <c r="Q963" s="45">
        <f t="shared" si="143"/>
        <v>6.3639778659847934E-2</v>
      </c>
      <c r="R963" s="8"/>
      <c r="S963" s="6">
        <f t="shared" si="149"/>
        <v>0.6022448469706434</v>
      </c>
    </row>
    <row r="964" spans="1:19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8">
        <f t="shared" si="145"/>
        <v>282.8</v>
      </c>
      <c r="G964" s="330">
        <v>9</v>
      </c>
      <c r="H964" s="330"/>
      <c r="I964" s="330"/>
      <c r="J964" s="8">
        <f t="shared" si="144"/>
        <v>9</v>
      </c>
      <c r="K964" s="221">
        <f t="shared" si="147"/>
        <v>5.6470588235294121E-3</v>
      </c>
      <c r="L964" s="37">
        <f t="shared" si="148"/>
        <v>12.813910588235295</v>
      </c>
      <c r="M964" s="7">
        <f t="shared" si="146"/>
        <v>4.711674923294118</v>
      </c>
      <c r="N964" s="37">
        <v>4.9274578388507182</v>
      </c>
      <c r="O964" s="37">
        <f>K964*2161.1</f>
        <v>12.203858823529412</v>
      </c>
      <c r="P964" s="37">
        <f t="shared" si="151"/>
        <v>14.876503905882354</v>
      </c>
      <c r="Q964" s="45">
        <f t="shared" si="143"/>
        <v>0.12254915903079754</v>
      </c>
      <c r="R964" s="8"/>
      <c r="S964" s="6">
        <f t="shared" si="149"/>
        <v>5.4202036227357908</v>
      </c>
    </row>
    <row r="965" spans="1:19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8">
        <f t="shared" si="145"/>
        <v>46.6</v>
      </c>
      <c r="G965" s="330">
        <v>1</v>
      </c>
      <c r="H965" s="330"/>
      <c r="I965" s="330"/>
      <c r="J965" s="8">
        <f t="shared" si="144"/>
        <v>1</v>
      </c>
      <c r="K965" s="221">
        <f t="shared" si="147"/>
        <v>6.2745098039215688E-4</v>
      </c>
      <c r="L965" s="37">
        <f t="shared" si="148"/>
        <v>1.4237678431372549</v>
      </c>
      <c r="M965" s="7">
        <f t="shared" si="146"/>
        <v>0.52351943592156869</v>
      </c>
      <c r="N965" s="37">
        <v>0.54749531542785757</v>
      </c>
      <c r="O965" s="37">
        <f t="shared" si="150"/>
        <v>0.50265098039215694</v>
      </c>
      <c r="P965" s="37">
        <f t="shared" si="151"/>
        <v>0.6127315450980394</v>
      </c>
      <c r="Q965" s="45">
        <f t="shared" si="143"/>
        <v>6.4322608902979347E-2</v>
      </c>
      <c r="R965" s="8"/>
      <c r="S965" s="6">
        <f t="shared" si="149"/>
        <v>0.6022448469706434</v>
      </c>
    </row>
    <row r="966" spans="1:19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8">
        <f t="shared" si="145"/>
        <v>3266.45</v>
      </c>
      <c r="G966" s="330">
        <v>60</v>
      </c>
      <c r="H966" s="330"/>
      <c r="I966" s="330"/>
      <c r="J966" s="8">
        <f t="shared" si="144"/>
        <v>60</v>
      </c>
      <c r="K966" s="221">
        <f t="shared" si="147"/>
        <v>3.7647058823529415E-2</v>
      </c>
      <c r="L966" s="37">
        <f t="shared" si="148"/>
        <v>85.426070588235305</v>
      </c>
      <c r="M966" s="7">
        <f t="shared" si="146"/>
        <v>31.411166155294126</v>
      </c>
      <c r="N966" s="37">
        <v>32.849718925671446</v>
      </c>
      <c r="O966" s="37">
        <f>K966*1801.1</f>
        <v>67.806117647058826</v>
      </c>
      <c r="P966" s="37">
        <f t="shared" si="151"/>
        <v>82.655657411764722</v>
      </c>
      <c r="Q966" s="45">
        <f t="shared" si="143"/>
        <v>6.6583928520644653E-2</v>
      </c>
      <c r="R966" s="8"/>
      <c r="S966" s="6">
        <f t="shared" si="149"/>
        <v>36.134690818238596</v>
      </c>
    </row>
    <row r="967" spans="1:19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8">
        <f t="shared" si="145"/>
        <v>3257.47</v>
      </c>
      <c r="G967" s="330">
        <v>60</v>
      </c>
      <c r="H967" s="330"/>
      <c r="I967" s="330"/>
      <c r="J967" s="8">
        <f t="shared" si="144"/>
        <v>60</v>
      </c>
      <c r="K967" s="221">
        <f t="shared" si="147"/>
        <v>3.7647058823529415E-2</v>
      </c>
      <c r="L967" s="37">
        <f t="shared" si="148"/>
        <v>85.426070588235305</v>
      </c>
      <c r="M967" s="7">
        <f t="shared" si="146"/>
        <v>31.411166155294126</v>
      </c>
      <c r="N967" s="37">
        <v>32.849718925671446</v>
      </c>
      <c r="O967" s="37">
        <f>K967*1801.1</f>
        <v>67.806117647058826</v>
      </c>
      <c r="P967" s="37">
        <f t="shared" si="151"/>
        <v>82.655657411764722</v>
      </c>
      <c r="Q967" s="45">
        <f t="shared" ref="Q967:Q1030" si="152">(O967+N967+M967+L967)/F967</f>
        <v>6.6767483143746448E-2</v>
      </c>
      <c r="R967" s="8"/>
      <c r="S967" s="6">
        <f t="shared" si="149"/>
        <v>36.134690818238596</v>
      </c>
    </row>
    <row r="968" spans="1:19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8">
        <f t="shared" si="145"/>
        <v>24.3</v>
      </c>
      <c r="G968" s="330">
        <v>1</v>
      </c>
      <c r="H968" s="330"/>
      <c r="I968" s="330"/>
      <c r="J968" s="8">
        <f t="shared" si="144"/>
        <v>1</v>
      </c>
      <c r="K968" s="221">
        <f t="shared" si="147"/>
        <v>6.2745098039215688E-4</v>
      </c>
      <c r="L968" s="37">
        <f t="shared" si="148"/>
        <v>1.4237678431372549</v>
      </c>
      <c r="M968" s="7">
        <f t="shared" si="146"/>
        <v>0.52351943592156869</v>
      </c>
      <c r="N968" s="37">
        <v>0.54749531542785757</v>
      </c>
      <c r="O968" s="37">
        <f t="shared" si="150"/>
        <v>0.50265098039215694</v>
      </c>
      <c r="P968" s="37">
        <f t="shared" si="151"/>
        <v>0.6127315450980394</v>
      </c>
      <c r="Q968" s="45">
        <f t="shared" si="152"/>
        <v>0.12335117592093983</v>
      </c>
      <c r="R968" s="8"/>
      <c r="S968" s="6">
        <f t="shared" si="149"/>
        <v>0.6022448469706434</v>
      </c>
    </row>
    <row r="969" spans="1:19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8">
        <f t="shared" si="145"/>
        <v>4572.4000000000005</v>
      </c>
      <c r="G969" s="330">
        <v>134</v>
      </c>
      <c r="H969" s="330"/>
      <c r="I969" s="330">
        <v>2</v>
      </c>
      <c r="J969" s="8">
        <f t="shared" si="144"/>
        <v>136</v>
      </c>
      <c r="K969" s="221">
        <f t="shared" si="147"/>
        <v>8.533333333333333E-2</v>
      </c>
      <c r="L969" s="37">
        <f t="shared" si="148"/>
        <v>193.63242666666667</v>
      </c>
      <c r="M969" s="7">
        <f t="shared" si="146"/>
        <v>71.198643285333347</v>
      </c>
      <c r="N969" s="37">
        <v>74.45936289818863</v>
      </c>
      <c r="O969" s="37">
        <f>K969*2801.1</f>
        <v>239.02719999999999</v>
      </c>
      <c r="P969" s="37">
        <f t="shared" si="151"/>
        <v>291.37415680000004</v>
      </c>
      <c r="Q969" s="45">
        <f t="shared" si="152"/>
        <v>0.12648010516363148</v>
      </c>
      <c r="R969" s="8"/>
      <c r="S969" s="6">
        <f t="shared" si="149"/>
        <v>81.905299188007504</v>
      </c>
    </row>
    <row r="970" spans="1:19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8">
        <f t="shared" si="145"/>
        <v>140.30000000000001</v>
      </c>
      <c r="G970" s="803">
        <v>1</v>
      </c>
      <c r="H970" s="803"/>
      <c r="I970" s="803"/>
      <c r="J970" s="8">
        <f t="shared" si="144"/>
        <v>1</v>
      </c>
      <c r="K970" s="221">
        <f t="shared" si="147"/>
        <v>6.2745098039215688E-4</v>
      </c>
      <c r="L970" s="37">
        <f t="shared" si="148"/>
        <v>1.4237678431372549</v>
      </c>
      <c r="M970" s="7">
        <f t="shared" si="146"/>
        <v>0.52351943592156869</v>
      </c>
      <c r="N970" s="37">
        <v>0.54749531542785757</v>
      </c>
      <c r="O970" s="37">
        <f t="shared" si="150"/>
        <v>0.50265098039215694</v>
      </c>
      <c r="P970" s="37">
        <f t="shared" si="151"/>
        <v>0.6127315450980394</v>
      </c>
      <c r="Q970" s="45">
        <f t="shared" si="152"/>
        <v>2.1364458837340256E-2</v>
      </c>
      <c r="R970" s="8"/>
      <c r="S970" s="6">
        <f t="shared" si="149"/>
        <v>0.6022448469706434</v>
      </c>
    </row>
    <row r="971" spans="1:19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8">
        <f t="shared" si="145"/>
        <v>427.4</v>
      </c>
      <c r="G971" s="330">
        <v>9</v>
      </c>
      <c r="H971" s="330"/>
      <c r="I971" s="330"/>
      <c r="J971" s="8">
        <f t="shared" si="144"/>
        <v>9</v>
      </c>
      <c r="K971" s="221">
        <f t="shared" si="147"/>
        <v>5.6470588235294121E-3</v>
      </c>
      <c r="L971" s="37">
        <f t="shared" si="148"/>
        <v>12.813910588235295</v>
      </c>
      <c r="M971" s="7">
        <f t="shared" si="146"/>
        <v>4.711674923294118</v>
      </c>
      <c r="N971" s="37">
        <v>4.9274578388507182</v>
      </c>
      <c r="O971" s="37">
        <f>K971*801.1</f>
        <v>4.5238588235294124</v>
      </c>
      <c r="P971" s="37">
        <f t="shared" si="151"/>
        <v>5.514583905882354</v>
      </c>
      <c r="Q971" s="45">
        <f t="shared" si="152"/>
        <v>6.3118629325946529E-2</v>
      </c>
      <c r="R971" s="8"/>
      <c r="S971" s="6">
        <f t="shared" si="149"/>
        <v>5.4202036227357908</v>
      </c>
    </row>
    <row r="972" spans="1:19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8">
        <f t="shared" si="145"/>
        <v>954</v>
      </c>
      <c r="G972" s="330">
        <v>18</v>
      </c>
      <c r="H972" s="330"/>
      <c r="I972" s="330"/>
      <c r="J972" s="8">
        <f t="shared" si="144"/>
        <v>18</v>
      </c>
      <c r="K972" s="221">
        <f t="shared" si="147"/>
        <v>1.1294117647058824E-2</v>
      </c>
      <c r="L972" s="37">
        <f t="shared" si="148"/>
        <v>25.62782117647059</v>
      </c>
      <c r="M972" s="7">
        <f t="shared" si="146"/>
        <v>9.4233498465882359</v>
      </c>
      <c r="N972" s="37">
        <v>9.8549156777014364</v>
      </c>
      <c r="O972" s="37">
        <f>K972*801.1</f>
        <v>9.0477176470588248</v>
      </c>
      <c r="P972" s="37">
        <f t="shared" si="151"/>
        <v>11.029167811764708</v>
      </c>
      <c r="Q972" s="45">
        <f t="shared" si="152"/>
        <v>5.6555350469412041E-2</v>
      </c>
      <c r="R972" s="8"/>
      <c r="S972" s="6">
        <f t="shared" si="149"/>
        <v>10.840407245471582</v>
      </c>
    </row>
    <row r="973" spans="1:19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8">
        <f t="shared" si="145"/>
        <v>202.5</v>
      </c>
      <c r="G973" s="330">
        <v>7</v>
      </c>
      <c r="H973" s="330"/>
      <c r="I973" s="330"/>
      <c r="J973" s="8">
        <f t="shared" si="144"/>
        <v>7</v>
      </c>
      <c r="K973" s="221">
        <f t="shared" si="147"/>
        <v>4.3921568627450979E-3</v>
      </c>
      <c r="L973" s="37">
        <f t="shared" si="148"/>
        <v>9.9663749019607852</v>
      </c>
      <c r="M973" s="7">
        <f t="shared" si="146"/>
        <v>3.664636051450981</v>
      </c>
      <c r="N973" s="37">
        <v>3.8324672079950028</v>
      </c>
      <c r="O973" s="37">
        <f>K973*801.1</f>
        <v>3.5185568627450983</v>
      </c>
      <c r="P973" s="37">
        <f t="shared" si="151"/>
        <v>4.2891208156862755</v>
      </c>
      <c r="Q973" s="45">
        <f t="shared" si="152"/>
        <v>0.10361498777358948</v>
      </c>
      <c r="R973" s="8"/>
      <c r="S973" s="6">
        <f t="shared" si="149"/>
        <v>4.2157139287945036</v>
      </c>
    </row>
    <row r="974" spans="1:19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8">
        <f t="shared" si="145"/>
        <v>308.2</v>
      </c>
      <c r="G974" s="330">
        <v>8</v>
      </c>
      <c r="H974" s="330"/>
      <c r="I974" s="330"/>
      <c r="J974" s="8">
        <f t="shared" si="144"/>
        <v>8</v>
      </c>
      <c r="K974" s="221">
        <f t="shared" si="147"/>
        <v>5.019607843137255E-3</v>
      </c>
      <c r="L974" s="37">
        <f t="shared" si="148"/>
        <v>11.390142745098039</v>
      </c>
      <c r="M974" s="7">
        <f t="shared" si="146"/>
        <v>4.1881554873725495</v>
      </c>
      <c r="N974" s="37">
        <v>4.3799625234228605</v>
      </c>
      <c r="O974" s="37">
        <f>K974*801.1</f>
        <v>4.0212078431372555</v>
      </c>
      <c r="P974" s="37">
        <f t="shared" si="151"/>
        <v>4.9018523607843152</v>
      </c>
      <c r="Q974" s="45">
        <f t="shared" si="152"/>
        <v>7.7804894870313765E-2</v>
      </c>
      <c r="R974" s="8"/>
      <c r="S974" s="6">
        <f t="shared" si="149"/>
        <v>4.8179587757651472</v>
      </c>
    </row>
    <row r="975" spans="1:19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8">
        <f t="shared" si="145"/>
        <v>44.1</v>
      </c>
      <c r="G975" s="330">
        <v>2</v>
      </c>
      <c r="H975" s="330"/>
      <c r="I975" s="330"/>
      <c r="J975" s="8">
        <f t="shared" si="144"/>
        <v>2</v>
      </c>
      <c r="K975" s="221">
        <f t="shared" si="147"/>
        <v>1.2549019607843138E-3</v>
      </c>
      <c r="L975" s="37">
        <f t="shared" si="148"/>
        <v>2.8475356862745098</v>
      </c>
      <c r="M975" s="7">
        <f t="shared" si="146"/>
        <v>1.0470388718431374</v>
      </c>
      <c r="N975" s="37">
        <v>1.0949906308557151</v>
      </c>
      <c r="O975" s="37">
        <f>K975*2801.1</f>
        <v>3.5151058823529411</v>
      </c>
      <c r="P975" s="37">
        <f t="shared" si="151"/>
        <v>4.2849140705882354</v>
      </c>
      <c r="Q975" s="45">
        <f t="shared" si="152"/>
        <v>0.19284968415705903</v>
      </c>
      <c r="R975" s="8"/>
      <c r="S975" s="6">
        <f t="shared" si="149"/>
        <v>1.2044896939412868</v>
      </c>
    </row>
    <row r="976" spans="1:19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8">
        <f t="shared" si="145"/>
        <v>236.79</v>
      </c>
      <c r="G976" s="330">
        <v>5</v>
      </c>
      <c r="H976" s="330"/>
      <c r="I976" s="330"/>
      <c r="J976" s="8">
        <f t="shared" si="144"/>
        <v>5</v>
      </c>
      <c r="K976" s="221">
        <f t="shared" si="147"/>
        <v>3.1372549019607846E-3</v>
      </c>
      <c r="L976" s="37">
        <f t="shared" si="148"/>
        <v>7.1188392156862754</v>
      </c>
      <c r="M976" s="7">
        <f t="shared" si="146"/>
        <v>2.6175971796078437</v>
      </c>
      <c r="N976" s="37">
        <v>2.7374765771392875</v>
      </c>
      <c r="O976" s="37">
        <f>K976*801.1</f>
        <v>2.5132549019607846</v>
      </c>
      <c r="P976" s="37">
        <f t="shared" si="151"/>
        <v>3.0636577254901964</v>
      </c>
      <c r="Q976" s="45">
        <f t="shared" si="152"/>
        <v>6.3293077724541541E-2</v>
      </c>
      <c r="R976" s="8"/>
      <c r="S976" s="6">
        <f t="shared" si="149"/>
        <v>3.0112242348532163</v>
      </c>
    </row>
    <row r="977" spans="1:19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8">
        <f t="shared" si="145"/>
        <v>571.4</v>
      </c>
      <c r="G977" s="330">
        <v>16</v>
      </c>
      <c r="H977" s="330"/>
      <c r="I977" s="330"/>
      <c r="J977" s="8">
        <f t="shared" si="144"/>
        <v>16</v>
      </c>
      <c r="K977" s="221">
        <f t="shared" si="147"/>
        <v>1.003921568627451E-2</v>
      </c>
      <c r="L977" s="37">
        <f t="shared" si="148"/>
        <v>22.780285490196079</v>
      </c>
      <c r="M977" s="7">
        <f t="shared" si="146"/>
        <v>8.376310974745099</v>
      </c>
      <c r="N977" s="37">
        <v>8.759925046845721</v>
      </c>
      <c r="O977" s="37">
        <f>K977*801.1</f>
        <v>8.0424156862745111</v>
      </c>
      <c r="P977" s="37">
        <f t="shared" si="151"/>
        <v>9.8037047215686304</v>
      </c>
      <c r="Q977" s="45">
        <f t="shared" si="152"/>
        <v>8.3932336713443134E-2</v>
      </c>
      <c r="R977" s="8"/>
      <c r="S977" s="6">
        <f t="shared" si="149"/>
        <v>9.6359175515302944</v>
      </c>
    </row>
    <row r="978" spans="1:19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8">
        <f t="shared" si="145"/>
        <v>654.29999999999995</v>
      </c>
      <c r="G978" s="330">
        <v>13</v>
      </c>
      <c r="H978" s="330"/>
      <c r="I978" s="330"/>
      <c r="J978" s="8">
        <f t="shared" si="144"/>
        <v>13</v>
      </c>
      <c r="K978" s="221">
        <f t="shared" si="147"/>
        <v>8.1568627450980397E-3</v>
      </c>
      <c r="L978" s="37">
        <f t="shared" si="148"/>
        <v>18.508981960784315</v>
      </c>
      <c r="M978" s="7">
        <f t="shared" si="146"/>
        <v>6.8057526669803927</v>
      </c>
      <c r="N978" s="37">
        <v>7.1174391005621489</v>
      </c>
      <c r="O978" s="37">
        <f t="shared" si="150"/>
        <v>6.5344627450980397</v>
      </c>
      <c r="P978" s="37">
        <f t="shared" si="151"/>
        <v>7.9655100862745112</v>
      </c>
      <c r="Q978" s="45">
        <f t="shared" si="152"/>
        <v>5.9554694289202049E-2</v>
      </c>
      <c r="R978" s="8"/>
      <c r="S978" s="6">
        <f t="shared" si="149"/>
        <v>7.8291830106183644</v>
      </c>
    </row>
    <row r="979" spans="1:19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8">
        <f t="shared" si="145"/>
        <v>559.79999999999995</v>
      </c>
      <c r="G979" s="330">
        <v>14</v>
      </c>
      <c r="H979" s="330"/>
      <c r="I979" s="330"/>
      <c r="J979" s="8">
        <f t="shared" si="144"/>
        <v>14</v>
      </c>
      <c r="K979" s="221">
        <f t="shared" si="147"/>
        <v>8.7843137254901959E-3</v>
      </c>
      <c r="L979" s="37">
        <f t="shared" si="148"/>
        <v>19.93274980392157</v>
      </c>
      <c r="M979" s="7">
        <f t="shared" si="146"/>
        <v>7.3292721029019621</v>
      </c>
      <c r="N979" s="37">
        <v>7.6649344159900057</v>
      </c>
      <c r="O979" s="37">
        <f t="shared" si="150"/>
        <v>7.0371137254901965</v>
      </c>
      <c r="P979" s="37">
        <f t="shared" si="151"/>
        <v>8.5782416313725509</v>
      </c>
      <c r="Q979" s="45">
        <f t="shared" si="152"/>
        <v>7.4962611733304291E-2</v>
      </c>
      <c r="R979" s="8"/>
      <c r="S979" s="6">
        <f t="shared" si="149"/>
        <v>8.4314278575890071</v>
      </c>
    </row>
    <row r="980" spans="1:19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8">
        <f t="shared" si="145"/>
        <v>681</v>
      </c>
      <c r="G980" s="330">
        <v>15</v>
      </c>
      <c r="H980" s="330"/>
      <c r="I980" s="330">
        <v>2</v>
      </c>
      <c r="J980" s="8">
        <f t="shared" si="144"/>
        <v>17</v>
      </c>
      <c r="K980" s="221">
        <f t="shared" si="147"/>
        <v>1.0666666666666666E-2</v>
      </c>
      <c r="L980" s="37">
        <f t="shared" si="148"/>
        <v>24.204053333333334</v>
      </c>
      <c r="M980" s="7">
        <f t="shared" si="146"/>
        <v>8.8998304106666684</v>
      </c>
      <c r="N980" s="37">
        <v>9.3074203622735787</v>
      </c>
      <c r="O980" s="37">
        <f t="shared" si="150"/>
        <v>8.545066666666667</v>
      </c>
      <c r="P980" s="37">
        <f t="shared" si="151"/>
        <v>10.416436266666668</v>
      </c>
      <c r="Q980" s="45">
        <f t="shared" si="152"/>
        <v>7.4825801428693467E-2</v>
      </c>
      <c r="R980" s="8"/>
      <c r="S980" s="6">
        <f t="shared" si="149"/>
        <v>10.238162398500938</v>
      </c>
    </row>
    <row r="981" spans="1:19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8">
        <f t="shared" si="145"/>
        <v>373.3</v>
      </c>
      <c r="G981" s="330">
        <v>8</v>
      </c>
      <c r="H981" s="330"/>
      <c r="I981" s="330"/>
      <c r="J981" s="8">
        <f t="shared" si="144"/>
        <v>8</v>
      </c>
      <c r="K981" s="221">
        <f t="shared" si="147"/>
        <v>5.019607843137255E-3</v>
      </c>
      <c r="L981" s="37">
        <f t="shared" si="148"/>
        <v>11.390142745098039</v>
      </c>
      <c r="M981" s="7">
        <f t="shared" si="146"/>
        <v>4.1881554873725495</v>
      </c>
      <c r="N981" s="37">
        <v>4.3799625234228605</v>
      </c>
      <c r="O981" s="37">
        <f>K981*801.1</f>
        <v>4.0212078431372555</v>
      </c>
      <c r="P981" s="37">
        <f t="shared" si="151"/>
        <v>4.9018523607843152</v>
      </c>
      <c r="Q981" s="45">
        <f t="shared" si="152"/>
        <v>6.4236454859444694E-2</v>
      </c>
      <c r="R981" s="8"/>
      <c r="S981" s="6">
        <f t="shared" si="149"/>
        <v>4.8179587757651472</v>
      </c>
    </row>
    <row r="982" spans="1:19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8">
        <f t="shared" si="145"/>
        <v>395.4</v>
      </c>
      <c r="G982" s="330">
        <v>11</v>
      </c>
      <c r="H982" s="330"/>
      <c r="I982" s="330"/>
      <c r="J982" s="8">
        <f t="shared" si="144"/>
        <v>11</v>
      </c>
      <c r="K982" s="221">
        <f t="shared" si="147"/>
        <v>6.9019607843137255E-3</v>
      </c>
      <c r="L982" s="37">
        <f t="shared" si="148"/>
        <v>15.661446274509805</v>
      </c>
      <c r="M982" s="7">
        <f t="shared" si="146"/>
        <v>5.7587137951372558</v>
      </c>
      <c r="N982" s="37">
        <v>6.0224484697064327</v>
      </c>
      <c r="O982" s="37">
        <f t="shared" si="150"/>
        <v>5.529160784313726</v>
      </c>
      <c r="P982" s="37">
        <f t="shared" si="151"/>
        <v>6.7400469960784326</v>
      </c>
      <c r="Q982" s="45">
        <f t="shared" si="152"/>
        <v>8.3388389791773446E-2</v>
      </c>
      <c r="R982" s="8"/>
      <c r="S982" s="6">
        <f t="shared" si="149"/>
        <v>6.6246933166770763</v>
      </c>
    </row>
    <row r="983" spans="1:19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8">
        <f t="shared" si="145"/>
        <v>359.5</v>
      </c>
      <c r="G983" s="330">
        <v>12</v>
      </c>
      <c r="H983" s="330"/>
      <c r="I983" s="330"/>
      <c r="J983" s="8">
        <f t="shared" si="144"/>
        <v>12</v>
      </c>
      <c r="K983" s="221">
        <f t="shared" si="147"/>
        <v>7.5294117647058826E-3</v>
      </c>
      <c r="L983" s="37">
        <f t="shared" si="148"/>
        <v>17.085214117647059</v>
      </c>
      <c r="M983" s="7">
        <f t="shared" si="146"/>
        <v>6.2822332310588243</v>
      </c>
      <c r="N983" s="37">
        <v>6.5699437851342903</v>
      </c>
      <c r="O983" s="37">
        <f>K983*201.1</f>
        <v>1.5141647058823529</v>
      </c>
      <c r="P983" s="37">
        <f t="shared" si="151"/>
        <v>1.8457667764705883</v>
      </c>
      <c r="Q983" s="45">
        <f t="shared" si="152"/>
        <v>8.7486942530521639E-2</v>
      </c>
      <c r="R983" s="8"/>
      <c r="S983" s="6">
        <f t="shared" si="149"/>
        <v>7.2269381636477199</v>
      </c>
    </row>
    <row r="984" spans="1:19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8">
        <f t="shared" si="145"/>
        <v>581.70000000000005</v>
      </c>
      <c r="G984" s="330">
        <v>13</v>
      </c>
      <c r="H984" s="330"/>
      <c r="I984" s="330">
        <v>3</v>
      </c>
      <c r="J984" s="8">
        <f t="shared" si="144"/>
        <v>16</v>
      </c>
      <c r="K984" s="221">
        <f t="shared" si="147"/>
        <v>1.003921568627451E-2</v>
      </c>
      <c r="L984" s="37">
        <f t="shared" si="148"/>
        <v>22.780285490196079</v>
      </c>
      <c r="M984" s="7">
        <f t="shared" si="146"/>
        <v>8.376310974745099</v>
      </c>
      <c r="N984" s="37">
        <v>8.759925046845721</v>
      </c>
      <c r="O984" s="37">
        <f t="shared" si="150"/>
        <v>8.0424156862745111</v>
      </c>
      <c r="P984" s="37">
        <f t="shared" si="151"/>
        <v>9.8037047215686304</v>
      </c>
      <c r="Q984" s="45">
        <f t="shared" si="152"/>
        <v>8.2446170187487372E-2</v>
      </c>
      <c r="R984" s="8"/>
      <c r="S984" s="6">
        <f t="shared" si="149"/>
        <v>9.6359175515302944</v>
      </c>
    </row>
    <row r="985" spans="1:19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8">
        <f t="shared" si="145"/>
        <v>397</v>
      </c>
      <c r="G985" s="330">
        <v>9</v>
      </c>
      <c r="H985" s="330"/>
      <c r="I985" s="330"/>
      <c r="J985" s="8">
        <f t="shared" si="144"/>
        <v>9</v>
      </c>
      <c r="K985" s="221">
        <f t="shared" si="147"/>
        <v>5.6470588235294121E-3</v>
      </c>
      <c r="L985" s="37">
        <f t="shared" si="148"/>
        <v>12.813910588235295</v>
      </c>
      <c r="M985" s="7">
        <f t="shared" si="146"/>
        <v>4.711674923294118</v>
      </c>
      <c r="N985" s="37">
        <v>4.9274578388507182</v>
      </c>
      <c r="O985" s="37">
        <f t="shared" si="150"/>
        <v>4.5238588235294124</v>
      </c>
      <c r="P985" s="37">
        <f t="shared" si="151"/>
        <v>5.514583905882354</v>
      </c>
      <c r="Q985" s="45">
        <f t="shared" si="152"/>
        <v>6.7951894644608421E-2</v>
      </c>
      <c r="R985" s="8"/>
      <c r="S985" s="6">
        <f t="shared" si="149"/>
        <v>5.4202036227357908</v>
      </c>
    </row>
    <row r="986" spans="1:19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8">
        <f t="shared" si="145"/>
        <v>271.5</v>
      </c>
      <c r="G986" s="330">
        <v>5</v>
      </c>
      <c r="H986" s="330"/>
      <c r="I986" s="330"/>
      <c r="J986" s="8">
        <f t="shared" si="144"/>
        <v>5</v>
      </c>
      <c r="K986" s="221">
        <f t="shared" si="147"/>
        <v>3.1372549019607846E-3</v>
      </c>
      <c r="L986" s="37">
        <f t="shared" si="148"/>
        <v>7.1188392156862754</v>
      </c>
      <c r="M986" s="7">
        <f t="shared" si="146"/>
        <v>2.6175971796078437</v>
      </c>
      <c r="N986" s="37">
        <v>2.7374765771392875</v>
      </c>
      <c r="O986" s="37">
        <f>K986*101.1</f>
        <v>0.31717647058823528</v>
      </c>
      <c r="P986" s="37">
        <f t="shared" si="151"/>
        <v>0.38663811764705885</v>
      </c>
      <c r="Q986" s="45">
        <f t="shared" si="152"/>
        <v>4.7112668298422256E-2</v>
      </c>
      <c r="R986" s="8"/>
      <c r="S986" s="6">
        <f t="shared" si="149"/>
        <v>3.0112242348532163</v>
      </c>
    </row>
    <row r="987" spans="1:19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8">
        <f t="shared" si="145"/>
        <v>258.60000000000002</v>
      </c>
      <c r="G987" s="330">
        <v>7</v>
      </c>
      <c r="H987" s="330"/>
      <c r="I987" s="330"/>
      <c r="J987" s="8">
        <f t="shared" si="144"/>
        <v>7</v>
      </c>
      <c r="K987" s="221">
        <f t="shared" si="147"/>
        <v>4.3921568627450979E-3</v>
      </c>
      <c r="L987" s="37">
        <f t="shared" si="148"/>
        <v>9.9663749019607852</v>
      </c>
      <c r="M987" s="7">
        <f t="shared" si="146"/>
        <v>3.664636051450981</v>
      </c>
      <c r="N987" s="37">
        <v>3.8324672079950028</v>
      </c>
      <c r="O987" s="37">
        <f>K987*101.1</f>
        <v>0.44404705882352935</v>
      </c>
      <c r="P987" s="37">
        <f t="shared" si="151"/>
        <v>0.5412933647058823</v>
      </c>
      <c r="Q987" s="45">
        <f t="shared" si="152"/>
        <v>6.9247970689212276E-2</v>
      </c>
      <c r="R987" s="8"/>
      <c r="S987" s="6">
        <f t="shared" si="149"/>
        <v>4.2157139287945036</v>
      </c>
    </row>
    <row r="988" spans="1:19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8">
        <f t="shared" si="145"/>
        <v>737.4</v>
      </c>
      <c r="G988" s="330">
        <v>20</v>
      </c>
      <c r="H988" s="330"/>
      <c r="I988" s="330"/>
      <c r="J988" s="8">
        <f t="shared" si="144"/>
        <v>20</v>
      </c>
      <c r="K988" s="221">
        <f t="shared" si="147"/>
        <v>1.2549019607843138E-2</v>
      </c>
      <c r="L988" s="37">
        <f t="shared" si="148"/>
        <v>28.475356862745102</v>
      </c>
      <c r="M988" s="7">
        <f t="shared" si="146"/>
        <v>10.470388718431375</v>
      </c>
      <c r="N988" s="37">
        <v>10.94990630855715</v>
      </c>
      <c r="O988" s="37">
        <f t="shared" si="150"/>
        <v>10.053019607843138</v>
      </c>
      <c r="P988" s="37">
        <f t="shared" si="151"/>
        <v>12.254630901960786</v>
      </c>
      <c r="Q988" s="45">
        <f t="shared" si="152"/>
        <v>8.1297357604525042E-2</v>
      </c>
      <c r="R988" s="8"/>
      <c r="S988" s="6">
        <f t="shared" si="149"/>
        <v>12.044896939412865</v>
      </c>
    </row>
    <row r="989" spans="1:19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8">
        <f t="shared" si="145"/>
        <v>473.4</v>
      </c>
      <c r="G989" s="330">
        <v>9</v>
      </c>
      <c r="H989" s="330"/>
      <c r="I989" s="330"/>
      <c r="J989" s="8">
        <f t="shared" si="144"/>
        <v>9</v>
      </c>
      <c r="K989" s="221">
        <f t="shared" si="147"/>
        <v>5.6470588235294121E-3</v>
      </c>
      <c r="L989" s="37">
        <f t="shared" si="148"/>
        <v>12.813910588235295</v>
      </c>
      <c r="M989" s="7">
        <f t="shared" si="146"/>
        <v>4.711674923294118</v>
      </c>
      <c r="N989" s="37">
        <v>4.9274578388507182</v>
      </c>
      <c r="O989" s="37">
        <f t="shared" si="150"/>
        <v>4.5238588235294124</v>
      </c>
      <c r="P989" s="37">
        <f t="shared" si="151"/>
        <v>5.514583905882354</v>
      </c>
      <c r="Q989" s="45">
        <f t="shared" si="152"/>
        <v>5.6985429180206049E-2</v>
      </c>
      <c r="R989" s="8"/>
      <c r="S989" s="6">
        <f t="shared" si="149"/>
        <v>5.4202036227357908</v>
      </c>
    </row>
    <row r="990" spans="1:19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8">
        <f t="shared" si="145"/>
        <v>320.60000000000002</v>
      </c>
      <c r="G990" s="330">
        <v>8</v>
      </c>
      <c r="H990" s="330"/>
      <c r="I990" s="330"/>
      <c r="J990" s="8">
        <f t="shared" si="144"/>
        <v>8</v>
      </c>
      <c r="K990" s="221">
        <f t="shared" si="147"/>
        <v>5.019607843137255E-3</v>
      </c>
      <c r="L990" s="37">
        <f t="shared" si="148"/>
        <v>11.390142745098039</v>
      </c>
      <c r="M990" s="7">
        <f t="shared" si="146"/>
        <v>4.1881554873725495</v>
      </c>
      <c r="N990" s="37">
        <v>4.3799625234228605</v>
      </c>
      <c r="O990" s="37">
        <f t="shared" si="150"/>
        <v>4.0212078431372555</v>
      </c>
      <c r="P990" s="37">
        <f t="shared" si="151"/>
        <v>4.9018523607843152</v>
      </c>
      <c r="Q990" s="45">
        <f t="shared" si="152"/>
        <v>7.4795597626421406E-2</v>
      </c>
      <c r="R990" s="8"/>
      <c r="S990" s="6">
        <f t="shared" si="149"/>
        <v>4.8179587757651472</v>
      </c>
    </row>
    <row r="991" spans="1:19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8">
        <f t="shared" si="145"/>
        <v>963.8</v>
      </c>
      <c r="G991" s="330">
        <v>22</v>
      </c>
      <c r="H991" s="330"/>
      <c r="I991" s="330"/>
      <c r="J991" s="8">
        <f t="shared" si="144"/>
        <v>22</v>
      </c>
      <c r="K991" s="221">
        <f t="shared" si="147"/>
        <v>1.3803921568627451E-2</v>
      </c>
      <c r="L991" s="37">
        <f t="shared" si="148"/>
        <v>31.32289254901961</v>
      </c>
      <c r="M991" s="7">
        <f t="shared" si="146"/>
        <v>11.517427590274512</v>
      </c>
      <c r="N991" s="37">
        <v>12.044896939412865</v>
      </c>
      <c r="O991" s="37">
        <f t="shared" si="150"/>
        <v>11.058321568627452</v>
      </c>
      <c r="P991" s="37">
        <f t="shared" si="151"/>
        <v>13.480093992156865</v>
      </c>
      <c r="Q991" s="45">
        <f t="shared" si="152"/>
        <v>6.8420355517051709E-2</v>
      </c>
      <c r="R991" s="8"/>
      <c r="S991" s="6">
        <f t="shared" si="149"/>
        <v>13.249386633354153</v>
      </c>
    </row>
    <row r="992" spans="1:19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8">
        <f t="shared" si="145"/>
        <v>143.69999999999999</v>
      </c>
      <c r="G992" s="330">
        <v>3</v>
      </c>
      <c r="H992" s="330"/>
      <c r="I992" s="330"/>
      <c r="J992" s="8">
        <f t="shared" si="144"/>
        <v>3</v>
      </c>
      <c r="K992" s="221">
        <f t="shared" si="147"/>
        <v>1.8823529411764706E-3</v>
      </c>
      <c r="L992" s="37">
        <f t="shared" si="148"/>
        <v>4.2713035294117647</v>
      </c>
      <c r="M992" s="7">
        <f t="shared" si="146"/>
        <v>1.5705583077647061</v>
      </c>
      <c r="N992" s="37">
        <v>1.6424859462835726</v>
      </c>
      <c r="O992" s="37">
        <f t="shared" si="150"/>
        <v>1.5079529411764707</v>
      </c>
      <c r="P992" s="37">
        <f t="shared" si="151"/>
        <v>1.8381946352941179</v>
      </c>
      <c r="Q992" s="45">
        <f t="shared" si="152"/>
        <v>6.2576901354464268E-2</v>
      </c>
      <c r="R992" s="8"/>
      <c r="S992" s="6">
        <f t="shared" si="149"/>
        <v>1.80673454091193</v>
      </c>
    </row>
    <row r="993" spans="1:19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8">
        <f t="shared" si="145"/>
        <v>136.80000000000001</v>
      </c>
      <c r="G993" s="330">
        <v>3</v>
      </c>
      <c r="H993" s="330"/>
      <c r="I993" s="330"/>
      <c r="J993" s="8">
        <f t="shared" si="144"/>
        <v>3</v>
      </c>
      <c r="K993" s="221">
        <f t="shared" si="147"/>
        <v>1.8823529411764706E-3</v>
      </c>
      <c r="L993" s="37">
        <f t="shared" si="148"/>
        <v>4.2713035294117647</v>
      </c>
      <c r="M993" s="7">
        <f t="shared" si="146"/>
        <v>1.5705583077647061</v>
      </c>
      <c r="N993" s="37">
        <v>1.6424859462835726</v>
      </c>
      <c r="O993" s="37">
        <f t="shared" si="150"/>
        <v>1.5079529411764707</v>
      </c>
      <c r="P993" s="37">
        <f t="shared" si="151"/>
        <v>1.8381946352941179</v>
      </c>
      <c r="Q993" s="45">
        <f t="shared" si="152"/>
        <v>6.5733192431553469E-2</v>
      </c>
      <c r="R993" s="8"/>
      <c r="S993" s="6">
        <f t="shared" si="149"/>
        <v>1.80673454091193</v>
      </c>
    </row>
    <row r="994" spans="1:19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8">
        <f t="shared" si="145"/>
        <v>128.1</v>
      </c>
      <c r="G994" s="330">
        <v>3</v>
      </c>
      <c r="H994" s="330"/>
      <c r="I994" s="330"/>
      <c r="J994" s="8">
        <f t="shared" si="144"/>
        <v>3</v>
      </c>
      <c r="K994" s="221">
        <f t="shared" si="147"/>
        <v>1.8823529411764706E-3</v>
      </c>
      <c r="L994" s="37">
        <f t="shared" si="148"/>
        <v>4.2713035294117647</v>
      </c>
      <c r="M994" s="7">
        <f t="shared" si="146"/>
        <v>1.5705583077647061</v>
      </c>
      <c r="N994" s="37">
        <v>1.6424859462835726</v>
      </c>
      <c r="O994" s="37">
        <f t="shared" si="150"/>
        <v>1.5079529411764707</v>
      </c>
      <c r="P994" s="37">
        <f t="shared" si="151"/>
        <v>1.8381946352941179</v>
      </c>
      <c r="Q994" s="45">
        <f t="shared" si="152"/>
        <v>7.0197507608403709E-2</v>
      </c>
      <c r="R994" s="8"/>
      <c r="S994" s="6">
        <f t="shared" si="149"/>
        <v>1.80673454091193</v>
      </c>
    </row>
    <row r="995" spans="1:19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8">
        <f t="shared" si="145"/>
        <v>72.5</v>
      </c>
      <c r="G995" s="330">
        <v>2</v>
      </c>
      <c r="H995" s="330"/>
      <c r="I995" s="330"/>
      <c r="J995" s="8">
        <f t="shared" si="144"/>
        <v>2</v>
      </c>
      <c r="K995" s="221">
        <f t="shared" si="147"/>
        <v>1.2549019607843138E-3</v>
      </c>
      <c r="L995" s="37">
        <f t="shared" si="148"/>
        <v>2.8475356862745098</v>
      </c>
      <c r="M995" s="7">
        <f t="shared" si="146"/>
        <v>1.0470388718431374</v>
      </c>
      <c r="N995" s="37">
        <v>1.0949906308557151</v>
      </c>
      <c r="O995" s="37">
        <f>K995*1801.1</f>
        <v>2.2602039215686274</v>
      </c>
      <c r="P995" s="37">
        <f t="shared" si="151"/>
        <v>2.755188580392157</v>
      </c>
      <c r="Q995" s="45">
        <f t="shared" si="152"/>
        <v>9.999681531782055E-2</v>
      </c>
      <c r="R995" s="8"/>
      <c r="S995" s="6">
        <f t="shared" si="149"/>
        <v>1.2044896939412868</v>
      </c>
    </row>
    <row r="996" spans="1:19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8">
        <f t="shared" si="145"/>
        <v>237.6</v>
      </c>
      <c r="G996" s="330">
        <v>6</v>
      </c>
      <c r="H996" s="330"/>
      <c r="I996" s="330"/>
      <c r="J996" s="8">
        <f t="shared" si="144"/>
        <v>6</v>
      </c>
      <c r="K996" s="221">
        <f t="shared" si="147"/>
        <v>3.7647058823529413E-3</v>
      </c>
      <c r="L996" s="37">
        <f t="shared" si="148"/>
        <v>8.5426070588235294</v>
      </c>
      <c r="M996" s="7">
        <f t="shared" si="146"/>
        <v>3.1411166155294121</v>
      </c>
      <c r="N996" s="37">
        <v>3.2849718925671452</v>
      </c>
      <c r="O996" s="37">
        <f t="shared" si="150"/>
        <v>3.0159058823529414</v>
      </c>
      <c r="P996" s="37">
        <f t="shared" si="151"/>
        <v>3.6763892705882357</v>
      </c>
      <c r="Q996" s="45">
        <f t="shared" si="152"/>
        <v>7.5692767042394901E-2</v>
      </c>
      <c r="R996" s="8"/>
      <c r="S996" s="6">
        <f t="shared" si="149"/>
        <v>3.61346908182386</v>
      </c>
    </row>
    <row r="997" spans="1:19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8">
        <f t="shared" si="145"/>
        <v>106.4</v>
      </c>
      <c r="G997" s="330">
        <v>2</v>
      </c>
      <c r="H997" s="330"/>
      <c r="I997" s="330"/>
      <c r="J997" s="8">
        <f t="shared" si="144"/>
        <v>2</v>
      </c>
      <c r="K997" s="221">
        <f t="shared" si="147"/>
        <v>1.2549019607843138E-3</v>
      </c>
      <c r="L997" s="37">
        <f t="shared" si="148"/>
        <v>2.8475356862745098</v>
      </c>
      <c r="M997" s="7">
        <f t="shared" si="146"/>
        <v>1.0470388718431374</v>
      </c>
      <c r="N997" s="37">
        <v>1.0949906308557151</v>
      </c>
      <c r="O997" s="37">
        <f>K997*801.1</f>
        <v>1.0053019607843139</v>
      </c>
      <c r="P997" s="37">
        <f t="shared" si="151"/>
        <v>1.2254630901960788</v>
      </c>
      <c r="Q997" s="45">
        <f t="shared" si="152"/>
        <v>5.6342736369902967E-2</v>
      </c>
      <c r="R997" s="8"/>
      <c r="S997" s="6">
        <f t="shared" si="149"/>
        <v>1.2044896939412868</v>
      </c>
    </row>
    <row r="998" spans="1:19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8">
        <f t="shared" si="145"/>
        <v>348.62</v>
      </c>
      <c r="G998" s="330">
        <v>8</v>
      </c>
      <c r="H998" s="330"/>
      <c r="I998" s="330"/>
      <c r="J998" s="8">
        <f t="shared" si="144"/>
        <v>8</v>
      </c>
      <c r="K998" s="221">
        <f t="shared" si="147"/>
        <v>5.019607843137255E-3</v>
      </c>
      <c r="L998" s="37">
        <f t="shared" si="148"/>
        <v>11.390142745098039</v>
      </c>
      <c r="M998" s="7">
        <f t="shared" si="146"/>
        <v>4.1881554873725495</v>
      </c>
      <c r="N998" s="37">
        <v>4.3799625234228605</v>
      </c>
      <c r="O998" s="37">
        <f>K998*801.1</f>
        <v>4.0212078431372555</v>
      </c>
      <c r="P998" s="37">
        <f t="shared" si="151"/>
        <v>4.9018523607843152</v>
      </c>
      <c r="Q998" s="45">
        <f t="shared" si="152"/>
        <v>6.8783972804287483E-2</v>
      </c>
      <c r="R998" s="8"/>
      <c r="S998" s="6">
        <f t="shared" si="149"/>
        <v>4.8179587757651472</v>
      </c>
    </row>
    <row r="999" spans="1:19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8">
        <f t="shared" si="145"/>
        <v>360.12</v>
      </c>
      <c r="G999" s="330">
        <v>8</v>
      </c>
      <c r="H999" s="330"/>
      <c r="I999" s="330"/>
      <c r="J999" s="8">
        <f t="shared" si="144"/>
        <v>8</v>
      </c>
      <c r="K999" s="221">
        <f t="shared" si="147"/>
        <v>5.019607843137255E-3</v>
      </c>
      <c r="L999" s="37">
        <f t="shared" si="148"/>
        <v>11.390142745098039</v>
      </c>
      <c r="M999" s="7">
        <f t="shared" si="146"/>
        <v>4.1881554873725495</v>
      </c>
      <c r="N999" s="37">
        <v>4.3799625234228605</v>
      </c>
      <c r="O999" s="37">
        <f t="shared" si="150"/>
        <v>4.0212078431372555</v>
      </c>
      <c r="P999" s="37">
        <f t="shared" si="151"/>
        <v>4.9018523607843152</v>
      </c>
      <c r="Q999" s="45">
        <f t="shared" si="152"/>
        <v>6.6587439184246089E-2</v>
      </c>
      <c r="R999" s="8"/>
      <c r="S999" s="6">
        <f t="shared" si="149"/>
        <v>4.8179587757651472</v>
      </c>
    </row>
    <row r="1000" spans="1:19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8">
        <f t="shared" si="145"/>
        <v>301.69</v>
      </c>
      <c r="G1000" s="330">
        <v>9</v>
      </c>
      <c r="H1000" s="330"/>
      <c r="I1000" s="330"/>
      <c r="J1000" s="8">
        <f t="shared" si="144"/>
        <v>9</v>
      </c>
      <c r="K1000" s="221">
        <f t="shared" si="147"/>
        <v>5.6470588235294121E-3</v>
      </c>
      <c r="L1000" s="37">
        <f t="shared" si="148"/>
        <v>12.813910588235295</v>
      </c>
      <c r="M1000" s="7">
        <f t="shared" si="146"/>
        <v>4.711674923294118</v>
      </c>
      <c r="N1000" s="37">
        <v>4.9274578388507182</v>
      </c>
      <c r="O1000" s="37">
        <f t="shared" si="150"/>
        <v>4.5238588235294124</v>
      </c>
      <c r="P1000" s="37">
        <f t="shared" si="151"/>
        <v>5.514583905882354</v>
      </c>
      <c r="Q1000" s="45">
        <f t="shared" si="152"/>
        <v>8.9419278643340996E-2</v>
      </c>
      <c r="R1000" s="8"/>
      <c r="S1000" s="6">
        <f t="shared" si="149"/>
        <v>5.4202036227357908</v>
      </c>
    </row>
    <row r="1001" spans="1:19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8">
        <f t="shared" si="145"/>
        <v>136.1</v>
      </c>
      <c r="G1001" s="330">
        <v>6</v>
      </c>
      <c r="H1001" s="330"/>
      <c r="I1001" s="330"/>
      <c r="J1001" s="8">
        <f t="shared" ref="J1001:J1062" si="153">G1001+H1001+I1001</f>
        <v>6</v>
      </c>
      <c r="K1001" s="221">
        <f t="shared" si="147"/>
        <v>3.7647058823529413E-3</v>
      </c>
      <c r="L1001" s="37">
        <f t="shared" si="148"/>
        <v>8.5426070588235294</v>
      </c>
      <c r="M1001" s="7">
        <f t="shared" si="146"/>
        <v>3.1411166155294121</v>
      </c>
      <c r="N1001" s="37">
        <v>3.2849718925671452</v>
      </c>
      <c r="O1001" s="37">
        <f>K1001*801.1</f>
        <v>3.0159058823529414</v>
      </c>
      <c r="P1001" s="37">
        <f t="shared" si="151"/>
        <v>3.6763892705882357</v>
      </c>
      <c r="Q1001" s="45">
        <f t="shared" si="152"/>
        <v>0.1321425528969363</v>
      </c>
      <c r="R1001" s="8"/>
      <c r="S1001" s="6">
        <f t="shared" si="149"/>
        <v>3.61346908182386</v>
      </c>
    </row>
    <row r="1002" spans="1:19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8">
        <f t="shared" ref="F1002:F1063" si="154">C1002+D1002+E1002</f>
        <v>113.9</v>
      </c>
      <c r="G1002" s="330">
        <v>7</v>
      </c>
      <c r="H1002" s="330"/>
      <c r="I1002" s="330"/>
      <c r="J1002" s="8">
        <f t="shared" si="153"/>
        <v>7</v>
      </c>
      <c r="K1002" s="221">
        <f t="shared" si="147"/>
        <v>4.3921568627450979E-3</v>
      </c>
      <c r="L1002" s="37">
        <f t="shared" si="148"/>
        <v>9.9663749019607852</v>
      </c>
      <c r="M1002" s="7">
        <f t="shared" si="146"/>
        <v>3.664636051450981</v>
      </c>
      <c r="N1002" s="37">
        <v>3.8324672079950028</v>
      </c>
      <c r="O1002" s="37">
        <f t="shared" si="150"/>
        <v>3.5185568627450983</v>
      </c>
      <c r="P1002" s="37">
        <f t="shared" si="151"/>
        <v>4.2891208156862755</v>
      </c>
      <c r="Q1002" s="45">
        <f t="shared" si="152"/>
        <v>0.18421453050177233</v>
      </c>
      <c r="R1002" s="8"/>
      <c r="S1002" s="6">
        <f t="shared" si="149"/>
        <v>4.2157139287945036</v>
      </c>
    </row>
    <row r="1003" spans="1:19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8">
        <f t="shared" si="154"/>
        <v>566.45000000000005</v>
      </c>
      <c r="G1003" s="330">
        <v>18</v>
      </c>
      <c r="H1003" s="330"/>
      <c r="I1003" s="330"/>
      <c r="J1003" s="8">
        <f t="shared" si="153"/>
        <v>18</v>
      </c>
      <c r="K1003" s="221">
        <f t="shared" si="147"/>
        <v>1.1294117647058824E-2</v>
      </c>
      <c r="L1003" s="37">
        <f t="shared" si="148"/>
        <v>25.62782117647059</v>
      </c>
      <c r="M1003" s="7">
        <f t="shared" ref="M1003:M1064" si="155">L1003*0.3677</f>
        <v>9.4233498465882359</v>
      </c>
      <c r="N1003" s="37">
        <v>9.8549156777014364</v>
      </c>
      <c r="O1003" s="37">
        <f>K1003*801.1</f>
        <v>9.0477176470588248</v>
      </c>
      <c r="P1003" s="37">
        <f t="shared" si="151"/>
        <v>11.029167811764708</v>
      </c>
      <c r="Q1003" s="45">
        <f t="shared" si="152"/>
        <v>9.5249014648811164E-2</v>
      </c>
      <c r="R1003" s="8"/>
      <c r="S1003" s="6">
        <f t="shared" si="149"/>
        <v>10.840407245471582</v>
      </c>
    </row>
    <row r="1004" spans="1:19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8">
        <f t="shared" si="154"/>
        <v>760.45</v>
      </c>
      <c r="G1004" s="330">
        <v>17</v>
      </c>
      <c r="H1004" s="330"/>
      <c r="I1004" s="330"/>
      <c r="J1004" s="8">
        <f t="shared" si="153"/>
        <v>17</v>
      </c>
      <c r="K1004" s="221">
        <f t="shared" si="147"/>
        <v>1.0666666666666666E-2</v>
      </c>
      <c r="L1004" s="37">
        <f t="shared" si="148"/>
        <v>24.204053333333334</v>
      </c>
      <c r="M1004" s="7">
        <f t="shared" si="155"/>
        <v>8.8998304106666684</v>
      </c>
      <c r="N1004" s="37">
        <v>9.3074203622735787</v>
      </c>
      <c r="O1004" s="37">
        <f t="shared" ref="O1004:O1065" si="156">K1004*801.1</f>
        <v>8.545066666666667</v>
      </c>
      <c r="P1004" s="37">
        <f t="shared" si="151"/>
        <v>10.416436266666668</v>
      </c>
      <c r="Q1004" s="45">
        <f t="shared" si="152"/>
        <v>6.7008180383904589E-2</v>
      </c>
      <c r="R1004" s="8"/>
      <c r="S1004" s="6">
        <f t="shared" si="149"/>
        <v>10.238162398500938</v>
      </c>
    </row>
    <row r="1005" spans="1:19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8">
        <f t="shared" si="154"/>
        <v>275.3</v>
      </c>
      <c r="G1005" s="330">
        <v>5</v>
      </c>
      <c r="H1005" s="330"/>
      <c r="I1005" s="330"/>
      <c r="J1005" s="8">
        <f t="shared" si="153"/>
        <v>5</v>
      </c>
      <c r="K1005" s="221">
        <f t="shared" si="147"/>
        <v>3.1372549019607846E-3</v>
      </c>
      <c r="L1005" s="37">
        <f t="shared" si="148"/>
        <v>7.1188392156862754</v>
      </c>
      <c r="M1005" s="7">
        <f t="shared" si="155"/>
        <v>2.6175971796078437</v>
      </c>
      <c r="N1005" s="37">
        <v>2.7374765771392875</v>
      </c>
      <c r="O1005" s="37">
        <f t="shared" si="156"/>
        <v>2.5132549019607846</v>
      </c>
      <c r="P1005" s="37">
        <f t="shared" si="151"/>
        <v>3.0636577254901964</v>
      </c>
      <c r="Q1005" s="45">
        <f t="shared" si="152"/>
        <v>5.4439403829982524E-2</v>
      </c>
      <c r="R1005" s="8"/>
      <c r="S1005" s="6">
        <f t="shared" si="149"/>
        <v>3.0112242348532163</v>
      </c>
    </row>
    <row r="1006" spans="1:19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8">
        <f t="shared" si="154"/>
        <v>384.4</v>
      </c>
      <c r="G1006" s="330">
        <v>8</v>
      </c>
      <c r="H1006" s="330"/>
      <c r="I1006" s="330"/>
      <c r="J1006" s="8">
        <f t="shared" si="153"/>
        <v>8</v>
      </c>
      <c r="K1006" s="221">
        <f t="shared" si="147"/>
        <v>5.019607843137255E-3</v>
      </c>
      <c r="L1006" s="37">
        <f t="shared" si="148"/>
        <v>11.390142745098039</v>
      </c>
      <c r="M1006" s="7">
        <f t="shared" si="155"/>
        <v>4.1881554873725495</v>
      </c>
      <c r="N1006" s="37">
        <v>4.3799625234228605</v>
      </c>
      <c r="O1006" s="37">
        <f t="shared" si="156"/>
        <v>4.0212078431372555</v>
      </c>
      <c r="P1006" s="37">
        <f t="shared" si="151"/>
        <v>4.9018523607843152</v>
      </c>
      <c r="Q1006" s="45">
        <f t="shared" si="152"/>
        <v>6.2381552026614738E-2</v>
      </c>
      <c r="R1006" s="8"/>
      <c r="S1006" s="6">
        <f t="shared" si="149"/>
        <v>4.8179587757651472</v>
      </c>
    </row>
    <row r="1007" spans="1:19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8">
        <f t="shared" si="154"/>
        <v>207.2</v>
      </c>
      <c r="G1007" s="330">
        <v>6</v>
      </c>
      <c r="H1007" s="330"/>
      <c r="I1007" s="330"/>
      <c r="J1007" s="8">
        <f t="shared" si="153"/>
        <v>6</v>
      </c>
      <c r="K1007" s="221">
        <f t="shared" si="147"/>
        <v>3.7647058823529413E-3</v>
      </c>
      <c r="L1007" s="37">
        <f t="shared" si="148"/>
        <v>8.5426070588235294</v>
      </c>
      <c r="M1007" s="7">
        <f t="shared" si="155"/>
        <v>3.1411166155294121</v>
      </c>
      <c r="N1007" s="37">
        <v>3.2849718925671452</v>
      </c>
      <c r="O1007" s="37">
        <f t="shared" si="156"/>
        <v>3.0159058823529414</v>
      </c>
      <c r="P1007" s="37">
        <f t="shared" si="151"/>
        <v>3.6763892705882357</v>
      </c>
      <c r="Q1007" s="45">
        <f t="shared" si="152"/>
        <v>8.6798269542823506E-2</v>
      </c>
      <c r="R1007" s="8"/>
      <c r="S1007" s="6">
        <f t="shared" ref="S1007:S1069" si="157">N1007*1.1</f>
        <v>3.61346908182386</v>
      </c>
    </row>
    <row r="1008" spans="1:19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8">
        <f t="shared" si="154"/>
        <v>603.70000000000005</v>
      </c>
      <c r="G1008" s="330">
        <v>19</v>
      </c>
      <c r="H1008" s="330"/>
      <c r="I1008" s="330"/>
      <c r="J1008" s="8">
        <f t="shared" si="153"/>
        <v>19</v>
      </c>
      <c r="K1008" s="221">
        <f t="shared" si="147"/>
        <v>1.1921568627450981E-2</v>
      </c>
      <c r="L1008" s="37">
        <f t="shared" si="148"/>
        <v>27.051589019607846</v>
      </c>
      <c r="M1008" s="7">
        <f t="shared" si="155"/>
        <v>9.9468692825098053</v>
      </c>
      <c r="N1008" s="37">
        <v>10.402410993129292</v>
      </c>
      <c r="O1008" s="37">
        <f>K1008*1801.1</f>
        <v>21.47193725490196</v>
      </c>
      <c r="P1008" s="37">
        <f t="shared" si="151"/>
        <v>26.174291513725489</v>
      </c>
      <c r="Q1008" s="45">
        <f t="shared" si="152"/>
        <v>0.11408448989589018</v>
      </c>
      <c r="R1008" s="8"/>
      <c r="S1008" s="6">
        <f t="shared" si="157"/>
        <v>11.442652092442222</v>
      </c>
    </row>
    <row r="1009" spans="1:19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8">
        <f t="shared" si="154"/>
        <v>477.8</v>
      </c>
      <c r="G1009" s="330">
        <v>12</v>
      </c>
      <c r="H1009" s="330"/>
      <c r="I1009" s="330"/>
      <c r="J1009" s="8">
        <f t="shared" si="153"/>
        <v>12</v>
      </c>
      <c r="K1009" s="221">
        <f t="shared" ref="K1009:K1072" si="158">4/6375*J1009</f>
        <v>7.5294117647058826E-3</v>
      </c>
      <c r="L1009" s="37">
        <f t="shared" ref="L1009:L1072" si="159">K1009*2269.13</f>
        <v>17.085214117647059</v>
      </c>
      <c r="M1009" s="7">
        <f t="shared" si="155"/>
        <v>6.2822332310588243</v>
      </c>
      <c r="N1009" s="37">
        <v>6.5699437851342903</v>
      </c>
      <c r="O1009" s="37">
        <f>K1009*1801.1</f>
        <v>13.561223529411764</v>
      </c>
      <c r="P1009" s="37">
        <f t="shared" si="151"/>
        <v>16.53113148235294</v>
      </c>
      <c r="Q1009" s="45">
        <f t="shared" si="152"/>
        <v>9.1039377696215867E-2</v>
      </c>
      <c r="R1009" s="8"/>
      <c r="S1009" s="6">
        <f t="shared" si="157"/>
        <v>7.2269381636477199</v>
      </c>
    </row>
    <row r="1010" spans="1:19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8">
        <f t="shared" si="154"/>
        <v>481.5</v>
      </c>
      <c r="G1010" s="330">
        <v>12</v>
      </c>
      <c r="H1010" s="330"/>
      <c r="I1010" s="330"/>
      <c r="J1010" s="8">
        <f t="shared" si="153"/>
        <v>12</v>
      </c>
      <c r="K1010" s="221">
        <f t="shared" si="158"/>
        <v>7.5294117647058826E-3</v>
      </c>
      <c r="L1010" s="37">
        <f t="shared" si="159"/>
        <v>17.085214117647059</v>
      </c>
      <c r="M1010" s="7">
        <f t="shared" si="155"/>
        <v>6.2822332310588243</v>
      </c>
      <c r="N1010" s="37">
        <v>6.5699437851342903</v>
      </c>
      <c r="O1010" s="37">
        <f>K1010*1801.1</f>
        <v>13.561223529411764</v>
      </c>
      <c r="P1010" s="37">
        <f t="shared" ref="P1010:P1073" si="160">O1010*1.219</f>
        <v>16.53113148235294</v>
      </c>
      <c r="Q1010" s="45">
        <f t="shared" si="152"/>
        <v>9.0339802000523245E-2</v>
      </c>
      <c r="R1010" s="8"/>
      <c r="S1010" s="6">
        <f t="shared" si="157"/>
        <v>7.2269381636477199</v>
      </c>
    </row>
    <row r="1011" spans="1:19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8">
        <f t="shared" si="154"/>
        <v>539.4</v>
      </c>
      <c r="G1011" s="330">
        <v>13</v>
      </c>
      <c r="H1011" s="330"/>
      <c r="I1011" s="330"/>
      <c r="J1011" s="8">
        <f t="shared" si="153"/>
        <v>13</v>
      </c>
      <c r="K1011" s="221">
        <f t="shared" si="158"/>
        <v>8.1568627450980397E-3</v>
      </c>
      <c r="L1011" s="37">
        <f t="shared" si="159"/>
        <v>18.508981960784315</v>
      </c>
      <c r="M1011" s="7">
        <f t="shared" si="155"/>
        <v>6.8057526669803927</v>
      </c>
      <c r="N1011" s="37">
        <v>7.1174391005621489</v>
      </c>
      <c r="O1011" s="37">
        <f t="shared" si="156"/>
        <v>6.5344627450980397</v>
      </c>
      <c r="P1011" s="37">
        <f t="shared" si="160"/>
        <v>7.9655100862745112</v>
      </c>
      <c r="Q1011" s="45">
        <f t="shared" si="152"/>
        <v>7.2240705364154431E-2</v>
      </c>
      <c r="R1011" s="8"/>
      <c r="S1011" s="6">
        <f t="shared" si="157"/>
        <v>7.8291830106183644</v>
      </c>
    </row>
    <row r="1012" spans="1:19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8">
        <f t="shared" si="154"/>
        <v>120.6</v>
      </c>
      <c r="G1012" s="330">
        <v>4</v>
      </c>
      <c r="H1012" s="330"/>
      <c r="I1012" s="330"/>
      <c r="J1012" s="8">
        <f t="shared" si="153"/>
        <v>4</v>
      </c>
      <c r="K1012" s="221">
        <f t="shared" si="158"/>
        <v>2.5098039215686275E-3</v>
      </c>
      <c r="L1012" s="37">
        <f t="shared" si="159"/>
        <v>5.6950713725490196</v>
      </c>
      <c r="M1012" s="7">
        <f t="shared" si="155"/>
        <v>2.0940777436862748</v>
      </c>
      <c r="N1012" s="37">
        <v>2.1899812617114303</v>
      </c>
      <c r="O1012" s="37">
        <f t="shared" si="156"/>
        <v>2.0106039215686278</v>
      </c>
      <c r="P1012" s="37">
        <f t="shared" si="160"/>
        <v>2.4509261803921576</v>
      </c>
      <c r="Q1012" s="45">
        <f t="shared" si="152"/>
        <v>9.9417365667623145E-2</v>
      </c>
      <c r="R1012" s="8"/>
      <c r="S1012" s="6">
        <f t="shared" si="157"/>
        <v>2.4089793878825736</v>
      </c>
    </row>
    <row r="1013" spans="1:19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8">
        <f t="shared" si="154"/>
        <v>98.1</v>
      </c>
      <c r="G1013" s="330">
        <v>3</v>
      </c>
      <c r="H1013" s="330"/>
      <c r="I1013" s="330"/>
      <c r="J1013" s="8">
        <f t="shared" si="153"/>
        <v>3</v>
      </c>
      <c r="K1013" s="221">
        <f t="shared" si="158"/>
        <v>1.8823529411764706E-3</v>
      </c>
      <c r="L1013" s="37">
        <f t="shared" si="159"/>
        <v>4.2713035294117647</v>
      </c>
      <c r="M1013" s="7">
        <f t="shared" si="155"/>
        <v>1.5705583077647061</v>
      </c>
      <c r="N1013" s="37">
        <v>1.6424859462835726</v>
      </c>
      <c r="O1013" s="37">
        <f t="shared" si="156"/>
        <v>1.5079529411764707</v>
      </c>
      <c r="P1013" s="37">
        <f t="shared" si="160"/>
        <v>1.8381946352941179</v>
      </c>
      <c r="Q1013" s="45">
        <f t="shared" si="152"/>
        <v>9.1664635317395673E-2</v>
      </c>
      <c r="R1013" s="8"/>
      <c r="S1013" s="6">
        <f t="shared" si="157"/>
        <v>1.80673454091193</v>
      </c>
    </row>
    <row r="1014" spans="1:19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8">
        <f t="shared" si="154"/>
        <v>95.2</v>
      </c>
      <c r="G1014" s="330">
        <v>4</v>
      </c>
      <c r="H1014" s="330"/>
      <c r="I1014" s="330"/>
      <c r="J1014" s="8">
        <f t="shared" si="153"/>
        <v>4</v>
      </c>
      <c r="K1014" s="221">
        <f t="shared" si="158"/>
        <v>2.5098039215686275E-3</v>
      </c>
      <c r="L1014" s="37">
        <f t="shared" si="159"/>
        <v>5.6950713725490196</v>
      </c>
      <c r="M1014" s="7">
        <f t="shared" si="155"/>
        <v>2.0940777436862748</v>
      </c>
      <c r="N1014" s="37">
        <v>2.1899812617114303</v>
      </c>
      <c r="O1014" s="37">
        <f>K1014*801.1</f>
        <v>2.0106039215686278</v>
      </c>
      <c r="P1014" s="37">
        <f t="shared" si="160"/>
        <v>2.4509261803921576</v>
      </c>
      <c r="Q1014" s="45">
        <f t="shared" si="152"/>
        <v>0.1259425871797831</v>
      </c>
      <c r="R1014" s="8"/>
      <c r="S1014" s="6">
        <f t="shared" si="157"/>
        <v>2.4089793878825736</v>
      </c>
    </row>
    <row r="1015" spans="1:19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8">
        <f t="shared" si="154"/>
        <v>2329.16</v>
      </c>
      <c r="G1015" s="330">
        <v>40</v>
      </c>
      <c r="H1015" s="330"/>
      <c r="I1015" s="330"/>
      <c r="J1015" s="8">
        <f t="shared" si="153"/>
        <v>40</v>
      </c>
      <c r="K1015" s="221">
        <f t="shared" si="158"/>
        <v>2.5098039215686277E-2</v>
      </c>
      <c r="L1015" s="37">
        <f t="shared" si="159"/>
        <v>56.950713725490203</v>
      </c>
      <c r="M1015" s="7">
        <f t="shared" si="155"/>
        <v>20.940777436862749</v>
      </c>
      <c r="N1015" s="37">
        <v>21.8998126171143</v>
      </c>
      <c r="O1015" s="37">
        <f t="shared" si="156"/>
        <v>20.106039215686277</v>
      </c>
      <c r="P1015" s="37">
        <f t="shared" si="160"/>
        <v>24.509261803921571</v>
      </c>
      <c r="Q1015" s="45">
        <f t="shared" si="152"/>
        <v>5.1476645226241874E-2</v>
      </c>
      <c r="R1015" s="8"/>
      <c r="S1015" s="6">
        <f t="shared" si="157"/>
        <v>24.089793878825731</v>
      </c>
    </row>
    <row r="1016" spans="1:19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8">
        <f t="shared" si="154"/>
        <v>188</v>
      </c>
      <c r="G1016" s="330">
        <v>4</v>
      </c>
      <c r="H1016" s="330"/>
      <c r="I1016" s="330"/>
      <c r="J1016" s="8">
        <f t="shared" si="153"/>
        <v>4</v>
      </c>
      <c r="K1016" s="221">
        <f t="shared" si="158"/>
        <v>2.5098039215686275E-3</v>
      </c>
      <c r="L1016" s="37">
        <f t="shared" si="159"/>
        <v>5.6950713725490196</v>
      </c>
      <c r="M1016" s="7">
        <f t="shared" si="155"/>
        <v>2.0940777436862748</v>
      </c>
      <c r="N1016" s="37">
        <v>2.1899812617114303</v>
      </c>
      <c r="O1016" s="37">
        <f t="shared" si="156"/>
        <v>2.0106039215686278</v>
      </c>
      <c r="P1016" s="37">
        <f t="shared" si="160"/>
        <v>2.4509261803921576</v>
      </c>
      <c r="Q1016" s="45">
        <f t="shared" si="152"/>
        <v>6.3775182444230596E-2</v>
      </c>
      <c r="R1016" s="8"/>
      <c r="S1016" s="6">
        <f t="shared" si="157"/>
        <v>2.4089793878825736</v>
      </c>
    </row>
    <row r="1017" spans="1:19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8">
        <f t="shared" si="154"/>
        <v>110.1</v>
      </c>
      <c r="G1017" s="330">
        <v>3</v>
      </c>
      <c r="H1017" s="330"/>
      <c r="I1017" s="330"/>
      <c r="J1017" s="8">
        <f t="shared" si="153"/>
        <v>3</v>
      </c>
      <c r="K1017" s="221">
        <f t="shared" si="158"/>
        <v>1.8823529411764706E-3</v>
      </c>
      <c r="L1017" s="37">
        <f t="shared" si="159"/>
        <v>4.2713035294117647</v>
      </c>
      <c r="M1017" s="7">
        <f t="shared" si="155"/>
        <v>1.5705583077647061</v>
      </c>
      <c r="N1017" s="37">
        <v>1.6424859462835726</v>
      </c>
      <c r="O1017" s="37">
        <f t="shared" si="156"/>
        <v>1.5079529411764707</v>
      </c>
      <c r="P1017" s="37">
        <f t="shared" si="160"/>
        <v>1.8381946352941179</v>
      </c>
      <c r="Q1017" s="45">
        <f t="shared" si="152"/>
        <v>8.1673939369995591E-2</v>
      </c>
      <c r="R1017" s="8"/>
      <c r="S1017" s="6">
        <f t="shared" si="157"/>
        <v>1.80673454091193</v>
      </c>
    </row>
    <row r="1018" spans="1:19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8">
        <f t="shared" si="154"/>
        <v>215.8</v>
      </c>
      <c r="G1018" s="330">
        <v>4</v>
      </c>
      <c r="H1018" s="330"/>
      <c r="I1018" s="330"/>
      <c r="J1018" s="8">
        <f t="shared" si="153"/>
        <v>4</v>
      </c>
      <c r="K1018" s="221">
        <f t="shared" si="158"/>
        <v>2.5098039215686275E-3</v>
      </c>
      <c r="L1018" s="37">
        <f t="shared" si="159"/>
        <v>5.6950713725490196</v>
      </c>
      <c r="M1018" s="7">
        <f t="shared" si="155"/>
        <v>2.0940777436862748</v>
      </c>
      <c r="N1018" s="37">
        <v>2.1899812617114303</v>
      </c>
      <c r="O1018" s="37">
        <f t="shared" si="156"/>
        <v>2.0106039215686278</v>
      </c>
      <c r="P1018" s="37">
        <f t="shared" si="160"/>
        <v>2.4509261803921576</v>
      </c>
      <c r="Q1018" s="45">
        <f t="shared" si="152"/>
        <v>5.5559473121016452E-2</v>
      </c>
      <c r="R1018" s="8"/>
      <c r="S1018" s="6">
        <f t="shared" si="157"/>
        <v>2.4089793878825736</v>
      </c>
    </row>
    <row r="1019" spans="1:19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8">
        <f t="shared" si="154"/>
        <v>1481.3</v>
      </c>
      <c r="G1019" s="330">
        <v>32</v>
      </c>
      <c r="H1019" s="330"/>
      <c r="I1019" s="330"/>
      <c r="J1019" s="8">
        <f t="shared" si="153"/>
        <v>32</v>
      </c>
      <c r="K1019" s="221">
        <f t="shared" si="158"/>
        <v>2.007843137254902E-2</v>
      </c>
      <c r="L1019" s="37">
        <f t="shared" si="159"/>
        <v>45.560570980392157</v>
      </c>
      <c r="M1019" s="7">
        <f t="shared" si="155"/>
        <v>16.752621949490198</v>
      </c>
      <c r="N1019" s="37">
        <v>17.519850093691442</v>
      </c>
      <c r="O1019" s="37">
        <f>K1019*801.1</f>
        <v>16.084831372549022</v>
      </c>
      <c r="P1019" s="37">
        <f t="shared" si="160"/>
        <v>19.607409443137261</v>
      </c>
      <c r="Q1019" s="45">
        <f t="shared" si="152"/>
        <v>6.4752497398314193E-2</v>
      </c>
      <c r="R1019" s="8"/>
      <c r="S1019" s="6">
        <f t="shared" si="157"/>
        <v>19.271835103060589</v>
      </c>
    </row>
    <row r="1020" spans="1:19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8">
        <f t="shared" si="154"/>
        <v>152.6</v>
      </c>
      <c r="G1020" s="330">
        <v>6</v>
      </c>
      <c r="H1020" s="330"/>
      <c r="I1020" s="330"/>
      <c r="J1020" s="8">
        <f t="shared" si="153"/>
        <v>6</v>
      </c>
      <c r="K1020" s="221">
        <f t="shared" si="158"/>
        <v>3.7647058823529413E-3</v>
      </c>
      <c r="L1020" s="37">
        <f t="shared" si="159"/>
        <v>8.5426070588235294</v>
      </c>
      <c r="M1020" s="7">
        <f t="shared" si="155"/>
        <v>3.1411166155294121</v>
      </c>
      <c r="N1020" s="37">
        <v>3.2849718925671452</v>
      </c>
      <c r="O1020" s="37">
        <f t="shared" si="156"/>
        <v>3.0159058823529414</v>
      </c>
      <c r="P1020" s="37">
        <f t="shared" si="160"/>
        <v>3.6763892705882357</v>
      </c>
      <c r="Q1020" s="45">
        <f t="shared" si="152"/>
        <v>0.11785453112236585</v>
      </c>
      <c r="R1020" s="8"/>
      <c r="S1020" s="6">
        <f t="shared" si="157"/>
        <v>3.61346908182386</v>
      </c>
    </row>
    <row r="1021" spans="1:19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8">
        <f t="shared" si="154"/>
        <v>110.9</v>
      </c>
      <c r="G1021" s="330">
        <v>2</v>
      </c>
      <c r="H1021" s="330"/>
      <c r="I1021" s="330"/>
      <c r="J1021" s="8">
        <f t="shared" si="153"/>
        <v>2</v>
      </c>
      <c r="K1021" s="221">
        <f t="shared" si="158"/>
        <v>1.2549019607843138E-3</v>
      </c>
      <c r="L1021" s="37">
        <f t="shared" si="159"/>
        <v>2.8475356862745098</v>
      </c>
      <c r="M1021" s="7">
        <f t="shared" si="155"/>
        <v>1.0470388718431374</v>
      </c>
      <c r="N1021" s="37">
        <v>1.0949906308557151</v>
      </c>
      <c r="O1021" s="37">
        <f t="shared" si="156"/>
        <v>1.0053019607843139</v>
      </c>
      <c r="P1021" s="37">
        <f t="shared" si="160"/>
        <v>1.2254630901960788</v>
      </c>
      <c r="Q1021" s="45">
        <f t="shared" si="152"/>
        <v>5.4056511720087248E-2</v>
      </c>
      <c r="R1021" s="8"/>
      <c r="S1021" s="6">
        <f t="shared" si="157"/>
        <v>1.2044896939412868</v>
      </c>
    </row>
    <row r="1022" spans="1:19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8">
        <f t="shared" si="154"/>
        <v>59.5</v>
      </c>
      <c r="G1022" s="330">
        <v>2</v>
      </c>
      <c r="H1022" s="330"/>
      <c r="I1022" s="330"/>
      <c r="J1022" s="8">
        <f t="shared" si="153"/>
        <v>2</v>
      </c>
      <c r="K1022" s="221">
        <f t="shared" si="158"/>
        <v>1.2549019607843138E-3</v>
      </c>
      <c r="L1022" s="37">
        <f t="shared" si="159"/>
        <v>2.8475356862745098</v>
      </c>
      <c r="M1022" s="7">
        <f t="shared" si="155"/>
        <v>1.0470388718431374</v>
      </c>
      <c r="N1022" s="37">
        <v>1.0949906308557151</v>
      </c>
      <c r="O1022" s="37">
        <f t="shared" si="156"/>
        <v>1.0053019607843139</v>
      </c>
      <c r="P1022" s="37">
        <f t="shared" si="160"/>
        <v>1.2254630901960788</v>
      </c>
      <c r="Q1022" s="45">
        <f t="shared" si="152"/>
        <v>0.10075406974382649</v>
      </c>
      <c r="R1022" s="8"/>
      <c r="S1022" s="6">
        <f t="shared" si="157"/>
        <v>1.2044896939412868</v>
      </c>
    </row>
    <row r="1023" spans="1:19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8">
        <f t="shared" si="154"/>
        <v>38.700000000000003</v>
      </c>
      <c r="G1023" s="330">
        <v>1</v>
      </c>
      <c r="H1023" s="330"/>
      <c r="I1023" s="330"/>
      <c r="J1023" s="8">
        <f t="shared" si="153"/>
        <v>1</v>
      </c>
      <c r="K1023" s="221">
        <f t="shared" si="158"/>
        <v>6.2745098039215688E-4</v>
      </c>
      <c r="L1023" s="37">
        <f t="shared" si="159"/>
        <v>1.4237678431372549</v>
      </c>
      <c r="M1023" s="7">
        <f t="shared" si="155"/>
        <v>0.52351943592156869</v>
      </c>
      <c r="N1023" s="37">
        <v>0.54749531542785757</v>
      </c>
      <c r="O1023" s="37">
        <f>K1023*801.1</f>
        <v>0.50265098039215694</v>
      </c>
      <c r="P1023" s="37">
        <f t="shared" si="160"/>
        <v>0.6127315450980394</v>
      </c>
      <c r="Q1023" s="45">
        <f t="shared" si="152"/>
        <v>7.7453063950357559E-2</v>
      </c>
      <c r="R1023" s="8"/>
      <c r="S1023" s="6">
        <f t="shared" si="157"/>
        <v>0.6022448469706434</v>
      </c>
    </row>
    <row r="1024" spans="1:19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8">
        <f t="shared" si="154"/>
        <v>72.3</v>
      </c>
      <c r="G1024" s="330">
        <v>2</v>
      </c>
      <c r="H1024" s="330"/>
      <c r="I1024" s="330"/>
      <c r="J1024" s="8">
        <f t="shared" si="153"/>
        <v>2</v>
      </c>
      <c r="K1024" s="221">
        <f t="shared" si="158"/>
        <v>1.2549019607843138E-3</v>
      </c>
      <c r="L1024" s="37">
        <f t="shared" si="159"/>
        <v>2.8475356862745098</v>
      </c>
      <c r="M1024" s="7">
        <f t="shared" si="155"/>
        <v>1.0470388718431374</v>
      </c>
      <c r="N1024" s="37">
        <v>1.0949906308557151</v>
      </c>
      <c r="O1024" s="37">
        <f>K1024*801.1</f>
        <v>1.0053019607843139</v>
      </c>
      <c r="P1024" s="37">
        <f t="shared" si="160"/>
        <v>1.2254630901960788</v>
      </c>
      <c r="Q1024" s="45">
        <f t="shared" si="152"/>
        <v>8.2916558087934661E-2</v>
      </c>
      <c r="R1024" s="8"/>
      <c r="S1024" s="6">
        <f t="shared" si="157"/>
        <v>1.2044896939412868</v>
      </c>
    </row>
    <row r="1025" spans="1:19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8">
        <f t="shared" si="154"/>
        <v>99.09</v>
      </c>
      <c r="G1025" s="330">
        <v>2</v>
      </c>
      <c r="H1025" s="330"/>
      <c r="I1025" s="330"/>
      <c r="J1025" s="8">
        <f t="shared" si="153"/>
        <v>2</v>
      </c>
      <c r="K1025" s="221">
        <f t="shared" si="158"/>
        <v>1.2549019607843138E-3</v>
      </c>
      <c r="L1025" s="37">
        <f t="shared" si="159"/>
        <v>2.8475356862745098</v>
      </c>
      <c r="M1025" s="7">
        <f t="shared" si="155"/>
        <v>1.0470388718431374</v>
      </c>
      <c r="N1025" s="37">
        <v>1.0949906308557151</v>
      </c>
      <c r="O1025" s="37">
        <f t="shared" si="156"/>
        <v>1.0053019607843139</v>
      </c>
      <c r="P1025" s="37">
        <f t="shared" si="160"/>
        <v>1.2254630901960788</v>
      </c>
      <c r="Q1025" s="45">
        <f t="shared" si="152"/>
        <v>6.0499214348144877E-2</v>
      </c>
      <c r="R1025" s="8"/>
      <c r="S1025" s="6">
        <f t="shared" si="157"/>
        <v>1.2044896939412868</v>
      </c>
    </row>
    <row r="1026" spans="1:19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8">
        <f t="shared" si="154"/>
        <v>78.7</v>
      </c>
      <c r="G1026" s="330">
        <v>3</v>
      </c>
      <c r="H1026" s="330"/>
      <c r="I1026" s="330"/>
      <c r="J1026" s="8">
        <f t="shared" si="153"/>
        <v>3</v>
      </c>
      <c r="K1026" s="221">
        <f t="shared" si="158"/>
        <v>1.8823529411764706E-3</v>
      </c>
      <c r="L1026" s="37">
        <f t="shared" si="159"/>
        <v>4.2713035294117647</v>
      </c>
      <c r="M1026" s="7">
        <f t="shared" si="155"/>
        <v>1.5705583077647061</v>
      </c>
      <c r="N1026" s="37">
        <v>1.6424859462835726</v>
      </c>
      <c r="O1026" s="37">
        <f t="shared" si="156"/>
        <v>1.5079529411764707</v>
      </c>
      <c r="P1026" s="37">
        <f t="shared" si="160"/>
        <v>1.8381946352941179</v>
      </c>
      <c r="Q1026" s="45">
        <f t="shared" si="152"/>
        <v>0.11426049205383118</v>
      </c>
      <c r="R1026" s="8"/>
      <c r="S1026" s="6">
        <f t="shared" si="157"/>
        <v>1.80673454091193</v>
      </c>
    </row>
    <row r="1027" spans="1:19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8">
        <f t="shared" si="154"/>
        <v>557.9</v>
      </c>
      <c r="G1027" s="330">
        <v>12</v>
      </c>
      <c r="H1027" s="330"/>
      <c r="I1027" s="330"/>
      <c r="J1027" s="8">
        <f t="shared" si="153"/>
        <v>12</v>
      </c>
      <c r="K1027" s="221">
        <f t="shared" si="158"/>
        <v>7.5294117647058826E-3</v>
      </c>
      <c r="L1027" s="37">
        <f t="shared" si="159"/>
        <v>17.085214117647059</v>
      </c>
      <c r="M1027" s="7">
        <f t="shared" si="155"/>
        <v>6.2822332310588243</v>
      </c>
      <c r="N1027" s="37">
        <v>6.5699437851342903</v>
      </c>
      <c r="O1027" s="37">
        <f t="shared" si="156"/>
        <v>6.0318117647058829</v>
      </c>
      <c r="P1027" s="37">
        <f t="shared" si="160"/>
        <v>7.3527785411764714</v>
      </c>
      <c r="Q1027" s="45">
        <f t="shared" si="152"/>
        <v>6.4472491304079685E-2</v>
      </c>
      <c r="R1027" s="8"/>
      <c r="S1027" s="6">
        <f t="shared" si="157"/>
        <v>7.2269381636477199</v>
      </c>
    </row>
    <row r="1028" spans="1:19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8">
        <f t="shared" si="154"/>
        <v>122.5</v>
      </c>
      <c r="G1028" s="330">
        <v>4</v>
      </c>
      <c r="H1028" s="330"/>
      <c r="I1028" s="330"/>
      <c r="J1028" s="8">
        <f t="shared" si="153"/>
        <v>4</v>
      </c>
      <c r="K1028" s="221">
        <f t="shared" si="158"/>
        <v>2.5098039215686275E-3</v>
      </c>
      <c r="L1028" s="37">
        <f t="shared" si="159"/>
        <v>5.6950713725490196</v>
      </c>
      <c r="M1028" s="7">
        <f t="shared" si="155"/>
        <v>2.0940777436862748</v>
      </c>
      <c r="N1028" s="37">
        <v>2.1899812617114303</v>
      </c>
      <c r="O1028" s="37">
        <f>K1028*801.1</f>
        <v>2.0106039215686278</v>
      </c>
      <c r="P1028" s="37">
        <f t="shared" si="160"/>
        <v>2.4509261803921576</v>
      </c>
      <c r="Q1028" s="45">
        <f t="shared" si="152"/>
        <v>9.7875382036860012E-2</v>
      </c>
      <c r="R1028" s="8"/>
      <c r="S1028" s="6">
        <f t="shared" si="157"/>
        <v>2.4089793878825736</v>
      </c>
    </row>
    <row r="1029" spans="1:19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8">
        <f t="shared" si="154"/>
        <v>275.5</v>
      </c>
      <c r="G1029" s="330">
        <v>5</v>
      </c>
      <c r="H1029" s="330">
        <v>1</v>
      </c>
      <c r="I1029" s="330"/>
      <c r="J1029" s="8">
        <f t="shared" si="153"/>
        <v>6</v>
      </c>
      <c r="K1029" s="221">
        <f t="shared" si="158"/>
        <v>3.7647058823529413E-3</v>
      </c>
      <c r="L1029" s="37">
        <f t="shared" si="159"/>
        <v>8.5426070588235294</v>
      </c>
      <c r="M1029" s="7">
        <f t="shared" si="155"/>
        <v>3.1411166155294121</v>
      </c>
      <c r="N1029" s="37">
        <v>3.2849718925671452</v>
      </c>
      <c r="O1029" s="37">
        <f t="shared" si="156"/>
        <v>3.0159058823529414</v>
      </c>
      <c r="P1029" s="37">
        <f t="shared" si="160"/>
        <v>3.6763892705882357</v>
      </c>
      <c r="Q1029" s="45">
        <f t="shared" si="152"/>
        <v>6.527986006995655E-2</v>
      </c>
      <c r="R1029" s="8"/>
      <c r="S1029" s="6">
        <f t="shared" si="157"/>
        <v>3.61346908182386</v>
      </c>
    </row>
    <row r="1030" spans="1:19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8">
        <f t="shared" si="154"/>
        <v>189.1</v>
      </c>
      <c r="G1030" s="330">
        <v>6</v>
      </c>
      <c r="H1030" s="330"/>
      <c r="I1030" s="330"/>
      <c r="J1030" s="8">
        <f t="shared" si="153"/>
        <v>6</v>
      </c>
      <c r="K1030" s="221">
        <f t="shared" si="158"/>
        <v>3.7647058823529413E-3</v>
      </c>
      <c r="L1030" s="37">
        <f t="shared" si="159"/>
        <v>8.5426070588235294</v>
      </c>
      <c r="M1030" s="7">
        <f t="shared" si="155"/>
        <v>3.1411166155294121</v>
      </c>
      <c r="N1030" s="37">
        <v>3.2849718925671452</v>
      </c>
      <c r="O1030" s="37">
        <f t="shared" si="156"/>
        <v>3.0159058823529414</v>
      </c>
      <c r="P1030" s="37">
        <f t="shared" si="160"/>
        <v>3.6763892705882357</v>
      </c>
      <c r="Q1030" s="45">
        <f t="shared" si="152"/>
        <v>9.5106300630740506E-2</v>
      </c>
      <c r="R1030" s="8"/>
      <c r="S1030" s="6">
        <f t="shared" si="157"/>
        <v>3.61346908182386</v>
      </c>
    </row>
    <row r="1031" spans="1:19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8">
        <f t="shared" si="154"/>
        <v>590.4</v>
      </c>
      <c r="G1031" s="330">
        <v>15</v>
      </c>
      <c r="H1031" s="330"/>
      <c r="I1031" s="330"/>
      <c r="J1031" s="8">
        <f t="shared" si="153"/>
        <v>15</v>
      </c>
      <c r="K1031" s="221">
        <f t="shared" si="158"/>
        <v>9.4117647058823539E-3</v>
      </c>
      <c r="L1031" s="37">
        <f t="shared" si="159"/>
        <v>21.356517647058826</v>
      </c>
      <c r="M1031" s="7">
        <f t="shared" si="155"/>
        <v>7.8527915388235314</v>
      </c>
      <c r="N1031" s="37">
        <v>8.2124297314178616</v>
      </c>
      <c r="O1031" s="37">
        <f>K1031*1801.1</f>
        <v>16.951529411764707</v>
      </c>
      <c r="P1031" s="37">
        <f t="shared" si="160"/>
        <v>20.66391435294118</v>
      </c>
      <c r="Q1031" s="45">
        <f t="shared" ref="Q1031:Q1094" si="161">(O1031+N1031+M1031+L1031)/F1031</f>
        <v>9.2095644188795608E-2</v>
      </c>
      <c r="R1031" s="8"/>
      <c r="S1031" s="6">
        <f t="shared" si="157"/>
        <v>9.033672704559649</v>
      </c>
    </row>
    <row r="1032" spans="1:19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8">
        <f t="shared" si="154"/>
        <v>761.4</v>
      </c>
      <c r="G1032" s="330">
        <v>22</v>
      </c>
      <c r="H1032" s="330"/>
      <c r="I1032" s="330"/>
      <c r="J1032" s="8">
        <f t="shared" si="153"/>
        <v>22</v>
      </c>
      <c r="K1032" s="221">
        <f t="shared" si="158"/>
        <v>1.3803921568627451E-2</v>
      </c>
      <c r="L1032" s="37">
        <f t="shared" si="159"/>
        <v>31.32289254901961</v>
      </c>
      <c r="M1032" s="7">
        <f t="shared" si="155"/>
        <v>11.517427590274512</v>
      </c>
      <c r="N1032" s="37">
        <v>12.044896939412865</v>
      </c>
      <c r="O1032" s="37">
        <f>K1032*1801.1</f>
        <v>24.8622431372549</v>
      </c>
      <c r="P1032" s="37">
        <f t="shared" si="160"/>
        <v>30.307074384313726</v>
      </c>
      <c r="Q1032" s="45">
        <f t="shared" si="161"/>
        <v>0.10473793041234818</v>
      </c>
      <c r="R1032" s="8"/>
      <c r="S1032" s="6">
        <f t="shared" si="157"/>
        <v>13.249386633354153</v>
      </c>
    </row>
    <row r="1033" spans="1:19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8">
        <f t="shared" si="154"/>
        <v>577.12</v>
      </c>
      <c r="G1033" s="330">
        <v>17</v>
      </c>
      <c r="H1033" s="330"/>
      <c r="I1033" s="730">
        <v>1</v>
      </c>
      <c r="J1033" s="8">
        <f t="shared" si="153"/>
        <v>18</v>
      </c>
      <c r="K1033" s="221">
        <f t="shared" si="158"/>
        <v>1.1294117647058824E-2</v>
      </c>
      <c r="L1033" s="37">
        <f t="shared" si="159"/>
        <v>25.62782117647059</v>
      </c>
      <c r="M1033" s="7">
        <f t="shared" si="155"/>
        <v>9.4233498465882359</v>
      </c>
      <c r="N1033" s="37">
        <v>9.8549156777014364</v>
      </c>
      <c r="O1033" s="37">
        <f t="shared" si="156"/>
        <v>9.0477176470588248</v>
      </c>
      <c r="P1033" s="37">
        <f t="shared" si="160"/>
        <v>11.029167811764708</v>
      </c>
      <c r="Q1033" s="45">
        <f t="shared" si="161"/>
        <v>9.348801695976415E-2</v>
      </c>
      <c r="R1033" s="8"/>
      <c r="S1033" s="6">
        <f t="shared" si="157"/>
        <v>10.840407245471582</v>
      </c>
    </row>
    <row r="1034" spans="1:19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8">
        <f t="shared" si="154"/>
        <v>136.80000000000001</v>
      </c>
      <c r="G1034" s="330">
        <v>3</v>
      </c>
      <c r="H1034" s="330"/>
      <c r="I1034" s="730">
        <v>1</v>
      </c>
      <c r="J1034" s="8">
        <f t="shared" si="153"/>
        <v>4</v>
      </c>
      <c r="K1034" s="221">
        <f t="shared" si="158"/>
        <v>2.5098039215686275E-3</v>
      </c>
      <c r="L1034" s="37">
        <f t="shared" si="159"/>
        <v>5.6950713725490196</v>
      </c>
      <c r="M1034" s="7">
        <f t="shared" si="155"/>
        <v>2.0940777436862748</v>
      </c>
      <c r="N1034" s="37">
        <v>2.1899812617114303</v>
      </c>
      <c r="O1034" s="37">
        <f t="shared" si="156"/>
        <v>2.0106039215686278</v>
      </c>
      <c r="P1034" s="37">
        <f t="shared" si="160"/>
        <v>2.4509261803921576</v>
      </c>
      <c r="Q1034" s="45">
        <f t="shared" si="161"/>
        <v>8.7644256575404603E-2</v>
      </c>
      <c r="R1034" s="8"/>
      <c r="S1034" s="6">
        <f t="shared" si="157"/>
        <v>2.4089793878825736</v>
      </c>
    </row>
    <row r="1035" spans="1:19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8">
        <f t="shared" si="154"/>
        <v>578</v>
      </c>
      <c r="G1035" s="330">
        <v>16</v>
      </c>
      <c r="H1035" s="330"/>
      <c r="I1035" s="330"/>
      <c r="J1035" s="8">
        <f t="shared" si="153"/>
        <v>16</v>
      </c>
      <c r="K1035" s="221">
        <f t="shared" si="158"/>
        <v>1.003921568627451E-2</v>
      </c>
      <c r="L1035" s="37">
        <f t="shared" si="159"/>
        <v>22.780285490196079</v>
      </c>
      <c r="M1035" s="7">
        <f t="shared" si="155"/>
        <v>8.376310974745099</v>
      </c>
      <c r="N1035" s="37">
        <v>8.759925046845721</v>
      </c>
      <c r="O1035" s="37">
        <f t="shared" si="156"/>
        <v>8.0424156862745111</v>
      </c>
      <c r="P1035" s="37">
        <f t="shared" si="160"/>
        <v>9.8037047215686304</v>
      </c>
      <c r="Q1035" s="45">
        <f t="shared" si="161"/>
        <v>8.2973939789033571E-2</v>
      </c>
      <c r="R1035" s="8"/>
      <c r="S1035" s="6">
        <f t="shared" si="157"/>
        <v>9.6359175515302944</v>
      </c>
    </row>
    <row r="1036" spans="1:19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8">
        <f t="shared" si="154"/>
        <v>150</v>
      </c>
      <c r="G1036" s="330">
        <v>5</v>
      </c>
      <c r="H1036" s="330"/>
      <c r="I1036" s="330"/>
      <c r="J1036" s="8">
        <f t="shared" si="153"/>
        <v>5</v>
      </c>
      <c r="K1036" s="221">
        <f t="shared" si="158"/>
        <v>3.1372549019607846E-3</v>
      </c>
      <c r="L1036" s="37">
        <f t="shared" si="159"/>
        <v>7.1188392156862754</v>
      </c>
      <c r="M1036" s="7">
        <f t="shared" si="155"/>
        <v>2.6175971796078437</v>
      </c>
      <c r="N1036" s="37">
        <v>2.7374765771392875</v>
      </c>
      <c r="O1036" s="37">
        <f t="shared" si="156"/>
        <v>2.5132549019607846</v>
      </c>
      <c r="P1036" s="37">
        <f t="shared" si="160"/>
        <v>3.0636577254901964</v>
      </c>
      <c r="Q1036" s="45">
        <f t="shared" si="161"/>
        <v>9.9914452495961273E-2</v>
      </c>
      <c r="R1036" s="8"/>
      <c r="S1036" s="6">
        <f t="shared" si="157"/>
        <v>3.0112242348532163</v>
      </c>
    </row>
    <row r="1037" spans="1:19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8">
        <f t="shared" si="154"/>
        <v>106.6</v>
      </c>
      <c r="G1037" s="330">
        <v>3</v>
      </c>
      <c r="H1037" s="330"/>
      <c r="I1037" s="330"/>
      <c r="J1037" s="8">
        <f t="shared" si="153"/>
        <v>3</v>
      </c>
      <c r="K1037" s="221">
        <f t="shared" si="158"/>
        <v>1.8823529411764706E-3</v>
      </c>
      <c r="L1037" s="37">
        <f t="shared" si="159"/>
        <v>4.2713035294117647</v>
      </c>
      <c r="M1037" s="7">
        <f t="shared" si="155"/>
        <v>1.5705583077647061</v>
      </c>
      <c r="N1037" s="37">
        <v>1.6424859462835726</v>
      </c>
      <c r="O1037" s="37">
        <f t="shared" si="156"/>
        <v>1.5079529411764707</v>
      </c>
      <c r="P1037" s="37">
        <f t="shared" si="160"/>
        <v>1.8381946352941179</v>
      </c>
      <c r="Q1037" s="45">
        <f t="shared" si="161"/>
        <v>8.4355541506909146E-2</v>
      </c>
      <c r="R1037" s="8"/>
      <c r="S1037" s="6">
        <f t="shared" si="157"/>
        <v>1.80673454091193</v>
      </c>
    </row>
    <row r="1038" spans="1:19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8">
        <f t="shared" si="154"/>
        <v>128.4</v>
      </c>
      <c r="G1038" s="330">
        <v>4</v>
      </c>
      <c r="H1038" s="330"/>
      <c r="I1038" s="330"/>
      <c r="J1038" s="8">
        <f t="shared" si="153"/>
        <v>4</v>
      </c>
      <c r="K1038" s="221">
        <f t="shared" si="158"/>
        <v>2.5098039215686275E-3</v>
      </c>
      <c r="L1038" s="37">
        <f t="shared" si="159"/>
        <v>5.6950713725490196</v>
      </c>
      <c r="M1038" s="7">
        <f t="shared" si="155"/>
        <v>2.0940777436862748</v>
      </c>
      <c r="N1038" s="37">
        <v>2.1899812617114303</v>
      </c>
      <c r="O1038" s="37">
        <f t="shared" si="156"/>
        <v>2.0106039215686278</v>
      </c>
      <c r="P1038" s="37">
        <f t="shared" si="160"/>
        <v>2.4509261803921576</v>
      </c>
      <c r="Q1038" s="45">
        <f t="shared" si="161"/>
        <v>9.3377992986879682E-2</v>
      </c>
      <c r="R1038" s="8"/>
      <c r="S1038" s="6">
        <f t="shared" si="157"/>
        <v>2.4089793878825736</v>
      </c>
    </row>
    <row r="1039" spans="1:19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8">
        <f t="shared" si="154"/>
        <v>57.7</v>
      </c>
      <c r="G1039" s="330">
        <v>1</v>
      </c>
      <c r="H1039" s="330"/>
      <c r="I1039" s="330"/>
      <c r="J1039" s="8">
        <f t="shared" si="153"/>
        <v>1</v>
      </c>
      <c r="K1039" s="221">
        <f t="shared" si="158"/>
        <v>6.2745098039215688E-4</v>
      </c>
      <c r="L1039" s="37">
        <f t="shared" si="159"/>
        <v>1.4237678431372549</v>
      </c>
      <c r="M1039" s="7">
        <f t="shared" si="155"/>
        <v>0.52351943592156869</v>
      </c>
      <c r="N1039" s="37">
        <v>0.54749531542785757</v>
      </c>
      <c r="O1039" s="37">
        <f t="shared" si="156"/>
        <v>0.50265098039215694</v>
      </c>
      <c r="P1039" s="37">
        <f t="shared" si="160"/>
        <v>0.6127315450980394</v>
      </c>
      <c r="Q1039" s="45">
        <f t="shared" si="161"/>
        <v>5.1948588819390601E-2</v>
      </c>
      <c r="R1039" s="8"/>
      <c r="S1039" s="6">
        <f t="shared" si="157"/>
        <v>0.6022448469706434</v>
      </c>
    </row>
    <row r="1040" spans="1:19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8">
        <f t="shared" si="154"/>
        <v>256.5</v>
      </c>
      <c r="G1040" s="330">
        <v>5</v>
      </c>
      <c r="H1040" s="330"/>
      <c r="I1040" s="330">
        <v>1</v>
      </c>
      <c r="J1040" s="8">
        <f t="shared" si="153"/>
        <v>6</v>
      </c>
      <c r="K1040" s="221">
        <f t="shared" si="158"/>
        <v>3.7647058823529413E-3</v>
      </c>
      <c r="L1040" s="37">
        <f t="shared" si="159"/>
        <v>8.5426070588235294</v>
      </c>
      <c r="M1040" s="7">
        <f t="shared" si="155"/>
        <v>3.1411166155294121</v>
      </c>
      <c r="N1040" s="37">
        <v>3.2849718925671452</v>
      </c>
      <c r="O1040" s="37">
        <f t="shared" si="156"/>
        <v>3.0159058823529414</v>
      </c>
      <c r="P1040" s="37">
        <f t="shared" si="160"/>
        <v>3.6763892705882357</v>
      </c>
      <c r="Q1040" s="45">
        <f t="shared" si="161"/>
        <v>7.0115405260323699E-2</v>
      </c>
      <c r="R1040" s="8"/>
      <c r="S1040" s="6">
        <f t="shared" si="157"/>
        <v>3.61346908182386</v>
      </c>
    </row>
    <row r="1041" spans="1:19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8">
        <f t="shared" si="154"/>
        <v>118.5</v>
      </c>
      <c r="G1041" s="330">
        <v>2</v>
      </c>
      <c r="H1041" s="330"/>
      <c r="I1041" s="330">
        <v>1</v>
      </c>
      <c r="J1041" s="8">
        <f t="shared" si="153"/>
        <v>3</v>
      </c>
      <c r="K1041" s="221">
        <f t="shared" si="158"/>
        <v>1.8823529411764706E-3</v>
      </c>
      <c r="L1041" s="37">
        <f t="shared" si="159"/>
        <v>4.2713035294117647</v>
      </c>
      <c r="M1041" s="7">
        <f t="shared" si="155"/>
        <v>1.5705583077647061</v>
      </c>
      <c r="N1041" s="37">
        <v>1.6424859462835726</v>
      </c>
      <c r="O1041" s="37">
        <f t="shared" si="156"/>
        <v>1.5079529411764707</v>
      </c>
      <c r="P1041" s="37">
        <f t="shared" si="160"/>
        <v>1.8381946352941179</v>
      </c>
      <c r="Q1041" s="45">
        <f t="shared" si="161"/>
        <v>7.5884394300730074E-2</v>
      </c>
      <c r="R1041" s="8"/>
      <c r="S1041" s="6">
        <f t="shared" si="157"/>
        <v>1.80673454091193</v>
      </c>
    </row>
    <row r="1042" spans="1:19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8">
        <f t="shared" si="154"/>
        <v>142.1</v>
      </c>
      <c r="G1042" s="330">
        <v>4</v>
      </c>
      <c r="H1042" s="330"/>
      <c r="I1042" s="330"/>
      <c r="J1042" s="8">
        <f t="shared" si="153"/>
        <v>4</v>
      </c>
      <c r="K1042" s="221">
        <f t="shared" si="158"/>
        <v>2.5098039215686275E-3</v>
      </c>
      <c r="L1042" s="37">
        <f t="shared" si="159"/>
        <v>5.6950713725490196</v>
      </c>
      <c r="M1042" s="7">
        <f t="shared" si="155"/>
        <v>2.0940777436862748</v>
      </c>
      <c r="N1042" s="37">
        <v>2.1899812617114303</v>
      </c>
      <c r="O1042" s="37">
        <f t="shared" si="156"/>
        <v>2.0106039215686278</v>
      </c>
      <c r="P1042" s="37">
        <f t="shared" si="160"/>
        <v>2.4509261803921576</v>
      </c>
      <c r="Q1042" s="45">
        <f t="shared" si="161"/>
        <v>8.4375329342120706E-2</v>
      </c>
      <c r="R1042" s="8"/>
      <c r="S1042" s="6">
        <f t="shared" si="157"/>
        <v>2.4089793878825736</v>
      </c>
    </row>
    <row r="1043" spans="1:19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8">
        <f t="shared" si="154"/>
        <v>259.7</v>
      </c>
      <c r="G1043" s="330">
        <v>8</v>
      </c>
      <c r="H1043" s="330"/>
      <c r="I1043" s="330"/>
      <c r="J1043" s="8">
        <f t="shared" si="153"/>
        <v>8</v>
      </c>
      <c r="K1043" s="221">
        <f t="shared" si="158"/>
        <v>5.019607843137255E-3</v>
      </c>
      <c r="L1043" s="37">
        <f t="shared" si="159"/>
        <v>11.390142745098039</v>
      </c>
      <c r="M1043" s="7">
        <f t="shared" si="155"/>
        <v>4.1881554873725495</v>
      </c>
      <c r="N1043" s="37">
        <v>4.3799625234228605</v>
      </c>
      <c r="O1043" s="37">
        <f t="shared" si="156"/>
        <v>4.0212078431372555</v>
      </c>
      <c r="P1043" s="37">
        <f t="shared" si="160"/>
        <v>4.9018523607843152</v>
      </c>
      <c r="Q1043" s="45">
        <f t="shared" si="161"/>
        <v>9.2335266072509456E-2</v>
      </c>
      <c r="R1043" s="8"/>
      <c r="S1043" s="6">
        <f t="shared" si="157"/>
        <v>4.8179587757651472</v>
      </c>
    </row>
    <row r="1044" spans="1:19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8">
        <f t="shared" si="154"/>
        <v>309.39999999999998</v>
      </c>
      <c r="G1044" s="330">
        <v>4</v>
      </c>
      <c r="H1044" s="330"/>
      <c r="I1044" s="330">
        <v>1</v>
      </c>
      <c r="J1044" s="8">
        <f t="shared" si="153"/>
        <v>5</v>
      </c>
      <c r="K1044" s="221">
        <f t="shared" si="158"/>
        <v>3.1372549019607846E-3</v>
      </c>
      <c r="L1044" s="37">
        <f t="shared" si="159"/>
        <v>7.1188392156862754</v>
      </c>
      <c r="M1044" s="7">
        <f t="shared" si="155"/>
        <v>2.6175971796078437</v>
      </c>
      <c r="N1044" s="37">
        <v>2.7374765771392875</v>
      </c>
      <c r="O1044" s="37">
        <f>K1044*801.1</f>
        <v>2.5132549019607846</v>
      </c>
      <c r="P1044" s="37">
        <f t="shared" si="160"/>
        <v>3.0636577254901964</v>
      </c>
      <c r="Q1044" s="45">
        <f t="shared" si="161"/>
        <v>4.8439456607608893E-2</v>
      </c>
      <c r="R1044" s="8"/>
      <c r="S1044" s="6">
        <f t="shared" si="157"/>
        <v>3.0112242348532163</v>
      </c>
    </row>
    <row r="1045" spans="1:19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8">
        <f t="shared" si="154"/>
        <v>432.1</v>
      </c>
      <c r="G1045" s="330">
        <v>12</v>
      </c>
      <c r="H1045" s="330"/>
      <c r="I1045" s="330"/>
      <c r="J1045" s="8">
        <f t="shared" si="153"/>
        <v>12</v>
      </c>
      <c r="K1045" s="221">
        <f t="shared" si="158"/>
        <v>7.5294117647058826E-3</v>
      </c>
      <c r="L1045" s="37">
        <f t="shared" si="159"/>
        <v>17.085214117647059</v>
      </c>
      <c r="M1045" s="7">
        <f t="shared" si="155"/>
        <v>6.2822332310588243</v>
      </c>
      <c r="N1045" s="37">
        <v>6.5699437851342903</v>
      </c>
      <c r="O1045" s="37">
        <f t="shared" si="156"/>
        <v>6.0318117647058829</v>
      </c>
      <c r="P1045" s="37">
        <f t="shared" si="160"/>
        <v>7.3527785411764714</v>
      </c>
      <c r="Q1045" s="45">
        <f t="shared" si="161"/>
        <v>8.3242774585850624E-2</v>
      </c>
      <c r="R1045" s="8"/>
      <c r="S1045" s="6">
        <f t="shared" si="157"/>
        <v>7.2269381636477199</v>
      </c>
    </row>
    <row r="1046" spans="1:19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8">
        <f t="shared" si="154"/>
        <v>241.89999999999998</v>
      </c>
      <c r="G1046" s="330">
        <v>4</v>
      </c>
      <c r="H1046" s="330"/>
      <c r="I1046" s="330">
        <v>1</v>
      </c>
      <c r="J1046" s="8">
        <f t="shared" si="153"/>
        <v>5</v>
      </c>
      <c r="K1046" s="221">
        <f t="shared" si="158"/>
        <v>3.1372549019607846E-3</v>
      </c>
      <c r="L1046" s="37">
        <f t="shared" si="159"/>
        <v>7.1188392156862754</v>
      </c>
      <c r="M1046" s="7">
        <f t="shared" si="155"/>
        <v>2.6175971796078437</v>
      </c>
      <c r="N1046" s="37">
        <v>2.7374765771392875</v>
      </c>
      <c r="O1046" s="37">
        <f t="shared" si="156"/>
        <v>2.5132549019607846</v>
      </c>
      <c r="P1046" s="37">
        <f t="shared" si="160"/>
        <v>3.0636577254901964</v>
      </c>
      <c r="Q1046" s="45">
        <f t="shared" si="161"/>
        <v>6.1956047434453043E-2</v>
      </c>
      <c r="R1046" s="8"/>
      <c r="S1046" s="6">
        <f t="shared" si="157"/>
        <v>3.0112242348532163</v>
      </c>
    </row>
    <row r="1047" spans="1:19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8">
        <f t="shared" si="154"/>
        <v>278.3</v>
      </c>
      <c r="G1047" s="330">
        <v>5</v>
      </c>
      <c r="H1047" s="330"/>
      <c r="I1047" s="330"/>
      <c r="J1047" s="8">
        <f t="shared" si="153"/>
        <v>5</v>
      </c>
      <c r="K1047" s="221">
        <f t="shared" si="158"/>
        <v>3.1372549019607846E-3</v>
      </c>
      <c r="L1047" s="37">
        <f t="shared" si="159"/>
        <v>7.1188392156862754</v>
      </c>
      <c r="M1047" s="7">
        <f t="shared" si="155"/>
        <v>2.6175971796078437</v>
      </c>
      <c r="N1047" s="37">
        <v>2.7374765771392875</v>
      </c>
      <c r="O1047" s="37">
        <f t="shared" si="156"/>
        <v>2.5132549019607846</v>
      </c>
      <c r="P1047" s="37">
        <f t="shared" si="160"/>
        <v>3.0636577254901964</v>
      </c>
      <c r="Q1047" s="45">
        <f t="shared" si="161"/>
        <v>5.385256153213866E-2</v>
      </c>
      <c r="R1047" s="8"/>
      <c r="S1047" s="6">
        <f t="shared" si="157"/>
        <v>3.0112242348532163</v>
      </c>
    </row>
    <row r="1048" spans="1:19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8">
        <f t="shared" si="154"/>
        <v>150</v>
      </c>
      <c r="G1048" s="330">
        <v>4</v>
      </c>
      <c r="H1048" s="330"/>
      <c r="I1048" s="330"/>
      <c r="J1048" s="8">
        <f t="shared" si="153"/>
        <v>4</v>
      </c>
      <c r="K1048" s="221">
        <f t="shared" si="158"/>
        <v>2.5098039215686275E-3</v>
      </c>
      <c r="L1048" s="37">
        <f t="shared" si="159"/>
        <v>5.6950713725490196</v>
      </c>
      <c r="M1048" s="7">
        <f t="shared" si="155"/>
        <v>2.0940777436862748</v>
      </c>
      <c r="N1048" s="37">
        <v>2.1899812617114303</v>
      </c>
      <c r="O1048" s="37">
        <f t="shared" si="156"/>
        <v>2.0106039215686278</v>
      </c>
      <c r="P1048" s="37">
        <f t="shared" si="160"/>
        <v>2.4509261803921576</v>
      </c>
      <c r="Q1048" s="45">
        <f t="shared" si="161"/>
        <v>7.9931561996769013E-2</v>
      </c>
      <c r="R1048" s="8"/>
      <c r="S1048" s="6">
        <f t="shared" si="157"/>
        <v>2.4089793878825736</v>
      </c>
    </row>
    <row r="1049" spans="1:19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8">
        <f t="shared" si="154"/>
        <v>140.6</v>
      </c>
      <c r="G1049" s="330">
        <v>4</v>
      </c>
      <c r="H1049" s="330"/>
      <c r="I1049" s="330"/>
      <c r="J1049" s="8">
        <f t="shared" si="153"/>
        <v>4</v>
      </c>
      <c r="K1049" s="221">
        <f t="shared" si="158"/>
        <v>2.5098039215686275E-3</v>
      </c>
      <c r="L1049" s="37">
        <f t="shared" si="159"/>
        <v>5.6950713725490196</v>
      </c>
      <c r="M1049" s="7">
        <f t="shared" si="155"/>
        <v>2.0940777436862748</v>
      </c>
      <c r="N1049" s="37">
        <v>2.1899812617114303</v>
      </c>
      <c r="O1049" s="37">
        <f>K1049*801.1</f>
        <v>2.0106039215686278</v>
      </c>
      <c r="P1049" s="37">
        <f t="shared" si="160"/>
        <v>2.4509261803921576</v>
      </c>
      <c r="Q1049" s="45">
        <f t="shared" si="161"/>
        <v>8.5275492884177462E-2</v>
      </c>
      <c r="R1049" s="8"/>
      <c r="S1049" s="6">
        <f t="shared" si="157"/>
        <v>2.4089793878825736</v>
      </c>
    </row>
    <row r="1050" spans="1:19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8">
        <f t="shared" si="154"/>
        <v>209.1</v>
      </c>
      <c r="G1050" s="330">
        <v>9</v>
      </c>
      <c r="H1050" s="330"/>
      <c r="I1050" s="330"/>
      <c r="J1050" s="8">
        <f t="shared" si="153"/>
        <v>9</v>
      </c>
      <c r="K1050" s="221">
        <f t="shared" si="158"/>
        <v>5.6470588235294121E-3</v>
      </c>
      <c r="L1050" s="37">
        <f t="shared" si="159"/>
        <v>12.813910588235295</v>
      </c>
      <c r="M1050" s="7">
        <f t="shared" si="155"/>
        <v>4.711674923294118</v>
      </c>
      <c r="N1050" s="37">
        <v>4.9274578388507182</v>
      </c>
      <c r="O1050" s="37">
        <f t="shared" si="156"/>
        <v>4.5238588235294124</v>
      </c>
      <c r="P1050" s="37">
        <f t="shared" si="160"/>
        <v>5.514583905882354</v>
      </c>
      <c r="Q1050" s="45">
        <f t="shared" si="161"/>
        <v>0.12901435759880223</v>
      </c>
      <c r="R1050" s="8"/>
      <c r="S1050" s="6">
        <f t="shared" si="157"/>
        <v>5.4202036227357908</v>
      </c>
    </row>
    <row r="1051" spans="1:19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8">
        <f t="shared" si="154"/>
        <v>463.5</v>
      </c>
      <c r="G1051" s="330">
        <v>8</v>
      </c>
      <c r="H1051" s="330"/>
      <c r="I1051" s="330"/>
      <c r="J1051" s="8">
        <f t="shared" si="153"/>
        <v>8</v>
      </c>
      <c r="K1051" s="221">
        <f t="shared" si="158"/>
        <v>5.019607843137255E-3</v>
      </c>
      <c r="L1051" s="37">
        <f t="shared" si="159"/>
        <v>11.390142745098039</v>
      </c>
      <c r="M1051" s="7">
        <f t="shared" si="155"/>
        <v>4.1881554873725495</v>
      </c>
      <c r="N1051" s="37">
        <v>4.3799625234228605</v>
      </c>
      <c r="O1051" s="37">
        <f>K1051*1801.1</f>
        <v>9.0408156862745095</v>
      </c>
      <c r="P1051" s="37">
        <f t="shared" si="160"/>
        <v>11.020754321568628</v>
      </c>
      <c r="Q1051" s="45">
        <f t="shared" si="161"/>
        <v>6.2565429217190854E-2</v>
      </c>
      <c r="R1051" s="8"/>
      <c r="S1051" s="6">
        <f t="shared" si="157"/>
        <v>4.8179587757651472</v>
      </c>
    </row>
    <row r="1052" spans="1:19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8">
        <f t="shared" si="154"/>
        <v>126</v>
      </c>
      <c r="G1052" s="330">
        <v>4</v>
      </c>
      <c r="H1052" s="330"/>
      <c r="I1052" s="330"/>
      <c r="J1052" s="8">
        <f t="shared" si="153"/>
        <v>4</v>
      </c>
      <c r="K1052" s="221">
        <f t="shared" si="158"/>
        <v>2.5098039215686275E-3</v>
      </c>
      <c r="L1052" s="37">
        <f t="shared" si="159"/>
        <v>5.6950713725490196</v>
      </c>
      <c r="M1052" s="7">
        <f t="shared" si="155"/>
        <v>2.0940777436862748</v>
      </c>
      <c r="N1052" s="37">
        <v>2.1899812617114303</v>
      </c>
      <c r="O1052" s="37">
        <f t="shared" si="156"/>
        <v>2.0106039215686278</v>
      </c>
      <c r="P1052" s="37">
        <f t="shared" si="160"/>
        <v>2.4509261803921576</v>
      </c>
      <c r="Q1052" s="45">
        <f t="shared" si="161"/>
        <v>9.5156621424725016E-2</v>
      </c>
      <c r="R1052" s="8"/>
      <c r="S1052" s="6">
        <f t="shared" si="157"/>
        <v>2.4089793878825736</v>
      </c>
    </row>
    <row r="1053" spans="1:19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8">
        <f t="shared" si="154"/>
        <v>725.1</v>
      </c>
      <c r="G1053" s="330">
        <v>19</v>
      </c>
      <c r="H1053" s="330"/>
      <c r="I1053" s="330"/>
      <c r="J1053" s="8">
        <f t="shared" si="153"/>
        <v>19</v>
      </c>
      <c r="K1053" s="221">
        <f t="shared" si="158"/>
        <v>1.1921568627450981E-2</v>
      </c>
      <c r="L1053" s="37">
        <f t="shared" si="159"/>
        <v>27.051589019607846</v>
      </c>
      <c r="M1053" s="7">
        <f t="shared" si="155"/>
        <v>9.9468692825098053</v>
      </c>
      <c r="N1053" s="37">
        <v>10.402410993129292</v>
      </c>
      <c r="O1053" s="37">
        <f>K1053*801.1</f>
        <v>9.5503686274509807</v>
      </c>
      <c r="P1053" s="37">
        <f t="shared" si="160"/>
        <v>11.641899356862746</v>
      </c>
      <c r="Q1053" s="45">
        <f t="shared" si="161"/>
        <v>7.8542598155699805E-2</v>
      </c>
      <c r="R1053" s="8"/>
      <c r="S1053" s="6">
        <f t="shared" si="157"/>
        <v>11.442652092442222</v>
      </c>
    </row>
    <row r="1054" spans="1:19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8">
        <f t="shared" si="154"/>
        <v>466.88</v>
      </c>
      <c r="G1054" s="330">
        <v>13</v>
      </c>
      <c r="H1054" s="330"/>
      <c r="I1054" s="330"/>
      <c r="J1054" s="8">
        <f t="shared" si="153"/>
        <v>13</v>
      </c>
      <c r="K1054" s="221">
        <f t="shared" si="158"/>
        <v>8.1568627450980397E-3</v>
      </c>
      <c r="L1054" s="37">
        <f t="shared" si="159"/>
        <v>18.508981960784315</v>
      </c>
      <c r="M1054" s="7">
        <f t="shared" si="155"/>
        <v>6.8057526669803927</v>
      </c>
      <c r="N1054" s="37">
        <v>7.1174391005621489</v>
      </c>
      <c r="O1054" s="37">
        <f t="shared" si="156"/>
        <v>6.5344627450980397</v>
      </c>
      <c r="P1054" s="37">
        <f t="shared" si="160"/>
        <v>7.9655100862745112</v>
      </c>
      <c r="Q1054" s="45">
        <f t="shared" si="161"/>
        <v>8.3461781343010841E-2</v>
      </c>
      <c r="R1054" s="8"/>
      <c r="S1054" s="6">
        <f t="shared" si="157"/>
        <v>7.8291830106183644</v>
      </c>
    </row>
    <row r="1055" spans="1:19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8">
        <f t="shared" si="154"/>
        <v>138.1</v>
      </c>
      <c r="G1055" s="330">
        <v>4</v>
      </c>
      <c r="H1055" s="330"/>
      <c r="I1055" s="330"/>
      <c r="J1055" s="8">
        <f t="shared" si="153"/>
        <v>4</v>
      </c>
      <c r="K1055" s="221">
        <f t="shared" si="158"/>
        <v>2.5098039215686275E-3</v>
      </c>
      <c r="L1055" s="37">
        <f t="shared" si="159"/>
        <v>5.6950713725490196</v>
      </c>
      <c r="M1055" s="7">
        <f t="shared" si="155"/>
        <v>2.0940777436862748</v>
      </c>
      <c r="N1055" s="37">
        <v>2.1899812617114303</v>
      </c>
      <c r="O1055" s="37">
        <f t="shared" si="156"/>
        <v>2.0106039215686278</v>
      </c>
      <c r="P1055" s="37">
        <f t="shared" si="160"/>
        <v>2.4509261803921576</v>
      </c>
      <c r="Q1055" s="45">
        <f t="shared" si="161"/>
        <v>8.6819220126830937E-2</v>
      </c>
      <c r="R1055" s="8"/>
      <c r="S1055" s="6">
        <f t="shared" si="157"/>
        <v>2.4089793878825736</v>
      </c>
    </row>
    <row r="1056" spans="1:19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8">
        <f t="shared" si="154"/>
        <v>139.30000000000001</v>
      </c>
      <c r="G1056" s="330">
        <v>2</v>
      </c>
      <c r="H1056" s="330"/>
      <c r="I1056" s="330"/>
      <c r="J1056" s="8">
        <f t="shared" si="153"/>
        <v>2</v>
      </c>
      <c r="K1056" s="221">
        <f t="shared" si="158"/>
        <v>1.2549019607843138E-3</v>
      </c>
      <c r="L1056" s="37">
        <f t="shared" si="159"/>
        <v>2.8475356862745098</v>
      </c>
      <c r="M1056" s="7">
        <f t="shared" si="155"/>
        <v>1.0470388718431374</v>
      </c>
      <c r="N1056" s="37">
        <v>1.0949906308557151</v>
      </c>
      <c r="O1056" s="37">
        <f t="shared" si="156"/>
        <v>1.0053019607843139</v>
      </c>
      <c r="P1056" s="37">
        <f t="shared" si="160"/>
        <v>1.2254630901960788</v>
      </c>
      <c r="Q1056" s="45">
        <f t="shared" si="161"/>
        <v>4.3035657930780152E-2</v>
      </c>
      <c r="R1056" s="8"/>
      <c r="S1056" s="6">
        <f t="shared" si="157"/>
        <v>1.2044896939412868</v>
      </c>
    </row>
    <row r="1057" spans="1:19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8">
        <f t="shared" si="154"/>
        <v>807</v>
      </c>
      <c r="G1057" s="330">
        <v>16</v>
      </c>
      <c r="H1057" s="330"/>
      <c r="I1057" s="330"/>
      <c r="J1057" s="8">
        <f t="shared" si="153"/>
        <v>16</v>
      </c>
      <c r="K1057" s="221">
        <f t="shared" si="158"/>
        <v>1.003921568627451E-2</v>
      </c>
      <c r="L1057" s="37">
        <f t="shared" si="159"/>
        <v>22.780285490196079</v>
      </c>
      <c r="M1057" s="7">
        <f t="shared" si="155"/>
        <v>8.376310974745099</v>
      </c>
      <c r="N1057" s="37">
        <v>8.759925046845721</v>
      </c>
      <c r="O1057" s="37">
        <f t="shared" si="156"/>
        <v>8.0424156862745111</v>
      </c>
      <c r="P1057" s="37">
        <f t="shared" si="160"/>
        <v>9.8037047215686304</v>
      </c>
      <c r="Q1057" s="45">
        <f t="shared" si="161"/>
        <v>5.9428670629568039E-2</v>
      </c>
      <c r="R1057" s="8"/>
      <c r="S1057" s="6">
        <f t="shared" si="157"/>
        <v>9.6359175515302944</v>
      </c>
    </row>
    <row r="1058" spans="1:19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8">
        <f t="shared" si="154"/>
        <v>1555.2</v>
      </c>
      <c r="G1058" s="330">
        <v>32</v>
      </c>
      <c r="H1058" s="330"/>
      <c r="I1058" s="330"/>
      <c r="J1058" s="8">
        <f t="shared" si="153"/>
        <v>32</v>
      </c>
      <c r="K1058" s="221">
        <f t="shared" si="158"/>
        <v>2.007843137254902E-2</v>
      </c>
      <c r="L1058" s="37">
        <f t="shared" si="159"/>
        <v>45.560570980392157</v>
      </c>
      <c r="M1058" s="7">
        <f t="shared" si="155"/>
        <v>16.752621949490198</v>
      </c>
      <c r="N1058" s="37">
        <v>17.519850093691442</v>
      </c>
      <c r="O1058" s="37">
        <f t="shared" si="156"/>
        <v>16.084831372549022</v>
      </c>
      <c r="P1058" s="37">
        <f t="shared" si="160"/>
        <v>19.607409443137261</v>
      </c>
      <c r="Q1058" s="45">
        <f t="shared" si="161"/>
        <v>6.1675587960469916E-2</v>
      </c>
      <c r="R1058" s="8"/>
      <c r="S1058" s="6">
        <f t="shared" si="157"/>
        <v>19.271835103060589</v>
      </c>
    </row>
    <row r="1059" spans="1:19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8">
        <f t="shared" si="154"/>
        <v>1514.3</v>
      </c>
      <c r="G1059" s="330">
        <v>32</v>
      </c>
      <c r="H1059" s="330"/>
      <c r="I1059" s="330"/>
      <c r="J1059" s="8">
        <f t="shared" si="153"/>
        <v>32</v>
      </c>
      <c r="K1059" s="221">
        <f t="shared" si="158"/>
        <v>2.007843137254902E-2</v>
      </c>
      <c r="L1059" s="37">
        <f t="shared" si="159"/>
        <v>45.560570980392157</v>
      </c>
      <c r="M1059" s="7">
        <f t="shared" si="155"/>
        <v>16.752621949490198</v>
      </c>
      <c r="N1059" s="37">
        <v>17.519850093691442</v>
      </c>
      <c r="O1059" s="37">
        <f t="shared" si="156"/>
        <v>16.084831372549022</v>
      </c>
      <c r="P1059" s="37">
        <f t="shared" si="160"/>
        <v>19.607409443137261</v>
      </c>
      <c r="Q1059" s="45">
        <f t="shared" si="161"/>
        <v>6.3341394965411621E-2</v>
      </c>
      <c r="R1059" s="8"/>
      <c r="S1059" s="6">
        <f t="shared" si="157"/>
        <v>19.271835103060589</v>
      </c>
    </row>
    <row r="1060" spans="1:19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8">
        <f t="shared" si="154"/>
        <v>394</v>
      </c>
      <c r="G1060" s="330">
        <v>12</v>
      </c>
      <c r="H1060" s="330"/>
      <c r="I1060" s="330"/>
      <c r="J1060" s="8">
        <f t="shared" si="153"/>
        <v>12</v>
      </c>
      <c r="K1060" s="221">
        <f t="shared" si="158"/>
        <v>7.5294117647058826E-3</v>
      </c>
      <c r="L1060" s="37">
        <f t="shared" si="159"/>
        <v>17.085214117647059</v>
      </c>
      <c r="M1060" s="7">
        <f t="shared" si="155"/>
        <v>6.2822332310588243</v>
      </c>
      <c r="N1060" s="37">
        <v>6.5699437851342903</v>
      </c>
      <c r="O1060" s="37">
        <f t="shared" si="156"/>
        <v>6.0318117647058829</v>
      </c>
      <c r="P1060" s="37">
        <f t="shared" si="160"/>
        <v>7.3527785411764714</v>
      </c>
      <c r="Q1060" s="45">
        <f t="shared" si="161"/>
        <v>9.1292393143517919E-2</v>
      </c>
      <c r="R1060" s="8"/>
      <c r="S1060" s="6">
        <f t="shared" si="157"/>
        <v>7.2269381636477199</v>
      </c>
    </row>
    <row r="1061" spans="1:19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8">
        <f t="shared" si="154"/>
        <v>572.5</v>
      </c>
      <c r="G1061" s="330">
        <v>12</v>
      </c>
      <c r="H1061" s="330"/>
      <c r="I1061" s="330"/>
      <c r="J1061" s="8">
        <f t="shared" si="153"/>
        <v>12</v>
      </c>
      <c r="K1061" s="221">
        <f t="shared" si="158"/>
        <v>7.5294117647058826E-3</v>
      </c>
      <c r="L1061" s="37">
        <f t="shared" si="159"/>
        <v>17.085214117647059</v>
      </c>
      <c r="M1061" s="7">
        <f t="shared" si="155"/>
        <v>6.2822332310588243</v>
      </c>
      <c r="N1061" s="37">
        <v>6.5699437851342903</v>
      </c>
      <c r="O1061" s="37">
        <f t="shared" si="156"/>
        <v>6.0318117647058829</v>
      </c>
      <c r="P1061" s="37">
        <f t="shared" si="160"/>
        <v>7.3527785411764714</v>
      </c>
      <c r="Q1061" s="45">
        <f t="shared" si="161"/>
        <v>6.2828302006193992E-2</v>
      </c>
      <c r="R1061" s="8"/>
      <c r="S1061" s="6">
        <f t="shared" si="157"/>
        <v>7.2269381636477199</v>
      </c>
    </row>
    <row r="1062" spans="1:19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8">
        <f t="shared" si="154"/>
        <v>351.9</v>
      </c>
      <c r="G1062" s="330">
        <v>9</v>
      </c>
      <c r="H1062" s="330"/>
      <c r="I1062" s="330"/>
      <c r="J1062" s="8">
        <f t="shared" si="153"/>
        <v>9</v>
      </c>
      <c r="K1062" s="221">
        <f t="shared" si="158"/>
        <v>5.6470588235294121E-3</v>
      </c>
      <c r="L1062" s="37">
        <f t="shared" si="159"/>
        <v>12.813910588235295</v>
      </c>
      <c r="M1062" s="7">
        <f t="shared" si="155"/>
        <v>4.711674923294118</v>
      </c>
      <c r="N1062" s="37">
        <v>4.9274578388507182</v>
      </c>
      <c r="O1062" s="37">
        <f t="shared" si="156"/>
        <v>4.5238588235294124</v>
      </c>
      <c r="P1062" s="37">
        <f t="shared" si="160"/>
        <v>5.514583905882354</v>
      </c>
      <c r="Q1062" s="45">
        <f t="shared" si="161"/>
        <v>7.6660705239867982E-2</v>
      </c>
      <c r="R1062" s="8"/>
      <c r="S1062" s="6">
        <f t="shared" si="157"/>
        <v>5.4202036227357908</v>
      </c>
    </row>
    <row r="1063" spans="1:19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8">
        <f t="shared" si="154"/>
        <v>449.4</v>
      </c>
      <c r="G1063" s="330">
        <v>10</v>
      </c>
      <c r="H1063" s="330"/>
      <c r="I1063" s="330"/>
      <c r="J1063" s="8">
        <f t="shared" ref="J1063:J1125" si="162">G1063+H1063+I1063</f>
        <v>10</v>
      </c>
      <c r="K1063" s="221">
        <f t="shared" si="158"/>
        <v>6.2745098039215692E-3</v>
      </c>
      <c r="L1063" s="37">
        <f t="shared" si="159"/>
        <v>14.237678431372551</v>
      </c>
      <c r="M1063" s="7">
        <f t="shared" si="155"/>
        <v>5.2351943592156873</v>
      </c>
      <c r="N1063" s="37">
        <v>5.474953154278575</v>
      </c>
      <c r="O1063" s="37">
        <f t="shared" si="156"/>
        <v>5.0265098039215692</v>
      </c>
      <c r="P1063" s="37">
        <f t="shared" si="160"/>
        <v>6.1273154509803929</v>
      </c>
      <c r="Q1063" s="45">
        <f t="shared" si="161"/>
        <v>6.6698566419199787E-2</v>
      </c>
      <c r="R1063" s="8"/>
      <c r="S1063" s="6">
        <f t="shared" si="157"/>
        <v>6.0224484697064327</v>
      </c>
    </row>
    <row r="1064" spans="1:19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8">
        <f t="shared" ref="F1064:F1126" si="163">C1064+D1064+E1064</f>
        <v>1394.3</v>
      </c>
      <c r="G1064" s="330">
        <v>31</v>
      </c>
      <c r="H1064" s="330"/>
      <c r="I1064" s="330"/>
      <c r="J1064" s="8">
        <f t="shared" si="162"/>
        <v>31</v>
      </c>
      <c r="K1064" s="221">
        <f t="shared" si="158"/>
        <v>1.9450980392156862E-2</v>
      </c>
      <c r="L1064" s="37">
        <f t="shared" si="159"/>
        <v>44.136803137254901</v>
      </c>
      <c r="M1064" s="7">
        <f t="shared" si="155"/>
        <v>16.229102513568627</v>
      </c>
      <c r="N1064" s="37">
        <v>16.972354778263583</v>
      </c>
      <c r="O1064" s="37">
        <f t="shared" si="156"/>
        <v>15.582180392156863</v>
      </c>
      <c r="P1064" s="37">
        <f t="shared" si="160"/>
        <v>18.994677898039217</v>
      </c>
      <c r="Q1064" s="45">
        <f t="shared" si="161"/>
        <v>6.6643075967326951E-2</v>
      </c>
      <c r="R1064" s="8"/>
      <c r="S1064" s="6">
        <f t="shared" si="157"/>
        <v>18.669590256089943</v>
      </c>
    </row>
    <row r="1065" spans="1:19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8">
        <f t="shared" si="163"/>
        <v>398.7</v>
      </c>
      <c r="G1065" s="330">
        <v>9</v>
      </c>
      <c r="H1065" s="330"/>
      <c r="I1065" s="330"/>
      <c r="J1065" s="8">
        <f t="shared" si="162"/>
        <v>9</v>
      </c>
      <c r="K1065" s="221">
        <f t="shared" si="158"/>
        <v>5.6470588235294121E-3</v>
      </c>
      <c r="L1065" s="37">
        <f t="shared" si="159"/>
        <v>12.813910588235295</v>
      </c>
      <c r="M1065" s="7">
        <f t="shared" ref="M1065:M1127" si="164">L1065*0.3677</f>
        <v>4.711674923294118</v>
      </c>
      <c r="N1065" s="37">
        <v>4.9274578388507182</v>
      </c>
      <c r="O1065" s="37">
        <f t="shared" si="156"/>
        <v>4.5238588235294124</v>
      </c>
      <c r="P1065" s="37">
        <f t="shared" si="160"/>
        <v>5.514583905882354</v>
      </c>
      <c r="Q1065" s="45">
        <f t="shared" si="161"/>
        <v>6.7662157446474899E-2</v>
      </c>
      <c r="R1065" s="8"/>
      <c r="S1065" s="6">
        <f t="shared" si="157"/>
        <v>5.4202036227357908</v>
      </c>
    </row>
    <row r="1066" spans="1:19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8">
        <f t="shared" si="163"/>
        <v>359.4</v>
      </c>
      <c r="G1066" s="330">
        <v>8</v>
      </c>
      <c r="H1066" s="330"/>
      <c r="I1066" s="330"/>
      <c r="J1066" s="8">
        <f t="shared" si="162"/>
        <v>8</v>
      </c>
      <c r="K1066" s="221">
        <f t="shared" si="158"/>
        <v>5.019607843137255E-3</v>
      </c>
      <c r="L1066" s="37">
        <f t="shared" si="159"/>
        <v>11.390142745098039</v>
      </c>
      <c r="M1066" s="7">
        <f t="shared" si="164"/>
        <v>4.1881554873725495</v>
      </c>
      <c r="N1066" s="37">
        <v>4.3799625234228605</v>
      </c>
      <c r="O1066" s="37">
        <f>K1066*801.1</f>
        <v>4.0212078431372555</v>
      </c>
      <c r="P1066" s="37">
        <f t="shared" si="160"/>
        <v>4.9018523607843152</v>
      </c>
      <c r="Q1066" s="45">
        <f t="shared" si="161"/>
        <v>6.6720836391293004E-2</v>
      </c>
      <c r="R1066" s="8"/>
      <c r="S1066" s="6">
        <f t="shared" si="157"/>
        <v>4.8179587757651472</v>
      </c>
    </row>
    <row r="1067" spans="1:19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8">
        <f t="shared" si="163"/>
        <v>694.9</v>
      </c>
      <c r="G1067" s="330">
        <v>19</v>
      </c>
      <c r="H1067" s="330"/>
      <c r="I1067" s="330"/>
      <c r="J1067" s="8">
        <f t="shared" si="162"/>
        <v>19</v>
      </c>
      <c r="K1067" s="221">
        <f t="shared" si="158"/>
        <v>1.1921568627450981E-2</v>
      </c>
      <c r="L1067" s="37">
        <f t="shared" si="159"/>
        <v>27.051589019607846</v>
      </c>
      <c r="M1067" s="7">
        <f t="shared" si="164"/>
        <v>9.9468692825098053</v>
      </c>
      <c r="N1067" s="37">
        <v>10.402410993129292</v>
      </c>
      <c r="O1067" s="37">
        <f t="shared" ref="O1067:O1126" si="165">K1067*801.1</f>
        <v>9.5503686274509807</v>
      </c>
      <c r="P1067" s="37">
        <f t="shared" si="160"/>
        <v>11.641899356862746</v>
      </c>
      <c r="Q1067" s="45">
        <f t="shared" si="161"/>
        <v>8.1956019459919316E-2</v>
      </c>
      <c r="R1067" s="8"/>
      <c r="S1067" s="6">
        <f t="shared" si="157"/>
        <v>11.442652092442222</v>
      </c>
    </row>
    <row r="1068" spans="1:19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8">
        <f t="shared" si="163"/>
        <v>629.6</v>
      </c>
      <c r="G1068" s="330">
        <v>16</v>
      </c>
      <c r="H1068" s="330"/>
      <c r="I1068" s="330"/>
      <c r="J1068" s="8">
        <f t="shared" si="162"/>
        <v>16</v>
      </c>
      <c r="K1068" s="221">
        <f t="shared" si="158"/>
        <v>1.003921568627451E-2</v>
      </c>
      <c r="L1068" s="37">
        <f t="shared" si="159"/>
        <v>22.780285490196079</v>
      </c>
      <c r="M1068" s="7">
        <f t="shared" si="164"/>
        <v>8.376310974745099</v>
      </c>
      <c r="N1068" s="37">
        <v>8.759925046845721</v>
      </c>
      <c r="O1068" s="37">
        <f>K1068*1801.1</f>
        <v>18.081631372549019</v>
      </c>
      <c r="P1068" s="37">
        <f t="shared" si="160"/>
        <v>22.041508643137256</v>
      </c>
      <c r="Q1068" s="45">
        <f t="shared" si="161"/>
        <v>9.2119048418576752E-2</v>
      </c>
      <c r="R1068" s="8"/>
      <c r="S1068" s="6">
        <f t="shared" si="157"/>
        <v>9.6359175515302944</v>
      </c>
    </row>
    <row r="1069" spans="1:19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8">
        <f t="shared" si="163"/>
        <v>969.07</v>
      </c>
      <c r="G1069" s="330">
        <v>24</v>
      </c>
      <c r="H1069" s="330"/>
      <c r="I1069" s="330"/>
      <c r="J1069" s="8">
        <f t="shared" si="162"/>
        <v>24</v>
      </c>
      <c r="K1069" s="221">
        <f t="shared" si="158"/>
        <v>1.5058823529411765E-2</v>
      </c>
      <c r="L1069" s="37">
        <f t="shared" si="159"/>
        <v>34.170428235294118</v>
      </c>
      <c r="M1069" s="7">
        <f t="shared" si="164"/>
        <v>12.564466462117649</v>
      </c>
      <c r="N1069" s="37">
        <v>13.139887570268581</v>
      </c>
      <c r="O1069" s="37">
        <f t="shared" si="165"/>
        <v>12.063623529411766</v>
      </c>
      <c r="P1069" s="37">
        <f t="shared" si="160"/>
        <v>14.705557082352943</v>
      </c>
      <c r="Q1069" s="45">
        <f t="shared" si="161"/>
        <v>7.4234478208067639E-2</v>
      </c>
      <c r="R1069" s="8"/>
      <c r="S1069" s="6">
        <f t="shared" si="157"/>
        <v>14.45387632729544</v>
      </c>
    </row>
    <row r="1070" spans="1:19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8">
        <f t="shared" si="163"/>
        <v>315.7</v>
      </c>
      <c r="G1070" s="330">
        <v>10</v>
      </c>
      <c r="H1070" s="330"/>
      <c r="I1070" s="330"/>
      <c r="J1070" s="8">
        <f t="shared" si="162"/>
        <v>10</v>
      </c>
      <c r="K1070" s="221">
        <f t="shared" si="158"/>
        <v>6.2745098039215692E-3</v>
      </c>
      <c r="L1070" s="37">
        <f t="shared" si="159"/>
        <v>14.237678431372551</v>
      </c>
      <c r="M1070" s="7">
        <f t="shared" si="164"/>
        <v>5.2351943592156873</v>
      </c>
      <c r="N1070" s="37">
        <v>5.474953154278575</v>
      </c>
      <c r="O1070" s="37">
        <f t="shared" si="165"/>
        <v>5.0265098039215692</v>
      </c>
      <c r="P1070" s="37">
        <f t="shared" si="160"/>
        <v>6.1273154509803929</v>
      </c>
      <c r="Q1070" s="45">
        <f t="shared" si="161"/>
        <v>9.4945631133317651E-2</v>
      </c>
      <c r="R1070" s="8"/>
      <c r="S1070" s="6">
        <f t="shared" ref="S1070:S1133" si="166">N1070*1.1</f>
        <v>6.0224484697064327</v>
      </c>
    </row>
    <row r="1071" spans="1:19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8">
        <f t="shared" si="163"/>
        <v>677.4</v>
      </c>
      <c r="G1071" s="330">
        <v>15</v>
      </c>
      <c r="H1071" s="330"/>
      <c r="I1071" s="330"/>
      <c r="J1071" s="8">
        <f t="shared" si="162"/>
        <v>15</v>
      </c>
      <c r="K1071" s="221">
        <f t="shared" si="158"/>
        <v>9.4117647058823539E-3</v>
      </c>
      <c r="L1071" s="37">
        <f t="shared" si="159"/>
        <v>21.356517647058826</v>
      </c>
      <c r="M1071" s="7">
        <f t="shared" si="164"/>
        <v>7.8527915388235314</v>
      </c>
      <c r="N1071" s="37">
        <v>8.2124297314178616</v>
      </c>
      <c r="O1071" s="37">
        <f t="shared" si="165"/>
        <v>7.5397647058823543</v>
      </c>
      <c r="P1071" s="37">
        <f t="shared" si="160"/>
        <v>9.1909731764705906</v>
      </c>
      <c r="Q1071" s="45">
        <f t="shared" si="161"/>
        <v>6.6373639833455234E-2</v>
      </c>
      <c r="R1071" s="8"/>
      <c r="S1071" s="6">
        <f t="shared" si="166"/>
        <v>9.033672704559649</v>
      </c>
    </row>
    <row r="1072" spans="1:19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8">
        <f t="shared" si="163"/>
        <v>255.8</v>
      </c>
      <c r="G1072" s="330">
        <v>7</v>
      </c>
      <c r="H1072" s="330"/>
      <c r="I1072" s="330"/>
      <c r="J1072" s="8">
        <f t="shared" si="162"/>
        <v>7</v>
      </c>
      <c r="K1072" s="221">
        <f t="shared" si="158"/>
        <v>4.3921568627450979E-3</v>
      </c>
      <c r="L1072" s="37">
        <f t="shared" si="159"/>
        <v>9.9663749019607852</v>
      </c>
      <c r="M1072" s="7">
        <f t="shared" si="164"/>
        <v>3.664636051450981</v>
      </c>
      <c r="N1072" s="37">
        <v>3.8324672079950028</v>
      </c>
      <c r="O1072" s="37">
        <f t="shared" si="165"/>
        <v>3.5185568627450983</v>
      </c>
      <c r="P1072" s="37">
        <f t="shared" si="160"/>
        <v>4.2891208156862755</v>
      </c>
      <c r="Q1072" s="45">
        <f t="shared" si="161"/>
        <v>8.202515646658276E-2</v>
      </c>
      <c r="R1072" s="8"/>
      <c r="S1072" s="6">
        <f t="shared" si="166"/>
        <v>4.2157139287945036</v>
      </c>
    </row>
    <row r="1073" spans="1:19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8">
        <f t="shared" si="163"/>
        <v>352.5</v>
      </c>
      <c r="G1073" s="330">
        <v>4</v>
      </c>
      <c r="H1073" s="730">
        <v>1</v>
      </c>
      <c r="I1073" s="330"/>
      <c r="J1073" s="8">
        <f t="shared" si="162"/>
        <v>5</v>
      </c>
      <c r="K1073" s="221">
        <f t="shared" ref="K1073:K1136" si="167">4/6375*J1073</f>
        <v>3.1372549019607846E-3</v>
      </c>
      <c r="L1073" s="37">
        <f t="shared" ref="L1073:L1136" si="168">K1073*2269.13</f>
        <v>7.1188392156862754</v>
      </c>
      <c r="M1073" s="7">
        <f t="shared" si="164"/>
        <v>2.6175971796078437</v>
      </c>
      <c r="N1073" s="37">
        <v>2.7374765771392875</v>
      </c>
      <c r="O1073" s="37">
        <f>K1073*2801.1</f>
        <v>8.7877647058823527</v>
      </c>
      <c r="P1073" s="37">
        <f t="shared" si="160"/>
        <v>10.712285176470589</v>
      </c>
      <c r="Q1073" s="45">
        <f t="shared" si="161"/>
        <v>6.0316816108697179E-2</v>
      </c>
      <c r="R1073" s="8"/>
      <c r="S1073" s="6">
        <f t="shared" si="166"/>
        <v>3.0112242348532163</v>
      </c>
    </row>
    <row r="1074" spans="1:19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8">
        <f t="shared" si="163"/>
        <v>642.9</v>
      </c>
      <c r="G1074" s="330">
        <v>20</v>
      </c>
      <c r="H1074" s="330"/>
      <c r="I1074" s="330"/>
      <c r="J1074" s="8">
        <f t="shared" si="162"/>
        <v>20</v>
      </c>
      <c r="K1074" s="221">
        <f t="shared" si="167"/>
        <v>1.2549019607843138E-2</v>
      </c>
      <c r="L1074" s="37">
        <f t="shared" si="168"/>
        <v>28.475356862745102</v>
      </c>
      <c r="M1074" s="7">
        <f t="shared" si="164"/>
        <v>10.470388718431375</v>
      </c>
      <c r="N1074" s="37">
        <v>10.94990630855715</v>
      </c>
      <c r="O1074" s="37">
        <f t="shared" si="165"/>
        <v>10.053019607843138</v>
      </c>
      <c r="P1074" s="37">
        <f t="shared" ref="P1074:P1137" si="169">O1074*1.219</f>
        <v>12.254630901960786</v>
      </c>
      <c r="Q1074" s="45">
        <f t="shared" si="161"/>
        <v>9.3247272511396431E-2</v>
      </c>
      <c r="R1074" s="8"/>
      <c r="S1074" s="6">
        <f t="shared" si="166"/>
        <v>12.044896939412865</v>
      </c>
    </row>
    <row r="1075" spans="1:19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8">
        <f t="shared" si="163"/>
        <v>324.39999999999998</v>
      </c>
      <c r="G1075" s="330">
        <v>9</v>
      </c>
      <c r="H1075" s="330"/>
      <c r="I1075" s="330"/>
      <c r="J1075" s="8">
        <f t="shared" si="162"/>
        <v>9</v>
      </c>
      <c r="K1075" s="221">
        <f t="shared" si="167"/>
        <v>5.6470588235294121E-3</v>
      </c>
      <c r="L1075" s="37">
        <f t="shared" si="168"/>
        <v>12.813910588235295</v>
      </c>
      <c r="M1075" s="7">
        <f t="shared" si="164"/>
        <v>4.711674923294118</v>
      </c>
      <c r="N1075" s="37">
        <v>4.9274578388507182</v>
      </c>
      <c r="O1075" s="37">
        <f t="shared" si="165"/>
        <v>4.5238588235294124</v>
      </c>
      <c r="P1075" s="37">
        <f t="shared" si="169"/>
        <v>5.514583905882354</v>
      </c>
      <c r="Q1075" s="45">
        <f t="shared" si="161"/>
        <v>8.3159377848056548E-2</v>
      </c>
      <c r="R1075" s="8"/>
      <c r="S1075" s="6">
        <f t="shared" si="166"/>
        <v>5.4202036227357908</v>
      </c>
    </row>
    <row r="1076" spans="1:19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8">
        <f t="shared" si="163"/>
        <v>505</v>
      </c>
      <c r="G1076" s="330">
        <v>12</v>
      </c>
      <c r="H1076" s="330"/>
      <c r="I1076" s="330"/>
      <c r="J1076" s="8">
        <f t="shared" si="162"/>
        <v>12</v>
      </c>
      <c r="K1076" s="221">
        <f t="shared" si="167"/>
        <v>7.5294117647058826E-3</v>
      </c>
      <c r="L1076" s="37">
        <f t="shared" si="168"/>
        <v>17.085214117647059</v>
      </c>
      <c r="M1076" s="7">
        <f t="shared" si="164"/>
        <v>6.2822332310588243</v>
      </c>
      <c r="N1076" s="37">
        <v>6.5699437851342903</v>
      </c>
      <c r="O1076" s="37">
        <f>K1076*801.1</f>
        <v>6.0318117647058829</v>
      </c>
      <c r="P1076" s="37">
        <f t="shared" si="169"/>
        <v>7.3527785411764714</v>
      </c>
      <c r="Q1076" s="45">
        <f t="shared" si="161"/>
        <v>7.122614435355655E-2</v>
      </c>
      <c r="R1076" s="8"/>
      <c r="S1076" s="6">
        <f t="shared" si="166"/>
        <v>7.2269381636477199</v>
      </c>
    </row>
    <row r="1077" spans="1:19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8">
        <f t="shared" si="163"/>
        <v>548.70000000000005</v>
      </c>
      <c r="G1077" s="330">
        <v>14</v>
      </c>
      <c r="H1077" s="330"/>
      <c r="I1077" s="330"/>
      <c r="J1077" s="8">
        <f t="shared" si="162"/>
        <v>14</v>
      </c>
      <c r="K1077" s="221">
        <f t="shared" si="167"/>
        <v>8.7843137254901959E-3</v>
      </c>
      <c r="L1077" s="37">
        <f t="shared" si="168"/>
        <v>19.93274980392157</v>
      </c>
      <c r="M1077" s="7">
        <f t="shared" si="164"/>
        <v>7.3292721029019621</v>
      </c>
      <c r="N1077" s="37">
        <v>7.6649344159900057</v>
      </c>
      <c r="O1077" s="37">
        <f t="shared" si="165"/>
        <v>7.0371137254901965</v>
      </c>
      <c r="P1077" s="37">
        <f t="shared" si="169"/>
        <v>8.5782416313725509</v>
      </c>
      <c r="Q1077" s="45">
        <f t="shared" si="161"/>
        <v>7.647907790833558E-2</v>
      </c>
      <c r="R1077" s="8"/>
      <c r="S1077" s="6">
        <f t="shared" si="166"/>
        <v>8.4314278575890071</v>
      </c>
    </row>
    <row r="1078" spans="1:19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8">
        <f t="shared" si="163"/>
        <v>222.33</v>
      </c>
      <c r="G1078" s="330">
        <v>7</v>
      </c>
      <c r="H1078" s="330"/>
      <c r="I1078" s="330"/>
      <c r="J1078" s="8">
        <f t="shared" si="162"/>
        <v>7</v>
      </c>
      <c r="K1078" s="221">
        <f t="shared" si="167"/>
        <v>4.3921568627450979E-3</v>
      </c>
      <c r="L1078" s="37">
        <f t="shared" si="168"/>
        <v>9.9663749019607852</v>
      </c>
      <c r="M1078" s="7">
        <f t="shared" si="164"/>
        <v>3.664636051450981</v>
      </c>
      <c r="N1078" s="37">
        <v>3.8324672079950028</v>
      </c>
      <c r="O1078" s="37">
        <f t="shared" si="165"/>
        <v>3.5185568627450983</v>
      </c>
      <c r="P1078" s="37">
        <f t="shared" si="169"/>
        <v>4.2891208156862755</v>
      </c>
      <c r="Q1078" s="45">
        <f t="shared" si="161"/>
        <v>9.437338651622304E-2</v>
      </c>
      <c r="R1078" s="8"/>
      <c r="S1078" s="6">
        <f t="shared" si="166"/>
        <v>4.2157139287945036</v>
      </c>
    </row>
    <row r="1079" spans="1:19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8">
        <f t="shared" si="163"/>
        <v>461.2</v>
      </c>
      <c r="G1079" s="330">
        <v>13</v>
      </c>
      <c r="H1079" s="330"/>
      <c r="I1079" s="330"/>
      <c r="J1079" s="8">
        <f t="shared" si="162"/>
        <v>13</v>
      </c>
      <c r="K1079" s="221">
        <f t="shared" si="167"/>
        <v>8.1568627450980397E-3</v>
      </c>
      <c r="L1079" s="37">
        <f t="shared" si="168"/>
        <v>18.508981960784315</v>
      </c>
      <c r="M1079" s="7">
        <f t="shared" si="164"/>
        <v>6.8057526669803927</v>
      </c>
      <c r="N1079" s="37">
        <v>7.1174391005621489</v>
      </c>
      <c r="O1079" s="37">
        <f>K1079*1801.1</f>
        <v>14.691325490196078</v>
      </c>
      <c r="P1079" s="37">
        <f t="shared" si="169"/>
        <v>17.908725772549019</v>
      </c>
      <c r="Q1079" s="45">
        <f t="shared" si="161"/>
        <v>0.10217584392567854</v>
      </c>
      <c r="R1079" s="8"/>
      <c r="S1079" s="6">
        <f t="shared" si="166"/>
        <v>7.8291830106183644</v>
      </c>
    </row>
    <row r="1080" spans="1:19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8">
        <f t="shared" si="163"/>
        <v>446.5</v>
      </c>
      <c r="G1080" s="330">
        <v>15</v>
      </c>
      <c r="H1080" s="330"/>
      <c r="I1080" s="330"/>
      <c r="J1080" s="8">
        <f t="shared" si="162"/>
        <v>15</v>
      </c>
      <c r="K1080" s="221">
        <f t="shared" si="167"/>
        <v>9.4117647058823539E-3</v>
      </c>
      <c r="L1080" s="37">
        <f t="shared" si="168"/>
        <v>21.356517647058826</v>
      </c>
      <c r="M1080" s="7">
        <f t="shared" si="164"/>
        <v>7.8527915388235314</v>
      </c>
      <c r="N1080" s="37">
        <v>8.2124297314178616</v>
      </c>
      <c r="O1080" s="37">
        <f t="shared" si="165"/>
        <v>7.5397647058823543</v>
      </c>
      <c r="P1080" s="37">
        <f t="shared" si="169"/>
        <v>9.1909731764705906</v>
      </c>
      <c r="Q1080" s="45">
        <f t="shared" si="161"/>
        <v>0.10069765649089042</v>
      </c>
      <c r="R1080" s="8"/>
      <c r="S1080" s="6">
        <f t="shared" si="166"/>
        <v>9.033672704559649</v>
      </c>
    </row>
    <row r="1081" spans="1:19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8">
        <f t="shared" si="163"/>
        <v>291.5</v>
      </c>
      <c r="G1081" s="330">
        <v>7</v>
      </c>
      <c r="H1081" s="330"/>
      <c r="I1081" s="330"/>
      <c r="J1081" s="8">
        <f t="shared" si="162"/>
        <v>7</v>
      </c>
      <c r="K1081" s="221">
        <f t="shared" si="167"/>
        <v>4.3921568627450979E-3</v>
      </c>
      <c r="L1081" s="37">
        <f t="shared" si="168"/>
        <v>9.9663749019607852</v>
      </c>
      <c r="M1081" s="7">
        <f t="shared" si="164"/>
        <v>3.664636051450981</v>
      </c>
      <c r="N1081" s="37">
        <v>3.8324672079950028</v>
      </c>
      <c r="O1081" s="37">
        <f t="shared" si="165"/>
        <v>3.5185568627450983</v>
      </c>
      <c r="P1081" s="37">
        <f t="shared" si="169"/>
        <v>4.2891208156862755</v>
      </c>
      <c r="Q1081" s="45">
        <f t="shared" si="161"/>
        <v>7.1979536961069873E-2</v>
      </c>
      <c r="R1081" s="8"/>
      <c r="S1081" s="6">
        <f t="shared" si="166"/>
        <v>4.2157139287945036</v>
      </c>
    </row>
    <row r="1082" spans="1:19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8">
        <f t="shared" si="163"/>
        <v>361.5</v>
      </c>
      <c r="G1082" s="330">
        <v>7</v>
      </c>
      <c r="H1082" s="330"/>
      <c r="I1082" s="330"/>
      <c r="J1082" s="8">
        <f t="shared" si="162"/>
        <v>7</v>
      </c>
      <c r="K1082" s="221">
        <f t="shared" si="167"/>
        <v>4.3921568627450979E-3</v>
      </c>
      <c r="L1082" s="37">
        <f t="shared" si="168"/>
        <v>9.9663749019607852</v>
      </c>
      <c r="M1082" s="7">
        <f t="shared" si="164"/>
        <v>3.664636051450981</v>
      </c>
      <c r="N1082" s="37">
        <v>3.8324672079950028</v>
      </c>
      <c r="O1082" s="37">
        <f>K1082*1801.1</f>
        <v>7.9107137254901954</v>
      </c>
      <c r="P1082" s="37">
        <f t="shared" si="169"/>
        <v>9.643160031372549</v>
      </c>
      <c r="Q1082" s="45">
        <f t="shared" si="161"/>
        <v>7.0191402176755097E-2</v>
      </c>
      <c r="R1082" s="8"/>
      <c r="S1082" s="6">
        <f t="shared" si="166"/>
        <v>4.2157139287945036</v>
      </c>
    </row>
    <row r="1083" spans="1:19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8">
        <f t="shared" si="163"/>
        <v>485.90000000000003</v>
      </c>
      <c r="G1083" s="330">
        <v>11</v>
      </c>
      <c r="H1083" s="330"/>
      <c r="I1083" s="330">
        <v>1</v>
      </c>
      <c r="J1083" s="8">
        <f t="shared" si="162"/>
        <v>12</v>
      </c>
      <c r="K1083" s="221">
        <f t="shared" si="167"/>
        <v>7.5294117647058826E-3</v>
      </c>
      <c r="L1083" s="37">
        <f t="shared" si="168"/>
        <v>17.085214117647059</v>
      </c>
      <c r="M1083" s="7">
        <f t="shared" si="164"/>
        <v>6.2822332310588243</v>
      </c>
      <c r="N1083" s="37">
        <v>6.5699437851342903</v>
      </c>
      <c r="O1083" s="37">
        <f t="shared" si="165"/>
        <v>6.0318117647058829</v>
      </c>
      <c r="P1083" s="37">
        <f t="shared" si="169"/>
        <v>7.3527785411764714</v>
      </c>
      <c r="Q1083" s="45">
        <f t="shared" si="161"/>
        <v>7.4025937226890423E-2</v>
      </c>
      <c r="R1083" s="8"/>
      <c r="S1083" s="6">
        <f t="shared" si="166"/>
        <v>7.2269381636477199</v>
      </c>
    </row>
    <row r="1084" spans="1:19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8">
        <f t="shared" si="163"/>
        <v>430.5</v>
      </c>
      <c r="G1084" s="330">
        <v>12</v>
      </c>
      <c r="H1084" s="330"/>
      <c r="I1084" s="330">
        <v>1</v>
      </c>
      <c r="J1084" s="8">
        <f t="shared" si="162"/>
        <v>13</v>
      </c>
      <c r="K1084" s="221">
        <f t="shared" si="167"/>
        <v>8.1568627450980397E-3</v>
      </c>
      <c r="L1084" s="37">
        <f t="shared" si="168"/>
        <v>18.508981960784315</v>
      </c>
      <c r="M1084" s="7">
        <f t="shared" si="164"/>
        <v>6.8057526669803927</v>
      </c>
      <c r="N1084" s="37">
        <v>7.1174391005621489</v>
      </c>
      <c r="O1084" s="37">
        <f t="shared" si="165"/>
        <v>6.5344627450980397</v>
      </c>
      <c r="P1084" s="37">
        <f t="shared" si="169"/>
        <v>7.9655100862745112</v>
      </c>
      <c r="Q1084" s="45">
        <f t="shared" si="161"/>
        <v>9.0514835013762826E-2</v>
      </c>
      <c r="R1084" s="8"/>
      <c r="S1084" s="6">
        <f t="shared" si="166"/>
        <v>7.8291830106183644</v>
      </c>
    </row>
    <row r="1085" spans="1:19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8">
        <f t="shared" si="163"/>
        <v>96.4</v>
      </c>
      <c r="G1085" s="330">
        <v>2</v>
      </c>
      <c r="H1085" s="330"/>
      <c r="I1085" s="330"/>
      <c r="J1085" s="8">
        <f t="shared" si="162"/>
        <v>2</v>
      </c>
      <c r="K1085" s="221">
        <f t="shared" si="167"/>
        <v>1.2549019607843138E-3</v>
      </c>
      <c r="L1085" s="37">
        <f t="shared" si="168"/>
        <v>2.8475356862745098</v>
      </c>
      <c r="M1085" s="7">
        <f t="shared" si="164"/>
        <v>1.0470388718431374</v>
      </c>
      <c r="N1085" s="37">
        <v>1.0949906308557151</v>
      </c>
      <c r="O1085" s="37">
        <f t="shared" si="165"/>
        <v>1.0053019607843139</v>
      </c>
      <c r="P1085" s="37">
        <f t="shared" si="169"/>
        <v>1.2254630901960788</v>
      </c>
      <c r="Q1085" s="45">
        <f t="shared" si="161"/>
        <v>6.2187418565950989E-2</v>
      </c>
      <c r="R1085" s="8"/>
      <c r="S1085" s="6">
        <f t="shared" si="166"/>
        <v>1.2044896939412868</v>
      </c>
    </row>
    <row r="1086" spans="1:19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8">
        <f t="shared" si="163"/>
        <v>76.2</v>
      </c>
      <c r="G1086" s="330">
        <v>2</v>
      </c>
      <c r="H1086" s="330"/>
      <c r="I1086" s="330"/>
      <c r="J1086" s="8">
        <f t="shared" si="162"/>
        <v>2</v>
      </c>
      <c r="K1086" s="221">
        <f t="shared" si="167"/>
        <v>1.2549019607843138E-3</v>
      </c>
      <c r="L1086" s="37">
        <f t="shared" si="168"/>
        <v>2.8475356862745098</v>
      </c>
      <c r="M1086" s="7">
        <f t="shared" si="164"/>
        <v>1.0470388718431374</v>
      </c>
      <c r="N1086" s="37">
        <v>1.0949906308557151</v>
      </c>
      <c r="O1086" s="37">
        <f t="shared" si="165"/>
        <v>1.0053019607843139</v>
      </c>
      <c r="P1086" s="37">
        <f t="shared" si="169"/>
        <v>1.2254630901960788</v>
      </c>
      <c r="Q1086" s="45">
        <f t="shared" si="161"/>
        <v>7.8672797240914374E-2</v>
      </c>
      <c r="R1086" s="8"/>
      <c r="S1086" s="6">
        <f t="shared" si="166"/>
        <v>1.2044896939412868</v>
      </c>
    </row>
    <row r="1087" spans="1:19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8">
        <f t="shared" si="163"/>
        <v>84.3</v>
      </c>
      <c r="G1087" s="330">
        <v>4</v>
      </c>
      <c r="H1087" s="330"/>
      <c r="I1087" s="330"/>
      <c r="J1087" s="8">
        <f t="shared" si="162"/>
        <v>4</v>
      </c>
      <c r="K1087" s="221">
        <f t="shared" si="167"/>
        <v>2.5098039215686275E-3</v>
      </c>
      <c r="L1087" s="37">
        <f t="shared" si="168"/>
        <v>5.6950713725490196</v>
      </c>
      <c r="M1087" s="7">
        <f t="shared" si="164"/>
        <v>2.0940777436862748</v>
      </c>
      <c r="N1087" s="37">
        <v>2.1899812617114303</v>
      </c>
      <c r="O1087" s="37">
        <f t="shared" si="165"/>
        <v>2.0106039215686278</v>
      </c>
      <c r="P1087" s="37">
        <f t="shared" si="169"/>
        <v>2.4509261803921576</v>
      </c>
      <c r="Q1087" s="45">
        <f t="shared" si="161"/>
        <v>0.14222697864193776</v>
      </c>
      <c r="R1087" s="8"/>
      <c r="S1087" s="6">
        <f t="shared" si="166"/>
        <v>2.4089793878825736</v>
      </c>
    </row>
    <row r="1088" spans="1:19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8">
        <f t="shared" si="163"/>
        <v>236.4</v>
      </c>
      <c r="G1088" s="330">
        <v>5</v>
      </c>
      <c r="H1088" s="330"/>
      <c r="I1088" s="330"/>
      <c r="J1088" s="8">
        <f t="shared" si="162"/>
        <v>5</v>
      </c>
      <c r="K1088" s="221">
        <f t="shared" si="167"/>
        <v>3.1372549019607846E-3</v>
      </c>
      <c r="L1088" s="37">
        <f t="shared" si="168"/>
        <v>7.1188392156862754</v>
      </c>
      <c r="M1088" s="7">
        <f t="shared" si="164"/>
        <v>2.6175971796078437</v>
      </c>
      <c r="N1088" s="37">
        <v>2.7374765771392875</v>
      </c>
      <c r="O1088" s="37">
        <f t="shared" si="165"/>
        <v>2.5132549019607846</v>
      </c>
      <c r="P1088" s="37">
        <f t="shared" si="169"/>
        <v>3.0636577254901964</v>
      </c>
      <c r="Q1088" s="45">
        <f t="shared" si="161"/>
        <v>6.3397495238554105E-2</v>
      </c>
      <c r="R1088" s="8"/>
      <c r="S1088" s="6">
        <f t="shared" si="166"/>
        <v>3.0112242348532163</v>
      </c>
    </row>
    <row r="1089" spans="1:19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8">
        <f t="shared" si="163"/>
        <v>84.3</v>
      </c>
      <c r="G1089" s="330">
        <v>1</v>
      </c>
      <c r="H1089" s="330"/>
      <c r="I1089" s="330"/>
      <c r="J1089" s="8">
        <f t="shared" si="162"/>
        <v>1</v>
      </c>
      <c r="K1089" s="221">
        <f t="shared" si="167"/>
        <v>6.2745098039215688E-4</v>
      </c>
      <c r="L1089" s="37">
        <f t="shared" si="168"/>
        <v>1.4237678431372549</v>
      </c>
      <c r="M1089" s="7">
        <f t="shared" si="164"/>
        <v>0.52351943592156869</v>
      </c>
      <c r="N1089" s="37">
        <v>0.54749531542785757</v>
      </c>
      <c r="O1089" s="37">
        <f t="shared" si="165"/>
        <v>0.50265098039215694</v>
      </c>
      <c r="P1089" s="37">
        <f t="shared" si="169"/>
        <v>0.6127315450980394</v>
      </c>
      <c r="Q1089" s="45">
        <f t="shared" si="161"/>
        <v>3.5556744660484439E-2</v>
      </c>
      <c r="R1089" s="8"/>
      <c r="S1089" s="6">
        <f t="shared" si="166"/>
        <v>0.6022448469706434</v>
      </c>
    </row>
    <row r="1090" spans="1:19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8">
        <f t="shared" si="163"/>
        <v>84.3</v>
      </c>
      <c r="G1090" s="330">
        <v>3</v>
      </c>
      <c r="H1090" s="330"/>
      <c r="I1090" s="330"/>
      <c r="J1090" s="8">
        <f t="shared" si="162"/>
        <v>3</v>
      </c>
      <c r="K1090" s="221">
        <f t="shared" si="167"/>
        <v>1.8823529411764706E-3</v>
      </c>
      <c r="L1090" s="37">
        <f t="shared" si="168"/>
        <v>4.2713035294117647</v>
      </c>
      <c r="M1090" s="7">
        <f t="shared" si="164"/>
        <v>1.5705583077647061</v>
      </c>
      <c r="N1090" s="37">
        <v>1.6424859462835726</v>
      </c>
      <c r="O1090" s="37">
        <f t="shared" si="165"/>
        <v>1.5079529411764707</v>
      </c>
      <c r="P1090" s="37">
        <f t="shared" si="169"/>
        <v>1.8381946352941179</v>
      </c>
      <c r="Q1090" s="45">
        <f t="shared" si="161"/>
        <v>0.10667023398145332</v>
      </c>
      <c r="R1090" s="8"/>
      <c r="S1090" s="6">
        <f t="shared" si="166"/>
        <v>1.80673454091193</v>
      </c>
    </row>
    <row r="1091" spans="1:19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8">
        <f t="shared" si="163"/>
        <v>176.6</v>
      </c>
      <c r="G1091" s="330">
        <v>4</v>
      </c>
      <c r="H1091" s="330"/>
      <c r="I1091" s="330"/>
      <c r="J1091" s="8">
        <f t="shared" si="162"/>
        <v>4</v>
      </c>
      <c r="K1091" s="221">
        <f t="shared" si="167"/>
        <v>2.5098039215686275E-3</v>
      </c>
      <c r="L1091" s="37">
        <f t="shared" si="168"/>
        <v>5.6950713725490196</v>
      </c>
      <c r="M1091" s="7">
        <f t="shared" si="164"/>
        <v>2.0940777436862748</v>
      </c>
      <c r="N1091" s="37">
        <v>2.1899812617114303</v>
      </c>
      <c r="O1091" s="37">
        <f t="shared" si="165"/>
        <v>2.0106039215686278</v>
      </c>
      <c r="P1091" s="37">
        <f t="shared" si="169"/>
        <v>2.4509261803921576</v>
      </c>
      <c r="Q1091" s="45">
        <f t="shared" si="161"/>
        <v>6.7892040201106188E-2</v>
      </c>
      <c r="R1091" s="8"/>
      <c r="S1091" s="6">
        <f t="shared" si="166"/>
        <v>2.4089793878825736</v>
      </c>
    </row>
    <row r="1092" spans="1:19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8">
        <f t="shared" si="163"/>
        <v>111.5</v>
      </c>
      <c r="G1092" s="330">
        <v>3</v>
      </c>
      <c r="H1092" s="330"/>
      <c r="I1092" s="330"/>
      <c r="J1092" s="8">
        <f t="shared" si="162"/>
        <v>3</v>
      </c>
      <c r="K1092" s="221">
        <f t="shared" si="167"/>
        <v>1.8823529411764706E-3</v>
      </c>
      <c r="L1092" s="37">
        <f t="shared" si="168"/>
        <v>4.2713035294117647</v>
      </c>
      <c r="M1092" s="7">
        <f t="shared" si="164"/>
        <v>1.5705583077647061</v>
      </c>
      <c r="N1092" s="37">
        <v>1.6424859462835726</v>
      </c>
      <c r="O1092" s="37">
        <f t="shared" si="165"/>
        <v>1.5079529411764707</v>
      </c>
      <c r="P1092" s="37">
        <f t="shared" si="169"/>
        <v>1.8381946352941179</v>
      </c>
      <c r="Q1092" s="45">
        <f t="shared" si="161"/>
        <v>8.064843699225574E-2</v>
      </c>
      <c r="R1092" s="8"/>
      <c r="S1092" s="6">
        <f t="shared" si="166"/>
        <v>1.80673454091193</v>
      </c>
    </row>
    <row r="1093" spans="1:19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8">
        <f t="shared" si="163"/>
        <v>94.2</v>
      </c>
      <c r="G1093" s="330">
        <v>2</v>
      </c>
      <c r="H1093" s="330"/>
      <c r="I1093" s="330"/>
      <c r="J1093" s="8">
        <f t="shared" si="162"/>
        <v>2</v>
      </c>
      <c r="K1093" s="221">
        <f t="shared" si="167"/>
        <v>1.2549019607843138E-3</v>
      </c>
      <c r="L1093" s="37">
        <f t="shared" si="168"/>
        <v>2.8475356862745098</v>
      </c>
      <c r="M1093" s="7">
        <f t="shared" si="164"/>
        <v>1.0470388718431374</v>
      </c>
      <c r="N1093" s="37">
        <v>1.0949906308557151</v>
      </c>
      <c r="O1093" s="37">
        <f t="shared" si="165"/>
        <v>1.0053019607843139</v>
      </c>
      <c r="P1093" s="37">
        <f t="shared" si="169"/>
        <v>1.2254630901960788</v>
      </c>
      <c r="Q1093" s="45">
        <f t="shared" si="161"/>
        <v>6.3639778659847934E-2</v>
      </c>
      <c r="R1093" s="8"/>
      <c r="S1093" s="6">
        <f t="shared" si="166"/>
        <v>1.2044896939412868</v>
      </c>
    </row>
    <row r="1094" spans="1:19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8">
        <f t="shared" si="163"/>
        <v>131.4</v>
      </c>
      <c r="G1094" s="330">
        <v>3</v>
      </c>
      <c r="H1094" s="330"/>
      <c r="I1094" s="330"/>
      <c r="J1094" s="8">
        <f t="shared" si="162"/>
        <v>3</v>
      </c>
      <c r="K1094" s="221">
        <f t="shared" si="167"/>
        <v>1.8823529411764706E-3</v>
      </c>
      <c r="L1094" s="37">
        <f t="shared" si="168"/>
        <v>4.2713035294117647</v>
      </c>
      <c r="M1094" s="7">
        <f t="shared" si="164"/>
        <v>1.5705583077647061</v>
      </c>
      <c r="N1094" s="37">
        <v>1.6424859462835726</v>
      </c>
      <c r="O1094" s="37">
        <f t="shared" si="165"/>
        <v>1.5079529411764707</v>
      </c>
      <c r="P1094" s="37">
        <f t="shared" si="169"/>
        <v>1.8381946352941179</v>
      </c>
      <c r="Q1094" s="45">
        <f t="shared" si="161"/>
        <v>6.8434556504083061E-2</v>
      </c>
      <c r="R1094" s="8"/>
      <c r="S1094" s="6">
        <f t="shared" si="166"/>
        <v>1.80673454091193</v>
      </c>
    </row>
    <row r="1095" spans="1:19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8">
        <f t="shared" si="163"/>
        <v>87.9</v>
      </c>
      <c r="G1095" s="330">
        <v>2</v>
      </c>
      <c r="H1095" s="330"/>
      <c r="I1095" s="330"/>
      <c r="J1095" s="8">
        <f t="shared" si="162"/>
        <v>2</v>
      </c>
      <c r="K1095" s="221">
        <f t="shared" si="167"/>
        <v>1.2549019607843138E-3</v>
      </c>
      <c r="L1095" s="37">
        <f t="shared" si="168"/>
        <v>2.8475356862745098</v>
      </c>
      <c r="M1095" s="7">
        <f t="shared" si="164"/>
        <v>1.0470388718431374</v>
      </c>
      <c r="N1095" s="37">
        <v>1.0949906308557151</v>
      </c>
      <c r="O1095" s="37">
        <f t="shared" si="165"/>
        <v>1.0053019607843139</v>
      </c>
      <c r="P1095" s="37">
        <f t="shared" si="169"/>
        <v>1.2254630901960788</v>
      </c>
      <c r="Q1095" s="45">
        <f t="shared" ref="Q1095:Q1158" si="170">(O1095+N1095+M1095+L1095)/F1095</f>
        <v>6.8200991464819977E-2</v>
      </c>
      <c r="R1095" s="8"/>
      <c r="S1095" s="6">
        <f t="shared" si="166"/>
        <v>1.2044896939412868</v>
      </c>
    </row>
    <row r="1096" spans="1:19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8">
        <f t="shared" si="163"/>
        <v>69.599999999999994</v>
      </c>
      <c r="G1096" s="330">
        <v>2</v>
      </c>
      <c r="H1096" s="330"/>
      <c r="I1096" s="330"/>
      <c r="J1096" s="8">
        <f t="shared" si="162"/>
        <v>2</v>
      </c>
      <c r="K1096" s="221">
        <f t="shared" si="167"/>
        <v>1.2549019607843138E-3</v>
      </c>
      <c r="L1096" s="37">
        <f t="shared" si="168"/>
        <v>2.8475356862745098</v>
      </c>
      <c r="M1096" s="7">
        <f t="shared" si="164"/>
        <v>1.0470388718431374</v>
      </c>
      <c r="N1096" s="37">
        <v>1.0949906308557151</v>
      </c>
      <c r="O1096" s="37">
        <f t="shared" si="165"/>
        <v>1.0053019607843139</v>
      </c>
      <c r="P1096" s="37">
        <f t="shared" si="169"/>
        <v>1.2254630901960788</v>
      </c>
      <c r="Q1096" s="45">
        <f t="shared" si="170"/>
        <v>8.6133148703414888E-2</v>
      </c>
      <c r="R1096" s="8"/>
      <c r="S1096" s="6">
        <f t="shared" si="166"/>
        <v>1.2044896939412868</v>
      </c>
    </row>
    <row r="1097" spans="1:19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8">
        <f t="shared" si="163"/>
        <v>101.5</v>
      </c>
      <c r="G1097" s="330">
        <v>3</v>
      </c>
      <c r="H1097" s="330"/>
      <c r="I1097" s="330"/>
      <c r="J1097" s="8">
        <f t="shared" si="162"/>
        <v>3</v>
      </c>
      <c r="K1097" s="221">
        <f t="shared" si="167"/>
        <v>1.8823529411764706E-3</v>
      </c>
      <c r="L1097" s="37">
        <f t="shared" si="168"/>
        <v>4.2713035294117647</v>
      </c>
      <c r="M1097" s="7">
        <f t="shared" si="164"/>
        <v>1.5705583077647061</v>
      </c>
      <c r="N1097" s="37">
        <v>1.6424859462835726</v>
      </c>
      <c r="O1097" s="37">
        <f>K1097*801.1</f>
        <v>1.5079529411764707</v>
      </c>
      <c r="P1097" s="37">
        <f t="shared" si="169"/>
        <v>1.8381946352941179</v>
      </c>
      <c r="Q1097" s="45">
        <f t="shared" si="170"/>
        <v>8.8594095809226739E-2</v>
      </c>
      <c r="R1097" s="8"/>
      <c r="S1097" s="6">
        <f t="shared" si="166"/>
        <v>1.80673454091193</v>
      </c>
    </row>
    <row r="1098" spans="1:19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8">
        <f t="shared" si="163"/>
        <v>237.8</v>
      </c>
      <c r="G1098" s="330">
        <v>5</v>
      </c>
      <c r="H1098" s="330"/>
      <c r="I1098" s="330"/>
      <c r="J1098" s="8">
        <f t="shared" si="162"/>
        <v>5</v>
      </c>
      <c r="K1098" s="221">
        <f t="shared" si="167"/>
        <v>3.1372549019607846E-3</v>
      </c>
      <c r="L1098" s="37">
        <f t="shared" si="168"/>
        <v>7.1188392156862754</v>
      </c>
      <c r="M1098" s="7">
        <f t="shared" si="164"/>
        <v>2.6175971796078437</v>
      </c>
      <c r="N1098" s="37">
        <v>2.7374765771392875</v>
      </c>
      <c r="O1098" s="37">
        <f>K1098*801.1</f>
        <v>2.5132549019607846</v>
      </c>
      <c r="P1098" s="37">
        <f t="shared" si="169"/>
        <v>3.0636577254901964</v>
      </c>
      <c r="Q1098" s="45">
        <f t="shared" si="170"/>
        <v>6.3024255148840164E-2</v>
      </c>
      <c r="R1098" s="8"/>
      <c r="S1098" s="6">
        <f t="shared" si="166"/>
        <v>3.0112242348532163</v>
      </c>
    </row>
    <row r="1099" spans="1:19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8">
        <f t="shared" si="163"/>
        <v>96.6</v>
      </c>
      <c r="G1099" s="330">
        <v>3</v>
      </c>
      <c r="H1099" s="330"/>
      <c r="I1099" s="330"/>
      <c r="J1099" s="8">
        <f t="shared" si="162"/>
        <v>3</v>
      </c>
      <c r="K1099" s="221">
        <f t="shared" si="167"/>
        <v>1.8823529411764706E-3</v>
      </c>
      <c r="L1099" s="37">
        <f t="shared" si="168"/>
        <v>4.2713035294117647</v>
      </c>
      <c r="M1099" s="7">
        <f t="shared" si="164"/>
        <v>1.5705583077647061</v>
      </c>
      <c r="N1099" s="37">
        <v>1.6424859462835726</v>
      </c>
      <c r="O1099" s="37">
        <f t="shared" si="165"/>
        <v>1.5079529411764707</v>
      </c>
      <c r="P1099" s="37">
        <f t="shared" si="169"/>
        <v>1.8381946352941179</v>
      </c>
      <c r="Q1099" s="45">
        <f t="shared" si="170"/>
        <v>9.3087999219839707E-2</v>
      </c>
      <c r="R1099" s="8"/>
      <c r="S1099" s="6">
        <f t="shared" si="166"/>
        <v>1.80673454091193</v>
      </c>
    </row>
    <row r="1100" spans="1:19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8">
        <f t="shared" si="163"/>
        <v>120.2</v>
      </c>
      <c r="G1100" s="330">
        <v>3</v>
      </c>
      <c r="H1100" s="330"/>
      <c r="I1100" s="330"/>
      <c r="J1100" s="8">
        <f t="shared" si="162"/>
        <v>3</v>
      </c>
      <c r="K1100" s="221">
        <f t="shared" si="167"/>
        <v>1.8823529411764706E-3</v>
      </c>
      <c r="L1100" s="37">
        <f t="shared" si="168"/>
        <v>4.2713035294117647</v>
      </c>
      <c r="M1100" s="7">
        <f t="shared" si="164"/>
        <v>1.5705583077647061</v>
      </c>
      <c r="N1100" s="37">
        <v>1.6424859462835726</v>
      </c>
      <c r="O1100" s="37">
        <f t="shared" si="165"/>
        <v>1.5079529411764707</v>
      </c>
      <c r="P1100" s="37">
        <f t="shared" si="169"/>
        <v>1.8381946352941179</v>
      </c>
      <c r="Q1100" s="45">
        <f t="shared" si="170"/>
        <v>7.4811154115112438E-2</v>
      </c>
      <c r="R1100" s="8"/>
      <c r="S1100" s="6">
        <f t="shared" si="166"/>
        <v>1.80673454091193</v>
      </c>
    </row>
    <row r="1101" spans="1:19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8">
        <f t="shared" si="163"/>
        <v>340.3</v>
      </c>
      <c r="G1101" s="330">
        <v>9</v>
      </c>
      <c r="H1101" s="330"/>
      <c r="I1101" s="330"/>
      <c r="J1101" s="8">
        <f t="shared" si="162"/>
        <v>9</v>
      </c>
      <c r="K1101" s="221">
        <f t="shared" si="167"/>
        <v>5.6470588235294121E-3</v>
      </c>
      <c r="L1101" s="37">
        <f t="shared" si="168"/>
        <v>12.813910588235295</v>
      </c>
      <c r="M1101" s="7">
        <f t="shared" si="164"/>
        <v>4.711674923294118</v>
      </c>
      <c r="N1101" s="37">
        <v>4.9274578388507182</v>
      </c>
      <c r="O1101" s="37">
        <f t="shared" si="165"/>
        <v>4.5238588235294124</v>
      </c>
      <c r="P1101" s="37">
        <f t="shared" si="169"/>
        <v>5.514583905882354</v>
      </c>
      <c r="Q1101" s="45">
        <f t="shared" si="170"/>
        <v>7.9273882379986907E-2</v>
      </c>
      <c r="R1101" s="8"/>
      <c r="S1101" s="6">
        <f t="shared" si="166"/>
        <v>5.4202036227357908</v>
      </c>
    </row>
    <row r="1102" spans="1:19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8">
        <f t="shared" si="163"/>
        <v>264.89999999999998</v>
      </c>
      <c r="G1102" s="330">
        <v>6</v>
      </c>
      <c r="H1102" s="330"/>
      <c r="I1102" s="330"/>
      <c r="J1102" s="8">
        <f t="shared" si="162"/>
        <v>6</v>
      </c>
      <c r="K1102" s="221">
        <f t="shared" si="167"/>
        <v>3.7647058823529413E-3</v>
      </c>
      <c r="L1102" s="37">
        <f t="shared" si="168"/>
        <v>8.5426070588235294</v>
      </c>
      <c r="M1102" s="7">
        <f t="shared" si="164"/>
        <v>3.1411166155294121</v>
      </c>
      <c r="N1102" s="37">
        <v>3.2849718925671452</v>
      </c>
      <c r="O1102" s="37">
        <f t="shared" si="165"/>
        <v>3.0159058823529414</v>
      </c>
      <c r="P1102" s="37">
        <f t="shared" si="169"/>
        <v>3.6763892705882357</v>
      </c>
      <c r="Q1102" s="45">
        <f t="shared" si="170"/>
        <v>6.7892040201106188E-2</v>
      </c>
      <c r="R1102" s="8"/>
      <c r="S1102" s="6">
        <f t="shared" si="166"/>
        <v>3.61346908182386</v>
      </c>
    </row>
    <row r="1103" spans="1:19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8">
        <f t="shared" si="163"/>
        <v>299.7</v>
      </c>
      <c r="G1103" s="330">
        <v>9</v>
      </c>
      <c r="H1103" s="330"/>
      <c r="I1103" s="330"/>
      <c r="J1103" s="8">
        <f t="shared" si="162"/>
        <v>9</v>
      </c>
      <c r="K1103" s="221">
        <f t="shared" si="167"/>
        <v>5.6470588235294121E-3</v>
      </c>
      <c r="L1103" s="37">
        <f t="shared" si="168"/>
        <v>12.813910588235295</v>
      </c>
      <c r="M1103" s="7">
        <f t="shared" si="164"/>
        <v>4.711674923294118</v>
      </c>
      <c r="N1103" s="37">
        <v>4.9274578388507182</v>
      </c>
      <c r="O1103" s="37">
        <f t="shared" si="165"/>
        <v>4.5238588235294124</v>
      </c>
      <c r="P1103" s="37">
        <f t="shared" si="169"/>
        <v>5.514583905882354</v>
      </c>
      <c r="Q1103" s="45">
        <f t="shared" si="170"/>
        <v>9.0013020266631785E-2</v>
      </c>
      <c r="R1103" s="8"/>
      <c r="S1103" s="6">
        <f t="shared" si="166"/>
        <v>5.4202036227357908</v>
      </c>
    </row>
    <row r="1104" spans="1:19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8">
        <f t="shared" si="163"/>
        <v>143.69999999999999</v>
      </c>
      <c r="G1104" s="330">
        <v>3</v>
      </c>
      <c r="H1104" s="330"/>
      <c r="I1104" s="330"/>
      <c r="J1104" s="8">
        <f t="shared" si="162"/>
        <v>3</v>
      </c>
      <c r="K1104" s="221">
        <f t="shared" si="167"/>
        <v>1.8823529411764706E-3</v>
      </c>
      <c r="L1104" s="37">
        <f t="shared" si="168"/>
        <v>4.2713035294117647</v>
      </c>
      <c r="M1104" s="7">
        <f t="shared" si="164"/>
        <v>1.5705583077647061</v>
      </c>
      <c r="N1104" s="37">
        <v>1.6424859462835726</v>
      </c>
      <c r="O1104" s="37">
        <f t="shared" si="165"/>
        <v>1.5079529411764707</v>
      </c>
      <c r="P1104" s="37">
        <f t="shared" si="169"/>
        <v>1.8381946352941179</v>
      </c>
      <c r="Q1104" s="45">
        <f t="shared" si="170"/>
        <v>6.2576901354464268E-2</v>
      </c>
      <c r="R1104" s="8"/>
      <c r="S1104" s="6">
        <f t="shared" si="166"/>
        <v>1.80673454091193</v>
      </c>
    </row>
    <row r="1105" spans="1:19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8">
        <f t="shared" si="163"/>
        <v>295.10000000000002</v>
      </c>
      <c r="G1105" s="330">
        <v>9</v>
      </c>
      <c r="H1105" s="330"/>
      <c r="I1105" s="330"/>
      <c r="J1105" s="8">
        <f t="shared" si="162"/>
        <v>9</v>
      </c>
      <c r="K1105" s="221">
        <f t="shared" si="167"/>
        <v>5.6470588235294121E-3</v>
      </c>
      <c r="L1105" s="37">
        <f t="shared" si="168"/>
        <v>12.813910588235295</v>
      </c>
      <c r="M1105" s="7">
        <f t="shared" si="164"/>
        <v>4.711674923294118</v>
      </c>
      <c r="N1105" s="37">
        <v>4.9274578388507182</v>
      </c>
      <c r="O1105" s="37">
        <f t="shared" si="165"/>
        <v>4.5238588235294124</v>
      </c>
      <c r="P1105" s="37">
        <f t="shared" si="169"/>
        <v>5.514583905882354</v>
      </c>
      <c r="Q1105" s="45">
        <f t="shared" si="170"/>
        <v>9.1416137492068936E-2</v>
      </c>
      <c r="R1105" s="8"/>
      <c r="S1105" s="6">
        <f t="shared" si="166"/>
        <v>5.4202036227357908</v>
      </c>
    </row>
    <row r="1106" spans="1:19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8">
        <f t="shared" si="163"/>
        <v>148.69999999999999</v>
      </c>
      <c r="G1106" s="330">
        <v>4</v>
      </c>
      <c r="H1106" s="330"/>
      <c r="I1106" s="330"/>
      <c r="J1106" s="8">
        <f t="shared" si="162"/>
        <v>4</v>
      </c>
      <c r="K1106" s="221">
        <f t="shared" si="167"/>
        <v>2.5098039215686275E-3</v>
      </c>
      <c r="L1106" s="37">
        <f t="shared" si="168"/>
        <v>5.6950713725490196</v>
      </c>
      <c r="M1106" s="7">
        <f t="shared" si="164"/>
        <v>2.0940777436862748</v>
      </c>
      <c r="N1106" s="37">
        <v>2.1899812617114303</v>
      </c>
      <c r="O1106" s="37">
        <f t="shared" si="165"/>
        <v>2.0106039215686278</v>
      </c>
      <c r="P1106" s="37">
        <f t="shared" si="169"/>
        <v>2.4509261803921576</v>
      </c>
      <c r="Q1106" s="45">
        <f t="shared" si="170"/>
        <v>8.0630358436552474E-2</v>
      </c>
      <c r="R1106" s="8"/>
      <c r="S1106" s="6">
        <f t="shared" si="166"/>
        <v>2.4089793878825736</v>
      </c>
    </row>
    <row r="1107" spans="1:19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8">
        <f t="shared" si="163"/>
        <v>339.7</v>
      </c>
      <c r="G1107" s="330">
        <v>8</v>
      </c>
      <c r="H1107" s="330"/>
      <c r="I1107" s="330"/>
      <c r="J1107" s="8">
        <f t="shared" si="162"/>
        <v>8</v>
      </c>
      <c r="K1107" s="221">
        <f t="shared" si="167"/>
        <v>5.019607843137255E-3</v>
      </c>
      <c r="L1107" s="37">
        <f t="shared" si="168"/>
        <v>11.390142745098039</v>
      </c>
      <c r="M1107" s="7">
        <f t="shared" si="164"/>
        <v>4.1881554873725495</v>
      </c>
      <c r="N1107" s="37">
        <v>4.3799625234228605</v>
      </c>
      <c r="O1107" s="37">
        <f t="shared" si="165"/>
        <v>4.0212078431372555</v>
      </c>
      <c r="P1107" s="37">
        <f t="shared" si="169"/>
        <v>4.9018523607843152</v>
      </c>
      <c r="Q1107" s="45">
        <f t="shared" si="170"/>
        <v>7.0590134233237276E-2</v>
      </c>
      <c r="R1107" s="8"/>
      <c r="S1107" s="6">
        <f t="shared" si="166"/>
        <v>4.8179587757651472</v>
      </c>
    </row>
    <row r="1108" spans="1:19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8">
        <f t="shared" si="163"/>
        <v>197.6</v>
      </c>
      <c r="G1108" s="330">
        <v>6</v>
      </c>
      <c r="H1108" s="330"/>
      <c r="I1108" s="330"/>
      <c r="J1108" s="8">
        <f t="shared" si="162"/>
        <v>6</v>
      </c>
      <c r="K1108" s="221">
        <f t="shared" si="167"/>
        <v>3.7647058823529413E-3</v>
      </c>
      <c r="L1108" s="37">
        <f t="shared" si="168"/>
        <v>8.5426070588235294</v>
      </c>
      <c r="M1108" s="7">
        <f t="shared" si="164"/>
        <v>3.1411166155294121</v>
      </c>
      <c r="N1108" s="37">
        <v>3.2849718925671452</v>
      </c>
      <c r="O1108" s="37">
        <f t="shared" si="165"/>
        <v>3.0159058823529414</v>
      </c>
      <c r="P1108" s="37">
        <f t="shared" si="169"/>
        <v>3.6763892705882357</v>
      </c>
      <c r="Q1108" s="45">
        <f t="shared" si="170"/>
        <v>9.1015189520612494E-2</v>
      </c>
      <c r="R1108" s="8"/>
      <c r="S1108" s="6">
        <f t="shared" si="166"/>
        <v>3.61346908182386</v>
      </c>
    </row>
    <row r="1109" spans="1:19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8">
        <f t="shared" si="163"/>
        <v>251</v>
      </c>
      <c r="G1109" s="330">
        <v>8</v>
      </c>
      <c r="H1109" s="330"/>
      <c r="I1109" s="330"/>
      <c r="J1109" s="8">
        <f t="shared" si="162"/>
        <v>8</v>
      </c>
      <c r="K1109" s="221">
        <f t="shared" si="167"/>
        <v>5.019607843137255E-3</v>
      </c>
      <c r="L1109" s="37">
        <f t="shared" si="168"/>
        <v>11.390142745098039</v>
      </c>
      <c r="M1109" s="7">
        <f t="shared" si="164"/>
        <v>4.1881554873725495</v>
      </c>
      <c r="N1109" s="37">
        <v>4.3799625234228605</v>
      </c>
      <c r="O1109" s="37">
        <f t="shared" si="165"/>
        <v>4.0212078431372555</v>
      </c>
      <c r="P1109" s="37">
        <f t="shared" si="169"/>
        <v>4.9018523607843152</v>
      </c>
      <c r="Q1109" s="45">
        <f t="shared" si="170"/>
        <v>9.5535731470241844E-2</v>
      </c>
      <c r="R1109" s="8"/>
      <c r="S1109" s="6">
        <f t="shared" si="166"/>
        <v>4.8179587757651472</v>
      </c>
    </row>
    <row r="1110" spans="1:19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8">
        <f t="shared" si="163"/>
        <v>172.7</v>
      </c>
      <c r="G1110" s="330">
        <v>5</v>
      </c>
      <c r="H1110" s="330"/>
      <c r="I1110" s="330"/>
      <c r="J1110" s="8">
        <f t="shared" si="162"/>
        <v>5</v>
      </c>
      <c r="K1110" s="221">
        <f t="shared" si="167"/>
        <v>3.1372549019607846E-3</v>
      </c>
      <c r="L1110" s="37">
        <f t="shared" si="168"/>
        <v>7.1188392156862754</v>
      </c>
      <c r="M1110" s="7">
        <f t="shared" si="164"/>
        <v>2.6175971796078437</v>
      </c>
      <c r="N1110" s="37">
        <v>2.7374765771392875</v>
      </c>
      <c r="O1110" s="37">
        <f t="shared" si="165"/>
        <v>2.5132549019607846</v>
      </c>
      <c r="P1110" s="37">
        <f t="shared" si="169"/>
        <v>3.0636577254901964</v>
      </c>
      <c r="Q1110" s="45">
        <f t="shared" si="170"/>
        <v>8.6781516354338104E-2</v>
      </c>
      <c r="R1110" s="8"/>
      <c r="S1110" s="6">
        <f t="shared" si="166"/>
        <v>3.0112242348532163</v>
      </c>
    </row>
    <row r="1111" spans="1:19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8">
        <f t="shared" si="163"/>
        <v>294.2</v>
      </c>
      <c r="G1111" s="330">
        <v>9</v>
      </c>
      <c r="H1111" s="330"/>
      <c r="I1111" s="330"/>
      <c r="J1111" s="8">
        <f t="shared" si="162"/>
        <v>9</v>
      </c>
      <c r="K1111" s="221">
        <f t="shared" si="167"/>
        <v>5.6470588235294121E-3</v>
      </c>
      <c r="L1111" s="37">
        <f t="shared" si="168"/>
        <v>12.813910588235295</v>
      </c>
      <c r="M1111" s="7">
        <f t="shared" si="164"/>
        <v>4.711674923294118</v>
      </c>
      <c r="N1111" s="37">
        <v>4.9274578388507182</v>
      </c>
      <c r="O1111" s="37">
        <f t="shared" si="165"/>
        <v>4.5238588235294124</v>
      </c>
      <c r="P1111" s="37">
        <f t="shared" si="169"/>
        <v>5.514583905882354</v>
      </c>
      <c r="Q1111" s="45">
        <f t="shared" si="170"/>
        <v>9.1695792569373033E-2</v>
      </c>
      <c r="R1111" s="8"/>
      <c r="S1111" s="6">
        <f t="shared" si="166"/>
        <v>5.4202036227357908</v>
      </c>
    </row>
    <row r="1112" spans="1:19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8">
        <f t="shared" si="163"/>
        <v>200.9</v>
      </c>
      <c r="G1112" s="330">
        <v>8</v>
      </c>
      <c r="H1112" s="330"/>
      <c r="I1112" s="330"/>
      <c r="J1112" s="8">
        <f t="shared" si="162"/>
        <v>8</v>
      </c>
      <c r="K1112" s="221">
        <f t="shared" si="167"/>
        <v>5.019607843137255E-3</v>
      </c>
      <c r="L1112" s="37">
        <f t="shared" si="168"/>
        <v>11.390142745098039</v>
      </c>
      <c r="M1112" s="7">
        <f t="shared" si="164"/>
        <v>4.1881554873725495</v>
      </c>
      <c r="N1112" s="37">
        <v>4.3799625234228605</v>
      </c>
      <c r="O1112" s="37">
        <f t="shared" si="165"/>
        <v>4.0212078431372555</v>
      </c>
      <c r="P1112" s="37">
        <f t="shared" si="169"/>
        <v>4.9018523607843152</v>
      </c>
      <c r="Q1112" s="45">
        <f t="shared" si="170"/>
        <v>0.11936022199617075</v>
      </c>
      <c r="R1112" s="8"/>
      <c r="S1112" s="6">
        <f t="shared" si="166"/>
        <v>4.8179587757651472</v>
      </c>
    </row>
    <row r="1113" spans="1:19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8">
        <f t="shared" si="163"/>
        <v>297.8</v>
      </c>
      <c r="G1113" s="330">
        <v>11</v>
      </c>
      <c r="H1113" s="330"/>
      <c r="I1113" s="330"/>
      <c r="J1113" s="8">
        <f t="shared" si="162"/>
        <v>11</v>
      </c>
      <c r="K1113" s="221">
        <f t="shared" si="167"/>
        <v>6.9019607843137255E-3</v>
      </c>
      <c r="L1113" s="37">
        <f t="shared" si="168"/>
        <v>15.661446274509805</v>
      </c>
      <c r="M1113" s="7">
        <f t="shared" si="164"/>
        <v>5.7587137951372558</v>
      </c>
      <c r="N1113" s="37">
        <v>6.0224484697064327</v>
      </c>
      <c r="O1113" s="37">
        <f t="shared" si="165"/>
        <v>5.529160784313726</v>
      </c>
      <c r="P1113" s="37">
        <f t="shared" si="169"/>
        <v>6.7400469960784326</v>
      </c>
      <c r="Q1113" s="45">
        <f t="shared" si="170"/>
        <v>0.11071782848780126</v>
      </c>
      <c r="R1113" s="8"/>
      <c r="S1113" s="6">
        <f t="shared" si="166"/>
        <v>6.6246933166770763</v>
      </c>
    </row>
    <row r="1114" spans="1:19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8">
        <f t="shared" si="163"/>
        <v>124.6</v>
      </c>
      <c r="G1114" s="330">
        <v>5</v>
      </c>
      <c r="H1114" s="330"/>
      <c r="I1114" s="330"/>
      <c r="J1114" s="8">
        <f t="shared" si="162"/>
        <v>5</v>
      </c>
      <c r="K1114" s="221">
        <f t="shared" si="167"/>
        <v>3.1372549019607846E-3</v>
      </c>
      <c r="L1114" s="37">
        <f t="shared" si="168"/>
        <v>7.1188392156862754</v>
      </c>
      <c r="M1114" s="7">
        <f t="shared" si="164"/>
        <v>2.6175971796078437</v>
      </c>
      <c r="N1114" s="37">
        <v>2.7374765771392875</v>
      </c>
      <c r="O1114" s="37">
        <f t="shared" si="165"/>
        <v>2.5132549019607846</v>
      </c>
      <c r="P1114" s="37">
        <f t="shared" si="169"/>
        <v>3.0636577254901964</v>
      </c>
      <c r="Q1114" s="45">
        <f t="shared" si="170"/>
        <v>0.12028224618293894</v>
      </c>
      <c r="R1114" s="8"/>
      <c r="S1114" s="6">
        <f t="shared" si="166"/>
        <v>3.0112242348532163</v>
      </c>
    </row>
    <row r="1115" spans="1:19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8">
        <f t="shared" si="163"/>
        <v>132.19999999999999</v>
      </c>
      <c r="G1115" s="330">
        <v>5</v>
      </c>
      <c r="H1115" s="330"/>
      <c r="I1115" s="330"/>
      <c r="J1115" s="8">
        <f t="shared" si="162"/>
        <v>5</v>
      </c>
      <c r="K1115" s="221">
        <f t="shared" si="167"/>
        <v>3.1372549019607846E-3</v>
      </c>
      <c r="L1115" s="37">
        <f t="shared" si="168"/>
        <v>7.1188392156862754</v>
      </c>
      <c r="M1115" s="7">
        <f t="shared" si="164"/>
        <v>2.6175971796078437</v>
      </c>
      <c r="N1115" s="37">
        <v>2.7374765771392875</v>
      </c>
      <c r="O1115" s="37">
        <f>K1115*801.1</f>
        <v>2.5132549019607846</v>
      </c>
      <c r="P1115" s="37">
        <f t="shared" si="169"/>
        <v>3.0636577254901964</v>
      </c>
      <c r="Q1115" s="45">
        <f t="shared" si="170"/>
        <v>0.11336738180328436</v>
      </c>
      <c r="R1115" s="8"/>
      <c r="S1115" s="6">
        <f t="shared" si="166"/>
        <v>3.0112242348532163</v>
      </c>
    </row>
    <row r="1116" spans="1:19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8">
        <f t="shared" si="163"/>
        <v>225.4</v>
      </c>
      <c r="G1116" s="330">
        <v>5</v>
      </c>
      <c r="H1116" s="330"/>
      <c r="I1116" s="330"/>
      <c r="J1116" s="8">
        <f t="shared" si="162"/>
        <v>5</v>
      </c>
      <c r="K1116" s="221">
        <f t="shared" si="167"/>
        <v>3.1372549019607846E-3</v>
      </c>
      <c r="L1116" s="37">
        <f t="shared" si="168"/>
        <v>7.1188392156862754</v>
      </c>
      <c r="M1116" s="7">
        <f t="shared" si="164"/>
        <v>2.6175971796078437</v>
      </c>
      <c r="N1116" s="37">
        <v>2.7374765771392875</v>
      </c>
      <c r="O1116" s="37">
        <f>K1116*801.1</f>
        <v>2.5132549019607846</v>
      </c>
      <c r="P1116" s="37">
        <f t="shared" si="169"/>
        <v>3.0636577254901964</v>
      </c>
      <c r="Q1116" s="45">
        <f t="shared" si="170"/>
        <v>6.6491428014171211E-2</v>
      </c>
      <c r="R1116" s="8"/>
      <c r="S1116" s="6">
        <f t="shared" si="166"/>
        <v>3.0112242348532163</v>
      </c>
    </row>
    <row r="1117" spans="1:19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8">
        <f t="shared" si="163"/>
        <v>415.6</v>
      </c>
      <c r="G1117" s="330">
        <v>8</v>
      </c>
      <c r="H1117" s="330"/>
      <c r="I1117" s="330"/>
      <c r="J1117" s="8">
        <f t="shared" si="162"/>
        <v>8</v>
      </c>
      <c r="K1117" s="221">
        <f t="shared" si="167"/>
        <v>5.019607843137255E-3</v>
      </c>
      <c r="L1117" s="37">
        <f t="shared" si="168"/>
        <v>11.390142745098039</v>
      </c>
      <c r="M1117" s="7">
        <f t="shared" si="164"/>
        <v>4.1881554873725495</v>
      </c>
      <c r="N1117" s="37">
        <v>4.3799625234228605</v>
      </c>
      <c r="O1117" s="37">
        <f t="shared" si="165"/>
        <v>4.0212078431372555</v>
      </c>
      <c r="P1117" s="37">
        <f t="shared" si="169"/>
        <v>4.9018523607843152</v>
      </c>
      <c r="Q1117" s="45">
        <f t="shared" si="170"/>
        <v>5.7698432625194182E-2</v>
      </c>
      <c r="R1117" s="8"/>
      <c r="S1117" s="6">
        <f t="shared" si="166"/>
        <v>4.8179587757651472</v>
      </c>
    </row>
    <row r="1118" spans="1:19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8">
        <f t="shared" si="163"/>
        <v>1495</v>
      </c>
      <c r="G1118" s="330">
        <v>32</v>
      </c>
      <c r="H1118" s="330"/>
      <c r="I1118" s="330"/>
      <c r="J1118" s="8">
        <f t="shared" si="162"/>
        <v>32</v>
      </c>
      <c r="K1118" s="221">
        <f t="shared" si="167"/>
        <v>2.007843137254902E-2</v>
      </c>
      <c r="L1118" s="37">
        <f t="shared" si="168"/>
        <v>45.560570980392157</v>
      </c>
      <c r="M1118" s="7">
        <f t="shared" si="164"/>
        <v>16.752621949490198</v>
      </c>
      <c r="N1118" s="37">
        <v>17.519850093691442</v>
      </c>
      <c r="O1118" s="37">
        <f t="shared" si="165"/>
        <v>16.084831372549022</v>
      </c>
      <c r="P1118" s="37">
        <f t="shared" si="169"/>
        <v>19.607409443137261</v>
      </c>
      <c r="Q1118" s="45">
        <f t="shared" si="170"/>
        <v>6.4159113308443358E-2</v>
      </c>
      <c r="R1118" s="8"/>
      <c r="S1118" s="6">
        <f t="shared" si="166"/>
        <v>19.271835103060589</v>
      </c>
    </row>
    <row r="1119" spans="1:19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8">
        <f t="shared" si="163"/>
        <v>288.60000000000002</v>
      </c>
      <c r="G1119" s="330">
        <v>7</v>
      </c>
      <c r="H1119" s="330"/>
      <c r="I1119" s="330"/>
      <c r="J1119" s="8">
        <f t="shared" si="162"/>
        <v>7</v>
      </c>
      <c r="K1119" s="221">
        <f t="shared" si="167"/>
        <v>4.3921568627450979E-3</v>
      </c>
      <c r="L1119" s="37">
        <f t="shared" si="168"/>
        <v>9.9663749019607852</v>
      </c>
      <c r="M1119" s="7">
        <f t="shared" si="164"/>
        <v>3.664636051450981</v>
      </c>
      <c r="N1119" s="37">
        <v>3.8324672079950028</v>
      </c>
      <c r="O1119" s="37">
        <f t="shared" si="165"/>
        <v>3.5185568627450983</v>
      </c>
      <c r="P1119" s="37">
        <f t="shared" si="169"/>
        <v>4.2891208156862755</v>
      </c>
      <c r="Q1119" s="45">
        <f t="shared" si="170"/>
        <v>7.2702824061510282E-2</v>
      </c>
      <c r="R1119" s="8"/>
      <c r="S1119" s="6">
        <f t="shared" si="166"/>
        <v>4.2157139287945036</v>
      </c>
    </row>
    <row r="1120" spans="1:19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8">
        <f t="shared" si="163"/>
        <v>272.10000000000002</v>
      </c>
      <c r="G1120" s="330">
        <v>6</v>
      </c>
      <c r="H1120" s="330"/>
      <c r="I1120" s="330"/>
      <c r="J1120" s="8">
        <f t="shared" si="162"/>
        <v>6</v>
      </c>
      <c r="K1120" s="221">
        <f t="shared" si="167"/>
        <v>3.7647058823529413E-3</v>
      </c>
      <c r="L1120" s="37">
        <f t="shared" si="168"/>
        <v>8.5426070588235294</v>
      </c>
      <c r="M1120" s="7">
        <f t="shared" si="164"/>
        <v>3.1411166155294121</v>
      </c>
      <c r="N1120" s="37">
        <v>3.2849718925671452</v>
      </c>
      <c r="O1120" s="37">
        <f t="shared" si="165"/>
        <v>3.0159058823529414</v>
      </c>
      <c r="P1120" s="37">
        <f t="shared" si="169"/>
        <v>3.6763892705882357</v>
      </c>
      <c r="Q1120" s="45">
        <f t="shared" si="170"/>
        <v>6.6095558431727403E-2</v>
      </c>
      <c r="R1120" s="8"/>
      <c r="S1120" s="6">
        <f t="shared" si="166"/>
        <v>3.61346908182386</v>
      </c>
    </row>
    <row r="1121" spans="1:19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8">
        <f t="shared" si="163"/>
        <v>313.7</v>
      </c>
      <c r="G1121" s="330">
        <v>9</v>
      </c>
      <c r="H1121" s="330"/>
      <c r="I1121" s="330">
        <v>1</v>
      </c>
      <c r="J1121" s="8">
        <f t="shared" si="162"/>
        <v>10</v>
      </c>
      <c r="K1121" s="221">
        <f t="shared" si="167"/>
        <v>6.2745098039215692E-3</v>
      </c>
      <c r="L1121" s="37">
        <f t="shared" si="168"/>
        <v>14.237678431372551</v>
      </c>
      <c r="M1121" s="7">
        <f t="shared" si="164"/>
        <v>5.2351943592156873</v>
      </c>
      <c r="N1121" s="37">
        <v>5.474953154278575</v>
      </c>
      <c r="O1121" s="37">
        <f>K1121*801.1</f>
        <v>5.0265098039215692</v>
      </c>
      <c r="P1121" s="37">
        <f t="shared" si="169"/>
        <v>6.1273154509803929</v>
      </c>
      <c r="Q1121" s="45">
        <f t="shared" si="170"/>
        <v>9.5550958714658532E-2</v>
      </c>
      <c r="R1121" s="8"/>
      <c r="S1121" s="6">
        <f t="shared" si="166"/>
        <v>6.0224484697064327</v>
      </c>
    </row>
    <row r="1122" spans="1:19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8">
        <f t="shared" si="163"/>
        <v>860.41000000000008</v>
      </c>
      <c r="G1122" s="330">
        <v>11</v>
      </c>
      <c r="H1122" s="330"/>
      <c r="I1122" s="730">
        <v>1</v>
      </c>
      <c r="J1122" s="8">
        <f t="shared" si="162"/>
        <v>12</v>
      </c>
      <c r="K1122" s="221">
        <f t="shared" si="167"/>
        <v>7.5294117647058826E-3</v>
      </c>
      <c r="L1122" s="37">
        <f t="shared" si="168"/>
        <v>17.085214117647059</v>
      </c>
      <c r="M1122" s="7">
        <f t="shared" si="164"/>
        <v>6.2822332310588243</v>
      </c>
      <c r="N1122" s="37">
        <v>6.5699437851342903</v>
      </c>
      <c r="O1122" s="37">
        <f>K1122*801.1</f>
        <v>6.0318117647058829</v>
      </c>
      <c r="P1122" s="37">
        <f t="shared" si="169"/>
        <v>7.3527785411764714</v>
      </c>
      <c r="Q1122" s="45">
        <f t="shared" si="170"/>
        <v>4.1804724373898552E-2</v>
      </c>
      <c r="R1122" s="8"/>
      <c r="S1122" s="6">
        <f t="shared" si="166"/>
        <v>7.2269381636477199</v>
      </c>
    </row>
    <row r="1123" spans="1:19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8">
        <f t="shared" si="163"/>
        <v>294</v>
      </c>
      <c r="G1123" s="330">
        <v>7</v>
      </c>
      <c r="H1123" s="330"/>
      <c r="I1123" s="330"/>
      <c r="J1123" s="8">
        <f t="shared" si="162"/>
        <v>7</v>
      </c>
      <c r="K1123" s="221">
        <f t="shared" si="167"/>
        <v>4.3921568627450979E-3</v>
      </c>
      <c r="L1123" s="37">
        <f t="shared" si="168"/>
        <v>9.9663749019607852</v>
      </c>
      <c r="M1123" s="7">
        <f t="shared" si="164"/>
        <v>3.664636051450981</v>
      </c>
      <c r="N1123" s="37">
        <v>3.8324672079950028</v>
      </c>
      <c r="O1123" s="37">
        <f>K1123*801.1</f>
        <v>3.5185568627450983</v>
      </c>
      <c r="P1123" s="37">
        <f t="shared" si="169"/>
        <v>4.2891208156862755</v>
      </c>
      <c r="Q1123" s="45">
        <f t="shared" si="170"/>
        <v>7.1367466068543772E-2</v>
      </c>
      <c r="R1123" s="8"/>
      <c r="S1123" s="6">
        <f t="shared" si="166"/>
        <v>4.2157139287945036</v>
      </c>
    </row>
    <row r="1124" spans="1:19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8">
        <f t="shared" si="163"/>
        <v>1119.54</v>
      </c>
      <c r="G1124" s="330">
        <v>25</v>
      </c>
      <c r="H1124" s="330"/>
      <c r="I1124" s="330"/>
      <c r="J1124" s="8">
        <f t="shared" si="162"/>
        <v>25</v>
      </c>
      <c r="K1124" s="221">
        <f t="shared" si="167"/>
        <v>1.5686274509803921E-2</v>
      </c>
      <c r="L1124" s="37">
        <f t="shared" si="168"/>
        <v>35.594196078431374</v>
      </c>
      <c r="M1124" s="7">
        <f t="shared" si="164"/>
        <v>13.087985898039218</v>
      </c>
      <c r="N1124" s="37">
        <v>13.687382885696438</v>
      </c>
      <c r="O1124" s="37">
        <f t="shared" si="165"/>
        <v>12.566274509803922</v>
      </c>
      <c r="P1124" s="37">
        <f t="shared" si="169"/>
        <v>15.318288627450981</v>
      </c>
      <c r="Q1124" s="45">
        <f t="shared" si="170"/>
        <v>6.6934490390670245E-2</v>
      </c>
      <c r="R1124" s="8"/>
      <c r="S1124" s="6">
        <f t="shared" si="166"/>
        <v>15.056121174266083</v>
      </c>
    </row>
    <row r="1125" spans="1:19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8">
        <f t="shared" si="163"/>
        <v>542.66</v>
      </c>
      <c r="G1125" s="330">
        <v>15</v>
      </c>
      <c r="H1125" s="330"/>
      <c r="I1125" s="330"/>
      <c r="J1125" s="8">
        <f t="shared" si="162"/>
        <v>15</v>
      </c>
      <c r="K1125" s="221">
        <f t="shared" si="167"/>
        <v>9.4117647058823539E-3</v>
      </c>
      <c r="L1125" s="37">
        <f t="shared" si="168"/>
        <v>21.356517647058826</v>
      </c>
      <c r="M1125" s="7">
        <f t="shared" si="164"/>
        <v>7.8527915388235314</v>
      </c>
      <c r="N1125" s="37">
        <v>8.2124297314178616</v>
      </c>
      <c r="O1125" s="37">
        <f>K1125*801.1</f>
        <v>7.5397647058823543</v>
      </c>
      <c r="P1125" s="37">
        <f t="shared" si="169"/>
        <v>9.1909731764705906</v>
      </c>
      <c r="Q1125" s="45">
        <f t="shared" si="170"/>
        <v>8.2853911515834183E-2</v>
      </c>
      <c r="R1125" s="8"/>
      <c r="S1125" s="6">
        <f t="shared" si="166"/>
        <v>9.033672704559649</v>
      </c>
    </row>
    <row r="1126" spans="1:19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8">
        <f t="shared" si="163"/>
        <v>507.72</v>
      </c>
      <c r="G1126" s="330">
        <v>14</v>
      </c>
      <c r="H1126" s="330"/>
      <c r="I1126" s="330"/>
      <c r="J1126" s="8">
        <f t="shared" ref="J1126:J1145" si="171">G1126+H1126+I1126</f>
        <v>14</v>
      </c>
      <c r="K1126" s="221">
        <f t="shared" si="167"/>
        <v>8.7843137254901959E-3</v>
      </c>
      <c r="L1126" s="37">
        <f t="shared" si="168"/>
        <v>19.93274980392157</v>
      </c>
      <c r="M1126" s="7">
        <f t="shared" si="164"/>
        <v>7.3292721029019621</v>
      </c>
      <c r="N1126" s="37">
        <v>7.6649344159900057</v>
      </c>
      <c r="O1126" s="37">
        <f t="shared" si="165"/>
        <v>7.0371137254901965</v>
      </c>
      <c r="P1126" s="37">
        <f t="shared" si="169"/>
        <v>8.5782416313725509</v>
      </c>
      <c r="Q1126" s="45">
        <f t="shared" si="170"/>
        <v>8.2651993319750525E-2</v>
      </c>
      <c r="R1126" s="8"/>
      <c r="S1126" s="6">
        <f t="shared" si="166"/>
        <v>8.4314278575890071</v>
      </c>
    </row>
    <row r="1127" spans="1:19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8">
        <f t="shared" ref="F1127:F1145" si="172">C1127+D1127+E1127</f>
        <v>517.03</v>
      </c>
      <c r="G1127" s="330">
        <v>11</v>
      </c>
      <c r="H1127" s="330"/>
      <c r="I1127" s="330"/>
      <c r="J1127" s="8">
        <f t="shared" si="171"/>
        <v>11</v>
      </c>
      <c r="K1127" s="221">
        <f t="shared" si="167"/>
        <v>6.9019607843137255E-3</v>
      </c>
      <c r="L1127" s="37">
        <f t="shared" si="168"/>
        <v>15.661446274509805</v>
      </c>
      <c r="M1127" s="7">
        <f t="shared" si="164"/>
        <v>5.7587137951372558</v>
      </c>
      <c r="N1127" s="37">
        <v>6.0224484697064327</v>
      </c>
      <c r="O1127" s="37">
        <f>K1127*801.1</f>
        <v>5.529160784313726</v>
      </c>
      <c r="P1127" s="37">
        <f t="shared" si="169"/>
        <v>6.7400469960784326</v>
      </c>
      <c r="Q1127" s="45">
        <f t="shared" si="170"/>
        <v>6.3771481971388932E-2</v>
      </c>
      <c r="R1127" s="8"/>
      <c r="S1127" s="6">
        <f t="shared" si="166"/>
        <v>6.6246933166770763</v>
      </c>
    </row>
    <row r="1128" spans="1:19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8">
        <f t="shared" si="172"/>
        <v>497.81</v>
      </c>
      <c r="G1128" s="330">
        <v>15</v>
      </c>
      <c r="H1128" s="330"/>
      <c r="I1128" s="330"/>
      <c r="J1128" s="8">
        <f t="shared" si="171"/>
        <v>15</v>
      </c>
      <c r="K1128" s="221">
        <f t="shared" si="167"/>
        <v>9.4117647058823539E-3</v>
      </c>
      <c r="L1128" s="37">
        <f t="shared" si="168"/>
        <v>21.356517647058826</v>
      </c>
      <c r="M1128" s="7">
        <f t="shared" ref="M1128:M1144" si="173">L1128*0.3677</f>
        <v>7.8527915388235314</v>
      </c>
      <c r="N1128" s="37">
        <v>8.2124297314178616</v>
      </c>
      <c r="O1128" s="37">
        <f>K1128*801.1</f>
        <v>7.5397647058823543</v>
      </c>
      <c r="P1128" s="37">
        <f t="shared" si="169"/>
        <v>9.1909731764705906</v>
      </c>
      <c r="Q1128" s="45">
        <f t="shared" si="170"/>
        <v>9.031860272630636E-2</v>
      </c>
      <c r="R1128" s="8"/>
      <c r="S1128" s="6">
        <f t="shared" si="166"/>
        <v>9.033672704559649</v>
      </c>
    </row>
    <row r="1129" spans="1:19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8">
        <f t="shared" si="172"/>
        <v>301.3</v>
      </c>
      <c r="G1129" s="330">
        <v>6</v>
      </c>
      <c r="H1129" s="330"/>
      <c r="I1129" s="330"/>
      <c r="J1129" s="8">
        <f t="shared" si="171"/>
        <v>6</v>
      </c>
      <c r="K1129" s="221">
        <f t="shared" si="167"/>
        <v>3.7647058823529413E-3</v>
      </c>
      <c r="L1129" s="37">
        <f t="shared" si="168"/>
        <v>8.5426070588235294</v>
      </c>
      <c r="M1129" s="7">
        <f t="shared" si="173"/>
        <v>3.1411166155294121</v>
      </c>
      <c r="N1129" s="37">
        <v>3.2849718925671452</v>
      </c>
      <c r="O1129" s="37">
        <f t="shared" ref="O1129:O1145" si="174">K1129*801.1</f>
        <v>3.0159058823529414</v>
      </c>
      <c r="P1129" s="37">
        <f t="shared" si="169"/>
        <v>3.6763892705882357</v>
      </c>
      <c r="Q1129" s="45">
        <f t="shared" si="170"/>
        <v>5.969001476692011E-2</v>
      </c>
      <c r="R1129" s="8"/>
      <c r="S1129" s="6">
        <f t="shared" si="166"/>
        <v>3.61346908182386</v>
      </c>
    </row>
    <row r="1130" spans="1:19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8">
        <f t="shared" si="172"/>
        <v>493.5</v>
      </c>
      <c r="G1130" s="330">
        <v>11</v>
      </c>
      <c r="H1130" s="330"/>
      <c r="I1130" s="330"/>
      <c r="J1130" s="8">
        <f t="shared" si="171"/>
        <v>11</v>
      </c>
      <c r="K1130" s="221">
        <f t="shared" si="167"/>
        <v>6.9019607843137255E-3</v>
      </c>
      <c r="L1130" s="37">
        <f t="shared" si="168"/>
        <v>15.661446274509805</v>
      </c>
      <c r="M1130" s="7">
        <f t="shared" si="173"/>
        <v>5.7587137951372558</v>
      </c>
      <c r="N1130" s="37">
        <v>6.0224484697064327</v>
      </c>
      <c r="O1130" s="37">
        <f t="shared" si="174"/>
        <v>5.529160784313726</v>
      </c>
      <c r="P1130" s="37">
        <f t="shared" si="169"/>
        <v>6.7400469960784326</v>
      </c>
      <c r="Q1130" s="45">
        <f t="shared" si="170"/>
        <v>6.6812095893955856E-2</v>
      </c>
      <c r="R1130" s="8"/>
      <c r="S1130" s="6">
        <f t="shared" si="166"/>
        <v>6.6246933166770763</v>
      </c>
    </row>
    <row r="1131" spans="1:19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8">
        <f t="shared" si="172"/>
        <v>264.8</v>
      </c>
      <c r="G1131" s="330">
        <v>8</v>
      </c>
      <c r="H1131" s="330"/>
      <c r="I1131" s="330"/>
      <c r="J1131" s="8">
        <f t="shared" si="171"/>
        <v>8</v>
      </c>
      <c r="K1131" s="221">
        <f t="shared" si="167"/>
        <v>5.019607843137255E-3</v>
      </c>
      <c r="L1131" s="37">
        <f t="shared" si="168"/>
        <v>11.390142745098039</v>
      </c>
      <c r="M1131" s="7">
        <f t="shared" si="173"/>
        <v>4.1881554873725495</v>
      </c>
      <c r="N1131" s="37">
        <v>4.3799625234228605</v>
      </c>
      <c r="O1131" s="37">
        <f t="shared" si="174"/>
        <v>4.0212078431372555</v>
      </c>
      <c r="P1131" s="37">
        <f t="shared" si="169"/>
        <v>4.9018523607843152</v>
      </c>
      <c r="Q1131" s="45">
        <f t="shared" si="170"/>
        <v>9.0556905585463379E-2</v>
      </c>
      <c r="R1131" s="8"/>
      <c r="S1131" s="6">
        <f t="shared" si="166"/>
        <v>4.8179587757651472</v>
      </c>
    </row>
    <row r="1132" spans="1:19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8">
        <f t="shared" si="172"/>
        <v>544.79999999999995</v>
      </c>
      <c r="G1132" s="330">
        <v>13</v>
      </c>
      <c r="H1132" s="330"/>
      <c r="I1132" s="330"/>
      <c r="J1132" s="8">
        <f t="shared" si="171"/>
        <v>13</v>
      </c>
      <c r="K1132" s="221">
        <f t="shared" si="167"/>
        <v>8.1568627450980397E-3</v>
      </c>
      <c r="L1132" s="37">
        <f t="shared" si="168"/>
        <v>18.508981960784315</v>
      </c>
      <c r="M1132" s="7">
        <f t="shared" si="173"/>
        <v>6.8057526669803927</v>
      </c>
      <c r="N1132" s="37">
        <v>7.1174391005621489</v>
      </c>
      <c r="O1132" s="37">
        <f>K1132*801.1</f>
        <v>6.5344627450980397</v>
      </c>
      <c r="P1132" s="37">
        <f t="shared" si="169"/>
        <v>7.9655100862745112</v>
      </c>
      <c r="Q1132" s="45">
        <f t="shared" si="170"/>
        <v>7.152466313036876E-2</v>
      </c>
      <c r="R1132" s="8"/>
      <c r="S1132" s="6">
        <f t="shared" si="166"/>
        <v>7.8291830106183644</v>
      </c>
    </row>
    <row r="1133" spans="1:19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8">
        <f t="shared" si="172"/>
        <v>205</v>
      </c>
      <c r="G1133" s="330">
        <v>7</v>
      </c>
      <c r="H1133" s="330"/>
      <c r="I1133" s="330"/>
      <c r="J1133" s="8">
        <f t="shared" si="171"/>
        <v>7</v>
      </c>
      <c r="K1133" s="221">
        <f t="shared" si="167"/>
        <v>4.3921568627450979E-3</v>
      </c>
      <c r="L1133" s="37">
        <f t="shared" si="168"/>
        <v>9.9663749019607852</v>
      </c>
      <c r="M1133" s="7">
        <f t="shared" si="173"/>
        <v>3.664636051450981</v>
      </c>
      <c r="N1133" s="37">
        <v>3.8324672079950028</v>
      </c>
      <c r="O1133" s="37">
        <f t="shared" si="174"/>
        <v>3.5185568627450983</v>
      </c>
      <c r="P1133" s="37">
        <f t="shared" si="169"/>
        <v>4.2891208156862755</v>
      </c>
      <c r="Q1133" s="45">
        <f t="shared" si="170"/>
        <v>0.10235139036171644</v>
      </c>
      <c r="R1133" s="8"/>
      <c r="S1133" s="6">
        <f t="shared" si="166"/>
        <v>4.2157139287945036</v>
      </c>
    </row>
    <row r="1134" spans="1:19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8">
        <f t="shared" si="172"/>
        <v>577.32000000000005</v>
      </c>
      <c r="G1134" s="330">
        <v>14</v>
      </c>
      <c r="H1134" s="330"/>
      <c r="I1134" s="330"/>
      <c r="J1134" s="8">
        <f t="shared" si="171"/>
        <v>14</v>
      </c>
      <c r="K1134" s="221">
        <f t="shared" si="167"/>
        <v>8.7843137254901959E-3</v>
      </c>
      <c r="L1134" s="37">
        <f t="shared" si="168"/>
        <v>19.93274980392157</v>
      </c>
      <c r="M1134" s="7">
        <f t="shared" si="173"/>
        <v>7.3292721029019621</v>
      </c>
      <c r="N1134" s="37">
        <v>7.6649344159900057</v>
      </c>
      <c r="O1134" s="37">
        <f t="shared" si="174"/>
        <v>7.0371137254901965</v>
      </c>
      <c r="P1134" s="37">
        <f t="shared" si="169"/>
        <v>8.5782416313725509</v>
      </c>
      <c r="Q1134" s="45">
        <f t="shared" si="170"/>
        <v>7.2687712271017349E-2</v>
      </c>
      <c r="R1134" s="8"/>
      <c r="S1134" s="6">
        <f t="shared" ref="S1134:S1145" si="175">N1134*1.1</f>
        <v>8.4314278575890071</v>
      </c>
    </row>
    <row r="1135" spans="1:19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8">
        <f t="shared" si="172"/>
        <v>353</v>
      </c>
      <c r="G1135" s="330">
        <v>7</v>
      </c>
      <c r="H1135" s="330"/>
      <c r="I1135" s="330"/>
      <c r="J1135" s="8">
        <f t="shared" si="171"/>
        <v>7</v>
      </c>
      <c r="K1135" s="221">
        <f t="shared" si="167"/>
        <v>4.3921568627450979E-3</v>
      </c>
      <c r="L1135" s="37">
        <f t="shared" si="168"/>
        <v>9.9663749019607852</v>
      </c>
      <c r="M1135" s="7">
        <f t="shared" si="173"/>
        <v>3.664636051450981</v>
      </c>
      <c r="N1135" s="37">
        <v>3.8324672079950028</v>
      </c>
      <c r="O1135" s="37">
        <f t="shared" si="174"/>
        <v>3.5185568627450983</v>
      </c>
      <c r="P1135" s="37">
        <f t="shared" si="169"/>
        <v>4.2891208156862755</v>
      </c>
      <c r="Q1135" s="45">
        <f t="shared" si="170"/>
        <v>5.9439192702979801E-2</v>
      </c>
      <c r="R1135" s="8"/>
      <c r="S1135" s="6">
        <f t="shared" si="175"/>
        <v>4.2157139287945036</v>
      </c>
    </row>
    <row r="1136" spans="1:19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8">
        <f t="shared" si="172"/>
        <v>646.29999999999995</v>
      </c>
      <c r="G1136" s="330">
        <v>15</v>
      </c>
      <c r="H1136" s="330"/>
      <c r="I1136" s="330">
        <v>1</v>
      </c>
      <c r="J1136" s="8">
        <f t="shared" si="171"/>
        <v>16</v>
      </c>
      <c r="K1136" s="221">
        <f t="shared" si="167"/>
        <v>1.003921568627451E-2</v>
      </c>
      <c r="L1136" s="37">
        <f t="shared" si="168"/>
        <v>22.780285490196079</v>
      </c>
      <c r="M1136" s="7">
        <f t="shared" si="173"/>
        <v>8.376310974745099</v>
      </c>
      <c r="N1136" s="37">
        <v>8.759925046845721</v>
      </c>
      <c r="O1136" s="37">
        <f t="shared" si="174"/>
        <v>8.0424156862745111</v>
      </c>
      <c r="P1136" s="37">
        <f t="shared" si="169"/>
        <v>9.8037047215686304</v>
      </c>
      <c r="Q1136" s="45">
        <f t="shared" si="170"/>
        <v>7.4205380161010998E-2</v>
      </c>
      <c r="R1136" s="8"/>
      <c r="S1136" s="6">
        <f t="shared" si="175"/>
        <v>9.6359175515302944</v>
      </c>
    </row>
    <row r="1137" spans="1:19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8">
        <f t="shared" si="172"/>
        <v>281.89999999999998</v>
      </c>
      <c r="G1137" s="330">
        <v>6</v>
      </c>
      <c r="H1137" s="330"/>
      <c r="I1137" s="330"/>
      <c r="J1137" s="8">
        <f t="shared" si="171"/>
        <v>6</v>
      </c>
      <c r="K1137" s="221">
        <f t="shared" ref="K1137:K1145" si="176">4/6375*J1137</f>
        <v>3.7647058823529413E-3</v>
      </c>
      <c r="L1137" s="37">
        <f t="shared" ref="L1137:L1145" si="177">K1137*2269.13</f>
        <v>8.5426070588235294</v>
      </c>
      <c r="M1137" s="7">
        <f t="shared" si="173"/>
        <v>3.1411166155294121</v>
      </c>
      <c r="N1137" s="37">
        <v>3.2849718925671452</v>
      </c>
      <c r="O1137" s="37">
        <f t="shared" si="174"/>
        <v>3.0159058823529414</v>
      </c>
      <c r="P1137" s="37">
        <f t="shared" si="169"/>
        <v>3.6763892705882357</v>
      </c>
      <c r="Q1137" s="45">
        <f t="shared" si="170"/>
        <v>6.3797805779613442E-2</v>
      </c>
      <c r="R1137" s="8"/>
      <c r="S1137" s="6">
        <f t="shared" si="175"/>
        <v>3.61346908182386</v>
      </c>
    </row>
    <row r="1138" spans="1:19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8">
        <f t="shared" si="172"/>
        <v>305.10000000000002</v>
      </c>
      <c r="G1138" s="330">
        <v>10</v>
      </c>
      <c r="H1138" s="330"/>
      <c r="I1138" s="330"/>
      <c r="J1138" s="8">
        <f t="shared" si="171"/>
        <v>10</v>
      </c>
      <c r="K1138" s="221">
        <f t="shared" si="176"/>
        <v>6.2745098039215692E-3</v>
      </c>
      <c r="L1138" s="37">
        <f t="shared" si="177"/>
        <v>14.237678431372551</v>
      </c>
      <c r="M1138" s="7">
        <f t="shared" si="173"/>
        <v>5.2351943592156873</v>
      </c>
      <c r="N1138" s="37">
        <v>5.474953154278575</v>
      </c>
      <c r="O1138" s="37">
        <f t="shared" si="174"/>
        <v>5.0265098039215692</v>
      </c>
      <c r="P1138" s="37">
        <f t="shared" ref="P1138:P1146" si="178">O1138*1.219</f>
        <v>6.1273154509803929</v>
      </c>
      <c r="Q1138" s="45">
        <f t="shared" si="170"/>
        <v>9.8244299406058277E-2</v>
      </c>
      <c r="R1138" s="8"/>
      <c r="S1138" s="6">
        <f t="shared" si="175"/>
        <v>6.0224484697064327</v>
      </c>
    </row>
    <row r="1139" spans="1:19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8">
        <f t="shared" si="172"/>
        <v>369.45</v>
      </c>
      <c r="G1139" s="330">
        <v>9</v>
      </c>
      <c r="H1139" s="330"/>
      <c r="I1139" s="330"/>
      <c r="J1139" s="8">
        <f t="shared" si="171"/>
        <v>9</v>
      </c>
      <c r="K1139" s="221">
        <f t="shared" si="176"/>
        <v>5.6470588235294121E-3</v>
      </c>
      <c r="L1139" s="37">
        <f t="shared" si="177"/>
        <v>12.813910588235295</v>
      </c>
      <c r="M1139" s="7">
        <f t="shared" si="173"/>
        <v>4.711674923294118</v>
      </c>
      <c r="N1139" s="37">
        <v>4.9274578388507182</v>
      </c>
      <c r="O1139" s="37">
        <f t="shared" si="174"/>
        <v>4.5238588235294124</v>
      </c>
      <c r="P1139" s="37">
        <f t="shared" si="178"/>
        <v>5.514583905882354</v>
      </c>
      <c r="Q1139" s="45">
        <f t="shared" si="170"/>
        <v>7.3019088303991189E-2</v>
      </c>
      <c r="R1139" s="8"/>
      <c r="S1139" s="6">
        <f t="shared" si="175"/>
        <v>5.4202036227357908</v>
      </c>
    </row>
    <row r="1140" spans="1:19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8">
        <f t="shared" si="172"/>
        <v>453.11</v>
      </c>
      <c r="G1140" s="330">
        <v>12</v>
      </c>
      <c r="H1140" s="330"/>
      <c r="I1140" s="330"/>
      <c r="J1140" s="8">
        <f t="shared" si="171"/>
        <v>12</v>
      </c>
      <c r="K1140" s="221">
        <f t="shared" si="176"/>
        <v>7.5294117647058826E-3</v>
      </c>
      <c r="L1140" s="37">
        <f t="shared" si="177"/>
        <v>17.085214117647059</v>
      </c>
      <c r="M1140" s="7">
        <f t="shared" si="173"/>
        <v>6.2822332310588243</v>
      </c>
      <c r="N1140" s="37">
        <v>6.5699437851342903</v>
      </c>
      <c r="O1140" s="37">
        <f t="shared" si="174"/>
        <v>6.0318117647058829</v>
      </c>
      <c r="P1140" s="37">
        <f t="shared" si="178"/>
        <v>7.3527785411764714</v>
      </c>
      <c r="Q1140" s="45">
        <f t="shared" si="170"/>
        <v>7.9382937694039105E-2</v>
      </c>
      <c r="R1140" s="8"/>
      <c r="S1140" s="6">
        <f t="shared" si="175"/>
        <v>7.2269381636477199</v>
      </c>
    </row>
    <row r="1141" spans="1:19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8">
        <f t="shared" si="172"/>
        <v>729</v>
      </c>
      <c r="G1141" s="330">
        <v>9</v>
      </c>
      <c r="H1141" s="330">
        <v>2</v>
      </c>
      <c r="I1141" s="330"/>
      <c r="J1141" s="8">
        <f t="shared" si="171"/>
        <v>11</v>
      </c>
      <c r="K1141" s="221">
        <f t="shared" si="176"/>
        <v>6.9019607843137255E-3</v>
      </c>
      <c r="L1141" s="37">
        <f t="shared" si="177"/>
        <v>15.661446274509805</v>
      </c>
      <c r="M1141" s="7">
        <f t="shared" si="173"/>
        <v>5.7587137951372558</v>
      </c>
      <c r="N1141" s="37">
        <v>6.0224484697064327</v>
      </c>
      <c r="O1141" s="37">
        <f>K1141*2701.1</f>
        <v>18.642886274509802</v>
      </c>
      <c r="P1141" s="37">
        <f t="shared" si="178"/>
        <v>22.725678368627449</v>
      </c>
      <c r="Q1141" s="45">
        <f t="shared" si="170"/>
        <v>6.3217414010786413E-2</v>
      </c>
      <c r="R1141" s="8"/>
      <c r="S1141" s="6">
        <f t="shared" si="175"/>
        <v>6.6246933166770763</v>
      </c>
    </row>
    <row r="1142" spans="1:19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8">
        <f t="shared" si="172"/>
        <v>422.76</v>
      </c>
      <c r="G1142" s="330">
        <v>10</v>
      </c>
      <c r="H1142" s="330"/>
      <c r="I1142" s="330"/>
      <c r="J1142" s="8">
        <f t="shared" si="171"/>
        <v>10</v>
      </c>
      <c r="K1142" s="221">
        <f t="shared" si="176"/>
        <v>6.2745098039215692E-3</v>
      </c>
      <c r="L1142" s="37">
        <f t="shared" si="177"/>
        <v>14.237678431372551</v>
      </c>
      <c r="M1142" s="7">
        <f t="shared" si="173"/>
        <v>5.2351943592156873</v>
      </c>
      <c r="N1142" s="37">
        <v>5.474953154278575</v>
      </c>
      <c r="O1142" s="37">
        <f t="shared" si="174"/>
        <v>5.0265098039215692</v>
      </c>
      <c r="P1142" s="37">
        <f t="shared" si="178"/>
        <v>6.1273154509803929</v>
      </c>
      <c r="Q1142" s="45">
        <f t="shared" si="170"/>
        <v>7.0901541651973654E-2</v>
      </c>
      <c r="R1142" s="8"/>
      <c r="S1142" s="6">
        <f t="shared" si="175"/>
        <v>6.0224484697064327</v>
      </c>
    </row>
    <row r="1143" spans="1:19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8">
        <f t="shared" si="172"/>
        <v>152.30000000000001</v>
      </c>
      <c r="G1143" s="330">
        <v>4</v>
      </c>
      <c r="H1143" s="330"/>
      <c r="I1143" s="330"/>
      <c r="J1143" s="8">
        <f t="shared" si="171"/>
        <v>4</v>
      </c>
      <c r="K1143" s="221">
        <f t="shared" si="176"/>
        <v>2.5098039215686275E-3</v>
      </c>
      <c r="L1143" s="37">
        <f t="shared" si="177"/>
        <v>5.6950713725490196</v>
      </c>
      <c r="M1143" s="7">
        <f t="shared" si="173"/>
        <v>2.0940777436862748</v>
      </c>
      <c r="N1143" s="37">
        <v>2.1899812617114303</v>
      </c>
      <c r="O1143" s="37">
        <f t="shared" si="174"/>
        <v>2.0106039215686278</v>
      </c>
      <c r="P1143" s="37">
        <f t="shared" si="178"/>
        <v>2.4509261803921576</v>
      </c>
      <c r="Q1143" s="45">
        <f t="shared" si="170"/>
        <v>7.8724453706601125E-2</v>
      </c>
      <c r="R1143" s="8"/>
      <c r="S1143" s="6">
        <f t="shared" si="175"/>
        <v>2.4089793878825736</v>
      </c>
    </row>
    <row r="1144" spans="1:19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8">
        <f t="shared" si="172"/>
        <v>252.6</v>
      </c>
      <c r="G1144" s="330">
        <v>9</v>
      </c>
      <c r="H1144" s="330"/>
      <c r="I1144" s="330"/>
      <c r="J1144" s="8">
        <f t="shared" si="171"/>
        <v>9</v>
      </c>
      <c r="K1144" s="221">
        <f t="shared" si="176"/>
        <v>5.6470588235294121E-3</v>
      </c>
      <c r="L1144" s="37">
        <f t="shared" si="177"/>
        <v>12.813910588235295</v>
      </c>
      <c r="M1144" s="7">
        <f t="shared" si="173"/>
        <v>4.711674923294118</v>
      </c>
      <c r="N1144" s="37">
        <v>4.9274578388507182</v>
      </c>
      <c r="O1144" s="37">
        <f t="shared" si="174"/>
        <v>4.5238588235294124</v>
      </c>
      <c r="P1144" s="37">
        <f t="shared" si="178"/>
        <v>5.514583905882354</v>
      </c>
      <c r="Q1144" s="45">
        <f t="shared" si="170"/>
        <v>0.10679692072014862</v>
      </c>
      <c r="R1144" s="8"/>
      <c r="S1144" s="6">
        <f t="shared" si="175"/>
        <v>5.4202036227357908</v>
      </c>
    </row>
    <row r="1145" spans="1:19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8">
        <f t="shared" si="172"/>
        <v>143.69999999999999</v>
      </c>
      <c r="G1145" s="330">
        <v>2</v>
      </c>
      <c r="H1145" s="330"/>
      <c r="I1145" s="330"/>
      <c r="J1145" s="8">
        <f t="shared" si="171"/>
        <v>2</v>
      </c>
      <c r="K1145" s="221">
        <f t="shared" si="176"/>
        <v>1.2549019607843138E-3</v>
      </c>
      <c r="L1145" s="37">
        <f t="shared" si="177"/>
        <v>2.8475356862745098</v>
      </c>
      <c r="M1145" s="7">
        <f>L1145*0.3677</f>
        <v>1.0470388718431374</v>
      </c>
      <c r="N1145" s="37">
        <v>1.0949906308557151</v>
      </c>
      <c r="O1145" s="37">
        <f t="shared" si="174"/>
        <v>1.0053019607843139</v>
      </c>
      <c r="P1145" s="37">
        <f t="shared" si="178"/>
        <v>1.2254630901960788</v>
      </c>
      <c r="Q1145" s="45">
        <f t="shared" si="170"/>
        <v>4.1717934236309505E-2</v>
      </c>
      <c r="R1145" s="8"/>
      <c r="S1145" s="6">
        <f t="shared" si="175"/>
        <v>1.2044896939412868</v>
      </c>
    </row>
    <row r="1146" spans="1:19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>C1146+D1146+E1146</f>
        <v>282420.12999999971</v>
      </c>
      <c r="G1146" s="30">
        <f>SUM(G881:G1145)</f>
        <v>6331</v>
      </c>
      <c r="H1146" s="63">
        <f>SUM(H881:H1145)</f>
        <v>11</v>
      </c>
      <c r="I1146" s="63">
        <f>SUM(I881:I1145)</f>
        <v>33</v>
      </c>
      <c r="J1146" s="40">
        <f>SUM(J881:J1145)</f>
        <v>6375</v>
      </c>
      <c r="K1146" s="221">
        <f>4/6375*J1146</f>
        <v>4</v>
      </c>
      <c r="L1146" s="37">
        <f>K1146*2269.13</f>
        <v>9076.52</v>
      </c>
      <c r="M1146" s="64">
        <f>L1146*0.3677</f>
        <v>3337.4364040000005</v>
      </c>
      <c r="N1146" s="37">
        <f>SUM(N880:N1145)</f>
        <v>3490.2826358525949</v>
      </c>
      <c r="O1146" s="37">
        <f>K1146*301.1*1.08</f>
        <v>1300.7520000000002</v>
      </c>
      <c r="P1146" s="37">
        <f t="shared" si="178"/>
        <v>1585.6166880000003</v>
      </c>
      <c r="Q1146" s="45">
        <f t="shared" si="170"/>
        <v>6.0919846754027819E-2</v>
      </c>
      <c r="R1146" s="5"/>
    </row>
    <row r="1147" spans="1:19" s="6" customFormat="1" ht="15.75">
      <c r="A1147" s="9" t="s">
        <v>636</v>
      </c>
      <c r="B1147" s="8"/>
      <c r="C1147" s="8"/>
      <c r="D1147" s="8"/>
      <c r="E1147" s="8"/>
      <c r="F1147" s="40"/>
      <c r="G1147" s="24"/>
      <c r="H1147" s="8"/>
      <c r="I1147" s="8"/>
      <c r="J1147" s="40"/>
      <c r="K1147" s="61"/>
      <c r="L1147" s="37"/>
      <c r="M1147" s="37"/>
      <c r="N1147" s="37"/>
      <c r="O1147" s="37"/>
      <c r="P1147" s="37"/>
      <c r="Q1147" s="45">
        <v>0</v>
      </c>
    </row>
    <row r="1148" spans="1:19" s="6" customFormat="1" ht="15.75">
      <c r="A1148" s="32">
        <v>1</v>
      </c>
      <c r="B1148" s="32" t="s">
        <v>480</v>
      </c>
      <c r="C1148" s="386">
        <v>219.1</v>
      </c>
      <c r="D1148" s="386"/>
      <c r="E1148" s="386"/>
      <c r="F1148" s="40">
        <f t="shared" ref="F1148:F1201" si="179">C1148+D1148+E1148</f>
        <v>219.1</v>
      </c>
      <c r="G1148" s="24">
        <v>5</v>
      </c>
      <c r="H1148" s="8"/>
      <c r="I1148" s="8"/>
      <c r="J1148" s="40">
        <f t="shared" ref="J1148:J1201" si="180">G1148+H1148+I1148</f>
        <v>5</v>
      </c>
      <c r="K1148" s="323">
        <f t="shared" ref="K1148:K1201" si="181">2/2913*J1148</f>
        <v>3.4328870580157917E-3</v>
      </c>
      <c r="L1148" s="37">
        <f t="shared" ref="L1148:L1201" si="182">K1148*2269.13</f>
        <v>7.789667009955374</v>
      </c>
      <c r="M1148" s="37">
        <f t="shared" ref="M1148:M1201" si="183">L1148*0.3677</f>
        <v>2.864260559560591</v>
      </c>
      <c r="N1148" s="37">
        <v>2.9804148248894933</v>
      </c>
      <c r="O1148" s="37">
        <f t="shared" ref="O1148:O1161" si="184">K1148*301.1</f>
        <v>1.0336422931685549</v>
      </c>
      <c r="P1148" s="37"/>
      <c r="Q1148" s="45">
        <f t="shared" si="170"/>
        <v>6.6946529838311328E-2</v>
      </c>
    </row>
    <row r="1149" spans="1:19" s="6" customFormat="1" ht="15.75">
      <c r="A1149" s="32">
        <v>2</v>
      </c>
      <c r="B1149" s="32" t="s">
        <v>481</v>
      </c>
      <c r="C1149" s="330">
        <v>265.10000000000002</v>
      </c>
      <c r="D1149" s="330"/>
      <c r="E1149" s="330"/>
      <c r="F1149" s="40">
        <f t="shared" si="179"/>
        <v>265.10000000000002</v>
      </c>
      <c r="G1149" s="24">
        <v>4</v>
      </c>
      <c r="H1149" s="8"/>
      <c r="I1149" s="8"/>
      <c r="J1149" s="40">
        <f t="shared" si="180"/>
        <v>4</v>
      </c>
      <c r="K1149" s="323">
        <f t="shared" si="181"/>
        <v>2.7463096464126332E-3</v>
      </c>
      <c r="L1149" s="37">
        <f t="shared" si="182"/>
        <v>6.2317336079642986</v>
      </c>
      <c r="M1149" s="37">
        <f t="shared" si="183"/>
        <v>2.2914084476484726</v>
      </c>
      <c r="N1149" s="37">
        <v>2.3843318599115948</v>
      </c>
      <c r="O1149" s="37">
        <f t="shared" si="184"/>
        <v>0.82691383453484391</v>
      </c>
      <c r="P1149" s="37"/>
      <c r="Q1149" s="45">
        <f t="shared" si="170"/>
        <v>4.42640050926413E-2</v>
      </c>
    </row>
    <row r="1150" spans="1:19" s="6" customFormat="1" ht="15.75">
      <c r="A1150" s="32">
        <v>3</v>
      </c>
      <c r="B1150" s="32" t="s">
        <v>482</v>
      </c>
      <c r="C1150" s="330">
        <v>352.7</v>
      </c>
      <c r="D1150" s="330"/>
      <c r="E1150" s="330"/>
      <c r="F1150" s="40">
        <f t="shared" si="179"/>
        <v>352.7</v>
      </c>
      <c r="G1150" s="24">
        <v>8</v>
      </c>
      <c r="H1150" s="8"/>
      <c r="I1150" s="8"/>
      <c r="J1150" s="40">
        <f t="shared" si="180"/>
        <v>8</v>
      </c>
      <c r="K1150" s="323">
        <f t="shared" si="181"/>
        <v>5.4926192928252664E-3</v>
      </c>
      <c r="L1150" s="37">
        <f t="shared" si="182"/>
        <v>12.463467215928597</v>
      </c>
      <c r="M1150" s="37">
        <f t="shared" si="183"/>
        <v>4.5828168952969452</v>
      </c>
      <c r="N1150" s="37">
        <v>4.7686637198231896</v>
      </c>
      <c r="O1150" s="37">
        <f t="shared" si="184"/>
        <v>1.6538276690696878</v>
      </c>
      <c r="P1150" s="37"/>
      <c r="Q1150" s="45">
        <f t="shared" si="170"/>
        <v>6.6540333144651034E-2</v>
      </c>
    </row>
    <row r="1151" spans="1:19" s="6" customFormat="1" ht="15.75">
      <c r="A1151" s="32">
        <v>4</v>
      </c>
      <c r="B1151" s="32" t="s">
        <v>483</v>
      </c>
      <c r="C1151" s="330">
        <v>350.15</v>
      </c>
      <c r="D1151" s="330"/>
      <c r="E1151" s="330"/>
      <c r="F1151" s="40">
        <f t="shared" si="179"/>
        <v>350.15</v>
      </c>
      <c r="G1151" s="24">
        <v>8</v>
      </c>
      <c r="H1151" s="8"/>
      <c r="I1151" s="8"/>
      <c r="J1151" s="40">
        <f t="shared" si="180"/>
        <v>8</v>
      </c>
      <c r="K1151" s="323">
        <f t="shared" si="181"/>
        <v>5.4926192928252664E-3</v>
      </c>
      <c r="L1151" s="37">
        <f t="shared" si="182"/>
        <v>12.463467215928597</v>
      </c>
      <c r="M1151" s="37">
        <f t="shared" si="183"/>
        <v>4.5828168952969452</v>
      </c>
      <c r="N1151" s="37">
        <v>4.7686637198231896</v>
      </c>
      <c r="O1151" s="37">
        <f t="shared" si="184"/>
        <v>1.6538276690696878</v>
      </c>
      <c r="P1151" s="37"/>
      <c r="Q1151" s="45">
        <f t="shared" si="170"/>
        <v>6.7024919320629497E-2</v>
      </c>
    </row>
    <row r="1152" spans="1:19" s="6" customFormat="1" ht="15.75">
      <c r="A1152" s="32">
        <v>5</v>
      </c>
      <c r="B1152" s="32" t="s">
        <v>484</v>
      </c>
      <c r="C1152" s="330">
        <v>348.6</v>
      </c>
      <c r="D1152" s="330"/>
      <c r="E1152" s="330"/>
      <c r="F1152" s="40">
        <f t="shared" si="179"/>
        <v>348.6</v>
      </c>
      <c r="G1152" s="24">
        <v>8</v>
      </c>
      <c r="H1152" s="8"/>
      <c r="I1152" s="8"/>
      <c r="J1152" s="40">
        <f t="shared" si="180"/>
        <v>8</v>
      </c>
      <c r="K1152" s="323">
        <f t="shared" si="181"/>
        <v>5.4926192928252664E-3</v>
      </c>
      <c r="L1152" s="37">
        <f t="shared" si="182"/>
        <v>12.463467215928597</v>
      </c>
      <c r="M1152" s="37">
        <f t="shared" si="183"/>
        <v>4.5828168952969452</v>
      </c>
      <c r="N1152" s="37">
        <v>4.7686637198231896</v>
      </c>
      <c r="O1152" s="37">
        <f t="shared" si="184"/>
        <v>1.6538276690696878</v>
      </c>
      <c r="P1152" s="37"/>
      <c r="Q1152" s="45">
        <f t="shared" si="170"/>
        <v>6.7322936030173308E-2</v>
      </c>
    </row>
    <row r="1153" spans="1:17" s="6" customFormat="1" ht="15.75">
      <c r="A1153" s="32">
        <v>6</v>
      </c>
      <c r="B1153" s="32" t="s">
        <v>485</v>
      </c>
      <c r="C1153" s="330">
        <v>430.37</v>
      </c>
      <c r="D1153" s="330"/>
      <c r="E1153" s="330"/>
      <c r="F1153" s="40">
        <f t="shared" si="179"/>
        <v>430.37</v>
      </c>
      <c r="G1153" s="24">
        <v>8</v>
      </c>
      <c r="H1153" s="8"/>
      <c r="I1153" s="8"/>
      <c r="J1153" s="40">
        <f t="shared" si="180"/>
        <v>8</v>
      </c>
      <c r="K1153" s="323">
        <f t="shared" si="181"/>
        <v>5.4926192928252664E-3</v>
      </c>
      <c r="L1153" s="37">
        <f t="shared" si="182"/>
        <v>12.463467215928597</v>
      </c>
      <c r="M1153" s="37">
        <f t="shared" si="183"/>
        <v>4.5828168952969452</v>
      </c>
      <c r="N1153" s="37">
        <v>4.7686637198231896</v>
      </c>
      <c r="O1153" s="37">
        <f t="shared" si="184"/>
        <v>1.6538276690696878</v>
      </c>
      <c r="P1153" s="37"/>
      <c r="Q1153" s="45">
        <f t="shared" si="170"/>
        <v>5.4531625113549781E-2</v>
      </c>
    </row>
    <row r="1154" spans="1:17" s="6" customFormat="1" ht="15.75">
      <c r="A1154" s="32">
        <v>7</v>
      </c>
      <c r="B1154" s="32" t="s">
        <v>486</v>
      </c>
      <c r="C1154" s="330">
        <v>79.3</v>
      </c>
      <c r="D1154" s="330"/>
      <c r="E1154" s="330"/>
      <c r="F1154" s="40">
        <f t="shared" si="179"/>
        <v>79.3</v>
      </c>
      <c r="G1154" s="24">
        <v>0</v>
      </c>
      <c r="H1154" s="8"/>
      <c r="I1154" s="8"/>
      <c r="J1154" s="40">
        <f t="shared" si="180"/>
        <v>0</v>
      </c>
      <c r="K1154" s="323">
        <f t="shared" si="181"/>
        <v>0</v>
      </c>
      <c r="L1154" s="37">
        <f t="shared" si="182"/>
        <v>0</v>
      </c>
      <c r="M1154" s="37">
        <f t="shared" si="183"/>
        <v>0</v>
      </c>
      <c r="N1154" s="37">
        <v>1.1921659299557974</v>
      </c>
      <c r="O1154" s="37">
        <f t="shared" si="184"/>
        <v>0</v>
      </c>
      <c r="P1154" s="37"/>
      <c r="Q1154" s="45">
        <f t="shared" si="170"/>
        <v>1.5033618284436286E-2</v>
      </c>
    </row>
    <row r="1155" spans="1:17" s="6" customFormat="1" ht="15.75">
      <c r="A1155" s="32">
        <v>8</v>
      </c>
      <c r="B1155" s="32" t="s">
        <v>487</v>
      </c>
      <c r="C1155" s="330">
        <v>70.099999999999994</v>
      </c>
      <c r="D1155" s="330"/>
      <c r="E1155" s="330"/>
      <c r="F1155" s="40">
        <f t="shared" si="179"/>
        <v>70.099999999999994</v>
      </c>
      <c r="G1155" s="24">
        <v>0</v>
      </c>
      <c r="H1155" s="8"/>
      <c r="I1155" s="8"/>
      <c r="J1155" s="40">
        <f t="shared" si="180"/>
        <v>0</v>
      </c>
      <c r="K1155" s="323">
        <f t="shared" si="181"/>
        <v>0</v>
      </c>
      <c r="L1155" s="37">
        <f t="shared" si="182"/>
        <v>0</v>
      </c>
      <c r="M1155" s="37">
        <f t="shared" si="183"/>
        <v>0</v>
      </c>
      <c r="N1155" s="37">
        <v>0.5960829649778987</v>
      </c>
      <c r="O1155" s="37">
        <f t="shared" si="184"/>
        <v>0</v>
      </c>
      <c r="P1155" s="37"/>
      <c r="Q1155" s="45">
        <f t="shared" si="170"/>
        <v>8.5033233235078283E-3</v>
      </c>
    </row>
    <row r="1156" spans="1:17" s="6" customFormat="1" ht="15.75">
      <c r="A1156" s="32">
        <v>9</v>
      </c>
      <c r="B1156" s="32" t="s">
        <v>488</v>
      </c>
      <c r="C1156" s="330">
        <v>326.92</v>
      </c>
      <c r="D1156" s="330"/>
      <c r="E1156" s="330"/>
      <c r="F1156" s="40">
        <f t="shared" si="179"/>
        <v>326.92</v>
      </c>
      <c r="G1156" s="24">
        <v>8</v>
      </c>
      <c r="H1156" s="8"/>
      <c r="I1156" s="8"/>
      <c r="J1156" s="40">
        <f t="shared" si="180"/>
        <v>8</v>
      </c>
      <c r="K1156" s="323">
        <f t="shared" si="181"/>
        <v>5.4926192928252664E-3</v>
      </c>
      <c r="L1156" s="37">
        <f t="shared" si="182"/>
        <v>12.463467215928597</v>
      </c>
      <c r="M1156" s="37">
        <f t="shared" si="183"/>
        <v>4.5828168952969452</v>
      </c>
      <c r="N1156" s="37">
        <v>4.7686637198231896</v>
      </c>
      <c r="O1156" s="37">
        <f t="shared" si="184"/>
        <v>1.6538276690696878</v>
      </c>
      <c r="P1156" s="37"/>
      <c r="Q1156" s="45">
        <f t="shared" si="170"/>
        <v>7.1787518353476132E-2</v>
      </c>
    </row>
    <row r="1157" spans="1:17" s="6" customFormat="1" ht="15.75">
      <c r="A1157" s="32">
        <v>10</v>
      </c>
      <c r="B1157" s="32" t="s">
        <v>489</v>
      </c>
      <c r="C1157" s="330">
        <v>322.55</v>
      </c>
      <c r="D1157" s="330"/>
      <c r="E1157" s="330"/>
      <c r="F1157" s="40">
        <f t="shared" si="179"/>
        <v>322.55</v>
      </c>
      <c r="G1157" s="24">
        <v>8</v>
      </c>
      <c r="H1157" s="8"/>
      <c r="I1157" s="8"/>
      <c r="J1157" s="40">
        <f t="shared" si="180"/>
        <v>8</v>
      </c>
      <c r="K1157" s="323">
        <f t="shared" si="181"/>
        <v>5.4926192928252664E-3</v>
      </c>
      <c r="L1157" s="37">
        <f t="shared" si="182"/>
        <v>12.463467215928597</v>
      </c>
      <c r="M1157" s="37">
        <f t="shared" si="183"/>
        <v>4.5828168952969452</v>
      </c>
      <c r="N1157" s="37">
        <v>4.7686637198231896</v>
      </c>
      <c r="O1157" s="37">
        <f t="shared" si="184"/>
        <v>1.6538276690696878</v>
      </c>
      <c r="P1157" s="37"/>
      <c r="Q1157" s="45">
        <f t="shared" si="170"/>
        <v>7.2760116261411933E-2</v>
      </c>
    </row>
    <row r="1158" spans="1:17" s="6" customFormat="1" ht="15.75">
      <c r="A1158" s="32">
        <v>11</v>
      </c>
      <c r="B1158" s="32" t="s">
        <v>490</v>
      </c>
      <c r="C1158" s="330">
        <v>415.5</v>
      </c>
      <c r="D1158" s="330"/>
      <c r="E1158" s="330"/>
      <c r="F1158" s="40">
        <f t="shared" si="179"/>
        <v>415.5</v>
      </c>
      <c r="G1158" s="24">
        <v>10</v>
      </c>
      <c r="H1158" s="8"/>
      <c r="I1158" s="8"/>
      <c r="J1158" s="40">
        <f t="shared" si="180"/>
        <v>10</v>
      </c>
      <c r="K1158" s="323">
        <f t="shared" si="181"/>
        <v>6.8657741160315835E-3</v>
      </c>
      <c r="L1158" s="37">
        <f t="shared" si="182"/>
        <v>15.579334019910748</v>
      </c>
      <c r="M1158" s="37">
        <f t="shared" si="183"/>
        <v>5.728521119121182</v>
      </c>
      <c r="N1158" s="37">
        <v>5.9608296497789865</v>
      </c>
      <c r="O1158" s="37">
        <f t="shared" si="184"/>
        <v>2.0672845863371099</v>
      </c>
      <c r="P1158" s="37"/>
      <c r="Q1158" s="45">
        <f t="shared" si="170"/>
        <v>7.0604017750055412E-2</v>
      </c>
    </row>
    <row r="1159" spans="1:17" s="6" customFormat="1" ht="15.75">
      <c r="A1159" s="32">
        <v>12</v>
      </c>
      <c r="B1159" s="32" t="s">
        <v>491</v>
      </c>
      <c r="C1159" s="330">
        <v>372.82</v>
      </c>
      <c r="D1159" s="330"/>
      <c r="E1159" s="330"/>
      <c r="F1159" s="40">
        <f t="shared" si="179"/>
        <v>372.82</v>
      </c>
      <c r="G1159" s="24">
        <v>8</v>
      </c>
      <c r="H1159" s="8"/>
      <c r="I1159" s="8"/>
      <c r="J1159" s="40">
        <f t="shared" si="180"/>
        <v>8</v>
      </c>
      <c r="K1159" s="323">
        <f t="shared" si="181"/>
        <v>5.4926192928252664E-3</v>
      </c>
      <c r="L1159" s="37">
        <f t="shared" si="182"/>
        <v>12.463467215928597</v>
      </c>
      <c r="M1159" s="37">
        <f t="shared" si="183"/>
        <v>4.5828168952969452</v>
      </c>
      <c r="N1159" s="37">
        <v>4.7686637198231896</v>
      </c>
      <c r="O1159" s="37">
        <f t="shared" si="184"/>
        <v>1.6538276690696878</v>
      </c>
      <c r="P1159" s="37"/>
      <c r="Q1159" s="45">
        <f t="shared" ref="Q1159:Q1222" si="185">(O1159+N1159+M1159+L1159)/F1159</f>
        <v>6.2949346870120756E-2</v>
      </c>
    </row>
    <row r="1160" spans="1:17" s="6" customFormat="1" ht="15.75">
      <c r="A1160" s="32">
        <v>13</v>
      </c>
      <c r="B1160" s="32" t="s">
        <v>492</v>
      </c>
      <c r="C1160" s="330">
        <v>282.76</v>
      </c>
      <c r="D1160" s="330"/>
      <c r="E1160" s="330"/>
      <c r="F1160" s="40">
        <f t="shared" si="179"/>
        <v>282.76</v>
      </c>
      <c r="G1160" s="24">
        <v>4</v>
      </c>
      <c r="H1160" s="8"/>
      <c r="I1160" s="8"/>
      <c r="J1160" s="40">
        <f t="shared" si="180"/>
        <v>4</v>
      </c>
      <c r="K1160" s="323">
        <f t="shared" si="181"/>
        <v>2.7463096464126332E-3</v>
      </c>
      <c r="L1160" s="37">
        <f t="shared" si="182"/>
        <v>6.2317336079642986</v>
      </c>
      <c r="M1160" s="37">
        <f t="shared" si="183"/>
        <v>2.2914084476484726</v>
      </c>
      <c r="N1160" s="37">
        <v>2.3843318599115948</v>
      </c>
      <c r="O1160" s="37">
        <f t="shared" si="184"/>
        <v>0.82691383453484391</v>
      </c>
      <c r="P1160" s="37"/>
      <c r="Q1160" s="45">
        <f t="shared" si="185"/>
        <v>4.1499461557713994E-2</v>
      </c>
    </row>
    <row r="1161" spans="1:17" s="6" customFormat="1" ht="15.75">
      <c r="A1161" s="32">
        <v>15</v>
      </c>
      <c r="B1161" s="32" t="s">
        <v>493</v>
      </c>
      <c r="C1161" s="330">
        <v>180.5</v>
      </c>
      <c r="D1161" s="330"/>
      <c r="E1161" s="330"/>
      <c r="F1161" s="40">
        <f t="shared" si="179"/>
        <v>180.5</v>
      </c>
      <c r="G1161" s="24">
        <v>0</v>
      </c>
      <c r="H1161" s="8"/>
      <c r="I1161" s="8"/>
      <c r="J1161" s="40">
        <f t="shared" si="180"/>
        <v>0</v>
      </c>
      <c r="K1161" s="323">
        <f t="shared" si="181"/>
        <v>0</v>
      </c>
      <c r="L1161" s="37">
        <f t="shared" si="182"/>
        <v>0</v>
      </c>
      <c r="M1161" s="37">
        <f t="shared" si="183"/>
        <v>0</v>
      </c>
      <c r="N1161" s="37">
        <v>1.7882488949336961</v>
      </c>
      <c r="O1161" s="37">
        <f t="shared" si="184"/>
        <v>0</v>
      </c>
      <c r="P1161" s="37"/>
      <c r="Q1161" s="45">
        <f t="shared" si="185"/>
        <v>9.9071960938154902E-3</v>
      </c>
    </row>
    <row r="1162" spans="1:17" s="6" customFormat="1" ht="15.75">
      <c r="A1162" s="32">
        <v>17</v>
      </c>
      <c r="B1162" s="32" t="s">
        <v>494</v>
      </c>
      <c r="C1162" s="330">
        <v>5520.77</v>
      </c>
      <c r="D1162" s="330"/>
      <c r="E1162" s="330"/>
      <c r="F1162" s="40">
        <f t="shared" si="179"/>
        <v>5520.77</v>
      </c>
      <c r="G1162" s="24">
        <v>81</v>
      </c>
      <c r="H1162" s="8"/>
      <c r="I1162" s="8"/>
      <c r="J1162" s="40">
        <f t="shared" si="180"/>
        <v>81</v>
      </c>
      <c r="K1162" s="323">
        <f t="shared" si="181"/>
        <v>5.5612770339855823E-2</v>
      </c>
      <c r="L1162" s="37">
        <f t="shared" si="182"/>
        <v>126.19260556127705</v>
      </c>
      <c r="M1162" s="37">
        <f t="shared" si="183"/>
        <v>46.401021064881576</v>
      </c>
      <c r="N1162" s="37">
        <v>48.282720163209795</v>
      </c>
      <c r="O1162" s="37">
        <f>K1162*602.2</f>
        <v>33.490010298661176</v>
      </c>
      <c r="P1162" s="37"/>
      <c r="Q1162" s="45">
        <f t="shared" si="185"/>
        <v>4.6074434741535976E-2</v>
      </c>
    </row>
    <row r="1163" spans="1:17" s="6" customFormat="1" ht="15.75">
      <c r="A1163" s="32">
        <v>18</v>
      </c>
      <c r="B1163" s="32" t="s">
        <v>495</v>
      </c>
      <c r="C1163" s="330">
        <v>5310.85</v>
      </c>
      <c r="D1163" s="330"/>
      <c r="E1163" s="330"/>
      <c r="F1163" s="40">
        <f t="shared" si="179"/>
        <v>5310.85</v>
      </c>
      <c r="G1163" s="24">
        <v>81</v>
      </c>
      <c r="H1163" s="8"/>
      <c r="I1163" s="8"/>
      <c r="J1163" s="40">
        <f t="shared" si="180"/>
        <v>81</v>
      </c>
      <c r="K1163" s="323">
        <f t="shared" si="181"/>
        <v>5.5612770339855823E-2</v>
      </c>
      <c r="L1163" s="37">
        <f t="shared" si="182"/>
        <v>126.19260556127705</v>
      </c>
      <c r="M1163" s="37">
        <f t="shared" si="183"/>
        <v>46.401021064881576</v>
      </c>
      <c r="N1163" s="37">
        <v>48.282720163209795</v>
      </c>
      <c r="O1163" s="37">
        <f>K1163*602.2</f>
        <v>33.490010298661176</v>
      </c>
      <c r="P1163" s="37"/>
      <c r="Q1163" s="45">
        <f t="shared" si="185"/>
        <v>4.7895601850556795E-2</v>
      </c>
    </row>
    <row r="1164" spans="1:17" s="6" customFormat="1" ht="15.75">
      <c r="A1164" s="32">
        <v>19</v>
      </c>
      <c r="B1164" s="32" t="s">
        <v>496</v>
      </c>
      <c r="C1164" s="330">
        <v>5405.43</v>
      </c>
      <c r="D1164" s="330"/>
      <c r="E1164" s="330"/>
      <c r="F1164" s="40">
        <f t="shared" si="179"/>
        <v>5405.43</v>
      </c>
      <c r="G1164" s="24">
        <v>81</v>
      </c>
      <c r="H1164" s="8"/>
      <c r="I1164" s="8"/>
      <c r="J1164" s="40">
        <f t="shared" si="180"/>
        <v>81</v>
      </c>
      <c r="K1164" s="323">
        <f t="shared" si="181"/>
        <v>5.5612770339855823E-2</v>
      </c>
      <c r="L1164" s="37">
        <f t="shared" si="182"/>
        <v>126.19260556127705</v>
      </c>
      <c r="M1164" s="37">
        <f t="shared" si="183"/>
        <v>46.401021064881576</v>
      </c>
      <c r="N1164" s="37">
        <v>48.282720163209795</v>
      </c>
      <c r="O1164" s="37">
        <f>K1164*602.2</f>
        <v>33.490010298661176</v>
      </c>
      <c r="P1164" s="37"/>
      <c r="Q1164" s="45">
        <f t="shared" si="185"/>
        <v>4.7057561949378601E-2</v>
      </c>
    </row>
    <row r="1165" spans="1:17" s="6" customFormat="1" ht="15.75">
      <c r="A1165" s="32">
        <v>20</v>
      </c>
      <c r="B1165" s="32" t="s">
        <v>497</v>
      </c>
      <c r="C1165" s="330">
        <v>349.2</v>
      </c>
      <c r="D1165" s="330"/>
      <c r="E1165" s="330"/>
      <c r="F1165" s="40">
        <f t="shared" si="179"/>
        <v>349.2</v>
      </c>
      <c r="G1165" s="24">
        <v>8</v>
      </c>
      <c r="H1165" s="8"/>
      <c r="I1165" s="8"/>
      <c r="J1165" s="40">
        <f t="shared" si="180"/>
        <v>8</v>
      </c>
      <c r="K1165" s="323">
        <f t="shared" si="181"/>
        <v>5.4926192928252664E-3</v>
      </c>
      <c r="L1165" s="37">
        <f t="shared" si="182"/>
        <v>12.463467215928597</v>
      </c>
      <c r="M1165" s="37">
        <f t="shared" si="183"/>
        <v>4.5828168952969452</v>
      </c>
      <c r="N1165" s="37">
        <v>4.7686637198231896</v>
      </c>
      <c r="O1165" s="37">
        <f t="shared" ref="O1165:O1195" si="186">K1165*301.1</f>
        <v>1.6538276690696878</v>
      </c>
      <c r="P1165" s="37"/>
      <c r="Q1165" s="45">
        <f t="shared" si="185"/>
        <v>6.7207260882355152E-2</v>
      </c>
    </row>
    <row r="1166" spans="1:17" s="6" customFormat="1" ht="15.75">
      <c r="A1166" s="32">
        <v>21</v>
      </c>
      <c r="B1166" s="32" t="s">
        <v>498</v>
      </c>
      <c r="C1166" s="330">
        <v>433.4</v>
      </c>
      <c r="D1166" s="330"/>
      <c r="E1166" s="330"/>
      <c r="F1166" s="40">
        <f t="shared" si="179"/>
        <v>433.4</v>
      </c>
      <c r="G1166" s="24">
        <v>8</v>
      </c>
      <c r="H1166" s="8"/>
      <c r="I1166" s="8"/>
      <c r="J1166" s="40">
        <f t="shared" si="180"/>
        <v>8</v>
      </c>
      <c r="K1166" s="323">
        <f t="shared" si="181"/>
        <v>5.4926192928252664E-3</v>
      </c>
      <c r="L1166" s="37">
        <f t="shared" si="182"/>
        <v>12.463467215928597</v>
      </c>
      <c r="M1166" s="37">
        <f t="shared" si="183"/>
        <v>4.5828168952969452</v>
      </c>
      <c r="N1166" s="37">
        <v>4.7686637198231896</v>
      </c>
      <c r="O1166" s="37">
        <f t="shared" si="186"/>
        <v>1.6538276690696878</v>
      </c>
      <c r="P1166" s="37"/>
      <c r="Q1166" s="45">
        <f t="shared" si="185"/>
        <v>5.4150381864601797E-2</v>
      </c>
    </row>
    <row r="1167" spans="1:17" s="6" customFormat="1" ht="15.75">
      <c r="A1167" s="32">
        <v>22</v>
      </c>
      <c r="B1167" s="32" t="s">
        <v>499</v>
      </c>
      <c r="C1167" s="330">
        <v>360.2</v>
      </c>
      <c r="D1167" s="330"/>
      <c r="E1167" s="330"/>
      <c r="F1167" s="40">
        <f t="shared" si="179"/>
        <v>360.2</v>
      </c>
      <c r="G1167" s="24">
        <v>8</v>
      </c>
      <c r="H1167" s="8"/>
      <c r="I1167" s="8"/>
      <c r="J1167" s="40">
        <f t="shared" si="180"/>
        <v>8</v>
      </c>
      <c r="K1167" s="323">
        <f t="shared" si="181"/>
        <v>5.4926192928252664E-3</v>
      </c>
      <c r="L1167" s="37">
        <f t="shared" si="182"/>
        <v>12.463467215928597</v>
      </c>
      <c r="M1167" s="37">
        <f t="shared" si="183"/>
        <v>4.5828168952969452</v>
      </c>
      <c r="N1167" s="37">
        <v>4.7686637198231896</v>
      </c>
      <c r="O1167" s="37">
        <f t="shared" si="186"/>
        <v>1.6538276690696878</v>
      </c>
      <c r="P1167" s="37"/>
      <c r="Q1167" s="45">
        <f t="shared" si="185"/>
        <v>6.5154845919262683E-2</v>
      </c>
    </row>
    <row r="1168" spans="1:17" s="6" customFormat="1" ht="15.75">
      <c r="A1168" s="32">
        <v>23</v>
      </c>
      <c r="B1168" s="32" t="s">
        <v>500</v>
      </c>
      <c r="C1168" s="330">
        <v>31.8</v>
      </c>
      <c r="D1168" s="330"/>
      <c r="E1168" s="330"/>
      <c r="F1168" s="40">
        <f t="shared" si="179"/>
        <v>31.8</v>
      </c>
      <c r="G1168" s="24">
        <v>0</v>
      </c>
      <c r="H1168" s="8"/>
      <c r="I1168" s="8"/>
      <c r="J1168" s="40">
        <f t="shared" si="180"/>
        <v>0</v>
      </c>
      <c r="K1168" s="323">
        <f t="shared" si="181"/>
        <v>0</v>
      </c>
      <c r="L1168" s="37">
        <f t="shared" si="182"/>
        <v>0</v>
      </c>
      <c r="M1168" s="37">
        <f t="shared" si="183"/>
        <v>0</v>
      </c>
      <c r="N1168" s="37">
        <v>0.5960829649778987</v>
      </c>
      <c r="O1168" s="37">
        <f t="shared" si="186"/>
        <v>0</v>
      </c>
      <c r="P1168" s="37"/>
      <c r="Q1168" s="45">
        <f t="shared" si="185"/>
        <v>1.8744747326349016E-2</v>
      </c>
    </row>
    <row r="1169" spans="1:17" s="6" customFormat="1" ht="15.75">
      <c r="A1169" s="32">
        <v>24</v>
      </c>
      <c r="B1169" s="32" t="s">
        <v>501</v>
      </c>
      <c r="C1169" s="330">
        <v>357.19</v>
      </c>
      <c r="D1169" s="330"/>
      <c r="E1169" s="330"/>
      <c r="F1169" s="40">
        <f t="shared" si="179"/>
        <v>357.19</v>
      </c>
      <c r="G1169" s="24">
        <v>8</v>
      </c>
      <c r="H1169" s="8"/>
      <c r="I1169" s="8"/>
      <c r="J1169" s="40">
        <f t="shared" si="180"/>
        <v>8</v>
      </c>
      <c r="K1169" s="323">
        <f t="shared" si="181"/>
        <v>5.4926192928252664E-3</v>
      </c>
      <c r="L1169" s="37">
        <f t="shared" si="182"/>
        <v>12.463467215928597</v>
      </c>
      <c r="M1169" s="37">
        <f t="shared" si="183"/>
        <v>4.5828168952969452</v>
      </c>
      <c r="N1169" s="37">
        <v>4.7686637198231896</v>
      </c>
      <c r="O1169" s="37">
        <f t="shared" si="186"/>
        <v>1.6538276690696878</v>
      </c>
      <c r="P1169" s="37"/>
      <c r="Q1169" s="45">
        <f t="shared" si="185"/>
        <v>6.5703898485731452E-2</v>
      </c>
    </row>
    <row r="1170" spans="1:17" s="6" customFormat="1" ht="15.75">
      <c r="A1170" s="32">
        <v>25</v>
      </c>
      <c r="B1170" s="32" t="s">
        <v>502</v>
      </c>
      <c r="C1170" s="330">
        <v>306.39999999999998</v>
      </c>
      <c r="D1170" s="330"/>
      <c r="E1170" s="330"/>
      <c r="F1170" s="40">
        <f t="shared" si="179"/>
        <v>306.39999999999998</v>
      </c>
      <c r="G1170" s="24">
        <v>8</v>
      </c>
      <c r="H1170" s="8"/>
      <c r="I1170" s="8"/>
      <c r="J1170" s="40">
        <f t="shared" si="180"/>
        <v>8</v>
      </c>
      <c r="K1170" s="323">
        <f t="shared" si="181"/>
        <v>5.4926192928252664E-3</v>
      </c>
      <c r="L1170" s="37">
        <f t="shared" si="182"/>
        <v>12.463467215928597</v>
      </c>
      <c r="M1170" s="37">
        <f t="shared" si="183"/>
        <v>4.5828168952969452</v>
      </c>
      <c r="N1170" s="37">
        <v>4.7686637198231896</v>
      </c>
      <c r="O1170" s="37">
        <f t="shared" si="186"/>
        <v>1.6538276690696878</v>
      </c>
      <c r="P1170" s="37"/>
      <c r="Q1170" s="45">
        <f t="shared" si="185"/>
        <v>7.6595220300647582E-2</v>
      </c>
    </row>
    <row r="1171" spans="1:17" s="6" customFormat="1" ht="15.75">
      <c r="A1171" s="32">
        <v>26</v>
      </c>
      <c r="B1171" s="32" t="s">
        <v>503</v>
      </c>
      <c r="C1171" s="330">
        <v>407.2</v>
      </c>
      <c r="D1171" s="330"/>
      <c r="E1171" s="330"/>
      <c r="F1171" s="40">
        <f t="shared" si="179"/>
        <v>407.2</v>
      </c>
      <c r="G1171" s="24">
        <v>8</v>
      </c>
      <c r="H1171" s="8"/>
      <c r="I1171" s="8"/>
      <c r="J1171" s="40">
        <f t="shared" si="180"/>
        <v>8</v>
      </c>
      <c r="K1171" s="323">
        <f t="shared" si="181"/>
        <v>5.4926192928252664E-3</v>
      </c>
      <c r="L1171" s="37">
        <f t="shared" si="182"/>
        <v>12.463467215928597</v>
      </c>
      <c r="M1171" s="37">
        <f t="shared" si="183"/>
        <v>4.5828168952969452</v>
      </c>
      <c r="N1171" s="37">
        <v>4.7686637198231896</v>
      </c>
      <c r="O1171" s="37">
        <f t="shared" si="186"/>
        <v>1.6538276690696878</v>
      </c>
      <c r="P1171" s="37"/>
      <c r="Q1171" s="45">
        <f t="shared" si="185"/>
        <v>5.7634517436440123E-2</v>
      </c>
    </row>
    <row r="1172" spans="1:17" s="6" customFormat="1" ht="15.75">
      <c r="A1172" s="32">
        <v>27</v>
      </c>
      <c r="B1172" s="32" t="s">
        <v>504</v>
      </c>
      <c r="C1172" s="330">
        <v>52.3</v>
      </c>
      <c r="D1172" s="330"/>
      <c r="E1172" s="330"/>
      <c r="F1172" s="40">
        <f t="shared" si="179"/>
        <v>52.3</v>
      </c>
      <c r="G1172" s="24">
        <v>0</v>
      </c>
      <c r="H1172" s="8"/>
      <c r="I1172" s="8"/>
      <c r="J1172" s="40">
        <f t="shared" si="180"/>
        <v>0</v>
      </c>
      <c r="K1172" s="323">
        <f t="shared" si="181"/>
        <v>0</v>
      </c>
      <c r="L1172" s="37">
        <f t="shared" si="182"/>
        <v>0</v>
      </c>
      <c r="M1172" s="37">
        <f t="shared" si="183"/>
        <v>0</v>
      </c>
      <c r="N1172" s="37">
        <v>0.5960829649778987</v>
      </c>
      <c r="O1172" s="37">
        <f t="shared" si="186"/>
        <v>0</v>
      </c>
      <c r="P1172" s="37"/>
      <c r="Q1172" s="45">
        <f t="shared" si="185"/>
        <v>1.1397379827493283E-2</v>
      </c>
    </row>
    <row r="1173" spans="1:17" s="6" customFormat="1" ht="15.75">
      <c r="A1173" s="32">
        <v>28</v>
      </c>
      <c r="B1173" s="32" t="s">
        <v>505</v>
      </c>
      <c r="C1173" s="330">
        <v>122.2</v>
      </c>
      <c r="D1173" s="330"/>
      <c r="E1173" s="330"/>
      <c r="F1173" s="40">
        <f t="shared" si="179"/>
        <v>122.2</v>
      </c>
      <c r="G1173" s="24">
        <v>0</v>
      </c>
      <c r="H1173" s="8"/>
      <c r="I1173" s="8"/>
      <c r="J1173" s="40">
        <f t="shared" si="180"/>
        <v>0</v>
      </c>
      <c r="K1173" s="323">
        <f t="shared" si="181"/>
        <v>0</v>
      </c>
      <c r="L1173" s="37">
        <f t="shared" si="182"/>
        <v>0</v>
      </c>
      <c r="M1173" s="37">
        <f t="shared" si="183"/>
        <v>0</v>
      </c>
      <c r="N1173" s="37">
        <v>1.1921659299557974</v>
      </c>
      <c r="O1173" s="37">
        <f t="shared" si="186"/>
        <v>0</v>
      </c>
      <c r="P1173" s="37"/>
      <c r="Q1173" s="45">
        <f t="shared" si="185"/>
        <v>9.755858673942696E-3</v>
      </c>
    </row>
    <row r="1174" spans="1:17" s="6" customFormat="1" ht="15.75">
      <c r="A1174" s="32">
        <v>29</v>
      </c>
      <c r="B1174" s="32" t="s">
        <v>506</v>
      </c>
      <c r="C1174" s="330">
        <v>77.900000000000006</v>
      </c>
      <c r="D1174" s="330"/>
      <c r="E1174" s="330"/>
      <c r="F1174" s="40">
        <f t="shared" si="179"/>
        <v>77.900000000000006</v>
      </c>
      <c r="G1174" s="24">
        <v>0</v>
      </c>
      <c r="H1174" s="8"/>
      <c r="I1174" s="8"/>
      <c r="J1174" s="40">
        <f t="shared" si="180"/>
        <v>0</v>
      </c>
      <c r="K1174" s="323">
        <f t="shared" si="181"/>
        <v>0</v>
      </c>
      <c r="L1174" s="37">
        <f t="shared" si="182"/>
        <v>0</v>
      </c>
      <c r="M1174" s="37">
        <f t="shared" si="183"/>
        <v>0</v>
      </c>
      <c r="N1174" s="37">
        <v>0.5960829649778987</v>
      </c>
      <c r="O1174" s="37">
        <f t="shared" si="186"/>
        <v>0</v>
      </c>
      <c r="P1174" s="37"/>
      <c r="Q1174" s="45">
        <f t="shared" si="185"/>
        <v>7.6518994220526144E-3</v>
      </c>
    </row>
    <row r="1175" spans="1:17" s="6" customFormat="1" ht="15.75">
      <c r="A1175" s="32">
        <v>30</v>
      </c>
      <c r="B1175" s="32" t="s">
        <v>507</v>
      </c>
      <c r="C1175" s="330">
        <v>205.19</v>
      </c>
      <c r="D1175" s="330"/>
      <c r="E1175" s="330"/>
      <c r="F1175" s="40">
        <f t="shared" si="179"/>
        <v>205.19</v>
      </c>
      <c r="G1175" s="24">
        <v>0</v>
      </c>
      <c r="H1175" s="8"/>
      <c r="I1175" s="8"/>
      <c r="J1175" s="40">
        <f t="shared" si="180"/>
        <v>0</v>
      </c>
      <c r="K1175" s="323">
        <f t="shared" si="181"/>
        <v>0</v>
      </c>
      <c r="L1175" s="37">
        <f t="shared" si="182"/>
        <v>0</v>
      </c>
      <c r="M1175" s="37">
        <f t="shared" si="183"/>
        <v>0</v>
      </c>
      <c r="N1175" s="37">
        <v>2.3843318599115948</v>
      </c>
      <c r="O1175" s="37">
        <f t="shared" si="186"/>
        <v>0</v>
      </c>
      <c r="P1175" s="37"/>
      <c r="Q1175" s="45">
        <f t="shared" si="185"/>
        <v>1.162011725674543E-2</v>
      </c>
    </row>
    <row r="1176" spans="1:17" s="6" customFormat="1" ht="15.75">
      <c r="A1176" s="32">
        <v>31</v>
      </c>
      <c r="B1176" s="32" t="s">
        <v>508</v>
      </c>
      <c r="C1176" s="330">
        <v>289.10000000000002</v>
      </c>
      <c r="D1176" s="330"/>
      <c r="E1176" s="330"/>
      <c r="F1176" s="40">
        <f t="shared" si="179"/>
        <v>289.10000000000002</v>
      </c>
      <c r="G1176" s="24">
        <v>0</v>
      </c>
      <c r="H1176" s="8"/>
      <c r="I1176" s="8"/>
      <c r="J1176" s="40">
        <f t="shared" si="180"/>
        <v>0</v>
      </c>
      <c r="K1176" s="323">
        <f t="shared" si="181"/>
        <v>0</v>
      </c>
      <c r="L1176" s="37">
        <f t="shared" si="182"/>
        <v>0</v>
      </c>
      <c r="M1176" s="37">
        <f t="shared" si="183"/>
        <v>0</v>
      </c>
      <c r="N1176" s="37">
        <v>2.3843318599115948</v>
      </c>
      <c r="O1176" s="37">
        <f t="shared" si="186"/>
        <v>0</v>
      </c>
      <c r="P1176" s="37"/>
      <c r="Q1176" s="45">
        <f t="shared" si="185"/>
        <v>8.2474294704655646E-3</v>
      </c>
    </row>
    <row r="1177" spans="1:17" s="6" customFormat="1" ht="15.75">
      <c r="A1177" s="32">
        <v>32</v>
      </c>
      <c r="B1177" s="32" t="s">
        <v>509</v>
      </c>
      <c r="C1177" s="330">
        <v>117.92</v>
      </c>
      <c r="D1177" s="330"/>
      <c r="E1177" s="330"/>
      <c r="F1177" s="40">
        <f t="shared" si="179"/>
        <v>117.92</v>
      </c>
      <c r="G1177" s="24">
        <v>0</v>
      </c>
      <c r="H1177" s="8"/>
      <c r="I1177" s="8"/>
      <c r="J1177" s="40">
        <f t="shared" si="180"/>
        <v>0</v>
      </c>
      <c r="K1177" s="323">
        <f t="shared" si="181"/>
        <v>0</v>
      </c>
      <c r="L1177" s="37">
        <f t="shared" si="182"/>
        <v>0</v>
      </c>
      <c r="M1177" s="37">
        <f t="shared" si="183"/>
        <v>0</v>
      </c>
      <c r="N1177" s="37">
        <v>1.1921659299557974</v>
      </c>
      <c r="O1177" s="37">
        <f t="shared" si="186"/>
        <v>0</v>
      </c>
      <c r="P1177" s="37"/>
      <c r="Q1177" s="45">
        <f t="shared" si="185"/>
        <v>1.0109955308309E-2</v>
      </c>
    </row>
    <row r="1178" spans="1:17" s="6" customFormat="1" ht="15.75">
      <c r="A1178" s="32">
        <v>33</v>
      </c>
      <c r="B1178" s="32" t="s">
        <v>510</v>
      </c>
      <c r="C1178" s="330">
        <v>242.85</v>
      </c>
      <c r="D1178" s="330"/>
      <c r="E1178" s="330"/>
      <c r="F1178" s="40">
        <f t="shared" si="179"/>
        <v>242.85</v>
      </c>
      <c r="G1178" s="24">
        <v>0</v>
      </c>
      <c r="H1178" s="8"/>
      <c r="I1178" s="8"/>
      <c r="J1178" s="40">
        <f t="shared" si="180"/>
        <v>0</v>
      </c>
      <c r="K1178" s="323">
        <f t="shared" si="181"/>
        <v>0</v>
      </c>
      <c r="L1178" s="37">
        <f t="shared" si="182"/>
        <v>0</v>
      </c>
      <c r="M1178" s="37">
        <f t="shared" si="183"/>
        <v>0</v>
      </c>
      <c r="N1178" s="37">
        <v>2.3843318599115948</v>
      </c>
      <c r="O1178" s="37">
        <f t="shared" si="186"/>
        <v>0</v>
      </c>
      <c r="P1178" s="37"/>
      <c r="Q1178" s="45">
        <f t="shared" si="185"/>
        <v>9.8181258386312326E-3</v>
      </c>
    </row>
    <row r="1179" spans="1:17" s="6" customFormat="1" ht="15.75">
      <c r="A1179" s="32">
        <v>34</v>
      </c>
      <c r="B1179" s="32" t="s">
        <v>511</v>
      </c>
      <c r="C1179" s="330">
        <v>415.2</v>
      </c>
      <c r="D1179" s="330"/>
      <c r="E1179" s="330"/>
      <c r="F1179" s="40">
        <f t="shared" si="179"/>
        <v>415.2</v>
      </c>
      <c r="G1179" s="24">
        <v>9</v>
      </c>
      <c r="H1179" s="8"/>
      <c r="I1179" s="8"/>
      <c r="J1179" s="40">
        <f t="shared" si="180"/>
        <v>9</v>
      </c>
      <c r="K1179" s="323">
        <f t="shared" si="181"/>
        <v>6.179196704428425E-3</v>
      </c>
      <c r="L1179" s="37">
        <f t="shared" si="182"/>
        <v>14.021400617919673</v>
      </c>
      <c r="M1179" s="37">
        <f t="shared" si="183"/>
        <v>5.1556690072090641</v>
      </c>
      <c r="N1179" s="37">
        <v>5.3647466848010881</v>
      </c>
      <c r="O1179" s="37">
        <f t="shared" si="186"/>
        <v>1.8605561277033988</v>
      </c>
      <c r="P1179" s="37"/>
      <c r="Q1179" s="45">
        <f t="shared" si="185"/>
        <v>6.3589528992372898E-2</v>
      </c>
    </row>
    <row r="1180" spans="1:17" s="6" customFormat="1" ht="15.75">
      <c r="A1180" s="32">
        <v>35</v>
      </c>
      <c r="B1180" s="32" t="s">
        <v>512</v>
      </c>
      <c r="C1180" s="330">
        <v>8111.75</v>
      </c>
      <c r="D1180" s="330"/>
      <c r="E1180" s="330"/>
      <c r="F1180" s="40">
        <f t="shared" si="179"/>
        <v>8111.75</v>
      </c>
      <c r="G1180" s="24">
        <v>142</v>
      </c>
      <c r="H1180" s="8"/>
      <c r="I1180" s="8"/>
      <c r="J1180" s="40">
        <f t="shared" si="180"/>
        <v>142</v>
      </c>
      <c r="K1180" s="323">
        <f t="shared" si="181"/>
        <v>9.7493992447648475E-2</v>
      </c>
      <c r="L1180" s="37">
        <f t="shared" si="182"/>
        <v>221.2265430827326</v>
      </c>
      <c r="M1180" s="37">
        <f t="shared" si="183"/>
        <v>81.344999891520786</v>
      </c>
      <c r="N1180" s="37">
        <v>84.643781026861603</v>
      </c>
      <c r="O1180" s="37">
        <f t="shared" si="186"/>
        <v>29.355441125986957</v>
      </c>
      <c r="P1180" s="37"/>
      <c r="Q1180" s="45">
        <f t="shared" si="185"/>
        <v>5.1353994529799607E-2</v>
      </c>
    </row>
    <row r="1181" spans="1:17" s="6" customFormat="1" ht="15.75">
      <c r="A1181" s="32">
        <v>36</v>
      </c>
      <c r="B1181" s="32" t="s">
        <v>513</v>
      </c>
      <c r="C1181" s="330">
        <v>6280.23</v>
      </c>
      <c r="D1181" s="330"/>
      <c r="E1181" s="330"/>
      <c r="F1181" s="40">
        <f t="shared" si="179"/>
        <v>6280.23</v>
      </c>
      <c r="G1181" s="24">
        <v>108</v>
      </c>
      <c r="H1181" s="8"/>
      <c r="I1181" s="8"/>
      <c r="J1181" s="40">
        <f t="shared" si="180"/>
        <v>108</v>
      </c>
      <c r="K1181" s="323">
        <f t="shared" si="181"/>
        <v>7.4150360453141093E-2</v>
      </c>
      <c r="L1181" s="37">
        <f t="shared" si="182"/>
        <v>168.25680741503606</v>
      </c>
      <c r="M1181" s="37">
        <f t="shared" si="183"/>
        <v>61.868028086508765</v>
      </c>
      <c r="N1181" s="37">
        <v>64.37696021761306</v>
      </c>
      <c r="O1181" s="37">
        <f t="shared" ref="O1181:O1186" si="187">K1181*602.2</f>
        <v>44.653347064881572</v>
      </c>
      <c r="P1181" s="37"/>
      <c r="Q1181" s="45">
        <f t="shared" si="185"/>
        <v>5.4003618145201611E-2</v>
      </c>
    </row>
    <row r="1182" spans="1:17" s="6" customFormat="1" ht="15.75">
      <c r="A1182" s="32">
        <v>37</v>
      </c>
      <c r="B1182" s="32" t="s">
        <v>514</v>
      </c>
      <c r="C1182" s="330">
        <v>8361.6299999999992</v>
      </c>
      <c r="D1182" s="330"/>
      <c r="E1182" s="330"/>
      <c r="F1182" s="40">
        <f t="shared" si="179"/>
        <v>8361.6299999999992</v>
      </c>
      <c r="G1182" s="24">
        <v>180</v>
      </c>
      <c r="H1182" s="8"/>
      <c r="I1182" s="8"/>
      <c r="J1182" s="40">
        <f t="shared" si="180"/>
        <v>180</v>
      </c>
      <c r="K1182" s="323">
        <f t="shared" si="181"/>
        <v>0.12358393408856849</v>
      </c>
      <c r="L1182" s="37">
        <f t="shared" si="182"/>
        <v>280.42801235839346</v>
      </c>
      <c r="M1182" s="37">
        <f t="shared" si="183"/>
        <v>103.11338014418128</v>
      </c>
      <c r="N1182" s="37">
        <v>107.29493369602176</v>
      </c>
      <c r="O1182" s="37">
        <f t="shared" si="187"/>
        <v>74.422245108135954</v>
      </c>
      <c r="P1182" s="37"/>
      <c r="Q1182" s="45">
        <f t="shared" si="185"/>
        <v>6.760148096803284E-2</v>
      </c>
    </row>
    <row r="1183" spans="1:17" s="6" customFormat="1" ht="15.75">
      <c r="A1183" s="32">
        <v>38</v>
      </c>
      <c r="B1183" s="32" t="s">
        <v>515</v>
      </c>
      <c r="C1183" s="330">
        <v>6675.9</v>
      </c>
      <c r="D1183" s="330"/>
      <c r="E1183" s="330"/>
      <c r="F1183" s="40">
        <f t="shared" si="179"/>
        <v>6675.9</v>
      </c>
      <c r="G1183" s="24">
        <v>126</v>
      </c>
      <c r="H1183" s="8"/>
      <c r="I1183" s="8"/>
      <c r="J1183" s="40">
        <f t="shared" si="180"/>
        <v>126</v>
      </c>
      <c r="K1183" s="323">
        <f t="shared" si="181"/>
        <v>8.6508753861997953E-2</v>
      </c>
      <c r="L1183" s="37">
        <f t="shared" si="182"/>
        <v>196.29960865087543</v>
      </c>
      <c r="M1183" s="37">
        <f t="shared" si="183"/>
        <v>72.179366100926899</v>
      </c>
      <c r="N1183" s="37">
        <v>75.106453587215228</v>
      </c>
      <c r="O1183" s="37">
        <f t="shared" si="187"/>
        <v>52.095571575695175</v>
      </c>
      <c r="P1183" s="37"/>
      <c r="Q1183" s="45">
        <f t="shared" si="185"/>
        <v>5.9270060952787307E-2</v>
      </c>
    </row>
    <row r="1184" spans="1:17" s="6" customFormat="1" ht="15.75">
      <c r="A1184" s="32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179"/>
        <v>4537.7299999999996</v>
      </c>
      <c r="G1184" s="24">
        <v>90</v>
      </c>
      <c r="H1184" s="330"/>
      <c r="I1184" s="330">
        <v>1</v>
      </c>
      <c r="J1184" s="40">
        <f t="shared" si="180"/>
        <v>91</v>
      </c>
      <c r="K1184" s="323">
        <f t="shared" si="181"/>
        <v>6.2478544455887408E-2</v>
      </c>
      <c r="L1184" s="37">
        <f t="shared" si="182"/>
        <v>141.77193958118781</v>
      </c>
      <c r="M1184" s="37">
        <f t="shared" si="183"/>
        <v>52.129542184002759</v>
      </c>
      <c r="N1184" s="37">
        <v>54.243549812988775</v>
      </c>
      <c r="O1184" s="37">
        <f t="shared" si="187"/>
        <v>37.624579471335402</v>
      </c>
      <c r="P1184" s="37"/>
      <c r="Q1184" s="45">
        <f t="shared" si="185"/>
        <v>6.2976336417000303E-2</v>
      </c>
    </row>
    <row r="1185" spans="1:17" s="6" customFormat="1" ht="15.75">
      <c r="A1185" s="32">
        <v>40</v>
      </c>
      <c r="B1185" s="32" t="s">
        <v>517</v>
      </c>
      <c r="C1185" s="330">
        <v>4352.13</v>
      </c>
      <c r="D1185" s="330"/>
      <c r="E1185" s="330"/>
      <c r="F1185" s="40">
        <f t="shared" si="179"/>
        <v>4352.13</v>
      </c>
      <c r="G1185" s="24">
        <v>72</v>
      </c>
      <c r="H1185" s="330"/>
      <c r="I1185" s="330"/>
      <c r="J1185" s="40">
        <f t="shared" si="180"/>
        <v>72</v>
      </c>
      <c r="K1185" s="323">
        <f t="shared" si="181"/>
        <v>4.94335736354274E-2</v>
      </c>
      <c r="L1185" s="37">
        <f t="shared" si="182"/>
        <v>112.17120494335738</v>
      </c>
      <c r="M1185" s="37">
        <f t="shared" si="183"/>
        <v>41.245352057672513</v>
      </c>
      <c r="N1185" s="37">
        <v>42.917973478408705</v>
      </c>
      <c r="O1185" s="37">
        <f t="shared" si="187"/>
        <v>29.768898043254381</v>
      </c>
      <c r="P1185" s="37"/>
      <c r="Q1185" s="45">
        <f t="shared" si="185"/>
        <v>5.1952360918146513E-2</v>
      </c>
    </row>
    <row r="1186" spans="1:17" s="6" customFormat="1" ht="15.75">
      <c r="A1186" s="32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179"/>
        <v>4529.3500000000004</v>
      </c>
      <c r="G1186" s="24">
        <v>89</v>
      </c>
      <c r="H1186" s="330"/>
      <c r="I1186" s="330">
        <v>1</v>
      </c>
      <c r="J1186" s="40">
        <f t="shared" si="180"/>
        <v>90</v>
      </c>
      <c r="K1186" s="323">
        <f t="shared" si="181"/>
        <v>6.1791967044284246E-2</v>
      </c>
      <c r="L1186" s="37">
        <f t="shared" si="182"/>
        <v>140.21400617919673</v>
      </c>
      <c r="M1186" s="37">
        <f t="shared" si="183"/>
        <v>51.556690072090639</v>
      </c>
      <c r="N1186" s="37">
        <v>53.647466848010879</v>
      </c>
      <c r="O1186" s="37">
        <f t="shared" si="187"/>
        <v>37.211122554067977</v>
      </c>
      <c r="P1186" s="37"/>
      <c r="Q1186" s="45">
        <f t="shared" si="185"/>
        <v>6.2399524358542874E-2</v>
      </c>
    </row>
    <row r="1187" spans="1:17" s="6" customFormat="1" ht="15.75">
      <c r="A1187" s="32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179"/>
        <v>4151.1900000000005</v>
      </c>
      <c r="G1187" s="24">
        <v>72</v>
      </c>
      <c r="H1187" s="330"/>
      <c r="I1187" s="330">
        <v>1</v>
      </c>
      <c r="J1187" s="40">
        <f t="shared" si="180"/>
        <v>73</v>
      </c>
      <c r="K1187" s="323">
        <f t="shared" si="181"/>
        <v>5.0120151047030555E-2</v>
      </c>
      <c r="L1187" s="37">
        <f t="shared" si="182"/>
        <v>113.72913834534845</v>
      </c>
      <c r="M1187" s="37">
        <f t="shared" si="183"/>
        <v>41.818204169584625</v>
      </c>
      <c r="N1187" s="37">
        <v>43.514056443386607</v>
      </c>
      <c r="O1187" s="37">
        <f t="shared" si="186"/>
        <v>15.091177480260901</v>
      </c>
      <c r="P1187" s="37"/>
      <c r="Q1187" s="45">
        <f t="shared" si="185"/>
        <v>5.1588237695354963E-2</v>
      </c>
    </row>
    <row r="1188" spans="1:17" s="6" customFormat="1" ht="15.75">
      <c r="A1188" s="32">
        <v>43</v>
      </c>
      <c r="B1188" s="32" t="s">
        <v>520</v>
      </c>
      <c r="C1188" s="330">
        <v>8136.02</v>
      </c>
      <c r="D1188" s="330"/>
      <c r="E1188" s="330"/>
      <c r="F1188" s="40">
        <f t="shared" si="179"/>
        <v>8136.02</v>
      </c>
      <c r="G1188" s="24">
        <v>144</v>
      </c>
      <c r="H1188" s="330"/>
      <c r="I1188" s="330"/>
      <c r="J1188" s="40">
        <f t="shared" si="180"/>
        <v>144</v>
      </c>
      <c r="K1188" s="323">
        <f t="shared" si="181"/>
        <v>9.8867147270854799E-2</v>
      </c>
      <c r="L1188" s="37">
        <f t="shared" si="182"/>
        <v>224.34240988671476</v>
      </c>
      <c r="M1188" s="37">
        <f t="shared" si="183"/>
        <v>82.490704115345025</v>
      </c>
      <c r="N1188" s="37">
        <v>85.835946956817409</v>
      </c>
      <c r="O1188" s="37">
        <f t="shared" si="186"/>
        <v>29.768898043254381</v>
      </c>
      <c r="P1188" s="37"/>
      <c r="Q1188" s="45">
        <f t="shared" si="185"/>
        <v>5.1921942055468344E-2</v>
      </c>
    </row>
    <row r="1189" spans="1:17" s="6" customFormat="1" ht="15.75">
      <c r="A1189" s="32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79"/>
        <v>6240.13</v>
      </c>
      <c r="G1189" s="24">
        <v>103</v>
      </c>
      <c r="H1189" s="330">
        <v>1</v>
      </c>
      <c r="I1189" s="330">
        <v>1</v>
      </c>
      <c r="J1189" s="40">
        <f t="shared" si="180"/>
        <v>105</v>
      </c>
      <c r="K1189" s="323">
        <f t="shared" si="181"/>
        <v>7.209062821833162E-2</v>
      </c>
      <c r="L1189" s="37">
        <f t="shared" si="182"/>
        <v>163.58300720906283</v>
      </c>
      <c r="M1189" s="37">
        <f t="shared" si="183"/>
        <v>60.149471750772406</v>
      </c>
      <c r="N1189" s="37">
        <v>62.588711322679366</v>
      </c>
      <c r="O1189" s="37">
        <f t="shared" si="186"/>
        <v>21.706488156539653</v>
      </c>
      <c r="P1189" s="37"/>
      <c r="Q1189" s="45">
        <f t="shared" si="185"/>
        <v>4.9362381623308214E-2</v>
      </c>
    </row>
    <row r="1190" spans="1:17" s="6" customFormat="1" ht="15.75">
      <c r="A1190" s="32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79"/>
        <v>6278.0199999999995</v>
      </c>
      <c r="G1190" s="24">
        <v>98</v>
      </c>
      <c r="H1190" s="330">
        <v>1</v>
      </c>
      <c r="I1190" s="330">
        <v>2</v>
      </c>
      <c r="J1190" s="40">
        <f t="shared" si="180"/>
        <v>101</v>
      </c>
      <c r="K1190" s="323">
        <f t="shared" si="181"/>
        <v>6.9344318571918986E-2</v>
      </c>
      <c r="L1190" s="37">
        <f t="shared" si="182"/>
        <v>157.35127360109854</v>
      </c>
      <c r="M1190" s="37">
        <f t="shared" si="183"/>
        <v>57.858063303123934</v>
      </c>
      <c r="N1190" s="37">
        <v>60.204379462767761</v>
      </c>
      <c r="O1190" s="37">
        <f t="shared" si="186"/>
        <v>20.879574322004807</v>
      </c>
      <c r="P1190" s="37"/>
      <c r="Q1190" s="45">
        <f t="shared" si="185"/>
        <v>4.7195340360335757E-2</v>
      </c>
    </row>
    <row r="1191" spans="1:17" s="6" customFormat="1" ht="15.75">
      <c r="A1191" s="32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179"/>
        <v>3988.11</v>
      </c>
      <c r="G1191" s="24">
        <v>72</v>
      </c>
      <c r="H1191" s="330"/>
      <c r="I1191" s="330"/>
      <c r="J1191" s="40">
        <f t="shared" si="180"/>
        <v>72</v>
      </c>
      <c r="K1191" s="323">
        <f t="shared" si="181"/>
        <v>4.94335736354274E-2</v>
      </c>
      <c r="L1191" s="37">
        <f t="shared" si="182"/>
        <v>112.17120494335738</v>
      </c>
      <c r="M1191" s="37">
        <f t="shared" si="183"/>
        <v>41.245352057672513</v>
      </c>
      <c r="N1191" s="37">
        <v>42.917973478408705</v>
      </c>
      <c r="O1191" s="37">
        <f>K1191*101.1</f>
        <v>4.9977342945417096</v>
      </c>
      <c r="P1191" s="37"/>
      <c r="Q1191" s="45">
        <f t="shared" si="185"/>
        <v>5.0483127289362703E-2</v>
      </c>
    </row>
    <row r="1192" spans="1:17" s="6" customFormat="1" ht="15.75">
      <c r="A1192" s="32">
        <v>47</v>
      </c>
      <c r="B1192" s="32" t="s">
        <v>524</v>
      </c>
      <c r="C1192" s="330">
        <v>4150.55</v>
      </c>
      <c r="D1192" s="330"/>
      <c r="E1192" s="330"/>
      <c r="F1192" s="40">
        <f t="shared" si="179"/>
        <v>4150.55</v>
      </c>
      <c r="G1192" s="24">
        <v>72</v>
      </c>
      <c r="H1192" s="330"/>
      <c r="I1192" s="330"/>
      <c r="J1192" s="40">
        <f t="shared" si="180"/>
        <v>72</v>
      </c>
      <c r="K1192" s="323">
        <f t="shared" si="181"/>
        <v>4.94335736354274E-2</v>
      </c>
      <c r="L1192" s="37">
        <f t="shared" si="182"/>
        <v>112.17120494335738</v>
      </c>
      <c r="M1192" s="37">
        <f t="shared" si="183"/>
        <v>41.245352057672513</v>
      </c>
      <c r="N1192" s="37">
        <v>42.917973478408705</v>
      </c>
      <c r="O1192" s="37">
        <f t="shared" si="186"/>
        <v>14.884449021627191</v>
      </c>
      <c r="P1192" s="37"/>
      <c r="Q1192" s="45">
        <f t="shared" si="185"/>
        <v>5.0889395261125826E-2</v>
      </c>
    </row>
    <row r="1193" spans="1:17" s="6" customFormat="1" ht="15.75">
      <c r="A1193" s="32">
        <v>48</v>
      </c>
      <c r="B1193" s="32" t="s">
        <v>525</v>
      </c>
      <c r="C1193" s="330">
        <v>14374.02</v>
      </c>
      <c r="D1193" s="330"/>
      <c r="E1193" s="330"/>
      <c r="F1193" s="40">
        <f t="shared" si="179"/>
        <v>14374.02</v>
      </c>
      <c r="G1193" s="24">
        <v>251</v>
      </c>
      <c r="H1193" s="330"/>
      <c r="I1193" s="330"/>
      <c r="J1193" s="40">
        <f t="shared" si="180"/>
        <v>251</v>
      </c>
      <c r="K1193" s="323">
        <f t="shared" si="181"/>
        <v>0.17233093031239274</v>
      </c>
      <c r="L1193" s="37">
        <f t="shared" si="182"/>
        <v>391.04128389975978</v>
      </c>
      <c r="M1193" s="37">
        <f t="shared" si="183"/>
        <v>143.78588008994168</v>
      </c>
      <c r="N1193" s="37">
        <v>149.61682420945257</v>
      </c>
      <c r="O1193" s="37">
        <f t="shared" si="186"/>
        <v>51.888843117061462</v>
      </c>
      <c r="P1193" s="37"/>
      <c r="Q1193" s="45">
        <f t="shared" si="185"/>
        <v>5.1226645803763703E-2</v>
      </c>
    </row>
    <row r="1194" spans="1:17" s="6" customFormat="1" ht="15.75">
      <c r="A1194" s="32">
        <v>49</v>
      </c>
      <c r="B1194" s="32" t="s">
        <v>526</v>
      </c>
      <c r="C1194" s="330">
        <v>4120.28</v>
      </c>
      <c r="D1194" s="330"/>
      <c r="E1194" s="330"/>
      <c r="F1194" s="40">
        <f t="shared" si="179"/>
        <v>4120.28</v>
      </c>
      <c r="G1194" s="24">
        <v>72</v>
      </c>
      <c r="H1194" s="330"/>
      <c r="I1194" s="330"/>
      <c r="J1194" s="40">
        <f t="shared" si="180"/>
        <v>72</v>
      </c>
      <c r="K1194" s="323">
        <f t="shared" si="181"/>
        <v>4.94335736354274E-2</v>
      </c>
      <c r="L1194" s="37">
        <f t="shared" si="182"/>
        <v>112.17120494335738</v>
      </c>
      <c r="M1194" s="37">
        <f t="shared" si="183"/>
        <v>41.245352057672513</v>
      </c>
      <c r="N1194" s="37">
        <v>42.917973478408705</v>
      </c>
      <c r="O1194" s="37">
        <f t="shared" si="186"/>
        <v>14.884449021627191</v>
      </c>
      <c r="P1194" s="37"/>
      <c r="Q1194" s="45">
        <f t="shared" si="185"/>
        <v>5.126325868656155E-2</v>
      </c>
    </row>
    <row r="1195" spans="1:17" s="6" customFormat="1" ht="15.75">
      <c r="A1195" s="32">
        <v>50</v>
      </c>
      <c r="B1195" s="32" t="s">
        <v>527</v>
      </c>
      <c r="C1195" s="330">
        <v>14371.39</v>
      </c>
      <c r="D1195" s="330"/>
      <c r="E1195" s="330"/>
      <c r="F1195" s="40">
        <f t="shared" si="179"/>
        <v>14371.39</v>
      </c>
      <c r="G1195" s="24">
        <v>251</v>
      </c>
      <c r="H1195" s="330"/>
      <c r="I1195" s="330"/>
      <c r="J1195" s="40">
        <f t="shared" si="180"/>
        <v>251</v>
      </c>
      <c r="K1195" s="323">
        <f t="shared" si="181"/>
        <v>0.17233093031239274</v>
      </c>
      <c r="L1195" s="37">
        <f t="shared" si="182"/>
        <v>391.04128389975978</v>
      </c>
      <c r="M1195" s="37">
        <f t="shared" si="183"/>
        <v>143.78588008994168</v>
      </c>
      <c r="N1195" s="37">
        <v>149.61682420945257</v>
      </c>
      <c r="O1195" s="37">
        <f t="shared" si="186"/>
        <v>51.888843117061462</v>
      </c>
      <c r="P1195" s="37"/>
      <c r="Q1195" s="45">
        <f t="shared" si="185"/>
        <v>5.1236020406948496E-2</v>
      </c>
    </row>
    <row r="1196" spans="1:17" s="6" customFormat="1" ht="15.75">
      <c r="A1196" s="32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179"/>
        <v>11511.4</v>
      </c>
      <c r="G1196" s="24">
        <v>160</v>
      </c>
      <c r="H1196" s="330"/>
      <c r="I1196" s="330">
        <v>1</v>
      </c>
      <c r="J1196" s="40">
        <f t="shared" si="180"/>
        <v>161</v>
      </c>
      <c r="K1196" s="323">
        <f t="shared" si="181"/>
        <v>0.11053896326810848</v>
      </c>
      <c r="L1196" s="37">
        <f t="shared" si="182"/>
        <v>250.82727772056302</v>
      </c>
      <c r="M1196" s="37">
        <f t="shared" si="183"/>
        <v>92.229190017851025</v>
      </c>
      <c r="N1196" s="37">
        <v>95.969357361441695</v>
      </c>
      <c r="O1196" s="37">
        <f t="shared" ref="O1196:O1201" si="188">K1196*602.2</f>
        <v>66.566563680054941</v>
      </c>
      <c r="P1196" s="37"/>
      <c r="Q1196" s="45">
        <f t="shared" si="185"/>
        <v>4.3921016451509864E-2</v>
      </c>
    </row>
    <row r="1197" spans="1:17" s="6" customFormat="1" ht="15.75">
      <c r="A1197" s="32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179"/>
        <v>6924.2000000000007</v>
      </c>
      <c r="G1197" s="24">
        <v>95</v>
      </c>
      <c r="H1197" s="330"/>
      <c r="I1197" s="330">
        <v>1</v>
      </c>
      <c r="J1197" s="40">
        <f t="shared" si="180"/>
        <v>96</v>
      </c>
      <c r="K1197" s="323">
        <f t="shared" si="181"/>
        <v>6.591143151390319E-2</v>
      </c>
      <c r="L1197" s="37">
        <f t="shared" si="182"/>
        <v>149.56160659114315</v>
      </c>
      <c r="M1197" s="37">
        <f t="shared" si="183"/>
        <v>54.993802743563336</v>
      </c>
      <c r="N1197" s="37">
        <v>57.223964637878275</v>
      </c>
      <c r="O1197" s="37">
        <f t="shared" si="188"/>
        <v>39.691864057672504</v>
      </c>
      <c r="P1197" s="37"/>
      <c r="Q1197" s="45">
        <f t="shared" si="185"/>
        <v>4.3538782535203671E-2</v>
      </c>
    </row>
    <row r="1198" spans="1:17" s="6" customFormat="1" ht="15.75">
      <c r="A1198" s="32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179"/>
        <v>10867.230000000001</v>
      </c>
      <c r="G1198" s="24">
        <v>160</v>
      </c>
      <c r="H1198" s="330"/>
      <c r="I1198" s="330">
        <v>2</v>
      </c>
      <c r="J1198" s="40">
        <f t="shared" si="180"/>
        <v>162</v>
      </c>
      <c r="K1198" s="323">
        <f t="shared" si="181"/>
        <v>0.11122554067971165</v>
      </c>
      <c r="L1198" s="37">
        <f t="shared" si="182"/>
        <v>252.3852111225541</v>
      </c>
      <c r="M1198" s="37">
        <f t="shared" si="183"/>
        <v>92.802042129763151</v>
      </c>
      <c r="N1198" s="37">
        <v>96.565440326419591</v>
      </c>
      <c r="O1198" s="37">
        <f t="shared" si="188"/>
        <v>66.980020597322351</v>
      </c>
      <c r="P1198" s="37"/>
      <c r="Q1198" s="45">
        <f t="shared" si="185"/>
        <v>4.6813467109471235E-2</v>
      </c>
    </row>
    <row r="1199" spans="1:17" s="6" customFormat="1" ht="15.75">
      <c r="A1199" s="32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179"/>
        <v>7546</v>
      </c>
      <c r="G1199" s="24">
        <v>94</v>
      </c>
      <c r="H1199" s="330"/>
      <c r="I1199" s="330">
        <v>2</v>
      </c>
      <c r="J1199" s="40">
        <f t="shared" si="180"/>
        <v>96</v>
      </c>
      <c r="K1199" s="323">
        <f t="shared" si="181"/>
        <v>6.591143151390319E-2</v>
      </c>
      <c r="L1199" s="37">
        <f t="shared" si="182"/>
        <v>149.56160659114315</v>
      </c>
      <c r="M1199" s="37">
        <f t="shared" si="183"/>
        <v>54.993802743563336</v>
      </c>
      <c r="N1199" s="37">
        <v>57.223964637878275</v>
      </c>
      <c r="O1199" s="37">
        <f t="shared" si="188"/>
        <v>39.691864057672504</v>
      </c>
      <c r="P1199" s="37"/>
      <c r="Q1199" s="45">
        <f t="shared" si="185"/>
        <v>3.9951131464386065E-2</v>
      </c>
    </row>
    <row r="1200" spans="1:17" s="6" customFormat="1" ht="15.75">
      <c r="A1200" s="32">
        <v>55</v>
      </c>
      <c r="B1200" s="32" t="s">
        <v>1370</v>
      </c>
      <c r="C1200" s="330">
        <v>2503.4</v>
      </c>
      <c r="D1200" s="330"/>
      <c r="E1200" s="330"/>
      <c r="F1200" s="40">
        <f t="shared" si="179"/>
        <v>2503.4</v>
      </c>
      <c r="G1200" s="24">
        <v>49</v>
      </c>
      <c r="H1200" s="330"/>
      <c r="I1200" s="330"/>
      <c r="J1200" s="40">
        <f t="shared" si="180"/>
        <v>49</v>
      </c>
      <c r="K1200" s="323">
        <f t="shared" si="181"/>
        <v>3.3642293168554757E-2</v>
      </c>
      <c r="L1200" s="37">
        <f t="shared" si="182"/>
        <v>76.338736697562666</v>
      </c>
      <c r="M1200" s="37">
        <f t="shared" si="183"/>
        <v>28.069753483693795</v>
      </c>
      <c r="N1200" s="37">
        <v>29.208065283917033</v>
      </c>
      <c r="O1200" s="37">
        <f t="shared" si="188"/>
        <v>20.259388946103677</v>
      </c>
      <c r="P1200" s="37"/>
      <c r="Q1200" s="45">
        <f t="shared" si="185"/>
        <v>6.1466782939712861E-2</v>
      </c>
    </row>
    <row r="1201" spans="1:18" s="6" customFormat="1" ht="15.75">
      <c r="A1201" s="32">
        <v>56</v>
      </c>
      <c r="B1201" s="32" t="s">
        <v>1371</v>
      </c>
      <c r="C1201" s="330">
        <v>1175</v>
      </c>
      <c r="D1201" s="330"/>
      <c r="E1201" s="330"/>
      <c r="F1201" s="40">
        <f t="shared" si="179"/>
        <v>1175</v>
      </c>
      <c r="G1201" s="24">
        <v>20</v>
      </c>
      <c r="H1201" s="330"/>
      <c r="I1201" s="330"/>
      <c r="J1201" s="40">
        <f t="shared" si="180"/>
        <v>20</v>
      </c>
      <c r="K1201" s="323">
        <f t="shared" si="181"/>
        <v>1.3731548232063167E-2</v>
      </c>
      <c r="L1201" s="37">
        <f t="shared" si="182"/>
        <v>31.158668039821496</v>
      </c>
      <c r="M1201" s="37">
        <f t="shared" si="183"/>
        <v>11.457042238242364</v>
      </c>
      <c r="N1201" s="37">
        <v>11.921659299557973</v>
      </c>
      <c r="O1201" s="37">
        <f t="shared" si="188"/>
        <v>8.2691383453484395</v>
      </c>
      <c r="P1201" s="37"/>
      <c r="Q1201" s="45">
        <f t="shared" si="185"/>
        <v>5.3452347168485334E-2</v>
      </c>
    </row>
    <row r="1202" spans="1:18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3">
        <f t="shared" ref="F1202:F1232" si="189">C1202+D1202+E1202</f>
        <v>173207.23</v>
      </c>
      <c r="G1202" s="30">
        <f>SUM(G1148:G1201)</f>
        <v>2899</v>
      </c>
      <c r="H1202" s="30">
        <f>SUM(H1148:H1201)</f>
        <v>2</v>
      </c>
      <c r="I1202" s="30">
        <f>SUM(I1148:I1201)</f>
        <v>12</v>
      </c>
      <c r="J1202" s="30">
        <f>SUM(J1148:J1201)</f>
        <v>2913</v>
      </c>
      <c r="K1202" s="323">
        <f>2/2913*J1202</f>
        <v>2</v>
      </c>
      <c r="L1202" s="37">
        <f>K1202*2269.13</f>
        <v>4538.26</v>
      </c>
      <c r="M1202" s="64">
        <f>L1202*0.3677</f>
        <v>1668.7182020000002</v>
      </c>
      <c r="N1202" s="37">
        <f>SUM(N1147:N1201)</f>
        <v>1751.2917511050659</v>
      </c>
      <c r="O1202" s="37">
        <f>K1202*301.1</f>
        <v>602.20000000000005</v>
      </c>
      <c r="P1202" s="37"/>
      <c r="Q1202" s="45">
        <f t="shared" si="185"/>
        <v>4.9423283041389592E-2</v>
      </c>
      <c r="R1202" s="5"/>
    </row>
    <row r="1203" spans="1:18" s="6" customFormat="1" ht="15.75">
      <c r="A1203" s="9" t="s">
        <v>629</v>
      </c>
      <c r="B1203" s="8"/>
      <c r="C1203" s="8"/>
      <c r="D1203" s="8"/>
      <c r="E1203" s="8"/>
      <c r="F1203" s="40">
        <f t="shared" si="189"/>
        <v>0</v>
      </c>
      <c r="G1203" s="24"/>
      <c r="H1203" s="8"/>
      <c r="I1203" s="8"/>
      <c r="J1203" s="40"/>
      <c r="K1203" s="61"/>
      <c r="L1203" s="37"/>
      <c r="M1203" s="37"/>
      <c r="N1203" s="37"/>
      <c r="O1203" s="37"/>
      <c r="P1203" s="37"/>
      <c r="Q1203" s="45">
        <v>0</v>
      </c>
    </row>
    <row r="1204" spans="1:18" s="6" customFormat="1" ht="15.75">
      <c r="A1204" s="8">
        <v>1</v>
      </c>
      <c r="B1204" s="8" t="s">
        <v>532</v>
      </c>
      <c r="C1204" s="142">
        <v>3898.29</v>
      </c>
      <c r="D1204" s="142">
        <v>123.1</v>
      </c>
      <c r="E1204" s="142">
        <v>374.5</v>
      </c>
      <c r="F1204" s="40">
        <f t="shared" si="189"/>
        <v>4395.8899999999994</v>
      </c>
      <c r="G1204" s="24">
        <v>64</v>
      </c>
      <c r="H1204" s="8"/>
      <c r="I1204" s="8"/>
      <c r="J1204" s="40">
        <f t="shared" ref="J1204:J1231" si="190">G1204+H1204+I1204</f>
        <v>64</v>
      </c>
      <c r="K1204" s="66">
        <f t="shared" ref="K1204:K1231" si="191">1/1549*J1204</f>
        <v>4.1316978695932857E-2</v>
      </c>
      <c r="L1204" s="37">
        <f t="shared" ref="L1204:L1231" si="192">K1204*2269.13</f>
        <v>93.753595868302128</v>
      </c>
      <c r="M1204" s="37">
        <f t="shared" ref="M1204:M1232" si="193">L1204*0.3677</f>
        <v>34.473197200774692</v>
      </c>
      <c r="N1204" s="37">
        <v>36.192619354838705</v>
      </c>
      <c r="O1204" s="37">
        <f t="shared" ref="O1204:O1221" si="194">K1204*301.1</f>
        <v>12.440542285345384</v>
      </c>
      <c r="P1204" s="37"/>
      <c r="Q1204" s="45">
        <f t="shared" si="185"/>
        <v>4.0233025555521391E-2</v>
      </c>
    </row>
    <row r="1205" spans="1:18" s="6" customFormat="1" ht="15.75">
      <c r="A1205" s="8">
        <v>2</v>
      </c>
      <c r="B1205" s="8" t="s">
        <v>533</v>
      </c>
      <c r="C1205" s="55">
        <v>3600.73</v>
      </c>
      <c r="D1205" s="55"/>
      <c r="E1205" s="55">
        <v>290.5</v>
      </c>
      <c r="F1205" s="40">
        <f t="shared" si="189"/>
        <v>3891.23</v>
      </c>
      <c r="G1205" s="24">
        <v>96</v>
      </c>
      <c r="H1205" s="8"/>
      <c r="I1205" s="8"/>
      <c r="J1205" s="40">
        <f t="shared" si="190"/>
        <v>96</v>
      </c>
      <c r="K1205" s="66">
        <f t="shared" si="191"/>
        <v>6.1975468043899286E-2</v>
      </c>
      <c r="L1205" s="37">
        <f t="shared" si="192"/>
        <v>140.6303938024532</v>
      </c>
      <c r="M1205" s="37">
        <f t="shared" si="193"/>
        <v>51.709795801162045</v>
      </c>
      <c r="N1205" s="37">
        <v>54.288929032258061</v>
      </c>
      <c r="O1205" s="37">
        <f t="shared" si="194"/>
        <v>18.660813428018077</v>
      </c>
      <c r="P1205" s="37"/>
      <c r="Q1205" s="45">
        <f>(O1205+N1205+M1205+L1205)/F1205</f>
        <v>6.8176368928048819E-2</v>
      </c>
    </row>
    <row r="1206" spans="1:18" s="6" customFormat="1" ht="15.75">
      <c r="A1206" s="8">
        <v>3</v>
      </c>
      <c r="B1206" s="8" t="s">
        <v>534</v>
      </c>
      <c r="C1206" s="55">
        <v>5868.42</v>
      </c>
      <c r="D1206" s="55">
        <v>489.8</v>
      </c>
      <c r="E1206" s="55"/>
      <c r="F1206" s="40">
        <f t="shared" si="189"/>
        <v>6358.22</v>
      </c>
      <c r="G1206" s="24">
        <v>99</v>
      </c>
      <c r="H1206" s="8"/>
      <c r="I1206" s="8"/>
      <c r="J1206" s="40">
        <f t="shared" si="190"/>
        <v>99</v>
      </c>
      <c r="K1206" s="66">
        <f t="shared" si="191"/>
        <v>6.3912201420271139E-2</v>
      </c>
      <c r="L1206" s="37">
        <f t="shared" si="192"/>
        <v>145.02509360877986</v>
      </c>
      <c r="M1206" s="37">
        <f t="shared" si="193"/>
        <v>53.325726919948359</v>
      </c>
      <c r="N1206" s="37">
        <v>55.985458064516131</v>
      </c>
      <c r="O1206" s="37">
        <f t="shared" si="194"/>
        <v>19.243963847643641</v>
      </c>
      <c r="P1206" s="37"/>
      <c r="Q1206" s="45">
        <f t="shared" si="185"/>
        <v>4.3027803762827964E-2</v>
      </c>
    </row>
    <row r="1207" spans="1:18" s="6" customFormat="1" ht="15.75">
      <c r="A1207" s="8">
        <v>4</v>
      </c>
      <c r="B1207" s="8" t="s">
        <v>535</v>
      </c>
      <c r="C1207" s="55">
        <v>4090.86</v>
      </c>
      <c r="D1207" s="55"/>
      <c r="E1207" s="55"/>
      <c r="F1207" s="40">
        <f t="shared" si="189"/>
        <v>4090.86</v>
      </c>
      <c r="G1207" s="24">
        <v>108</v>
      </c>
      <c r="H1207" s="8"/>
      <c r="I1207" s="8"/>
      <c r="J1207" s="40">
        <f t="shared" si="190"/>
        <v>108</v>
      </c>
      <c r="K1207" s="66">
        <f t="shared" si="191"/>
        <v>6.9722401549386692E-2</v>
      </c>
      <c r="L1207" s="37">
        <f t="shared" si="192"/>
        <v>158.20919302775982</v>
      </c>
      <c r="M1207" s="37">
        <f t="shared" si="193"/>
        <v>58.173520276307293</v>
      </c>
      <c r="N1207" s="37">
        <v>61.075045161290312</v>
      </c>
      <c r="O1207" s="37">
        <f t="shared" si="194"/>
        <v>20.993415106520334</v>
      </c>
      <c r="P1207" s="37"/>
      <c r="Q1207" s="45">
        <f t="shared" si="185"/>
        <v>7.2955606784851551E-2</v>
      </c>
    </row>
    <row r="1208" spans="1:18" s="6" customFormat="1" ht="15.75">
      <c r="A1208" s="8">
        <v>5</v>
      </c>
      <c r="B1208" s="8" t="s">
        <v>536</v>
      </c>
      <c r="C1208" s="55">
        <v>3274.15</v>
      </c>
      <c r="D1208" s="55"/>
      <c r="E1208" s="55"/>
      <c r="F1208" s="40">
        <f t="shared" si="189"/>
        <v>3274.15</v>
      </c>
      <c r="G1208" s="24">
        <v>55</v>
      </c>
      <c r="H1208" s="8"/>
      <c r="I1208" s="8"/>
      <c r="J1208" s="40">
        <f t="shared" si="190"/>
        <v>55</v>
      </c>
      <c r="K1208" s="66">
        <f t="shared" si="191"/>
        <v>3.5506778566817297E-2</v>
      </c>
      <c r="L1208" s="37">
        <f t="shared" si="192"/>
        <v>80.569496449322131</v>
      </c>
      <c r="M1208" s="37">
        <f t="shared" si="193"/>
        <v>29.62540384441575</v>
      </c>
      <c r="N1208" s="37">
        <v>31.103032258064516</v>
      </c>
      <c r="O1208" s="37">
        <f t="shared" si="194"/>
        <v>10.691091026468689</v>
      </c>
      <c r="P1208" s="37"/>
      <c r="Q1208" s="45">
        <f t="shared" si="185"/>
        <v>4.6420910336505986E-2</v>
      </c>
    </row>
    <row r="1209" spans="1:18" s="6" customFormat="1" ht="15.75">
      <c r="A1209" s="8">
        <v>6</v>
      </c>
      <c r="B1209" s="8" t="s">
        <v>537</v>
      </c>
      <c r="C1209" s="55">
        <v>6596</v>
      </c>
      <c r="D1209" s="55"/>
      <c r="E1209" s="55"/>
      <c r="F1209" s="40">
        <f t="shared" si="189"/>
        <v>6596</v>
      </c>
      <c r="G1209" s="24">
        <v>108</v>
      </c>
      <c r="H1209" s="8"/>
      <c r="I1209" s="8"/>
      <c r="J1209" s="40">
        <f t="shared" si="190"/>
        <v>108</v>
      </c>
      <c r="K1209" s="66">
        <f t="shared" si="191"/>
        <v>6.9722401549386692E-2</v>
      </c>
      <c r="L1209" s="37">
        <f t="shared" si="192"/>
        <v>158.20919302775982</v>
      </c>
      <c r="M1209" s="37">
        <f t="shared" si="193"/>
        <v>58.173520276307293</v>
      </c>
      <c r="N1209" s="37">
        <v>61.075045161290312</v>
      </c>
      <c r="O1209" s="37">
        <f t="shared" si="194"/>
        <v>20.993415106520334</v>
      </c>
      <c r="P1209" s="37"/>
      <c r="Q1209" s="45">
        <f t="shared" si="185"/>
        <v>4.5247297388095485E-2</v>
      </c>
    </row>
    <row r="1210" spans="1:18" s="6" customFormat="1" ht="15.75">
      <c r="A1210" s="8">
        <v>7</v>
      </c>
      <c r="B1210" s="8" t="s">
        <v>538</v>
      </c>
      <c r="C1210" s="55">
        <v>7101.2</v>
      </c>
      <c r="D1210" s="55"/>
      <c r="E1210" s="55"/>
      <c r="F1210" s="40">
        <f t="shared" si="189"/>
        <v>7101.2</v>
      </c>
      <c r="G1210" s="24">
        <v>120</v>
      </c>
      <c r="H1210" s="8"/>
      <c r="I1210" s="8"/>
      <c r="J1210" s="40">
        <f t="shared" si="190"/>
        <v>120</v>
      </c>
      <c r="K1210" s="66">
        <f t="shared" si="191"/>
        <v>7.7469335054874106E-2</v>
      </c>
      <c r="L1210" s="37">
        <f t="shared" si="192"/>
        <v>175.78799225306648</v>
      </c>
      <c r="M1210" s="37">
        <f t="shared" si="193"/>
        <v>64.637244751452542</v>
      </c>
      <c r="N1210" s="37">
        <v>67.861161290322585</v>
      </c>
      <c r="O1210" s="37">
        <f t="shared" si="194"/>
        <v>23.326016785022595</v>
      </c>
      <c r="P1210" s="37"/>
      <c r="Q1210" s="45">
        <f t="shared" si="185"/>
        <v>4.6698081321447669E-2</v>
      </c>
    </row>
    <row r="1211" spans="1:18" s="6" customFormat="1" ht="15.75">
      <c r="A1211" s="8">
        <v>8</v>
      </c>
      <c r="B1211" s="8" t="s">
        <v>539</v>
      </c>
      <c r="C1211" s="55">
        <v>7470.48</v>
      </c>
      <c r="D1211" s="55"/>
      <c r="E1211" s="55"/>
      <c r="F1211" s="40">
        <f t="shared" si="189"/>
        <v>7470.48</v>
      </c>
      <c r="G1211" s="24">
        <v>120</v>
      </c>
      <c r="H1211" s="8"/>
      <c r="I1211" s="8"/>
      <c r="J1211" s="40">
        <f t="shared" si="190"/>
        <v>120</v>
      </c>
      <c r="K1211" s="66">
        <f t="shared" si="191"/>
        <v>7.7469335054874106E-2</v>
      </c>
      <c r="L1211" s="37">
        <f t="shared" si="192"/>
        <v>175.78799225306648</v>
      </c>
      <c r="M1211" s="37">
        <f t="shared" si="193"/>
        <v>64.637244751452542</v>
      </c>
      <c r="N1211" s="37">
        <v>67.861161290322585</v>
      </c>
      <c r="O1211" s="37">
        <f t="shared" si="194"/>
        <v>23.326016785022595</v>
      </c>
      <c r="P1211" s="37"/>
      <c r="Q1211" s="45">
        <f t="shared" si="185"/>
        <v>4.4389706562344616E-2</v>
      </c>
    </row>
    <row r="1212" spans="1:18" s="6" customFormat="1" ht="15.75">
      <c r="A1212" s="8">
        <v>9</v>
      </c>
      <c r="B1212" s="8" t="s">
        <v>540</v>
      </c>
      <c r="C1212" s="55">
        <v>2276.6</v>
      </c>
      <c r="D1212" s="55"/>
      <c r="E1212" s="55"/>
      <c r="F1212" s="40">
        <f t="shared" si="189"/>
        <v>2276.6</v>
      </c>
      <c r="G1212" s="24">
        <v>40</v>
      </c>
      <c r="H1212" s="8"/>
      <c r="I1212" s="8"/>
      <c r="J1212" s="40">
        <f t="shared" si="190"/>
        <v>40</v>
      </c>
      <c r="K1212" s="66">
        <f t="shared" si="191"/>
        <v>2.5823111684958037E-2</v>
      </c>
      <c r="L1212" s="37">
        <f t="shared" si="192"/>
        <v>58.595997417688835</v>
      </c>
      <c r="M1212" s="37">
        <f t="shared" si="193"/>
        <v>21.545748250484188</v>
      </c>
      <c r="N1212" s="37">
        <v>22.620387096774191</v>
      </c>
      <c r="O1212" s="37">
        <f t="shared" si="194"/>
        <v>7.775338928340866</v>
      </c>
      <c r="P1212" s="37"/>
      <c r="Q1212" s="45">
        <f t="shared" si="185"/>
        <v>4.8553751951721028E-2</v>
      </c>
    </row>
    <row r="1213" spans="1:18" s="6" customFormat="1" ht="15.75">
      <c r="A1213" s="8">
        <v>10</v>
      </c>
      <c r="B1213" s="8" t="s">
        <v>541</v>
      </c>
      <c r="C1213" s="55">
        <v>4642.43</v>
      </c>
      <c r="D1213" s="55"/>
      <c r="E1213" s="55"/>
      <c r="F1213" s="40">
        <f t="shared" si="189"/>
        <v>4642.43</v>
      </c>
      <c r="G1213" s="24">
        <v>78</v>
      </c>
      <c r="H1213" s="8"/>
      <c r="I1213" s="8"/>
      <c r="J1213" s="40">
        <f t="shared" si="190"/>
        <v>78</v>
      </c>
      <c r="K1213" s="66">
        <f t="shared" si="191"/>
        <v>5.0355067785668173E-2</v>
      </c>
      <c r="L1213" s="37">
        <f t="shared" si="192"/>
        <v>114.26219496449323</v>
      </c>
      <c r="M1213" s="37">
        <f t="shared" si="193"/>
        <v>42.014209088444161</v>
      </c>
      <c r="N1213" s="37">
        <v>44.109754838709677</v>
      </c>
      <c r="O1213" s="37">
        <f t="shared" si="194"/>
        <v>15.161910910264687</v>
      </c>
      <c r="P1213" s="37"/>
      <c r="Q1213" s="45">
        <f t="shared" si="185"/>
        <v>4.6430009672070824E-2</v>
      </c>
    </row>
    <row r="1214" spans="1:18" s="6" customFormat="1" ht="15.75">
      <c r="A1214" s="8">
        <v>11</v>
      </c>
      <c r="B1214" s="8" t="s">
        <v>542</v>
      </c>
      <c r="C1214" s="55">
        <v>3634.2</v>
      </c>
      <c r="D1214" s="55"/>
      <c r="E1214" s="55"/>
      <c r="F1214" s="40">
        <f t="shared" si="189"/>
        <v>3634.2</v>
      </c>
      <c r="G1214" s="24">
        <v>51</v>
      </c>
      <c r="H1214" s="8"/>
      <c r="I1214" s="8"/>
      <c r="J1214" s="40">
        <f t="shared" si="190"/>
        <v>51</v>
      </c>
      <c r="K1214" s="66">
        <f t="shared" si="191"/>
        <v>3.2924467398321493E-2</v>
      </c>
      <c r="L1214" s="37">
        <f t="shared" si="192"/>
        <v>74.709896707553256</v>
      </c>
      <c r="M1214" s="37">
        <f t="shared" si="193"/>
        <v>27.470829019367333</v>
      </c>
      <c r="N1214" s="37">
        <v>28.840993548387097</v>
      </c>
      <c r="O1214" s="37">
        <f t="shared" si="194"/>
        <v>9.9135571336346029</v>
      </c>
      <c r="P1214" s="37"/>
      <c r="Q1214" s="45">
        <f t="shared" si="185"/>
        <v>3.8780275276248499E-2</v>
      </c>
    </row>
    <row r="1215" spans="1:18" s="6" customFormat="1" ht="15.75">
      <c r="A1215" s="8">
        <v>12</v>
      </c>
      <c r="B1215" s="8" t="s">
        <v>543</v>
      </c>
      <c r="C1215" s="55">
        <v>5551.35</v>
      </c>
      <c r="D1215" s="55"/>
      <c r="E1215" s="55"/>
      <c r="F1215" s="40">
        <f t="shared" si="189"/>
        <v>5551.35</v>
      </c>
      <c r="G1215" s="24">
        <v>70</v>
      </c>
      <c r="H1215" s="8"/>
      <c r="I1215" s="8"/>
      <c r="J1215" s="40">
        <f t="shared" si="190"/>
        <v>70</v>
      </c>
      <c r="K1215" s="66">
        <f t="shared" si="191"/>
        <v>4.5190445448676564E-2</v>
      </c>
      <c r="L1215" s="37">
        <f t="shared" si="192"/>
        <v>102.54299548095545</v>
      </c>
      <c r="M1215" s="37">
        <f t="shared" si="193"/>
        <v>37.705059438347327</v>
      </c>
      <c r="N1215" s="37">
        <v>39.585677419354838</v>
      </c>
      <c r="O1215" s="37">
        <f t="shared" si="194"/>
        <v>13.606843124596514</v>
      </c>
      <c r="P1215" s="37"/>
      <c r="Q1215" s="45">
        <f t="shared" si="185"/>
        <v>3.4845681764481454E-2</v>
      </c>
    </row>
    <row r="1216" spans="1:18" s="6" customFormat="1" ht="15.75">
      <c r="A1216" s="8">
        <v>13</v>
      </c>
      <c r="B1216" s="8" t="s">
        <v>545</v>
      </c>
      <c r="C1216" s="55">
        <v>4556.37</v>
      </c>
      <c r="D1216" s="55"/>
      <c r="E1216" s="55"/>
      <c r="F1216" s="40">
        <f t="shared" si="189"/>
        <v>4556.37</v>
      </c>
      <c r="G1216" s="24">
        <v>76</v>
      </c>
      <c r="H1216" s="8"/>
      <c r="I1216" s="8"/>
      <c r="J1216" s="40">
        <f t="shared" si="190"/>
        <v>76</v>
      </c>
      <c r="K1216" s="66">
        <f t="shared" si="191"/>
        <v>4.9063912201420271E-2</v>
      </c>
      <c r="L1216" s="37">
        <f t="shared" si="192"/>
        <v>111.33239509360878</v>
      </c>
      <c r="M1216" s="37">
        <f t="shared" si="193"/>
        <v>40.936921675919955</v>
      </c>
      <c r="N1216" s="37">
        <v>42.97873548387097</v>
      </c>
      <c r="O1216" s="37">
        <f t="shared" si="194"/>
        <v>14.773143963847644</v>
      </c>
      <c r="P1216" s="37"/>
      <c r="Q1216" s="45">
        <f t="shared" si="185"/>
        <v>4.6093973100790178E-2</v>
      </c>
    </row>
    <row r="1217" spans="1:18" s="6" customFormat="1" ht="15.75">
      <c r="A1217" s="8">
        <v>14</v>
      </c>
      <c r="B1217" s="8" t="s">
        <v>546</v>
      </c>
      <c r="C1217" s="55">
        <v>4596.6099999999997</v>
      </c>
      <c r="D1217" s="55"/>
      <c r="E1217" s="55"/>
      <c r="F1217" s="40">
        <f t="shared" si="189"/>
        <v>4596.6099999999997</v>
      </c>
      <c r="G1217" s="24">
        <v>72</v>
      </c>
      <c r="H1217" s="8"/>
      <c r="I1217" s="8"/>
      <c r="J1217" s="40">
        <f t="shared" si="190"/>
        <v>72</v>
      </c>
      <c r="K1217" s="66">
        <f t="shared" si="191"/>
        <v>4.6481601032924466E-2</v>
      </c>
      <c r="L1217" s="37">
        <f t="shared" si="192"/>
        <v>105.47279535183989</v>
      </c>
      <c r="M1217" s="37">
        <f t="shared" si="193"/>
        <v>38.782346850871534</v>
      </c>
      <c r="N1217" s="37">
        <v>40.716696774193544</v>
      </c>
      <c r="O1217" s="37">
        <f t="shared" si="194"/>
        <v>13.995610071013557</v>
      </c>
      <c r="P1217" s="37"/>
      <c r="Q1217" s="45">
        <f t="shared" si="185"/>
        <v>4.3285692945000454E-2</v>
      </c>
    </row>
    <row r="1218" spans="1:18" s="6" customFormat="1" ht="15.75">
      <c r="A1218" s="8">
        <v>15</v>
      </c>
      <c r="B1218" s="8" t="s">
        <v>567</v>
      </c>
      <c r="C1218" s="55">
        <v>4490.43</v>
      </c>
      <c r="D1218" s="55"/>
      <c r="E1218" s="55"/>
      <c r="F1218" s="40">
        <f t="shared" si="189"/>
        <v>4490.43</v>
      </c>
      <c r="G1218" s="24">
        <v>75</v>
      </c>
      <c r="H1218" s="8"/>
      <c r="I1218" s="8"/>
      <c r="J1218" s="40">
        <f t="shared" si="190"/>
        <v>75</v>
      </c>
      <c r="K1218" s="66">
        <f t="shared" si="191"/>
        <v>4.8418334409296319E-2</v>
      </c>
      <c r="L1218" s="37">
        <f t="shared" si="192"/>
        <v>109.86749515816656</v>
      </c>
      <c r="M1218" s="37">
        <f t="shared" si="193"/>
        <v>40.398277969657848</v>
      </c>
      <c r="N1218" s="37">
        <v>42.413225806451607</v>
      </c>
      <c r="O1218" s="37">
        <f t="shared" si="194"/>
        <v>14.578760490639123</v>
      </c>
      <c r="P1218" s="37"/>
      <c r="Q1218" s="45">
        <f t="shared" si="185"/>
        <v>4.6155437101773132E-2</v>
      </c>
    </row>
    <row r="1219" spans="1:18" s="6" customFormat="1" ht="15.75">
      <c r="A1219" s="8">
        <v>16</v>
      </c>
      <c r="B1219" s="8" t="s">
        <v>568</v>
      </c>
      <c r="C1219" s="55">
        <v>4338.5</v>
      </c>
      <c r="D1219" s="55"/>
      <c r="E1219" s="55"/>
      <c r="F1219" s="40">
        <f t="shared" si="189"/>
        <v>4338.5</v>
      </c>
      <c r="G1219" s="24">
        <v>56</v>
      </c>
      <c r="H1219" s="8"/>
      <c r="I1219" s="8"/>
      <c r="J1219" s="40">
        <f t="shared" si="190"/>
        <v>56</v>
      </c>
      <c r="K1219" s="66">
        <f t="shared" si="191"/>
        <v>3.6152356358941248E-2</v>
      </c>
      <c r="L1219" s="37">
        <f t="shared" si="192"/>
        <v>82.034396384764364</v>
      </c>
      <c r="M1219" s="37">
        <f t="shared" si="193"/>
        <v>30.164047550677857</v>
      </c>
      <c r="N1219" s="37">
        <v>31.668541935483873</v>
      </c>
      <c r="O1219" s="37">
        <f t="shared" si="194"/>
        <v>10.88547449967721</v>
      </c>
      <c r="P1219" s="37"/>
      <c r="Q1219" s="45">
        <f t="shared" si="185"/>
        <v>3.5669577128178705E-2</v>
      </c>
    </row>
    <row r="1220" spans="1:18" s="6" customFormat="1" ht="15.75">
      <c r="A1220" s="8">
        <v>17</v>
      </c>
      <c r="B1220" s="8" t="s">
        <v>569</v>
      </c>
      <c r="C1220" s="55">
        <v>3131.06</v>
      </c>
      <c r="D1220" s="55"/>
      <c r="E1220" s="55"/>
      <c r="F1220" s="40">
        <f t="shared" si="189"/>
        <v>3131.06</v>
      </c>
      <c r="G1220" s="24">
        <v>40</v>
      </c>
      <c r="H1220" s="8"/>
      <c r="I1220" s="8"/>
      <c r="J1220" s="40">
        <f t="shared" si="190"/>
        <v>40</v>
      </c>
      <c r="K1220" s="66">
        <f t="shared" si="191"/>
        <v>2.5823111684958037E-2</v>
      </c>
      <c r="L1220" s="37">
        <f t="shared" si="192"/>
        <v>58.595997417688835</v>
      </c>
      <c r="M1220" s="37">
        <f t="shared" si="193"/>
        <v>21.545748250484188</v>
      </c>
      <c r="N1220" s="37">
        <v>22.620387096774191</v>
      </c>
      <c r="O1220" s="37">
        <f t="shared" si="194"/>
        <v>7.775338928340866</v>
      </c>
      <c r="P1220" s="37"/>
      <c r="Q1220" s="45">
        <f t="shared" si="185"/>
        <v>3.5303530335824958E-2</v>
      </c>
    </row>
    <row r="1221" spans="1:18" s="6" customFormat="1" ht="15.75">
      <c r="A1221" s="8">
        <v>18</v>
      </c>
      <c r="B1221" s="8" t="s">
        <v>570</v>
      </c>
      <c r="C1221" s="55">
        <v>3376.98</v>
      </c>
      <c r="D1221" s="55"/>
      <c r="E1221" s="55"/>
      <c r="F1221" s="40">
        <f t="shared" si="189"/>
        <v>3376.98</v>
      </c>
      <c r="G1221" s="24">
        <v>48</v>
      </c>
      <c r="H1221" s="8"/>
      <c r="I1221" s="8"/>
      <c r="J1221" s="40">
        <f t="shared" si="190"/>
        <v>48</v>
      </c>
      <c r="K1221" s="66">
        <f t="shared" si="191"/>
        <v>3.0987734021949643E-2</v>
      </c>
      <c r="L1221" s="37">
        <f t="shared" si="192"/>
        <v>70.315196901226599</v>
      </c>
      <c r="M1221" s="37">
        <f t="shared" si="193"/>
        <v>25.854897900581022</v>
      </c>
      <c r="N1221" s="37">
        <v>27.14446451612903</v>
      </c>
      <c r="O1221" s="37">
        <f t="shared" si="194"/>
        <v>9.3304067140090385</v>
      </c>
      <c r="P1221" s="37"/>
      <c r="Q1221" s="45">
        <f t="shared" si="185"/>
        <v>3.9279168378831296E-2</v>
      </c>
    </row>
    <row r="1222" spans="1:18" s="6" customFormat="1" ht="15.75">
      <c r="A1222" s="8">
        <v>20</v>
      </c>
      <c r="B1222" s="8" t="s">
        <v>571</v>
      </c>
      <c r="C1222" s="55">
        <v>50.5</v>
      </c>
      <c r="D1222" s="55"/>
      <c r="E1222" s="55"/>
      <c r="F1222" s="40">
        <f t="shared" si="189"/>
        <v>50.5</v>
      </c>
      <c r="G1222" s="24"/>
      <c r="H1222" s="8"/>
      <c r="I1222" s="8"/>
      <c r="J1222" s="40">
        <f t="shared" si="190"/>
        <v>0</v>
      </c>
      <c r="K1222" s="66">
        <f t="shared" si="191"/>
        <v>0</v>
      </c>
      <c r="L1222" s="37">
        <f t="shared" si="192"/>
        <v>0</v>
      </c>
      <c r="M1222" s="37">
        <f t="shared" si="193"/>
        <v>0</v>
      </c>
      <c r="N1222" s="37">
        <v>0</v>
      </c>
      <c r="O1222" s="37">
        <f t="shared" ref="O1222:O1232" si="195">K1222*301.1</f>
        <v>0</v>
      </c>
      <c r="P1222" s="37"/>
      <c r="Q1222" s="45">
        <f t="shared" si="185"/>
        <v>0</v>
      </c>
    </row>
    <row r="1223" spans="1:18" s="6" customFormat="1" ht="15.75">
      <c r="A1223" s="8">
        <v>22</v>
      </c>
      <c r="B1223" s="8" t="s">
        <v>356</v>
      </c>
      <c r="C1223" s="55">
        <v>306.8</v>
      </c>
      <c r="D1223" s="55"/>
      <c r="E1223" s="55"/>
      <c r="F1223" s="40">
        <f t="shared" si="189"/>
        <v>306.8</v>
      </c>
      <c r="G1223" s="24">
        <v>8</v>
      </c>
      <c r="H1223" s="8"/>
      <c r="I1223" s="8"/>
      <c r="J1223" s="40">
        <f t="shared" si="190"/>
        <v>8</v>
      </c>
      <c r="K1223" s="66">
        <f t="shared" si="191"/>
        <v>5.1646223369916072E-3</v>
      </c>
      <c r="L1223" s="37">
        <f t="shared" si="192"/>
        <v>11.719199483537766</v>
      </c>
      <c r="M1223" s="37">
        <f t="shared" si="193"/>
        <v>4.3091496500968365</v>
      </c>
      <c r="N1223" s="37">
        <v>4.5240774193548381</v>
      </c>
      <c r="O1223" s="37">
        <f t="shared" si="195"/>
        <v>1.5550677856681729</v>
      </c>
      <c r="P1223" s="37"/>
      <c r="Q1223" s="45">
        <f t="shared" ref="Q1223:Q1232" si="196">(O1223+N1223+M1223+L1223)/F1223</f>
        <v>7.2058325745298607E-2</v>
      </c>
    </row>
    <row r="1224" spans="1:18" s="6" customFormat="1" ht="15.75">
      <c r="A1224" s="8">
        <v>23</v>
      </c>
      <c r="B1224" s="8" t="s">
        <v>357</v>
      </c>
      <c r="C1224" s="55">
        <v>304.18</v>
      </c>
      <c r="D1224" s="55"/>
      <c r="E1224" s="55"/>
      <c r="F1224" s="40">
        <f t="shared" si="189"/>
        <v>304.18</v>
      </c>
      <c r="G1224" s="24">
        <v>8</v>
      </c>
      <c r="H1224" s="8"/>
      <c r="I1224" s="8"/>
      <c r="J1224" s="40">
        <f t="shared" si="190"/>
        <v>8</v>
      </c>
      <c r="K1224" s="66">
        <f t="shared" si="191"/>
        <v>5.1646223369916072E-3</v>
      </c>
      <c r="L1224" s="37">
        <f t="shared" si="192"/>
        <v>11.719199483537766</v>
      </c>
      <c r="M1224" s="37">
        <f t="shared" si="193"/>
        <v>4.3091496500968365</v>
      </c>
      <c r="N1224" s="37">
        <v>4.5240774193548381</v>
      </c>
      <c r="O1224" s="37">
        <f t="shared" si="195"/>
        <v>1.5550677856681729</v>
      </c>
      <c r="P1224" s="37"/>
      <c r="Q1224" s="45">
        <f t="shared" si="196"/>
        <v>7.2678987239981632E-2</v>
      </c>
    </row>
    <row r="1225" spans="1:18" s="6" customFormat="1" ht="15.75">
      <c r="A1225" s="8">
        <v>24</v>
      </c>
      <c r="B1225" s="8" t="s">
        <v>358</v>
      </c>
      <c r="C1225" s="55">
        <v>823.48</v>
      </c>
      <c r="D1225" s="55"/>
      <c r="E1225" s="55"/>
      <c r="F1225" s="40">
        <f t="shared" si="189"/>
        <v>823.48</v>
      </c>
      <c r="G1225" s="24">
        <v>14</v>
      </c>
      <c r="H1225" s="8"/>
      <c r="I1225" s="8"/>
      <c r="J1225" s="40">
        <f t="shared" si="190"/>
        <v>14</v>
      </c>
      <c r="K1225" s="66">
        <f t="shared" si="191"/>
        <v>9.0380890897353121E-3</v>
      </c>
      <c r="L1225" s="37">
        <f t="shared" si="192"/>
        <v>20.508599096191091</v>
      </c>
      <c r="M1225" s="37">
        <f t="shared" si="193"/>
        <v>7.5410118876694643</v>
      </c>
      <c r="N1225" s="37">
        <v>7.9171354838709682</v>
      </c>
      <c r="O1225" s="37">
        <f t="shared" si="195"/>
        <v>2.7213686249193025</v>
      </c>
      <c r="P1225" s="37"/>
      <c r="Q1225" s="45">
        <f t="shared" si="196"/>
        <v>4.6981244344308087E-2</v>
      </c>
    </row>
    <row r="1226" spans="1:18" s="6" customFormat="1" ht="15.75">
      <c r="A1226" s="8">
        <v>25</v>
      </c>
      <c r="B1226" s="8" t="s">
        <v>359</v>
      </c>
      <c r="C1226" s="55">
        <v>733.47</v>
      </c>
      <c r="D1226" s="55"/>
      <c r="E1226" s="55">
        <v>70</v>
      </c>
      <c r="F1226" s="40">
        <f t="shared" si="189"/>
        <v>803.47</v>
      </c>
      <c r="G1226" s="24">
        <v>13</v>
      </c>
      <c r="H1226" s="8"/>
      <c r="I1226" s="8"/>
      <c r="J1226" s="40">
        <f t="shared" si="190"/>
        <v>13</v>
      </c>
      <c r="K1226" s="66">
        <f t="shared" si="191"/>
        <v>8.392511297611361E-3</v>
      </c>
      <c r="L1226" s="37">
        <f t="shared" si="192"/>
        <v>19.043699160748869</v>
      </c>
      <c r="M1226" s="37">
        <f t="shared" si="193"/>
        <v>7.0023681814073591</v>
      </c>
      <c r="N1226" s="37">
        <v>7.3516258064516125</v>
      </c>
      <c r="O1226" s="37">
        <f t="shared" si="195"/>
        <v>2.5269851517107811</v>
      </c>
      <c r="P1226" s="37"/>
      <c r="Q1226" s="45">
        <f t="shared" si="196"/>
        <v>4.4711909965921087E-2</v>
      </c>
    </row>
    <row r="1227" spans="1:18" s="6" customFormat="1" ht="15.75">
      <c r="A1227" s="8">
        <v>26</v>
      </c>
      <c r="B1227" s="8" t="s">
        <v>360</v>
      </c>
      <c r="C1227" s="55">
        <v>4465.32</v>
      </c>
      <c r="D1227" s="55"/>
      <c r="E1227" s="55"/>
      <c r="F1227" s="40">
        <f t="shared" si="189"/>
        <v>4465.32</v>
      </c>
      <c r="G1227" s="24">
        <v>80</v>
      </c>
      <c r="H1227" s="8"/>
      <c r="I1227" s="8"/>
      <c r="J1227" s="40">
        <f t="shared" si="190"/>
        <v>80</v>
      </c>
      <c r="K1227" s="66">
        <f t="shared" si="191"/>
        <v>5.1646223369916075E-2</v>
      </c>
      <c r="L1227" s="37">
        <f t="shared" si="192"/>
        <v>117.19199483537767</v>
      </c>
      <c r="M1227" s="37">
        <f t="shared" si="193"/>
        <v>43.091496500968375</v>
      </c>
      <c r="N1227" s="37">
        <v>45.240774193548383</v>
      </c>
      <c r="O1227" s="37">
        <f t="shared" si="195"/>
        <v>15.550677856681732</v>
      </c>
      <c r="P1227" s="37"/>
      <c r="Q1227" s="45">
        <f t="shared" si="196"/>
        <v>4.9509317000030501E-2</v>
      </c>
    </row>
    <row r="1228" spans="1:18" s="6" customFormat="1" ht="15.75">
      <c r="A1228" s="8">
        <v>27</v>
      </c>
      <c r="B1228" s="8" t="s">
        <v>361</v>
      </c>
      <c r="C1228" s="55">
        <v>2218.6799999999998</v>
      </c>
      <c r="D1228" s="55"/>
      <c r="E1228" s="55"/>
      <c r="F1228" s="40">
        <f t="shared" si="189"/>
        <v>2218.6799999999998</v>
      </c>
      <c r="G1228" s="24">
        <v>40</v>
      </c>
      <c r="H1228" s="8"/>
      <c r="I1228" s="8"/>
      <c r="J1228" s="40">
        <f t="shared" si="190"/>
        <v>40</v>
      </c>
      <c r="K1228" s="66">
        <f t="shared" si="191"/>
        <v>2.5823111684958037E-2</v>
      </c>
      <c r="L1228" s="37">
        <f t="shared" si="192"/>
        <v>58.595997417688835</v>
      </c>
      <c r="M1228" s="37">
        <f t="shared" si="193"/>
        <v>21.545748250484188</v>
      </c>
      <c r="N1228" s="37">
        <v>22.620387096774191</v>
      </c>
      <c r="O1228" s="37">
        <f t="shared" si="195"/>
        <v>7.775338928340866</v>
      </c>
      <c r="P1228" s="37"/>
      <c r="Q1228" s="45">
        <f t="shared" si="196"/>
        <v>4.9821277378120365E-2</v>
      </c>
    </row>
    <row r="1229" spans="1:18" s="6" customFormat="1" ht="15.75">
      <c r="A1229" s="8">
        <v>28</v>
      </c>
      <c r="B1229" s="8" t="s">
        <v>362</v>
      </c>
      <c r="C1229" s="55">
        <v>120.8</v>
      </c>
      <c r="D1229" s="55"/>
      <c r="E1229" s="55"/>
      <c r="F1229" s="40">
        <f t="shared" si="189"/>
        <v>120.8</v>
      </c>
      <c r="G1229" s="24">
        <v>2</v>
      </c>
      <c r="H1229" s="8"/>
      <c r="I1229" s="8"/>
      <c r="J1229" s="40">
        <f t="shared" si="190"/>
        <v>2</v>
      </c>
      <c r="K1229" s="66">
        <f t="shared" si="191"/>
        <v>1.2911555842479018E-3</v>
      </c>
      <c r="L1229" s="37">
        <f t="shared" si="192"/>
        <v>2.9297998708844415</v>
      </c>
      <c r="M1229" s="37">
        <f t="shared" si="193"/>
        <v>1.0772874125242091</v>
      </c>
      <c r="N1229" s="37">
        <v>1.1310193548387095</v>
      </c>
      <c r="O1229" s="37">
        <f t="shared" si="195"/>
        <v>0.38876694641704324</v>
      </c>
      <c r="P1229" s="37"/>
      <c r="Q1229" s="45">
        <f t="shared" si="196"/>
        <v>4.5752264773711949E-2</v>
      </c>
    </row>
    <row r="1230" spans="1:18" s="6" customFormat="1" ht="15.75">
      <c r="A1230" s="8">
        <v>30</v>
      </c>
      <c r="B1230" s="8" t="s">
        <v>363</v>
      </c>
      <c r="C1230" s="55">
        <v>174.6</v>
      </c>
      <c r="D1230" s="55"/>
      <c r="E1230" s="55"/>
      <c r="F1230" s="40">
        <f t="shared" si="189"/>
        <v>174.6</v>
      </c>
      <c r="G1230" s="24">
        <v>4</v>
      </c>
      <c r="H1230" s="8"/>
      <c r="I1230" s="8"/>
      <c r="J1230" s="40">
        <f t="shared" si="190"/>
        <v>4</v>
      </c>
      <c r="K1230" s="66">
        <f t="shared" si="191"/>
        <v>2.5823111684958036E-3</v>
      </c>
      <c r="L1230" s="37">
        <f t="shared" si="192"/>
        <v>5.859599741768883</v>
      </c>
      <c r="M1230" s="37">
        <f t="shared" si="193"/>
        <v>2.1545748250484182</v>
      </c>
      <c r="N1230" s="37">
        <v>2.262038709677419</v>
      </c>
      <c r="O1230" s="37">
        <f t="shared" si="195"/>
        <v>0.77753389283408647</v>
      </c>
      <c r="P1230" s="37"/>
      <c r="Q1230" s="45">
        <f t="shared" si="196"/>
        <v>6.3308975769351697E-2</v>
      </c>
    </row>
    <row r="1231" spans="1:18" s="6" customFormat="1" ht="15.75">
      <c r="A1231" s="8">
        <v>31</v>
      </c>
      <c r="B1231" s="8" t="s">
        <v>364</v>
      </c>
      <c r="C1231" s="55">
        <v>139.19999999999999</v>
      </c>
      <c r="D1231" s="55"/>
      <c r="E1231" s="55"/>
      <c r="F1231" s="40">
        <f t="shared" si="189"/>
        <v>139.19999999999999</v>
      </c>
      <c r="G1231" s="24">
        <v>4</v>
      </c>
      <c r="H1231" s="8"/>
      <c r="I1231" s="8"/>
      <c r="J1231" s="40">
        <f t="shared" si="190"/>
        <v>4</v>
      </c>
      <c r="K1231" s="66">
        <f t="shared" si="191"/>
        <v>2.5823111684958036E-3</v>
      </c>
      <c r="L1231" s="37">
        <f t="shared" si="192"/>
        <v>5.859599741768883</v>
      </c>
      <c r="M1231" s="37">
        <f t="shared" si="193"/>
        <v>2.1545748250484182</v>
      </c>
      <c r="N1231" s="37">
        <v>2.262038709677419</v>
      </c>
      <c r="O1231" s="37">
        <f t="shared" si="195"/>
        <v>0.77753389283408647</v>
      </c>
      <c r="P1231" s="37"/>
      <c r="Q1231" s="45">
        <f t="shared" si="196"/>
        <v>7.9409103227936831E-2</v>
      </c>
    </row>
    <row r="1232" spans="1:18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189"/>
        <v>93179.589999999967</v>
      </c>
      <c r="G1232" s="30">
        <f>SUM(G1204:G1231)</f>
        <v>1549</v>
      </c>
      <c r="H1232" s="63">
        <f>SUM(H1204:H1231)</f>
        <v>0</v>
      </c>
      <c r="I1232" s="63">
        <f>SUM(I1204:I1231)</f>
        <v>0</v>
      </c>
      <c r="J1232" s="63">
        <f>SUM(J1204:J1231)</f>
        <v>1549</v>
      </c>
      <c r="K1232" s="66">
        <f>1/1549*J1232</f>
        <v>0.99999999999999989</v>
      </c>
      <c r="L1232" s="37">
        <f>K1232*2269.13</f>
        <v>2269.1299999999997</v>
      </c>
      <c r="M1232" s="64">
        <f t="shared" si="193"/>
        <v>834.3591009999999</v>
      </c>
      <c r="N1232" s="37">
        <f>SUM(N1203:N1231)</f>
        <v>875.97449032258055</v>
      </c>
      <c r="O1232" s="37">
        <f t="shared" si="195"/>
        <v>301.09999999999997</v>
      </c>
      <c r="P1232" s="37"/>
      <c r="Q1232" s="45">
        <f t="shared" si="196"/>
        <v>4.5938854113036783E-2</v>
      </c>
      <c r="R1232" s="5"/>
    </row>
    <row r="1233" spans="2:18" s="6" customFormat="1" ht="15.75">
      <c r="F1233" s="34"/>
      <c r="G1233" s="25"/>
      <c r="J1233" s="34"/>
      <c r="K1233" s="67"/>
      <c r="L1233" s="34"/>
      <c r="M1233" s="34"/>
      <c r="N1233" s="34"/>
      <c r="O1233" s="34"/>
      <c r="P1233" s="34"/>
      <c r="Q1233" s="110"/>
    </row>
    <row r="1234" spans="2:18" s="69" customFormat="1" ht="15.75">
      <c r="B1234" s="63" t="s">
        <v>670</v>
      </c>
      <c r="C1234" s="65">
        <f t="shared" ref="C1234:J1234" si="197">C90+C384+C535+C747+C879+C1146+C1202+C1232+C67</f>
        <v>1871618.8599999999</v>
      </c>
      <c r="D1234" s="65">
        <f t="shared" si="197"/>
        <v>10680.369999999999</v>
      </c>
      <c r="E1234" s="65">
        <f t="shared" si="197"/>
        <v>25132.5</v>
      </c>
      <c r="F1234" s="65">
        <f t="shared" si="197"/>
        <v>1907431.7299999995</v>
      </c>
      <c r="G1234" s="65">
        <f t="shared" si="197"/>
        <v>38506</v>
      </c>
      <c r="H1234" s="65">
        <f t="shared" si="197"/>
        <v>123</v>
      </c>
      <c r="I1234" s="65">
        <f t="shared" si="197"/>
        <v>276</v>
      </c>
      <c r="J1234" s="65">
        <f t="shared" si="197"/>
        <v>39118</v>
      </c>
      <c r="K1234" s="65">
        <f>K90+K384+K535+K747+K879+K1146+K1202+K1232+K67</f>
        <v>26</v>
      </c>
      <c r="L1234" s="65">
        <f t="shared" ref="L1234:Q1234" si="198">L90+L384+L535+L747+L879+L1146+L1202+L1232+L67</f>
        <v>58997.380000000005</v>
      </c>
      <c r="M1234" s="65">
        <f t="shared" si="198"/>
        <v>21693.336626</v>
      </c>
      <c r="N1234" s="65">
        <f t="shared" si="198"/>
        <v>24206.232071024569</v>
      </c>
      <c r="O1234" s="65">
        <f t="shared" si="198"/>
        <v>8105.0210024236567</v>
      </c>
      <c r="P1234" s="65">
        <f t="shared" si="198"/>
        <v>5490.931864000001</v>
      </c>
      <c r="Q1234" s="65">
        <f t="shared" si="198"/>
        <v>0.53116853740787773</v>
      </c>
      <c r="R1234" s="5"/>
    </row>
    <row r="1235" spans="2:18" s="6" customFormat="1" ht="15.75">
      <c r="F1235" s="34"/>
      <c r="G1235" s="25"/>
      <c r="J1235" s="34"/>
      <c r="K1235" s="67"/>
      <c r="L1235" s="34"/>
      <c r="M1235" s="34"/>
      <c r="N1235" s="34"/>
      <c r="O1235" s="34"/>
      <c r="P1235" s="34"/>
      <c r="Q1235" s="110"/>
    </row>
    <row r="1236" spans="2:18" s="6" customFormat="1" ht="15.75">
      <c r="F1236" s="34"/>
      <c r="G1236" s="25"/>
      <c r="J1236" s="34"/>
      <c r="K1236" s="67"/>
      <c r="L1236" s="34"/>
      <c r="M1236" s="34"/>
      <c r="N1236" s="34"/>
      <c r="O1236" s="34"/>
      <c r="P1236" s="34"/>
      <c r="Q1236" s="110"/>
    </row>
    <row r="1237" spans="2:18" s="6" customFormat="1" ht="15.75">
      <c r="F1237" s="34"/>
      <c r="G1237" s="25"/>
      <c r="J1237" s="34"/>
      <c r="K1237" s="67"/>
      <c r="L1237" s="34"/>
      <c r="M1237" s="34"/>
      <c r="N1237" s="34"/>
      <c r="O1237" s="34"/>
      <c r="P1237" s="34"/>
      <c r="Q1237" s="110"/>
    </row>
    <row r="1238" spans="2:18" s="6" customFormat="1" ht="15.75">
      <c r="F1238" s="34"/>
      <c r="G1238" s="25"/>
      <c r="J1238" s="34"/>
      <c r="K1238" s="67"/>
      <c r="L1238" s="34"/>
      <c r="M1238" s="34"/>
      <c r="N1238" s="34"/>
      <c r="O1238" s="34"/>
      <c r="P1238" s="34"/>
      <c r="Q1238" s="110"/>
    </row>
    <row r="1239" spans="2:18" s="6" customFormat="1" ht="15.75">
      <c r="F1239" s="34"/>
      <c r="G1239" s="25"/>
      <c r="J1239" s="34"/>
      <c r="K1239" s="67"/>
      <c r="L1239" s="34"/>
      <c r="M1239" s="34"/>
      <c r="N1239" s="34"/>
      <c r="O1239" s="34"/>
      <c r="P1239" s="34"/>
      <c r="Q1239" s="110"/>
    </row>
    <row r="1240" spans="2:18" s="6" customFormat="1" ht="15.75">
      <c r="F1240" s="34"/>
      <c r="G1240" s="25"/>
      <c r="J1240" s="34"/>
      <c r="K1240" s="67"/>
      <c r="L1240" s="34"/>
      <c r="M1240" s="34"/>
      <c r="N1240" s="34"/>
      <c r="O1240" s="34"/>
      <c r="P1240" s="34"/>
      <c r="Q1240" s="110"/>
    </row>
    <row r="1241" spans="2:18" s="6" customFormat="1" ht="15.75">
      <c r="F1241" s="34"/>
      <c r="G1241" s="25"/>
      <c r="J1241" s="34"/>
      <c r="K1241" s="67"/>
      <c r="L1241" s="34"/>
      <c r="M1241" s="34"/>
      <c r="N1241" s="34"/>
      <c r="O1241" s="34"/>
      <c r="P1241" s="34"/>
      <c r="Q1241" s="110"/>
    </row>
    <row r="1242" spans="2:18" s="6" customFormat="1" ht="15.75">
      <c r="F1242" s="34"/>
      <c r="G1242" s="25"/>
      <c r="J1242" s="34"/>
      <c r="K1242" s="67"/>
      <c r="L1242" s="34"/>
      <c r="M1242" s="34"/>
      <c r="N1242" s="34"/>
      <c r="O1242" s="34"/>
      <c r="P1242" s="34"/>
      <c r="Q1242" s="110"/>
    </row>
    <row r="1243" spans="2:18" s="6" customFormat="1" ht="15.75">
      <c r="F1243" s="34"/>
      <c r="G1243" s="25"/>
      <c r="J1243" s="34"/>
      <c r="K1243" s="67"/>
      <c r="L1243" s="34"/>
      <c r="M1243" s="34"/>
      <c r="N1243" s="34"/>
      <c r="O1243" s="34"/>
      <c r="P1243" s="34"/>
      <c r="Q1243" s="110"/>
    </row>
    <row r="1244" spans="2:18" s="6" customFormat="1" ht="15.75">
      <c r="F1244" s="34"/>
      <c r="G1244" s="25"/>
      <c r="J1244" s="34"/>
      <c r="K1244" s="67"/>
      <c r="L1244" s="34"/>
      <c r="M1244" s="34"/>
      <c r="N1244" s="34"/>
      <c r="O1244" s="34"/>
      <c r="P1244" s="34"/>
      <c r="Q1244" s="110"/>
    </row>
    <row r="1245" spans="2:18" s="6" customFormat="1" ht="15.75">
      <c r="F1245" s="34"/>
      <c r="G1245" s="25"/>
      <c r="J1245" s="34"/>
      <c r="K1245" s="67"/>
      <c r="L1245" s="34"/>
      <c r="M1245" s="34"/>
      <c r="N1245" s="34"/>
      <c r="O1245" s="34"/>
      <c r="P1245" s="34"/>
      <c r="Q1245" s="110"/>
    </row>
    <row r="1246" spans="2:18" s="6" customFormat="1" ht="15.75">
      <c r="F1246" s="34"/>
      <c r="G1246" s="25"/>
      <c r="J1246" s="34"/>
      <c r="K1246" s="67"/>
      <c r="L1246" s="34"/>
      <c r="M1246" s="34"/>
      <c r="N1246" s="34"/>
      <c r="O1246" s="34"/>
      <c r="P1246" s="34"/>
      <c r="Q1246" s="110"/>
    </row>
    <row r="1247" spans="2:18" s="6" customFormat="1" ht="15.75">
      <c r="F1247" s="34"/>
      <c r="G1247" s="25"/>
      <c r="J1247" s="34"/>
      <c r="K1247" s="67"/>
      <c r="L1247" s="34"/>
      <c r="M1247" s="34"/>
      <c r="N1247" s="34"/>
      <c r="O1247" s="34"/>
      <c r="P1247" s="34"/>
      <c r="Q1247" s="110"/>
    </row>
    <row r="1248" spans="2:18" s="6" customFormat="1" ht="15.75">
      <c r="F1248" s="34"/>
      <c r="G1248" s="25"/>
      <c r="J1248" s="34"/>
      <c r="K1248" s="67"/>
      <c r="L1248" s="34"/>
      <c r="M1248" s="34"/>
      <c r="N1248" s="34"/>
      <c r="O1248" s="34"/>
      <c r="P1248" s="34"/>
      <c r="Q1248" s="110"/>
    </row>
    <row r="1249" spans="6:17" s="6" customFormat="1" ht="15.75">
      <c r="F1249" s="34"/>
      <c r="G1249" s="25"/>
      <c r="J1249" s="34"/>
      <c r="K1249" s="67"/>
      <c r="L1249" s="34"/>
      <c r="M1249" s="34"/>
      <c r="N1249" s="34"/>
      <c r="O1249" s="34"/>
      <c r="P1249" s="34"/>
      <c r="Q1249" s="110"/>
    </row>
    <row r="1250" spans="6:17" s="6" customFormat="1" ht="15.75">
      <c r="F1250" s="34"/>
      <c r="G1250" s="25"/>
      <c r="J1250" s="34"/>
      <c r="K1250" s="67"/>
      <c r="L1250" s="34"/>
      <c r="M1250" s="34"/>
      <c r="N1250" s="34"/>
      <c r="O1250" s="34"/>
      <c r="P1250" s="34"/>
      <c r="Q1250" s="110"/>
    </row>
    <row r="1251" spans="6:17" s="6" customFormat="1" ht="15.75">
      <c r="F1251" s="34"/>
      <c r="G1251" s="25"/>
      <c r="J1251" s="34"/>
      <c r="K1251" s="67"/>
      <c r="L1251" s="34"/>
      <c r="M1251" s="34"/>
      <c r="N1251" s="34"/>
      <c r="O1251" s="34"/>
      <c r="P1251" s="34"/>
      <c r="Q1251" s="110"/>
    </row>
    <row r="1252" spans="6:17" s="6" customFormat="1" ht="15.75">
      <c r="F1252" s="34"/>
      <c r="G1252" s="25"/>
      <c r="J1252" s="34"/>
      <c r="K1252" s="67"/>
      <c r="L1252" s="34"/>
      <c r="M1252" s="34"/>
      <c r="N1252" s="34"/>
      <c r="O1252" s="34"/>
      <c r="P1252" s="34"/>
      <c r="Q1252" s="110"/>
    </row>
    <row r="1253" spans="6:17" s="6" customFormat="1" ht="15.75">
      <c r="F1253" s="34"/>
      <c r="G1253" s="25"/>
      <c r="J1253" s="34"/>
      <c r="K1253" s="67"/>
      <c r="L1253" s="34"/>
      <c r="M1253" s="34"/>
      <c r="N1253" s="34"/>
      <c r="O1253" s="34"/>
      <c r="P1253" s="34"/>
      <c r="Q1253" s="110"/>
    </row>
    <row r="1254" spans="6:17" s="6" customFormat="1" ht="15.75">
      <c r="F1254" s="34"/>
      <c r="G1254" s="25"/>
      <c r="J1254" s="34"/>
      <c r="K1254" s="67"/>
      <c r="L1254" s="34"/>
      <c r="M1254" s="34"/>
      <c r="N1254" s="34"/>
      <c r="O1254" s="34"/>
      <c r="P1254" s="34"/>
      <c r="Q1254" s="110"/>
    </row>
    <row r="1255" spans="6:17" s="6" customFormat="1" ht="15.75">
      <c r="F1255" s="34"/>
      <c r="G1255" s="25"/>
      <c r="J1255" s="34"/>
      <c r="K1255" s="67"/>
      <c r="L1255" s="34"/>
      <c r="M1255" s="34"/>
      <c r="N1255" s="34"/>
      <c r="O1255" s="34"/>
      <c r="P1255" s="34"/>
      <c r="Q1255" s="110"/>
    </row>
    <row r="1256" spans="6:17" s="6" customFormat="1" ht="15.75">
      <c r="F1256" s="34"/>
      <c r="G1256" s="25"/>
      <c r="J1256" s="34"/>
      <c r="K1256" s="67"/>
      <c r="L1256" s="34"/>
      <c r="M1256" s="34"/>
      <c r="N1256" s="34"/>
      <c r="O1256" s="34"/>
      <c r="P1256" s="34"/>
      <c r="Q1256" s="110"/>
    </row>
    <row r="1257" spans="6:17" s="6" customFormat="1" ht="15.75">
      <c r="F1257" s="34"/>
      <c r="G1257" s="25"/>
      <c r="J1257" s="34"/>
      <c r="K1257" s="67"/>
      <c r="L1257" s="34"/>
      <c r="M1257" s="34"/>
      <c r="N1257" s="34"/>
      <c r="O1257" s="34"/>
      <c r="P1257" s="34"/>
      <c r="Q1257" s="110"/>
    </row>
    <row r="1258" spans="6:17" s="6" customFormat="1" ht="15.75">
      <c r="F1258" s="34"/>
      <c r="G1258" s="25"/>
      <c r="J1258" s="34"/>
      <c r="K1258" s="67"/>
      <c r="L1258" s="34"/>
      <c r="M1258" s="34"/>
      <c r="N1258" s="34"/>
      <c r="O1258" s="34"/>
      <c r="P1258" s="34"/>
      <c r="Q1258" s="110"/>
    </row>
    <row r="1259" spans="6:17" s="6" customFormat="1" ht="15.75">
      <c r="F1259" s="34"/>
      <c r="G1259" s="25"/>
      <c r="J1259" s="34"/>
      <c r="K1259" s="67"/>
      <c r="L1259" s="34"/>
      <c r="M1259" s="34"/>
      <c r="N1259" s="34"/>
      <c r="O1259" s="34"/>
      <c r="P1259" s="34"/>
      <c r="Q1259" s="110"/>
    </row>
    <row r="1260" spans="6:17" s="6" customFormat="1" ht="15.75">
      <c r="F1260" s="34"/>
      <c r="G1260" s="25"/>
      <c r="J1260" s="34"/>
      <c r="K1260" s="67"/>
      <c r="L1260" s="34"/>
      <c r="M1260" s="34"/>
      <c r="N1260" s="34"/>
      <c r="O1260" s="34"/>
      <c r="P1260" s="34"/>
      <c r="Q1260" s="110"/>
    </row>
    <row r="1261" spans="6:17" s="6" customFormat="1" ht="15.75">
      <c r="F1261" s="34"/>
      <c r="G1261" s="25"/>
      <c r="J1261" s="34"/>
      <c r="K1261" s="67"/>
      <c r="L1261" s="34"/>
      <c r="M1261" s="34"/>
      <c r="N1261" s="34"/>
      <c r="O1261" s="34"/>
      <c r="P1261" s="34"/>
      <c r="Q1261" s="110"/>
    </row>
    <row r="1262" spans="6:17" s="6" customFormat="1" ht="15.75">
      <c r="F1262" s="34"/>
      <c r="G1262" s="25"/>
      <c r="J1262" s="34"/>
      <c r="K1262" s="67"/>
      <c r="L1262" s="34"/>
      <c r="M1262" s="34"/>
      <c r="N1262" s="34"/>
      <c r="O1262" s="34"/>
      <c r="P1262" s="34"/>
      <c r="Q1262" s="110"/>
    </row>
    <row r="1263" spans="6:17" s="6" customFormat="1" ht="15.75">
      <c r="F1263" s="34"/>
      <c r="G1263" s="25"/>
      <c r="J1263" s="34"/>
      <c r="K1263" s="67"/>
      <c r="L1263" s="34"/>
      <c r="M1263" s="34"/>
      <c r="N1263" s="34"/>
      <c r="O1263" s="34"/>
      <c r="P1263" s="34"/>
      <c r="Q1263" s="110"/>
    </row>
    <row r="1264" spans="6:17" s="6" customFormat="1" ht="15.75">
      <c r="F1264" s="34"/>
      <c r="G1264" s="25"/>
      <c r="J1264" s="34"/>
      <c r="K1264" s="67"/>
      <c r="L1264" s="34"/>
      <c r="M1264" s="34"/>
      <c r="N1264" s="34"/>
      <c r="O1264" s="34"/>
      <c r="P1264" s="34"/>
      <c r="Q1264" s="110"/>
    </row>
    <row r="1265" spans="6:17" s="6" customFormat="1" ht="15.75">
      <c r="F1265" s="34"/>
      <c r="G1265" s="25"/>
      <c r="J1265" s="34"/>
      <c r="K1265" s="67"/>
      <c r="L1265" s="34"/>
      <c r="M1265" s="34"/>
      <c r="N1265" s="34"/>
      <c r="O1265" s="34"/>
      <c r="P1265" s="34"/>
      <c r="Q1265" s="110"/>
    </row>
    <row r="1266" spans="6:17" s="6" customFormat="1" ht="15.75">
      <c r="F1266" s="34"/>
      <c r="G1266" s="25"/>
      <c r="J1266" s="34"/>
      <c r="K1266" s="67"/>
      <c r="L1266" s="34"/>
      <c r="M1266" s="34"/>
      <c r="N1266" s="34"/>
      <c r="O1266" s="34"/>
      <c r="P1266" s="34"/>
      <c r="Q1266" s="110"/>
    </row>
    <row r="1267" spans="6:17" s="6" customFormat="1" ht="15.75">
      <c r="F1267" s="34"/>
      <c r="G1267" s="25"/>
      <c r="J1267" s="34"/>
      <c r="K1267" s="67"/>
      <c r="L1267" s="34"/>
      <c r="M1267" s="34"/>
      <c r="N1267" s="34"/>
      <c r="O1267" s="34"/>
      <c r="P1267" s="34"/>
      <c r="Q1267" s="110"/>
    </row>
    <row r="1268" spans="6:17" s="6" customFormat="1" ht="15.75">
      <c r="F1268" s="34"/>
      <c r="G1268" s="25"/>
      <c r="J1268" s="34"/>
      <c r="K1268" s="67"/>
      <c r="L1268" s="34"/>
      <c r="M1268" s="34"/>
      <c r="N1268" s="34"/>
      <c r="O1268" s="34"/>
      <c r="P1268" s="34"/>
      <c r="Q1268" s="110"/>
    </row>
    <row r="1269" spans="6:17" s="6" customFormat="1" ht="15.75">
      <c r="F1269" s="34"/>
      <c r="G1269" s="25"/>
      <c r="J1269" s="34"/>
      <c r="K1269" s="67"/>
      <c r="L1269" s="34"/>
      <c r="M1269" s="34"/>
      <c r="N1269" s="34"/>
      <c r="O1269" s="34"/>
      <c r="P1269" s="34"/>
      <c r="Q1269" s="110"/>
    </row>
    <row r="1270" spans="6:17" s="6" customFormat="1" ht="15.75">
      <c r="F1270" s="34"/>
      <c r="G1270" s="25"/>
      <c r="J1270" s="34"/>
      <c r="K1270" s="67"/>
      <c r="L1270" s="34"/>
      <c r="M1270" s="34"/>
      <c r="N1270" s="34"/>
      <c r="O1270" s="34"/>
      <c r="P1270" s="34"/>
      <c r="Q1270" s="110"/>
    </row>
    <row r="1271" spans="6:17" s="6" customFormat="1" ht="15.75">
      <c r="F1271" s="34"/>
      <c r="G1271" s="25"/>
      <c r="J1271" s="34"/>
      <c r="K1271" s="67"/>
      <c r="L1271" s="34"/>
      <c r="M1271" s="34"/>
      <c r="N1271" s="34"/>
      <c r="O1271" s="34"/>
      <c r="P1271" s="34"/>
      <c r="Q1271" s="110"/>
    </row>
    <row r="1272" spans="6:17" s="6" customFormat="1" ht="15.75">
      <c r="F1272" s="34"/>
      <c r="G1272" s="25"/>
      <c r="J1272" s="34"/>
      <c r="K1272" s="67"/>
      <c r="L1272" s="34"/>
      <c r="M1272" s="34"/>
      <c r="N1272" s="34"/>
      <c r="O1272" s="34"/>
      <c r="P1272" s="34"/>
      <c r="Q1272" s="110"/>
    </row>
    <row r="1273" spans="6:17" s="6" customFormat="1" ht="15.75">
      <c r="F1273" s="34"/>
      <c r="G1273" s="25"/>
      <c r="J1273" s="34"/>
      <c r="K1273" s="67"/>
      <c r="L1273" s="34"/>
      <c r="M1273" s="34"/>
      <c r="N1273" s="34"/>
      <c r="O1273" s="34"/>
      <c r="P1273" s="34"/>
      <c r="Q1273" s="110"/>
    </row>
    <row r="1274" spans="6:17" s="6" customFormat="1" ht="15.75">
      <c r="F1274" s="34"/>
      <c r="G1274" s="25"/>
      <c r="J1274" s="34"/>
      <c r="K1274" s="67"/>
      <c r="L1274" s="34"/>
      <c r="M1274" s="34"/>
      <c r="N1274" s="34"/>
      <c r="O1274" s="34"/>
      <c r="P1274" s="34"/>
      <c r="Q1274" s="110"/>
    </row>
    <row r="1275" spans="6:17" s="6" customFormat="1" ht="15.75">
      <c r="F1275" s="34"/>
      <c r="G1275" s="25"/>
      <c r="J1275" s="34"/>
      <c r="K1275" s="67"/>
      <c r="L1275" s="34"/>
      <c r="M1275" s="34"/>
      <c r="N1275" s="34"/>
      <c r="O1275" s="34"/>
      <c r="P1275" s="34"/>
      <c r="Q1275" s="110"/>
    </row>
    <row r="1276" spans="6:17" s="6" customFormat="1" ht="15.75">
      <c r="F1276" s="34"/>
      <c r="G1276" s="25"/>
      <c r="J1276" s="34"/>
      <c r="K1276" s="67"/>
      <c r="L1276" s="34"/>
      <c r="M1276" s="34"/>
      <c r="N1276" s="34"/>
      <c r="O1276" s="34"/>
      <c r="P1276" s="34"/>
      <c r="Q1276" s="110"/>
    </row>
    <row r="1277" spans="6:17" s="6" customFormat="1" ht="15.75">
      <c r="F1277" s="34"/>
      <c r="G1277" s="25"/>
      <c r="J1277" s="34"/>
      <c r="K1277" s="67"/>
      <c r="L1277" s="34"/>
      <c r="M1277" s="34"/>
      <c r="N1277" s="34"/>
      <c r="O1277" s="34"/>
      <c r="P1277" s="34"/>
      <c r="Q1277" s="110"/>
    </row>
    <row r="1278" spans="6:17" s="6" customFormat="1" ht="15.75">
      <c r="F1278" s="34"/>
      <c r="G1278" s="25"/>
      <c r="J1278" s="34"/>
      <c r="K1278" s="67"/>
      <c r="L1278" s="34"/>
      <c r="M1278" s="34"/>
      <c r="N1278" s="34"/>
      <c r="O1278" s="34"/>
      <c r="P1278" s="34"/>
      <c r="Q1278" s="110"/>
    </row>
    <row r="1279" spans="6:17" s="6" customFormat="1" ht="15.75">
      <c r="F1279" s="34"/>
      <c r="G1279" s="25"/>
      <c r="J1279" s="34"/>
      <c r="K1279" s="67"/>
      <c r="L1279" s="34"/>
      <c r="M1279" s="34"/>
      <c r="N1279" s="34"/>
      <c r="O1279" s="34"/>
      <c r="P1279" s="34"/>
      <c r="Q1279" s="110"/>
    </row>
    <row r="1280" spans="6:17" s="6" customFormat="1" ht="15.75">
      <c r="F1280" s="34"/>
      <c r="G1280" s="25"/>
      <c r="J1280" s="34"/>
      <c r="K1280" s="67"/>
      <c r="L1280" s="34"/>
      <c r="M1280" s="34"/>
      <c r="N1280" s="34"/>
      <c r="O1280" s="34"/>
      <c r="P1280" s="34"/>
      <c r="Q1280" s="110"/>
    </row>
    <row r="1281" spans="6:17" s="6" customFormat="1" ht="15.75">
      <c r="F1281" s="34"/>
      <c r="G1281" s="25"/>
      <c r="J1281" s="34"/>
      <c r="K1281" s="67"/>
      <c r="L1281" s="34"/>
      <c r="M1281" s="34"/>
      <c r="N1281" s="34"/>
      <c r="O1281" s="34"/>
      <c r="P1281" s="34"/>
      <c r="Q1281" s="110"/>
    </row>
    <row r="1282" spans="6:17" s="6" customFormat="1" ht="15.75">
      <c r="F1282" s="34"/>
      <c r="G1282" s="25"/>
      <c r="J1282" s="34"/>
      <c r="K1282" s="67"/>
      <c r="L1282" s="34"/>
      <c r="M1282" s="34"/>
      <c r="N1282" s="34"/>
      <c r="O1282" s="34"/>
      <c r="P1282" s="34"/>
      <c r="Q1282" s="110"/>
    </row>
    <row r="1283" spans="6:17" s="6" customFormat="1" ht="15.75">
      <c r="F1283" s="34"/>
      <c r="G1283" s="25"/>
      <c r="J1283" s="34"/>
      <c r="K1283" s="67"/>
      <c r="L1283" s="34"/>
      <c r="M1283" s="34"/>
      <c r="N1283" s="34"/>
      <c r="O1283" s="34"/>
      <c r="P1283" s="34"/>
      <c r="Q1283" s="110"/>
    </row>
    <row r="1284" spans="6:17" s="6" customFormat="1" ht="15.75">
      <c r="F1284" s="34"/>
      <c r="G1284" s="25"/>
      <c r="J1284" s="34"/>
      <c r="K1284" s="67"/>
      <c r="L1284" s="34"/>
      <c r="M1284" s="34"/>
      <c r="N1284" s="34"/>
      <c r="O1284" s="34"/>
      <c r="P1284" s="34"/>
      <c r="Q1284" s="110"/>
    </row>
    <row r="1285" spans="6:17" s="6" customFormat="1" ht="15.75">
      <c r="F1285" s="34"/>
      <c r="G1285" s="25"/>
      <c r="J1285" s="34"/>
      <c r="K1285" s="67"/>
      <c r="L1285" s="34"/>
      <c r="M1285" s="34"/>
      <c r="N1285" s="34"/>
      <c r="O1285" s="34"/>
      <c r="P1285" s="34"/>
      <c r="Q1285" s="110"/>
    </row>
    <row r="1286" spans="6:17" s="6" customFormat="1" ht="15.75">
      <c r="F1286" s="34"/>
      <c r="G1286" s="25"/>
      <c r="J1286" s="34"/>
      <c r="K1286" s="67"/>
      <c r="L1286" s="34"/>
      <c r="M1286" s="34"/>
      <c r="N1286" s="34"/>
      <c r="O1286" s="34"/>
      <c r="P1286" s="34"/>
      <c r="Q1286" s="110"/>
    </row>
    <row r="1287" spans="6:17" s="6" customFormat="1" ht="15.75">
      <c r="F1287" s="34"/>
      <c r="G1287" s="25"/>
      <c r="J1287" s="34"/>
      <c r="K1287" s="67"/>
      <c r="L1287" s="34"/>
      <c r="M1287" s="34"/>
      <c r="N1287" s="34"/>
      <c r="O1287" s="34"/>
      <c r="P1287" s="34"/>
      <c r="Q1287" s="110"/>
    </row>
    <row r="1288" spans="6:17" s="6" customFormat="1" ht="15.75">
      <c r="F1288" s="34"/>
      <c r="G1288" s="25"/>
      <c r="J1288" s="34"/>
      <c r="K1288" s="67"/>
      <c r="L1288" s="34"/>
      <c r="M1288" s="34"/>
      <c r="N1288" s="34"/>
      <c r="O1288" s="34"/>
      <c r="P1288" s="34"/>
      <c r="Q1288" s="110"/>
    </row>
    <row r="1289" spans="6:17" s="6" customFormat="1" ht="15.75">
      <c r="F1289" s="34"/>
      <c r="G1289" s="25"/>
      <c r="J1289" s="34"/>
      <c r="K1289" s="67"/>
      <c r="L1289" s="34"/>
      <c r="M1289" s="34"/>
      <c r="N1289" s="34"/>
      <c r="O1289" s="34"/>
      <c r="P1289" s="34"/>
      <c r="Q1289" s="110"/>
    </row>
    <row r="1290" spans="6:17" s="6" customFormat="1" ht="15.75">
      <c r="F1290" s="34"/>
      <c r="G1290" s="25"/>
      <c r="J1290" s="34"/>
      <c r="K1290" s="67"/>
      <c r="L1290" s="34"/>
      <c r="M1290" s="34"/>
      <c r="N1290" s="34"/>
      <c r="O1290" s="34"/>
      <c r="P1290" s="34"/>
      <c r="Q1290" s="110"/>
    </row>
    <row r="1291" spans="6:17" s="6" customFormat="1" ht="15.75">
      <c r="F1291" s="34"/>
      <c r="G1291" s="25"/>
      <c r="J1291" s="34"/>
      <c r="K1291" s="67"/>
      <c r="L1291" s="34"/>
      <c r="M1291" s="34"/>
      <c r="N1291" s="34"/>
      <c r="O1291" s="34"/>
      <c r="P1291" s="34"/>
      <c r="Q1291" s="110"/>
    </row>
    <row r="1292" spans="6:17" s="6" customFormat="1" ht="15.75">
      <c r="F1292" s="34"/>
      <c r="G1292" s="25"/>
      <c r="J1292" s="34"/>
      <c r="K1292" s="67"/>
      <c r="L1292" s="34"/>
      <c r="M1292" s="34"/>
      <c r="N1292" s="34"/>
      <c r="O1292" s="34"/>
      <c r="P1292" s="34"/>
      <c r="Q1292" s="110"/>
    </row>
    <row r="1293" spans="6:17" s="6" customFormat="1" ht="15.75">
      <c r="F1293" s="34"/>
      <c r="G1293" s="25"/>
      <c r="J1293" s="34"/>
      <c r="K1293" s="67"/>
      <c r="L1293" s="34"/>
      <c r="M1293" s="34"/>
      <c r="N1293" s="34"/>
      <c r="O1293" s="34"/>
      <c r="P1293" s="34"/>
      <c r="Q1293" s="110"/>
    </row>
    <row r="1294" spans="6:17" s="6" customFormat="1" ht="15.75">
      <c r="F1294" s="34"/>
      <c r="G1294" s="25"/>
      <c r="J1294" s="34"/>
      <c r="K1294" s="67"/>
      <c r="L1294" s="34"/>
      <c r="M1294" s="34"/>
      <c r="N1294" s="34"/>
      <c r="O1294" s="34"/>
      <c r="P1294" s="34"/>
      <c r="Q1294" s="110"/>
    </row>
    <row r="1295" spans="6:17" s="6" customFormat="1" ht="15.75">
      <c r="F1295" s="34"/>
      <c r="G1295" s="25"/>
      <c r="J1295" s="34"/>
      <c r="K1295" s="67"/>
      <c r="L1295" s="34"/>
      <c r="M1295" s="34"/>
      <c r="N1295" s="34"/>
      <c r="O1295" s="34"/>
      <c r="P1295" s="34"/>
      <c r="Q1295" s="110"/>
    </row>
    <row r="1296" spans="6:17" s="6" customFormat="1" ht="15.75">
      <c r="F1296" s="34"/>
      <c r="G1296" s="25"/>
      <c r="J1296" s="34"/>
      <c r="K1296" s="67"/>
      <c r="L1296" s="34"/>
      <c r="M1296" s="34"/>
      <c r="N1296" s="34"/>
      <c r="O1296" s="34"/>
      <c r="P1296" s="34"/>
      <c r="Q1296" s="110"/>
    </row>
    <row r="1297" spans="6:17" s="6" customFormat="1" ht="15.75">
      <c r="F1297" s="34"/>
      <c r="G1297" s="25"/>
      <c r="J1297" s="34"/>
      <c r="K1297" s="67"/>
      <c r="L1297" s="34"/>
      <c r="M1297" s="34"/>
      <c r="N1297" s="34"/>
      <c r="O1297" s="34"/>
      <c r="P1297" s="34"/>
      <c r="Q1297" s="110"/>
    </row>
    <row r="1298" spans="6:17" s="6" customFormat="1" ht="15.75">
      <c r="F1298" s="34"/>
      <c r="G1298" s="25"/>
      <c r="J1298" s="34"/>
      <c r="K1298" s="67"/>
      <c r="L1298" s="34"/>
      <c r="M1298" s="34"/>
      <c r="N1298" s="34"/>
      <c r="O1298" s="34"/>
      <c r="P1298" s="34"/>
      <c r="Q1298" s="110"/>
    </row>
    <row r="1299" spans="6:17" s="6" customFormat="1" ht="15.75">
      <c r="F1299" s="34"/>
      <c r="G1299" s="25"/>
      <c r="J1299" s="34"/>
      <c r="K1299" s="67"/>
      <c r="L1299" s="34"/>
      <c r="M1299" s="34"/>
      <c r="N1299" s="34"/>
      <c r="O1299" s="34"/>
      <c r="P1299" s="34"/>
      <c r="Q1299" s="110"/>
    </row>
    <row r="1300" spans="6:17" s="6" customFormat="1" ht="15.75">
      <c r="F1300" s="34"/>
      <c r="G1300" s="25"/>
      <c r="J1300" s="34"/>
      <c r="K1300" s="67"/>
      <c r="L1300" s="34"/>
      <c r="M1300" s="34"/>
      <c r="N1300" s="34"/>
      <c r="O1300" s="34"/>
      <c r="P1300" s="34"/>
      <c r="Q1300" s="110"/>
    </row>
    <row r="1301" spans="6:17" s="6" customFormat="1" ht="15.75">
      <c r="F1301" s="34"/>
      <c r="G1301" s="25"/>
      <c r="J1301" s="34"/>
      <c r="K1301" s="67"/>
      <c r="L1301" s="34"/>
      <c r="M1301" s="34"/>
      <c r="N1301" s="34"/>
      <c r="O1301" s="34"/>
      <c r="P1301" s="34"/>
      <c r="Q1301" s="110"/>
    </row>
    <row r="1302" spans="6:17" s="6" customFormat="1" ht="15.75">
      <c r="F1302" s="34"/>
      <c r="G1302" s="25"/>
      <c r="J1302" s="34"/>
      <c r="K1302" s="67"/>
      <c r="L1302" s="34"/>
      <c r="M1302" s="34"/>
      <c r="N1302" s="34"/>
      <c r="O1302" s="34"/>
      <c r="P1302" s="34"/>
      <c r="Q1302" s="110"/>
    </row>
    <row r="1303" spans="6:17" s="6" customFormat="1" ht="15.75">
      <c r="F1303" s="34"/>
      <c r="G1303" s="25"/>
      <c r="J1303" s="34"/>
      <c r="K1303" s="67"/>
      <c r="L1303" s="34"/>
      <c r="M1303" s="34"/>
      <c r="N1303" s="34"/>
      <c r="O1303" s="34"/>
      <c r="P1303" s="34"/>
      <c r="Q1303" s="110"/>
    </row>
    <row r="1304" spans="6:17" s="6" customFormat="1" ht="15.75">
      <c r="F1304" s="34"/>
      <c r="G1304" s="25"/>
      <c r="J1304" s="34"/>
      <c r="K1304" s="67"/>
      <c r="L1304" s="34"/>
      <c r="M1304" s="34"/>
      <c r="N1304" s="34"/>
      <c r="O1304" s="34"/>
      <c r="P1304" s="34"/>
      <c r="Q1304" s="110"/>
    </row>
    <row r="1305" spans="6:17" s="6" customFormat="1" ht="15.75">
      <c r="F1305" s="34"/>
      <c r="G1305" s="25"/>
      <c r="J1305" s="34"/>
      <c r="K1305" s="67"/>
      <c r="L1305" s="34"/>
      <c r="M1305" s="34"/>
      <c r="N1305" s="34"/>
      <c r="O1305" s="34"/>
      <c r="P1305" s="34"/>
      <c r="Q1305" s="110"/>
    </row>
    <row r="1306" spans="6:17" s="6" customFormat="1" ht="15.75">
      <c r="F1306" s="34"/>
      <c r="G1306" s="25"/>
      <c r="J1306" s="34"/>
      <c r="K1306" s="67"/>
      <c r="L1306" s="34"/>
      <c r="M1306" s="34"/>
      <c r="N1306" s="34"/>
      <c r="O1306" s="34"/>
      <c r="P1306" s="34"/>
      <c r="Q1306" s="110"/>
    </row>
    <row r="1307" spans="6:17" s="6" customFormat="1" ht="15.75">
      <c r="F1307" s="34"/>
      <c r="G1307" s="25"/>
      <c r="J1307" s="34"/>
      <c r="K1307" s="67"/>
      <c r="L1307" s="34"/>
      <c r="M1307" s="34"/>
      <c r="N1307" s="34"/>
      <c r="O1307" s="34"/>
      <c r="P1307" s="34"/>
      <c r="Q1307" s="110"/>
    </row>
    <row r="1308" spans="6:17" s="6" customFormat="1" ht="15.75">
      <c r="F1308" s="34"/>
      <c r="G1308" s="25"/>
      <c r="J1308" s="34"/>
      <c r="K1308" s="67"/>
      <c r="L1308" s="34"/>
      <c r="M1308" s="34"/>
      <c r="N1308" s="34"/>
      <c r="O1308" s="34"/>
      <c r="P1308" s="34"/>
      <c r="Q1308" s="110"/>
    </row>
    <row r="1309" spans="6:17" s="6" customFormat="1" ht="15.75">
      <c r="F1309" s="34"/>
      <c r="G1309" s="25"/>
      <c r="J1309" s="34"/>
      <c r="K1309" s="67"/>
      <c r="L1309" s="34"/>
      <c r="M1309" s="34"/>
      <c r="N1309" s="34"/>
      <c r="O1309" s="34"/>
      <c r="P1309" s="34"/>
      <c r="Q1309" s="110"/>
    </row>
    <row r="1310" spans="6:17" s="6" customFormat="1" ht="15.75">
      <c r="F1310" s="34"/>
      <c r="G1310" s="25"/>
      <c r="J1310" s="34"/>
      <c r="K1310" s="67"/>
      <c r="L1310" s="34"/>
      <c r="M1310" s="34"/>
      <c r="N1310" s="34"/>
      <c r="O1310" s="34"/>
      <c r="P1310" s="34"/>
      <c r="Q1310" s="110"/>
    </row>
    <row r="1311" spans="6:17" s="6" customFormat="1" ht="15.75">
      <c r="F1311" s="34"/>
      <c r="G1311" s="25"/>
      <c r="J1311" s="34"/>
      <c r="K1311" s="67"/>
      <c r="L1311" s="34"/>
      <c r="M1311" s="34"/>
      <c r="N1311" s="34"/>
      <c r="O1311" s="34"/>
      <c r="P1311" s="34"/>
      <c r="Q1311" s="110"/>
    </row>
    <row r="1312" spans="6:17" s="6" customFormat="1" ht="15.75">
      <c r="F1312" s="34"/>
      <c r="G1312" s="25"/>
      <c r="J1312" s="34"/>
      <c r="K1312" s="67"/>
      <c r="L1312" s="34"/>
      <c r="M1312" s="34"/>
      <c r="N1312" s="34"/>
      <c r="O1312" s="34"/>
      <c r="P1312" s="34"/>
      <c r="Q1312" s="110"/>
    </row>
    <row r="1313" spans="6:17" s="6" customFormat="1" ht="15.75">
      <c r="F1313" s="34"/>
      <c r="G1313" s="25"/>
      <c r="J1313" s="34"/>
      <c r="K1313" s="67"/>
      <c r="L1313" s="34"/>
      <c r="M1313" s="34"/>
      <c r="N1313" s="34"/>
      <c r="O1313" s="34"/>
      <c r="P1313" s="34"/>
      <c r="Q1313" s="110"/>
    </row>
    <row r="1314" spans="6:17" s="6" customFormat="1" ht="15.75">
      <c r="F1314" s="34"/>
      <c r="G1314" s="25"/>
      <c r="J1314" s="34"/>
      <c r="K1314" s="67"/>
      <c r="L1314" s="34"/>
      <c r="M1314" s="34"/>
      <c r="N1314" s="34"/>
      <c r="O1314" s="34"/>
      <c r="P1314" s="34"/>
      <c r="Q1314" s="110"/>
    </row>
    <row r="1315" spans="6:17" s="6" customFormat="1" ht="15.75">
      <c r="F1315" s="34"/>
      <c r="G1315" s="25"/>
      <c r="J1315" s="34"/>
      <c r="K1315" s="67"/>
      <c r="L1315" s="34"/>
      <c r="M1315" s="34"/>
      <c r="N1315" s="34"/>
      <c r="O1315" s="34"/>
      <c r="P1315" s="34"/>
      <c r="Q1315" s="110"/>
    </row>
    <row r="1316" spans="6:17" s="6" customFormat="1" ht="15.75">
      <c r="F1316" s="34"/>
      <c r="G1316" s="25"/>
      <c r="J1316" s="34"/>
      <c r="K1316" s="67"/>
      <c r="L1316" s="34"/>
      <c r="M1316" s="34"/>
      <c r="N1316" s="34"/>
      <c r="O1316" s="34"/>
      <c r="P1316" s="34"/>
      <c r="Q1316" s="34"/>
    </row>
    <row r="1317" spans="6:17" s="6" customFormat="1" ht="15.75">
      <c r="F1317" s="34"/>
      <c r="G1317" s="25"/>
      <c r="J1317" s="34"/>
      <c r="K1317" s="67"/>
      <c r="L1317" s="34"/>
      <c r="M1317" s="34"/>
      <c r="N1317" s="34"/>
      <c r="O1317" s="34"/>
      <c r="P1317" s="34"/>
      <c r="Q1317" s="34"/>
    </row>
    <row r="1318" spans="6:17" s="6" customFormat="1" ht="15.75">
      <c r="F1318" s="34"/>
      <c r="G1318" s="25"/>
      <c r="J1318" s="34"/>
      <c r="K1318" s="67"/>
      <c r="L1318" s="34"/>
      <c r="M1318" s="34"/>
      <c r="N1318" s="34"/>
      <c r="O1318" s="34"/>
      <c r="P1318" s="34"/>
      <c r="Q1318" s="34"/>
    </row>
    <row r="1319" spans="6:17" s="6" customFormat="1" ht="15.75">
      <c r="F1319" s="34"/>
      <c r="G1319" s="25"/>
      <c r="J1319" s="34"/>
      <c r="K1319" s="67"/>
      <c r="L1319" s="34"/>
      <c r="M1319" s="34"/>
      <c r="N1319" s="34"/>
      <c r="O1319" s="34"/>
      <c r="P1319" s="34"/>
      <c r="Q1319" s="34"/>
    </row>
    <row r="1320" spans="6:17" s="6" customFormat="1" ht="15.75">
      <c r="F1320" s="34"/>
      <c r="G1320" s="25"/>
      <c r="J1320" s="34"/>
      <c r="K1320" s="67"/>
      <c r="L1320" s="34"/>
      <c r="M1320" s="34"/>
      <c r="N1320" s="34"/>
      <c r="O1320" s="34"/>
      <c r="P1320" s="34"/>
      <c r="Q1320" s="34"/>
    </row>
    <row r="1321" spans="6:17" s="6" customFormat="1" ht="15.75">
      <c r="F1321" s="34"/>
      <c r="G1321" s="25"/>
      <c r="J1321" s="34"/>
      <c r="K1321" s="67"/>
      <c r="L1321" s="34"/>
      <c r="M1321" s="34"/>
      <c r="N1321" s="34"/>
      <c r="O1321" s="34"/>
      <c r="P1321" s="34"/>
      <c r="Q1321" s="34"/>
    </row>
    <row r="1322" spans="6:17" s="6" customFormat="1" ht="15.75">
      <c r="F1322" s="34"/>
      <c r="G1322" s="25"/>
      <c r="J1322" s="34"/>
      <c r="K1322" s="67"/>
      <c r="L1322" s="34"/>
      <c r="M1322" s="34"/>
      <c r="N1322" s="34"/>
      <c r="O1322" s="34"/>
      <c r="P1322" s="34"/>
      <c r="Q1322" s="34"/>
    </row>
    <row r="1323" spans="6:17" s="6" customFormat="1" ht="15.75">
      <c r="F1323" s="34"/>
      <c r="G1323" s="25"/>
      <c r="J1323" s="34"/>
      <c r="K1323" s="67"/>
      <c r="L1323" s="34"/>
      <c r="M1323" s="34"/>
      <c r="N1323" s="34"/>
      <c r="O1323" s="34"/>
      <c r="P1323" s="34"/>
      <c r="Q1323" s="34"/>
    </row>
    <row r="1324" spans="6:17" s="6" customFormat="1" ht="15.75">
      <c r="F1324" s="34"/>
      <c r="G1324" s="25"/>
      <c r="J1324" s="34"/>
      <c r="K1324" s="67"/>
      <c r="L1324" s="34"/>
      <c r="M1324" s="34"/>
      <c r="N1324" s="34"/>
      <c r="O1324" s="34"/>
      <c r="P1324" s="34"/>
      <c r="Q1324" s="34"/>
    </row>
    <row r="1325" spans="6:17" s="6" customFormat="1" ht="15.75">
      <c r="F1325" s="34"/>
      <c r="G1325" s="25"/>
      <c r="J1325" s="34"/>
      <c r="K1325" s="67"/>
      <c r="L1325" s="34"/>
      <c r="M1325" s="34"/>
      <c r="N1325" s="34"/>
      <c r="O1325" s="34"/>
      <c r="P1325" s="34"/>
      <c r="Q1325" s="34"/>
    </row>
    <row r="1326" spans="6:17" s="6" customFormat="1" ht="15.75">
      <c r="F1326" s="34"/>
      <c r="G1326" s="25"/>
      <c r="J1326" s="34"/>
      <c r="K1326" s="67"/>
      <c r="L1326" s="34"/>
      <c r="M1326" s="34"/>
      <c r="N1326" s="34"/>
      <c r="O1326" s="34"/>
      <c r="P1326" s="34"/>
      <c r="Q1326" s="34"/>
    </row>
    <row r="1327" spans="6:17" s="6" customFormat="1" ht="15.75">
      <c r="F1327" s="34"/>
      <c r="G1327" s="25"/>
      <c r="J1327" s="34"/>
      <c r="K1327" s="67"/>
      <c r="L1327" s="34"/>
      <c r="M1327" s="34"/>
      <c r="N1327" s="34"/>
      <c r="O1327" s="34"/>
      <c r="P1327" s="34"/>
      <c r="Q1327" s="34"/>
    </row>
    <row r="1328" spans="6:17" s="6" customFormat="1" ht="15.75">
      <c r="F1328" s="34"/>
      <c r="G1328" s="25"/>
      <c r="J1328" s="34"/>
      <c r="K1328" s="67"/>
      <c r="L1328" s="34"/>
      <c r="M1328" s="34"/>
      <c r="N1328" s="34"/>
      <c r="O1328" s="34"/>
      <c r="P1328" s="34"/>
      <c r="Q1328" s="34"/>
    </row>
    <row r="1329" spans="6:17" s="6" customFormat="1" ht="15.75">
      <c r="F1329" s="34"/>
      <c r="G1329" s="25"/>
      <c r="J1329" s="34"/>
      <c r="K1329" s="67"/>
      <c r="L1329" s="34"/>
      <c r="M1329" s="34"/>
      <c r="N1329" s="34"/>
      <c r="O1329" s="34"/>
      <c r="P1329" s="34"/>
      <c r="Q1329" s="34"/>
    </row>
    <row r="1330" spans="6:17" s="6" customFormat="1" ht="15.75">
      <c r="F1330" s="34"/>
      <c r="G1330" s="25"/>
      <c r="J1330" s="34"/>
      <c r="K1330" s="67"/>
      <c r="L1330" s="34"/>
      <c r="M1330" s="34"/>
      <c r="N1330" s="34"/>
      <c r="O1330" s="34"/>
      <c r="P1330" s="34"/>
      <c r="Q1330" s="34"/>
    </row>
    <row r="1331" spans="6:17" s="6" customFormat="1" ht="15.75">
      <c r="F1331" s="34"/>
      <c r="G1331" s="25"/>
      <c r="J1331" s="34"/>
      <c r="K1331" s="67"/>
      <c r="L1331" s="34"/>
      <c r="M1331" s="34"/>
      <c r="N1331" s="34"/>
      <c r="O1331" s="34"/>
      <c r="P1331" s="34"/>
      <c r="Q1331" s="34"/>
    </row>
    <row r="1332" spans="6:17" s="6" customFormat="1" ht="15.75">
      <c r="F1332" s="34"/>
      <c r="G1332" s="25"/>
      <c r="J1332" s="34"/>
      <c r="K1332" s="67"/>
      <c r="L1332" s="34"/>
      <c r="M1332" s="34"/>
      <c r="N1332" s="34"/>
      <c r="O1332" s="34"/>
      <c r="P1332" s="34"/>
      <c r="Q1332" s="34"/>
    </row>
    <row r="1333" spans="6:17" s="6" customFormat="1" ht="15.75">
      <c r="F1333" s="34"/>
      <c r="G1333" s="25"/>
      <c r="J1333" s="34"/>
      <c r="K1333" s="67"/>
      <c r="L1333" s="34"/>
      <c r="M1333" s="34"/>
      <c r="N1333" s="34"/>
      <c r="O1333" s="34"/>
      <c r="P1333" s="34"/>
      <c r="Q1333" s="34"/>
    </row>
    <row r="1334" spans="6:17" s="6" customFormat="1" ht="15.75">
      <c r="F1334" s="34"/>
      <c r="G1334" s="25"/>
      <c r="J1334" s="34"/>
      <c r="K1334" s="67"/>
      <c r="L1334" s="34"/>
      <c r="M1334" s="34"/>
      <c r="N1334" s="34"/>
      <c r="O1334" s="34"/>
      <c r="P1334" s="34"/>
      <c r="Q1334" s="34"/>
    </row>
    <row r="1335" spans="6:17" s="6" customFormat="1" ht="15.75">
      <c r="F1335" s="34"/>
      <c r="G1335" s="25"/>
      <c r="J1335" s="34"/>
      <c r="K1335" s="67"/>
      <c r="L1335" s="34"/>
      <c r="M1335" s="34"/>
      <c r="N1335" s="34"/>
      <c r="O1335" s="34"/>
      <c r="P1335" s="34"/>
      <c r="Q1335" s="34"/>
    </row>
    <row r="1336" spans="6:17" s="6" customFormat="1" ht="15.75">
      <c r="F1336" s="34"/>
      <c r="G1336" s="25"/>
      <c r="J1336" s="34"/>
      <c r="K1336" s="67"/>
      <c r="L1336" s="34"/>
      <c r="M1336" s="34"/>
      <c r="N1336" s="34"/>
      <c r="O1336" s="34"/>
      <c r="P1336" s="34"/>
      <c r="Q1336" s="34"/>
    </row>
    <row r="1337" spans="6:17" s="6" customFormat="1" ht="15.75">
      <c r="F1337" s="34"/>
      <c r="G1337" s="25"/>
      <c r="J1337" s="34"/>
      <c r="K1337" s="67"/>
      <c r="L1337" s="34"/>
      <c r="M1337" s="34"/>
      <c r="N1337" s="34"/>
      <c r="O1337" s="34"/>
      <c r="P1337" s="34"/>
      <c r="Q1337" s="34"/>
    </row>
    <row r="1338" spans="6:17" s="6" customFormat="1" ht="15.75">
      <c r="F1338" s="34"/>
      <c r="G1338" s="25"/>
      <c r="J1338" s="34"/>
      <c r="K1338" s="67"/>
      <c r="L1338" s="34"/>
      <c r="M1338" s="34"/>
      <c r="N1338" s="34"/>
      <c r="O1338" s="34"/>
      <c r="P1338" s="34"/>
      <c r="Q1338" s="34"/>
    </row>
    <row r="1339" spans="6:17" s="6" customFormat="1" ht="15.75">
      <c r="F1339" s="34"/>
      <c r="G1339" s="25"/>
      <c r="J1339" s="34"/>
      <c r="K1339" s="67"/>
      <c r="L1339" s="34"/>
      <c r="M1339" s="34"/>
      <c r="N1339" s="34"/>
      <c r="O1339" s="34"/>
      <c r="P1339" s="34"/>
      <c r="Q1339" s="34"/>
    </row>
    <row r="1340" spans="6:17" s="6" customFormat="1" ht="15.75">
      <c r="F1340" s="34"/>
      <c r="G1340" s="25"/>
      <c r="J1340" s="34"/>
      <c r="K1340" s="67"/>
      <c r="L1340" s="34"/>
      <c r="M1340" s="34"/>
      <c r="N1340" s="34"/>
      <c r="O1340" s="34"/>
      <c r="P1340" s="34"/>
      <c r="Q1340" s="34"/>
    </row>
    <row r="1341" spans="6:17" s="6" customFormat="1" ht="15.75">
      <c r="F1341" s="34"/>
      <c r="G1341" s="25"/>
      <c r="J1341" s="34"/>
      <c r="K1341" s="67"/>
      <c r="L1341" s="34"/>
      <c r="M1341" s="34"/>
      <c r="N1341" s="34"/>
      <c r="O1341" s="34"/>
      <c r="P1341" s="34"/>
      <c r="Q1341" s="34"/>
    </row>
    <row r="1342" spans="6:17" s="6" customFormat="1" ht="15.75">
      <c r="F1342" s="34"/>
      <c r="G1342" s="25"/>
      <c r="J1342" s="34"/>
      <c r="K1342" s="67"/>
      <c r="L1342" s="34"/>
      <c r="M1342" s="34"/>
      <c r="N1342" s="34"/>
      <c r="O1342" s="34"/>
      <c r="P1342" s="34"/>
      <c r="Q1342" s="34"/>
    </row>
    <row r="1343" spans="6:17" s="6" customFormat="1" ht="15.75">
      <c r="F1343" s="34"/>
      <c r="G1343" s="25"/>
      <c r="J1343" s="34"/>
      <c r="K1343" s="67"/>
      <c r="L1343" s="34"/>
      <c r="M1343" s="34"/>
      <c r="N1343" s="34"/>
      <c r="O1343" s="34"/>
      <c r="P1343" s="34"/>
      <c r="Q1343" s="34"/>
    </row>
    <row r="1344" spans="6:17" s="6" customFormat="1" ht="15.75">
      <c r="F1344" s="34"/>
      <c r="G1344" s="25"/>
      <c r="J1344" s="34"/>
      <c r="K1344" s="67"/>
      <c r="L1344" s="34"/>
      <c r="M1344" s="34"/>
      <c r="N1344" s="34"/>
      <c r="O1344" s="34"/>
      <c r="P1344" s="34"/>
      <c r="Q1344" s="34"/>
    </row>
    <row r="1345" spans="6:17" s="6" customFormat="1" ht="15.75">
      <c r="F1345" s="34"/>
      <c r="G1345" s="25"/>
      <c r="J1345" s="34"/>
      <c r="K1345" s="67"/>
      <c r="L1345" s="34"/>
      <c r="M1345" s="34"/>
      <c r="N1345" s="34"/>
      <c r="O1345" s="34"/>
      <c r="P1345" s="34"/>
      <c r="Q1345" s="34"/>
    </row>
  </sheetData>
  <phoneticPr fontId="0" type="noConversion"/>
  <pageMargins left="0.75" right="0.75" top="1" bottom="1" header="0.5" footer="0.5"/>
  <pageSetup paperSize="9" scale="88" orientation="landscape" r:id="rId1"/>
  <headerFooter alignWithMargins="0"/>
  <rowBreaks count="4" manualBreakCount="4">
    <brk id="366" max="18" man="1"/>
    <brk id="385" max="16383" man="1"/>
    <brk id="601" max="12" man="1"/>
    <brk id="74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S1337"/>
  <sheetViews>
    <sheetView topLeftCell="B1" zoomScale="75" workbookViewId="0">
      <pane ySplit="1770" topLeftCell="A1210" activePane="bottomLeft"/>
      <selection activeCell="P1" sqref="P1:P65536"/>
      <selection pane="bottomLeft" activeCell="K1235" sqref="K1235"/>
    </sheetView>
  </sheetViews>
  <sheetFormatPr defaultRowHeight="12.75"/>
  <cols>
    <col min="2" max="2" width="26.28515625" style="734" customWidth="1"/>
    <col min="3" max="5" width="13.7109375" style="734" customWidth="1"/>
    <col min="6" max="6" width="13.7109375" style="735" customWidth="1"/>
    <col min="7" max="7" width="10.140625" style="729" bestFit="1" customWidth="1"/>
    <col min="8" max="9" width="11.7109375" style="734" customWidth="1"/>
    <col min="10" max="10" width="9.140625" style="735"/>
    <col min="11" max="11" width="9.140625" style="543"/>
    <col min="12" max="12" width="11.28515625" style="735" customWidth="1"/>
    <col min="13" max="14" width="9.140625" style="735"/>
    <col min="15" max="15" width="12" style="735" customWidth="1"/>
    <col min="16" max="16" width="12" style="956" hidden="1" customWidth="1"/>
    <col min="17" max="17" width="9.140625" style="735"/>
  </cols>
  <sheetData>
    <row r="1" spans="1:18" s="6" customFormat="1" ht="15.75">
      <c r="A1" s="5" t="s">
        <v>630</v>
      </c>
      <c r="B1" s="8"/>
      <c r="C1" s="8"/>
      <c r="D1" s="8"/>
      <c r="E1" s="8"/>
      <c r="F1" s="40"/>
      <c r="G1" s="24"/>
      <c r="H1" s="8"/>
      <c r="I1" s="8"/>
      <c r="J1" s="40"/>
      <c r="K1" s="61"/>
      <c r="L1" s="40"/>
      <c r="M1" s="40"/>
      <c r="N1" s="40"/>
      <c r="O1" s="944"/>
      <c r="P1" s="40"/>
      <c r="Q1" s="950"/>
    </row>
    <row r="2" spans="1:18" s="6" customFormat="1" ht="14.25" customHeight="1">
      <c r="B2" s="5" t="s">
        <v>672</v>
      </c>
      <c r="C2" s="16"/>
      <c r="D2" s="16"/>
      <c r="E2" s="16"/>
      <c r="F2" s="43"/>
      <c r="G2" s="89"/>
      <c r="H2" s="16"/>
      <c r="I2" s="16"/>
      <c r="J2" s="43"/>
      <c r="K2" s="228"/>
      <c r="L2" s="47"/>
      <c r="M2" s="43"/>
      <c r="N2" s="43"/>
      <c r="O2" s="43">
        <v>161.19999999999999</v>
      </c>
      <c r="P2" s="40"/>
      <c r="Q2" s="43"/>
    </row>
    <row r="3" spans="1:18" s="6" customFormat="1" ht="75" customHeight="1">
      <c r="A3" s="8" t="s">
        <v>574</v>
      </c>
      <c r="B3" s="8" t="s">
        <v>674</v>
      </c>
      <c r="C3" s="15" t="s">
        <v>575</v>
      </c>
      <c r="D3" s="15" t="s">
        <v>610</v>
      </c>
      <c r="E3" s="15" t="s">
        <v>611</v>
      </c>
      <c r="F3" s="44" t="s">
        <v>575</v>
      </c>
      <c r="G3" s="26" t="s">
        <v>587</v>
      </c>
      <c r="H3" s="14" t="s">
        <v>1329</v>
      </c>
      <c r="I3" s="14" t="s">
        <v>1330</v>
      </c>
      <c r="J3" s="44" t="s">
        <v>1333</v>
      </c>
      <c r="K3" s="223" t="s">
        <v>631</v>
      </c>
      <c r="L3" s="44" t="s">
        <v>578</v>
      </c>
      <c r="M3" s="44" t="s">
        <v>579</v>
      </c>
      <c r="N3" s="44" t="s">
        <v>580</v>
      </c>
      <c r="O3" s="945" t="s">
        <v>581</v>
      </c>
      <c r="P3" s="44">
        <v>1.29</v>
      </c>
      <c r="Q3" s="951" t="s">
        <v>632</v>
      </c>
    </row>
    <row r="4" spans="1:18" s="2" customFormat="1" ht="15.75">
      <c r="A4" s="2">
        <v>1</v>
      </c>
      <c r="B4" s="23">
        <v>2</v>
      </c>
      <c r="C4" s="23">
        <v>3</v>
      </c>
      <c r="D4" s="23">
        <v>4</v>
      </c>
      <c r="E4" s="23">
        <v>5</v>
      </c>
      <c r="F4" s="48"/>
      <c r="G4" s="90">
        <v>6</v>
      </c>
      <c r="H4" s="23"/>
      <c r="I4" s="23"/>
      <c r="J4" s="48"/>
      <c r="K4" s="232">
        <v>7</v>
      </c>
      <c r="L4" s="48">
        <v>8</v>
      </c>
      <c r="M4" s="48">
        <v>9</v>
      </c>
      <c r="N4" s="48">
        <v>10</v>
      </c>
      <c r="O4" s="946">
        <v>11</v>
      </c>
      <c r="P4" s="42"/>
      <c r="Q4" s="952">
        <v>12</v>
      </c>
    </row>
    <row r="5" spans="1:18" s="6" customFormat="1" ht="15.75">
      <c r="A5" s="29" t="s">
        <v>682</v>
      </c>
      <c r="B5" s="8"/>
      <c r="C5" s="8"/>
      <c r="D5" s="8"/>
      <c r="E5" s="8"/>
      <c r="F5" s="40"/>
      <c r="G5" s="24"/>
      <c r="H5" s="8"/>
      <c r="I5" s="8"/>
      <c r="J5" s="40"/>
      <c r="K5" s="61"/>
      <c r="L5" s="37"/>
      <c r="M5" s="37"/>
      <c r="N5" s="37"/>
      <c r="O5" s="947"/>
      <c r="P5" s="37"/>
      <c r="Q5" s="953"/>
    </row>
    <row r="6" spans="1:18" s="6" customFormat="1" ht="15.75">
      <c r="A6" s="53">
        <v>1</v>
      </c>
      <c r="B6" s="418" t="s">
        <v>683</v>
      </c>
      <c r="C6" s="386">
        <v>9570.0499999999993</v>
      </c>
      <c r="D6" s="386"/>
      <c r="E6" s="386"/>
      <c r="F6" s="40">
        <f>C6+D6+E6</f>
        <v>9570.0499999999993</v>
      </c>
      <c r="G6" s="24">
        <v>140</v>
      </c>
      <c r="H6" s="8"/>
      <c r="I6" s="8"/>
      <c r="J6" s="40">
        <f>G6+H6+I6</f>
        <v>140</v>
      </c>
      <c r="K6" s="72">
        <f t="shared" ref="K6:K66" si="0">4/5175*J6</f>
        <v>0.10821256038647342</v>
      </c>
      <c r="L6" s="316">
        <f t="shared" ref="L6:L66" si="1">K6*2269.13</f>
        <v>245.54836714975843</v>
      </c>
      <c r="M6" s="37">
        <f>L6*0.3677</f>
        <v>90.288134600966188</v>
      </c>
      <c r="N6" s="37">
        <v>114.76792144026187</v>
      </c>
      <c r="O6" s="947">
        <f>K6*161.2</f>
        <v>17.443864734299513</v>
      </c>
      <c r="P6" s="37"/>
      <c r="Q6" s="954">
        <f>(O6+N6+M6+L6)/F6</f>
        <v>4.890761155117121E-2</v>
      </c>
      <c r="R6" s="6" t="s">
        <v>11</v>
      </c>
    </row>
    <row r="7" spans="1:18" s="6" customFormat="1" ht="15.75">
      <c r="A7" s="53">
        <v>2</v>
      </c>
      <c r="B7" s="418" t="s">
        <v>684</v>
      </c>
      <c r="C7" s="330">
        <v>4259.1400000000003</v>
      </c>
      <c r="D7" s="330"/>
      <c r="E7" s="330"/>
      <c r="F7" s="40">
        <f t="shared" ref="F7:F79" si="2">C7+D7+E7</f>
        <v>4259.1400000000003</v>
      </c>
      <c r="G7" s="24">
        <v>71</v>
      </c>
      <c r="H7" s="8"/>
      <c r="I7" s="8"/>
      <c r="J7" s="40">
        <f t="shared" ref="J7:J79" si="3">G7+H7+I7</f>
        <v>71</v>
      </c>
      <c r="K7" s="72">
        <f t="shared" si="0"/>
        <v>5.4879227053140092E-2</v>
      </c>
      <c r="L7" s="316">
        <f t="shared" si="1"/>
        <v>124.52810048309178</v>
      </c>
      <c r="M7" s="37">
        <f t="shared" ref="M7:M79" si="4">L7*0.3677</f>
        <v>45.788982547632848</v>
      </c>
      <c r="N7" s="37">
        <v>58.203731587561371</v>
      </c>
      <c r="O7" s="947">
        <f t="shared" ref="O7:O59" si="5">K7*161.2</f>
        <v>8.8465314009661817</v>
      </c>
      <c r="P7" s="37"/>
      <c r="Q7" s="954">
        <f t="shared" ref="Q7:Q70" si="6">(O7+N7+M7+L7)/F7</f>
        <v>5.5731285193548974E-2</v>
      </c>
      <c r="R7" s="6" t="s">
        <v>550</v>
      </c>
    </row>
    <row r="8" spans="1:18" s="6" customFormat="1" ht="15.75">
      <c r="A8" s="53">
        <v>3</v>
      </c>
      <c r="B8" s="418" t="s">
        <v>685</v>
      </c>
      <c r="C8" s="330">
        <v>8696.41</v>
      </c>
      <c r="D8" s="330"/>
      <c r="E8" s="330"/>
      <c r="F8" s="40">
        <f t="shared" si="2"/>
        <v>8696.41</v>
      </c>
      <c r="G8" s="24">
        <v>145</v>
      </c>
      <c r="H8" s="8"/>
      <c r="I8" s="8"/>
      <c r="J8" s="40">
        <f t="shared" si="3"/>
        <v>145</v>
      </c>
      <c r="K8" s="72">
        <f t="shared" si="0"/>
        <v>0.11207729468599034</v>
      </c>
      <c r="L8" s="316">
        <f t="shared" si="1"/>
        <v>254.31795169082127</v>
      </c>
      <c r="M8" s="37">
        <f t="shared" si="4"/>
        <v>93.512710836714987</v>
      </c>
      <c r="N8" s="37">
        <v>118.86677577741408</v>
      </c>
      <c r="O8" s="947">
        <f t="shared" si="5"/>
        <v>18.066859903381641</v>
      </c>
      <c r="P8" s="37"/>
      <c r="Q8" s="954">
        <f t="shared" si="6"/>
        <v>5.5743036288345649E-2</v>
      </c>
    </row>
    <row r="9" spans="1:18" s="6" customFormat="1" ht="15.75">
      <c r="A9" s="53">
        <v>4</v>
      </c>
      <c r="B9" s="418" t="s">
        <v>686</v>
      </c>
      <c r="C9" s="330">
        <v>2719.72</v>
      </c>
      <c r="D9" s="330"/>
      <c r="E9" s="330"/>
      <c r="F9" s="40">
        <f t="shared" si="2"/>
        <v>2719.72</v>
      </c>
      <c r="G9" s="24">
        <v>50</v>
      </c>
      <c r="H9" s="8"/>
      <c r="I9" s="8"/>
      <c r="J9" s="40">
        <f t="shared" si="3"/>
        <v>50</v>
      </c>
      <c r="K9" s="72">
        <f t="shared" si="0"/>
        <v>3.864734299516908E-2</v>
      </c>
      <c r="L9" s="316">
        <f t="shared" si="1"/>
        <v>87.695845410628024</v>
      </c>
      <c r="M9" s="37">
        <f t="shared" si="4"/>
        <v>32.245762357487926</v>
      </c>
      <c r="N9" s="37">
        <v>40.988543371522091</v>
      </c>
      <c r="O9" s="947">
        <f t="shared" si="5"/>
        <v>6.2299516908212551</v>
      </c>
      <c r="P9" s="37"/>
      <c r="Q9" s="954">
        <f t="shared" si="6"/>
        <v>6.1462247154287684E-2</v>
      </c>
    </row>
    <row r="10" spans="1:18" s="6" customFormat="1" ht="15.75">
      <c r="A10" s="53">
        <v>5</v>
      </c>
      <c r="B10" s="418" t="s">
        <v>687</v>
      </c>
      <c r="C10" s="330">
        <v>4138.7</v>
      </c>
      <c r="D10" s="330"/>
      <c r="E10" s="330"/>
      <c r="F10" s="40">
        <f t="shared" si="2"/>
        <v>4138.7</v>
      </c>
      <c r="G10" s="24">
        <v>72</v>
      </c>
      <c r="H10" s="8"/>
      <c r="I10" s="8"/>
      <c r="J10" s="40">
        <f t="shared" si="3"/>
        <v>72</v>
      </c>
      <c r="K10" s="72">
        <f t="shared" si="0"/>
        <v>5.5652173913043473E-2</v>
      </c>
      <c r="L10" s="316">
        <f t="shared" si="1"/>
        <v>126.28201739130434</v>
      </c>
      <c r="M10" s="37">
        <f t="shared" si="4"/>
        <v>46.433897794782609</v>
      </c>
      <c r="N10" s="37">
        <v>59.023502454991821</v>
      </c>
      <c r="O10" s="947">
        <f t="shared" si="5"/>
        <v>8.9711304347826069</v>
      </c>
      <c r="P10" s="37"/>
      <c r="Q10" s="954">
        <f t="shared" si="6"/>
        <v>5.8160907549680181E-2</v>
      </c>
    </row>
    <row r="11" spans="1:18" s="6" customFormat="1" ht="15.75">
      <c r="A11" s="53">
        <v>6</v>
      </c>
      <c r="B11" s="418" t="s">
        <v>688</v>
      </c>
      <c r="C11" s="330">
        <v>4166.1899999999996</v>
      </c>
      <c r="D11" s="330"/>
      <c r="E11" s="330"/>
      <c r="F11" s="40">
        <f t="shared" si="2"/>
        <v>4166.1899999999996</v>
      </c>
      <c r="G11" s="24">
        <v>72</v>
      </c>
      <c r="H11" s="8"/>
      <c r="I11" s="8"/>
      <c r="J11" s="40">
        <f t="shared" si="3"/>
        <v>72</v>
      </c>
      <c r="K11" s="72">
        <f t="shared" si="0"/>
        <v>5.5652173913043473E-2</v>
      </c>
      <c r="L11" s="316">
        <f t="shared" si="1"/>
        <v>126.28201739130434</v>
      </c>
      <c r="M11" s="37">
        <f t="shared" si="4"/>
        <v>46.433897794782609</v>
      </c>
      <c r="N11" s="37">
        <v>59.023502454991821</v>
      </c>
      <c r="O11" s="947">
        <f t="shared" si="5"/>
        <v>8.9711304347826069</v>
      </c>
      <c r="P11" s="37"/>
      <c r="Q11" s="954">
        <f t="shared" si="6"/>
        <v>5.7777141243164951E-2</v>
      </c>
    </row>
    <row r="12" spans="1:18" s="6" customFormat="1" ht="15.75">
      <c r="A12" s="53">
        <v>7</v>
      </c>
      <c r="B12" s="418" t="s">
        <v>689</v>
      </c>
      <c r="C12" s="330">
        <v>3572.8</v>
      </c>
      <c r="D12" s="330"/>
      <c r="E12" s="330"/>
      <c r="F12" s="40">
        <f t="shared" si="2"/>
        <v>3572.8</v>
      </c>
      <c r="G12" s="24">
        <v>72</v>
      </c>
      <c r="H12" s="8"/>
      <c r="I12" s="8"/>
      <c r="J12" s="40">
        <f t="shared" si="3"/>
        <v>72</v>
      </c>
      <c r="K12" s="72">
        <f t="shared" si="0"/>
        <v>5.5652173913043473E-2</v>
      </c>
      <c r="L12" s="316">
        <f t="shared" si="1"/>
        <v>126.28201739130434</v>
      </c>
      <c r="M12" s="37">
        <f t="shared" si="4"/>
        <v>46.433897794782609</v>
      </c>
      <c r="N12" s="37">
        <v>59.023502454991821</v>
      </c>
      <c r="O12" s="947">
        <f t="shared" si="5"/>
        <v>8.9711304347826069</v>
      </c>
      <c r="P12" s="37"/>
      <c r="Q12" s="954">
        <f t="shared" si="6"/>
        <v>6.7373082197677278E-2</v>
      </c>
    </row>
    <row r="13" spans="1:18" s="6" customFormat="1" ht="15.75">
      <c r="A13" s="53">
        <v>8</v>
      </c>
      <c r="B13" s="418" t="s">
        <v>690</v>
      </c>
      <c r="C13" s="330">
        <v>6443.05</v>
      </c>
      <c r="D13" s="330"/>
      <c r="E13" s="330"/>
      <c r="F13" s="40">
        <f t="shared" si="2"/>
        <v>6443.05</v>
      </c>
      <c r="G13" s="24">
        <v>107</v>
      </c>
      <c r="H13" s="8"/>
      <c r="I13" s="8"/>
      <c r="J13" s="40">
        <f t="shared" si="3"/>
        <v>107</v>
      </c>
      <c r="K13" s="72">
        <f t="shared" si="0"/>
        <v>8.2705314009661829E-2</v>
      </c>
      <c r="L13" s="316">
        <f t="shared" si="1"/>
        <v>187.66910917874395</v>
      </c>
      <c r="M13" s="37">
        <f t="shared" si="4"/>
        <v>69.00593144502416</v>
      </c>
      <c r="N13" s="37">
        <v>87.715482815057271</v>
      </c>
      <c r="O13" s="947">
        <f t="shared" si="5"/>
        <v>13.332096618357486</v>
      </c>
      <c r="P13" s="37"/>
      <c r="Q13" s="954">
        <f t="shared" si="6"/>
        <v>5.5520695952566389E-2</v>
      </c>
    </row>
    <row r="14" spans="1:18" s="6" customFormat="1" ht="15.75">
      <c r="A14" s="53">
        <v>9</v>
      </c>
      <c r="B14" s="418" t="s">
        <v>691</v>
      </c>
      <c r="C14" s="330">
        <v>6459.7</v>
      </c>
      <c r="D14" s="330"/>
      <c r="E14" s="330"/>
      <c r="F14" s="40">
        <f t="shared" si="2"/>
        <v>6459.7</v>
      </c>
      <c r="G14" s="24">
        <v>106</v>
      </c>
      <c r="H14" s="8"/>
      <c r="I14" s="8"/>
      <c r="J14" s="40">
        <f t="shared" si="3"/>
        <v>106</v>
      </c>
      <c r="K14" s="72">
        <f t="shared" si="0"/>
        <v>8.1932367149758448E-2</v>
      </c>
      <c r="L14" s="316">
        <f t="shared" si="1"/>
        <v>185.91519227053141</v>
      </c>
      <c r="M14" s="37">
        <f t="shared" si="4"/>
        <v>68.361016197874406</v>
      </c>
      <c r="N14" s="37">
        <v>86.895711947626836</v>
      </c>
      <c r="O14" s="947">
        <f t="shared" si="5"/>
        <v>13.207497584541061</v>
      </c>
      <c r="P14" s="37"/>
      <c r="Q14" s="954">
        <f t="shared" si="6"/>
        <v>5.4860042726531222E-2</v>
      </c>
    </row>
    <row r="15" spans="1:18" s="6" customFormat="1" ht="15.75">
      <c r="A15" s="53">
        <v>10</v>
      </c>
      <c r="B15" s="418" t="s">
        <v>692</v>
      </c>
      <c r="C15" s="330">
        <v>4374.04</v>
      </c>
      <c r="D15" s="330"/>
      <c r="E15" s="330"/>
      <c r="F15" s="40">
        <f t="shared" si="2"/>
        <v>4374.04</v>
      </c>
      <c r="G15" s="24">
        <v>71</v>
      </c>
      <c r="H15" s="8"/>
      <c r="I15" s="8"/>
      <c r="J15" s="40">
        <f t="shared" si="3"/>
        <v>71</v>
      </c>
      <c r="K15" s="72">
        <f t="shared" si="0"/>
        <v>5.4879227053140092E-2</v>
      </c>
      <c r="L15" s="316">
        <f t="shared" si="1"/>
        <v>124.52810048309178</v>
      </c>
      <c r="M15" s="37">
        <f t="shared" si="4"/>
        <v>45.788982547632848</v>
      </c>
      <c r="N15" s="37">
        <v>58.203731587561371</v>
      </c>
      <c r="O15" s="947">
        <f t="shared" si="5"/>
        <v>8.8465314009661817</v>
      </c>
      <c r="P15" s="37"/>
      <c r="Q15" s="954">
        <f t="shared" si="6"/>
        <v>5.426730117220057E-2</v>
      </c>
    </row>
    <row r="16" spans="1:18" s="6" customFormat="1" ht="15.75">
      <c r="A16" s="53">
        <v>11</v>
      </c>
      <c r="B16" s="418" t="s">
        <v>693</v>
      </c>
      <c r="C16" s="330">
        <v>3413.87</v>
      </c>
      <c r="D16" s="330"/>
      <c r="E16" s="330">
        <v>85.7</v>
      </c>
      <c r="F16" s="40">
        <f t="shared" si="2"/>
        <v>3499.5699999999997</v>
      </c>
      <c r="G16" s="24">
        <v>70</v>
      </c>
      <c r="H16" s="8"/>
      <c r="I16" s="8">
        <v>2</v>
      </c>
      <c r="J16" s="40">
        <f t="shared" si="3"/>
        <v>72</v>
      </c>
      <c r="K16" s="72">
        <f t="shared" si="0"/>
        <v>5.5652173913043473E-2</v>
      </c>
      <c r="L16" s="316">
        <f t="shared" si="1"/>
        <v>126.28201739130434</v>
      </c>
      <c r="M16" s="37">
        <f t="shared" si="4"/>
        <v>46.433897794782609</v>
      </c>
      <c r="N16" s="37">
        <v>59.023502454991821</v>
      </c>
      <c r="O16" s="947">
        <f t="shared" si="5"/>
        <v>8.9711304347826069</v>
      </c>
      <c r="P16" s="37"/>
      <c r="Q16" s="954">
        <f t="shared" si="6"/>
        <v>6.8782892777073015E-2</v>
      </c>
    </row>
    <row r="17" spans="1:17" s="6" customFormat="1" ht="15.75">
      <c r="A17" s="53">
        <v>12</v>
      </c>
      <c r="B17" s="418" t="s">
        <v>694</v>
      </c>
      <c r="C17" s="330">
        <v>3466.61</v>
      </c>
      <c r="D17" s="330">
        <v>97.8</v>
      </c>
      <c r="E17" s="330"/>
      <c r="F17" s="40">
        <f t="shared" si="2"/>
        <v>3564.4100000000003</v>
      </c>
      <c r="G17" s="24">
        <v>70</v>
      </c>
      <c r="H17" s="8">
        <v>1</v>
      </c>
      <c r="I17" s="8"/>
      <c r="J17" s="40">
        <f t="shared" si="3"/>
        <v>71</v>
      </c>
      <c r="K17" s="72">
        <f t="shared" si="0"/>
        <v>5.4879227053140092E-2</v>
      </c>
      <c r="L17" s="316">
        <f t="shared" si="1"/>
        <v>124.52810048309178</v>
      </c>
      <c r="M17" s="37">
        <f t="shared" si="4"/>
        <v>45.788982547632848</v>
      </c>
      <c r="N17" s="37">
        <v>58.203731587561371</v>
      </c>
      <c r="O17" s="947">
        <f t="shared" si="5"/>
        <v>8.8465314009661817</v>
      </c>
      <c r="P17" s="37"/>
      <c r="Q17" s="954">
        <f t="shared" si="6"/>
        <v>6.6593726877450174E-2</v>
      </c>
    </row>
    <row r="18" spans="1:17" s="6" customFormat="1" ht="15.75">
      <c r="A18" s="53">
        <v>13</v>
      </c>
      <c r="B18" s="418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2"/>
        <v>6484.8600000000006</v>
      </c>
      <c r="G18" s="24">
        <v>98</v>
      </c>
      <c r="H18" s="8">
        <v>1</v>
      </c>
      <c r="I18" s="8">
        <v>7</v>
      </c>
      <c r="J18" s="40">
        <f t="shared" si="3"/>
        <v>106</v>
      </c>
      <c r="K18" s="72">
        <f t="shared" si="0"/>
        <v>8.1932367149758448E-2</v>
      </c>
      <c r="L18" s="316">
        <f t="shared" si="1"/>
        <v>185.91519227053141</v>
      </c>
      <c r="M18" s="37">
        <f t="shared" si="4"/>
        <v>68.361016197874406</v>
      </c>
      <c r="N18" s="37">
        <v>86.895711947626836</v>
      </c>
      <c r="O18" s="947">
        <f t="shared" si="5"/>
        <v>13.207497584541061</v>
      </c>
      <c r="P18" s="37"/>
      <c r="Q18" s="954">
        <f t="shared" si="6"/>
        <v>5.4647196392917298E-2</v>
      </c>
    </row>
    <row r="19" spans="1:17" s="6" customFormat="1" ht="15.75">
      <c r="A19" s="53">
        <v>14</v>
      </c>
      <c r="B19" s="418" t="s">
        <v>696</v>
      </c>
      <c r="C19" s="330">
        <v>5966.95</v>
      </c>
      <c r="D19" s="330"/>
      <c r="E19" s="330">
        <v>49.5</v>
      </c>
      <c r="F19" s="40">
        <f t="shared" si="2"/>
        <v>6016.45</v>
      </c>
      <c r="G19" s="24">
        <v>104</v>
      </c>
      <c r="H19" s="8"/>
      <c r="I19" s="8">
        <v>1</v>
      </c>
      <c r="J19" s="40">
        <f t="shared" si="3"/>
        <v>105</v>
      </c>
      <c r="K19" s="72">
        <f t="shared" si="0"/>
        <v>8.1159420289855067E-2</v>
      </c>
      <c r="L19" s="316">
        <f t="shared" si="1"/>
        <v>184.16127536231883</v>
      </c>
      <c r="M19" s="37">
        <f t="shared" si="4"/>
        <v>67.716100950724638</v>
      </c>
      <c r="N19" s="37">
        <v>86.075941080196401</v>
      </c>
      <c r="O19" s="947">
        <f t="shared" si="5"/>
        <v>13.082898550724636</v>
      </c>
      <c r="P19" s="37"/>
      <c r="Q19" s="954">
        <f t="shared" si="6"/>
        <v>5.8346070514001536E-2</v>
      </c>
    </row>
    <row r="20" spans="1:17" s="6" customFormat="1" ht="15.75">
      <c r="A20" s="53">
        <v>15</v>
      </c>
      <c r="B20" s="418" t="s">
        <v>697</v>
      </c>
      <c r="C20" s="330">
        <v>8566.1200000000008</v>
      </c>
      <c r="D20" s="330"/>
      <c r="E20" s="330"/>
      <c r="F20" s="40">
        <f t="shared" si="2"/>
        <v>8566.1200000000008</v>
      </c>
      <c r="G20" s="24">
        <v>145</v>
      </c>
      <c r="H20" s="8"/>
      <c r="I20" s="8"/>
      <c r="J20" s="40">
        <f t="shared" si="3"/>
        <v>145</v>
      </c>
      <c r="K20" s="72">
        <f t="shared" si="0"/>
        <v>0.11207729468599034</v>
      </c>
      <c r="L20" s="316">
        <f t="shared" si="1"/>
        <v>254.31795169082127</v>
      </c>
      <c r="M20" s="37">
        <f t="shared" si="4"/>
        <v>93.512710836714987</v>
      </c>
      <c r="N20" s="37">
        <v>118.86677577741408</v>
      </c>
      <c r="O20" s="947">
        <f t="shared" si="5"/>
        <v>18.066859903381641</v>
      </c>
      <c r="P20" s="37"/>
      <c r="Q20" s="954">
        <f t="shared" si="6"/>
        <v>5.6590883411431536E-2</v>
      </c>
    </row>
    <row r="21" spans="1:17" s="6" customFormat="1" ht="15.75">
      <c r="A21" s="53">
        <v>16</v>
      </c>
      <c r="B21" s="418" t="s">
        <v>698</v>
      </c>
      <c r="C21" s="330">
        <v>5774.55</v>
      </c>
      <c r="D21" s="330">
        <v>201.5</v>
      </c>
      <c r="E21" s="330"/>
      <c r="F21" s="40">
        <f t="shared" si="2"/>
        <v>5976.05</v>
      </c>
      <c r="G21" s="24">
        <v>124</v>
      </c>
      <c r="H21" s="8">
        <v>2</v>
      </c>
      <c r="I21" s="8"/>
      <c r="J21" s="40">
        <f t="shared" si="3"/>
        <v>126</v>
      </c>
      <c r="K21" s="72">
        <f t="shared" si="0"/>
        <v>9.7391304347826085E-2</v>
      </c>
      <c r="L21" s="316">
        <f t="shared" si="1"/>
        <v>220.99353043478263</v>
      </c>
      <c r="M21" s="37">
        <f t="shared" si="4"/>
        <v>81.259321140869574</v>
      </c>
      <c r="N21" s="37">
        <v>103.29112929623568</v>
      </c>
      <c r="O21" s="947">
        <f t="shared" si="5"/>
        <v>15.699478260869563</v>
      </c>
      <c r="P21" s="37"/>
      <c r="Q21" s="954">
        <f t="shared" si="6"/>
        <v>7.0488610224606132E-2</v>
      </c>
    </row>
    <row r="22" spans="1:17" s="6" customFormat="1" ht="15.75">
      <c r="A22" s="53">
        <v>17</v>
      </c>
      <c r="B22" s="418" t="s">
        <v>699</v>
      </c>
      <c r="C22" s="330">
        <v>3226.62</v>
      </c>
      <c r="D22" s="330"/>
      <c r="E22" s="330"/>
      <c r="F22" s="40">
        <f t="shared" si="2"/>
        <v>3226.62</v>
      </c>
      <c r="G22" s="24">
        <v>120</v>
      </c>
      <c r="H22" s="8"/>
      <c r="I22" s="8"/>
      <c r="J22" s="40">
        <f t="shared" si="3"/>
        <v>120</v>
      </c>
      <c r="K22" s="72">
        <f t="shared" si="0"/>
        <v>9.2753623188405798E-2</v>
      </c>
      <c r="L22" s="316">
        <f t="shared" si="1"/>
        <v>210.47002898550727</v>
      </c>
      <c r="M22" s="37">
        <f t="shared" si="4"/>
        <v>77.389829657971035</v>
      </c>
      <c r="N22" s="37">
        <v>98.372504091653028</v>
      </c>
      <c r="O22" s="947">
        <f t="shared" si="5"/>
        <v>14.951884057971014</v>
      </c>
      <c r="P22" s="37"/>
      <c r="Q22" s="954">
        <f t="shared" si="6"/>
        <v>0.12433575902743502</v>
      </c>
    </row>
    <row r="23" spans="1:17" s="6" customFormat="1" ht="15.75">
      <c r="A23" s="53">
        <v>18</v>
      </c>
      <c r="B23" s="418" t="s">
        <v>700</v>
      </c>
      <c r="C23" s="330">
        <v>3233.9</v>
      </c>
      <c r="D23" s="330"/>
      <c r="E23" s="330"/>
      <c r="F23" s="40">
        <f t="shared" si="2"/>
        <v>3233.9</v>
      </c>
      <c r="G23" s="24">
        <v>120</v>
      </c>
      <c r="H23" s="8"/>
      <c r="I23" s="8"/>
      <c r="J23" s="40">
        <f t="shared" si="3"/>
        <v>120</v>
      </c>
      <c r="K23" s="72">
        <f t="shared" si="0"/>
        <v>9.2753623188405798E-2</v>
      </c>
      <c r="L23" s="316">
        <f t="shared" si="1"/>
        <v>210.47002898550727</v>
      </c>
      <c r="M23" s="37">
        <f t="shared" si="4"/>
        <v>77.389829657971035</v>
      </c>
      <c r="N23" s="37">
        <v>98.372504091653028</v>
      </c>
      <c r="O23" s="947">
        <f t="shared" si="5"/>
        <v>14.951884057971014</v>
      </c>
      <c r="P23" s="37"/>
      <c r="Q23" s="954">
        <f t="shared" si="6"/>
        <v>0.12405586035223796</v>
      </c>
    </row>
    <row r="24" spans="1:17" s="6" customFormat="1" ht="15.75">
      <c r="A24" s="53">
        <v>19</v>
      </c>
      <c r="B24" s="418" t="s">
        <v>701</v>
      </c>
      <c r="C24" s="330">
        <v>6095.4</v>
      </c>
      <c r="D24" s="330"/>
      <c r="E24" s="330"/>
      <c r="F24" s="40">
        <f t="shared" si="2"/>
        <v>6095.4</v>
      </c>
      <c r="G24" s="24">
        <v>129</v>
      </c>
      <c r="H24" s="8"/>
      <c r="I24" s="8"/>
      <c r="J24" s="40">
        <f t="shared" si="3"/>
        <v>129</v>
      </c>
      <c r="K24" s="72">
        <f t="shared" si="0"/>
        <v>9.9710144927536229E-2</v>
      </c>
      <c r="L24" s="316">
        <f t="shared" si="1"/>
        <v>226.25528115942029</v>
      </c>
      <c r="M24" s="37">
        <f t="shared" si="4"/>
        <v>83.19406688231885</v>
      </c>
      <c r="N24" s="37">
        <v>105.750441898527</v>
      </c>
      <c r="O24" s="947">
        <f t="shared" si="5"/>
        <v>16.073275362318839</v>
      </c>
      <c r="P24" s="37"/>
      <c r="Q24" s="954">
        <f t="shared" si="6"/>
        <v>7.0753857876855494E-2</v>
      </c>
    </row>
    <row r="25" spans="1:17" s="6" customFormat="1" ht="15.75">
      <c r="A25" s="53">
        <v>20</v>
      </c>
      <c r="B25" s="418" t="s">
        <v>702</v>
      </c>
      <c r="C25" s="330">
        <v>6384.91</v>
      </c>
      <c r="D25" s="330"/>
      <c r="E25" s="330"/>
      <c r="F25" s="40">
        <f t="shared" si="2"/>
        <v>6384.91</v>
      </c>
      <c r="G25" s="24">
        <v>109</v>
      </c>
      <c r="H25" s="8"/>
      <c r="I25" s="8"/>
      <c r="J25" s="40">
        <f t="shared" si="3"/>
        <v>109</v>
      </c>
      <c r="K25" s="72">
        <f t="shared" si="0"/>
        <v>8.4251207729468591E-2</v>
      </c>
      <c r="L25" s="316">
        <f t="shared" si="1"/>
        <v>191.17694299516907</v>
      </c>
      <c r="M25" s="37">
        <f t="shared" si="4"/>
        <v>70.295761939323668</v>
      </c>
      <c r="N25" s="37">
        <v>89.355024549918156</v>
      </c>
      <c r="O25" s="947">
        <f t="shared" si="5"/>
        <v>13.581294685990336</v>
      </c>
      <c r="P25" s="37"/>
      <c r="Q25" s="954">
        <f t="shared" si="6"/>
        <v>5.7073478587858134E-2</v>
      </c>
    </row>
    <row r="26" spans="1:17" s="6" customFormat="1" ht="15.75">
      <c r="A26" s="53">
        <v>21</v>
      </c>
      <c r="B26" s="418" t="s">
        <v>703</v>
      </c>
      <c r="C26" s="330">
        <v>3929.49</v>
      </c>
      <c r="D26" s="330">
        <v>464.4</v>
      </c>
      <c r="E26" s="330"/>
      <c r="F26" s="40">
        <f t="shared" si="2"/>
        <v>4393.8899999999994</v>
      </c>
      <c r="G26" s="24">
        <v>63</v>
      </c>
      <c r="H26" s="8">
        <v>2</v>
      </c>
      <c r="I26" s="8"/>
      <c r="J26" s="40">
        <f t="shared" si="3"/>
        <v>65</v>
      </c>
      <c r="K26" s="72">
        <f t="shared" si="0"/>
        <v>5.0241545893719805E-2</v>
      </c>
      <c r="L26" s="316">
        <f t="shared" si="1"/>
        <v>114.00459903381643</v>
      </c>
      <c r="M26" s="37">
        <f t="shared" si="4"/>
        <v>41.919491064734302</v>
      </c>
      <c r="N26" s="37">
        <v>53.285106382978725</v>
      </c>
      <c r="O26" s="947">
        <f t="shared" si="5"/>
        <v>8.0989371980676328</v>
      </c>
      <c r="P26" s="37"/>
      <c r="Q26" s="954">
        <f t="shared" si="6"/>
        <v>4.945688983556646E-2</v>
      </c>
    </row>
    <row r="27" spans="1:17" s="6" customFormat="1" ht="15.75">
      <c r="A27" s="53">
        <v>22</v>
      </c>
      <c r="B27" s="418" t="s">
        <v>704</v>
      </c>
      <c r="C27" s="330">
        <v>7174.09</v>
      </c>
      <c r="D27" s="330"/>
      <c r="E27" s="330"/>
      <c r="F27" s="40">
        <f t="shared" si="2"/>
        <v>7174.09</v>
      </c>
      <c r="G27" s="24">
        <v>143</v>
      </c>
      <c r="H27" s="8"/>
      <c r="I27" s="8"/>
      <c r="J27" s="40">
        <f t="shared" si="3"/>
        <v>143</v>
      </c>
      <c r="K27" s="72">
        <f t="shared" si="0"/>
        <v>0.11053140096618357</v>
      </c>
      <c r="L27" s="316">
        <f t="shared" si="1"/>
        <v>250.81011787439613</v>
      </c>
      <c r="M27" s="37">
        <f t="shared" si="4"/>
        <v>92.222880342415465</v>
      </c>
      <c r="N27" s="37">
        <v>117.22723404255318</v>
      </c>
      <c r="O27" s="947">
        <f t="shared" si="5"/>
        <v>17.81766183574879</v>
      </c>
      <c r="P27" s="37"/>
      <c r="Q27" s="954">
        <f t="shared" si="6"/>
        <v>6.6639517220318328E-2</v>
      </c>
    </row>
    <row r="28" spans="1:17" s="6" customFormat="1" ht="15.75">
      <c r="A28" s="53">
        <v>23</v>
      </c>
      <c r="B28" s="418" t="s">
        <v>705</v>
      </c>
      <c r="C28" s="330">
        <v>3836.07</v>
      </c>
      <c r="D28" s="330"/>
      <c r="E28" s="330">
        <v>416</v>
      </c>
      <c r="F28" s="40">
        <f t="shared" si="2"/>
        <v>4252.07</v>
      </c>
      <c r="G28" s="24">
        <v>64</v>
      </c>
      <c r="H28" s="8"/>
      <c r="I28" s="8">
        <v>2</v>
      </c>
      <c r="J28" s="40">
        <f t="shared" si="3"/>
        <v>66</v>
      </c>
      <c r="K28" s="72">
        <f t="shared" si="0"/>
        <v>5.1014492753623186E-2</v>
      </c>
      <c r="L28" s="316">
        <f t="shared" si="1"/>
        <v>115.75851594202899</v>
      </c>
      <c r="M28" s="37">
        <f t="shared" si="4"/>
        <v>42.564406311884063</v>
      </c>
      <c r="N28" s="37">
        <v>54.104877250409167</v>
      </c>
      <c r="O28" s="947">
        <f t="shared" si="5"/>
        <v>8.2235362318840579</v>
      </c>
      <c r="P28" s="37"/>
      <c r="Q28" s="954">
        <f t="shared" si="6"/>
        <v>5.1892686558830475E-2</v>
      </c>
    </row>
    <row r="29" spans="1:17" s="6" customFormat="1" ht="15.75">
      <c r="A29" s="53">
        <v>24</v>
      </c>
      <c r="B29" s="418" t="s">
        <v>706</v>
      </c>
      <c r="C29" s="330">
        <v>2413.89</v>
      </c>
      <c r="D29" s="330"/>
      <c r="E29" s="330"/>
      <c r="F29" s="40">
        <f t="shared" si="2"/>
        <v>2413.89</v>
      </c>
      <c r="G29" s="24">
        <v>40</v>
      </c>
      <c r="H29" s="8"/>
      <c r="I29" s="8"/>
      <c r="J29" s="40">
        <f t="shared" si="3"/>
        <v>40</v>
      </c>
      <c r="K29" s="72">
        <f t="shared" si="0"/>
        <v>3.0917874396135265E-2</v>
      </c>
      <c r="L29" s="316">
        <f t="shared" si="1"/>
        <v>70.156676328502414</v>
      </c>
      <c r="M29" s="37">
        <f t="shared" si="4"/>
        <v>25.796609885990339</v>
      </c>
      <c r="N29" s="37">
        <v>32.790834697217676</v>
      </c>
      <c r="O29" s="947">
        <f t="shared" si="5"/>
        <v>4.9839613526570048</v>
      </c>
      <c r="P29" s="37"/>
      <c r="Q29" s="954">
        <f t="shared" si="6"/>
        <v>5.5399410190343154E-2</v>
      </c>
    </row>
    <row r="30" spans="1:17" s="6" customFormat="1" ht="15.75">
      <c r="A30" s="53">
        <v>25</v>
      </c>
      <c r="B30" s="418" t="s">
        <v>707</v>
      </c>
      <c r="C30" s="330">
        <v>6323.28</v>
      </c>
      <c r="D30" s="330"/>
      <c r="E30" s="330"/>
      <c r="F30" s="40">
        <f t="shared" si="2"/>
        <v>6323.28</v>
      </c>
      <c r="G30" s="24">
        <v>109</v>
      </c>
      <c r="H30" s="8"/>
      <c r="I30" s="8"/>
      <c r="J30" s="40">
        <f t="shared" si="3"/>
        <v>109</v>
      </c>
      <c r="K30" s="72">
        <f t="shared" si="0"/>
        <v>8.4251207729468591E-2</v>
      </c>
      <c r="L30" s="316">
        <f t="shared" si="1"/>
        <v>191.17694299516907</v>
      </c>
      <c r="M30" s="37">
        <f t="shared" si="4"/>
        <v>70.295761939323668</v>
      </c>
      <c r="N30" s="37">
        <v>89.355024549918156</v>
      </c>
      <c r="O30" s="947">
        <f t="shared" si="5"/>
        <v>13.581294685990336</v>
      </c>
      <c r="P30" s="37"/>
      <c r="Q30" s="954">
        <f t="shared" si="6"/>
        <v>5.7629746614162473E-2</v>
      </c>
    </row>
    <row r="31" spans="1:17" s="6" customFormat="1" ht="15.75">
      <c r="A31" s="53">
        <v>26</v>
      </c>
      <c r="B31" s="418" t="s">
        <v>708</v>
      </c>
      <c r="C31" s="330">
        <v>4396.59</v>
      </c>
      <c r="D31" s="330"/>
      <c r="E31" s="330"/>
      <c r="F31" s="40">
        <f t="shared" si="2"/>
        <v>4396.59</v>
      </c>
      <c r="G31" s="24">
        <v>71</v>
      </c>
      <c r="H31" s="8"/>
      <c r="I31" s="8"/>
      <c r="J31" s="40">
        <f t="shared" si="3"/>
        <v>71</v>
      </c>
      <c r="K31" s="72">
        <f t="shared" si="0"/>
        <v>5.4879227053140092E-2</v>
      </c>
      <c r="L31" s="316">
        <f t="shared" si="1"/>
        <v>124.52810048309178</v>
      </c>
      <c r="M31" s="37">
        <f t="shared" si="4"/>
        <v>45.788982547632848</v>
      </c>
      <c r="N31" s="37">
        <v>58.203731587561371</v>
      </c>
      <c r="O31" s="947">
        <f t="shared" si="5"/>
        <v>8.8465314009661817</v>
      </c>
      <c r="P31" s="37"/>
      <c r="Q31" s="954">
        <f t="shared" si="6"/>
        <v>5.3988965543580861E-2</v>
      </c>
    </row>
    <row r="32" spans="1:17" s="6" customFormat="1" ht="15.75">
      <c r="A32" s="53">
        <v>27</v>
      </c>
      <c r="B32" s="418" t="s">
        <v>709</v>
      </c>
      <c r="C32" s="330">
        <v>6702.46</v>
      </c>
      <c r="D32" s="330"/>
      <c r="E32" s="330"/>
      <c r="F32" s="40">
        <f t="shared" si="2"/>
        <v>6702.46</v>
      </c>
      <c r="G32" s="24">
        <v>107</v>
      </c>
      <c r="H32" s="8"/>
      <c r="I32" s="8"/>
      <c r="J32" s="40">
        <f t="shared" si="3"/>
        <v>107</v>
      </c>
      <c r="K32" s="72">
        <f t="shared" si="0"/>
        <v>8.2705314009661829E-2</v>
      </c>
      <c r="L32" s="316">
        <f t="shared" si="1"/>
        <v>187.66910917874395</v>
      </c>
      <c r="M32" s="37">
        <f t="shared" si="4"/>
        <v>69.00593144502416</v>
      </c>
      <c r="N32" s="37">
        <v>87.715482815057271</v>
      </c>
      <c r="O32" s="947">
        <f t="shared" si="5"/>
        <v>13.332096618357486</v>
      </c>
      <c r="P32" s="37"/>
      <c r="Q32" s="954">
        <f t="shared" si="6"/>
        <v>5.3371839601755608E-2</v>
      </c>
    </row>
    <row r="33" spans="1:17" s="6" customFormat="1" ht="15.75">
      <c r="A33" s="53">
        <v>28</v>
      </c>
      <c r="B33" s="418" t="s">
        <v>710</v>
      </c>
      <c r="C33" s="330">
        <v>6185.24</v>
      </c>
      <c r="D33" s="330"/>
      <c r="E33" s="330"/>
      <c r="F33" s="40">
        <f t="shared" si="2"/>
        <v>6185.24</v>
      </c>
      <c r="G33" s="24">
        <v>106</v>
      </c>
      <c r="H33" s="8"/>
      <c r="I33" s="8"/>
      <c r="J33" s="40">
        <f t="shared" si="3"/>
        <v>106</v>
      </c>
      <c r="K33" s="72">
        <f t="shared" si="0"/>
        <v>8.1932367149758448E-2</v>
      </c>
      <c r="L33" s="316">
        <f t="shared" si="1"/>
        <v>185.91519227053141</v>
      </c>
      <c r="M33" s="37">
        <f t="shared" si="4"/>
        <v>68.361016197874406</v>
      </c>
      <c r="N33" s="37">
        <v>86.895711947626836</v>
      </c>
      <c r="O33" s="947">
        <f t="shared" si="5"/>
        <v>13.207497584541061</v>
      </c>
      <c r="P33" s="37"/>
      <c r="Q33" s="954">
        <f t="shared" si="6"/>
        <v>5.7294368205691892E-2</v>
      </c>
    </row>
    <row r="34" spans="1:17" s="6" customFormat="1" ht="15.75">
      <c r="A34" s="53">
        <v>29</v>
      </c>
      <c r="B34" s="418" t="s">
        <v>711</v>
      </c>
      <c r="C34" s="330">
        <v>6856.85</v>
      </c>
      <c r="D34" s="330"/>
      <c r="E34" s="330"/>
      <c r="F34" s="40">
        <f t="shared" si="2"/>
        <v>6856.85</v>
      </c>
      <c r="G34" s="24">
        <v>107</v>
      </c>
      <c r="H34" s="8"/>
      <c r="I34" s="8"/>
      <c r="J34" s="40">
        <f t="shared" si="3"/>
        <v>107</v>
      </c>
      <c r="K34" s="72">
        <f t="shared" si="0"/>
        <v>8.2705314009661829E-2</v>
      </c>
      <c r="L34" s="316">
        <f t="shared" si="1"/>
        <v>187.66910917874395</v>
      </c>
      <c r="M34" s="37">
        <f t="shared" si="4"/>
        <v>69.00593144502416</v>
      </c>
      <c r="N34" s="37">
        <v>87.715482815057271</v>
      </c>
      <c r="O34" s="947">
        <f t="shared" si="5"/>
        <v>13.332096618357486</v>
      </c>
      <c r="P34" s="37"/>
      <c r="Q34" s="954">
        <f t="shared" si="6"/>
        <v>5.2170110190128537E-2</v>
      </c>
    </row>
    <row r="35" spans="1:17" s="6" customFormat="1" ht="15.75">
      <c r="A35" s="53">
        <v>30</v>
      </c>
      <c r="B35" s="418" t="s">
        <v>712</v>
      </c>
      <c r="C35" s="330">
        <v>6358.97</v>
      </c>
      <c r="D35" s="330"/>
      <c r="E35" s="330"/>
      <c r="F35" s="40">
        <f t="shared" si="2"/>
        <v>6358.97</v>
      </c>
      <c r="G35" s="24">
        <v>106</v>
      </c>
      <c r="H35" s="8"/>
      <c r="I35" s="8"/>
      <c r="J35" s="40">
        <f t="shared" si="3"/>
        <v>106</v>
      </c>
      <c r="K35" s="72">
        <f t="shared" si="0"/>
        <v>8.1932367149758448E-2</v>
      </c>
      <c r="L35" s="316">
        <f t="shared" si="1"/>
        <v>185.91519227053141</v>
      </c>
      <c r="M35" s="37">
        <f t="shared" si="4"/>
        <v>68.361016197874406</v>
      </c>
      <c r="N35" s="37">
        <v>86.895711947626836</v>
      </c>
      <c r="O35" s="947">
        <f t="shared" si="5"/>
        <v>13.207497584541061</v>
      </c>
      <c r="P35" s="37"/>
      <c r="Q35" s="954">
        <f t="shared" si="6"/>
        <v>5.5729059580493963E-2</v>
      </c>
    </row>
    <row r="36" spans="1:17" s="6" customFormat="1" ht="15.75">
      <c r="A36" s="53">
        <v>31</v>
      </c>
      <c r="B36" s="418" t="s">
        <v>713</v>
      </c>
      <c r="C36" s="330">
        <v>4302.43</v>
      </c>
      <c r="D36" s="330"/>
      <c r="E36" s="330"/>
      <c r="F36" s="40">
        <f t="shared" si="2"/>
        <v>4302.43</v>
      </c>
      <c r="G36" s="24">
        <v>71</v>
      </c>
      <c r="H36" s="8"/>
      <c r="I36" s="8"/>
      <c r="J36" s="40">
        <f t="shared" si="3"/>
        <v>71</v>
      </c>
      <c r="K36" s="72">
        <f t="shared" si="0"/>
        <v>5.4879227053140092E-2</v>
      </c>
      <c r="L36" s="316">
        <f t="shared" si="1"/>
        <v>124.52810048309178</v>
      </c>
      <c r="M36" s="37">
        <f t="shared" si="4"/>
        <v>45.788982547632848</v>
      </c>
      <c r="N36" s="37">
        <v>58.203731587561371</v>
      </c>
      <c r="O36" s="947">
        <f t="shared" si="5"/>
        <v>8.8465314009661817</v>
      </c>
      <c r="P36" s="37"/>
      <c r="Q36" s="954">
        <f t="shared" si="6"/>
        <v>5.5170530611596741E-2</v>
      </c>
    </row>
    <row r="37" spans="1:17" s="6" customFormat="1" ht="15.75">
      <c r="A37" s="53">
        <v>32</v>
      </c>
      <c r="B37" s="418" t="s">
        <v>714</v>
      </c>
      <c r="C37" s="330">
        <v>4355.7</v>
      </c>
      <c r="D37" s="330"/>
      <c r="E37" s="330"/>
      <c r="F37" s="40">
        <f t="shared" si="2"/>
        <v>4355.7</v>
      </c>
      <c r="G37" s="24">
        <v>72</v>
      </c>
      <c r="H37" s="8"/>
      <c r="I37" s="8"/>
      <c r="J37" s="40">
        <f t="shared" si="3"/>
        <v>72</v>
      </c>
      <c r="K37" s="72">
        <f t="shared" si="0"/>
        <v>5.5652173913043473E-2</v>
      </c>
      <c r="L37" s="316">
        <f t="shared" si="1"/>
        <v>126.28201739130434</v>
      </c>
      <c r="M37" s="37">
        <f t="shared" si="4"/>
        <v>46.433897794782609</v>
      </c>
      <c r="N37" s="37">
        <v>59.023502454991821</v>
      </c>
      <c r="O37" s="947">
        <f t="shared" si="5"/>
        <v>8.9711304347826069</v>
      </c>
      <c r="P37" s="37"/>
      <c r="Q37" s="954">
        <f t="shared" si="6"/>
        <v>5.5263344141208391E-2</v>
      </c>
    </row>
    <row r="38" spans="1:17" s="6" customFormat="1" ht="15.75">
      <c r="A38" s="53">
        <v>33</v>
      </c>
      <c r="B38" s="418" t="s">
        <v>715</v>
      </c>
      <c r="C38" s="330">
        <v>61.3</v>
      </c>
      <c r="D38" s="330"/>
      <c r="E38" s="330"/>
      <c r="F38" s="40">
        <f t="shared" si="2"/>
        <v>61.3</v>
      </c>
      <c r="G38" s="24">
        <v>2</v>
      </c>
      <c r="H38" s="8"/>
      <c r="I38" s="8"/>
      <c r="J38" s="40">
        <f t="shared" si="3"/>
        <v>2</v>
      </c>
      <c r="K38" s="72">
        <f t="shared" si="0"/>
        <v>1.5458937198067632E-3</v>
      </c>
      <c r="L38" s="316">
        <f t="shared" si="1"/>
        <v>3.507833816425121</v>
      </c>
      <c r="M38" s="37">
        <f t="shared" si="4"/>
        <v>1.2898304942995171</v>
      </c>
      <c r="N38" s="37">
        <v>1.6395417348608838</v>
      </c>
      <c r="O38" s="947">
        <f t="shared" si="5"/>
        <v>0.24919806763285021</v>
      </c>
      <c r="P38" s="37"/>
      <c r="Q38" s="954">
        <f t="shared" si="6"/>
        <v>0.10907673920421489</v>
      </c>
    </row>
    <row r="39" spans="1:17" s="6" customFormat="1" ht="15.75">
      <c r="A39" s="53">
        <v>34</v>
      </c>
      <c r="B39" s="418" t="s">
        <v>716</v>
      </c>
      <c r="C39" s="330">
        <v>105.7</v>
      </c>
      <c r="D39" s="330"/>
      <c r="E39" s="330"/>
      <c r="F39" s="40">
        <f t="shared" si="2"/>
        <v>105.7</v>
      </c>
      <c r="G39" s="24">
        <v>4</v>
      </c>
      <c r="H39" s="8"/>
      <c r="I39" s="8"/>
      <c r="J39" s="40">
        <f t="shared" si="3"/>
        <v>4</v>
      </c>
      <c r="K39" s="72">
        <f t="shared" si="0"/>
        <v>3.0917874396135265E-3</v>
      </c>
      <c r="L39" s="316">
        <f t="shared" si="1"/>
        <v>7.0156676328502421</v>
      </c>
      <c r="M39" s="37">
        <f t="shared" si="4"/>
        <v>2.5796609885990343</v>
      </c>
      <c r="N39" s="37">
        <v>3.2790834697217677</v>
      </c>
      <c r="O39" s="947">
        <f t="shared" si="5"/>
        <v>0.49839613526570042</v>
      </c>
      <c r="P39" s="37"/>
      <c r="Q39" s="954">
        <f t="shared" si="6"/>
        <v>0.12651663411955291</v>
      </c>
    </row>
    <row r="40" spans="1:17" s="6" customFormat="1" ht="15.75">
      <c r="A40" s="53">
        <v>35</v>
      </c>
      <c r="B40" s="418" t="s">
        <v>717</v>
      </c>
      <c r="C40" s="330">
        <v>124.1</v>
      </c>
      <c r="D40" s="330"/>
      <c r="E40" s="330"/>
      <c r="F40" s="40">
        <f t="shared" si="2"/>
        <v>124.1</v>
      </c>
      <c r="G40" s="24">
        <v>2</v>
      </c>
      <c r="H40" s="8"/>
      <c r="I40" s="8"/>
      <c r="J40" s="40">
        <f t="shared" si="3"/>
        <v>2</v>
      </c>
      <c r="K40" s="72">
        <f t="shared" si="0"/>
        <v>1.5458937198067632E-3</v>
      </c>
      <c r="L40" s="316">
        <f t="shared" si="1"/>
        <v>3.507833816425121</v>
      </c>
      <c r="M40" s="37">
        <f t="shared" si="4"/>
        <v>1.2898304942995171</v>
      </c>
      <c r="N40" s="37">
        <v>1.6395417348608838</v>
      </c>
      <c r="O40" s="947">
        <f t="shared" si="5"/>
        <v>0.24919806763285021</v>
      </c>
      <c r="P40" s="37"/>
      <c r="Q40" s="954">
        <f t="shared" si="6"/>
        <v>5.3879162878471977E-2</v>
      </c>
    </row>
    <row r="41" spans="1:17" s="6" customFormat="1" ht="15.75">
      <c r="A41" s="53">
        <v>36</v>
      </c>
      <c r="B41" s="418" t="s">
        <v>718</v>
      </c>
      <c r="C41" s="330">
        <v>2349.19</v>
      </c>
      <c r="D41" s="330"/>
      <c r="E41" s="330"/>
      <c r="F41" s="40">
        <f t="shared" si="2"/>
        <v>2349.19</v>
      </c>
      <c r="G41" s="24">
        <v>40</v>
      </c>
      <c r="H41" s="8"/>
      <c r="I41" s="8"/>
      <c r="J41" s="40">
        <f t="shared" si="3"/>
        <v>40</v>
      </c>
      <c r="K41" s="72">
        <f t="shared" si="0"/>
        <v>3.0917874396135265E-2</v>
      </c>
      <c r="L41" s="316">
        <f t="shared" si="1"/>
        <v>70.156676328502414</v>
      </c>
      <c r="M41" s="37">
        <f t="shared" si="4"/>
        <v>25.796609885990339</v>
      </c>
      <c r="N41" s="37">
        <v>32.790834697217676</v>
      </c>
      <c r="O41" s="947">
        <f t="shared" si="5"/>
        <v>4.9839613526570048</v>
      </c>
      <c r="P41" s="37"/>
      <c r="Q41" s="954">
        <f t="shared" si="6"/>
        <v>5.6925187943234659E-2</v>
      </c>
    </row>
    <row r="42" spans="1:17" s="6" customFormat="1" ht="15.75">
      <c r="A42" s="53">
        <v>37</v>
      </c>
      <c r="B42" s="418" t="s">
        <v>719</v>
      </c>
      <c r="C42" s="330">
        <v>3321.01</v>
      </c>
      <c r="D42" s="330"/>
      <c r="E42" s="330"/>
      <c r="F42" s="40">
        <f t="shared" si="2"/>
        <v>3321.01</v>
      </c>
      <c r="G42" s="24">
        <v>119</v>
      </c>
      <c r="H42" s="8"/>
      <c r="I42" s="8"/>
      <c r="J42" s="40">
        <f t="shared" si="3"/>
        <v>119</v>
      </c>
      <c r="K42" s="72">
        <f t="shared" si="0"/>
        <v>9.1980676328502417E-2</v>
      </c>
      <c r="L42" s="316">
        <f t="shared" si="1"/>
        <v>208.7161120772947</v>
      </c>
      <c r="M42" s="37">
        <f t="shared" si="4"/>
        <v>76.744914410821266</v>
      </c>
      <c r="N42" s="37">
        <v>97.552733224222578</v>
      </c>
      <c r="O42" s="947">
        <f t="shared" si="5"/>
        <v>14.827285024154589</v>
      </c>
      <c r="P42" s="37"/>
      <c r="Q42" s="954">
        <f t="shared" si="6"/>
        <v>0.11979519626152679</v>
      </c>
    </row>
    <row r="43" spans="1:17" s="6" customFormat="1" ht="15.75">
      <c r="A43" s="53">
        <v>38</v>
      </c>
      <c r="B43" s="418" t="s">
        <v>720</v>
      </c>
      <c r="C43" s="330">
        <v>3969.9</v>
      </c>
      <c r="D43" s="330"/>
      <c r="E43" s="330"/>
      <c r="F43" s="40">
        <f t="shared" si="2"/>
        <v>3969.9</v>
      </c>
      <c r="G43" s="24">
        <v>107</v>
      </c>
      <c r="H43" s="8"/>
      <c r="I43" s="8"/>
      <c r="J43" s="40">
        <f t="shared" si="3"/>
        <v>107</v>
      </c>
      <c r="K43" s="72">
        <f t="shared" si="0"/>
        <v>8.2705314009661829E-2</v>
      </c>
      <c r="L43" s="316">
        <f t="shared" si="1"/>
        <v>187.66910917874395</v>
      </c>
      <c r="M43" s="37">
        <f t="shared" si="4"/>
        <v>69.00593144502416</v>
      </c>
      <c r="N43" s="37">
        <v>87.715482815057271</v>
      </c>
      <c r="O43" s="947">
        <f t="shared" si="5"/>
        <v>13.332096618357486</v>
      </c>
      <c r="P43" s="37"/>
      <c r="Q43" s="954">
        <f t="shared" si="6"/>
        <v>9.0108723156044956E-2</v>
      </c>
    </row>
    <row r="44" spans="1:17" s="6" customFormat="1" ht="15.75">
      <c r="A44" s="53">
        <v>39</v>
      </c>
      <c r="B44" s="418" t="s">
        <v>721</v>
      </c>
      <c r="C44" s="330">
        <v>6582.1</v>
      </c>
      <c r="D44" s="330"/>
      <c r="E44" s="330"/>
      <c r="F44" s="40">
        <f t="shared" si="2"/>
        <v>6582.1</v>
      </c>
      <c r="G44" s="24">
        <v>118</v>
      </c>
      <c r="H44" s="8"/>
      <c r="I44" s="8"/>
      <c r="J44" s="40">
        <f t="shared" si="3"/>
        <v>118</v>
      </c>
      <c r="K44" s="72">
        <f t="shared" si="0"/>
        <v>9.1207729468599036E-2</v>
      </c>
      <c r="L44" s="316">
        <f t="shared" si="1"/>
        <v>206.96219516908215</v>
      </c>
      <c r="M44" s="37">
        <f t="shared" si="4"/>
        <v>76.099999163671512</v>
      </c>
      <c r="N44" s="37">
        <v>96.732962356792129</v>
      </c>
      <c r="O44" s="947">
        <f t="shared" si="5"/>
        <v>14.702685990338164</v>
      </c>
      <c r="P44" s="37"/>
      <c r="Q44" s="954">
        <f t="shared" si="6"/>
        <v>5.9934951258699194E-2</v>
      </c>
    </row>
    <row r="45" spans="1:17" s="6" customFormat="1" ht="15.75">
      <c r="A45" s="53">
        <v>40</v>
      </c>
      <c r="B45" s="418" t="s">
        <v>722</v>
      </c>
      <c r="C45" s="330">
        <v>8461.27</v>
      </c>
      <c r="D45" s="330">
        <v>287.3</v>
      </c>
      <c r="E45" s="330"/>
      <c r="F45" s="40">
        <f t="shared" si="2"/>
        <v>8748.57</v>
      </c>
      <c r="G45" s="24">
        <v>156</v>
      </c>
      <c r="H45" s="8">
        <v>1</v>
      </c>
      <c r="I45" s="8"/>
      <c r="J45" s="40">
        <f t="shared" si="3"/>
        <v>157</v>
      </c>
      <c r="K45" s="72">
        <f t="shared" si="0"/>
        <v>0.12135265700483092</v>
      </c>
      <c r="L45" s="316">
        <f t="shared" si="1"/>
        <v>275.36495458937196</v>
      </c>
      <c r="M45" s="37">
        <f t="shared" si="4"/>
        <v>101.25169380251208</v>
      </c>
      <c r="N45" s="37">
        <v>128.7040261865794</v>
      </c>
      <c r="O45" s="947">
        <f t="shared" si="5"/>
        <v>19.562048309178742</v>
      </c>
      <c r="P45" s="37"/>
      <c r="Q45" s="954">
        <f t="shared" si="6"/>
        <v>5.9996402027719074E-2</v>
      </c>
    </row>
    <row r="46" spans="1:17" s="6" customFormat="1" ht="15.75">
      <c r="A46" s="53">
        <v>41</v>
      </c>
      <c r="B46" s="418" t="s">
        <v>723</v>
      </c>
      <c r="C46" s="330">
        <v>3715.24</v>
      </c>
      <c r="D46" s="330"/>
      <c r="E46" s="330">
        <v>109.3</v>
      </c>
      <c r="F46" s="40">
        <f t="shared" si="2"/>
        <v>3824.54</v>
      </c>
      <c r="G46" s="24">
        <v>105</v>
      </c>
      <c r="H46" s="8"/>
      <c r="I46" s="8">
        <v>1</v>
      </c>
      <c r="J46" s="40">
        <f t="shared" si="3"/>
        <v>106</v>
      </c>
      <c r="K46" s="72">
        <f t="shared" si="0"/>
        <v>8.1932367149758448E-2</v>
      </c>
      <c r="L46" s="316">
        <f t="shared" si="1"/>
        <v>185.91519227053141</v>
      </c>
      <c r="M46" s="37">
        <f t="shared" si="4"/>
        <v>68.361016197874406</v>
      </c>
      <c r="N46" s="37">
        <v>86.895711947626836</v>
      </c>
      <c r="O46" s="947">
        <f t="shared" si="5"/>
        <v>13.207497584541061</v>
      </c>
      <c r="P46" s="37"/>
      <c r="Q46" s="954">
        <f t="shared" si="6"/>
        <v>9.2659357203892151E-2</v>
      </c>
    </row>
    <row r="47" spans="1:17" s="6" customFormat="1" ht="15.75">
      <c r="A47" s="53">
        <v>42</v>
      </c>
      <c r="B47" s="418" t="s">
        <v>724</v>
      </c>
      <c r="C47" s="330">
        <v>355.8</v>
      </c>
      <c r="D47" s="330"/>
      <c r="E47" s="330"/>
      <c r="F47" s="40">
        <f t="shared" si="2"/>
        <v>355.8</v>
      </c>
      <c r="G47" s="24">
        <v>8</v>
      </c>
      <c r="H47" s="8"/>
      <c r="I47" s="8"/>
      <c r="J47" s="40">
        <f t="shared" si="3"/>
        <v>8</v>
      </c>
      <c r="K47" s="72">
        <f t="shared" si="0"/>
        <v>6.183574879227053E-3</v>
      </c>
      <c r="L47" s="316">
        <f t="shared" si="1"/>
        <v>14.031335265700484</v>
      </c>
      <c r="M47" s="37">
        <f t="shared" si="4"/>
        <v>5.1593219771980685</v>
      </c>
      <c r="N47" s="37">
        <v>6.5581669394435353</v>
      </c>
      <c r="O47" s="947">
        <f t="shared" si="5"/>
        <v>0.99679227053140085</v>
      </c>
      <c r="P47" s="37"/>
      <c r="Q47" s="954">
        <f t="shared" si="6"/>
        <v>7.5170366646637121E-2</v>
      </c>
    </row>
    <row r="48" spans="1:17" s="6" customFormat="1" ht="15.75">
      <c r="A48" s="53">
        <v>43</v>
      </c>
      <c r="B48" s="418" t="s">
        <v>725</v>
      </c>
      <c r="C48" s="330">
        <v>907.4</v>
      </c>
      <c r="D48" s="330"/>
      <c r="E48" s="330"/>
      <c r="F48" s="40">
        <f t="shared" si="2"/>
        <v>907.4</v>
      </c>
      <c r="G48" s="24">
        <v>17</v>
      </c>
      <c r="H48" s="8"/>
      <c r="I48" s="8"/>
      <c r="J48" s="40">
        <f t="shared" si="3"/>
        <v>17</v>
      </c>
      <c r="K48" s="72">
        <f t="shared" si="0"/>
        <v>1.3140096618357487E-2</v>
      </c>
      <c r="L48" s="316">
        <f t="shared" si="1"/>
        <v>29.816587439613528</v>
      </c>
      <c r="M48" s="37">
        <f t="shared" si="4"/>
        <v>10.963559201545895</v>
      </c>
      <c r="N48" s="37">
        <v>13.936104746317513</v>
      </c>
      <c r="O48" s="947">
        <f t="shared" si="5"/>
        <v>2.1181835748792266</v>
      </c>
      <c r="P48" s="37"/>
      <c r="Q48" s="954">
        <f t="shared" si="6"/>
        <v>6.2634378402420282E-2</v>
      </c>
    </row>
    <row r="49" spans="1:17" s="6" customFormat="1" ht="15.75">
      <c r="A49" s="53">
        <v>44</v>
      </c>
      <c r="B49" s="418" t="s">
        <v>726</v>
      </c>
      <c r="C49" s="330">
        <v>2273.6</v>
      </c>
      <c r="D49" s="330"/>
      <c r="E49" s="330"/>
      <c r="F49" s="40">
        <f t="shared" si="2"/>
        <v>2273.6</v>
      </c>
      <c r="G49" s="24">
        <v>40</v>
      </c>
      <c r="H49" s="8"/>
      <c r="I49" s="8"/>
      <c r="J49" s="40">
        <f t="shared" si="3"/>
        <v>40</v>
      </c>
      <c r="K49" s="72">
        <f t="shared" si="0"/>
        <v>3.0917874396135265E-2</v>
      </c>
      <c r="L49" s="316">
        <f t="shared" si="1"/>
        <v>70.156676328502414</v>
      </c>
      <c r="M49" s="37">
        <f t="shared" si="4"/>
        <v>25.796609885990339</v>
      </c>
      <c r="N49" s="37">
        <v>32.790834697217676</v>
      </c>
      <c r="O49" s="947">
        <f t="shared" si="5"/>
        <v>4.9839613526570048</v>
      </c>
      <c r="P49" s="37"/>
      <c r="Q49" s="954">
        <f t="shared" si="6"/>
        <v>5.8817770172575404E-2</v>
      </c>
    </row>
    <row r="50" spans="1:17" s="6" customFormat="1" ht="15.75">
      <c r="A50" s="53">
        <v>45</v>
      </c>
      <c r="B50" s="418" t="s">
        <v>727</v>
      </c>
      <c r="C50" s="330">
        <v>154.1</v>
      </c>
      <c r="D50" s="330"/>
      <c r="E50" s="330"/>
      <c r="F50" s="40">
        <f t="shared" si="2"/>
        <v>154.1</v>
      </c>
      <c r="G50" s="24">
        <v>3</v>
      </c>
      <c r="H50" s="8"/>
      <c r="I50" s="8"/>
      <c r="J50" s="40">
        <f t="shared" si="3"/>
        <v>3</v>
      </c>
      <c r="K50" s="72">
        <f t="shared" si="0"/>
        <v>2.3188405797101449E-3</v>
      </c>
      <c r="L50" s="316">
        <f t="shared" si="1"/>
        <v>5.2617507246376816</v>
      </c>
      <c r="M50" s="37">
        <f t="shared" si="4"/>
        <v>1.9347457414492757</v>
      </c>
      <c r="N50" s="37">
        <v>2.4593126022913259</v>
      </c>
      <c r="O50" s="947">
        <f t="shared" si="5"/>
        <v>0.3737971014492753</v>
      </c>
      <c r="P50" s="37"/>
      <c r="Q50" s="954">
        <f t="shared" si="6"/>
        <v>6.5085049771755735E-2</v>
      </c>
    </row>
    <row r="51" spans="1:17" s="6" customFormat="1" ht="15.75">
      <c r="A51" s="53">
        <v>46</v>
      </c>
      <c r="B51" s="418" t="s">
        <v>728</v>
      </c>
      <c r="C51" s="330">
        <v>93.9</v>
      </c>
      <c r="D51" s="330"/>
      <c r="E51" s="330"/>
      <c r="F51" s="40">
        <f t="shared" si="2"/>
        <v>93.9</v>
      </c>
      <c r="G51" s="24">
        <v>3</v>
      </c>
      <c r="H51" s="8"/>
      <c r="I51" s="8"/>
      <c r="J51" s="40">
        <f t="shared" si="3"/>
        <v>3</v>
      </c>
      <c r="K51" s="72">
        <f t="shared" si="0"/>
        <v>2.3188405797101449E-3</v>
      </c>
      <c r="L51" s="316">
        <f t="shared" si="1"/>
        <v>5.2617507246376816</v>
      </c>
      <c r="M51" s="37">
        <f t="shared" si="4"/>
        <v>1.9347457414492757</v>
      </c>
      <c r="N51" s="37">
        <v>2.4593126022913259</v>
      </c>
      <c r="O51" s="947">
        <f t="shared" si="5"/>
        <v>0.3737971014492753</v>
      </c>
      <c r="P51" s="37"/>
      <c r="Q51" s="954">
        <f t="shared" si="6"/>
        <v>0.10681156730380786</v>
      </c>
    </row>
    <row r="52" spans="1:17" s="6" customFormat="1" ht="15.75">
      <c r="A52" s="53">
        <v>47</v>
      </c>
      <c r="B52" s="418" t="s">
        <v>729</v>
      </c>
      <c r="C52" s="330">
        <v>296.10000000000002</v>
      </c>
      <c r="D52" s="330"/>
      <c r="E52" s="330"/>
      <c r="F52" s="40">
        <f t="shared" si="2"/>
        <v>296.10000000000002</v>
      </c>
      <c r="G52" s="24">
        <v>9</v>
      </c>
      <c r="H52" s="8"/>
      <c r="I52" s="8"/>
      <c r="J52" s="40">
        <f t="shared" si="3"/>
        <v>9</v>
      </c>
      <c r="K52" s="72">
        <f t="shared" si="0"/>
        <v>6.9565217391304342E-3</v>
      </c>
      <c r="L52" s="316">
        <f t="shared" si="1"/>
        <v>15.785252173913042</v>
      </c>
      <c r="M52" s="37">
        <f t="shared" si="4"/>
        <v>5.8042372243478262</v>
      </c>
      <c r="N52" s="37">
        <v>7.3779378068739776</v>
      </c>
      <c r="O52" s="947">
        <f t="shared" si="5"/>
        <v>1.1213913043478259</v>
      </c>
      <c r="P52" s="37"/>
      <c r="Q52" s="954">
        <f t="shared" si="6"/>
        <v>0.10161708378751323</v>
      </c>
    </row>
    <row r="53" spans="1:17" s="6" customFormat="1" ht="15.75">
      <c r="A53" s="53">
        <v>48</v>
      </c>
      <c r="B53" s="418" t="s">
        <v>647</v>
      </c>
      <c r="C53" s="330">
        <v>4177.21</v>
      </c>
      <c r="D53" s="330">
        <v>6.6</v>
      </c>
      <c r="E53" s="330"/>
      <c r="F53" s="40">
        <f t="shared" si="2"/>
        <v>4183.8100000000004</v>
      </c>
      <c r="G53" s="24">
        <v>108</v>
      </c>
      <c r="H53" s="8"/>
      <c r="I53" s="8"/>
      <c r="J53" s="40">
        <f t="shared" si="3"/>
        <v>108</v>
      </c>
      <c r="K53" s="72">
        <f t="shared" si="0"/>
        <v>8.347826086956521E-2</v>
      </c>
      <c r="L53" s="316">
        <f t="shared" si="1"/>
        <v>189.42302608695653</v>
      </c>
      <c r="M53" s="37">
        <f t="shared" si="4"/>
        <v>69.650846692173914</v>
      </c>
      <c r="N53" s="37">
        <v>88.535253682487721</v>
      </c>
      <c r="O53" s="947">
        <f t="shared" si="5"/>
        <v>13.456695652173911</v>
      </c>
      <c r="P53" s="37"/>
      <c r="Q53" s="954">
        <f t="shared" si="6"/>
        <v>8.630072161828381E-2</v>
      </c>
    </row>
    <row r="54" spans="1:17" s="6" customFormat="1" ht="15.75">
      <c r="A54" s="53">
        <v>49</v>
      </c>
      <c r="B54" s="418" t="s">
        <v>648</v>
      </c>
      <c r="C54" s="330">
        <v>4140.68</v>
      </c>
      <c r="D54" s="330"/>
      <c r="E54" s="330"/>
      <c r="F54" s="40">
        <f t="shared" si="2"/>
        <v>4140.68</v>
      </c>
      <c r="G54" s="24">
        <v>108</v>
      </c>
      <c r="H54" s="8"/>
      <c r="I54" s="8"/>
      <c r="J54" s="40">
        <f t="shared" si="3"/>
        <v>108</v>
      </c>
      <c r="K54" s="72">
        <f t="shared" si="0"/>
        <v>8.347826086956521E-2</v>
      </c>
      <c r="L54" s="316">
        <f t="shared" si="1"/>
        <v>189.42302608695653</v>
      </c>
      <c r="M54" s="37">
        <f t="shared" si="4"/>
        <v>69.650846692173914</v>
      </c>
      <c r="N54" s="37">
        <v>88.535253682487721</v>
      </c>
      <c r="O54" s="947">
        <f t="shared" si="5"/>
        <v>13.456695652173911</v>
      </c>
      <c r="P54" s="37"/>
      <c r="Q54" s="954">
        <f t="shared" si="6"/>
        <v>8.7199644047304306E-2</v>
      </c>
    </row>
    <row r="55" spans="1:17" s="6" customFormat="1" ht="15.75">
      <c r="A55" s="53">
        <v>50</v>
      </c>
      <c r="B55" s="418" t="s">
        <v>1354</v>
      </c>
      <c r="C55" s="818">
        <v>7831.81</v>
      </c>
      <c r="D55" s="330"/>
      <c r="E55" s="330"/>
      <c r="F55" s="40">
        <f t="shared" si="2"/>
        <v>7831.81</v>
      </c>
      <c r="G55" s="24">
        <v>162</v>
      </c>
      <c r="H55" s="8"/>
      <c r="I55" s="8"/>
      <c r="J55" s="40">
        <f t="shared" si="3"/>
        <v>162</v>
      </c>
      <c r="K55" s="72">
        <f t="shared" si="0"/>
        <v>0.12521739130434784</v>
      </c>
      <c r="L55" s="316">
        <f t="shared" si="1"/>
        <v>284.1345391304348</v>
      </c>
      <c r="M55" s="37">
        <f t="shared" si="4"/>
        <v>104.47627003826088</v>
      </c>
      <c r="N55" s="37">
        <v>132.8028805237316</v>
      </c>
      <c r="O55" s="947">
        <f t="shared" si="5"/>
        <v>20.185043478260869</v>
      </c>
      <c r="P55" s="37"/>
      <c r="Q55" s="954">
        <f t="shared" si="6"/>
        <v>6.9153711998974451E-2</v>
      </c>
    </row>
    <row r="56" spans="1:17" s="6" customFormat="1" ht="15.75">
      <c r="A56" s="53">
        <v>51</v>
      </c>
      <c r="B56" s="146" t="s">
        <v>1374</v>
      </c>
      <c r="C56" s="818">
        <v>996.1</v>
      </c>
      <c r="D56" s="330"/>
      <c r="E56" s="330"/>
      <c r="F56" s="40">
        <f t="shared" si="2"/>
        <v>996.1</v>
      </c>
      <c r="G56" s="24">
        <v>35</v>
      </c>
      <c r="H56" s="8"/>
      <c r="I56" s="8"/>
      <c r="J56" s="40">
        <f t="shared" ref="J56:J66" si="7">G56+H56+I56</f>
        <v>35</v>
      </c>
      <c r="K56" s="72">
        <f t="shared" si="0"/>
        <v>2.7053140096618356E-2</v>
      </c>
      <c r="L56" s="316">
        <f t="shared" si="1"/>
        <v>61.387091787439608</v>
      </c>
      <c r="M56" s="37">
        <f t="shared" si="4"/>
        <v>22.572033650241547</v>
      </c>
      <c r="N56" s="37">
        <v>28.691980360065468</v>
      </c>
      <c r="O56" s="947">
        <f t="shared" si="5"/>
        <v>4.3609661835748783</v>
      </c>
      <c r="P56" s="37"/>
      <c r="Q56" s="954">
        <f t="shared" si="6"/>
        <v>0.11747020578387862</v>
      </c>
    </row>
    <row r="57" spans="1:17" s="6" customFormat="1" ht="15.75">
      <c r="A57" s="53">
        <v>52</v>
      </c>
      <c r="B57" s="146" t="s">
        <v>1376</v>
      </c>
      <c r="C57" s="818">
        <v>533.79999999999995</v>
      </c>
      <c r="D57" s="330"/>
      <c r="E57" s="330"/>
      <c r="F57" s="40">
        <f t="shared" si="2"/>
        <v>533.79999999999995</v>
      </c>
      <c r="G57" s="24">
        <v>12</v>
      </c>
      <c r="H57" s="8"/>
      <c r="I57" s="8"/>
      <c r="J57" s="40">
        <f t="shared" si="7"/>
        <v>12</v>
      </c>
      <c r="K57" s="72">
        <f t="shared" si="0"/>
        <v>9.2753623188405795E-3</v>
      </c>
      <c r="L57" s="316">
        <f t="shared" si="1"/>
        <v>21.047002898550726</v>
      </c>
      <c r="M57" s="37">
        <f t="shared" si="4"/>
        <v>7.7389829657971028</v>
      </c>
      <c r="N57" s="37">
        <v>9.8372504091653035</v>
      </c>
      <c r="O57" s="947">
        <f t="shared" si="5"/>
        <v>1.4951884057971012</v>
      </c>
      <c r="P57" s="37"/>
      <c r="Q57" s="954">
        <f t="shared" si="6"/>
        <v>7.5156284524747541E-2</v>
      </c>
    </row>
    <row r="58" spans="1:17" s="6" customFormat="1" ht="15.75">
      <c r="A58" s="53">
        <v>53</v>
      </c>
      <c r="B58" s="146" t="s">
        <v>1375</v>
      </c>
      <c r="C58" s="818">
        <v>987.3</v>
      </c>
      <c r="D58" s="330"/>
      <c r="E58" s="330"/>
      <c r="F58" s="40">
        <f t="shared" si="2"/>
        <v>987.3</v>
      </c>
      <c r="G58" s="24">
        <v>34</v>
      </c>
      <c r="H58" s="8"/>
      <c r="I58" s="8"/>
      <c r="J58" s="40">
        <f t="shared" si="7"/>
        <v>34</v>
      </c>
      <c r="K58" s="72">
        <f t="shared" si="0"/>
        <v>2.6280193236714974E-2</v>
      </c>
      <c r="L58" s="316">
        <f t="shared" si="1"/>
        <v>59.633174879227056</v>
      </c>
      <c r="M58" s="37">
        <f t="shared" si="4"/>
        <v>21.927118403091789</v>
      </c>
      <c r="N58" s="37">
        <v>27.872209492635026</v>
      </c>
      <c r="O58" s="947">
        <f t="shared" si="5"/>
        <v>4.2363671497584532</v>
      </c>
      <c r="P58" s="37"/>
      <c r="Q58" s="954">
        <f t="shared" si="6"/>
        <v>0.11513103405723928</v>
      </c>
    </row>
    <row r="59" spans="1:17" s="6" customFormat="1" ht="15.75">
      <c r="A59" s="53">
        <v>54</v>
      </c>
      <c r="B59" s="146" t="s">
        <v>1377</v>
      </c>
      <c r="C59" s="818">
        <v>442.6</v>
      </c>
      <c r="D59" s="330"/>
      <c r="E59" s="330"/>
      <c r="F59" s="40">
        <f t="shared" si="2"/>
        <v>442.6</v>
      </c>
      <c r="G59" s="24">
        <v>11</v>
      </c>
      <c r="H59" s="8"/>
      <c r="I59" s="8"/>
      <c r="J59" s="40">
        <f t="shared" si="7"/>
        <v>11</v>
      </c>
      <c r="K59" s="72">
        <f t="shared" si="0"/>
        <v>8.5024154589371983E-3</v>
      </c>
      <c r="L59" s="316">
        <f t="shared" si="1"/>
        <v>19.293085990338167</v>
      </c>
      <c r="M59" s="37">
        <f t="shared" si="4"/>
        <v>7.0940677186473442</v>
      </c>
      <c r="N59" s="37">
        <v>9.0174795417348612</v>
      </c>
      <c r="O59" s="947">
        <f t="shared" si="5"/>
        <v>1.3705893719806763</v>
      </c>
      <c r="P59" s="37"/>
      <c r="Q59" s="954">
        <f t="shared" si="6"/>
        <v>8.308907054383427E-2</v>
      </c>
    </row>
    <row r="60" spans="1:17" s="6" customFormat="1" ht="15.75">
      <c r="A60" s="279">
        <v>55</v>
      </c>
      <c r="B60" s="142" t="s">
        <v>1407</v>
      </c>
      <c r="C60" s="284">
        <v>7013.2</v>
      </c>
      <c r="D60" s="284"/>
      <c r="E60" s="284"/>
      <c r="F60" s="8">
        <f t="shared" ref="F60:F66" si="8">C60+D60+E60</f>
        <v>7013.2</v>
      </c>
      <c r="G60" s="24">
        <v>222</v>
      </c>
      <c r="H60" s="8"/>
      <c r="I60" s="8"/>
      <c r="J60" s="8">
        <f t="shared" si="7"/>
        <v>222</v>
      </c>
      <c r="K60" s="72">
        <f t="shared" si="0"/>
        <v>0.17159420289855071</v>
      </c>
      <c r="L60" s="316">
        <f t="shared" si="1"/>
        <v>389.36955362318838</v>
      </c>
      <c r="M60" s="37">
        <f t="shared" si="4"/>
        <v>143.17118486724638</v>
      </c>
      <c r="N60" s="37">
        <v>181.98913256955808</v>
      </c>
      <c r="O60" s="947">
        <f t="shared" ref="O60:O67" si="9">K60*161.2</f>
        <v>27.660985507246373</v>
      </c>
      <c r="P60" s="37"/>
      <c r="Q60" s="954">
        <f t="shared" si="6"/>
        <v>0.10582770440986131</v>
      </c>
    </row>
    <row r="61" spans="1:17" s="6" customFormat="1" ht="15.75">
      <c r="A61" s="279">
        <v>56</v>
      </c>
      <c r="B61" s="284" t="s">
        <v>1390</v>
      </c>
      <c r="C61" s="284">
        <v>8402.66</v>
      </c>
      <c r="D61" s="284"/>
      <c r="E61" s="284"/>
      <c r="F61" s="8">
        <f t="shared" si="8"/>
        <v>8402.66</v>
      </c>
      <c r="G61" s="24">
        <v>342</v>
      </c>
      <c r="H61" s="8"/>
      <c r="I61" s="8"/>
      <c r="J61" s="8">
        <f t="shared" si="7"/>
        <v>342</v>
      </c>
      <c r="K61" s="72">
        <f t="shared" si="0"/>
        <v>0.26434782608695651</v>
      </c>
      <c r="L61" s="316">
        <f t="shared" si="1"/>
        <v>599.83958260869565</v>
      </c>
      <c r="M61" s="37">
        <f t="shared" si="4"/>
        <v>220.56101452521742</v>
      </c>
      <c r="N61" s="37">
        <v>280.36163666121115</v>
      </c>
      <c r="O61" s="947">
        <f t="shared" si="9"/>
        <v>42.612869565217387</v>
      </c>
      <c r="P61" s="37"/>
      <c r="Q61" s="954">
        <f t="shared" si="6"/>
        <v>0.13607299395195588</v>
      </c>
    </row>
    <row r="62" spans="1:17" s="6" customFormat="1" ht="15.75">
      <c r="A62" s="279">
        <v>57</v>
      </c>
      <c r="B62" s="285" t="s">
        <v>1386</v>
      </c>
      <c r="C62" s="285">
        <v>2601.63</v>
      </c>
      <c r="D62" s="285"/>
      <c r="E62" s="285"/>
      <c r="F62" s="8">
        <f t="shared" si="8"/>
        <v>2601.63</v>
      </c>
      <c r="G62" s="24">
        <v>54</v>
      </c>
      <c r="H62" s="8"/>
      <c r="I62" s="8"/>
      <c r="J62" s="8">
        <f t="shared" si="7"/>
        <v>54</v>
      </c>
      <c r="K62" s="72">
        <f t="shared" si="0"/>
        <v>4.1739130434782605E-2</v>
      </c>
      <c r="L62" s="316">
        <f t="shared" si="1"/>
        <v>94.711513043478263</v>
      </c>
      <c r="M62" s="37">
        <f t="shared" si="4"/>
        <v>34.825423346086957</v>
      </c>
      <c r="N62" s="37">
        <v>44.26762684124386</v>
      </c>
      <c r="O62" s="947">
        <f t="shared" si="9"/>
        <v>6.7283478260869556</v>
      </c>
      <c r="P62" s="37"/>
      <c r="Q62" s="954">
        <f t="shared" si="6"/>
        <v>6.9392231430640022E-2</v>
      </c>
    </row>
    <row r="63" spans="1:17" s="6" customFormat="1" ht="15.75">
      <c r="A63" s="279">
        <v>58</v>
      </c>
      <c r="B63" s="285" t="s">
        <v>1385</v>
      </c>
      <c r="C63" s="285">
        <v>2594.2600000000002</v>
      </c>
      <c r="D63" s="285"/>
      <c r="E63" s="285"/>
      <c r="F63" s="8">
        <f t="shared" si="8"/>
        <v>2594.2600000000002</v>
      </c>
      <c r="G63" s="24">
        <v>54</v>
      </c>
      <c r="H63" s="8"/>
      <c r="I63" s="8"/>
      <c r="J63" s="8">
        <f t="shared" si="7"/>
        <v>54</v>
      </c>
      <c r="K63" s="72">
        <f t="shared" si="0"/>
        <v>4.1739130434782605E-2</v>
      </c>
      <c r="L63" s="316">
        <f t="shared" si="1"/>
        <v>94.711513043478263</v>
      </c>
      <c r="M63" s="37">
        <f t="shared" si="4"/>
        <v>34.825423346086957</v>
      </c>
      <c r="N63" s="37">
        <v>44.26762684124386</v>
      </c>
      <c r="O63" s="947">
        <f t="shared" si="9"/>
        <v>6.7283478260869556</v>
      </c>
      <c r="P63" s="37"/>
      <c r="Q63" s="954">
        <f t="shared" si="6"/>
        <v>6.9589366931955929E-2</v>
      </c>
    </row>
    <row r="64" spans="1:17" s="6" customFormat="1" ht="15.75">
      <c r="A64" s="279">
        <v>59</v>
      </c>
      <c r="B64" s="285" t="s">
        <v>1388</v>
      </c>
      <c r="C64" s="285">
        <v>2653.52</v>
      </c>
      <c r="D64" s="285"/>
      <c r="E64" s="285"/>
      <c r="F64" s="8">
        <f t="shared" si="8"/>
        <v>2653.52</v>
      </c>
      <c r="G64" s="24">
        <v>72</v>
      </c>
      <c r="H64" s="8"/>
      <c r="I64" s="8"/>
      <c r="J64" s="8">
        <f t="shared" si="7"/>
        <v>72</v>
      </c>
      <c r="K64" s="72">
        <f t="shared" si="0"/>
        <v>5.5652173913043473E-2</v>
      </c>
      <c r="L64" s="316">
        <f t="shared" si="1"/>
        <v>126.28201739130434</v>
      </c>
      <c r="M64" s="37">
        <f t="shared" si="4"/>
        <v>46.433897794782609</v>
      </c>
      <c r="N64" s="37">
        <v>59.023502454991821</v>
      </c>
      <c r="O64" s="947">
        <f t="shared" si="9"/>
        <v>8.9711304347826069</v>
      </c>
      <c r="P64" s="37"/>
      <c r="Q64" s="954">
        <f t="shared" si="6"/>
        <v>9.0713673940977027E-2</v>
      </c>
    </row>
    <row r="65" spans="1:18" s="6" customFormat="1" ht="15.75">
      <c r="A65" s="279">
        <v>60</v>
      </c>
      <c r="B65" s="286" t="s">
        <v>1389</v>
      </c>
      <c r="C65" s="285">
        <v>2150.9</v>
      </c>
      <c r="D65" s="285"/>
      <c r="E65" s="285"/>
      <c r="F65" s="8">
        <f t="shared" si="8"/>
        <v>2150.9</v>
      </c>
      <c r="G65" s="24">
        <v>40</v>
      </c>
      <c r="H65" s="8"/>
      <c r="I65" s="8"/>
      <c r="J65" s="8">
        <f t="shared" si="7"/>
        <v>40</v>
      </c>
      <c r="K65" s="72">
        <f t="shared" si="0"/>
        <v>3.0917874396135265E-2</v>
      </c>
      <c r="L65" s="316">
        <f t="shared" si="1"/>
        <v>70.156676328502414</v>
      </c>
      <c r="M65" s="37">
        <f t="shared" si="4"/>
        <v>25.796609885990339</v>
      </c>
      <c r="N65" s="37">
        <v>32.790834697217676</v>
      </c>
      <c r="O65" s="947">
        <f t="shared" si="9"/>
        <v>4.9839613526570048</v>
      </c>
      <c r="P65" s="37"/>
      <c r="Q65" s="954">
        <f t="shared" si="6"/>
        <v>6.2173082088598924E-2</v>
      </c>
    </row>
    <row r="66" spans="1:18" s="6" customFormat="1" ht="15.75">
      <c r="A66" s="279">
        <v>61</v>
      </c>
      <c r="B66" s="286" t="s">
        <v>1397</v>
      </c>
      <c r="C66" s="284">
        <v>3353.7</v>
      </c>
      <c r="D66" s="284"/>
      <c r="E66" s="284"/>
      <c r="F66" s="8">
        <f t="shared" si="8"/>
        <v>3353.7</v>
      </c>
      <c r="G66" s="8">
        <v>114</v>
      </c>
      <c r="H66" s="8"/>
      <c r="I66" s="8"/>
      <c r="J66" s="8">
        <f t="shared" si="7"/>
        <v>114</v>
      </c>
      <c r="K66" s="72">
        <f t="shared" si="0"/>
        <v>8.8115942028985511E-2</v>
      </c>
      <c r="L66" s="316">
        <f t="shared" si="1"/>
        <v>199.94652753623191</v>
      </c>
      <c r="M66" s="37">
        <f t="shared" si="4"/>
        <v>73.520338175072482</v>
      </c>
      <c r="N66" s="37">
        <v>93.453878887070374</v>
      </c>
      <c r="O66" s="947">
        <f t="shared" si="9"/>
        <v>14.204289855072464</v>
      </c>
      <c r="P66" s="37"/>
      <c r="Q66" s="954">
        <f t="shared" si="6"/>
        <v>0.11364315068534671</v>
      </c>
    </row>
    <row r="67" spans="1:18" s="6" customFormat="1" ht="15.75">
      <c r="A67" s="385"/>
      <c r="B67" s="63" t="s">
        <v>749</v>
      </c>
      <c r="C67" s="65">
        <f t="shared" ref="C67:I67" si="10">SUM(C6:C66)</f>
        <v>249781.08</v>
      </c>
      <c r="D67" s="65">
        <f t="shared" si="10"/>
        <v>1319.2</v>
      </c>
      <c r="E67" s="65">
        <f t="shared" si="10"/>
        <v>1116.55</v>
      </c>
      <c r="F67" s="65">
        <f t="shared" si="10"/>
        <v>252216.83000000002</v>
      </c>
      <c r="G67" s="65">
        <f t="shared" si="10"/>
        <v>5155</v>
      </c>
      <c r="H67" s="65">
        <f t="shared" si="10"/>
        <v>7</v>
      </c>
      <c r="I67" s="65">
        <f t="shared" si="10"/>
        <v>13</v>
      </c>
      <c r="J67" s="318">
        <f>SUM(J6:J66)</f>
        <v>5175</v>
      </c>
      <c r="K67" s="72">
        <f>4/5175*J67</f>
        <v>4</v>
      </c>
      <c r="L67" s="316">
        <f>K67*2269.13</f>
        <v>9076.52</v>
      </c>
      <c r="M67" s="64">
        <f t="shared" si="4"/>
        <v>3337.4364040000005</v>
      </c>
      <c r="N67" s="37">
        <v>3506.16</v>
      </c>
      <c r="O67" s="947">
        <f t="shared" si="9"/>
        <v>644.79999999999995</v>
      </c>
      <c r="P67" s="37"/>
      <c r="Q67" s="954">
        <f t="shared" si="6"/>
        <v>6.567728412096846E-2</v>
      </c>
    </row>
    <row r="68" spans="1:18" s="6" customFormat="1" ht="21" thickBot="1">
      <c r="A68" s="774" t="s">
        <v>984</v>
      </c>
      <c r="B68" s="775"/>
      <c r="C68" s="775"/>
      <c r="D68" s="775"/>
      <c r="E68" s="775"/>
      <c r="F68" s="775"/>
      <c r="G68" s="775"/>
      <c r="H68" s="775"/>
      <c r="I68" s="775"/>
      <c r="J68" s="775"/>
      <c r="K68" s="775"/>
      <c r="L68" s="316"/>
      <c r="M68" s="776"/>
      <c r="N68" s="37"/>
      <c r="O68" s="947"/>
      <c r="P68" s="37"/>
      <c r="Q68" s="954" t="e">
        <f t="shared" si="6"/>
        <v>#DIV/0!</v>
      </c>
    </row>
    <row r="69" spans="1:18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si="2"/>
        <v>6328.85</v>
      </c>
      <c r="G69" s="24">
        <v>108</v>
      </c>
      <c r="H69" s="8"/>
      <c r="I69" s="8"/>
      <c r="J69" s="40">
        <f t="shared" si="3"/>
        <v>108</v>
      </c>
      <c r="K69" s="72">
        <f t="shared" ref="K69:K88" si="11">2/2063*J69</f>
        <v>0.10470189045079981</v>
      </c>
      <c r="L69" s="316">
        <f t="shared" ref="L69:L88" si="12">K69*2269.13</f>
        <v>237.58220067862337</v>
      </c>
      <c r="M69" s="37">
        <f t="shared" si="4"/>
        <v>87.358975189529815</v>
      </c>
      <c r="N69" s="37">
        <v>98.354618181818168</v>
      </c>
      <c r="O69" s="947">
        <f t="shared" ref="O69:O87" si="13">K69*161.2</f>
        <v>16.877944740668926</v>
      </c>
      <c r="P69" s="37"/>
      <c r="Q69" s="954">
        <f t="shared" si="6"/>
        <v>6.9550350978556968E-2</v>
      </c>
      <c r="R69" s="6" t="s">
        <v>566</v>
      </c>
    </row>
    <row r="70" spans="1:18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2"/>
        <v>7565.74</v>
      </c>
      <c r="G70" s="24">
        <v>165</v>
      </c>
      <c r="H70" s="8">
        <v>1</v>
      </c>
      <c r="I70" s="8"/>
      <c r="J70" s="40">
        <f t="shared" si="3"/>
        <v>166</v>
      </c>
      <c r="K70" s="72">
        <f t="shared" si="11"/>
        <v>0.1609306834706738</v>
      </c>
      <c r="L70" s="316">
        <f t="shared" si="12"/>
        <v>365.17264178381004</v>
      </c>
      <c r="M70" s="37">
        <f t="shared" si="4"/>
        <v>134.27398038390697</v>
      </c>
      <c r="N70" s="37">
        <v>151.17469090909091</v>
      </c>
      <c r="O70" s="947">
        <f t="shared" si="13"/>
        <v>25.942026175472613</v>
      </c>
      <c r="P70" s="37"/>
      <c r="Q70" s="954">
        <f t="shared" si="6"/>
        <v>8.9424608729916782E-2</v>
      </c>
    </row>
    <row r="71" spans="1:18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2"/>
        <v>7217.2</v>
      </c>
      <c r="G71" s="24">
        <v>120</v>
      </c>
      <c r="H71" s="8"/>
      <c r="I71" s="8"/>
      <c r="J71" s="40">
        <f t="shared" si="3"/>
        <v>120</v>
      </c>
      <c r="K71" s="72">
        <f t="shared" si="11"/>
        <v>0.11633543383422201</v>
      </c>
      <c r="L71" s="316">
        <f t="shared" si="12"/>
        <v>263.98022297624823</v>
      </c>
      <c r="M71" s="37">
        <f t="shared" si="4"/>
        <v>97.065527988366483</v>
      </c>
      <c r="N71" s="37">
        <v>109.28290909090909</v>
      </c>
      <c r="O71" s="947">
        <f t="shared" si="13"/>
        <v>18.753271934076587</v>
      </c>
      <c r="P71" s="37"/>
      <c r="Q71" s="954">
        <f t="shared" ref="Q71:Q134" si="14">(O71+N71+M71+L71)/F71</f>
        <v>6.7766160282325613E-2</v>
      </c>
    </row>
    <row r="72" spans="1:18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2"/>
        <v>6435.2</v>
      </c>
      <c r="G72" s="24">
        <v>106</v>
      </c>
      <c r="H72" s="8"/>
      <c r="I72" s="8">
        <v>1</v>
      </c>
      <c r="J72" s="40">
        <f t="shared" si="3"/>
        <v>107</v>
      </c>
      <c r="K72" s="72">
        <f t="shared" si="11"/>
        <v>0.1037324285021813</v>
      </c>
      <c r="L72" s="316">
        <f t="shared" si="12"/>
        <v>235.38236548715466</v>
      </c>
      <c r="M72" s="37">
        <f t="shared" si="4"/>
        <v>86.550095789626781</v>
      </c>
      <c r="N72" s="37">
        <v>97.443927272727265</v>
      </c>
      <c r="O72" s="947">
        <f t="shared" si="13"/>
        <v>16.721667474551623</v>
      </c>
      <c r="P72" s="37"/>
      <c r="Q72" s="954">
        <f t="shared" si="14"/>
        <v>6.7767599456747318E-2</v>
      </c>
    </row>
    <row r="73" spans="1:18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2"/>
        <v>8881.51</v>
      </c>
      <c r="G73" s="24">
        <v>144</v>
      </c>
      <c r="H73" s="8"/>
      <c r="I73" s="8"/>
      <c r="J73" s="40">
        <f t="shared" si="3"/>
        <v>144</v>
      </c>
      <c r="K73" s="72">
        <f t="shared" si="11"/>
        <v>0.13960252060106643</v>
      </c>
      <c r="L73" s="316">
        <f t="shared" si="12"/>
        <v>316.7762675714979</v>
      </c>
      <c r="M73" s="37">
        <f t="shared" si="4"/>
        <v>116.47863358603979</v>
      </c>
      <c r="N73" s="37">
        <v>131.13949090909091</v>
      </c>
      <c r="O73" s="947">
        <f t="shared" si="13"/>
        <v>22.503926320891907</v>
      </c>
      <c r="P73" s="37"/>
      <c r="Q73" s="954">
        <f t="shared" si="14"/>
        <v>6.6080916239189103E-2</v>
      </c>
    </row>
    <row r="74" spans="1:18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2"/>
        <v>7938.92</v>
      </c>
      <c r="G74" s="24">
        <v>213</v>
      </c>
      <c r="H74" s="8"/>
      <c r="I74" s="8"/>
      <c r="J74" s="40">
        <f t="shared" si="3"/>
        <v>213</v>
      </c>
      <c r="K74" s="72">
        <f t="shared" si="11"/>
        <v>0.20649539505574407</v>
      </c>
      <c r="L74" s="316">
        <f t="shared" si="12"/>
        <v>468.56489578284055</v>
      </c>
      <c r="M74" s="37">
        <f t="shared" si="4"/>
        <v>172.29131217935048</v>
      </c>
      <c r="N74" s="37">
        <v>193.97716363636363</v>
      </c>
      <c r="O74" s="947">
        <f t="shared" si="13"/>
        <v>33.287057682985946</v>
      </c>
      <c r="P74" s="37"/>
      <c r="Q74" s="954">
        <f t="shared" si="14"/>
        <v>0.10934994045557087</v>
      </c>
    </row>
    <row r="75" spans="1:18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2"/>
        <v>7102.99</v>
      </c>
      <c r="G75" s="24">
        <v>108</v>
      </c>
      <c r="H75" s="8"/>
      <c r="I75" s="8"/>
      <c r="J75" s="40">
        <f t="shared" si="3"/>
        <v>108</v>
      </c>
      <c r="K75" s="72">
        <f t="shared" si="11"/>
        <v>0.10470189045079981</v>
      </c>
      <c r="L75" s="316">
        <f t="shared" si="12"/>
        <v>237.58220067862337</v>
      </c>
      <c r="M75" s="37">
        <f t="shared" si="4"/>
        <v>87.358975189529815</v>
      </c>
      <c r="N75" s="37">
        <v>98.354618181818168</v>
      </c>
      <c r="O75" s="947">
        <f t="shared" si="13"/>
        <v>16.877944740668926</v>
      </c>
      <c r="P75" s="37"/>
      <c r="Q75" s="954">
        <f t="shared" si="14"/>
        <v>6.1970203926887173E-2</v>
      </c>
    </row>
    <row r="76" spans="1:18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2"/>
        <v>2982.2</v>
      </c>
      <c r="G76" s="24">
        <v>55</v>
      </c>
      <c r="H76" s="8"/>
      <c r="I76" s="8"/>
      <c r="J76" s="40">
        <f t="shared" si="3"/>
        <v>55</v>
      </c>
      <c r="K76" s="72">
        <f t="shared" si="11"/>
        <v>5.3320407174018425E-2</v>
      </c>
      <c r="L76" s="316">
        <f t="shared" si="12"/>
        <v>120.99093553078043</v>
      </c>
      <c r="M76" s="37">
        <f t="shared" si="4"/>
        <v>44.48836699466797</v>
      </c>
      <c r="N76" s="37">
        <v>50.087999999999994</v>
      </c>
      <c r="O76" s="947">
        <f t="shared" si="13"/>
        <v>8.5952496364517703</v>
      </c>
      <c r="P76" s="37"/>
      <c r="Q76" s="954">
        <f t="shared" si="14"/>
        <v>7.516684064177459E-2</v>
      </c>
    </row>
    <row r="77" spans="1:18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2"/>
        <v>2528.85</v>
      </c>
      <c r="G77" s="24">
        <v>43</v>
      </c>
      <c r="H77" s="8">
        <v>1</v>
      </c>
      <c r="I77" s="8"/>
      <c r="J77" s="40">
        <f t="shared" si="3"/>
        <v>44</v>
      </c>
      <c r="K77" s="72">
        <f t="shared" si="11"/>
        <v>4.265632573921474E-2</v>
      </c>
      <c r="L77" s="316">
        <f t="shared" si="12"/>
        <v>96.792748424624349</v>
      </c>
      <c r="M77" s="37">
        <f t="shared" si="4"/>
        <v>35.590693595734379</v>
      </c>
      <c r="N77" s="37">
        <v>40.070399999999999</v>
      </c>
      <c r="O77" s="947">
        <f t="shared" si="13"/>
        <v>6.8761997091614155</v>
      </c>
      <c r="P77" s="37"/>
      <c r="Q77" s="954">
        <f t="shared" si="14"/>
        <v>7.0913672906467426E-2</v>
      </c>
    </row>
    <row r="78" spans="1:18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2"/>
        <v>4250.83</v>
      </c>
      <c r="G78" s="24">
        <v>72</v>
      </c>
      <c r="H78" s="8"/>
      <c r="I78" s="8"/>
      <c r="J78" s="40">
        <f t="shared" si="3"/>
        <v>72</v>
      </c>
      <c r="K78" s="72">
        <f t="shared" si="11"/>
        <v>6.9801260300533213E-2</v>
      </c>
      <c r="L78" s="316">
        <f t="shared" si="12"/>
        <v>158.38813378574895</v>
      </c>
      <c r="M78" s="37">
        <f t="shared" si="4"/>
        <v>58.239316793019896</v>
      </c>
      <c r="N78" s="37">
        <v>65.569745454545455</v>
      </c>
      <c r="O78" s="947">
        <f t="shared" si="13"/>
        <v>11.251963160445953</v>
      </c>
      <c r="P78" s="37"/>
      <c r="Q78" s="954">
        <f t="shared" si="14"/>
        <v>6.9033379173893156E-2</v>
      </c>
    </row>
    <row r="79" spans="1:18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2"/>
        <v>2862.08</v>
      </c>
      <c r="G79" s="24">
        <v>69</v>
      </c>
      <c r="H79" s="8"/>
      <c r="I79" s="8"/>
      <c r="J79" s="40">
        <f t="shared" si="3"/>
        <v>69</v>
      </c>
      <c r="K79" s="72">
        <f t="shared" si="11"/>
        <v>6.6892874454677662E-2</v>
      </c>
      <c r="L79" s="316">
        <f t="shared" si="12"/>
        <v>151.78862821134274</v>
      </c>
      <c r="M79" s="37">
        <f t="shared" si="4"/>
        <v>55.812678593310729</v>
      </c>
      <c r="N79" s="37">
        <v>62.837672727272725</v>
      </c>
      <c r="O79" s="947">
        <f t="shared" si="13"/>
        <v>10.783131362094037</v>
      </c>
      <c r="P79" s="37"/>
      <c r="Q79" s="954">
        <f t="shared" si="14"/>
        <v>9.8257949076902204E-2</v>
      </c>
    </row>
    <row r="80" spans="1:18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144" si="15">C80+D80+E80</f>
        <v>6415.24</v>
      </c>
      <c r="G80" s="24">
        <v>106</v>
      </c>
      <c r="H80" s="8"/>
      <c r="I80" s="8"/>
      <c r="J80" s="40">
        <f t="shared" ref="J80:J144" si="16">G80+H80+I80</f>
        <v>106</v>
      </c>
      <c r="K80" s="72">
        <f t="shared" si="11"/>
        <v>0.10276296655356278</v>
      </c>
      <c r="L80" s="316">
        <f t="shared" si="12"/>
        <v>233.18253029568592</v>
      </c>
      <c r="M80" s="37">
        <f t="shared" ref="M80:M144" si="17">L80*0.3677</f>
        <v>85.741216389723718</v>
      </c>
      <c r="N80" s="37">
        <v>96.533236363636362</v>
      </c>
      <c r="O80" s="947">
        <f t="shared" si="13"/>
        <v>16.565390208434319</v>
      </c>
      <c r="P80" s="37"/>
      <c r="Q80" s="954">
        <f t="shared" si="14"/>
        <v>6.7343134981307076E-2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5"/>
        <v>2523.4899999999998</v>
      </c>
      <c r="G81" s="24">
        <v>40</v>
      </c>
      <c r="H81" s="8"/>
      <c r="I81" s="8"/>
      <c r="J81" s="40">
        <f t="shared" si="16"/>
        <v>40</v>
      </c>
      <c r="K81" s="72">
        <f t="shared" si="11"/>
        <v>3.8778477944740673E-2</v>
      </c>
      <c r="L81" s="316">
        <f t="shared" si="12"/>
        <v>87.993407658749405</v>
      </c>
      <c r="M81" s="37">
        <f t="shared" si="17"/>
        <v>32.355175996122156</v>
      </c>
      <c r="N81" s="37">
        <v>36.42763636363636</v>
      </c>
      <c r="O81" s="947">
        <f t="shared" si="13"/>
        <v>6.2510906446921961</v>
      </c>
      <c r="P81" s="37"/>
      <c r="Q81" s="954">
        <f t="shared" si="14"/>
        <v>6.4603905964834465E-2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5"/>
        <v>2727.04</v>
      </c>
      <c r="G82" s="24">
        <v>75</v>
      </c>
      <c r="H82" s="8"/>
      <c r="I82" s="8"/>
      <c r="J82" s="40">
        <f t="shared" si="16"/>
        <v>75</v>
      </c>
      <c r="K82" s="72">
        <f t="shared" si="11"/>
        <v>7.2709646146388751E-2</v>
      </c>
      <c r="L82" s="316">
        <f t="shared" si="12"/>
        <v>164.98763936015513</v>
      </c>
      <c r="M82" s="37">
        <f t="shared" si="17"/>
        <v>60.665954992729048</v>
      </c>
      <c r="N82" s="37">
        <v>68.301818181818177</v>
      </c>
      <c r="O82" s="947">
        <f t="shared" si="13"/>
        <v>11.720794958797866</v>
      </c>
      <c r="P82" s="37"/>
      <c r="Q82" s="954">
        <f t="shared" si="14"/>
        <v>0.11209084116606292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5"/>
        <v>11075.779999999999</v>
      </c>
      <c r="G83" s="24">
        <v>179</v>
      </c>
      <c r="H83" s="8"/>
      <c r="I83" s="8"/>
      <c r="J83" s="40">
        <f t="shared" si="16"/>
        <v>179</v>
      </c>
      <c r="K83" s="72">
        <f t="shared" si="11"/>
        <v>0.1735336888027145</v>
      </c>
      <c r="L83" s="316">
        <f t="shared" si="12"/>
        <v>393.77049927290358</v>
      </c>
      <c r="M83" s="37">
        <f t="shared" si="17"/>
        <v>144.78941258264666</v>
      </c>
      <c r="N83" s="37">
        <v>163.01367272727273</v>
      </c>
      <c r="O83" s="947">
        <f t="shared" si="13"/>
        <v>27.973630634997576</v>
      </c>
      <c r="P83" s="37"/>
      <c r="Q83" s="954">
        <f t="shared" si="14"/>
        <v>6.5868698657595287E-2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5"/>
        <v>6438.12</v>
      </c>
      <c r="G84" s="24">
        <v>107</v>
      </c>
      <c r="H84" s="8"/>
      <c r="I84" s="8"/>
      <c r="J84" s="40">
        <f t="shared" si="16"/>
        <v>107</v>
      </c>
      <c r="K84" s="72">
        <f t="shared" si="11"/>
        <v>0.1037324285021813</v>
      </c>
      <c r="L84" s="316">
        <f t="shared" si="12"/>
        <v>235.38236548715466</v>
      </c>
      <c r="M84" s="37">
        <f t="shared" si="17"/>
        <v>86.550095789626781</v>
      </c>
      <c r="N84" s="37">
        <v>97.443927272727265</v>
      </c>
      <c r="O84" s="947">
        <f t="shared" si="13"/>
        <v>16.721667474551623</v>
      </c>
      <c r="P84" s="37"/>
      <c r="Q84" s="954">
        <f t="shared" si="14"/>
        <v>6.7736863560179106E-2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5"/>
        <v>6322.5</v>
      </c>
      <c r="G85" s="24">
        <v>109</v>
      </c>
      <c r="H85" s="8"/>
      <c r="I85" s="8"/>
      <c r="J85" s="40">
        <f t="shared" si="16"/>
        <v>109</v>
      </c>
      <c r="K85" s="72">
        <f t="shared" si="11"/>
        <v>0.10567135239941833</v>
      </c>
      <c r="L85" s="316">
        <f t="shared" si="12"/>
        <v>239.78203587009213</v>
      </c>
      <c r="M85" s="37">
        <f t="shared" si="17"/>
        <v>88.167854589432878</v>
      </c>
      <c r="N85" s="37">
        <v>99.265309090909085</v>
      </c>
      <c r="O85" s="947">
        <f t="shared" si="13"/>
        <v>17.034222006786234</v>
      </c>
      <c r="P85" s="37"/>
      <c r="Q85" s="954">
        <f t="shared" si="14"/>
        <v>7.026483535899096E-2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5"/>
        <v>3207.6099999999997</v>
      </c>
      <c r="G86" s="24">
        <v>53</v>
      </c>
      <c r="H86" s="8"/>
      <c r="I86" s="8"/>
      <c r="J86" s="40">
        <f t="shared" si="16"/>
        <v>53</v>
      </c>
      <c r="K86" s="72">
        <f t="shared" si="11"/>
        <v>5.1381483276781388E-2</v>
      </c>
      <c r="L86" s="316">
        <f t="shared" si="12"/>
        <v>116.59126514784296</v>
      </c>
      <c r="M86" s="37">
        <f t="shared" si="17"/>
        <v>42.870608194861859</v>
      </c>
      <c r="N86" s="37">
        <v>48.266618181818181</v>
      </c>
      <c r="O86" s="947">
        <f t="shared" si="13"/>
        <v>8.2826951042171597</v>
      </c>
      <c r="P86" s="37"/>
      <c r="Q86" s="954">
        <f t="shared" si="14"/>
        <v>6.7343344929321272E-2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5"/>
        <v>2997.37</v>
      </c>
      <c r="G87" s="24">
        <v>50</v>
      </c>
      <c r="H87" s="8"/>
      <c r="I87" s="8"/>
      <c r="J87" s="40">
        <f t="shared" si="16"/>
        <v>50</v>
      </c>
      <c r="K87" s="72">
        <f t="shared" si="11"/>
        <v>4.8473097430925836E-2</v>
      </c>
      <c r="L87" s="316">
        <f t="shared" si="12"/>
        <v>109.99175957343675</v>
      </c>
      <c r="M87" s="37">
        <f t="shared" si="17"/>
        <v>40.443969995152699</v>
      </c>
      <c r="N87" s="37">
        <v>45.534545454545459</v>
      </c>
      <c r="O87" s="947">
        <f t="shared" si="13"/>
        <v>7.8138633058652447</v>
      </c>
      <c r="P87" s="37"/>
      <c r="Q87" s="954">
        <f t="shared" si="14"/>
        <v>6.7987648614952489E-2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15"/>
        <v>6397.6</v>
      </c>
      <c r="G88" s="24">
        <v>108</v>
      </c>
      <c r="H88" s="8"/>
      <c r="I88" s="8"/>
      <c r="J88" s="40">
        <f t="shared" si="16"/>
        <v>108</v>
      </c>
      <c r="K88" s="72">
        <f t="shared" si="11"/>
        <v>0.10470189045079981</v>
      </c>
      <c r="L88" s="316">
        <f t="shared" si="12"/>
        <v>237.58220067862337</v>
      </c>
      <c r="M88" s="37">
        <f t="shared" si="17"/>
        <v>87.358975189529815</v>
      </c>
      <c r="N88" s="37">
        <v>98.354618181818168</v>
      </c>
      <c r="O88" s="947">
        <f>K88*161.2</f>
        <v>16.877944740668926</v>
      </c>
      <c r="P88" s="37"/>
      <c r="Q88" s="954">
        <f t="shared" si="14"/>
        <v>6.8802947791459346E-2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15"/>
        <v>566.29999999999995</v>
      </c>
      <c r="G89" s="24">
        <v>30</v>
      </c>
      <c r="H89" s="8"/>
      <c r="I89" s="8"/>
      <c r="J89" s="40">
        <f t="shared" si="16"/>
        <v>30</v>
      </c>
      <c r="K89" s="72">
        <f>2/2063*J89</f>
        <v>2.9083858458555503E-2</v>
      </c>
      <c r="L89" s="316">
        <f>K89*2269.13</f>
        <v>65.995055744062057</v>
      </c>
      <c r="M89" s="37">
        <f t="shared" si="17"/>
        <v>24.266381997091621</v>
      </c>
      <c r="N89" s="37">
        <v>0</v>
      </c>
      <c r="O89" s="947">
        <f>K89*161.2</f>
        <v>4.6883179835191466</v>
      </c>
      <c r="P89" s="37"/>
      <c r="Q89" s="954">
        <f t="shared" si="14"/>
        <v>0.16766688279122874</v>
      </c>
      <c r="S89" s="6">
        <v>2</v>
      </c>
    </row>
    <row r="90" spans="1:19" s="69" customFormat="1" ht="15.75">
      <c r="A90" s="63"/>
      <c r="B90" s="63" t="s">
        <v>749</v>
      </c>
      <c r="C90" s="65">
        <f>SUM(C69:C89)</f>
        <v>112321.67</v>
      </c>
      <c r="D90" s="65">
        <f t="shared" ref="D90:I90" si="18">SUM(D69:D88)</f>
        <v>0</v>
      </c>
      <c r="E90" s="65">
        <f t="shared" si="18"/>
        <v>443.75</v>
      </c>
      <c r="F90" s="65">
        <f>SUM(F69:F89)</f>
        <v>112765.42</v>
      </c>
      <c r="G90" s="65">
        <f>SUM(G69:G89)</f>
        <v>2060</v>
      </c>
      <c r="H90" s="65">
        <f t="shared" si="18"/>
        <v>2</v>
      </c>
      <c r="I90" s="65">
        <f t="shared" si="18"/>
        <v>1</v>
      </c>
      <c r="J90" s="65">
        <f>SUM(J69:J89)</f>
        <v>2063</v>
      </c>
      <c r="K90" s="72">
        <f>2/2063*J90</f>
        <v>2</v>
      </c>
      <c r="L90" s="316">
        <f>K90*2269.13</f>
        <v>4538.26</v>
      </c>
      <c r="M90" s="316">
        <f>SUM(M69:M89)</f>
        <v>1668.7182020000005</v>
      </c>
      <c r="N90" s="37">
        <f>SUM(N69:N88)</f>
        <v>1851.4346181818178</v>
      </c>
      <c r="O90" s="948">
        <f>SUM(O69:O88)</f>
        <v>317.71168201648084</v>
      </c>
      <c r="P90" s="316"/>
      <c r="Q90" s="954">
        <f t="shared" si="14"/>
        <v>7.427919394259605E-2</v>
      </c>
    </row>
    <row r="91" spans="1:19" s="6" customFormat="1" ht="15.75">
      <c r="A91" s="102" t="s">
        <v>50</v>
      </c>
      <c r="B91" s="18"/>
      <c r="C91" s="18"/>
      <c r="D91" s="18"/>
      <c r="E91" s="18"/>
      <c r="F91" s="95">
        <f t="shared" si="15"/>
        <v>0</v>
      </c>
      <c r="G91" s="97"/>
      <c r="H91" s="18"/>
      <c r="I91" s="18"/>
      <c r="J91" s="95"/>
      <c r="K91" s="220"/>
      <c r="L91" s="316"/>
      <c r="M91" s="96"/>
      <c r="N91" s="37"/>
      <c r="O91" s="947"/>
      <c r="P91" s="37"/>
      <c r="Q91" s="954" t="e">
        <f t="shared" si="14"/>
        <v>#DIV/0!</v>
      </c>
    </row>
    <row r="92" spans="1:19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si="15"/>
        <v>689.3</v>
      </c>
      <c r="G92" s="827">
        <v>10</v>
      </c>
      <c r="H92" s="330">
        <v>1</v>
      </c>
      <c r="I92" s="330">
        <v>1</v>
      </c>
      <c r="J92" s="40">
        <f t="shared" si="16"/>
        <v>12</v>
      </c>
      <c r="K92" s="72">
        <f t="shared" ref="K92:K155" si="19">2/4989*J92</f>
        <v>4.810583283223091E-3</v>
      </c>
      <c r="L92" s="316">
        <f t="shared" ref="L92:L155" si="20">K92*2269.13</f>
        <v>10.915838845460014</v>
      </c>
      <c r="M92" s="96">
        <f t="shared" si="17"/>
        <v>4.0137539434756473</v>
      </c>
      <c r="N92" s="37">
        <v>4.3563802029405672</v>
      </c>
      <c r="O92" s="947">
        <f t="shared" ref="O92:O155" si="21">K92*161.2</f>
        <v>0.77546602525556219</v>
      </c>
      <c r="P92" s="37">
        <f>O92*1.219</f>
        <v>0.9452930847865304</v>
      </c>
      <c r="Q92" s="954">
        <f t="shared" si="14"/>
        <v>2.9104075173555479E-2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15"/>
        <v>356.29999999999995</v>
      </c>
      <c r="G93" s="827">
        <v>7</v>
      </c>
      <c r="H93" s="330"/>
      <c r="I93" s="330">
        <v>1</v>
      </c>
      <c r="J93" s="40">
        <f t="shared" si="16"/>
        <v>8</v>
      </c>
      <c r="K93" s="72">
        <f t="shared" si="19"/>
        <v>3.2070555221487274E-3</v>
      </c>
      <c r="L93" s="316">
        <f t="shared" si="20"/>
        <v>7.2772258969733423</v>
      </c>
      <c r="M93" s="96">
        <f t="shared" si="17"/>
        <v>2.6758359623170982</v>
      </c>
      <c r="N93" s="37">
        <v>2.9042534686270449</v>
      </c>
      <c r="O93" s="947">
        <f t="shared" si="21"/>
        <v>0.51697735017037483</v>
      </c>
      <c r="P93" s="37">
        <f t="shared" ref="P93:P156" si="22">O93*1.219</f>
        <v>0.63019538985768697</v>
      </c>
      <c r="Q93" s="954">
        <f t="shared" si="14"/>
        <v>3.7536605888542976E-2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15"/>
        <v>425.13</v>
      </c>
      <c r="G94" s="827">
        <v>9</v>
      </c>
      <c r="H94" s="330"/>
      <c r="I94" s="330"/>
      <c r="J94" s="40">
        <f t="shared" si="16"/>
        <v>9</v>
      </c>
      <c r="K94" s="72">
        <f t="shared" si="19"/>
        <v>3.6079374624173183E-3</v>
      </c>
      <c r="L94" s="316">
        <f t="shared" si="20"/>
        <v>8.18687913409501</v>
      </c>
      <c r="M94" s="96">
        <f t="shared" si="17"/>
        <v>3.0103154576067355</v>
      </c>
      <c r="N94" s="37">
        <v>3.2672851522054258</v>
      </c>
      <c r="O94" s="947">
        <f t="shared" si="21"/>
        <v>0.58159951894167161</v>
      </c>
      <c r="P94" s="37">
        <f t="shared" si="22"/>
        <v>0.70896981358989775</v>
      </c>
      <c r="Q94" s="954">
        <f t="shared" si="14"/>
        <v>3.5391713741323459E-2</v>
      </c>
    </row>
    <row r="95" spans="1:19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15"/>
        <v>690.66</v>
      </c>
      <c r="G95" s="827">
        <v>12</v>
      </c>
      <c r="H95" s="330"/>
      <c r="I95" s="330"/>
      <c r="J95" s="40">
        <f t="shared" si="16"/>
        <v>12</v>
      </c>
      <c r="K95" s="72">
        <f t="shared" si="19"/>
        <v>4.810583283223091E-3</v>
      </c>
      <c r="L95" s="316">
        <f t="shared" si="20"/>
        <v>10.915838845460014</v>
      </c>
      <c r="M95" s="96">
        <f t="shared" si="17"/>
        <v>4.0137539434756473</v>
      </c>
      <c r="N95" s="37">
        <v>4.3563802029405672</v>
      </c>
      <c r="O95" s="947">
        <f t="shared" si="21"/>
        <v>0.77546602525556219</v>
      </c>
      <c r="P95" s="37">
        <f t="shared" si="22"/>
        <v>0.9452930847865304</v>
      </c>
      <c r="Q95" s="954">
        <f t="shared" si="14"/>
        <v>2.9046765437598515E-2</v>
      </c>
    </row>
    <row r="96" spans="1:19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15"/>
        <v>618.05999999999995</v>
      </c>
      <c r="G96" s="827">
        <v>15</v>
      </c>
      <c r="H96" s="330"/>
      <c r="I96" s="330">
        <v>1</v>
      </c>
      <c r="J96" s="40">
        <f t="shared" si="16"/>
        <v>16</v>
      </c>
      <c r="K96" s="72">
        <f t="shared" si="19"/>
        <v>6.4141110442974547E-3</v>
      </c>
      <c r="L96" s="316">
        <f t="shared" si="20"/>
        <v>14.554451793946685</v>
      </c>
      <c r="M96" s="96">
        <f t="shared" si="17"/>
        <v>5.3516719246341964</v>
      </c>
      <c r="N96" s="37">
        <v>5.8085069372540898</v>
      </c>
      <c r="O96" s="947">
        <f t="shared" si="21"/>
        <v>1.0339547003407497</v>
      </c>
      <c r="P96" s="37">
        <f t="shared" si="22"/>
        <v>1.2603907797153739</v>
      </c>
      <c r="Q96" s="954">
        <f t="shared" si="14"/>
        <v>4.3278298799753617E-2</v>
      </c>
    </row>
    <row r="97" spans="1:17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15"/>
        <v>1327.4</v>
      </c>
      <c r="G97" s="827">
        <v>21</v>
      </c>
      <c r="H97" s="330"/>
      <c r="I97" s="330">
        <v>1</v>
      </c>
      <c r="J97" s="40">
        <f t="shared" si="16"/>
        <v>22</v>
      </c>
      <c r="K97" s="72">
        <f t="shared" si="19"/>
        <v>8.8194026859090002E-3</v>
      </c>
      <c r="L97" s="316">
        <f t="shared" si="20"/>
        <v>20.012371216676691</v>
      </c>
      <c r="M97" s="96">
        <f t="shared" si="17"/>
        <v>7.35854889637202</v>
      </c>
      <c r="N97" s="37">
        <v>7.9866970387243725</v>
      </c>
      <c r="O97" s="947">
        <f t="shared" si="21"/>
        <v>1.4216877129685308</v>
      </c>
      <c r="P97" s="37">
        <f t="shared" si="22"/>
        <v>1.7330373221086393</v>
      </c>
      <c r="Q97" s="954">
        <f t="shared" si="14"/>
        <v>2.7707778261821317E-2</v>
      </c>
    </row>
    <row r="98" spans="1:17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15"/>
        <v>1528.3</v>
      </c>
      <c r="G98" s="827">
        <v>23</v>
      </c>
      <c r="H98" s="330"/>
      <c r="I98" s="330">
        <v>2</v>
      </c>
      <c r="J98" s="40">
        <f t="shared" si="16"/>
        <v>25</v>
      </c>
      <c r="K98" s="72">
        <f t="shared" si="19"/>
        <v>1.0022048506714773E-2</v>
      </c>
      <c r="L98" s="316">
        <f t="shared" si="20"/>
        <v>22.741330928041695</v>
      </c>
      <c r="M98" s="96">
        <f t="shared" si="17"/>
        <v>8.3619873822409314</v>
      </c>
      <c r="N98" s="37">
        <v>9.0757920894595152</v>
      </c>
      <c r="O98" s="947">
        <f t="shared" si="21"/>
        <v>1.6155542192824213</v>
      </c>
      <c r="P98" s="37">
        <f t="shared" si="22"/>
        <v>1.9693605933052716</v>
      </c>
      <c r="Q98" s="954">
        <f t="shared" si="14"/>
        <v>2.7347159994127172E-2</v>
      </c>
    </row>
    <row r="99" spans="1:17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15"/>
        <v>736.94</v>
      </c>
      <c r="G99" s="827">
        <v>15</v>
      </c>
      <c r="H99" s="330"/>
      <c r="I99" s="330"/>
      <c r="J99" s="40">
        <f t="shared" si="16"/>
        <v>15</v>
      </c>
      <c r="K99" s="72">
        <f t="shared" si="19"/>
        <v>6.0132291040288638E-3</v>
      </c>
      <c r="L99" s="316">
        <f t="shared" si="20"/>
        <v>13.644798556825016</v>
      </c>
      <c r="M99" s="96">
        <f t="shared" si="17"/>
        <v>5.0171924293445587</v>
      </c>
      <c r="N99" s="37">
        <v>5.4454752536757089</v>
      </c>
      <c r="O99" s="947">
        <f t="shared" si="21"/>
        <v>0.96933253156945276</v>
      </c>
      <c r="P99" s="37">
        <f t="shared" si="22"/>
        <v>1.1816163559831629</v>
      </c>
      <c r="Q99" s="954">
        <f t="shared" si="14"/>
        <v>3.4028277432918197E-2</v>
      </c>
    </row>
    <row r="100" spans="1:17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15"/>
        <v>588.29</v>
      </c>
      <c r="G100" s="827">
        <v>13</v>
      </c>
      <c r="H100" s="330"/>
      <c r="I100" s="330"/>
      <c r="J100" s="40">
        <f t="shared" si="16"/>
        <v>13</v>
      </c>
      <c r="K100" s="72">
        <f t="shared" si="19"/>
        <v>5.211465223491682E-3</v>
      </c>
      <c r="L100" s="316">
        <f t="shared" si="20"/>
        <v>11.825492082581681</v>
      </c>
      <c r="M100" s="96">
        <f t="shared" si="17"/>
        <v>4.3482334387652841</v>
      </c>
      <c r="N100" s="37">
        <v>4.7194118865189481</v>
      </c>
      <c r="O100" s="947">
        <f t="shared" si="21"/>
        <v>0.84008819402685908</v>
      </c>
      <c r="P100" s="37">
        <f t="shared" si="22"/>
        <v>1.0240675085187414</v>
      </c>
      <c r="Q100" s="954">
        <f t="shared" si="14"/>
        <v>3.6943047819770473E-2</v>
      </c>
    </row>
    <row r="101" spans="1:17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15"/>
        <v>264.32</v>
      </c>
      <c r="G101" s="827">
        <v>6</v>
      </c>
      <c r="H101" s="330"/>
      <c r="I101" s="330"/>
      <c r="J101" s="40">
        <f t="shared" si="16"/>
        <v>6</v>
      </c>
      <c r="K101" s="72">
        <f t="shared" si="19"/>
        <v>2.4052916416115455E-3</v>
      </c>
      <c r="L101" s="316">
        <f t="shared" si="20"/>
        <v>5.457919422730007</v>
      </c>
      <c r="M101" s="96">
        <f t="shared" si="17"/>
        <v>2.0068769717378236</v>
      </c>
      <c r="N101" s="37">
        <v>2.1781901014702836</v>
      </c>
      <c r="O101" s="947">
        <f t="shared" si="21"/>
        <v>0.38773301262778109</v>
      </c>
      <c r="P101" s="37">
        <f t="shared" si="22"/>
        <v>0.4726465423932652</v>
      </c>
      <c r="Q101" s="954">
        <f t="shared" si="14"/>
        <v>3.7949150683133683E-2</v>
      </c>
    </row>
    <row r="102" spans="1:17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15"/>
        <v>202.70000000000002</v>
      </c>
      <c r="G102" s="827">
        <v>5</v>
      </c>
      <c r="H102" s="330"/>
      <c r="I102" s="330">
        <v>1</v>
      </c>
      <c r="J102" s="40">
        <f t="shared" si="16"/>
        <v>6</v>
      </c>
      <c r="K102" s="72">
        <f t="shared" si="19"/>
        <v>2.4052916416115455E-3</v>
      </c>
      <c r="L102" s="316">
        <f t="shared" si="20"/>
        <v>5.457919422730007</v>
      </c>
      <c r="M102" s="96">
        <f t="shared" si="17"/>
        <v>2.0068769717378236</v>
      </c>
      <c r="N102" s="37">
        <v>2.1781901014702836</v>
      </c>
      <c r="O102" s="947">
        <f t="shared" si="21"/>
        <v>0.38773301262778109</v>
      </c>
      <c r="P102" s="37">
        <f t="shared" si="22"/>
        <v>0.4726465423932652</v>
      </c>
      <c r="Q102" s="954">
        <f t="shared" si="14"/>
        <v>4.948554271616129E-2</v>
      </c>
    </row>
    <row r="103" spans="1:17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15"/>
        <v>366.9</v>
      </c>
      <c r="G103" s="827">
        <v>9</v>
      </c>
      <c r="H103" s="330"/>
      <c r="I103" s="330"/>
      <c r="J103" s="40">
        <f t="shared" si="16"/>
        <v>9</v>
      </c>
      <c r="K103" s="72">
        <f t="shared" si="19"/>
        <v>3.6079374624173183E-3</v>
      </c>
      <c r="L103" s="316">
        <f t="shared" si="20"/>
        <v>8.18687913409501</v>
      </c>
      <c r="M103" s="96">
        <f t="shared" si="17"/>
        <v>3.0103154576067355</v>
      </c>
      <c r="N103" s="37">
        <v>3.2672851522054258</v>
      </c>
      <c r="O103" s="947">
        <f t="shared" si="21"/>
        <v>0.58159951894167161</v>
      </c>
      <c r="P103" s="37">
        <f t="shared" si="22"/>
        <v>0.70896981358989775</v>
      </c>
      <c r="Q103" s="954">
        <f t="shared" si="14"/>
        <v>4.1008665202640619E-2</v>
      </c>
    </row>
    <row r="104" spans="1:17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15"/>
        <v>580.66999999999996</v>
      </c>
      <c r="G104" s="827">
        <v>13</v>
      </c>
      <c r="H104" s="330"/>
      <c r="I104" s="330"/>
      <c r="J104" s="40">
        <f t="shared" si="16"/>
        <v>13</v>
      </c>
      <c r="K104" s="72">
        <f t="shared" si="19"/>
        <v>5.211465223491682E-3</v>
      </c>
      <c r="L104" s="316">
        <f t="shared" si="20"/>
        <v>11.825492082581681</v>
      </c>
      <c r="M104" s="96">
        <f t="shared" si="17"/>
        <v>4.3482334387652841</v>
      </c>
      <c r="N104" s="37">
        <v>4.7194118865189481</v>
      </c>
      <c r="O104" s="947">
        <f t="shared" si="21"/>
        <v>0.84008819402685908</v>
      </c>
      <c r="P104" s="37">
        <f t="shared" si="22"/>
        <v>1.0240675085187414</v>
      </c>
      <c r="Q104" s="954">
        <f t="shared" si="14"/>
        <v>3.7427843012197586E-2</v>
      </c>
    </row>
    <row r="105" spans="1:17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15"/>
        <v>612.9</v>
      </c>
      <c r="G105" s="827">
        <v>14</v>
      </c>
      <c r="H105" s="330">
        <v>1</v>
      </c>
      <c r="I105" s="330"/>
      <c r="J105" s="40">
        <f t="shared" si="16"/>
        <v>15</v>
      </c>
      <c r="K105" s="72">
        <f t="shared" si="19"/>
        <v>6.0132291040288638E-3</v>
      </c>
      <c r="L105" s="316">
        <f t="shared" si="20"/>
        <v>13.644798556825016</v>
      </c>
      <c r="M105" s="96">
        <f t="shared" si="17"/>
        <v>5.0171924293445587</v>
      </c>
      <c r="N105" s="37">
        <v>5.4454752536757089</v>
      </c>
      <c r="O105" s="947">
        <f t="shared" si="21"/>
        <v>0.96933253156945276</v>
      </c>
      <c r="P105" s="37">
        <f t="shared" si="22"/>
        <v>1.1816163559831629</v>
      </c>
      <c r="Q105" s="954">
        <f t="shared" si="14"/>
        <v>4.0914992284899226E-2</v>
      </c>
    </row>
    <row r="106" spans="1:17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15"/>
        <v>851.5</v>
      </c>
      <c r="G106" s="827">
        <v>14</v>
      </c>
      <c r="H106" s="330"/>
      <c r="I106" s="330"/>
      <c r="J106" s="40">
        <f t="shared" si="16"/>
        <v>14</v>
      </c>
      <c r="K106" s="72">
        <f t="shared" si="19"/>
        <v>5.6123471637602729E-3</v>
      </c>
      <c r="L106" s="316">
        <f t="shared" si="20"/>
        <v>12.735145319703349</v>
      </c>
      <c r="M106" s="96">
        <f t="shared" si="17"/>
        <v>4.6827129340549218</v>
      </c>
      <c r="N106" s="37">
        <v>5.0824435700973281</v>
      </c>
      <c r="O106" s="947">
        <f t="shared" si="21"/>
        <v>0.90471036279815598</v>
      </c>
      <c r="P106" s="37">
        <f t="shared" si="22"/>
        <v>1.1028419322509522</v>
      </c>
      <c r="Q106" s="954">
        <f t="shared" si="14"/>
        <v>2.7486802333122437E-2</v>
      </c>
    </row>
    <row r="107" spans="1:17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15"/>
        <v>545.6</v>
      </c>
      <c r="G107" s="827">
        <v>8</v>
      </c>
      <c r="H107" s="330"/>
      <c r="I107" s="330">
        <v>1</v>
      </c>
      <c r="J107" s="40">
        <f t="shared" si="16"/>
        <v>9</v>
      </c>
      <c r="K107" s="72">
        <f t="shared" si="19"/>
        <v>3.6079374624173183E-3</v>
      </c>
      <c r="L107" s="316">
        <f t="shared" si="20"/>
        <v>8.18687913409501</v>
      </c>
      <c r="M107" s="96">
        <f t="shared" si="17"/>
        <v>3.0103154576067355</v>
      </c>
      <c r="N107" s="37">
        <v>3.2672851522054258</v>
      </c>
      <c r="O107" s="947">
        <f t="shared" si="21"/>
        <v>0.58159951894167161</v>
      </c>
      <c r="P107" s="37">
        <f t="shared" si="22"/>
        <v>0.70896981358989775</v>
      </c>
      <c r="Q107" s="954">
        <f t="shared" si="14"/>
        <v>2.7577124748623245E-2</v>
      </c>
    </row>
    <row r="108" spans="1:17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15"/>
        <v>564.81000000000006</v>
      </c>
      <c r="G108" s="827">
        <v>8</v>
      </c>
      <c r="H108" s="330"/>
      <c r="I108" s="330">
        <v>1</v>
      </c>
      <c r="J108" s="40">
        <f t="shared" si="16"/>
        <v>9</v>
      </c>
      <c r="K108" s="72">
        <f t="shared" si="19"/>
        <v>3.6079374624173183E-3</v>
      </c>
      <c r="L108" s="316">
        <f t="shared" si="20"/>
        <v>8.18687913409501</v>
      </c>
      <c r="M108" s="96">
        <f t="shared" si="17"/>
        <v>3.0103154576067355</v>
      </c>
      <c r="N108" s="37">
        <v>3.2672851522054258</v>
      </c>
      <c r="O108" s="947">
        <f t="shared" si="21"/>
        <v>0.58159951894167161</v>
      </c>
      <c r="P108" s="37">
        <f t="shared" si="22"/>
        <v>0.70896981358989775</v>
      </c>
      <c r="Q108" s="954">
        <f t="shared" si="14"/>
        <v>2.6639187094507605E-2</v>
      </c>
    </row>
    <row r="109" spans="1:17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15"/>
        <v>536.25</v>
      </c>
      <c r="G109" s="827">
        <v>12</v>
      </c>
      <c r="H109" s="330"/>
      <c r="I109" s="330"/>
      <c r="J109" s="40">
        <f t="shared" si="16"/>
        <v>12</v>
      </c>
      <c r="K109" s="72">
        <f t="shared" si="19"/>
        <v>4.810583283223091E-3</v>
      </c>
      <c r="L109" s="316">
        <f t="shared" si="20"/>
        <v>10.915838845460014</v>
      </c>
      <c r="M109" s="96">
        <f t="shared" si="17"/>
        <v>4.0137539434756473</v>
      </c>
      <c r="N109" s="37">
        <v>4.3563802029405672</v>
      </c>
      <c r="O109" s="947">
        <f t="shared" si="21"/>
        <v>0.77546602525556219</v>
      </c>
      <c r="P109" s="37">
        <f t="shared" si="22"/>
        <v>0.9452930847865304</v>
      </c>
      <c r="Q109" s="954">
        <f t="shared" si="14"/>
        <v>3.7410608889756253E-2</v>
      </c>
    </row>
    <row r="110" spans="1:17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15"/>
        <v>603.17000000000007</v>
      </c>
      <c r="G110" s="827">
        <v>9</v>
      </c>
      <c r="H110" s="330">
        <v>1</v>
      </c>
      <c r="I110" s="330"/>
      <c r="J110" s="40">
        <f t="shared" si="16"/>
        <v>10</v>
      </c>
      <c r="K110" s="72">
        <f t="shared" si="19"/>
        <v>4.0088194026859092E-3</v>
      </c>
      <c r="L110" s="316">
        <f t="shared" si="20"/>
        <v>9.0965323712166768</v>
      </c>
      <c r="M110" s="96">
        <f t="shared" si="17"/>
        <v>3.3447949528963723</v>
      </c>
      <c r="N110" s="37">
        <v>3.6303168357838063</v>
      </c>
      <c r="O110" s="947">
        <f t="shared" si="21"/>
        <v>0.64622168771296851</v>
      </c>
      <c r="P110" s="37">
        <f t="shared" si="22"/>
        <v>0.78774423732210863</v>
      </c>
      <c r="Q110" s="954">
        <f t="shared" si="14"/>
        <v>2.7716673321965316E-2</v>
      </c>
    </row>
    <row r="111" spans="1:17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15"/>
        <v>226.9</v>
      </c>
      <c r="G111" s="827">
        <v>5</v>
      </c>
      <c r="H111" s="330"/>
      <c r="I111" s="330">
        <v>1</v>
      </c>
      <c r="J111" s="40">
        <f t="shared" si="16"/>
        <v>6</v>
      </c>
      <c r="K111" s="72">
        <f t="shared" si="19"/>
        <v>2.4052916416115455E-3</v>
      </c>
      <c r="L111" s="316">
        <f t="shared" si="20"/>
        <v>5.457919422730007</v>
      </c>
      <c r="M111" s="96">
        <f t="shared" si="17"/>
        <v>2.0068769717378236</v>
      </c>
      <c r="N111" s="37">
        <v>2.1781901014702836</v>
      </c>
      <c r="O111" s="947">
        <f t="shared" si="21"/>
        <v>0.38773301262778109</v>
      </c>
      <c r="P111" s="37">
        <f t="shared" si="22"/>
        <v>0.4726465423932652</v>
      </c>
      <c r="Q111" s="954">
        <f t="shared" si="14"/>
        <v>4.4207666410603322E-2</v>
      </c>
    </row>
    <row r="112" spans="1:17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15"/>
        <v>385.59999999999997</v>
      </c>
      <c r="G112" s="827">
        <v>6</v>
      </c>
      <c r="H112" s="330"/>
      <c r="I112" s="330">
        <v>1</v>
      </c>
      <c r="J112" s="40">
        <f t="shared" si="16"/>
        <v>7</v>
      </c>
      <c r="K112" s="72">
        <f t="shared" si="19"/>
        <v>2.8061735818801364E-3</v>
      </c>
      <c r="L112" s="316">
        <f t="shared" si="20"/>
        <v>6.3675726598516746</v>
      </c>
      <c r="M112" s="96">
        <f t="shared" si="17"/>
        <v>2.3413564670274609</v>
      </c>
      <c r="N112" s="37">
        <v>2.541221785048664</v>
      </c>
      <c r="O112" s="947">
        <f t="shared" si="21"/>
        <v>0.45235518139907799</v>
      </c>
      <c r="P112" s="37">
        <f t="shared" si="22"/>
        <v>0.55142096612547609</v>
      </c>
      <c r="Q112" s="954">
        <f t="shared" si="14"/>
        <v>3.0348822856138172E-2</v>
      </c>
    </row>
    <row r="113" spans="1:17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15"/>
        <v>340.18</v>
      </c>
      <c r="G113" s="827">
        <v>6</v>
      </c>
      <c r="H113" s="330">
        <v>1</v>
      </c>
      <c r="I113" s="330"/>
      <c r="J113" s="40">
        <f t="shared" si="16"/>
        <v>7</v>
      </c>
      <c r="K113" s="72">
        <f t="shared" si="19"/>
        <v>2.8061735818801364E-3</v>
      </c>
      <c r="L113" s="316">
        <f t="shared" si="20"/>
        <v>6.3675726598516746</v>
      </c>
      <c r="M113" s="96">
        <f t="shared" si="17"/>
        <v>2.3413564670274609</v>
      </c>
      <c r="N113" s="37">
        <v>2.541221785048664</v>
      </c>
      <c r="O113" s="947">
        <f t="shared" si="21"/>
        <v>0.45235518139907799</v>
      </c>
      <c r="P113" s="37">
        <f t="shared" si="22"/>
        <v>0.55142096612547609</v>
      </c>
      <c r="Q113" s="954">
        <f t="shared" si="14"/>
        <v>3.4400923315088712E-2</v>
      </c>
    </row>
    <row r="114" spans="1:17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15"/>
        <v>304.7</v>
      </c>
      <c r="G114" s="827">
        <v>6</v>
      </c>
      <c r="H114" s="330"/>
      <c r="I114" s="330"/>
      <c r="J114" s="40">
        <f t="shared" si="16"/>
        <v>6</v>
      </c>
      <c r="K114" s="72">
        <f t="shared" si="19"/>
        <v>2.4052916416115455E-3</v>
      </c>
      <c r="L114" s="316">
        <f t="shared" si="20"/>
        <v>5.457919422730007</v>
      </c>
      <c r="M114" s="96">
        <f t="shared" si="17"/>
        <v>2.0068769717378236</v>
      </c>
      <c r="N114" s="37">
        <v>2.1781901014702836</v>
      </c>
      <c r="O114" s="947">
        <f t="shared" si="21"/>
        <v>0.38773301262778109</v>
      </c>
      <c r="P114" s="37">
        <f t="shared" si="22"/>
        <v>0.4726465423932652</v>
      </c>
      <c r="Q114" s="954">
        <f t="shared" si="14"/>
        <v>3.2919985259487673E-2</v>
      </c>
    </row>
    <row r="115" spans="1:17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15"/>
        <v>979.97</v>
      </c>
      <c r="G115" s="827">
        <v>14</v>
      </c>
      <c r="H115" s="330"/>
      <c r="I115" s="330">
        <v>2</v>
      </c>
      <c r="J115" s="40">
        <f t="shared" si="16"/>
        <v>16</v>
      </c>
      <c r="K115" s="72">
        <f t="shared" si="19"/>
        <v>6.4141110442974547E-3</v>
      </c>
      <c r="L115" s="316">
        <f t="shared" si="20"/>
        <v>14.554451793946685</v>
      </c>
      <c r="M115" s="96">
        <f t="shared" si="17"/>
        <v>5.3516719246341964</v>
      </c>
      <c r="N115" s="37">
        <v>5.8085069372540898</v>
      </c>
      <c r="O115" s="947">
        <f t="shared" si="21"/>
        <v>1.0339547003407497</v>
      </c>
      <c r="P115" s="37">
        <f t="shared" si="22"/>
        <v>1.2603907797153739</v>
      </c>
      <c r="Q115" s="954">
        <f t="shared" si="14"/>
        <v>2.7295310423967795E-2</v>
      </c>
    </row>
    <row r="116" spans="1:17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15"/>
        <v>1330.1</v>
      </c>
      <c r="G116" s="827">
        <v>24</v>
      </c>
      <c r="H116" s="330"/>
      <c r="I116" s="330"/>
      <c r="J116" s="40">
        <f t="shared" si="16"/>
        <v>24</v>
      </c>
      <c r="K116" s="72">
        <f t="shared" si="19"/>
        <v>9.6211665664461821E-3</v>
      </c>
      <c r="L116" s="316">
        <f t="shared" si="20"/>
        <v>21.831677690920028</v>
      </c>
      <c r="M116" s="96">
        <f t="shared" si="17"/>
        <v>8.0275078869512946</v>
      </c>
      <c r="N116" s="37">
        <v>8.7127604058811343</v>
      </c>
      <c r="O116" s="947">
        <f t="shared" si="21"/>
        <v>1.5509320505111244</v>
      </c>
      <c r="P116" s="37">
        <f t="shared" si="22"/>
        <v>1.8905861695730608</v>
      </c>
      <c r="Q116" s="954">
        <f t="shared" si="14"/>
        <v>3.0165309400995099E-2</v>
      </c>
    </row>
    <row r="117" spans="1:17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15"/>
        <v>820.65</v>
      </c>
      <c r="G117" s="827">
        <v>23</v>
      </c>
      <c r="H117" s="330">
        <v>1</v>
      </c>
      <c r="I117" s="330"/>
      <c r="J117" s="40">
        <f t="shared" si="16"/>
        <v>24</v>
      </c>
      <c r="K117" s="72">
        <f t="shared" si="19"/>
        <v>9.6211665664461821E-3</v>
      </c>
      <c r="L117" s="316">
        <f t="shared" si="20"/>
        <v>21.831677690920028</v>
      </c>
      <c r="M117" s="96">
        <f t="shared" si="17"/>
        <v>8.0275078869512946</v>
      </c>
      <c r="N117" s="37">
        <v>8.7127604058811343</v>
      </c>
      <c r="O117" s="947">
        <f t="shared" si="21"/>
        <v>1.5509320505111244</v>
      </c>
      <c r="P117" s="37">
        <f t="shared" si="22"/>
        <v>1.8905861695730608</v>
      </c>
      <c r="Q117" s="954">
        <f t="shared" si="14"/>
        <v>4.8891583542635203E-2</v>
      </c>
    </row>
    <row r="118" spans="1:17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15"/>
        <v>1463.87</v>
      </c>
      <c r="G118" s="827">
        <v>29</v>
      </c>
      <c r="H118" s="330">
        <v>1</v>
      </c>
      <c r="I118" s="330">
        <v>1</v>
      </c>
      <c r="J118" s="40">
        <f t="shared" si="16"/>
        <v>31</v>
      </c>
      <c r="K118" s="72">
        <f t="shared" si="19"/>
        <v>1.2427340148326319E-2</v>
      </c>
      <c r="L118" s="316">
        <f t="shared" si="20"/>
        <v>28.199250350771699</v>
      </c>
      <c r="M118" s="96">
        <f t="shared" si="17"/>
        <v>10.368864353978754</v>
      </c>
      <c r="N118" s="37">
        <v>11.253982190929799</v>
      </c>
      <c r="O118" s="947">
        <f t="shared" si="21"/>
        <v>2.0032872319102024</v>
      </c>
      <c r="P118" s="37">
        <f t="shared" si="22"/>
        <v>2.4420071356985371</v>
      </c>
      <c r="Q118" s="954">
        <f t="shared" si="14"/>
        <v>3.540299625485218E-2</v>
      </c>
    </row>
    <row r="119" spans="1:17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15"/>
        <v>595.18000000000006</v>
      </c>
      <c r="G119" s="827">
        <v>14</v>
      </c>
      <c r="H119" s="330">
        <v>1</v>
      </c>
      <c r="I119" s="330">
        <v>1</v>
      </c>
      <c r="J119" s="40">
        <f t="shared" si="16"/>
        <v>16</v>
      </c>
      <c r="K119" s="72">
        <f t="shared" si="19"/>
        <v>6.4141110442974547E-3</v>
      </c>
      <c r="L119" s="316">
        <f t="shared" si="20"/>
        <v>14.554451793946685</v>
      </c>
      <c r="M119" s="96">
        <f t="shared" si="17"/>
        <v>5.3516719246341964</v>
      </c>
      <c r="N119" s="37">
        <v>5.8085069372540898</v>
      </c>
      <c r="O119" s="947">
        <f t="shared" si="21"/>
        <v>1.0339547003407497</v>
      </c>
      <c r="P119" s="37">
        <f t="shared" si="22"/>
        <v>1.2603907797153739</v>
      </c>
      <c r="Q119" s="954">
        <f t="shared" si="14"/>
        <v>4.4942009738525683E-2</v>
      </c>
    </row>
    <row r="120" spans="1:17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15"/>
        <v>142</v>
      </c>
      <c r="G120" s="827">
        <v>4</v>
      </c>
      <c r="H120" s="330"/>
      <c r="I120" s="330"/>
      <c r="J120" s="40">
        <f t="shared" si="16"/>
        <v>4</v>
      </c>
      <c r="K120" s="72">
        <f t="shared" si="19"/>
        <v>1.6035277610743637E-3</v>
      </c>
      <c r="L120" s="316">
        <f t="shared" si="20"/>
        <v>3.6386129484866712</v>
      </c>
      <c r="M120" s="96">
        <f t="shared" si="17"/>
        <v>1.3379179811585491</v>
      </c>
      <c r="N120" s="37">
        <v>1.4521267343135225</v>
      </c>
      <c r="O120" s="947">
        <f t="shared" si="21"/>
        <v>0.25848867508518741</v>
      </c>
      <c r="P120" s="37">
        <f t="shared" si="22"/>
        <v>0.31509769492884349</v>
      </c>
      <c r="Q120" s="954">
        <f t="shared" si="14"/>
        <v>4.7092579852422045E-2</v>
      </c>
    </row>
    <row r="121" spans="1:17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15"/>
        <v>576.93999999999994</v>
      </c>
      <c r="G121" s="827">
        <v>12</v>
      </c>
      <c r="H121" s="330">
        <v>1</v>
      </c>
      <c r="I121" s="330"/>
      <c r="J121" s="40">
        <f t="shared" si="16"/>
        <v>13</v>
      </c>
      <c r="K121" s="72">
        <f t="shared" si="19"/>
        <v>5.211465223491682E-3</v>
      </c>
      <c r="L121" s="316">
        <f t="shared" si="20"/>
        <v>11.825492082581681</v>
      </c>
      <c r="M121" s="96">
        <f t="shared" si="17"/>
        <v>4.3482334387652841</v>
      </c>
      <c r="N121" s="37">
        <v>4.7194118865189481</v>
      </c>
      <c r="O121" s="947">
        <f t="shared" si="21"/>
        <v>0.84008819402685908</v>
      </c>
      <c r="P121" s="37">
        <f t="shared" si="22"/>
        <v>1.0240675085187414</v>
      </c>
      <c r="Q121" s="954">
        <f t="shared" si="14"/>
        <v>3.7669819395245212E-2</v>
      </c>
    </row>
    <row r="122" spans="1:17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15"/>
        <v>587.76</v>
      </c>
      <c r="G122" s="827">
        <v>12</v>
      </c>
      <c r="H122" s="330"/>
      <c r="I122" s="330"/>
      <c r="J122" s="40">
        <f t="shared" si="16"/>
        <v>12</v>
      </c>
      <c r="K122" s="72">
        <f t="shared" si="19"/>
        <v>4.810583283223091E-3</v>
      </c>
      <c r="L122" s="316">
        <f t="shared" si="20"/>
        <v>10.915838845460014</v>
      </c>
      <c r="M122" s="96">
        <f t="shared" si="17"/>
        <v>4.0137539434756473</v>
      </c>
      <c r="N122" s="37">
        <v>4.3563802029405672</v>
      </c>
      <c r="O122" s="947">
        <f t="shared" si="21"/>
        <v>0.77546602525556219</v>
      </c>
      <c r="P122" s="37">
        <f t="shared" si="22"/>
        <v>0.9452930847865304</v>
      </c>
      <c r="Q122" s="954">
        <f t="shared" si="14"/>
        <v>3.4132025005328345E-2</v>
      </c>
    </row>
    <row r="123" spans="1:17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15"/>
        <v>1891.7</v>
      </c>
      <c r="G123" s="827">
        <v>38</v>
      </c>
      <c r="H123" s="330"/>
      <c r="I123" s="330">
        <v>1</v>
      </c>
      <c r="J123" s="40">
        <f t="shared" si="16"/>
        <v>39</v>
      </c>
      <c r="K123" s="72">
        <f t="shared" si="19"/>
        <v>1.5634395670475046E-2</v>
      </c>
      <c r="L123" s="316">
        <f t="shared" si="20"/>
        <v>35.47647624774504</v>
      </c>
      <c r="M123" s="96">
        <f t="shared" si="17"/>
        <v>13.044700316295852</v>
      </c>
      <c r="N123" s="37">
        <v>14.158235659556844</v>
      </c>
      <c r="O123" s="947">
        <f t="shared" si="21"/>
        <v>2.5202645820805771</v>
      </c>
      <c r="P123" s="37">
        <f t="shared" si="22"/>
        <v>3.0722025255562238</v>
      </c>
      <c r="Q123" s="954">
        <f t="shared" si="14"/>
        <v>3.4466182167192633E-2</v>
      </c>
    </row>
    <row r="124" spans="1:17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15"/>
        <v>262.7</v>
      </c>
      <c r="G124" s="827">
        <v>8</v>
      </c>
      <c r="H124" s="330"/>
      <c r="I124" s="330"/>
      <c r="J124" s="40">
        <f t="shared" si="16"/>
        <v>8</v>
      </c>
      <c r="K124" s="72">
        <f t="shared" si="19"/>
        <v>3.2070555221487274E-3</v>
      </c>
      <c r="L124" s="316">
        <f t="shared" si="20"/>
        <v>7.2772258969733423</v>
      </c>
      <c r="M124" s="96">
        <f t="shared" si="17"/>
        <v>2.6758359623170982</v>
      </c>
      <c r="N124" s="37">
        <v>2.9042534686270449</v>
      </c>
      <c r="O124" s="947">
        <f t="shared" si="21"/>
        <v>0.51697735017037483</v>
      </c>
      <c r="P124" s="37">
        <f t="shared" si="22"/>
        <v>0.63019538985768697</v>
      </c>
      <c r="Q124" s="954">
        <f t="shared" si="14"/>
        <v>5.0910897137753562E-2</v>
      </c>
    </row>
    <row r="125" spans="1:17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15"/>
        <v>1857.4</v>
      </c>
      <c r="G125" s="827">
        <v>40</v>
      </c>
      <c r="H125" s="330"/>
      <c r="I125" s="330"/>
      <c r="J125" s="40">
        <f t="shared" si="16"/>
        <v>40</v>
      </c>
      <c r="K125" s="72">
        <f t="shared" si="19"/>
        <v>1.6035277610743637E-2</v>
      </c>
      <c r="L125" s="316">
        <f t="shared" si="20"/>
        <v>36.386129484866707</v>
      </c>
      <c r="M125" s="96">
        <f t="shared" si="17"/>
        <v>13.379179811585489</v>
      </c>
      <c r="N125" s="37">
        <v>14.521267343135225</v>
      </c>
      <c r="O125" s="947">
        <f t="shared" si="21"/>
        <v>2.584886750851874</v>
      </c>
      <c r="P125" s="37">
        <f t="shared" si="22"/>
        <v>3.1509769492884345</v>
      </c>
      <c r="Q125" s="954">
        <f t="shared" si="14"/>
        <v>3.6002726063550816E-2</v>
      </c>
    </row>
    <row r="126" spans="1:17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15"/>
        <v>2470.1999999999998</v>
      </c>
      <c r="G126" s="827">
        <v>55</v>
      </c>
      <c r="H126" s="330"/>
      <c r="I126" s="330"/>
      <c r="J126" s="40">
        <f t="shared" si="16"/>
        <v>55</v>
      </c>
      <c r="K126" s="72">
        <f t="shared" si="19"/>
        <v>2.2048506714772501E-2</v>
      </c>
      <c r="L126" s="316">
        <f t="shared" si="20"/>
        <v>50.030928041691723</v>
      </c>
      <c r="M126" s="96">
        <f t="shared" si="17"/>
        <v>18.396372240930049</v>
      </c>
      <c r="N126" s="37">
        <v>19.966742596810935</v>
      </c>
      <c r="O126" s="947">
        <f t="shared" si="21"/>
        <v>3.554219282421327</v>
      </c>
      <c r="P126" s="37">
        <f t="shared" si="22"/>
        <v>4.3325933052715984</v>
      </c>
      <c r="Q126" s="954">
        <f t="shared" si="14"/>
        <v>3.7223003061231497E-2</v>
      </c>
    </row>
    <row r="127" spans="1:17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15"/>
        <v>121.8</v>
      </c>
      <c r="G127" s="827">
        <v>3</v>
      </c>
      <c r="H127" s="330"/>
      <c r="I127" s="330"/>
      <c r="J127" s="40">
        <f t="shared" si="16"/>
        <v>3</v>
      </c>
      <c r="K127" s="72">
        <f t="shared" si="19"/>
        <v>1.2026458208057728E-3</v>
      </c>
      <c r="L127" s="316">
        <f t="shared" si="20"/>
        <v>2.7289597113650035</v>
      </c>
      <c r="M127" s="96">
        <f t="shared" si="17"/>
        <v>1.0034384858689118</v>
      </c>
      <c r="N127" s="37">
        <v>1.0890950507351418</v>
      </c>
      <c r="O127" s="947">
        <f t="shared" si="21"/>
        <v>0.19386650631389055</v>
      </c>
      <c r="P127" s="37">
        <f t="shared" si="22"/>
        <v>0.2363232711966326</v>
      </c>
      <c r="Q127" s="954">
        <f t="shared" si="14"/>
        <v>4.1177009476871487E-2</v>
      </c>
    </row>
    <row r="128" spans="1:17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15"/>
        <v>1831.3</v>
      </c>
      <c r="G128" s="827">
        <v>38</v>
      </c>
      <c r="H128" s="330"/>
      <c r="I128" s="330"/>
      <c r="J128" s="40">
        <f t="shared" si="16"/>
        <v>38</v>
      </c>
      <c r="K128" s="72">
        <f t="shared" si="19"/>
        <v>1.5233513730206455E-2</v>
      </c>
      <c r="L128" s="316">
        <f t="shared" si="20"/>
        <v>34.566823010623374</v>
      </c>
      <c r="M128" s="96">
        <f t="shared" si="17"/>
        <v>12.710220821006216</v>
      </c>
      <c r="N128" s="37">
        <v>13.795203975978463</v>
      </c>
      <c r="O128" s="947">
        <f t="shared" si="21"/>
        <v>2.4556424133092802</v>
      </c>
      <c r="P128" s="37">
        <f t="shared" si="22"/>
        <v>2.993428101824013</v>
      </c>
      <c r="Q128" s="954">
        <f t="shared" si="14"/>
        <v>3.469005090423051E-2</v>
      </c>
    </row>
    <row r="129" spans="1:17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15"/>
        <v>1844.3</v>
      </c>
      <c r="G129" s="827">
        <v>38</v>
      </c>
      <c r="H129" s="330"/>
      <c r="I129" s="330"/>
      <c r="J129" s="40">
        <f t="shared" si="16"/>
        <v>38</v>
      </c>
      <c r="K129" s="72">
        <f t="shared" si="19"/>
        <v>1.5233513730206455E-2</v>
      </c>
      <c r="L129" s="316">
        <f t="shared" si="20"/>
        <v>34.566823010623374</v>
      </c>
      <c r="M129" s="96">
        <f t="shared" si="17"/>
        <v>12.710220821006216</v>
      </c>
      <c r="N129" s="37">
        <v>13.795203975978463</v>
      </c>
      <c r="O129" s="947">
        <f t="shared" si="21"/>
        <v>2.4556424133092802</v>
      </c>
      <c r="P129" s="37">
        <f t="shared" si="22"/>
        <v>2.993428101824013</v>
      </c>
      <c r="Q129" s="954">
        <f t="shared" si="14"/>
        <v>3.4445529588959134E-2</v>
      </c>
    </row>
    <row r="130" spans="1:17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15"/>
        <v>193.76</v>
      </c>
      <c r="G130" s="827">
        <v>4</v>
      </c>
      <c r="H130" s="330"/>
      <c r="I130" s="330"/>
      <c r="J130" s="40">
        <f t="shared" si="16"/>
        <v>4</v>
      </c>
      <c r="K130" s="72">
        <f t="shared" si="19"/>
        <v>1.6035277610743637E-3</v>
      </c>
      <c r="L130" s="316">
        <f t="shared" si="20"/>
        <v>3.6386129484866712</v>
      </c>
      <c r="M130" s="96">
        <f t="shared" si="17"/>
        <v>1.3379179811585491</v>
      </c>
      <c r="N130" s="37">
        <v>1.4521267343135225</v>
      </c>
      <c r="O130" s="947">
        <f t="shared" si="21"/>
        <v>0.25848867508518741</v>
      </c>
      <c r="P130" s="37">
        <f t="shared" si="22"/>
        <v>0.31509769492884349</v>
      </c>
      <c r="Q130" s="954">
        <f t="shared" si="14"/>
        <v>3.4512522393909631E-2</v>
      </c>
    </row>
    <row r="131" spans="1:17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15"/>
        <v>1841.4</v>
      </c>
      <c r="G131" s="827">
        <v>40</v>
      </c>
      <c r="H131" s="330"/>
      <c r="I131" s="330"/>
      <c r="J131" s="40">
        <f t="shared" si="16"/>
        <v>40</v>
      </c>
      <c r="K131" s="72">
        <f t="shared" si="19"/>
        <v>1.6035277610743637E-2</v>
      </c>
      <c r="L131" s="316">
        <f t="shared" si="20"/>
        <v>36.386129484866707</v>
      </c>
      <c r="M131" s="96">
        <f t="shared" si="17"/>
        <v>13.379179811585489</v>
      </c>
      <c r="N131" s="37">
        <v>14.521267343135225</v>
      </c>
      <c r="O131" s="947">
        <f t="shared" si="21"/>
        <v>2.584886750851874</v>
      </c>
      <c r="P131" s="37">
        <f t="shared" si="22"/>
        <v>3.1509769492884345</v>
      </c>
      <c r="Q131" s="954">
        <f t="shared" si="14"/>
        <v>3.6315555224524433E-2</v>
      </c>
    </row>
    <row r="132" spans="1:17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15"/>
        <v>262.3</v>
      </c>
      <c r="G132" s="827">
        <v>5</v>
      </c>
      <c r="H132" s="330"/>
      <c r="I132" s="330"/>
      <c r="J132" s="40">
        <f t="shared" si="16"/>
        <v>5</v>
      </c>
      <c r="K132" s="72">
        <f t="shared" si="19"/>
        <v>2.0044097013429546E-3</v>
      </c>
      <c r="L132" s="316">
        <f t="shared" si="20"/>
        <v>4.5482661856083384</v>
      </c>
      <c r="M132" s="96">
        <f t="shared" si="17"/>
        <v>1.6723974764481861</v>
      </c>
      <c r="N132" s="37">
        <v>1.8151584178919031</v>
      </c>
      <c r="O132" s="947">
        <f t="shared" si="21"/>
        <v>0.32311084385648425</v>
      </c>
      <c r="P132" s="37">
        <f t="shared" si="22"/>
        <v>0.39387211866105432</v>
      </c>
      <c r="Q132" s="954">
        <f t="shared" si="14"/>
        <v>3.1867834250114031E-2</v>
      </c>
    </row>
    <row r="133" spans="1:17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15"/>
        <v>94.7</v>
      </c>
      <c r="G133" s="827">
        <v>3</v>
      </c>
      <c r="H133" s="330"/>
      <c r="I133" s="330"/>
      <c r="J133" s="40">
        <f t="shared" si="16"/>
        <v>3</v>
      </c>
      <c r="K133" s="72">
        <f t="shared" si="19"/>
        <v>1.2026458208057728E-3</v>
      </c>
      <c r="L133" s="316">
        <f t="shared" si="20"/>
        <v>2.7289597113650035</v>
      </c>
      <c r="M133" s="96">
        <f t="shared" si="17"/>
        <v>1.0034384858689118</v>
      </c>
      <c r="N133" s="37">
        <v>1.0890950507351418</v>
      </c>
      <c r="O133" s="947">
        <f t="shared" si="21"/>
        <v>0.19386650631389055</v>
      </c>
      <c r="P133" s="37">
        <f t="shared" si="22"/>
        <v>0.2363232711966326</v>
      </c>
      <c r="Q133" s="954">
        <f t="shared" si="14"/>
        <v>5.296050426909131E-2</v>
      </c>
    </row>
    <row r="134" spans="1:17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15"/>
        <v>38</v>
      </c>
      <c r="G134" s="827">
        <v>1</v>
      </c>
      <c r="H134" s="330"/>
      <c r="I134" s="330"/>
      <c r="J134" s="40">
        <f t="shared" si="16"/>
        <v>1</v>
      </c>
      <c r="K134" s="72">
        <f t="shared" si="19"/>
        <v>4.0088194026859092E-4</v>
      </c>
      <c r="L134" s="316">
        <f t="shared" si="20"/>
        <v>0.90965323712166779</v>
      </c>
      <c r="M134" s="96">
        <f t="shared" si="17"/>
        <v>0.33447949528963727</v>
      </c>
      <c r="N134" s="37">
        <v>0.36303168357838062</v>
      </c>
      <c r="O134" s="947">
        <f t="shared" si="21"/>
        <v>6.4622168771296853E-2</v>
      </c>
      <c r="P134" s="37">
        <f t="shared" si="22"/>
        <v>7.8774423732210871E-2</v>
      </c>
      <c r="Q134" s="954">
        <f t="shared" si="14"/>
        <v>4.3994383809499542E-2</v>
      </c>
    </row>
    <row r="135" spans="1:17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15"/>
        <v>1812.3999999999999</v>
      </c>
      <c r="G135" s="827">
        <v>37</v>
      </c>
      <c r="H135" s="330">
        <v>2</v>
      </c>
      <c r="I135" s="330"/>
      <c r="J135" s="40">
        <f t="shared" si="16"/>
        <v>39</v>
      </c>
      <c r="K135" s="72">
        <f t="shared" si="19"/>
        <v>1.5634395670475046E-2</v>
      </c>
      <c r="L135" s="316">
        <f t="shared" si="20"/>
        <v>35.47647624774504</v>
      </c>
      <c r="M135" s="96">
        <f t="shared" si="17"/>
        <v>13.044700316295852</v>
      </c>
      <c r="N135" s="37">
        <v>14.158235659556844</v>
      </c>
      <c r="O135" s="947">
        <f t="shared" si="21"/>
        <v>2.5202645820805771</v>
      </c>
      <c r="P135" s="37">
        <f t="shared" si="22"/>
        <v>3.0722025255562238</v>
      </c>
      <c r="Q135" s="954">
        <f t="shared" ref="Q135:Q198" si="23">(O135+N135+M135+L135)/F135</f>
        <v>3.5974220263561195E-2</v>
      </c>
    </row>
    <row r="136" spans="1:17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15"/>
        <v>155.80000000000001</v>
      </c>
      <c r="G136" s="827">
        <v>4</v>
      </c>
      <c r="H136" s="330"/>
      <c r="I136" s="330"/>
      <c r="J136" s="40">
        <f t="shared" si="16"/>
        <v>4</v>
      </c>
      <c r="K136" s="72">
        <f t="shared" si="19"/>
        <v>1.6035277610743637E-3</v>
      </c>
      <c r="L136" s="316">
        <f t="shared" si="20"/>
        <v>3.6386129484866712</v>
      </c>
      <c r="M136" s="96">
        <f t="shared" si="17"/>
        <v>1.3379179811585491</v>
      </c>
      <c r="N136" s="37">
        <v>1.4521267343135225</v>
      </c>
      <c r="O136" s="947">
        <f t="shared" si="21"/>
        <v>0.25848867508518741</v>
      </c>
      <c r="P136" s="37">
        <f t="shared" si="22"/>
        <v>0.31509769492884349</v>
      </c>
      <c r="Q136" s="954">
        <f t="shared" si="23"/>
        <v>4.2921350058048327E-2</v>
      </c>
    </row>
    <row r="137" spans="1:17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15"/>
        <v>378.1</v>
      </c>
      <c r="G137" s="827">
        <v>14</v>
      </c>
      <c r="H137" s="330"/>
      <c r="I137" s="330"/>
      <c r="J137" s="40">
        <f t="shared" si="16"/>
        <v>14</v>
      </c>
      <c r="K137" s="72">
        <f t="shared" si="19"/>
        <v>5.6123471637602729E-3</v>
      </c>
      <c r="L137" s="316">
        <f t="shared" si="20"/>
        <v>12.735145319703349</v>
      </c>
      <c r="M137" s="96">
        <f t="shared" si="17"/>
        <v>4.6827129340549218</v>
      </c>
      <c r="N137" s="37">
        <v>5.0824435700973281</v>
      </c>
      <c r="O137" s="947">
        <f t="shared" si="21"/>
        <v>0.90471036279815598</v>
      </c>
      <c r="P137" s="37">
        <f t="shared" si="22"/>
        <v>1.1028419322509522</v>
      </c>
      <c r="Q137" s="954">
        <f t="shared" si="23"/>
        <v>6.1901645561104883E-2</v>
      </c>
    </row>
    <row r="138" spans="1:17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15"/>
        <v>120.9</v>
      </c>
      <c r="G138" s="827">
        <v>4</v>
      </c>
      <c r="H138" s="330"/>
      <c r="I138" s="330"/>
      <c r="J138" s="40">
        <f t="shared" si="16"/>
        <v>4</v>
      </c>
      <c r="K138" s="72">
        <f t="shared" si="19"/>
        <v>1.6035277610743637E-3</v>
      </c>
      <c r="L138" s="316">
        <f t="shared" si="20"/>
        <v>3.6386129484866712</v>
      </c>
      <c r="M138" s="96">
        <f t="shared" si="17"/>
        <v>1.3379179811585491</v>
      </c>
      <c r="N138" s="37">
        <v>1.4521267343135225</v>
      </c>
      <c r="O138" s="947">
        <f t="shared" si="21"/>
        <v>0.25848867508518741</v>
      </c>
      <c r="P138" s="37">
        <f t="shared" si="22"/>
        <v>0.31509769492884349</v>
      </c>
      <c r="Q138" s="954">
        <f t="shared" si="23"/>
        <v>5.5311384111198757E-2</v>
      </c>
    </row>
    <row r="139" spans="1:17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15"/>
        <v>2549</v>
      </c>
      <c r="G139" s="827">
        <v>58</v>
      </c>
      <c r="H139" s="330"/>
      <c r="I139" s="330">
        <v>1</v>
      </c>
      <c r="J139" s="40">
        <f t="shared" si="16"/>
        <v>59</v>
      </c>
      <c r="K139" s="72">
        <f t="shared" si="19"/>
        <v>2.3652034475846864E-2</v>
      </c>
      <c r="L139" s="316">
        <f t="shared" si="20"/>
        <v>53.669540990178398</v>
      </c>
      <c r="M139" s="96">
        <f t="shared" si="17"/>
        <v>19.7342902220886</v>
      </c>
      <c r="N139" s="37">
        <v>21.418869331124455</v>
      </c>
      <c r="O139" s="947">
        <f t="shared" si="21"/>
        <v>3.8127079575065141</v>
      </c>
      <c r="P139" s="37">
        <f t="shared" si="22"/>
        <v>4.6476910002004415</v>
      </c>
      <c r="Q139" s="954">
        <f t="shared" si="23"/>
        <v>3.8695727148253423E-2</v>
      </c>
    </row>
    <row r="140" spans="1:17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15"/>
        <v>2593.29</v>
      </c>
      <c r="G140" s="827">
        <v>60</v>
      </c>
      <c r="H140" s="330"/>
      <c r="I140" s="330"/>
      <c r="J140" s="40">
        <f t="shared" si="16"/>
        <v>60</v>
      </c>
      <c r="K140" s="72">
        <f t="shared" si="19"/>
        <v>2.4052916416115455E-2</v>
      </c>
      <c r="L140" s="316">
        <f t="shared" si="20"/>
        <v>54.579194227300064</v>
      </c>
      <c r="M140" s="96">
        <f t="shared" si="17"/>
        <v>20.068769717378235</v>
      </c>
      <c r="N140" s="37">
        <v>21.781901014702836</v>
      </c>
      <c r="O140" s="947">
        <f t="shared" si="21"/>
        <v>3.877330126277811</v>
      </c>
      <c r="P140" s="37">
        <f t="shared" si="22"/>
        <v>4.7264654239326518</v>
      </c>
      <c r="Q140" s="954">
        <f t="shared" si="23"/>
        <v>3.8679513315386611E-2</v>
      </c>
    </row>
    <row r="141" spans="1:17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15"/>
        <v>385.82</v>
      </c>
      <c r="G141" s="827">
        <v>8</v>
      </c>
      <c r="H141" s="330">
        <v>2</v>
      </c>
      <c r="I141" s="330"/>
      <c r="J141" s="40">
        <f t="shared" si="16"/>
        <v>10</v>
      </c>
      <c r="K141" s="72">
        <f t="shared" si="19"/>
        <v>4.0088194026859092E-3</v>
      </c>
      <c r="L141" s="316">
        <f t="shared" si="20"/>
        <v>9.0965323712166768</v>
      </c>
      <c r="M141" s="96">
        <f t="shared" si="17"/>
        <v>3.3447949528963723</v>
      </c>
      <c r="N141" s="37">
        <v>3.6303168357838063</v>
      </c>
      <c r="O141" s="947">
        <f t="shared" si="21"/>
        <v>0.64622168771296851</v>
      </c>
      <c r="P141" s="37">
        <f t="shared" si="22"/>
        <v>0.78774423732210863</v>
      </c>
      <c r="Q141" s="954">
        <f t="shared" si="23"/>
        <v>4.3330739328209585E-2</v>
      </c>
    </row>
    <row r="142" spans="1:17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15"/>
        <v>1699.75</v>
      </c>
      <c r="G142" s="827">
        <v>36</v>
      </c>
      <c r="H142" s="330"/>
      <c r="I142" s="330"/>
      <c r="J142" s="40">
        <f t="shared" si="16"/>
        <v>36</v>
      </c>
      <c r="K142" s="72">
        <f t="shared" si="19"/>
        <v>1.4431749849669273E-2</v>
      </c>
      <c r="L142" s="316">
        <f t="shared" si="20"/>
        <v>32.74751653638004</v>
      </c>
      <c r="M142" s="96">
        <f t="shared" si="17"/>
        <v>12.041261830426942</v>
      </c>
      <c r="N142" s="37">
        <v>13.069140608821703</v>
      </c>
      <c r="O142" s="947">
        <f t="shared" si="21"/>
        <v>2.3263980757666864</v>
      </c>
      <c r="P142" s="37">
        <f t="shared" si="22"/>
        <v>2.835879254359591</v>
      </c>
      <c r="Q142" s="954">
        <f t="shared" si="23"/>
        <v>3.5407746463536033E-2</v>
      </c>
    </row>
    <row r="143" spans="1:17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15"/>
        <v>224.06</v>
      </c>
      <c r="G143" s="827">
        <v>3</v>
      </c>
      <c r="H143" s="330"/>
      <c r="I143" s="330">
        <v>1</v>
      </c>
      <c r="J143" s="40">
        <f t="shared" si="16"/>
        <v>4</v>
      </c>
      <c r="K143" s="72">
        <f t="shared" si="19"/>
        <v>1.6035277610743637E-3</v>
      </c>
      <c r="L143" s="316">
        <f t="shared" si="20"/>
        <v>3.6386129484866712</v>
      </c>
      <c r="M143" s="96">
        <f t="shared" si="17"/>
        <v>1.3379179811585491</v>
      </c>
      <c r="N143" s="37">
        <v>1.4521267343135225</v>
      </c>
      <c r="O143" s="947">
        <f t="shared" si="21"/>
        <v>0.25848867508518741</v>
      </c>
      <c r="P143" s="37">
        <f t="shared" si="22"/>
        <v>0.31509769492884349</v>
      </c>
      <c r="Q143" s="954">
        <f t="shared" si="23"/>
        <v>2.9845337583879007E-2</v>
      </c>
    </row>
    <row r="144" spans="1:17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si="15"/>
        <v>138.9</v>
      </c>
      <c r="G144" s="827">
        <v>4</v>
      </c>
      <c r="H144" s="330"/>
      <c r="I144" s="330"/>
      <c r="J144" s="40">
        <f t="shared" si="16"/>
        <v>4</v>
      </c>
      <c r="K144" s="72">
        <f t="shared" si="19"/>
        <v>1.6035277610743637E-3</v>
      </c>
      <c r="L144" s="316">
        <f t="shared" si="20"/>
        <v>3.6386129484866712</v>
      </c>
      <c r="M144" s="96">
        <f t="shared" si="17"/>
        <v>1.3379179811585491</v>
      </c>
      <c r="N144" s="37">
        <v>1.4521267343135225</v>
      </c>
      <c r="O144" s="947">
        <f t="shared" si="21"/>
        <v>0.25848867508518741</v>
      </c>
      <c r="P144" s="37">
        <f t="shared" si="22"/>
        <v>0.31509769492884349</v>
      </c>
      <c r="Q144" s="954">
        <f t="shared" si="23"/>
        <v>4.8143602152944061E-2</v>
      </c>
    </row>
    <row r="145" spans="1:17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ref="F145:F207" si="24">C145+D145+E145</f>
        <v>8410.83</v>
      </c>
      <c r="G145" s="827">
        <v>141</v>
      </c>
      <c r="H145" s="330">
        <v>1</v>
      </c>
      <c r="I145" s="330">
        <v>2</v>
      </c>
      <c r="J145" s="40">
        <f t="shared" ref="J145:J208" si="25">G145+H145+I145</f>
        <v>144</v>
      </c>
      <c r="K145" s="72">
        <f t="shared" si="19"/>
        <v>5.7726999398677092E-2</v>
      </c>
      <c r="L145" s="316">
        <f t="shared" si="20"/>
        <v>130.99006614552016</v>
      </c>
      <c r="M145" s="96">
        <f t="shared" ref="M145:M207" si="26">L145*0.3677</f>
        <v>48.165047321707767</v>
      </c>
      <c r="N145" s="37">
        <v>52.276562435286813</v>
      </c>
      <c r="O145" s="947">
        <f t="shared" si="21"/>
        <v>9.3055923030667458</v>
      </c>
      <c r="P145" s="37">
        <f t="shared" si="22"/>
        <v>11.343517017438364</v>
      </c>
      <c r="Q145" s="954">
        <f t="shared" si="23"/>
        <v>2.862229627820102E-2</v>
      </c>
    </row>
    <row r="146" spans="1:17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si="24"/>
        <v>953.56</v>
      </c>
      <c r="G146" s="827">
        <v>20</v>
      </c>
      <c r="H146" s="330"/>
      <c r="I146" s="330"/>
      <c r="J146" s="40">
        <f t="shared" si="25"/>
        <v>20</v>
      </c>
      <c r="K146" s="72">
        <f t="shared" si="19"/>
        <v>8.0176388053718184E-3</v>
      </c>
      <c r="L146" s="316">
        <f t="shared" si="20"/>
        <v>18.193064742433354</v>
      </c>
      <c r="M146" s="96">
        <f t="shared" si="26"/>
        <v>6.6895899057927446</v>
      </c>
      <c r="N146" s="37">
        <v>7.2606336715676125</v>
      </c>
      <c r="O146" s="947">
        <f t="shared" si="21"/>
        <v>1.292443375425937</v>
      </c>
      <c r="P146" s="37">
        <f t="shared" si="22"/>
        <v>1.5754884746442173</v>
      </c>
      <c r="Q146" s="954">
        <f t="shared" si="23"/>
        <v>3.5064108913146153E-2</v>
      </c>
    </row>
    <row r="147" spans="1:17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24"/>
        <v>1720.1</v>
      </c>
      <c r="G147" s="827">
        <v>30</v>
      </c>
      <c r="H147" s="330"/>
      <c r="I147" s="330">
        <v>1</v>
      </c>
      <c r="J147" s="40">
        <f t="shared" si="25"/>
        <v>31</v>
      </c>
      <c r="K147" s="72">
        <f t="shared" si="19"/>
        <v>1.2427340148326319E-2</v>
      </c>
      <c r="L147" s="316">
        <f t="shared" si="20"/>
        <v>28.199250350771699</v>
      </c>
      <c r="M147" s="96">
        <f t="shared" si="26"/>
        <v>10.368864353978754</v>
      </c>
      <c r="N147" s="37">
        <v>11.253982190929799</v>
      </c>
      <c r="O147" s="947">
        <f t="shared" si="21"/>
        <v>2.0032872319102024</v>
      </c>
      <c r="P147" s="37">
        <f t="shared" si="22"/>
        <v>2.4420071356985371</v>
      </c>
      <c r="Q147" s="954">
        <f t="shared" si="23"/>
        <v>3.0129285580832776E-2</v>
      </c>
    </row>
    <row r="148" spans="1:17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24"/>
        <v>1033.02</v>
      </c>
      <c r="G148" s="827">
        <v>4</v>
      </c>
      <c r="H148" s="330"/>
      <c r="I148" s="330"/>
      <c r="J148" s="40">
        <f t="shared" si="25"/>
        <v>4</v>
      </c>
      <c r="K148" s="72">
        <f t="shared" si="19"/>
        <v>1.6035277610743637E-3</v>
      </c>
      <c r="L148" s="316">
        <f t="shared" si="20"/>
        <v>3.6386129484866712</v>
      </c>
      <c r="M148" s="96">
        <f t="shared" si="26"/>
        <v>1.3379179811585491</v>
      </c>
      <c r="N148" s="37">
        <v>1.4521267343135225</v>
      </c>
      <c r="O148" s="947">
        <f t="shared" si="21"/>
        <v>0.25848867508518741</v>
      </c>
      <c r="P148" s="37">
        <f t="shared" si="22"/>
        <v>0.31509769492884349</v>
      </c>
      <c r="Q148" s="954">
        <f t="shared" si="23"/>
        <v>6.4733948413815126E-3</v>
      </c>
    </row>
    <row r="149" spans="1:17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24"/>
        <v>220.38</v>
      </c>
      <c r="G149" s="827">
        <v>20</v>
      </c>
      <c r="H149" s="330"/>
      <c r="I149" s="330"/>
      <c r="J149" s="40">
        <f t="shared" si="25"/>
        <v>20</v>
      </c>
      <c r="K149" s="72">
        <f t="shared" si="19"/>
        <v>8.0176388053718184E-3</v>
      </c>
      <c r="L149" s="316">
        <f t="shared" si="20"/>
        <v>18.193064742433354</v>
      </c>
      <c r="M149" s="96">
        <f t="shared" si="26"/>
        <v>6.6895899057927446</v>
      </c>
      <c r="N149" s="37">
        <v>7.2606336715676125</v>
      </c>
      <c r="O149" s="947">
        <f t="shared" si="21"/>
        <v>1.292443375425937</v>
      </c>
      <c r="P149" s="37">
        <f t="shared" si="22"/>
        <v>1.5754884746442173</v>
      </c>
      <c r="Q149" s="954">
        <f t="shared" si="23"/>
        <v>0.15171853931944662</v>
      </c>
    </row>
    <row r="150" spans="1:17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24"/>
        <v>1973.5500000000002</v>
      </c>
      <c r="G150" s="827">
        <v>24</v>
      </c>
      <c r="H150" s="330">
        <v>1</v>
      </c>
      <c r="I150" s="330"/>
      <c r="J150" s="40">
        <f t="shared" si="25"/>
        <v>25</v>
      </c>
      <c r="K150" s="72">
        <f t="shared" si="19"/>
        <v>1.0022048506714773E-2</v>
      </c>
      <c r="L150" s="316">
        <f t="shared" si="20"/>
        <v>22.741330928041695</v>
      </c>
      <c r="M150" s="96">
        <f t="shared" si="26"/>
        <v>8.3619873822409314</v>
      </c>
      <c r="N150" s="37">
        <v>9.0757920894595152</v>
      </c>
      <c r="O150" s="947">
        <f t="shared" si="21"/>
        <v>1.6155542192824213</v>
      </c>
      <c r="P150" s="37">
        <f t="shared" si="22"/>
        <v>1.9693605933052716</v>
      </c>
      <c r="Q150" s="954">
        <f t="shared" si="23"/>
        <v>2.1177403470408428E-2</v>
      </c>
    </row>
    <row r="151" spans="1:17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24"/>
        <v>1290.5</v>
      </c>
      <c r="G151" s="827">
        <v>24</v>
      </c>
      <c r="H151" s="330">
        <v>3</v>
      </c>
      <c r="I151" s="330"/>
      <c r="J151" s="40">
        <f t="shared" si="25"/>
        <v>27</v>
      </c>
      <c r="K151" s="72">
        <f t="shared" si="19"/>
        <v>1.0823812387251955E-2</v>
      </c>
      <c r="L151" s="316">
        <f t="shared" si="20"/>
        <v>24.560637402285028</v>
      </c>
      <c r="M151" s="96">
        <f t="shared" si="26"/>
        <v>9.0309463728202051</v>
      </c>
      <c r="N151" s="37">
        <v>9.801855456616277</v>
      </c>
      <c r="O151" s="947">
        <f t="shared" si="21"/>
        <v>1.7447985568250151</v>
      </c>
      <c r="P151" s="37">
        <f t="shared" si="22"/>
        <v>2.1269094407696936</v>
      </c>
      <c r="Q151" s="954">
        <f t="shared" si="23"/>
        <v>3.4977324903949267E-2</v>
      </c>
    </row>
    <row r="152" spans="1:17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24"/>
        <v>231.77</v>
      </c>
      <c r="G152" s="827">
        <v>5</v>
      </c>
      <c r="H152" s="330">
        <v>1</v>
      </c>
      <c r="I152" s="330"/>
      <c r="J152" s="40">
        <f t="shared" si="25"/>
        <v>6</v>
      </c>
      <c r="K152" s="72">
        <f t="shared" si="19"/>
        <v>2.4052916416115455E-3</v>
      </c>
      <c r="L152" s="316">
        <f t="shared" si="20"/>
        <v>5.457919422730007</v>
      </c>
      <c r="M152" s="96">
        <f t="shared" si="26"/>
        <v>2.0068769717378236</v>
      </c>
      <c r="N152" s="37">
        <v>2.1781901014702836</v>
      </c>
      <c r="O152" s="947">
        <f t="shared" si="21"/>
        <v>0.38773301262778109</v>
      </c>
      <c r="P152" s="37">
        <f t="shared" si="22"/>
        <v>0.4726465423932652</v>
      </c>
      <c r="Q152" s="954">
        <f t="shared" si="23"/>
        <v>4.3278765623531494E-2</v>
      </c>
    </row>
    <row r="153" spans="1:17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24"/>
        <v>1422.83</v>
      </c>
      <c r="G153" s="827">
        <v>30</v>
      </c>
      <c r="H153" s="330"/>
      <c r="I153" s="330"/>
      <c r="J153" s="40">
        <f t="shared" si="25"/>
        <v>30</v>
      </c>
      <c r="K153" s="72">
        <f t="shared" si="19"/>
        <v>1.2026458208057728E-2</v>
      </c>
      <c r="L153" s="316">
        <f t="shared" si="20"/>
        <v>27.289597113650032</v>
      </c>
      <c r="M153" s="96">
        <f t="shared" si="26"/>
        <v>10.034384858689117</v>
      </c>
      <c r="N153" s="37">
        <v>10.890950507351418</v>
      </c>
      <c r="O153" s="947">
        <f t="shared" si="21"/>
        <v>1.9386650631389055</v>
      </c>
      <c r="P153" s="37">
        <f t="shared" si="22"/>
        <v>2.3632327119663259</v>
      </c>
      <c r="Q153" s="954">
        <f t="shared" si="23"/>
        <v>3.524918475350497E-2</v>
      </c>
    </row>
    <row r="154" spans="1:17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24"/>
        <v>377.6</v>
      </c>
      <c r="G154" s="827">
        <v>8</v>
      </c>
      <c r="H154" s="330"/>
      <c r="I154" s="330"/>
      <c r="J154" s="40">
        <f t="shared" si="25"/>
        <v>8</v>
      </c>
      <c r="K154" s="72">
        <f t="shared" si="19"/>
        <v>3.2070555221487274E-3</v>
      </c>
      <c r="L154" s="316">
        <f t="shared" si="20"/>
        <v>7.2772258969733423</v>
      </c>
      <c r="M154" s="96">
        <f t="shared" si="26"/>
        <v>2.6758359623170982</v>
      </c>
      <c r="N154" s="37">
        <v>2.9042534686270449</v>
      </c>
      <c r="O154" s="947">
        <f t="shared" si="21"/>
        <v>0.51697735017037483</v>
      </c>
      <c r="P154" s="37">
        <f t="shared" si="22"/>
        <v>0.63019538985768697</v>
      </c>
      <c r="Q154" s="954">
        <f t="shared" si="23"/>
        <v>3.5419207304258099E-2</v>
      </c>
    </row>
    <row r="155" spans="1:17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24"/>
        <v>1852.5099999999998</v>
      </c>
      <c r="G155" s="827">
        <v>36</v>
      </c>
      <c r="H155" s="330">
        <v>2</v>
      </c>
      <c r="I155" s="330"/>
      <c r="J155" s="40">
        <f t="shared" si="25"/>
        <v>38</v>
      </c>
      <c r="K155" s="72">
        <f t="shared" si="19"/>
        <v>1.5233513730206455E-2</v>
      </c>
      <c r="L155" s="316">
        <f t="shared" si="20"/>
        <v>34.566823010623374</v>
      </c>
      <c r="M155" s="96">
        <f t="shared" si="26"/>
        <v>12.710220821006216</v>
      </c>
      <c r="N155" s="37">
        <v>13.795203975978463</v>
      </c>
      <c r="O155" s="947">
        <f t="shared" si="21"/>
        <v>2.4556424133092802</v>
      </c>
      <c r="P155" s="37">
        <f t="shared" si="22"/>
        <v>2.993428101824013</v>
      </c>
      <c r="Q155" s="954">
        <f t="shared" si="23"/>
        <v>3.4292873032219715E-2</v>
      </c>
    </row>
    <row r="156" spans="1:17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24"/>
        <v>2010.19</v>
      </c>
      <c r="G156" s="827">
        <v>48</v>
      </c>
      <c r="H156" s="330"/>
      <c r="I156" s="330"/>
      <c r="J156" s="40">
        <f t="shared" si="25"/>
        <v>48</v>
      </c>
      <c r="K156" s="72">
        <f t="shared" ref="K156:K219" si="27">2/4989*J156</f>
        <v>1.9242333132892364E-2</v>
      </c>
      <c r="L156" s="316">
        <f t="shared" ref="L156:L219" si="28">K156*2269.13</f>
        <v>43.663355381840056</v>
      </c>
      <c r="M156" s="96">
        <f t="shared" si="26"/>
        <v>16.055015773902589</v>
      </c>
      <c r="N156" s="37">
        <v>17.425520811762269</v>
      </c>
      <c r="O156" s="947">
        <f t="shared" ref="O156:O219" si="29">K156*161.2</f>
        <v>3.1018641010222487</v>
      </c>
      <c r="P156" s="37">
        <f t="shared" si="22"/>
        <v>3.7811723391461216</v>
      </c>
      <c r="Q156" s="954">
        <f t="shared" si="23"/>
        <v>3.9919488241672255E-2</v>
      </c>
    </row>
    <row r="157" spans="1:17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24"/>
        <v>1464.32</v>
      </c>
      <c r="G157" s="827">
        <v>32</v>
      </c>
      <c r="H157" s="330"/>
      <c r="I157" s="330"/>
      <c r="J157" s="40">
        <f t="shared" si="25"/>
        <v>32</v>
      </c>
      <c r="K157" s="72">
        <f t="shared" si="27"/>
        <v>1.2828222088594909E-2</v>
      </c>
      <c r="L157" s="316">
        <f t="shared" si="28"/>
        <v>29.108903587893369</v>
      </c>
      <c r="M157" s="96">
        <f t="shared" si="26"/>
        <v>10.703343849268393</v>
      </c>
      <c r="N157" s="37">
        <v>11.61701387450818</v>
      </c>
      <c r="O157" s="947">
        <f t="shared" si="29"/>
        <v>2.0679094006814993</v>
      </c>
      <c r="P157" s="37">
        <f t="shared" ref="P157:P220" si="30">O157*1.219</f>
        <v>2.5207815594307479</v>
      </c>
      <c r="Q157" s="954">
        <f t="shared" si="23"/>
        <v>3.6533797743902592E-2</v>
      </c>
    </row>
    <row r="158" spans="1:17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24"/>
        <v>152.11000000000001</v>
      </c>
      <c r="G158" s="827">
        <v>4</v>
      </c>
      <c r="H158" s="330"/>
      <c r="I158" s="330"/>
      <c r="J158" s="40">
        <f t="shared" si="25"/>
        <v>4</v>
      </c>
      <c r="K158" s="72">
        <f t="shared" si="27"/>
        <v>1.6035277610743637E-3</v>
      </c>
      <c r="L158" s="316">
        <f t="shared" si="28"/>
        <v>3.6386129484866712</v>
      </c>
      <c r="M158" s="96">
        <f t="shared" si="26"/>
        <v>1.3379179811585491</v>
      </c>
      <c r="N158" s="37">
        <v>1.4521267343135225</v>
      </c>
      <c r="O158" s="947">
        <f t="shared" si="29"/>
        <v>0.25848867508518741</v>
      </c>
      <c r="P158" s="37">
        <f t="shared" si="30"/>
        <v>0.31509769492884349</v>
      </c>
      <c r="Q158" s="954">
        <f t="shared" si="23"/>
        <v>4.3962568792610145E-2</v>
      </c>
    </row>
    <row r="159" spans="1:17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24"/>
        <v>2553.5700000000002</v>
      </c>
      <c r="G159" s="827">
        <v>60</v>
      </c>
      <c r="H159" s="330"/>
      <c r="I159" s="330"/>
      <c r="J159" s="40">
        <f t="shared" si="25"/>
        <v>60</v>
      </c>
      <c r="K159" s="72">
        <f t="shared" si="27"/>
        <v>2.4052916416115455E-2</v>
      </c>
      <c r="L159" s="316">
        <f t="shared" si="28"/>
        <v>54.579194227300064</v>
      </c>
      <c r="M159" s="96">
        <f t="shared" si="26"/>
        <v>20.068769717378235</v>
      </c>
      <c r="N159" s="37">
        <v>21.781901014702836</v>
      </c>
      <c r="O159" s="947">
        <f t="shared" si="29"/>
        <v>3.877330126277811</v>
      </c>
      <c r="P159" s="37">
        <f t="shared" si="30"/>
        <v>4.7264654239326518</v>
      </c>
      <c r="Q159" s="954">
        <f t="shared" si="23"/>
        <v>3.9281161309718919E-2</v>
      </c>
    </row>
    <row r="160" spans="1:17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24"/>
        <v>101.99</v>
      </c>
      <c r="G160" s="827">
        <v>1</v>
      </c>
      <c r="H160" s="330">
        <v>1</v>
      </c>
      <c r="I160" s="330"/>
      <c r="J160" s="40">
        <f t="shared" si="25"/>
        <v>2</v>
      </c>
      <c r="K160" s="72">
        <f t="shared" si="27"/>
        <v>8.0176388053718184E-4</v>
      </c>
      <c r="L160" s="316">
        <f t="shared" si="28"/>
        <v>1.8193064742433356</v>
      </c>
      <c r="M160" s="96">
        <f t="shared" si="26"/>
        <v>0.66895899057927455</v>
      </c>
      <c r="N160" s="37">
        <v>0.72606336715676123</v>
      </c>
      <c r="O160" s="947">
        <f t="shared" si="29"/>
        <v>0.12924433754259371</v>
      </c>
      <c r="P160" s="37">
        <f t="shared" si="30"/>
        <v>0.15754884746442174</v>
      </c>
      <c r="Q160" s="954">
        <f t="shared" si="23"/>
        <v>3.278334316621203E-2</v>
      </c>
    </row>
    <row r="161" spans="1:17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24"/>
        <v>166.1</v>
      </c>
      <c r="G161" s="827">
        <v>3</v>
      </c>
      <c r="H161" s="330"/>
      <c r="I161" s="330"/>
      <c r="J161" s="40">
        <f t="shared" si="25"/>
        <v>3</v>
      </c>
      <c r="K161" s="72">
        <f t="shared" si="27"/>
        <v>1.2026458208057728E-3</v>
      </c>
      <c r="L161" s="316">
        <f t="shared" si="28"/>
        <v>2.7289597113650035</v>
      </c>
      <c r="M161" s="96">
        <f t="shared" si="26"/>
        <v>1.0034384858689118</v>
      </c>
      <c r="N161" s="37">
        <v>1.0890950507351418</v>
      </c>
      <c r="O161" s="947">
        <f t="shared" si="29"/>
        <v>0.19386650631389055</v>
      </c>
      <c r="P161" s="37">
        <f t="shared" si="30"/>
        <v>0.2363232711966326</v>
      </c>
      <c r="Q161" s="954">
        <f t="shared" si="23"/>
        <v>3.0194820916814854E-2</v>
      </c>
    </row>
    <row r="162" spans="1:17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24"/>
        <v>315.39999999999998</v>
      </c>
      <c r="G162" s="827">
        <v>8</v>
      </c>
      <c r="H162" s="330"/>
      <c r="I162" s="330"/>
      <c r="J162" s="40">
        <f t="shared" si="25"/>
        <v>8</v>
      </c>
      <c r="K162" s="72">
        <f t="shared" si="27"/>
        <v>3.2070555221487274E-3</v>
      </c>
      <c r="L162" s="316">
        <f t="shared" si="28"/>
        <v>7.2772258969733423</v>
      </c>
      <c r="M162" s="96">
        <f t="shared" si="26"/>
        <v>2.6758359623170982</v>
      </c>
      <c r="N162" s="37">
        <v>2.9042534686270449</v>
      </c>
      <c r="O162" s="947">
        <f t="shared" si="29"/>
        <v>0.51697735017037483</v>
      </c>
      <c r="P162" s="37">
        <f t="shared" si="30"/>
        <v>0.63019538985768697</v>
      </c>
      <c r="Q162" s="954">
        <f t="shared" si="23"/>
        <v>4.2404225358553774E-2</v>
      </c>
    </row>
    <row r="163" spans="1:17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24"/>
        <v>1497.91</v>
      </c>
      <c r="G163" s="827">
        <v>29</v>
      </c>
      <c r="H163" s="330">
        <v>2</v>
      </c>
      <c r="I163" s="330"/>
      <c r="J163" s="40">
        <f t="shared" si="25"/>
        <v>31</v>
      </c>
      <c r="K163" s="72">
        <f t="shared" si="27"/>
        <v>1.2427340148326319E-2</v>
      </c>
      <c r="L163" s="316">
        <f t="shared" si="28"/>
        <v>28.199250350771699</v>
      </c>
      <c r="M163" s="96">
        <f t="shared" si="26"/>
        <v>10.368864353978754</v>
      </c>
      <c r="N163" s="37">
        <v>11.253982190929799</v>
      </c>
      <c r="O163" s="947">
        <f t="shared" si="29"/>
        <v>2.0032872319102024</v>
      </c>
      <c r="P163" s="37">
        <f t="shared" si="30"/>
        <v>2.4420071356985371</v>
      </c>
      <c r="Q163" s="954">
        <f t="shared" si="23"/>
        <v>3.4598463277226571E-2</v>
      </c>
    </row>
    <row r="164" spans="1:17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24"/>
        <v>165.93</v>
      </c>
      <c r="G164" s="827">
        <v>3</v>
      </c>
      <c r="H164" s="330"/>
      <c r="I164" s="330"/>
      <c r="J164" s="40">
        <f t="shared" si="25"/>
        <v>3</v>
      </c>
      <c r="K164" s="72">
        <f t="shared" si="27"/>
        <v>1.2026458208057728E-3</v>
      </c>
      <c r="L164" s="316">
        <f t="shared" si="28"/>
        <v>2.7289597113650035</v>
      </c>
      <c r="M164" s="96">
        <f t="shared" si="26"/>
        <v>1.0034384858689118</v>
      </c>
      <c r="N164" s="37">
        <v>1.0890950507351418</v>
      </c>
      <c r="O164" s="947">
        <f t="shared" si="29"/>
        <v>0.19386650631389055</v>
      </c>
      <c r="P164" s="37">
        <f t="shared" si="30"/>
        <v>0.2363232711966326</v>
      </c>
      <c r="Q164" s="954">
        <f t="shared" si="23"/>
        <v>3.022575636884799E-2</v>
      </c>
    </row>
    <row r="165" spans="1:17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24"/>
        <v>977.29000000000008</v>
      </c>
      <c r="G165" s="827">
        <v>15</v>
      </c>
      <c r="H165" s="330">
        <v>2</v>
      </c>
      <c r="I165" s="330"/>
      <c r="J165" s="40">
        <f t="shared" si="25"/>
        <v>17</v>
      </c>
      <c r="K165" s="72">
        <f t="shared" si="27"/>
        <v>6.8149929845660456E-3</v>
      </c>
      <c r="L165" s="316">
        <f t="shared" si="28"/>
        <v>15.464105031068351</v>
      </c>
      <c r="M165" s="96">
        <f t="shared" si="26"/>
        <v>5.6861514199238332</v>
      </c>
      <c r="N165" s="37">
        <v>6.1715386208324707</v>
      </c>
      <c r="O165" s="947">
        <f t="shared" si="29"/>
        <v>1.0985768691120466</v>
      </c>
      <c r="P165" s="37">
        <f t="shared" si="30"/>
        <v>1.3391652034475849</v>
      </c>
      <c r="Q165" s="954">
        <f t="shared" si="23"/>
        <v>2.908079683710741E-2</v>
      </c>
    </row>
    <row r="166" spans="1:17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24"/>
        <v>144.9</v>
      </c>
      <c r="G166" s="827">
        <v>3</v>
      </c>
      <c r="H166" s="330"/>
      <c r="I166" s="330"/>
      <c r="J166" s="40">
        <f t="shared" si="25"/>
        <v>3</v>
      </c>
      <c r="K166" s="72">
        <f t="shared" si="27"/>
        <v>1.2026458208057728E-3</v>
      </c>
      <c r="L166" s="316">
        <f t="shared" si="28"/>
        <v>2.7289597113650035</v>
      </c>
      <c r="M166" s="96">
        <f t="shared" si="26"/>
        <v>1.0034384858689118</v>
      </c>
      <c r="N166" s="37">
        <v>1.0890950507351418</v>
      </c>
      <c r="O166" s="947">
        <f t="shared" si="29"/>
        <v>0.19386650631389055</v>
      </c>
      <c r="P166" s="37">
        <f t="shared" si="30"/>
        <v>0.2363232711966326</v>
      </c>
      <c r="Q166" s="954">
        <f t="shared" si="23"/>
        <v>3.4612558690703572E-2</v>
      </c>
    </row>
    <row r="167" spans="1:17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24"/>
        <v>231.9</v>
      </c>
      <c r="G167" s="827">
        <v>4</v>
      </c>
      <c r="H167" s="330">
        <v>1</v>
      </c>
      <c r="I167" s="330"/>
      <c r="J167" s="40">
        <f t="shared" si="25"/>
        <v>5</v>
      </c>
      <c r="K167" s="72">
        <f t="shared" si="27"/>
        <v>2.0044097013429546E-3</v>
      </c>
      <c r="L167" s="316">
        <f t="shared" si="28"/>
        <v>4.5482661856083384</v>
      </c>
      <c r="M167" s="96">
        <f t="shared" si="26"/>
        <v>1.6723974764481861</v>
      </c>
      <c r="N167" s="37">
        <v>1.8151584178919031</v>
      </c>
      <c r="O167" s="947">
        <f t="shared" si="29"/>
        <v>0.32311084385648425</v>
      </c>
      <c r="P167" s="37">
        <f t="shared" si="30"/>
        <v>0.39387211866105432</v>
      </c>
      <c r="Q167" s="954">
        <f t="shared" si="23"/>
        <v>3.6045420111276025E-2</v>
      </c>
    </row>
    <row r="168" spans="1:17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24"/>
        <v>3146.6</v>
      </c>
      <c r="G168" s="827">
        <v>52</v>
      </c>
      <c r="H168" s="330"/>
      <c r="I168" s="330"/>
      <c r="J168" s="40">
        <f t="shared" si="25"/>
        <v>52</v>
      </c>
      <c r="K168" s="72">
        <f t="shared" si="27"/>
        <v>2.0845860893966728E-2</v>
      </c>
      <c r="L168" s="316">
        <f t="shared" si="28"/>
        <v>47.301968330326723</v>
      </c>
      <c r="M168" s="96">
        <f t="shared" si="26"/>
        <v>17.392933755061136</v>
      </c>
      <c r="N168" s="37">
        <v>18.877647546075792</v>
      </c>
      <c r="O168" s="947">
        <f t="shared" si="29"/>
        <v>3.3603527761074363</v>
      </c>
      <c r="P168" s="37">
        <f t="shared" si="30"/>
        <v>4.0962700340749656</v>
      </c>
      <c r="Q168" s="954">
        <f t="shared" si="23"/>
        <v>2.7627567027131216E-2</v>
      </c>
    </row>
    <row r="169" spans="1:17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24"/>
        <v>848.35</v>
      </c>
      <c r="G169" s="827">
        <v>17</v>
      </c>
      <c r="H169" s="330"/>
      <c r="I169" s="330"/>
      <c r="J169" s="40">
        <f t="shared" si="25"/>
        <v>17</v>
      </c>
      <c r="K169" s="72">
        <f t="shared" si="27"/>
        <v>6.8149929845660456E-3</v>
      </c>
      <c r="L169" s="316">
        <f t="shared" si="28"/>
        <v>15.464105031068351</v>
      </c>
      <c r="M169" s="96">
        <f t="shared" si="26"/>
        <v>5.6861514199238332</v>
      </c>
      <c r="N169" s="37">
        <v>6.1715386208324707</v>
      </c>
      <c r="O169" s="947">
        <f t="shared" si="29"/>
        <v>1.0985768691120466</v>
      </c>
      <c r="P169" s="37">
        <f t="shared" si="30"/>
        <v>1.3391652034475849</v>
      </c>
      <c r="Q169" s="954">
        <f t="shared" si="23"/>
        <v>3.3500762587300885E-2</v>
      </c>
    </row>
    <row r="170" spans="1:17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24"/>
        <v>885.4</v>
      </c>
      <c r="G170" s="827">
        <v>18</v>
      </c>
      <c r="H170" s="330"/>
      <c r="I170" s="330"/>
      <c r="J170" s="40">
        <f t="shared" si="25"/>
        <v>18</v>
      </c>
      <c r="K170" s="72">
        <f t="shared" si="27"/>
        <v>7.2158749248346366E-3</v>
      </c>
      <c r="L170" s="316">
        <f t="shared" si="28"/>
        <v>16.37375826819002</v>
      </c>
      <c r="M170" s="96">
        <f t="shared" si="26"/>
        <v>6.0206309152134709</v>
      </c>
      <c r="N170" s="37">
        <v>6.5345703044108516</v>
      </c>
      <c r="O170" s="947">
        <f t="shared" si="29"/>
        <v>1.1631990378833432</v>
      </c>
      <c r="P170" s="37">
        <f t="shared" si="30"/>
        <v>1.4179396271797955</v>
      </c>
      <c r="Q170" s="954">
        <f t="shared" si="23"/>
        <v>3.3987077621072607E-2</v>
      </c>
    </row>
    <row r="171" spans="1:17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24"/>
        <v>877.79</v>
      </c>
      <c r="G171" s="827">
        <v>17</v>
      </c>
      <c r="H171" s="330"/>
      <c r="I171" s="330"/>
      <c r="J171" s="40">
        <f t="shared" si="25"/>
        <v>17</v>
      </c>
      <c r="K171" s="72">
        <f t="shared" si="27"/>
        <v>6.8149929845660456E-3</v>
      </c>
      <c r="L171" s="316">
        <f t="shared" si="28"/>
        <v>15.464105031068351</v>
      </c>
      <c r="M171" s="96">
        <f t="shared" si="26"/>
        <v>5.6861514199238332</v>
      </c>
      <c r="N171" s="37">
        <v>6.1715386208324707</v>
      </c>
      <c r="O171" s="947">
        <f t="shared" si="29"/>
        <v>1.0985768691120466</v>
      </c>
      <c r="P171" s="37">
        <f t="shared" si="30"/>
        <v>1.3391652034475849</v>
      </c>
      <c r="Q171" s="954">
        <f t="shared" si="23"/>
        <v>3.2377188098448043E-2</v>
      </c>
    </row>
    <row r="172" spans="1:17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24"/>
        <v>949.9</v>
      </c>
      <c r="G172" s="827">
        <v>19</v>
      </c>
      <c r="H172" s="330"/>
      <c r="I172" s="330">
        <v>1</v>
      </c>
      <c r="J172" s="40">
        <f t="shared" si="25"/>
        <v>20</v>
      </c>
      <c r="K172" s="72">
        <f t="shared" si="27"/>
        <v>8.0176388053718184E-3</v>
      </c>
      <c r="L172" s="316">
        <f t="shared" si="28"/>
        <v>18.193064742433354</v>
      </c>
      <c r="M172" s="96">
        <f t="shared" si="26"/>
        <v>6.6895899057927446</v>
      </c>
      <c r="N172" s="37">
        <v>7.2606336715676125</v>
      </c>
      <c r="O172" s="947">
        <f t="shared" si="29"/>
        <v>1.292443375425937</v>
      </c>
      <c r="P172" s="37">
        <f t="shared" si="30"/>
        <v>1.5754884746442173</v>
      </c>
      <c r="Q172" s="954">
        <f t="shared" si="23"/>
        <v>3.5199212227834134E-2</v>
      </c>
    </row>
    <row r="173" spans="1:17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24"/>
        <v>1056</v>
      </c>
      <c r="G173" s="827">
        <v>13</v>
      </c>
      <c r="H173" s="330"/>
      <c r="I173" s="330">
        <v>1</v>
      </c>
      <c r="J173" s="40">
        <f t="shared" si="25"/>
        <v>14</v>
      </c>
      <c r="K173" s="72">
        <f t="shared" si="27"/>
        <v>5.6123471637602729E-3</v>
      </c>
      <c r="L173" s="316">
        <f t="shared" si="28"/>
        <v>12.735145319703349</v>
      </c>
      <c r="M173" s="96">
        <f t="shared" si="26"/>
        <v>4.6827129340549218</v>
      </c>
      <c r="N173" s="37">
        <v>5.0824435700973281</v>
      </c>
      <c r="O173" s="947">
        <f t="shared" si="29"/>
        <v>0.90471036279815598</v>
      </c>
      <c r="P173" s="37">
        <f t="shared" si="30"/>
        <v>1.1028419322509522</v>
      </c>
      <c r="Q173" s="954">
        <f t="shared" si="23"/>
        <v>2.2163837297967573E-2</v>
      </c>
    </row>
    <row r="174" spans="1:17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24"/>
        <v>998.3</v>
      </c>
      <c r="G174" s="827">
        <v>17</v>
      </c>
      <c r="H174" s="330">
        <v>1</v>
      </c>
      <c r="I174" s="330"/>
      <c r="J174" s="40">
        <f t="shared" si="25"/>
        <v>18</v>
      </c>
      <c r="K174" s="72">
        <f t="shared" si="27"/>
        <v>7.2158749248346366E-3</v>
      </c>
      <c r="L174" s="316">
        <f t="shared" si="28"/>
        <v>16.37375826819002</v>
      </c>
      <c r="M174" s="96">
        <f t="shared" si="26"/>
        <v>6.0206309152134709</v>
      </c>
      <c r="N174" s="37">
        <v>6.5345703044108516</v>
      </c>
      <c r="O174" s="947">
        <f t="shared" si="29"/>
        <v>1.1631990378833432</v>
      </c>
      <c r="P174" s="37">
        <f t="shared" si="30"/>
        <v>1.4179396271797955</v>
      </c>
      <c r="Q174" s="954">
        <f t="shared" si="23"/>
        <v>3.0143402309624045E-2</v>
      </c>
    </row>
    <row r="175" spans="1:17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24"/>
        <v>304</v>
      </c>
      <c r="G175" s="827">
        <v>7</v>
      </c>
      <c r="H175" s="330"/>
      <c r="I175" s="330"/>
      <c r="J175" s="40">
        <f t="shared" si="25"/>
        <v>7</v>
      </c>
      <c r="K175" s="72">
        <f t="shared" si="27"/>
        <v>2.8061735818801364E-3</v>
      </c>
      <c r="L175" s="316">
        <f t="shared" si="28"/>
        <v>6.3675726598516746</v>
      </c>
      <c r="M175" s="96">
        <f t="shared" si="26"/>
        <v>2.3413564670274609</v>
      </c>
      <c r="N175" s="37">
        <v>2.541221785048664</v>
      </c>
      <c r="O175" s="947">
        <f t="shared" si="29"/>
        <v>0.45235518139907799</v>
      </c>
      <c r="P175" s="37">
        <f t="shared" si="30"/>
        <v>0.55142096612547609</v>
      </c>
      <c r="Q175" s="954">
        <f t="shared" si="23"/>
        <v>3.8495085833312098E-2</v>
      </c>
    </row>
    <row r="176" spans="1:17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24"/>
        <v>1347.46</v>
      </c>
      <c r="G176" s="827">
        <v>24</v>
      </c>
      <c r="H176" s="330">
        <v>1</v>
      </c>
      <c r="I176" s="330">
        <v>1</v>
      </c>
      <c r="J176" s="40">
        <f t="shared" si="25"/>
        <v>26</v>
      </c>
      <c r="K176" s="72">
        <f t="shared" si="27"/>
        <v>1.0422930446983364E-2</v>
      </c>
      <c r="L176" s="316">
        <f t="shared" si="28"/>
        <v>23.650984165163361</v>
      </c>
      <c r="M176" s="96">
        <f t="shared" si="26"/>
        <v>8.6964668775305682</v>
      </c>
      <c r="N176" s="37">
        <v>9.4388237730378961</v>
      </c>
      <c r="O176" s="947">
        <f t="shared" si="29"/>
        <v>1.6801763880537182</v>
      </c>
      <c r="P176" s="37">
        <f t="shared" si="30"/>
        <v>2.0481350170374828</v>
      </c>
      <c r="Q176" s="954">
        <f t="shared" si="23"/>
        <v>3.2258064212507633E-2</v>
      </c>
    </row>
    <row r="177" spans="1:17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24"/>
        <v>930.9</v>
      </c>
      <c r="G177" s="827">
        <v>16</v>
      </c>
      <c r="H177" s="330"/>
      <c r="I177" s="330"/>
      <c r="J177" s="40">
        <f t="shared" si="25"/>
        <v>16</v>
      </c>
      <c r="K177" s="72">
        <f t="shared" si="27"/>
        <v>6.4141110442974547E-3</v>
      </c>
      <c r="L177" s="316">
        <f t="shared" si="28"/>
        <v>14.554451793946685</v>
      </c>
      <c r="M177" s="96">
        <f t="shared" si="26"/>
        <v>5.3516719246341964</v>
      </c>
      <c r="N177" s="37">
        <v>5.8085069372540898</v>
      </c>
      <c r="O177" s="947">
        <f t="shared" si="29"/>
        <v>1.0339547003407497</v>
      </c>
      <c r="P177" s="37">
        <f t="shared" si="30"/>
        <v>1.2603907797153739</v>
      </c>
      <c r="Q177" s="954">
        <f t="shared" si="23"/>
        <v>2.8734112532147086E-2</v>
      </c>
    </row>
    <row r="178" spans="1:17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24"/>
        <v>791.4</v>
      </c>
      <c r="G178" s="827">
        <v>19</v>
      </c>
      <c r="H178" s="330"/>
      <c r="I178" s="330"/>
      <c r="J178" s="40">
        <f t="shared" si="25"/>
        <v>19</v>
      </c>
      <c r="K178" s="72">
        <f t="shared" si="27"/>
        <v>7.6167568651032275E-3</v>
      </c>
      <c r="L178" s="316">
        <f t="shared" si="28"/>
        <v>17.283411505311687</v>
      </c>
      <c r="M178" s="96">
        <f t="shared" si="26"/>
        <v>6.3551104105031078</v>
      </c>
      <c r="N178" s="37">
        <v>6.8976019879892316</v>
      </c>
      <c r="O178" s="947">
        <f t="shared" si="29"/>
        <v>1.2278212066546401</v>
      </c>
      <c r="P178" s="37">
        <f t="shared" si="30"/>
        <v>1.4967140509120065</v>
      </c>
      <c r="Q178" s="954">
        <f t="shared" si="23"/>
        <v>4.0136397662950046E-2</v>
      </c>
    </row>
    <row r="179" spans="1:17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24"/>
        <v>574.42999999999995</v>
      </c>
      <c r="G179" s="827">
        <v>17</v>
      </c>
      <c r="H179" s="330"/>
      <c r="I179" s="330"/>
      <c r="J179" s="40">
        <f t="shared" si="25"/>
        <v>17</v>
      </c>
      <c r="K179" s="72">
        <f t="shared" si="27"/>
        <v>6.8149929845660456E-3</v>
      </c>
      <c r="L179" s="316">
        <f t="shared" si="28"/>
        <v>15.464105031068351</v>
      </c>
      <c r="M179" s="96">
        <f t="shared" si="26"/>
        <v>5.6861514199238332</v>
      </c>
      <c r="N179" s="37">
        <v>6.1715386208324707</v>
      </c>
      <c r="O179" s="947">
        <f t="shared" si="29"/>
        <v>1.0985768691120466</v>
      </c>
      <c r="P179" s="37">
        <f t="shared" si="30"/>
        <v>1.3391652034475849</v>
      </c>
      <c r="Q179" s="954">
        <f t="shared" si="23"/>
        <v>4.9475779365521833E-2</v>
      </c>
    </row>
    <row r="180" spans="1:17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24"/>
        <v>326.89999999999998</v>
      </c>
      <c r="G180" s="827">
        <v>5</v>
      </c>
      <c r="H180" s="330"/>
      <c r="I180" s="330"/>
      <c r="J180" s="40">
        <f t="shared" si="25"/>
        <v>5</v>
      </c>
      <c r="K180" s="72">
        <f t="shared" si="27"/>
        <v>2.0044097013429546E-3</v>
      </c>
      <c r="L180" s="316">
        <f t="shared" si="28"/>
        <v>4.5482661856083384</v>
      </c>
      <c r="M180" s="96">
        <f t="shared" si="26"/>
        <v>1.6723974764481861</v>
      </c>
      <c r="N180" s="37">
        <v>1.8151584178919031</v>
      </c>
      <c r="O180" s="947">
        <f t="shared" si="29"/>
        <v>0.32311084385648425</v>
      </c>
      <c r="P180" s="37">
        <f t="shared" si="30"/>
        <v>0.39387211866105432</v>
      </c>
      <c r="Q180" s="954">
        <f t="shared" si="23"/>
        <v>2.5570305670862378E-2</v>
      </c>
    </row>
    <row r="181" spans="1:17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24"/>
        <v>323.60000000000002</v>
      </c>
      <c r="G181" s="827">
        <v>6</v>
      </c>
      <c r="H181" s="330"/>
      <c r="I181" s="330"/>
      <c r="J181" s="40">
        <f t="shared" si="25"/>
        <v>6</v>
      </c>
      <c r="K181" s="72">
        <f t="shared" si="27"/>
        <v>2.4052916416115455E-3</v>
      </c>
      <c r="L181" s="316">
        <f t="shared" si="28"/>
        <v>5.457919422730007</v>
      </c>
      <c r="M181" s="96">
        <f t="shared" si="26"/>
        <v>2.0068769717378236</v>
      </c>
      <c r="N181" s="37">
        <v>2.1781901014702836</v>
      </c>
      <c r="O181" s="947">
        <f t="shared" si="29"/>
        <v>0.38773301262778109</v>
      </c>
      <c r="P181" s="37">
        <f t="shared" si="30"/>
        <v>0.4726465423932652</v>
      </c>
      <c r="Q181" s="954">
        <f t="shared" si="23"/>
        <v>3.0997279074678287E-2</v>
      </c>
    </row>
    <row r="182" spans="1:17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24"/>
        <v>483.2</v>
      </c>
      <c r="G182" s="827">
        <v>8</v>
      </c>
      <c r="H182" s="330"/>
      <c r="I182" s="330"/>
      <c r="J182" s="40">
        <f t="shared" si="25"/>
        <v>8</v>
      </c>
      <c r="K182" s="72">
        <f t="shared" si="27"/>
        <v>3.2070555221487274E-3</v>
      </c>
      <c r="L182" s="316">
        <f t="shared" si="28"/>
        <v>7.2772258969733423</v>
      </c>
      <c r="M182" s="96">
        <f t="shared" si="26"/>
        <v>2.6758359623170982</v>
      </c>
      <c r="N182" s="37">
        <v>2.9042534686270449</v>
      </c>
      <c r="O182" s="947">
        <f t="shared" si="29"/>
        <v>0.51697735017037483</v>
      </c>
      <c r="P182" s="37">
        <f t="shared" si="30"/>
        <v>0.63019538985768697</v>
      </c>
      <c r="Q182" s="954">
        <f t="shared" si="23"/>
        <v>2.7678585840413619E-2</v>
      </c>
    </row>
    <row r="183" spans="1:17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24"/>
        <v>408.2</v>
      </c>
      <c r="G183" s="827">
        <v>8</v>
      </c>
      <c r="H183" s="330"/>
      <c r="I183" s="330"/>
      <c r="J183" s="40">
        <f t="shared" si="25"/>
        <v>8</v>
      </c>
      <c r="K183" s="72">
        <f t="shared" si="27"/>
        <v>3.2070555221487274E-3</v>
      </c>
      <c r="L183" s="316">
        <f t="shared" si="28"/>
        <v>7.2772258969733423</v>
      </c>
      <c r="M183" s="96">
        <f t="shared" si="26"/>
        <v>2.6758359623170982</v>
      </c>
      <c r="N183" s="37">
        <v>2.9042534686270449</v>
      </c>
      <c r="O183" s="947">
        <f t="shared" si="29"/>
        <v>0.51697735017037483</v>
      </c>
      <c r="P183" s="37">
        <f t="shared" si="30"/>
        <v>0.63019538985768697</v>
      </c>
      <c r="Q183" s="954">
        <f t="shared" si="23"/>
        <v>3.2764068295168695E-2</v>
      </c>
    </row>
    <row r="184" spans="1:17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24"/>
        <v>482.97</v>
      </c>
      <c r="G184" s="827">
        <v>8</v>
      </c>
      <c r="H184" s="330"/>
      <c r="I184" s="330"/>
      <c r="J184" s="40">
        <f t="shared" si="25"/>
        <v>8</v>
      </c>
      <c r="K184" s="72">
        <f t="shared" si="27"/>
        <v>3.2070555221487274E-3</v>
      </c>
      <c r="L184" s="316">
        <f t="shared" si="28"/>
        <v>7.2772258969733423</v>
      </c>
      <c r="M184" s="96">
        <f t="shared" si="26"/>
        <v>2.6758359623170982</v>
      </c>
      <c r="N184" s="37">
        <v>2.9042534686270449</v>
      </c>
      <c r="O184" s="947">
        <f t="shared" si="29"/>
        <v>0.51697735017037483</v>
      </c>
      <c r="P184" s="37">
        <f t="shared" si="30"/>
        <v>0.63019538985768697</v>
      </c>
      <c r="Q184" s="954">
        <f t="shared" si="23"/>
        <v>2.7691766938086962E-2</v>
      </c>
    </row>
    <row r="185" spans="1:17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24"/>
        <v>699.05</v>
      </c>
      <c r="G185" s="827">
        <v>13</v>
      </c>
      <c r="H185" s="330"/>
      <c r="I185" s="330"/>
      <c r="J185" s="40">
        <f t="shared" si="25"/>
        <v>13</v>
      </c>
      <c r="K185" s="72">
        <f t="shared" si="27"/>
        <v>5.211465223491682E-3</v>
      </c>
      <c r="L185" s="316">
        <f t="shared" si="28"/>
        <v>11.825492082581681</v>
      </c>
      <c r="M185" s="96">
        <f t="shared" si="26"/>
        <v>4.3482334387652841</v>
      </c>
      <c r="N185" s="37">
        <v>4.7194118865189481</v>
      </c>
      <c r="O185" s="947">
        <f t="shared" si="29"/>
        <v>0.84008819402685908</v>
      </c>
      <c r="P185" s="37">
        <f t="shared" si="30"/>
        <v>1.0240675085187414</v>
      </c>
      <c r="Q185" s="954">
        <f t="shared" si="23"/>
        <v>3.108965825319043E-2</v>
      </c>
    </row>
    <row r="186" spans="1:17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24"/>
        <v>6095.81</v>
      </c>
      <c r="G186" s="827">
        <v>108</v>
      </c>
      <c r="H186" s="330"/>
      <c r="I186" s="330"/>
      <c r="J186" s="40">
        <f t="shared" si="25"/>
        <v>108</v>
      </c>
      <c r="K186" s="72">
        <f t="shared" si="27"/>
        <v>4.3295249549007819E-2</v>
      </c>
      <c r="L186" s="316">
        <f t="shared" si="28"/>
        <v>98.242549609140113</v>
      </c>
      <c r="M186" s="96">
        <f t="shared" si="26"/>
        <v>36.12378549128082</v>
      </c>
      <c r="N186" s="37">
        <v>39.207421826465108</v>
      </c>
      <c r="O186" s="947">
        <f t="shared" si="29"/>
        <v>6.9791942273000602</v>
      </c>
      <c r="P186" s="37">
        <f t="shared" si="30"/>
        <v>8.5076377630787743</v>
      </c>
      <c r="Q186" s="954">
        <f t="shared" si="23"/>
        <v>2.961918943572488E-2</v>
      </c>
    </row>
    <row r="187" spans="1:17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24"/>
        <v>166.2</v>
      </c>
      <c r="G187" s="827">
        <v>5</v>
      </c>
      <c r="H187" s="330"/>
      <c r="I187" s="330"/>
      <c r="J187" s="40">
        <f t="shared" si="25"/>
        <v>5</v>
      </c>
      <c r="K187" s="72">
        <f t="shared" si="27"/>
        <v>2.0044097013429546E-3</v>
      </c>
      <c r="L187" s="316">
        <f t="shared" si="28"/>
        <v>4.5482661856083384</v>
      </c>
      <c r="M187" s="96">
        <f t="shared" si="26"/>
        <v>1.6723974764481861</v>
      </c>
      <c r="N187" s="37">
        <v>1.8151584178919031</v>
      </c>
      <c r="O187" s="947">
        <f t="shared" si="29"/>
        <v>0.32311084385648425</v>
      </c>
      <c r="P187" s="37">
        <f t="shared" si="30"/>
        <v>0.39387211866105432</v>
      </c>
      <c r="Q187" s="954">
        <f t="shared" si="23"/>
        <v>5.0294421924217278E-2</v>
      </c>
    </row>
    <row r="188" spans="1:17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24"/>
        <v>273.2</v>
      </c>
      <c r="G188" s="827">
        <v>8</v>
      </c>
      <c r="H188" s="330"/>
      <c r="I188" s="330"/>
      <c r="J188" s="40">
        <f t="shared" si="25"/>
        <v>8</v>
      </c>
      <c r="K188" s="72">
        <f t="shared" si="27"/>
        <v>3.2070555221487274E-3</v>
      </c>
      <c r="L188" s="316">
        <f t="shared" si="28"/>
        <v>7.2772258969733423</v>
      </c>
      <c r="M188" s="96">
        <f t="shared" si="26"/>
        <v>2.6758359623170982</v>
      </c>
      <c r="N188" s="37">
        <v>2.9042534686270449</v>
      </c>
      <c r="O188" s="947">
        <f t="shared" si="29"/>
        <v>0.51697735017037483</v>
      </c>
      <c r="P188" s="37">
        <f t="shared" si="30"/>
        <v>0.63019538985768697</v>
      </c>
      <c r="Q188" s="954">
        <f t="shared" si="23"/>
        <v>4.89542191730888E-2</v>
      </c>
    </row>
    <row r="189" spans="1:17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24"/>
        <v>4159.58</v>
      </c>
      <c r="G189" s="827">
        <v>72</v>
      </c>
      <c r="H189" s="330"/>
      <c r="I189" s="330"/>
      <c r="J189" s="40">
        <f t="shared" si="25"/>
        <v>72</v>
      </c>
      <c r="K189" s="72">
        <f t="shared" si="27"/>
        <v>2.8863499699338546E-2</v>
      </c>
      <c r="L189" s="316">
        <f t="shared" si="28"/>
        <v>65.49503307276008</v>
      </c>
      <c r="M189" s="96">
        <f t="shared" si="26"/>
        <v>24.082523660853884</v>
      </c>
      <c r="N189" s="37">
        <v>26.138281217643407</v>
      </c>
      <c r="O189" s="947">
        <f t="shared" si="29"/>
        <v>4.6527961515333729</v>
      </c>
      <c r="P189" s="37">
        <f t="shared" si="30"/>
        <v>5.671758508719182</v>
      </c>
      <c r="Q189" s="954">
        <f t="shared" si="23"/>
        <v>2.8937689406812885E-2</v>
      </c>
    </row>
    <row r="190" spans="1:17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24"/>
        <v>2240.77</v>
      </c>
      <c r="G190" s="827">
        <v>42</v>
      </c>
      <c r="H190" s="330"/>
      <c r="I190" s="330">
        <v>1</v>
      </c>
      <c r="J190" s="40">
        <f t="shared" si="25"/>
        <v>43</v>
      </c>
      <c r="K190" s="72">
        <f t="shared" si="27"/>
        <v>1.723792343154941E-2</v>
      </c>
      <c r="L190" s="316">
        <f t="shared" si="28"/>
        <v>39.115089196231715</v>
      </c>
      <c r="M190" s="96">
        <f t="shared" si="26"/>
        <v>14.382618297454403</v>
      </c>
      <c r="N190" s="37">
        <v>15.610362393870364</v>
      </c>
      <c r="O190" s="947">
        <f t="shared" si="29"/>
        <v>2.7787532571657647</v>
      </c>
      <c r="P190" s="37">
        <f t="shared" si="30"/>
        <v>3.3873002204850673</v>
      </c>
      <c r="Q190" s="954">
        <f t="shared" si="23"/>
        <v>3.2081303812851056E-2</v>
      </c>
    </row>
    <row r="191" spans="1:17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24"/>
        <v>454.48</v>
      </c>
      <c r="G191" s="827">
        <v>12</v>
      </c>
      <c r="H191" s="330"/>
      <c r="I191" s="330"/>
      <c r="J191" s="40">
        <f t="shared" si="25"/>
        <v>12</v>
      </c>
      <c r="K191" s="72">
        <f t="shared" si="27"/>
        <v>4.810583283223091E-3</v>
      </c>
      <c r="L191" s="316">
        <f t="shared" si="28"/>
        <v>10.915838845460014</v>
      </c>
      <c r="M191" s="96">
        <f t="shared" si="26"/>
        <v>4.0137539434756473</v>
      </c>
      <c r="N191" s="37">
        <v>4.3563802029405672</v>
      </c>
      <c r="O191" s="947">
        <f t="shared" si="29"/>
        <v>0.77546602525556219</v>
      </c>
      <c r="P191" s="37">
        <f t="shared" si="30"/>
        <v>0.9452930847865304</v>
      </c>
      <c r="Q191" s="954">
        <f t="shared" si="23"/>
        <v>4.4141522216889169E-2</v>
      </c>
    </row>
    <row r="192" spans="1:17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24"/>
        <v>166.2</v>
      </c>
      <c r="G192" s="827">
        <v>2</v>
      </c>
      <c r="H192" s="330"/>
      <c r="I192" s="330"/>
      <c r="J192" s="40">
        <f t="shared" si="25"/>
        <v>2</v>
      </c>
      <c r="K192" s="72">
        <f t="shared" si="27"/>
        <v>8.0176388053718184E-4</v>
      </c>
      <c r="L192" s="316">
        <f t="shared" si="28"/>
        <v>1.8193064742433356</v>
      </c>
      <c r="M192" s="96">
        <f t="shared" si="26"/>
        <v>0.66895899057927455</v>
      </c>
      <c r="N192" s="37">
        <v>0.72606336715676123</v>
      </c>
      <c r="O192" s="947">
        <f t="shared" si="29"/>
        <v>0.12924433754259371</v>
      </c>
      <c r="P192" s="37">
        <f t="shared" si="30"/>
        <v>0.15754884746442174</v>
      </c>
      <c r="Q192" s="954">
        <f t="shared" si="23"/>
        <v>2.0117768769686916E-2</v>
      </c>
    </row>
    <row r="193" spans="1:17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24"/>
        <v>338.6</v>
      </c>
      <c r="G193" s="827">
        <v>5</v>
      </c>
      <c r="H193" s="330">
        <v>1</v>
      </c>
      <c r="I193" s="330"/>
      <c r="J193" s="40">
        <f t="shared" si="25"/>
        <v>6</v>
      </c>
      <c r="K193" s="72">
        <f t="shared" si="27"/>
        <v>2.4052916416115455E-3</v>
      </c>
      <c r="L193" s="316">
        <f t="shared" si="28"/>
        <v>5.457919422730007</v>
      </c>
      <c r="M193" s="96">
        <f t="shared" si="26"/>
        <v>2.0068769717378236</v>
      </c>
      <c r="N193" s="37">
        <v>2.1781901014702836</v>
      </c>
      <c r="O193" s="947">
        <f t="shared" si="29"/>
        <v>0.38773301262778109</v>
      </c>
      <c r="P193" s="37">
        <f t="shared" si="30"/>
        <v>0.4726465423932652</v>
      </c>
      <c r="Q193" s="954">
        <f t="shared" si="23"/>
        <v>2.9624097780761648E-2</v>
      </c>
    </row>
    <row r="194" spans="1:17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24"/>
        <v>453.7</v>
      </c>
      <c r="G194" s="827">
        <v>9</v>
      </c>
      <c r="H194" s="330"/>
      <c r="I194" s="330"/>
      <c r="J194" s="40">
        <f t="shared" si="25"/>
        <v>9</v>
      </c>
      <c r="K194" s="72">
        <f t="shared" si="27"/>
        <v>3.6079374624173183E-3</v>
      </c>
      <c r="L194" s="316">
        <f t="shared" si="28"/>
        <v>8.18687913409501</v>
      </c>
      <c r="M194" s="96">
        <f t="shared" si="26"/>
        <v>3.0103154576067355</v>
      </c>
      <c r="N194" s="37">
        <v>3.2672851522054258</v>
      </c>
      <c r="O194" s="947">
        <f t="shared" si="29"/>
        <v>0.58159951894167161</v>
      </c>
      <c r="P194" s="37">
        <f t="shared" si="30"/>
        <v>0.70896981358989775</v>
      </c>
      <c r="Q194" s="954">
        <f t="shared" si="23"/>
        <v>3.3163057665525332E-2</v>
      </c>
    </row>
    <row r="195" spans="1:17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24"/>
        <v>135</v>
      </c>
      <c r="G195" s="827">
        <v>2</v>
      </c>
      <c r="H195" s="330"/>
      <c r="I195" s="330"/>
      <c r="J195" s="40">
        <f t="shared" si="25"/>
        <v>2</v>
      </c>
      <c r="K195" s="72">
        <f t="shared" si="27"/>
        <v>8.0176388053718184E-4</v>
      </c>
      <c r="L195" s="316">
        <f t="shared" si="28"/>
        <v>1.8193064742433356</v>
      </c>
      <c r="M195" s="96">
        <f t="shared" si="26"/>
        <v>0.66895899057927455</v>
      </c>
      <c r="N195" s="37">
        <v>0.72606336715676123</v>
      </c>
      <c r="O195" s="947">
        <f t="shared" si="29"/>
        <v>0.12924433754259371</v>
      </c>
      <c r="P195" s="37">
        <f t="shared" si="30"/>
        <v>0.15754884746442174</v>
      </c>
      <c r="Q195" s="954">
        <f t="shared" si="23"/>
        <v>2.4767208663125668E-2</v>
      </c>
    </row>
    <row r="196" spans="1:17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24"/>
        <v>89.9</v>
      </c>
      <c r="G196" s="827">
        <v>3</v>
      </c>
      <c r="H196" s="330"/>
      <c r="I196" s="330"/>
      <c r="J196" s="40">
        <f t="shared" si="25"/>
        <v>3</v>
      </c>
      <c r="K196" s="72">
        <f t="shared" si="27"/>
        <v>1.2026458208057728E-3</v>
      </c>
      <c r="L196" s="316">
        <f t="shared" si="28"/>
        <v>2.7289597113650035</v>
      </c>
      <c r="M196" s="96">
        <f t="shared" si="26"/>
        <v>1.0034384858689118</v>
      </c>
      <c r="N196" s="37">
        <v>1.0890950507351418</v>
      </c>
      <c r="O196" s="947">
        <f t="shared" si="29"/>
        <v>0.19386650631389055</v>
      </c>
      <c r="P196" s="37">
        <f t="shared" si="30"/>
        <v>0.2363232711966326</v>
      </c>
      <c r="Q196" s="954">
        <f t="shared" si="23"/>
        <v>5.5788206388019436E-2</v>
      </c>
    </row>
    <row r="197" spans="1:17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24"/>
        <v>224.08</v>
      </c>
      <c r="G197" s="827">
        <v>3</v>
      </c>
      <c r="H197" s="330"/>
      <c r="I197" s="330"/>
      <c r="J197" s="40">
        <f t="shared" si="25"/>
        <v>3</v>
      </c>
      <c r="K197" s="72">
        <f t="shared" si="27"/>
        <v>1.2026458208057728E-3</v>
      </c>
      <c r="L197" s="316">
        <f t="shared" si="28"/>
        <v>2.7289597113650035</v>
      </c>
      <c r="M197" s="96">
        <f t="shared" si="26"/>
        <v>1.0034384858689118</v>
      </c>
      <c r="N197" s="37">
        <v>1.0890950507351418</v>
      </c>
      <c r="O197" s="947">
        <f t="shared" si="29"/>
        <v>0.19386650631389055</v>
      </c>
      <c r="P197" s="37">
        <f t="shared" si="30"/>
        <v>0.2363232711966326</v>
      </c>
      <c r="Q197" s="954">
        <f t="shared" si="23"/>
        <v>2.238200532971683E-2</v>
      </c>
    </row>
    <row r="198" spans="1:17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24"/>
        <v>653.71</v>
      </c>
      <c r="G198" s="827">
        <v>12</v>
      </c>
      <c r="H198" s="330"/>
      <c r="I198" s="330"/>
      <c r="J198" s="40">
        <f t="shared" si="25"/>
        <v>12</v>
      </c>
      <c r="K198" s="72">
        <f t="shared" si="27"/>
        <v>4.810583283223091E-3</v>
      </c>
      <c r="L198" s="316">
        <f t="shared" si="28"/>
        <v>10.915838845460014</v>
      </c>
      <c r="M198" s="96">
        <f t="shared" si="26"/>
        <v>4.0137539434756473</v>
      </c>
      <c r="N198" s="37">
        <v>4.3563802029405672</v>
      </c>
      <c r="O198" s="947">
        <f t="shared" si="29"/>
        <v>0.77546602525556219</v>
      </c>
      <c r="P198" s="37">
        <f t="shared" si="30"/>
        <v>0.9452930847865304</v>
      </c>
      <c r="Q198" s="954">
        <f t="shared" si="23"/>
        <v>3.0688591297565876E-2</v>
      </c>
    </row>
    <row r="199" spans="1:17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24"/>
        <v>182.11</v>
      </c>
      <c r="G199" s="827">
        <v>2</v>
      </c>
      <c r="H199" s="330"/>
      <c r="I199" s="330"/>
      <c r="J199" s="40">
        <f t="shared" si="25"/>
        <v>2</v>
      </c>
      <c r="K199" s="72">
        <f t="shared" si="27"/>
        <v>8.0176388053718184E-4</v>
      </c>
      <c r="L199" s="316">
        <f t="shared" si="28"/>
        <v>1.8193064742433356</v>
      </c>
      <c r="M199" s="96">
        <f t="shared" si="26"/>
        <v>0.66895899057927455</v>
      </c>
      <c r="N199" s="37">
        <v>0.72606336715676123</v>
      </c>
      <c r="O199" s="947">
        <f t="shared" si="29"/>
        <v>0.12924433754259371</v>
      </c>
      <c r="P199" s="37">
        <f t="shared" si="30"/>
        <v>0.15754884746442174</v>
      </c>
      <c r="Q199" s="954">
        <f t="shared" ref="Q199:Q262" si="31">(O199+N199+M199+L199)/F199</f>
        <v>1.8360184336510706E-2</v>
      </c>
    </row>
    <row r="200" spans="1:17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24"/>
        <v>2379.1</v>
      </c>
      <c r="G200" s="827">
        <v>44</v>
      </c>
      <c r="H200" s="330"/>
      <c r="I200" s="330"/>
      <c r="J200" s="40">
        <f t="shared" si="25"/>
        <v>44</v>
      </c>
      <c r="K200" s="72">
        <f t="shared" si="27"/>
        <v>1.7638805371818E-2</v>
      </c>
      <c r="L200" s="316">
        <f t="shared" si="28"/>
        <v>40.024742433353381</v>
      </c>
      <c r="M200" s="96">
        <f t="shared" si="26"/>
        <v>14.71709779274404</v>
      </c>
      <c r="N200" s="37">
        <v>15.973394077448745</v>
      </c>
      <c r="O200" s="947">
        <f t="shared" si="29"/>
        <v>2.8433754259370616</v>
      </c>
      <c r="P200" s="37">
        <f t="shared" si="30"/>
        <v>3.4660746442172785</v>
      </c>
      <c r="Q200" s="954">
        <f t="shared" si="31"/>
        <v>3.0918670812274909E-2</v>
      </c>
    </row>
    <row r="201" spans="1:17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24"/>
        <v>140.19999999999999</v>
      </c>
      <c r="G201" s="827">
        <v>4</v>
      </c>
      <c r="H201" s="330"/>
      <c r="I201" s="330"/>
      <c r="J201" s="40">
        <f t="shared" si="25"/>
        <v>4</v>
      </c>
      <c r="K201" s="72">
        <f t="shared" si="27"/>
        <v>1.6035277610743637E-3</v>
      </c>
      <c r="L201" s="316">
        <f t="shared" si="28"/>
        <v>3.6386129484866712</v>
      </c>
      <c r="M201" s="96">
        <f t="shared" si="26"/>
        <v>1.3379179811585491</v>
      </c>
      <c r="N201" s="37">
        <v>1.4521267343135225</v>
      </c>
      <c r="O201" s="947">
        <f t="shared" si="29"/>
        <v>0.25848867508518741</v>
      </c>
      <c r="P201" s="37">
        <f t="shared" si="30"/>
        <v>0.31509769492884349</v>
      </c>
      <c r="Q201" s="954">
        <f t="shared" si="31"/>
        <v>4.7697192147246298E-2</v>
      </c>
    </row>
    <row r="202" spans="1:17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24"/>
        <v>116.79</v>
      </c>
      <c r="G202" s="827">
        <v>2</v>
      </c>
      <c r="H202" s="330"/>
      <c r="I202" s="330"/>
      <c r="J202" s="40">
        <f t="shared" si="25"/>
        <v>2</v>
      </c>
      <c r="K202" s="72">
        <f t="shared" si="27"/>
        <v>8.0176388053718184E-4</v>
      </c>
      <c r="L202" s="316">
        <f t="shared" si="28"/>
        <v>1.8193064742433356</v>
      </c>
      <c r="M202" s="96">
        <f t="shared" si="26"/>
        <v>0.66895899057927455</v>
      </c>
      <c r="N202" s="37">
        <v>0.72606336715676123</v>
      </c>
      <c r="O202" s="947">
        <f t="shared" si="29"/>
        <v>0.12924433754259371</v>
      </c>
      <c r="P202" s="37">
        <f t="shared" si="30"/>
        <v>0.15754884746442174</v>
      </c>
      <c r="Q202" s="954">
        <f t="shared" si="31"/>
        <v>2.8628933723109554E-2</v>
      </c>
    </row>
    <row r="203" spans="1:17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24"/>
        <v>59.7</v>
      </c>
      <c r="G203" s="827">
        <v>1</v>
      </c>
      <c r="H203" s="330"/>
      <c r="I203" s="330"/>
      <c r="J203" s="40">
        <f t="shared" si="25"/>
        <v>1</v>
      </c>
      <c r="K203" s="72">
        <f t="shared" si="27"/>
        <v>4.0088194026859092E-4</v>
      </c>
      <c r="L203" s="316">
        <f t="shared" si="28"/>
        <v>0.90965323712166779</v>
      </c>
      <c r="M203" s="96">
        <f t="shared" si="26"/>
        <v>0.33447949528963727</v>
      </c>
      <c r="N203" s="37">
        <v>0.36303168357838062</v>
      </c>
      <c r="O203" s="947">
        <f t="shared" si="29"/>
        <v>6.4622168771296853E-2</v>
      </c>
      <c r="P203" s="37">
        <f t="shared" si="30"/>
        <v>7.8774423732210871E-2</v>
      </c>
      <c r="Q203" s="954">
        <f t="shared" si="31"/>
        <v>2.8003125372880779E-2</v>
      </c>
    </row>
    <row r="204" spans="1:17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24"/>
        <v>137.5</v>
      </c>
      <c r="G204" s="827">
        <v>2</v>
      </c>
      <c r="H204" s="330"/>
      <c r="I204" s="330"/>
      <c r="J204" s="40">
        <f t="shared" si="25"/>
        <v>2</v>
      </c>
      <c r="K204" s="72">
        <f t="shared" si="27"/>
        <v>8.0176388053718184E-4</v>
      </c>
      <c r="L204" s="316">
        <f t="shared" si="28"/>
        <v>1.8193064742433356</v>
      </c>
      <c r="M204" s="96">
        <f t="shared" si="26"/>
        <v>0.66895899057927455</v>
      </c>
      <c r="N204" s="37">
        <v>0.72606336715676123</v>
      </c>
      <c r="O204" s="947">
        <f t="shared" si="29"/>
        <v>0.12924433754259371</v>
      </c>
      <c r="P204" s="37">
        <f t="shared" si="30"/>
        <v>0.15754884746442174</v>
      </c>
      <c r="Q204" s="954">
        <f t="shared" si="31"/>
        <v>2.4316895778341563E-2</v>
      </c>
    </row>
    <row r="205" spans="1:17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24"/>
        <v>1908.3000000000002</v>
      </c>
      <c r="G205" s="827">
        <v>32</v>
      </c>
      <c r="H205" s="330">
        <v>1</v>
      </c>
      <c r="I205" s="330"/>
      <c r="J205" s="40">
        <f t="shared" si="25"/>
        <v>33</v>
      </c>
      <c r="K205" s="72">
        <f t="shared" si="27"/>
        <v>1.32291040288635E-2</v>
      </c>
      <c r="L205" s="316">
        <f t="shared" si="28"/>
        <v>30.018556825015036</v>
      </c>
      <c r="M205" s="96">
        <f t="shared" si="26"/>
        <v>11.03782334455803</v>
      </c>
      <c r="N205" s="37">
        <v>11.980045558086561</v>
      </c>
      <c r="O205" s="947">
        <f t="shared" si="29"/>
        <v>2.1325315694527962</v>
      </c>
      <c r="P205" s="37">
        <f t="shared" si="30"/>
        <v>2.5995559831629587</v>
      </c>
      <c r="Q205" s="954">
        <f t="shared" si="31"/>
        <v>2.8910002251801303E-2</v>
      </c>
    </row>
    <row r="206" spans="1:17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24"/>
        <v>140.4</v>
      </c>
      <c r="G206" s="827">
        <v>4</v>
      </c>
      <c r="H206" s="330"/>
      <c r="I206" s="330"/>
      <c r="J206" s="40">
        <f t="shared" si="25"/>
        <v>4</v>
      </c>
      <c r="K206" s="72">
        <f t="shared" si="27"/>
        <v>1.6035277610743637E-3</v>
      </c>
      <c r="L206" s="316">
        <f t="shared" si="28"/>
        <v>3.6386129484866712</v>
      </c>
      <c r="M206" s="96">
        <f t="shared" si="26"/>
        <v>1.3379179811585491</v>
      </c>
      <c r="N206" s="37">
        <v>1.4521267343135225</v>
      </c>
      <c r="O206" s="947">
        <f t="shared" si="29"/>
        <v>0.25848867508518741</v>
      </c>
      <c r="P206" s="37">
        <f t="shared" si="30"/>
        <v>0.31509769492884349</v>
      </c>
      <c r="Q206" s="954">
        <f t="shared" si="31"/>
        <v>4.762924742908782E-2</v>
      </c>
    </row>
    <row r="207" spans="1:17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si="24"/>
        <v>290.7</v>
      </c>
      <c r="G207" s="827">
        <v>6</v>
      </c>
      <c r="H207" s="330"/>
      <c r="I207" s="330"/>
      <c r="J207" s="40">
        <f t="shared" si="25"/>
        <v>6</v>
      </c>
      <c r="K207" s="72">
        <f t="shared" si="27"/>
        <v>2.4052916416115455E-3</v>
      </c>
      <c r="L207" s="316">
        <f t="shared" si="28"/>
        <v>5.457919422730007</v>
      </c>
      <c r="M207" s="96">
        <f t="shared" si="26"/>
        <v>2.0068769717378236</v>
      </c>
      <c r="N207" s="37">
        <v>2.1781901014702836</v>
      </c>
      <c r="O207" s="947">
        <f t="shared" si="29"/>
        <v>0.38773301262778109</v>
      </c>
      <c r="P207" s="37">
        <f t="shared" si="30"/>
        <v>0.4726465423932652</v>
      </c>
      <c r="Q207" s="954">
        <f t="shared" si="31"/>
        <v>3.4505399066274152E-2</v>
      </c>
    </row>
    <row r="208" spans="1:17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ref="F208:F269" si="32">C208+D208+E208</f>
        <v>2427.7199999999998</v>
      </c>
      <c r="G208" s="827">
        <v>40</v>
      </c>
      <c r="H208" s="330"/>
      <c r="I208" s="330"/>
      <c r="J208" s="40">
        <f t="shared" si="25"/>
        <v>40</v>
      </c>
      <c r="K208" s="72">
        <f t="shared" si="27"/>
        <v>1.6035277610743637E-2</v>
      </c>
      <c r="L208" s="316">
        <f t="shared" si="28"/>
        <v>36.386129484866707</v>
      </c>
      <c r="M208" s="96">
        <f t="shared" ref="M208:M269" si="33">L208*0.3677</f>
        <v>13.379179811585489</v>
      </c>
      <c r="N208" s="37">
        <v>14.521267343135225</v>
      </c>
      <c r="O208" s="947">
        <f t="shared" si="29"/>
        <v>2.584886750851874</v>
      </c>
      <c r="P208" s="37">
        <f t="shared" si="30"/>
        <v>3.1509769492884345</v>
      </c>
      <c r="Q208" s="954">
        <f t="shared" si="31"/>
        <v>2.7544965395696081E-2</v>
      </c>
    </row>
    <row r="209" spans="1:17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si="32"/>
        <v>93</v>
      </c>
      <c r="G209" s="827">
        <v>2</v>
      </c>
      <c r="H209" s="330"/>
      <c r="I209" s="330"/>
      <c r="J209" s="40">
        <f t="shared" ref="J209:J272" si="34">G209+H209+I209</f>
        <v>2</v>
      </c>
      <c r="K209" s="72">
        <f t="shared" si="27"/>
        <v>8.0176388053718184E-4</v>
      </c>
      <c r="L209" s="316">
        <f t="shared" si="28"/>
        <v>1.8193064742433356</v>
      </c>
      <c r="M209" s="96">
        <f t="shared" si="33"/>
        <v>0.66895899057927455</v>
      </c>
      <c r="N209" s="37">
        <v>0.72606336715676123</v>
      </c>
      <c r="O209" s="947">
        <f t="shared" si="29"/>
        <v>0.12924433754259371</v>
      </c>
      <c r="P209" s="37">
        <f t="shared" si="30"/>
        <v>0.15754884746442174</v>
      </c>
      <c r="Q209" s="954">
        <f t="shared" si="31"/>
        <v>3.5952399672279194E-2</v>
      </c>
    </row>
    <row r="210" spans="1:17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32"/>
        <v>1473.7</v>
      </c>
      <c r="G210" s="827">
        <v>30</v>
      </c>
      <c r="H210" s="330">
        <v>1</v>
      </c>
      <c r="I210" s="330"/>
      <c r="J210" s="40">
        <f t="shared" si="34"/>
        <v>31</v>
      </c>
      <c r="K210" s="72">
        <f t="shared" si="27"/>
        <v>1.2427340148326319E-2</v>
      </c>
      <c r="L210" s="316">
        <f t="shared" si="28"/>
        <v>28.199250350771699</v>
      </c>
      <c r="M210" s="96">
        <f t="shared" si="33"/>
        <v>10.368864353978754</v>
      </c>
      <c r="N210" s="37">
        <v>11.253982190929799</v>
      </c>
      <c r="O210" s="947">
        <f t="shared" si="29"/>
        <v>2.0032872319102024</v>
      </c>
      <c r="P210" s="37">
        <f t="shared" si="30"/>
        <v>2.4420071356985371</v>
      </c>
      <c r="Q210" s="954">
        <f t="shared" si="31"/>
        <v>3.5166848156063274E-2</v>
      </c>
    </row>
    <row r="211" spans="1:17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32"/>
        <v>2507</v>
      </c>
      <c r="G211" s="827">
        <v>60</v>
      </c>
      <c r="H211" s="330"/>
      <c r="I211" s="330"/>
      <c r="J211" s="40">
        <f t="shared" si="34"/>
        <v>60</v>
      </c>
      <c r="K211" s="72">
        <f t="shared" si="27"/>
        <v>2.4052916416115455E-2</v>
      </c>
      <c r="L211" s="316">
        <f t="shared" si="28"/>
        <v>54.579194227300064</v>
      </c>
      <c r="M211" s="96">
        <f t="shared" si="33"/>
        <v>20.068769717378235</v>
      </c>
      <c r="N211" s="37">
        <v>21.781901014702836</v>
      </c>
      <c r="O211" s="947">
        <f t="shared" si="29"/>
        <v>3.877330126277811</v>
      </c>
      <c r="P211" s="37">
        <f t="shared" si="30"/>
        <v>4.7264654239326518</v>
      </c>
      <c r="Q211" s="954">
        <f t="shared" si="31"/>
        <v>4.0010847660813302E-2</v>
      </c>
    </row>
    <row r="212" spans="1:17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32"/>
        <v>3505.3</v>
      </c>
      <c r="G212" s="827">
        <v>86</v>
      </c>
      <c r="H212" s="330"/>
      <c r="I212" s="330"/>
      <c r="J212" s="40">
        <f t="shared" si="34"/>
        <v>86</v>
      </c>
      <c r="K212" s="72">
        <f t="shared" si="27"/>
        <v>3.4475846863098819E-2</v>
      </c>
      <c r="L212" s="316">
        <f t="shared" si="28"/>
        <v>78.230178392463429</v>
      </c>
      <c r="M212" s="96">
        <f t="shared" si="33"/>
        <v>28.765236594908806</v>
      </c>
      <c r="N212" s="37">
        <v>31.220724787740728</v>
      </c>
      <c r="O212" s="947">
        <f t="shared" si="29"/>
        <v>5.5575065143315294</v>
      </c>
      <c r="P212" s="37">
        <f t="shared" si="30"/>
        <v>6.7746004409701346</v>
      </c>
      <c r="Q212" s="954">
        <f t="shared" si="31"/>
        <v>4.1016074598306709E-2</v>
      </c>
    </row>
    <row r="213" spans="1:17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32"/>
        <v>191.78</v>
      </c>
      <c r="G213" s="827">
        <v>4</v>
      </c>
      <c r="H213" s="330"/>
      <c r="I213" s="330"/>
      <c r="J213" s="40">
        <f t="shared" si="34"/>
        <v>4</v>
      </c>
      <c r="K213" s="72">
        <f t="shared" si="27"/>
        <v>1.6035277610743637E-3</v>
      </c>
      <c r="L213" s="316">
        <f t="shared" si="28"/>
        <v>3.6386129484866712</v>
      </c>
      <c r="M213" s="96">
        <f t="shared" si="33"/>
        <v>1.3379179811585491</v>
      </c>
      <c r="N213" s="37">
        <v>1.4521267343135225</v>
      </c>
      <c r="O213" s="947">
        <f t="shared" si="29"/>
        <v>0.25848867508518741</v>
      </c>
      <c r="P213" s="37">
        <f t="shared" si="30"/>
        <v>0.31509769492884349</v>
      </c>
      <c r="Q213" s="954">
        <f t="shared" si="31"/>
        <v>3.4868841062905047E-2</v>
      </c>
    </row>
    <row r="214" spans="1:17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32"/>
        <v>3560.1</v>
      </c>
      <c r="G214" s="827">
        <v>88</v>
      </c>
      <c r="H214" s="330"/>
      <c r="I214" s="330"/>
      <c r="J214" s="40">
        <f t="shared" si="34"/>
        <v>88</v>
      </c>
      <c r="K214" s="72">
        <f t="shared" si="27"/>
        <v>3.5277610743636001E-2</v>
      </c>
      <c r="L214" s="316">
        <f t="shared" si="28"/>
        <v>80.049484866706763</v>
      </c>
      <c r="M214" s="96">
        <f t="shared" si="33"/>
        <v>29.43419558548808</v>
      </c>
      <c r="N214" s="37">
        <v>31.94678815489749</v>
      </c>
      <c r="O214" s="947">
        <f t="shared" si="29"/>
        <v>5.6867508518741232</v>
      </c>
      <c r="P214" s="37">
        <f t="shared" si="30"/>
        <v>6.932149288434557</v>
      </c>
      <c r="Q214" s="954">
        <f t="shared" si="31"/>
        <v>4.1323900862045022E-2</v>
      </c>
    </row>
    <row r="215" spans="1:17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32"/>
        <v>291.19</v>
      </c>
      <c r="G215" s="827">
        <v>8</v>
      </c>
      <c r="H215" s="330"/>
      <c r="I215" s="330"/>
      <c r="J215" s="40">
        <f t="shared" si="34"/>
        <v>8</v>
      </c>
      <c r="K215" s="72">
        <f t="shared" si="27"/>
        <v>3.2070555221487274E-3</v>
      </c>
      <c r="L215" s="316">
        <f t="shared" si="28"/>
        <v>7.2772258969733423</v>
      </c>
      <c r="M215" s="96">
        <f t="shared" si="33"/>
        <v>2.6758359623170982</v>
      </c>
      <c r="N215" s="37">
        <v>2.9042534686270449</v>
      </c>
      <c r="O215" s="947">
        <f t="shared" si="29"/>
        <v>0.51697735017037483</v>
      </c>
      <c r="P215" s="37">
        <f t="shared" si="30"/>
        <v>0.63019538985768697</v>
      </c>
      <c r="Q215" s="954">
        <f t="shared" si="31"/>
        <v>4.5929780136982248E-2</v>
      </c>
    </row>
    <row r="216" spans="1:17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32"/>
        <v>173.45</v>
      </c>
      <c r="G216" s="827">
        <v>5</v>
      </c>
      <c r="H216" s="330">
        <v>1</v>
      </c>
      <c r="I216" s="330"/>
      <c r="J216" s="40">
        <f t="shared" si="34"/>
        <v>6</v>
      </c>
      <c r="K216" s="72">
        <f t="shared" si="27"/>
        <v>2.4052916416115455E-3</v>
      </c>
      <c r="L216" s="316">
        <f t="shared" si="28"/>
        <v>5.457919422730007</v>
      </c>
      <c r="M216" s="96">
        <f t="shared" si="33"/>
        <v>2.0068769717378236</v>
      </c>
      <c r="N216" s="37">
        <v>2.1781901014702836</v>
      </c>
      <c r="O216" s="947">
        <f t="shared" si="29"/>
        <v>0.38773301262778109</v>
      </c>
      <c r="P216" s="37">
        <f t="shared" si="30"/>
        <v>0.4726465423932652</v>
      </c>
      <c r="Q216" s="954">
        <f t="shared" si="31"/>
        <v>5.7830611176511358E-2</v>
      </c>
    </row>
    <row r="217" spans="1:17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32"/>
        <v>209.66</v>
      </c>
      <c r="G217" s="827">
        <v>3</v>
      </c>
      <c r="H217" s="330">
        <v>1</v>
      </c>
      <c r="I217" s="330">
        <v>1</v>
      </c>
      <c r="J217" s="40">
        <f t="shared" si="34"/>
        <v>5</v>
      </c>
      <c r="K217" s="72">
        <f t="shared" si="27"/>
        <v>2.0044097013429546E-3</v>
      </c>
      <c r="L217" s="316">
        <f t="shared" si="28"/>
        <v>4.5482661856083384</v>
      </c>
      <c r="M217" s="96">
        <f t="shared" si="33"/>
        <v>1.6723974764481861</v>
      </c>
      <c r="N217" s="37">
        <v>1.8151584178919031</v>
      </c>
      <c r="O217" s="947">
        <f t="shared" si="29"/>
        <v>0.32311084385648425</v>
      </c>
      <c r="P217" s="37">
        <f t="shared" si="30"/>
        <v>0.39387211866105432</v>
      </c>
      <c r="Q217" s="954">
        <f t="shared" si="31"/>
        <v>3.986899229135224E-2</v>
      </c>
    </row>
    <row r="218" spans="1:17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32"/>
        <v>408.46</v>
      </c>
      <c r="G218" s="827">
        <v>14</v>
      </c>
      <c r="H218" s="330"/>
      <c r="I218" s="330"/>
      <c r="J218" s="40">
        <f t="shared" si="34"/>
        <v>14</v>
      </c>
      <c r="K218" s="72">
        <f t="shared" si="27"/>
        <v>5.6123471637602729E-3</v>
      </c>
      <c r="L218" s="316">
        <f t="shared" si="28"/>
        <v>12.735145319703349</v>
      </c>
      <c r="M218" s="96">
        <f t="shared" si="33"/>
        <v>4.6827129340549218</v>
      </c>
      <c r="N218" s="37">
        <v>5.0824435700973281</v>
      </c>
      <c r="O218" s="947">
        <f t="shared" si="29"/>
        <v>0.90471036279815598</v>
      </c>
      <c r="P218" s="37">
        <f t="shared" si="30"/>
        <v>1.1028419322509522</v>
      </c>
      <c r="Q218" s="954">
        <f t="shared" si="31"/>
        <v>5.7300622304886056E-2</v>
      </c>
    </row>
    <row r="219" spans="1:17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32"/>
        <v>67.3</v>
      </c>
      <c r="G219" s="827">
        <v>1</v>
      </c>
      <c r="H219" s="330"/>
      <c r="I219" s="330"/>
      <c r="J219" s="40">
        <f t="shared" si="34"/>
        <v>1</v>
      </c>
      <c r="K219" s="72">
        <f t="shared" si="27"/>
        <v>4.0088194026859092E-4</v>
      </c>
      <c r="L219" s="316">
        <f t="shared" si="28"/>
        <v>0.90965323712166779</v>
      </c>
      <c r="M219" s="96">
        <f t="shared" si="33"/>
        <v>0.33447949528963727</v>
      </c>
      <c r="N219" s="37">
        <v>0.36303168357838062</v>
      </c>
      <c r="O219" s="947">
        <f t="shared" si="29"/>
        <v>6.4622168771296853E-2</v>
      </c>
      <c r="P219" s="37">
        <f t="shared" si="30"/>
        <v>7.8774423732210871E-2</v>
      </c>
      <c r="Q219" s="954">
        <f t="shared" si="31"/>
        <v>2.484081106628503E-2</v>
      </c>
    </row>
    <row r="220" spans="1:17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32"/>
        <v>352.8</v>
      </c>
      <c r="G220" s="827">
        <v>12</v>
      </c>
      <c r="H220" s="330"/>
      <c r="I220" s="330"/>
      <c r="J220" s="40">
        <f t="shared" si="34"/>
        <v>12</v>
      </c>
      <c r="K220" s="72">
        <f t="shared" ref="K220:K283" si="35">2/4989*J220</f>
        <v>4.810583283223091E-3</v>
      </c>
      <c r="L220" s="316">
        <f t="shared" ref="L220:L283" si="36">K220*2269.13</f>
        <v>10.915838845460014</v>
      </c>
      <c r="M220" s="96">
        <f t="shared" si="33"/>
        <v>4.0137539434756473</v>
      </c>
      <c r="N220" s="37">
        <v>4.3563802029405672</v>
      </c>
      <c r="O220" s="947">
        <f t="shared" ref="O220:O283" si="37">K220*161.2</f>
        <v>0.77546602525556219</v>
      </c>
      <c r="P220" s="37">
        <f t="shared" si="30"/>
        <v>0.9452930847865304</v>
      </c>
      <c r="Q220" s="954">
        <f t="shared" si="31"/>
        <v>5.6863489277584438E-2</v>
      </c>
    </row>
    <row r="221" spans="1:17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32"/>
        <v>111.58</v>
      </c>
      <c r="G221" s="827">
        <v>3</v>
      </c>
      <c r="H221" s="330"/>
      <c r="I221" s="330"/>
      <c r="J221" s="40">
        <f t="shared" si="34"/>
        <v>3</v>
      </c>
      <c r="K221" s="72">
        <f t="shared" si="35"/>
        <v>1.2026458208057728E-3</v>
      </c>
      <c r="L221" s="316">
        <f t="shared" si="36"/>
        <v>2.7289597113650035</v>
      </c>
      <c r="M221" s="96">
        <f t="shared" si="33"/>
        <v>1.0034384858689118</v>
      </c>
      <c r="N221" s="37">
        <v>1.0890950507351418</v>
      </c>
      <c r="O221" s="947">
        <f t="shared" si="37"/>
        <v>0.19386650631389055</v>
      </c>
      <c r="P221" s="37">
        <f t="shared" ref="P221:P284" si="38">O221*1.219</f>
        <v>0.2363232711966326</v>
      </c>
      <c r="Q221" s="954">
        <f t="shared" si="31"/>
        <v>4.494855488692371E-2</v>
      </c>
    </row>
    <row r="222" spans="1:17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32"/>
        <v>115.8</v>
      </c>
      <c r="G222" s="827">
        <v>4</v>
      </c>
      <c r="H222" s="330"/>
      <c r="I222" s="330"/>
      <c r="J222" s="40">
        <f t="shared" si="34"/>
        <v>4</v>
      </c>
      <c r="K222" s="72">
        <f t="shared" si="35"/>
        <v>1.6035277610743637E-3</v>
      </c>
      <c r="L222" s="316">
        <f t="shared" si="36"/>
        <v>3.6386129484866712</v>
      </c>
      <c r="M222" s="96">
        <f t="shared" si="33"/>
        <v>1.3379179811585491</v>
      </c>
      <c r="N222" s="37">
        <v>1.4521267343135225</v>
      </c>
      <c r="O222" s="947">
        <f t="shared" si="37"/>
        <v>0.25848867508518741</v>
      </c>
      <c r="P222" s="37">
        <f t="shared" si="38"/>
        <v>0.31509769492884349</v>
      </c>
      <c r="Q222" s="954">
        <f t="shared" si="31"/>
        <v>5.7747377711951035E-2</v>
      </c>
    </row>
    <row r="223" spans="1:17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32"/>
        <v>141.30000000000001</v>
      </c>
      <c r="G223" s="827">
        <v>3</v>
      </c>
      <c r="H223" s="330">
        <v>1</v>
      </c>
      <c r="I223" s="330"/>
      <c r="J223" s="40">
        <f t="shared" si="34"/>
        <v>4</v>
      </c>
      <c r="K223" s="72">
        <f t="shared" si="35"/>
        <v>1.6035277610743637E-3</v>
      </c>
      <c r="L223" s="316">
        <f t="shared" si="36"/>
        <v>3.6386129484866712</v>
      </c>
      <c r="M223" s="96">
        <f t="shared" si="33"/>
        <v>1.3379179811585491</v>
      </c>
      <c r="N223" s="37">
        <v>1.4521267343135225</v>
      </c>
      <c r="O223" s="947">
        <f t="shared" si="37"/>
        <v>0.25848867508518741</v>
      </c>
      <c r="P223" s="37">
        <f t="shared" si="38"/>
        <v>0.31509769492884349</v>
      </c>
      <c r="Q223" s="954">
        <f t="shared" si="31"/>
        <v>4.7325876426354774E-2</v>
      </c>
    </row>
    <row r="224" spans="1:17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32"/>
        <v>161.1</v>
      </c>
      <c r="G224" s="827">
        <v>3</v>
      </c>
      <c r="H224" s="330"/>
      <c r="I224" s="330">
        <v>1</v>
      </c>
      <c r="J224" s="40">
        <f t="shared" si="34"/>
        <v>4</v>
      </c>
      <c r="K224" s="72">
        <f t="shared" si="35"/>
        <v>1.6035277610743637E-3</v>
      </c>
      <c r="L224" s="316">
        <f t="shared" si="36"/>
        <v>3.6386129484866712</v>
      </c>
      <c r="M224" s="96">
        <f t="shared" si="33"/>
        <v>1.3379179811585491</v>
      </c>
      <c r="N224" s="37">
        <v>1.4521267343135225</v>
      </c>
      <c r="O224" s="947">
        <f t="shared" si="37"/>
        <v>0.25848867508518741</v>
      </c>
      <c r="P224" s="37">
        <f t="shared" si="38"/>
        <v>0.31509769492884349</v>
      </c>
      <c r="Q224" s="954">
        <f t="shared" si="31"/>
        <v>4.1509288262221791E-2</v>
      </c>
    </row>
    <row r="225" spans="1:17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32"/>
        <v>308.8</v>
      </c>
      <c r="G225" s="827">
        <v>8</v>
      </c>
      <c r="H225" s="330"/>
      <c r="I225" s="330"/>
      <c r="J225" s="40">
        <f t="shared" si="34"/>
        <v>8</v>
      </c>
      <c r="K225" s="72">
        <f t="shared" si="35"/>
        <v>3.2070555221487274E-3</v>
      </c>
      <c r="L225" s="316">
        <f t="shared" si="36"/>
        <v>7.2772258969733423</v>
      </c>
      <c r="M225" s="96">
        <f t="shared" si="33"/>
        <v>2.6758359623170982</v>
      </c>
      <c r="N225" s="37">
        <v>2.9042534686270449</v>
      </c>
      <c r="O225" s="947">
        <f t="shared" si="37"/>
        <v>0.51697735017037483</v>
      </c>
      <c r="P225" s="37">
        <f t="shared" si="38"/>
        <v>0.63019538985768697</v>
      </c>
      <c r="Q225" s="954">
        <f t="shared" si="31"/>
        <v>4.3310533283963275E-2</v>
      </c>
    </row>
    <row r="226" spans="1:17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32"/>
        <v>343.31</v>
      </c>
      <c r="G226" s="827">
        <v>8</v>
      </c>
      <c r="H226" s="330"/>
      <c r="I226" s="330"/>
      <c r="J226" s="40">
        <f t="shared" si="34"/>
        <v>8</v>
      </c>
      <c r="K226" s="72">
        <f t="shared" si="35"/>
        <v>3.2070555221487274E-3</v>
      </c>
      <c r="L226" s="316">
        <f t="shared" si="36"/>
        <v>7.2772258969733423</v>
      </c>
      <c r="M226" s="96">
        <f t="shared" si="33"/>
        <v>2.6758359623170982</v>
      </c>
      <c r="N226" s="37">
        <v>2.9042534686270449</v>
      </c>
      <c r="O226" s="947">
        <f t="shared" si="37"/>
        <v>0.51697735017037483</v>
      </c>
      <c r="P226" s="37">
        <f t="shared" si="38"/>
        <v>0.63019538985768697</v>
      </c>
      <c r="Q226" s="954">
        <f t="shared" si="31"/>
        <v>3.8956898074882354E-2</v>
      </c>
    </row>
    <row r="227" spans="1:17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32"/>
        <v>146.82</v>
      </c>
      <c r="G227" s="827">
        <v>3</v>
      </c>
      <c r="H227" s="330"/>
      <c r="I227" s="330"/>
      <c r="J227" s="40">
        <f t="shared" si="34"/>
        <v>3</v>
      </c>
      <c r="K227" s="72">
        <f t="shared" si="35"/>
        <v>1.2026458208057728E-3</v>
      </c>
      <c r="L227" s="316">
        <f t="shared" si="36"/>
        <v>2.7289597113650035</v>
      </c>
      <c r="M227" s="96">
        <f t="shared" si="33"/>
        <v>1.0034384858689118</v>
      </c>
      <c r="N227" s="37">
        <v>1.0890950507351418</v>
      </c>
      <c r="O227" s="947">
        <f t="shared" si="37"/>
        <v>0.19386650631389055</v>
      </c>
      <c r="P227" s="37">
        <f t="shared" si="38"/>
        <v>0.2363232711966326</v>
      </c>
      <c r="Q227" s="954">
        <f t="shared" si="31"/>
        <v>3.41599220425211E-2</v>
      </c>
    </row>
    <row r="228" spans="1:17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32"/>
        <v>218.19</v>
      </c>
      <c r="G228" s="827">
        <v>4</v>
      </c>
      <c r="H228" s="330"/>
      <c r="I228" s="330"/>
      <c r="J228" s="40">
        <f t="shared" si="34"/>
        <v>4</v>
      </c>
      <c r="K228" s="72">
        <f t="shared" si="35"/>
        <v>1.6035277610743637E-3</v>
      </c>
      <c r="L228" s="316">
        <f t="shared" si="36"/>
        <v>3.6386129484866712</v>
      </c>
      <c r="M228" s="96">
        <f t="shared" si="33"/>
        <v>1.3379179811585491</v>
      </c>
      <c r="N228" s="37">
        <v>1.4521267343135225</v>
      </c>
      <c r="O228" s="947">
        <f t="shared" si="37"/>
        <v>0.25848867508518741</v>
      </c>
      <c r="P228" s="37">
        <f t="shared" si="38"/>
        <v>0.31509769492884349</v>
      </c>
      <c r="Q228" s="954">
        <f t="shared" si="31"/>
        <v>3.0648271410440121E-2</v>
      </c>
    </row>
    <row r="229" spans="1:17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32"/>
        <v>109.6</v>
      </c>
      <c r="G229" s="827">
        <v>4</v>
      </c>
      <c r="H229" s="330"/>
      <c r="I229" s="330"/>
      <c r="J229" s="40">
        <f t="shared" si="34"/>
        <v>4</v>
      </c>
      <c r="K229" s="72">
        <f t="shared" si="35"/>
        <v>1.6035277610743637E-3</v>
      </c>
      <c r="L229" s="316">
        <f t="shared" si="36"/>
        <v>3.6386129484866712</v>
      </c>
      <c r="M229" s="96">
        <f t="shared" si="33"/>
        <v>1.3379179811585491</v>
      </c>
      <c r="N229" s="37">
        <v>1.4521267343135225</v>
      </c>
      <c r="O229" s="947">
        <f t="shared" si="37"/>
        <v>0.25848867508518741</v>
      </c>
      <c r="P229" s="37">
        <f t="shared" si="38"/>
        <v>0.31509769492884349</v>
      </c>
      <c r="Q229" s="954">
        <f t="shared" si="31"/>
        <v>6.1014108932882574E-2</v>
      </c>
    </row>
    <row r="230" spans="1:17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32"/>
        <v>41.4</v>
      </c>
      <c r="G230" s="827">
        <v>1</v>
      </c>
      <c r="H230" s="330"/>
      <c r="I230" s="330"/>
      <c r="J230" s="40">
        <f t="shared" si="34"/>
        <v>1</v>
      </c>
      <c r="K230" s="72">
        <f t="shared" si="35"/>
        <v>4.0088194026859092E-4</v>
      </c>
      <c r="L230" s="316">
        <f t="shared" si="36"/>
        <v>0.90965323712166779</v>
      </c>
      <c r="M230" s="96">
        <f t="shared" si="33"/>
        <v>0.33447949528963727</v>
      </c>
      <c r="N230" s="37">
        <v>0.36303168357838062</v>
      </c>
      <c r="O230" s="947">
        <f t="shared" si="37"/>
        <v>6.4622168771296853E-2</v>
      </c>
      <c r="P230" s="37">
        <f t="shared" si="38"/>
        <v>7.8774423732210871E-2</v>
      </c>
      <c r="Q230" s="954">
        <f t="shared" si="31"/>
        <v>4.03813184724875E-2</v>
      </c>
    </row>
    <row r="231" spans="1:17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32"/>
        <v>143.4</v>
      </c>
      <c r="G231" s="827">
        <v>4</v>
      </c>
      <c r="H231" s="330"/>
      <c r="I231" s="330"/>
      <c r="J231" s="40">
        <f t="shared" si="34"/>
        <v>4</v>
      </c>
      <c r="K231" s="72">
        <f t="shared" si="35"/>
        <v>1.6035277610743637E-3</v>
      </c>
      <c r="L231" s="316">
        <f t="shared" si="36"/>
        <v>3.6386129484866712</v>
      </c>
      <c r="M231" s="96">
        <f t="shared" si="33"/>
        <v>1.3379179811585491</v>
      </c>
      <c r="N231" s="37">
        <v>1.4521267343135225</v>
      </c>
      <c r="O231" s="947">
        <f t="shared" si="37"/>
        <v>0.25848867508518741</v>
      </c>
      <c r="P231" s="37">
        <f t="shared" si="38"/>
        <v>0.31509769492884349</v>
      </c>
      <c r="Q231" s="954">
        <f t="shared" si="31"/>
        <v>4.6632819658604809E-2</v>
      </c>
    </row>
    <row r="232" spans="1:17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32"/>
        <v>473.2</v>
      </c>
      <c r="G232" s="827">
        <v>10</v>
      </c>
      <c r="H232" s="330"/>
      <c r="I232" s="330"/>
      <c r="J232" s="40">
        <f t="shared" si="34"/>
        <v>10</v>
      </c>
      <c r="K232" s="72">
        <f t="shared" si="35"/>
        <v>4.0088194026859092E-3</v>
      </c>
      <c r="L232" s="316">
        <f t="shared" si="36"/>
        <v>9.0965323712166768</v>
      </c>
      <c r="M232" s="96">
        <f t="shared" si="33"/>
        <v>3.3447949528963723</v>
      </c>
      <c r="N232" s="37">
        <v>3.6303168357838063</v>
      </c>
      <c r="O232" s="947">
        <f t="shared" si="37"/>
        <v>0.64622168771296851</v>
      </c>
      <c r="P232" s="37">
        <f t="shared" si="38"/>
        <v>0.78774423732210863</v>
      </c>
      <c r="Q232" s="954">
        <f t="shared" si="31"/>
        <v>3.5329386829268436E-2</v>
      </c>
    </row>
    <row r="233" spans="1:17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32"/>
        <v>306.10000000000002</v>
      </c>
      <c r="G233" s="827">
        <v>8</v>
      </c>
      <c r="H233" s="330"/>
      <c r="I233" s="330"/>
      <c r="J233" s="40">
        <f t="shared" si="34"/>
        <v>8</v>
      </c>
      <c r="K233" s="72">
        <f t="shared" si="35"/>
        <v>3.2070555221487274E-3</v>
      </c>
      <c r="L233" s="316">
        <f t="shared" si="36"/>
        <v>7.2772258969733423</v>
      </c>
      <c r="M233" s="96">
        <f t="shared" si="33"/>
        <v>2.6758359623170982</v>
      </c>
      <c r="N233" s="37">
        <v>2.9042534686270449</v>
      </c>
      <c r="O233" s="947">
        <f t="shared" si="37"/>
        <v>0.51697735017037483</v>
      </c>
      <c r="P233" s="37">
        <f t="shared" si="38"/>
        <v>0.63019538985768697</v>
      </c>
      <c r="Q233" s="954">
        <f t="shared" si="31"/>
        <v>4.3692560202835212E-2</v>
      </c>
    </row>
    <row r="234" spans="1:17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32"/>
        <v>239.7</v>
      </c>
      <c r="G234" s="827">
        <v>7</v>
      </c>
      <c r="H234" s="330"/>
      <c r="I234" s="330"/>
      <c r="J234" s="40">
        <f t="shared" si="34"/>
        <v>7</v>
      </c>
      <c r="K234" s="72">
        <f t="shared" si="35"/>
        <v>2.8061735818801364E-3</v>
      </c>
      <c r="L234" s="316">
        <f t="shared" si="36"/>
        <v>6.3675726598516746</v>
      </c>
      <c r="M234" s="96">
        <f t="shared" si="33"/>
        <v>2.3413564670274609</v>
      </c>
      <c r="N234" s="37">
        <v>2.541221785048664</v>
      </c>
      <c r="O234" s="947">
        <f t="shared" si="37"/>
        <v>0.45235518139907799</v>
      </c>
      <c r="P234" s="37">
        <f t="shared" si="38"/>
        <v>0.55142096612547609</v>
      </c>
      <c r="Q234" s="954">
        <f t="shared" si="31"/>
        <v>4.8821468891643217E-2</v>
      </c>
    </row>
    <row r="235" spans="1:17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32"/>
        <v>193.7</v>
      </c>
      <c r="G235" s="827">
        <v>4</v>
      </c>
      <c r="H235" s="330"/>
      <c r="I235" s="330"/>
      <c r="J235" s="40">
        <f t="shared" si="34"/>
        <v>4</v>
      </c>
      <c r="K235" s="72">
        <f t="shared" si="35"/>
        <v>1.6035277610743637E-3</v>
      </c>
      <c r="L235" s="316">
        <f t="shared" si="36"/>
        <v>3.6386129484866712</v>
      </c>
      <c r="M235" s="96">
        <f t="shared" si="33"/>
        <v>1.3379179811585491</v>
      </c>
      <c r="N235" s="37">
        <v>1.4521267343135225</v>
      </c>
      <c r="O235" s="947">
        <f t="shared" si="37"/>
        <v>0.25848867508518741</v>
      </c>
      <c r="P235" s="37">
        <f t="shared" si="38"/>
        <v>0.31509769492884349</v>
      </c>
      <c r="Q235" s="954">
        <f t="shared" si="31"/>
        <v>3.4523212901620706E-2</v>
      </c>
    </row>
    <row r="236" spans="1:17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32"/>
        <v>83.9</v>
      </c>
      <c r="G236" s="827">
        <v>3</v>
      </c>
      <c r="H236" s="330"/>
      <c r="I236" s="330"/>
      <c r="J236" s="40">
        <f t="shared" si="34"/>
        <v>3</v>
      </c>
      <c r="K236" s="72">
        <f t="shared" si="35"/>
        <v>1.2026458208057728E-3</v>
      </c>
      <c r="L236" s="316">
        <f t="shared" si="36"/>
        <v>2.7289597113650035</v>
      </c>
      <c r="M236" s="96">
        <f t="shared" si="33"/>
        <v>1.0034384858689118</v>
      </c>
      <c r="N236" s="37">
        <v>1.0890950507351418</v>
      </c>
      <c r="O236" s="947">
        <f t="shared" si="37"/>
        <v>0.19386650631389055</v>
      </c>
      <c r="P236" s="37">
        <f t="shared" si="38"/>
        <v>0.2363232711966326</v>
      </c>
      <c r="Q236" s="954">
        <f t="shared" si="31"/>
        <v>5.9777827822204373E-2</v>
      </c>
    </row>
    <row r="237" spans="1:17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32"/>
        <v>2111.66</v>
      </c>
      <c r="G237" s="827">
        <v>40</v>
      </c>
      <c r="H237" s="330"/>
      <c r="I237" s="330"/>
      <c r="J237" s="40">
        <f t="shared" si="34"/>
        <v>40</v>
      </c>
      <c r="K237" s="72">
        <f t="shared" si="35"/>
        <v>1.6035277610743637E-2</v>
      </c>
      <c r="L237" s="316">
        <f t="shared" si="36"/>
        <v>36.386129484866707</v>
      </c>
      <c r="M237" s="96">
        <f t="shared" si="33"/>
        <v>13.379179811585489</v>
      </c>
      <c r="N237" s="37">
        <v>14.521267343135225</v>
      </c>
      <c r="O237" s="947">
        <f t="shared" si="37"/>
        <v>2.584886750851874</v>
      </c>
      <c r="P237" s="37">
        <f t="shared" si="38"/>
        <v>3.1509769492884345</v>
      </c>
      <c r="Q237" s="954">
        <f t="shared" si="31"/>
        <v>3.1667722734928586E-2</v>
      </c>
    </row>
    <row r="238" spans="1:17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32"/>
        <v>424.8</v>
      </c>
      <c r="G238" s="827">
        <v>7</v>
      </c>
      <c r="H238" s="330"/>
      <c r="I238" s="330"/>
      <c r="J238" s="40">
        <f t="shared" si="34"/>
        <v>7</v>
      </c>
      <c r="K238" s="72">
        <f t="shared" si="35"/>
        <v>2.8061735818801364E-3</v>
      </c>
      <c r="L238" s="316">
        <f t="shared" si="36"/>
        <v>6.3675726598516746</v>
      </c>
      <c r="M238" s="96">
        <f t="shared" si="33"/>
        <v>2.3413564670274609</v>
      </c>
      <c r="N238" s="37">
        <v>2.541221785048664</v>
      </c>
      <c r="O238" s="947">
        <f t="shared" si="37"/>
        <v>0.45235518139907799</v>
      </c>
      <c r="P238" s="37">
        <f t="shared" si="38"/>
        <v>0.55142096612547609</v>
      </c>
      <c r="Q238" s="954">
        <f t="shared" si="31"/>
        <v>2.7548272347756305E-2</v>
      </c>
    </row>
    <row r="239" spans="1:17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32"/>
        <v>105.5</v>
      </c>
      <c r="G239" s="827">
        <v>3</v>
      </c>
      <c r="H239" s="330"/>
      <c r="I239" s="330"/>
      <c r="J239" s="40">
        <f t="shared" si="34"/>
        <v>3</v>
      </c>
      <c r="K239" s="72">
        <f t="shared" si="35"/>
        <v>1.2026458208057728E-3</v>
      </c>
      <c r="L239" s="316">
        <f t="shared" si="36"/>
        <v>2.7289597113650035</v>
      </c>
      <c r="M239" s="96">
        <f t="shared" si="33"/>
        <v>1.0034384858689118</v>
      </c>
      <c r="N239" s="37">
        <v>1.0890950507351418</v>
      </c>
      <c r="O239" s="947">
        <f t="shared" si="37"/>
        <v>0.19386650631389055</v>
      </c>
      <c r="P239" s="37">
        <f t="shared" si="38"/>
        <v>0.2363232711966326</v>
      </c>
      <c r="Q239" s="954">
        <f t="shared" si="31"/>
        <v>4.7538955016899975E-2</v>
      </c>
    </row>
    <row r="240" spans="1:17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32"/>
        <v>158.6</v>
      </c>
      <c r="G240" s="827">
        <v>5</v>
      </c>
      <c r="H240" s="330"/>
      <c r="I240" s="330"/>
      <c r="J240" s="40">
        <f t="shared" si="34"/>
        <v>5</v>
      </c>
      <c r="K240" s="72">
        <f t="shared" si="35"/>
        <v>2.0044097013429546E-3</v>
      </c>
      <c r="L240" s="316">
        <f t="shared" si="36"/>
        <v>4.5482661856083384</v>
      </c>
      <c r="M240" s="96">
        <f t="shared" si="33"/>
        <v>1.6723974764481861</v>
      </c>
      <c r="N240" s="37">
        <v>1.8151584178919031</v>
      </c>
      <c r="O240" s="947">
        <f t="shared" si="37"/>
        <v>0.32311084385648425</v>
      </c>
      <c r="P240" s="37">
        <f t="shared" si="38"/>
        <v>0.39387211866105432</v>
      </c>
      <c r="Q240" s="954">
        <f t="shared" si="31"/>
        <v>5.270449510595783E-2</v>
      </c>
    </row>
    <row r="241" spans="1:17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32"/>
        <v>84.9</v>
      </c>
      <c r="G241" s="827">
        <v>2</v>
      </c>
      <c r="H241" s="330"/>
      <c r="I241" s="330"/>
      <c r="J241" s="40">
        <f t="shared" si="34"/>
        <v>2</v>
      </c>
      <c r="K241" s="72">
        <f t="shared" si="35"/>
        <v>8.0176388053718184E-4</v>
      </c>
      <c r="L241" s="316">
        <f t="shared" si="36"/>
        <v>1.8193064742433356</v>
      </c>
      <c r="M241" s="96">
        <f t="shared" si="33"/>
        <v>0.66895899057927455</v>
      </c>
      <c r="N241" s="37">
        <v>0.72606336715676123</v>
      </c>
      <c r="O241" s="947">
        <f t="shared" si="37"/>
        <v>0.12924433754259371</v>
      </c>
      <c r="P241" s="37">
        <f t="shared" si="38"/>
        <v>0.15754884746442174</v>
      </c>
      <c r="Q241" s="954">
        <f t="shared" si="31"/>
        <v>3.9382487273521373E-2</v>
      </c>
    </row>
    <row r="242" spans="1:17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32"/>
        <v>191.6</v>
      </c>
      <c r="G242" s="827">
        <v>4</v>
      </c>
      <c r="H242" s="330"/>
      <c r="I242" s="330"/>
      <c r="J242" s="40">
        <f t="shared" si="34"/>
        <v>4</v>
      </c>
      <c r="K242" s="72">
        <f t="shared" si="35"/>
        <v>1.6035277610743637E-3</v>
      </c>
      <c r="L242" s="316">
        <f t="shared" si="36"/>
        <v>3.6386129484866712</v>
      </c>
      <c r="M242" s="96">
        <f t="shared" si="33"/>
        <v>1.3379179811585491</v>
      </c>
      <c r="N242" s="37">
        <v>1.4521267343135225</v>
      </c>
      <c r="O242" s="947">
        <f t="shared" si="37"/>
        <v>0.25848867508518741</v>
      </c>
      <c r="P242" s="37">
        <f t="shared" si="38"/>
        <v>0.31509769492884349</v>
      </c>
      <c r="Q242" s="954">
        <f t="shared" si="31"/>
        <v>3.4901598846784607E-2</v>
      </c>
    </row>
    <row r="243" spans="1:17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32"/>
        <v>220.11</v>
      </c>
      <c r="G243" s="827">
        <v>5</v>
      </c>
      <c r="H243" s="330"/>
      <c r="I243" s="330"/>
      <c r="J243" s="40">
        <f t="shared" si="34"/>
        <v>5</v>
      </c>
      <c r="K243" s="72">
        <f t="shared" si="35"/>
        <v>2.0044097013429546E-3</v>
      </c>
      <c r="L243" s="316">
        <f t="shared" si="36"/>
        <v>4.5482661856083384</v>
      </c>
      <c r="M243" s="96">
        <f t="shared" si="33"/>
        <v>1.6723974764481861</v>
      </c>
      <c r="N243" s="37">
        <v>1.8151584178919031</v>
      </c>
      <c r="O243" s="947">
        <f t="shared" si="37"/>
        <v>0.32311084385648425</v>
      </c>
      <c r="P243" s="37">
        <f t="shared" si="38"/>
        <v>0.39387211866105432</v>
      </c>
      <c r="Q243" s="954">
        <f t="shared" si="31"/>
        <v>3.7976161572872251E-2</v>
      </c>
    </row>
    <row r="244" spans="1:17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32"/>
        <v>154.1</v>
      </c>
      <c r="G244" s="827">
        <v>3</v>
      </c>
      <c r="H244" s="330"/>
      <c r="I244" s="330"/>
      <c r="J244" s="40">
        <f t="shared" si="34"/>
        <v>3</v>
      </c>
      <c r="K244" s="72">
        <f t="shared" si="35"/>
        <v>1.2026458208057728E-3</v>
      </c>
      <c r="L244" s="316">
        <f t="shared" si="36"/>
        <v>2.7289597113650035</v>
      </c>
      <c r="M244" s="96">
        <f t="shared" si="33"/>
        <v>1.0034384858689118</v>
      </c>
      <c r="N244" s="37">
        <v>1.0890950507351418</v>
      </c>
      <c r="O244" s="947">
        <f t="shared" si="37"/>
        <v>0.19386650631389055</v>
      </c>
      <c r="P244" s="37">
        <f t="shared" si="38"/>
        <v>0.2363232711966326</v>
      </c>
      <c r="Q244" s="954">
        <f t="shared" si="31"/>
        <v>3.2546137276333209E-2</v>
      </c>
    </row>
    <row r="245" spans="1:17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32"/>
        <v>219.1</v>
      </c>
      <c r="G245" s="827">
        <v>4</v>
      </c>
      <c r="H245" s="330"/>
      <c r="I245" s="330"/>
      <c r="J245" s="40">
        <f t="shared" si="34"/>
        <v>4</v>
      </c>
      <c r="K245" s="72">
        <f t="shared" si="35"/>
        <v>1.6035277610743637E-3</v>
      </c>
      <c r="L245" s="316">
        <f t="shared" si="36"/>
        <v>3.6386129484866712</v>
      </c>
      <c r="M245" s="96">
        <f t="shared" si="33"/>
        <v>1.3379179811585491</v>
      </c>
      <c r="N245" s="37">
        <v>1.4521267343135225</v>
      </c>
      <c r="O245" s="947">
        <f t="shared" si="37"/>
        <v>0.25848867508518741</v>
      </c>
      <c r="P245" s="37">
        <f t="shared" si="38"/>
        <v>0.31509769492884349</v>
      </c>
      <c r="Q245" s="954">
        <f t="shared" si="31"/>
        <v>3.0520978270396761E-2</v>
      </c>
    </row>
    <row r="246" spans="1:17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32"/>
        <v>255.8</v>
      </c>
      <c r="G246" s="827">
        <v>6</v>
      </c>
      <c r="H246" s="330"/>
      <c r="I246" s="330"/>
      <c r="J246" s="40">
        <f t="shared" si="34"/>
        <v>6</v>
      </c>
      <c r="K246" s="72">
        <f t="shared" si="35"/>
        <v>2.4052916416115455E-3</v>
      </c>
      <c r="L246" s="316">
        <f t="shared" si="36"/>
        <v>5.457919422730007</v>
      </c>
      <c r="M246" s="96">
        <f t="shared" si="33"/>
        <v>2.0068769717378236</v>
      </c>
      <c r="N246" s="37">
        <v>2.1781901014702836</v>
      </c>
      <c r="O246" s="947">
        <f t="shared" si="37"/>
        <v>0.38773301262778109</v>
      </c>
      <c r="P246" s="37">
        <f t="shared" si="38"/>
        <v>0.4726465423932652</v>
      </c>
      <c r="Q246" s="954">
        <f t="shared" si="31"/>
        <v>3.9213133340757989E-2</v>
      </c>
    </row>
    <row r="247" spans="1:17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32"/>
        <v>58.3</v>
      </c>
      <c r="G247" s="827">
        <v>2</v>
      </c>
      <c r="H247" s="330"/>
      <c r="I247" s="330"/>
      <c r="J247" s="40">
        <f t="shared" si="34"/>
        <v>2</v>
      </c>
      <c r="K247" s="72">
        <f t="shared" si="35"/>
        <v>8.0176388053718184E-4</v>
      </c>
      <c r="L247" s="316">
        <f t="shared" si="36"/>
        <v>1.8193064742433356</v>
      </c>
      <c r="M247" s="96">
        <f t="shared" si="33"/>
        <v>0.66895899057927455</v>
      </c>
      <c r="N247" s="37">
        <v>0.72606336715676123</v>
      </c>
      <c r="O247" s="947">
        <f t="shared" si="37"/>
        <v>0.12924433754259371</v>
      </c>
      <c r="P247" s="37">
        <f t="shared" si="38"/>
        <v>0.15754884746442174</v>
      </c>
      <c r="Q247" s="954">
        <f t="shared" si="31"/>
        <v>5.7351169288541427E-2</v>
      </c>
    </row>
    <row r="248" spans="1:17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32"/>
        <v>47.2</v>
      </c>
      <c r="G248" s="827">
        <v>1</v>
      </c>
      <c r="H248" s="330"/>
      <c r="I248" s="330"/>
      <c r="J248" s="40">
        <f t="shared" si="34"/>
        <v>1</v>
      </c>
      <c r="K248" s="72">
        <f t="shared" si="35"/>
        <v>4.0088194026859092E-4</v>
      </c>
      <c r="L248" s="316">
        <f t="shared" si="36"/>
        <v>0.90965323712166779</v>
      </c>
      <c r="M248" s="96">
        <f t="shared" si="33"/>
        <v>0.33447949528963727</v>
      </c>
      <c r="N248" s="37">
        <v>0.36303168357838062</v>
      </c>
      <c r="O248" s="947">
        <f t="shared" si="37"/>
        <v>6.4622168771296853E-2</v>
      </c>
      <c r="P248" s="37">
        <f t="shared" si="38"/>
        <v>7.8774423732210871E-2</v>
      </c>
      <c r="Q248" s="954">
        <f t="shared" si="31"/>
        <v>3.5419207304258099E-2</v>
      </c>
    </row>
    <row r="249" spans="1:17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32"/>
        <v>101.5</v>
      </c>
      <c r="G249" s="827">
        <v>1</v>
      </c>
      <c r="H249" s="330"/>
      <c r="I249" s="330"/>
      <c r="J249" s="40">
        <f t="shared" si="34"/>
        <v>1</v>
      </c>
      <c r="K249" s="72">
        <f t="shared" si="35"/>
        <v>4.0088194026859092E-4</v>
      </c>
      <c r="L249" s="316">
        <f t="shared" si="36"/>
        <v>0.90965323712166779</v>
      </c>
      <c r="M249" s="96">
        <f t="shared" si="33"/>
        <v>0.33447949528963727</v>
      </c>
      <c r="N249" s="37">
        <v>0.36303168357838062</v>
      </c>
      <c r="O249" s="947">
        <f t="shared" si="37"/>
        <v>6.4622168771296853E-2</v>
      </c>
      <c r="P249" s="37">
        <f t="shared" si="38"/>
        <v>7.8774423732210871E-2</v>
      </c>
      <c r="Q249" s="954">
        <f t="shared" si="31"/>
        <v>1.6470803790748598E-2</v>
      </c>
    </row>
    <row r="250" spans="1:17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32"/>
        <v>57.8</v>
      </c>
      <c r="G250" s="827">
        <v>2</v>
      </c>
      <c r="H250" s="330"/>
      <c r="I250" s="330"/>
      <c r="J250" s="40">
        <f t="shared" si="34"/>
        <v>2</v>
      </c>
      <c r="K250" s="72">
        <f t="shared" si="35"/>
        <v>8.0176388053718184E-4</v>
      </c>
      <c r="L250" s="316">
        <f t="shared" si="36"/>
        <v>1.8193064742433356</v>
      </c>
      <c r="M250" s="96">
        <f t="shared" si="33"/>
        <v>0.66895899057927455</v>
      </c>
      <c r="N250" s="37">
        <v>0.72606336715676123</v>
      </c>
      <c r="O250" s="947">
        <f t="shared" si="37"/>
        <v>0.12924433754259371</v>
      </c>
      <c r="P250" s="37">
        <f t="shared" si="38"/>
        <v>0.15754884746442174</v>
      </c>
      <c r="Q250" s="954">
        <f t="shared" si="31"/>
        <v>5.7847286669930192E-2</v>
      </c>
    </row>
    <row r="251" spans="1:17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32"/>
        <v>670.84999999999991</v>
      </c>
      <c r="G251" s="827">
        <v>13</v>
      </c>
      <c r="H251" s="330">
        <v>1</v>
      </c>
      <c r="I251" s="330">
        <v>1</v>
      </c>
      <c r="J251" s="40">
        <f t="shared" si="34"/>
        <v>15</v>
      </c>
      <c r="K251" s="72">
        <f t="shared" si="35"/>
        <v>6.0132291040288638E-3</v>
      </c>
      <c r="L251" s="316">
        <f t="shared" si="36"/>
        <v>13.644798556825016</v>
      </c>
      <c r="M251" s="96">
        <f t="shared" si="33"/>
        <v>5.0171924293445587</v>
      </c>
      <c r="N251" s="37">
        <v>5.4454752536757089</v>
      </c>
      <c r="O251" s="947">
        <f t="shared" si="37"/>
        <v>0.96933253156945276</v>
      </c>
      <c r="P251" s="37">
        <f t="shared" si="38"/>
        <v>1.1816163559831629</v>
      </c>
      <c r="Q251" s="954">
        <f t="shared" si="31"/>
        <v>3.7380634674539379E-2</v>
      </c>
    </row>
    <row r="252" spans="1:17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32"/>
        <v>648.9</v>
      </c>
      <c r="G252" s="827">
        <v>15</v>
      </c>
      <c r="H252" s="330"/>
      <c r="I252" s="330"/>
      <c r="J252" s="40">
        <f t="shared" si="34"/>
        <v>15</v>
      </c>
      <c r="K252" s="72">
        <f t="shared" si="35"/>
        <v>6.0132291040288638E-3</v>
      </c>
      <c r="L252" s="316">
        <f t="shared" si="36"/>
        <v>13.644798556825016</v>
      </c>
      <c r="M252" s="96">
        <f t="shared" si="33"/>
        <v>5.0171924293445587</v>
      </c>
      <c r="N252" s="37">
        <v>5.4454752536757089</v>
      </c>
      <c r="O252" s="947">
        <f t="shared" si="37"/>
        <v>0.96933253156945276</v>
      </c>
      <c r="P252" s="37">
        <f t="shared" si="38"/>
        <v>1.1816163559831629</v>
      </c>
      <c r="Q252" s="954">
        <f t="shared" si="31"/>
        <v>3.8645089800300104E-2</v>
      </c>
    </row>
    <row r="253" spans="1:17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32"/>
        <v>753.1</v>
      </c>
      <c r="G253" s="827">
        <v>11</v>
      </c>
      <c r="H253" s="330">
        <v>1</v>
      </c>
      <c r="I253" s="330">
        <v>2</v>
      </c>
      <c r="J253" s="40">
        <f t="shared" si="34"/>
        <v>14</v>
      </c>
      <c r="K253" s="72">
        <f t="shared" si="35"/>
        <v>5.6123471637602729E-3</v>
      </c>
      <c r="L253" s="316">
        <f t="shared" si="36"/>
        <v>12.735145319703349</v>
      </c>
      <c r="M253" s="96">
        <f t="shared" si="33"/>
        <v>4.6827129340549218</v>
      </c>
      <c r="N253" s="37">
        <v>5.0824435700973281</v>
      </c>
      <c r="O253" s="947">
        <f t="shared" si="37"/>
        <v>0.90471036279815598</v>
      </c>
      <c r="P253" s="37">
        <f t="shared" si="38"/>
        <v>1.1028419322509522</v>
      </c>
      <c r="Q253" s="954">
        <f t="shared" si="31"/>
        <v>3.1078226247050533E-2</v>
      </c>
    </row>
    <row r="254" spans="1:17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32"/>
        <v>276.60000000000002</v>
      </c>
      <c r="G254" s="827">
        <v>7</v>
      </c>
      <c r="H254" s="330"/>
      <c r="I254" s="330"/>
      <c r="J254" s="40">
        <f t="shared" si="34"/>
        <v>7</v>
      </c>
      <c r="K254" s="72">
        <f t="shared" si="35"/>
        <v>2.8061735818801364E-3</v>
      </c>
      <c r="L254" s="316">
        <f t="shared" si="36"/>
        <v>6.3675726598516746</v>
      </c>
      <c r="M254" s="96">
        <f t="shared" si="33"/>
        <v>2.3413564670274609</v>
      </c>
      <c r="N254" s="37">
        <v>2.541221785048664</v>
      </c>
      <c r="O254" s="947">
        <f t="shared" si="37"/>
        <v>0.45235518139907799</v>
      </c>
      <c r="P254" s="37">
        <f t="shared" si="38"/>
        <v>0.55142096612547609</v>
      </c>
      <c r="Q254" s="954">
        <f t="shared" si="31"/>
        <v>4.2308409592649594E-2</v>
      </c>
    </row>
    <row r="255" spans="1:17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32"/>
        <v>238.8</v>
      </c>
      <c r="G255" s="827">
        <v>7</v>
      </c>
      <c r="H255" s="330"/>
      <c r="I255" s="330"/>
      <c r="J255" s="40">
        <f t="shared" si="34"/>
        <v>7</v>
      </c>
      <c r="K255" s="72">
        <f t="shared" si="35"/>
        <v>2.8061735818801364E-3</v>
      </c>
      <c r="L255" s="316">
        <f t="shared" si="36"/>
        <v>6.3675726598516746</v>
      </c>
      <c r="M255" s="96">
        <f t="shared" si="33"/>
        <v>2.3413564670274609</v>
      </c>
      <c r="N255" s="37">
        <v>2.541221785048664</v>
      </c>
      <c r="O255" s="947">
        <f t="shared" si="37"/>
        <v>0.45235518139907799</v>
      </c>
      <c r="P255" s="37">
        <f t="shared" si="38"/>
        <v>0.55142096612547609</v>
      </c>
      <c r="Q255" s="954">
        <f t="shared" si="31"/>
        <v>4.9005469402541364E-2</v>
      </c>
    </row>
    <row r="256" spans="1:17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32"/>
        <v>754.13</v>
      </c>
      <c r="G256" s="827">
        <v>9</v>
      </c>
      <c r="H256" s="330"/>
      <c r="I256" s="330"/>
      <c r="J256" s="40">
        <f t="shared" si="34"/>
        <v>9</v>
      </c>
      <c r="K256" s="72">
        <f t="shared" si="35"/>
        <v>3.6079374624173183E-3</v>
      </c>
      <c r="L256" s="316">
        <f t="shared" si="36"/>
        <v>8.18687913409501</v>
      </c>
      <c r="M256" s="96">
        <f t="shared" si="33"/>
        <v>3.0103154576067355</v>
      </c>
      <c r="N256" s="37">
        <v>3.2672851522054258</v>
      </c>
      <c r="O256" s="947">
        <f t="shared" si="37"/>
        <v>0.58159951894167161</v>
      </c>
      <c r="P256" s="37">
        <f t="shared" si="38"/>
        <v>0.70896981358989775</v>
      </c>
      <c r="Q256" s="954">
        <f t="shared" si="31"/>
        <v>1.9951572358676676E-2</v>
      </c>
    </row>
    <row r="257" spans="1:17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32"/>
        <v>911.08</v>
      </c>
      <c r="G257" s="827">
        <v>15</v>
      </c>
      <c r="H257" s="330">
        <v>2</v>
      </c>
      <c r="I257" s="330"/>
      <c r="J257" s="40">
        <f t="shared" si="34"/>
        <v>17</v>
      </c>
      <c r="K257" s="72">
        <f t="shared" si="35"/>
        <v>6.8149929845660456E-3</v>
      </c>
      <c r="L257" s="316">
        <f t="shared" si="36"/>
        <v>15.464105031068351</v>
      </c>
      <c r="M257" s="96">
        <f t="shared" si="33"/>
        <v>5.6861514199238332</v>
      </c>
      <c r="N257" s="37">
        <v>6.1715386208324707</v>
      </c>
      <c r="O257" s="947">
        <f t="shared" si="37"/>
        <v>1.0985768691120466</v>
      </c>
      <c r="P257" s="37">
        <f t="shared" si="38"/>
        <v>1.3391652034475849</v>
      </c>
      <c r="Q257" s="954">
        <f t="shared" si="31"/>
        <v>3.1194156321000026E-2</v>
      </c>
    </row>
    <row r="258" spans="1:17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32"/>
        <v>707.90000000000009</v>
      </c>
      <c r="G258" s="827">
        <v>10</v>
      </c>
      <c r="H258" s="330"/>
      <c r="I258" s="330">
        <v>1</v>
      </c>
      <c r="J258" s="40">
        <f t="shared" si="34"/>
        <v>11</v>
      </c>
      <c r="K258" s="72">
        <f t="shared" si="35"/>
        <v>4.4097013429545001E-3</v>
      </c>
      <c r="L258" s="316">
        <f t="shared" si="36"/>
        <v>10.006185608338345</v>
      </c>
      <c r="M258" s="96">
        <f t="shared" si="33"/>
        <v>3.67927444818601</v>
      </c>
      <c r="N258" s="37">
        <v>3.9933485193621863</v>
      </c>
      <c r="O258" s="947">
        <f t="shared" si="37"/>
        <v>0.7108438564842654</v>
      </c>
      <c r="P258" s="37">
        <f t="shared" si="38"/>
        <v>0.86651866105431963</v>
      </c>
      <c r="Q258" s="954">
        <f t="shared" si="31"/>
        <v>2.5977754530824702E-2</v>
      </c>
    </row>
    <row r="259" spans="1:17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32"/>
        <v>814.34</v>
      </c>
      <c r="G259" s="827">
        <v>17</v>
      </c>
      <c r="H259" s="330"/>
      <c r="I259" s="330"/>
      <c r="J259" s="40">
        <f t="shared" si="34"/>
        <v>17</v>
      </c>
      <c r="K259" s="72">
        <f t="shared" si="35"/>
        <v>6.8149929845660456E-3</v>
      </c>
      <c r="L259" s="316">
        <f t="shared" si="36"/>
        <v>15.464105031068351</v>
      </c>
      <c r="M259" s="96">
        <f t="shared" si="33"/>
        <v>5.6861514199238332</v>
      </c>
      <c r="N259" s="37">
        <v>6.1715386208324707</v>
      </c>
      <c r="O259" s="947">
        <f t="shared" si="37"/>
        <v>1.0985768691120466</v>
      </c>
      <c r="P259" s="37">
        <f t="shared" si="38"/>
        <v>1.3391652034475849</v>
      </c>
      <c r="Q259" s="954">
        <f t="shared" si="31"/>
        <v>3.4899884496569861E-2</v>
      </c>
    </row>
    <row r="260" spans="1:17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32"/>
        <v>562.29999999999995</v>
      </c>
      <c r="G260" s="827">
        <v>9</v>
      </c>
      <c r="H260" s="330"/>
      <c r="I260" s="330"/>
      <c r="J260" s="40">
        <f t="shared" si="34"/>
        <v>9</v>
      </c>
      <c r="K260" s="72">
        <f t="shared" si="35"/>
        <v>3.6079374624173183E-3</v>
      </c>
      <c r="L260" s="316">
        <f t="shared" si="36"/>
        <v>8.18687913409501</v>
      </c>
      <c r="M260" s="96">
        <f t="shared" si="33"/>
        <v>3.0103154576067355</v>
      </c>
      <c r="N260" s="37">
        <v>3.2672851522054258</v>
      </c>
      <c r="O260" s="947">
        <f t="shared" si="37"/>
        <v>0.58159951894167161</v>
      </c>
      <c r="P260" s="37">
        <f t="shared" si="38"/>
        <v>0.70896981358989775</v>
      </c>
      <c r="Q260" s="954">
        <f t="shared" si="31"/>
        <v>2.6758099347054674E-2</v>
      </c>
    </row>
    <row r="261" spans="1:17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32"/>
        <v>410.5</v>
      </c>
      <c r="G261" s="827">
        <v>10</v>
      </c>
      <c r="H261" s="330"/>
      <c r="I261" s="330"/>
      <c r="J261" s="40">
        <f t="shared" si="34"/>
        <v>10</v>
      </c>
      <c r="K261" s="72">
        <f t="shared" si="35"/>
        <v>4.0088194026859092E-3</v>
      </c>
      <c r="L261" s="316">
        <f t="shared" si="36"/>
        <v>9.0965323712166768</v>
      </c>
      <c r="M261" s="96">
        <f t="shared" si="33"/>
        <v>3.3447949528963723</v>
      </c>
      <c r="N261" s="37">
        <v>3.6303168357838063</v>
      </c>
      <c r="O261" s="947">
        <f t="shared" si="37"/>
        <v>0.64622168771296851</v>
      </c>
      <c r="P261" s="37">
        <f t="shared" si="38"/>
        <v>0.78774423732210863</v>
      </c>
      <c r="Q261" s="954">
        <f t="shared" si="31"/>
        <v>4.0725617168355231E-2</v>
      </c>
    </row>
    <row r="262" spans="1:17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32"/>
        <v>523.27</v>
      </c>
      <c r="G262" s="827">
        <v>12</v>
      </c>
      <c r="H262" s="330"/>
      <c r="I262" s="330">
        <v>1</v>
      </c>
      <c r="J262" s="40">
        <f t="shared" si="34"/>
        <v>13</v>
      </c>
      <c r="K262" s="72">
        <f t="shared" si="35"/>
        <v>5.211465223491682E-3</v>
      </c>
      <c r="L262" s="316">
        <f t="shared" si="36"/>
        <v>11.825492082581681</v>
      </c>
      <c r="M262" s="96">
        <f t="shared" si="33"/>
        <v>4.3482334387652841</v>
      </c>
      <c r="N262" s="37">
        <v>4.7194118865189481</v>
      </c>
      <c r="O262" s="947">
        <f t="shared" si="37"/>
        <v>0.84008819402685908</v>
      </c>
      <c r="P262" s="37">
        <f t="shared" si="38"/>
        <v>1.0240675085187414</v>
      </c>
      <c r="Q262" s="954">
        <f t="shared" si="31"/>
        <v>4.1533482909191753E-2</v>
      </c>
    </row>
    <row r="263" spans="1:17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32"/>
        <v>684.1</v>
      </c>
      <c r="G263" s="827">
        <v>15</v>
      </c>
      <c r="H263" s="330">
        <v>2</v>
      </c>
      <c r="I263" s="330"/>
      <c r="J263" s="40">
        <f t="shared" si="34"/>
        <v>17</v>
      </c>
      <c r="K263" s="72">
        <f t="shared" si="35"/>
        <v>6.8149929845660456E-3</v>
      </c>
      <c r="L263" s="316">
        <f t="shared" si="36"/>
        <v>15.464105031068351</v>
      </c>
      <c r="M263" s="96">
        <f t="shared" si="33"/>
        <v>5.6861514199238332</v>
      </c>
      <c r="N263" s="37">
        <v>6.1715386208324707</v>
      </c>
      <c r="O263" s="947">
        <f t="shared" si="37"/>
        <v>1.0985768691120466</v>
      </c>
      <c r="P263" s="37">
        <f t="shared" si="38"/>
        <v>1.3391652034475849</v>
      </c>
      <c r="Q263" s="954">
        <f t="shared" ref="Q263:Q326" si="39">(O263+N263+M263+L263)/F263</f>
        <v>4.1544177665453444E-2</v>
      </c>
    </row>
    <row r="264" spans="1:17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32"/>
        <v>659.08</v>
      </c>
      <c r="G264" s="827">
        <v>12</v>
      </c>
      <c r="H264" s="330"/>
      <c r="I264" s="330"/>
      <c r="J264" s="40">
        <f t="shared" si="34"/>
        <v>12</v>
      </c>
      <c r="K264" s="72">
        <f t="shared" si="35"/>
        <v>4.810583283223091E-3</v>
      </c>
      <c r="L264" s="316">
        <f t="shared" si="36"/>
        <v>10.915838845460014</v>
      </c>
      <c r="M264" s="96">
        <f t="shared" si="33"/>
        <v>4.0137539434756473</v>
      </c>
      <c r="N264" s="37">
        <v>4.3563802029405672</v>
      </c>
      <c r="O264" s="947">
        <f t="shared" si="37"/>
        <v>0.77546602525556219</v>
      </c>
      <c r="P264" s="37">
        <f t="shared" si="38"/>
        <v>0.9452930847865304</v>
      </c>
      <c r="Q264" s="954">
        <f t="shared" si="39"/>
        <v>3.0438549215773179E-2</v>
      </c>
    </row>
    <row r="265" spans="1:17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32"/>
        <v>466.5</v>
      </c>
      <c r="G265" s="827">
        <v>13</v>
      </c>
      <c r="H265" s="330"/>
      <c r="I265" s="330">
        <v>1</v>
      </c>
      <c r="J265" s="40">
        <f t="shared" si="34"/>
        <v>14</v>
      </c>
      <c r="K265" s="72">
        <f t="shared" si="35"/>
        <v>5.6123471637602729E-3</v>
      </c>
      <c r="L265" s="316">
        <f t="shared" si="36"/>
        <v>12.735145319703349</v>
      </c>
      <c r="M265" s="96">
        <f t="shared" si="33"/>
        <v>4.6827129340549218</v>
      </c>
      <c r="N265" s="37">
        <v>5.0824435700973281</v>
      </c>
      <c r="O265" s="947">
        <f t="shared" si="37"/>
        <v>0.90471036279815598</v>
      </c>
      <c r="P265" s="37">
        <f t="shared" si="38"/>
        <v>1.1028419322509522</v>
      </c>
      <c r="Q265" s="954">
        <f t="shared" si="39"/>
        <v>5.0171515941379974E-2</v>
      </c>
    </row>
    <row r="266" spans="1:17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32"/>
        <v>412.04</v>
      </c>
      <c r="G266" s="827">
        <v>9</v>
      </c>
      <c r="H266" s="330"/>
      <c r="I266" s="330">
        <v>1</v>
      </c>
      <c r="J266" s="40">
        <f t="shared" si="34"/>
        <v>10</v>
      </c>
      <c r="K266" s="72">
        <f t="shared" si="35"/>
        <v>4.0088194026859092E-3</v>
      </c>
      <c r="L266" s="316">
        <f t="shared" si="36"/>
        <v>9.0965323712166768</v>
      </c>
      <c r="M266" s="96">
        <f t="shared" si="33"/>
        <v>3.3447949528963723</v>
      </c>
      <c r="N266" s="37">
        <v>3.6303168357838063</v>
      </c>
      <c r="O266" s="947">
        <f t="shared" si="37"/>
        <v>0.64622168771296851</v>
      </c>
      <c r="P266" s="37">
        <f t="shared" si="38"/>
        <v>0.78774423732210863</v>
      </c>
      <c r="Q266" s="954">
        <f t="shared" si="39"/>
        <v>4.0573405124769008E-2</v>
      </c>
    </row>
    <row r="267" spans="1:17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32"/>
        <v>303.5</v>
      </c>
      <c r="G267" s="827">
        <v>11</v>
      </c>
      <c r="H267" s="330"/>
      <c r="I267" s="330"/>
      <c r="J267" s="40">
        <f t="shared" si="34"/>
        <v>11</v>
      </c>
      <c r="K267" s="72">
        <f t="shared" si="35"/>
        <v>4.4097013429545001E-3</v>
      </c>
      <c r="L267" s="316">
        <f t="shared" si="36"/>
        <v>10.006185608338345</v>
      </c>
      <c r="M267" s="96">
        <f t="shared" si="33"/>
        <v>3.67927444818601</v>
      </c>
      <c r="N267" s="37">
        <v>3.9933485193621863</v>
      </c>
      <c r="O267" s="947">
        <f t="shared" si="37"/>
        <v>0.7108438564842654</v>
      </c>
      <c r="P267" s="37">
        <f t="shared" si="38"/>
        <v>0.86651866105431963</v>
      </c>
      <c r="Q267" s="954">
        <f t="shared" si="39"/>
        <v>6.05919355267572E-2</v>
      </c>
    </row>
    <row r="268" spans="1:17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32"/>
        <v>654.13</v>
      </c>
      <c r="G268" s="827">
        <v>12</v>
      </c>
      <c r="H268" s="330"/>
      <c r="I268" s="330"/>
      <c r="J268" s="40">
        <f t="shared" si="34"/>
        <v>12</v>
      </c>
      <c r="K268" s="72">
        <f t="shared" si="35"/>
        <v>4.810583283223091E-3</v>
      </c>
      <c r="L268" s="316">
        <f t="shared" si="36"/>
        <v>10.915838845460014</v>
      </c>
      <c r="M268" s="96">
        <f t="shared" si="33"/>
        <v>4.0137539434756473</v>
      </c>
      <c r="N268" s="37">
        <v>4.3563802029405672</v>
      </c>
      <c r="O268" s="947">
        <f t="shared" si="37"/>
        <v>0.77546602525556219</v>
      </c>
      <c r="P268" s="37">
        <f t="shared" si="38"/>
        <v>0.9452930847865304</v>
      </c>
      <c r="Q268" s="954">
        <f t="shared" si="39"/>
        <v>3.0668886944692629E-2</v>
      </c>
    </row>
    <row r="269" spans="1:17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si="32"/>
        <v>642.62</v>
      </c>
      <c r="G269" s="827">
        <v>20</v>
      </c>
      <c r="H269" s="330"/>
      <c r="I269" s="330">
        <v>2</v>
      </c>
      <c r="J269" s="40">
        <f t="shared" si="34"/>
        <v>22</v>
      </c>
      <c r="K269" s="72">
        <f t="shared" si="35"/>
        <v>8.8194026859090002E-3</v>
      </c>
      <c r="L269" s="316">
        <f t="shared" si="36"/>
        <v>20.012371216676691</v>
      </c>
      <c r="M269" s="96">
        <f t="shared" si="33"/>
        <v>7.35854889637202</v>
      </c>
      <c r="N269" s="37">
        <v>7.9866970387243725</v>
      </c>
      <c r="O269" s="947">
        <f t="shared" si="37"/>
        <v>1.4216877129685308</v>
      </c>
      <c r="P269" s="37">
        <f t="shared" si="38"/>
        <v>1.7330373221086393</v>
      </c>
      <c r="Q269" s="954">
        <f t="shared" si="39"/>
        <v>5.7233364764155518E-2</v>
      </c>
    </row>
    <row r="270" spans="1:17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ref="F270:F333" si="40">C270+D270+E270</f>
        <v>278.7</v>
      </c>
      <c r="G270" s="827">
        <v>9</v>
      </c>
      <c r="H270" s="330"/>
      <c r="I270" s="330"/>
      <c r="J270" s="40">
        <f t="shared" si="34"/>
        <v>9</v>
      </c>
      <c r="K270" s="72">
        <f t="shared" si="35"/>
        <v>3.6079374624173183E-3</v>
      </c>
      <c r="L270" s="316">
        <f t="shared" si="36"/>
        <v>8.18687913409501</v>
      </c>
      <c r="M270" s="96">
        <f t="shared" ref="M270:M333" si="41">L270*0.3677</f>
        <v>3.0103154576067355</v>
      </c>
      <c r="N270" s="37">
        <v>3.2672851522054258</v>
      </c>
      <c r="O270" s="947">
        <f t="shared" si="37"/>
        <v>0.58159951894167161</v>
      </c>
      <c r="P270" s="37">
        <f t="shared" si="38"/>
        <v>0.70896981358989775</v>
      </c>
      <c r="Q270" s="954">
        <f t="shared" si="39"/>
        <v>5.3986649669353577E-2</v>
      </c>
    </row>
    <row r="271" spans="1:17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si="40"/>
        <v>3583.55</v>
      </c>
      <c r="G271" s="827">
        <v>59</v>
      </c>
      <c r="H271" s="330"/>
      <c r="I271" s="330"/>
      <c r="J271" s="40">
        <f t="shared" si="34"/>
        <v>59</v>
      </c>
      <c r="K271" s="72">
        <f t="shared" si="35"/>
        <v>2.3652034475846864E-2</v>
      </c>
      <c r="L271" s="316">
        <f t="shared" si="36"/>
        <v>53.669540990178398</v>
      </c>
      <c r="M271" s="96">
        <f t="shared" si="41"/>
        <v>19.7342902220886</v>
      </c>
      <c r="N271" s="37">
        <v>21.418869331124455</v>
      </c>
      <c r="O271" s="947">
        <f t="shared" si="37"/>
        <v>3.8127079575065141</v>
      </c>
      <c r="P271" s="37">
        <f t="shared" si="38"/>
        <v>4.6476910002004415</v>
      </c>
      <c r="Q271" s="954">
        <f t="shared" si="39"/>
        <v>2.7524496240012825E-2</v>
      </c>
    </row>
    <row r="272" spans="1:17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40"/>
        <v>513.5</v>
      </c>
      <c r="G272" s="827">
        <v>16</v>
      </c>
      <c r="H272" s="330"/>
      <c r="I272" s="330">
        <v>1</v>
      </c>
      <c r="J272" s="40">
        <f t="shared" si="34"/>
        <v>17</v>
      </c>
      <c r="K272" s="72">
        <f t="shared" si="35"/>
        <v>6.8149929845660456E-3</v>
      </c>
      <c r="L272" s="316">
        <f t="shared" si="36"/>
        <v>15.464105031068351</v>
      </c>
      <c r="M272" s="96">
        <f t="shared" si="41"/>
        <v>5.6861514199238332</v>
      </c>
      <c r="N272" s="37">
        <v>6.1715386208324707</v>
      </c>
      <c r="O272" s="947">
        <f t="shared" si="37"/>
        <v>1.0985768691120466</v>
      </c>
      <c r="P272" s="37">
        <f t="shared" si="38"/>
        <v>1.3391652034475849</v>
      </c>
      <c r="Q272" s="954">
        <f t="shared" si="39"/>
        <v>5.5346391316332434E-2</v>
      </c>
    </row>
    <row r="273" spans="1:17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40"/>
        <v>420.4</v>
      </c>
      <c r="G273" s="827">
        <v>12</v>
      </c>
      <c r="H273" s="330"/>
      <c r="I273" s="330"/>
      <c r="J273" s="40">
        <f t="shared" ref="J273:J336" si="42">G273+H273+I273</f>
        <v>12</v>
      </c>
      <c r="K273" s="72">
        <f t="shared" si="35"/>
        <v>4.810583283223091E-3</v>
      </c>
      <c r="L273" s="316">
        <f t="shared" si="36"/>
        <v>10.915838845460014</v>
      </c>
      <c r="M273" s="96">
        <f t="shared" si="41"/>
        <v>4.0137539434756473</v>
      </c>
      <c r="N273" s="37">
        <v>4.3563802029405672</v>
      </c>
      <c r="O273" s="947">
        <f t="shared" si="37"/>
        <v>0.77546602525556219</v>
      </c>
      <c r="P273" s="37">
        <f t="shared" si="38"/>
        <v>0.9452930847865304</v>
      </c>
      <c r="Q273" s="954">
        <f t="shared" si="39"/>
        <v>4.771988348508989E-2</v>
      </c>
    </row>
    <row r="274" spans="1:17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40"/>
        <v>344.2</v>
      </c>
      <c r="G274" s="827">
        <v>11</v>
      </c>
      <c r="H274" s="330"/>
      <c r="I274" s="330">
        <v>1</v>
      </c>
      <c r="J274" s="40">
        <f t="shared" si="42"/>
        <v>12</v>
      </c>
      <c r="K274" s="72">
        <f t="shared" si="35"/>
        <v>4.810583283223091E-3</v>
      </c>
      <c r="L274" s="316">
        <f t="shared" si="36"/>
        <v>10.915838845460014</v>
      </c>
      <c r="M274" s="96">
        <f t="shared" si="41"/>
        <v>4.0137539434756473</v>
      </c>
      <c r="N274" s="37">
        <v>4.3563802029405672</v>
      </c>
      <c r="O274" s="947">
        <f t="shared" si="37"/>
        <v>0.77546602525556219</v>
      </c>
      <c r="P274" s="37">
        <f t="shared" si="38"/>
        <v>0.9452930847865304</v>
      </c>
      <c r="Q274" s="954">
        <f t="shared" si="39"/>
        <v>5.8284250485565924E-2</v>
      </c>
    </row>
    <row r="275" spans="1:17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40"/>
        <v>349.5</v>
      </c>
      <c r="G275" s="827">
        <v>11</v>
      </c>
      <c r="H275" s="330"/>
      <c r="I275" s="330"/>
      <c r="J275" s="40">
        <f t="shared" si="42"/>
        <v>11</v>
      </c>
      <c r="K275" s="72">
        <f t="shared" si="35"/>
        <v>4.4097013429545001E-3</v>
      </c>
      <c r="L275" s="316">
        <f t="shared" si="36"/>
        <v>10.006185608338345</v>
      </c>
      <c r="M275" s="96">
        <f t="shared" si="41"/>
        <v>3.67927444818601</v>
      </c>
      <c r="N275" s="37">
        <v>3.9933485193621863</v>
      </c>
      <c r="O275" s="947">
        <f t="shared" si="37"/>
        <v>0.7108438564842654</v>
      </c>
      <c r="P275" s="37">
        <f t="shared" si="38"/>
        <v>0.86651866105431963</v>
      </c>
      <c r="Q275" s="954">
        <f t="shared" si="39"/>
        <v>5.2617031280030931E-2</v>
      </c>
    </row>
    <row r="276" spans="1:17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40"/>
        <v>437.7</v>
      </c>
      <c r="G276" s="827">
        <v>11</v>
      </c>
      <c r="H276" s="330">
        <v>1</v>
      </c>
      <c r="I276" s="330">
        <v>1</v>
      </c>
      <c r="J276" s="40">
        <f t="shared" si="42"/>
        <v>13</v>
      </c>
      <c r="K276" s="72">
        <f t="shared" si="35"/>
        <v>5.211465223491682E-3</v>
      </c>
      <c r="L276" s="316">
        <f t="shared" si="36"/>
        <v>11.825492082581681</v>
      </c>
      <c r="M276" s="96">
        <f t="shared" si="41"/>
        <v>4.3482334387652841</v>
      </c>
      <c r="N276" s="37">
        <v>4.7194118865189481</v>
      </c>
      <c r="O276" s="947">
        <f t="shared" si="37"/>
        <v>0.84008819402685908</v>
      </c>
      <c r="P276" s="37">
        <f t="shared" si="38"/>
        <v>1.0240675085187414</v>
      </c>
      <c r="Q276" s="954">
        <f t="shared" si="39"/>
        <v>4.9653245606334863E-2</v>
      </c>
    </row>
    <row r="277" spans="1:17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40"/>
        <v>555.74</v>
      </c>
      <c r="G277" s="827">
        <v>13</v>
      </c>
      <c r="H277" s="330">
        <v>1</v>
      </c>
      <c r="I277" s="330"/>
      <c r="J277" s="40">
        <f t="shared" si="42"/>
        <v>14</v>
      </c>
      <c r="K277" s="72">
        <f t="shared" si="35"/>
        <v>5.6123471637602729E-3</v>
      </c>
      <c r="L277" s="316">
        <f t="shared" si="36"/>
        <v>12.735145319703349</v>
      </c>
      <c r="M277" s="96">
        <f t="shared" si="41"/>
        <v>4.6827129340549218</v>
      </c>
      <c r="N277" s="37">
        <v>5.0824435700973281</v>
      </c>
      <c r="O277" s="947">
        <f t="shared" si="37"/>
        <v>0.90471036279815598</v>
      </c>
      <c r="P277" s="37">
        <f t="shared" si="38"/>
        <v>1.1028419322509522</v>
      </c>
      <c r="Q277" s="954">
        <f t="shared" si="39"/>
        <v>4.2115039742782155E-2</v>
      </c>
    </row>
    <row r="278" spans="1:17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40"/>
        <v>396.6</v>
      </c>
      <c r="G278" s="827">
        <v>11</v>
      </c>
      <c r="H278" s="330"/>
      <c r="I278" s="330">
        <v>1</v>
      </c>
      <c r="J278" s="40">
        <f t="shared" si="42"/>
        <v>12</v>
      </c>
      <c r="K278" s="72">
        <f t="shared" si="35"/>
        <v>4.810583283223091E-3</v>
      </c>
      <c r="L278" s="316">
        <f t="shared" si="36"/>
        <v>10.915838845460014</v>
      </c>
      <c r="M278" s="96">
        <f t="shared" si="41"/>
        <v>4.0137539434756473</v>
      </c>
      <c r="N278" s="37">
        <v>4.3563802029405672</v>
      </c>
      <c r="O278" s="947">
        <f t="shared" si="37"/>
        <v>0.77546602525556219</v>
      </c>
      <c r="P278" s="37">
        <f t="shared" si="38"/>
        <v>0.9452930847865304</v>
      </c>
      <c r="Q278" s="954">
        <f t="shared" si="39"/>
        <v>5.0583557783993413E-2</v>
      </c>
    </row>
    <row r="279" spans="1:17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40"/>
        <v>1778.9</v>
      </c>
      <c r="G279" s="827">
        <v>29</v>
      </c>
      <c r="H279" s="330">
        <v>2</v>
      </c>
      <c r="I279" s="330">
        <v>2</v>
      </c>
      <c r="J279" s="40">
        <f t="shared" si="42"/>
        <v>33</v>
      </c>
      <c r="K279" s="72">
        <f t="shared" si="35"/>
        <v>1.32291040288635E-2</v>
      </c>
      <c r="L279" s="316">
        <f t="shared" si="36"/>
        <v>30.018556825015036</v>
      </c>
      <c r="M279" s="96">
        <f t="shared" si="41"/>
        <v>11.03782334455803</v>
      </c>
      <c r="N279" s="37">
        <v>11.980045558086561</v>
      </c>
      <c r="O279" s="947">
        <f t="shared" si="37"/>
        <v>2.1325315694527962</v>
      </c>
      <c r="P279" s="37">
        <f t="shared" si="38"/>
        <v>2.5995559831629587</v>
      </c>
      <c r="Q279" s="954">
        <f t="shared" si="39"/>
        <v>3.1012961547648786E-2</v>
      </c>
    </row>
    <row r="280" spans="1:17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40"/>
        <v>731.78</v>
      </c>
      <c r="G280" s="827">
        <v>21</v>
      </c>
      <c r="H280" s="330"/>
      <c r="I280" s="330">
        <v>1</v>
      </c>
      <c r="J280" s="40">
        <f t="shared" si="42"/>
        <v>22</v>
      </c>
      <c r="K280" s="72">
        <f t="shared" si="35"/>
        <v>8.8194026859090002E-3</v>
      </c>
      <c r="L280" s="316">
        <f t="shared" si="36"/>
        <v>20.012371216676691</v>
      </c>
      <c r="M280" s="96">
        <f t="shared" si="41"/>
        <v>7.35854889637202</v>
      </c>
      <c r="N280" s="37">
        <v>7.9866970387243725</v>
      </c>
      <c r="O280" s="947">
        <f t="shared" si="37"/>
        <v>1.4216877129685308</v>
      </c>
      <c r="P280" s="37">
        <f t="shared" si="38"/>
        <v>1.7330373221086393</v>
      </c>
      <c r="Q280" s="954">
        <f t="shared" si="39"/>
        <v>5.0260057482770258E-2</v>
      </c>
    </row>
    <row r="281" spans="1:17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40"/>
        <v>185.4</v>
      </c>
      <c r="G281" s="827">
        <v>6</v>
      </c>
      <c r="H281" s="330"/>
      <c r="I281" s="330"/>
      <c r="J281" s="40">
        <f t="shared" si="42"/>
        <v>6</v>
      </c>
      <c r="K281" s="72">
        <f t="shared" si="35"/>
        <v>2.4052916416115455E-3</v>
      </c>
      <c r="L281" s="316">
        <f t="shared" si="36"/>
        <v>5.457919422730007</v>
      </c>
      <c r="M281" s="96">
        <f t="shared" si="41"/>
        <v>2.0068769717378236</v>
      </c>
      <c r="N281" s="37">
        <v>2.1781901014702836</v>
      </c>
      <c r="O281" s="947">
        <f t="shared" si="37"/>
        <v>0.38773301262778109</v>
      </c>
      <c r="P281" s="37">
        <f t="shared" si="38"/>
        <v>0.4726465423932652</v>
      </c>
      <c r="Q281" s="954">
        <f t="shared" si="39"/>
        <v>5.4103125720420142E-2</v>
      </c>
    </row>
    <row r="282" spans="1:17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40"/>
        <v>478.6</v>
      </c>
      <c r="G282" s="827">
        <v>15</v>
      </c>
      <c r="H282" s="330"/>
      <c r="I282" s="330"/>
      <c r="J282" s="40">
        <f t="shared" si="42"/>
        <v>15</v>
      </c>
      <c r="K282" s="72">
        <f t="shared" si="35"/>
        <v>6.0132291040288638E-3</v>
      </c>
      <c r="L282" s="316">
        <f t="shared" si="36"/>
        <v>13.644798556825016</v>
      </c>
      <c r="M282" s="96">
        <f t="shared" si="41"/>
        <v>5.0171924293445587</v>
      </c>
      <c r="N282" s="37">
        <v>5.4454752536757089</v>
      </c>
      <c r="O282" s="947">
        <f t="shared" si="37"/>
        <v>0.96933253156945276</v>
      </c>
      <c r="P282" s="37">
        <f t="shared" si="38"/>
        <v>1.1816163559831629</v>
      </c>
      <c r="Q282" s="954">
        <f t="shared" si="39"/>
        <v>5.2396152886365933E-2</v>
      </c>
    </row>
    <row r="283" spans="1:17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40"/>
        <v>496.38</v>
      </c>
      <c r="G283" s="827">
        <v>9</v>
      </c>
      <c r="H283" s="330"/>
      <c r="I283" s="330"/>
      <c r="J283" s="40">
        <f t="shared" si="42"/>
        <v>9</v>
      </c>
      <c r="K283" s="72">
        <f t="shared" si="35"/>
        <v>3.6079374624173183E-3</v>
      </c>
      <c r="L283" s="316">
        <f t="shared" si="36"/>
        <v>8.18687913409501</v>
      </c>
      <c r="M283" s="96">
        <f t="shared" si="41"/>
        <v>3.0103154576067355</v>
      </c>
      <c r="N283" s="37">
        <v>3.2672851522054258</v>
      </c>
      <c r="O283" s="947">
        <f t="shared" si="37"/>
        <v>0.58159951894167161</v>
      </c>
      <c r="P283" s="37">
        <f t="shared" si="38"/>
        <v>0.70896981358989775</v>
      </c>
      <c r="Q283" s="954">
        <f t="shared" si="39"/>
        <v>3.0311614615514005E-2</v>
      </c>
    </row>
    <row r="284" spans="1:17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40"/>
        <v>260.8</v>
      </c>
      <c r="G284" s="827">
        <v>7</v>
      </c>
      <c r="H284" s="330"/>
      <c r="I284" s="330">
        <v>1</v>
      </c>
      <c r="J284" s="40">
        <f t="shared" si="42"/>
        <v>8</v>
      </c>
      <c r="K284" s="72">
        <f t="shared" ref="K284:K347" si="43">2/4989*J284</f>
        <v>3.2070555221487274E-3</v>
      </c>
      <c r="L284" s="316">
        <f t="shared" ref="L284:L347" si="44">K284*2269.13</f>
        <v>7.2772258969733423</v>
      </c>
      <c r="M284" s="96">
        <f t="shared" si="41"/>
        <v>2.6758359623170982</v>
      </c>
      <c r="N284" s="37">
        <v>2.9042534686270449</v>
      </c>
      <c r="O284" s="947">
        <f t="shared" ref="O284:O347" si="45">K284*161.2</f>
        <v>0.51697735017037483</v>
      </c>
      <c r="P284" s="37">
        <f t="shared" si="38"/>
        <v>0.63019538985768697</v>
      </c>
      <c r="Q284" s="954">
        <f t="shared" si="39"/>
        <v>5.1281797078557741E-2</v>
      </c>
    </row>
    <row r="285" spans="1:17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40"/>
        <v>282.8</v>
      </c>
      <c r="G285" s="827">
        <v>6</v>
      </c>
      <c r="H285" s="330"/>
      <c r="I285" s="330"/>
      <c r="J285" s="40">
        <f t="shared" si="42"/>
        <v>6</v>
      </c>
      <c r="K285" s="72">
        <f t="shared" si="43"/>
        <v>2.4052916416115455E-3</v>
      </c>
      <c r="L285" s="316">
        <f t="shared" si="44"/>
        <v>5.457919422730007</v>
      </c>
      <c r="M285" s="96">
        <f t="shared" si="41"/>
        <v>2.0068769717378236</v>
      </c>
      <c r="N285" s="37">
        <v>2.1781901014702836</v>
      </c>
      <c r="O285" s="947">
        <f t="shared" si="45"/>
        <v>0.38773301262778109</v>
      </c>
      <c r="P285" s="37">
        <f t="shared" ref="P285:P348" si="46">O285*1.219</f>
        <v>0.4726465423932652</v>
      </c>
      <c r="Q285" s="954">
        <f t="shared" si="39"/>
        <v>3.5469305192948705E-2</v>
      </c>
    </row>
    <row r="286" spans="1:17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40"/>
        <v>227.3</v>
      </c>
      <c r="G286" s="827">
        <v>5</v>
      </c>
      <c r="H286" s="330"/>
      <c r="I286" s="330"/>
      <c r="J286" s="40">
        <f t="shared" si="42"/>
        <v>5</v>
      </c>
      <c r="K286" s="72">
        <f t="shared" si="43"/>
        <v>2.0044097013429546E-3</v>
      </c>
      <c r="L286" s="316">
        <f t="shared" si="44"/>
        <v>4.5482661856083384</v>
      </c>
      <c r="M286" s="96">
        <f t="shared" si="41"/>
        <v>1.6723974764481861</v>
      </c>
      <c r="N286" s="37">
        <v>1.8151584178919031</v>
      </c>
      <c r="O286" s="947">
        <f t="shared" si="45"/>
        <v>0.32311084385648425</v>
      </c>
      <c r="P286" s="37">
        <f t="shared" si="46"/>
        <v>0.39387211866105432</v>
      </c>
      <c r="Q286" s="954">
        <f t="shared" si="39"/>
        <v>3.6774891877716279E-2</v>
      </c>
    </row>
    <row r="287" spans="1:17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40"/>
        <v>7849.73</v>
      </c>
      <c r="G287" s="827">
        <v>192</v>
      </c>
      <c r="H287" s="330"/>
      <c r="I287" s="330"/>
      <c r="J287" s="40">
        <f t="shared" si="42"/>
        <v>192</v>
      </c>
      <c r="K287" s="72">
        <f t="shared" si="43"/>
        <v>7.6969332531569457E-2</v>
      </c>
      <c r="L287" s="316">
        <f t="shared" si="44"/>
        <v>174.65342152736022</v>
      </c>
      <c r="M287" s="96">
        <f t="shared" si="41"/>
        <v>64.220063095610357</v>
      </c>
      <c r="N287" s="37">
        <v>69.702083247049075</v>
      </c>
      <c r="O287" s="947">
        <f t="shared" si="45"/>
        <v>12.407456404088995</v>
      </c>
      <c r="P287" s="37">
        <f t="shared" si="46"/>
        <v>15.124689356584486</v>
      </c>
      <c r="Q287" s="954">
        <f t="shared" si="39"/>
        <v>4.0890963673159288E-2</v>
      </c>
    </row>
    <row r="288" spans="1:17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40"/>
        <v>454.20000000000005</v>
      </c>
      <c r="G288" s="827">
        <v>13</v>
      </c>
      <c r="H288" s="330">
        <v>1</v>
      </c>
      <c r="I288" s="330">
        <v>1</v>
      </c>
      <c r="J288" s="40">
        <f t="shared" si="42"/>
        <v>15</v>
      </c>
      <c r="K288" s="72">
        <f t="shared" si="43"/>
        <v>6.0132291040288638E-3</v>
      </c>
      <c r="L288" s="316">
        <f t="shared" si="44"/>
        <v>13.644798556825016</v>
      </c>
      <c r="M288" s="96">
        <f t="shared" si="41"/>
        <v>5.0171924293445587</v>
      </c>
      <c r="N288" s="37">
        <v>5.4454752536757089</v>
      </c>
      <c r="O288" s="947">
        <f t="shared" si="45"/>
        <v>0.96933253156945276</v>
      </c>
      <c r="P288" s="37">
        <f t="shared" si="46"/>
        <v>1.1816163559831629</v>
      </c>
      <c r="Q288" s="954">
        <f t="shared" si="39"/>
        <v>5.5210917594484224E-2</v>
      </c>
    </row>
    <row r="289" spans="1:17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40"/>
        <v>493.90000000000003</v>
      </c>
      <c r="G289" s="827">
        <v>13</v>
      </c>
      <c r="H289" s="330">
        <v>1</v>
      </c>
      <c r="I289" s="330">
        <v>1</v>
      </c>
      <c r="J289" s="40">
        <f t="shared" si="42"/>
        <v>15</v>
      </c>
      <c r="K289" s="72">
        <f t="shared" si="43"/>
        <v>6.0132291040288638E-3</v>
      </c>
      <c r="L289" s="316">
        <f t="shared" si="44"/>
        <v>13.644798556825016</v>
      </c>
      <c r="M289" s="96">
        <f t="shared" si="41"/>
        <v>5.0171924293445587</v>
      </c>
      <c r="N289" s="37">
        <v>5.4454752536757089</v>
      </c>
      <c r="O289" s="947">
        <f t="shared" si="45"/>
        <v>0.96933253156945276</v>
      </c>
      <c r="P289" s="37">
        <f t="shared" si="46"/>
        <v>1.1816163559831629</v>
      </c>
      <c r="Q289" s="954">
        <f t="shared" si="39"/>
        <v>5.07730284904125E-2</v>
      </c>
    </row>
    <row r="290" spans="1:17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40"/>
        <v>698.82</v>
      </c>
      <c r="G290" s="827">
        <v>16</v>
      </c>
      <c r="H290" s="330"/>
      <c r="I290" s="330">
        <v>2</v>
      </c>
      <c r="J290" s="40">
        <f t="shared" si="42"/>
        <v>18</v>
      </c>
      <c r="K290" s="72">
        <f t="shared" si="43"/>
        <v>7.2158749248346366E-3</v>
      </c>
      <c r="L290" s="316">
        <f t="shared" si="44"/>
        <v>16.37375826819002</v>
      </c>
      <c r="M290" s="96">
        <f t="shared" si="41"/>
        <v>6.0206309152134709</v>
      </c>
      <c r="N290" s="37">
        <v>6.5345703044108516</v>
      </c>
      <c r="O290" s="947">
        <f t="shared" si="45"/>
        <v>1.1631990378833432</v>
      </c>
      <c r="P290" s="37">
        <f t="shared" si="46"/>
        <v>1.4179396271797955</v>
      </c>
      <c r="Q290" s="954">
        <f t="shared" si="39"/>
        <v>4.3061387089232822E-2</v>
      </c>
    </row>
    <row r="291" spans="1:17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40"/>
        <v>559.52</v>
      </c>
      <c r="G291" s="827">
        <v>15</v>
      </c>
      <c r="H291" s="330">
        <v>1</v>
      </c>
      <c r="I291" s="330">
        <v>1</v>
      </c>
      <c r="J291" s="40">
        <f t="shared" si="42"/>
        <v>17</v>
      </c>
      <c r="K291" s="72">
        <f t="shared" si="43"/>
        <v>6.8149929845660456E-3</v>
      </c>
      <c r="L291" s="316">
        <f t="shared" si="44"/>
        <v>15.464105031068351</v>
      </c>
      <c r="M291" s="96">
        <f t="shared" si="41"/>
        <v>5.6861514199238332</v>
      </c>
      <c r="N291" s="37">
        <v>6.1715386208324707</v>
      </c>
      <c r="O291" s="947">
        <f t="shared" si="45"/>
        <v>1.0985768691120466</v>
      </c>
      <c r="P291" s="37">
        <f t="shared" si="46"/>
        <v>1.3391652034475849</v>
      </c>
      <c r="Q291" s="954">
        <f t="shared" si="39"/>
        <v>5.0794202067730741E-2</v>
      </c>
    </row>
    <row r="292" spans="1:17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40"/>
        <v>958</v>
      </c>
      <c r="G292" s="827">
        <v>19</v>
      </c>
      <c r="H292" s="330">
        <v>1</v>
      </c>
      <c r="I292" s="330"/>
      <c r="J292" s="40">
        <f t="shared" si="42"/>
        <v>20</v>
      </c>
      <c r="K292" s="72">
        <f t="shared" si="43"/>
        <v>8.0176388053718184E-3</v>
      </c>
      <c r="L292" s="316">
        <f t="shared" si="44"/>
        <v>18.193064742433354</v>
      </c>
      <c r="M292" s="96">
        <f t="shared" si="41"/>
        <v>6.6895899057927446</v>
      </c>
      <c r="N292" s="37">
        <v>7.2606336715676125</v>
      </c>
      <c r="O292" s="947">
        <f t="shared" si="45"/>
        <v>1.292443375425937</v>
      </c>
      <c r="P292" s="37">
        <f t="shared" si="46"/>
        <v>1.5754884746442173</v>
      </c>
      <c r="Q292" s="954">
        <f t="shared" si="39"/>
        <v>3.49015988467846E-2</v>
      </c>
    </row>
    <row r="293" spans="1:17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40"/>
        <v>700</v>
      </c>
      <c r="G293" s="827">
        <v>22</v>
      </c>
      <c r="H293" s="330">
        <v>1</v>
      </c>
      <c r="I293" s="330"/>
      <c r="J293" s="40">
        <f t="shared" si="42"/>
        <v>23</v>
      </c>
      <c r="K293" s="72">
        <f t="shared" si="43"/>
        <v>9.2202846261775911E-3</v>
      </c>
      <c r="L293" s="316">
        <f t="shared" si="44"/>
        <v>20.922024453798358</v>
      </c>
      <c r="M293" s="96">
        <f t="shared" si="41"/>
        <v>7.6930283916616569</v>
      </c>
      <c r="N293" s="37">
        <v>8.3497287223027534</v>
      </c>
      <c r="O293" s="947">
        <f t="shared" si="45"/>
        <v>1.4863098817398277</v>
      </c>
      <c r="P293" s="37">
        <f t="shared" si="46"/>
        <v>1.81181174584085</v>
      </c>
      <c r="Q293" s="954">
        <f t="shared" si="39"/>
        <v>5.4930130642146573E-2</v>
      </c>
    </row>
    <row r="294" spans="1:17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40"/>
        <v>209.86</v>
      </c>
      <c r="G294" s="827">
        <v>6</v>
      </c>
      <c r="H294" s="330"/>
      <c r="I294" s="330"/>
      <c r="J294" s="40">
        <f t="shared" si="42"/>
        <v>6</v>
      </c>
      <c r="K294" s="72">
        <f t="shared" si="43"/>
        <v>2.4052916416115455E-3</v>
      </c>
      <c r="L294" s="316">
        <f t="shared" si="44"/>
        <v>5.457919422730007</v>
      </c>
      <c r="M294" s="96">
        <f t="shared" si="41"/>
        <v>2.0068769717378236</v>
      </c>
      <c r="N294" s="37">
        <v>2.1781901014702836</v>
      </c>
      <c r="O294" s="947">
        <f t="shared" si="45"/>
        <v>0.38773301262778109</v>
      </c>
      <c r="P294" s="37">
        <f t="shared" si="46"/>
        <v>0.4726465423932652</v>
      </c>
      <c r="Q294" s="954">
        <f t="shared" si="39"/>
        <v>4.7797195790364504E-2</v>
      </c>
    </row>
    <row r="295" spans="1:17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40"/>
        <v>577.53</v>
      </c>
      <c r="G295" s="827">
        <v>18</v>
      </c>
      <c r="H295" s="330"/>
      <c r="I295" s="330"/>
      <c r="J295" s="40">
        <f t="shared" si="42"/>
        <v>18</v>
      </c>
      <c r="K295" s="72">
        <f t="shared" si="43"/>
        <v>7.2158749248346366E-3</v>
      </c>
      <c r="L295" s="316">
        <f t="shared" si="44"/>
        <v>16.37375826819002</v>
      </c>
      <c r="M295" s="96">
        <f t="shared" si="41"/>
        <v>6.0206309152134709</v>
      </c>
      <c r="N295" s="37">
        <v>6.5345703044108516</v>
      </c>
      <c r="O295" s="947">
        <f t="shared" si="45"/>
        <v>1.1631990378833432</v>
      </c>
      <c r="P295" s="37">
        <f t="shared" si="46"/>
        <v>1.4179396271797955</v>
      </c>
      <c r="Q295" s="954">
        <f t="shared" si="39"/>
        <v>5.2104927061274196E-2</v>
      </c>
    </row>
    <row r="296" spans="1:17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40"/>
        <v>265.16000000000003</v>
      </c>
      <c r="G296" s="827">
        <v>8</v>
      </c>
      <c r="H296" s="330"/>
      <c r="I296" s="330"/>
      <c r="J296" s="40">
        <f t="shared" si="42"/>
        <v>8</v>
      </c>
      <c r="K296" s="72">
        <f t="shared" si="43"/>
        <v>3.2070555221487274E-3</v>
      </c>
      <c r="L296" s="316">
        <f t="shared" si="44"/>
        <v>7.2772258969733423</v>
      </c>
      <c r="M296" s="96">
        <f t="shared" si="41"/>
        <v>2.6758359623170982</v>
      </c>
      <c r="N296" s="37">
        <v>2.9042534686270449</v>
      </c>
      <c r="O296" s="947">
        <f t="shared" si="45"/>
        <v>0.51697735017037483</v>
      </c>
      <c r="P296" s="37">
        <f t="shared" si="46"/>
        <v>0.63019538985768697</v>
      </c>
      <c r="Q296" s="954">
        <f t="shared" si="39"/>
        <v>5.0438575494372674E-2</v>
      </c>
    </row>
    <row r="297" spans="1:17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40"/>
        <v>134.88</v>
      </c>
      <c r="G297" s="827">
        <v>4</v>
      </c>
      <c r="H297" s="330"/>
      <c r="I297" s="330"/>
      <c r="J297" s="40">
        <f t="shared" si="42"/>
        <v>4</v>
      </c>
      <c r="K297" s="72">
        <f t="shared" si="43"/>
        <v>1.6035277610743637E-3</v>
      </c>
      <c r="L297" s="316">
        <f t="shared" si="44"/>
        <v>3.6386129484866712</v>
      </c>
      <c r="M297" s="96">
        <f t="shared" si="41"/>
        <v>1.3379179811585491</v>
      </c>
      <c r="N297" s="37">
        <v>1.4521267343135225</v>
      </c>
      <c r="O297" s="947">
        <f t="shared" si="45"/>
        <v>0.25848867508518741</v>
      </c>
      <c r="P297" s="37">
        <f t="shared" si="46"/>
        <v>0.31509769492884349</v>
      </c>
      <c r="Q297" s="954">
        <f t="shared" si="39"/>
        <v>4.9578487092555829E-2</v>
      </c>
    </row>
    <row r="298" spans="1:17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40"/>
        <v>427.34000000000003</v>
      </c>
      <c r="G298" s="827">
        <v>7</v>
      </c>
      <c r="H298" s="330"/>
      <c r="I298" s="330">
        <v>1</v>
      </c>
      <c r="J298" s="40">
        <f t="shared" si="42"/>
        <v>8</v>
      </c>
      <c r="K298" s="72">
        <f t="shared" si="43"/>
        <v>3.2070555221487274E-3</v>
      </c>
      <c r="L298" s="316">
        <f t="shared" si="44"/>
        <v>7.2772258969733423</v>
      </c>
      <c r="M298" s="96">
        <f t="shared" si="41"/>
        <v>2.6758359623170982</v>
      </c>
      <c r="N298" s="37">
        <v>2.9042534686270449</v>
      </c>
      <c r="O298" s="947">
        <f t="shared" si="45"/>
        <v>0.51697735017037483</v>
      </c>
      <c r="P298" s="37">
        <f t="shared" si="46"/>
        <v>0.63019538985768697</v>
      </c>
      <c r="Q298" s="954">
        <f t="shared" si="39"/>
        <v>3.1296608503973089E-2</v>
      </c>
    </row>
    <row r="299" spans="1:17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40"/>
        <v>603</v>
      </c>
      <c r="G299" s="827">
        <v>13</v>
      </c>
      <c r="H299" s="330"/>
      <c r="I299" s="330">
        <v>1</v>
      </c>
      <c r="J299" s="40">
        <f t="shared" si="42"/>
        <v>14</v>
      </c>
      <c r="K299" s="72">
        <f t="shared" si="43"/>
        <v>5.6123471637602729E-3</v>
      </c>
      <c r="L299" s="316">
        <f t="shared" si="44"/>
        <v>12.735145319703349</v>
      </c>
      <c r="M299" s="96">
        <f t="shared" si="41"/>
        <v>4.6827129340549218</v>
      </c>
      <c r="N299" s="37">
        <v>5.0824435700973281</v>
      </c>
      <c r="O299" s="947">
        <f t="shared" si="45"/>
        <v>0.90471036279815598</v>
      </c>
      <c r="P299" s="37">
        <f t="shared" si="46"/>
        <v>1.1028419322509522</v>
      </c>
      <c r="Q299" s="954">
        <f t="shared" si="39"/>
        <v>3.8814282233256642E-2</v>
      </c>
    </row>
    <row r="300" spans="1:17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40"/>
        <v>375.70000000000005</v>
      </c>
      <c r="G300" s="827">
        <v>9</v>
      </c>
      <c r="H300" s="330">
        <v>1</v>
      </c>
      <c r="I300" s="330"/>
      <c r="J300" s="40">
        <f t="shared" si="42"/>
        <v>10</v>
      </c>
      <c r="K300" s="72">
        <f t="shared" si="43"/>
        <v>4.0088194026859092E-3</v>
      </c>
      <c r="L300" s="316">
        <f t="shared" si="44"/>
        <v>9.0965323712166768</v>
      </c>
      <c r="M300" s="96">
        <f t="shared" si="41"/>
        <v>3.3447949528963723</v>
      </c>
      <c r="N300" s="37">
        <v>3.6303168357838063</v>
      </c>
      <c r="O300" s="947">
        <f t="shared" si="45"/>
        <v>0.64622168771296851</v>
      </c>
      <c r="P300" s="37">
        <f t="shared" si="46"/>
        <v>0.78774423732210863</v>
      </c>
      <c r="Q300" s="954">
        <f t="shared" si="39"/>
        <v>4.4497912823023213E-2</v>
      </c>
    </row>
    <row r="301" spans="1:17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40"/>
        <v>607.62</v>
      </c>
      <c r="G301" s="827">
        <v>13</v>
      </c>
      <c r="H301" s="330"/>
      <c r="I301" s="330">
        <v>1</v>
      </c>
      <c r="J301" s="40">
        <f t="shared" si="42"/>
        <v>14</v>
      </c>
      <c r="K301" s="72">
        <f t="shared" si="43"/>
        <v>5.6123471637602729E-3</v>
      </c>
      <c r="L301" s="316">
        <f t="shared" si="44"/>
        <v>12.735145319703349</v>
      </c>
      <c r="M301" s="96">
        <f t="shared" si="41"/>
        <v>4.6827129340549218</v>
      </c>
      <c r="N301" s="37">
        <v>5.0824435700973281</v>
      </c>
      <c r="O301" s="947">
        <f t="shared" si="45"/>
        <v>0.90471036279815598</v>
      </c>
      <c r="P301" s="37">
        <f t="shared" si="46"/>
        <v>1.1028419322509522</v>
      </c>
      <c r="Q301" s="954">
        <f t="shared" si="39"/>
        <v>3.8519160308504913E-2</v>
      </c>
    </row>
    <row r="302" spans="1:17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40"/>
        <v>400.32000000000005</v>
      </c>
      <c r="G302" s="827">
        <v>11</v>
      </c>
      <c r="H302" s="330"/>
      <c r="I302" s="330">
        <v>1</v>
      </c>
      <c r="J302" s="40">
        <f t="shared" si="42"/>
        <v>12</v>
      </c>
      <c r="K302" s="72">
        <f t="shared" si="43"/>
        <v>4.810583283223091E-3</v>
      </c>
      <c r="L302" s="316">
        <f t="shared" si="44"/>
        <v>10.915838845460014</v>
      </c>
      <c r="M302" s="96">
        <f t="shared" si="41"/>
        <v>4.0137539434756473</v>
      </c>
      <c r="N302" s="37">
        <v>4.3563802029405672</v>
      </c>
      <c r="O302" s="947">
        <f t="shared" si="45"/>
        <v>0.77546602525556219</v>
      </c>
      <c r="P302" s="37">
        <f t="shared" si="46"/>
        <v>0.9452930847865304</v>
      </c>
      <c r="Q302" s="954">
        <f t="shared" si="39"/>
        <v>5.0113506737439514E-2</v>
      </c>
    </row>
    <row r="303" spans="1:17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40"/>
        <v>311.52000000000004</v>
      </c>
      <c r="G303" s="827">
        <v>5</v>
      </c>
      <c r="H303" s="330"/>
      <c r="I303" s="330">
        <v>1</v>
      </c>
      <c r="J303" s="40">
        <f t="shared" si="42"/>
        <v>6</v>
      </c>
      <c r="K303" s="72">
        <f t="shared" si="43"/>
        <v>2.4052916416115455E-3</v>
      </c>
      <c r="L303" s="316">
        <f t="shared" si="44"/>
        <v>5.457919422730007</v>
      </c>
      <c r="M303" s="96">
        <f t="shared" si="41"/>
        <v>2.0068769717378236</v>
      </c>
      <c r="N303" s="37">
        <v>2.1781901014702836</v>
      </c>
      <c r="O303" s="947">
        <f t="shared" si="45"/>
        <v>0.38773301262778109</v>
      </c>
      <c r="P303" s="37">
        <f t="shared" si="46"/>
        <v>0.4726465423932652</v>
      </c>
      <c r="Q303" s="954">
        <f t="shared" si="39"/>
        <v>3.2199279367507362E-2</v>
      </c>
    </row>
    <row r="304" spans="1:17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40"/>
        <v>451.70000000000005</v>
      </c>
      <c r="G304" s="827">
        <v>11</v>
      </c>
      <c r="H304" s="330">
        <v>1</v>
      </c>
      <c r="I304" s="330"/>
      <c r="J304" s="40">
        <f t="shared" si="42"/>
        <v>12</v>
      </c>
      <c r="K304" s="72">
        <f t="shared" si="43"/>
        <v>4.810583283223091E-3</v>
      </c>
      <c r="L304" s="316">
        <f t="shared" si="44"/>
        <v>10.915838845460014</v>
      </c>
      <c r="M304" s="96">
        <f t="shared" si="41"/>
        <v>4.0137539434756473</v>
      </c>
      <c r="N304" s="37">
        <v>4.3563802029405672</v>
      </c>
      <c r="O304" s="947">
        <f t="shared" si="45"/>
        <v>0.77546602525556219</v>
      </c>
      <c r="P304" s="37">
        <f t="shared" si="46"/>
        <v>0.9452930847865304</v>
      </c>
      <c r="Q304" s="954">
        <f t="shared" si="39"/>
        <v>4.4413192422253236E-2</v>
      </c>
    </row>
    <row r="305" spans="1:17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40"/>
        <v>529.70000000000005</v>
      </c>
      <c r="G305" s="827">
        <v>17</v>
      </c>
      <c r="H305" s="330">
        <v>1</v>
      </c>
      <c r="I305" s="330">
        <v>1</v>
      </c>
      <c r="J305" s="40">
        <f t="shared" si="42"/>
        <v>19</v>
      </c>
      <c r="K305" s="72">
        <f t="shared" si="43"/>
        <v>7.6167568651032275E-3</v>
      </c>
      <c r="L305" s="316">
        <f t="shared" si="44"/>
        <v>17.283411505311687</v>
      </c>
      <c r="M305" s="96">
        <f t="shared" si="41"/>
        <v>6.3551104105031078</v>
      </c>
      <c r="N305" s="37">
        <v>6.8976019879892316</v>
      </c>
      <c r="O305" s="947">
        <f t="shared" si="45"/>
        <v>1.2278212066546401</v>
      </c>
      <c r="P305" s="37">
        <f t="shared" si="46"/>
        <v>1.4967140509120065</v>
      </c>
      <c r="Q305" s="954">
        <f t="shared" si="39"/>
        <v>5.9965914877210993E-2</v>
      </c>
    </row>
    <row r="306" spans="1:17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40"/>
        <v>306.10000000000002</v>
      </c>
      <c r="G306" s="827">
        <v>7</v>
      </c>
      <c r="H306" s="330"/>
      <c r="I306" s="330">
        <v>1</v>
      </c>
      <c r="J306" s="40">
        <f t="shared" si="42"/>
        <v>8</v>
      </c>
      <c r="K306" s="72">
        <f t="shared" si="43"/>
        <v>3.2070555221487274E-3</v>
      </c>
      <c r="L306" s="316">
        <f t="shared" si="44"/>
        <v>7.2772258969733423</v>
      </c>
      <c r="M306" s="96">
        <f t="shared" si="41"/>
        <v>2.6758359623170982</v>
      </c>
      <c r="N306" s="37">
        <v>2.9042534686270449</v>
      </c>
      <c r="O306" s="947">
        <f t="shared" si="45"/>
        <v>0.51697735017037483</v>
      </c>
      <c r="P306" s="37">
        <f t="shared" si="46"/>
        <v>0.63019538985768697</v>
      </c>
      <c r="Q306" s="954">
        <f t="shared" si="39"/>
        <v>4.3692560202835212E-2</v>
      </c>
    </row>
    <row r="307" spans="1:17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40"/>
        <v>551.6</v>
      </c>
      <c r="G307" s="827">
        <v>10</v>
      </c>
      <c r="H307" s="330"/>
      <c r="I307" s="330"/>
      <c r="J307" s="40">
        <f t="shared" si="42"/>
        <v>10</v>
      </c>
      <c r="K307" s="72">
        <f t="shared" si="43"/>
        <v>4.0088194026859092E-3</v>
      </c>
      <c r="L307" s="316">
        <f t="shared" si="44"/>
        <v>9.0965323712166768</v>
      </c>
      <c r="M307" s="96">
        <f t="shared" si="41"/>
        <v>3.3447949528963723</v>
      </c>
      <c r="N307" s="37">
        <v>3.6303168357838063</v>
      </c>
      <c r="O307" s="947">
        <f t="shared" si="45"/>
        <v>0.64622168771296851</v>
      </c>
      <c r="P307" s="37">
        <f t="shared" si="46"/>
        <v>0.78774423732210863</v>
      </c>
      <c r="Q307" s="954">
        <f t="shared" si="39"/>
        <v>3.0307951137798807E-2</v>
      </c>
    </row>
    <row r="308" spans="1:17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40"/>
        <v>329.2</v>
      </c>
      <c r="G308" s="827">
        <v>6</v>
      </c>
      <c r="H308" s="330"/>
      <c r="I308" s="330">
        <v>1</v>
      </c>
      <c r="J308" s="40">
        <f t="shared" si="42"/>
        <v>7</v>
      </c>
      <c r="K308" s="72">
        <f t="shared" si="43"/>
        <v>2.8061735818801364E-3</v>
      </c>
      <c r="L308" s="316">
        <f t="shared" si="44"/>
        <v>6.3675726598516746</v>
      </c>
      <c r="M308" s="96">
        <f t="shared" si="41"/>
        <v>2.3413564670274609</v>
      </c>
      <c r="N308" s="37">
        <v>2.541221785048664</v>
      </c>
      <c r="O308" s="947">
        <f t="shared" si="45"/>
        <v>0.45235518139907799</v>
      </c>
      <c r="P308" s="37">
        <f t="shared" si="46"/>
        <v>0.55142096612547609</v>
      </c>
      <c r="Q308" s="954">
        <f t="shared" si="39"/>
        <v>3.5548317415938273E-2</v>
      </c>
    </row>
    <row r="309" spans="1:17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40"/>
        <v>631.40000000000009</v>
      </c>
      <c r="G309" s="827">
        <v>12</v>
      </c>
      <c r="H309" s="330">
        <v>1</v>
      </c>
      <c r="I309" s="330"/>
      <c r="J309" s="40">
        <f t="shared" si="42"/>
        <v>13</v>
      </c>
      <c r="K309" s="72">
        <f t="shared" si="43"/>
        <v>5.211465223491682E-3</v>
      </c>
      <c r="L309" s="316">
        <f t="shared" si="44"/>
        <v>11.825492082581681</v>
      </c>
      <c r="M309" s="96">
        <f t="shared" si="41"/>
        <v>4.3482334387652841</v>
      </c>
      <c r="N309" s="37">
        <v>4.7194118865189481</v>
      </c>
      <c r="O309" s="947">
        <f t="shared" si="45"/>
        <v>0.84008819402685908</v>
      </c>
      <c r="P309" s="37">
        <f t="shared" si="46"/>
        <v>1.0240675085187414</v>
      </c>
      <c r="Q309" s="954">
        <f t="shared" si="39"/>
        <v>3.4420693066032258E-2</v>
      </c>
    </row>
    <row r="310" spans="1:17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40"/>
        <v>373.3</v>
      </c>
      <c r="G310" s="827">
        <v>8</v>
      </c>
      <c r="H310" s="330"/>
      <c r="I310" s="330"/>
      <c r="J310" s="40">
        <f t="shared" si="42"/>
        <v>8</v>
      </c>
      <c r="K310" s="72">
        <f t="shared" si="43"/>
        <v>3.2070555221487274E-3</v>
      </c>
      <c r="L310" s="316">
        <f t="shared" si="44"/>
        <v>7.2772258969733423</v>
      </c>
      <c r="M310" s="96">
        <f t="shared" si="41"/>
        <v>2.6758359623170982</v>
      </c>
      <c r="N310" s="37">
        <v>2.9042534686270449</v>
      </c>
      <c r="O310" s="947">
        <f t="shared" si="45"/>
        <v>0.51697735017037483</v>
      </c>
      <c r="P310" s="37">
        <f t="shared" si="46"/>
        <v>0.63019538985768697</v>
      </c>
      <c r="Q310" s="954">
        <f t="shared" si="39"/>
        <v>3.5827197101762284E-2</v>
      </c>
    </row>
    <row r="311" spans="1:17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40"/>
        <v>918.4</v>
      </c>
      <c r="G311" s="827">
        <v>17</v>
      </c>
      <c r="H311" s="330"/>
      <c r="I311" s="330">
        <v>1</v>
      </c>
      <c r="J311" s="40">
        <f t="shared" si="42"/>
        <v>18</v>
      </c>
      <c r="K311" s="72">
        <f t="shared" si="43"/>
        <v>7.2158749248346366E-3</v>
      </c>
      <c r="L311" s="316">
        <f t="shared" si="44"/>
        <v>16.37375826819002</v>
      </c>
      <c r="M311" s="96">
        <f t="shared" si="41"/>
        <v>6.0206309152134709</v>
      </c>
      <c r="N311" s="37">
        <v>6.5345703044108516</v>
      </c>
      <c r="O311" s="947">
        <f t="shared" si="45"/>
        <v>1.1631990378833432</v>
      </c>
      <c r="P311" s="37">
        <f t="shared" si="46"/>
        <v>1.4179396271797955</v>
      </c>
      <c r="Q311" s="954">
        <f t="shared" si="39"/>
        <v>3.2765852053242256E-2</v>
      </c>
    </row>
    <row r="312" spans="1:17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40"/>
        <v>778.80000000000007</v>
      </c>
      <c r="G312" s="827">
        <v>13</v>
      </c>
      <c r="H312" s="330"/>
      <c r="I312" s="330">
        <v>1</v>
      </c>
      <c r="J312" s="40">
        <f t="shared" si="42"/>
        <v>14</v>
      </c>
      <c r="K312" s="72">
        <f t="shared" si="43"/>
        <v>5.6123471637602729E-3</v>
      </c>
      <c r="L312" s="316">
        <f t="shared" si="44"/>
        <v>12.735145319703349</v>
      </c>
      <c r="M312" s="96">
        <f t="shared" si="41"/>
        <v>4.6827129340549218</v>
      </c>
      <c r="N312" s="37">
        <v>5.0824435700973281</v>
      </c>
      <c r="O312" s="947">
        <f t="shared" si="45"/>
        <v>0.90471036279815598</v>
      </c>
      <c r="P312" s="37">
        <f t="shared" si="46"/>
        <v>1.1028419322509522</v>
      </c>
      <c r="Q312" s="954">
        <f t="shared" si="39"/>
        <v>3.0052660743006877E-2</v>
      </c>
    </row>
    <row r="313" spans="1:17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40"/>
        <v>806.91</v>
      </c>
      <c r="G313" s="827">
        <v>14</v>
      </c>
      <c r="H313" s="330"/>
      <c r="I313" s="330"/>
      <c r="J313" s="40">
        <f t="shared" si="42"/>
        <v>14</v>
      </c>
      <c r="K313" s="72">
        <f t="shared" si="43"/>
        <v>5.6123471637602729E-3</v>
      </c>
      <c r="L313" s="316">
        <f t="shared" si="44"/>
        <v>12.735145319703349</v>
      </c>
      <c r="M313" s="96">
        <f t="shared" si="41"/>
        <v>4.6827129340549218</v>
      </c>
      <c r="N313" s="37">
        <v>5.0824435700973281</v>
      </c>
      <c r="O313" s="947">
        <f t="shared" si="45"/>
        <v>0.90471036279815598</v>
      </c>
      <c r="P313" s="37">
        <f t="shared" si="46"/>
        <v>1.1028419322509522</v>
      </c>
      <c r="Q313" s="954">
        <f t="shared" si="39"/>
        <v>2.9005728255510229E-2</v>
      </c>
    </row>
    <row r="314" spans="1:17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40"/>
        <v>805</v>
      </c>
      <c r="G314" s="827">
        <v>14</v>
      </c>
      <c r="H314" s="330"/>
      <c r="I314" s="330">
        <v>1</v>
      </c>
      <c r="J314" s="40">
        <f t="shared" si="42"/>
        <v>15</v>
      </c>
      <c r="K314" s="72">
        <f t="shared" si="43"/>
        <v>6.0132291040288638E-3</v>
      </c>
      <c r="L314" s="316">
        <f t="shared" si="44"/>
        <v>13.644798556825016</v>
      </c>
      <c r="M314" s="96">
        <f t="shared" si="41"/>
        <v>5.0171924293445587</v>
      </c>
      <c r="N314" s="37">
        <v>5.4454752536757089</v>
      </c>
      <c r="O314" s="947">
        <f t="shared" si="45"/>
        <v>0.96933253156945276</v>
      </c>
      <c r="P314" s="37">
        <f t="shared" si="46"/>
        <v>1.1816163559831629</v>
      </c>
      <c r="Q314" s="954">
        <f t="shared" si="39"/>
        <v>3.1151302821633212E-2</v>
      </c>
    </row>
    <row r="315" spans="1:17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40"/>
        <v>491.9</v>
      </c>
      <c r="G315" s="827">
        <v>12</v>
      </c>
      <c r="H315" s="330"/>
      <c r="I315" s="330">
        <v>1</v>
      </c>
      <c r="J315" s="40">
        <f t="shared" si="42"/>
        <v>13</v>
      </c>
      <c r="K315" s="72">
        <f t="shared" si="43"/>
        <v>5.211465223491682E-3</v>
      </c>
      <c r="L315" s="316">
        <f t="shared" si="44"/>
        <v>11.825492082581681</v>
      </c>
      <c r="M315" s="96">
        <f t="shared" si="41"/>
        <v>4.3482334387652841</v>
      </c>
      <c r="N315" s="37">
        <v>4.7194118865189481</v>
      </c>
      <c r="O315" s="947">
        <f t="shared" si="45"/>
        <v>0.84008819402685908</v>
      </c>
      <c r="P315" s="37">
        <f t="shared" si="46"/>
        <v>1.0240675085187414</v>
      </c>
      <c r="Q315" s="954">
        <f t="shared" si="39"/>
        <v>4.4182202890613483E-2</v>
      </c>
    </row>
    <row r="316" spans="1:17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40"/>
        <v>640.20000000000005</v>
      </c>
      <c r="G316" s="827">
        <v>16</v>
      </c>
      <c r="H316" s="330"/>
      <c r="I316" s="330"/>
      <c r="J316" s="40">
        <f t="shared" si="42"/>
        <v>16</v>
      </c>
      <c r="K316" s="72">
        <f t="shared" si="43"/>
        <v>6.4141110442974547E-3</v>
      </c>
      <c r="L316" s="316">
        <f t="shared" si="44"/>
        <v>14.554451793946685</v>
      </c>
      <c r="M316" s="96">
        <f t="shared" si="41"/>
        <v>5.3516719246341964</v>
      </c>
      <c r="N316" s="37">
        <v>5.8085069372540898</v>
      </c>
      <c r="O316" s="947">
        <f t="shared" si="45"/>
        <v>1.0339547003407497</v>
      </c>
      <c r="P316" s="37">
        <f t="shared" si="46"/>
        <v>1.2603907797153739</v>
      </c>
      <c r="Q316" s="954">
        <f t="shared" si="39"/>
        <v>4.1781607866566255E-2</v>
      </c>
    </row>
    <row r="317" spans="1:17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40"/>
        <v>537.94000000000005</v>
      </c>
      <c r="G317" s="827">
        <v>9</v>
      </c>
      <c r="H317" s="330"/>
      <c r="I317" s="330"/>
      <c r="J317" s="40">
        <f t="shared" si="42"/>
        <v>9</v>
      </c>
      <c r="K317" s="72">
        <f t="shared" si="43"/>
        <v>3.6079374624173183E-3</v>
      </c>
      <c r="L317" s="316">
        <f t="shared" si="44"/>
        <v>8.18687913409501</v>
      </c>
      <c r="M317" s="96">
        <f t="shared" si="41"/>
        <v>3.0103154576067355</v>
      </c>
      <c r="N317" s="37">
        <v>3.2672851522054258</v>
      </c>
      <c r="O317" s="947">
        <f t="shared" si="45"/>
        <v>0.58159951894167161</v>
      </c>
      <c r="P317" s="37">
        <f t="shared" si="46"/>
        <v>0.70896981358989775</v>
      </c>
      <c r="Q317" s="954">
        <f t="shared" si="39"/>
        <v>2.7969809389241998E-2</v>
      </c>
    </row>
    <row r="318" spans="1:17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40"/>
        <v>929.9</v>
      </c>
      <c r="G318" s="827">
        <v>24</v>
      </c>
      <c r="H318" s="330"/>
      <c r="I318" s="330">
        <v>1</v>
      </c>
      <c r="J318" s="40">
        <f t="shared" si="42"/>
        <v>25</v>
      </c>
      <c r="K318" s="72">
        <f t="shared" si="43"/>
        <v>1.0022048506714773E-2</v>
      </c>
      <c r="L318" s="316">
        <f t="shared" si="44"/>
        <v>22.741330928041695</v>
      </c>
      <c r="M318" s="96">
        <f t="shared" si="41"/>
        <v>8.3619873822409314</v>
      </c>
      <c r="N318" s="37">
        <v>9.0757920894595152</v>
      </c>
      <c r="O318" s="947">
        <f t="shared" si="45"/>
        <v>1.6155542192824213</v>
      </c>
      <c r="P318" s="37">
        <f t="shared" si="46"/>
        <v>1.9693605933052716</v>
      </c>
      <c r="Q318" s="954">
        <f t="shared" si="39"/>
        <v>4.4945332421792189E-2</v>
      </c>
    </row>
    <row r="319" spans="1:17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40"/>
        <v>1417.36</v>
      </c>
      <c r="G319" s="827">
        <v>27</v>
      </c>
      <c r="H319" s="330">
        <v>1</v>
      </c>
      <c r="I319" s="330">
        <v>1</v>
      </c>
      <c r="J319" s="40">
        <f t="shared" si="42"/>
        <v>29</v>
      </c>
      <c r="K319" s="72">
        <f t="shared" si="43"/>
        <v>1.1625576267789137E-2</v>
      </c>
      <c r="L319" s="316">
        <f t="shared" si="44"/>
        <v>26.379943876528365</v>
      </c>
      <c r="M319" s="96">
        <f t="shared" si="41"/>
        <v>9.6999053633994805</v>
      </c>
      <c r="N319" s="37">
        <v>10.527918823773037</v>
      </c>
      <c r="O319" s="947">
        <f t="shared" si="45"/>
        <v>1.8740428943676086</v>
      </c>
      <c r="P319" s="37">
        <f t="shared" si="46"/>
        <v>2.2844582882341151</v>
      </c>
      <c r="Q319" s="954">
        <f t="shared" si="39"/>
        <v>3.4205714115022642E-2</v>
      </c>
    </row>
    <row r="320" spans="1:17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40"/>
        <v>785.9799999999999</v>
      </c>
      <c r="G320" s="827">
        <v>19</v>
      </c>
      <c r="H320" s="330"/>
      <c r="I320" s="330">
        <v>2</v>
      </c>
      <c r="J320" s="40">
        <f t="shared" si="42"/>
        <v>21</v>
      </c>
      <c r="K320" s="72">
        <f t="shared" si="43"/>
        <v>8.4185207456404093E-3</v>
      </c>
      <c r="L320" s="316">
        <f t="shared" si="44"/>
        <v>19.102717979555024</v>
      </c>
      <c r="M320" s="96">
        <f t="shared" si="41"/>
        <v>7.0240694010823832</v>
      </c>
      <c r="N320" s="37">
        <v>7.6236653551459916</v>
      </c>
      <c r="O320" s="947">
        <f t="shared" si="45"/>
        <v>1.3570655441972339</v>
      </c>
      <c r="P320" s="37">
        <f t="shared" si="46"/>
        <v>1.6542628983764283</v>
      </c>
      <c r="Q320" s="954">
        <f t="shared" si="39"/>
        <v>4.4667190361053252E-2</v>
      </c>
    </row>
    <row r="321" spans="1:17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40"/>
        <v>485.67999999999995</v>
      </c>
      <c r="G321" s="827">
        <v>14</v>
      </c>
      <c r="H321" s="330">
        <v>2</v>
      </c>
      <c r="I321" s="330"/>
      <c r="J321" s="40">
        <f t="shared" si="42"/>
        <v>16</v>
      </c>
      <c r="K321" s="72">
        <f t="shared" si="43"/>
        <v>6.4141110442974547E-3</v>
      </c>
      <c r="L321" s="316">
        <f t="shared" si="44"/>
        <v>14.554451793946685</v>
      </c>
      <c r="M321" s="96">
        <f t="shared" si="41"/>
        <v>5.3516719246341964</v>
      </c>
      <c r="N321" s="37">
        <v>5.8085069372540898</v>
      </c>
      <c r="O321" s="947">
        <f t="shared" si="45"/>
        <v>1.0339547003407497</v>
      </c>
      <c r="P321" s="37">
        <f t="shared" si="46"/>
        <v>1.2603907797153739</v>
      </c>
      <c r="Q321" s="954">
        <f t="shared" si="39"/>
        <v>5.5074504521857442E-2</v>
      </c>
    </row>
    <row r="322" spans="1:17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40"/>
        <v>461.17</v>
      </c>
      <c r="G322" s="827">
        <v>13</v>
      </c>
      <c r="H322" s="330">
        <v>2</v>
      </c>
      <c r="I322" s="330"/>
      <c r="J322" s="40">
        <f t="shared" si="42"/>
        <v>15</v>
      </c>
      <c r="K322" s="72">
        <f t="shared" si="43"/>
        <v>6.0132291040288638E-3</v>
      </c>
      <c r="L322" s="316">
        <f t="shared" si="44"/>
        <v>13.644798556825016</v>
      </c>
      <c r="M322" s="96">
        <f t="shared" si="41"/>
        <v>5.0171924293445587</v>
      </c>
      <c r="N322" s="37">
        <v>5.4454752536757089</v>
      </c>
      <c r="O322" s="947">
        <f t="shared" si="45"/>
        <v>0.96933253156945276</v>
      </c>
      <c r="P322" s="37">
        <f t="shared" si="46"/>
        <v>1.1816163559831629</v>
      </c>
      <c r="Q322" s="954">
        <f t="shared" si="39"/>
        <v>5.4376474556919865E-2</v>
      </c>
    </row>
    <row r="323" spans="1:17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40"/>
        <v>305.37</v>
      </c>
      <c r="G323" s="827">
        <v>6</v>
      </c>
      <c r="H323" s="330"/>
      <c r="I323" s="330"/>
      <c r="J323" s="40">
        <f t="shared" si="42"/>
        <v>6</v>
      </c>
      <c r="K323" s="72">
        <f t="shared" si="43"/>
        <v>2.4052916416115455E-3</v>
      </c>
      <c r="L323" s="316">
        <f t="shared" si="44"/>
        <v>5.457919422730007</v>
      </c>
      <c r="M323" s="96">
        <f t="shared" si="41"/>
        <v>2.0068769717378236</v>
      </c>
      <c r="N323" s="37">
        <v>2.1781901014702836</v>
      </c>
      <c r="O323" s="947">
        <f t="shared" si="45"/>
        <v>0.38773301262778109</v>
      </c>
      <c r="P323" s="37">
        <f t="shared" si="46"/>
        <v>0.4726465423932652</v>
      </c>
      <c r="Q323" s="954">
        <f t="shared" si="39"/>
        <v>3.2847756847646771E-2</v>
      </c>
    </row>
    <row r="324" spans="1:17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40"/>
        <v>170.8</v>
      </c>
      <c r="G324" s="827">
        <v>2</v>
      </c>
      <c r="H324" s="330"/>
      <c r="I324" s="330"/>
      <c r="J324" s="40">
        <f t="shared" si="42"/>
        <v>2</v>
      </c>
      <c r="K324" s="72">
        <f t="shared" si="43"/>
        <v>8.0176388053718184E-4</v>
      </c>
      <c r="L324" s="316">
        <f t="shared" si="44"/>
        <v>1.8193064742433356</v>
      </c>
      <c r="M324" s="96">
        <f t="shared" si="41"/>
        <v>0.66895899057927455</v>
      </c>
      <c r="N324" s="37">
        <v>0.72606336715676123</v>
      </c>
      <c r="O324" s="947">
        <f t="shared" si="45"/>
        <v>0.12924433754259371</v>
      </c>
      <c r="P324" s="37">
        <f t="shared" si="46"/>
        <v>0.15754884746442174</v>
      </c>
      <c r="Q324" s="954">
        <f t="shared" si="39"/>
        <v>1.9575955325070053E-2</v>
      </c>
    </row>
    <row r="325" spans="1:17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40"/>
        <v>678.2</v>
      </c>
      <c r="G325" s="827">
        <v>15</v>
      </c>
      <c r="H325" s="330"/>
      <c r="I325" s="330"/>
      <c r="J325" s="40">
        <f t="shared" si="42"/>
        <v>15</v>
      </c>
      <c r="K325" s="72">
        <f t="shared" si="43"/>
        <v>6.0132291040288638E-3</v>
      </c>
      <c r="L325" s="316">
        <f t="shared" si="44"/>
        <v>13.644798556825016</v>
      </c>
      <c r="M325" s="96">
        <f t="shared" si="41"/>
        <v>5.0171924293445587</v>
      </c>
      <c r="N325" s="37">
        <v>5.4454752536757089</v>
      </c>
      <c r="O325" s="947">
        <f t="shared" si="45"/>
        <v>0.96933253156945276</v>
      </c>
      <c r="P325" s="37">
        <f t="shared" si="46"/>
        <v>1.1816163559831629</v>
      </c>
      <c r="Q325" s="954">
        <f t="shared" si="39"/>
        <v>3.697552163287339E-2</v>
      </c>
    </row>
    <row r="326" spans="1:17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40"/>
        <v>2613.27</v>
      </c>
      <c r="G326" s="827">
        <v>55</v>
      </c>
      <c r="H326" s="330"/>
      <c r="I326" s="330"/>
      <c r="J326" s="40">
        <f t="shared" si="42"/>
        <v>55</v>
      </c>
      <c r="K326" s="72">
        <f t="shared" si="43"/>
        <v>2.2048506714772501E-2</v>
      </c>
      <c r="L326" s="316">
        <f t="shared" si="44"/>
        <v>50.030928041691723</v>
      </c>
      <c r="M326" s="96">
        <f t="shared" si="41"/>
        <v>18.396372240930049</v>
      </c>
      <c r="N326" s="37">
        <v>19.966742596810935</v>
      </c>
      <c r="O326" s="947">
        <f t="shared" si="45"/>
        <v>3.554219282421327</v>
      </c>
      <c r="P326" s="37">
        <f t="shared" si="46"/>
        <v>4.3325933052715984</v>
      </c>
      <c r="Q326" s="954">
        <f t="shared" si="39"/>
        <v>3.518513669152213E-2</v>
      </c>
    </row>
    <row r="327" spans="1:17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40"/>
        <v>2055.4499999999998</v>
      </c>
      <c r="G327" s="827">
        <v>48</v>
      </c>
      <c r="H327" s="330"/>
      <c r="I327" s="330"/>
      <c r="J327" s="40">
        <f t="shared" si="42"/>
        <v>48</v>
      </c>
      <c r="K327" s="72">
        <f t="shared" si="43"/>
        <v>1.9242333132892364E-2</v>
      </c>
      <c r="L327" s="316">
        <f t="shared" si="44"/>
        <v>43.663355381840056</v>
      </c>
      <c r="M327" s="96">
        <f t="shared" si="41"/>
        <v>16.055015773902589</v>
      </c>
      <c r="N327" s="37">
        <v>17.425520811762269</v>
      </c>
      <c r="O327" s="947">
        <f t="shared" si="45"/>
        <v>3.1018641010222487</v>
      </c>
      <c r="P327" s="37">
        <f t="shared" si="46"/>
        <v>3.7811723391461216</v>
      </c>
      <c r="Q327" s="954">
        <f t="shared" ref="Q327:Q390" si="47">(O327+N327+M327+L327)/F327</f>
        <v>3.9040480706671127E-2</v>
      </c>
    </row>
    <row r="328" spans="1:17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40"/>
        <v>3486.96</v>
      </c>
      <c r="G328" s="827">
        <v>74</v>
      </c>
      <c r="H328" s="330"/>
      <c r="I328" s="330"/>
      <c r="J328" s="40">
        <f t="shared" si="42"/>
        <v>74</v>
      </c>
      <c r="K328" s="72">
        <f t="shared" si="43"/>
        <v>2.9665263579875728E-2</v>
      </c>
      <c r="L328" s="316">
        <f t="shared" si="44"/>
        <v>67.314339547003414</v>
      </c>
      <c r="M328" s="96">
        <f t="shared" si="41"/>
        <v>24.751482651433157</v>
      </c>
      <c r="N328" s="37">
        <v>26.864344584800165</v>
      </c>
      <c r="O328" s="947">
        <f t="shared" si="45"/>
        <v>4.7820404890759667</v>
      </c>
      <c r="P328" s="37">
        <f t="shared" si="46"/>
        <v>5.8293073561836035</v>
      </c>
      <c r="Q328" s="954">
        <f t="shared" si="47"/>
        <v>3.5478527792780157E-2</v>
      </c>
    </row>
    <row r="329" spans="1:17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40"/>
        <v>394.94</v>
      </c>
      <c r="G329" s="827">
        <v>13</v>
      </c>
      <c r="H329" s="330"/>
      <c r="I329" s="330"/>
      <c r="J329" s="40">
        <f t="shared" si="42"/>
        <v>13</v>
      </c>
      <c r="K329" s="72">
        <f t="shared" si="43"/>
        <v>5.211465223491682E-3</v>
      </c>
      <c r="L329" s="316">
        <f t="shared" si="44"/>
        <v>11.825492082581681</v>
      </c>
      <c r="M329" s="96">
        <f t="shared" si="41"/>
        <v>4.3482334387652841</v>
      </c>
      <c r="N329" s="37">
        <v>4.7194118865189481</v>
      </c>
      <c r="O329" s="947">
        <f t="shared" si="45"/>
        <v>0.84008819402685908</v>
      </c>
      <c r="P329" s="37">
        <f t="shared" si="46"/>
        <v>1.0240675085187414</v>
      </c>
      <c r="Q329" s="954">
        <f t="shared" si="47"/>
        <v>5.50291831718559E-2</v>
      </c>
    </row>
    <row r="330" spans="1:17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40"/>
        <v>351.67</v>
      </c>
      <c r="G330" s="827">
        <v>10</v>
      </c>
      <c r="H330" s="330"/>
      <c r="I330" s="330">
        <v>1</v>
      </c>
      <c r="J330" s="40">
        <f t="shared" si="42"/>
        <v>11</v>
      </c>
      <c r="K330" s="72">
        <f t="shared" si="43"/>
        <v>4.4097013429545001E-3</v>
      </c>
      <c r="L330" s="316">
        <f t="shared" si="44"/>
        <v>10.006185608338345</v>
      </c>
      <c r="M330" s="96">
        <f t="shared" si="41"/>
        <v>3.67927444818601</v>
      </c>
      <c r="N330" s="37">
        <v>3.9933485193621863</v>
      </c>
      <c r="O330" s="947">
        <f t="shared" si="45"/>
        <v>0.7108438564842654</v>
      </c>
      <c r="P330" s="37">
        <f t="shared" si="46"/>
        <v>0.86651866105431963</v>
      </c>
      <c r="Q330" s="954">
        <f t="shared" si="47"/>
        <v>5.2292354856458632E-2</v>
      </c>
    </row>
    <row r="331" spans="1:17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40"/>
        <v>615.6</v>
      </c>
      <c r="G331" s="827">
        <v>12</v>
      </c>
      <c r="H331" s="330"/>
      <c r="I331" s="330"/>
      <c r="J331" s="40">
        <f t="shared" si="42"/>
        <v>12</v>
      </c>
      <c r="K331" s="72">
        <f t="shared" si="43"/>
        <v>4.810583283223091E-3</v>
      </c>
      <c r="L331" s="316">
        <f t="shared" si="44"/>
        <v>10.915838845460014</v>
      </c>
      <c r="M331" s="96">
        <f t="shared" si="41"/>
        <v>4.0137539434756473</v>
      </c>
      <c r="N331" s="37">
        <v>4.3563802029405672</v>
      </c>
      <c r="O331" s="947">
        <f t="shared" si="45"/>
        <v>0.77546602525556219</v>
      </c>
      <c r="P331" s="37">
        <f t="shared" si="46"/>
        <v>0.9452930847865304</v>
      </c>
      <c r="Q331" s="954">
        <f t="shared" si="47"/>
        <v>3.2588432451481138E-2</v>
      </c>
    </row>
    <row r="332" spans="1:17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40"/>
        <v>571.49</v>
      </c>
      <c r="G332" s="827">
        <v>15</v>
      </c>
      <c r="H332" s="330"/>
      <c r="I332" s="330"/>
      <c r="J332" s="40">
        <f t="shared" si="42"/>
        <v>15</v>
      </c>
      <c r="K332" s="72">
        <f t="shared" si="43"/>
        <v>6.0132291040288638E-3</v>
      </c>
      <c r="L332" s="316">
        <f t="shared" si="44"/>
        <v>13.644798556825016</v>
      </c>
      <c r="M332" s="96">
        <f t="shared" si="41"/>
        <v>5.0171924293445587</v>
      </c>
      <c r="N332" s="37">
        <v>5.4454752536757089</v>
      </c>
      <c r="O332" s="947">
        <f t="shared" si="45"/>
        <v>0.96933253156945276</v>
      </c>
      <c r="P332" s="37">
        <f t="shared" si="46"/>
        <v>1.1816163559831629</v>
      </c>
      <c r="Q332" s="954">
        <f t="shared" si="47"/>
        <v>4.3879680784291476E-2</v>
      </c>
    </row>
    <row r="333" spans="1:17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si="40"/>
        <v>339.26</v>
      </c>
      <c r="G333" s="827">
        <v>11</v>
      </c>
      <c r="H333" s="330">
        <v>1</v>
      </c>
      <c r="I333" s="330"/>
      <c r="J333" s="40">
        <f t="shared" si="42"/>
        <v>12</v>
      </c>
      <c r="K333" s="72">
        <f t="shared" si="43"/>
        <v>4.810583283223091E-3</v>
      </c>
      <c r="L333" s="316">
        <f t="shared" si="44"/>
        <v>10.915838845460014</v>
      </c>
      <c r="M333" s="96">
        <f t="shared" si="41"/>
        <v>4.0137539434756473</v>
      </c>
      <c r="N333" s="37">
        <v>4.3563802029405672</v>
      </c>
      <c r="O333" s="947">
        <f t="shared" si="45"/>
        <v>0.77546602525556219</v>
      </c>
      <c r="P333" s="37">
        <f t="shared" si="46"/>
        <v>0.9452930847865304</v>
      </c>
      <c r="Q333" s="954">
        <f t="shared" si="47"/>
        <v>5.9132933493874287E-2</v>
      </c>
    </row>
    <row r="334" spans="1:17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ref="F334:F383" si="48">C334+D334+E334</f>
        <v>364.76</v>
      </c>
      <c r="G334" s="827">
        <v>11</v>
      </c>
      <c r="H334" s="330"/>
      <c r="I334" s="330"/>
      <c r="J334" s="40">
        <f t="shared" si="42"/>
        <v>11</v>
      </c>
      <c r="K334" s="72">
        <f t="shared" si="43"/>
        <v>4.4097013429545001E-3</v>
      </c>
      <c r="L334" s="316">
        <f t="shared" si="44"/>
        <v>10.006185608338345</v>
      </c>
      <c r="M334" s="96">
        <f t="shared" ref="M334:M384" si="49">L334*0.3677</f>
        <v>3.67927444818601</v>
      </c>
      <c r="N334" s="37">
        <v>3.9933485193621863</v>
      </c>
      <c r="O334" s="947">
        <f t="shared" si="45"/>
        <v>0.7108438564842654</v>
      </c>
      <c r="P334" s="37">
        <f t="shared" si="46"/>
        <v>0.86651866105431963</v>
      </c>
      <c r="Q334" s="954">
        <f t="shared" si="47"/>
        <v>5.0415759492188864E-2</v>
      </c>
    </row>
    <row r="335" spans="1:17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si="48"/>
        <v>329.3</v>
      </c>
      <c r="G335" s="827">
        <v>12</v>
      </c>
      <c r="H335" s="330"/>
      <c r="I335" s="330">
        <v>1</v>
      </c>
      <c r="J335" s="40">
        <f t="shared" si="42"/>
        <v>13</v>
      </c>
      <c r="K335" s="72">
        <f t="shared" si="43"/>
        <v>5.211465223491682E-3</v>
      </c>
      <c r="L335" s="316">
        <f t="shared" si="44"/>
        <v>11.825492082581681</v>
      </c>
      <c r="M335" s="96">
        <f t="shared" si="49"/>
        <v>4.3482334387652841</v>
      </c>
      <c r="N335" s="37">
        <v>4.7194118865189481</v>
      </c>
      <c r="O335" s="947">
        <f t="shared" si="45"/>
        <v>0.84008819402685908</v>
      </c>
      <c r="P335" s="37">
        <f t="shared" si="46"/>
        <v>1.0240675085187414</v>
      </c>
      <c r="Q335" s="954">
        <f t="shared" si="47"/>
        <v>6.5998255699644001E-2</v>
      </c>
    </row>
    <row r="336" spans="1:17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48"/>
        <v>445.65</v>
      </c>
      <c r="G336" s="827">
        <v>15</v>
      </c>
      <c r="H336" s="330"/>
      <c r="I336" s="330">
        <v>1</v>
      </c>
      <c r="J336" s="40">
        <f t="shared" si="42"/>
        <v>16</v>
      </c>
      <c r="K336" s="72">
        <f t="shared" si="43"/>
        <v>6.4141110442974547E-3</v>
      </c>
      <c r="L336" s="316">
        <f t="shared" si="44"/>
        <v>14.554451793946685</v>
      </c>
      <c r="M336" s="96">
        <f t="shared" si="49"/>
        <v>5.3516719246341964</v>
      </c>
      <c r="N336" s="37">
        <v>5.8085069372540898</v>
      </c>
      <c r="O336" s="947">
        <f t="shared" si="45"/>
        <v>1.0339547003407497</v>
      </c>
      <c r="P336" s="37">
        <f t="shared" si="46"/>
        <v>1.2603907797153739</v>
      </c>
      <c r="Q336" s="954">
        <f t="shared" si="47"/>
        <v>6.0021508709022148E-2</v>
      </c>
    </row>
    <row r="337" spans="1:17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48"/>
        <v>515.54999999999995</v>
      </c>
      <c r="G337" s="827">
        <v>18</v>
      </c>
      <c r="H337" s="330"/>
      <c r="I337" s="330"/>
      <c r="J337" s="40">
        <f t="shared" ref="J337:J383" si="50">G337+H337+I337</f>
        <v>18</v>
      </c>
      <c r="K337" s="72">
        <f t="shared" si="43"/>
        <v>7.2158749248346366E-3</v>
      </c>
      <c r="L337" s="316">
        <f t="shared" si="44"/>
        <v>16.37375826819002</v>
      </c>
      <c r="M337" s="96">
        <f t="shared" si="49"/>
        <v>6.0206309152134709</v>
      </c>
      <c r="N337" s="37">
        <v>6.5345703044108516</v>
      </c>
      <c r="O337" s="947">
        <f t="shared" si="45"/>
        <v>1.1631990378833432</v>
      </c>
      <c r="P337" s="37">
        <f t="shared" si="46"/>
        <v>1.4179396271797955</v>
      </c>
      <c r="Q337" s="954">
        <f t="shared" si="47"/>
        <v>5.8369039910188512E-2</v>
      </c>
    </row>
    <row r="338" spans="1:17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48"/>
        <v>969.83999999999992</v>
      </c>
      <c r="G338" s="827">
        <v>28</v>
      </c>
      <c r="H338" s="330">
        <v>1</v>
      </c>
      <c r="I338" s="330"/>
      <c r="J338" s="40">
        <f t="shared" si="50"/>
        <v>29</v>
      </c>
      <c r="K338" s="72">
        <f t="shared" si="43"/>
        <v>1.1625576267789137E-2</v>
      </c>
      <c r="L338" s="316">
        <f t="shared" si="44"/>
        <v>26.379943876528365</v>
      </c>
      <c r="M338" s="96">
        <f t="shared" si="49"/>
        <v>9.6999053633994805</v>
      </c>
      <c r="N338" s="37">
        <v>10.527918823773037</v>
      </c>
      <c r="O338" s="947">
        <f t="shared" si="45"/>
        <v>1.8740428943676086</v>
      </c>
      <c r="P338" s="37">
        <f t="shared" si="46"/>
        <v>2.2844582882341151</v>
      </c>
      <c r="Q338" s="954">
        <f t="shared" si="47"/>
        <v>4.9989494100128366E-2</v>
      </c>
    </row>
    <row r="339" spans="1:17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48"/>
        <v>505.24</v>
      </c>
      <c r="G339" s="827">
        <v>16</v>
      </c>
      <c r="H339" s="330"/>
      <c r="I339" s="330">
        <v>1</v>
      </c>
      <c r="J339" s="40">
        <f t="shared" si="50"/>
        <v>17</v>
      </c>
      <c r="K339" s="72">
        <f t="shared" si="43"/>
        <v>6.8149929845660456E-3</v>
      </c>
      <c r="L339" s="316">
        <f t="shared" si="44"/>
        <v>15.464105031068351</v>
      </c>
      <c r="M339" s="96">
        <f t="shared" si="49"/>
        <v>5.6861514199238332</v>
      </c>
      <c r="N339" s="37">
        <v>6.1715386208324707</v>
      </c>
      <c r="O339" s="947">
        <f t="shared" si="45"/>
        <v>1.0985768691120466</v>
      </c>
      <c r="P339" s="37">
        <f t="shared" si="46"/>
        <v>1.3391652034475849</v>
      </c>
      <c r="Q339" s="954">
        <f t="shared" si="47"/>
        <v>5.6251230981190531E-2</v>
      </c>
    </row>
    <row r="340" spans="1:17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48"/>
        <v>497.67999999999995</v>
      </c>
      <c r="G340" s="827">
        <v>12</v>
      </c>
      <c r="H340" s="330"/>
      <c r="I340" s="330">
        <v>1</v>
      </c>
      <c r="J340" s="40">
        <f t="shared" si="50"/>
        <v>13</v>
      </c>
      <c r="K340" s="72">
        <f t="shared" si="43"/>
        <v>5.211465223491682E-3</v>
      </c>
      <c r="L340" s="316">
        <f t="shared" si="44"/>
        <v>11.825492082581681</v>
      </c>
      <c r="M340" s="96">
        <f t="shared" si="49"/>
        <v>4.3482334387652841</v>
      </c>
      <c r="N340" s="37">
        <v>4.7194118865189481</v>
      </c>
      <c r="O340" s="947">
        <f t="shared" si="45"/>
        <v>0.84008819402685908</v>
      </c>
      <c r="P340" s="37">
        <f t="shared" si="46"/>
        <v>1.0240675085187414</v>
      </c>
      <c r="Q340" s="954">
        <f t="shared" si="47"/>
        <v>4.3669075715103624E-2</v>
      </c>
    </row>
    <row r="341" spans="1:17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48"/>
        <v>244.79999999999998</v>
      </c>
      <c r="G341" s="827">
        <v>9</v>
      </c>
      <c r="H341" s="330"/>
      <c r="I341" s="330">
        <v>1</v>
      </c>
      <c r="J341" s="40">
        <f t="shared" si="50"/>
        <v>10</v>
      </c>
      <c r="K341" s="72">
        <f t="shared" si="43"/>
        <v>4.0088194026859092E-3</v>
      </c>
      <c r="L341" s="316">
        <f t="shared" si="44"/>
        <v>9.0965323712166768</v>
      </c>
      <c r="M341" s="96">
        <f t="shared" si="49"/>
        <v>3.3447949528963723</v>
      </c>
      <c r="N341" s="37">
        <v>3.6303168357838063</v>
      </c>
      <c r="O341" s="947">
        <f t="shared" si="45"/>
        <v>0.64622168771296851</v>
      </c>
      <c r="P341" s="37">
        <f t="shared" si="46"/>
        <v>0.78774423732210863</v>
      </c>
      <c r="Q341" s="954">
        <f t="shared" si="47"/>
        <v>6.829193565200091E-2</v>
      </c>
    </row>
    <row r="342" spans="1:17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48"/>
        <v>607.48</v>
      </c>
      <c r="G342" s="827">
        <v>17</v>
      </c>
      <c r="H342" s="330">
        <v>1</v>
      </c>
      <c r="I342" s="330">
        <v>1</v>
      </c>
      <c r="J342" s="40">
        <f t="shared" si="50"/>
        <v>19</v>
      </c>
      <c r="K342" s="72">
        <f t="shared" si="43"/>
        <v>7.6167568651032275E-3</v>
      </c>
      <c r="L342" s="316">
        <f t="shared" si="44"/>
        <v>17.283411505311687</v>
      </c>
      <c r="M342" s="96">
        <f t="shared" si="49"/>
        <v>6.3551104105031078</v>
      </c>
      <c r="N342" s="37">
        <v>6.8976019879892316</v>
      </c>
      <c r="O342" s="947">
        <f t="shared" si="45"/>
        <v>1.2278212066546401</v>
      </c>
      <c r="P342" s="37">
        <f t="shared" si="46"/>
        <v>1.4967140509120065</v>
      </c>
      <c r="Q342" s="954">
        <f t="shared" si="47"/>
        <v>5.2288050817242818E-2</v>
      </c>
    </row>
    <row r="343" spans="1:17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48"/>
        <v>480.34999999999997</v>
      </c>
      <c r="G343" s="827">
        <v>15</v>
      </c>
      <c r="H343" s="330">
        <v>1</v>
      </c>
      <c r="I343" s="330">
        <v>1</v>
      </c>
      <c r="J343" s="40">
        <f t="shared" si="50"/>
        <v>17</v>
      </c>
      <c r="K343" s="72">
        <f t="shared" si="43"/>
        <v>6.8149929845660456E-3</v>
      </c>
      <c r="L343" s="316">
        <f t="shared" si="44"/>
        <v>15.464105031068351</v>
      </c>
      <c r="M343" s="96">
        <f t="shared" si="49"/>
        <v>5.6861514199238332</v>
      </c>
      <c r="N343" s="37">
        <v>6.1715386208324707</v>
      </c>
      <c r="O343" s="947">
        <f t="shared" si="45"/>
        <v>1.0985768691120466</v>
      </c>
      <c r="P343" s="37">
        <f t="shared" si="46"/>
        <v>1.3391652034475849</v>
      </c>
      <c r="Q343" s="954">
        <f t="shared" si="47"/>
        <v>5.9165966359814109E-2</v>
      </c>
    </row>
    <row r="344" spans="1:17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48"/>
        <v>1165.33</v>
      </c>
      <c r="G344" s="827">
        <v>14</v>
      </c>
      <c r="H344" s="330">
        <v>2</v>
      </c>
      <c r="I344" s="330"/>
      <c r="J344" s="40">
        <f t="shared" si="50"/>
        <v>16</v>
      </c>
      <c r="K344" s="72">
        <f t="shared" si="43"/>
        <v>6.4141110442974547E-3</v>
      </c>
      <c r="L344" s="316">
        <f t="shared" si="44"/>
        <v>14.554451793946685</v>
      </c>
      <c r="M344" s="96">
        <f t="shared" si="49"/>
        <v>5.3516719246341964</v>
      </c>
      <c r="N344" s="37">
        <v>5.8085069372540898</v>
      </c>
      <c r="O344" s="947">
        <f t="shared" si="45"/>
        <v>1.0339547003407497</v>
      </c>
      <c r="P344" s="37">
        <f t="shared" si="46"/>
        <v>1.2603907797153739</v>
      </c>
      <c r="Q344" s="954">
        <f t="shared" si="47"/>
        <v>2.2953657209696585E-2</v>
      </c>
    </row>
    <row r="345" spans="1:17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48"/>
        <v>1416.02</v>
      </c>
      <c r="G345" s="827">
        <v>19</v>
      </c>
      <c r="H345" s="330"/>
      <c r="I345" s="330">
        <v>1</v>
      </c>
      <c r="J345" s="40">
        <f t="shared" si="50"/>
        <v>20</v>
      </c>
      <c r="K345" s="72">
        <f t="shared" si="43"/>
        <v>8.0176388053718184E-3</v>
      </c>
      <c r="L345" s="316">
        <f t="shared" si="44"/>
        <v>18.193064742433354</v>
      </c>
      <c r="M345" s="96">
        <f t="shared" si="49"/>
        <v>6.6895899057927446</v>
      </c>
      <c r="N345" s="37">
        <v>7.2606336715676125</v>
      </c>
      <c r="O345" s="947">
        <f t="shared" si="45"/>
        <v>1.292443375425937</v>
      </c>
      <c r="P345" s="37">
        <f t="shared" si="46"/>
        <v>1.5754884746442173</v>
      </c>
      <c r="Q345" s="954">
        <f t="shared" si="47"/>
        <v>2.3612471360022914E-2</v>
      </c>
    </row>
    <row r="346" spans="1:17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48"/>
        <v>1501.81</v>
      </c>
      <c r="G346" s="827">
        <v>21</v>
      </c>
      <c r="H346" s="330">
        <v>1</v>
      </c>
      <c r="I346" s="330"/>
      <c r="J346" s="40">
        <f t="shared" si="50"/>
        <v>22</v>
      </c>
      <c r="K346" s="72">
        <f t="shared" si="43"/>
        <v>8.8194026859090002E-3</v>
      </c>
      <c r="L346" s="316">
        <f t="shared" si="44"/>
        <v>20.012371216676691</v>
      </c>
      <c r="M346" s="96">
        <f t="shared" si="49"/>
        <v>7.35854889637202</v>
      </c>
      <c r="N346" s="37">
        <v>7.9866970387243725</v>
      </c>
      <c r="O346" s="947">
        <f t="shared" si="45"/>
        <v>1.4216877129685308</v>
      </c>
      <c r="P346" s="37">
        <f t="shared" si="46"/>
        <v>1.7330373221086393</v>
      </c>
      <c r="Q346" s="954">
        <f t="shared" si="47"/>
        <v>2.4489985327532524E-2</v>
      </c>
    </row>
    <row r="347" spans="1:17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48"/>
        <v>970</v>
      </c>
      <c r="G347" s="827">
        <v>16</v>
      </c>
      <c r="H347" s="330"/>
      <c r="I347" s="330">
        <v>1</v>
      </c>
      <c r="J347" s="40">
        <f t="shared" si="50"/>
        <v>17</v>
      </c>
      <c r="K347" s="72">
        <f t="shared" si="43"/>
        <v>6.8149929845660456E-3</v>
      </c>
      <c r="L347" s="316">
        <f t="shared" si="44"/>
        <v>15.464105031068351</v>
      </c>
      <c r="M347" s="96">
        <f t="shared" si="49"/>
        <v>5.6861514199238332</v>
      </c>
      <c r="N347" s="37">
        <v>6.1715386208324707</v>
      </c>
      <c r="O347" s="947">
        <f t="shared" si="45"/>
        <v>1.0985768691120466</v>
      </c>
      <c r="P347" s="37">
        <f t="shared" si="46"/>
        <v>1.3391652034475849</v>
      </c>
      <c r="Q347" s="954">
        <f t="shared" si="47"/>
        <v>2.9299352516429591E-2</v>
      </c>
    </row>
    <row r="348" spans="1:17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48"/>
        <v>2158</v>
      </c>
      <c r="G348" s="827">
        <v>29</v>
      </c>
      <c r="H348" s="330"/>
      <c r="I348" s="330"/>
      <c r="J348" s="40">
        <f t="shared" si="50"/>
        <v>29</v>
      </c>
      <c r="K348" s="72">
        <f t="shared" ref="K348:K383" si="51">2/4989*J348</f>
        <v>1.1625576267789137E-2</v>
      </c>
      <c r="L348" s="316">
        <f t="shared" ref="L348:L383" si="52">K348*2269.13</f>
        <v>26.379943876528365</v>
      </c>
      <c r="M348" s="96">
        <f t="shared" si="49"/>
        <v>9.6999053633994805</v>
      </c>
      <c r="N348" s="37">
        <v>10.527918823773037</v>
      </c>
      <c r="O348" s="947">
        <f t="shared" ref="O348:O379" si="53">K348*161.2</f>
        <v>1.8740428943676086</v>
      </c>
      <c r="P348" s="37">
        <f t="shared" si="46"/>
        <v>2.2844582882341151</v>
      </c>
      <c r="Q348" s="954">
        <f t="shared" si="47"/>
        <v>2.2466084781310701E-2</v>
      </c>
    </row>
    <row r="349" spans="1:17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48"/>
        <v>729.1</v>
      </c>
      <c r="G349" s="827">
        <v>10</v>
      </c>
      <c r="H349" s="330"/>
      <c r="I349" s="330">
        <v>1</v>
      </c>
      <c r="J349" s="40">
        <f t="shared" si="50"/>
        <v>11</v>
      </c>
      <c r="K349" s="72">
        <f t="shared" si="51"/>
        <v>4.4097013429545001E-3</v>
      </c>
      <c r="L349" s="316">
        <f t="shared" si="52"/>
        <v>10.006185608338345</v>
      </c>
      <c r="M349" s="96">
        <f t="shared" si="49"/>
        <v>3.67927444818601</v>
      </c>
      <c r="N349" s="37">
        <v>3.9933485193621863</v>
      </c>
      <c r="O349" s="947">
        <f t="shared" si="53"/>
        <v>0.7108438564842654</v>
      </c>
      <c r="P349" s="37">
        <f t="shared" ref="P349:P412" si="54">O349*1.219</f>
        <v>0.86651866105431963</v>
      </c>
      <c r="Q349" s="954">
        <f t="shared" si="47"/>
        <v>2.5222400812468536E-2</v>
      </c>
    </row>
    <row r="350" spans="1:17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48"/>
        <v>1052.04</v>
      </c>
      <c r="G350" s="827">
        <v>14</v>
      </c>
      <c r="H350" s="330">
        <v>2</v>
      </c>
      <c r="I350" s="330">
        <v>1</v>
      </c>
      <c r="J350" s="40">
        <f t="shared" si="50"/>
        <v>17</v>
      </c>
      <c r="K350" s="72">
        <f t="shared" si="51"/>
        <v>6.8149929845660456E-3</v>
      </c>
      <c r="L350" s="316">
        <f t="shared" si="52"/>
        <v>15.464105031068351</v>
      </c>
      <c r="M350" s="96">
        <f t="shared" si="49"/>
        <v>5.6861514199238332</v>
      </c>
      <c r="N350" s="37">
        <v>6.1715386208324707</v>
      </c>
      <c r="O350" s="947">
        <f t="shared" si="53"/>
        <v>1.0985768691120466</v>
      </c>
      <c r="P350" s="37">
        <f t="shared" si="54"/>
        <v>1.3391652034475849</v>
      </c>
      <c r="Q350" s="954">
        <f t="shared" si="47"/>
        <v>2.701453551284809E-2</v>
      </c>
    </row>
    <row r="351" spans="1:17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48"/>
        <v>608.6</v>
      </c>
      <c r="G351" s="827">
        <v>13</v>
      </c>
      <c r="H351" s="330"/>
      <c r="I351" s="330"/>
      <c r="J351" s="40">
        <f t="shared" si="50"/>
        <v>13</v>
      </c>
      <c r="K351" s="72">
        <f t="shared" si="51"/>
        <v>5.211465223491682E-3</v>
      </c>
      <c r="L351" s="316">
        <f t="shared" si="52"/>
        <v>11.825492082581681</v>
      </c>
      <c r="M351" s="96">
        <f t="shared" si="49"/>
        <v>4.3482334387652841</v>
      </c>
      <c r="N351" s="37">
        <v>4.7194118865189481</v>
      </c>
      <c r="O351" s="947">
        <f t="shared" si="53"/>
        <v>0.84008819402685908</v>
      </c>
      <c r="P351" s="37">
        <f t="shared" si="54"/>
        <v>1.0240675085187414</v>
      </c>
      <c r="Q351" s="954">
        <f t="shared" si="47"/>
        <v>3.57101965197055E-2</v>
      </c>
    </row>
    <row r="352" spans="1:17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48"/>
        <v>415.8</v>
      </c>
      <c r="G352" s="827">
        <v>9</v>
      </c>
      <c r="H352" s="330"/>
      <c r="I352" s="330"/>
      <c r="J352" s="40">
        <f t="shared" si="50"/>
        <v>9</v>
      </c>
      <c r="K352" s="72">
        <f t="shared" si="51"/>
        <v>3.6079374624173183E-3</v>
      </c>
      <c r="L352" s="316">
        <f t="shared" si="52"/>
        <v>8.18687913409501</v>
      </c>
      <c r="M352" s="96">
        <f t="shared" si="49"/>
        <v>3.0103154576067355</v>
      </c>
      <c r="N352" s="37">
        <v>3.2672851522054258</v>
      </c>
      <c r="O352" s="947">
        <f t="shared" si="53"/>
        <v>0.58159951894167161</v>
      </c>
      <c r="P352" s="37">
        <f t="shared" si="54"/>
        <v>0.70896981358989775</v>
      </c>
      <c r="Q352" s="954">
        <f t="shared" si="47"/>
        <v>3.6185856813008274E-2</v>
      </c>
    </row>
    <row r="353" spans="1:17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48"/>
        <v>460.4</v>
      </c>
      <c r="G353" s="827">
        <v>9</v>
      </c>
      <c r="H353" s="330"/>
      <c r="I353" s="330"/>
      <c r="J353" s="40">
        <f t="shared" si="50"/>
        <v>9</v>
      </c>
      <c r="K353" s="72">
        <f t="shared" si="51"/>
        <v>3.6079374624173183E-3</v>
      </c>
      <c r="L353" s="316">
        <f t="shared" si="52"/>
        <v>8.18687913409501</v>
      </c>
      <c r="M353" s="96">
        <f t="shared" si="49"/>
        <v>3.0103154576067355</v>
      </c>
      <c r="N353" s="37">
        <v>3.2672851522054258</v>
      </c>
      <c r="O353" s="947">
        <f t="shared" si="53"/>
        <v>0.58159951894167161</v>
      </c>
      <c r="P353" s="37">
        <f t="shared" si="54"/>
        <v>0.70896981358989775</v>
      </c>
      <c r="Q353" s="954">
        <f t="shared" si="47"/>
        <v>3.2680450179949701E-2</v>
      </c>
    </row>
    <row r="354" spans="1:17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48"/>
        <v>573</v>
      </c>
      <c r="G354" s="827">
        <v>11</v>
      </c>
      <c r="H354" s="330">
        <v>1</v>
      </c>
      <c r="I354" s="330">
        <v>2</v>
      </c>
      <c r="J354" s="40">
        <f t="shared" si="50"/>
        <v>14</v>
      </c>
      <c r="K354" s="72">
        <f t="shared" si="51"/>
        <v>5.6123471637602729E-3</v>
      </c>
      <c r="L354" s="316">
        <f t="shared" si="52"/>
        <v>12.735145319703349</v>
      </c>
      <c r="M354" s="96">
        <f t="shared" si="49"/>
        <v>4.6827129340549218</v>
      </c>
      <c r="N354" s="37">
        <v>5.0824435700973281</v>
      </c>
      <c r="O354" s="947">
        <f t="shared" si="53"/>
        <v>0.90471036279815598</v>
      </c>
      <c r="P354" s="37">
        <f t="shared" si="54"/>
        <v>1.1028419322509522</v>
      </c>
      <c r="Q354" s="954">
        <f t="shared" si="47"/>
        <v>4.0846443606725576E-2</v>
      </c>
    </row>
    <row r="355" spans="1:17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48"/>
        <v>791.22</v>
      </c>
      <c r="G355" s="827">
        <v>17</v>
      </c>
      <c r="H355" s="330"/>
      <c r="I355" s="330"/>
      <c r="J355" s="40">
        <f t="shared" si="50"/>
        <v>17</v>
      </c>
      <c r="K355" s="72">
        <f t="shared" si="51"/>
        <v>6.8149929845660456E-3</v>
      </c>
      <c r="L355" s="316">
        <f t="shared" si="52"/>
        <v>15.464105031068351</v>
      </c>
      <c r="M355" s="96">
        <f t="shared" si="49"/>
        <v>5.6861514199238332</v>
      </c>
      <c r="N355" s="37">
        <v>6.1715386208324707</v>
      </c>
      <c r="O355" s="947">
        <f t="shared" si="53"/>
        <v>1.0985768691120466</v>
      </c>
      <c r="P355" s="37">
        <f t="shared" si="54"/>
        <v>1.3391652034475849</v>
      </c>
      <c r="Q355" s="954">
        <f t="shared" si="47"/>
        <v>3.5919683452057205E-2</v>
      </c>
    </row>
    <row r="356" spans="1:17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48"/>
        <v>765.5</v>
      </c>
      <c r="G356" s="827">
        <v>19</v>
      </c>
      <c r="H356" s="330"/>
      <c r="I356" s="330"/>
      <c r="J356" s="40">
        <f t="shared" si="50"/>
        <v>19</v>
      </c>
      <c r="K356" s="72">
        <f t="shared" si="51"/>
        <v>7.6167568651032275E-3</v>
      </c>
      <c r="L356" s="316">
        <f t="shared" si="52"/>
        <v>17.283411505311687</v>
      </c>
      <c r="M356" s="96">
        <f t="shared" si="49"/>
        <v>6.3551104105031078</v>
      </c>
      <c r="N356" s="37">
        <v>6.8976019879892316</v>
      </c>
      <c r="O356" s="947">
        <f t="shared" si="53"/>
        <v>1.2278212066546401</v>
      </c>
      <c r="P356" s="37">
        <f t="shared" si="54"/>
        <v>1.4967140509120065</v>
      </c>
      <c r="Q356" s="954">
        <f t="shared" si="47"/>
        <v>4.1494376368985848E-2</v>
      </c>
    </row>
    <row r="357" spans="1:17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48"/>
        <v>806.19999999999993</v>
      </c>
      <c r="G357" s="827">
        <v>20</v>
      </c>
      <c r="H357" s="330"/>
      <c r="I357" s="330">
        <v>1</v>
      </c>
      <c r="J357" s="40">
        <f t="shared" si="50"/>
        <v>21</v>
      </c>
      <c r="K357" s="72">
        <f t="shared" si="51"/>
        <v>8.4185207456404093E-3</v>
      </c>
      <c r="L357" s="316">
        <f t="shared" si="52"/>
        <v>19.102717979555024</v>
      </c>
      <c r="M357" s="96">
        <f t="shared" si="49"/>
        <v>7.0240694010823832</v>
      </c>
      <c r="N357" s="37">
        <v>7.6236653551459916</v>
      </c>
      <c r="O357" s="947">
        <f t="shared" si="53"/>
        <v>1.3570655441972339</v>
      </c>
      <c r="P357" s="37">
        <f t="shared" si="54"/>
        <v>1.6542628983764283</v>
      </c>
      <c r="Q357" s="954">
        <f t="shared" si="47"/>
        <v>4.3546909302878488E-2</v>
      </c>
    </row>
    <row r="358" spans="1:17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48"/>
        <v>753</v>
      </c>
      <c r="G358" s="827">
        <v>18</v>
      </c>
      <c r="H358" s="330"/>
      <c r="I358" s="330">
        <v>1</v>
      </c>
      <c r="J358" s="40">
        <f t="shared" si="50"/>
        <v>19</v>
      </c>
      <c r="K358" s="72">
        <f t="shared" si="51"/>
        <v>7.6167568651032275E-3</v>
      </c>
      <c r="L358" s="316">
        <f t="shared" si="52"/>
        <v>17.283411505311687</v>
      </c>
      <c r="M358" s="96">
        <f t="shared" si="49"/>
        <v>6.3551104105031078</v>
      </c>
      <c r="N358" s="37">
        <v>6.8976019879892316</v>
      </c>
      <c r="O358" s="947">
        <f t="shared" si="53"/>
        <v>1.2278212066546401</v>
      </c>
      <c r="P358" s="37">
        <f t="shared" si="54"/>
        <v>1.4967140509120065</v>
      </c>
      <c r="Q358" s="954">
        <f t="shared" si="47"/>
        <v>4.2183194037793713E-2</v>
      </c>
    </row>
    <row r="359" spans="1:17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48"/>
        <v>612.20000000000005</v>
      </c>
      <c r="G359" s="827">
        <v>15</v>
      </c>
      <c r="H359" s="330"/>
      <c r="I359" s="330">
        <v>1</v>
      </c>
      <c r="J359" s="40">
        <f t="shared" si="50"/>
        <v>16</v>
      </c>
      <c r="K359" s="72">
        <f t="shared" si="51"/>
        <v>6.4141110442974547E-3</v>
      </c>
      <c r="L359" s="316">
        <f t="shared" si="52"/>
        <v>14.554451793946685</v>
      </c>
      <c r="M359" s="96">
        <f t="shared" si="49"/>
        <v>5.3516719246341964</v>
      </c>
      <c r="N359" s="37">
        <v>5.8085069372540898</v>
      </c>
      <c r="O359" s="947">
        <f t="shared" si="53"/>
        <v>1.0339547003407497</v>
      </c>
      <c r="P359" s="37">
        <f t="shared" si="54"/>
        <v>1.2603907797153739</v>
      </c>
      <c r="Q359" s="954">
        <f t="shared" si="47"/>
        <v>4.3692560202835212E-2</v>
      </c>
    </row>
    <row r="360" spans="1:17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48"/>
        <v>611.79999999999995</v>
      </c>
      <c r="G360" s="827">
        <v>13</v>
      </c>
      <c r="H360" s="330"/>
      <c r="I360" s="330"/>
      <c r="J360" s="40">
        <f t="shared" si="50"/>
        <v>13</v>
      </c>
      <c r="K360" s="72">
        <f t="shared" si="51"/>
        <v>5.211465223491682E-3</v>
      </c>
      <c r="L360" s="316">
        <f t="shared" si="52"/>
        <v>11.825492082581681</v>
      </c>
      <c r="M360" s="96">
        <f t="shared" si="49"/>
        <v>4.3482334387652841</v>
      </c>
      <c r="N360" s="37">
        <v>4.7194118865189481</v>
      </c>
      <c r="O360" s="947">
        <f t="shared" si="53"/>
        <v>0.84008819402685908</v>
      </c>
      <c r="P360" s="37">
        <f t="shared" si="54"/>
        <v>1.0240675085187414</v>
      </c>
      <c r="Q360" s="954">
        <f t="shared" si="47"/>
        <v>3.552341549835366E-2</v>
      </c>
    </row>
    <row r="361" spans="1:17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48"/>
        <v>510.4</v>
      </c>
      <c r="G361" s="827">
        <v>8</v>
      </c>
      <c r="H361" s="330"/>
      <c r="I361" s="330"/>
      <c r="J361" s="40">
        <f t="shared" si="50"/>
        <v>8</v>
      </c>
      <c r="K361" s="72">
        <f t="shared" si="51"/>
        <v>3.2070555221487274E-3</v>
      </c>
      <c r="L361" s="316">
        <f t="shared" si="52"/>
        <v>7.2772258969733423</v>
      </c>
      <c r="M361" s="96">
        <f t="shared" si="49"/>
        <v>2.6758359623170982</v>
      </c>
      <c r="N361" s="37">
        <v>2.9042534686270449</v>
      </c>
      <c r="O361" s="947">
        <f t="shared" si="53"/>
        <v>0.51697735017037483</v>
      </c>
      <c r="P361" s="37">
        <f t="shared" si="54"/>
        <v>0.63019538985768697</v>
      </c>
      <c r="Q361" s="954">
        <f t="shared" si="47"/>
        <v>2.6203551485281858E-2</v>
      </c>
    </row>
    <row r="362" spans="1:17" s="6" customFormat="1" ht="15.75">
      <c r="A362" s="268">
        <v>271</v>
      </c>
      <c r="B362" s="122" t="s">
        <v>1314</v>
      </c>
      <c r="C362" s="55">
        <v>564</v>
      </c>
      <c r="D362" s="256">
        <v>87.5</v>
      </c>
      <c r="E362" s="256"/>
      <c r="F362" s="95">
        <f t="shared" si="48"/>
        <v>651.5</v>
      </c>
      <c r="G362" s="827">
        <v>12</v>
      </c>
      <c r="H362" s="330">
        <v>2</v>
      </c>
      <c r="I362" s="330"/>
      <c r="J362" s="40">
        <f t="shared" si="50"/>
        <v>14</v>
      </c>
      <c r="K362" s="72">
        <f t="shared" si="51"/>
        <v>5.6123471637602729E-3</v>
      </c>
      <c r="L362" s="316">
        <f t="shared" si="52"/>
        <v>12.735145319703349</v>
      </c>
      <c r="M362" s="96">
        <f t="shared" si="49"/>
        <v>4.6827129340549218</v>
      </c>
      <c r="N362" s="37">
        <v>5.0824435700973281</v>
      </c>
      <c r="O362" s="947">
        <f t="shared" si="53"/>
        <v>0.90471036279815598</v>
      </c>
      <c r="P362" s="37">
        <f t="shared" si="54"/>
        <v>1.1028419322509522</v>
      </c>
      <c r="Q362" s="954">
        <f t="shared" si="47"/>
        <v>3.5924807654111678E-2</v>
      </c>
    </row>
    <row r="363" spans="1:17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48"/>
        <v>789.90000000000009</v>
      </c>
      <c r="G363" s="827">
        <v>13</v>
      </c>
      <c r="H363" s="330">
        <v>2</v>
      </c>
      <c r="I363" s="330"/>
      <c r="J363" s="40">
        <f t="shared" si="50"/>
        <v>15</v>
      </c>
      <c r="K363" s="72">
        <f t="shared" si="51"/>
        <v>6.0132291040288638E-3</v>
      </c>
      <c r="L363" s="316">
        <f t="shared" si="52"/>
        <v>13.644798556825016</v>
      </c>
      <c r="M363" s="96">
        <f t="shared" si="49"/>
        <v>5.0171924293445587</v>
      </c>
      <c r="N363" s="37">
        <v>5.4454752536757089</v>
      </c>
      <c r="O363" s="947">
        <f t="shared" si="53"/>
        <v>0.96933253156945276</v>
      </c>
      <c r="P363" s="37">
        <f t="shared" si="54"/>
        <v>1.1816163559831629</v>
      </c>
      <c r="Q363" s="954">
        <f t="shared" si="47"/>
        <v>3.1746801837466428E-2</v>
      </c>
    </row>
    <row r="364" spans="1:17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48"/>
        <v>770.6</v>
      </c>
      <c r="G364" s="827">
        <v>17</v>
      </c>
      <c r="H364" s="330"/>
      <c r="I364" s="330"/>
      <c r="J364" s="40">
        <f t="shared" si="50"/>
        <v>17</v>
      </c>
      <c r="K364" s="72">
        <f t="shared" si="51"/>
        <v>6.8149929845660456E-3</v>
      </c>
      <c r="L364" s="316">
        <f t="shared" si="52"/>
        <v>15.464105031068351</v>
      </c>
      <c r="M364" s="96">
        <f t="shared" si="49"/>
        <v>5.6861514199238332</v>
      </c>
      <c r="N364" s="37">
        <v>6.1715386208324707</v>
      </c>
      <c r="O364" s="947">
        <f t="shared" si="53"/>
        <v>1.0985768691120466</v>
      </c>
      <c r="P364" s="37">
        <f t="shared" si="54"/>
        <v>1.3391652034475849</v>
      </c>
      <c r="Q364" s="954">
        <f t="shared" si="47"/>
        <v>3.6880835635786015E-2</v>
      </c>
    </row>
    <row r="365" spans="1:17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48"/>
        <v>958.2</v>
      </c>
      <c r="G365" s="827">
        <v>16</v>
      </c>
      <c r="H365" s="330"/>
      <c r="I365" s="330"/>
      <c r="J365" s="40">
        <f t="shared" si="50"/>
        <v>16</v>
      </c>
      <c r="K365" s="72">
        <f t="shared" si="51"/>
        <v>6.4141110442974547E-3</v>
      </c>
      <c r="L365" s="316">
        <f t="shared" si="52"/>
        <v>14.554451793946685</v>
      </c>
      <c r="M365" s="96">
        <f t="shared" si="49"/>
        <v>5.3516719246341964</v>
      </c>
      <c r="N365" s="37">
        <v>5.8085069372540898</v>
      </c>
      <c r="O365" s="947">
        <f t="shared" si="53"/>
        <v>1.0339547003407497</v>
      </c>
      <c r="P365" s="37">
        <f t="shared" si="54"/>
        <v>1.2603907797153739</v>
      </c>
      <c r="Q365" s="954">
        <f t="shared" si="47"/>
        <v>2.7915451217048338E-2</v>
      </c>
    </row>
    <row r="366" spans="1:17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48"/>
        <v>1194.4199999999998</v>
      </c>
      <c r="G366" s="827">
        <v>14</v>
      </c>
      <c r="H366" s="330">
        <v>1</v>
      </c>
      <c r="I366" s="330">
        <v>2</v>
      </c>
      <c r="J366" s="40">
        <f t="shared" si="50"/>
        <v>17</v>
      </c>
      <c r="K366" s="72">
        <f t="shared" si="51"/>
        <v>6.8149929845660456E-3</v>
      </c>
      <c r="L366" s="316">
        <f t="shared" si="52"/>
        <v>15.464105031068351</v>
      </c>
      <c r="M366" s="96">
        <f t="shared" si="49"/>
        <v>5.6861514199238332</v>
      </c>
      <c r="N366" s="37">
        <v>6.1715386208324707</v>
      </c>
      <c r="O366" s="947">
        <f t="shared" si="53"/>
        <v>1.0985768691120466</v>
      </c>
      <c r="P366" s="37">
        <f t="shared" si="54"/>
        <v>1.3391652034475849</v>
      </c>
      <c r="Q366" s="954">
        <f t="shared" si="47"/>
        <v>2.3794286717349598E-2</v>
      </c>
    </row>
    <row r="367" spans="1:17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48"/>
        <v>437.85999999999996</v>
      </c>
      <c r="G367" s="827">
        <v>8</v>
      </c>
      <c r="H367" s="330">
        <v>1</v>
      </c>
      <c r="I367" s="330">
        <v>3</v>
      </c>
      <c r="J367" s="40">
        <f t="shared" si="50"/>
        <v>12</v>
      </c>
      <c r="K367" s="72">
        <f t="shared" si="51"/>
        <v>4.810583283223091E-3</v>
      </c>
      <c r="L367" s="316">
        <f t="shared" si="52"/>
        <v>10.915838845460014</v>
      </c>
      <c r="M367" s="96">
        <f t="shared" si="49"/>
        <v>4.0137539434756473</v>
      </c>
      <c r="N367" s="37">
        <v>4.3563802029405672</v>
      </c>
      <c r="O367" s="947">
        <f t="shared" si="53"/>
        <v>0.77546602525556219</v>
      </c>
      <c r="P367" s="37">
        <f t="shared" si="54"/>
        <v>0.9452930847865304</v>
      </c>
      <c r="Q367" s="954">
        <f t="shared" si="47"/>
        <v>4.5817016893828603E-2</v>
      </c>
    </row>
    <row r="368" spans="1:17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48"/>
        <v>712.5</v>
      </c>
      <c r="G368" s="827">
        <v>13</v>
      </c>
      <c r="H368" s="330">
        <v>1</v>
      </c>
      <c r="I368" s="330"/>
      <c r="J368" s="40">
        <f t="shared" si="50"/>
        <v>14</v>
      </c>
      <c r="K368" s="72">
        <f t="shared" si="51"/>
        <v>5.6123471637602729E-3</v>
      </c>
      <c r="L368" s="316">
        <f t="shared" si="52"/>
        <v>12.735145319703349</v>
      </c>
      <c r="M368" s="96">
        <f t="shared" si="49"/>
        <v>4.6827129340549218</v>
      </c>
      <c r="N368" s="37">
        <v>5.0824435700973281</v>
      </c>
      <c r="O368" s="947">
        <f t="shared" si="53"/>
        <v>0.90471036279815598</v>
      </c>
      <c r="P368" s="37">
        <f t="shared" si="54"/>
        <v>1.1028419322509522</v>
      </c>
      <c r="Q368" s="954">
        <f t="shared" si="47"/>
        <v>3.2849139911092992E-2</v>
      </c>
    </row>
    <row r="369" spans="1:17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48"/>
        <v>1035.06</v>
      </c>
      <c r="G369" s="827">
        <v>17</v>
      </c>
      <c r="H369" s="330">
        <v>1</v>
      </c>
      <c r="I369" s="330"/>
      <c r="J369" s="40">
        <f t="shared" si="50"/>
        <v>18</v>
      </c>
      <c r="K369" s="72">
        <f t="shared" si="51"/>
        <v>7.2158749248346366E-3</v>
      </c>
      <c r="L369" s="316">
        <f t="shared" si="52"/>
        <v>16.37375826819002</v>
      </c>
      <c r="M369" s="96">
        <f t="shared" si="49"/>
        <v>6.0206309152134709</v>
      </c>
      <c r="N369" s="37">
        <v>6.5345703044108516</v>
      </c>
      <c r="O369" s="947">
        <f t="shared" si="53"/>
        <v>1.1631990378833432</v>
      </c>
      <c r="P369" s="37">
        <f t="shared" si="54"/>
        <v>1.4179396271797955</v>
      </c>
      <c r="Q369" s="954">
        <f t="shared" si="47"/>
        <v>2.9072863916775535E-2</v>
      </c>
    </row>
    <row r="370" spans="1:17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48"/>
        <v>684.4</v>
      </c>
      <c r="G370" s="827">
        <v>13</v>
      </c>
      <c r="H370" s="330"/>
      <c r="I370" s="330">
        <v>1</v>
      </c>
      <c r="J370" s="40">
        <f t="shared" si="50"/>
        <v>14</v>
      </c>
      <c r="K370" s="72">
        <f t="shared" si="51"/>
        <v>5.6123471637602729E-3</v>
      </c>
      <c r="L370" s="316">
        <f t="shared" si="52"/>
        <v>12.735145319703349</v>
      </c>
      <c r="M370" s="96">
        <f t="shared" si="49"/>
        <v>4.6827129340549218</v>
      </c>
      <c r="N370" s="37">
        <v>5.0824435700973281</v>
      </c>
      <c r="O370" s="947">
        <f t="shared" si="53"/>
        <v>0.90471036279815598</v>
      </c>
      <c r="P370" s="37">
        <f t="shared" si="54"/>
        <v>1.1028419322509522</v>
      </c>
      <c r="Q370" s="954">
        <f t="shared" si="47"/>
        <v>3.4197855328249205E-2</v>
      </c>
    </row>
    <row r="371" spans="1:17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48"/>
        <v>858.85</v>
      </c>
      <c r="G371" s="827">
        <v>16</v>
      </c>
      <c r="H371" s="330">
        <v>1</v>
      </c>
      <c r="I371" s="330">
        <v>1</v>
      </c>
      <c r="J371" s="40">
        <f t="shared" si="50"/>
        <v>18</v>
      </c>
      <c r="K371" s="72">
        <f t="shared" si="51"/>
        <v>7.2158749248346366E-3</v>
      </c>
      <c r="L371" s="316">
        <f t="shared" si="52"/>
        <v>16.37375826819002</v>
      </c>
      <c r="M371" s="96">
        <f t="shared" si="49"/>
        <v>6.0206309152134709</v>
      </c>
      <c r="N371" s="37">
        <v>6.5345703044108516</v>
      </c>
      <c r="O371" s="947">
        <f t="shared" si="53"/>
        <v>1.1631990378833432</v>
      </c>
      <c r="P371" s="37">
        <f t="shared" si="54"/>
        <v>1.4179396271797955</v>
      </c>
      <c r="Q371" s="954">
        <f t="shared" si="47"/>
        <v>3.503773479152085E-2</v>
      </c>
    </row>
    <row r="372" spans="1:17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48"/>
        <v>827.7</v>
      </c>
      <c r="G372" s="827">
        <v>14</v>
      </c>
      <c r="H372" s="330"/>
      <c r="I372" s="330">
        <v>2</v>
      </c>
      <c r="J372" s="40">
        <f t="shared" si="50"/>
        <v>16</v>
      </c>
      <c r="K372" s="72">
        <f t="shared" si="51"/>
        <v>6.4141110442974547E-3</v>
      </c>
      <c r="L372" s="316">
        <f t="shared" si="52"/>
        <v>14.554451793946685</v>
      </c>
      <c r="M372" s="96">
        <f t="shared" si="49"/>
        <v>5.3516719246341964</v>
      </c>
      <c r="N372" s="37">
        <v>5.8085069372540898</v>
      </c>
      <c r="O372" s="947">
        <f t="shared" si="53"/>
        <v>1.0339547003407497</v>
      </c>
      <c r="P372" s="37">
        <f t="shared" si="54"/>
        <v>1.2603907797153739</v>
      </c>
      <c r="Q372" s="954">
        <f t="shared" si="47"/>
        <v>3.2316763750363318E-2</v>
      </c>
    </row>
    <row r="373" spans="1:17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48"/>
        <v>837.19</v>
      </c>
      <c r="G373" s="827">
        <v>14</v>
      </c>
      <c r="H373" s="330"/>
      <c r="I373" s="330"/>
      <c r="J373" s="40">
        <f t="shared" si="50"/>
        <v>14</v>
      </c>
      <c r="K373" s="72">
        <f t="shared" si="51"/>
        <v>5.6123471637602729E-3</v>
      </c>
      <c r="L373" s="316">
        <f t="shared" si="52"/>
        <v>12.735145319703349</v>
      </c>
      <c r="M373" s="96">
        <f t="shared" si="49"/>
        <v>4.6827129340549218</v>
      </c>
      <c r="N373" s="37">
        <v>5.0824435700973281</v>
      </c>
      <c r="O373" s="947">
        <f t="shared" si="53"/>
        <v>0.90471036279815598</v>
      </c>
      <c r="P373" s="37">
        <f t="shared" si="54"/>
        <v>1.1028419322509522</v>
      </c>
      <c r="Q373" s="954">
        <f t="shared" si="47"/>
        <v>2.7956631334169969E-2</v>
      </c>
    </row>
    <row r="374" spans="1:17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48"/>
        <v>325.10000000000002</v>
      </c>
      <c r="G374" s="827">
        <v>7</v>
      </c>
      <c r="H374" s="330"/>
      <c r="I374" s="330"/>
      <c r="J374" s="40">
        <f t="shared" si="50"/>
        <v>7</v>
      </c>
      <c r="K374" s="72">
        <f t="shared" si="51"/>
        <v>2.8061735818801364E-3</v>
      </c>
      <c r="L374" s="316">
        <f t="shared" si="52"/>
        <v>6.3675726598516746</v>
      </c>
      <c r="M374" s="96">
        <f t="shared" si="49"/>
        <v>2.3413564670274609</v>
      </c>
      <c r="N374" s="37">
        <v>2.541221785048664</v>
      </c>
      <c r="O374" s="947">
        <f t="shared" si="53"/>
        <v>0.45235518139907799</v>
      </c>
      <c r="P374" s="37">
        <f t="shared" si="54"/>
        <v>0.55142096612547609</v>
      </c>
      <c r="Q374" s="954">
        <f t="shared" si="47"/>
        <v>3.5996635168646193E-2</v>
      </c>
    </row>
    <row r="375" spans="1:17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48"/>
        <v>513</v>
      </c>
      <c r="G375" s="827">
        <v>9</v>
      </c>
      <c r="H375" s="330"/>
      <c r="I375" s="330">
        <v>1</v>
      </c>
      <c r="J375" s="40">
        <f t="shared" si="50"/>
        <v>10</v>
      </c>
      <c r="K375" s="72">
        <f t="shared" si="51"/>
        <v>4.0088194026859092E-3</v>
      </c>
      <c r="L375" s="316">
        <f t="shared" si="52"/>
        <v>9.0965323712166768</v>
      </c>
      <c r="M375" s="96">
        <f t="shared" si="49"/>
        <v>3.3447949528963723</v>
      </c>
      <c r="N375" s="37">
        <v>3.6303168357838063</v>
      </c>
      <c r="O375" s="947">
        <f t="shared" si="53"/>
        <v>0.64622168771296851</v>
      </c>
      <c r="P375" s="37">
        <f t="shared" si="54"/>
        <v>0.78774423732210863</v>
      </c>
      <c r="Q375" s="954">
        <f t="shared" si="47"/>
        <v>3.2588432451481138E-2</v>
      </c>
    </row>
    <row r="376" spans="1:17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48"/>
        <v>1023.42</v>
      </c>
      <c r="G376" s="827">
        <v>16</v>
      </c>
      <c r="H376" s="330"/>
      <c r="I376" s="330">
        <v>1</v>
      </c>
      <c r="J376" s="40">
        <f t="shared" si="50"/>
        <v>17</v>
      </c>
      <c r="K376" s="72">
        <f t="shared" si="51"/>
        <v>6.8149929845660456E-3</v>
      </c>
      <c r="L376" s="316">
        <f t="shared" si="52"/>
        <v>15.464105031068351</v>
      </c>
      <c r="M376" s="96">
        <f t="shared" si="49"/>
        <v>5.6861514199238332</v>
      </c>
      <c r="N376" s="37">
        <v>6.1715386208324707</v>
      </c>
      <c r="O376" s="947">
        <f t="shared" si="53"/>
        <v>1.0985768691120466</v>
      </c>
      <c r="P376" s="37">
        <f t="shared" si="54"/>
        <v>1.3391652034475849</v>
      </c>
      <c r="Q376" s="954">
        <f t="shared" si="47"/>
        <v>2.776999857432599E-2</v>
      </c>
    </row>
    <row r="377" spans="1:17" s="6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48"/>
        <v>74.599999999999994</v>
      </c>
      <c r="G377" s="827">
        <v>1</v>
      </c>
      <c r="H377" s="154"/>
      <c r="I377" s="154"/>
      <c r="J377" s="40">
        <f t="shared" si="50"/>
        <v>1</v>
      </c>
      <c r="K377" s="72">
        <f t="shared" si="51"/>
        <v>4.0088194026859092E-4</v>
      </c>
      <c r="L377" s="316">
        <f t="shared" si="52"/>
        <v>0.90965323712166779</v>
      </c>
      <c r="M377" s="96">
        <f t="shared" si="49"/>
        <v>0.33447949528963727</v>
      </c>
      <c r="N377" s="37">
        <v>0.36303168357838062</v>
      </c>
      <c r="O377" s="947">
        <f>K377*1761.2</f>
        <v>0.70603327320104237</v>
      </c>
      <c r="P377" s="37">
        <f t="shared" si="54"/>
        <v>0.86065456003207075</v>
      </c>
      <c r="Q377" s="954">
        <f t="shared" si="47"/>
        <v>3.100801191944676E-2</v>
      </c>
    </row>
    <row r="378" spans="1:17" s="6" customFormat="1" ht="15.75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95">
        <f t="shared" si="48"/>
        <v>577.79999999999995</v>
      </c>
      <c r="G378" s="827">
        <v>17</v>
      </c>
      <c r="H378" s="330"/>
      <c r="I378" s="330">
        <v>1</v>
      </c>
      <c r="J378" s="40">
        <f t="shared" si="50"/>
        <v>18</v>
      </c>
      <c r="K378" s="72">
        <f t="shared" si="51"/>
        <v>7.2158749248346366E-3</v>
      </c>
      <c r="L378" s="316">
        <f t="shared" si="52"/>
        <v>16.37375826819002</v>
      </c>
      <c r="M378" s="96">
        <f t="shared" si="49"/>
        <v>6.0206309152134709</v>
      </c>
      <c r="N378" s="37">
        <v>6.5345703044108516</v>
      </c>
      <c r="O378" s="947">
        <f t="shared" si="53"/>
        <v>1.1631990378833432</v>
      </c>
      <c r="P378" s="37">
        <f t="shared" si="54"/>
        <v>1.4179396271797955</v>
      </c>
      <c r="Q378" s="954">
        <f t="shared" si="47"/>
        <v>5.2080578964516594E-2</v>
      </c>
    </row>
    <row r="379" spans="1:17" s="6" customFormat="1" ht="15.75">
      <c r="A379" s="275">
        <v>288</v>
      </c>
      <c r="B379" s="122" t="s">
        <v>1357</v>
      </c>
      <c r="C379" s="535">
        <v>379.4</v>
      </c>
      <c r="D379" s="413"/>
      <c r="E379" s="413"/>
      <c r="F379" s="95">
        <f t="shared" si="48"/>
        <v>379.4</v>
      </c>
      <c r="G379" s="827">
        <v>9</v>
      </c>
      <c r="H379" s="330"/>
      <c r="I379" s="330"/>
      <c r="J379" s="40">
        <f t="shared" si="50"/>
        <v>9</v>
      </c>
      <c r="K379" s="72">
        <f t="shared" si="51"/>
        <v>3.6079374624173183E-3</v>
      </c>
      <c r="L379" s="316">
        <f t="shared" si="52"/>
        <v>8.18687913409501</v>
      </c>
      <c r="M379" s="96">
        <f t="shared" si="49"/>
        <v>3.0103154576067355</v>
      </c>
      <c r="N379" s="37">
        <v>3.2672851522054258</v>
      </c>
      <c r="O379" s="947">
        <f t="shared" si="53"/>
        <v>0.58159951894167161</v>
      </c>
      <c r="P379" s="37">
        <f t="shared" si="54"/>
        <v>0.70896981358989775</v>
      </c>
      <c r="Q379" s="954">
        <f t="shared" si="47"/>
        <v>3.9657562632706492E-2</v>
      </c>
    </row>
    <row r="380" spans="1:17" s="6" customFormat="1" ht="15.75">
      <c r="A380" s="268">
        <v>289</v>
      </c>
      <c r="B380" s="291" t="s">
        <v>1395</v>
      </c>
      <c r="C380" s="538">
        <f>1893+1096.4</f>
        <v>2989.4</v>
      </c>
      <c r="D380" s="255"/>
      <c r="E380" s="255"/>
      <c r="F380" s="95">
        <f t="shared" si="48"/>
        <v>2989.4</v>
      </c>
      <c r="G380" s="800">
        <v>91</v>
      </c>
      <c r="H380" s="160"/>
      <c r="I380" s="799"/>
      <c r="J380" s="40">
        <f t="shared" si="50"/>
        <v>91</v>
      </c>
      <c r="K380" s="72">
        <f t="shared" si="51"/>
        <v>3.6480256564441774E-2</v>
      </c>
      <c r="L380" s="316">
        <f t="shared" si="52"/>
        <v>82.77844457807177</v>
      </c>
      <c r="M380" s="96">
        <f t="shared" si="49"/>
        <v>30.437634071356992</v>
      </c>
      <c r="N380" s="37">
        <v>33.035883205632636</v>
      </c>
      <c r="O380" s="947">
        <f t="shared" ref="O380:O390" si="55">K380*161.2</f>
        <v>5.8806173581880135</v>
      </c>
      <c r="P380" s="37">
        <f t="shared" si="54"/>
        <v>7.1684725596311889</v>
      </c>
      <c r="Q380" s="954">
        <f t="shared" si="47"/>
        <v>5.0890673450608617E-2</v>
      </c>
    </row>
    <row r="381" spans="1:17" s="6" customFormat="1" ht="15.75">
      <c r="A381" s="268">
        <v>290</v>
      </c>
      <c r="B381" s="292" t="s">
        <v>1396</v>
      </c>
      <c r="C381" s="586">
        <v>527.29999999999995</v>
      </c>
      <c r="D381" s="255"/>
      <c r="E381" s="255"/>
      <c r="F381" s="95">
        <f t="shared" si="48"/>
        <v>527.29999999999995</v>
      </c>
      <c r="G381" s="800">
        <v>14</v>
      </c>
      <c r="H381" s="160"/>
      <c r="I381" s="799"/>
      <c r="J381" s="40">
        <f t="shared" si="50"/>
        <v>14</v>
      </c>
      <c r="K381" s="72">
        <f t="shared" si="51"/>
        <v>5.6123471637602729E-3</v>
      </c>
      <c r="L381" s="316">
        <f t="shared" si="52"/>
        <v>12.735145319703349</v>
      </c>
      <c r="M381" s="96">
        <f t="shared" si="49"/>
        <v>4.6827129340549218</v>
      </c>
      <c r="N381" s="37">
        <v>5.0824435700973281</v>
      </c>
      <c r="O381" s="947">
        <f t="shared" si="55"/>
        <v>0.90471036279815598</v>
      </c>
      <c r="P381" s="37">
        <f t="shared" si="54"/>
        <v>1.1028419322509522</v>
      </c>
      <c r="Q381" s="954">
        <f t="shared" si="47"/>
        <v>4.4386520361566012E-2</v>
      </c>
    </row>
    <row r="382" spans="1:17" s="6" customFormat="1" ht="15.75">
      <c r="A382" s="268">
        <v>291</v>
      </c>
      <c r="B382" s="301" t="s">
        <v>1400</v>
      </c>
      <c r="C382" s="538">
        <v>2299.1999999999998</v>
      </c>
      <c r="D382" s="255"/>
      <c r="E382" s="255"/>
      <c r="F382" s="95">
        <f t="shared" si="48"/>
        <v>2299.1999999999998</v>
      </c>
      <c r="G382" s="800">
        <v>56</v>
      </c>
      <c r="H382" s="160"/>
      <c r="I382" s="799"/>
      <c r="J382" s="40">
        <f t="shared" si="50"/>
        <v>56</v>
      </c>
      <c r="K382" s="72">
        <f t="shared" si="51"/>
        <v>2.2449388655041091E-2</v>
      </c>
      <c r="L382" s="316">
        <f t="shared" si="52"/>
        <v>50.940581278813397</v>
      </c>
      <c r="M382" s="96">
        <f t="shared" si="49"/>
        <v>18.730851736219687</v>
      </c>
      <c r="N382" s="37">
        <v>20.329774280389312</v>
      </c>
      <c r="O382" s="947">
        <f t="shared" si="55"/>
        <v>3.6188414511926239</v>
      </c>
      <c r="P382" s="37">
        <f t="shared" si="54"/>
        <v>4.4113677290038087</v>
      </c>
      <c r="Q382" s="954">
        <f t="shared" si="47"/>
        <v>4.0718531987915377E-2</v>
      </c>
    </row>
    <row r="383" spans="1:17" s="6" customFormat="1" ht="15.75">
      <c r="A383" s="268">
        <v>292</v>
      </c>
      <c r="B383" s="302" t="s">
        <v>1401</v>
      </c>
      <c r="C383" s="539">
        <v>292.60000000000002</v>
      </c>
      <c r="D383" s="413"/>
      <c r="E383" s="413"/>
      <c r="F383" s="95">
        <f t="shared" si="48"/>
        <v>292.60000000000002</v>
      </c>
      <c r="G383" s="800">
        <v>7</v>
      </c>
      <c r="H383" s="533"/>
      <c r="I383" s="799"/>
      <c r="J383" s="40">
        <f t="shared" si="50"/>
        <v>7</v>
      </c>
      <c r="K383" s="72">
        <f t="shared" si="51"/>
        <v>2.8061735818801364E-3</v>
      </c>
      <c r="L383" s="316">
        <f t="shared" si="52"/>
        <v>6.3675726598516746</v>
      </c>
      <c r="M383" s="96">
        <f t="shared" si="49"/>
        <v>2.3413564670274609</v>
      </c>
      <c r="N383" s="37">
        <v>2.541221785048664</v>
      </c>
      <c r="O383" s="947">
        <f t="shared" si="55"/>
        <v>0.45235518139907799</v>
      </c>
      <c r="P383" s="37">
        <f t="shared" si="54"/>
        <v>0.55142096612547609</v>
      </c>
      <c r="Q383" s="954">
        <f t="shared" si="47"/>
        <v>3.9994894372272306E-2</v>
      </c>
    </row>
    <row r="384" spans="1:17" s="69" customFormat="1" ht="15.75">
      <c r="A384" s="63"/>
      <c r="B384" s="63" t="s">
        <v>244</v>
      </c>
      <c r="C384" s="63">
        <f t="shared" ref="C384:I384" si="56">SUM(C92:C383)</f>
        <v>223930.76000000007</v>
      </c>
      <c r="D384" s="63">
        <f t="shared" si="56"/>
        <v>4473.8499999999995</v>
      </c>
      <c r="E384" s="63">
        <f t="shared" si="56"/>
        <v>3784.1</v>
      </c>
      <c r="F384" s="63">
        <f t="shared" si="56"/>
        <v>232188.70999999996</v>
      </c>
      <c r="G384" s="63">
        <f t="shared" si="56"/>
        <v>4818</v>
      </c>
      <c r="H384" s="63">
        <f t="shared" si="56"/>
        <v>77</v>
      </c>
      <c r="I384" s="63">
        <f t="shared" si="56"/>
        <v>94</v>
      </c>
      <c r="J384" s="95">
        <f>SUM(J92:J383)</f>
        <v>4989</v>
      </c>
      <c r="K384" s="72">
        <f>2/4989*J384</f>
        <v>2</v>
      </c>
      <c r="L384" s="316">
        <f>K384*2269.13</f>
        <v>4538.26</v>
      </c>
      <c r="M384" s="104">
        <f t="shared" si="49"/>
        <v>1668.7182020000002</v>
      </c>
      <c r="N384" s="37">
        <f>SUM(N91:N383)</f>
        <v>1811.165069372543</v>
      </c>
      <c r="O384" s="947">
        <f t="shared" si="55"/>
        <v>322.39999999999998</v>
      </c>
      <c r="P384" s="37">
        <f t="shared" si="54"/>
        <v>393.00560000000002</v>
      </c>
      <c r="Q384" s="954">
        <f t="shared" si="47"/>
        <v>3.5921398897356134E-2</v>
      </c>
    </row>
    <row r="385" spans="1:17" s="6" customFormat="1" ht="15.75">
      <c r="A385" s="52" t="s">
        <v>668</v>
      </c>
      <c r="B385" s="8"/>
      <c r="C385" s="8"/>
      <c r="D385" s="8"/>
      <c r="E385" s="8"/>
      <c r="F385" s="40">
        <f t="shared" ref="F385:F448" si="57">C385+D385+E385</f>
        <v>0</v>
      </c>
      <c r="G385" s="24"/>
      <c r="H385" s="8"/>
      <c r="I385" s="8"/>
      <c r="J385" s="40"/>
      <c r="K385" s="61"/>
      <c r="L385" s="316"/>
      <c r="M385" s="37"/>
      <c r="N385" s="37"/>
      <c r="O385" s="947">
        <f t="shared" si="55"/>
        <v>0</v>
      </c>
      <c r="P385" s="37"/>
      <c r="Q385" s="954" t="e">
        <f t="shared" si="47"/>
        <v>#DIV/0!</v>
      </c>
    </row>
    <row r="386" spans="1:17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57"/>
        <v>4235</v>
      </c>
      <c r="G386" s="820">
        <v>70</v>
      </c>
      <c r="H386" s="8"/>
      <c r="I386" s="8"/>
      <c r="J386" s="40">
        <f t="shared" ref="J386:J400" si="58">G386+H386+I386</f>
        <v>70</v>
      </c>
      <c r="K386" s="66">
        <f t="shared" ref="K386:K449" si="59">2/5435*J386</f>
        <v>2.5758969641214349E-2</v>
      </c>
      <c r="L386" s="316">
        <f t="shared" ref="L386:L449" si="60">K386*2269.13</f>
        <v>58.450450781968719</v>
      </c>
      <c r="M386" s="37">
        <f t="shared" ref="M386:M400" si="61">L386*0.3677</f>
        <v>21.492230752529899</v>
      </c>
      <c r="N386" s="37">
        <v>22.691494082840237</v>
      </c>
      <c r="O386" s="947">
        <f t="shared" si="55"/>
        <v>4.1523459061637524</v>
      </c>
      <c r="P386" s="37">
        <f t="shared" si="54"/>
        <v>5.0617096596136149</v>
      </c>
      <c r="Q386" s="954">
        <f t="shared" si="47"/>
        <v>2.5215235306612186E-2</v>
      </c>
    </row>
    <row r="387" spans="1:17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57"/>
        <v>12601</v>
      </c>
      <c r="G387" s="730">
        <v>220</v>
      </c>
      <c r="H387" s="8"/>
      <c r="I387" s="8"/>
      <c r="J387" s="40">
        <f t="shared" si="58"/>
        <v>220</v>
      </c>
      <c r="K387" s="66">
        <f t="shared" si="59"/>
        <v>8.0956761729530813E-2</v>
      </c>
      <c r="L387" s="316">
        <f t="shared" si="60"/>
        <v>183.70141674333027</v>
      </c>
      <c r="M387" s="37">
        <f t="shared" si="61"/>
        <v>67.54701093652254</v>
      </c>
      <c r="N387" s="37">
        <v>71.316124260355025</v>
      </c>
      <c r="O387" s="947">
        <f t="shared" si="55"/>
        <v>13.050229990800366</v>
      </c>
      <c r="P387" s="37">
        <f t="shared" si="54"/>
        <v>15.908230358785648</v>
      </c>
      <c r="Q387" s="954">
        <f t="shared" si="47"/>
        <v>2.6633979996112073E-2</v>
      </c>
    </row>
    <row r="388" spans="1:17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57"/>
        <v>12482</v>
      </c>
      <c r="G388" s="730">
        <v>220</v>
      </c>
      <c r="H388" s="8"/>
      <c r="I388" s="8"/>
      <c r="J388" s="40">
        <f t="shared" si="58"/>
        <v>220</v>
      </c>
      <c r="K388" s="66">
        <f t="shared" si="59"/>
        <v>8.0956761729530813E-2</v>
      </c>
      <c r="L388" s="316">
        <f t="shared" si="60"/>
        <v>183.70141674333027</v>
      </c>
      <c r="M388" s="37">
        <f t="shared" si="61"/>
        <v>67.54701093652254</v>
      </c>
      <c r="N388" s="37">
        <v>71.316124260355025</v>
      </c>
      <c r="O388" s="947">
        <f t="shared" si="55"/>
        <v>13.050229990800366</v>
      </c>
      <c r="P388" s="37">
        <f t="shared" si="54"/>
        <v>15.908230358785648</v>
      </c>
      <c r="Q388" s="954">
        <f t="shared" si="47"/>
        <v>2.6887901132110897E-2</v>
      </c>
    </row>
    <row r="389" spans="1:17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57"/>
        <v>6092</v>
      </c>
      <c r="G389" s="730">
        <v>136</v>
      </c>
      <c r="H389" s="8"/>
      <c r="I389" s="8"/>
      <c r="J389" s="40">
        <f t="shared" si="58"/>
        <v>136</v>
      </c>
      <c r="K389" s="66">
        <f t="shared" si="59"/>
        <v>5.0045998160073595E-2</v>
      </c>
      <c r="L389" s="316">
        <f t="shared" si="60"/>
        <v>113.56087580496781</v>
      </c>
      <c r="M389" s="37">
        <f t="shared" si="61"/>
        <v>41.756334033486667</v>
      </c>
      <c r="N389" s="37">
        <v>44.086331360946744</v>
      </c>
      <c r="O389" s="947">
        <f t="shared" si="55"/>
        <v>8.0674149034038631</v>
      </c>
      <c r="P389" s="37">
        <f t="shared" si="54"/>
        <v>9.8341787672493091</v>
      </c>
      <c r="Q389" s="954">
        <f t="shared" si="47"/>
        <v>3.4056296142942394E-2</v>
      </c>
    </row>
    <row r="390" spans="1:17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57"/>
        <v>12853.2</v>
      </c>
      <c r="G390" s="730">
        <v>220</v>
      </c>
      <c r="H390" s="8"/>
      <c r="I390" s="8"/>
      <c r="J390" s="40">
        <f t="shared" si="58"/>
        <v>220</v>
      </c>
      <c r="K390" s="66">
        <f t="shared" si="59"/>
        <v>8.0956761729530813E-2</v>
      </c>
      <c r="L390" s="316">
        <f t="shared" si="60"/>
        <v>183.70141674333027</v>
      </c>
      <c r="M390" s="37">
        <f t="shared" si="61"/>
        <v>67.54701093652254</v>
      </c>
      <c r="N390" s="37">
        <v>71.316124260355025</v>
      </c>
      <c r="O390" s="947">
        <f t="shared" si="55"/>
        <v>13.050229990800366</v>
      </c>
      <c r="P390" s="37">
        <f t="shared" si="54"/>
        <v>15.908230358785648</v>
      </c>
      <c r="Q390" s="954">
        <f t="shared" si="47"/>
        <v>2.6111379417655387E-2</v>
      </c>
    </row>
    <row r="391" spans="1:17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57"/>
        <v>6317.1</v>
      </c>
      <c r="G391" s="730">
        <v>136</v>
      </c>
      <c r="H391" s="8">
        <v>1</v>
      </c>
      <c r="I391" s="8"/>
      <c r="J391" s="40">
        <f t="shared" si="58"/>
        <v>137</v>
      </c>
      <c r="K391" s="66">
        <f t="shared" si="59"/>
        <v>5.041398344066237E-2</v>
      </c>
      <c r="L391" s="316">
        <f t="shared" si="60"/>
        <v>114.39588224471021</v>
      </c>
      <c r="M391" s="37">
        <f t="shared" si="61"/>
        <v>42.063365901379946</v>
      </c>
      <c r="N391" s="37">
        <v>44.41049556213018</v>
      </c>
      <c r="O391" s="947">
        <f t="shared" ref="O391:O454" si="62">K391*161.2</f>
        <v>8.1267341306347731</v>
      </c>
      <c r="P391" s="37">
        <f t="shared" si="54"/>
        <v>9.9064889052437888</v>
      </c>
      <c r="Q391" s="954">
        <f t="shared" ref="Q391:Q454" si="63">(O391+N391+M391+L391)/F391</f>
        <v>3.3084244010519875E-2</v>
      </c>
    </row>
    <row r="392" spans="1:17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57"/>
        <v>6243.1</v>
      </c>
      <c r="G392" s="730">
        <v>136</v>
      </c>
      <c r="H392" s="8">
        <v>1</v>
      </c>
      <c r="I392" s="8"/>
      <c r="J392" s="40">
        <f t="shared" si="58"/>
        <v>137</v>
      </c>
      <c r="K392" s="66">
        <f t="shared" si="59"/>
        <v>5.041398344066237E-2</v>
      </c>
      <c r="L392" s="316">
        <f t="shared" si="60"/>
        <v>114.39588224471021</v>
      </c>
      <c r="M392" s="37">
        <f t="shared" si="61"/>
        <v>42.063365901379946</v>
      </c>
      <c r="N392" s="37">
        <v>44.41049556213018</v>
      </c>
      <c r="O392" s="947">
        <f t="shared" si="62"/>
        <v>8.1267341306347731</v>
      </c>
      <c r="P392" s="37">
        <f t="shared" si="54"/>
        <v>9.9064889052437888</v>
      </c>
      <c r="Q392" s="954">
        <f t="shared" si="63"/>
        <v>3.347639439362738E-2</v>
      </c>
    </row>
    <row r="393" spans="1:17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57"/>
        <v>3918</v>
      </c>
      <c r="G393" s="730">
        <v>70</v>
      </c>
      <c r="H393" s="8"/>
      <c r="I393" s="8"/>
      <c r="J393" s="40">
        <f t="shared" si="58"/>
        <v>70</v>
      </c>
      <c r="K393" s="66">
        <f t="shared" si="59"/>
        <v>2.5758969641214349E-2</v>
      </c>
      <c r="L393" s="316">
        <f t="shared" si="60"/>
        <v>58.450450781968719</v>
      </c>
      <c r="M393" s="37">
        <f t="shared" si="61"/>
        <v>21.492230752529899</v>
      </c>
      <c r="N393" s="37">
        <v>22.691494082840237</v>
      </c>
      <c r="O393" s="947">
        <f t="shared" si="62"/>
        <v>4.1523459061637524</v>
      </c>
      <c r="P393" s="37">
        <f t="shared" si="54"/>
        <v>5.0617096596136149</v>
      </c>
      <c r="Q393" s="954">
        <f t="shared" si="63"/>
        <v>2.725536537098076E-2</v>
      </c>
    </row>
    <row r="394" spans="1:17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57"/>
        <v>4332</v>
      </c>
      <c r="G394" s="730">
        <v>70</v>
      </c>
      <c r="H394" s="8"/>
      <c r="I394" s="8"/>
      <c r="J394" s="40">
        <f t="shared" si="58"/>
        <v>70</v>
      </c>
      <c r="K394" s="66">
        <f t="shared" si="59"/>
        <v>2.5758969641214349E-2</v>
      </c>
      <c r="L394" s="316">
        <f t="shared" si="60"/>
        <v>58.450450781968719</v>
      </c>
      <c r="M394" s="37">
        <f t="shared" si="61"/>
        <v>21.492230752529899</v>
      </c>
      <c r="N394" s="37">
        <v>22.691494082840237</v>
      </c>
      <c r="O394" s="947">
        <f t="shared" si="62"/>
        <v>4.1523459061637524</v>
      </c>
      <c r="P394" s="37">
        <f t="shared" si="54"/>
        <v>5.0617096596136149</v>
      </c>
      <c r="Q394" s="954">
        <f t="shared" si="63"/>
        <v>2.4650628237188971E-2</v>
      </c>
    </row>
    <row r="395" spans="1:17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57"/>
        <v>3911</v>
      </c>
      <c r="G395" s="730">
        <v>70</v>
      </c>
      <c r="H395" s="8"/>
      <c r="I395" s="8"/>
      <c r="J395" s="40">
        <f t="shared" si="58"/>
        <v>70</v>
      </c>
      <c r="K395" s="66">
        <f t="shared" si="59"/>
        <v>2.5758969641214349E-2</v>
      </c>
      <c r="L395" s="316">
        <f t="shared" si="60"/>
        <v>58.450450781968719</v>
      </c>
      <c r="M395" s="37">
        <f t="shared" si="61"/>
        <v>21.492230752529899</v>
      </c>
      <c r="N395" s="37">
        <v>22.691494082840237</v>
      </c>
      <c r="O395" s="947">
        <f t="shared" si="62"/>
        <v>4.1523459061637524</v>
      </c>
      <c r="P395" s="37">
        <f t="shared" si="54"/>
        <v>5.0617096596136149</v>
      </c>
      <c r="Q395" s="954">
        <f t="shared" si="63"/>
        <v>2.7304147666454261E-2</v>
      </c>
    </row>
    <row r="396" spans="1:17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57"/>
        <v>3338</v>
      </c>
      <c r="G396" s="730">
        <v>120</v>
      </c>
      <c r="H396" s="8"/>
      <c r="I396" s="8"/>
      <c r="J396" s="40">
        <f t="shared" si="58"/>
        <v>120</v>
      </c>
      <c r="K396" s="66">
        <f t="shared" si="59"/>
        <v>4.415823367065317E-2</v>
      </c>
      <c r="L396" s="316">
        <f t="shared" si="60"/>
        <v>100.20077276908923</v>
      </c>
      <c r="M396" s="37">
        <f t="shared" si="61"/>
        <v>36.843824147194113</v>
      </c>
      <c r="N396" s="37">
        <v>38.899704142011828</v>
      </c>
      <c r="O396" s="947">
        <f t="shared" si="62"/>
        <v>7.1183072677092909</v>
      </c>
      <c r="P396" s="37">
        <f t="shared" si="54"/>
        <v>8.6772165593376265</v>
      </c>
      <c r="Q396" s="954">
        <f t="shared" si="63"/>
        <v>5.4842003692631654E-2</v>
      </c>
    </row>
    <row r="397" spans="1:17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57"/>
        <v>3353</v>
      </c>
      <c r="G397" s="730">
        <v>120</v>
      </c>
      <c r="H397" s="8"/>
      <c r="I397" s="8"/>
      <c r="J397" s="40">
        <f t="shared" si="58"/>
        <v>120</v>
      </c>
      <c r="K397" s="66">
        <f t="shared" si="59"/>
        <v>4.415823367065317E-2</v>
      </c>
      <c r="L397" s="316">
        <f t="shared" si="60"/>
        <v>100.20077276908923</v>
      </c>
      <c r="M397" s="37">
        <f t="shared" si="61"/>
        <v>36.843824147194113</v>
      </c>
      <c r="N397" s="37">
        <v>38.899704142011828</v>
      </c>
      <c r="O397" s="947">
        <f t="shared" si="62"/>
        <v>7.1183072677092909</v>
      </c>
      <c r="P397" s="37">
        <f t="shared" si="54"/>
        <v>8.6772165593376265</v>
      </c>
      <c r="Q397" s="954">
        <f t="shared" si="63"/>
        <v>5.4596662190875174E-2</v>
      </c>
    </row>
    <row r="398" spans="1:17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57"/>
        <v>4050</v>
      </c>
      <c r="G398" s="730">
        <v>90</v>
      </c>
      <c r="H398" s="8"/>
      <c r="I398" s="8"/>
      <c r="J398" s="40">
        <f t="shared" si="58"/>
        <v>90</v>
      </c>
      <c r="K398" s="66">
        <f t="shared" si="59"/>
        <v>3.3118675252989879E-2</v>
      </c>
      <c r="L398" s="316">
        <f t="shared" si="60"/>
        <v>75.150579576816924</v>
      </c>
      <c r="M398" s="37">
        <f t="shared" si="61"/>
        <v>27.632868110395584</v>
      </c>
      <c r="N398" s="37">
        <v>29.174778106508871</v>
      </c>
      <c r="O398" s="947">
        <f t="shared" si="62"/>
        <v>5.3387304507819682</v>
      </c>
      <c r="P398" s="37">
        <f t="shared" si="54"/>
        <v>6.5079124195032199</v>
      </c>
      <c r="Q398" s="954">
        <f t="shared" si="63"/>
        <v>3.3900483023334163E-2</v>
      </c>
    </row>
    <row r="399" spans="1:17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57"/>
        <v>4035</v>
      </c>
      <c r="G399" s="730">
        <v>90</v>
      </c>
      <c r="H399" s="8"/>
      <c r="I399" s="8"/>
      <c r="J399" s="40">
        <f t="shared" si="58"/>
        <v>90</v>
      </c>
      <c r="K399" s="66">
        <f t="shared" si="59"/>
        <v>3.3118675252989879E-2</v>
      </c>
      <c r="L399" s="316">
        <f t="shared" si="60"/>
        <v>75.150579576816924</v>
      </c>
      <c r="M399" s="37">
        <f t="shared" si="61"/>
        <v>27.632868110395584</v>
      </c>
      <c r="N399" s="37">
        <v>29.174778106508871</v>
      </c>
      <c r="O399" s="947">
        <f t="shared" si="62"/>
        <v>5.3387304507819682</v>
      </c>
      <c r="P399" s="37">
        <f t="shared" si="54"/>
        <v>6.5079124195032199</v>
      </c>
      <c r="Q399" s="954">
        <f t="shared" si="63"/>
        <v>3.4026507123792654E-2</v>
      </c>
    </row>
    <row r="400" spans="1:17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57"/>
        <v>4018</v>
      </c>
      <c r="G400" s="730">
        <v>90</v>
      </c>
      <c r="H400" s="8"/>
      <c r="I400" s="8"/>
      <c r="J400" s="40">
        <f t="shared" si="58"/>
        <v>90</v>
      </c>
      <c r="K400" s="66">
        <f t="shared" si="59"/>
        <v>3.3118675252989879E-2</v>
      </c>
      <c r="L400" s="316">
        <f t="shared" si="60"/>
        <v>75.150579576816924</v>
      </c>
      <c r="M400" s="37">
        <f t="shared" si="61"/>
        <v>27.632868110395584</v>
      </c>
      <c r="N400" s="37">
        <v>29.174778106508871</v>
      </c>
      <c r="O400" s="947">
        <f t="shared" si="62"/>
        <v>5.3387304507819682</v>
      </c>
      <c r="P400" s="37">
        <f t="shared" si="54"/>
        <v>6.5079124195032199</v>
      </c>
      <c r="Q400" s="954">
        <f t="shared" si="63"/>
        <v>3.4170471937407507E-2</v>
      </c>
    </row>
    <row r="401" spans="1:17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57"/>
        <v>4031</v>
      </c>
      <c r="G401" s="730">
        <v>90</v>
      </c>
      <c r="H401" s="8"/>
      <c r="I401" s="8"/>
      <c r="J401" s="40">
        <f t="shared" ref="J401:J464" si="64">G401+H401+I401</f>
        <v>90</v>
      </c>
      <c r="K401" s="66">
        <f t="shared" si="59"/>
        <v>3.3118675252989879E-2</v>
      </c>
      <c r="L401" s="316">
        <f t="shared" si="60"/>
        <v>75.150579576816924</v>
      </c>
      <c r="M401" s="37">
        <f t="shared" ref="M401:M464" si="65">L401*0.3677</f>
        <v>27.632868110395584</v>
      </c>
      <c r="N401" s="37">
        <v>29.174778106508871</v>
      </c>
      <c r="O401" s="947">
        <f t="shared" si="62"/>
        <v>5.3387304507819682</v>
      </c>
      <c r="P401" s="37">
        <f t="shared" si="54"/>
        <v>6.5079124195032199</v>
      </c>
      <c r="Q401" s="954">
        <f t="shared" si="63"/>
        <v>3.4060271953486321E-2</v>
      </c>
    </row>
    <row r="402" spans="1:17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57"/>
        <v>4302</v>
      </c>
      <c r="G402" s="730">
        <v>70</v>
      </c>
      <c r="H402" s="8"/>
      <c r="I402" s="8"/>
      <c r="J402" s="40">
        <f t="shared" si="64"/>
        <v>70</v>
      </c>
      <c r="K402" s="66">
        <f t="shared" si="59"/>
        <v>2.5758969641214349E-2</v>
      </c>
      <c r="L402" s="316">
        <f t="shared" si="60"/>
        <v>58.450450781968719</v>
      </c>
      <c r="M402" s="37">
        <f t="shared" si="65"/>
        <v>21.492230752529899</v>
      </c>
      <c r="N402" s="37">
        <v>22.691494082840237</v>
      </c>
      <c r="O402" s="947">
        <f t="shared" si="62"/>
        <v>4.1523459061637524</v>
      </c>
      <c r="P402" s="37">
        <f t="shared" si="54"/>
        <v>5.0617096596136149</v>
      </c>
      <c r="Q402" s="954">
        <f t="shared" si="63"/>
        <v>2.4822529410391123E-2</v>
      </c>
    </row>
    <row r="403" spans="1:17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57"/>
        <v>4275</v>
      </c>
      <c r="G403" s="730">
        <v>70</v>
      </c>
      <c r="H403" s="8"/>
      <c r="I403" s="8"/>
      <c r="J403" s="40">
        <f t="shared" si="64"/>
        <v>70</v>
      </c>
      <c r="K403" s="66">
        <f t="shared" si="59"/>
        <v>2.5758969641214349E-2</v>
      </c>
      <c r="L403" s="316">
        <f t="shared" si="60"/>
        <v>58.450450781968719</v>
      </c>
      <c r="M403" s="37">
        <f t="shared" si="65"/>
        <v>21.492230752529899</v>
      </c>
      <c r="N403" s="37">
        <v>22.691494082840237</v>
      </c>
      <c r="O403" s="947">
        <f t="shared" si="62"/>
        <v>4.1523459061637524</v>
      </c>
      <c r="P403" s="37">
        <f t="shared" si="54"/>
        <v>5.0617096596136149</v>
      </c>
      <c r="Q403" s="954">
        <f t="shared" si="63"/>
        <v>2.497930328035149E-2</v>
      </c>
    </row>
    <row r="404" spans="1:17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57"/>
        <v>4125</v>
      </c>
      <c r="G404" s="730">
        <v>171</v>
      </c>
      <c r="H404" s="8"/>
      <c r="I404" s="8"/>
      <c r="J404" s="40">
        <f t="shared" si="64"/>
        <v>171</v>
      </c>
      <c r="K404" s="66">
        <f t="shared" si="59"/>
        <v>6.2925482980680764E-2</v>
      </c>
      <c r="L404" s="316">
        <f t="shared" si="60"/>
        <v>142.78610119595214</v>
      </c>
      <c r="M404" s="37">
        <f t="shared" si="65"/>
        <v>52.502449409751605</v>
      </c>
      <c r="N404" s="37">
        <v>55.432078402366862</v>
      </c>
      <c r="O404" s="947">
        <f t="shared" si="62"/>
        <v>10.143587856485738</v>
      </c>
      <c r="P404" s="37">
        <f t="shared" si="54"/>
        <v>12.365033597056115</v>
      </c>
      <c r="Q404" s="954">
        <f t="shared" si="63"/>
        <v>6.3239810148983361E-2</v>
      </c>
    </row>
    <row r="405" spans="1:17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57"/>
        <v>3975</v>
      </c>
      <c r="G405" s="730">
        <v>90</v>
      </c>
      <c r="H405" s="8"/>
      <c r="I405" s="8"/>
      <c r="J405" s="40">
        <f t="shared" si="64"/>
        <v>90</v>
      </c>
      <c r="K405" s="66">
        <f t="shared" si="59"/>
        <v>3.3118675252989879E-2</v>
      </c>
      <c r="L405" s="316">
        <f t="shared" si="60"/>
        <v>75.150579576816924</v>
      </c>
      <c r="M405" s="37">
        <f t="shared" si="65"/>
        <v>27.632868110395584</v>
      </c>
      <c r="N405" s="37">
        <v>29.174778106508871</v>
      </c>
      <c r="O405" s="947">
        <f t="shared" si="62"/>
        <v>5.3387304507819682</v>
      </c>
      <c r="P405" s="37">
        <f t="shared" si="54"/>
        <v>6.5079124195032199</v>
      </c>
      <c r="Q405" s="954">
        <f t="shared" si="63"/>
        <v>3.4540114778491407E-2</v>
      </c>
    </row>
    <row r="406" spans="1:17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57"/>
        <v>3357</v>
      </c>
      <c r="G406" s="730">
        <v>120</v>
      </c>
      <c r="H406" s="8"/>
      <c r="I406" s="8"/>
      <c r="J406" s="40">
        <f t="shared" si="64"/>
        <v>120</v>
      </c>
      <c r="K406" s="66">
        <f t="shared" si="59"/>
        <v>4.415823367065317E-2</v>
      </c>
      <c r="L406" s="316">
        <f t="shared" si="60"/>
        <v>100.20077276908923</v>
      </c>
      <c r="M406" s="37">
        <f t="shared" si="65"/>
        <v>36.843824147194113</v>
      </c>
      <c r="N406" s="37">
        <v>38.899704142011828</v>
      </c>
      <c r="O406" s="947">
        <f t="shared" si="62"/>
        <v>7.1183072677092909</v>
      </c>
      <c r="P406" s="37">
        <f t="shared" si="54"/>
        <v>8.6772165593376265</v>
      </c>
      <c r="Q406" s="954">
        <f t="shared" si="63"/>
        <v>5.4531608080430283E-2</v>
      </c>
    </row>
    <row r="407" spans="1:17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57"/>
        <v>6146</v>
      </c>
      <c r="G407" s="730">
        <v>106</v>
      </c>
      <c r="H407" s="8"/>
      <c r="I407" s="8"/>
      <c r="J407" s="40">
        <f t="shared" si="64"/>
        <v>106</v>
      </c>
      <c r="K407" s="66">
        <f t="shared" si="59"/>
        <v>3.9006439742410304E-2</v>
      </c>
      <c r="L407" s="316">
        <f t="shared" si="60"/>
        <v>88.51068261269549</v>
      </c>
      <c r="M407" s="37">
        <f t="shared" si="65"/>
        <v>32.545377996688131</v>
      </c>
      <c r="N407" s="37">
        <v>34.361405325443783</v>
      </c>
      <c r="O407" s="947">
        <f t="shared" si="62"/>
        <v>6.2878380864765404</v>
      </c>
      <c r="P407" s="37">
        <f t="shared" si="54"/>
        <v>7.6648746274149033</v>
      </c>
      <c r="Q407" s="954">
        <f t="shared" si="63"/>
        <v>2.6310657992402207E-2</v>
      </c>
    </row>
    <row r="408" spans="1:17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57"/>
        <v>983</v>
      </c>
      <c r="G408" s="730">
        <v>15</v>
      </c>
      <c r="H408" s="8"/>
      <c r="I408" s="8"/>
      <c r="J408" s="40">
        <f t="shared" si="64"/>
        <v>15</v>
      </c>
      <c r="K408" s="66">
        <f t="shared" si="59"/>
        <v>5.5197792088316463E-3</v>
      </c>
      <c r="L408" s="316">
        <f t="shared" si="60"/>
        <v>12.525096596136153</v>
      </c>
      <c r="M408" s="37">
        <f t="shared" si="65"/>
        <v>4.6054780183992641</v>
      </c>
      <c r="N408" s="37">
        <v>4.8624630177514785</v>
      </c>
      <c r="O408" s="947">
        <f t="shared" si="62"/>
        <v>0.88978840846366136</v>
      </c>
      <c r="P408" s="37">
        <f t="shared" si="54"/>
        <v>1.0846520699172033</v>
      </c>
      <c r="Q408" s="954">
        <f t="shared" si="63"/>
        <v>2.3278561587742174E-2</v>
      </c>
    </row>
    <row r="409" spans="1:17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57"/>
        <v>3815</v>
      </c>
      <c r="G409" s="730">
        <v>70</v>
      </c>
      <c r="H409" s="8"/>
      <c r="I409" s="8"/>
      <c r="J409" s="40">
        <f t="shared" si="64"/>
        <v>70</v>
      </c>
      <c r="K409" s="66">
        <f t="shared" si="59"/>
        <v>2.5758969641214349E-2</v>
      </c>
      <c r="L409" s="316">
        <f t="shared" si="60"/>
        <v>58.450450781968719</v>
      </c>
      <c r="M409" s="37">
        <f t="shared" si="65"/>
        <v>21.492230752529899</v>
      </c>
      <c r="N409" s="37">
        <v>22.691494082840237</v>
      </c>
      <c r="O409" s="947">
        <f t="shared" si="62"/>
        <v>4.1523459061637524</v>
      </c>
      <c r="P409" s="37">
        <f t="shared" si="54"/>
        <v>5.0617096596136149</v>
      </c>
      <c r="Q409" s="954">
        <f t="shared" si="63"/>
        <v>2.7991224514679586E-2</v>
      </c>
    </row>
    <row r="410" spans="1:17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57"/>
        <v>4215</v>
      </c>
      <c r="G410" s="730">
        <v>171</v>
      </c>
      <c r="H410" s="8"/>
      <c r="I410" s="8"/>
      <c r="J410" s="40">
        <f t="shared" si="64"/>
        <v>171</v>
      </c>
      <c r="K410" s="66">
        <f t="shared" si="59"/>
        <v>6.2925482980680764E-2</v>
      </c>
      <c r="L410" s="316">
        <f t="shared" si="60"/>
        <v>142.78610119595214</v>
      </c>
      <c r="M410" s="37">
        <f t="shared" si="65"/>
        <v>52.502449409751605</v>
      </c>
      <c r="N410" s="37">
        <v>55.432078402366862</v>
      </c>
      <c r="O410" s="947">
        <f t="shared" si="62"/>
        <v>10.143587856485738</v>
      </c>
      <c r="P410" s="37">
        <f t="shared" si="54"/>
        <v>12.365033597056115</v>
      </c>
      <c r="Q410" s="954">
        <f t="shared" si="63"/>
        <v>6.1889493918044207E-2</v>
      </c>
    </row>
    <row r="411" spans="1:17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57"/>
        <v>12662</v>
      </c>
      <c r="G411" s="730">
        <v>216</v>
      </c>
      <c r="H411" s="8"/>
      <c r="I411" s="8"/>
      <c r="J411" s="40">
        <f t="shared" si="64"/>
        <v>216</v>
      </c>
      <c r="K411" s="66">
        <f t="shared" si="59"/>
        <v>7.948482060717571E-2</v>
      </c>
      <c r="L411" s="316">
        <f t="shared" si="60"/>
        <v>180.36139098436064</v>
      </c>
      <c r="M411" s="37">
        <f t="shared" si="65"/>
        <v>66.318883464949408</v>
      </c>
      <c r="N411" s="37">
        <v>70.019467455621296</v>
      </c>
      <c r="O411" s="947">
        <f t="shared" si="62"/>
        <v>12.812953081876724</v>
      </c>
      <c r="P411" s="37">
        <f t="shared" si="54"/>
        <v>15.618989806807727</v>
      </c>
      <c r="Q411" s="954">
        <f t="shared" si="63"/>
        <v>2.602374782710536E-2</v>
      </c>
    </row>
    <row r="412" spans="1:17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57"/>
        <v>3976</v>
      </c>
      <c r="G412" s="730">
        <v>108</v>
      </c>
      <c r="H412" s="8"/>
      <c r="I412" s="8"/>
      <c r="J412" s="40">
        <f t="shared" si="64"/>
        <v>108</v>
      </c>
      <c r="K412" s="66">
        <f t="shared" si="59"/>
        <v>3.9742410303587855E-2</v>
      </c>
      <c r="L412" s="316">
        <f t="shared" si="60"/>
        <v>90.18069549218032</v>
      </c>
      <c r="M412" s="37">
        <f t="shared" si="65"/>
        <v>33.159441732474704</v>
      </c>
      <c r="N412" s="37">
        <v>35.009733727810648</v>
      </c>
      <c r="O412" s="947">
        <f t="shared" si="62"/>
        <v>6.4064765409383622</v>
      </c>
      <c r="P412" s="37">
        <f t="shared" si="54"/>
        <v>7.8094949034038637</v>
      </c>
      <c r="Q412" s="954">
        <f t="shared" si="63"/>
        <v>4.1437713152264598E-2</v>
      </c>
    </row>
    <row r="413" spans="1:17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57"/>
        <v>12839</v>
      </c>
      <c r="G413" s="730">
        <v>216</v>
      </c>
      <c r="H413" s="8"/>
      <c r="I413" s="8"/>
      <c r="J413" s="40">
        <f t="shared" si="64"/>
        <v>216</v>
      </c>
      <c r="K413" s="66">
        <f t="shared" si="59"/>
        <v>7.948482060717571E-2</v>
      </c>
      <c r="L413" s="316">
        <f t="shared" si="60"/>
        <v>180.36139098436064</v>
      </c>
      <c r="M413" s="37">
        <f t="shared" si="65"/>
        <v>66.318883464949408</v>
      </c>
      <c r="N413" s="37">
        <v>70.019467455621296</v>
      </c>
      <c r="O413" s="947">
        <f t="shared" si="62"/>
        <v>12.812953081876724</v>
      </c>
      <c r="P413" s="37">
        <f t="shared" ref="P413:P476" si="66">O413*1.219</f>
        <v>15.618989806807727</v>
      </c>
      <c r="Q413" s="954">
        <f t="shared" si="63"/>
        <v>2.566498130592788E-2</v>
      </c>
    </row>
    <row r="414" spans="1:17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57"/>
        <v>10313</v>
      </c>
      <c r="G414" s="730">
        <v>180</v>
      </c>
      <c r="H414" s="8"/>
      <c r="I414" s="8"/>
      <c r="J414" s="40">
        <f t="shared" si="64"/>
        <v>180</v>
      </c>
      <c r="K414" s="66">
        <f t="shared" si="59"/>
        <v>6.6237350505979758E-2</v>
      </c>
      <c r="L414" s="316">
        <f t="shared" si="60"/>
        <v>150.30115915363385</v>
      </c>
      <c r="M414" s="37">
        <f t="shared" si="65"/>
        <v>55.265736220791169</v>
      </c>
      <c r="N414" s="37">
        <v>58.349556213017742</v>
      </c>
      <c r="O414" s="947">
        <f t="shared" si="62"/>
        <v>10.677460901563936</v>
      </c>
      <c r="P414" s="37">
        <f t="shared" si="66"/>
        <v>13.01582483900644</v>
      </c>
      <c r="Q414" s="954">
        <f t="shared" si="63"/>
        <v>2.6625997526326647E-2</v>
      </c>
    </row>
    <row r="415" spans="1:17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57"/>
        <v>6385</v>
      </c>
      <c r="G415" s="730">
        <v>108</v>
      </c>
      <c r="H415" s="8"/>
      <c r="I415" s="8"/>
      <c r="J415" s="40">
        <f t="shared" si="64"/>
        <v>108</v>
      </c>
      <c r="K415" s="66">
        <f t="shared" si="59"/>
        <v>3.9742410303587855E-2</v>
      </c>
      <c r="L415" s="316">
        <f t="shared" si="60"/>
        <v>90.18069549218032</v>
      </c>
      <c r="M415" s="37">
        <f t="shared" si="65"/>
        <v>33.159441732474704</v>
      </c>
      <c r="N415" s="37">
        <v>35.009733727810648</v>
      </c>
      <c r="O415" s="947">
        <f t="shared" si="62"/>
        <v>6.4064765409383622</v>
      </c>
      <c r="P415" s="37">
        <f t="shared" si="66"/>
        <v>7.8094949034038637</v>
      </c>
      <c r="Q415" s="954">
        <f t="shared" si="63"/>
        <v>2.5803656616038222E-2</v>
      </c>
    </row>
    <row r="416" spans="1:17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57"/>
        <v>3041.2</v>
      </c>
      <c r="G416" s="730">
        <v>53</v>
      </c>
      <c r="H416" s="8">
        <v>1</v>
      </c>
      <c r="I416" s="8"/>
      <c r="J416" s="40">
        <f t="shared" si="64"/>
        <v>54</v>
      </c>
      <c r="K416" s="66">
        <f t="shared" si="59"/>
        <v>1.9871205151793928E-2</v>
      </c>
      <c r="L416" s="316">
        <f t="shared" si="60"/>
        <v>45.09034774609016</v>
      </c>
      <c r="M416" s="37">
        <f t="shared" si="65"/>
        <v>16.579720866237352</v>
      </c>
      <c r="N416" s="37">
        <v>17.504866863905324</v>
      </c>
      <c r="O416" s="947">
        <f t="shared" si="62"/>
        <v>3.2032382704691811</v>
      </c>
      <c r="P416" s="37">
        <f t="shared" si="66"/>
        <v>3.9047474517019318</v>
      </c>
      <c r="Q416" s="954">
        <f t="shared" si="63"/>
        <v>2.7087391078094838E-2</v>
      </c>
    </row>
    <row r="417" spans="1:17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57"/>
        <v>3886</v>
      </c>
      <c r="G417" s="730">
        <v>78</v>
      </c>
      <c r="H417" s="8"/>
      <c r="I417" s="8"/>
      <c r="J417" s="40">
        <f t="shared" si="64"/>
        <v>78</v>
      </c>
      <c r="K417" s="66">
        <f t="shared" si="59"/>
        <v>2.8702851885924561E-2</v>
      </c>
      <c r="L417" s="316">
        <f t="shared" si="60"/>
        <v>65.130502299908002</v>
      </c>
      <c r="M417" s="37">
        <f t="shared" si="65"/>
        <v>23.948485695676172</v>
      </c>
      <c r="N417" s="37">
        <v>25.284807692307691</v>
      </c>
      <c r="O417" s="947">
        <f t="shared" si="62"/>
        <v>4.6268997240110386</v>
      </c>
      <c r="P417" s="37">
        <f t="shared" si="66"/>
        <v>5.6401907635694561</v>
      </c>
      <c r="Q417" s="954">
        <f t="shared" si="63"/>
        <v>3.0620353940273522E-2</v>
      </c>
    </row>
    <row r="418" spans="1:17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57"/>
        <v>4071</v>
      </c>
      <c r="G418" s="730">
        <v>144</v>
      </c>
      <c r="H418" s="8"/>
      <c r="I418" s="8"/>
      <c r="J418" s="40">
        <f t="shared" si="64"/>
        <v>144</v>
      </c>
      <c r="K418" s="66">
        <f t="shared" si="59"/>
        <v>5.2989880404783807E-2</v>
      </c>
      <c r="L418" s="316">
        <f t="shared" si="60"/>
        <v>120.24092732290708</v>
      </c>
      <c r="M418" s="37">
        <f t="shared" si="65"/>
        <v>44.212588976632937</v>
      </c>
      <c r="N418" s="37">
        <v>46.679644970414202</v>
      </c>
      <c r="O418" s="947">
        <f t="shared" si="62"/>
        <v>8.5419687212511484</v>
      </c>
      <c r="P418" s="37">
        <f t="shared" si="66"/>
        <v>10.41265987120515</v>
      </c>
      <c r="Q418" s="954">
        <f t="shared" si="63"/>
        <v>5.3960975188210608E-2</v>
      </c>
    </row>
    <row r="419" spans="1:17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57"/>
        <v>352.6</v>
      </c>
      <c r="G419" s="730">
        <v>3</v>
      </c>
      <c r="H419" s="8"/>
      <c r="I419" s="8">
        <v>3</v>
      </c>
      <c r="J419" s="40">
        <f t="shared" si="64"/>
        <v>6</v>
      </c>
      <c r="K419" s="66">
        <f t="shared" si="59"/>
        <v>2.2079116835326583E-3</v>
      </c>
      <c r="L419" s="316">
        <f t="shared" si="60"/>
        <v>5.0100386384544615</v>
      </c>
      <c r="M419" s="37">
        <f t="shared" si="65"/>
        <v>1.8421912073597055</v>
      </c>
      <c r="N419" s="37">
        <v>2.33398224852071</v>
      </c>
      <c r="O419" s="947">
        <f>K419*1161.2</f>
        <v>2.563827046918123</v>
      </c>
      <c r="P419" s="37">
        <f t="shared" si="66"/>
        <v>3.125305170193192</v>
      </c>
      <c r="Q419" s="954">
        <f t="shared" si="63"/>
        <v>3.332399075794952E-2</v>
      </c>
    </row>
    <row r="420" spans="1:17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57"/>
        <v>656.95</v>
      </c>
      <c r="G420" s="730">
        <v>19</v>
      </c>
      <c r="H420" s="8"/>
      <c r="I420" s="8"/>
      <c r="J420" s="40">
        <f t="shared" si="64"/>
        <v>19</v>
      </c>
      <c r="K420" s="66">
        <f t="shared" si="59"/>
        <v>6.9917203311867524E-3</v>
      </c>
      <c r="L420" s="316">
        <f t="shared" si="60"/>
        <v>15.865122355105797</v>
      </c>
      <c r="M420" s="37">
        <f t="shared" si="65"/>
        <v>5.8336054899724017</v>
      </c>
      <c r="N420" s="37">
        <v>6.1591198224852066</v>
      </c>
      <c r="O420" s="947">
        <f t="shared" si="62"/>
        <v>1.1270653173873044</v>
      </c>
      <c r="P420" s="37">
        <f t="shared" si="66"/>
        <v>1.3738926218951242</v>
      </c>
      <c r="Q420" s="954">
        <f t="shared" si="63"/>
        <v>4.4120424666946816E-2</v>
      </c>
    </row>
    <row r="421" spans="1:17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57"/>
        <v>485.16</v>
      </c>
      <c r="G421" s="730">
        <v>10</v>
      </c>
      <c r="H421" s="8"/>
      <c r="I421" s="8"/>
      <c r="J421" s="40">
        <f t="shared" si="64"/>
        <v>10</v>
      </c>
      <c r="K421" s="66">
        <f t="shared" si="59"/>
        <v>3.6798528058877645E-3</v>
      </c>
      <c r="L421" s="316">
        <f t="shared" si="60"/>
        <v>8.350064397424104</v>
      </c>
      <c r="M421" s="37">
        <f t="shared" si="65"/>
        <v>3.0703186789328432</v>
      </c>
      <c r="N421" s="37">
        <v>3.2416420118343194</v>
      </c>
      <c r="O421" s="947">
        <f t="shared" si="62"/>
        <v>0.59319227230910754</v>
      </c>
      <c r="P421" s="37">
        <f t="shared" si="66"/>
        <v>0.72310137994480217</v>
      </c>
      <c r="Q421" s="954">
        <f t="shared" si="63"/>
        <v>3.1443683239550609E-2</v>
      </c>
    </row>
    <row r="422" spans="1:17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57"/>
        <v>286.92</v>
      </c>
      <c r="G422" s="730">
        <v>8</v>
      </c>
      <c r="H422" s="8"/>
      <c r="I422" s="8"/>
      <c r="J422" s="40">
        <f t="shared" si="64"/>
        <v>8</v>
      </c>
      <c r="K422" s="66">
        <f t="shared" si="59"/>
        <v>2.9438822447102114E-3</v>
      </c>
      <c r="L422" s="316">
        <f t="shared" si="60"/>
        <v>6.6800515179392823</v>
      </c>
      <c r="M422" s="37">
        <f t="shared" si="65"/>
        <v>2.4562549431462743</v>
      </c>
      <c r="N422" s="37">
        <v>2.5933136094674554</v>
      </c>
      <c r="O422" s="947">
        <f t="shared" si="62"/>
        <v>0.47455381784728606</v>
      </c>
      <c r="P422" s="37">
        <f t="shared" si="66"/>
        <v>0.57848110395584174</v>
      </c>
      <c r="Q422" s="954">
        <f t="shared" si="63"/>
        <v>4.2535110443330186E-2</v>
      </c>
    </row>
    <row r="423" spans="1:17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57"/>
        <v>226.94</v>
      </c>
      <c r="G423" s="730">
        <v>5</v>
      </c>
      <c r="H423" s="8"/>
      <c r="I423" s="8"/>
      <c r="J423" s="40">
        <f t="shared" si="64"/>
        <v>5</v>
      </c>
      <c r="K423" s="66">
        <f t="shared" si="59"/>
        <v>1.8399264029438822E-3</v>
      </c>
      <c r="L423" s="316">
        <f t="shared" si="60"/>
        <v>4.175032198712052</v>
      </c>
      <c r="M423" s="37">
        <f t="shared" si="65"/>
        <v>1.5351593394664216</v>
      </c>
      <c r="N423" s="37">
        <v>1.6208210059171597</v>
      </c>
      <c r="O423" s="947">
        <f t="shared" si="62"/>
        <v>0.29659613615455377</v>
      </c>
      <c r="P423" s="37">
        <f t="shared" si="66"/>
        <v>0.36155068997240108</v>
      </c>
      <c r="Q423" s="954">
        <f t="shared" si="63"/>
        <v>3.3610684234820602E-2</v>
      </c>
    </row>
    <row r="424" spans="1:17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57"/>
        <v>307.14999999999998</v>
      </c>
      <c r="G424" s="730">
        <v>10</v>
      </c>
      <c r="H424" s="8"/>
      <c r="I424" s="8"/>
      <c r="J424" s="40">
        <f t="shared" si="64"/>
        <v>10</v>
      </c>
      <c r="K424" s="66">
        <f t="shared" si="59"/>
        <v>3.6798528058877645E-3</v>
      </c>
      <c r="L424" s="316">
        <f t="shared" si="60"/>
        <v>8.350064397424104</v>
      </c>
      <c r="M424" s="37">
        <f t="shared" si="65"/>
        <v>3.0703186789328432</v>
      </c>
      <c r="N424" s="37">
        <v>3.2416420118343194</v>
      </c>
      <c r="O424" s="947">
        <f t="shared" si="62"/>
        <v>0.59319227230910754</v>
      </c>
      <c r="P424" s="37">
        <f t="shared" si="66"/>
        <v>0.72310137994480217</v>
      </c>
      <c r="Q424" s="954">
        <f t="shared" si="63"/>
        <v>4.9666994499431467E-2</v>
      </c>
    </row>
    <row r="425" spans="1:17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57"/>
        <v>329.65</v>
      </c>
      <c r="G425" s="730">
        <v>10</v>
      </c>
      <c r="H425" s="8"/>
      <c r="I425" s="8"/>
      <c r="J425" s="40">
        <f t="shared" si="64"/>
        <v>10</v>
      </c>
      <c r="K425" s="66">
        <f t="shared" si="59"/>
        <v>3.6798528058877645E-3</v>
      </c>
      <c r="L425" s="316">
        <f t="shared" si="60"/>
        <v>8.350064397424104</v>
      </c>
      <c r="M425" s="37">
        <f t="shared" si="65"/>
        <v>3.0703186789328432</v>
      </c>
      <c r="N425" s="37">
        <v>3.2416420118343194</v>
      </c>
      <c r="O425" s="947">
        <f t="shared" si="62"/>
        <v>0.59319227230910754</v>
      </c>
      <c r="P425" s="37">
        <f t="shared" si="66"/>
        <v>0.72310137994480217</v>
      </c>
      <c r="Q425" s="954">
        <f t="shared" si="63"/>
        <v>4.6277013075990824E-2</v>
      </c>
    </row>
    <row r="426" spans="1:17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57"/>
        <v>255.16</v>
      </c>
      <c r="G426" s="730">
        <v>8</v>
      </c>
      <c r="H426" s="8"/>
      <c r="I426" s="8"/>
      <c r="J426" s="40">
        <f t="shared" si="64"/>
        <v>8</v>
      </c>
      <c r="K426" s="66">
        <f t="shared" si="59"/>
        <v>2.9438822447102114E-3</v>
      </c>
      <c r="L426" s="316">
        <f t="shared" si="60"/>
        <v>6.6800515179392823</v>
      </c>
      <c r="M426" s="37">
        <f t="shared" si="65"/>
        <v>2.4562549431462743</v>
      </c>
      <c r="N426" s="37">
        <v>2.5933136094674554</v>
      </c>
      <c r="O426" s="947">
        <f t="shared" si="62"/>
        <v>0.47455381784728606</v>
      </c>
      <c r="P426" s="37">
        <f t="shared" si="66"/>
        <v>0.57848110395584174</v>
      </c>
      <c r="Q426" s="954">
        <f t="shared" si="63"/>
        <v>4.7829494781314853E-2</v>
      </c>
    </row>
    <row r="427" spans="1:17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57"/>
        <v>509.32</v>
      </c>
      <c r="G427" s="730">
        <v>16</v>
      </c>
      <c r="H427" s="8"/>
      <c r="I427" s="8"/>
      <c r="J427" s="40">
        <f t="shared" si="64"/>
        <v>16</v>
      </c>
      <c r="K427" s="66">
        <f t="shared" si="59"/>
        <v>5.8877644894204228E-3</v>
      </c>
      <c r="L427" s="316">
        <f t="shared" si="60"/>
        <v>13.360103035878565</v>
      </c>
      <c r="M427" s="37">
        <f t="shared" si="65"/>
        <v>4.9125098862925487</v>
      </c>
      <c r="N427" s="37">
        <v>5.1866272189349107</v>
      </c>
      <c r="O427" s="947">
        <f t="shared" si="62"/>
        <v>0.94910763569457213</v>
      </c>
      <c r="P427" s="37">
        <f t="shared" si="66"/>
        <v>1.1569622079116835</v>
      </c>
      <c r="Q427" s="954">
        <f t="shared" si="63"/>
        <v>4.7923403315794776E-2</v>
      </c>
    </row>
    <row r="428" spans="1:17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57"/>
        <v>509.19</v>
      </c>
      <c r="G428" s="730">
        <v>14</v>
      </c>
      <c r="H428" s="8"/>
      <c r="I428" s="8"/>
      <c r="J428" s="40">
        <f t="shared" si="64"/>
        <v>14</v>
      </c>
      <c r="K428" s="66">
        <f t="shared" si="59"/>
        <v>5.1517939282428697E-3</v>
      </c>
      <c r="L428" s="316">
        <f t="shared" si="60"/>
        <v>11.690090156393744</v>
      </c>
      <c r="M428" s="37">
        <f t="shared" si="65"/>
        <v>4.2984461505059803</v>
      </c>
      <c r="N428" s="37">
        <v>4.5382988165680471</v>
      </c>
      <c r="O428" s="947">
        <f t="shared" si="62"/>
        <v>0.83046918123275049</v>
      </c>
      <c r="P428" s="37">
        <f t="shared" si="66"/>
        <v>1.0123419319227229</v>
      </c>
      <c r="Q428" s="954">
        <f t="shared" si="63"/>
        <v>4.1943683702940986E-2</v>
      </c>
    </row>
    <row r="429" spans="1:17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57"/>
        <v>291.43</v>
      </c>
      <c r="G429" s="730">
        <v>10</v>
      </c>
      <c r="H429" s="8"/>
      <c r="I429" s="8"/>
      <c r="J429" s="40">
        <f t="shared" si="64"/>
        <v>10</v>
      </c>
      <c r="K429" s="66">
        <f t="shared" si="59"/>
        <v>3.6798528058877645E-3</v>
      </c>
      <c r="L429" s="316">
        <f t="shared" si="60"/>
        <v>8.350064397424104</v>
      </c>
      <c r="M429" s="37">
        <f t="shared" si="65"/>
        <v>3.0703186789328432</v>
      </c>
      <c r="N429" s="37">
        <v>3.2416420118343194</v>
      </c>
      <c r="O429" s="947">
        <f t="shared" si="62"/>
        <v>0.59319227230910754</v>
      </c>
      <c r="P429" s="37">
        <f t="shared" si="66"/>
        <v>0.72310137994480217</v>
      </c>
      <c r="Q429" s="954">
        <f t="shared" si="63"/>
        <v>5.2346077481729314E-2</v>
      </c>
    </row>
    <row r="430" spans="1:17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57"/>
        <v>449.48</v>
      </c>
      <c r="G430" s="730">
        <v>13</v>
      </c>
      <c r="H430" s="8"/>
      <c r="I430" s="8"/>
      <c r="J430" s="40">
        <f t="shared" si="64"/>
        <v>13</v>
      </c>
      <c r="K430" s="66">
        <f t="shared" si="59"/>
        <v>4.7838086476540932E-3</v>
      </c>
      <c r="L430" s="316">
        <f t="shared" si="60"/>
        <v>10.855083716651333</v>
      </c>
      <c r="M430" s="37">
        <f t="shared" si="65"/>
        <v>3.9914142826126953</v>
      </c>
      <c r="N430" s="37">
        <v>4.2141346153846158</v>
      </c>
      <c r="O430" s="947">
        <f t="shared" si="62"/>
        <v>0.77114995400183972</v>
      </c>
      <c r="P430" s="37">
        <f t="shared" si="66"/>
        <v>0.94003179392824265</v>
      </c>
      <c r="Q430" s="954">
        <f t="shared" si="63"/>
        <v>4.4121612905247132E-2</v>
      </c>
    </row>
    <row r="431" spans="1:17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57"/>
        <v>467.46</v>
      </c>
      <c r="G431" s="730">
        <v>10</v>
      </c>
      <c r="H431" s="8"/>
      <c r="I431" s="8"/>
      <c r="J431" s="40">
        <f t="shared" si="64"/>
        <v>10</v>
      </c>
      <c r="K431" s="66">
        <f t="shared" si="59"/>
        <v>3.6798528058877645E-3</v>
      </c>
      <c r="L431" s="316">
        <f t="shared" si="60"/>
        <v>8.350064397424104</v>
      </c>
      <c r="M431" s="37">
        <f t="shared" si="65"/>
        <v>3.0703186789328432</v>
      </c>
      <c r="N431" s="37">
        <v>3.2416420118343194</v>
      </c>
      <c r="O431" s="947">
        <f t="shared" si="62"/>
        <v>0.59319227230910754</v>
      </c>
      <c r="P431" s="37">
        <f t="shared" si="66"/>
        <v>0.72310137994480217</v>
      </c>
      <c r="Q431" s="954">
        <f t="shared" si="63"/>
        <v>3.2634273222308594E-2</v>
      </c>
    </row>
    <row r="432" spans="1:17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57"/>
        <v>558.4</v>
      </c>
      <c r="G432" s="730">
        <v>11</v>
      </c>
      <c r="H432" s="8"/>
      <c r="I432" s="8">
        <v>3</v>
      </c>
      <c r="J432" s="40">
        <f t="shared" si="64"/>
        <v>14</v>
      </c>
      <c r="K432" s="66">
        <f t="shared" si="59"/>
        <v>5.1517939282428697E-3</v>
      </c>
      <c r="L432" s="316">
        <f t="shared" si="60"/>
        <v>11.690090156393744</v>
      </c>
      <c r="M432" s="37">
        <f t="shared" si="65"/>
        <v>4.2984461505059803</v>
      </c>
      <c r="N432" s="37">
        <v>4.5382988165680471</v>
      </c>
      <c r="O432" s="947">
        <f t="shared" si="62"/>
        <v>0.83046918123275049</v>
      </c>
      <c r="P432" s="37">
        <f t="shared" si="66"/>
        <v>1.0123419319227229</v>
      </c>
      <c r="Q432" s="954">
        <f t="shared" si="63"/>
        <v>3.8247321462572564E-2</v>
      </c>
    </row>
    <row r="433" spans="1:18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57"/>
        <v>331.42</v>
      </c>
      <c r="G433" s="730">
        <v>10</v>
      </c>
      <c r="H433" s="8"/>
      <c r="I433" s="8"/>
      <c r="J433" s="40">
        <f t="shared" si="64"/>
        <v>10</v>
      </c>
      <c r="K433" s="66">
        <f t="shared" si="59"/>
        <v>3.6798528058877645E-3</v>
      </c>
      <c r="L433" s="316">
        <f t="shared" si="60"/>
        <v>8.350064397424104</v>
      </c>
      <c r="M433" s="37">
        <f t="shared" si="65"/>
        <v>3.0703186789328432</v>
      </c>
      <c r="N433" s="37">
        <v>3.2416420118343194</v>
      </c>
      <c r="O433" s="947">
        <f t="shared" si="62"/>
        <v>0.59319227230910754</v>
      </c>
      <c r="P433" s="37">
        <f t="shared" si="66"/>
        <v>0.72310137994480217</v>
      </c>
      <c r="Q433" s="954">
        <f t="shared" si="63"/>
        <v>4.6029863497979523E-2</v>
      </c>
    </row>
    <row r="434" spans="1:18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57"/>
        <v>154.9</v>
      </c>
      <c r="G434" s="730">
        <v>3</v>
      </c>
      <c r="H434" s="8"/>
      <c r="I434" s="8"/>
      <c r="J434" s="40">
        <f t="shared" si="64"/>
        <v>3</v>
      </c>
      <c r="K434" s="66">
        <f t="shared" si="59"/>
        <v>1.1039558417663292E-3</v>
      </c>
      <c r="L434" s="316">
        <f t="shared" si="60"/>
        <v>2.5050193192272308</v>
      </c>
      <c r="M434" s="37">
        <f t="shared" si="65"/>
        <v>0.92109560367985277</v>
      </c>
      <c r="N434" s="37">
        <v>0.97249260355029588</v>
      </c>
      <c r="O434" s="947">
        <f t="shared" si="62"/>
        <v>0.17795768169273224</v>
      </c>
      <c r="P434" s="37">
        <f t="shared" si="66"/>
        <v>0.21693041398344062</v>
      </c>
      <c r="Q434" s="954">
        <f t="shared" si="63"/>
        <v>2.9545288625888386E-2</v>
      </c>
    </row>
    <row r="435" spans="1:18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57"/>
        <v>119.9</v>
      </c>
      <c r="G435" s="730">
        <v>3</v>
      </c>
      <c r="H435" s="8"/>
      <c r="I435" s="8"/>
      <c r="J435" s="40">
        <f t="shared" si="64"/>
        <v>3</v>
      </c>
      <c r="K435" s="66">
        <f t="shared" si="59"/>
        <v>1.1039558417663292E-3</v>
      </c>
      <c r="L435" s="316">
        <f t="shared" si="60"/>
        <v>2.5050193192272308</v>
      </c>
      <c r="M435" s="37">
        <f t="shared" si="65"/>
        <v>0.92109560367985277</v>
      </c>
      <c r="N435" s="37">
        <v>0.97249260355029588</v>
      </c>
      <c r="O435" s="947">
        <f t="shared" si="62"/>
        <v>0.17795768169273224</v>
      </c>
      <c r="P435" s="37">
        <f t="shared" si="66"/>
        <v>0.21693041398344062</v>
      </c>
      <c r="Q435" s="954">
        <f t="shared" si="63"/>
        <v>3.8169851610926696E-2</v>
      </c>
    </row>
    <row r="436" spans="1:18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57"/>
        <v>300.3</v>
      </c>
      <c r="G436" s="730">
        <v>10</v>
      </c>
      <c r="H436" s="8"/>
      <c r="I436" s="8">
        <v>1</v>
      </c>
      <c r="J436" s="40">
        <f t="shared" si="64"/>
        <v>11</v>
      </c>
      <c r="K436" s="66">
        <f t="shared" si="59"/>
        <v>4.047838086476541E-3</v>
      </c>
      <c r="L436" s="316">
        <f t="shared" si="60"/>
        <v>9.1850708371665135</v>
      </c>
      <c r="M436" s="37">
        <f t="shared" si="65"/>
        <v>3.3773505468261273</v>
      </c>
      <c r="N436" s="37">
        <v>3.5658062130177512</v>
      </c>
      <c r="O436" s="947">
        <f t="shared" si="62"/>
        <v>0.65251149954001841</v>
      </c>
      <c r="P436" s="37">
        <f t="shared" si="66"/>
        <v>0.79541151793928255</v>
      </c>
      <c r="Q436" s="954">
        <f t="shared" si="63"/>
        <v>5.5879917071429946E-2</v>
      </c>
    </row>
    <row r="437" spans="1:18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57"/>
        <v>226.84</v>
      </c>
      <c r="G437" s="730">
        <v>8</v>
      </c>
      <c r="H437" s="8"/>
      <c r="I437" s="8"/>
      <c r="J437" s="40">
        <f t="shared" si="64"/>
        <v>8</v>
      </c>
      <c r="K437" s="66">
        <f t="shared" si="59"/>
        <v>2.9438822447102114E-3</v>
      </c>
      <c r="L437" s="316">
        <f t="shared" si="60"/>
        <v>6.6800515179392823</v>
      </c>
      <c r="M437" s="37">
        <f t="shared" si="65"/>
        <v>2.4562549431462743</v>
      </c>
      <c r="N437" s="37">
        <v>2.5933136094674554</v>
      </c>
      <c r="O437" s="947">
        <f t="shared" si="62"/>
        <v>0.47455381784728606</v>
      </c>
      <c r="P437" s="37">
        <f t="shared" si="66"/>
        <v>0.57848110395584174</v>
      </c>
      <c r="Q437" s="954">
        <f t="shared" si="63"/>
        <v>5.3800801835656401E-2</v>
      </c>
    </row>
    <row r="438" spans="1:18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57"/>
        <v>216.3</v>
      </c>
      <c r="G438" s="730">
        <v>7</v>
      </c>
      <c r="H438" s="8"/>
      <c r="I438" s="8"/>
      <c r="J438" s="40">
        <f t="shared" si="64"/>
        <v>7</v>
      </c>
      <c r="K438" s="66">
        <f t="shared" si="59"/>
        <v>2.5758969641214349E-3</v>
      </c>
      <c r="L438" s="316">
        <f t="shared" si="60"/>
        <v>5.8450450781968719</v>
      </c>
      <c r="M438" s="37">
        <f t="shared" si="65"/>
        <v>2.1492230752529902</v>
      </c>
      <c r="N438" s="37">
        <v>2.2691494082840236</v>
      </c>
      <c r="O438" s="947">
        <f t="shared" si="62"/>
        <v>0.41523459061637524</v>
      </c>
      <c r="P438" s="37">
        <f t="shared" si="66"/>
        <v>0.50617096596136146</v>
      </c>
      <c r="Q438" s="954">
        <f t="shared" si="63"/>
        <v>4.9369635470874987E-2</v>
      </c>
      <c r="R438" s="6"/>
    </row>
    <row r="439" spans="1:18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57"/>
        <v>307.64999999999998</v>
      </c>
      <c r="G439" s="730">
        <v>7</v>
      </c>
      <c r="H439" s="8"/>
      <c r="I439" s="8"/>
      <c r="J439" s="40">
        <f t="shared" si="64"/>
        <v>7</v>
      </c>
      <c r="K439" s="66">
        <f t="shared" si="59"/>
        <v>2.5758969641214349E-3</v>
      </c>
      <c r="L439" s="316">
        <f t="shared" si="60"/>
        <v>5.8450450781968719</v>
      </c>
      <c r="M439" s="37">
        <f t="shared" si="65"/>
        <v>2.1492230752529902</v>
      </c>
      <c r="N439" s="37">
        <v>2.2691494082840236</v>
      </c>
      <c r="O439" s="947">
        <f t="shared" si="62"/>
        <v>0.41523459061637524</v>
      </c>
      <c r="P439" s="37">
        <f t="shared" si="66"/>
        <v>0.50617096596136146</v>
      </c>
      <c r="Q439" s="954">
        <f t="shared" si="63"/>
        <v>3.4710392174062278E-2</v>
      </c>
    </row>
    <row r="440" spans="1:18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57"/>
        <v>350.66</v>
      </c>
      <c r="G440" s="730">
        <v>6</v>
      </c>
      <c r="H440" s="8"/>
      <c r="I440" s="8"/>
      <c r="J440" s="40">
        <f t="shared" si="64"/>
        <v>6</v>
      </c>
      <c r="K440" s="66">
        <f t="shared" si="59"/>
        <v>2.2079116835326583E-3</v>
      </c>
      <c r="L440" s="316">
        <f t="shared" si="60"/>
        <v>5.0100386384544615</v>
      </c>
      <c r="M440" s="37">
        <f t="shared" si="65"/>
        <v>1.8421912073597055</v>
      </c>
      <c r="N440" s="37">
        <v>1.9449852071005918</v>
      </c>
      <c r="O440" s="947">
        <f t="shared" si="62"/>
        <v>0.35591536338546448</v>
      </c>
      <c r="P440" s="37">
        <f t="shared" si="66"/>
        <v>0.43386082796688125</v>
      </c>
      <c r="Q440" s="954">
        <f t="shared" si="63"/>
        <v>2.610257918296989E-2</v>
      </c>
    </row>
    <row r="441" spans="1:18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57"/>
        <v>485.8</v>
      </c>
      <c r="G441" s="730">
        <v>10</v>
      </c>
      <c r="H441" s="8"/>
      <c r="I441" s="8"/>
      <c r="J441" s="40">
        <f t="shared" si="64"/>
        <v>10</v>
      </c>
      <c r="K441" s="66">
        <f t="shared" si="59"/>
        <v>3.6798528058877645E-3</v>
      </c>
      <c r="L441" s="316">
        <f t="shared" si="60"/>
        <v>8.350064397424104</v>
      </c>
      <c r="M441" s="37">
        <f t="shared" si="65"/>
        <v>3.0703186789328432</v>
      </c>
      <c r="N441" s="37">
        <v>3.2416420118343194</v>
      </c>
      <c r="O441" s="947">
        <f t="shared" si="62"/>
        <v>0.59319227230910754</v>
      </c>
      <c r="P441" s="37">
        <f t="shared" si="66"/>
        <v>0.72310137994480217</v>
      </c>
      <c r="Q441" s="954">
        <f t="shared" si="63"/>
        <v>3.140225887299377E-2</v>
      </c>
    </row>
    <row r="442" spans="1:18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57"/>
        <v>402.96</v>
      </c>
      <c r="G442" s="730">
        <v>7</v>
      </c>
      <c r="H442" s="8"/>
      <c r="I442" s="8"/>
      <c r="J442" s="40">
        <f t="shared" si="64"/>
        <v>7</v>
      </c>
      <c r="K442" s="66">
        <f t="shared" si="59"/>
        <v>2.5758969641214349E-3</v>
      </c>
      <c r="L442" s="316">
        <f t="shared" si="60"/>
        <v>5.8450450781968719</v>
      </c>
      <c r="M442" s="37">
        <f t="shared" si="65"/>
        <v>2.1492230752529902</v>
      </c>
      <c r="N442" s="37">
        <v>2.2691494082840236</v>
      </c>
      <c r="O442" s="947">
        <f t="shared" si="62"/>
        <v>0.41523459061637524</v>
      </c>
      <c r="P442" s="37">
        <f t="shared" si="66"/>
        <v>0.50617096596136146</v>
      </c>
      <c r="Q442" s="954">
        <f t="shared" si="63"/>
        <v>2.6500526484887484E-2</v>
      </c>
    </row>
    <row r="443" spans="1:18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57"/>
        <v>526.67999999999995</v>
      </c>
      <c r="G443" s="730">
        <v>12</v>
      </c>
      <c r="H443" s="8"/>
      <c r="I443" s="8"/>
      <c r="J443" s="40">
        <f t="shared" si="64"/>
        <v>12</v>
      </c>
      <c r="K443" s="66">
        <f t="shared" si="59"/>
        <v>4.4158233670653167E-3</v>
      </c>
      <c r="L443" s="316">
        <f t="shared" si="60"/>
        <v>10.020077276908923</v>
      </c>
      <c r="M443" s="37">
        <f t="shared" si="65"/>
        <v>3.6843824147194111</v>
      </c>
      <c r="N443" s="37">
        <v>3.8899704142011835</v>
      </c>
      <c r="O443" s="947">
        <f t="shared" si="62"/>
        <v>0.71183072677092896</v>
      </c>
      <c r="P443" s="37">
        <f t="shared" si="66"/>
        <v>0.86772165593376249</v>
      </c>
      <c r="Q443" s="954">
        <f t="shared" si="63"/>
        <v>3.4757843154477948E-2</v>
      </c>
    </row>
    <row r="444" spans="1:18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57"/>
        <v>198.5</v>
      </c>
      <c r="G444" s="730">
        <v>8</v>
      </c>
      <c r="H444" s="8"/>
      <c r="I444" s="8"/>
      <c r="J444" s="40">
        <f t="shared" si="64"/>
        <v>8</v>
      </c>
      <c r="K444" s="66">
        <f t="shared" si="59"/>
        <v>2.9438822447102114E-3</v>
      </c>
      <c r="L444" s="316">
        <f t="shared" si="60"/>
        <v>6.6800515179392823</v>
      </c>
      <c r="M444" s="37">
        <f t="shared" si="65"/>
        <v>2.4562549431462743</v>
      </c>
      <c r="N444" s="37">
        <v>2.5933136094674554</v>
      </c>
      <c r="O444" s="947">
        <f t="shared" si="62"/>
        <v>0.47455381784728606</v>
      </c>
      <c r="P444" s="37">
        <f t="shared" si="66"/>
        <v>0.57848110395584174</v>
      </c>
      <c r="Q444" s="954">
        <f t="shared" si="63"/>
        <v>6.1481984324434753E-2</v>
      </c>
    </row>
    <row r="445" spans="1:18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57"/>
        <v>879.8</v>
      </c>
      <c r="G445" s="730">
        <v>15</v>
      </c>
      <c r="H445" s="8"/>
      <c r="I445" s="8">
        <v>3</v>
      </c>
      <c r="J445" s="40">
        <f t="shared" si="64"/>
        <v>18</v>
      </c>
      <c r="K445" s="66">
        <f t="shared" si="59"/>
        <v>6.6237350505979758E-3</v>
      </c>
      <c r="L445" s="316">
        <f t="shared" si="60"/>
        <v>15.030115915363385</v>
      </c>
      <c r="M445" s="37">
        <f t="shared" si="65"/>
        <v>5.5265736220791171</v>
      </c>
      <c r="N445" s="37">
        <v>5.8349556213017753</v>
      </c>
      <c r="O445" s="947">
        <f t="shared" si="62"/>
        <v>1.0677460901563935</v>
      </c>
      <c r="P445" s="37">
        <f t="shared" si="66"/>
        <v>1.3015824839006438</v>
      </c>
      <c r="Q445" s="954">
        <f t="shared" si="63"/>
        <v>3.1210947088998266E-2</v>
      </c>
    </row>
    <row r="446" spans="1:18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57"/>
        <v>1786.8</v>
      </c>
      <c r="G446" s="730">
        <v>45</v>
      </c>
      <c r="H446" s="8">
        <v>1</v>
      </c>
      <c r="I446" s="8">
        <v>4</v>
      </c>
      <c r="J446" s="40">
        <f t="shared" si="64"/>
        <v>50</v>
      </c>
      <c r="K446" s="66">
        <f t="shared" si="59"/>
        <v>1.8399264029438821E-2</v>
      </c>
      <c r="L446" s="316">
        <f t="shared" si="60"/>
        <v>41.750321987120515</v>
      </c>
      <c r="M446" s="37">
        <f t="shared" si="65"/>
        <v>15.351593394664214</v>
      </c>
      <c r="N446" s="37">
        <v>16.208210059171599</v>
      </c>
      <c r="O446" s="947">
        <f t="shared" si="62"/>
        <v>2.965961361545538</v>
      </c>
      <c r="P446" s="37">
        <f t="shared" si="66"/>
        <v>3.6155068997240112</v>
      </c>
      <c r="Q446" s="954">
        <f t="shared" si="63"/>
        <v>4.2688653907825086E-2</v>
      </c>
    </row>
    <row r="447" spans="1:18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57"/>
        <v>776.28</v>
      </c>
      <c r="G447" s="730">
        <v>13</v>
      </c>
      <c r="H447" s="8">
        <v>1</v>
      </c>
      <c r="I447" s="8"/>
      <c r="J447" s="40">
        <f t="shared" si="64"/>
        <v>14</v>
      </c>
      <c r="K447" s="66">
        <f t="shared" si="59"/>
        <v>5.1517939282428697E-3</v>
      </c>
      <c r="L447" s="316">
        <f t="shared" si="60"/>
        <v>11.690090156393744</v>
      </c>
      <c r="M447" s="37">
        <f t="shared" si="65"/>
        <v>4.2984461505059803</v>
      </c>
      <c r="N447" s="37">
        <v>4.5382988165680471</v>
      </c>
      <c r="O447" s="947">
        <f t="shared" si="62"/>
        <v>0.83046918123275049</v>
      </c>
      <c r="P447" s="37">
        <f t="shared" si="66"/>
        <v>1.0123419319227229</v>
      </c>
      <c r="Q447" s="954">
        <f t="shared" si="63"/>
        <v>2.7512372217113053E-2</v>
      </c>
    </row>
    <row r="448" spans="1:18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si="57"/>
        <v>475.29</v>
      </c>
      <c r="G448" s="730">
        <v>10</v>
      </c>
      <c r="H448" s="8"/>
      <c r="I448" s="8"/>
      <c r="J448" s="40">
        <f t="shared" si="64"/>
        <v>10</v>
      </c>
      <c r="K448" s="66">
        <f t="shared" si="59"/>
        <v>3.6798528058877645E-3</v>
      </c>
      <c r="L448" s="316">
        <f t="shared" si="60"/>
        <v>8.350064397424104</v>
      </c>
      <c r="M448" s="37">
        <f t="shared" si="65"/>
        <v>3.0703186789328432</v>
      </c>
      <c r="N448" s="37">
        <v>3.2416420118343194</v>
      </c>
      <c r="O448" s="947">
        <f t="shared" si="62"/>
        <v>0.59319227230910754</v>
      </c>
      <c r="P448" s="37">
        <f t="shared" si="66"/>
        <v>0.72310137994480217</v>
      </c>
      <c r="Q448" s="954">
        <f t="shared" si="63"/>
        <v>3.2096651224516347E-2</v>
      </c>
    </row>
    <row r="449" spans="1:18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ref="F449:F511" si="67">C449+D449+E449</f>
        <v>487.96</v>
      </c>
      <c r="G449" s="730">
        <v>8</v>
      </c>
      <c r="H449" s="8"/>
      <c r="I449" s="8"/>
      <c r="J449" s="40">
        <f t="shared" si="64"/>
        <v>8</v>
      </c>
      <c r="K449" s="66">
        <f t="shared" si="59"/>
        <v>2.9438822447102114E-3</v>
      </c>
      <c r="L449" s="316">
        <f t="shared" si="60"/>
        <v>6.6800515179392823</v>
      </c>
      <c r="M449" s="37">
        <f t="shared" si="65"/>
        <v>2.4562549431462743</v>
      </c>
      <c r="N449" s="37">
        <v>2.5933136094674554</v>
      </c>
      <c r="O449" s="947">
        <f t="shared" si="62"/>
        <v>0.47455381784728606</v>
      </c>
      <c r="P449" s="37">
        <f t="shared" si="66"/>
        <v>0.57848110395584174</v>
      </c>
      <c r="Q449" s="954">
        <f t="shared" si="63"/>
        <v>2.5010603099434991E-2</v>
      </c>
    </row>
    <row r="450" spans="1:18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67"/>
        <v>1058.94</v>
      </c>
      <c r="G450" s="730">
        <v>15</v>
      </c>
      <c r="H450" s="8">
        <v>1</v>
      </c>
      <c r="I450" s="8">
        <v>3</v>
      </c>
      <c r="J450" s="40">
        <f t="shared" si="64"/>
        <v>19</v>
      </c>
      <c r="K450" s="66">
        <f t="shared" ref="K450:K513" si="68">2/5435*J450</f>
        <v>6.9917203311867524E-3</v>
      </c>
      <c r="L450" s="316">
        <f t="shared" ref="L450:L513" si="69">K450*2269.13</f>
        <v>15.865122355105797</v>
      </c>
      <c r="M450" s="37">
        <f t="shared" si="65"/>
        <v>5.8336054899724017</v>
      </c>
      <c r="N450" s="37">
        <v>6.1591198224852066</v>
      </c>
      <c r="O450" s="947">
        <f t="shared" si="62"/>
        <v>1.1270653173873044</v>
      </c>
      <c r="P450" s="37">
        <f t="shared" si="66"/>
        <v>1.3738926218951242</v>
      </c>
      <c r="Q450" s="954">
        <f t="shared" si="63"/>
        <v>2.7371629162134502E-2</v>
      </c>
    </row>
    <row r="451" spans="1:18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67"/>
        <v>435.39</v>
      </c>
      <c r="G451" s="730">
        <v>9</v>
      </c>
      <c r="H451" s="8"/>
      <c r="I451" s="8"/>
      <c r="J451" s="40">
        <f t="shared" si="64"/>
        <v>9</v>
      </c>
      <c r="K451" s="66">
        <f t="shared" si="68"/>
        <v>3.3118675252989879E-3</v>
      </c>
      <c r="L451" s="316">
        <f t="shared" si="69"/>
        <v>7.5150579576816927</v>
      </c>
      <c r="M451" s="37">
        <f t="shared" si="65"/>
        <v>2.7632868110395585</v>
      </c>
      <c r="N451" s="37">
        <v>2.9174778106508876</v>
      </c>
      <c r="O451" s="947">
        <f t="shared" si="62"/>
        <v>0.53387304507819677</v>
      </c>
      <c r="P451" s="37">
        <f t="shared" si="66"/>
        <v>0.6507912419503219</v>
      </c>
      <c r="Q451" s="954">
        <f t="shared" si="63"/>
        <v>3.1534246593744313E-2</v>
      </c>
    </row>
    <row r="452" spans="1:18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67"/>
        <v>539.61</v>
      </c>
      <c r="G452" s="730">
        <v>15</v>
      </c>
      <c r="H452" s="8"/>
      <c r="I452" s="8">
        <v>2</v>
      </c>
      <c r="J452" s="40">
        <f t="shared" si="64"/>
        <v>17</v>
      </c>
      <c r="K452" s="66">
        <f t="shared" si="68"/>
        <v>6.2557497700091993E-3</v>
      </c>
      <c r="L452" s="316">
        <f t="shared" si="69"/>
        <v>14.195109475620976</v>
      </c>
      <c r="M452" s="37">
        <f t="shared" si="65"/>
        <v>5.2195417541858333</v>
      </c>
      <c r="N452" s="37">
        <v>5.510791420118343</v>
      </c>
      <c r="O452" s="947">
        <f t="shared" si="62"/>
        <v>1.0084268629254829</v>
      </c>
      <c r="P452" s="37">
        <f t="shared" si="66"/>
        <v>1.2292723459061636</v>
      </c>
      <c r="Q452" s="954">
        <f t="shared" si="63"/>
        <v>4.8060394568022524E-2</v>
      </c>
    </row>
    <row r="453" spans="1:18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67"/>
        <v>466.35</v>
      </c>
      <c r="G453" s="730">
        <v>16</v>
      </c>
      <c r="H453" s="8"/>
      <c r="I453" s="8">
        <v>1</v>
      </c>
      <c r="J453" s="40">
        <f t="shared" si="64"/>
        <v>17</v>
      </c>
      <c r="K453" s="66">
        <f t="shared" si="68"/>
        <v>6.2557497700091993E-3</v>
      </c>
      <c r="L453" s="316">
        <f t="shared" si="69"/>
        <v>14.195109475620976</v>
      </c>
      <c r="M453" s="37">
        <f t="shared" si="65"/>
        <v>5.2195417541858333</v>
      </c>
      <c r="N453" s="37">
        <v>5.510791420118343</v>
      </c>
      <c r="O453" s="947">
        <f t="shared" si="62"/>
        <v>1.0084268629254829</v>
      </c>
      <c r="P453" s="37">
        <f t="shared" si="66"/>
        <v>1.2292723459061636</v>
      </c>
      <c r="Q453" s="954">
        <f t="shared" si="63"/>
        <v>5.5610313097138701E-2</v>
      </c>
    </row>
    <row r="454" spans="1:18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67"/>
        <v>270.3</v>
      </c>
      <c r="G454" s="730">
        <v>8</v>
      </c>
      <c r="H454" s="8"/>
      <c r="I454" s="8"/>
      <c r="J454" s="40">
        <f t="shared" si="64"/>
        <v>8</v>
      </c>
      <c r="K454" s="66">
        <f t="shared" si="68"/>
        <v>2.9438822447102114E-3</v>
      </c>
      <c r="L454" s="316">
        <f t="shared" si="69"/>
        <v>6.6800515179392823</v>
      </c>
      <c r="M454" s="37">
        <f t="shared" si="65"/>
        <v>2.4562549431462743</v>
      </c>
      <c r="N454" s="37">
        <v>2.5933136094674554</v>
      </c>
      <c r="O454" s="947">
        <f t="shared" si="62"/>
        <v>0.47455381784728606</v>
      </c>
      <c r="P454" s="37">
        <f t="shared" si="66"/>
        <v>0.57848110395584174</v>
      </c>
      <c r="Q454" s="954">
        <f t="shared" si="63"/>
        <v>4.5150476834629291E-2</v>
      </c>
    </row>
    <row r="455" spans="1:18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67"/>
        <v>1056.99</v>
      </c>
      <c r="G455" s="730">
        <v>25</v>
      </c>
      <c r="H455" s="8"/>
      <c r="I455" s="8"/>
      <c r="J455" s="40">
        <f t="shared" si="64"/>
        <v>25</v>
      </c>
      <c r="K455" s="66">
        <f t="shared" si="68"/>
        <v>9.1996320147194107E-3</v>
      </c>
      <c r="L455" s="316">
        <f t="shared" si="69"/>
        <v>20.875160993560257</v>
      </c>
      <c r="M455" s="37">
        <f t="shared" si="65"/>
        <v>7.6757966973321068</v>
      </c>
      <c r="N455" s="37">
        <v>8.1041050295857993</v>
      </c>
      <c r="O455" s="947">
        <f t="shared" ref="O455:O518" si="70">K455*161.2</f>
        <v>1.482980680772769</v>
      </c>
      <c r="P455" s="37">
        <f t="shared" si="66"/>
        <v>1.8077534498620056</v>
      </c>
      <c r="Q455" s="954">
        <f t="shared" ref="Q455:Q518" si="71">(O455+N455+M455+L455)/F455</f>
        <v>3.60817447669807E-2</v>
      </c>
    </row>
    <row r="456" spans="1:18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67"/>
        <v>353.79999999999995</v>
      </c>
      <c r="G456" s="730">
        <v>8</v>
      </c>
      <c r="H456" s="8"/>
      <c r="I456" s="8">
        <v>1</v>
      </c>
      <c r="J456" s="40">
        <f t="shared" si="64"/>
        <v>9</v>
      </c>
      <c r="K456" s="66">
        <f t="shared" si="68"/>
        <v>3.3118675252989879E-3</v>
      </c>
      <c r="L456" s="316">
        <f t="shared" si="69"/>
        <v>7.5150579576816927</v>
      </c>
      <c r="M456" s="37">
        <f t="shared" si="65"/>
        <v>2.7632868110395585</v>
      </c>
      <c r="N456" s="37">
        <v>2.9174778106508876</v>
      </c>
      <c r="O456" s="947">
        <f t="shared" si="70"/>
        <v>0.53387304507819677</v>
      </c>
      <c r="P456" s="37">
        <f t="shared" si="66"/>
        <v>0.6507912419503219</v>
      </c>
      <c r="Q456" s="954">
        <f t="shared" si="71"/>
        <v>3.8806375422414746E-2</v>
      </c>
    </row>
    <row r="457" spans="1:18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67"/>
        <v>239.3</v>
      </c>
      <c r="G457" s="730">
        <v>5</v>
      </c>
      <c r="H457" s="8"/>
      <c r="I457" s="8"/>
      <c r="J457" s="40">
        <f t="shared" si="64"/>
        <v>5</v>
      </c>
      <c r="K457" s="66">
        <f t="shared" si="68"/>
        <v>1.8399264029438822E-3</v>
      </c>
      <c r="L457" s="316">
        <f t="shared" si="69"/>
        <v>4.175032198712052</v>
      </c>
      <c r="M457" s="37">
        <f t="shared" si="65"/>
        <v>1.5351593394664216</v>
      </c>
      <c r="N457" s="37">
        <v>1.6208210059171597</v>
      </c>
      <c r="O457" s="947">
        <f t="shared" si="70"/>
        <v>0.29659613615455377</v>
      </c>
      <c r="P457" s="37">
        <f t="shared" si="66"/>
        <v>0.36155068997240108</v>
      </c>
      <c r="Q457" s="954">
        <f t="shared" si="71"/>
        <v>3.1874670623694888E-2</v>
      </c>
    </row>
    <row r="458" spans="1:18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67"/>
        <v>144.6</v>
      </c>
      <c r="G458" s="730">
        <v>4</v>
      </c>
      <c r="H458" s="8"/>
      <c r="I458" s="8">
        <v>1</v>
      </c>
      <c r="J458" s="40">
        <f t="shared" si="64"/>
        <v>5</v>
      </c>
      <c r="K458" s="66">
        <f t="shared" si="68"/>
        <v>1.8399264029438822E-3</v>
      </c>
      <c r="L458" s="316">
        <f t="shared" si="69"/>
        <v>4.175032198712052</v>
      </c>
      <c r="M458" s="37">
        <f t="shared" si="65"/>
        <v>1.5351593394664216</v>
      </c>
      <c r="N458" s="37">
        <v>1.6208210059171597</v>
      </c>
      <c r="O458" s="947">
        <f t="shared" si="70"/>
        <v>0.29659613615455377</v>
      </c>
      <c r="P458" s="37">
        <f t="shared" si="66"/>
        <v>0.36155068997240108</v>
      </c>
      <c r="Q458" s="954">
        <f t="shared" si="71"/>
        <v>5.2749714247926606E-2</v>
      </c>
    </row>
    <row r="459" spans="1:18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67"/>
        <v>375.5</v>
      </c>
      <c r="G459" s="730">
        <v>9</v>
      </c>
      <c r="H459" s="8"/>
      <c r="I459" s="8"/>
      <c r="J459" s="40">
        <f t="shared" si="64"/>
        <v>9</v>
      </c>
      <c r="K459" s="66">
        <f t="shared" si="68"/>
        <v>3.3118675252989879E-3</v>
      </c>
      <c r="L459" s="316">
        <f t="shared" si="69"/>
        <v>7.5150579576816927</v>
      </c>
      <c r="M459" s="37">
        <f t="shared" si="65"/>
        <v>2.7632868110395585</v>
      </c>
      <c r="N459" s="37">
        <v>2.9174778106508876</v>
      </c>
      <c r="O459" s="947">
        <f t="shared" si="70"/>
        <v>0.53387304507819677</v>
      </c>
      <c r="P459" s="37">
        <f t="shared" si="66"/>
        <v>0.6507912419503219</v>
      </c>
      <c r="Q459" s="954">
        <f t="shared" si="71"/>
        <v>3.6563769971905025E-2</v>
      </c>
      <c r="R459" s="6"/>
    </row>
    <row r="460" spans="1:18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67"/>
        <v>993.91</v>
      </c>
      <c r="G460" s="730">
        <v>28</v>
      </c>
      <c r="H460" s="8"/>
      <c r="I460" s="8">
        <v>1</v>
      </c>
      <c r="J460" s="40">
        <f t="shared" si="64"/>
        <v>29</v>
      </c>
      <c r="K460" s="66">
        <f t="shared" si="68"/>
        <v>1.0671573137074517E-2</v>
      </c>
      <c r="L460" s="316">
        <f t="shared" si="69"/>
        <v>24.215186752529899</v>
      </c>
      <c r="M460" s="37">
        <f t="shared" si="65"/>
        <v>8.9039241689052453</v>
      </c>
      <c r="N460" s="37">
        <v>9.4007618343195247</v>
      </c>
      <c r="O460" s="947">
        <f t="shared" si="70"/>
        <v>1.7202575896964121</v>
      </c>
      <c r="P460" s="37">
        <f t="shared" si="66"/>
        <v>2.0969940018399265</v>
      </c>
      <c r="Q460" s="954">
        <f t="shared" si="71"/>
        <v>4.4511203575224194E-2</v>
      </c>
    </row>
    <row r="461" spans="1:18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67"/>
        <v>716.19999999999993</v>
      </c>
      <c r="G461" s="730">
        <v>14</v>
      </c>
      <c r="H461" s="8"/>
      <c r="I461" s="8">
        <v>2</v>
      </c>
      <c r="J461" s="40">
        <f t="shared" si="64"/>
        <v>16</v>
      </c>
      <c r="K461" s="66">
        <f t="shared" si="68"/>
        <v>5.8877644894204228E-3</v>
      </c>
      <c r="L461" s="316">
        <f t="shared" si="69"/>
        <v>13.360103035878565</v>
      </c>
      <c r="M461" s="37">
        <f t="shared" si="65"/>
        <v>4.9125098862925487</v>
      </c>
      <c r="N461" s="37">
        <v>5.1866272189349107</v>
      </c>
      <c r="O461" s="947">
        <f t="shared" si="70"/>
        <v>0.94910763569457213</v>
      </c>
      <c r="P461" s="37">
        <f t="shared" si="66"/>
        <v>1.1569622079116835</v>
      </c>
      <c r="Q461" s="954">
        <f t="shared" si="71"/>
        <v>3.4080351545379223E-2</v>
      </c>
    </row>
    <row r="462" spans="1:18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67"/>
        <v>472.2</v>
      </c>
      <c r="G462" s="730">
        <v>13</v>
      </c>
      <c r="H462" s="8"/>
      <c r="I462" s="8"/>
      <c r="J462" s="40">
        <f t="shared" si="64"/>
        <v>13</v>
      </c>
      <c r="K462" s="66">
        <f t="shared" si="68"/>
        <v>4.7838086476540932E-3</v>
      </c>
      <c r="L462" s="316">
        <f t="shared" si="69"/>
        <v>10.855083716651333</v>
      </c>
      <c r="M462" s="37">
        <f t="shared" si="65"/>
        <v>3.9914142826126953</v>
      </c>
      <c r="N462" s="37">
        <v>4.2141346153846158</v>
      </c>
      <c r="O462" s="947">
        <f t="shared" si="70"/>
        <v>0.77114995400183972</v>
      </c>
      <c r="P462" s="37">
        <f t="shared" si="66"/>
        <v>0.94003179392824265</v>
      </c>
      <c r="Q462" s="954">
        <f t="shared" si="71"/>
        <v>4.1998692436786285E-2</v>
      </c>
    </row>
    <row r="463" spans="1:18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67"/>
        <v>337.29999999999995</v>
      </c>
      <c r="G463" s="730">
        <v>8</v>
      </c>
      <c r="H463" s="8"/>
      <c r="I463" s="8">
        <v>2</v>
      </c>
      <c r="J463" s="40">
        <f t="shared" si="64"/>
        <v>10</v>
      </c>
      <c r="K463" s="66">
        <f t="shared" si="68"/>
        <v>3.6798528058877645E-3</v>
      </c>
      <c r="L463" s="316">
        <f t="shared" si="69"/>
        <v>8.350064397424104</v>
      </c>
      <c r="M463" s="37">
        <f t="shared" si="65"/>
        <v>3.0703186789328432</v>
      </c>
      <c r="N463" s="37">
        <v>3.2416420118343194</v>
      </c>
      <c r="O463" s="947">
        <f t="shared" si="70"/>
        <v>0.59319227230910754</v>
      </c>
      <c r="P463" s="37">
        <f t="shared" si="66"/>
        <v>0.72310137994480217</v>
      </c>
      <c r="Q463" s="954">
        <f t="shared" si="71"/>
        <v>4.5227445480285733E-2</v>
      </c>
    </row>
    <row r="464" spans="1:18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67"/>
        <v>395.5</v>
      </c>
      <c r="G464" s="730">
        <v>11</v>
      </c>
      <c r="H464" s="8"/>
      <c r="I464" s="8"/>
      <c r="J464" s="40">
        <f t="shared" si="64"/>
        <v>11</v>
      </c>
      <c r="K464" s="66">
        <f t="shared" si="68"/>
        <v>4.047838086476541E-3</v>
      </c>
      <c r="L464" s="316">
        <f t="shared" si="69"/>
        <v>9.1850708371665135</v>
      </c>
      <c r="M464" s="37">
        <f t="shared" si="65"/>
        <v>3.3773505468261273</v>
      </c>
      <c r="N464" s="37">
        <v>3.5658062130177512</v>
      </c>
      <c r="O464" s="947">
        <f t="shared" si="70"/>
        <v>0.65251149954001841</v>
      </c>
      <c r="P464" s="37">
        <f t="shared" si="66"/>
        <v>0.79541151793928255</v>
      </c>
      <c r="Q464" s="954">
        <f t="shared" si="71"/>
        <v>4.2429175971050351E-2</v>
      </c>
    </row>
    <row r="465" spans="1:17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67"/>
        <v>464.09999999999997</v>
      </c>
      <c r="G465" s="730">
        <v>10</v>
      </c>
      <c r="H465" s="8"/>
      <c r="I465" s="8">
        <v>2</v>
      </c>
      <c r="J465" s="40">
        <f t="shared" ref="J465:J526" si="72">G465+H465+I465</f>
        <v>12</v>
      </c>
      <c r="K465" s="66">
        <f t="shared" si="68"/>
        <v>4.4158233670653167E-3</v>
      </c>
      <c r="L465" s="316">
        <f t="shared" si="69"/>
        <v>10.020077276908923</v>
      </c>
      <c r="M465" s="37">
        <f t="shared" ref="M465:M526" si="73">L465*0.3677</f>
        <v>3.6843824147194111</v>
      </c>
      <c r="N465" s="37">
        <v>3.8899704142011835</v>
      </c>
      <c r="O465" s="947">
        <f t="shared" si="70"/>
        <v>0.71183072677092896</v>
      </c>
      <c r="P465" s="37">
        <f t="shared" si="66"/>
        <v>0.86772165593376249</v>
      </c>
      <c r="Q465" s="954">
        <f t="shared" si="71"/>
        <v>3.9444647344538772E-2</v>
      </c>
    </row>
    <row r="466" spans="1:17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67"/>
        <v>350.27000000000004</v>
      </c>
      <c r="G466" s="730">
        <v>8</v>
      </c>
      <c r="H466" s="8"/>
      <c r="I466" s="8">
        <v>1</v>
      </c>
      <c r="J466" s="40">
        <f t="shared" si="72"/>
        <v>9</v>
      </c>
      <c r="K466" s="66">
        <f t="shared" si="68"/>
        <v>3.3118675252989879E-3</v>
      </c>
      <c r="L466" s="316">
        <f t="shared" si="69"/>
        <v>7.5150579576816927</v>
      </c>
      <c r="M466" s="37">
        <f t="shared" si="73"/>
        <v>2.7632868110395585</v>
      </c>
      <c r="N466" s="37">
        <v>2.9174778106508876</v>
      </c>
      <c r="O466" s="947">
        <f t="shared" si="70"/>
        <v>0.53387304507819677</v>
      </c>
      <c r="P466" s="37">
        <f t="shared" si="66"/>
        <v>0.6507912419503219</v>
      </c>
      <c r="Q466" s="954">
        <f t="shared" si="71"/>
        <v>3.9197463740686715E-2</v>
      </c>
    </row>
    <row r="467" spans="1:17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67"/>
        <v>396.61</v>
      </c>
      <c r="G467" s="730">
        <v>9</v>
      </c>
      <c r="H467" s="8"/>
      <c r="I467" s="8"/>
      <c r="J467" s="40">
        <f t="shared" si="72"/>
        <v>9</v>
      </c>
      <c r="K467" s="66">
        <f t="shared" si="68"/>
        <v>3.3118675252989879E-3</v>
      </c>
      <c r="L467" s="316">
        <f t="shared" si="69"/>
        <v>7.5150579576816927</v>
      </c>
      <c r="M467" s="37">
        <f t="shared" si="73"/>
        <v>2.7632868110395585</v>
      </c>
      <c r="N467" s="37">
        <v>2.9174778106508876</v>
      </c>
      <c r="O467" s="947">
        <f t="shared" si="70"/>
        <v>0.53387304507819677</v>
      </c>
      <c r="P467" s="37">
        <f t="shared" si="66"/>
        <v>0.6507912419503219</v>
      </c>
      <c r="Q467" s="954">
        <f t="shared" si="71"/>
        <v>3.4617623419607009E-2</v>
      </c>
    </row>
    <row r="468" spans="1:17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67"/>
        <v>380.01000000000005</v>
      </c>
      <c r="G468" s="730">
        <v>9</v>
      </c>
      <c r="H468" s="8"/>
      <c r="I468" s="8">
        <v>1</v>
      </c>
      <c r="J468" s="40">
        <f t="shared" si="72"/>
        <v>10</v>
      </c>
      <c r="K468" s="66">
        <f t="shared" si="68"/>
        <v>3.6798528058877645E-3</v>
      </c>
      <c r="L468" s="316">
        <f t="shared" si="69"/>
        <v>8.350064397424104</v>
      </c>
      <c r="M468" s="37">
        <f t="shared" si="73"/>
        <v>3.0703186789328432</v>
      </c>
      <c r="N468" s="37">
        <v>3.2416420118343194</v>
      </c>
      <c r="O468" s="947">
        <f t="shared" si="70"/>
        <v>0.59319227230910754</v>
      </c>
      <c r="P468" s="37">
        <f t="shared" si="66"/>
        <v>0.72310137994480217</v>
      </c>
      <c r="Q468" s="954">
        <f t="shared" si="71"/>
        <v>4.0144252415726882E-2</v>
      </c>
    </row>
    <row r="469" spans="1:17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67"/>
        <v>501.9</v>
      </c>
      <c r="G469" s="730">
        <v>13</v>
      </c>
      <c r="H469" s="8"/>
      <c r="I469" s="8"/>
      <c r="J469" s="40">
        <f t="shared" si="72"/>
        <v>13</v>
      </c>
      <c r="K469" s="66">
        <f t="shared" si="68"/>
        <v>4.7838086476540932E-3</v>
      </c>
      <c r="L469" s="316">
        <f t="shared" si="69"/>
        <v>10.855083716651333</v>
      </c>
      <c r="M469" s="37">
        <f t="shared" si="73"/>
        <v>3.9914142826126953</v>
      </c>
      <c r="N469" s="37">
        <v>4.2141346153846158</v>
      </c>
      <c r="O469" s="947">
        <f t="shared" si="70"/>
        <v>0.77114995400183972</v>
      </c>
      <c r="P469" s="37">
        <f t="shared" si="66"/>
        <v>0.94003179392824265</v>
      </c>
      <c r="Q469" s="954">
        <f t="shared" si="71"/>
        <v>3.951341416347974E-2</v>
      </c>
    </row>
    <row r="470" spans="1:17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67"/>
        <v>406.9</v>
      </c>
      <c r="G470" s="730">
        <v>10</v>
      </c>
      <c r="H470" s="8"/>
      <c r="I470" s="8"/>
      <c r="J470" s="40">
        <f t="shared" si="72"/>
        <v>10</v>
      </c>
      <c r="K470" s="66">
        <f t="shared" si="68"/>
        <v>3.6798528058877645E-3</v>
      </c>
      <c r="L470" s="316">
        <f t="shared" si="69"/>
        <v>8.350064397424104</v>
      </c>
      <c r="M470" s="37">
        <f t="shared" si="73"/>
        <v>3.0703186789328432</v>
      </c>
      <c r="N470" s="37">
        <v>3.2416420118343194</v>
      </c>
      <c r="O470" s="947">
        <f t="shared" si="70"/>
        <v>0.59319227230910754</v>
      </c>
      <c r="P470" s="37">
        <f t="shared" si="66"/>
        <v>0.72310137994480217</v>
      </c>
      <c r="Q470" s="954">
        <f t="shared" si="71"/>
        <v>3.749131816294022E-2</v>
      </c>
    </row>
    <row r="471" spans="1:17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67"/>
        <v>583.66999999999996</v>
      </c>
      <c r="G471" s="730">
        <v>13</v>
      </c>
      <c r="H471" s="8"/>
      <c r="I471" s="8"/>
      <c r="J471" s="40">
        <f t="shared" si="72"/>
        <v>13</v>
      </c>
      <c r="K471" s="66">
        <f t="shared" si="68"/>
        <v>4.7838086476540932E-3</v>
      </c>
      <c r="L471" s="316">
        <f t="shared" si="69"/>
        <v>10.855083716651333</v>
      </c>
      <c r="M471" s="37">
        <f t="shared" si="73"/>
        <v>3.9914142826126953</v>
      </c>
      <c r="N471" s="37">
        <v>4.2141346153846158</v>
      </c>
      <c r="O471" s="947">
        <f t="shared" si="70"/>
        <v>0.77114995400183972</v>
      </c>
      <c r="P471" s="37">
        <f t="shared" si="66"/>
        <v>0.94003179392824265</v>
      </c>
      <c r="Q471" s="954">
        <f t="shared" si="71"/>
        <v>3.397773154119705E-2</v>
      </c>
    </row>
    <row r="472" spans="1:17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67"/>
        <v>634.80999999999995</v>
      </c>
      <c r="G472" s="730">
        <v>19</v>
      </c>
      <c r="H472" s="8"/>
      <c r="I472" s="8"/>
      <c r="J472" s="40">
        <f t="shared" si="72"/>
        <v>19</v>
      </c>
      <c r="K472" s="66">
        <f t="shared" si="68"/>
        <v>6.9917203311867524E-3</v>
      </c>
      <c r="L472" s="316">
        <f t="shared" si="69"/>
        <v>15.865122355105797</v>
      </c>
      <c r="M472" s="37">
        <f t="shared" si="73"/>
        <v>5.8336054899724017</v>
      </c>
      <c r="N472" s="37">
        <v>6.1591198224852066</v>
      </c>
      <c r="O472" s="947">
        <f t="shared" si="70"/>
        <v>1.1270653173873044</v>
      </c>
      <c r="P472" s="37">
        <f t="shared" si="66"/>
        <v>1.3738926218951242</v>
      </c>
      <c r="Q472" s="954">
        <f t="shared" si="71"/>
        <v>4.565919406586335E-2</v>
      </c>
    </row>
    <row r="473" spans="1:17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67"/>
        <v>312.74</v>
      </c>
      <c r="G473" s="730">
        <v>6</v>
      </c>
      <c r="H473" s="8"/>
      <c r="I473" s="8"/>
      <c r="J473" s="40">
        <f t="shared" si="72"/>
        <v>6</v>
      </c>
      <c r="K473" s="66">
        <f t="shared" si="68"/>
        <v>2.2079116835326583E-3</v>
      </c>
      <c r="L473" s="316">
        <f t="shared" si="69"/>
        <v>5.0100386384544615</v>
      </c>
      <c r="M473" s="37">
        <f t="shared" si="73"/>
        <v>1.8421912073597055</v>
      </c>
      <c r="N473" s="37">
        <v>1.9449852071005918</v>
      </c>
      <c r="O473" s="947">
        <f t="shared" si="70"/>
        <v>0.35591536338546448</v>
      </c>
      <c r="P473" s="37">
        <f t="shared" si="66"/>
        <v>0.43386082796688125</v>
      </c>
      <c r="Q473" s="954">
        <f t="shared" si="71"/>
        <v>2.9267539861547041E-2</v>
      </c>
    </row>
    <row r="474" spans="1:17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67"/>
        <v>359.3</v>
      </c>
      <c r="G474" s="730">
        <v>6</v>
      </c>
      <c r="H474" s="8"/>
      <c r="I474" s="8"/>
      <c r="J474" s="40">
        <f t="shared" si="72"/>
        <v>6</v>
      </c>
      <c r="K474" s="66">
        <f t="shared" si="68"/>
        <v>2.2079116835326583E-3</v>
      </c>
      <c r="L474" s="316">
        <f t="shared" si="69"/>
        <v>5.0100386384544615</v>
      </c>
      <c r="M474" s="37">
        <f t="shared" si="73"/>
        <v>1.8421912073597055</v>
      </c>
      <c r="N474" s="37">
        <v>1.9449852071005918</v>
      </c>
      <c r="O474" s="947">
        <f t="shared" si="70"/>
        <v>0.35591536338546448</v>
      </c>
      <c r="P474" s="37">
        <f t="shared" si="66"/>
        <v>0.43386082796688125</v>
      </c>
      <c r="Q474" s="954">
        <f t="shared" si="71"/>
        <v>2.5474896789034848E-2</v>
      </c>
    </row>
    <row r="475" spans="1:17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67"/>
        <v>417.17</v>
      </c>
      <c r="G475" s="730">
        <v>12</v>
      </c>
      <c r="H475" s="8"/>
      <c r="I475" s="8">
        <v>1</v>
      </c>
      <c r="J475" s="40">
        <f t="shared" si="72"/>
        <v>13</v>
      </c>
      <c r="K475" s="66">
        <f t="shared" si="68"/>
        <v>4.7838086476540932E-3</v>
      </c>
      <c r="L475" s="316">
        <f t="shared" si="69"/>
        <v>10.855083716651333</v>
      </c>
      <c r="M475" s="37">
        <f t="shared" si="73"/>
        <v>3.9914142826126953</v>
      </c>
      <c r="N475" s="37">
        <v>4.2141346153846158</v>
      </c>
      <c r="O475" s="947">
        <f t="shared" si="70"/>
        <v>0.77114995400183972</v>
      </c>
      <c r="P475" s="37">
        <f t="shared" si="66"/>
        <v>0.94003179392824265</v>
      </c>
      <c r="Q475" s="954">
        <f t="shared" si="71"/>
        <v>4.7538851232472326E-2</v>
      </c>
    </row>
    <row r="476" spans="1:17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67"/>
        <v>249.3</v>
      </c>
      <c r="G476" s="730">
        <v>6</v>
      </c>
      <c r="H476" s="8"/>
      <c r="I476" s="8">
        <v>1</v>
      </c>
      <c r="J476" s="40">
        <f t="shared" si="72"/>
        <v>7</v>
      </c>
      <c r="K476" s="66">
        <f t="shared" si="68"/>
        <v>2.5758969641214349E-3</v>
      </c>
      <c r="L476" s="316">
        <f t="shared" si="69"/>
        <v>5.8450450781968719</v>
      </c>
      <c r="M476" s="37">
        <f t="shared" si="73"/>
        <v>2.1492230752529902</v>
      </c>
      <c r="N476" s="37">
        <v>2.2691494082840236</v>
      </c>
      <c r="O476" s="947">
        <f t="shared" si="70"/>
        <v>0.41523459061637524</v>
      </c>
      <c r="P476" s="37">
        <f t="shared" si="66"/>
        <v>0.50617096596136146</v>
      </c>
      <c r="Q476" s="954">
        <f t="shared" si="71"/>
        <v>4.2834545336342796E-2</v>
      </c>
    </row>
    <row r="477" spans="1:17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67"/>
        <v>534.94000000000005</v>
      </c>
      <c r="G477" s="730">
        <v>13</v>
      </c>
      <c r="H477" s="8"/>
      <c r="I477" s="8">
        <v>2</v>
      </c>
      <c r="J477" s="40">
        <f t="shared" si="72"/>
        <v>15</v>
      </c>
      <c r="K477" s="66">
        <f t="shared" si="68"/>
        <v>5.5197792088316463E-3</v>
      </c>
      <c r="L477" s="316">
        <f t="shared" si="69"/>
        <v>12.525096596136153</v>
      </c>
      <c r="M477" s="37">
        <f t="shared" si="73"/>
        <v>4.6054780183992641</v>
      </c>
      <c r="N477" s="37">
        <v>4.8624630177514785</v>
      </c>
      <c r="O477" s="947">
        <f t="shared" si="70"/>
        <v>0.88978840846366136</v>
      </c>
      <c r="P477" s="37">
        <f t="shared" ref="P477:P540" si="74">O477*1.219</f>
        <v>1.0846520699172033</v>
      </c>
      <c r="Q477" s="954">
        <f t="shared" si="71"/>
        <v>4.2776434816522518E-2</v>
      </c>
    </row>
    <row r="478" spans="1:17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67"/>
        <v>382.94</v>
      </c>
      <c r="G478" s="730">
        <v>9</v>
      </c>
      <c r="H478" s="8"/>
      <c r="I478" s="8">
        <v>2</v>
      </c>
      <c r="J478" s="40">
        <f t="shared" si="72"/>
        <v>11</v>
      </c>
      <c r="K478" s="66">
        <f t="shared" si="68"/>
        <v>4.047838086476541E-3</v>
      </c>
      <c r="L478" s="316">
        <f t="shared" si="69"/>
        <v>9.1850708371665135</v>
      </c>
      <c r="M478" s="37">
        <f t="shared" si="73"/>
        <v>3.3773505468261273</v>
      </c>
      <c r="N478" s="37">
        <v>3.5658062130177512</v>
      </c>
      <c r="O478" s="947">
        <f t="shared" si="70"/>
        <v>0.65251149954001841</v>
      </c>
      <c r="P478" s="37">
        <f t="shared" si="74"/>
        <v>0.79541151793928255</v>
      </c>
      <c r="Q478" s="954">
        <f t="shared" si="71"/>
        <v>4.3820805077950629E-2</v>
      </c>
    </row>
    <row r="479" spans="1:17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67"/>
        <v>367.5</v>
      </c>
      <c r="G479" s="730">
        <v>11</v>
      </c>
      <c r="H479" s="8"/>
      <c r="I479" s="8"/>
      <c r="J479" s="40">
        <f t="shared" si="72"/>
        <v>11</v>
      </c>
      <c r="K479" s="66">
        <f t="shared" si="68"/>
        <v>4.047838086476541E-3</v>
      </c>
      <c r="L479" s="316">
        <f t="shared" si="69"/>
        <v>9.1850708371665135</v>
      </c>
      <c r="M479" s="37">
        <f t="shared" si="73"/>
        <v>3.3773505468261273</v>
      </c>
      <c r="N479" s="37">
        <v>3.5658062130177512</v>
      </c>
      <c r="O479" s="947">
        <f t="shared" si="70"/>
        <v>0.65251149954001841</v>
      </c>
      <c r="P479" s="37">
        <f t="shared" si="74"/>
        <v>0.79541151793928255</v>
      </c>
      <c r="Q479" s="954">
        <f t="shared" si="71"/>
        <v>4.5661875092654187E-2</v>
      </c>
    </row>
    <row r="480" spans="1:17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67"/>
        <v>131.4</v>
      </c>
      <c r="G480" s="730">
        <v>4</v>
      </c>
      <c r="H480" s="8"/>
      <c r="I480" s="8"/>
      <c r="J480" s="40">
        <f t="shared" si="72"/>
        <v>4</v>
      </c>
      <c r="K480" s="66">
        <f t="shared" si="68"/>
        <v>1.4719411223551057E-3</v>
      </c>
      <c r="L480" s="316">
        <f t="shared" si="69"/>
        <v>3.3400257589696412</v>
      </c>
      <c r="M480" s="37">
        <f t="shared" si="73"/>
        <v>1.2281274715731372</v>
      </c>
      <c r="N480" s="37">
        <v>1.2966568047337277</v>
      </c>
      <c r="O480" s="947">
        <f t="shared" si="70"/>
        <v>0.23727690892364303</v>
      </c>
      <c r="P480" s="37">
        <f t="shared" si="74"/>
        <v>0.28924055197792087</v>
      </c>
      <c r="Q480" s="954">
        <f t="shared" si="71"/>
        <v>4.6439017840183783E-2</v>
      </c>
    </row>
    <row r="481" spans="1:17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67"/>
        <v>471.36</v>
      </c>
      <c r="G481" s="730">
        <v>15</v>
      </c>
      <c r="H481" s="8"/>
      <c r="I481" s="8"/>
      <c r="J481" s="40">
        <f t="shared" si="72"/>
        <v>15</v>
      </c>
      <c r="K481" s="66">
        <f t="shared" si="68"/>
        <v>5.5197792088316463E-3</v>
      </c>
      <c r="L481" s="316">
        <f t="shared" si="69"/>
        <v>12.525096596136153</v>
      </c>
      <c r="M481" s="37">
        <f t="shared" si="73"/>
        <v>4.6054780183992641</v>
      </c>
      <c r="N481" s="37">
        <v>4.8624630177514785</v>
      </c>
      <c r="O481" s="947">
        <f t="shared" si="70"/>
        <v>0.88978840846366136</v>
      </c>
      <c r="P481" s="37">
        <f t="shared" si="74"/>
        <v>1.0846520699172033</v>
      </c>
      <c r="Q481" s="954">
        <f t="shared" si="71"/>
        <v>4.8546389258211468E-2</v>
      </c>
    </row>
    <row r="482" spans="1:17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67"/>
        <v>530.79999999999995</v>
      </c>
      <c r="G482" s="730">
        <v>17</v>
      </c>
      <c r="H482" s="8"/>
      <c r="I482" s="8"/>
      <c r="J482" s="40">
        <f t="shared" si="72"/>
        <v>17</v>
      </c>
      <c r="K482" s="66">
        <f t="shared" si="68"/>
        <v>6.2557497700091993E-3</v>
      </c>
      <c r="L482" s="316">
        <f t="shared" si="69"/>
        <v>14.195109475620976</v>
      </c>
      <c r="M482" s="37">
        <f t="shared" si="73"/>
        <v>5.2195417541858333</v>
      </c>
      <c r="N482" s="37">
        <v>5.510791420118343</v>
      </c>
      <c r="O482" s="947">
        <f t="shared" si="70"/>
        <v>1.0084268629254829</v>
      </c>
      <c r="P482" s="37">
        <f t="shared" si="74"/>
        <v>1.2292723459061636</v>
      </c>
      <c r="Q482" s="954">
        <f t="shared" si="71"/>
        <v>4.8858081222401352E-2</v>
      </c>
    </row>
    <row r="483" spans="1:17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67"/>
        <v>330.15</v>
      </c>
      <c r="G483" s="730">
        <v>10</v>
      </c>
      <c r="H483" s="8"/>
      <c r="I483" s="8"/>
      <c r="J483" s="40">
        <f t="shared" si="72"/>
        <v>10</v>
      </c>
      <c r="K483" s="66">
        <f t="shared" si="68"/>
        <v>3.6798528058877645E-3</v>
      </c>
      <c r="L483" s="316">
        <f t="shared" si="69"/>
        <v>8.350064397424104</v>
      </c>
      <c r="M483" s="37">
        <f t="shared" si="73"/>
        <v>3.0703186789328432</v>
      </c>
      <c r="N483" s="37">
        <v>3.2416420118343194</v>
      </c>
      <c r="O483" s="947">
        <f t="shared" si="70"/>
        <v>0.59319227230910754</v>
      </c>
      <c r="P483" s="37">
        <f t="shared" si="74"/>
        <v>0.72310137994480217</v>
      </c>
      <c r="Q483" s="954">
        <f t="shared" si="71"/>
        <v>4.6206928246252839E-2</v>
      </c>
    </row>
    <row r="484" spans="1:17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67"/>
        <v>242.1</v>
      </c>
      <c r="G484" s="730">
        <v>5</v>
      </c>
      <c r="H484" s="8"/>
      <c r="I484" s="8"/>
      <c r="J484" s="40">
        <f t="shared" si="72"/>
        <v>5</v>
      </c>
      <c r="K484" s="66">
        <f t="shared" si="68"/>
        <v>1.8399264029438822E-3</v>
      </c>
      <c r="L484" s="316">
        <f t="shared" si="69"/>
        <v>4.175032198712052</v>
      </c>
      <c r="M484" s="37">
        <f t="shared" si="73"/>
        <v>1.5351593394664216</v>
      </c>
      <c r="N484" s="37">
        <v>1.6208210059171597</v>
      </c>
      <c r="O484" s="947">
        <f t="shared" si="70"/>
        <v>0.29659613615455377</v>
      </c>
      <c r="P484" s="37">
        <f t="shared" si="74"/>
        <v>0.36155068997240108</v>
      </c>
      <c r="Q484" s="954">
        <f t="shared" si="71"/>
        <v>3.1506025114622832E-2</v>
      </c>
    </row>
    <row r="485" spans="1:17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67"/>
        <v>528.74</v>
      </c>
      <c r="G485" s="730">
        <v>16</v>
      </c>
      <c r="H485" s="8"/>
      <c r="I485" s="8"/>
      <c r="J485" s="40">
        <f t="shared" si="72"/>
        <v>16</v>
      </c>
      <c r="K485" s="66">
        <f t="shared" si="68"/>
        <v>5.8877644894204228E-3</v>
      </c>
      <c r="L485" s="316">
        <f t="shared" si="69"/>
        <v>13.360103035878565</v>
      </c>
      <c r="M485" s="37">
        <f t="shared" si="73"/>
        <v>4.9125098862925487</v>
      </c>
      <c r="N485" s="37">
        <v>5.1866272189349107</v>
      </c>
      <c r="O485" s="947">
        <f t="shared" si="70"/>
        <v>0.94910763569457213</v>
      </c>
      <c r="P485" s="37">
        <f t="shared" si="74"/>
        <v>1.1569622079116835</v>
      </c>
      <c r="Q485" s="954">
        <f t="shared" si="71"/>
        <v>4.616323292506827E-2</v>
      </c>
    </row>
    <row r="486" spans="1:17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67"/>
        <v>140.6</v>
      </c>
      <c r="G486" s="730">
        <v>2</v>
      </c>
      <c r="H486" s="8"/>
      <c r="I486" s="8"/>
      <c r="J486" s="40">
        <f t="shared" si="72"/>
        <v>2</v>
      </c>
      <c r="K486" s="66">
        <f t="shared" si="68"/>
        <v>7.3597056117755285E-4</v>
      </c>
      <c r="L486" s="316">
        <f t="shared" si="69"/>
        <v>1.6700128794848206</v>
      </c>
      <c r="M486" s="37">
        <f t="shared" si="73"/>
        <v>0.61406373578656859</v>
      </c>
      <c r="N486" s="37">
        <v>0.64832840236686384</v>
      </c>
      <c r="O486" s="947">
        <f t="shared" si="70"/>
        <v>0.11863845446182152</v>
      </c>
      <c r="P486" s="37">
        <f t="shared" si="74"/>
        <v>0.14462027598896043</v>
      </c>
      <c r="Q486" s="954">
        <f t="shared" si="71"/>
        <v>2.1700166942390291E-2</v>
      </c>
    </row>
    <row r="487" spans="1:17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67"/>
        <v>183.6</v>
      </c>
      <c r="G487" s="730">
        <v>4</v>
      </c>
      <c r="H487" s="8"/>
      <c r="I487" s="8"/>
      <c r="J487" s="40">
        <f t="shared" si="72"/>
        <v>4</v>
      </c>
      <c r="K487" s="66">
        <f t="shared" si="68"/>
        <v>1.4719411223551057E-3</v>
      </c>
      <c r="L487" s="316">
        <f t="shared" si="69"/>
        <v>3.3400257589696412</v>
      </c>
      <c r="M487" s="37">
        <f t="shared" si="73"/>
        <v>1.2281274715731372</v>
      </c>
      <c r="N487" s="37">
        <v>1.2966568047337277</v>
      </c>
      <c r="O487" s="947">
        <f t="shared" si="70"/>
        <v>0.23727690892364303</v>
      </c>
      <c r="P487" s="37">
        <f t="shared" si="74"/>
        <v>0.28924055197792087</v>
      </c>
      <c r="Q487" s="954">
        <f t="shared" si="71"/>
        <v>3.3235767669935454E-2</v>
      </c>
    </row>
    <row r="488" spans="1:17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67"/>
        <v>384.7</v>
      </c>
      <c r="G488" s="730">
        <v>9</v>
      </c>
      <c r="H488" s="8"/>
      <c r="I488" s="8"/>
      <c r="J488" s="40">
        <f t="shared" si="72"/>
        <v>9</v>
      </c>
      <c r="K488" s="66">
        <f t="shared" si="68"/>
        <v>3.3118675252989879E-3</v>
      </c>
      <c r="L488" s="316">
        <f t="shared" si="69"/>
        <v>7.5150579576816927</v>
      </c>
      <c r="M488" s="37">
        <f t="shared" si="73"/>
        <v>2.7632868110395585</v>
      </c>
      <c r="N488" s="37">
        <v>2.9174778106508876</v>
      </c>
      <c r="O488" s="947">
        <f t="shared" si="70"/>
        <v>0.53387304507819677</v>
      </c>
      <c r="P488" s="37">
        <f t="shared" si="74"/>
        <v>0.6507912419503219</v>
      </c>
      <c r="Q488" s="954">
        <f t="shared" si="71"/>
        <v>3.5689356965038568E-2</v>
      </c>
    </row>
    <row r="489" spans="1:17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730">
        <v>52</v>
      </c>
      <c r="H489" s="8"/>
      <c r="I489" s="8">
        <v>3</v>
      </c>
      <c r="J489" s="40">
        <f t="shared" si="72"/>
        <v>55</v>
      </c>
      <c r="K489" s="66">
        <f t="shared" si="68"/>
        <v>2.0239190432382703E-2</v>
      </c>
      <c r="L489" s="316">
        <f t="shared" si="69"/>
        <v>45.925354185832568</v>
      </c>
      <c r="M489" s="37">
        <f t="shared" si="73"/>
        <v>16.886752734130635</v>
      </c>
      <c r="N489" s="37">
        <v>17.829031065088756</v>
      </c>
      <c r="O489" s="947">
        <f t="shared" si="70"/>
        <v>3.2625574977000915</v>
      </c>
      <c r="P489" s="37">
        <f t="shared" si="74"/>
        <v>3.977057589696412</v>
      </c>
      <c r="Q489" s="954">
        <f t="shared" si="71"/>
        <v>4.4139628424222623E-2</v>
      </c>
    </row>
    <row r="490" spans="1:17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730">
        <v>9</v>
      </c>
      <c r="H490" s="8"/>
      <c r="I490" s="8"/>
      <c r="J490" s="40">
        <f t="shared" si="72"/>
        <v>9</v>
      </c>
      <c r="K490" s="66">
        <f t="shared" si="68"/>
        <v>3.3118675252989879E-3</v>
      </c>
      <c r="L490" s="316">
        <f t="shared" si="69"/>
        <v>7.5150579576816927</v>
      </c>
      <c r="M490" s="37">
        <f t="shared" si="73"/>
        <v>2.7632868110395585</v>
      </c>
      <c r="N490" s="37">
        <v>2.9174778106508876</v>
      </c>
      <c r="O490" s="947">
        <f t="shared" si="70"/>
        <v>0.53387304507819677</v>
      </c>
      <c r="P490" s="37">
        <f t="shared" si="74"/>
        <v>0.6507912419503219</v>
      </c>
      <c r="Q490" s="954">
        <f t="shared" si="71"/>
        <v>3.7885473577401595E-2</v>
      </c>
    </row>
    <row r="491" spans="1:17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67"/>
        <v>196.1</v>
      </c>
      <c r="G491" s="730">
        <v>4</v>
      </c>
      <c r="H491" s="8"/>
      <c r="I491" s="8">
        <v>1</v>
      </c>
      <c r="J491" s="40">
        <f t="shared" si="72"/>
        <v>5</v>
      </c>
      <c r="K491" s="66">
        <f t="shared" si="68"/>
        <v>1.8399264029438822E-3</v>
      </c>
      <c r="L491" s="316">
        <f t="shared" si="69"/>
        <v>4.175032198712052</v>
      </c>
      <c r="M491" s="37">
        <f t="shared" si="73"/>
        <v>1.5351593394664216</v>
      </c>
      <c r="N491" s="37">
        <v>1.6208210059171597</v>
      </c>
      <c r="O491" s="947">
        <f t="shared" si="70"/>
        <v>0.29659613615455377</v>
      </c>
      <c r="P491" s="37">
        <f t="shared" si="74"/>
        <v>0.36155068997240108</v>
      </c>
      <c r="Q491" s="954">
        <f t="shared" si="71"/>
        <v>3.8896525651454295E-2</v>
      </c>
    </row>
    <row r="492" spans="1:17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67"/>
        <v>98.48</v>
      </c>
      <c r="G492" s="730">
        <v>4</v>
      </c>
      <c r="H492" s="8"/>
      <c r="I492" s="8"/>
      <c r="J492" s="40">
        <f t="shared" si="72"/>
        <v>4</v>
      </c>
      <c r="K492" s="66">
        <f t="shared" si="68"/>
        <v>1.4719411223551057E-3</v>
      </c>
      <c r="L492" s="316">
        <f t="shared" si="69"/>
        <v>3.3400257589696412</v>
      </c>
      <c r="M492" s="37">
        <f t="shared" si="73"/>
        <v>1.2281274715731372</v>
      </c>
      <c r="N492" s="37">
        <v>1.2966568047337277</v>
      </c>
      <c r="O492" s="947">
        <f t="shared" si="70"/>
        <v>0.23727690892364303</v>
      </c>
      <c r="P492" s="37">
        <f t="shared" si="74"/>
        <v>0.28924055197792087</v>
      </c>
      <c r="Q492" s="954">
        <f t="shared" si="71"/>
        <v>6.1962702520310206E-2</v>
      </c>
    </row>
    <row r="493" spans="1:17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67"/>
        <v>2328.6</v>
      </c>
      <c r="G493" s="730">
        <v>48</v>
      </c>
      <c r="H493" s="8"/>
      <c r="I493" s="8"/>
      <c r="J493" s="40">
        <f t="shared" si="72"/>
        <v>48</v>
      </c>
      <c r="K493" s="66">
        <f t="shared" si="68"/>
        <v>1.7663293468261267E-2</v>
      </c>
      <c r="L493" s="316">
        <f t="shared" si="69"/>
        <v>40.080309107635692</v>
      </c>
      <c r="M493" s="37">
        <f t="shared" si="73"/>
        <v>14.737529658877644</v>
      </c>
      <c r="N493" s="37">
        <v>15.559881656804734</v>
      </c>
      <c r="O493" s="947">
        <f t="shared" si="70"/>
        <v>2.8473229070837158</v>
      </c>
      <c r="P493" s="37">
        <f t="shared" si="74"/>
        <v>3.47088662373505</v>
      </c>
      <c r="Q493" s="954">
        <f t="shared" si="71"/>
        <v>3.1445951786653686E-2</v>
      </c>
    </row>
    <row r="494" spans="1:17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67"/>
        <v>479.01</v>
      </c>
      <c r="G494" s="730">
        <v>15</v>
      </c>
      <c r="H494" s="8"/>
      <c r="I494" s="8"/>
      <c r="J494" s="40">
        <f t="shared" si="72"/>
        <v>15</v>
      </c>
      <c r="K494" s="66">
        <f t="shared" si="68"/>
        <v>5.5197792088316463E-3</v>
      </c>
      <c r="L494" s="316">
        <f t="shared" si="69"/>
        <v>12.525096596136153</v>
      </c>
      <c r="M494" s="37">
        <f t="shared" si="73"/>
        <v>4.6054780183992641</v>
      </c>
      <c r="N494" s="37">
        <v>4.8624630177514785</v>
      </c>
      <c r="O494" s="947">
        <f t="shared" si="70"/>
        <v>0.88978840846366136</v>
      </c>
      <c r="P494" s="37">
        <f t="shared" si="74"/>
        <v>1.0846520699172033</v>
      </c>
      <c r="Q494" s="954">
        <f t="shared" si="71"/>
        <v>4.7771082108412265E-2</v>
      </c>
    </row>
    <row r="495" spans="1:17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67"/>
        <v>479.14</v>
      </c>
      <c r="G495" s="730">
        <v>15</v>
      </c>
      <c r="H495" s="8"/>
      <c r="I495" s="8"/>
      <c r="J495" s="40">
        <f t="shared" si="72"/>
        <v>15</v>
      </c>
      <c r="K495" s="66">
        <f t="shared" si="68"/>
        <v>5.5197792088316463E-3</v>
      </c>
      <c r="L495" s="316">
        <f t="shared" si="69"/>
        <v>12.525096596136153</v>
      </c>
      <c r="M495" s="37">
        <f t="shared" si="73"/>
        <v>4.6054780183992641</v>
      </c>
      <c r="N495" s="37">
        <v>4.8624630177514785</v>
      </c>
      <c r="O495" s="947">
        <f t="shared" si="70"/>
        <v>0.88978840846366136</v>
      </c>
      <c r="P495" s="37">
        <f t="shared" si="74"/>
        <v>1.0846520699172033</v>
      </c>
      <c r="Q495" s="954">
        <f t="shared" si="71"/>
        <v>4.7758120884815625E-2</v>
      </c>
    </row>
    <row r="496" spans="1:17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67"/>
        <v>1158.5899999999999</v>
      </c>
      <c r="G496" s="730">
        <v>34</v>
      </c>
      <c r="H496" s="8"/>
      <c r="I496" s="8"/>
      <c r="J496" s="40">
        <f t="shared" si="72"/>
        <v>34</v>
      </c>
      <c r="K496" s="66">
        <f t="shared" si="68"/>
        <v>1.2511499540018399E-2</v>
      </c>
      <c r="L496" s="316">
        <f t="shared" si="69"/>
        <v>28.390218951241952</v>
      </c>
      <c r="M496" s="37">
        <f t="shared" si="73"/>
        <v>10.439083508371667</v>
      </c>
      <c r="N496" s="37">
        <v>11.021582840236686</v>
      </c>
      <c r="O496" s="947">
        <f t="shared" si="70"/>
        <v>2.0168537258509658</v>
      </c>
      <c r="P496" s="37">
        <f t="shared" si="74"/>
        <v>2.4585446918123273</v>
      </c>
      <c r="Q496" s="954">
        <f t="shared" si="71"/>
        <v>4.476798438248325E-2</v>
      </c>
    </row>
    <row r="497" spans="1:17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67"/>
        <v>368.99</v>
      </c>
      <c r="G497" s="730">
        <v>12</v>
      </c>
      <c r="H497" s="8"/>
      <c r="I497" s="8"/>
      <c r="J497" s="40">
        <f t="shared" si="72"/>
        <v>12</v>
      </c>
      <c r="K497" s="66">
        <f t="shared" si="68"/>
        <v>4.4158233670653167E-3</v>
      </c>
      <c r="L497" s="316">
        <f t="shared" si="69"/>
        <v>10.020077276908923</v>
      </c>
      <c r="M497" s="37">
        <f t="shared" si="73"/>
        <v>3.6843824147194111</v>
      </c>
      <c r="N497" s="37">
        <v>3.8899704142011835</v>
      </c>
      <c r="O497" s="947">
        <f t="shared" si="70"/>
        <v>0.71183072677092896</v>
      </c>
      <c r="P497" s="37">
        <f t="shared" si="74"/>
        <v>0.86772165593376249</v>
      </c>
      <c r="Q497" s="954">
        <f t="shared" si="71"/>
        <v>4.9611807454403758E-2</v>
      </c>
    </row>
    <row r="498" spans="1:17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67"/>
        <v>346.24</v>
      </c>
      <c r="G498" s="730">
        <v>9</v>
      </c>
      <c r="H498" s="8"/>
      <c r="I498" s="8"/>
      <c r="J498" s="40">
        <f t="shared" si="72"/>
        <v>9</v>
      </c>
      <c r="K498" s="66">
        <f t="shared" si="68"/>
        <v>3.3118675252989879E-3</v>
      </c>
      <c r="L498" s="316">
        <f t="shared" si="69"/>
        <v>7.5150579576816927</v>
      </c>
      <c r="M498" s="37">
        <f t="shared" si="73"/>
        <v>2.7632868110395585</v>
      </c>
      <c r="N498" s="37">
        <v>2.9174778106508876</v>
      </c>
      <c r="O498" s="947">
        <f t="shared" si="70"/>
        <v>0.53387304507819677</v>
      </c>
      <c r="P498" s="37">
        <f t="shared" si="74"/>
        <v>0.6507912419503219</v>
      </c>
      <c r="Q498" s="954">
        <f t="shared" si="71"/>
        <v>3.9653695773019686E-2</v>
      </c>
    </row>
    <row r="499" spans="1:17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67"/>
        <v>151.5</v>
      </c>
      <c r="G499" s="730">
        <v>3</v>
      </c>
      <c r="H499" s="8"/>
      <c r="I499" s="8"/>
      <c r="J499" s="40">
        <f t="shared" si="72"/>
        <v>3</v>
      </c>
      <c r="K499" s="66">
        <f t="shared" si="68"/>
        <v>1.1039558417663292E-3</v>
      </c>
      <c r="L499" s="316">
        <f t="shared" si="69"/>
        <v>2.5050193192272308</v>
      </c>
      <c r="M499" s="37">
        <f t="shared" si="73"/>
        <v>0.92109560367985277</v>
      </c>
      <c r="N499" s="37">
        <v>0.97249260355029588</v>
      </c>
      <c r="O499" s="947">
        <f t="shared" si="70"/>
        <v>0.17795768169273224</v>
      </c>
      <c r="P499" s="37">
        <f t="shared" si="74"/>
        <v>0.21693041398344062</v>
      </c>
      <c r="Q499" s="954">
        <f t="shared" si="71"/>
        <v>3.0208351208911622E-2</v>
      </c>
    </row>
    <row r="500" spans="1:17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67"/>
        <v>123.6</v>
      </c>
      <c r="G500" s="730">
        <v>4</v>
      </c>
      <c r="H500" s="8"/>
      <c r="I500" s="8">
        <v>1</v>
      </c>
      <c r="J500" s="40">
        <f t="shared" si="72"/>
        <v>5</v>
      </c>
      <c r="K500" s="66">
        <f t="shared" si="68"/>
        <v>1.8399264029438822E-3</v>
      </c>
      <c r="L500" s="316">
        <f t="shared" si="69"/>
        <v>4.175032198712052</v>
      </c>
      <c r="M500" s="37">
        <f t="shared" si="73"/>
        <v>1.5351593394664216</v>
      </c>
      <c r="N500" s="37">
        <v>1.6208210059171597</v>
      </c>
      <c r="O500" s="947">
        <f t="shared" si="70"/>
        <v>0.29659613615455377</v>
      </c>
      <c r="P500" s="37">
        <f t="shared" si="74"/>
        <v>0.36155068997240108</v>
      </c>
      <c r="Q500" s="954">
        <f t="shared" si="71"/>
        <v>6.1712044338593751E-2</v>
      </c>
    </row>
    <row r="501" spans="1:17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67"/>
        <v>624.51</v>
      </c>
      <c r="G501" s="730">
        <v>20</v>
      </c>
      <c r="H501" s="8"/>
      <c r="I501" s="8"/>
      <c r="J501" s="40">
        <f t="shared" si="72"/>
        <v>20</v>
      </c>
      <c r="K501" s="66">
        <f t="shared" si="68"/>
        <v>7.3597056117755289E-3</v>
      </c>
      <c r="L501" s="316">
        <f t="shared" si="69"/>
        <v>16.700128794848208</v>
      </c>
      <c r="M501" s="37">
        <f t="shared" si="73"/>
        <v>6.1406373578656863</v>
      </c>
      <c r="N501" s="37">
        <v>6.4832840236686389</v>
      </c>
      <c r="O501" s="947">
        <f t="shared" si="70"/>
        <v>1.1863845446182151</v>
      </c>
      <c r="P501" s="37">
        <f t="shared" si="74"/>
        <v>1.4462027598896043</v>
      </c>
      <c r="Q501" s="954">
        <f t="shared" si="71"/>
        <v>4.8854997871932794E-2</v>
      </c>
    </row>
    <row r="502" spans="1:17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67"/>
        <v>202.5</v>
      </c>
      <c r="G502" s="730">
        <v>5</v>
      </c>
      <c r="H502" s="8"/>
      <c r="I502" s="8"/>
      <c r="J502" s="40">
        <f t="shared" si="72"/>
        <v>5</v>
      </c>
      <c r="K502" s="66">
        <f t="shared" si="68"/>
        <v>1.8399264029438822E-3</v>
      </c>
      <c r="L502" s="316">
        <f t="shared" si="69"/>
        <v>4.175032198712052</v>
      </c>
      <c r="M502" s="37">
        <f t="shared" si="73"/>
        <v>1.5351593394664216</v>
      </c>
      <c r="N502" s="37">
        <v>1.6208210059171597</v>
      </c>
      <c r="O502" s="947">
        <f t="shared" si="70"/>
        <v>0.29659613615455377</v>
      </c>
      <c r="P502" s="37">
        <f t="shared" si="74"/>
        <v>0.36155068997240108</v>
      </c>
      <c r="Q502" s="954">
        <f t="shared" si="71"/>
        <v>3.766720335926018E-2</v>
      </c>
    </row>
    <row r="503" spans="1:17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67"/>
        <v>132.5</v>
      </c>
      <c r="G503" s="730">
        <v>4</v>
      </c>
      <c r="H503" s="8"/>
      <c r="I503" s="8"/>
      <c r="J503" s="40">
        <f t="shared" si="72"/>
        <v>4</v>
      </c>
      <c r="K503" s="66">
        <f t="shared" si="68"/>
        <v>1.4719411223551057E-3</v>
      </c>
      <c r="L503" s="316">
        <f t="shared" si="69"/>
        <v>3.3400257589696412</v>
      </c>
      <c r="M503" s="37">
        <f t="shared" si="73"/>
        <v>1.2281274715731372</v>
      </c>
      <c r="N503" s="37">
        <v>1.2966568047337277</v>
      </c>
      <c r="O503" s="947">
        <f t="shared" si="70"/>
        <v>0.23727690892364303</v>
      </c>
      <c r="P503" s="37">
        <f t="shared" si="74"/>
        <v>0.28924055197792087</v>
      </c>
      <c r="Q503" s="954">
        <f t="shared" si="71"/>
        <v>4.6053486371321881E-2</v>
      </c>
    </row>
    <row r="504" spans="1:17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67"/>
        <v>156.1</v>
      </c>
      <c r="G504" s="730">
        <v>2</v>
      </c>
      <c r="H504" s="8"/>
      <c r="I504" s="8"/>
      <c r="J504" s="40">
        <f t="shared" si="72"/>
        <v>2</v>
      </c>
      <c r="K504" s="66">
        <f t="shared" si="68"/>
        <v>7.3597056117755285E-4</v>
      </c>
      <c r="L504" s="316">
        <f t="shared" si="69"/>
        <v>1.6700128794848206</v>
      </c>
      <c r="M504" s="37">
        <f t="shared" si="73"/>
        <v>0.61406373578656859</v>
      </c>
      <c r="N504" s="37">
        <v>0.64832840236686384</v>
      </c>
      <c r="O504" s="947">
        <f t="shared" si="70"/>
        <v>0.11863845446182152</v>
      </c>
      <c r="P504" s="37">
        <f t="shared" si="74"/>
        <v>0.14462027598896043</v>
      </c>
      <c r="Q504" s="954">
        <f t="shared" si="71"/>
        <v>1.9545441845612264E-2</v>
      </c>
    </row>
    <row r="505" spans="1:17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67"/>
        <v>138</v>
      </c>
      <c r="G505" s="730">
        <v>5</v>
      </c>
      <c r="H505" s="8"/>
      <c r="I505" s="8"/>
      <c r="J505" s="40">
        <f t="shared" si="72"/>
        <v>5</v>
      </c>
      <c r="K505" s="66">
        <f t="shared" si="68"/>
        <v>1.8399264029438822E-3</v>
      </c>
      <c r="L505" s="316">
        <f t="shared" si="69"/>
        <v>4.175032198712052</v>
      </c>
      <c r="M505" s="37">
        <f t="shared" si="73"/>
        <v>1.5351593394664216</v>
      </c>
      <c r="N505" s="37">
        <v>1.6208210059171597</v>
      </c>
      <c r="O505" s="947">
        <f t="shared" si="70"/>
        <v>0.29659613615455377</v>
      </c>
      <c r="P505" s="37">
        <f t="shared" si="74"/>
        <v>0.36155068997240108</v>
      </c>
      <c r="Q505" s="954">
        <f t="shared" si="71"/>
        <v>5.5272526668479614E-2</v>
      </c>
    </row>
    <row r="506" spans="1:17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67"/>
        <v>137.69999999999999</v>
      </c>
      <c r="G506" s="730">
        <v>4</v>
      </c>
      <c r="H506" s="8"/>
      <c r="I506" s="8"/>
      <c r="J506" s="40">
        <f t="shared" si="72"/>
        <v>4</v>
      </c>
      <c r="K506" s="66">
        <f t="shared" si="68"/>
        <v>1.4719411223551057E-3</v>
      </c>
      <c r="L506" s="316">
        <f t="shared" si="69"/>
        <v>3.3400257589696412</v>
      </c>
      <c r="M506" s="37">
        <f t="shared" si="73"/>
        <v>1.2281274715731372</v>
      </c>
      <c r="N506" s="37">
        <v>1.2966568047337277</v>
      </c>
      <c r="O506" s="947">
        <f t="shared" si="70"/>
        <v>0.23727690892364303</v>
      </c>
      <c r="P506" s="37">
        <f t="shared" si="74"/>
        <v>0.28924055197792087</v>
      </c>
      <c r="Q506" s="954">
        <f t="shared" si="71"/>
        <v>4.4314356893247274E-2</v>
      </c>
    </row>
    <row r="507" spans="1:17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67"/>
        <v>184.88</v>
      </c>
      <c r="G507" s="730">
        <v>4</v>
      </c>
      <c r="H507" s="8"/>
      <c r="I507" s="8"/>
      <c r="J507" s="40">
        <f t="shared" si="72"/>
        <v>4</v>
      </c>
      <c r="K507" s="66">
        <f t="shared" si="68"/>
        <v>1.4719411223551057E-3</v>
      </c>
      <c r="L507" s="316">
        <f t="shared" si="69"/>
        <v>3.3400257589696412</v>
      </c>
      <c r="M507" s="37">
        <f t="shared" si="73"/>
        <v>1.2281274715731372</v>
      </c>
      <c r="N507" s="37">
        <v>1.2966568047337277</v>
      </c>
      <c r="O507" s="947">
        <f t="shared" si="70"/>
        <v>0.23727690892364303</v>
      </c>
      <c r="P507" s="37">
        <f t="shared" si="74"/>
        <v>0.28924055197792087</v>
      </c>
      <c r="Q507" s="954">
        <f t="shared" si="71"/>
        <v>3.3005662831026336E-2</v>
      </c>
    </row>
    <row r="508" spans="1:17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67"/>
        <v>657.19</v>
      </c>
      <c r="G508" s="730">
        <v>20</v>
      </c>
      <c r="H508" s="8"/>
      <c r="I508" s="8">
        <v>1</v>
      </c>
      <c r="J508" s="40">
        <f t="shared" si="72"/>
        <v>21</v>
      </c>
      <c r="K508" s="66">
        <f t="shared" si="68"/>
        <v>7.7276908923643046E-3</v>
      </c>
      <c r="L508" s="316">
        <f t="shared" si="69"/>
        <v>17.535135234590616</v>
      </c>
      <c r="M508" s="37">
        <f t="shared" si="73"/>
        <v>6.4476692257589701</v>
      </c>
      <c r="N508" s="37">
        <v>6.8074482248520702</v>
      </c>
      <c r="O508" s="947">
        <f t="shared" si="70"/>
        <v>1.2457037718491257</v>
      </c>
      <c r="P508" s="37">
        <f t="shared" si="74"/>
        <v>1.5185128978840843</v>
      </c>
      <c r="Q508" s="954">
        <f t="shared" si="71"/>
        <v>4.8746871463428806E-2</v>
      </c>
    </row>
    <row r="509" spans="1:17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67"/>
        <v>815.3</v>
      </c>
      <c r="G509" s="730">
        <v>29</v>
      </c>
      <c r="H509" s="8"/>
      <c r="I509" s="8"/>
      <c r="J509" s="40">
        <f t="shared" si="72"/>
        <v>29</v>
      </c>
      <c r="K509" s="66">
        <f t="shared" si="68"/>
        <v>1.0671573137074517E-2</v>
      </c>
      <c r="L509" s="316">
        <f t="shared" si="69"/>
        <v>24.215186752529899</v>
      </c>
      <c r="M509" s="37">
        <f t="shared" si="73"/>
        <v>8.9039241689052453</v>
      </c>
      <c r="N509" s="37">
        <v>9.4007618343195247</v>
      </c>
      <c r="O509" s="947">
        <f t="shared" si="70"/>
        <v>1.7202575896964121</v>
      </c>
      <c r="P509" s="37">
        <f t="shared" si="74"/>
        <v>2.0969940018399265</v>
      </c>
      <c r="Q509" s="954">
        <f t="shared" si="71"/>
        <v>5.4262394634430368E-2</v>
      </c>
    </row>
    <row r="510" spans="1:17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67"/>
        <v>800.4</v>
      </c>
      <c r="G510" s="730">
        <v>32</v>
      </c>
      <c r="H510" s="8"/>
      <c r="I510" s="8"/>
      <c r="J510" s="40">
        <f t="shared" si="72"/>
        <v>32</v>
      </c>
      <c r="K510" s="66">
        <f t="shared" si="68"/>
        <v>1.1775528978840846E-2</v>
      </c>
      <c r="L510" s="316">
        <f t="shared" si="69"/>
        <v>26.720206071757129</v>
      </c>
      <c r="M510" s="37">
        <f t="shared" si="73"/>
        <v>9.8250197725850974</v>
      </c>
      <c r="N510" s="37">
        <v>10.373254437869821</v>
      </c>
      <c r="O510" s="947">
        <f t="shared" si="70"/>
        <v>1.8982152713891443</v>
      </c>
      <c r="P510" s="37">
        <f t="shared" si="74"/>
        <v>2.3139244158233669</v>
      </c>
      <c r="Q510" s="954">
        <f t="shared" si="71"/>
        <v>6.0990374254874052E-2</v>
      </c>
    </row>
    <row r="511" spans="1:17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si="67"/>
        <v>285.10000000000002</v>
      </c>
      <c r="G511" s="730">
        <v>12</v>
      </c>
      <c r="H511" s="8"/>
      <c r="I511" s="8"/>
      <c r="J511" s="40">
        <f t="shared" si="72"/>
        <v>12</v>
      </c>
      <c r="K511" s="66">
        <f t="shared" si="68"/>
        <v>4.4158233670653167E-3</v>
      </c>
      <c r="L511" s="316">
        <f t="shared" si="69"/>
        <v>10.020077276908923</v>
      </c>
      <c r="M511" s="37">
        <f t="shared" si="73"/>
        <v>3.6843824147194111</v>
      </c>
      <c r="N511" s="37">
        <v>3.8899704142011835</v>
      </c>
      <c r="O511" s="947">
        <f t="shared" si="70"/>
        <v>0.71183072677092896</v>
      </c>
      <c r="P511" s="37">
        <f t="shared" si="74"/>
        <v>0.86772165593376249</v>
      </c>
      <c r="Q511" s="954">
        <f t="shared" si="71"/>
        <v>6.4209964337427011E-2</v>
      </c>
    </row>
    <row r="512" spans="1:17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ref="F512:F535" si="75">C512+D512+E512</f>
        <v>415.84</v>
      </c>
      <c r="G512" s="730">
        <v>10</v>
      </c>
      <c r="H512" s="8"/>
      <c r="I512" s="8"/>
      <c r="J512" s="40">
        <f t="shared" si="72"/>
        <v>10</v>
      </c>
      <c r="K512" s="66">
        <f t="shared" si="68"/>
        <v>3.6798528058877645E-3</v>
      </c>
      <c r="L512" s="316">
        <f t="shared" si="69"/>
        <v>8.350064397424104</v>
      </c>
      <c r="M512" s="37">
        <f t="shared" si="73"/>
        <v>3.0703186789328432</v>
      </c>
      <c r="N512" s="37">
        <v>3.2416420118343194</v>
      </c>
      <c r="O512" s="947">
        <f t="shared" si="70"/>
        <v>0.59319227230910754</v>
      </c>
      <c r="P512" s="37">
        <f t="shared" si="74"/>
        <v>0.72310137994480217</v>
      </c>
      <c r="Q512" s="954">
        <f t="shared" si="71"/>
        <v>3.6685305310937805E-2</v>
      </c>
    </row>
    <row r="513" spans="1:17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75"/>
        <v>516.34</v>
      </c>
      <c r="G513" s="730">
        <v>15</v>
      </c>
      <c r="H513" s="8"/>
      <c r="I513" s="8"/>
      <c r="J513" s="40">
        <f t="shared" si="72"/>
        <v>15</v>
      </c>
      <c r="K513" s="66">
        <f t="shared" si="68"/>
        <v>5.5197792088316463E-3</v>
      </c>
      <c r="L513" s="316">
        <f t="shared" si="69"/>
        <v>12.525096596136153</v>
      </c>
      <c r="M513" s="37">
        <f t="shared" si="73"/>
        <v>4.6054780183992641</v>
      </c>
      <c r="N513" s="37">
        <v>4.8624630177514785</v>
      </c>
      <c r="O513" s="947">
        <f t="shared" si="70"/>
        <v>0.88978840846366136</v>
      </c>
      <c r="P513" s="37">
        <f t="shared" si="74"/>
        <v>1.0846520699172033</v>
      </c>
      <c r="Q513" s="954">
        <f t="shared" si="71"/>
        <v>4.431736073275469E-2</v>
      </c>
    </row>
    <row r="514" spans="1:17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75"/>
        <v>605.14</v>
      </c>
      <c r="G514" s="730">
        <v>14</v>
      </c>
      <c r="H514" s="8"/>
      <c r="I514" s="8"/>
      <c r="J514" s="40">
        <f t="shared" si="72"/>
        <v>14</v>
      </c>
      <c r="K514" s="66">
        <f t="shared" ref="K514:K534" si="76">2/5435*J514</f>
        <v>5.1517939282428697E-3</v>
      </c>
      <c r="L514" s="316">
        <f t="shared" ref="L514:L534" si="77">K514*2269.13</f>
        <v>11.690090156393744</v>
      </c>
      <c r="M514" s="37">
        <f t="shared" si="73"/>
        <v>4.2984461505059803</v>
      </c>
      <c r="N514" s="37">
        <v>4.5382988165680471</v>
      </c>
      <c r="O514" s="947">
        <f t="shared" si="70"/>
        <v>0.83046918123275049</v>
      </c>
      <c r="P514" s="37">
        <f t="shared" si="74"/>
        <v>1.0123419319227229</v>
      </c>
      <c r="Q514" s="954">
        <f t="shared" si="71"/>
        <v>3.5293162416466468E-2</v>
      </c>
    </row>
    <row r="515" spans="1:17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75"/>
        <v>476.1</v>
      </c>
      <c r="G515" s="730">
        <v>16</v>
      </c>
      <c r="H515" s="8"/>
      <c r="I515" s="8"/>
      <c r="J515" s="40">
        <f t="shared" si="72"/>
        <v>16</v>
      </c>
      <c r="K515" s="66">
        <f t="shared" si="76"/>
        <v>5.8877644894204228E-3</v>
      </c>
      <c r="L515" s="316">
        <f t="shared" si="77"/>
        <v>13.360103035878565</v>
      </c>
      <c r="M515" s="37">
        <f t="shared" si="73"/>
        <v>4.9125098862925487</v>
      </c>
      <c r="N515" s="37">
        <v>5.1866272189349107</v>
      </c>
      <c r="O515" s="947">
        <f t="shared" si="70"/>
        <v>0.94910763569457213</v>
      </c>
      <c r="P515" s="37">
        <f t="shared" si="74"/>
        <v>1.1569622079116835</v>
      </c>
      <c r="Q515" s="954">
        <f t="shared" si="71"/>
        <v>5.1267271112792681E-2</v>
      </c>
    </row>
    <row r="516" spans="1:17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75"/>
        <v>417.52</v>
      </c>
      <c r="G516" s="730">
        <v>14</v>
      </c>
      <c r="H516" s="8"/>
      <c r="I516" s="8"/>
      <c r="J516" s="40">
        <f t="shared" si="72"/>
        <v>14</v>
      </c>
      <c r="K516" s="66">
        <f t="shared" si="76"/>
        <v>5.1517939282428697E-3</v>
      </c>
      <c r="L516" s="316">
        <f t="shared" si="77"/>
        <v>11.690090156393744</v>
      </c>
      <c r="M516" s="37">
        <f t="shared" si="73"/>
        <v>4.2984461505059803</v>
      </c>
      <c r="N516" s="37">
        <v>4.5382988165680471</v>
      </c>
      <c r="O516" s="947">
        <f t="shared" si="70"/>
        <v>0.83046918123275049</v>
      </c>
      <c r="P516" s="37">
        <f t="shared" si="74"/>
        <v>1.0123419319227229</v>
      </c>
      <c r="Q516" s="954">
        <f t="shared" si="71"/>
        <v>5.1152769459428343E-2</v>
      </c>
    </row>
    <row r="517" spans="1:17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75"/>
        <v>273.56</v>
      </c>
      <c r="G517" s="730">
        <v>11</v>
      </c>
      <c r="H517" s="8"/>
      <c r="I517" s="8"/>
      <c r="J517" s="40">
        <f t="shared" si="72"/>
        <v>11</v>
      </c>
      <c r="K517" s="66">
        <f t="shared" si="76"/>
        <v>4.047838086476541E-3</v>
      </c>
      <c r="L517" s="316">
        <f t="shared" si="77"/>
        <v>9.1850708371665135</v>
      </c>
      <c r="M517" s="37">
        <f t="shared" si="73"/>
        <v>3.3773505468261273</v>
      </c>
      <c r="N517" s="37">
        <v>3.5658062130177512</v>
      </c>
      <c r="O517" s="947">
        <f t="shared" si="70"/>
        <v>0.65251149954001841</v>
      </c>
      <c r="P517" s="37">
        <f t="shared" si="74"/>
        <v>0.79541151793928255</v>
      </c>
      <c r="Q517" s="954">
        <f t="shared" si="71"/>
        <v>6.1342078873192034E-2</v>
      </c>
    </row>
    <row r="518" spans="1:17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75"/>
        <v>645.95000000000005</v>
      </c>
      <c r="G518" s="730">
        <v>19</v>
      </c>
      <c r="H518" s="8"/>
      <c r="I518" s="8"/>
      <c r="J518" s="40">
        <f t="shared" si="72"/>
        <v>19</v>
      </c>
      <c r="K518" s="66">
        <f t="shared" si="76"/>
        <v>6.9917203311867524E-3</v>
      </c>
      <c r="L518" s="316">
        <f t="shared" si="77"/>
        <v>15.865122355105797</v>
      </c>
      <c r="M518" s="37">
        <f t="shared" si="73"/>
        <v>5.8336054899724017</v>
      </c>
      <c r="N518" s="37">
        <v>6.1591198224852066</v>
      </c>
      <c r="O518" s="947">
        <f t="shared" si="70"/>
        <v>1.1270653173873044</v>
      </c>
      <c r="P518" s="37">
        <f t="shared" si="74"/>
        <v>1.3738926218951242</v>
      </c>
      <c r="Q518" s="954">
        <f t="shared" si="71"/>
        <v>4.4871759400806115E-2</v>
      </c>
    </row>
    <row r="519" spans="1:17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75"/>
        <v>867.68</v>
      </c>
      <c r="G519" s="730">
        <v>27</v>
      </c>
      <c r="H519" s="8"/>
      <c r="I519" s="8"/>
      <c r="J519" s="40">
        <f t="shared" si="72"/>
        <v>27</v>
      </c>
      <c r="K519" s="66">
        <f t="shared" si="76"/>
        <v>9.9356025758969638E-3</v>
      </c>
      <c r="L519" s="316">
        <f t="shared" si="77"/>
        <v>22.54517387304508</v>
      </c>
      <c r="M519" s="37">
        <f t="shared" si="73"/>
        <v>8.289860433118676</v>
      </c>
      <c r="N519" s="37">
        <v>8.752433431952662</v>
      </c>
      <c r="O519" s="947">
        <f t="shared" ref="O519:O533" si="78">K519*161.2</f>
        <v>1.6016191352345905</v>
      </c>
      <c r="P519" s="37">
        <f t="shared" si="74"/>
        <v>1.9523737258509659</v>
      </c>
      <c r="Q519" s="954">
        <f t="shared" ref="Q519:Q582" si="79">(O519+N519+M519+L519)/F519</f>
        <v>4.7470365657098251E-2</v>
      </c>
    </row>
    <row r="520" spans="1:17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75"/>
        <v>556.85</v>
      </c>
      <c r="G520" s="730">
        <v>14</v>
      </c>
      <c r="H520" s="8"/>
      <c r="I520" s="8">
        <v>1</v>
      </c>
      <c r="J520" s="40">
        <f t="shared" si="72"/>
        <v>15</v>
      </c>
      <c r="K520" s="66">
        <f t="shared" si="76"/>
        <v>5.5197792088316463E-3</v>
      </c>
      <c r="L520" s="316">
        <f t="shared" si="77"/>
        <v>12.525096596136153</v>
      </c>
      <c r="M520" s="37">
        <f t="shared" si="73"/>
        <v>4.6054780183992641</v>
      </c>
      <c r="N520" s="37">
        <v>4.8624630177514785</v>
      </c>
      <c r="O520" s="947">
        <f t="shared" si="78"/>
        <v>0.88978840846366136</v>
      </c>
      <c r="P520" s="37">
        <f t="shared" si="74"/>
        <v>1.0846520699172033</v>
      </c>
      <c r="Q520" s="954">
        <f t="shared" si="79"/>
        <v>4.1093339392566326E-2</v>
      </c>
    </row>
    <row r="521" spans="1:17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75"/>
        <v>335.18</v>
      </c>
      <c r="G521" s="730">
        <v>8</v>
      </c>
      <c r="H521" s="8"/>
      <c r="I521" s="8"/>
      <c r="J521" s="40">
        <f t="shared" si="72"/>
        <v>8</v>
      </c>
      <c r="K521" s="66">
        <f t="shared" si="76"/>
        <v>2.9438822447102114E-3</v>
      </c>
      <c r="L521" s="316">
        <f t="shared" si="77"/>
        <v>6.6800515179392823</v>
      </c>
      <c r="M521" s="37">
        <f t="shared" si="73"/>
        <v>2.4562549431462743</v>
      </c>
      <c r="N521" s="37">
        <v>2.5933136094674554</v>
      </c>
      <c r="O521" s="947">
        <f t="shared" si="78"/>
        <v>0.47455381784728606</v>
      </c>
      <c r="P521" s="37">
        <f t="shared" si="74"/>
        <v>0.57848110395584174</v>
      </c>
      <c r="Q521" s="954">
        <f t="shared" si="79"/>
        <v>3.6410805801063005E-2</v>
      </c>
    </row>
    <row r="522" spans="1:17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75"/>
        <v>274.58999999999997</v>
      </c>
      <c r="G522" s="730">
        <v>7</v>
      </c>
      <c r="H522" s="8"/>
      <c r="I522" s="8"/>
      <c r="J522" s="40">
        <f t="shared" si="72"/>
        <v>7</v>
      </c>
      <c r="K522" s="66">
        <f t="shared" si="76"/>
        <v>2.5758969641214349E-3</v>
      </c>
      <c r="L522" s="316">
        <f t="shared" si="77"/>
        <v>5.8450450781968719</v>
      </c>
      <c r="M522" s="37">
        <f t="shared" si="73"/>
        <v>2.1492230752529902</v>
      </c>
      <c r="N522" s="37">
        <v>2.2691494082840236</v>
      </c>
      <c r="O522" s="947">
        <f t="shared" si="78"/>
        <v>0.41523459061637524</v>
      </c>
      <c r="P522" s="37">
        <f t="shared" si="74"/>
        <v>0.50617096596136146</v>
      </c>
      <c r="Q522" s="954">
        <f t="shared" si="79"/>
        <v>3.8889442996286321E-2</v>
      </c>
    </row>
    <row r="523" spans="1:17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75"/>
        <v>345.54</v>
      </c>
      <c r="G523" s="730">
        <v>10</v>
      </c>
      <c r="H523" s="8"/>
      <c r="I523" s="8"/>
      <c r="J523" s="40">
        <f t="shared" si="72"/>
        <v>10</v>
      </c>
      <c r="K523" s="66">
        <f t="shared" si="76"/>
        <v>3.6798528058877645E-3</v>
      </c>
      <c r="L523" s="316">
        <f t="shared" si="77"/>
        <v>8.350064397424104</v>
      </c>
      <c r="M523" s="37">
        <f t="shared" si="73"/>
        <v>3.0703186789328432</v>
      </c>
      <c r="N523" s="37">
        <v>3.2416420118343194</v>
      </c>
      <c r="O523" s="947">
        <f t="shared" si="78"/>
        <v>0.59319227230910754</v>
      </c>
      <c r="P523" s="37">
        <f t="shared" si="74"/>
        <v>0.72310137994480217</v>
      </c>
      <c r="Q523" s="954">
        <f t="shared" si="79"/>
        <v>4.4148918679459317E-2</v>
      </c>
    </row>
    <row r="524" spans="1:17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75"/>
        <v>212.4</v>
      </c>
      <c r="G524" s="730">
        <v>7</v>
      </c>
      <c r="H524" s="8"/>
      <c r="I524" s="8"/>
      <c r="J524" s="40">
        <f t="shared" si="72"/>
        <v>7</v>
      </c>
      <c r="K524" s="66">
        <f t="shared" si="76"/>
        <v>2.5758969641214349E-3</v>
      </c>
      <c r="L524" s="316">
        <f t="shared" si="77"/>
        <v>5.8450450781968719</v>
      </c>
      <c r="M524" s="37">
        <f t="shared" si="73"/>
        <v>2.1492230752529902</v>
      </c>
      <c r="N524" s="37">
        <v>2.2691494082840236</v>
      </c>
      <c r="O524" s="947">
        <f t="shared" si="78"/>
        <v>0.41523459061637524</v>
      </c>
      <c r="P524" s="37">
        <f t="shared" si="74"/>
        <v>0.50617096596136146</v>
      </c>
      <c r="Q524" s="954">
        <f t="shared" si="79"/>
        <v>5.0276140076978622E-2</v>
      </c>
    </row>
    <row r="525" spans="1:17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75"/>
        <v>257.2</v>
      </c>
      <c r="G525" s="730">
        <v>7</v>
      </c>
      <c r="H525" s="8"/>
      <c r="I525" s="8"/>
      <c r="J525" s="40">
        <f t="shared" si="72"/>
        <v>7</v>
      </c>
      <c r="K525" s="66">
        <f t="shared" si="76"/>
        <v>2.5758969641214349E-3</v>
      </c>
      <c r="L525" s="316">
        <f t="shared" si="77"/>
        <v>5.8450450781968719</v>
      </c>
      <c r="M525" s="37">
        <f t="shared" si="73"/>
        <v>2.1492230752529902</v>
      </c>
      <c r="N525" s="37">
        <v>2.2691494082840236</v>
      </c>
      <c r="O525" s="947">
        <f t="shared" si="78"/>
        <v>0.41523459061637524</v>
      </c>
      <c r="P525" s="37">
        <f t="shared" si="74"/>
        <v>0.50617096596136146</v>
      </c>
      <c r="Q525" s="954">
        <f t="shared" si="79"/>
        <v>4.1518865289075661E-2</v>
      </c>
    </row>
    <row r="526" spans="1:17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75"/>
        <v>406.14</v>
      </c>
      <c r="G526" s="730">
        <v>9</v>
      </c>
      <c r="H526" s="8"/>
      <c r="I526" s="8">
        <v>1</v>
      </c>
      <c r="J526" s="40">
        <f t="shared" si="72"/>
        <v>10</v>
      </c>
      <c r="K526" s="66">
        <f t="shared" si="76"/>
        <v>3.6798528058877645E-3</v>
      </c>
      <c r="L526" s="316">
        <f t="shared" si="77"/>
        <v>8.350064397424104</v>
      </c>
      <c r="M526" s="37">
        <f t="shared" si="73"/>
        <v>3.0703186789328432</v>
      </c>
      <c r="N526" s="37">
        <v>3.2416420118343194</v>
      </c>
      <c r="O526" s="947">
        <f t="shared" si="78"/>
        <v>0.59319227230910754</v>
      </c>
      <c r="P526" s="37">
        <f t="shared" si="74"/>
        <v>0.72310137994480217</v>
      </c>
      <c r="Q526" s="954">
        <f t="shared" si="79"/>
        <v>3.7561474763629227E-2</v>
      </c>
    </row>
    <row r="527" spans="1:17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75"/>
        <v>253.51</v>
      </c>
      <c r="G527" s="730">
        <v>9</v>
      </c>
      <c r="H527" s="8"/>
      <c r="I527" s="8"/>
      <c r="J527" s="40">
        <f t="shared" ref="J527:J534" si="80">G527+H527+I527</f>
        <v>9</v>
      </c>
      <c r="K527" s="66">
        <f t="shared" si="76"/>
        <v>3.3118675252989879E-3</v>
      </c>
      <c r="L527" s="316">
        <f t="shared" si="77"/>
        <v>7.5150579576816927</v>
      </c>
      <c r="M527" s="37">
        <f t="shared" ref="M527:M534" si="81">L527*0.3677</f>
        <v>2.7632868110395585</v>
      </c>
      <c r="N527" s="37">
        <v>2.9174778106508876</v>
      </c>
      <c r="O527" s="947">
        <f t="shared" si="78"/>
        <v>0.53387304507819677</v>
      </c>
      <c r="P527" s="37">
        <f t="shared" si="74"/>
        <v>0.6507912419503219</v>
      </c>
      <c r="Q527" s="954">
        <f t="shared" si="79"/>
        <v>5.4158398581714083E-2</v>
      </c>
    </row>
    <row r="528" spans="1:17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75"/>
        <v>354.64</v>
      </c>
      <c r="G528" s="730">
        <v>11</v>
      </c>
      <c r="H528" s="8"/>
      <c r="I528" s="8"/>
      <c r="J528" s="40">
        <f t="shared" si="80"/>
        <v>11</v>
      </c>
      <c r="K528" s="66">
        <f t="shared" si="76"/>
        <v>4.047838086476541E-3</v>
      </c>
      <c r="L528" s="316">
        <f t="shared" si="77"/>
        <v>9.1850708371665135</v>
      </c>
      <c r="M528" s="37">
        <f t="shared" si="81"/>
        <v>3.3773505468261273</v>
      </c>
      <c r="N528" s="37">
        <v>3.5658062130177512</v>
      </c>
      <c r="O528" s="947">
        <f t="shared" si="78"/>
        <v>0.65251149954001841</v>
      </c>
      <c r="P528" s="37">
        <f t="shared" si="74"/>
        <v>0.79541151793928255</v>
      </c>
      <c r="Q528" s="954">
        <f t="shared" si="79"/>
        <v>4.7317671713710846E-2</v>
      </c>
    </row>
    <row r="529" spans="1:17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75"/>
        <v>286.98</v>
      </c>
      <c r="G529" s="730">
        <v>8</v>
      </c>
      <c r="H529" s="8"/>
      <c r="I529" s="8"/>
      <c r="J529" s="40">
        <f t="shared" si="80"/>
        <v>8</v>
      </c>
      <c r="K529" s="66">
        <f t="shared" si="76"/>
        <v>2.9438822447102114E-3</v>
      </c>
      <c r="L529" s="316">
        <f t="shared" si="77"/>
        <v>6.6800515179392823</v>
      </c>
      <c r="M529" s="37">
        <f t="shared" si="81"/>
        <v>2.4562549431462743</v>
      </c>
      <c r="N529" s="37">
        <v>2.5933136094674554</v>
      </c>
      <c r="O529" s="947">
        <f t="shared" si="78"/>
        <v>0.47455381784728606</v>
      </c>
      <c r="P529" s="37">
        <f t="shared" si="74"/>
        <v>0.57848110395584174</v>
      </c>
      <c r="Q529" s="954">
        <f t="shared" si="79"/>
        <v>4.2526217466026542E-2</v>
      </c>
    </row>
    <row r="530" spans="1:17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75"/>
        <v>128.9</v>
      </c>
      <c r="G530" s="730">
        <v>3</v>
      </c>
      <c r="H530" s="8"/>
      <c r="I530" s="8"/>
      <c r="J530" s="40">
        <f t="shared" si="80"/>
        <v>3</v>
      </c>
      <c r="K530" s="66">
        <f t="shared" si="76"/>
        <v>1.1039558417663292E-3</v>
      </c>
      <c r="L530" s="316">
        <f t="shared" si="77"/>
        <v>2.5050193192272308</v>
      </c>
      <c r="M530" s="37">
        <f t="shared" si="81"/>
        <v>0.92109560367985277</v>
      </c>
      <c r="N530" s="37">
        <v>0.97249260355029588</v>
      </c>
      <c r="O530" s="947">
        <f t="shared" si="78"/>
        <v>0.17795768169273224</v>
      </c>
      <c r="P530" s="37">
        <f t="shared" si="74"/>
        <v>0.21693041398344062</v>
      </c>
      <c r="Q530" s="954">
        <f t="shared" si="79"/>
        <v>3.5504772755237474E-2</v>
      </c>
    </row>
    <row r="531" spans="1:17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75"/>
        <v>2048.73</v>
      </c>
      <c r="G531" s="730">
        <v>48</v>
      </c>
      <c r="H531" s="8"/>
      <c r="I531" s="8"/>
      <c r="J531" s="40">
        <f t="shared" si="80"/>
        <v>48</v>
      </c>
      <c r="K531" s="66">
        <f t="shared" si="76"/>
        <v>1.7663293468261267E-2</v>
      </c>
      <c r="L531" s="316">
        <f t="shared" si="77"/>
        <v>40.080309107635692</v>
      </c>
      <c r="M531" s="37">
        <f t="shared" si="81"/>
        <v>14.737529658877644</v>
      </c>
      <c r="N531" s="37">
        <v>15.559881656804734</v>
      </c>
      <c r="O531" s="947">
        <f t="shared" si="78"/>
        <v>2.8473229070837158</v>
      </c>
      <c r="P531" s="37">
        <f t="shared" si="74"/>
        <v>3.47088662373505</v>
      </c>
      <c r="Q531" s="954">
        <f t="shared" si="79"/>
        <v>3.5741675735895789E-2</v>
      </c>
    </row>
    <row r="532" spans="1:17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75"/>
        <v>2056.27</v>
      </c>
      <c r="G532" s="730">
        <v>48</v>
      </c>
      <c r="H532" s="8"/>
      <c r="I532" s="8"/>
      <c r="J532" s="40">
        <f t="shared" si="80"/>
        <v>48</v>
      </c>
      <c r="K532" s="66">
        <f t="shared" si="76"/>
        <v>1.7663293468261267E-2</v>
      </c>
      <c r="L532" s="316">
        <f t="shared" si="77"/>
        <v>40.080309107635692</v>
      </c>
      <c r="M532" s="37">
        <f t="shared" si="81"/>
        <v>14.737529658877644</v>
      </c>
      <c r="N532" s="37">
        <v>15.559881656804734</v>
      </c>
      <c r="O532" s="947">
        <f t="shared" si="78"/>
        <v>2.8473229070837158</v>
      </c>
      <c r="P532" s="37">
        <f t="shared" si="74"/>
        <v>3.47088662373505</v>
      </c>
      <c r="Q532" s="954">
        <f t="shared" si="79"/>
        <v>3.5610616957112526E-2</v>
      </c>
    </row>
    <row r="533" spans="1:17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75"/>
        <v>75.900000000000006</v>
      </c>
      <c r="G533" s="730">
        <v>2</v>
      </c>
      <c r="H533" s="8"/>
      <c r="I533" s="8"/>
      <c r="J533" s="40">
        <f t="shared" si="80"/>
        <v>2</v>
      </c>
      <c r="K533" s="66">
        <f t="shared" si="76"/>
        <v>7.3597056117755285E-4</v>
      </c>
      <c r="L533" s="316">
        <f t="shared" si="77"/>
        <v>1.6700128794848206</v>
      </c>
      <c r="M533" s="37">
        <f t="shared" si="81"/>
        <v>0.61406373578656859</v>
      </c>
      <c r="N533" s="37">
        <v>0.64832840236686384</v>
      </c>
      <c r="O533" s="947">
        <f t="shared" si="78"/>
        <v>0.11863845446182152</v>
      </c>
      <c r="P533" s="37">
        <f t="shared" si="74"/>
        <v>0.14462027598896043</v>
      </c>
      <c r="Q533" s="954">
        <f t="shared" si="79"/>
        <v>4.0198201213439713E-2</v>
      </c>
    </row>
    <row r="534" spans="1:17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75"/>
        <v>903</v>
      </c>
      <c r="G534" s="281">
        <v>34</v>
      </c>
      <c r="H534" s="160"/>
      <c r="I534" s="160"/>
      <c r="J534" s="40">
        <f t="shared" si="80"/>
        <v>34</v>
      </c>
      <c r="K534" s="66">
        <f t="shared" si="76"/>
        <v>1.2511499540018399E-2</v>
      </c>
      <c r="L534" s="316">
        <f t="shared" si="77"/>
        <v>28.390218951241952</v>
      </c>
      <c r="M534" s="37">
        <f t="shared" si="81"/>
        <v>10.439083508371667</v>
      </c>
      <c r="N534" s="37">
        <v>11.021582840236686</v>
      </c>
      <c r="O534" s="947">
        <f>K534*161.2*1.08</f>
        <v>2.1782020239190434</v>
      </c>
      <c r="P534" s="37">
        <f t="shared" si="74"/>
        <v>2.6552282671573142</v>
      </c>
      <c r="Q534" s="954">
        <f t="shared" si="79"/>
        <v>5.7618036903399054E-2</v>
      </c>
    </row>
    <row r="535" spans="1:17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75"/>
        <v>243872.61000000004</v>
      </c>
      <c r="G535" s="155">
        <f>SUM(G386:G534)</f>
        <v>5384</v>
      </c>
      <c r="H535" s="155">
        <f>SUM(H386:H534)</f>
        <v>6</v>
      </c>
      <c r="I535" s="155">
        <f>SUM(I386:I534)</f>
        <v>45</v>
      </c>
      <c r="J535" s="63">
        <f>SUM(J386:J534)</f>
        <v>5435</v>
      </c>
      <c r="K535" s="66">
        <f>2/5435*J535</f>
        <v>1.9999999999999998</v>
      </c>
      <c r="L535" s="316">
        <f>K535*2269.13</f>
        <v>4538.2599999999993</v>
      </c>
      <c r="M535" s="64">
        <f t="shared" ref="M535:M581" si="82">L535*0.3677</f>
        <v>1668.7182019999998</v>
      </c>
      <c r="N535" s="37">
        <f>SUM(N385:N534)</f>
        <v>1762.2214304733714</v>
      </c>
      <c r="O535" s="947">
        <f>K535*161.2*1.08</f>
        <v>348.19199999999995</v>
      </c>
      <c r="P535" s="37">
        <f t="shared" si="74"/>
        <v>424.44604799999996</v>
      </c>
      <c r="Q535" s="954">
        <f t="shared" si="79"/>
        <v>3.4105476758842936E-2</v>
      </c>
    </row>
    <row r="536" spans="1:17" s="6" customFormat="1" ht="20.25" customHeight="1">
      <c r="A536" s="9" t="s">
        <v>245</v>
      </c>
      <c r="B536" s="8"/>
      <c r="C536" s="8"/>
      <c r="D536" s="8"/>
      <c r="E536" s="8"/>
      <c r="F536" s="40">
        <f t="shared" ref="F536:F581" si="83">C536+D536+E536</f>
        <v>0</v>
      </c>
      <c r="G536" s="24"/>
      <c r="H536" s="8"/>
      <c r="I536" s="8"/>
      <c r="J536" s="40"/>
      <c r="K536" s="61"/>
      <c r="L536" s="316">
        <f>K536*2077.52</f>
        <v>0</v>
      </c>
      <c r="M536" s="37"/>
      <c r="N536" s="37">
        <v>0</v>
      </c>
      <c r="O536" s="947">
        <f>K536*161.2</f>
        <v>0</v>
      </c>
      <c r="P536" s="37">
        <f>O536*1.08</f>
        <v>0</v>
      </c>
      <c r="Q536" s="954" t="e">
        <f t="shared" si="79"/>
        <v>#DIV/0!</v>
      </c>
    </row>
    <row r="537" spans="1:17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si="83"/>
        <v>4713.8</v>
      </c>
      <c r="G537" s="24">
        <v>171</v>
      </c>
      <c r="H537" s="386">
        <v>1</v>
      </c>
      <c r="I537" s="386">
        <v>1</v>
      </c>
      <c r="J537" s="40">
        <f t="shared" ref="J537:J581" si="84">G537+H537+I537</f>
        <v>173</v>
      </c>
      <c r="K537" s="221">
        <f t="shared" ref="K537:K600" si="85">3/5266*J537</f>
        <v>9.8556779339156853E-2</v>
      </c>
      <c r="L537" s="316">
        <f t="shared" ref="L537:L600" si="86">K537*2269.13</f>
        <v>223.63814470186099</v>
      </c>
      <c r="M537" s="37">
        <f t="shared" si="82"/>
        <v>82.231745806874301</v>
      </c>
      <c r="N537" s="37">
        <v>86.290641122913499</v>
      </c>
      <c r="O537" s="947">
        <f t="shared" ref="O537:O600" si="87">K537*161.2</f>
        <v>15.887352829472084</v>
      </c>
      <c r="P537" s="37">
        <f t="shared" si="74"/>
        <v>19.366683099126472</v>
      </c>
      <c r="Q537" s="954">
        <f t="shared" si="79"/>
        <v>8.6564530625211258E-2</v>
      </c>
    </row>
    <row r="538" spans="1:17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83"/>
        <v>14312.59</v>
      </c>
      <c r="G538" s="24">
        <v>251</v>
      </c>
      <c r="H538" s="330"/>
      <c r="I538" s="330"/>
      <c r="J538" s="40">
        <f t="shared" si="84"/>
        <v>251</v>
      </c>
      <c r="K538" s="221">
        <f t="shared" si="85"/>
        <v>0.14299278389669579</v>
      </c>
      <c r="L538" s="316">
        <f t="shared" si="86"/>
        <v>324.46921572350931</v>
      </c>
      <c r="M538" s="37">
        <f t="shared" si="82"/>
        <v>119.30733062153438</v>
      </c>
      <c r="N538" s="37">
        <v>125.19624810318665</v>
      </c>
      <c r="O538" s="947">
        <f t="shared" si="87"/>
        <v>23.05043676414736</v>
      </c>
      <c r="P538" s="37">
        <f t="shared" si="74"/>
        <v>28.098482415495635</v>
      </c>
      <c r="Q538" s="954">
        <f t="shared" si="79"/>
        <v>4.1363808452025641E-2</v>
      </c>
    </row>
    <row r="539" spans="1:17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83"/>
        <v>4226.7</v>
      </c>
      <c r="G539" s="24">
        <v>84</v>
      </c>
      <c r="H539" s="330"/>
      <c r="I539" s="330"/>
      <c r="J539" s="40">
        <f t="shared" si="84"/>
        <v>84</v>
      </c>
      <c r="K539" s="221">
        <f t="shared" si="85"/>
        <v>4.7854158754272694E-2</v>
      </c>
      <c r="L539" s="316">
        <f t="shared" si="86"/>
        <v>108.5873072540828</v>
      </c>
      <c r="M539" s="37">
        <f t="shared" si="82"/>
        <v>39.927552877326249</v>
      </c>
      <c r="N539" s="37">
        <v>41.898345978755692</v>
      </c>
      <c r="O539" s="947">
        <f t="shared" si="87"/>
        <v>7.7140903911887575</v>
      </c>
      <c r="P539" s="37">
        <f t="shared" si="74"/>
        <v>9.4034761868590966</v>
      </c>
      <c r="Q539" s="954">
        <f t="shared" si="79"/>
        <v>4.6875173658256677E-2</v>
      </c>
    </row>
    <row r="540" spans="1:17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83"/>
        <v>4136.82</v>
      </c>
      <c r="G540" s="24">
        <v>84</v>
      </c>
      <c r="H540" s="330"/>
      <c r="I540" s="330"/>
      <c r="J540" s="40">
        <f t="shared" si="84"/>
        <v>84</v>
      </c>
      <c r="K540" s="221">
        <f t="shared" si="85"/>
        <v>4.7854158754272694E-2</v>
      </c>
      <c r="L540" s="316">
        <f t="shared" si="86"/>
        <v>108.5873072540828</v>
      </c>
      <c r="M540" s="37">
        <f t="shared" si="82"/>
        <v>39.927552877326249</v>
      </c>
      <c r="N540" s="37">
        <v>41.898345978755692</v>
      </c>
      <c r="O540" s="947">
        <f t="shared" si="87"/>
        <v>7.7140903911887575</v>
      </c>
      <c r="P540" s="37">
        <f t="shared" si="74"/>
        <v>9.4034761868590966</v>
      </c>
      <c r="Q540" s="954">
        <f t="shared" si="79"/>
        <v>4.7893622758871192E-2</v>
      </c>
    </row>
    <row r="541" spans="1:17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83"/>
        <v>7984.78</v>
      </c>
      <c r="G541" s="24">
        <v>144</v>
      </c>
      <c r="H541" s="330"/>
      <c r="I541" s="330"/>
      <c r="J541" s="40">
        <f t="shared" si="84"/>
        <v>144</v>
      </c>
      <c r="K541" s="221">
        <f t="shared" si="85"/>
        <v>8.203570072161033E-2</v>
      </c>
      <c r="L541" s="316">
        <f t="shared" si="86"/>
        <v>186.14966957842765</v>
      </c>
      <c r="M541" s="37">
        <f t="shared" si="82"/>
        <v>68.447233503987846</v>
      </c>
      <c r="N541" s="37">
        <v>71.825735963581181</v>
      </c>
      <c r="O541" s="947">
        <f t="shared" si="87"/>
        <v>13.224154956323584</v>
      </c>
      <c r="P541" s="37">
        <f t="shared" ref="P541:P604" si="88">O541*1.219</f>
        <v>16.12024489175845</v>
      </c>
      <c r="Q541" s="954">
        <f t="shared" si="79"/>
        <v>4.2536775465613359E-2</v>
      </c>
    </row>
    <row r="542" spans="1:17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83"/>
        <v>4209.92</v>
      </c>
      <c r="G542" s="24">
        <v>84</v>
      </c>
      <c r="H542" s="330"/>
      <c r="I542" s="330"/>
      <c r="J542" s="40">
        <f t="shared" si="84"/>
        <v>84</v>
      </c>
      <c r="K542" s="221">
        <f t="shared" si="85"/>
        <v>4.7854158754272694E-2</v>
      </c>
      <c r="L542" s="316">
        <f t="shared" si="86"/>
        <v>108.5873072540828</v>
      </c>
      <c r="M542" s="37">
        <f t="shared" si="82"/>
        <v>39.927552877326249</v>
      </c>
      <c r="N542" s="37">
        <v>41.898345978755692</v>
      </c>
      <c r="O542" s="947">
        <f t="shared" si="87"/>
        <v>7.7140903911887575</v>
      </c>
      <c r="P542" s="37">
        <f t="shared" si="88"/>
        <v>9.4034761868590966</v>
      </c>
      <c r="Q542" s="954">
        <f t="shared" si="79"/>
        <v>4.7062009848489635E-2</v>
      </c>
    </row>
    <row r="543" spans="1:17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83"/>
        <v>8071.9</v>
      </c>
      <c r="G543" s="24">
        <v>144</v>
      </c>
      <c r="H543" s="330"/>
      <c r="I543" s="330"/>
      <c r="J543" s="40">
        <f t="shared" si="84"/>
        <v>144</v>
      </c>
      <c r="K543" s="221">
        <f t="shared" si="85"/>
        <v>8.203570072161033E-2</v>
      </c>
      <c r="L543" s="316">
        <f t="shared" si="86"/>
        <v>186.14966957842765</v>
      </c>
      <c r="M543" s="37">
        <f t="shared" si="82"/>
        <v>68.447233503987846</v>
      </c>
      <c r="N543" s="37">
        <v>71.825735963581181</v>
      </c>
      <c r="O543" s="947">
        <f t="shared" si="87"/>
        <v>13.224154956323584</v>
      </c>
      <c r="P543" s="37">
        <f t="shared" si="88"/>
        <v>16.12024489175845</v>
      </c>
      <c r="Q543" s="954">
        <f t="shared" si="79"/>
        <v>4.2077676136017574E-2</v>
      </c>
    </row>
    <row r="544" spans="1:17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83"/>
        <v>4461.2</v>
      </c>
      <c r="G544" s="24">
        <v>171</v>
      </c>
      <c r="H544" s="330"/>
      <c r="I544" s="330">
        <v>1</v>
      </c>
      <c r="J544" s="40">
        <f t="shared" si="84"/>
        <v>172</v>
      </c>
      <c r="K544" s="221">
        <f t="shared" si="85"/>
        <v>9.7987086973034557E-2</v>
      </c>
      <c r="L544" s="316">
        <f t="shared" si="86"/>
        <v>222.34543866312191</v>
      </c>
      <c r="M544" s="37">
        <f t="shared" si="82"/>
        <v>81.756417796429929</v>
      </c>
      <c r="N544" s="37">
        <v>85.791851289833076</v>
      </c>
      <c r="O544" s="947">
        <f t="shared" si="87"/>
        <v>15.795518420053169</v>
      </c>
      <c r="P544" s="37">
        <f t="shared" si="88"/>
        <v>19.254736954044812</v>
      </c>
      <c r="Q544" s="954">
        <f t="shared" si="79"/>
        <v>9.0937242483959041E-2</v>
      </c>
    </row>
    <row r="545" spans="1:18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83"/>
        <v>10161.57</v>
      </c>
      <c r="G545" s="24">
        <v>180</v>
      </c>
      <c r="H545" s="330"/>
      <c r="I545" s="330"/>
      <c r="J545" s="40">
        <f t="shared" si="84"/>
        <v>180</v>
      </c>
      <c r="K545" s="221">
        <f t="shared" si="85"/>
        <v>0.10254462590201291</v>
      </c>
      <c r="L545" s="316">
        <f t="shared" si="86"/>
        <v>232.68708697303455</v>
      </c>
      <c r="M545" s="37">
        <f t="shared" si="82"/>
        <v>85.559041879984818</v>
      </c>
      <c r="N545" s="37">
        <v>89.782169954476473</v>
      </c>
      <c r="O545" s="947">
        <f t="shared" si="87"/>
        <v>16.530193695404481</v>
      </c>
      <c r="P545" s="37">
        <f t="shared" si="88"/>
        <v>20.150306114698065</v>
      </c>
      <c r="Q545" s="954">
        <f t="shared" si="79"/>
        <v>4.1780796914541785E-2</v>
      </c>
    </row>
    <row r="546" spans="1:18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83"/>
        <v>7889.76</v>
      </c>
      <c r="G546" s="24">
        <v>144</v>
      </c>
      <c r="H546" s="330"/>
      <c r="I546" s="330"/>
      <c r="J546" s="40">
        <f t="shared" si="84"/>
        <v>144</v>
      </c>
      <c r="K546" s="221">
        <f t="shared" si="85"/>
        <v>8.203570072161033E-2</v>
      </c>
      <c r="L546" s="316">
        <f t="shared" si="86"/>
        <v>186.14966957842765</v>
      </c>
      <c r="M546" s="37">
        <f t="shared" si="82"/>
        <v>68.447233503987846</v>
      </c>
      <c r="N546" s="37">
        <v>71.825735963581181</v>
      </c>
      <c r="O546" s="947">
        <f t="shared" si="87"/>
        <v>13.224154956323584</v>
      </c>
      <c r="P546" s="37">
        <f t="shared" si="88"/>
        <v>16.12024489175845</v>
      </c>
      <c r="Q546" s="954">
        <f t="shared" si="79"/>
        <v>4.304906537110384E-2</v>
      </c>
    </row>
    <row r="547" spans="1:18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83"/>
        <v>7084.55</v>
      </c>
      <c r="G547" s="24">
        <v>116</v>
      </c>
      <c r="H547" s="330"/>
      <c r="I547" s="330">
        <v>1</v>
      </c>
      <c r="J547" s="40">
        <f t="shared" si="84"/>
        <v>117</v>
      </c>
      <c r="K547" s="221">
        <f t="shared" si="85"/>
        <v>6.6654006836308385E-2</v>
      </c>
      <c r="L547" s="316">
        <f t="shared" si="86"/>
        <v>151.24660653247244</v>
      </c>
      <c r="M547" s="37">
        <f t="shared" si="82"/>
        <v>55.61337722199012</v>
      </c>
      <c r="N547" s="37">
        <v>58.358410470409709</v>
      </c>
      <c r="O547" s="947">
        <f t="shared" si="87"/>
        <v>10.744625902012912</v>
      </c>
      <c r="P547" s="37">
        <f t="shared" si="88"/>
        <v>13.09769897455374</v>
      </c>
      <c r="Q547" s="954">
        <f t="shared" si="79"/>
        <v>3.8952794479096789E-2</v>
      </c>
    </row>
    <row r="548" spans="1:18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83"/>
        <v>4792.88</v>
      </c>
      <c r="G548" s="24">
        <v>80</v>
      </c>
      <c r="H548" s="330"/>
      <c r="I548" s="330"/>
      <c r="J548" s="40">
        <f t="shared" si="84"/>
        <v>80</v>
      </c>
      <c r="K548" s="221">
        <f t="shared" si="85"/>
        <v>4.5575389289783517E-2</v>
      </c>
      <c r="L548" s="316">
        <f t="shared" si="86"/>
        <v>103.41648309912648</v>
      </c>
      <c r="M548" s="37">
        <f t="shared" si="82"/>
        <v>38.026240835548812</v>
      </c>
      <c r="N548" s="37">
        <v>39.903186646433994</v>
      </c>
      <c r="O548" s="947">
        <f t="shared" si="87"/>
        <v>7.3467527535131021</v>
      </c>
      <c r="P548" s="37">
        <f t="shared" si="88"/>
        <v>8.9556916065324721</v>
      </c>
      <c r="Q548" s="954">
        <f t="shared" si="79"/>
        <v>3.9369369426028269E-2</v>
      </c>
    </row>
    <row r="549" spans="1:18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83"/>
        <v>4816.47</v>
      </c>
      <c r="G549" s="24">
        <v>80</v>
      </c>
      <c r="H549" s="330"/>
      <c r="I549" s="330"/>
      <c r="J549" s="40">
        <f t="shared" si="84"/>
        <v>80</v>
      </c>
      <c r="K549" s="221">
        <f t="shared" si="85"/>
        <v>4.5575389289783517E-2</v>
      </c>
      <c r="L549" s="316">
        <f t="shared" si="86"/>
        <v>103.41648309912648</v>
      </c>
      <c r="M549" s="37">
        <f t="shared" si="82"/>
        <v>38.026240835548812</v>
      </c>
      <c r="N549" s="37">
        <v>39.903186646433994</v>
      </c>
      <c r="O549" s="947">
        <f t="shared" si="87"/>
        <v>7.3467527535131021</v>
      </c>
      <c r="P549" s="37">
        <f t="shared" si="88"/>
        <v>8.9556916065324721</v>
      </c>
      <c r="Q549" s="954">
        <f t="shared" si="79"/>
        <v>3.9176547001148636E-2</v>
      </c>
    </row>
    <row r="550" spans="1:18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83"/>
        <v>5818.22</v>
      </c>
      <c r="G550" s="24">
        <v>120</v>
      </c>
      <c r="H550" s="330"/>
      <c r="I550" s="330"/>
      <c r="J550" s="40">
        <f t="shared" si="84"/>
        <v>120</v>
      </c>
      <c r="K550" s="221">
        <f t="shared" si="85"/>
        <v>6.8363083934675273E-2</v>
      </c>
      <c r="L550" s="316">
        <f t="shared" si="86"/>
        <v>155.12472464868972</v>
      </c>
      <c r="M550" s="37">
        <f t="shared" si="82"/>
        <v>57.039361253323214</v>
      </c>
      <c r="N550" s="37">
        <v>59.854779969650991</v>
      </c>
      <c r="O550" s="947">
        <f t="shared" si="87"/>
        <v>11.020129130269654</v>
      </c>
      <c r="P550" s="37">
        <f t="shared" si="88"/>
        <v>13.433537409798708</v>
      </c>
      <c r="Q550" s="954">
        <f t="shared" si="79"/>
        <v>4.86470080199672E-2</v>
      </c>
      <c r="R550" s="6" t="s">
        <v>633</v>
      </c>
    </row>
    <row r="551" spans="1:18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83"/>
        <v>16414.989999999998</v>
      </c>
      <c r="G551" s="24">
        <v>256</v>
      </c>
      <c r="H551" s="330">
        <v>4</v>
      </c>
      <c r="I551" s="330">
        <v>3</v>
      </c>
      <c r="J551" s="40">
        <f t="shared" si="84"/>
        <v>263</v>
      </c>
      <c r="K551" s="221">
        <f t="shared" si="85"/>
        <v>0.14982909229016331</v>
      </c>
      <c r="L551" s="316">
        <f t="shared" si="86"/>
        <v>339.98168818837826</v>
      </c>
      <c r="M551" s="37">
        <f t="shared" si="82"/>
        <v>125.0112667468667</v>
      </c>
      <c r="N551" s="37">
        <v>157.41807132018207</v>
      </c>
      <c r="O551" s="947">
        <f t="shared" si="87"/>
        <v>24.152449677174324</v>
      </c>
      <c r="P551" s="37">
        <f t="shared" si="88"/>
        <v>29.441836156475503</v>
      </c>
      <c r="Q551" s="954">
        <f t="shared" si="79"/>
        <v>3.9388600049869139E-2</v>
      </c>
      <c r="R551" s="6" t="s">
        <v>633</v>
      </c>
    </row>
    <row r="552" spans="1:18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83"/>
        <v>14876.619999999999</v>
      </c>
      <c r="G552" s="24">
        <v>256</v>
      </c>
      <c r="H552" s="330">
        <v>1</v>
      </c>
      <c r="I552" s="330">
        <v>1</v>
      </c>
      <c r="J552" s="40">
        <f t="shared" si="84"/>
        <v>258</v>
      </c>
      <c r="K552" s="221">
        <f t="shared" si="85"/>
        <v>0.14698063045955184</v>
      </c>
      <c r="L552" s="316">
        <f t="shared" si="86"/>
        <v>333.51815799468289</v>
      </c>
      <c r="M552" s="37">
        <f t="shared" si="82"/>
        <v>122.63462669464491</v>
      </c>
      <c r="N552" s="37">
        <v>154.42533232169953</v>
      </c>
      <c r="O552" s="947">
        <f t="shared" si="87"/>
        <v>23.693277630079756</v>
      </c>
      <c r="P552" s="37">
        <f t="shared" si="88"/>
        <v>28.882105431067224</v>
      </c>
      <c r="Q552" s="954">
        <f t="shared" si="79"/>
        <v>4.2635450434380058E-2</v>
      </c>
      <c r="R552" s="6" t="s">
        <v>633</v>
      </c>
    </row>
    <row r="553" spans="1:18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>
        <f t="shared" si="83"/>
        <v>351.06</v>
      </c>
      <c r="G553" s="24">
        <v>6</v>
      </c>
      <c r="H553" s="330"/>
      <c r="I553" s="330"/>
      <c r="J553" s="40">
        <f t="shared" si="84"/>
        <v>6</v>
      </c>
      <c r="K553" s="221">
        <f t="shared" si="85"/>
        <v>3.4181541967337635E-3</v>
      </c>
      <c r="L553" s="316">
        <f t="shared" si="86"/>
        <v>7.7562362324344853</v>
      </c>
      <c r="M553" s="37">
        <f t="shared" si="82"/>
        <v>2.8519680626661605</v>
      </c>
      <c r="N553" s="37">
        <v>3.591286798179059</v>
      </c>
      <c r="O553" s="947">
        <f t="shared" si="87"/>
        <v>0.55100645651348268</v>
      </c>
      <c r="P553" s="37">
        <f t="shared" si="88"/>
        <v>0.67167687048993541</v>
      </c>
      <c r="Q553" s="954">
        <f t="shared" si="79"/>
        <v>4.2017027145767639E-2</v>
      </c>
    </row>
    <row r="554" spans="1:18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>
        <f t="shared" si="83"/>
        <v>377.1</v>
      </c>
      <c r="G554" s="24">
        <v>12</v>
      </c>
      <c r="H554" s="330"/>
      <c r="I554" s="330"/>
      <c r="J554" s="40">
        <f t="shared" si="84"/>
        <v>12</v>
      </c>
      <c r="K554" s="221">
        <f t="shared" si="85"/>
        <v>6.8363083934675269E-3</v>
      </c>
      <c r="L554" s="316">
        <f t="shared" si="86"/>
        <v>15.512472464868971</v>
      </c>
      <c r="M554" s="37">
        <f t="shared" si="82"/>
        <v>5.7039361253323211</v>
      </c>
      <c r="N554" s="37">
        <v>7.1825735963581181</v>
      </c>
      <c r="O554" s="947">
        <f t="shared" si="87"/>
        <v>1.1020129130269654</v>
      </c>
      <c r="P554" s="37">
        <f t="shared" si="88"/>
        <v>1.3433537409798708</v>
      </c>
      <c r="Q554" s="954">
        <f t="shared" si="79"/>
        <v>7.8231225403305155E-2</v>
      </c>
    </row>
    <row r="555" spans="1:18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>
        <f t="shared" si="83"/>
        <v>82.9</v>
      </c>
      <c r="G555" s="24">
        <v>2</v>
      </c>
      <c r="H555" s="330"/>
      <c r="I555" s="330"/>
      <c r="J555" s="40">
        <f t="shared" si="84"/>
        <v>2</v>
      </c>
      <c r="K555" s="221">
        <f t="shared" si="85"/>
        <v>1.1393847322445879E-3</v>
      </c>
      <c r="L555" s="316">
        <f t="shared" si="86"/>
        <v>2.5854120774781619</v>
      </c>
      <c r="M555" s="37">
        <f t="shared" si="82"/>
        <v>0.95065602088872025</v>
      </c>
      <c r="N555" s="37">
        <v>1.1970955993930197</v>
      </c>
      <c r="O555" s="947">
        <f t="shared" si="87"/>
        <v>0.18366881883782757</v>
      </c>
      <c r="P555" s="37">
        <f t="shared" si="88"/>
        <v>0.22389229016331183</v>
      </c>
      <c r="Q555" s="954">
        <f t="shared" si="79"/>
        <v>5.9310404301540762E-2</v>
      </c>
    </row>
    <row r="556" spans="1:18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>
        <f t="shared" si="83"/>
        <v>56.1</v>
      </c>
      <c r="G556" s="24">
        <v>2</v>
      </c>
      <c r="H556" s="330"/>
      <c r="I556" s="330"/>
      <c r="J556" s="40">
        <f t="shared" si="84"/>
        <v>2</v>
      </c>
      <c r="K556" s="221">
        <f t="shared" si="85"/>
        <v>1.1393847322445879E-3</v>
      </c>
      <c r="L556" s="316">
        <f t="shared" si="86"/>
        <v>2.5854120774781619</v>
      </c>
      <c r="M556" s="37">
        <f t="shared" si="82"/>
        <v>0.95065602088872025</v>
      </c>
      <c r="N556" s="37">
        <v>1.1970955993930197</v>
      </c>
      <c r="O556" s="947">
        <f t="shared" si="87"/>
        <v>0.18366881883782757</v>
      </c>
      <c r="P556" s="37">
        <f t="shared" si="88"/>
        <v>0.22389229016331183</v>
      </c>
      <c r="Q556" s="954">
        <v>0</v>
      </c>
    </row>
    <row r="557" spans="1:18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>
        <f t="shared" si="83"/>
        <v>87</v>
      </c>
      <c r="G557" s="24">
        <v>2</v>
      </c>
      <c r="H557" s="330"/>
      <c r="I557" s="330"/>
      <c r="J557" s="40">
        <f t="shared" si="84"/>
        <v>2</v>
      </c>
      <c r="K557" s="221">
        <f t="shared" si="85"/>
        <v>1.1393847322445879E-3</v>
      </c>
      <c r="L557" s="316">
        <f t="shared" si="86"/>
        <v>2.5854120774781619</v>
      </c>
      <c r="M557" s="37">
        <f t="shared" si="82"/>
        <v>0.95065602088872025</v>
      </c>
      <c r="N557" s="37">
        <v>1.1970955993930197</v>
      </c>
      <c r="O557" s="947">
        <f t="shared" si="87"/>
        <v>0.18366881883782757</v>
      </c>
      <c r="P557" s="37">
        <f t="shared" si="88"/>
        <v>0.22389229016331183</v>
      </c>
      <c r="Q557" s="954">
        <f t="shared" si="79"/>
        <v>5.6515316282732521E-2</v>
      </c>
    </row>
    <row r="558" spans="1:18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 t="shared" si="83"/>
        <v>4409.5</v>
      </c>
      <c r="G558" s="24">
        <v>171</v>
      </c>
      <c r="H558" s="330"/>
      <c r="I558" s="330">
        <v>1</v>
      </c>
      <c r="J558" s="40">
        <f t="shared" si="84"/>
        <v>172</v>
      </c>
      <c r="K558" s="221">
        <f t="shared" si="85"/>
        <v>9.7987086973034557E-2</v>
      </c>
      <c r="L558" s="316">
        <f t="shared" si="86"/>
        <v>222.34543866312191</v>
      </c>
      <c r="M558" s="37">
        <f t="shared" si="82"/>
        <v>81.756417796429929</v>
      </c>
      <c r="N558" s="37">
        <v>102.95022154779969</v>
      </c>
      <c r="O558" s="947">
        <f t="shared" si="87"/>
        <v>15.795518420053169</v>
      </c>
      <c r="P558" s="37">
        <f t="shared" si="88"/>
        <v>19.254736954044812</v>
      </c>
      <c r="Q558" s="954">
        <f t="shared" si="79"/>
        <v>9.5894681126523343E-2</v>
      </c>
    </row>
    <row r="559" spans="1:18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>
        <f t="shared" si="83"/>
        <v>354.7</v>
      </c>
      <c r="G559" s="24">
        <v>8</v>
      </c>
      <c r="H559" s="330"/>
      <c r="I559" s="330"/>
      <c r="J559" s="40">
        <f t="shared" si="84"/>
        <v>8</v>
      </c>
      <c r="K559" s="221">
        <f t="shared" si="85"/>
        <v>4.5575389289783516E-3</v>
      </c>
      <c r="L559" s="316">
        <f t="shared" si="86"/>
        <v>10.341648309912648</v>
      </c>
      <c r="M559" s="37">
        <f t="shared" si="82"/>
        <v>3.802624083554881</v>
      </c>
      <c r="N559" s="37">
        <v>4.7883823975720787</v>
      </c>
      <c r="O559" s="947">
        <f t="shared" si="87"/>
        <v>0.73467527535131028</v>
      </c>
      <c r="P559" s="37">
        <f t="shared" si="88"/>
        <v>0.89556916065324732</v>
      </c>
      <c r="Q559" s="954">
        <f t="shared" si="79"/>
        <v>5.5447787049311865E-2</v>
      </c>
    </row>
    <row r="560" spans="1:18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>
        <f t="shared" si="83"/>
        <v>352.4</v>
      </c>
      <c r="G560" s="24">
        <v>8</v>
      </c>
      <c r="H560" s="330"/>
      <c r="I560" s="330"/>
      <c r="J560" s="40">
        <f t="shared" si="84"/>
        <v>8</v>
      </c>
      <c r="K560" s="221">
        <f t="shared" si="85"/>
        <v>4.5575389289783516E-3</v>
      </c>
      <c r="L560" s="316">
        <f t="shared" si="86"/>
        <v>10.341648309912648</v>
      </c>
      <c r="M560" s="37">
        <f t="shared" si="82"/>
        <v>3.802624083554881</v>
      </c>
      <c r="N560" s="37">
        <v>4.7883823975720787</v>
      </c>
      <c r="O560" s="947">
        <f t="shared" si="87"/>
        <v>0.73467527535131028</v>
      </c>
      <c r="P560" s="37">
        <f t="shared" si="88"/>
        <v>0.89556916065324732</v>
      </c>
      <c r="Q560" s="954">
        <f t="shared" si="79"/>
        <v>5.5809676692369234E-2</v>
      </c>
    </row>
    <row r="561" spans="1:18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>
        <f t="shared" si="83"/>
        <v>216.7</v>
      </c>
      <c r="G561" s="24">
        <v>5</v>
      </c>
      <c r="H561" s="330"/>
      <c r="I561" s="330"/>
      <c r="J561" s="40">
        <f t="shared" si="84"/>
        <v>5</v>
      </c>
      <c r="K561" s="221">
        <f t="shared" si="85"/>
        <v>2.8484618306114698E-3</v>
      </c>
      <c r="L561" s="316">
        <f t="shared" si="86"/>
        <v>6.463530193695405</v>
      </c>
      <c r="M561" s="37">
        <f t="shared" si="82"/>
        <v>2.3766400522218007</v>
      </c>
      <c r="N561" s="37">
        <v>2.9927389984825497</v>
      </c>
      <c r="O561" s="947">
        <f t="shared" si="87"/>
        <v>0.45917204709456888</v>
      </c>
      <c r="P561" s="37">
        <f t="shared" si="88"/>
        <v>0.55973072540827951</v>
      </c>
      <c r="Q561" s="954">
        <f t="shared" si="79"/>
        <v>5.672395612133975E-2</v>
      </c>
      <c r="R561" s="6" t="s">
        <v>633</v>
      </c>
    </row>
    <row r="562" spans="1:18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>
        <f t="shared" si="83"/>
        <v>42.7</v>
      </c>
      <c r="G562" s="24">
        <v>2</v>
      </c>
      <c r="H562" s="330"/>
      <c r="I562" s="330"/>
      <c r="J562" s="40">
        <f t="shared" si="84"/>
        <v>2</v>
      </c>
      <c r="K562" s="221">
        <f t="shared" si="85"/>
        <v>1.1393847322445879E-3</v>
      </c>
      <c r="L562" s="316">
        <f t="shared" si="86"/>
        <v>2.5854120774781619</v>
      </c>
      <c r="M562" s="37">
        <f t="shared" si="82"/>
        <v>0.95065602088872025</v>
      </c>
      <c r="N562" s="37">
        <v>1.1970955993930197</v>
      </c>
      <c r="O562" s="947">
        <f t="shared" si="87"/>
        <v>0.18366881883782757</v>
      </c>
      <c r="P562" s="37">
        <f t="shared" si="88"/>
        <v>0.22389229016331183</v>
      </c>
      <c r="Q562" s="954">
        <f t="shared" si="79"/>
        <v>0.11514830249643393</v>
      </c>
    </row>
    <row r="563" spans="1:18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>
        <f t="shared" si="83"/>
        <v>79.7</v>
      </c>
      <c r="G563" s="24">
        <v>3</v>
      </c>
      <c r="H563" s="330"/>
      <c r="I563" s="330"/>
      <c r="J563" s="40">
        <f t="shared" si="84"/>
        <v>3</v>
      </c>
      <c r="K563" s="221">
        <f t="shared" si="85"/>
        <v>1.7090770983668817E-3</v>
      </c>
      <c r="L563" s="316">
        <f t="shared" si="86"/>
        <v>3.8781181162172427</v>
      </c>
      <c r="M563" s="37">
        <f t="shared" si="82"/>
        <v>1.4259840313330803</v>
      </c>
      <c r="N563" s="37">
        <v>1.7956433990895295</v>
      </c>
      <c r="O563" s="947">
        <f t="shared" si="87"/>
        <v>0.27550322825674134</v>
      </c>
      <c r="P563" s="37">
        <f t="shared" si="88"/>
        <v>0.3358384352449677</v>
      </c>
      <c r="Q563" s="954">
        <f t="shared" si="79"/>
        <v>9.2537625782893276E-2</v>
      </c>
    </row>
    <row r="564" spans="1:18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>
        <f t="shared" si="83"/>
        <v>23.5</v>
      </c>
      <c r="G564" s="24">
        <v>1</v>
      </c>
      <c r="H564" s="330"/>
      <c r="I564" s="330"/>
      <c r="J564" s="40">
        <f t="shared" si="84"/>
        <v>1</v>
      </c>
      <c r="K564" s="221">
        <f t="shared" si="85"/>
        <v>5.6969236612229395E-4</v>
      </c>
      <c r="L564" s="316">
        <f t="shared" si="86"/>
        <v>1.292706038739081</v>
      </c>
      <c r="M564" s="37">
        <f t="shared" si="82"/>
        <v>0.47532801044436013</v>
      </c>
      <c r="N564" s="37">
        <v>0.59854779969650984</v>
      </c>
      <c r="O564" s="947">
        <f t="shared" si="87"/>
        <v>9.1834409418913784E-2</v>
      </c>
      <c r="P564" s="37">
        <f t="shared" si="88"/>
        <v>0.11194614508165592</v>
      </c>
      <c r="Q564" s="954">
        <v>0</v>
      </c>
    </row>
    <row r="565" spans="1:18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>
        <f t="shared" si="83"/>
        <v>29</v>
      </c>
      <c r="G565" s="24">
        <v>1</v>
      </c>
      <c r="H565" s="330"/>
      <c r="I565" s="330"/>
      <c r="J565" s="40">
        <f t="shared" si="84"/>
        <v>1</v>
      </c>
      <c r="K565" s="221">
        <f t="shared" si="85"/>
        <v>5.6969236612229395E-4</v>
      </c>
      <c r="L565" s="316">
        <f t="shared" si="86"/>
        <v>1.292706038739081</v>
      </c>
      <c r="M565" s="37">
        <f t="shared" si="82"/>
        <v>0.47532801044436013</v>
      </c>
      <c r="N565" s="37">
        <v>0.59854779969650984</v>
      </c>
      <c r="O565" s="947">
        <f t="shared" si="87"/>
        <v>9.1834409418913784E-2</v>
      </c>
      <c r="P565" s="37">
        <f t="shared" si="88"/>
        <v>0.11194614508165592</v>
      </c>
      <c r="Q565" s="954">
        <v>0</v>
      </c>
    </row>
    <row r="566" spans="1:18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>
        <f t="shared" si="83"/>
        <v>84.7</v>
      </c>
      <c r="G566" s="24">
        <v>2</v>
      </c>
      <c r="H566" s="330"/>
      <c r="I566" s="330"/>
      <c r="J566" s="40">
        <f t="shared" si="84"/>
        <v>2</v>
      </c>
      <c r="K566" s="221">
        <f t="shared" si="85"/>
        <v>1.1393847322445879E-3</v>
      </c>
      <c r="L566" s="316">
        <f t="shared" si="86"/>
        <v>2.5854120774781619</v>
      </c>
      <c r="M566" s="37">
        <f t="shared" si="82"/>
        <v>0.95065602088872025</v>
      </c>
      <c r="N566" s="37">
        <v>1.1970955993930197</v>
      </c>
      <c r="O566" s="947">
        <f t="shared" si="87"/>
        <v>0.18366881883782757</v>
      </c>
      <c r="P566" s="37">
        <f t="shared" si="88"/>
        <v>0.22389229016331183</v>
      </c>
      <c r="Q566" s="954">
        <f t="shared" si="79"/>
        <v>5.8049970680020414E-2</v>
      </c>
    </row>
    <row r="567" spans="1:18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>
        <f t="shared" si="83"/>
        <v>177.23</v>
      </c>
      <c r="G567" s="24">
        <v>3</v>
      </c>
      <c r="H567" s="330"/>
      <c r="I567" s="330"/>
      <c r="J567" s="40">
        <f t="shared" si="84"/>
        <v>3</v>
      </c>
      <c r="K567" s="221">
        <f t="shared" si="85"/>
        <v>1.7090770983668817E-3</v>
      </c>
      <c r="L567" s="316">
        <f t="shared" si="86"/>
        <v>3.8781181162172427</v>
      </c>
      <c r="M567" s="37">
        <f t="shared" si="82"/>
        <v>1.4259840313330803</v>
      </c>
      <c r="N567" s="37">
        <v>1.7956433990895295</v>
      </c>
      <c r="O567" s="947">
        <f t="shared" si="87"/>
        <v>0.27550322825674134</v>
      </c>
      <c r="P567" s="37">
        <f t="shared" si="88"/>
        <v>0.3358384352449677</v>
      </c>
      <c r="Q567" s="954">
        <f t="shared" si="79"/>
        <v>4.1613997488554953E-2</v>
      </c>
    </row>
    <row r="568" spans="1:18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>
        <f t="shared" si="83"/>
        <v>108.36</v>
      </c>
      <c r="G568" s="24">
        <v>4</v>
      </c>
      <c r="H568" s="330"/>
      <c r="I568" s="330"/>
      <c r="J568" s="40">
        <f t="shared" si="84"/>
        <v>4</v>
      </c>
      <c r="K568" s="221">
        <f t="shared" si="85"/>
        <v>2.2787694644891758E-3</v>
      </c>
      <c r="L568" s="316">
        <f t="shared" si="86"/>
        <v>5.1708241549563239</v>
      </c>
      <c r="M568" s="37">
        <f t="shared" si="82"/>
        <v>1.9013120417774405</v>
      </c>
      <c r="N568" s="37">
        <v>2.3941911987860394</v>
      </c>
      <c r="O568" s="947">
        <f t="shared" si="87"/>
        <v>0.36733763767565514</v>
      </c>
      <c r="P568" s="37">
        <f t="shared" si="88"/>
        <v>0.44778458032662366</v>
      </c>
      <c r="Q568" s="954">
        <v>0</v>
      </c>
    </row>
    <row r="569" spans="1:18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>
        <f t="shared" si="83"/>
        <v>76.2</v>
      </c>
      <c r="G569" s="24">
        <v>2</v>
      </c>
      <c r="H569" s="330"/>
      <c r="I569" s="330"/>
      <c r="J569" s="40">
        <f t="shared" si="84"/>
        <v>2</v>
      </c>
      <c r="K569" s="221">
        <f t="shared" si="85"/>
        <v>1.1393847322445879E-3</v>
      </c>
      <c r="L569" s="316">
        <f t="shared" si="86"/>
        <v>2.5854120774781619</v>
      </c>
      <c r="M569" s="37">
        <f t="shared" si="82"/>
        <v>0.95065602088872025</v>
      </c>
      <c r="N569" s="37">
        <v>1.1970955993930197</v>
      </c>
      <c r="O569" s="947">
        <f t="shared" si="87"/>
        <v>0.18366881883782757</v>
      </c>
      <c r="P569" s="37">
        <f t="shared" si="88"/>
        <v>0.22389229016331183</v>
      </c>
      <c r="Q569" s="954">
        <f t="shared" si="79"/>
        <v>6.4525361110206417E-2</v>
      </c>
    </row>
    <row r="570" spans="1:18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>
        <f t="shared" si="83"/>
        <v>98.5</v>
      </c>
      <c r="G570" s="24">
        <v>2</v>
      </c>
      <c r="H570" s="330"/>
      <c r="I570" s="330"/>
      <c r="J570" s="40">
        <f t="shared" si="84"/>
        <v>2</v>
      </c>
      <c r="K570" s="221">
        <f t="shared" si="85"/>
        <v>1.1393847322445879E-3</v>
      </c>
      <c r="L570" s="316">
        <f t="shared" si="86"/>
        <v>2.5854120774781619</v>
      </c>
      <c r="M570" s="37">
        <f t="shared" si="82"/>
        <v>0.95065602088872025</v>
      </c>
      <c r="N570" s="37">
        <v>1.1970955993930197</v>
      </c>
      <c r="O570" s="947">
        <f t="shared" si="87"/>
        <v>0.18366881883782757</v>
      </c>
      <c r="P570" s="37">
        <f t="shared" si="88"/>
        <v>0.22389229016331183</v>
      </c>
      <c r="Q570" s="954">
        <f t="shared" si="79"/>
        <v>4.9917081386778979E-2</v>
      </c>
    </row>
    <row r="571" spans="1:18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>
        <f t="shared" si="83"/>
        <v>93.4</v>
      </c>
      <c r="G571" s="24">
        <v>2</v>
      </c>
      <c r="H571" s="330"/>
      <c r="I571" s="330"/>
      <c r="J571" s="40">
        <f t="shared" si="84"/>
        <v>2</v>
      </c>
      <c r="K571" s="221">
        <f t="shared" si="85"/>
        <v>1.1393847322445879E-3</v>
      </c>
      <c r="L571" s="316">
        <f t="shared" si="86"/>
        <v>2.5854120774781619</v>
      </c>
      <c r="M571" s="37">
        <f t="shared" si="82"/>
        <v>0.95065602088872025</v>
      </c>
      <c r="N571" s="37">
        <v>1.1970955993930197</v>
      </c>
      <c r="O571" s="947">
        <f t="shared" si="87"/>
        <v>0.18366881883782757</v>
      </c>
      <c r="P571" s="37">
        <f t="shared" si="88"/>
        <v>0.22389229016331183</v>
      </c>
      <c r="Q571" s="954">
        <f t="shared" si="79"/>
        <v>5.2642746430382539E-2</v>
      </c>
    </row>
    <row r="572" spans="1:18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>
        <f t="shared" si="83"/>
        <v>92.7</v>
      </c>
      <c r="G572" s="24">
        <v>1</v>
      </c>
      <c r="H572" s="330"/>
      <c r="I572" s="330"/>
      <c r="J572" s="40">
        <f t="shared" si="84"/>
        <v>1</v>
      </c>
      <c r="K572" s="221">
        <f t="shared" si="85"/>
        <v>5.6969236612229395E-4</v>
      </c>
      <c r="L572" s="316">
        <f t="shared" si="86"/>
        <v>1.292706038739081</v>
      </c>
      <c r="M572" s="37">
        <f t="shared" si="82"/>
        <v>0.47532801044436013</v>
      </c>
      <c r="N572" s="37">
        <v>0.59854779969650984</v>
      </c>
      <c r="O572" s="947">
        <f t="shared" si="87"/>
        <v>9.1834409418913784E-2</v>
      </c>
      <c r="P572" s="37">
        <f t="shared" si="88"/>
        <v>0.11194614508165592</v>
      </c>
      <c r="Q572" s="954">
        <f t="shared" si="79"/>
        <v>2.6520132236233708E-2</v>
      </c>
    </row>
    <row r="573" spans="1:18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>
        <f t="shared" si="83"/>
        <v>346.6</v>
      </c>
      <c r="G573" s="24">
        <v>8</v>
      </c>
      <c r="H573" s="330"/>
      <c r="I573" s="330"/>
      <c r="J573" s="40">
        <f t="shared" si="84"/>
        <v>8</v>
      </c>
      <c r="K573" s="221">
        <f t="shared" si="85"/>
        <v>4.5575389289783516E-3</v>
      </c>
      <c r="L573" s="316">
        <f t="shared" si="86"/>
        <v>10.341648309912648</v>
      </c>
      <c r="M573" s="37">
        <f t="shared" si="82"/>
        <v>3.802624083554881</v>
      </c>
      <c r="N573" s="37">
        <v>4.7883823975720787</v>
      </c>
      <c r="O573" s="947">
        <f t="shared" si="87"/>
        <v>0.73467527535131028</v>
      </c>
      <c r="P573" s="37">
        <f t="shared" si="88"/>
        <v>0.89556916065324732</v>
      </c>
      <c r="Q573" s="954">
        <f t="shared" si="79"/>
        <v>5.67435951136495E-2</v>
      </c>
    </row>
    <row r="574" spans="1:18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>
        <f t="shared" si="83"/>
        <v>195</v>
      </c>
      <c r="G574" s="24">
        <v>2</v>
      </c>
      <c r="H574" s="330"/>
      <c r="I574" s="330"/>
      <c r="J574" s="40">
        <f t="shared" si="84"/>
        <v>2</v>
      </c>
      <c r="K574" s="221">
        <f t="shared" si="85"/>
        <v>1.1393847322445879E-3</v>
      </c>
      <c r="L574" s="316">
        <f t="shared" si="86"/>
        <v>2.5854120774781619</v>
      </c>
      <c r="M574" s="37">
        <f t="shared" si="82"/>
        <v>0.95065602088872025</v>
      </c>
      <c r="N574" s="37">
        <v>1.1970955993930197</v>
      </c>
      <c r="O574" s="947">
        <f t="shared" si="87"/>
        <v>0.18366881883782757</v>
      </c>
      <c r="P574" s="37">
        <f t="shared" si="88"/>
        <v>0.22389229016331183</v>
      </c>
      <c r="Q574" s="954">
        <f t="shared" si="79"/>
        <v>2.5214525726142203E-2</v>
      </c>
    </row>
    <row r="575" spans="1:18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>
        <f t="shared" si="83"/>
        <v>68.099999999999994</v>
      </c>
      <c r="G575" s="24">
        <v>1</v>
      </c>
      <c r="H575" s="330"/>
      <c r="I575" s="330"/>
      <c r="J575" s="40">
        <f t="shared" si="84"/>
        <v>1</v>
      </c>
      <c r="K575" s="221">
        <f t="shared" si="85"/>
        <v>5.6969236612229395E-4</v>
      </c>
      <c r="L575" s="316">
        <f t="shared" si="86"/>
        <v>1.292706038739081</v>
      </c>
      <c r="M575" s="37">
        <f t="shared" si="82"/>
        <v>0.47532801044436013</v>
      </c>
      <c r="N575" s="37">
        <v>0.59854779969650984</v>
      </c>
      <c r="O575" s="947">
        <f t="shared" si="87"/>
        <v>9.1834409418913784E-2</v>
      </c>
      <c r="P575" s="37">
        <f t="shared" si="88"/>
        <v>0.11194614508165592</v>
      </c>
      <c r="Q575" s="954">
        <f t="shared" si="79"/>
        <v>3.6100091898661743E-2</v>
      </c>
    </row>
    <row r="576" spans="1:18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>
        <f t="shared" si="83"/>
        <v>293.2</v>
      </c>
      <c r="G576" s="24">
        <v>5</v>
      </c>
      <c r="H576" s="330"/>
      <c r="I576" s="330"/>
      <c r="J576" s="40">
        <f t="shared" si="84"/>
        <v>5</v>
      </c>
      <c r="K576" s="221">
        <f t="shared" si="85"/>
        <v>2.8484618306114698E-3</v>
      </c>
      <c r="L576" s="316">
        <f t="shared" si="86"/>
        <v>6.463530193695405</v>
      </c>
      <c r="M576" s="37">
        <f t="shared" si="82"/>
        <v>2.3766400522218007</v>
      </c>
      <c r="N576" s="37">
        <v>2.9927389984825497</v>
      </c>
      <c r="O576" s="947">
        <f t="shared" si="87"/>
        <v>0.45917204709456888</v>
      </c>
      <c r="P576" s="37">
        <f t="shared" si="88"/>
        <v>0.55973072540827951</v>
      </c>
      <c r="Q576" s="954">
        <f t="shared" si="79"/>
        <v>4.1923878893227573E-2</v>
      </c>
    </row>
    <row r="577" spans="1:17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>
        <f t="shared" si="83"/>
        <v>95.9</v>
      </c>
      <c r="G577" s="24">
        <v>2</v>
      </c>
      <c r="H577" s="330"/>
      <c r="I577" s="330"/>
      <c r="J577" s="40">
        <f t="shared" si="84"/>
        <v>2</v>
      </c>
      <c r="K577" s="221">
        <f t="shared" si="85"/>
        <v>1.1393847322445879E-3</v>
      </c>
      <c r="L577" s="316">
        <f t="shared" si="86"/>
        <v>2.5854120774781619</v>
      </c>
      <c r="M577" s="37">
        <f t="shared" si="82"/>
        <v>0.95065602088872025</v>
      </c>
      <c r="N577" s="37">
        <v>1.1970955993930197</v>
      </c>
      <c r="O577" s="947">
        <f t="shared" si="87"/>
        <v>0.18366881883782757</v>
      </c>
      <c r="P577" s="37">
        <f t="shared" si="88"/>
        <v>0.22389229016331183</v>
      </c>
      <c r="Q577" s="954">
        <f t="shared" si="79"/>
        <v>5.1270412060455989E-2</v>
      </c>
    </row>
    <row r="578" spans="1:17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 t="shared" si="83"/>
        <v>4501</v>
      </c>
      <c r="G578" s="24">
        <v>80</v>
      </c>
      <c r="H578" s="330"/>
      <c r="I578" s="330"/>
      <c r="J578" s="40">
        <f t="shared" si="84"/>
        <v>80</v>
      </c>
      <c r="K578" s="221">
        <f t="shared" si="85"/>
        <v>4.5575389289783517E-2</v>
      </c>
      <c r="L578" s="316">
        <f t="shared" si="86"/>
        <v>103.41648309912648</v>
      </c>
      <c r="M578" s="37">
        <f t="shared" si="82"/>
        <v>38.026240835548812</v>
      </c>
      <c r="N578" s="37">
        <v>47.883823975720794</v>
      </c>
      <c r="O578" s="947">
        <f t="shared" si="87"/>
        <v>7.3467527535131021</v>
      </c>
      <c r="P578" s="37">
        <f t="shared" si="88"/>
        <v>8.9556916065324721</v>
      </c>
      <c r="Q578" s="954">
        <f t="shared" si="79"/>
        <v>4.3695467821352849E-2</v>
      </c>
    </row>
    <row r="579" spans="1:17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>
        <f t="shared" si="83"/>
        <v>195.86</v>
      </c>
      <c r="G579" s="24">
        <v>2</v>
      </c>
      <c r="H579" s="330"/>
      <c r="I579" s="330"/>
      <c r="J579" s="40">
        <f t="shared" si="84"/>
        <v>2</v>
      </c>
      <c r="K579" s="221">
        <f t="shared" si="85"/>
        <v>1.1393847322445879E-3</v>
      </c>
      <c r="L579" s="316">
        <f t="shared" si="86"/>
        <v>2.5854120774781619</v>
      </c>
      <c r="M579" s="37">
        <f t="shared" si="82"/>
        <v>0.95065602088872025</v>
      </c>
      <c r="N579" s="37">
        <v>1.1970955993930197</v>
      </c>
      <c r="O579" s="947">
        <f t="shared" si="87"/>
        <v>0.18366881883782757</v>
      </c>
      <c r="P579" s="37">
        <f t="shared" si="88"/>
        <v>0.22389229016331183</v>
      </c>
      <c r="Q579" s="954">
        <f t="shared" si="79"/>
        <v>2.5103811480637849E-2</v>
      </c>
    </row>
    <row r="580" spans="1:17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>
        <f t="shared" si="83"/>
        <v>148</v>
      </c>
      <c r="G580" s="24">
        <v>3</v>
      </c>
      <c r="H580" s="330"/>
      <c r="I580" s="330"/>
      <c r="J580" s="40">
        <f t="shared" si="84"/>
        <v>3</v>
      </c>
      <c r="K580" s="221">
        <f t="shared" si="85"/>
        <v>1.7090770983668817E-3</v>
      </c>
      <c r="L580" s="316">
        <f t="shared" si="86"/>
        <v>3.8781181162172427</v>
      </c>
      <c r="M580" s="37">
        <f t="shared" si="82"/>
        <v>1.4259840313330803</v>
      </c>
      <c r="N580" s="37">
        <v>1.7956433990895295</v>
      </c>
      <c r="O580" s="947">
        <f t="shared" si="87"/>
        <v>0.27550322825674134</v>
      </c>
      <c r="P580" s="37">
        <f t="shared" si="88"/>
        <v>0.3358384352449677</v>
      </c>
      <c r="Q580" s="954">
        <f t="shared" si="79"/>
        <v>4.9832761992544557E-2</v>
      </c>
    </row>
    <row r="581" spans="1:17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>
        <f t="shared" si="83"/>
        <v>74.95</v>
      </c>
      <c r="G581" s="24">
        <v>2</v>
      </c>
      <c r="H581" s="330"/>
      <c r="I581" s="330"/>
      <c r="J581" s="40">
        <f t="shared" si="84"/>
        <v>2</v>
      </c>
      <c r="K581" s="221">
        <f t="shared" si="85"/>
        <v>1.1393847322445879E-3</v>
      </c>
      <c r="L581" s="316">
        <f t="shared" si="86"/>
        <v>2.5854120774781619</v>
      </c>
      <c r="M581" s="37">
        <f t="shared" si="82"/>
        <v>0.95065602088872025</v>
      </c>
      <c r="N581" s="37">
        <v>1.1970955993930197</v>
      </c>
      <c r="O581" s="947">
        <f t="shared" si="87"/>
        <v>0.18366881883782757</v>
      </c>
      <c r="P581" s="37">
        <f t="shared" si="88"/>
        <v>0.22389229016331183</v>
      </c>
      <c r="Q581" s="954">
        <f t="shared" si="79"/>
        <v>6.5601501222117803E-2</v>
      </c>
    </row>
    <row r="582" spans="1:17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>
        <f t="shared" ref="F582:F638" si="89">C582+D582+E582</f>
        <v>87.3</v>
      </c>
      <c r="G582" s="24">
        <v>2</v>
      </c>
      <c r="H582" s="330"/>
      <c r="I582" s="330"/>
      <c r="J582" s="40">
        <f t="shared" ref="J582:J638" si="90">G582+H582+I582</f>
        <v>2</v>
      </c>
      <c r="K582" s="221">
        <f t="shared" si="85"/>
        <v>1.1393847322445879E-3</v>
      </c>
      <c r="L582" s="316">
        <f t="shared" si="86"/>
        <v>2.5854120774781619</v>
      </c>
      <c r="M582" s="37">
        <f t="shared" ref="M582:M638" si="91">L582*0.3677</f>
        <v>0.95065602088872025</v>
      </c>
      <c r="N582" s="37">
        <v>1.1970955993930197</v>
      </c>
      <c r="O582" s="947">
        <f t="shared" si="87"/>
        <v>0.18366881883782757</v>
      </c>
      <c r="P582" s="37">
        <f t="shared" si="88"/>
        <v>0.22389229016331183</v>
      </c>
      <c r="Q582" s="954">
        <f t="shared" si="79"/>
        <v>5.6321105573857153E-2</v>
      </c>
    </row>
    <row r="583" spans="1:17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>
        <f t="shared" si="89"/>
        <v>92.6</v>
      </c>
      <c r="G583" s="24">
        <v>2</v>
      </c>
      <c r="H583" s="330"/>
      <c r="I583" s="330"/>
      <c r="J583" s="40">
        <f t="shared" si="90"/>
        <v>2</v>
      </c>
      <c r="K583" s="221">
        <f t="shared" si="85"/>
        <v>1.1393847322445879E-3</v>
      </c>
      <c r="L583" s="316">
        <f t="shared" si="86"/>
        <v>2.5854120774781619</v>
      </c>
      <c r="M583" s="37">
        <f t="shared" si="91"/>
        <v>0.95065602088872025</v>
      </c>
      <c r="N583" s="37">
        <v>1.1970955993930197</v>
      </c>
      <c r="O583" s="947">
        <f t="shared" si="87"/>
        <v>0.18366881883782757</v>
      </c>
      <c r="P583" s="37">
        <f t="shared" si="88"/>
        <v>0.22389229016331183</v>
      </c>
      <c r="Q583" s="954">
        <f t="shared" ref="Q583:Q646" si="92">(O583+N583+M583+L583)/F583</f>
        <v>5.3097543375785421E-2</v>
      </c>
    </row>
    <row r="584" spans="1:17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>
        <f t="shared" si="89"/>
        <v>110.7</v>
      </c>
      <c r="G584" s="24">
        <v>2</v>
      </c>
      <c r="H584" s="330"/>
      <c r="I584" s="330"/>
      <c r="J584" s="40">
        <f t="shared" si="90"/>
        <v>2</v>
      </c>
      <c r="K584" s="221">
        <f t="shared" si="85"/>
        <v>1.1393847322445879E-3</v>
      </c>
      <c r="L584" s="316">
        <f t="shared" si="86"/>
        <v>2.5854120774781619</v>
      </c>
      <c r="M584" s="37">
        <f t="shared" si="91"/>
        <v>0.95065602088872025</v>
      </c>
      <c r="N584" s="37">
        <v>1.1970955993930197</v>
      </c>
      <c r="O584" s="947">
        <f t="shared" si="87"/>
        <v>0.18366881883782757</v>
      </c>
      <c r="P584" s="37">
        <f t="shared" si="88"/>
        <v>0.22389229016331183</v>
      </c>
      <c r="Q584" s="954">
        <f t="shared" si="92"/>
        <v>4.4415831224911738E-2</v>
      </c>
    </row>
    <row r="585" spans="1:17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>
        <f t="shared" si="89"/>
        <v>78.7</v>
      </c>
      <c r="G585" s="24">
        <v>2</v>
      </c>
      <c r="H585" s="330"/>
      <c r="I585" s="330"/>
      <c r="J585" s="40">
        <f t="shared" si="90"/>
        <v>2</v>
      </c>
      <c r="K585" s="221">
        <f t="shared" si="85"/>
        <v>1.1393847322445879E-3</v>
      </c>
      <c r="L585" s="316">
        <f t="shared" si="86"/>
        <v>2.5854120774781619</v>
      </c>
      <c r="M585" s="37">
        <f t="shared" si="91"/>
        <v>0.95065602088872025</v>
      </c>
      <c r="N585" s="37">
        <v>1.1970955993930197</v>
      </c>
      <c r="O585" s="947">
        <f t="shared" si="87"/>
        <v>0.18366881883782757</v>
      </c>
      <c r="P585" s="37">
        <f t="shared" si="88"/>
        <v>0.22389229016331183</v>
      </c>
      <c r="Q585" s="954">
        <f t="shared" si="92"/>
        <v>6.2475635534913969E-2</v>
      </c>
    </row>
    <row r="586" spans="1:17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>
        <f t="shared" si="89"/>
        <v>114</v>
      </c>
      <c r="G586" s="24">
        <v>2</v>
      </c>
      <c r="H586" s="330"/>
      <c r="I586" s="330"/>
      <c r="J586" s="40">
        <f t="shared" si="90"/>
        <v>2</v>
      </c>
      <c r="K586" s="221">
        <f t="shared" si="85"/>
        <v>1.1393847322445879E-3</v>
      </c>
      <c r="L586" s="316">
        <f t="shared" si="86"/>
        <v>2.5854120774781619</v>
      </c>
      <c r="M586" s="37">
        <f t="shared" si="91"/>
        <v>0.95065602088872025</v>
      </c>
      <c r="N586" s="37">
        <v>1.1970955993930197</v>
      </c>
      <c r="O586" s="947">
        <f t="shared" si="87"/>
        <v>0.18366881883782757</v>
      </c>
      <c r="P586" s="37">
        <f t="shared" si="88"/>
        <v>0.22389229016331183</v>
      </c>
      <c r="Q586" s="954">
        <f t="shared" si="92"/>
        <v>4.3130109794716924E-2</v>
      </c>
    </row>
    <row r="587" spans="1:17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>
        <f t="shared" si="89"/>
        <v>25.1</v>
      </c>
      <c r="G587" s="24">
        <v>1</v>
      </c>
      <c r="H587" s="330"/>
      <c r="I587" s="330"/>
      <c r="J587" s="40">
        <f t="shared" si="90"/>
        <v>1</v>
      </c>
      <c r="K587" s="221">
        <f t="shared" si="85"/>
        <v>5.6969236612229395E-4</v>
      </c>
      <c r="L587" s="316">
        <f t="shared" si="86"/>
        <v>1.292706038739081</v>
      </c>
      <c r="M587" s="37">
        <f t="shared" si="91"/>
        <v>0.47532801044436013</v>
      </c>
      <c r="N587" s="37">
        <v>0.59854779969650984</v>
      </c>
      <c r="O587" s="947">
        <f t="shared" si="87"/>
        <v>9.1834409418913784E-2</v>
      </c>
      <c r="P587" s="37">
        <f t="shared" si="88"/>
        <v>0.11194614508165592</v>
      </c>
      <c r="Q587" s="954">
        <f t="shared" si="92"/>
        <v>9.7944870848560336E-2</v>
      </c>
    </row>
    <row r="588" spans="1:17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>
        <f t="shared" si="89"/>
        <v>66.599999999999994</v>
      </c>
      <c r="G588" s="24">
        <v>1</v>
      </c>
      <c r="H588" s="330"/>
      <c r="I588" s="330"/>
      <c r="J588" s="40">
        <f t="shared" si="90"/>
        <v>1</v>
      </c>
      <c r="K588" s="221">
        <f t="shared" si="85"/>
        <v>5.6969236612229395E-4</v>
      </c>
      <c r="L588" s="316">
        <f t="shared" si="86"/>
        <v>1.292706038739081</v>
      </c>
      <c r="M588" s="37">
        <f t="shared" si="91"/>
        <v>0.47532801044436013</v>
      </c>
      <c r="N588" s="37">
        <v>0.59854779969650984</v>
      </c>
      <c r="O588" s="947">
        <f t="shared" si="87"/>
        <v>9.1834409418913784E-2</v>
      </c>
      <c r="P588" s="37">
        <f t="shared" si="88"/>
        <v>0.11194614508165592</v>
      </c>
      <c r="Q588" s="954">
        <f t="shared" si="92"/>
        <v>3.6913157031514487E-2</v>
      </c>
    </row>
    <row r="589" spans="1:17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>
        <f t="shared" si="89"/>
        <v>156.4</v>
      </c>
      <c r="G589" s="24">
        <v>3</v>
      </c>
      <c r="H589" s="330"/>
      <c r="I589" s="330"/>
      <c r="J589" s="40">
        <f t="shared" si="90"/>
        <v>3</v>
      </c>
      <c r="K589" s="221">
        <f t="shared" si="85"/>
        <v>1.7090770983668817E-3</v>
      </c>
      <c r="L589" s="316">
        <f t="shared" si="86"/>
        <v>3.8781181162172427</v>
      </c>
      <c r="M589" s="37">
        <f t="shared" si="91"/>
        <v>1.4259840313330803</v>
      </c>
      <c r="N589" s="37">
        <v>1.7956433990895295</v>
      </c>
      <c r="O589" s="947">
        <f t="shared" si="87"/>
        <v>0.27550322825674134</v>
      </c>
      <c r="P589" s="37">
        <f t="shared" si="88"/>
        <v>0.3358384352449677</v>
      </c>
      <c r="Q589" s="954">
        <f t="shared" si="92"/>
        <v>4.7156322090131673E-2</v>
      </c>
    </row>
    <row r="590" spans="1:17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>
        <f t="shared" si="89"/>
        <v>72.7</v>
      </c>
      <c r="G590" s="24">
        <v>2</v>
      </c>
      <c r="H590" s="330"/>
      <c r="I590" s="330"/>
      <c r="J590" s="40">
        <f t="shared" si="90"/>
        <v>2</v>
      </c>
      <c r="K590" s="221">
        <f t="shared" si="85"/>
        <v>1.1393847322445879E-3</v>
      </c>
      <c r="L590" s="316">
        <f t="shared" si="86"/>
        <v>2.5854120774781619</v>
      </c>
      <c r="M590" s="37">
        <f t="shared" si="91"/>
        <v>0.95065602088872025</v>
      </c>
      <c r="N590" s="37">
        <v>1.1970955993930197</v>
      </c>
      <c r="O590" s="947">
        <f t="shared" si="87"/>
        <v>0.18366881883782757</v>
      </c>
      <c r="P590" s="37">
        <f t="shared" si="88"/>
        <v>0.22389229016331183</v>
      </c>
      <c r="Q590" s="954">
        <f t="shared" si="92"/>
        <v>6.7631809031605622E-2</v>
      </c>
    </row>
    <row r="591" spans="1:17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>
        <f t="shared" si="89"/>
        <v>59.6</v>
      </c>
      <c r="G591" s="24">
        <v>1</v>
      </c>
      <c r="H591" s="330"/>
      <c r="I591" s="330"/>
      <c r="J591" s="40">
        <f t="shared" si="90"/>
        <v>1</v>
      </c>
      <c r="K591" s="221">
        <f t="shared" si="85"/>
        <v>5.6969236612229395E-4</v>
      </c>
      <c r="L591" s="316">
        <f t="shared" si="86"/>
        <v>1.292706038739081</v>
      </c>
      <c r="M591" s="37">
        <f t="shared" si="91"/>
        <v>0.47532801044436013</v>
      </c>
      <c r="N591" s="37">
        <v>0.59854779969650984</v>
      </c>
      <c r="O591" s="947">
        <f t="shared" si="87"/>
        <v>9.1834409418913784E-2</v>
      </c>
      <c r="P591" s="37">
        <f t="shared" si="88"/>
        <v>0.11194614508165592</v>
      </c>
      <c r="Q591" s="954">
        <f t="shared" si="92"/>
        <v>4.124859493790041E-2</v>
      </c>
    </row>
    <row r="592" spans="1:17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>
        <f t="shared" si="89"/>
        <v>176</v>
      </c>
      <c r="G592" s="24">
        <v>5</v>
      </c>
      <c r="H592" s="330"/>
      <c r="I592" s="330"/>
      <c r="J592" s="40">
        <f t="shared" si="90"/>
        <v>5</v>
      </c>
      <c r="K592" s="221">
        <f t="shared" si="85"/>
        <v>2.8484618306114698E-3</v>
      </c>
      <c r="L592" s="316">
        <f t="shared" si="86"/>
        <v>6.463530193695405</v>
      </c>
      <c r="M592" s="37">
        <f t="shared" si="91"/>
        <v>2.3766400522218007</v>
      </c>
      <c r="N592" s="37">
        <v>2.9927389984825497</v>
      </c>
      <c r="O592" s="947">
        <f t="shared" si="87"/>
        <v>0.45917204709456888</v>
      </c>
      <c r="P592" s="37">
        <f t="shared" si="88"/>
        <v>0.55973072540827951</v>
      </c>
      <c r="Q592" s="954">
        <f t="shared" si="92"/>
        <v>6.9841370974399561E-2</v>
      </c>
    </row>
    <row r="593" spans="1:17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>
        <f t="shared" si="89"/>
        <v>149</v>
      </c>
      <c r="G593" s="24">
        <v>3</v>
      </c>
      <c r="H593" s="330"/>
      <c r="I593" s="330"/>
      <c r="J593" s="40">
        <f t="shared" si="90"/>
        <v>3</v>
      </c>
      <c r="K593" s="221">
        <f t="shared" si="85"/>
        <v>1.7090770983668817E-3</v>
      </c>
      <c r="L593" s="316">
        <f t="shared" si="86"/>
        <v>3.8781181162172427</v>
      </c>
      <c r="M593" s="37">
        <f t="shared" si="91"/>
        <v>1.4259840313330803</v>
      </c>
      <c r="N593" s="37">
        <v>2.6934650986342943</v>
      </c>
      <c r="O593" s="947">
        <f t="shared" si="87"/>
        <v>0.27550322825674134</v>
      </c>
      <c r="P593" s="37">
        <f t="shared" si="88"/>
        <v>0.3358384352449677</v>
      </c>
      <c r="Q593" s="954">
        <f t="shared" si="92"/>
        <v>5.5523962915713813E-2</v>
      </c>
    </row>
    <row r="594" spans="1:17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>
        <f t="shared" si="89"/>
        <v>224.8</v>
      </c>
      <c r="G594" s="24">
        <v>5</v>
      </c>
      <c r="H594" s="330"/>
      <c r="I594" s="330"/>
      <c r="J594" s="40">
        <f t="shared" si="90"/>
        <v>5</v>
      </c>
      <c r="K594" s="221">
        <f t="shared" si="85"/>
        <v>2.8484618306114698E-3</v>
      </c>
      <c r="L594" s="316">
        <f t="shared" si="86"/>
        <v>6.463530193695405</v>
      </c>
      <c r="M594" s="37">
        <f t="shared" si="91"/>
        <v>2.3766400522218007</v>
      </c>
      <c r="N594" s="37">
        <v>2.9927389984825497</v>
      </c>
      <c r="O594" s="947">
        <f t="shared" si="87"/>
        <v>0.45917204709456888</v>
      </c>
      <c r="P594" s="37">
        <f t="shared" si="88"/>
        <v>0.55973072540827951</v>
      </c>
      <c r="Q594" s="954">
        <f t="shared" si="92"/>
        <v>5.4680076919458732E-2</v>
      </c>
    </row>
    <row r="595" spans="1:17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>
        <f t="shared" si="89"/>
        <v>243.4</v>
      </c>
      <c r="G595" s="24">
        <v>6</v>
      </c>
      <c r="H595" s="330"/>
      <c r="I595" s="330"/>
      <c r="J595" s="40">
        <f t="shared" si="90"/>
        <v>6</v>
      </c>
      <c r="K595" s="221">
        <f t="shared" si="85"/>
        <v>3.4181541967337635E-3</v>
      </c>
      <c r="L595" s="316">
        <f t="shared" si="86"/>
        <v>7.7562362324344853</v>
      </c>
      <c r="M595" s="37">
        <f t="shared" si="91"/>
        <v>2.8519680626661605</v>
      </c>
      <c r="N595" s="37">
        <v>3.591286798179059</v>
      </c>
      <c r="O595" s="947">
        <f t="shared" si="87"/>
        <v>0.55100645651348268</v>
      </c>
      <c r="P595" s="37">
        <f t="shared" si="88"/>
        <v>0.67167687048993541</v>
      </c>
      <c r="Q595" s="954">
        <f t="shared" si="92"/>
        <v>6.0601879826594852E-2</v>
      </c>
    </row>
    <row r="596" spans="1:17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>
        <f t="shared" si="89"/>
        <v>169.9</v>
      </c>
      <c r="G596" s="24">
        <v>4</v>
      </c>
      <c r="H596" s="330"/>
      <c r="I596" s="330"/>
      <c r="J596" s="40">
        <f t="shared" si="90"/>
        <v>4</v>
      </c>
      <c r="K596" s="221">
        <f t="shared" si="85"/>
        <v>2.2787694644891758E-3</v>
      </c>
      <c r="L596" s="316">
        <f t="shared" si="86"/>
        <v>5.1708241549563239</v>
      </c>
      <c r="M596" s="37">
        <f t="shared" si="91"/>
        <v>1.9013120417774405</v>
      </c>
      <c r="N596" s="37">
        <v>2.3941911987860394</v>
      </c>
      <c r="O596" s="947">
        <f t="shared" si="87"/>
        <v>0.36733763767565514</v>
      </c>
      <c r="P596" s="37">
        <f t="shared" si="88"/>
        <v>0.44778458032662366</v>
      </c>
      <c r="Q596" s="954">
        <f t="shared" si="92"/>
        <v>5.7879134980550077E-2</v>
      </c>
    </row>
    <row r="597" spans="1:17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>
        <f t="shared" si="89"/>
        <v>377.1</v>
      </c>
      <c r="G597" s="24">
        <v>8</v>
      </c>
      <c r="H597" s="330"/>
      <c r="I597" s="330"/>
      <c r="J597" s="40">
        <f t="shared" si="90"/>
        <v>8</v>
      </c>
      <c r="K597" s="221">
        <f t="shared" si="85"/>
        <v>4.5575389289783516E-3</v>
      </c>
      <c r="L597" s="316">
        <f t="shared" si="86"/>
        <v>10.341648309912648</v>
      </c>
      <c r="M597" s="37">
        <f t="shared" si="91"/>
        <v>3.802624083554881</v>
      </c>
      <c r="N597" s="37">
        <v>4.7883823975720787</v>
      </c>
      <c r="O597" s="947">
        <f t="shared" si="87"/>
        <v>0.73467527535131028</v>
      </c>
      <c r="P597" s="37">
        <f t="shared" si="88"/>
        <v>0.89556916065324732</v>
      </c>
      <c r="Q597" s="954">
        <f t="shared" si="92"/>
        <v>5.2154150268870103E-2</v>
      </c>
    </row>
    <row r="598" spans="1:17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>
        <f t="shared" si="89"/>
        <v>87.1</v>
      </c>
      <c r="G598" s="24">
        <v>2</v>
      </c>
      <c r="H598" s="330"/>
      <c r="I598" s="330"/>
      <c r="J598" s="40">
        <f t="shared" si="90"/>
        <v>2</v>
      </c>
      <c r="K598" s="221">
        <f t="shared" si="85"/>
        <v>1.1393847322445879E-3</v>
      </c>
      <c r="L598" s="316">
        <f t="shared" si="86"/>
        <v>2.5854120774781619</v>
      </c>
      <c r="M598" s="37">
        <f t="shared" si="91"/>
        <v>0.95065602088872025</v>
      </c>
      <c r="N598" s="37">
        <v>1.1970955993930197</v>
      </c>
      <c r="O598" s="947">
        <f t="shared" si="87"/>
        <v>0.18366881883782757</v>
      </c>
      <c r="P598" s="37">
        <f t="shared" si="88"/>
        <v>0.22389229016331183</v>
      </c>
      <c r="Q598" s="954">
        <f t="shared" si="92"/>
        <v>5.6450430730169116E-2</v>
      </c>
    </row>
    <row r="599" spans="1:17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>
        <f t="shared" si="89"/>
        <v>348.2</v>
      </c>
      <c r="G599" s="24">
        <v>8</v>
      </c>
      <c r="H599" s="330"/>
      <c r="I599" s="330"/>
      <c r="J599" s="40">
        <f t="shared" si="90"/>
        <v>8</v>
      </c>
      <c r="K599" s="221">
        <f t="shared" si="85"/>
        <v>4.5575389289783516E-3</v>
      </c>
      <c r="L599" s="316">
        <f t="shared" si="86"/>
        <v>10.341648309912648</v>
      </c>
      <c r="M599" s="37">
        <f t="shared" si="91"/>
        <v>3.802624083554881</v>
      </c>
      <c r="N599" s="37">
        <v>4.7883823975720787</v>
      </c>
      <c r="O599" s="947">
        <f t="shared" si="87"/>
        <v>0.73467527535131028</v>
      </c>
      <c r="P599" s="37">
        <f t="shared" si="88"/>
        <v>0.89556916065324732</v>
      </c>
      <c r="Q599" s="954">
        <f t="shared" si="92"/>
        <v>5.6482854871886611E-2</v>
      </c>
    </row>
    <row r="600" spans="1:17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>
        <f t="shared" si="89"/>
        <v>227.7</v>
      </c>
      <c r="G600" s="24">
        <v>7</v>
      </c>
      <c r="H600" s="330"/>
      <c r="I600" s="330"/>
      <c r="J600" s="40">
        <f t="shared" si="90"/>
        <v>7</v>
      </c>
      <c r="K600" s="221">
        <f t="shared" si="85"/>
        <v>3.9878465628560575E-3</v>
      </c>
      <c r="L600" s="316">
        <f t="shared" si="86"/>
        <v>9.0489422711735656</v>
      </c>
      <c r="M600" s="37">
        <f t="shared" si="91"/>
        <v>3.3272960731105203</v>
      </c>
      <c r="N600" s="37">
        <v>4.189834597875568</v>
      </c>
      <c r="O600" s="947">
        <f t="shared" si="87"/>
        <v>0.64284086593239642</v>
      </c>
      <c r="P600" s="37">
        <f t="shared" si="88"/>
        <v>0.78362301557159131</v>
      </c>
      <c r="Q600" s="954">
        <f t="shared" si="92"/>
        <v>7.557713574041304E-2</v>
      </c>
    </row>
    <row r="601" spans="1:17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>
        <f t="shared" si="89"/>
        <v>409.2</v>
      </c>
      <c r="G601" s="24">
        <v>8</v>
      </c>
      <c r="H601" s="330"/>
      <c r="I601" s="330"/>
      <c r="J601" s="40">
        <f t="shared" si="90"/>
        <v>8</v>
      </c>
      <c r="K601" s="221">
        <f t="shared" ref="K601:K664" si="93">3/5266*J601</f>
        <v>4.5575389289783516E-3</v>
      </c>
      <c r="L601" s="316">
        <f t="shared" ref="L601:L664" si="94">K601*2269.13</f>
        <v>10.341648309912648</v>
      </c>
      <c r="M601" s="37">
        <f t="shared" si="91"/>
        <v>3.802624083554881</v>
      </c>
      <c r="N601" s="37">
        <v>4.7883823975720787</v>
      </c>
      <c r="O601" s="947">
        <f t="shared" ref="O601:O664" si="95">K601*161.2</f>
        <v>0.73467527535131028</v>
      </c>
      <c r="P601" s="37">
        <f t="shared" si="88"/>
        <v>0.89556916065324732</v>
      </c>
      <c r="Q601" s="954">
        <f t="shared" si="92"/>
        <v>4.8062878950124434E-2</v>
      </c>
    </row>
    <row r="602" spans="1:17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>
        <f t="shared" si="89"/>
        <v>177.6</v>
      </c>
      <c r="G602" s="24">
        <v>4</v>
      </c>
      <c r="H602" s="330"/>
      <c r="I602" s="330"/>
      <c r="J602" s="40">
        <f t="shared" si="90"/>
        <v>4</v>
      </c>
      <c r="K602" s="221">
        <f t="shared" si="93"/>
        <v>2.2787694644891758E-3</v>
      </c>
      <c r="L602" s="316">
        <f t="shared" si="94"/>
        <v>5.1708241549563239</v>
      </c>
      <c r="M602" s="37">
        <f t="shared" si="91"/>
        <v>1.9013120417774405</v>
      </c>
      <c r="N602" s="37">
        <v>2.3941911987860394</v>
      </c>
      <c r="O602" s="947">
        <f t="shared" si="95"/>
        <v>0.36733763767565514</v>
      </c>
      <c r="P602" s="37">
        <f t="shared" si="88"/>
        <v>0.44778458032662366</v>
      </c>
      <c r="Q602" s="954">
        <f t="shared" si="92"/>
        <v>5.5369735547271731E-2</v>
      </c>
    </row>
    <row r="603" spans="1:17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>
        <f t="shared" si="89"/>
        <v>383.9</v>
      </c>
      <c r="G603" s="24">
        <v>8</v>
      </c>
      <c r="H603" s="330"/>
      <c r="I603" s="330"/>
      <c r="J603" s="40">
        <f t="shared" si="90"/>
        <v>8</v>
      </c>
      <c r="K603" s="221">
        <f t="shared" si="93"/>
        <v>4.5575389289783516E-3</v>
      </c>
      <c r="L603" s="316">
        <f t="shared" si="94"/>
        <v>10.341648309912648</v>
      </c>
      <c r="M603" s="37">
        <f t="shared" si="91"/>
        <v>3.802624083554881</v>
      </c>
      <c r="N603" s="37">
        <v>4.7883823975720787</v>
      </c>
      <c r="O603" s="947">
        <f t="shared" si="95"/>
        <v>0.73467527535131028</v>
      </c>
      <c r="P603" s="37">
        <f t="shared" si="88"/>
        <v>0.89556916065324732</v>
      </c>
      <c r="Q603" s="954">
        <f t="shared" si="92"/>
        <v>5.1230346617324611E-2</v>
      </c>
    </row>
    <row r="604" spans="1:17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>
        <f t="shared" si="89"/>
        <v>123.2</v>
      </c>
      <c r="G604" s="24">
        <v>4</v>
      </c>
      <c r="H604" s="330"/>
      <c r="I604" s="330"/>
      <c r="J604" s="40">
        <f t="shared" si="90"/>
        <v>4</v>
      </c>
      <c r="K604" s="221">
        <f t="shared" si="93"/>
        <v>2.2787694644891758E-3</v>
      </c>
      <c r="L604" s="316">
        <f t="shared" si="94"/>
        <v>5.1708241549563239</v>
      </c>
      <c r="M604" s="37">
        <f t="shared" si="91"/>
        <v>1.9013120417774405</v>
      </c>
      <c r="N604" s="37">
        <v>2.3941911987860394</v>
      </c>
      <c r="O604" s="947">
        <f t="shared" si="95"/>
        <v>0.36733763767565514</v>
      </c>
      <c r="P604" s="37">
        <f t="shared" si="88"/>
        <v>0.44778458032662366</v>
      </c>
      <c r="Q604" s="954">
        <f t="shared" si="92"/>
        <v>7.9818709685028078E-2</v>
      </c>
    </row>
    <row r="605" spans="1:17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>
        <f t="shared" si="89"/>
        <v>423.7</v>
      </c>
      <c r="G605" s="24">
        <v>8</v>
      </c>
      <c r="H605" s="330"/>
      <c r="I605" s="330"/>
      <c r="J605" s="40">
        <f t="shared" si="90"/>
        <v>8</v>
      </c>
      <c r="K605" s="221">
        <f t="shared" si="93"/>
        <v>4.5575389289783516E-3</v>
      </c>
      <c r="L605" s="316">
        <f t="shared" si="94"/>
        <v>10.341648309912648</v>
      </c>
      <c r="M605" s="37">
        <f t="shared" si="91"/>
        <v>3.802624083554881</v>
      </c>
      <c r="N605" s="37">
        <v>4.7883823975720787</v>
      </c>
      <c r="O605" s="947">
        <f t="shared" si="95"/>
        <v>0.73467527535131028</v>
      </c>
      <c r="P605" s="37">
        <f t="shared" ref="P605:P668" si="96">O605*1.219</f>
        <v>0.89556916065324732</v>
      </c>
      <c r="Q605" s="954">
        <f t="shared" si="92"/>
        <v>4.6418055384448709E-2</v>
      </c>
    </row>
    <row r="606" spans="1:17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>
        <f t="shared" si="89"/>
        <v>138.80000000000001</v>
      </c>
      <c r="G606" s="24">
        <v>5</v>
      </c>
      <c r="H606" s="330"/>
      <c r="I606" s="330"/>
      <c r="J606" s="40">
        <f t="shared" si="90"/>
        <v>5</v>
      </c>
      <c r="K606" s="221">
        <f t="shared" si="93"/>
        <v>2.8484618306114698E-3</v>
      </c>
      <c r="L606" s="316">
        <f t="shared" si="94"/>
        <v>6.463530193695405</v>
      </c>
      <c r="M606" s="37">
        <f t="shared" si="91"/>
        <v>2.3766400522218007</v>
      </c>
      <c r="N606" s="37">
        <v>2.9927389984825497</v>
      </c>
      <c r="O606" s="947">
        <f t="shared" si="95"/>
        <v>0.45917204709456888</v>
      </c>
      <c r="P606" s="37">
        <f t="shared" si="96"/>
        <v>0.55973072540827951</v>
      </c>
      <c r="Q606" s="954">
        <f t="shared" si="92"/>
        <v>8.8559663483388493E-2</v>
      </c>
    </row>
    <row r="607" spans="1:17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>
        <f t="shared" si="89"/>
        <v>341.6</v>
      </c>
      <c r="G607" s="24">
        <v>2</v>
      </c>
      <c r="H607" s="330"/>
      <c r="I607" s="330">
        <v>1</v>
      </c>
      <c r="J607" s="40">
        <f t="shared" si="90"/>
        <v>3</v>
      </c>
      <c r="K607" s="221">
        <f t="shared" si="93"/>
        <v>1.7090770983668817E-3</v>
      </c>
      <c r="L607" s="316">
        <f t="shared" si="94"/>
        <v>3.8781181162172427</v>
      </c>
      <c r="M607" s="37">
        <f t="shared" si="91"/>
        <v>1.4259840313330803</v>
      </c>
      <c r="N607" s="37">
        <v>1.7956433990895295</v>
      </c>
      <c r="O607" s="947">
        <f t="shared" si="95"/>
        <v>0.27550322825674134</v>
      </c>
      <c r="P607" s="37">
        <f t="shared" si="96"/>
        <v>0.3358384352449677</v>
      </c>
      <c r="Q607" s="954">
        <f t="shared" si="92"/>
        <v>2.1590306718081362E-2</v>
      </c>
    </row>
    <row r="608" spans="1:17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>
        <f t="shared" si="89"/>
        <v>353.3</v>
      </c>
      <c r="G608" s="24">
        <v>8</v>
      </c>
      <c r="H608" s="330"/>
      <c r="I608" s="330"/>
      <c r="J608" s="40">
        <f t="shared" si="90"/>
        <v>8</v>
      </c>
      <c r="K608" s="221">
        <f t="shared" si="93"/>
        <v>4.5575389289783516E-3</v>
      </c>
      <c r="L608" s="316">
        <f t="shared" si="94"/>
        <v>10.341648309912648</v>
      </c>
      <c r="M608" s="37">
        <f t="shared" si="91"/>
        <v>3.802624083554881</v>
      </c>
      <c r="N608" s="37">
        <v>4.7883823975720787</v>
      </c>
      <c r="O608" s="947">
        <f t="shared" si="95"/>
        <v>0.73467527535131028</v>
      </c>
      <c r="P608" s="37">
        <f t="shared" si="96"/>
        <v>0.89556916065324732</v>
      </c>
      <c r="Q608" s="954">
        <f t="shared" si="92"/>
        <v>5.5667506556441884E-2</v>
      </c>
    </row>
    <row r="609" spans="1:17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>
        <f t="shared" si="89"/>
        <v>354.5</v>
      </c>
      <c r="G609" s="24">
        <v>8</v>
      </c>
      <c r="H609" s="330"/>
      <c r="I609" s="330"/>
      <c r="J609" s="40">
        <f t="shared" si="90"/>
        <v>8</v>
      </c>
      <c r="K609" s="221">
        <f t="shared" si="93"/>
        <v>4.5575389289783516E-3</v>
      </c>
      <c r="L609" s="316">
        <f t="shared" si="94"/>
        <v>10.341648309912648</v>
      </c>
      <c r="M609" s="37">
        <f t="shared" si="91"/>
        <v>3.802624083554881</v>
      </c>
      <c r="N609" s="37">
        <v>4.7883823975720787</v>
      </c>
      <c r="O609" s="947">
        <f t="shared" si="95"/>
        <v>0.73467527535131028</v>
      </c>
      <c r="P609" s="37">
        <f t="shared" si="96"/>
        <v>0.89556916065324732</v>
      </c>
      <c r="Q609" s="954">
        <f t="shared" si="92"/>
        <v>5.5479069298704983E-2</v>
      </c>
    </row>
    <row r="610" spans="1:17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>
        <f t="shared" si="89"/>
        <v>404.4</v>
      </c>
      <c r="G610" s="24">
        <v>8</v>
      </c>
      <c r="H610" s="330"/>
      <c r="I610" s="330"/>
      <c r="J610" s="40">
        <f t="shared" si="90"/>
        <v>8</v>
      </c>
      <c r="K610" s="221">
        <f t="shared" si="93"/>
        <v>4.5575389289783516E-3</v>
      </c>
      <c r="L610" s="316">
        <f t="shared" si="94"/>
        <v>10.341648309912648</v>
      </c>
      <c r="M610" s="37">
        <f t="shared" si="91"/>
        <v>3.802624083554881</v>
      </c>
      <c r="N610" s="37">
        <v>4.7883823975720787</v>
      </c>
      <c r="O610" s="947">
        <f t="shared" si="95"/>
        <v>0.73467527535131028</v>
      </c>
      <c r="P610" s="37">
        <f t="shared" si="96"/>
        <v>0.89556916065324732</v>
      </c>
      <c r="Q610" s="954">
        <f t="shared" si="92"/>
        <v>4.8633358225496831E-2</v>
      </c>
    </row>
    <row r="611" spans="1:17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>
        <f t="shared" si="89"/>
        <v>348.3</v>
      </c>
      <c r="G611" s="24">
        <v>8</v>
      </c>
      <c r="H611" s="330"/>
      <c r="I611" s="330"/>
      <c r="J611" s="40">
        <f t="shared" si="90"/>
        <v>8</v>
      </c>
      <c r="K611" s="221">
        <f t="shared" si="93"/>
        <v>4.5575389289783516E-3</v>
      </c>
      <c r="L611" s="316">
        <f t="shared" si="94"/>
        <v>10.341648309912648</v>
      </c>
      <c r="M611" s="37">
        <f t="shared" si="91"/>
        <v>3.802624083554881</v>
      </c>
      <c r="N611" s="37">
        <v>4.7883823975720787</v>
      </c>
      <c r="O611" s="947">
        <f t="shared" si="95"/>
        <v>0.73467527535131028</v>
      </c>
      <c r="P611" s="37">
        <f t="shared" si="96"/>
        <v>0.89556916065324732</v>
      </c>
      <c r="Q611" s="954">
        <f t="shared" si="92"/>
        <v>5.646663814639942E-2</v>
      </c>
    </row>
    <row r="612" spans="1:17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>
        <f t="shared" si="89"/>
        <v>73.400000000000006</v>
      </c>
      <c r="G612" s="24">
        <v>2</v>
      </c>
      <c r="H612" s="330"/>
      <c r="I612" s="330"/>
      <c r="J612" s="40">
        <f t="shared" si="90"/>
        <v>2</v>
      </c>
      <c r="K612" s="221">
        <f t="shared" si="93"/>
        <v>1.1393847322445879E-3</v>
      </c>
      <c r="L612" s="316">
        <f t="shared" si="94"/>
        <v>2.5854120774781619</v>
      </c>
      <c r="M612" s="37">
        <f t="shared" si="91"/>
        <v>0.95065602088872025</v>
      </c>
      <c r="N612" s="37">
        <v>1.1970955993930197</v>
      </c>
      <c r="O612" s="947">
        <f t="shared" si="95"/>
        <v>0.18366881883782757</v>
      </c>
      <c r="P612" s="37">
        <f t="shared" si="96"/>
        <v>0.22389229016331183</v>
      </c>
      <c r="Q612" s="954">
        <f t="shared" si="92"/>
        <v>6.6986819027217009E-2</v>
      </c>
    </row>
    <row r="613" spans="1:17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>
        <f t="shared" si="89"/>
        <v>117.2</v>
      </c>
      <c r="G613" s="24">
        <v>2</v>
      </c>
      <c r="H613" s="330"/>
      <c r="I613" s="330"/>
      <c r="J613" s="40">
        <f t="shared" si="90"/>
        <v>2</v>
      </c>
      <c r="K613" s="221">
        <f t="shared" si="93"/>
        <v>1.1393847322445879E-3</v>
      </c>
      <c r="L613" s="316">
        <f t="shared" si="94"/>
        <v>2.5854120774781619</v>
      </c>
      <c r="M613" s="37">
        <f t="shared" si="91"/>
        <v>0.95065602088872025</v>
      </c>
      <c r="N613" s="37">
        <v>1.1970955993930197</v>
      </c>
      <c r="O613" s="947">
        <f t="shared" si="95"/>
        <v>0.18366881883782757</v>
      </c>
      <c r="P613" s="37">
        <f t="shared" si="96"/>
        <v>0.22389229016331183</v>
      </c>
      <c r="Q613" s="954">
        <f t="shared" si="92"/>
        <v>4.1952495875407246E-2</v>
      </c>
    </row>
    <row r="614" spans="1:17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>
        <f t="shared" si="89"/>
        <v>65.900000000000006</v>
      </c>
      <c r="G614" s="24">
        <v>2</v>
      </c>
      <c r="H614" s="330"/>
      <c r="I614" s="330"/>
      <c r="J614" s="40">
        <f t="shared" si="90"/>
        <v>2</v>
      </c>
      <c r="K614" s="221">
        <f t="shared" si="93"/>
        <v>1.1393847322445879E-3</v>
      </c>
      <c r="L614" s="316">
        <f t="shared" si="94"/>
        <v>2.5854120774781619</v>
      </c>
      <c r="M614" s="37">
        <f t="shared" si="91"/>
        <v>0.95065602088872025</v>
      </c>
      <c r="N614" s="37">
        <v>1.1970955993930197</v>
      </c>
      <c r="O614" s="947">
        <f t="shared" si="95"/>
        <v>0.18366881883782757</v>
      </c>
      <c r="P614" s="37">
        <f t="shared" si="96"/>
        <v>0.22389229016331183</v>
      </c>
      <c r="Q614" s="954">
        <f t="shared" si="92"/>
        <v>7.4610508597841102E-2</v>
      </c>
    </row>
    <row r="615" spans="1:17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>
        <f t="shared" si="89"/>
        <v>212.3</v>
      </c>
      <c r="G615" s="24">
        <v>2</v>
      </c>
      <c r="H615" s="330"/>
      <c r="I615" s="330"/>
      <c r="J615" s="40">
        <f t="shared" si="90"/>
        <v>2</v>
      </c>
      <c r="K615" s="221">
        <f t="shared" si="93"/>
        <v>1.1393847322445879E-3</v>
      </c>
      <c r="L615" s="316">
        <f t="shared" si="94"/>
        <v>2.5854120774781619</v>
      </c>
      <c r="M615" s="37">
        <f t="shared" si="91"/>
        <v>0.95065602088872025</v>
      </c>
      <c r="N615" s="37">
        <v>1.1970955993930197</v>
      </c>
      <c r="O615" s="947">
        <f t="shared" si="95"/>
        <v>0.18366881883782757</v>
      </c>
      <c r="P615" s="37">
        <f t="shared" si="96"/>
        <v>0.22389229016331183</v>
      </c>
      <c r="Q615" s="954">
        <f t="shared" si="92"/>
        <v>2.3159832861977057E-2</v>
      </c>
    </row>
    <row r="616" spans="1:17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>
        <f t="shared" si="89"/>
        <v>200.1</v>
      </c>
      <c r="G616" s="24">
        <v>6</v>
      </c>
      <c r="H616" s="330"/>
      <c r="I616" s="330"/>
      <c r="J616" s="40">
        <f t="shared" si="90"/>
        <v>6</v>
      </c>
      <c r="K616" s="221">
        <f t="shared" si="93"/>
        <v>3.4181541967337635E-3</v>
      </c>
      <c r="L616" s="316">
        <f t="shared" si="94"/>
        <v>7.7562362324344853</v>
      </c>
      <c r="M616" s="37">
        <f t="shared" si="91"/>
        <v>2.8519680626661605</v>
      </c>
      <c r="N616" s="37">
        <v>3.591286798179059</v>
      </c>
      <c r="O616" s="947">
        <f t="shared" si="95"/>
        <v>0.55100645651348268</v>
      </c>
      <c r="P616" s="37">
        <f t="shared" si="96"/>
        <v>0.67167687048993541</v>
      </c>
      <c r="Q616" s="954">
        <f t="shared" si="92"/>
        <v>7.3715629933998938E-2</v>
      </c>
    </row>
    <row r="617" spans="1:17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>
        <f t="shared" si="89"/>
        <v>79.099999999999994</v>
      </c>
      <c r="G617" s="24">
        <v>2</v>
      </c>
      <c r="H617" s="330"/>
      <c r="I617" s="330"/>
      <c r="J617" s="40">
        <f t="shared" si="90"/>
        <v>2</v>
      </c>
      <c r="K617" s="221">
        <f t="shared" si="93"/>
        <v>1.1393847322445879E-3</v>
      </c>
      <c r="L617" s="316">
        <f t="shared" si="94"/>
        <v>2.5854120774781619</v>
      </c>
      <c r="M617" s="37">
        <f t="shared" si="91"/>
        <v>0.95065602088872025</v>
      </c>
      <c r="N617" s="37">
        <v>1.1970955993930197</v>
      </c>
      <c r="O617" s="947">
        <f t="shared" si="95"/>
        <v>0.18366881883782757</v>
      </c>
      <c r="P617" s="37">
        <f t="shared" si="96"/>
        <v>0.22389229016331183</v>
      </c>
      <c r="Q617" s="954">
        <f t="shared" si="92"/>
        <v>6.2159703117543992E-2</v>
      </c>
    </row>
    <row r="618" spans="1:17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 t="shared" si="89"/>
        <v>3257.2000000000003</v>
      </c>
      <c r="G618" s="24">
        <v>44</v>
      </c>
      <c r="H618" s="330">
        <v>2</v>
      </c>
      <c r="I618" s="330"/>
      <c r="J618" s="40">
        <f t="shared" si="90"/>
        <v>46</v>
      </c>
      <c r="K618" s="221">
        <f t="shared" si="93"/>
        <v>2.6205848841625523E-2</v>
      </c>
      <c r="L618" s="316">
        <f t="shared" si="94"/>
        <v>59.464477781997729</v>
      </c>
      <c r="M618" s="37">
        <f t="shared" si="91"/>
        <v>21.865088480440566</v>
      </c>
      <c r="N618" s="37">
        <v>27.533198786039453</v>
      </c>
      <c r="O618" s="947">
        <f t="shared" si="95"/>
        <v>4.2243828332700337</v>
      </c>
      <c r="P618" s="37">
        <f t="shared" si="96"/>
        <v>5.1495226737561719</v>
      </c>
      <c r="Q618" s="954">
        <f t="shared" si="92"/>
        <v>3.4719129277215946E-2</v>
      </c>
    </row>
    <row r="619" spans="1:17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 t="shared" si="89"/>
        <v>4789.17</v>
      </c>
      <c r="G619" s="24">
        <v>80</v>
      </c>
      <c r="H619" s="330"/>
      <c r="I619" s="330"/>
      <c r="J619" s="40">
        <f t="shared" si="90"/>
        <v>80</v>
      </c>
      <c r="K619" s="221">
        <f t="shared" si="93"/>
        <v>4.5575389289783517E-2</v>
      </c>
      <c r="L619" s="316">
        <f t="shared" si="94"/>
        <v>103.41648309912648</v>
      </c>
      <c r="M619" s="37">
        <f t="shared" si="91"/>
        <v>38.026240835548812</v>
      </c>
      <c r="N619" s="37">
        <v>47.883823975720794</v>
      </c>
      <c r="O619" s="947">
        <f t="shared" si="95"/>
        <v>7.3467527535131021</v>
      </c>
      <c r="P619" s="37">
        <f t="shared" si="96"/>
        <v>8.9556916065324721</v>
      </c>
      <c r="Q619" s="954">
        <f t="shared" si="92"/>
        <v>4.1066260054228428E-2</v>
      </c>
    </row>
    <row r="620" spans="1:17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 t="shared" si="89"/>
        <v>6316.36</v>
      </c>
      <c r="G620" s="24">
        <v>123</v>
      </c>
      <c r="H620" s="330">
        <v>1</v>
      </c>
      <c r="I620" s="330"/>
      <c r="J620" s="40">
        <f t="shared" si="90"/>
        <v>124</v>
      </c>
      <c r="K620" s="221">
        <f t="shared" si="93"/>
        <v>7.0641853399164456E-2</v>
      </c>
      <c r="L620" s="316">
        <f t="shared" si="94"/>
        <v>160.29554880364606</v>
      </c>
      <c r="M620" s="37">
        <f t="shared" si="91"/>
        <v>58.940673295100659</v>
      </c>
      <c r="N620" s="37">
        <v>74.219927162367227</v>
      </c>
      <c r="O620" s="947">
        <f t="shared" si="95"/>
        <v>11.387466767945309</v>
      </c>
      <c r="P620" s="37">
        <f t="shared" si="96"/>
        <v>13.881321990125333</v>
      </c>
      <c r="Q620" s="954">
        <f t="shared" si="92"/>
        <v>4.8262546154598421E-2</v>
      </c>
    </row>
    <row r="621" spans="1:17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 t="shared" si="89"/>
        <v>4812.1099999999997</v>
      </c>
      <c r="G621" s="24">
        <v>80</v>
      </c>
      <c r="H621" s="330"/>
      <c r="I621" s="330"/>
      <c r="J621" s="40">
        <f t="shared" si="90"/>
        <v>80</v>
      </c>
      <c r="K621" s="221">
        <f t="shared" si="93"/>
        <v>4.5575389289783517E-2</v>
      </c>
      <c r="L621" s="316">
        <f t="shared" si="94"/>
        <v>103.41648309912648</v>
      </c>
      <c r="M621" s="37">
        <f t="shared" si="91"/>
        <v>38.026240835548812</v>
      </c>
      <c r="N621" s="37">
        <v>47.883823975720794</v>
      </c>
      <c r="O621" s="947">
        <f t="shared" si="95"/>
        <v>7.3467527535131021</v>
      </c>
      <c r="P621" s="37">
        <f t="shared" si="96"/>
        <v>8.9556916065324721</v>
      </c>
      <c r="Q621" s="954">
        <f t="shared" si="92"/>
        <v>4.0870491460899522E-2</v>
      </c>
    </row>
    <row r="622" spans="1:17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 t="shared" si="89"/>
        <v>11145.01</v>
      </c>
      <c r="G622" s="24">
        <v>232</v>
      </c>
      <c r="H622" s="330"/>
      <c r="I622" s="330"/>
      <c r="J622" s="40">
        <f t="shared" si="90"/>
        <v>232</v>
      </c>
      <c r="K622" s="221">
        <f t="shared" si="93"/>
        <v>0.13216862894037221</v>
      </c>
      <c r="L622" s="316">
        <f t="shared" si="94"/>
        <v>299.90780098746683</v>
      </c>
      <c r="M622" s="37">
        <f t="shared" si="91"/>
        <v>110.27609842309155</v>
      </c>
      <c r="N622" s="37">
        <v>138.86308952959027</v>
      </c>
      <c r="O622" s="947">
        <f t="shared" si="95"/>
        <v>21.305582985188</v>
      </c>
      <c r="P622" s="37">
        <f t="shared" si="96"/>
        <v>25.971505658944174</v>
      </c>
      <c r="Q622" s="954">
        <f t="shared" si="92"/>
        <v>5.117559983574143E-2</v>
      </c>
    </row>
    <row r="623" spans="1:17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>
        <f t="shared" si="89"/>
        <v>74.5</v>
      </c>
      <c r="G623" s="24">
        <v>2</v>
      </c>
      <c r="H623" s="330"/>
      <c r="I623" s="330"/>
      <c r="J623" s="40">
        <f t="shared" si="90"/>
        <v>2</v>
      </c>
      <c r="K623" s="221">
        <f t="shared" si="93"/>
        <v>1.1393847322445879E-3</v>
      </c>
      <c r="L623" s="316">
        <f t="shared" si="94"/>
        <v>2.5854120774781619</v>
      </c>
      <c r="M623" s="37">
        <f t="shared" si="91"/>
        <v>0.95065602088872025</v>
      </c>
      <c r="N623" s="37">
        <v>1.1970955993930197</v>
      </c>
      <c r="O623" s="947">
        <f t="shared" si="95"/>
        <v>0.18366881883782757</v>
      </c>
      <c r="P623" s="37">
        <f t="shared" si="96"/>
        <v>0.22389229016331183</v>
      </c>
      <c r="Q623" s="954">
        <f t="shared" si="92"/>
        <v>6.5997751900640667E-2</v>
      </c>
    </row>
    <row r="624" spans="1:17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>
        <f t="shared" si="89"/>
        <v>227.9</v>
      </c>
      <c r="G624" s="24">
        <v>6</v>
      </c>
      <c r="H624" s="330"/>
      <c r="I624" s="330"/>
      <c r="J624" s="40">
        <f t="shared" si="90"/>
        <v>6</v>
      </c>
      <c r="K624" s="221">
        <f t="shared" si="93"/>
        <v>3.4181541967337635E-3</v>
      </c>
      <c r="L624" s="316">
        <f t="shared" si="94"/>
        <v>7.7562362324344853</v>
      </c>
      <c r="M624" s="37">
        <f t="shared" si="91"/>
        <v>2.8519680626661605</v>
      </c>
      <c r="N624" s="37">
        <v>3.591286798179059</v>
      </c>
      <c r="O624" s="947">
        <f t="shared" si="95"/>
        <v>0.55100645651348268</v>
      </c>
      <c r="P624" s="37">
        <f t="shared" si="96"/>
        <v>0.67167687048993541</v>
      </c>
      <c r="Q624" s="954">
        <f t="shared" si="92"/>
        <v>6.4723552214976693E-2</v>
      </c>
    </row>
    <row r="625" spans="1:17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>
        <f t="shared" si="89"/>
        <v>374.6</v>
      </c>
      <c r="G625" s="24">
        <v>8</v>
      </c>
      <c r="H625" s="330"/>
      <c r="I625" s="330"/>
      <c r="J625" s="40">
        <f t="shared" si="90"/>
        <v>8</v>
      </c>
      <c r="K625" s="221">
        <f t="shared" si="93"/>
        <v>4.5575389289783516E-3</v>
      </c>
      <c r="L625" s="316">
        <f t="shared" si="94"/>
        <v>10.341648309912648</v>
      </c>
      <c r="M625" s="37">
        <f t="shared" si="91"/>
        <v>3.802624083554881</v>
      </c>
      <c r="N625" s="37">
        <v>4.7883823975720787</v>
      </c>
      <c r="O625" s="947">
        <f t="shared" si="95"/>
        <v>0.73467527535131028</v>
      </c>
      <c r="P625" s="37">
        <f t="shared" si="96"/>
        <v>0.89556916065324732</v>
      </c>
      <c r="Q625" s="954">
        <f t="shared" si="92"/>
        <v>5.2502215873974682E-2</v>
      </c>
    </row>
    <row r="626" spans="1:17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>
        <f t="shared" si="89"/>
        <v>738.4</v>
      </c>
      <c r="G626" s="24">
        <v>20</v>
      </c>
      <c r="H626" s="330"/>
      <c r="I626" s="330">
        <v>1</v>
      </c>
      <c r="J626" s="40">
        <f t="shared" si="90"/>
        <v>21</v>
      </c>
      <c r="K626" s="221">
        <f t="shared" si="93"/>
        <v>1.1963539688568173E-2</v>
      </c>
      <c r="L626" s="316">
        <f t="shared" si="94"/>
        <v>27.1468268135207</v>
      </c>
      <c r="M626" s="37">
        <f t="shared" si="91"/>
        <v>9.9818882193315623</v>
      </c>
      <c r="N626" s="37">
        <v>12.569503793626707</v>
      </c>
      <c r="O626" s="947">
        <f t="shared" si="95"/>
        <v>1.9285225977971894</v>
      </c>
      <c r="P626" s="37">
        <f t="shared" si="96"/>
        <v>2.3508690467147741</v>
      </c>
      <c r="Q626" s="954">
        <f t="shared" si="92"/>
        <v>6.9917038765271083E-2</v>
      </c>
    </row>
    <row r="627" spans="1:17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>
        <f t="shared" si="89"/>
        <v>442.3</v>
      </c>
      <c r="G627" s="24">
        <v>11</v>
      </c>
      <c r="H627" s="330"/>
      <c r="I627" s="330">
        <v>1</v>
      </c>
      <c r="J627" s="40">
        <f t="shared" si="90"/>
        <v>12</v>
      </c>
      <c r="K627" s="221">
        <f t="shared" si="93"/>
        <v>6.8363083934675269E-3</v>
      </c>
      <c r="L627" s="316">
        <f t="shared" si="94"/>
        <v>15.512472464868971</v>
      </c>
      <c r="M627" s="37">
        <f t="shared" si="91"/>
        <v>5.7039361253323211</v>
      </c>
      <c r="N627" s="37">
        <v>7.1825735963581181</v>
      </c>
      <c r="O627" s="947">
        <f t="shared" si="95"/>
        <v>1.1020129130269654</v>
      </c>
      <c r="P627" s="37">
        <f t="shared" si="96"/>
        <v>1.3433537409798708</v>
      </c>
      <c r="Q627" s="954">
        <f t="shared" si="92"/>
        <v>6.6699061947968291E-2</v>
      </c>
    </row>
    <row r="628" spans="1:17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>
        <f t="shared" si="89"/>
        <v>1043.4000000000001</v>
      </c>
      <c r="G628" s="24">
        <v>21</v>
      </c>
      <c r="H628" s="330"/>
      <c r="I628" s="330">
        <v>2</v>
      </c>
      <c r="J628" s="40">
        <f t="shared" si="90"/>
        <v>23</v>
      </c>
      <c r="K628" s="221">
        <f t="shared" si="93"/>
        <v>1.3102924420812762E-2</v>
      </c>
      <c r="L628" s="316">
        <f t="shared" si="94"/>
        <v>29.732238890998865</v>
      </c>
      <c r="M628" s="37">
        <f t="shared" si="91"/>
        <v>10.932544240220283</v>
      </c>
      <c r="N628" s="37">
        <v>13.766599393019726</v>
      </c>
      <c r="O628" s="947">
        <f t="shared" si="95"/>
        <v>2.1121914166350169</v>
      </c>
      <c r="P628" s="37">
        <f t="shared" si="96"/>
        <v>2.5747613368780859</v>
      </c>
      <c r="Q628" s="954">
        <f t="shared" si="92"/>
        <v>5.4191656067542539E-2</v>
      </c>
    </row>
    <row r="629" spans="1:17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>
        <f t="shared" si="89"/>
        <v>473.6</v>
      </c>
      <c r="G629" s="24">
        <v>12</v>
      </c>
      <c r="H629" s="330"/>
      <c r="I629" s="330">
        <v>1</v>
      </c>
      <c r="J629" s="40">
        <f t="shared" si="90"/>
        <v>13</v>
      </c>
      <c r="K629" s="221">
        <f t="shared" si="93"/>
        <v>7.406000759589821E-3</v>
      </c>
      <c r="L629" s="316">
        <f t="shared" si="94"/>
        <v>16.805178503608051</v>
      </c>
      <c r="M629" s="37">
        <f t="shared" si="91"/>
        <v>6.1792641357766804</v>
      </c>
      <c r="N629" s="37">
        <v>7.7811213960546279</v>
      </c>
      <c r="O629" s="947">
        <f t="shared" si="95"/>
        <v>1.193847322445879</v>
      </c>
      <c r="P629" s="37">
        <f t="shared" si="96"/>
        <v>1.4552998860615265</v>
      </c>
      <c r="Q629" s="954">
        <f t="shared" si="92"/>
        <v>6.7481865198237401E-2</v>
      </c>
    </row>
    <row r="630" spans="1:17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>
        <f t="shared" si="89"/>
        <v>345.2</v>
      </c>
      <c r="G630" s="24">
        <v>9</v>
      </c>
      <c r="H630" s="330"/>
      <c r="I630" s="330"/>
      <c r="J630" s="40">
        <f t="shared" si="90"/>
        <v>9</v>
      </c>
      <c r="K630" s="221">
        <f t="shared" si="93"/>
        <v>5.1272312951006456E-3</v>
      </c>
      <c r="L630" s="316">
        <f t="shared" si="94"/>
        <v>11.634354348651728</v>
      </c>
      <c r="M630" s="37">
        <f t="shared" si="91"/>
        <v>4.2779520939992404</v>
      </c>
      <c r="N630" s="37">
        <v>5.3869301972685886</v>
      </c>
      <c r="O630" s="947">
        <f t="shared" si="95"/>
        <v>0.82650968477022402</v>
      </c>
      <c r="P630" s="37">
        <f t="shared" si="96"/>
        <v>1.0075153057349031</v>
      </c>
      <c r="Q630" s="954">
        <f t="shared" si="92"/>
        <v>6.4095441265034123E-2</v>
      </c>
    </row>
    <row r="631" spans="1:17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>
        <f t="shared" si="89"/>
        <v>864.9</v>
      </c>
      <c r="G631" s="24">
        <v>21</v>
      </c>
      <c r="H631" s="330"/>
      <c r="I631" s="330"/>
      <c r="J631" s="40">
        <f t="shared" si="90"/>
        <v>21</v>
      </c>
      <c r="K631" s="221">
        <f t="shared" si="93"/>
        <v>1.1963539688568173E-2</v>
      </c>
      <c r="L631" s="316">
        <f t="shared" si="94"/>
        <v>27.1468268135207</v>
      </c>
      <c r="M631" s="37">
        <f t="shared" si="91"/>
        <v>9.9818882193315623</v>
      </c>
      <c r="N631" s="37">
        <v>12.569503793626707</v>
      </c>
      <c r="O631" s="947">
        <f t="shared" si="95"/>
        <v>1.9285225977971894</v>
      </c>
      <c r="P631" s="37">
        <f t="shared" si="96"/>
        <v>2.3508690467147741</v>
      </c>
      <c r="Q631" s="954">
        <f t="shared" si="92"/>
        <v>5.9690994825154539E-2</v>
      </c>
    </row>
    <row r="632" spans="1:17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>
        <f t="shared" si="89"/>
        <v>1116.9000000000001</v>
      </c>
      <c r="G632" s="24">
        <v>32</v>
      </c>
      <c r="H632" s="330"/>
      <c r="I632" s="330"/>
      <c r="J632" s="40">
        <f t="shared" si="90"/>
        <v>32</v>
      </c>
      <c r="K632" s="221">
        <f t="shared" si="93"/>
        <v>1.8230155715913406E-2</v>
      </c>
      <c r="L632" s="316">
        <f t="shared" si="94"/>
        <v>41.366593239650591</v>
      </c>
      <c r="M632" s="37">
        <f t="shared" si="91"/>
        <v>15.210496334219524</v>
      </c>
      <c r="N632" s="37">
        <v>19.153529590288315</v>
      </c>
      <c r="O632" s="947">
        <f t="shared" si="95"/>
        <v>2.9387011014052411</v>
      </c>
      <c r="P632" s="37">
        <f t="shared" si="96"/>
        <v>3.5822766426129893</v>
      </c>
      <c r="Q632" s="954">
        <f t="shared" si="92"/>
        <v>7.0435419702358018E-2</v>
      </c>
    </row>
    <row r="633" spans="1:17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>
        <f t="shared" si="89"/>
        <v>506.2</v>
      </c>
      <c r="G633" s="24">
        <v>15</v>
      </c>
      <c r="H633" s="330"/>
      <c r="I633" s="330">
        <v>1</v>
      </c>
      <c r="J633" s="40">
        <f t="shared" si="90"/>
        <v>16</v>
      </c>
      <c r="K633" s="221">
        <f t="shared" si="93"/>
        <v>9.1150778579567032E-3</v>
      </c>
      <c r="L633" s="316">
        <f t="shared" si="94"/>
        <v>20.683296619825295</v>
      </c>
      <c r="M633" s="37">
        <f t="shared" si="91"/>
        <v>7.605248167109762</v>
      </c>
      <c r="N633" s="37">
        <v>9.5767647951441575</v>
      </c>
      <c r="O633" s="947">
        <f t="shared" si="95"/>
        <v>1.4693505507026206</v>
      </c>
      <c r="P633" s="37">
        <f t="shared" si="96"/>
        <v>1.7911383213064946</v>
      </c>
      <c r="Q633" s="954">
        <f t="shared" si="92"/>
        <v>7.7705768733271105E-2</v>
      </c>
    </row>
    <row r="634" spans="1:17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>
        <f t="shared" si="89"/>
        <v>369.5</v>
      </c>
      <c r="G634" s="24">
        <v>7</v>
      </c>
      <c r="H634" s="330"/>
      <c r="I634" s="330"/>
      <c r="J634" s="40">
        <f t="shared" si="90"/>
        <v>7</v>
      </c>
      <c r="K634" s="221">
        <f t="shared" si="93"/>
        <v>3.9878465628560575E-3</v>
      </c>
      <c r="L634" s="316">
        <f t="shared" si="94"/>
        <v>9.0489422711735656</v>
      </c>
      <c r="M634" s="37">
        <f t="shared" si="91"/>
        <v>3.3272960731105203</v>
      </c>
      <c r="N634" s="37">
        <v>4.189834597875568</v>
      </c>
      <c r="O634" s="947">
        <f t="shared" si="95"/>
        <v>0.64284086593239642</v>
      </c>
      <c r="P634" s="37">
        <f t="shared" si="96"/>
        <v>0.78362301557159131</v>
      </c>
      <c r="Q634" s="954">
        <f t="shared" si="92"/>
        <v>4.65735150421977E-2</v>
      </c>
    </row>
    <row r="635" spans="1:17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>
        <f t="shared" si="89"/>
        <v>510.1</v>
      </c>
      <c r="G635" s="24">
        <v>14</v>
      </c>
      <c r="H635" s="330"/>
      <c r="I635" s="330"/>
      <c r="J635" s="40">
        <f t="shared" si="90"/>
        <v>14</v>
      </c>
      <c r="K635" s="221">
        <f t="shared" si="93"/>
        <v>7.975693125712115E-3</v>
      </c>
      <c r="L635" s="316">
        <f t="shared" si="94"/>
        <v>18.097884542347131</v>
      </c>
      <c r="M635" s="37">
        <f t="shared" si="91"/>
        <v>6.6545921462210407</v>
      </c>
      <c r="N635" s="37">
        <v>8.379669195751136</v>
      </c>
      <c r="O635" s="947">
        <f t="shared" si="95"/>
        <v>1.2856817318647928</v>
      </c>
      <c r="P635" s="37">
        <f t="shared" si="96"/>
        <v>1.5672460311431826</v>
      </c>
      <c r="Q635" s="954">
        <f t="shared" si="92"/>
        <v>6.7472706559859041E-2</v>
      </c>
    </row>
    <row r="636" spans="1:17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>
        <f t="shared" si="89"/>
        <v>312</v>
      </c>
      <c r="G636" s="24">
        <v>6</v>
      </c>
      <c r="H636" s="330"/>
      <c r="I636" s="330"/>
      <c r="J636" s="40">
        <f t="shared" si="90"/>
        <v>6</v>
      </c>
      <c r="K636" s="221">
        <f t="shared" si="93"/>
        <v>3.4181541967337635E-3</v>
      </c>
      <c r="L636" s="316">
        <f t="shared" si="94"/>
        <v>7.7562362324344853</v>
      </c>
      <c r="M636" s="37">
        <f t="shared" si="91"/>
        <v>2.8519680626661605</v>
      </c>
      <c r="N636" s="37">
        <v>3.591286798179059</v>
      </c>
      <c r="O636" s="947">
        <f t="shared" si="95"/>
        <v>0.55100645651348268</v>
      </c>
      <c r="P636" s="37">
        <f t="shared" si="96"/>
        <v>0.67167687048993541</v>
      </c>
      <c r="Q636" s="954">
        <f t="shared" si="92"/>
        <v>4.7277235736516626E-2</v>
      </c>
    </row>
    <row r="637" spans="1:17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>
        <f t="shared" si="89"/>
        <v>488.2</v>
      </c>
      <c r="G637" s="24">
        <v>11</v>
      </c>
      <c r="H637" s="330"/>
      <c r="I637" s="330"/>
      <c r="J637" s="40">
        <f t="shared" si="90"/>
        <v>11</v>
      </c>
      <c r="K637" s="221">
        <f t="shared" si="93"/>
        <v>6.2666160273452337E-3</v>
      </c>
      <c r="L637" s="316">
        <f t="shared" si="94"/>
        <v>14.21976642612989</v>
      </c>
      <c r="M637" s="37">
        <f t="shared" si="91"/>
        <v>5.2286081148879608</v>
      </c>
      <c r="N637" s="37">
        <v>6.5840257966616083</v>
      </c>
      <c r="O637" s="947">
        <f t="shared" si="95"/>
        <v>1.0101785036080515</v>
      </c>
      <c r="P637" s="37">
        <f t="shared" si="96"/>
        <v>1.2314075958982149</v>
      </c>
      <c r="Q637" s="954">
        <f t="shared" si="92"/>
        <v>5.5392418765439391E-2</v>
      </c>
    </row>
    <row r="638" spans="1:17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>
        <f t="shared" si="89"/>
        <v>223.7</v>
      </c>
      <c r="G638" s="24">
        <v>6</v>
      </c>
      <c r="H638" s="330"/>
      <c r="I638" s="330"/>
      <c r="J638" s="40">
        <f t="shared" si="90"/>
        <v>6</v>
      </c>
      <c r="K638" s="221">
        <f t="shared" si="93"/>
        <v>3.4181541967337635E-3</v>
      </c>
      <c r="L638" s="316">
        <f t="shared" si="94"/>
        <v>7.7562362324344853</v>
      </c>
      <c r="M638" s="37">
        <f t="shared" si="91"/>
        <v>2.8519680626661605</v>
      </c>
      <c r="N638" s="37">
        <v>3.591286798179059</v>
      </c>
      <c r="O638" s="947">
        <f t="shared" si="95"/>
        <v>0.55100645651348268</v>
      </c>
      <c r="P638" s="37">
        <f t="shared" si="96"/>
        <v>0.67167687048993541</v>
      </c>
      <c r="Q638" s="954">
        <f t="shared" si="92"/>
        <v>6.5938746311100527E-2</v>
      </c>
    </row>
    <row r="639" spans="1:17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>
        <f t="shared" ref="F639:F697" si="97">C639+D639+E639</f>
        <v>388.5</v>
      </c>
      <c r="G639" s="24">
        <v>10</v>
      </c>
      <c r="H639" s="330"/>
      <c r="I639" s="330"/>
      <c r="J639" s="40">
        <f t="shared" ref="J639:J697" si="98">G639+H639+I639</f>
        <v>10</v>
      </c>
      <c r="K639" s="221">
        <f t="shared" si="93"/>
        <v>5.6969236612229397E-3</v>
      </c>
      <c r="L639" s="316">
        <f t="shared" si="94"/>
        <v>12.92706038739081</v>
      </c>
      <c r="M639" s="37">
        <f t="shared" ref="M639:M697" si="99">L639*0.3677</f>
        <v>4.7532801044436015</v>
      </c>
      <c r="N639" s="37">
        <v>5.9854779969650993</v>
      </c>
      <c r="O639" s="947">
        <f t="shared" si="95"/>
        <v>0.91834409418913776</v>
      </c>
      <c r="P639" s="37">
        <f t="shared" si="96"/>
        <v>1.119461450816559</v>
      </c>
      <c r="Q639" s="954">
        <f t="shared" si="92"/>
        <v>6.327969776831055E-2</v>
      </c>
    </row>
    <row r="640" spans="1:17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>
        <f t="shared" si="97"/>
        <v>528.32000000000005</v>
      </c>
      <c r="G640" s="24">
        <v>10</v>
      </c>
      <c r="H640" s="330"/>
      <c r="I640" s="330"/>
      <c r="J640" s="40">
        <f t="shared" si="98"/>
        <v>10</v>
      </c>
      <c r="K640" s="221">
        <f t="shared" si="93"/>
        <v>5.6969236612229397E-3</v>
      </c>
      <c r="L640" s="316">
        <f t="shared" si="94"/>
        <v>12.92706038739081</v>
      </c>
      <c r="M640" s="37">
        <f t="shared" si="99"/>
        <v>4.7532801044436015</v>
      </c>
      <c r="N640" s="37">
        <v>5.9854779969650993</v>
      </c>
      <c r="O640" s="947">
        <f t="shared" si="95"/>
        <v>0.91834409418913776</v>
      </c>
      <c r="P640" s="37">
        <f t="shared" si="96"/>
        <v>1.119461450816559</v>
      </c>
      <c r="Q640" s="954">
        <f t="shared" si="92"/>
        <v>4.6532712339091169E-2</v>
      </c>
    </row>
    <row r="641" spans="1:17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>
        <f t="shared" si="97"/>
        <v>262.17</v>
      </c>
      <c r="G641" s="24">
        <v>5</v>
      </c>
      <c r="H641" s="330"/>
      <c r="I641" s="330"/>
      <c r="J641" s="40">
        <f t="shared" si="98"/>
        <v>5</v>
      </c>
      <c r="K641" s="221">
        <f t="shared" si="93"/>
        <v>2.8484618306114698E-3</v>
      </c>
      <c r="L641" s="316">
        <f t="shared" si="94"/>
        <v>6.463530193695405</v>
      </c>
      <c r="M641" s="37">
        <f t="shared" si="99"/>
        <v>2.3766400522218007</v>
      </c>
      <c r="N641" s="37">
        <v>2.9927389984825497</v>
      </c>
      <c r="O641" s="947">
        <f t="shared" si="95"/>
        <v>0.45917204709456888</v>
      </c>
      <c r="P641" s="37">
        <f t="shared" si="96"/>
        <v>0.55973072540827951</v>
      </c>
      <c r="Q641" s="954">
        <f t="shared" si="92"/>
        <v>4.6885918646276545E-2</v>
      </c>
    </row>
    <row r="642" spans="1:17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>
        <f t="shared" si="97"/>
        <v>513.29999999999995</v>
      </c>
      <c r="G642" s="24">
        <v>12</v>
      </c>
      <c r="H642" s="330"/>
      <c r="I642" s="330"/>
      <c r="J642" s="40">
        <f t="shared" si="98"/>
        <v>12</v>
      </c>
      <c r="K642" s="221">
        <f t="shared" si="93"/>
        <v>6.8363083934675269E-3</v>
      </c>
      <c r="L642" s="316">
        <f t="shared" si="94"/>
        <v>15.512472464868971</v>
      </c>
      <c r="M642" s="37">
        <f t="shared" si="99"/>
        <v>5.7039361253323211</v>
      </c>
      <c r="N642" s="37">
        <v>7.1825735963581181</v>
      </c>
      <c r="O642" s="947">
        <f t="shared" si="95"/>
        <v>1.1020129130269654</v>
      </c>
      <c r="P642" s="37">
        <f t="shared" si="96"/>
        <v>1.3433537409798708</v>
      </c>
      <c r="Q642" s="954">
        <f t="shared" si="92"/>
        <v>5.747320299938901E-2</v>
      </c>
    </row>
    <row r="643" spans="1:17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>
        <f t="shared" si="97"/>
        <v>577.70000000000005</v>
      </c>
      <c r="G643" s="24">
        <v>13</v>
      </c>
      <c r="H643" s="330"/>
      <c r="I643" s="330"/>
      <c r="J643" s="40">
        <f t="shared" si="98"/>
        <v>13</v>
      </c>
      <c r="K643" s="221">
        <f t="shared" si="93"/>
        <v>7.406000759589821E-3</v>
      </c>
      <c r="L643" s="316">
        <f t="shared" si="94"/>
        <v>16.805178503608051</v>
      </c>
      <c r="M643" s="37">
        <f t="shared" si="99"/>
        <v>6.1792641357766804</v>
      </c>
      <c r="N643" s="37">
        <v>7.7811213960546279</v>
      </c>
      <c r="O643" s="947">
        <f t="shared" si="95"/>
        <v>1.193847322445879</v>
      </c>
      <c r="P643" s="37">
        <f t="shared" si="96"/>
        <v>1.4552998860615265</v>
      </c>
      <c r="Q643" s="954">
        <f t="shared" si="92"/>
        <v>5.5321812978856216E-2</v>
      </c>
    </row>
    <row r="644" spans="1:17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>
        <f t="shared" si="97"/>
        <v>432.4</v>
      </c>
      <c r="G644" s="24">
        <v>11</v>
      </c>
      <c r="H644" s="330"/>
      <c r="I644" s="330"/>
      <c r="J644" s="40">
        <f t="shared" si="98"/>
        <v>11</v>
      </c>
      <c r="K644" s="221">
        <f t="shared" si="93"/>
        <v>6.2666160273452337E-3</v>
      </c>
      <c r="L644" s="316">
        <f t="shared" si="94"/>
        <v>14.21976642612989</v>
      </c>
      <c r="M644" s="37">
        <f t="shared" si="99"/>
        <v>5.2286081148879608</v>
      </c>
      <c r="N644" s="37">
        <v>6.5840257966616083</v>
      </c>
      <c r="O644" s="947">
        <f t="shared" si="95"/>
        <v>1.0101785036080515</v>
      </c>
      <c r="P644" s="37">
        <f t="shared" si="96"/>
        <v>1.2314075958982149</v>
      </c>
      <c r="Q644" s="954">
        <f t="shared" si="92"/>
        <v>6.254065411953634E-2</v>
      </c>
    </row>
    <row r="645" spans="1:17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>
        <f t="shared" si="97"/>
        <v>488.9</v>
      </c>
      <c r="G645" s="24">
        <v>9</v>
      </c>
      <c r="H645" s="330"/>
      <c r="I645" s="330"/>
      <c r="J645" s="40">
        <f t="shared" si="98"/>
        <v>9</v>
      </c>
      <c r="K645" s="221">
        <f t="shared" si="93"/>
        <v>5.1272312951006456E-3</v>
      </c>
      <c r="L645" s="316">
        <f t="shared" si="94"/>
        <v>11.634354348651728</v>
      </c>
      <c r="M645" s="37">
        <f t="shared" si="99"/>
        <v>4.2779520939992404</v>
      </c>
      <c r="N645" s="37">
        <v>5.3869301972685886</v>
      </c>
      <c r="O645" s="947">
        <f t="shared" si="95"/>
        <v>0.82650968477022402</v>
      </c>
      <c r="P645" s="37">
        <f t="shared" si="96"/>
        <v>1.0075153057349031</v>
      </c>
      <c r="Q645" s="954">
        <f t="shared" si="92"/>
        <v>4.5256179841869054E-2</v>
      </c>
    </row>
    <row r="646" spans="1:17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>
        <f t="shared" si="97"/>
        <v>540.1</v>
      </c>
      <c r="G646" s="24">
        <v>13</v>
      </c>
      <c r="H646" s="330"/>
      <c r="I646" s="330"/>
      <c r="J646" s="40">
        <f t="shared" si="98"/>
        <v>13</v>
      </c>
      <c r="K646" s="221">
        <f t="shared" si="93"/>
        <v>7.406000759589821E-3</v>
      </c>
      <c r="L646" s="316">
        <f t="shared" si="94"/>
        <v>16.805178503608051</v>
      </c>
      <c r="M646" s="37">
        <f t="shared" si="99"/>
        <v>6.1792641357766804</v>
      </c>
      <c r="N646" s="37">
        <v>7.7811213960546279</v>
      </c>
      <c r="O646" s="947">
        <f t="shared" si="95"/>
        <v>1.193847322445879</v>
      </c>
      <c r="P646" s="37">
        <f t="shared" si="96"/>
        <v>1.4552998860615265</v>
      </c>
      <c r="Q646" s="954">
        <f t="shared" si="92"/>
        <v>5.9173137118839543E-2</v>
      </c>
    </row>
    <row r="647" spans="1:17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>
        <f t="shared" si="97"/>
        <v>236.8</v>
      </c>
      <c r="G647" s="24">
        <v>7</v>
      </c>
      <c r="H647" s="330"/>
      <c r="I647" s="330"/>
      <c r="J647" s="40">
        <f t="shared" si="98"/>
        <v>7</v>
      </c>
      <c r="K647" s="221">
        <f t="shared" si="93"/>
        <v>3.9878465628560575E-3</v>
      </c>
      <c r="L647" s="316">
        <f t="shared" si="94"/>
        <v>9.0489422711735656</v>
      </c>
      <c r="M647" s="37">
        <f t="shared" si="99"/>
        <v>3.3272960731105203</v>
      </c>
      <c r="N647" s="37">
        <v>4.189834597875568</v>
      </c>
      <c r="O647" s="947">
        <f t="shared" si="95"/>
        <v>0.64284086593239642</v>
      </c>
      <c r="P647" s="37">
        <f t="shared" si="96"/>
        <v>0.78362301557159131</v>
      </c>
      <c r="Q647" s="954">
        <f t="shared" ref="Q647:Q710" si="100">(O647+N647+M647+L647)/F647</f>
        <v>7.2672777905794128E-2</v>
      </c>
    </row>
    <row r="648" spans="1:17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>
        <f t="shared" si="97"/>
        <v>375.5</v>
      </c>
      <c r="G648" s="24">
        <v>9</v>
      </c>
      <c r="H648" s="330"/>
      <c r="I648" s="330"/>
      <c r="J648" s="40">
        <f t="shared" si="98"/>
        <v>9</v>
      </c>
      <c r="K648" s="221">
        <f t="shared" si="93"/>
        <v>5.1272312951006456E-3</v>
      </c>
      <c r="L648" s="316">
        <f t="shared" si="94"/>
        <v>11.634354348651728</v>
      </c>
      <c r="M648" s="37">
        <f t="shared" si="99"/>
        <v>4.2779520939992404</v>
      </c>
      <c r="N648" s="37">
        <v>5.3869301972685886</v>
      </c>
      <c r="O648" s="947">
        <f t="shared" si="95"/>
        <v>0.82650968477022402</v>
      </c>
      <c r="P648" s="37">
        <f t="shared" si="96"/>
        <v>1.0075153057349031</v>
      </c>
      <c r="Q648" s="954">
        <f t="shared" si="100"/>
        <v>5.8923425631663855E-2</v>
      </c>
    </row>
    <row r="649" spans="1:17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>
        <f t="shared" si="97"/>
        <v>618.54</v>
      </c>
      <c r="G649" s="24">
        <v>13</v>
      </c>
      <c r="H649" s="330"/>
      <c r="I649" s="330">
        <v>1</v>
      </c>
      <c r="J649" s="40">
        <f t="shared" si="98"/>
        <v>14</v>
      </c>
      <c r="K649" s="221">
        <f t="shared" si="93"/>
        <v>7.975693125712115E-3</v>
      </c>
      <c r="L649" s="316">
        <f t="shared" si="94"/>
        <v>18.097884542347131</v>
      </c>
      <c r="M649" s="37">
        <f t="shared" si="99"/>
        <v>6.6545921462210407</v>
      </c>
      <c r="N649" s="37">
        <v>8.379669195751136</v>
      </c>
      <c r="O649" s="947">
        <f t="shared" si="95"/>
        <v>1.2856817318647928</v>
      </c>
      <c r="P649" s="37">
        <f t="shared" si="96"/>
        <v>1.5672460311431826</v>
      </c>
      <c r="Q649" s="954">
        <f t="shared" si="100"/>
        <v>5.5643657024903967E-2</v>
      </c>
    </row>
    <row r="650" spans="1:17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>
        <f t="shared" si="97"/>
        <v>473.5</v>
      </c>
      <c r="G650" s="24">
        <v>12</v>
      </c>
      <c r="H650" s="330"/>
      <c r="I650" s="330"/>
      <c r="J650" s="40">
        <f t="shared" si="98"/>
        <v>12</v>
      </c>
      <c r="K650" s="221">
        <f t="shared" si="93"/>
        <v>6.8363083934675269E-3</v>
      </c>
      <c r="L650" s="316">
        <f t="shared" si="94"/>
        <v>15.512472464868971</v>
      </c>
      <c r="M650" s="37">
        <f t="shared" si="99"/>
        <v>5.7039361253323211</v>
      </c>
      <c r="N650" s="37">
        <v>7.1825735963581181</v>
      </c>
      <c r="O650" s="947">
        <f t="shared" si="95"/>
        <v>1.1020129130269654</v>
      </c>
      <c r="P650" s="37">
        <f t="shared" si="96"/>
        <v>1.3433537409798708</v>
      </c>
      <c r="Q650" s="954">
        <f t="shared" si="100"/>
        <v>6.2304107918873024E-2</v>
      </c>
    </row>
    <row r="651" spans="1:17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>
        <f t="shared" si="97"/>
        <v>281.8</v>
      </c>
      <c r="G651" s="24">
        <v>8</v>
      </c>
      <c r="H651" s="330"/>
      <c r="I651" s="330"/>
      <c r="J651" s="40">
        <f t="shared" si="98"/>
        <v>8</v>
      </c>
      <c r="K651" s="221">
        <f t="shared" si="93"/>
        <v>4.5575389289783516E-3</v>
      </c>
      <c r="L651" s="316">
        <f t="shared" si="94"/>
        <v>10.341648309912648</v>
      </c>
      <c r="M651" s="37">
        <f t="shared" si="99"/>
        <v>3.802624083554881</v>
      </c>
      <c r="N651" s="37">
        <v>4.7883823975720787</v>
      </c>
      <c r="O651" s="947">
        <f t="shared" si="95"/>
        <v>0.73467527535131028</v>
      </c>
      <c r="P651" s="37">
        <f t="shared" si="96"/>
        <v>0.89556916065324732</v>
      </c>
      <c r="Q651" s="954">
        <f t="shared" si="100"/>
        <v>6.9791802932544056E-2</v>
      </c>
    </row>
    <row r="652" spans="1:17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>
        <f t="shared" si="97"/>
        <v>295.89999999999998</v>
      </c>
      <c r="G652" s="24">
        <v>8</v>
      </c>
      <c r="H652" s="330"/>
      <c r="I652" s="330"/>
      <c r="J652" s="40">
        <f t="shared" si="98"/>
        <v>8</v>
      </c>
      <c r="K652" s="221">
        <f t="shared" si="93"/>
        <v>4.5575389289783516E-3</v>
      </c>
      <c r="L652" s="316">
        <f t="shared" si="94"/>
        <v>10.341648309912648</v>
      </c>
      <c r="M652" s="37">
        <f t="shared" si="99"/>
        <v>3.802624083554881</v>
      </c>
      <c r="N652" s="37">
        <v>4.7883823975720787</v>
      </c>
      <c r="O652" s="947">
        <f t="shared" si="95"/>
        <v>0.73467527535131028</v>
      </c>
      <c r="P652" s="37">
        <f t="shared" si="96"/>
        <v>0.89556916065324732</v>
      </c>
      <c r="Q652" s="954">
        <f t="shared" si="100"/>
        <v>6.6466137432885833E-2</v>
      </c>
    </row>
    <row r="653" spans="1:17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>
        <f t="shared" si="97"/>
        <v>346.1</v>
      </c>
      <c r="G653" s="24">
        <v>11</v>
      </c>
      <c r="H653" s="330"/>
      <c r="I653" s="330"/>
      <c r="J653" s="40">
        <f t="shared" si="98"/>
        <v>11</v>
      </c>
      <c r="K653" s="221">
        <f t="shared" si="93"/>
        <v>6.2666160273452337E-3</v>
      </c>
      <c r="L653" s="316">
        <f t="shared" si="94"/>
        <v>14.21976642612989</v>
      </c>
      <c r="M653" s="37">
        <f t="shared" si="99"/>
        <v>5.2286081148879608</v>
      </c>
      <c r="N653" s="37">
        <v>6.5840257966616083</v>
      </c>
      <c r="O653" s="947">
        <f t="shared" si="95"/>
        <v>1.0101785036080515</v>
      </c>
      <c r="P653" s="37">
        <f t="shared" si="96"/>
        <v>1.2314075958982149</v>
      </c>
      <c r="Q653" s="954">
        <f t="shared" si="100"/>
        <v>7.8135159899703877E-2</v>
      </c>
    </row>
    <row r="654" spans="1:17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>
        <f t="shared" si="97"/>
        <v>665.4</v>
      </c>
      <c r="G654" s="24">
        <v>20</v>
      </c>
      <c r="H654" s="330"/>
      <c r="I654" s="330">
        <v>1</v>
      </c>
      <c r="J654" s="40">
        <f t="shared" si="98"/>
        <v>21</v>
      </c>
      <c r="K654" s="221">
        <f t="shared" si="93"/>
        <v>1.1963539688568173E-2</v>
      </c>
      <c r="L654" s="316">
        <f t="shared" si="94"/>
        <v>27.1468268135207</v>
      </c>
      <c r="M654" s="37">
        <f t="shared" si="99"/>
        <v>9.9818882193315623</v>
      </c>
      <c r="N654" s="37">
        <v>12.569503793626707</v>
      </c>
      <c r="O654" s="947">
        <f t="shared" si="95"/>
        <v>1.9285225977971894</v>
      </c>
      <c r="P654" s="37">
        <f t="shared" si="96"/>
        <v>2.3508690467147741</v>
      </c>
      <c r="Q654" s="954">
        <f t="shared" si="100"/>
        <v>7.7587528440451109E-2</v>
      </c>
    </row>
    <row r="655" spans="1:17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>
        <f t="shared" si="97"/>
        <v>415.51</v>
      </c>
      <c r="G655" s="24">
        <v>12</v>
      </c>
      <c r="H655" s="330"/>
      <c r="I655" s="330"/>
      <c r="J655" s="40">
        <f t="shared" si="98"/>
        <v>12</v>
      </c>
      <c r="K655" s="221">
        <f t="shared" si="93"/>
        <v>6.8363083934675269E-3</v>
      </c>
      <c r="L655" s="316">
        <f t="shared" si="94"/>
        <v>15.512472464868971</v>
      </c>
      <c r="M655" s="37">
        <f t="shared" si="99"/>
        <v>5.7039361253323211</v>
      </c>
      <c r="N655" s="37">
        <v>7.1825735963581181</v>
      </c>
      <c r="O655" s="947">
        <f t="shared" si="95"/>
        <v>1.1020129130269654</v>
      </c>
      <c r="P655" s="37">
        <f t="shared" si="96"/>
        <v>1.3433537409798708</v>
      </c>
      <c r="Q655" s="954">
        <f t="shared" si="100"/>
        <v>7.0999482803269176E-2</v>
      </c>
    </row>
    <row r="656" spans="1:17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>
        <f t="shared" si="97"/>
        <v>1654.8</v>
      </c>
      <c r="G656" s="24">
        <v>51</v>
      </c>
      <c r="H656" s="330"/>
      <c r="I656" s="330">
        <v>4</v>
      </c>
      <c r="J656" s="40">
        <f t="shared" si="98"/>
        <v>55</v>
      </c>
      <c r="K656" s="221">
        <f t="shared" si="93"/>
        <v>3.1333080136726164E-2</v>
      </c>
      <c r="L656" s="316">
        <f t="shared" si="94"/>
        <v>71.098832130649441</v>
      </c>
      <c r="M656" s="37">
        <f t="shared" si="99"/>
        <v>26.143040574439802</v>
      </c>
      <c r="N656" s="37">
        <v>32.920128983308039</v>
      </c>
      <c r="O656" s="947">
        <f t="shared" si="95"/>
        <v>5.0508925180402571</v>
      </c>
      <c r="P656" s="37">
        <f t="shared" si="96"/>
        <v>6.1570379794910739</v>
      </c>
      <c r="Q656" s="954">
        <f t="shared" si="100"/>
        <v>8.1709508222406052E-2</v>
      </c>
    </row>
    <row r="657" spans="1:17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 t="shared" si="97"/>
        <v>3220.9</v>
      </c>
      <c r="G657" s="24">
        <v>72</v>
      </c>
      <c r="H657" s="330"/>
      <c r="I657" s="330"/>
      <c r="J657" s="40">
        <f t="shared" si="98"/>
        <v>72</v>
      </c>
      <c r="K657" s="221">
        <f t="shared" si="93"/>
        <v>4.1017850360805165E-2</v>
      </c>
      <c r="L657" s="316">
        <f t="shared" si="94"/>
        <v>93.074834789213824</v>
      </c>
      <c r="M657" s="37">
        <f t="shared" si="99"/>
        <v>34.223616751993923</v>
      </c>
      <c r="N657" s="37">
        <v>43.095441578148709</v>
      </c>
      <c r="O657" s="947">
        <f t="shared" si="95"/>
        <v>6.6120774781617921</v>
      </c>
      <c r="P657" s="37">
        <f t="shared" si="96"/>
        <v>8.0601224458792249</v>
      </c>
      <c r="Q657" s="954">
        <f t="shared" si="100"/>
        <v>5.4955438106590773E-2</v>
      </c>
    </row>
    <row r="658" spans="1:17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 t="shared" si="97"/>
        <v>3593.47</v>
      </c>
      <c r="G658" s="24">
        <v>80</v>
      </c>
      <c r="H658" s="330"/>
      <c r="I658" s="330"/>
      <c r="J658" s="40">
        <f t="shared" si="98"/>
        <v>80</v>
      </c>
      <c r="K658" s="221">
        <f t="shared" si="93"/>
        <v>4.5575389289783517E-2</v>
      </c>
      <c r="L658" s="316">
        <f t="shared" si="94"/>
        <v>103.41648309912648</v>
      </c>
      <c r="M658" s="37">
        <f t="shared" si="99"/>
        <v>38.026240835548812</v>
      </c>
      <c r="N658" s="37">
        <v>47.883823975720794</v>
      </c>
      <c r="O658" s="947">
        <f t="shared" si="95"/>
        <v>7.3467527535131021</v>
      </c>
      <c r="P658" s="37">
        <f t="shared" si="96"/>
        <v>8.9556916065324721</v>
      </c>
      <c r="Q658" s="954">
        <f t="shared" si="100"/>
        <v>5.4730747902141712E-2</v>
      </c>
    </row>
    <row r="659" spans="1:17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 t="shared" si="97"/>
        <v>5258.9</v>
      </c>
      <c r="G659" s="24">
        <v>119</v>
      </c>
      <c r="H659" s="330"/>
      <c r="I659" s="330"/>
      <c r="J659" s="40">
        <f t="shared" si="98"/>
        <v>119</v>
      </c>
      <c r="K659" s="221">
        <f t="shared" si="93"/>
        <v>6.7793391568552977E-2</v>
      </c>
      <c r="L659" s="316">
        <f t="shared" si="94"/>
        <v>153.83201860995064</v>
      </c>
      <c r="M659" s="37">
        <f t="shared" si="99"/>
        <v>56.564033242878857</v>
      </c>
      <c r="N659" s="37">
        <v>71.227188163884676</v>
      </c>
      <c r="O659" s="947">
        <f t="shared" si="95"/>
        <v>10.928294720850738</v>
      </c>
      <c r="P659" s="37">
        <f t="shared" si="96"/>
        <v>13.321591264717052</v>
      </c>
      <c r="Q659" s="954">
        <f t="shared" si="100"/>
        <v>5.5629796105186431E-2</v>
      </c>
    </row>
    <row r="660" spans="1:17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 t="shared" si="97"/>
        <v>3743.95</v>
      </c>
      <c r="G660" s="24">
        <v>90</v>
      </c>
      <c r="H660" s="330"/>
      <c r="I660" s="330"/>
      <c r="J660" s="40">
        <f t="shared" si="98"/>
        <v>90</v>
      </c>
      <c r="K660" s="221">
        <f t="shared" si="93"/>
        <v>5.1272312951006455E-2</v>
      </c>
      <c r="L660" s="316">
        <f t="shared" si="94"/>
        <v>116.34354348651728</v>
      </c>
      <c r="M660" s="37">
        <f t="shared" si="99"/>
        <v>42.779520939992409</v>
      </c>
      <c r="N660" s="37">
        <v>53.869301972685882</v>
      </c>
      <c r="O660" s="947">
        <f t="shared" si="95"/>
        <v>8.2650968477022406</v>
      </c>
      <c r="P660" s="37">
        <f t="shared" si="96"/>
        <v>10.075153057349032</v>
      </c>
      <c r="Q660" s="954">
        <f t="shared" si="100"/>
        <v>5.9097333897861308E-2</v>
      </c>
    </row>
    <row r="661" spans="1:17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>
        <f t="shared" si="97"/>
        <v>3185.57</v>
      </c>
      <c r="G661" s="24">
        <v>77</v>
      </c>
      <c r="H661" s="330"/>
      <c r="I661" s="330">
        <v>1</v>
      </c>
      <c r="J661" s="40">
        <f t="shared" si="98"/>
        <v>78</v>
      </c>
      <c r="K661" s="221">
        <f t="shared" si="93"/>
        <v>4.4436004557538926E-2</v>
      </c>
      <c r="L661" s="316">
        <f t="shared" si="94"/>
        <v>100.83107102164831</v>
      </c>
      <c r="M661" s="37">
        <f t="shared" si="99"/>
        <v>37.07558481466009</v>
      </c>
      <c r="N661" s="37">
        <v>46.686728376327771</v>
      </c>
      <c r="O661" s="947">
        <f t="shared" si="95"/>
        <v>7.1630839346752744</v>
      </c>
      <c r="P661" s="37">
        <f t="shared" si="96"/>
        <v>8.7317993163691607</v>
      </c>
      <c r="Q661" s="954">
        <f t="shared" si="100"/>
        <v>6.0195339655795183E-2</v>
      </c>
    </row>
    <row r="662" spans="1:17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>
        <f t="shared" si="97"/>
        <v>272.89999999999998</v>
      </c>
      <c r="G662" s="24">
        <v>9</v>
      </c>
      <c r="H662" s="330"/>
      <c r="I662" s="330"/>
      <c r="J662" s="40">
        <f t="shared" si="98"/>
        <v>9</v>
      </c>
      <c r="K662" s="221">
        <f t="shared" si="93"/>
        <v>5.1272312951006456E-3</v>
      </c>
      <c r="L662" s="316">
        <f t="shared" si="94"/>
        <v>11.634354348651728</v>
      </c>
      <c r="M662" s="37">
        <f t="shared" si="99"/>
        <v>4.2779520939992404</v>
      </c>
      <c r="N662" s="37">
        <v>5.3869301972685886</v>
      </c>
      <c r="O662" s="947">
        <f t="shared" si="95"/>
        <v>0.82650968477022402</v>
      </c>
      <c r="P662" s="37">
        <f t="shared" si="96"/>
        <v>1.0075153057349031</v>
      </c>
      <c r="Q662" s="954">
        <f t="shared" si="100"/>
        <v>8.107638814470422E-2</v>
      </c>
    </row>
    <row r="663" spans="1:17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>
        <f t="shared" si="97"/>
        <v>604.1</v>
      </c>
      <c r="G663" s="24">
        <v>19</v>
      </c>
      <c r="H663" s="330"/>
      <c r="I663" s="330"/>
      <c r="J663" s="40">
        <f t="shared" si="98"/>
        <v>19</v>
      </c>
      <c r="K663" s="221">
        <f t="shared" si="93"/>
        <v>1.0824154956323585E-2</v>
      </c>
      <c r="L663" s="316">
        <f t="shared" si="94"/>
        <v>24.56141473604254</v>
      </c>
      <c r="M663" s="37">
        <f t="shared" si="99"/>
        <v>9.0312321984428419</v>
      </c>
      <c r="N663" s="37">
        <v>11.372408194233687</v>
      </c>
      <c r="O663" s="947">
        <f t="shared" si="95"/>
        <v>1.7448537789593619</v>
      </c>
      <c r="P663" s="37">
        <f t="shared" si="96"/>
        <v>2.1269767565514623</v>
      </c>
      <c r="Q663" s="954">
        <f t="shared" si="100"/>
        <v>7.7321484700676082E-2</v>
      </c>
    </row>
    <row r="664" spans="1:17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>
        <f t="shared" si="97"/>
        <v>464.8</v>
      </c>
      <c r="G664" s="24">
        <v>12</v>
      </c>
      <c r="H664" s="330"/>
      <c r="I664" s="330"/>
      <c r="J664" s="40">
        <f t="shared" si="98"/>
        <v>12</v>
      </c>
      <c r="K664" s="221">
        <f t="shared" si="93"/>
        <v>6.8363083934675269E-3</v>
      </c>
      <c r="L664" s="316">
        <f t="shared" si="94"/>
        <v>15.512472464868971</v>
      </c>
      <c r="M664" s="37">
        <f t="shared" si="99"/>
        <v>5.7039361253323211</v>
      </c>
      <c r="N664" s="37">
        <v>7.1825735963581181</v>
      </c>
      <c r="O664" s="947">
        <f t="shared" si="95"/>
        <v>1.1020129130269654</v>
      </c>
      <c r="P664" s="37">
        <f t="shared" si="96"/>
        <v>1.3433537409798708</v>
      </c>
      <c r="Q664" s="954">
        <f t="shared" si="100"/>
        <v>6.347029926761269E-2</v>
      </c>
    </row>
    <row r="665" spans="1:17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>
        <f t="shared" si="97"/>
        <v>83.39</v>
      </c>
      <c r="G665" s="24">
        <v>12</v>
      </c>
      <c r="H665" s="330"/>
      <c r="I665" s="330"/>
      <c r="J665" s="40">
        <f>G665+H665+I665</f>
        <v>12</v>
      </c>
      <c r="K665" s="221">
        <f t="shared" ref="K665:K728" si="101">3/5266*J665</f>
        <v>6.8363083934675269E-3</v>
      </c>
      <c r="L665" s="316">
        <f t="shared" ref="L665:L728" si="102">K665*2269.13</f>
        <v>15.512472464868971</v>
      </c>
      <c r="M665" s="37">
        <f t="shared" si="99"/>
        <v>5.7039361253323211</v>
      </c>
      <c r="N665" s="37">
        <v>7.1825735963581181</v>
      </c>
      <c r="O665" s="947">
        <f t="shared" ref="O665:O703" si="103">K665*161.2</f>
        <v>1.1020129130269654</v>
      </c>
      <c r="P665" s="37">
        <f t="shared" si="96"/>
        <v>1.3433537409798708</v>
      </c>
      <c r="Q665" s="954">
        <f>(O665+N665+M665+L665)/F665</f>
        <v>0.35377137665890845</v>
      </c>
    </row>
    <row r="666" spans="1:17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>
        <f t="shared" si="97"/>
        <v>489.6</v>
      </c>
      <c r="G666" s="24">
        <v>13</v>
      </c>
      <c r="H666" s="330"/>
      <c r="I666" s="330"/>
      <c r="J666" s="40">
        <f t="shared" si="98"/>
        <v>13</v>
      </c>
      <c r="K666" s="221">
        <f t="shared" si="101"/>
        <v>7.406000759589821E-3</v>
      </c>
      <c r="L666" s="316">
        <f t="shared" si="102"/>
        <v>16.805178503608051</v>
      </c>
      <c r="M666" s="37">
        <f t="shared" si="99"/>
        <v>6.1792641357766804</v>
      </c>
      <c r="N666" s="37">
        <v>7.7811213960546279</v>
      </c>
      <c r="O666" s="947">
        <f t="shared" si="103"/>
        <v>1.193847322445879</v>
      </c>
      <c r="P666" s="37">
        <f t="shared" si="96"/>
        <v>1.4552998860615265</v>
      </c>
      <c r="Q666" s="954">
        <f t="shared" si="100"/>
        <v>6.5276575485876703E-2</v>
      </c>
    </row>
    <row r="667" spans="1:17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>
        <f t="shared" si="97"/>
        <v>127.92</v>
      </c>
      <c r="G667" s="24">
        <v>3</v>
      </c>
      <c r="H667" s="330"/>
      <c r="I667" s="330"/>
      <c r="J667" s="40">
        <f t="shared" si="98"/>
        <v>3</v>
      </c>
      <c r="K667" s="221">
        <f t="shared" si="101"/>
        <v>1.7090770983668817E-3</v>
      </c>
      <c r="L667" s="316">
        <f t="shared" si="102"/>
        <v>3.8781181162172427</v>
      </c>
      <c r="M667" s="37">
        <f t="shared" si="99"/>
        <v>1.4259840313330803</v>
      </c>
      <c r="N667" s="37">
        <v>1.7956433990895295</v>
      </c>
      <c r="O667" s="947">
        <f t="shared" si="103"/>
        <v>0.27550322825674134</v>
      </c>
      <c r="P667" s="37">
        <f t="shared" si="96"/>
        <v>0.3358384352449677</v>
      </c>
      <c r="Q667" s="954">
        <f t="shared" si="100"/>
        <v>5.7655165532337349E-2</v>
      </c>
    </row>
    <row r="668" spans="1:17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>
        <f t="shared" si="97"/>
        <v>129.1</v>
      </c>
      <c r="G668" s="24">
        <v>4</v>
      </c>
      <c r="H668" s="330"/>
      <c r="I668" s="330"/>
      <c r="J668" s="40">
        <f t="shared" si="98"/>
        <v>4</v>
      </c>
      <c r="K668" s="221">
        <f t="shared" si="101"/>
        <v>2.2787694644891758E-3</v>
      </c>
      <c r="L668" s="316">
        <f t="shared" si="102"/>
        <v>5.1708241549563239</v>
      </c>
      <c r="M668" s="37">
        <f t="shared" si="99"/>
        <v>1.9013120417774405</v>
      </c>
      <c r="N668" s="37">
        <v>2.3941911987860394</v>
      </c>
      <c r="O668" s="947">
        <f t="shared" si="103"/>
        <v>0.36733763767565514</v>
      </c>
      <c r="P668" s="37">
        <f t="shared" si="96"/>
        <v>0.44778458032662366</v>
      </c>
      <c r="Q668" s="954">
        <f t="shared" si="100"/>
        <v>7.6170914277269242E-2</v>
      </c>
    </row>
    <row r="669" spans="1:17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>
        <f t="shared" si="97"/>
        <v>136.4</v>
      </c>
      <c r="G669" s="24">
        <v>4</v>
      </c>
      <c r="H669" s="330"/>
      <c r="I669" s="330"/>
      <c r="J669" s="40">
        <f t="shared" si="98"/>
        <v>4</v>
      </c>
      <c r="K669" s="221">
        <f t="shared" si="101"/>
        <v>2.2787694644891758E-3</v>
      </c>
      <c r="L669" s="316">
        <f t="shared" si="102"/>
        <v>5.1708241549563239</v>
      </c>
      <c r="M669" s="37">
        <f t="shared" si="99"/>
        <v>1.9013120417774405</v>
      </c>
      <c r="N669" s="37">
        <v>2.3941911987860394</v>
      </c>
      <c r="O669" s="947">
        <f t="shared" si="103"/>
        <v>0.36733763767565514</v>
      </c>
      <c r="P669" s="37">
        <f t="shared" ref="P669:P732" si="104">O669*1.219</f>
        <v>0.44778458032662366</v>
      </c>
      <c r="Q669" s="954">
        <f t="shared" si="100"/>
        <v>7.209431842518664E-2</v>
      </c>
    </row>
    <row r="670" spans="1:17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>
        <f t="shared" si="97"/>
        <v>68.2</v>
      </c>
      <c r="G670" s="24">
        <v>2</v>
      </c>
      <c r="H670" s="330"/>
      <c r="I670" s="330"/>
      <c r="J670" s="40">
        <f t="shared" si="98"/>
        <v>2</v>
      </c>
      <c r="K670" s="221">
        <f t="shared" si="101"/>
        <v>1.1393847322445879E-3</v>
      </c>
      <c r="L670" s="316">
        <f t="shared" si="102"/>
        <v>2.5854120774781619</v>
      </c>
      <c r="M670" s="37">
        <f t="shared" si="99"/>
        <v>0.95065602088872025</v>
      </c>
      <c r="N670" s="37">
        <v>1.1970955993930197</v>
      </c>
      <c r="O670" s="947">
        <f t="shared" si="103"/>
        <v>0.18366881883782757</v>
      </c>
      <c r="P670" s="37">
        <f t="shared" si="104"/>
        <v>0.22389229016331183</v>
      </c>
      <c r="Q670" s="954">
        <f t="shared" si="100"/>
        <v>7.209431842518664E-2</v>
      </c>
    </row>
    <row r="671" spans="1:17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>
        <f t="shared" si="97"/>
        <v>117.1</v>
      </c>
      <c r="G671" s="24">
        <v>4</v>
      </c>
      <c r="H671" s="330"/>
      <c r="I671" s="330"/>
      <c r="J671" s="40">
        <f t="shared" si="98"/>
        <v>4</v>
      </c>
      <c r="K671" s="221">
        <f t="shared" si="101"/>
        <v>2.2787694644891758E-3</v>
      </c>
      <c r="L671" s="316">
        <f t="shared" si="102"/>
        <v>5.1708241549563239</v>
      </c>
      <c r="M671" s="37">
        <f t="shared" si="99"/>
        <v>1.9013120417774405</v>
      </c>
      <c r="N671" s="37">
        <v>2.3941911987860394</v>
      </c>
      <c r="O671" s="947">
        <f t="shared" si="103"/>
        <v>0.36733763767565514</v>
      </c>
      <c r="P671" s="37">
        <f t="shared" si="104"/>
        <v>0.44778458032662366</v>
      </c>
      <c r="Q671" s="954">
        <f t="shared" si="100"/>
        <v>8.3976644177587184E-2</v>
      </c>
    </row>
    <row r="672" spans="1:17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>
        <f t="shared" si="97"/>
        <v>291.16000000000003</v>
      </c>
      <c r="G672" s="24">
        <v>11</v>
      </c>
      <c r="H672" s="330"/>
      <c r="I672" s="330"/>
      <c r="J672" s="40">
        <f t="shared" si="98"/>
        <v>11</v>
      </c>
      <c r="K672" s="221">
        <f t="shared" si="101"/>
        <v>6.2666160273452337E-3</v>
      </c>
      <c r="L672" s="316">
        <f t="shared" si="102"/>
        <v>14.21976642612989</v>
      </c>
      <c r="M672" s="37">
        <f t="shared" si="99"/>
        <v>5.2286081148879608</v>
      </c>
      <c r="N672" s="37">
        <v>6.5840257966616083</v>
      </c>
      <c r="O672" s="947">
        <f t="shared" si="103"/>
        <v>1.0101785036080515</v>
      </c>
      <c r="P672" s="37">
        <f t="shared" si="104"/>
        <v>1.2314075958982149</v>
      </c>
      <c r="Q672" s="954">
        <f t="shared" si="100"/>
        <v>9.2878756839152046E-2</v>
      </c>
    </row>
    <row r="673" spans="1:17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>
        <f t="shared" si="97"/>
        <v>455.20000000000005</v>
      </c>
      <c r="G673" s="24">
        <v>9</v>
      </c>
      <c r="H673" s="330">
        <v>1</v>
      </c>
      <c r="I673" s="330"/>
      <c r="J673" s="40">
        <f t="shared" si="98"/>
        <v>10</v>
      </c>
      <c r="K673" s="221">
        <f t="shared" si="101"/>
        <v>5.6969236612229397E-3</v>
      </c>
      <c r="L673" s="316">
        <f t="shared" si="102"/>
        <v>12.92706038739081</v>
      </c>
      <c r="M673" s="37">
        <f t="shared" si="99"/>
        <v>4.7532801044436015</v>
      </c>
      <c r="N673" s="37">
        <v>5.9854779969650993</v>
      </c>
      <c r="O673" s="947">
        <f t="shared" si="103"/>
        <v>0.91834409418913776</v>
      </c>
      <c r="P673" s="37">
        <f t="shared" si="104"/>
        <v>1.119461450816559</v>
      </c>
      <c r="Q673" s="954">
        <f t="shared" si="100"/>
        <v>5.4007387045229886E-2</v>
      </c>
    </row>
    <row r="674" spans="1:17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>
        <f t="shared" si="97"/>
        <v>120</v>
      </c>
      <c r="G674" s="24">
        <v>4</v>
      </c>
      <c r="H674" s="330"/>
      <c r="I674" s="330"/>
      <c r="J674" s="40">
        <f t="shared" si="98"/>
        <v>4</v>
      </c>
      <c r="K674" s="221">
        <f t="shared" si="101"/>
        <v>2.2787694644891758E-3</v>
      </c>
      <c r="L674" s="316">
        <f t="shared" si="102"/>
        <v>5.1708241549563239</v>
      </c>
      <c r="M674" s="37">
        <f t="shared" si="99"/>
        <v>1.9013120417774405</v>
      </c>
      <c r="N674" s="37">
        <v>2.3941911987860394</v>
      </c>
      <c r="O674" s="947">
        <f t="shared" si="103"/>
        <v>0.36733763767565514</v>
      </c>
      <c r="P674" s="37">
        <f t="shared" si="104"/>
        <v>0.44778458032662366</v>
      </c>
      <c r="Q674" s="954">
        <f t="shared" si="100"/>
        <v>8.1947208609962158E-2</v>
      </c>
    </row>
    <row r="675" spans="1:17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>
        <f t="shared" si="97"/>
        <v>390.8</v>
      </c>
      <c r="G675" s="24">
        <v>6</v>
      </c>
      <c r="H675" s="330"/>
      <c r="I675" s="330"/>
      <c r="J675" s="40">
        <f t="shared" si="98"/>
        <v>6</v>
      </c>
      <c r="K675" s="221">
        <f t="shared" si="101"/>
        <v>3.4181541967337635E-3</v>
      </c>
      <c r="L675" s="316">
        <f t="shared" si="102"/>
        <v>7.7562362324344853</v>
      </c>
      <c r="M675" s="37">
        <f t="shared" si="99"/>
        <v>2.8519680626661605</v>
      </c>
      <c r="N675" s="37">
        <v>3.591286798179059</v>
      </c>
      <c r="O675" s="947">
        <f t="shared" si="103"/>
        <v>0.55100645651348268</v>
      </c>
      <c r="P675" s="37">
        <f t="shared" si="104"/>
        <v>0.67167687048993541</v>
      </c>
      <c r="Q675" s="954">
        <f t="shared" si="100"/>
        <v>3.7744364252285535E-2</v>
      </c>
    </row>
    <row r="676" spans="1:17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>
        <f t="shared" si="97"/>
        <v>105.1</v>
      </c>
      <c r="G676" s="24">
        <v>3</v>
      </c>
      <c r="H676" s="330"/>
      <c r="I676" s="330"/>
      <c r="J676" s="40">
        <f t="shared" si="98"/>
        <v>3</v>
      </c>
      <c r="K676" s="221">
        <f t="shared" si="101"/>
        <v>1.7090770983668817E-3</v>
      </c>
      <c r="L676" s="316">
        <f t="shared" si="102"/>
        <v>3.8781181162172427</v>
      </c>
      <c r="M676" s="37">
        <f t="shared" si="99"/>
        <v>1.4259840313330803</v>
      </c>
      <c r="N676" s="37">
        <v>1.7956433990895295</v>
      </c>
      <c r="O676" s="947">
        <f t="shared" si="103"/>
        <v>0.27550322825674134</v>
      </c>
      <c r="P676" s="37">
        <f t="shared" si="104"/>
        <v>0.3358384352449677</v>
      </c>
      <c r="Q676" s="954">
        <f t="shared" si="100"/>
        <v>7.0173632491880064E-2</v>
      </c>
    </row>
    <row r="677" spans="1:17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>
        <f t="shared" si="97"/>
        <v>168.5</v>
      </c>
      <c r="G677" s="24">
        <v>4</v>
      </c>
      <c r="H677" s="330"/>
      <c r="I677" s="330"/>
      <c r="J677" s="40">
        <f t="shared" si="98"/>
        <v>4</v>
      </c>
      <c r="K677" s="221">
        <f t="shared" si="101"/>
        <v>2.2787694644891758E-3</v>
      </c>
      <c r="L677" s="316">
        <f t="shared" si="102"/>
        <v>5.1708241549563239</v>
      </c>
      <c r="M677" s="37">
        <f t="shared" si="99"/>
        <v>1.9013120417774405</v>
      </c>
      <c r="N677" s="37">
        <v>2.3941911987860394</v>
      </c>
      <c r="O677" s="947">
        <f t="shared" si="103"/>
        <v>0.36733763767565514</v>
      </c>
      <c r="P677" s="37">
        <f t="shared" si="104"/>
        <v>0.44778458032662366</v>
      </c>
      <c r="Q677" s="954">
        <f t="shared" si="100"/>
        <v>5.8360029870596193E-2</v>
      </c>
    </row>
    <row r="678" spans="1:17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>
        <f t="shared" si="97"/>
        <v>73.3</v>
      </c>
      <c r="G678" s="24">
        <v>1</v>
      </c>
      <c r="H678" s="330"/>
      <c r="I678" s="330"/>
      <c r="J678" s="40">
        <f t="shared" si="98"/>
        <v>1</v>
      </c>
      <c r="K678" s="221">
        <f t="shared" si="101"/>
        <v>5.6969236612229395E-4</v>
      </c>
      <c r="L678" s="316">
        <f t="shared" si="102"/>
        <v>1.292706038739081</v>
      </c>
      <c r="M678" s="37">
        <f t="shared" si="99"/>
        <v>0.47532801044436013</v>
      </c>
      <c r="N678" s="37">
        <v>0.59854779969650984</v>
      </c>
      <c r="O678" s="947">
        <f t="shared" si="103"/>
        <v>9.1834409418913784E-2</v>
      </c>
      <c r="P678" s="37">
        <f t="shared" si="104"/>
        <v>0.11194614508165592</v>
      </c>
      <c r="Q678" s="954">
        <f t="shared" si="100"/>
        <v>3.353910311458206E-2</v>
      </c>
    </row>
    <row r="679" spans="1:17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>
        <f t="shared" si="97"/>
        <v>87.3</v>
      </c>
      <c r="G679" s="24">
        <v>2</v>
      </c>
      <c r="H679" s="330"/>
      <c r="I679" s="330"/>
      <c r="J679" s="40">
        <f t="shared" si="98"/>
        <v>2</v>
      </c>
      <c r="K679" s="221">
        <f t="shared" si="101"/>
        <v>1.1393847322445879E-3</v>
      </c>
      <c r="L679" s="316">
        <f t="shared" si="102"/>
        <v>2.5854120774781619</v>
      </c>
      <c r="M679" s="37">
        <f t="shared" si="99"/>
        <v>0.95065602088872025</v>
      </c>
      <c r="N679" s="37">
        <v>1.1970955993930197</v>
      </c>
      <c r="O679" s="947">
        <f t="shared" si="103"/>
        <v>0.18366881883782757</v>
      </c>
      <c r="P679" s="37">
        <f t="shared" si="104"/>
        <v>0.22389229016331183</v>
      </c>
      <c r="Q679" s="954">
        <f t="shared" si="100"/>
        <v>5.6321105573857153E-2</v>
      </c>
    </row>
    <row r="680" spans="1:17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>
        <f t="shared" si="97"/>
        <v>227.3</v>
      </c>
      <c r="G680" s="24">
        <v>5</v>
      </c>
      <c r="H680" s="330"/>
      <c r="I680" s="330"/>
      <c r="J680" s="40">
        <f t="shared" si="98"/>
        <v>5</v>
      </c>
      <c r="K680" s="221">
        <f t="shared" si="101"/>
        <v>2.8484618306114698E-3</v>
      </c>
      <c r="L680" s="316">
        <f t="shared" si="102"/>
        <v>6.463530193695405</v>
      </c>
      <c r="M680" s="37">
        <f t="shared" si="99"/>
        <v>2.3766400522218007</v>
      </c>
      <c r="N680" s="37">
        <v>3.4915288315629742</v>
      </c>
      <c r="O680" s="947">
        <f t="shared" si="103"/>
        <v>0.45917204709456888</v>
      </c>
      <c r="P680" s="37">
        <f t="shared" si="104"/>
        <v>0.55973072540827951</v>
      </c>
      <c r="Q680" s="954">
        <f t="shared" si="100"/>
        <v>5.6273080178507476E-2</v>
      </c>
    </row>
    <row r="681" spans="1:17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>
        <f t="shared" si="97"/>
        <v>53.5</v>
      </c>
      <c r="G681" s="24">
        <v>2</v>
      </c>
      <c r="H681" s="330"/>
      <c r="I681" s="330"/>
      <c r="J681" s="40">
        <f t="shared" si="98"/>
        <v>2</v>
      </c>
      <c r="K681" s="221">
        <f t="shared" si="101"/>
        <v>1.1393847322445879E-3</v>
      </c>
      <c r="L681" s="316">
        <f t="shared" si="102"/>
        <v>2.5854120774781619</v>
      </c>
      <c r="M681" s="37">
        <f t="shared" si="99"/>
        <v>0.95065602088872025</v>
      </c>
      <c r="N681" s="37">
        <v>1.1970955993930197</v>
      </c>
      <c r="O681" s="947">
        <f t="shared" si="103"/>
        <v>0.18366881883782757</v>
      </c>
      <c r="P681" s="37">
        <f t="shared" si="104"/>
        <v>0.22389229016331183</v>
      </c>
      <c r="Q681" s="954">
        <f t="shared" si="100"/>
        <v>9.19034115251912E-2</v>
      </c>
    </row>
    <row r="682" spans="1:17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>
        <f t="shared" si="97"/>
        <v>1851.82</v>
      </c>
      <c r="G682" s="24">
        <v>40</v>
      </c>
      <c r="H682" s="330"/>
      <c r="I682" s="330"/>
      <c r="J682" s="40">
        <f t="shared" si="98"/>
        <v>40</v>
      </c>
      <c r="K682" s="221">
        <f t="shared" si="101"/>
        <v>2.2787694644891759E-2</v>
      </c>
      <c r="L682" s="316">
        <f t="shared" si="102"/>
        <v>51.70824154956324</v>
      </c>
      <c r="M682" s="37">
        <f t="shared" si="99"/>
        <v>19.013120417774406</v>
      </c>
      <c r="N682" s="37">
        <v>23.941911987860397</v>
      </c>
      <c r="O682" s="947">
        <f t="shared" si="103"/>
        <v>3.673376376756551</v>
      </c>
      <c r="P682" s="37">
        <f t="shared" si="104"/>
        <v>4.477845803266236</v>
      </c>
      <c r="Q682" s="954">
        <f t="shared" si="100"/>
        <v>5.3102704545773663E-2</v>
      </c>
    </row>
    <row r="683" spans="1:17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>
        <f t="shared" si="97"/>
        <v>933.25</v>
      </c>
      <c r="G683" s="24">
        <v>24</v>
      </c>
      <c r="H683" s="330"/>
      <c r="I683" s="330"/>
      <c r="J683" s="40">
        <f t="shared" si="98"/>
        <v>24</v>
      </c>
      <c r="K683" s="221">
        <f t="shared" si="101"/>
        <v>1.3672616786935054E-2</v>
      </c>
      <c r="L683" s="316">
        <f t="shared" si="102"/>
        <v>31.024944929737941</v>
      </c>
      <c r="M683" s="37">
        <f t="shared" si="99"/>
        <v>11.407872250664642</v>
      </c>
      <c r="N683" s="37">
        <v>14.365147192716236</v>
      </c>
      <c r="O683" s="947">
        <f t="shared" si="103"/>
        <v>2.2040258260539307</v>
      </c>
      <c r="P683" s="37">
        <f t="shared" si="104"/>
        <v>2.6867074819597416</v>
      </c>
      <c r="Q683" s="954">
        <f t="shared" si="100"/>
        <v>6.3222062897586667E-2</v>
      </c>
    </row>
    <row r="684" spans="1:17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>
        <f t="shared" si="97"/>
        <v>1158.5</v>
      </c>
      <c r="G684" s="24">
        <v>27</v>
      </c>
      <c r="H684" s="330"/>
      <c r="I684" s="330"/>
      <c r="J684" s="40">
        <f t="shared" si="98"/>
        <v>27</v>
      </c>
      <c r="K684" s="221">
        <f t="shared" si="101"/>
        <v>1.5381693885301936E-2</v>
      </c>
      <c r="L684" s="316">
        <f t="shared" si="102"/>
        <v>34.903063045955186</v>
      </c>
      <c r="M684" s="37">
        <f t="shared" si="99"/>
        <v>12.833856281997722</v>
      </c>
      <c r="N684" s="37">
        <v>16.160790591805767</v>
      </c>
      <c r="O684" s="947">
        <f t="shared" si="103"/>
        <v>2.4795290543106718</v>
      </c>
      <c r="P684" s="37">
        <f t="shared" si="104"/>
        <v>3.0225459172047091</v>
      </c>
      <c r="Q684" s="954">
        <f t="shared" si="100"/>
        <v>5.7295847193844923E-2</v>
      </c>
    </row>
    <row r="685" spans="1:17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 t="shared" si="97"/>
        <v>3775.6499999999996</v>
      </c>
      <c r="G685" s="24">
        <v>70</v>
      </c>
      <c r="H685" s="330"/>
      <c r="I685" s="330">
        <v>1</v>
      </c>
      <c r="J685" s="40">
        <f t="shared" si="98"/>
        <v>71</v>
      </c>
      <c r="K685" s="221">
        <f t="shared" si="101"/>
        <v>4.0448157994682869E-2</v>
      </c>
      <c r="L685" s="316">
        <f t="shared" si="102"/>
        <v>91.78212875047474</v>
      </c>
      <c r="M685" s="37">
        <f t="shared" si="99"/>
        <v>33.748288741549565</v>
      </c>
      <c r="N685" s="37">
        <v>42.496893778452197</v>
      </c>
      <c r="O685" s="947">
        <f t="shared" si="103"/>
        <v>6.5202430687428778</v>
      </c>
      <c r="P685" s="37">
        <f t="shared" si="104"/>
        <v>7.9481763007975683</v>
      </c>
      <c r="Q685" s="954">
        <f t="shared" si="100"/>
        <v>4.6229802640398186E-2</v>
      </c>
    </row>
    <row r="686" spans="1:17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>
        <f t="shared" si="97"/>
        <v>79.3</v>
      </c>
      <c r="G686" s="24">
        <v>2</v>
      </c>
      <c r="H686" s="330"/>
      <c r="I686" s="330"/>
      <c r="J686" s="40">
        <f t="shared" si="98"/>
        <v>2</v>
      </c>
      <c r="K686" s="221">
        <f t="shared" si="101"/>
        <v>1.1393847322445879E-3</v>
      </c>
      <c r="L686" s="316">
        <f t="shared" si="102"/>
        <v>2.5854120774781619</v>
      </c>
      <c r="M686" s="37">
        <f t="shared" si="99"/>
        <v>0.95065602088872025</v>
      </c>
      <c r="N686" s="37">
        <v>1.1970955993930197</v>
      </c>
      <c r="O686" s="947">
        <f t="shared" si="103"/>
        <v>0.18366881883782757</v>
      </c>
      <c r="P686" s="37">
        <f t="shared" si="104"/>
        <v>0.22389229016331183</v>
      </c>
      <c r="Q686" s="954">
        <f t="shared" si="100"/>
        <v>6.2002932113464436E-2</v>
      </c>
    </row>
    <row r="687" spans="1:17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>
        <f t="shared" si="97"/>
        <v>377.9</v>
      </c>
      <c r="G687" s="24">
        <v>8</v>
      </c>
      <c r="H687" s="330"/>
      <c r="I687" s="330"/>
      <c r="J687" s="40">
        <f t="shared" si="98"/>
        <v>8</v>
      </c>
      <c r="K687" s="221">
        <f t="shared" si="101"/>
        <v>4.5575389289783516E-3</v>
      </c>
      <c r="L687" s="316">
        <f t="shared" si="102"/>
        <v>10.341648309912648</v>
      </c>
      <c r="M687" s="37">
        <f t="shared" si="99"/>
        <v>3.802624083554881</v>
      </c>
      <c r="N687" s="37">
        <v>4.7883823975720787</v>
      </c>
      <c r="O687" s="947">
        <f t="shared" si="103"/>
        <v>0.73467527535131028</v>
      </c>
      <c r="P687" s="37">
        <f t="shared" si="104"/>
        <v>0.89556916065324732</v>
      </c>
      <c r="Q687" s="954">
        <f t="shared" si="100"/>
        <v>5.2043741906300393E-2</v>
      </c>
    </row>
    <row r="688" spans="1:17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>
        <f t="shared" si="97"/>
        <v>86.1</v>
      </c>
      <c r="G688" s="24">
        <v>2</v>
      </c>
      <c r="H688" s="330"/>
      <c r="I688" s="330"/>
      <c r="J688" s="40">
        <f t="shared" si="98"/>
        <v>2</v>
      </c>
      <c r="K688" s="221">
        <f t="shared" si="101"/>
        <v>1.1393847322445879E-3</v>
      </c>
      <c r="L688" s="316">
        <f t="shared" si="102"/>
        <v>2.5854120774781619</v>
      </c>
      <c r="M688" s="37">
        <f t="shared" si="99"/>
        <v>0.95065602088872025</v>
      </c>
      <c r="N688" s="37">
        <v>1.1970955993930197</v>
      </c>
      <c r="O688" s="947">
        <f t="shared" si="103"/>
        <v>0.18366881883782757</v>
      </c>
      <c r="P688" s="37">
        <f t="shared" si="104"/>
        <v>0.22389229016331183</v>
      </c>
      <c r="Q688" s="954">
        <f t="shared" si="100"/>
        <v>5.7106068717743666E-2</v>
      </c>
    </row>
    <row r="689" spans="1:17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>
        <f t="shared" si="97"/>
        <v>59.7</v>
      </c>
      <c r="G689" s="24">
        <v>2</v>
      </c>
      <c r="H689" s="330"/>
      <c r="I689" s="330"/>
      <c r="J689" s="40">
        <f t="shared" si="98"/>
        <v>2</v>
      </c>
      <c r="K689" s="221">
        <f t="shared" si="101"/>
        <v>1.1393847322445879E-3</v>
      </c>
      <c r="L689" s="316">
        <f t="shared" si="102"/>
        <v>2.5854120774781619</v>
      </c>
      <c r="M689" s="37">
        <f t="shared" si="99"/>
        <v>0.95065602088872025</v>
      </c>
      <c r="N689" s="37">
        <v>1.1970955993930197</v>
      </c>
      <c r="O689" s="947">
        <f t="shared" si="103"/>
        <v>0.18366881883782757</v>
      </c>
      <c r="P689" s="37">
        <f t="shared" si="104"/>
        <v>0.22389229016331183</v>
      </c>
      <c r="Q689" s="954">
        <f t="shared" si="100"/>
        <v>8.2359003628102667E-2</v>
      </c>
    </row>
    <row r="690" spans="1:17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>
        <f t="shared" si="97"/>
        <v>66.099999999999994</v>
      </c>
      <c r="G690" s="24">
        <v>2</v>
      </c>
      <c r="H690" s="330"/>
      <c r="I690" s="330"/>
      <c r="J690" s="40">
        <f t="shared" si="98"/>
        <v>2</v>
      </c>
      <c r="K690" s="221">
        <f t="shared" si="101"/>
        <v>1.1393847322445879E-3</v>
      </c>
      <c r="L690" s="316">
        <f t="shared" si="102"/>
        <v>2.5854120774781619</v>
      </c>
      <c r="M690" s="37">
        <f t="shared" si="99"/>
        <v>0.95065602088872025</v>
      </c>
      <c r="N690" s="37">
        <v>1.1970955993930197</v>
      </c>
      <c r="O690" s="947">
        <f t="shared" si="103"/>
        <v>0.18366881883782757</v>
      </c>
      <c r="P690" s="37">
        <f t="shared" si="104"/>
        <v>0.22389229016331183</v>
      </c>
      <c r="Q690" s="954">
        <f t="shared" si="100"/>
        <v>7.438475819361165E-2</v>
      </c>
    </row>
    <row r="691" spans="1:17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>
        <f t="shared" si="97"/>
        <v>111.6</v>
      </c>
      <c r="G691" s="24">
        <v>2</v>
      </c>
      <c r="H691" s="330"/>
      <c r="I691" s="330"/>
      <c r="J691" s="40">
        <f t="shared" si="98"/>
        <v>2</v>
      </c>
      <c r="K691" s="221">
        <f t="shared" si="101"/>
        <v>1.1393847322445879E-3</v>
      </c>
      <c r="L691" s="316">
        <f t="shared" si="102"/>
        <v>2.5854120774781619</v>
      </c>
      <c r="M691" s="37">
        <f t="shared" si="99"/>
        <v>0.95065602088872025</v>
      </c>
      <c r="N691" s="37">
        <v>1.1970955993930197</v>
      </c>
      <c r="O691" s="947">
        <f t="shared" si="103"/>
        <v>0.18366881883782757</v>
      </c>
      <c r="P691" s="37">
        <f t="shared" si="104"/>
        <v>0.22389229016331183</v>
      </c>
      <c r="Q691" s="954">
        <f t="shared" si="100"/>
        <v>4.4057639037614067E-2</v>
      </c>
    </row>
    <row r="692" spans="1:17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>
        <f t="shared" si="97"/>
        <v>119.2</v>
      </c>
      <c r="G692" s="24">
        <v>4</v>
      </c>
      <c r="H692" s="330"/>
      <c r="I692" s="330"/>
      <c r="J692" s="40">
        <f t="shared" si="98"/>
        <v>4</v>
      </c>
      <c r="K692" s="221">
        <f t="shared" si="101"/>
        <v>2.2787694644891758E-3</v>
      </c>
      <c r="L692" s="316">
        <f t="shared" si="102"/>
        <v>5.1708241549563239</v>
      </c>
      <c r="M692" s="37">
        <f t="shared" si="99"/>
        <v>1.9013120417774405</v>
      </c>
      <c r="N692" s="37">
        <v>2.3941911987860394</v>
      </c>
      <c r="O692" s="947">
        <f t="shared" si="103"/>
        <v>0.36733763767565514</v>
      </c>
      <c r="P692" s="37">
        <f t="shared" si="104"/>
        <v>0.44778458032662366</v>
      </c>
      <c r="Q692" s="954">
        <f t="shared" si="100"/>
        <v>8.2497189875800819E-2</v>
      </c>
    </row>
    <row r="693" spans="1:17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>
        <f t="shared" si="97"/>
        <v>139.6</v>
      </c>
      <c r="G693" s="24">
        <v>4</v>
      </c>
      <c r="H693" s="330"/>
      <c r="I693" s="330"/>
      <c r="J693" s="40">
        <f t="shared" si="98"/>
        <v>4</v>
      </c>
      <c r="K693" s="221">
        <f t="shared" si="101"/>
        <v>2.2787694644891758E-3</v>
      </c>
      <c r="L693" s="316">
        <f t="shared" si="102"/>
        <v>5.1708241549563239</v>
      </c>
      <c r="M693" s="37">
        <f t="shared" si="99"/>
        <v>1.9013120417774405</v>
      </c>
      <c r="N693" s="37">
        <v>2.3941911987860394</v>
      </c>
      <c r="O693" s="947">
        <f t="shared" si="103"/>
        <v>0.36733763767565514</v>
      </c>
      <c r="P693" s="37">
        <f t="shared" si="104"/>
        <v>0.44778458032662366</v>
      </c>
      <c r="Q693" s="954">
        <f t="shared" si="100"/>
        <v>7.0441726598821336E-2</v>
      </c>
    </row>
    <row r="694" spans="1:17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>
        <f t="shared" si="97"/>
        <v>66.5</v>
      </c>
      <c r="G694" s="24">
        <v>2</v>
      </c>
      <c r="H694" s="330"/>
      <c r="I694" s="330"/>
      <c r="J694" s="40">
        <f t="shared" si="98"/>
        <v>2</v>
      </c>
      <c r="K694" s="221">
        <f t="shared" si="101"/>
        <v>1.1393847322445879E-3</v>
      </c>
      <c r="L694" s="316">
        <f t="shared" si="102"/>
        <v>2.5854120774781619</v>
      </c>
      <c r="M694" s="37">
        <f t="shared" si="99"/>
        <v>0.95065602088872025</v>
      </c>
      <c r="N694" s="37">
        <v>1.1970955993930197</v>
      </c>
      <c r="O694" s="947">
        <f t="shared" si="103"/>
        <v>0.18366881883782757</v>
      </c>
      <c r="P694" s="37">
        <f t="shared" si="104"/>
        <v>0.22389229016331183</v>
      </c>
      <c r="Q694" s="954">
        <f t="shared" si="100"/>
        <v>7.3937331076657578E-2</v>
      </c>
    </row>
    <row r="695" spans="1:17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>
        <f t="shared" si="97"/>
        <v>67</v>
      </c>
      <c r="G695" s="24">
        <v>2</v>
      </c>
      <c r="H695" s="330"/>
      <c r="I695" s="330"/>
      <c r="J695" s="40">
        <f t="shared" si="98"/>
        <v>2</v>
      </c>
      <c r="K695" s="221">
        <f t="shared" si="101"/>
        <v>1.1393847322445879E-3</v>
      </c>
      <c r="L695" s="316">
        <f t="shared" si="102"/>
        <v>2.5854120774781619</v>
      </c>
      <c r="M695" s="37">
        <f t="shared" si="99"/>
        <v>0.95065602088872025</v>
      </c>
      <c r="N695" s="37">
        <v>1.1970955993930197</v>
      </c>
      <c r="O695" s="947">
        <f t="shared" si="103"/>
        <v>0.18366881883782757</v>
      </c>
      <c r="P695" s="37">
        <f t="shared" si="104"/>
        <v>0.22389229016331183</v>
      </c>
      <c r="Q695" s="954">
        <f t="shared" si="100"/>
        <v>7.3385559949219845E-2</v>
      </c>
    </row>
    <row r="696" spans="1:17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>
        <f t="shared" si="97"/>
        <v>212.2</v>
      </c>
      <c r="G696" s="24">
        <v>6</v>
      </c>
      <c r="H696" s="330"/>
      <c r="I696" s="330"/>
      <c r="J696" s="40">
        <f t="shared" si="98"/>
        <v>6</v>
      </c>
      <c r="K696" s="221">
        <f t="shared" si="101"/>
        <v>3.4181541967337635E-3</v>
      </c>
      <c r="L696" s="316">
        <f t="shared" si="102"/>
        <v>7.7562362324344853</v>
      </c>
      <c r="M696" s="37">
        <f t="shared" si="99"/>
        <v>2.8519680626661605</v>
      </c>
      <c r="N696" s="37">
        <v>3.591286798179059</v>
      </c>
      <c r="O696" s="947">
        <f t="shared" si="103"/>
        <v>0.55100645651348268</v>
      </c>
      <c r="P696" s="37">
        <f t="shared" si="104"/>
        <v>0.67167687048993541</v>
      </c>
      <c r="Q696" s="954">
        <f t="shared" si="100"/>
        <v>6.9512241045208242E-2</v>
      </c>
    </row>
    <row r="697" spans="1:17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>
        <f t="shared" si="97"/>
        <v>41.6</v>
      </c>
      <c r="G697" s="24">
        <v>1</v>
      </c>
      <c r="H697" s="330"/>
      <c r="I697" s="330"/>
      <c r="J697" s="40">
        <f t="shared" si="98"/>
        <v>1</v>
      </c>
      <c r="K697" s="221">
        <f t="shared" si="101"/>
        <v>5.6969236612229395E-4</v>
      </c>
      <c r="L697" s="316">
        <f t="shared" si="102"/>
        <v>1.292706038739081</v>
      </c>
      <c r="M697" s="37">
        <f t="shared" si="99"/>
        <v>0.47532801044436013</v>
      </c>
      <c r="N697" s="37">
        <v>0.59854779969650984</v>
      </c>
      <c r="O697" s="947">
        <f t="shared" si="103"/>
        <v>9.1834409418913784E-2</v>
      </c>
      <c r="P697" s="37">
        <f t="shared" si="104"/>
        <v>0.11194614508165592</v>
      </c>
      <c r="Q697" s="954">
        <f t="shared" si="100"/>
        <v>5.9096544670645783E-2</v>
      </c>
    </row>
    <row r="698" spans="1:17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>
        <f t="shared" ref="F698:F746" si="105">C698+D698+E698</f>
        <v>466.8</v>
      </c>
      <c r="G698" s="24">
        <v>12</v>
      </c>
      <c r="H698" s="330"/>
      <c r="I698" s="330"/>
      <c r="J698" s="40">
        <f t="shared" ref="J698:J746" si="106">G698+H698+I698</f>
        <v>12</v>
      </c>
      <c r="K698" s="221">
        <f t="shared" si="101"/>
        <v>6.8363083934675269E-3</v>
      </c>
      <c r="L698" s="316">
        <f t="shared" si="102"/>
        <v>15.512472464868971</v>
      </c>
      <c r="M698" s="37">
        <f t="shared" ref="M698:M747" si="107">L698*0.3677</f>
        <v>5.7039361253323211</v>
      </c>
      <c r="N698" s="37">
        <v>7.1825735963581181</v>
      </c>
      <c r="O698" s="947">
        <f t="shared" si="103"/>
        <v>1.1020129130269654</v>
      </c>
      <c r="P698" s="37">
        <f t="shared" si="104"/>
        <v>1.3433537409798708</v>
      </c>
      <c r="Q698" s="954">
        <f t="shared" si="100"/>
        <v>6.3198361395857702E-2</v>
      </c>
    </row>
    <row r="699" spans="1:17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>
        <f t="shared" si="105"/>
        <v>681.36</v>
      </c>
      <c r="G699" s="24">
        <v>16</v>
      </c>
      <c r="H699" s="330"/>
      <c r="I699" s="330"/>
      <c r="J699" s="40">
        <f t="shared" si="106"/>
        <v>16</v>
      </c>
      <c r="K699" s="221">
        <f t="shared" si="101"/>
        <v>9.1150778579567032E-3</v>
      </c>
      <c r="L699" s="316">
        <f t="shared" si="102"/>
        <v>20.683296619825295</v>
      </c>
      <c r="M699" s="37">
        <f t="shared" si="107"/>
        <v>7.605248167109762</v>
      </c>
      <c r="N699" s="37">
        <v>9.5767647951441575</v>
      </c>
      <c r="O699" s="947">
        <f t="shared" si="103"/>
        <v>1.4693505507026206</v>
      </c>
      <c r="P699" s="37">
        <f t="shared" si="104"/>
        <v>1.7911383213064946</v>
      </c>
      <c r="Q699" s="954">
        <f t="shared" si="100"/>
        <v>5.7729629172217085E-2</v>
      </c>
    </row>
    <row r="700" spans="1:17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>
        <f t="shared" si="105"/>
        <v>58.2</v>
      </c>
      <c r="G700" s="24">
        <v>2</v>
      </c>
      <c r="H700" s="330"/>
      <c r="I700" s="330"/>
      <c r="J700" s="40">
        <f t="shared" si="106"/>
        <v>2</v>
      </c>
      <c r="K700" s="221">
        <f t="shared" si="101"/>
        <v>1.1393847322445879E-3</v>
      </c>
      <c r="L700" s="316">
        <f t="shared" si="102"/>
        <v>2.5854120774781619</v>
      </c>
      <c r="M700" s="37">
        <f t="shared" si="107"/>
        <v>0.95065602088872025</v>
      </c>
      <c r="N700" s="37">
        <v>1.1970955993930197</v>
      </c>
      <c r="O700" s="947">
        <f t="shared" si="103"/>
        <v>0.18366881883782757</v>
      </c>
      <c r="P700" s="37">
        <f t="shared" si="104"/>
        <v>0.22389229016331183</v>
      </c>
      <c r="Q700" s="954">
        <f t="shared" si="100"/>
        <v>8.4481658360785722E-2</v>
      </c>
    </row>
    <row r="701" spans="1:17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>
        <f t="shared" si="105"/>
        <v>504.2</v>
      </c>
      <c r="G701" s="24">
        <v>12</v>
      </c>
      <c r="H701" s="330"/>
      <c r="I701" s="330"/>
      <c r="J701" s="40">
        <f t="shared" si="106"/>
        <v>12</v>
      </c>
      <c r="K701" s="221">
        <f t="shared" si="101"/>
        <v>6.8363083934675269E-3</v>
      </c>
      <c r="L701" s="316">
        <f t="shared" si="102"/>
        <v>15.512472464868971</v>
      </c>
      <c r="M701" s="37">
        <f t="shared" si="107"/>
        <v>5.7039361253323211</v>
      </c>
      <c r="N701" s="37">
        <v>7.1825735963581181</v>
      </c>
      <c r="O701" s="947">
        <f t="shared" si="103"/>
        <v>1.1020129130269654</v>
      </c>
      <c r="P701" s="37">
        <f t="shared" si="104"/>
        <v>1.3433537409798708</v>
      </c>
      <c r="Q701" s="954">
        <f t="shared" si="100"/>
        <v>5.8510501982519586E-2</v>
      </c>
    </row>
    <row r="702" spans="1:17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>
        <f t="shared" si="105"/>
        <v>166.6</v>
      </c>
      <c r="G702" s="24">
        <v>4</v>
      </c>
      <c r="H702" s="330"/>
      <c r="I702" s="330"/>
      <c r="J702" s="40">
        <f t="shared" si="106"/>
        <v>4</v>
      </c>
      <c r="K702" s="221">
        <f t="shared" si="101"/>
        <v>2.2787694644891758E-3</v>
      </c>
      <c r="L702" s="316">
        <f t="shared" si="102"/>
        <v>5.1708241549563239</v>
      </c>
      <c r="M702" s="37">
        <f t="shared" si="107"/>
        <v>1.9013120417774405</v>
      </c>
      <c r="N702" s="37">
        <v>2.3941911987860394</v>
      </c>
      <c r="O702" s="947">
        <f t="shared" si="103"/>
        <v>0.36733763767565514</v>
      </c>
      <c r="P702" s="37">
        <f t="shared" si="104"/>
        <v>0.44778458032662366</v>
      </c>
      <c r="Q702" s="954">
        <f t="shared" si="100"/>
        <v>5.9025600439348493E-2</v>
      </c>
    </row>
    <row r="703" spans="1:17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>
        <f t="shared" si="105"/>
        <v>37.799999999999997</v>
      </c>
      <c r="G703" s="24">
        <v>2</v>
      </c>
      <c r="H703" s="330"/>
      <c r="I703" s="330"/>
      <c r="J703" s="40">
        <f t="shared" si="106"/>
        <v>2</v>
      </c>
      <c r="K703" s="221">
        <f t="shared" si="101"/>
        <v>1.1393847322445879E-3</v>
      </c>
      <c r="L703" s="316">
        <f t="shared" si="102"/>
        <v>2.5854120774781619</v>
      </c>
      <c r="M703" s="37">
        <f t="shared" si="107"/>
        <v>0.95065602088872025</v>
      </c>
      <c r="N703" s="37">
        <v>1.1970955993930197</v>
      </c>
      <c r="O703" s="947">
        <f t="shared" si="103"/>
        <v>0.18366881883782757</v>
      </c>
      <c r="P703" s="37">
        <f t="shared" si="104"/>
        <v>0.22389229016331183</v>
      </c>
      <c r="Q703" s="954">
        <f t="shared" si="100"/>
        <v>0.13007493430152725</v>
      </c>
    </row>
    <row r="704" spans="1:17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>
        <f t="shared" si="105"/>
        <v>55.5</v>
      </c>
      <c r="G704" s="24">
        <v>1</v>
      </c>
      <c r="H704" s="330"/>
      <c r="I704" s="330"/>
      <c r="J704" s="40">
        <f t="shared" si="106"/>
        <v>1</v>
      </c>
      <c r="K704" s="221">
        <f t="shared" si="101"/>
        <v>5.6969236612229395E-4</v>
      </c>
      <c r="L704" s="316">
        <f t="shared" si="102"/>
        <v>1.292706038739081</v>
      </c>
      <c r="M704" s="37">
        <f t="shared" si="107"/>
        <v>0.47532801044436013</v>
      </c>
      <c r="N704" s="37">
        <v>0.59854779969650984</v>
      </c>
      <c r="O704" s="947">
        <f>K704*161.2</f>
        <v>9.1834409418913784E-2</v>
      </c>
      <c r="P704" s="37">
        <f t="shared" si="104"/>
        <v>0.11194614508165592</v>
      </c>
      <c r="Q704" s="954">
        <f t="shared" si="100"/>
        <v>4.4295788437817382E-2</v>
      </c>
    </row>
    <row r="705" spans="1:17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>
        <f t="shared" si="105"/>
        <v>146.19999999999999</v>
      </c>
      <c r="G705" s="24">
        <v>4</v>
      </c>
      <c r="H705" s="330"/>
      <c r="I705" s="330"/>
      <c r="J705" s="40">
        <f t="shared" si="106"/>
        <v>4</v>
      </c>
      <c r="K705" s="221">
        <f t="shared" si="101"/>
        <v>2.2787694644891758E-3</v>
      </c>
      <c r="L705" s="316">
        <f t="shared" si="102"/>
        <v>5.1708241549563239</v>
      </c>
      <c r="M705" s="37">
        <f t="shared" si="107"/>
        <v>1.9013120417774405</v>
      </c>
      <c r="N705" s="37">
        <v>2.3941911987860394</v>
      </c>
      <c r="O705" s="947">
        <f t="shared" ref="O705:O744" si="108">K705*161.2</f>
        <v>0.36733763767565514</v>
      </c>
      <c r="P705" s="37">
        <f t="shared" si="104"/>
        <v>0.44778458032662366</v>
      </c>
      <c r="Q705" s="954">
        <f t="shared" si="100"/>
        <v>6.7261730733211081E-2</v>
      </c>
    </row>
    <row r="706" spans="1:17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>
        <f t="shared" si="105"/>
        <v>47.9</v>
      </c>
      <c r="G706" s="24">
        <v>2</v>
      </c>
      <c r="H706" s="330"/>
      <c r="I706" s="330"/>
      <c r="J706" s="40">
        <f t="shared" si="106"/>
        <v>2</v>
      </c>
      <c r="K706" s="221">
        <f t="shared" si="101"/>
        <v>1.1393847322445879E-3</v>
      </c>
      <c r="L706" s="316">
        <f t="shared" si="102"/>
        <v>2.5854120774781619</v>
      </c>
      <c r="M706" s="37">
        <f t="shared" si="107"/>
        <v>0.95065602088872025</v>
      </c>
      <c r="N706" s="37">
        <v>1.1970955993930197</v>
      </c>
      <c r="O706" s="947">
        <f t="shared" si="108"/>
        <v>0.18366881883782757</v>
      </c>
      <c r="P706" s="37">
        <f t="shared" si="104"/>
        <v>0.22389229016331183</v>
      </c>
      <c r="Q706" s="954">
        <f t="shared" si="100"/>
        <v>0.10264786047176888</v>
      </c>
    </row>
    <row r="707" spans="1:17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>
        <f t="shared" si="105"/>
        <v>72.400000000000006</v>
      </c>
      <c r="G707" s="24">
        <v>2</v>
      </c>
      <c r="H707" s="330"/>
      <c r="I707" s="330"/>
      <c r="J707" s="40">
        <f t="shared" si="106"/>
        <v>2</v>
      </c>
      <c r="K707" s="221">
        <f t="shared" si="101"/>
        <v>1.1393847322445879E-3</v>
      </c>
      <c r="L707" s="316">
        <f t="shared" si="102"/>
        <v>2.5854120774781619</v>
      </c>
      <c r="M707" s="37">
        <f t="shared" si="107"/>
        <v>0.95065602088872025</v>
      </c>
      <c r="N707" s="37">
        <v>1.1970955993930197</v>
      </c>
      <c r="O707" s="947">
        <f t="shared" si="108"/>
        <v>0.18366881883782757</v>
      </c>
      <c r="P707" s="37">
        <f t="shared" si="104"/>
        <v>0.22389229016331183</v>
      </c>
      <c r="Q707" s="954">
        <f t="shared" si="100"/>
        <v>6.7912051334222776E-2</v>
      </c>
    </row>
    <row r="708" spans="1:17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>
        <f t="shared" si="105"/>
        <v>73</v>
      </c>
      <c r="G708" s="24">
        <v>2</v>
      </c>
      <c r="H708" s="330"/>
      <c r="I708" s="330"/>
      <c r="J708" s="40">
        <f t="shared" si="106"/>
        <v>2</v>
      </c>
      <c r="K708" s="221">
        <f t="shared" si="101"/>
        <v>1.1393847322445879E-3</v>
      </c>
      <c r="L708" s="316">
        <f t="shared" si="102"/>
        <v>2.5854120774781619</v>
      </c>
      <c r="M708" s="37">
        <f t="shared" si="107"/>
        <v>0.95065602088872025</v>
      </c>
      <c r="N708" s="37">
        <v>1.1970955993930197</v>
      </c>
      <c r="O708" s="947">
        <f t="shared" si="108"/>
        <v>0.18366881883782757</v>
      </c>
      <c r="P708" s="37">
        <f t="shared" si="104"/>
        <v>0.22389229016331183</v>
      </c>
      <c r="Q708" s="954">
        <f t="shared" si="100"/>
        <v>6.7353870090379853E-2</v>
      </c>
    </row>
    <row r="709" spans="1:17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>
        <f t="shared" si="105"/>
        <v>110</v>
      </c>
      <c r="G709" s="24">
        <v>4</v>
      </c>
      <c r="H709" s="330"/>
      <c r="I709" s="330"/>
      <c r="J709" s="40">
        <f t="shared" si="106"/>
        <v>4</v>
      </c>
      <c r="K709" s="221">
        <f t="shared" si="101"/>
        <v>2.2787694644891758E-3</v>
      </c>
      <c r="L709" s="316">
        <f t="shared" si="102"/>
        <v>5.1708241549563239</v>
      </c>
      <c r="M709" s="37">
        <f t="shared" si="107"/>
        <v>1.9013120417774405</v>
      </c>
      <c r="N709" s="37">
        <v>2.3941911987860394</v>
      </c>
      <c r="O709" s="947">
        <f t="shared" si="108"/>
        <v>0.36733763767565514</v>
      </c>
      <c r="P709" s="37">
        <f t="shared" si="104"/>
        <v>0.44778458032662366</v>
      </c>
      <c r="Q709" s="954">
        <f t="shared" si="100"/>
        <v>8.9396954847231438E-2</v>
      </c>
    </row>
    <row r="710" spans="1:17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>
        <f t="shared" si="105"/>
        <v>382</v>
      </c>
      <c r="G710" s="24">
        <v>10</v>
      </c>
      <c r="H710" s="330"/>
      <c r="I710" s="330"/>
      <c r="J710" s="40">
        <f t="shared" si="106"/>
        <v>10</v>
      </c>
      <c r="K710" s="221">
        <f t="shared" si="101"/>
        <v>5.6969236612229397E-3</v>
      </c>
      <c r="L710" s="316">
        <f t="shared" si="102"/>
        <v>12.92706038739081</v>
      </c>
      <c r="M710" s="37">
        <f t="shared" si="107"/>
        <v>4.7532801044436015</v>
      </c>
      <c r="N710" s="37">
        <v>5.9854779969650993</v>
      </c>
      <c r="O710" s="947">
        <f t="shared" si="108"/>
        <v>0.91834409418913776</v>
      </c>
      <c r="P710" s="37">
        <f t="shared" si="104"/>
        <v>1.119461450816559</v>
      </c>
      <c r="Q710" s="954">
        <f t="shared" si="100"/>
        <v>6.4356446552326294E-2</v>
      </c>
    </row>
    <row r="711" spans="1:17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>
        <f t="shared" si="105"/>
        <v>226.9</v>
      </c>
      <c r="G711" s="24">
        <v>9</v>
      </c>
      <c r="H711" s="330"/>
      <c r="I711" s="330"/>
      <c r="J711" s="40">
        <f t="shared" si="106"/>
        <v>9</v>
      </c>
      <c r="K711" s="221">
        <f t="shared" si="101"/>
        <v>5.1272312951006456E-3</v>
      </c>
      <c r="L711" s="316">
        <f t="shared" si="102"/>
        <v>11.634354348651728</v>
      </c>
      <c r="M711" s="37">
        <f t="shared" si="107"/>
        <v>4.2779520939992404</v>
      </c>
      <c r="N711" s="37">
        <v>5.3869301972685886</v>
      </c>
      <c r="O711" s="947">
        <f t="shared" si="108"/>
        <v>0.82650968477022402</v>
      </c>
      <c r="P711" s="37">
        <f t="shared" si="104"/>
        <v>1.0075153057349031</v>
      </c>
      <c r="Q711" s="954">
        <f t="shared" ref="Q711:Q774" si="109">(O711+N711+M711+L711)/F711</f>
        <v>9.7513205485631457E-2</v>
      </c>
    </row>
    <row r="712" spans="1:17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>
        <f t="shared" si="105"/>
        <v>142.6</v>
      </c>
      <c r="G712" s="24">
        <v>2</v>
      </c>
      <c r="H712" s="330"/>
      <c r="I712" s="330"/>
      <c r="J712" s="40">
        <f t="shared" si="106"/>
        <v>2</v>
      </c>
      <c r="K712" s="221">
        <f t="shared" si="101"/>
        <v>1.1393847322445879E-3</v>
      </c>
      <c r="L712" s="316">
        <f t="shared" si="102"/>
        <v>2.5854120774781619</v>
      </c>
      <c r="M712" s="37">
        <f t="shared" si="107"/>
        <v>0.95065602088872025</v>
      </c>
      <c r="N712" s="37">
        <v>1.1970955993930197</v>
      </c>
      <c r="O712" s="947">
        <f t="shared" si="108"/>
        <v>0.18366881883782757</v>
      </c>
      <c r="P712" s="37">
        <f t="shared" si="104"/>
        <v>0.22389229016331183</v>
      </c>
      <c r="Q712" s="954">
        <f t="shared" si="109"/>
        <v>3.447989142074144E-2</v>
      </c>
    </row>
    <row r="713" spans="1:17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>
        <f t="shared" si="105"/>
        <v>428.31</v>
      </c>
      <c r="G713" s="24">
        <v>10</v>
      </c>
      <c r="H713" s="330"/>
      <c r="I713" s="330"/>
      <c r="J713" s="40">
        <f t="shared" si="106"/>
        <v>10</v>
      </c>
      <c r="K713" s="221">
        <f t="shared" si="101"/>
        <v>5.6969236612229397E-3</v>
      </c>
      <c r="L713" s="316">
        <f t="shared" si="102"/>
        <v>12.92706038739081</v>
      </c>
      <c r="M713" s="37">
        <f t="shared" si="107"/>
        <v>4.7532801044436015</v>
      </c>
      <c r="N713" s="37">
        <v>5.9854779969650993</v>
      </c>
      <c r="O713" s="947">
        <f t="shared" si="108"/>
        <v>0.91834409418913776</v>
      </c>
      <c r="P713" s="37">
        <f t="shared" si="104"/>
        <v>1.119461450816559</v>
      </c>
      <c r="Q713" s="954">
        <f t="shared" si="109"/>
        <v>5.7398058842867659E-2</v>
      </c>
    </row>
    <row r="714" spans="1:17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>
        <f t="shared" si="105"/>
        <v>744.3</v>
      </c>
      <c r="G714" s="24">
        <v>14</v>
      </c>
      <c r="H714" s="330"/>
      <c r="I714" s="330"/>
      <c r="J714" s="40">
        <f t="shared" si="106"/>
        <v>14</v>
      </c>
      <c r="K714" s="221">
        <f t="shared" si="101"/>
        <v>7.975693125712115E-3</v>
      </c>
      <c r="L714" s="316">
        <f t="shared" si="102"/>
        <v>18.097884542347131</v>
      </c>
      <c r="M714" s="37">
        <f t="shared" si="107"/>
        <v>6.6545921462210407</v>
      </c>
      <c r="N714" s="37">
        <v>8.379669195751136</v>
      </c>
      <c r="O714" s="947">
        <f t="shared" si="108"/>
        <v>1.2856817318647928</v>
      </c>
      <c r="P714" s="37">
        <f t="shared" si="104"/>
        <v>1.5672460311431826</v>
      </c>
      <c r="Q714" s="954">
        <f t="shared" si="109"/>
        <v>4.6241875072126966E-2</v>
      </c>
    </row>
    <row r="715" spans="1:17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>
        <f t="shared" si="105"/>
        <v>1084.5899999999999</v>
      </c>
      <c r="G715" s="24">
        <v>27</v>
      </c>
      <c r="H715" s="330"/>
      <c r="I715" s="330"/>
      <c r="J715" s="40">
        <f t="shared" si="106"/>
        <v>27</v>
      </c>
      <c r="K715" s="221">
        <f t="shared" si="101"/>
        <v>1.5381693885301936E-2</v>
      </c>
      <c r="L715" s="316">
        <f t="shared" si="102"/>
        <v>34.903063045955186</v>
      </c>
      <c r="M715" s="37">
        <f t="shared" si="107"/>
        <v>12.833856281997722</v>
      </c>
      <c r="N715" s="37">
        <v>16.160790591805767</v>
      </c>
      <c r="O715" s="947">
        <f t="shared" si="108"/>
        <v>2.4795290543106718</v>
      </c>
      <c r="P715" s="37">
        <f t="shared" si="104"/>
        <v>3.0225459172047091</v>
      </c>
      <c r="Q715" s="954">
        <f t="shared" si="109"/>
        <v>6.1200305160539328E-2</v>
      </c>
    </row>
    <row r="716" spans="1:17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>
        <f t="shared" si="105"/>
        <v>1069.71</v>
      </c>
      <c r="G716" s="24">
        <v>24</v>
      </c>
      <c r="H716" s="330"/>
      <c r="I716" s="330"/>
      <c r="J716" s="40">
        <f t="shared" si="106"/>
        <v>24</v>
      </c>
      <c r="K716" s="221">
        <f t="shared" si="101"/>
        <v>1.3672616786935054E-2</v>
      </c>
      <c r="L716" s="316">
        <f t="shared" si="102"/>
        <v>31.024944929737941</v>
      </c>
      <c r="M716" s="37">
        <f t="shared" si="107"/>
        <v>11.407872250664642</v>
      </c>
      <c r="N716" s="37">
        <v>14.365147192716236</v>
      </c>
      <c r="O716" s="947">
        <f t="shared" si="108"/>
        <v>2.2040258260539307</v>
      </c>
      <c r="P716" s="37">
        <f t="shared" si="104"/>
        <v>2.6867074819597416</v>
      </c>
      <c r="Q716" s="954">
        <f t="shared" si="109"/>
        <v>5.5156996007490584E-2</v>
      </c>
    </row>
    <row r="717" spans="1:17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>
        <f t="shared" si="105"/>
        <v>196.8</v>
      </c>
      <c r="G717" s="24">
        <v>5</v>
      </c>
      <c r="H717" s="330"/>
      <c r="I717" s="330"/>
      <c r="J717" s="40">
        <f t="shared" si="106"/>
        <v>5</v>
      </c>
      <c r="K717" s="221">
        <f t="shared" si="101"/>
        <v>2.8484618306114698E-3</v>
      </c>
      <c r="L717" s="316">
        <f t="shared" si="102"/>
        <v>6.463530193695405</v>
      </c>
      <c r="M717" s="37">
        <f t="shared" si="107"/>
        <v>2.3766400522218007</v>
      </c>
      <c r="N717" s="37">
        <v>2.9927389984825497</v>
      </c>
      <c r="O717" s="947">
        <f t="shared" si="108"/>
        <v>0.45917204709456888</v>
      </c>
      <c r="P717" s="37">
        <f t="shared" si="104"/>
        <v>0.55973072540827951</v>
      </c>
      <c r="Q717" s="954">
        <f t="shared" si="109"/>
        <v>6.2459762660032128E-2</v>
      </c>
    </row>
    <row r="718" spans="1:17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>
        <f t="shared" si="105"/>
        <v>625.9</v>
      </c>
      <c r="G718" s="24">
        <v>32</v>
      </c>
      <c r="H718" s="330"/>
      <c r="I718" s="330"/>
      <c r="J718" s="40">
        <f t="shared" si="106"/>
        <v>32</v>
      </c>
      <c r="K718" s="221">
        <f t="shared" si="101"/>
        <v>1.8230155715913406E-2</v>
      </c>
      <c r="L718" s="316">
        <f t="shared" si="102"/>
        <v>41.366593239650591</v>
      </c>
      <c r="M718" s="37">
        <f t="shared" si="107"/>
        <v>15.210496334219524</v>
      </c>
      <c r="N718" s="37">
        <v>19.153529590288315</v>
      </c>
      <c r="O718" s="947">
        <f t="shared" si="108"/>
        <v>2.9387011014052411</v>
      </c>
      <c r="P718" s="37">
        <f t="shared" si="104"/>
        <v>3.5822766426129893</v>
      </c>
      <c r="Q718" s="954">
        <f t="shared" si="109"/>
        <v>0.12568991894162593</v>
      </c>
    </row>
    <row r="719" spans="1:17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>
        <f t="shared" si="105"/>
        <v>127.5</v>
      </c>
      <c r="G719" s="24">
        <v>4</v>
      </c>
      <c r="H719" s="330"/>
      <c r="I719" s="330"/>
      <c r="J719" s="40">
        <f t="shared" si="106"/>
        <v>4</v>
      </c>
      <c r="K719" s="221">
        <f t="shared" si="101"/>
        <v>2.2787694644891758E-3</v>
      </c>
      <c r="L719" s="316">
        <f t="shared" si="102"/>
        <v>5.1708241549563239</v>
      </c>
      <c r="M719" s="37">
        <f t="shared" si="107"/>
        <v>1.9013120417774405</v>
      </c>
      <c r="N719" s="37">
        <v>2.3941911987860394</v>
      </c>
      <c r="O719" s="947">
        <f t="shared" si="108"/>
        <v>0.36733763767565514</v>
      </c>
      <c r="P719" s="37">
        <f t="shared" si="104"/>
        <v>0.44778458032662366</v>
      </c>
      <c r="Q719" s="954">
        <f t="shared" si="109"/>
        <v>7.7126784574082036E-2</v>
      </c>
    </row>
    <row r="720" spans="1:17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>
        <f t="shared" si="105"/>
        <v>561.25</v>
      </c>
      <c r="G720" s="24">
        <v>12</v>
      </c>
      <c r="H720" s="330"/>
      <c r="I720" s="330"/>
      <c r="J720" s="40">
        <f t="shared" si="106"/>
        <v>12</v>
      </c>
      <c r="K720" s="221">
        <f t="shared" si="101"/>
        <v>6.8363083934675269E-3</v>
      </c>
      <c r="L720" s="316">
        <f t="shared" si="102"/>
        <v>15.512472464868971</v>
      </c>
      <c r="M720" s="37">
        <f t="shared" si="107"/>
        <v>5.7039361253323211</v>
      </c>
      <c r="N720" s="37">
        <v>7.1825735963581181</v>
      </c>
      <c r="O720" s="947">
        <f t="shared" si="108"/>
        <v>1.1020129130269654</v>
      </c>
      <c r="P720" s="37">
        <f t="shared" si="104"/>
        <v>1.3433537409798708</v>
      </c>
      <c r="Q720" s="954">
        <f t="shared" si="109"/>
        <v>5.2563020221980179E-2</v>
      </c>
    </row>
    <row r="721" spans="1:17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>
        <f t="shared" si="105"/>
        <v>122.9</v>
      </c>
      <c r="G721" s="24">
        <v>4</v>
      </c>
      <c r="H721" s="330"/>
      <c r="I721" s="330"/>
      <c r="J721" s="40">
        <f t="shared" si="106"/>
        <v>4</v>
      </c>
      <c r="K721" s="221">
        <f t="shared" si="101"/>
        <v>2.2787694644891758E-3</v>
      </c>
      <c r="L721" s="316">
        <f t="shared" si="102"/>
        <v>5.1708241549563239</v>
      </c>
      <c r="M721" s="37">
        <f t="shared" si="107"/>
        <v>1.9013120417774405</v>
      </c>
      <c r="N721" s="37">
        <v>2.3941911987860394</v>
      </c>
      <c r="O721" s="947">
        <f t="shared" si="108"/>
        <v>0.36733763767565514</v>
      </c>
      <c r="P721" s="37">
        <f t="shared" si="104"/>
        <v>0.44778458032662366</v>
      </c>
      <c r="Q721" s="954">
        <f t="shared" si="109"/>
        <v>8.0013547869775895E-2</v>
      </c>
    </row>
    <row r="722" spans="1:17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>
        <f t="shared" si="105"/>
        <v>82.5</v>
      </c>
      <c r="G722" s="24">
        <v>2</v>
      </c>
      <c r="H722" s="330"/>
      <c r="I722" s="330"/>
      <c r="J722" s="40">
        <f t="shared" si="106"/>
        <v>2</v>
      </c>
      <c r="K722" s="221">
        <f t="shared" si="101"/>
        <v>1.1393847322445879E-3</v>
      </c>
      <c r="L722" s="316">
        <f t="shared" si="102"/>
        <v>2.5854120774781619</v>
      </c>
      <c r="M722" s="37">
        <f t="shared" si="107"/>
        <v>0.95065602088872025</v>
      </c>
      <c r="N722" s="37">
        <v>1.4564663125948407</v>
      </c>
      <c r="O722" s="947">
        <f>K722*361.2</f>
        <v>0.41154576528674514</v>
      </c>
      <c r="P722" s="37">
        <f t="shared" si="104"/>
        <v>0.50167428788454238</v>
      </c>
      <c r="Q722" s="954">
        <f t="shared" si="109"/>
        <v>6.550400213634508E-2</v>
      </c>
    </row>
    <row r="723" spans="1:17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>
        <f t="shared" si="105"/>
        <v>118.7</v>
      </c>
      <c r="G723" s="24">
        <v>3</v>
      </c>
      <c r="H723" s="330"/>
      <c r="I723" s="330"/>
      <c r="J723" s="40">
        <f t="shared" si="106"/>
        <v>3</v>
      </c>
      <c r="K723" s="221">
        <f t="shared" si="101"/>
        <v>1.7090770983668817E-3</v>
      </c>
      <c r="L723" s="316">
        <f t="shared" si="102"/>
        <v>3.8781181162172427</v>
      </c>
      <c r="M723" s="37">
        <f t="shared" si="107"/>
        <v>1.4259840313330803</v>
      </c>
      <c r="N723" s="37">
        <v>1.7956433990895295</v>
      </c>
      <c r="O723" s="947">
        <f t="shared" si="108"/>
        <v>0.27550322825674134</v>
      </c>
      <c r="P723" s="37">
        <f t="shared" si="104"/>
        <v>0.3358384352449677</v>
      </c>
      <c r="Q723" s="954">
        <f t="shared" si="109"/>
        <v>6.2133519586323453E-2</v>
      </c>
    </row>
    <row r="724" spans="1:17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>
        <f t="shared" si="105"/>
        <v>113.8</v>
      </c>
      <c r="G724" s="24">
        <v>3</v>
      </c>
      <c r="H724" s="330"/>
      <c r="I724" s="330"/>
      <c r="J724" s="40">
        <f t="shared" si="106"/>
        <v>3</v>
      </c>
      <c r="K724" s="221">
        <f t="shared" si="101"/>
        <v>1.7090770983668817E-3</v>
      </c>
      <c r="L724" s="316">
        <f t="shared" si="102"/>
        <v>3.8781181162172427</v>
      </c>
      <c r="M724" s="37">
        <f t="shared" si="107"/>
        <v>1.4259840313330803</v>
      </c>
      <c r="N724" s="37">
        <v>1.7956433990895295</v>
      </c>
      <c r="O724" s="947">
        <f t="shared" si="108"/>
        <v>0.27550322825674134</v>
      </c>
      <c r="P724" s="37">
        <f t="shared" si="104"/>
        <v>0.3358384352449677</v>
      </c>
      <c r="Q724" s="954">
        <f t="shared" si="109"/>
        <v>6.4808864454275875E-2</v>
      </c>
    </row>
    <row r="725" spans="1:17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>
        <f t="shared" si="105"/>
        <v>294</v>
      </c>
      <c r="G725" s="24">
        <v>6</v>
      </c>
      <c r="H725" s="330"/>
      <c r="I725" s="330"/>
      <c r="J725" s="40">
        <f t="shared" si="106"/>
        <v>6</v>
      </c>
      <c r="K725" s="221">
        <f t="shared" si="101"/>
        <v>3.4181541967337635E-3</v>
      </c>
      <c r="L725" s="316">
        <f t="shared" si="102"/>
        <v>7.7562362324344853</v>
      </c>
      <c r="M725" s="37">
        <f t="shared" si="107"/>
        <v>2.8519680626661605</v>
      </c>
      <c r="N725" s="37">
        <v>3.591286798179059</v>
      </c>
      <c r="O725" s="947">
        <f t="shared" si="108"/>
        <v>0.55100645651348268</v>
      </c>
      <c r="P725" s="37">
        <f t="shared" si="104"/>
        <v>0.67167687048993541</v>
      </c>
      <c r="Q725" s="954">
        <f t="shared" si="109"/>
        <v>5.0171760373446221E-2</v>
      </c>
    </row>
    <row r="726" spans="1:17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>
        <f t="shared" si="105"/>
        <v>38.6</v>
      </c>
      <c r="G726" s="24">
        <v>3</v>
      </c>
      <c r="H726" s="330"/>
      <c r="I726" s="330"/>
      <c r="J726" s="40">
        <f t="shared" si="106"/>
        <v>3</v>
      </c>
      <c r="K726" s="221">
        <f t="shared" si="101"/>
        <v>1.7090770983668817E-3</v>
      </c>
      <c r="L726" s="316">
        <f t="shared" si="102"/>
        <v>3.8781181162172427</v>
      </c>
      <c r="M726" s="37">
        <f t="shared" si="107"/>
        <v>1.4259840313330803</v>
      </c>
      <c r="N726" s="37">
        <v>1.7956433990895295</v>
      </c>
      <c r="O726" s="947">
        <f t="shared" si="108"/>
        <v>0.27550322825674134</v>
      </c>
      <c r="P726" s="37">
        <f t="shared" si="104"/>
        <v>0.3358384352449677</v>
      </c>
      <c r="Q726" s="954">
        <f t="shared" si="109"/>
        <v>0.19106862111131073</v>
      </c>
    </row>
    <row r="727" spans="1:17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>
        <f t="shared" si="105"/>
        <v>295.8</v>
      </c>
      <c r="G727" s="24">
        <v>10</v>
      </c>
      <c r="H727" s="330"/>
      <c r="I727" s="330"/>
      <c r="J727" s="40">
        <f t="shared" si="106"/>
        <v>10</v>
      </c>
      <c r="K727" s="221">
        <f t="shared" si="101"/>
        <v>5.6969236612229397E-3</v>
      </c>
      <c r="L727" s="316">
        <f t="shared" si="102"/>
        <v>12.92706038739081</v>
      </c>
      <c r="M727" s="37">
        <f t="shared" si="107"/>
        <v>4.7532801044436015</v>
      </c>
      <c r="N727" s="37">
        <v>5.9854779969650993</v>
      </c>
      <c r="O727" s="947">
        <f t="shared" si="108"/>
        <v>0.91834409418913776</v>
      </c>
      <c r="P727" s="37">
        <f t="shared" si="104"/>
        <v>1.119461450816559</v>
      </c>
      <c r="Q727" s="954">
        <f t="shared" si="109"/>
        <v>8.3110759239312534E-2</v>
      </c>
    </row>
    <row r="728" spans="1:17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 t="shared" si="105"/>
        <v>2954.3</v>
      </c>
      <c r="G728" s="24">
        <v>88</v>
      </c>
      <c r="H728" s="330"/>
      <c r="I728" s="330">
        <v>4</v>
      </c>
      <c r="J728" s="40">
        <f t="shared" si="106"/>
        <v>92</v>
      </c>
      <c r="K728" s="221">
        <f t="shared" si="101"/>
        <v>5.2411697683251046E-2</v>
      </c>
      <c r="L728" s="316">
        <f t="shared" si="102"/>
        <v>118.92895556399546</v>
      </c>
      <c r="M728" s="37">
        <f t="shared" si="107"/>
        <v>43.730176960881131</v>
      </c>
      <c r="N728" s="37">
        <v>55.066397572078905</v>
      </c>
      <c r="O728" s="947">
        <f t="shared" si="108"/>
        <v>8.4487656665400674</v>
      </c>
      <c r="P728" s="37">
        <f t="shared" si="104"/>
        <v>10.299045347512344</v>
      </c>
      <c r="Q728" s="954">
        <f t="shared" si="109"/>
        <v>7.6557660279421708E-2</v>
      </c>
    </row>
    <row r="729" spans="1:17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>
        <f t="shared" si="105"/>
        <v>601.58000000000004</v>
      </c>
      <c r="G729" s="24">
        <v>16</v>
      </c>
      <c r="H729" s="330"/>
      <c r="I729" s="330"/>
      <c r="J729" s="40">
        <f t="shared" si="106"/>
        <v>16</v>
      </c>
      <c r="K729" s="221">
        <f t="shared" ref="K729:K746" si="110">3/5266*J729</f>
        <v>9.1150778579567032E-3</v>
      </c>
      <c r="L729" s="316">
        <f t="shared" ref="L729:L747" si="111">K729*2269.13</f>
        <v>20.683296619825295</v>
      </c>
      <c r="M729" s="37">
        <f t="shared" si="107"/>
        <v>7.605248167109762</v>
      </c>
      <c r="N729" s="37">
        <v>9.5767647951441575</v>
      </c>
      <c r="O729" s="947">
        <f t="shared" si="108"/>
        <v>1.4693505507026206</v>
      </c>
      <c r="P729" s="37">
        <f t="shared" si="104"/>
        <v>1.7911383213064946</v>
      </c>
      <c r="Q729" s="954">
        <f t="shared" si="109"/>
        <v>6.5385584847870326E-2</v>
      </c>
    </row>
    <row r="730" spans="1:17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>
        <f t="shared" si="105"/>
        <v>392.31</v>
      </c>
      <c r="G730" s="24">
        <v>9</v>
      </c>
      <c r="H730" s="330"/>
      <c r="I730" s="330"/>
      <c r="J730" s="40">
        <f t="shared" si="106"/>
        <v>9</v>
      </c>
      <c r="K730" s="221">
        <f t="shared" si="110"/>
        <v>5.1272312951006456E-3</v>
      </c>
      <c r="L730" s="316">
        <f t="shared" si="111"/>
        <v>11.634354348651728</v>
      </c>
      <c r="M730" s="37">
        <f t="shared" si="107"/>
        <v>4.2779520939992404</v>
      </c>
      <c r="N730" s="37">
        <v>5.3869301972685886</v>
      </c>
      <c r="O730" s="947">
        <f t="shared" si="108"/>
        <v>0.82650968477022402</v>
      </c>
      <c r="P730" s="37">
        <f t="shared" si="104"/>
        <v>1.0075153057349031</v>
      </c>
      <c r="Q730" s="954">
        <f t="shared" si="109"/>
        <v>5.6398629463153577E-2</v>
      </c>
    </row>
    <row r="731" spans="1:17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>
        <f t="shared" si="105"/>
        <v>600.88</v>
      </c>
      <c r="G731" s="24">
        <v>17</v>
      </c>
      <c r="H731" s="330"/>
      <c r="I731" s="330"/>
      <c r="J731" s="40">
        <f t="shared" si="106"/>
        <v>17</v>
      </c>
      <c r="K731" s="221">
        <f t="shared" si="110"/>
        <v>9.6847702240789972E-3</v>
      </c>
      <c r="L731" s="316">
        <f t="shared" si="111"/>
        <v>21.976002658564376</v>
      </c>
      <c r="M731" s="37">
        <f t="shared" si="107"/>
        <v>8.0805761775541214</v>
      </c>
      <c r="N731" s="37">
        <v>10.175312594840667</v>
      </c>
      <c r="O731" s="947">
        <f t="shared" si="108"/>
        <v>1.5611849601215342</v>
      </c>
      <c r="P731" s="37">
        <f t="shared" si="104"/>
        <v>1.9030844663881503</v>
      </c>
      <c r="Q731" s="954">
        <f t="shared" si="109"/>
        <v>6.9553116081548239E-2</v>
      </c>
    </row>
    <row r="732" spans="1:17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>
        <f t="shared" si="105"/>
        <v>307.3</v>
      </c>
      <c r="G732" s="24">
        <v>7</v>
      </c>
      <c r="H732" s="330"/>
      <c r="I732" s="330"/>
      <c r="J732" s="40">
        <f t="shared" si="106"/>
        <v>7</v>
      </c>
      <c r="K732" s="221">
        <f t="shared" si="110"/>
        <v>3.9878465628560575E-3</v>
      </c>
      <c r="L732" s="316">
        <f t="shared" si="111"/>
        <v>9.0489422711735656</v>
      </c>
      <c r="M732" s="37">
        <f t="shared" si="107"/>
        <v>3.3272960731105203</v>
      </c>
      <c r="N732" s="37">
        <v>4.189834597875568</v>
      </c>
      <c r="O732" s="947">
        <f t="shared" si="108"/>
        <v>0.64284086593239642</v>
      </c>
      <c r="P732" s="37">
        <f t="shared" si="104"/>
        <v>0.78362301557159131</v>
      </c>
      <c r="Q732" s="954">
        <f t="shared" si="109"/>
        <v>5.6000370348493485E-2</v>
      </c>
    </row>
    <row r="733" spans="1:17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>
        <f t="shared" si="105"/>
        <v>800.1</v>
      </c>
      <c r="G733" s="24">
        <v>22</v>
      </c>
      <c r="H733" s="330"/>
      <c r="I733" s="330">
        <v>1</v>
      </c>
      <c r="J733" s="40">
        <f t="shared" si="106"/>
        <v>23</v>
      </c>
      <c r="K733" s="221">
        <f t="shared" si="110"/>
        <v>1.3102924420812762E-2</v>
      </c>
      <c r="L733" s="316">
        <f t="shared" si="111"/>
        <v>29.732238890998865</v>
      </c>
      <c r="M733" s="37">
        <f t="shared" si="107"/>
        <v>10.932544240220283</v>
      </c>
      <c r="N733" s="37">
        <v>13.766599393019726</v>
      </c>
      <c r="O733" s="947">
        <f t="shared" si="108"/>
        <v>2.1121914166350169</v>
      </c>
      <c r="P733" s="37">
        <f t="shared" ref="P733:P747" si="112">O733*1.219</f>
        <v>2.5747613368780859</v>
      </c>
      <c r="Q733" s="954">
        <f t="shared" si="109"/>
        <v>7.0670633596892754E-2</v>
      </c>
    </row>
    <row r="734" spans="1:17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>
        <f t="shared" si="105"/>
        <v>325.2</v>
      </c>
      <c r="G734" s="24">
        <v>8</v>
      </c>
      <c r="H734" s="330"/>
      <c r="I734" s="330"/>
      <c r="J734" s="40">
        <f t="shared" si="106"/>
        <v>8</v>
      </c>
      <c r="K734" s="221">
        <f t="shared" si="110"/>
        <v>4.5575389289783516E-3</v>
      </c>
      <c r="L734" s="316">
        <f t="shared" si="111"/>
        <v>10.341648309912648</v>
      </c>
      <c r="M734" s="37">
        <f t="shared" si="107"/>
        <v>3.802624083554881</v>
      </c>
      <c r="N734" s="37">
        <v>4.7883823975720787</v>
      </c>
      <c r="O734" s="947">
        <f t="shared" si="108"/>
        <v>0.73467527535131028</v>
      </c>
      <c r="P734" s="37">
        <f t="shared" si="112"/>
        <v>0.89556916065324732</v>
      </c>
      <c r="Q734" s="954">
        <f t="shared" si="109"/>
        <v>6.0477644730599377E-2</v>
      </c>
    </row>
    <row r="735" spans="1:17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>
        <f t="shared" si="105"/>
        <v>420.25</v>
      </c>
      <c r="G735" s="24">
        <v>13</v>
      </c>
      <c r="H735" s="330"/>
      <c r="I735" s="330">
        <v>2</v>
      </c>
      <c r="J735" s="40">
        <f t="shared" si="106"/>
        <v>15</v>
      </c>
      <c r="K735" s="221">
        <f t="shared" si="110"/>
        <v>8.5453854918344091E-3</v>
      </c>
      <c r="L735" s="316">
        <f t="shared" si="111"/>
        <v>19.390590581086215</v>
      </c>
      <c r="M735" s="37">
        <f t="shared" si="107"/>
        <v>7.1299201566654018</v>
      </c>
      <c r="N735" s="37">
        <v>8.9782169954476476</v>
      </c>
      <c r="O735" s="947">
        <f t="shared" si="108"/>
        <v>1.3775161412837067</v>
      </c>
      <c r="P735" s="37">
        <f t="shared" si="112"/>
        <v>1.6791921762248385</v>
      </c>
      <c r="Q735" s="954">
        <f t="shared" si="109"/>
        <v>8.7748349493118299E-2</v>
      </c>
    </row>
    <row r="736" spans="1:17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>
        <f t="shared" si="105"/>
        <v>468.48</v>
      </c>
      <c r="G736" s="24">
        <v>17</v>
      </c>
      <c r="H736" s="330"/>
      <c r="I736" s="330"/>
      <c r="J736" s="40">
        <f t="shared" si="106"/>
        <v>17</v>
      </c>
      <c r="K736" s="221">
        <f t="shared" si="110"/>
        <v>9.6847702240789972E-3</v>
      </c>
      <c r="L736" s="316">
        <f t="shared" si="111"/>
        <v>21.976002658564376</v>
      </c>
      <c r="M736" s="37">
        <f t="shared" si="107"/>
        <v>8.0805761775541214</v>
      </c>
      <c r="N736" s="37">
        <v>10.175312594840667</v>
      </c>
      <c r="O736" s="947">
        <f t="shared" si="108"/>
        <v>1.5611849601215342</v>
      </c>
      <c r="P736" s="37">
        <f t="shared" si="112"/>
        <v>1.9030844663881503</v>
      </c>
      <c r="Q736" s="954">
        <f t="shared" si="109"/>
        <v>8.9209947897627859E-2</v>
      </c>
    </row>
    <row r="737" spans="1:17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>
        <f t="shared" si="105"/>
        <v>1026.08</v>
      </c>
      <c r="G737" s="24">
        <v>33</v>
      </c>
      <c r="H737" s="330"/>
      <c r="I737" s="330">
        <v>1</v>
      </c>
      <c r="J737" s="40">
        <f t="shared" si="106"/>
        <v>34</v>
      </c>
      <c r="K737" s="221">
        <f t="shared" si="110"/>
        <v>1.9369540448157994E-2</v>
      </c>
      <c r="L737" s="316">
        <f t="shared" si="111"/>
        <v>43.952005317128751</v>
      </c>
      <c r="M737" s="37">
        <f t="shared" si="107"/>
        <v>16.161152355108243</v>
      </c>
      <c r="N737" s="37">
        <v>20.350625189681335</v>
      </c>
      <c r="O737" s="947">
        <f t="shared" si="108"/>
        <v>3.1223699202430684</v>
      </c>
      <c r="P737" s="37">
        <f t="shared" si="112"/>
        <v>3.8061689327763006</v>
      </c>
      <c r="Q737" s="954">
        <f t="shared" si="109"/>
        <v>8.1461633383519236E-2</v>
      </c>
    </row>
    <row r="738" spans="1:17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>
        <f t="shared" si="105"/>
        <v>1242.02</v>
      </c>
      <c r="G738" s="24">
        <v>26</v>
      </c>
      <c r="H738" s="330"/>
      <c r="I738" s="330">
        <v>2</v>
      </c>
      <c r="J738" s="40">
        <f t="shared" si="106"/>
        <v>28</v>
      </c>
      <c r="K738" s="221">
        <f t="shared" si="110"/>
        <v>1.595138625142423E-2</v>
      </c>
      <c r="L738" s="316">
        <f t="shared" si="111"/>
        <v>36.195769084694263</v>
      </c>
      <c r="M738" s="37">
        <f t="shared" si="107"/>
        <v>13.309184292442081</v>
      </c>
      <c r="N738" s="37">
        <v>16.759338391502272</v>
      </c>
      <c r="O738" s="947">
        <f t="shared" si="108"/>
        <v>2.5713634637295857</v>
      </c>
      <c r="P738" s="37">
        <f t="shared" si="112"/>
        <v>3.1344920622863652</v>
      </c>
      <c r="Q738" s="954">
        <f t="shared" si="109"/>
        <v>5.5422340407053183E-2</v>
      </c>
    </row>
    <row r="739" spans="1:17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>
        <f t="shared" si="105"/>
        <v>827.02</v>
      </c>
      <c r="G739" s="24">
        <v>22</v>
      </c>
      <c r="H739" s="330"/>
      <c r="I739" s="330">
        <v>4</v>
      </c>
      <c r="J739" s="40">
        <f t="shared" si="106"/>
        <v>26</v>
      </c>
      <c r="K739" s="221">
        <f t="shared" si="110"/>
        <v>1.4812001519179642E-2</v>
      </c>
      <c r="L739" s="316">
        <f t="shared" si="111"/>
        <v>33.610357007216102</v>
      </c>
      <c r="M739" s="37">
        <f t="shared" si="107"/>
        <v>12.358528271553361</v>
      </c>
      <c r="N739" s="37">
        <v>15.562242792109256</v>
      </c>
      <c r="O739" s="947">
        <f t="shared" si="108"/>
        <v>2.387694644891758</v>
      </c>
      <c r="P739" s="37">
        <f t="shared" si="112"/>
        <v>2.910599772123053</v>
      </c>
      <c r="Q739" s="954">
        <f t="shared" si="109"/>
        <v>7.7288122071740073E-2</v>
      </c>
    </row>
    <row r="740" spans="1:17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>
        <f t="shared" si="105"/>
        <v>487.41</v>
      </c>
      <c r="G740" s="24">
        <v>12</v>
      </c>
      <c r="H740" s="330"/>
      <c r="I740" s="330"/>
      <c r="J740" s="40">
        <f t="shared" si="106"/>
        <v>12</v>
      </c>
      <c r="K740" s="221">
        <f t="shared" si="110"/>
        <v>6.8363083934675269E-3</v>
      </c>
      <c r="L740" s="316">
        <f t="shared" si="111"/>
        <v>15.512472464868971</v>
      </c>
      <c r="M740" s="37">
        <f t="shared" si="107"/>
        <v>5.7039361253323211</v>
      </c>
      <c r="N740" s="37">
        <v>7.1825735963581181</v>
      </c>
      <c r="O740" s="947">
        <f t="shared" si="108"/>
        <v>1.1020129130269654</v>
      </c>
      <c r="P740" s="37">
        <f t="shared" si="112"/>
        <v>1.3433537409798708</v>
      </c>
      <c r="Q740" s="954">
        <f t="shared" si="109"/>
        <v>6.0526035780116075E-2</v>
      </c>
    </row>
    <row r="741" spans="1:17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>
        <f t="shared" si="105"/>
        <v>685</v>
      </c>
      <c r="G741" s="24">
        <v>8</v>
      </c>
      <c r="H741" s="330">
        <v>1</v>
      </c>
      <c r="I741" s="330">
        <v>2</v>
      </c>
      <c r="J741" s="40">
        <f t="shared" si="106"/>
        <v>11</v>
      </c>
      <c r="K741" s="221">
        <f t="shared" si="110"/>
        <v>6.2666160273452337E-3</v>
      </c>
      <c r="L741" s="316">
        <f t="shared" si="111"/>
        <v>14.21976642612989</v>
      </c>
      <c r="M741" s="37">
        <f t="shared" si="107"/>
        <v>5.2286081148879608</v>
      </c>
      <c r="N741" s="37">
        <v>6.5840257966616083</v>
      </c>
      <c r="O741" s="947">
        <f t="shared" si="108"/>
        <v>1.0101785036080515</v>
      </c>
      <c r="P741" s="37">
        <f t="shared" si="112"/>
        <v>1.2314075958982149</v>
      </c>
      <c r="Q741" s="954">
        <f t="shared" si="109"/>
        <v>3.9478217286551112E-2</v>
      </c>
    </row>
    <row r="742" spans="1:17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>
        <f t="shared" si="105"/>
        <v>636.55999999999995</v>
      </c>
      <c r="G742" s="24">
        <v>14</v>
      </c>
      <c r="H742" s="330"/>
      <c r="I742" s="330"/>
      <c r="J742" s="40">
        <f t="shared" si="106"/>
        <v>14</v>
      </c>
      <c r="K742" s="221">
        <f t="shared" si="110"/>
        <v>7.975693125712115E-3</v>
      </c>
      <c r="L742" s="316">
        <f t="shared" si="111"/>
        <v>18.097884542347131</v>
      </c>
      <c r="M742" s="37">
        <f t="shared" si="107"/>
        <v>6.6545921462210407</v>
      </c>
      <c r="N742" s="37">
        <v>8.379669195751136</v>
      </c>
      <c r="O742" s="947">
        <f t="shared" si="108"/>
        <v>1.2856817318647928</v>
      </c>
      <c r="P742" s="37">
        <f t="shared" si="112"/>
        <v>1.5672460311431826</v>
      </c>
      <c r="Q742" s="954">
        <f t="shared" si="109"/>
        <v>5.4068473696405842E-2</v>
      </c>
    </row>
    <row r="743" spans="1:17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>
        <f t="shared" si="105"/>
        <v>505.1</v>
      </c>
      <c r="G743" s="24">
        <v>16</v>
      </c>
      <c r="H743" s="330">
        <v>1</v>
      </c>
      <c r="I743" s="330"/>
      <c r="J743" s="40">
        <f t="shared" si="106"/>
        <v>17</v>
      </c>
      <c r="K743" s="221">
        <f t="shared" si="110"/>
        <v>9.6847702240789972E-3</v>
      </c>
      <c r="L743" s="316">
        <f t="shared" si="111"/>
        <v>21.976002658564376</v>
      </c>
      <c r="M743" s="37">
        <f t="shared" si="107"/>
        <v>8.0805761775541214</v>
      </c>
      <c r="N743" s="37">
        <v>10.175312594840667</v>
      </c>
      <c r="O743" s="947">
        <f t="shared" si="108"/>
        <v>1.5611849601215342</v>
      </c>
      <c r="P743" s="37">
        <f t="shared" si="112"/>
        <v>1.9030844663881503</v>
      </c>
      <c r="Q743" s="954">
        <f t="shared" si="109"/>
        <v>8.2742182520452789E-2</v>
      </c>
    </row>
    <row r="744" spans="1:17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>
        <f t="shared" si="105"/>
        <v>536.88</v>
      </c>
      <c r="G744" s="24">
        <v>13</v>
      </c>
      <c r="H744" s="330"/>
      <c r="I744" s="330"/>
      <c r="J744" s="40">
        <f t="shared" si="106"/>
        <v>13</v>
      </c>
      <c r="K744" s="221">
        <f t="shared" si="110"/>
        <v>7.406000759589821E-3</v>
      </c>
      <c r="L744" s="316">
        <f t="shared" si="111"/>
        <v>16.805178503608051</v>
      </c>
      <c r="M744" s="37">
        <f t="shared" si="107"/>
        <v>6.1792641357766804</v>
      </c>
      <c r="N744" s="37">
        <v>7.7811213960546279</v>
      </c>
      <c r="O744" s="947">
        <f t="shared" si="108"/>
        <v>1.193847322445879</v>
      </c>
      <c r="P744" s="37">
        <f t="shared" si="112"/>
        <v>1.4552998860615265</v>
      </c>
      <c r="Q744" s="954">
        <f t="shared" si="109"/>
        <v>5.9528034864187972E-2</v>
      </c>
    </row>
    <row r="745" spans="1:17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>
        <f t="shared" si="105"/>
        <v>132.6</v>
      </c>
      <c r="G745" s="147">
        <v>0</v>
      </c>
      <c r="H745" s="55">
        <v>1</v>
      </c>
      <c r="I745" s="55"/>
      <c r="J745" s="40">
        <f t="shared" si="106"/>
        <v>1</v>
      </c>
      <c r="K745" s="221">
        <f t="shared" si="110"/>
        <v>5.6969236612229395E-4</v>
      </c>
      <c r="L745" s="316">
        <f t="shared" si="111"/>
        <v>1.292706038739081</v>
      </c>
      <c r="M745" s="37">
        <f t="shared" si="107"/>
        <v>0.47532801044436013</v>
      </c>
      <c r="N745" s="37">
        <v>0.84477640709329216</v>
      </c>
      <c r="O745" s="947">
        <f>K745*161.2*1.08</f>
        <v>9.9181162172426895E-2</v>
      </c>
      <c r="P745" s="37">
        <f t="shared" si="112"/>
        <v>0.12090183668818839</v>
      </c>
      <c r="Q745" s="954">
        <f t="shared" si="109"/>
        <v>2.0452425478500454E-2</v>
      </c>
    </row>
    <row r="746" spans="1:17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105"/>
        <v>380.2</v>
      </c>
      <c r="G746" s="281">
        <v>9</v>
      </c>
      <c r="H746" s="160"/>
      <c r="I746" s="160"/>
      <c r="J746" s="40">
        <f t="shared" si="106"/>
        <v>9</v>
      </c>
      <c r="K746" s="221">
        <f t="shared" si="110"/>
        <v>5.1272312951006456E-3</v>
      </c>
      <c r="L746" s="316">
        <f t="shared" si="111"/>
        <v>11.634354348651728</v>
      </c>
      <c r="M746" s="37">
        <f t="shared" si="107"/>
        <v>4.2779520939992404</v>
      </c>
      <c r="N746" s="37">
        <v>1</v>
      </c>
      <c r="O746" s="947">
        <f>K746*161.2*1.08</f>
        <v>0.89263045955184195</v>
      </c>
      <c r="P746" s="37">
        <f t="shared" si="112"/>
        <v>1.0881165301936955</v>
      </c>
      <c r="Q746" s="954">
        <f t="shared" si="109"/>
        <v>4.6830449506056845E-2</v>
      </c>
    </row>
    <row r="747" spans="1:17" s="69" customFormat="1" ht="15.75">
      <c r="A747" s="248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3">
        <f t="shared" ref="F747:F809" si="113">C747+D747+E747</f>
        <v>246324.39000000004</v>
      </c>
      <c r="G747" s="153">
        <f>SUM(G537:G746)</f>
        <v>5214</v>
      </c>
      <c r="H747" s="153">
        <f>SUM(H537:H745)</f>
        <v>13</v>
      </c>
      <c r="I747" s="153">
        <f>SUM(I537:I745)</f>
        <v>39</v>
      </c>
      <c r="J747" s="153">
        <f>SUM(J537:J746)</f>
        <v>5266</v>
      </c>
      <c r="K747" s="221">
        <f>3/5266*J747</f>
        <v>3</v>
      </c>
      <c r="L747" s="316">
        <f t="shared" si="111"/>
        <v>6807.39</v>
      </c>
      <c r="M747" s="37">
        <f t="shared" si="107"/>
        <v>2503.0773030000005</v>
      </c>
      <c r="N747" s="37">
        <v>4369.1835774865076</v>
      </c>
      <c r="O747" s="947">
        <f>K747*161.2*1.08</f>
        <v>522.28800000000001</v>
      </c>
      <c r="P747" s="37">
        <f t="shared" si="112"/>
        <v>636.66907200000003</v>
      </c>
      <c r="Q747" s="954">
        <f t="shared" si="109"/>
        <v>5.7655431037448246E-2</v>
      </c>
    </row>
    <row r="748" spans="1:17" s="6" customFormat="1" ht="15.75">
      <c r="A748" s="29" t="s">
        <v>593</v>
      </c>
      <c r="B748" s="8"/>
      <c r="C748" s="8"/>
      <c r="D748" s="8"/>
      <c r="E748" s="8"/>
      <c r="F748" s="40"/>
      <c r="G748" s="24"/>
      <c r="H748" s="8"/>
      <c r="I748" s="8"/>
      <c r="J748" s="40"/>
      <c r="K748" s="61"/>
      <c r="L748" s="316">
        <f>K748*2077.52</f>
        <v>0</v>
      </c>
      <c r="M748" s="37"/>
      <c r="N748" s="37"/>
      <c r="O748" s="947"/>
      <c r="P748" s="37"/>
      <c r="Q748" s="954" t="e">
        <f t="shared" si="109"/>
        <v>#DIV/0!</v>
      </c>
    </row>
    <row r="749" spans="1:17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40">
        <f t="shared" si="113"/>
        <v>4275.08</v>
      </c>
      <c r="G749" s="24">
        <v>72</v>
      </c>
      <c r="H749" s="8"/>
      <c r="I749" s="8"/>
      <c r="J749" s="50">
        <f t="shared" ref="J749:J809" si="114">G749+H749+I749</f>
        <v>72</v>
      </c>
      <c r="K749" s="221">
        <f t="shared" ref="K749:K812" si="115">3/5362*J749</f>
        <v>4.0283476314807908E-2</v>
      </c>
      <c r="L749" s="316">
        <f t="shared" ref="L749:L812" si="116">K749*2269.13</f>
        <v>91.408444610220073</v>
      </c>
      <c r="M749" s="37">
        <f t="shared" ref="M749:M811" si="117">L749*0.3677</f>
        <v>33.610885083177926</v>
      </c>
      <c r="N749" s="37">
        <v>35.582142857142863</v>
      </c>
      <c r="O749" s="947">
        <f t="shared" ref="O749:O812" si="118">K749*161.2</f>
        <v>6.4936963819470339</v>
      </c>
      <c r="P749" s="37"/>
      <c r="Q749" s="954">
        <f t="shared" si="109"/>
        <v>3.9085857792716838E-2</v>
      </c>
    </row>
    <row r="750" spans="1:17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40">
        <f t="shared" si="113"/>
        <v>4574.41</v>
      </c>
      <c r="G750" s="24">
        <v>75</v>
      </c>
      <c r="H750" s="8"/>
      <c r="I750" s="8"/>
      <c r="J750" s="40">
        <f t="shared" si="114"/>
        <v>75</v>
      </c>
      <c r="K750" s="221">
        <f t="shared" si="115"/>
        <v>4.1961954494591572E-2</v>
      </c>
      <c r="L750" s="316">
        <f t="shared" si="116"/>
        <v>95.217129802312584</v>
      </c>
      <c r="M750" s="37">
        <f t="shared" si="117"/>
        <v>35.011338628310341</v>
      </c>
      <c r="N750" s="37">
        <v>37.064732142857146</v>
      </c>
      <c r="O750" s="947">
        <f t="shared" si="118"/>
        <v>6.7642670645281608</v>
      </c>
      <c r="P750" s="37"/>
      <c r="Q750" s="954">
        <f t="shared" si="109"/>
        <v>3.8050255145036897E-2</v>
      </c>
    </row>
    <row r="751" spans="1:17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40">
        <f t="shared" si="113"/>
        <v>8527.85</v>
      </c>
      <c r="G751" s="24">
        <v>144</v>
      </c>
      <c r="H751" s="8"/>
      <c r="I751" s="8"/>
      <c r="J751" s="40">
        <f t="shared" si="114"/>
        <v>144</v>
      </c>
      <c r="K751" s="221">
        <f t="shared" si="115"/>
        <v>8.0566952629615815E-2</v>
      </c>
      <c r="L751" s="316">
        <f t="shared" si="116"/>
        <v>182.81688922044015</v>
      </c>
      <c r="M751" s="37">
        <f t="shared" si="117"/>
        <v>67.221770166355853</v>
      </c>
      <c r="N751" s="37">
        <v>71.164285714285725</v>
      </c>
      <c r="O751" s="947">
        <f t="shared" si="118"/>
        <v>12.987392763894068</v>
      </c>
      <c r="P751" s="37"/>
      <c r="Q751" s="954">
        <f t="shared" si="109"/>
        <v>3.9188111641852964E-2</v>
      </c>
    </row>
    <row r="752" spans="1:17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40">
        <f t="shared" si="113"/>
        <v>5131.3999999999996</v>
      </c>
      <c r="G752" s="24">
        <v>90</v>
      </c>
      <c r="H752" s="8"/>
      <c r="I752" s="8"/>
      <c r="J752" s="40">
        <f t="shared" si="114"/>
        <v>90</v>
      </c>
      <c r="K752" s="221">
        <f t="shared" si="115"/>
        <v>5.0354345393509879E-2</v>
      </c>
      <c r="L752" s="316">
        <f t="shared" si="116"/>
        <v>114.26055576277508</v>
      </c>
      <c r="M752" s="37">
        <f t="shared" si="117"/>
        <v>42.013606353972399</v>
      </c>
      <c r="N752" s="37">
        <v>44.477678571428577</v>
      </c>
      <c r="O752" s="947">
        <f t="shared" si="118"/>
        <v>8.1171204774337919</v>
      </c>
      <c r="P752" s="37"/>
      <c r="Q752" s="954">
        <f t="shared" si="109"/>
        <v>4.0704088779983993E-2</v>
      </c>
    </row>
    <row r="753" spans="1:17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40">
        <f t="shared" si="113"/>
        <v>4290.1499999999996</v>
      </c>
      <c r="G753" s="24">
        <v>72</v>
      </c>
      <c r="H753" s="8"/>
      <c r="I753" s="8"/>
      <c r="J753" s="40">
        <f t="shared" si="114"/>
        <v>72</v>
      </c>
      <c r="K753" s="221">
        <f t="shared" si="115"/>
        <v>4.0283476314807908E-2</v>
      </c>
      <c r="L753" s="316">
        <f t="shared" si="116"/>
        <v>91.408444610220073</v>
      </c>
      <c r="M753" s="37">
        <f t="shared" si="117"/>
        <v>33.610885083177926</v>
      </c>
      <c r="N753" s="37">
        <v>35.582142857142863</v>
      </c>
      <c r="O753" s="947">
        <f t="shared" si="118"/>
        <v>6.4936963819470339</v>
      </c>
      <c r="P753" s="37"/>
      <c r="Q753" s="954">
        <f t="shared" si="109"/>
        <v>3.89485609902889E-2</v>
      </c>
    </row>
    <row r="754" spans="1:17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40">
        <f t="shared" si="113"/>
        <v>5185.3900000000003</v>
      </c>
      <c r="G754" s="24">
        <v>90</v>
      </c>
      <c r="H754" s="8"/>
      <c r="I754" s="8"/>
      <c r="J754" s="40">
        <f t="shared" si="114"/>
        <v>90</v>
      </c>
      <c r="K754" s="221">
        <f t="shared" si="115"/>
        <v>5.0354345393509879E-2</v>
      </c>
      <c r="L754" s="316">
        <f t="shared" si="116"/>
        <v>114.26055576277508</v>
      </c>
      <c r="M754" s="37">
        <f t="shared" si="117"/>
        <v>42.013606353972399</v>
      </c>
      <c r="N754" s="37">
        <v>44.477678571428577</v>
      </c>
      <c r="O754" s="947">
        <f t="shared" si="118"/>
        <v>8.1171204774337919</v>
      </c>
      <c r="P754" s="37"/>
      <c r="Q754" s="954">
        <f t="shared" si="109"/>
        <v>4.0280280010878612E-2</v>
      </c>
    </row>
    <row r="755" spans="1:17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40">
        <f t="shared" si="113"/>
        <v>4246.38</v>
      </c>
      <c r="G755" s="24">
        <v>72</v>
      </c>
      <c r="H755" s="8"/>
      <c r="I755" s="8"/>
      <c r="J755" s="40">
        <f t="shared" si="114"/>
        <v>72</v>
      </c>
      <c r="K755" s="221">
        <f t="shared" si="115"/>
        <v>4.0283476314807908E-2</v>
      </c>
      <c r="L755" s="316">
        <f t="shared" si="116"/>
        <v>91.408444610220073</v>
      </c>
      <c r="M755" s="37">
        <f t="shared" si="117"/>
        <v>33.610885083177926</v>
      </c>
      <c r="N755" s="37">
        <v>35.582142857142863</v>
      </c>
      <c r="O755" s="947">
        <f t="shared" si="118"/>
        <v>6.4936963819470339</v>
      </c>
      <c r="P755" s="37"/>
      <c r="Q755" s="954">
        <f t="shared" si="109"/>
        <v>3.9350027301486887E-2</v>
      </c>
    </row>
    <row r="756" spans="1:17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40">
        <f t="shared" si="113"/>
        <v>4446.42</v>
      </c>
      <c r="G756" s="24">
        <v>78</v>
      </c>
      <c r="H756" s="8"/>
      <c r="I756" s="8"/>
      <c r="J756" s="40">
        <f t="shared" si="114"/>
        <v>78</v>
      </c>
      <c r="K756" s="221">
        <f t="shared" si="115"/>
        <v>4.3640432674375229E-2</v>
      </c>
      <c r="L756" s="316">
        <f t="shared" si="116"/>
        <v>99.025814994405067</v>
      </c>
      <c r="M756" s="37">
        <f t="shared" si="117"/>
        <v>36.411792173442748</v>
      </c>
      <c r="N756" s="37">
        <v>38.547321428571429</v>
      </c>
      <c r="O756" s="947">
        <f t="shared" si="118"/>
        <v>7.034837747109286</v>
      </c>
      <c r="P756" s="37"/>
      <c r="Q756" s="954">
        <f t="shared" si="109"/>
        <v>4.0711351231671446E-2</v>
      </c>
    </row>
    <row r="757" spans="1:17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40">
        <f t="shared" si="113"/>
        <v>2920.24</v>
      </c>
      <c r="G757" s="24">
        <v>60</v>
      </c>
      <c r="H757" s="8"/>
      <c r="I757" s="8"/>
      <c r="J757" s="40">
        <f t="shared" si="114"/>
        <v>60</v>
      </c>
      <c r="K757" s="221">
        <f t="shared" si="115"/>
        <v>3.3569563595673257E-2</v>
      </c>
      <c r="L757" s="316">
        <f t="shared" si="116"/>
        <v>76.173703841850056</v>
      </c>
      <c r="M757" s="37">
        <f t="shared" si="117"/>
        <v>28.009070902648268</v>
      </c>
      <c r="N757" s="37">
        <v>29.651785714285719</v>
      </c>
      <c r="O757" s="947">
        <f t="shared" si="118"/>
        <v>5.4114136516225289</v>
      </c>
      <c r="P757" s="37"/>
      <c r="Q757" s="954">
        <f t="shared" si="109"/>
        <v>4.7683058279595708E-2</v>
      </c>
    </row>
    <row r="758" spans="1:17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40">
        <f t="shared" si="113"/>
        <v>4278.99</v>
      </c>
      <c r="G758" s="24">
        <v>72</v>
      </c>
      <c r="H758" s="8"/>
      <c r="I758" s="8"/>
      <c r="J758" s="40">
        <f t="shared" si="114"/>
        <v>72</v>
      </c>
      <c r="K758" s="221">
        <f t="shared" si="115"/>
        <v>4.0283476314807908E-2</v>
      </c>
      <c r="L758" s="316">
        <f t="shared" si="116"/>
        <v>91.408444610220073</v>
      </c>
      <c r="M758" s="37">
        <f t="shared" si="117"/>
        <v>33.610885083177926</v>
      </c>
      <c r="N758" s="37">
        <v>35.582142857142863</v>
      </c>
      <c r="O758" s="947">
        <f t="shared" si="118"/>
        <v>6.4936963819470339</v>
      </c>
      <c r="P758" s="37"/>
      <c r="Q758" s="954">
        <f t="shared" si="109"/>
        <v>3.9050142424377696E-2</v>
      </c>
    </row>
    <row r="759" spans="1:17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40">
        <f t="shared" si="113"/>
        <v>8595.7800000000007</v>
      </c>
      <c r="G759" s="24">
        <v>144</v>
      </c>
      <c r="H759" s="8"/>
      <c r="I759" s="8"/>
      <c r="J759" s="40">
        <f t="shared" si="114"/>
        <v>144</v>
      </c>
      <c r="K759" s="221">
        <f t="shared" si="115"/>
        <v>8.0566952629615815E-2</v>
      </c>
      <c r="L759" s="316">
        <f t="shared" si="116"/>
        <v>182.81688922044015</v>
      </c>
      <c r="M759" s="37">
        <f t="shared" si="117"/>
        <v>67.221770166355853</v>
      </c>
      <c r="N759" s="37">
        <v>71.164285714285725</v>
      </c>
      <c r="O759" s="947">
        <f t="shared" si="118"/>
        <v>12.987392763894068</v>
      </c>
      <c r="P759" s="37"/>
      <c r="Q759" s="954">
        <f t="shared" si="109"/>
        <v>3.8878419162074386E-2</v>
      </c>
    </row>
    <row r="760" spans="1:17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40">
        <f t="shared" si="113"/>
        <v>4516.6000000000004</v>
      </c>
      <c r="G760" s="24">
        <v>80</v>
      </c>
      <c r="H760" s="8"/>
      <c r="I760" s="8"/>
      <c r="J760" s="40">
        <f t="shared" si="114"/>
        <v>80</v>
      </c>
      <c r="K760" s="221">
        <f t="shared" si="115"/>
        <v>4.4759418127564343E-2</v>
      </c>
      <c r="L760" s="316">
        <f t="shared" si="116"/>
        <v>101.56493845580009</v>
      </c>
      <c r="M760" s="37">
        <f t="shared" si="117"/>
        <v>37.345427870197696</v>
      </c>
      <c r="N760" s="37">
        <v>39.535714285714292</v>
      </c>
      <c r="O760" s="947">
        <f t="shared" si="118"/>
        <v>7.2152182021633715</v>
      </c>
      <c r="P760" s="37"/>
      <c r="Q760" s="954">
        <f t="shared" si="109"/>
        <v>4.1106429352582789E-2</v>
      </c>
    </row>
    <row r="761" spans="1:17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40">
        <f t="shared" si="113"/>
        <v>5874.29</v>
      </c>
      <c r="G761" s="24">
        <v>119</v>
      </c>
      <c r="H761" s="8"/>
      <c r="I761" s="8"/>
      <c r="J761" s="40">
        <f t="shared" si="114"/>
        <v>119</v>
      </c>
      <c r="K761" s="221">
        <f t="shared" si="115"/>
        <v>6.6579634464751958E-2</v>
      </c>
      <c r="L761" s="316">
        <f t="shared" si="116"/>
        <v>151.07784595300262</v>
      </c>
      <c r="M761" s="37">
        <f t="shared" si="117"/>
        <v>55.55132395691907</v>
      </c>
      <c r="N761" s="37">
        <v>58.809375000000003</v>
      </c>
      <c r="O761" s="947">
        <f t="shared" si="118"/>
        <v>10.732637075718015</v>
      </c>
      <c r="P761" s="37"/>
      <c r="Q761" s="954">
        <f t="shared" si="109"/>
        <v>4.7013542400126604E-2</v>
      </c>
    </row>
    <row r="762" spans="1:17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40">
        <f t="shared" si="113"/>
        <v>5810.95</v>
      </c>
      <c r="G762" s="24">
        <v>119</v>
      </c>
      <c r="H762" s="8"/>
      <c r="I762" s="8"/>
      <c r="J762" s="40">
        <f t="shared" si="114"/>
        <v>119</v>
      </c>
      <c r="K762" s="221">
        <f t="shared" si="115"/>
        <v>6.6579634464751958E-2</v>
      </c>
      <c r="L762" s="316">
        <f t="shared" si="116"/>
        <v>151.07784595300262</v>
      </c>
      <c r="M762" s="37">
        <f t="shared" si="117"/>
        <v>55.55132395691907</v>
      </c>
      <c r="N762" s="37">
        <v>58.809375000000003</v>
      </c>
      <c r="O762" s="947">
        <f t="shared" si="118"/>
        <v>10.732637075718015</v>
      </c>
      <c r="P762" s="37"/>
      <c r="Q762" s="954">
        <f t="shared" si="109"/>
        <v>4.7525995230666189E-2</v>
      </c>
    </row>
    <row r="763" spans="1:17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40">
        <f t="shared" si="113"/>
        <v>4535.62</v>
      </c>
      <c r="G763" s="24">
        <v>92</v>
      </c>
      <c r="H763" s="8"/>
      <c r="I763" s="8">
        <v>3</v>
      </c>
      <c r="J763" s="40">
        <f t="shared" si="114"/>
        <v>95</v>
      </c>
      <c r="K763" s="221">
        <f t="shared" si="115"/>
        <v>5.3151809026482651E-2</v>
      </c>
      <c r="L763" s="316">
        <f t="shared" si="116"/>
        <v>120.60836441626259</v>
      </c>
      <c r="M763" s="37">
        <f t="shared" si="117"/>
        <v>44.347695595859754</v>
      </c>
      <c r="N763" s="37">
        <v>46.948660714285722</v>
      </c>
      <c r="O763" s="947">
        <f t="shared" si="118"/>
        <v>8.5680716150690035</v>
      </c>
      <c r="P763" s="37"/>
      <c r="Q763" s="954">
        <f t="shared" si="109"/>
        <v>4.8609185148111411E-2</v>
      </c>
    </row>
    <row r="764" spans="1:17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40">
        <f t="shared" si="113"/>
        <v>6970.5</v>
      </c>
      <c r="G764" s="24">
        <v>121</v>
      </c>
      <c r="H764" s="8"/>
      <c r="I764" s="8">
        <v>5</v>
      </c>
      <c r="J764" s="40">
        <f t="shared" si="114"/>
        <v>126</v>
      </c>
      <c r="K764" s="221">
        <f t="shared" si="115"/>
        <v>7.0496083550913829E-2</v>
      </c>
      <c r="L764" s="316">
        <f t="shared" si="116"/>
        <v>159.96477806788511</v>
      </c>
      <c r="M764" s="37">
        <f t="shared" si="117"/>
        <v>58.819048895561359</v>
      </c>
      <c r="N764" s="37">
        <v>62.268749999999997</v>
      </c>
      <c r="O764" s="947">
        <f t="shared" si="118"/>
        <v>11.363968668407308</v>
      </c>
      <c r="P764" s="37"/>
      <c r="Q764" s="954">
        <f t="shared" si="109"/>
        <v>4.1950583979894374E-2</v>
      </c>
    </row>
    <row r="765" spans="1:17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40">
        <f t="shared" si="113"/>
        <v>7328.65</v>
      </c>
      <c r="G765" s="24">
        <v>119</v>
      </c>
      <c r="H765" s="8"/>
      <c r="I765" s="8">
        <v>1</v>
      </c>
      <c r="J765" s="40">
        <f t="shared" si="114"/>
        <v>120</v>
      </c>
      <c r="K765" s="221">
        <f t="shared" si="115"/>
        <v>6.7139127191346515E-2</v>
      </c>
      <c r="L765" s="316">
        <f t="shared" si="116"/>
        <v>152.34740768370011</v>
      </c>
      <c r="M765" s="37">
        <f t="shared" si="117"/>
        <v>56.018141805296537</v>
      </c>
      <c r="N765" s="37">
        <v>59.303571428571438</v>
      </c>
      <c r="O765" s="947">
        <f t="shared" si="118"/>
        <v>10.822827303245058</v>
      </c>
      <c r="P765" s="37"/>
      <c r="Q765" s="954">
        <f t="shared" si="109"/>
        <v>3.8000443222259643E-2</v>
      </c>
    </row>
    <row r="766" spans="1:17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40">
        <f t="shared" si="113"/>
        <v>6535.5999999999995</v>
      </c>
      <c r="G766" s="24">
        <v>104</v>
      </c>
      <c r="H766" s="8"/>
      <c r="I766" s="8">
        <v>2</v>
      </c>
      <c r="J766" s="40">
        <f t="shared" si="114"/>
        <v>106</v>
      </c>
      <c r="K766" s="221">
        <f t="shared" si="115"/>
        <v>5.9306229019022751E-2</v>
      </c>
      <c r="L766" s="316">
        <f t="shared" si="116"/>
        <v>134.57354345393509</v>
      </c>
      <c r="M766" s="37">
        <f t="shared" si="117"/>
        <v>49.482691928011938</v>
      </c>
      <c r="N766" s="37">
        <v>52.384821428571428</v>
      </c>
      <c r="O766" s="947">
        <f t="shared" si="118"/>
        <v>9.5601641178664671</v>
      </c>
      <c r="P766" s="37"/>
      <c r="Q766" s="954">
        <f t="shared" si="109"/>
        <v>3.7640189260111534E-2</v>
      </c>
    </row>
    <row r="767" spans="1:17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40">
        <f t="shared" si="113"/>
        <v>11062.33</v>
      </c>
      <c r="G767" s="24">
        <v>216</v>
      </c>
      <c r="H767" s="8"/>
      <c r="I767" s="8"/>
      <c r="J767" s="40">
        <f t="shared" si="114"/>
        <v>216</v>
      </c>
      <c r="K767" s="221">
        <f t="shared" si="115"/>
        <v>0.12085042894442372</v>
      </c>
      <c r="L767" s="316">
        <f t="shared" si="116"/>
        <v>274.22533383066019</v>
      </c>
      <c r="M767" s="37">
        <f t="shared" si="117"/>
        <v>100.83265524953376</v>
      </c>
      <c r="N767" s="37">
        <v>106.74642857142859</v>
      </c>
      <c r="O767" s="947">
        <f t="shared" si="118"/>
        <v>19.4810891458411</v>
      </c>
      <c r="P767" s="37"/>
      <c r="Q767" s="954">
        <f t="shared" si="109"/>
        <v>4.5314640477861684E-2</v>
      </c>
    </row>
    <row r="768" spans="1:17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40">
        <f t="shared" si="113"/>
        <v>8492.94</v>
      </c>
      <c r="G768" s="24">
        <v>144</v>
      </c>
      <c r="H768" s="8"/>
      <c r="I768" s="8"/>
      <c r="J768" s="40">
        <f t="shared" si="114"/>
        <v>144</v>
      </c>
      <c r="K768" s="221">
        <f t="shared" si="115"/>
        <v>8.0566952629615815E-2</v>
      </c>
      <c r="L768" s="316">
        <f t="shared" si="116"/>
        <v>182.81688922044015</v>
      </c>
      <c r="M768" s="37">
        <f t="shared" si="117"/>
        <v>67.221770166355853</v>
      </c>
      <c r="N768" s="37">
        <v>71.164285714285725</v>
      </c>
      <c r="O768" s="947">
        <f t="shared" si="118"/>
        <v>12.987392763894068</v>
      </c>
      <c r="P768" s="37"/>
      <c r="Q768" s="954">
        <f t="shared" si="109"/>
        <v>3.9349193314090973E-2</v>
      </c>
    </row>
    <row r="769" spans="1:17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40">
        <f t="shared" si="113"/>
        <v>3876.37</v>
      </c>
      <c r="G769" s="24">
        <v>90</v>
      </c>
      <c r="H769" s="8"/>
      <c r="I769" s="8"/>
      <c r="J769" s="40">
        <f t="shared" si="114"/>
        <v>90</v>
      </c>
      <c r="K769" s="221">
        <f t="shared" si="115"/>
        <v>5.0354345393509879E-2</v>
      </c>
      <c r="L769" s="316">
        <f t="shared" si="116"/>
        <v>114.26055576277508</v>
      </c>
      <c r="M769" s="37">
        <f t="shared" si="117"/>
        <v>42.013606353972399</v>
      </c>
      <c r="N769" s="37">
        <v>44.477678571428577</v>
      </c>
      <c r="O769" s="947">
        <f t="shared" si="118"/>
        <v>8.1171204774337919</v>
      </c>
      <c r="P769" s="37"/>
      <c r="Q769" s="954">
        <f t="shared" si="109"/>
        <v>5.3882617285143021E-2</v>
      </c>
    </row>
    <row r="770" spans="1:17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40">
        <f t="shared" si="113"/>
        <v>5695.76</v>
      </c>
      <c r="G770" s="24">
        <v>116</v>
      </c>
      <c r="H770" s="8"/>
      <c r="I770" s="8">
        <v>1</v>
      </c>
      <c r="J770" s="40">
        <f t="shared" si="114"/>
        <v>117</v>
      </c>
      <c r="K770" s="221">
        <f t="shared" si="115"/>
        <v>6.5460649011562844E-2</v>
      </c>
      <c r="L770" s="316">
        <f t="shared" si="116"/>
        <v>148.53872249160761</v>
      </c>
      <c r="M770" s="37">
        <f t="shared" si="117"/>
        <v>54.617688260164122</v>
      </c>
      <c r="N770" s="37">
        <v>57.820982142857154</v>
      </c>
      <c r="O770" s="947">
        <f t="shared" si="118"/>
        <v>10.552256620663929</v>
      </c>
      <c r="P770" s="37"/>
      <c r="Q770" s="954">
        <f t="shared" si="109"/>
        <v>4.7672242073980083E-2</v>
      </c>
    </row>
    <row r="771" spans="1:17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40">
        <f t="shared" si="113"/>
        <v>5815.2</v>
      </c>
      <c r="G771" s="24">
        <v>119</v>
      </c>
      <c r="H771" s="8"/>
      <c r="I771" s="8"/>
      <c r="J771" s="40">
        <f t="shared" si="114"/>
        <v>119</v>
      </c>
      <c r="K771" s="221">
        <f t="shared" si="115"/>
        <v>6.6579634464751958E-2</v>
      </c>
      <c r="L771" s="316">
        <f t="shared" si="116"/>
        <v>151.07784595300262</v>
      </c>
      <c r="M771" s="37">
        <f t="shared" si="117"/>
        <v>55.55132395691907</v>
      </c>
      <c r="N771" s="37">
        <v>58.809375000000003</v>
      </c>
      <c r="O771" s="947">
        <f t="shared" si="118"/>
        <v>10.732637075718015</v>
      </c>
      <c r="P771" s="37"/>
      <c r="Q771" s="954">
        <f t="shared" si="109"/>
        <v>4.7491261175134081E-2</v>
      </c>
    </row>
    <row r="772" spans="1:17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40">
        <f t="shared" si="113"/>
        <v>5690.31</v>
      </c>
      <c r="G772" s="24">
        <v>119</v>
      </c>
      <c r="H772" s="8"/>
      <c r="I772" s="8"/>
      <c r="J772" s="40">
        <f t="shared" si="114"/>
        <v>119</v>
      </c>
      <c r="K772" s="221">
        <f t="shared" si="115"/>
        <v>6.6579634464751958E-2</v>
      </c>
      <c r="L772" s="316">
        <f t="shared" si="116"/>
        <v>151.07784595300262</v>
      </c>
      <c r="M772" s="37">
        <f t="shared" si="117"/>
        <v>55.55132395691907</v>
      </c>
      <c r="N772" s="37">
        <v>58.809375000000003</v>
      </c>
      <c r="O772" s="947">
        <f t="shared" si="118"/>
        <v>10.732637075718015</v>
      </c>
      <c r="P772" s="37"/>
      <c r="Q772" s="954">
        <f t="shared" si="109"/>
        <v>4.8533591664714167E-2</v>
      </c>
    </row>
    <row r="773" spans="1:17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40">
        <f t="shared" si="113"/>
        <v>3955.02</v>
      </c>
      <c r="G773" s="24">
        <v>90</v>
      </c>
      <c r="H773" s="8"/>
      <c r="I773" s="8"/>
      <c r="J773" s="40">
        <f t="shared" si="114"/>
        <v>90</v>
      </c>
      <c r="K773" s="221">
        <f t="shared" si="115"/>
        <v>5.0354345393509879E-2</v>
      </c>
      <c r="L773" s="316">
        <f t="shared" si="116"/>
        <v>114.26055576277508</v>
      </c>
      <c r="M773" s="37">
        <f t="shared" si="117"/>
        <v>42.013606353972399</v>
      </c>
      <c r="N773" s="37">
        <v>44.477678571428577</v>
      </c>
      <c r="O773" s="947">
        <f t="shared" si="118"/>
        <v>8.1171204774337919</v>
      </c>
      <c r="P773" s="37"/>
      <c r="Q773" s="954">
        <f t="shared" si="109"/>
        <v>5.2811101123536631E-2</v>
      </c>
    </row>
    <row r="774" spans="1:17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40">
        <f t="shared" si="113"/>
        <v>3905.27</v>
      </c>
      <c r="G774" s="24">
        <v>92</v>
      </c>
      <c r="H774" s="8"/>
      <c r="I774" s="8"/>
      <c r="J774" s="40">
        <f t="shared" si="114"/>
        <v>92</v>
      </c>
      <c r="K774" s="221">
        <f t="shared" si="115"/>
        <v>5.1473330846698993E-2</v>
      </c>
      <c r="L774" s="316">
        <f t="shared" si="116"/>
        <v>116.79967922417009</v>
      </c>
      <c r="M774" s="37">
        <f t="shared" si="117"/>
        <v>42.947242050727347</v>
      </c>
      <c r="N774" s="37">
        <v>45.466071428571432</v>
      </c>
      <c r="O774" s="947">
        <f t="shared" si="118"/>
        <v>8.2975009324878766</v>
      </c>
      <c r="P774" s="37"/>
      <c r="Q774" s="954">
        <f t="shared" si="109"/>
        <v>5.467240258316499E-2</v>
      </c>
    </row>
    <row r="775" spans="1:17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40">
        <f t="shared" si="113"/>
        <v>4859.2700000000004</v>
      </c>
      <c r="G775" s="24">
        <v>70</v>
      </c>
      <c r="H775" s="8"/>
      <c r="I775" s="8">
        <v>1</v>
      </c>
      <c r="J775" s="40">
        <f t="shared" si="114"/>
        <v>71</v>
      </c>
      <c r="K775" s="221">
        <f t="shared" si="115"/>
        <v>3.972398358821335E-2</v>
      </c>
      <c r="L775" s="316">
        <f t="shared" si="116"/>
        <v>90.138882879522569</v>
      </c>
      <c r="M775" s="37">
        <f t="shared" si="117"/>
        <v>33.144067234800453</v>
      </c>
      <c r="N775" s="37">
        <v>35.087946428571428</v>
      </c>
      <c r="O775" s="947">
        <f t="shared" si="118"/>
        <v>6.4035061544199916</v>
      </c>
      <c r="P775" s="37"/>
      <c r="Q775" s="954">
        <f t="shared" ref="Q775:Q838" si="119">(O775+N775+M775+L775)/F775</f>
        <v>3.390929145680615E-2</v>
      </c>
    </row>
    <row r="776" spans="1:17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40">
        <f t="shared" si="113"/>
        <v>4953.4199999999992</v>
      </c>
      <c r="G776" s="24">
        <v>67</v>
      </c>
      <c r="H776" s="8">
        <v>5</v>
      </c>
      <c r="I776" s="8">
        <v>1</v>
      </c>
      <c r="J776" s="40">
        <f t="shared" si="114"/>
        <v>73</v>
      </c>
      <c r="K776" s="221">
        <f t="shared" si="115"/>
        <v>4.0842969041402458E-2</v>
      </c>
      <c r="L776" s="316">
        <f t="shared" si="116"/>
        <v>92.678006340917563</v>
      </c>
      <c r="M776" s="37">
        <f t="shared" si="117"/>
        <v>34.077702931555393</v>
      </c>
      <c r="N776" s="37">
        <v>36.07633928571429</v>
      </c>
      <c r="O776" s="947">
        <f t="shared" si="118"/>
        <v>6.5838866094740753</v>
      </c>
      <c r="P776" s="37"/>
      <c r="Q776" s="954">
        <f t="shared" si="119"/>
        <v>3.4201811105793845E-2</v>
      </c>
    </row>
    <row r="777" spans="1:17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40">
        <f t="shared" si="113"/>
        <v>10932.24</v>
      </c>
      <c r="G777" s="24">
        <v>216</v>
      </c>
      <c r="H777" s="8"/>
      <c r="I777" s="8"/>
      <c r="J777" s="40">
        <f t="shared" si="114"/>
        <v>216</v>
      </c>
      <c r="K777" s="221">
        <f t="shared" si="115"/>
        <v>0.12085042894442372</v>
      </c>
      <c r="L777" s="316">
        <f t="shared" si="116"/>
        <v>274.22533383066019</v>
      </c>
      <c r="M777" s="37">
        <f t="shared" si="117"/>
        <v>100.83265524953376</v>
      </c>
      <c r="N777" s="37">
        <v>106.74642857142859</v>
      </c>
      <c r="O777" s="947">
        <f t="shared" si="118"/>
        <v>19.4810891458411</v>
      </c>
      <c r="P777" s="37"/>
      <c r="Q777" s="954">
        <f t="shared" si="119"/>
        <v>4.5853869545259128E-2</v>
      </c>
    </row>
    <row r="778" spans="1:17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40">
        <f t="shared" si="113"/>
        <v>4713.08</v>
      </c>
      <c r="G778" s="24">
        <v>80</v>
      </c>
      <c r="H778" s="8"/>
      <c r="I778" s="8"/>
      <c r="J778" s="40">
        <f t="shared" si="114"/>
        <v>80</v>
      </c>
      <c r="K778" s="221">
        <f t="shared" si="115"/>
        <v>4.4759418127564343E-2</v>
      </c>
      <c r="L778" s="316">
        <f t="shared" si="116"/>
        <v>101.56493845580009</v>
      </c>
      <c r="M778" s="37">
        <f t="shared" si="117"/>
        <v>37.345427870197696</v>
      </c>
      <c r="N778" s="37">
        <v>39.535714285714292</v>
      </c>
      <c r="O778" s="947">
        <f t="shared" si="118"/>
        <v>7.2152182021633715</v>
      </c>
      <c r="P778" s="37"/>
      <c r="Q778" s="954">
        <f t="shared" si="119"/>
        <v>3.9392774748969982E-2</v>
      </c>
    </row>
    <row r="779" spans="1:17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40">
        <f t="shared" si="113"/>
        <v>4688.58</v>
      </c>
      <c r="G779" s="24">
        <v>80</v>
      </c>
      <c r="H779" s="8"/>
      <c r="I779" s="8"/>
      <c r="J779" s="40">
        <f t="shared" si="114"/>
        <v>80</v>
      </c>
      <c r="K779" s="221">
        <f t="shared" si="115"/>
        <v>4.4759418127564343E-2</v>
      </c>
      <c r="L779" s="316">
        <f t="shared" si="116"/>
        <v>101.56493845580009</v>
      </c>
      <c r="M779" s="37">
        <f t="shared" si="117"/>
        <v>37.345427870197696</v>
      </c>
      <c r="N779" s="37">
        <v>39.535714285714292</v>
      </c>
      <c r="O779" s="947">
        <f t="shared" si="118"/>
        <v>7.2152182021633715</v>
      </c>
      <c r="P779" s="37"/>
      <c r="Q779" s="954">
        <f t="shared" si="119"/>
        <v>3.9598620224860291E-2</v>
      </c>
    </row>
    <row r="780" spans="1:17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40">
        <f t="shared" si="113"/>
        <v>2330.62</v>
      </c>
      <c r="G780" s="24">
        <v>40</v>
      </c>
      <c r="H780" s="8"/>
      <c r="I780" s="8"/>
      <c r="J780" s="40">
        <f t="shared" si="114"/>
        <v>40</v>
      </c>
      <c r="K780" s="221">
        <f t="shared" si="115"/>
        <v>2.2379709063782172E-2</v>
      </c>
      <c r="L780" s="316">
        <f t="shared" si="116"/>
        <v>50.782469227900044</v>
      </c>
      <c r="M780" s="37">
        <f t="shared" si="117"/>
        <v>18.672713935098848</v>
      </c>
      <c r="N780" s="37">
        <v>19.767857142857146</v>
      </c>
      <c r="O780" s="947">
        <f t="shared" si="118"/>
        <v>3.6076091010816858</v>
      </c>
      <c r="P780" s="37"/>
      <c r="Q780" s="954">
        <f t="shared" si="119"/>
        <v>3.9830881656785631E-2</v>
      </c>
    </row>
    <row r="781" spans="1:17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40">
        <f t="shared" si="113"/>
        <v>2305.7800000000002</v>
      </c>
      <c r="G781" s="24">
        <v>40</v>
      </c>
      <c r="H781" s="8"/>
      <c r="I781" s="8"/>
      <c r="J781" s="40">
        <f t="shared" si="114"/>
        <v>40</v>
      </c>
      <c r="K781" s="221">
        <f t="shared" si="115"/>
        <v>2.2379709063782172E-2</v>
      </c>
      <c r="L781" s="316">
        <f t="shared" si="116"/>
        <v>50.782469227900044</v>
      </c>
      <c r="M781" s="37">
        <f t="shared" si="117"/>
        <v>18.672713935098848</v>
      </c>
      <c r="N781" s="37">
        <v>19.767857142857146</v>
      </c>
      <c r="O781" s="947">
        <f t="shared" si="118"/>
        <v>3.6076091010816858</v>
      </c>
      <c r="P781" s="37"/>
      <c r="Q781" s="954">
        <f t="shared" si="119"/>
        <v>4.0259976843817588E-2</v>
      </c>
    </row>
    <row r="782" spans="1:17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40">
        <f t="shared" si="113"/>
        <v>2216.46</v>
      </c>
      <c r="G782" s="24">
        <v>40</v>
      </c>
      <c r="H782" s="8"/>
      <c r="I782" s="8"/>
      <c r="J782" s="40">
        <f t="shared" si="114"/>
        <v>40</v>
      </c>
      <c r="K782" s="221">
        <f t="shared" si="115"/>
        <v>2.2379709063782172E-2</v>
      </c>
      <c r="L782" s="316">
        <f t="shared" si="116"/>
        <v>50.782469227900044</v>
      </c>
      <c r="M782" s="37">
        <f t="shared" si="117"/>
        <v>18.672713935098848</v>
      </c>
      <c r="N782" s="37">
        <v>19.767857142857146</v>
      </c>
      <c r="O782" s="947">
        <f t="shared" si="118"/>
        <v>3.6076091010816858</v>
      </c>
      <c r="P782" s="37"/>
      <c r="Q782" s="954">
        <f t="shared" si="119"/>
        <v>4.1882393278894148E-2</v>
      </c>
    </row>
    <row r="783" spans="1:17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40">
        <f t="shared" si="113"/>
        <v>5853.7699999999995</v>
      </c>
      <c r="G783" s="24">
        <v>120</v>
      </c>
      <c r="H783" s="8"/>
      <c r="I783" s="8">
        <v>2</v>
      </c>
      <c r="J783" s="40">
        <f t="shared" si="114"/>
        <v>122</v>
      </c>
      <c r="K783" s="221">
        <f t="shared" si="115"/>
        <v>6.8258112644535615E-2</v>
      </c>
      <c r="L783" s="316">
        <f t="shared" si="116"/>
        <v>154.88653114509512</v>
      </c>
      <c r="M783" s="37">
        <f t="shared" si="117"/>
        <v>56.951777502051478</v>
      </c>
      <c r="N783" s="37">
        <v>60.291964285714293</v>
      </c>
      <c r="O783" s="947">
        <f t="shared" si="118"/>
        <v>11.003207758299141</v>
      </c>
      <c r="P783" s="37"/>
      <c r="Q783" s="954">
        <f t="shared" si="119"/>
        <v>4.8367715282827996E-2</v>
      </c>
    </row>
    <row r="784" spans="1:17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40">
        <f t="shared" si="113"/>
        <v>5132.7700000000004</v>
      </c>
      <c r="G784" s="24">
        <v>85</v>
      </c>
      <c r="H784" s="8"/>
      <c r="I784" s="8">
        <v>1</v>
      </c>
      <c r="J784" s="40">
        <f t="shared" si="114"/>
        <v>86</v>
      </c>
      <c r="K784" s="221">
        <f t="shared" si="115"/>
        <v>4.8116374487131665E-2</v>
      </c>
      <c r="L784" s="316">
        <f t="shared" si="116"/>
        <v>109.18230883998508</v>
      </c>
      <c r="M784" s="37">
        <f t="shared" si="117"/>
        <v>40.146334960462518</v>
      </c>
      <c r="N784" s="37">
        <v>42.500892857142865</v>
      </c>
      <c r="O784" s="947">
        <f t="shared" si="118"/>
        <v>7.7563595673256236</v>
      </c>
      <c r="P784" s="37"/>
      <c r="Q784" s="954">
        <f t="shared" si="119"/>
        <v>3.8884636604585063E-2</v>
      </c>
    </row>
    <row r="785" spans="1:17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40">
        <f t="shared" si="113"/>
        <v>4658.3100000000004</v>
      </c>
      <c r="G785" s="24">
        <v>94</v>
      </c>
      <c r="H785" s="8"/>
      <c r="I785" s="8">
        <v>2</v>
      </c>
      <c r="J785" s="40">
        <f t="shared" si="114"/>
        <v>96</v>
      </c>
      <c r="K785" s="221">
        <f t="shared" si="115"/>
        <v>5.3711301753077208E-2</v>
      </c>
      <c r="L785" s="316">
        <f t="shared" si="116"/>
        <v>121.87792614696009</v>
      </c>
      <c r="M785" s="37">
        <f t="shared" si="117"/>
        <v>44.814513444237228</v>
      </c>
      <c r="N785" s="37">
        <v>47.442857142857143</v>
      </c>
      <c r="O785" s="947">
        <f t="shared" si="118"/>
        <v>8.6582618425960458</v>
      </c>
      <c r="P785" s="37"/>
      <c r="Q785" s="954">
        <f t="shared" si="119"/>
        <v>4.7827121547653659E-2</v>
      </c>
    </row>
    <row r="786" spans="1:17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40">
        <f t="shared" si="113"/>
        <v>4519.6099999999997</v>
      </c>
      <c r="G786" s="24">
        <v>80</v>
      </c>
      <c r="H786" s="8"/>
      <c r="I786" s="8"/>
      <c r="J786" s="40">
        <f t="shared" si="114"/>
        <v>80</v>
      </c>
      <c r="K786" s="221">
        <f t="shared" si="115"/>
        <v>4.4759418127564343E-2</v>
      </c>
      <c r="L786" s="316">
        <f t="shared" si="116"/>
        <v>101.56493845580009</v>
      </c>
      <c r="M786" s="37">
        <f t="shared" si="117"/>
        <v>37.345427870197696</v>
      </c>
      <c r="N786" s="37">
        <v>39.535714285714292</v>
      </c>
      <c r="O786" s="947">
        <f t="shared" si="118"/>
        <v>7.2152182021633715</v>
      </c>
      <c r="P786" s="37"/>
      <c r="Q786" s="954">
        <f t="shared" si="119"/>
        <v>4.107905301870636E-2</v>
      </c>
    </row>
    <row r="787" spans="1:17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40">
        <f t="shared" si="113"/>
        <v>7164.75</v>
      </c>
      <c r="G787" s="24">
        <v>120</v>
      </c>
      <c r="H787" s="8"/>
      <c r="I787" s="8"/>
      <c r="J787" s="40">
        <f t="shared" si="114"/>
        <v>120</v>
      </c>
      <c r="K787" s="221">
        <f t="shared" si="115"/>
        <v>6.7139127191346515E-2</v>
      </c>
      <c r="L787" s="316">
        <f t="shared" si="116"/>
        <v>152.34740768370011</v>
      </c>
      <c r="M787" s="37">
        <f t="shared" si="117"/>
        <v>56.018141805296537</v>
      </c>
      <c r="N787" s="37">
        <v>59.303571428571438</v>
      </c>
      <c r="O787" s="947">
        <f t="shared" si="118"/>
        <v>10.822827303245058</v>
      </c>
      <c r="P787" s="37"/>
      <c r="Q787" s="954">
        <f t="shared" si="119"/>
        <v>3.8869737006987419E-2</v>
      </c>
    </row>
    <row r="788" spans="1:17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40">
        <f t="shared" si="113"/>
        <v>4422.5</v>
      </c>
      <c r="G788" s="24">
        <v>80</v>
      </c>
      <c r="H788" s="8"/>
      <c r="I788" s="8"/>
      <c r="J788" s="40">
        <f t="shared" si="114"/>
        <v>80</v>
      </c>
      <c r="K788" s="221">
        <f t="shared" si="115"/>
        <v>4.4759418127564343E-2</v>
      </c>
      <c r="L788" s="316">
        <f t="shared" si="116"/>
        <v>101.56493845580009</v>
      </c>
      <c r="M788" s="37">
        <f t="shared" si="117"/>
        <v>37.345427870197696</v>
      </c>
      <c r="N788" s="37">
        <v>39.535714285714292</v>
      </c>
      <c r="O788" s="947">
        <f t="shared" si="118"/>
        <v>7.2152182021633715</v>
      </c>
      <c r="P788" s="37"/>
      <c r="Q788" s="954">
        <f t="shared" si="119"/>
        <v>4.198107378493509E-2</v>
      </c>
    </row>
    <row r="789" spans="1:17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40">
        <f t="shared" si="113"/>
        <v>9048.7900000000009</v>
      </c>
      <c r="G789" s="24">
        <v>160</v>
      </c>
      <c r="H789" s="8"/>
      <c r="I789" s="8"/>
      <c r="J789" s="40">
        <f t="shared" si="114"/>
        <v>160</v>
      </c>
      <c r="K789" s="221">
        <f t="shared" si="115"/>
        <v>8.9518836255128686E-2</v>
      </c>
      <c r="L789" s="316">
        <f t="shared" si="116"/>
        <v>203.12987691160018</v>
      </c>
      <c r="M789" s="37">
        <f t="shared" si="117"/>
        <v>74.690855740395392</v>
      </c>
      <c r="N789" s="37">
        <v>79.071428571428584</v>
      </c>
      <c r="O789" s="947">
        <f t="shared" si="118"/>
        <v>14.430436404326743</v>
      </c>
      <c r="P789" s="37"/>
      <c r="Q789" s="954">
        <f t="shared" si="119"/>
        <v>4.1035607813613852E-2</v>
      </c>
    </row>
    <row r="790" spans="1:17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40">
        <f t="shared" si="113"/>
        <v>4583.33</v>
      </c>
      <c r="G790" s="24">
        <v>80</v>
      </c>
      <c r="H790" s="8"/>
      <c r="I790" s="8"/>
      <c r="J790" s="40">
        <f t="shared" si="114"/>
        <v>80</v>
      </c>
      <c r="K790" s="221">
        <f t="shared" si="115"/>
        <v>4.4759418127564343E-2</v>
      </c>
      <c r="L790" s="316">
        <f t="shared" si="116"/>
        <v>101.56493845580009</v>
      </c>
      <c r="M790" s="37">
        <f t="shared" si="117"/>
        <v>37.345427870197696</v>
      </c>
      <c r="N790" s="37">
        <v>39.535714285714292</v>
      </c>
      <c r="O790" s="947">
        <f t="shared" si="118"/>
        <v>7.2152182021633715</v>
      </c>
      <c r="P790" s="37"/>
      <c r="Q790" s="954">
        <f t="shared" si="119"/>
        <v>4.050794920153588E-2</v>
      </c>
    </row>
    <row r="791" spans="1:17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40">
        <f t="shared" si="113"/>
        <v>2213.66</v>
      </c>
      <c r="G791" s="24">
        <v>36</v>
      </c>
      <c r="H791" s="8"/>
      <c r="I791" s="8">
        <v>1</v>
      </c>
      <c r="J791" s="40">
        <f t="shared" si="114"/>
        <v>37</v>
      </c>
      <c r="K791" s="221">
        <f t="shared" si="115"/>
        <v>2.0701230883998507E-2</v>
      </c>
      <c r="L791" s="316">
        <f t="shared" si="116"/>
        <v>46.973784035807533</v>
      </c>
      <c r="M791" s="37">
        <f t="shared" si="117"/>
        <v>17.27226038996643</v>
      </c>
      <c r="N791" s="37">
        <v>18.285267857142859</v>
      </c>
      <c r="O791" s="947">
        <f t="shared" si="118"/>
        <v>3.3370384185005593</v>
      </c>
      <c r="P791" s="37"/>
      <c r="Q791" s="954">
        <f t="shared" si="119"/>
        <v>3.8790216519888954E-2</v>
      </c>
    </row>
    <row r="792" spans="1:17" s="6" customFormat="1" ht="15.75">
      <c r="A792" s="8">
        <v>44</v>
      </c>
      <c r="B792" s="8" t="s">
        <v>388</v>
      </c>
      <c r="C792" s="32"/>
      <c r="D792" s="55"/>
      <c r="E792" s="55"/>
      <c r="F792" s="40">
        <f t="shared" si="113"/>
        <v>0</v>
      </c>
      <c r="G792" s="24">
        <v>0</v>
      </c>
      <c r="H792" s="8"/>
      <c r="I792" s="8"/>
      <c r="J792" s="40">
        <f t="shared" si="114"/>
        <v>0</v>
      </c>
      <c r="K792" s="221">
        <f t="shared" si="115"/>
        <v>0</v>
      </c>
      <c r="L792" s="316">
        <f t="shared" si="116"/>
        <v>0</v>
      </c>
      <c r="M792" s="37">
        <f t="shared" si="117"/>
        <v>0</v>
      </c>
      <c r="N792" s="37">
        <v>0</v>
      </c>
      <c r="O792" s="947">
        <f t="shared" si="118"/>
        <v>0</v>
      </c>
      <c r="P792" s="37"/>
      <c r="Q792" s="954">
        <v>0</v>
      </c>
    </row>
    <row r="793" spans="1:17" s="6" customFormat="1" ht="15.75">
      <c r="A793" s="8">
        <v>45</v>
      </c>
      <c r="B793" s="8" t="s">
        <v>389</v>
      </c>
      <c r="C793" s="32"/>
      <c r="D793" s="55"/>
      <c r="E793" s="55"/>
      <c r="F793" s="40">
        <f t="shared" si="113"/>
        <v>0</v>
      </c>
      <c r="G793" s="24">
        <v>0</v>
      </c>
      <c r="H793" s="8"/>
      <c r="I793" s="8"/>
      <c r="J793" s="40">
        <f t="shared" si="114"/>
        <v>0</v>
      </c>
      <c r="K793" s="221">
        <f t="shared" si="115"/>
        <v>0</v>
      </c>
      <c r="L793" s="316">
        <f t="shared" si="116"/>
        <v>0</v>
      </c>
      <c r="M793" s="37">
        <f t="shared" si="117"/>
        <v>0</v>
      </c>
      <c r="N793" s="37">
        <v>0</v>
      </c>
      <c r="O793" s="947">
        <f t="shared" si="118"/>
        <v>0</v>
      </c>
      <c r="P793" s="37"/>
      <c r="Q793" s="954">
        <v>0</v>
      </c>
    </row>
    <row r="794" spans="1:17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40">
        <f t="shared" si="113"/>
        <v>113.2</v>
      </c>
      <c r="G794" s="24">
        <v>0</v>
      </c>
      <c r="H794" s="8"/>
      <c r="I794" s="8"/>
      <c r="J794" s="40">
        <f t="shared" si="114"/>
        <v>0</v>
      </c>
      <c r="K794" s="221">
        <f t="shared" si="115"/>
        <v>0</v>
      </c>
      <c r="L794" s="316">
        <f t="shared" si="116"/>
        <v>0</v>
      </c>
      <c r="M794" s="37">
        <f t="shared" si="117"/>
        <v>0</v>
      </c>
      <c r="N794" s="37">
        <v>0</v>
      </c>
      <c r="O794" s="947">
        <f t="shared" si="118"/>
        <v>0</v>
      </c>
      <c r="P794" s="37"/>
      <c r="Q794" s="954">
        <f t="shared" si="119"/>
        <v>0</v>
      </c>
    </row>
    <row r="795" spans="1:17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40">
        <f t="shared" si="113"/>
        <v>149.19999999999999</v>
      </c>
      <c r="G795" s="24">
        <v>4</v>
      </c>
      <c r="H795" s="8"/>
      <c r="I795" s="8"/>
      <c r="J795" s="40">
        <f t="shared" si="114"/>
        <v>4</v>
      </c>
      <c r="K795" s="221">
        <f t="shared" si="115"/>
        <v>2.237970906378217E-3</v>
      </c>
      <c r="L795" s="316">
        <f t="shared" si="116"/>
        <v>5.0782469227900036</v>
      </c>
      <c r="M795" s="37">
        <f t="shared" si="117"/>
        <v>1.8672713935098844</v>
      </c>
      <c r="N795" s="37">
        <v>1.9767857142857144</v>
      </c>
      <c r="O795" s="947">
        <f t="shared" si="118"/>
        <v>0.36076091010816858</v>
      </c>
      <c r="P795" s="37"/>
      <c r="Q795" s="954">
        <f t="shared" si="119"/>
        <v>6.2218933918859048E-2</v>
      </c>
    </row>
    <row r="796" spans="1:17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40">
        <f t="shared" si="113"/>
        <v>685</v>
      </c>
      <c r="G796" s="24">
        <v>12</v>
      </c>
      <c r="H796" s="8"/>
      <c r="I796" s="8">
        <v>1</v>
      </c>
      <c r="J796" s="40">
        <f t="shared" si="114"/>
        <v>13</v>
      </c>
      <c r="K796" s="221">
        <f t="shared" si="115"/>
        <v>7.2734054457292054E-3</v>
      </c>
      <c r="L796" s="316">
        <f t="shared" si="116"/>
        <v>16.504302499067514</v>
      </c>
      <c r="M796" s="37">
        <f t="shared" si="117"/>
        <v>6.0686320289071256</v>
      </c>
      <c r="N796" s="37">
        <v>6.4245535714285724</v>
      </c>
      <c r="O796" s="947">
        <f t="shared" si="118"/>
        <v>1.1724729578515478</v>
      </c>
      <c r="P796" s="37"/>
      <c r="Q796" s="954">
        <f t="shared" si="119"/>
        <v>4.4043738769714978E-2</v>
      </c>
    </row>
    <row r="797" spans="1:17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40">
        <f t="shared" si="113"/>
        <v>480.56</v>
      </c>
      <c r="G797" s="24">
        <v>9</v>
      </c>
      <c r="H797" s="8"/>
      <c r="I797" s="8">
        <v>1</v>
      </c>
      <c r="J797" s="40">
        <f t="shared" si="114"/>
        <v>10</v>
      </c>
      <c r="K797" s="221">
        <f t="shared" si="115"/>
        <v>5.5949272659455429E-3</v>
      </c>
      <c r="L797" s="316">
        <f t="shared" si="116"/>
        <v>12.695617306975011</v>
      </c>
      <c r="M797" s="37">
        <f t="shared" si="117"/>
        <v>4.668178483774712</v>
      </c>
      <c r="N797" s="37">
        <v>4.9419642857142865</v>
      </c>
      <c r="O797" s="947">
        <f t="shared" si="118"/>
        <v>0.90190227527042144</v>
      </c>
      <c r="P797" s="37"/>
      <c r="Q797" s="954">
        <f t="shared" si="119"/>
        <v>4.8292954785530279E-2</v>
      </c>
    </row>
    <row r="798" spans="1:17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40">
        <f t="shared" si="113"/>
        <v>514.09</v>
      </c>
      <c r="G798" s="24">
        <v>12</v>
      </c>
      <c r="H798" s="8"/>
      <c r="I798" s="8"/>
      <c r="J798" s="40">
        <f t="shared" si="114"/>
        <v>12</v>
      </c>
      <c r="K798" s="221">
        <f t="shared" si="115"/>
        <v>6.713912719134651E-3</v>
      </c>
      <c r="L798" s="316">
        <f t="shared" si="116"/>
        <v>15.234740768370012</v>
      </c>
      <c r="M798" s="37">
        <f t="shared" si="117"/>
        <v>5.6018141805296535</v>
      </c>
      <c r="N798" s="37">
        <v>5.9303571428571429</v>
      </c>
      <c r="O798" s="947">
        <f t="shared" si="118"/>
        <v>1.0822827303245057</v>
      </c>
      <c r="P798" s="37"/>
      <c r="Q798" s="954">
        <f t="shared" si="119"/>
        <v>5.4171827543973455E-2</v>
      </c>
    </row>
    <row r="799" spans="1:17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40">
        <f t="shared" si="113"/>
        <v>550.09999999999991</v>
      </c>
      <c r="G799" s="24">
        <v>9</v>
      </c>
      <c r="H799" s="8"/>
      <c r="I799" s="8">
        <v>1</v>
      </c>
      <c r="J799" s="40">
        <f t="shared" si="114"/>
        <v>10</v>
      </c>
      <c r="K799" s="221">
        <f t="shared" si="115"/>
        <v>5.5949272659455429E-3</v>
      </c>
      <c r="L799" s="316">
        <f t="shared" si="116"/>
        <v>12.695617306975011</v>
      </c>
      <c r="M799" s="37">
        <f t="shared" si="117"/>
        <v>4.668178483774712</v>
      </c>
      <c r="N799" s="37">
        <v>4.9419642857142865</v>
      </c>
      <c r="O799" s="947">
        <f t="shared" si="118"/>
        <v>0.90190227527042144</v>
      </c>
      <c r="P799" s="37"/>
      <c r="Q799" s="954">
        <f t="shared" si="119"/>
        <v>4.2188079170577049E-2</v>
      </c>
    </row>
    <row r="800" spans="1:17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40">
        <f t="shared" si="113"/>
        <v>1211.25</v>
      </c>
      <c r="G800" s="24">
        <v>34</v>
      </c>
      <c r="H800" s="8"/>
      <c r="I800" s="8"/>
      <c r="J800" s="40">
        <f t="shared" si="114"/>
        <v>34</v>
      </c>
      <c r="K800" s="221">
        <f t="shared" si="115"/>
        <v>1.9022752704214843E-2</v>
      </c>
      <c r="L800" s="316">
        <f t="shared" si="116"/>
        <v>43.165098843715029</v>
      </c>
      <c r="M800" s="37">
        <f t="shared" si="117"/>
        <v>15.871806844834017</v>
      </c>
      <c r="N800" s="37">
        <v>16.802678571428572</v>
      </c>
      <c r="O800" s="947">
        <f t="shared" si="118"/>
        <v>3.0664677359194323</v>
      </c>
      <c r="P800" s="37"/>
      <c r="Q800" s="954">
        <f t="shared" si="119"/>
        <v>6.514431537328963E-2</v>
      </c>
    </row>
    <row r="801" spans="1:17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40">
        <f t="shared" si="113"/>
        <v>337.37</v>
      </c>
      <c r="G801" s="24">
        <v>7</v>
      </c>
      <c r="H801" s="8"/>
      <c r="I801" s="8">
        <v>1</v>
      </c>
      <c r="J801" s="40">
        <f t="shared" si="114"/>
        <v>8</v>
      </c>
      <c r="K801" s="221">
        <f t="shared" si="115"/>
        <v>4.475941812756434E-3</v>
      </c>
      <c r="L801" s="316">
        <f t="shared" si="116"/>
        <v>10.156493845580007</v>
      </c>
      <c r="M801" s="37">
        <f t="shared" si="117"/>
        <v>3.7345427870197687</v>
      </c>
      <c r="N801" s="37">
        <v>3.9535714285714287</v>
      </c>
      <c r="O801" s="947">
        <f t="shared" si="118"/>
        <v>0.72152182021633715</v>
      </c>
      <c r="P801" s="37"/>
      <c r="Q801" s="954">
        <f t="shared" si="119"/>
        <v>5.5031952697001923E-2</v>
      </c>
    </row>
    <row r="802" spans="1:17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40">
        <f t="shared" si="113"/>
        <v>238.68</v>
      </c>
      <c r="G802" s="24">
        <v>4</v>
      </c>
      <c r="H802" s="8"/>
      <c r="I802" s="8">
        <v>1</v>
      </c>
      <c r="J802" s="40">
        <f t="shared" si="114"/>
        <v>5</v>
      </c>
      <c r="K802" s="221">
        <f t="shared" si="115"/>
        <v>2.7974636329727715E-3</v>
      </c>
      <c r="L802" s="316">
        <f t="shared" si="116"/>
        <v>6.3478086534875056</v>
      </c>
      <c r="M802" s="37">
        <f t="shared" si="117"/>
        <v>2.334089241887356</v>
      </c>
      <c r="N802" s="37">
        <v>2.4709821428571432</v>
      </c>
      <c r="O802" s="947">
        <f t="shared" si="118"/>
        <v>0.45095113763521072</v>
      </c>
      <c r="P802" s="37"/>
      <c r="Q802" s="954">
        <f t="shared" si="119"/>
        <v>4.8616688352049672E-2</v>
      </c>
    </row>
    <row r="803" spans="1:17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40">
        <f t="shared" si="113"/>
        <v>741.27</v>
      </c>
      <c r="G803" s="24">
        <v>10</v>
      </c>
      <c r="H803" s="8"/>
      <c r="I803" s="8">
        <v>1</v>
      </c>
      <c r="J803" s="40">
        <f t="shared" si="114"/>
        <v>11</v>
      </c>
      <c r="K803" s="221">
        <f t="shared" si="115"/>
        <v>6.1544199925400965E-3</v>
      </c>
      <c r="L803" s="316">
        <f t="shared" si="116"/>
        <v>13.96517903767251</v>
      </c>
      <c r="M803" s="37">
        <f t="shared" si="117"/>
        <v>5.1349963321521823</v>
      </c>
      <c r="N803" s="37">
        <v>5.4361607142857142</v>
      </c>
      <c r="O803" s="947">
        <f t="shared" si="118"/>
        <v>0.99209250279746353</v>
      </c>
      <c r="P803" s="37"/>
      <c r="Q803" s="954">
        <f t="shared" si="119"/>
        <v>3.4438772089667558E-2</v>
      </c>
    </row>
    <row r="804" spans="1:17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40">
        <f t="shared" si="113"/>
        <v>733.6</v>
      </c>
      <c r="G804" s="24">
        <v>20</v>
      </c>
      <c r="H804" s="8"/>
      <c r="I804" s="8">
        <v>1</v>
      </c>
      <c r="J804" s="40">
        <f t="shared" si="114"/>
        <v>21</v>
      </c>
      <c r="K804" s="221">
        <f t="shared" si="115"/>
        <v>1.1749347258485639E-2</v>
      </c>
      <c r="L804" s="316">
        <f t="shared" si="116"/>
        <v>26.660796344647519</v>
      </c>
      <c r="M804" s="37">
        <f t="shared" si="117"/>
        <v>9.8031748159268925</v>
      </c>
      <c r="N804" s="37">
        <v>10.378125000000001</v>
      </c>
      <c r="O804" s="947">
        <f t="shared" si="118"/>
        <v>1.893994778067885</v>
      </c>
      <c r="P804" s="37"/>
      <c r="Q804" s="954">
        <f t="shared" si="119"/>
        <v>6.643414795343823E-2</v>
      </c>
    </row>
    <row r="805" spans="1:17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40">
        <f t="shared" si="113"/>
        <v>220.5</v>
      </c>
      <c r="G805" s="24">
        <v>7</v>
      </c>
      <c r="H805" s="8"/>
      <c r="I805" s="8"/>
      <c r="J805" s="40">
        <f t="shared" si="114"/>
        <v>7</v>
      </c>
      <c r="K805" s="221">
        <f t="shared" si="115"/>
        <v>3.9164490861618795E-3</v>
      </c>
      <c r="L805" s="316">
        <f t="shared" si="116"/>
        <v>8.8869321148825069</v>
      </c>
      <c r="M805" s="37">
        <f t="shared" si="117"/>
        <v>3.267724938642298</v>
      </c>
      <c r="N805" s="37">
        <v>3.4593750000000001</v>
      </c>
      <c r="O805" s="947">
        <f t="shared" si="118"/>
        <v>0.63133159268929495</v>
      </c>
      <c r="P805" s="37"/>
      <c r="Q805" s="954">
        <f t="shared" si="119"/>
        <v>7.3675118576934706E-2</v>
      </c>
    </row>
    <row r="806" spans="1:17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40">
        <f t="shared" si="113"/>
        <v>330.61</v>
      </c>
      <c r="G806" s="24">
        <v>12</v>
      </c>
      <c r="H806" s="8"/>
      <c r="I806" s="8"/>
      <c r="J806" s="40">
        <f t="shared" si="114"/>
        <v>12</v>
      </c>
      <c r="K806" s="221">
        <f t="shared" si="115"/>
        <v>6.713912719134651E-3</v>
      </c>
      <c r="L806" s="316">
        <f t="shared" si="116"/>
        <v>15.234740768370012</v>
      </c>
      <c r="M806" s="37">
        <f t="shared" si="117"/>
        <v>5.6018141805296535</v>
      </c>
      <c r="N806" s="37">
        <v>5.9303571428571429</v>
      </c>
      <c r="O806" s="947">
        <f t="shared" si="118"/>
        <v>1.0822827303245057</v>
      </c>
      <c r="P806" s="37"/>
      <c r="Q806" s="954">
        <f t="shared" si="119"/>
        <v>8.4235790877714878E-2</v>
      </c>
    </row>
    <row r="807" spans="1:17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40">
        <f t="shared" si="113"/>
        <v>1037.5</v>
      </c>
      <c r="G807" s="24">
        <v>26</v>
      </c>
      <c r="H807" s="8"/>
      <c r="I807" s="8">
        <v>1</v>
      </c>
      <c r="J807" s="40">
        <f t="shared" si="114"/>
        <v>27</v>
      </c>
      <c r="K807" s="221">
        <f t="shared" si="115"/>
        <v>1.5106303618052964E-2</v>
      </c>
      <c r="L807" s="316">
        <f t="shared" si="116"/>
        <v>34.278166728832524</v>
      </c>
      <c r="M807" s="37">
        <f t="shared" si="117"/>
        <v>12.60408190619172</v>
      </c>
      <c r="N807" s="37">
        <v>13.343303571428574</v>
      </c>
      <c r="O807" s="947">
        <f t="shared" si="118"/>
        <v>2.4351361432301375</v>
      </c>
      <c r="P807" s="37"/>
      <c r="Q807" s="954">
        <f t="shared" si="119"/>
        <v>6.0395844192465499E-2</v>
      </c>
    </row>
    <row r="808" spans="1:17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40">
        <f t="shared" si="113"/>
        <v>230.10000000000002</v>
      </c>
      <c r="G808" s="24">
        <v>5</v>
      </c>
      <c r="H808" s="8"/>
      <c r="I808" s="8">
        <v>1</v>
      </c>
      <c r="J808" s="40">
        <f t="shared" si="114"/>
        <v>6</v>
      </c>
      <c r="K808" s="221">
        <f t="shared" si="115"/>
        <v>3.3569563595673255E-3</v>
      </c>
      <c r="L808" s="316">
        <f t="shared" si="116"/>
        <v>7.6173703841850058</v>
      </c>
      <c r="M808" s="37">
        <f t="shared" si="117"/>
        <v>2.8009070902648268</v>
      </c>
      <c r="N808" s="37">
        <v>2.9651785714285714</v>
      </c>
      <c r="O808" s="947">
        <f t="shared" si="118"/>
        <v>0.54114136516225286</v>
      </c>
      <c r="P808" s="37"/>
      <c r="Q808" s="954">
        <f t="shared" si="119"/>
        <v>6.0515416823297072E-2</v>
      </c>
    </row>
    <row r="809" spans="1:17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40">
        <f t="shared" si="113"/>
        <v>1331.77</v>
      </c>
      <c r="G809" s="24">
        <v>32</v>
      </c>
      <c r="H809" s="8"/>
      <c r="I809" s="8"/>
      <c r="J809" s="40">
        <f t="shared" si="114"/>
        <v>32</v>
      </c>
      <c r="K809" s="221">
        <f t="shared" si="115"/>
        <v>1.7903767251025736E-2</v>
      </c>
      <c r="L809" s="316">
        <f t="shared" si="116"/>
        <v>40.625975382320028</v>
      </c>
      <c r="M809" s="37">
        <f t="shared" si="117"/>
        <v>14.938171148079075</v>
      </c>
      <c r="N809" s="37">
        <v>15.814285714285715</v>
      </c>
      <c r="O809" s="947">
        <f t="shared" si="118"/>
        <v>2.8860872808653486</v>
      </c>
      <c r="P809" s="37"/>
      <c r="Q809" s="954">
        <f t="shared" si="119"/>
        <v>5.5763772667615397E-2</v>
      </c>
    </row>
    <row r="810" spans="1:17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40">
        <f t="shared" ref="F810:F871" si="120">C810+D810+E810</f>
        <v>483.9</v>
      </c>
      <c r="G810" s="24">
        <v>9</v>
      </c>
      <c r="H810" s="8"/>
      <c r="I810" s="8"/>
      <c r="J810" s="40">
        <f t="shared" ref="J810:J871" si="121">G810+H810+I810</f>
        <v>9</v>
      </c>
      <c r="K810" s="221">
        <f t="shared" si="115"/>
        <v>5.0354345393509884E-3</v>
      </c>
      <c r="L810" s="316">
        <f t="shared" si="116"/>
        <v>11.426055576277509</v>
      </c>
      <c r="M810" s="37">
        <f t="shared" si="117"/>
        <v>4.2013606353972408</v>
      </c>
      <c r="N810" s="37">
        <v>4.4477678571428578</v>
      </c>
      <c r="O810" s="947">
        <f t="shared" si="118"/>
        <v>0.81171204774337924</v>
      </c>
      <c r="P810" s="37"/>
      <c r="Q810" s="954">
        <f t="shared" si="119"/>
        <v>4.3163662154496775E-2</v>
      </c>
    </row>
    <row r="811" spans="1:17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40">
        <f t="shared" si="120"/>
        <v>665.8</v>
      </c>
      <c r="G811" s="24">
        <v>18</v>
      </c>
      <c r="H811" s="8"/>
      <c r="I811" s="8"/>
      <c r="J811" s="40">
        <f t="shared" si="121"/>
        <v>18</v>
      </c>
      <c r="K811" s="221">
        <f t="shared" si="115"/>
        <v>1.0070869078701977E-2</v>
      </c>
      <c r="L811" s="316">
        <f t="shared" si="116"/>
        <v>22.852111152555018</v>
      </c>
      <c r="M811" s="37">
        <f t="shared" si="117"/>
        <v>8.4027212707944816</v>
      </c>
      <c r="N811" s="37">
        <v>8.8955357142857157</v>
      </c>
      <c r="O811" s="947">
        <f t="shared" si="118"/>
        <v>1.6234240954867585</v>
      </c>
      <c r="P811" s="37"/>
      <c r="Q811" s="954">
        <f t="shared" si="119"/>
        <v>6.2742253278945601E-2</v>
      </c>
    </row>
    <row r="812" spans="1:17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40">
        <f t="shared" si="120"/>
        <v>59.2</v>
      </c>
      <c r="G812" s="24">
        <v>1</v>
      </c>
      <c r="H812" s="8"/>
      <c r="I812" s="8"/>
      <c r="J812" s="40">
        <f t="shared" si="121"/>
        <v>1</v>
      </c>
      <c r="K812" s="221">
        <f t="shared" si="115"/>
        <v>5.5949272659455425E-4</v>
      </c>
      <c r="L812" s="316">
        <f t="shared" si="116"/>
        <v>1.2695617306975009</v>
      </c>
      <c r="M812" s="37">
        <f t="shared" ref="M812:M871" si="122">L812*0.3677</f>
        <v>0.46681784837747109</v>
      </c>
      <c r="N812" s="37">
        <v>0.49419642857142859</v>
      </c>
      <c r="O812" s="947">
        <f t="shared" si="118"/>
        <v>9.0190227527042144E-2</v>
      </c>
      <c r="P812" s="37"/>
      <c r="Q812" s="954">
        <f t="shared" si="119"/>
        <v>3.9202132350902738E-2</v>
      </c>
    </row>
    <row r="813" spans="1:17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40">
        <f t="shared" si="120"/>
        <v>421.78</v>
      </c>
      <c r="G813" s="24">
        <v>8</v>
      </c>
      <c r="H813" s="8"/>
      <c r="I813" s="8">
        <v>1</v>
      </c>
      <c r="J813" s="40">
        <f t="shared" si="121"/>
        <v>9</v>
      </c>
      <c r="K813" s="221">
        <f t="shared" ref="K813:K876" si="123">3/5362*J813</f>
        <v>5.0354345393509884E-3</v>
      </c>
      <c r="L813" s="316">
        <f t="shared" ref="L813:L876" si="124">K813*2269.13</f>
        <v>11.426055576277509</v>
      </c>
      <c r="M813" s="37">
        <f t="shared" si="122"/>
        <v>4.2013606353972408</v>
      </c>
      <c r="N813" s="37">
        <v>4.4477678571428578</v>
      </c>
      <c r="O813" s="947">
        <f t="shared" ref="O813:O832" si="125">K813*161.2</f>
        <v>0.81171204774337924</v>
      </c>
      <c r="P813" s="37"/>
      <c r="Q813" s="954">
        <f t="shared" si="119"/>
        <v>4.9520831041208656E-2</v>
      </c>
    </row>
    <row r="814" spans="1:17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40">
        <f t="shared" si="120"/>
        <v>212.60000000000002</v>
      </c>
      <c r="G814" s="24">
        <v>5</v>
      </c>
      <c r="H814" s="8"/>
      <c r="I814" s="8">
        <v>1</v>
      </c>
      <c r="J814" s="40">
        <f t="shared" si="121"/>
        <v>6</v>
      </c>
      <c r="K814" s="221">
        <f t="shared" si="123"/>
        <v>3.3569563595673255E-3</v>
      </c>
      <c r="L814" s="316">
        <f t="shared" si="124"/>
        <v>7.6173703841850058</v>
      </c>
      <c r="M814" s="37">
        <f t="shared" si="122"/>
        <v>2.8009070902648268</v>
      </c>
      <c r="N814" s="37">
        <v>3.5582142857142856</v>
      </c>
      <c r="O814" s="947">
        <f t="shared" si="125"/>
        <v>0.54114136516225286</v>
      </c>
      <c r="P814" s="37"/>
      <c r="Q814" s="954">
        <f t="shared" si="119"/>
        <v>6.8286138877358266E-2</v>
      </c>
    </row>
    <row r="815" spans="1:17" s="6" customFormat="1" ht="15.75">
      <c r="A815" s="8">
        <v>68</v>
      </c>
      <c r="B815" s="8" t="s">
        <v>827</v>
      </c>
      <c r="C815" s="8">
        <v>205.2</v>
      </c>
      <c r="D815" s="55"/>
      <c r="E815" s="55"/>
      <c r="F815" s="40">
        <f t="shared" si="120"/>
        <v>205.2</v>
      </c>
      <c r="G815" s="24">
        <v>3</v>
      </c>
      <c r="H815" s="8"/>
      <c r="I815" s="8">
        <v>2</v>
      </c>
      <c r="J815" s="40">
        <f t="shared" si="121"/>
        <v>5</v>
      </c>
      <c r="K815" s="221">
        <f t="shared" si="123"/>
        <v>2.7974636329727715E-3</v>
      </c>
      <c r="L815" s="316">
        <f t="shared" si="124"/>
        <v>6.3478086534875056</v>
      </c>
      <c r="M815" s="37">
        <f t="shared" si="122"/>
        <v>2.334089241887356</v>
      </c>
      <c r="N815" s="37">
        <v>2.4709821428571432</v>
      </c>
      <c r="O815" s="947">
        <f t="shared" si="125"/>
        <v>0.45095113763521072</v>
      </c>
      <c r="P815" s="37"/>
      <c r="Q815" s="954">
        <f t="shared" si="119"/>
        <v>5.6548884872647254E-2</v>
      </c>
    </row>
    <row r="816" spans="1:17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40">
        <f t="shared" si="120"/>
        <v>177.45</v>
      </c>
      <c r="G816" s="24">
        <v>5</v>
      </c>
      <c r="H816" s="8"/>
      <c r="I816" s="8"/>
      <c r="J816" s="40">
        <f t="shared" si="121"/>
        <v>5</v>
      </c>
      <c r="K816" s="221">
        <f t="shared" si="123"/>
        <v>2.7974636329727715E-3</v>
      </c>
      <c r="L816" s="316">
        <f t="shared" si="124"/>
        <v>6.3478086534875056</v>
      </c>
      <c r="M816" s="37">
        <f t="shared" si="122"/>
        <v>2.334089241887356</v>
      </c>
      <c r="N816" s="37">
        <v>2.4709821428571432</v>
      </c>
      <c r="O816" s="947">
        <f t="shared" si="125"/>
        <v>0.45095113763521072</v>
      </c>
      <c r="P816" s="37"/>
      <c r="Q816" s="954">
        <f t="shared" si="119"/>
        <v>6.5392117080119563E-2</v>
      </c>
    </row>
    <row r="817" spans="1:17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40">
        <f t="shared" si="120"/>
        <v>200</v>
      </c>
      <c r="G817" s="24">
        <v>7</v>
      </c>
      <c r="H817" s="8"/>
      <c r="I817" s="8"/>
      <c r="J817" s="40">
        <f t="shared" si="121"/>
        <v>7</v>
      </c>
      <c r="K817" s="221">
        <f t="shared" si="123"/>
        <v>3.9164490861618795E-3</v>
      </c>
      <c r="L817" s="316">
        <f t="shared" si="124"/>
        <v>8.8869321148825069</v>
      </c>
      <c r="M817" s="37">
        <f t="shared" si="122"/>
        <v>3.267724938642298</v>
      </c>
      <c r="N817" s="37">
        <v>3.4593750000000001</v>
      </c>
      <c r="O817" s="947">
        <f t="shared" si="125"/>
        <v>0.63133159268929495</v>
      </c>
      <c r="P817" s="37"/>
      <c r="Q817" s="954">
        <f t="shared" si="119"/>
        <v>8.1226818231070516E-2</v>
      </c>
    </row>
    <row r="818" spans="1:17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40">
        <f t="shared" si="120"/>
        <v>542.18000000000006</v>
      </c>
      <c r="G818" s="24">
        <v>9</v>
      </c>
      <c r="H818" s="8"/>
      <c r="I818" s="8">
        <v>1</v>
      </c>
      <c r="J818" s="40">
        <f t="shared" si="121"/>
        <v>10</v>
      </c>
      <c r="K818" s="221">
        <f t="shared" si="123"/>
        <v>5.5949272659455429E-3</v>
      </c>
      <c r="L818" s="316">
        <f t="shared" si="124"/>
        <v>12.695617306975011</v>
      </c>
      <c r="M818" s="37">
        <f t="shared" si="122"/>
        <v>4.668178483774712</v>
      </c>
      <c r="N818" s="37">
        <v>4.9419642857142865</v>
      </c>
      <c r="O818" s="947">
        <f t="shared" si="125"/>
        <v>0.90190227527042144</v>
      </c>
      <c r="P818" s="37"/>
      <c r="Q818" s="954">
        <f t="shared" si="119"/>
        <v>4.2804349757893004E-2</v>
      </c>
    </row>
    <row r="819" spans="1:17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40">
        <f t="shared" si="120"/>
        <v>204.3</v>
      </c>
      <c r="G819" s="24">
        <v>5</v>
      </c>
      <c r="H819" s="8"/>
      <c r="I819" s="8"/>
      <c r="J819" s="40">
        <f t="shared" si="121"/>
        <v>5</v>
      </c>
      <c r="K819" s="221">
        <f t="shared" si="123"/>
        <v>2.7974636329727715E-3</v>
      </c>
      <c r="L819" s="316">
        <f t="shared" si="124"/>
        <v>6.3478086534875056</v>
      </c>
      <c r="M819" s="37">
        <f t="shared" si="122"/>
        <v>2.334089241887356</v>
      </c>
      <c r="N819" s="37">
        <v>2.4709821428571432</v>
      </c>
      <c r="O819" s="947">
        <f t="shared" si="125"/>
        <v>0.45095113763521072</v>
      </c>
      <c r="P819" s="37"/>
      <c r="Q819" s="954">
        <f t="shared" si="119"/>
        <v>5.6797998902923225E-2</v>
      </c>
    </row>
    <row r="820" spans="1:17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40">
        <f t="shared" si="120"/>
        <v>306.39999999999998</v>
      </c>
      <c r="G820" s="24">
        <v>6</v>
      </c>
      <c r="H820" s="8"/>
      <c r="I820" s="8"/>
      <c r="J820" s="40">
        <f t="shared" si="121"/>
        <v>6</v>
      </c>
      <c r="K820" s="221">
        <f t="shared" si="123"/>
        <v>3.3569563595673255E-3</v>
      </c>
      <c r="L820" s="316">
        <f t="shared" si="124"/>
        <v>7.6173703841850058</v>
      </c>
      <c r="M820" s="37">
        <f t="shared" si="122"/>
        <v>2.8009070902648268</v>
      </c>
      <c r="N820" s="37">
        <v>2.9651785714285714</v>
      </c>
      <c r="O820" s="947">
        <f t="shared" si="125"/>
        <v>0.54114136516225286</v>
      </c>
      <c r="P820" s="37"/>
      <c r="Q820" s="954">
        <f t="shared" si="119"/>
        <v>4.5445814004701893E-2</v>
      </c>
    </row>
    <row r="821" spans="1:17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40">
        <f t="shared" si="120"/>
        <v>301.42</v>
      </c>
      <c r="G821" s="24">
        <v>6</v>
      </c>
      <c r="H821" s="8"/>
      <c r="I821" s="8"/>
      <c r="J821" s="40">
        <f t="shared" si="121"/>
        <v>6</v>
      </c>
      <c r="K821" s="221">
        <f t="shared" si="123"/>
        <v>3.3569563595673255E-3</v>
      </c>
      <c r="L821" s="316">
        <f t="shared" si="124"/>
        <v>7.6173703841850058</v>
      </c>
      <c r="M821" s="37">
        <f t="shared" si="122"/>
        <v>2.8009070902648268</v>
      </c>
      <c r="N821" s="37">
        <v>2.9651785714285714</v>
      </c>
      <c r="O821" s="947">
        <f t="shared" si="125"/>
        <v>0.54114136516225286</v>
      </c>
      <c r="P821" s="37"/>
      <c r="Q821" s="954">
        <f t="shared" si="119"/>
        <v>4.6196660510386359E-2</v>
      </c>
    </row>
    <row r="822" spans="1:17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40">
        <f t="shared" si="120"/>
        <v>394.72</v>
      </c>
      <c r="G822" s="24">
        <v>12</v>
      </c>
      <c r="H822" s="8"/>
      <c r="I822" s="8"/>
      <c r="J822" s="40">
        <f t="shared" si="121"/>
        <v>12</v>
      </c>
      <c r="K822" s="221">
        <f t="shared" si="123"/>
        <v>6.713912719134651E-3</v>
      </c>
      <c r="L822" s="316">
        <f t="shared" si="124"/>
        <v>15.234740768370012</v>
      </c>
      <c r="M822" s="37">
        <f t="shared" si="122"/>
        <v>5.6018141805296535</v>
      </c>
      <c r="N822" s="37">
        <v>5.9303571428571429</v>
      </c>
      <c r="O822" s="947">
        <f t="shared" si="125"/>
        <v>1.0822827303245057</v>
      </c>
      <c r="P822" s="37"/>
      <c r="Q822" s="954">
        <f t="shared" si="119"/>
        <v>7.0554303866237622E-2</v>
      </c>
    </row>
    <row r="823" spans="1:17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40">
        <f t="shared" si="120"/>
        <v>680.89</v>
      </c>
      <c r="G823" s="24">
        <v>20</v>
      </c>
      <c r="H823" s="8"/>
      <c r="I823" s="8"/>
      <c r="J823" s="40">
        <f t="shared" si="121"/>
        <v>20</v>
      </c>
      <c r="K823" s="221">
        <f t="shared" si="123"/>
        <v>1.1189854531891086E-2</v>
      </c>
      <c r="L823" s="316">
        <f t="shared" si="124"/>
        <v>25.391234613950022</v>
      </c>
      <c r="M823" s="37">
        <f t="shared" si="122"/>
        <v>9.336356967549424</v>
      </c>
      <c r="N823" s="37">
        <v>9.883928571428573</v>
      </c>
      <c r="O823" s="947">
        <f t="shared" si="125"/>
        <v>1.8038045505408429</v>
      </c>
      <c r="P823" s="37"/>
      <c r="Q823" s="954">
        <f t="shared" si="119"/>
        <v>6.8168609765848903E-2</v>
      </c>
    </row>
    <row r="824" spans="1:17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40">
        <f t="shared" si="120"/>
        <v>581.98</v>
      </c>
      <c r="G824" s="24">
        <v>15</v>
      </c>
      <c r="H824" s="8"/>
      <c r="I824" s="8"/>
      <c r="J824" s="40">
        <f t="shared" si="121"/>
        <v>15</v>
      </c>
      <c r="K824" s="221">
        <f t="shared" si="123"/>
        <v>8.3923908989183144E-3</v>
      </c>
      <c r="L824" s="316">
        <f t="shared" si="124"/>
        <v>19.043425960462514</v>
      </c>
      <c r="M824" s="37">
        <f t="shared" si="122"/>
        <v>7.0022677256620671</v>
      </c>
      <c r="N824" s="37">
        <v>7.4129464285714297</v>
      </c>
      <c r="O824" s="947">
        <f t="shared" si="125"/>
        <v>1.3528534129056322</v>
      </c>
      <c r="P824" s="37"/>
      <c r="Q824" s="954">
        <f t="shared" si="119"/>
        <v>5.9815618281730709E-2</v>
      </c>
    </row>
    <row r="825" spans="1:17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40">
        <f t="shared" si="120"/>
        <v>260.39999999999998</v>
      </c>
      <c r="G825" s="24">
        <v>5</v>
      </c>
      <c r="H825" s="8"/>
      <c r="I825" s="8"/>
      <c r="J825" s="40">
        <f t="shared" si="121"/>
        <v>5</v>
      </c>
      <c r="K825" s="221">
        <f t="shared" si="123"/>
        <v>2.7974636329727715E-3</v>
      </c>
      <c r="L825" s="316">
        <f t="shared" si="124"/>
        <v>6.3478086534875056</v>
      </c>
      <c r="M825" s="37">
        <f t="shared" si="122"/>
        <v>2.334089241887356</v>
      </c>
      <c r="N825" s="37">
        <v>2.4709821428571432</v>
      </c>
      <c r="O825" s="947">
        <f t="shared" si="125"/>
        <v>0.45095113763521072</v>
      </c>
      <c r="P825" s="37"/>
      <c r="Q825" s="954">
        <f t="shared" si="119"/>
        <v>4.4561563655404056E-2</v>
      </c>
    </row>
    <row r="826" spans="1:17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40">
        <f t="shared" si="120"/>
        <v>135.71</v>
      </c>
      <c r="G826" s="24">
        <v>3</v>
      </c>
      <c r="H826" s="8"/>
      <c r="I826" s="8"/>
      <c r="J826" s="40">
        <f t="shared" si="121"/>
        <v>3</v>
      </c>
      <c r="K826" s="221">
        <f t="shared" si="123"/>
        <v>1.6784781797836627E-3</v>
      </c>
      <c r="L826" s="316">
        <f t="shared" si="124"/>
        <v>3.8086851920925029</v>
      </c>
      <c r="M826" s="37">
        <f t="shared" si="122"/>
        <v>1.4004535451324134</v>
      </c>
      <c r="N826" s="37">
        <v>1.4825892857142857</v>
      </c>
      <c r="O826" s="947">
        <f t="shared" si="125"/>
        <v>0.27057068258112643</v>
      </c>
      <c r="P826" s="37"/>
      <c r="Q826" s="954">
        <f t="shared" si="119"/>
        <v>5.1302768443890125E-2</v>
      </c>
    </row>
    <row r="827" spans="1:17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40">
        <f t="shared" si="120"/>
        <v>201.8</v>
      </c>
      <c r="G827" s="24">
        <v>4</v>
      </c>
      <c r="H827" s="8"/>
      <c r="I827" s="8"/>
      <c r="J827" s="40">
        <f t="shared" si="121"/>
        <v>4</v>
      </c>
      <c r="K827" s="221">
        <f t="shared" si="123"/>
        <v>2.237970906378217E-3</v>
      </c>
      <c r="L827" s="316">
        <f t="shared" si="124"/>
        <v>5.0782469227900036</v>
      </c>
      <c r="M827" s="37">
        <f t="shared" si="122"/>
        <v>1.8672713935098844</v>
      </c>
      <c r="N827" s="37">
        <v>1.9767857142857144</v>
      </c>
      <c r="O827" s="947">
        <f t="shared" si="125"/>
        <v>0.36076091010816858</v>
      </c>
      <c r="P827" s="37"/>
      <c r="Q827" s="954">
        <f t="shared" si="119"/>
        <v>4.6001312887481514E-2</v>
      </c>
    </row>
    <row r="828" spans="1:17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40">
        <f t="shared" si="120"/>
        <v>1437.1</v>
      </c>
      <c r="G828" s="24">
        <v>32</v>
      </c>
      <c r="H828" s="8"/>
      <c r="I828" s="8"/>
      <c r="J828" s="40">
        <f t="shared" si="121"/>
        <v>32</v>
      </c>
      <c r="K828" s="221">
        <f t="shared" si="123"/>
        <v>1.7903767251025736E-2</v>
      </c>
      <c r="L828" s="316">
        <f t="shared" si="124"/>
        <v>40.625975382320028</v>
      </c>
      <c r="M828" s="37">
        <f t="shared" si="122"/>
        <v>14.938171148079075</v>
      </c>
      <c r="N828" s="37">
        <v>15.814285714285715</v>
      </c>
      <c r="O828" s="947">
        <f t="shared" si="125"/>
        <v>2.8860872808653486</v>
      </c>
      <c r="P828" s="37"/>
      <c r="Q828" s="954">
        <f t="shared" si="119"/>
        <v>5.1676654043246929E-2</v>
      </c>
    </row>
    <row r="829" spans="1:17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40">
        <f t="shared" si="120"/>
        <v>213.86</v>
      </c>
      <c r="G829" s="24">
        <v>2</v>
      </c>
      <c r="H829" s="8"/>
      <c r="I829" s="8">
        <v>1</v>
      </c>
      <c r="J829" s="40">
        <f t="shared" si="121"/>
        <v>3</v>
      </c>
      <c r="K829" s="221">
        <f t="shared" si="123"/>
        <v>1.6784781797836627E-3</v>
      </c>
      <c r="L829" s="316">
        <f t="shared" si="124"/>
        <v>3.8086851920925029</v>
      </c>
      <c r="M829" s="37">
        <f t="shared" si="122"/>
        <v>1.4004535451324134</v>
      </c>
      <c r="N829" s="37">
        <v>1.4825892857142857</v>
      </c>
      <c r="O829" s="947">
        <f t="shared" si="125"/>
        <v>0.27057068258112643</v>
      </c>
      <c r="P829" s="37"/>
      <c r="Q829" s="954">
        <f t="shared" si="119"/>
        <v>3.2555404028431351E-2</v>
      </c>
    </row>
    <row r="830" spans="1:17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40">
        <f t="shared" si="120"/>
        <v>397.89</v>
      </c>
      <c r="G830" s="24">
        <v>14</v>
      </c>
      <c r="H830" s="8"/>
      <c r="I830" s="8"/>
      <c r="J830" s="40">
        <f t="shared" si="121"/>
        <v>14</v>
      </c>
      <c r="K830" s="221">
        <f t="shared" si="123"/>
        <v>7.832898172323759E-3</v>
      </c>
      <c r="L830" s="316">
        <f t="shared" si="124"/>
        <v>17.773864229765014</v>
      </c>
      <c r="M830" s="37">
        <f t="shared" si="122"/>
        <v>6.5354498772845959</v>
      </c>
      <c r="N830" s="37">
        <v>6.9187500000000002</v>
      </c>
      <c r="O830" s="947">
        <f t="shared" si="125"/>
        <v>1.2626631853785899</v>
      </c>
      <c r="P830" s="37"/>
      <c r="Q830" s="954">
        <f t="shared" si="119"/>
        <v>8.165756186993442E-2</v>
      </c>
    </row>
    <row r="831" spans="1:17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40">
        <f t="shared" si="120"/>
        <v>352.17</v>
      </c>
      <c r="G831" s="24">
        <v>11</v>
      </c>
      <c r="H831" s="8"/>
      <c r="I831" s="8"/>
      <c r="J831" s="40">
        <f t="shared" si="121"/>
        <v>11</v>
      </c>
      <c r="K831" s="221">
        <f t="shared" si="123"/>
        <v>6.1544199925400965E-3</v>
      </c>
      <c r="L831" s="316">
        <f t="shared" si="124"/>
        <v>13.96517903767251</v>
      </c>
      <c r="M831" s="37">
        <f t="shared" si="122"/>
        <v>5.1349963321521823</v>
      </c>
      <c r="N831" s="37">
        <v>5.4361607142857142</v>
      </c>
      <c r="O831" s="947">
        <f t="shared" si="125"/>
        <v>0.99209250279746353</v>
      </c>
      <c r="P831" s="37"/>
      <c r="Q831" s="954">
        <f t="shared" si="119"/>
        <v>7.2488935988039502E-2</v>
      </c>
    </row>
    <row r="832" spans="1:17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40">
        <f t="shared" si="120"/>
        <v>653.07000000000005</v>
      </c>
      <c r="G832" s="24">
        <v>25</v>
      </c>
      <c r="H832" s="8"/>
      <c r="I832" s="8"/>
      <c r="J832" s="40">
        <f t="shared" si="121"/>
        <v>25</v>
      </c>
      <c r="K832" s="221">
        <f t="shared" si="123"/>
        <v>1.3987318164863856E-2</v>
      </c>
      <c r="L832" s="316">
        <f t="shared" si="124"/>
        <v>31.739043267437523</v>
      </c>
      <c r="M832" s="37">
        <f t="shared" si="122"/>
        <v>11.670446209436777</v>
      </c>
      <c r="N832" s="37">
        <v>12.354910714285715</v>
      </c>
      <c r="O832" s="947">
        <f t="shared" si="125"/>
        <v>2.2547556881760533</v>
      </c>
      <c r="P832" s="37"/>
      <c r="Q832" s="954">
        <f t="shared" si="119"/>
        <v>8.8840638644151565E-2</v>
      </c>
    </row>
    <row r="833" spans="1:17" s="6" customFormat="1" ht="15.75">
      <c r="A833" s="8">
        <v>87</v>
      </c>
      <c r="B833" s="8" t="s">
        <v>916</v>
      </c>
      <c r="C833" s="8">
        <v>786.94</v>
      </c>
      <c r="D833" s="55"/>
      <c r="E833" s="55"/>
      <c r="F833" s="40">
        <f t="shared" si="120"/>
        <v>786.94</v>
      </c>
      <c r="G833" s="24">
        <v>22</v>
      </c>
      <c r="H833" s="8"/>
      <c r="I833" s="8"/>
      <c r="J833" s="40">
        <f t="shared" si="121"/>
        <v>22</v>
      </c>
      <c r="K833" s="221">
        <f t="shared" si="123"/>
        <v>1.2308839985080193E-2</v>
      </c>
      <c r="L833" s="316">
        <f t="shared" si="124"/>
        <v>27.930358075345019</v>
      </c>
      <c r="M833" s="37">
        <f t="shared" si="122"/>
        <v>10.269992664304365</v>
      </c>
      <c r="N833" s="37">
        <v>10.872321428571428</v>
      </c>
      <c r="O833" s="947">
        <f>K833*161.2</f>
        <v>1.9841850055949271</v>
      </c>
      <c r="P833" s="37"/>
      <c r="Q833" s="954">
        <f t="shared" si="119"/>
        <v>6.4880241408259515E-2</v>
      </c>
    </row>
    <row r="834" spans="1:17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40">
        <f t="shared" si="120"/>
        <v>3342.78</v>
      </c>
      <c r="G834" s="24">
        <v>59</v>
      </c>
      <c r="H834" s="8"/>
      <c r="I834" s="8">
        <v>1</v>
      </c>
      <c r="J834" s="40">
        <f t="shared" si="121"/>
        <v>60</v>
      </c>
      <c r="K834" s="221">
        <f t="shared" si="123"/>
        <v>3.3569563595673257E-2</v>
      </c>
      <c r="L834" s="316">
        <f t="shared" si="124"/>
        <v>76.173703841850056</v>
      </c>
      <c r="M834" s="37">
        <f t="shared" si="122"/>
        <v>28.009070902648268</v>
      </c>
      <c r="N834" s="37">
        <v>29.651785714285719</v>
      </c>
      <c r="O834" s="947">
        <f>K834*161.2</f>
        <v>5.4114136516225289</v>
      </c>
      <c r="P834" s="37"/>
      <c r="Q834" s="954">
        <f t="shared" si="119"/>
        <v>4.165573986634076E-2</v>
      </c>
    </row>
    <row r="835" spans="1:17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40">
        <f t="shared" si="120"/>
        <v>139.80000000000001</v>
      </c>
      <c r="G835" s="24">
        <v>3</v>
      </c>
      <c r="H835" s="8"/>
      <c r="I835" s="8"/>
      <c r="J835" s="40">
        <f t="shared" si="121"/>
        <v>3</v>
      </c>
      <c r="K835" s="221">
        <f t="shared" si="123"/>
        <v>1.6784781797836627E-3</v>
      </c>
      <c r="L835" s="316">
        <f t="shared" si="124"/>
        <v>3.8086851920925029</v>
      </c>
      <c r="M835" s="37">
        <f t="shared" si="122"/>
        <v>1.4004535451324134</v>
      </c>
      <c r="N835" s="37">
        <v>1.4825892857142857</v>
      </c>
      <c r="O835" s="947">
        <f>K835*161.2</f>
        <v>0.27057068258112643</v>
      </c>
      <c r="P835" s="37"/>
      <c r="Q835" s="954">
        <f t="shared" si="119"/>
        <v>4.9801850540202634E-2</v>
      </c>
    </row>
    <row r="836" spans="1:17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40">
        <f t="shared" si="120"/>
        <v>3135.2999999999997</v>
      </c>
      <c r="G836" s="24">
        <v>63</v>
      </c>
      <c r="H836" s="8"/>
      <c r="I836" s="8">
        <v>2</v>
      </c>
      <c r="J836" s="40">
        <f t="shared" si="121"/>
        <v>65</v>
      </c>
      <c r="K836" s="221">
        <f t="shared" si="123"/>
        <v>3.6367027228646029E-2</v>
      </c>
      <c r="L836" s="316">
        <f t="shared" si="124"/>
        <v>82.521512495337561</v>
      </c>
      <c r="M836" s="37">
        <f t="shared" si="122"/>
        <v>30.343160144535624</v>
      </c>
      <c r="N836" s="37">
        <v>32.122767857142861</v>
      </c>
      <c r="O836" s="947">
        <f>K836*161.2</f>
        <v>5.8623647892577395</v>
      </c>
      <c r="P836" s="37"/>
      <c r="Q836" s="954">
        <f t="shared" si="119"/>
        <v>4.811335607000089E-2</v>
      </c>
    </row>
    <row r="837" spans="1:17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40">
        <f t="shared" si="120"/>
        <v>230.5</v>
      </c>
      <c r="G837" s="24">
        <v>7</v>
      </c>
      <c r="H837" s="8"/>
      <c r="I837" s="8"/>
      <c r="J837" s="40">
        <f t="shared" si="121"/>
        <v>7</v>
      </c>
      <c r="K837" s="221">
        <f t="shared" si="123"/>
        <v>3.9164490861618795E-3</v>
      </c>
      <c r="L837" s="316">
        <f t="shared" si="124"/>
        <v>8.8869321148825069</v>
      </c>
      <c r="M837" s="37">
        <f t="shared" si="122"/>
        <v>3.267724938642298</v>
      </c>
      <c r="N837" s="37">
        <v>3.4593750000000001</v>
      </c>
      <c r="O837" s="947">
        <f>K837*161.2</f>
        <v>0.63133159268929495</v>
      </c>
      <c r="P837" s="37"/>
      <c r="Q837" s="954">
        <f t="shared" si="119"/>
        <v>7.0478801068173974E-2</v>
      </c>
    </row>
    <row r="838" spans="1:17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40">
        <f t="shared" si="120"/>
        <v>65.900000000000006</v>
      </c>
      <c r="G838" s="24">
        <v>2</v>
      </c>
      <c r="H838" s="8"/>
      <c r="I838" s="8"/>
      <c r="J838" s="40">
        <f t="shared" si="121"/>
        <v>2</v>
      </c>
      <c r="K838" s="221">
        <f t="shared" si="123"/>
        <v>1.1189854531891085E-3</v>
      </c>
      <c r="L838" s="316">
        <f t="shared" si="124"/>
        <v>2.5391234613950018</v>
      </c>
      <c r="M838" s="37">
        <f t="shared" si="122"/>
        <v>0.93363569675494218</v>
      </c>
      <c r="N838" s="37">
        <v>0.98839285714285718</v>
      </c>
      <c r="O838" s="947">
        <f t="shared" ref="O838:O875" si="126">K838*161.2</f>
        <v>0.18038045505408429</v>
      </c>
      <c r="P838" s="37"/>
      <c r="Q838" s="954">
        <f t="shared" si="119"/>
        <v>7.0432966166113567E-2</v>
      </c>
    </row>
    <row r="839" spans="1:17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40">
        <f t="shared" si="120"/>
        <v>75.900000000000006</v>
      </c>
      <c r="G839" s="24">
        <v>2</v>
      </c>
      <c r="H839" s="8"/>
      <c r="I839" s="8"/>
      <c r="J839" s="40">
        <f t="shared" si="121"/>
        <v>2</v>
      </c>
      <c r="K839" s="221">
        <f t="shared" si="123"/>
        <v>1.1189854531891085E-3</v>
      </c>
      <c r="L839" s="316">
        <f t="shared" si="124"/>
        <v>2.5391234613950018</v>
      </c>
      <c r="M839" s="37">
        <f t="shared" si="122"/>
        <v>0.93363569675494218</v>
      </c>
      <c r="N839" s="37">
        <v>0.98839285714285718</v>
      </c>
      <c r="O839" s="947">
        <f t="shared" si="126"/>
        <v>0.18038045505408429</v>
      </c>
      <c r="P839" s="37"/>
      <c r="Q839" s="954">
        <f t="shared" ref="Q839:Q902" si="127">(O839+N839+M839+L839)/F839</f>
        <v>6.1153260478878584E-2</v>
      </c>
    </row>
    <row r="840" spans="1:17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40">
        <f t="shared" si="120"/>
        <v>115.8</v>
      </c>
      <c r="G840" s="24">
        <v>3</v>
      </c>
      <c r="H840" s="8"/>
      <c r="I840" s="8"/>
      <c r="J840" s="40">
        <f t="shared" si="121"/>
        <v>3</v>
      </c>
      <c r="K840" s="221">
        <f t="shared" si="123"/>
        <v>1.6784781797836627E-3</v>
      </c>
      <c r="L840" s="316">
        <f t="shared" si="124"/>
        <v>3.8086851920925029</v>
      </c>
      <c r="M840" s="37">
        <f t="shared" si="122"/>
        <v>1.4004535451324134</v>
      </c>
      <c r="N840" s="37">
        <v>1.4825892857142857</v>
      </c>
      <c r="O840" s="947">
        <f t="shared" si="126"/>
        <v>0.27057068258112643</v>
      </c>
      <c r="P840" s="37"/>
      <c r="Q840" s="954">
        <f t="shared" si="127"/>
        <v>6.0123477595166917E-2</v>
      </c>
    </row>
    <row r="841" spans="1:17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40">
        <f t="shared" si="120"/>
        <v>43.6</v>
      </c>
      <c r="G841" s="24">
        <v>1</v>
      </c>
      <c r="H841" s="8"/>
      <c r="I841" s="8"/>
      <c r="J841" s="40">
        <f t="shared" si="121"/>
        <v>1</v>
      </c>
      <c r="K841" s="221">
        <f t="shared" si="123"/>
        <v>5.5949272659455425E-4</v>
      </c>
      <c r="L841" s="316">
        <f t="shared" si="124"/>
        <v>1.2695617306975009</v>
      </c>
      <c r="M841" s="37">
        <f t="shared" si="122"/>
        <v>0.46681784837747109</v>
      </c>
      <c r="N841" s="37">
        <v>0.49419642857142859</v>
      </c>
      <c r="O841" s="947">
        <f t="shared" si="126"/>
        <v>9.0190227527042144E-2</v>
      </c>
      <c r="P841" s="37"/>
      <c r="Q841" s="954">
        <f t="shared" si="127"/>
        <v>5.3228583375537666E-2</v>
      </c>
    </row>
    <row r="842" spans="1:17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40">
        <f t="shared" si="120"/>
        <v>229.9</v>
      </c>
      <c r="G842" s="24">
        <v>8</v>
      </c>
      <c r="H842" s="8"/>
      <c r="I842" s="8"/>
      <c r="J842" s="40">
        <f t="shared" si="121"/>
        <v>8</v>
      </c>
      <c r="K842" s="221">
        <f t="shared" si="123"/>
        <v>4.475941812756434E-3</v>
      </c>
      <c r="L842" s="316">
        <f t="shared" si="124"/>
        <v>10.156493845580007</v>
      </c>
      <c r="M842" s="37">
        <f t="shared" si="122"/>
        <v>3.7345427870197687</v>
      </c>
      <c r="N842" s="37">
        <v>3.9535714285714287</v>
      </c>
      <c r="O842" s="947">
        <f t="shared" si="126"/>
        <v>0.72152182021633715</v>
      </c>
      <c r="P842" s="37"/>
      <c r="Q842" s="954">
        <f t="shared" si="127"/>
        <v>8.075741575201191E-2</v>
      </c>
    </row>
    <row r="843" spans="1:17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40">
        <f t="shared" si="120"/>
        <v>274.3</v>
      </c>
      <c r="G843" s="24">
        <v>5</v>
      </c>
      <c r="H843" s="8"/>
      <c r="I843" s="8"/>
      <c r="J843" s="40">
        <f t="shared" si="121"/>
        <v>5</v>
      </c>
      <c r="K843" s="221">
        <f t="shared" si="123"/>
        <v>2.7974636329727715E-3</v>
      </c>
      <c r="L843" s="316">
        <f t="shared" si="124"/>
        <v>6.3478086534875056</v>
      </c>
      <c r="M843" s="37">
        <f t="shared" si="122"/>
        <v>2.334089241887356</v>
      </c>
      <c r="N843" s="37">
        <v>2.4709821428571432</v>
      </c>
      <c r="O843" s="947">
        <f t="shared" si="126"/>
        <v>0.45095113763521072</v>
      </c>
      <c r="P843" s="37"/>
      <c r="Q843" s="954">
        <f t="shared" si="127"/>
        <v>4.2303431191641323E-2</v>
      </c>
    </row>
    <row r="844" spans="1:17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40">
        <f t="shared" si="120"/>
        <v>282</v>
      </c>
      <c r="G844" s="24">
        <v>9</v>
      </c>
      <c r="H844" s="8"/>
      <c r="I844" s="8"/>
      <c r="J844" s="40">
        <f t="shared" si="121"/>
        <v>9</v>
      </c>
      <c r="K844" s="221">
        <f t="shared" si="123"/>
        <v>5.0354345393509884E-3</v>
      </c>
      <c r="L844" s="316">
        <f t="shared" si="124"/>
        <v>11.426055576277509</v>
      </c>
      <c r="M844" s="37">
        <f t="shared" si="122"/>
        <v>4.2013606353972408</v>
      </c>
      <c r="N844" s="37">
        <v>4.4477678571428578</v>
      </c>
      <c r="O844" s="947">
        <f t="shared" si="126"/>
        <v>0.81171204774337924</v>
      </c>
      <c r="P844" s="37"/>
      <c r="Q844" s="954">
        <f t="shared" si="127"/>
        <v>7.4067007505535409E-2</v>
      </c>
    </row>
    <row r="845" spans="1:17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40">
        <f t="shared" si="120"/>
        <v>181.2</v>
      </c>
      <c r="G845" s="24">
        <v>5</v>
      </c>
      <c r="H845" s="8"/>
      <c r="I845" s="8"/>
      <c r="J845" s="40">
        <f t="shared" si="121"/>
        <v>5</v>
      </c>
      <c r="K845" s="221">
        <f t="shared" si="123"/>
        <v>2.7974636329727715E-3</v>
      </c>
      <c r="L845" s="316">
        <f t="shared" si="124"/>
        <v>6.3478086534875056</v>
      </c>
      <c r="M845" s="37">
        <f t="shared" si="122"/>
        <v>2.334089241887356</v>
      </c>
      <c r="N845" s="37">
        <v>2.4709821428571432</v>
      </c>
      <c r="O845" s="947">
        <f t="shared" si="126"/>
        <v>0.45095113763521072</v>
      </c>
      <c r="P845" s="37"/>
      <c r="Q845" s="954">
        <f t="shared" si="127"/>
        <v>6.40388033988257E-2</v>
      </c>
    </row>
    <row r="846" spans="1:17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40">
        <f t="shared" si="120"/>
        <v>171</v>
      </c>
      <c r="G846" s="24">
        <v>4</v>
      </c>
      <c r="H846" s="8"/>
      <c r="I846" s="8"/>
      <c r="J846" s="40">
        <f t="shared" si="121"/>
        <v>4</v>
      </c>
      <c r="K846" s="221">
        <f t="shared" si="123"/>
        <v>2.237970906378217E-3</v>
      </c>
      <c r="L846" s="316">
        <f t="shared" si="124"/>
        <v>5.0782469227900036</v>
      </c>
      <c r="M846" s="37">
        <f t="shared" si="122"/>
        <v>1.8672713935098844</v>
      </c>
      <c r="N846" s="37">
        <v>1.9767857142857144</v>
      </c>
      <c r="O846" s="947">
        <f t="shared" si="126"/>
        <v>0.36076091010816858</v>
      </c>
      <c r="P846" s="37"/>
      <c r="Q846" s="954">
        <f t="shared" si="127"/>
        <v>5.4286929477741344E-2</v>
      </c>
    </row>
    <row r="847" spans="1:17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40">
        <f t="shared" si="120"/>
        <v>160.5</v>
      </c>
      <c r="G847" s="24">
        <v>4</v>
      </c>
      <c r="H847" s="8"/>
      <c r="I847" s="8"/>
      <c r="J847" s="40">
        <f t="shared" si="121"/>
        <v>4</v>
      </c>
      <c r="K847" s="221">
        <f t="shared" si="123"/>
        <v>2.237970906378217E-3</v>
      </c>
      <c r="L847" s="316">
        <f t="shared" si="124"/>
        <v>5.0782469227900036</v>
      </c>
      <c r="M847" s="37">
        <f t="shared" si="122"/>
        <v>1.8672713935098844</v>
      </c>
      <c r="N847" s="37">
        <v>1.9767857142857144</v>
      </c>
      <c r="O847" s="947">
        <f t="shared" si="126"/>
        <v>0.36076091010816858</v>
      </c>
      <c r="P847" s="37"/>
      <c r="Q847" s="954">
        <f t="shared" si="127"/>
        <v>5.7838410845444048E-2</v>
      </c>
    </row>
    <row r="848" spans="1:17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40">
        <f t="shared" si="120"/>
        <v>165.6</v>
      </c>
      <c r="G848" s="24">
        <v>4</v>
      </c>
      <c r="H848" s="8"/>
      <c r="I848" s="8"/>
      <c r="J848" s="40">
        <f t="shared" si="121"/>
        <v>4</v>
      </c>
      <c r="K848" s="221">
        <f t="shared" si="123"/>
        <v>2.237970906378217E-3</v>
      </c>
      <c r="L848" s="316">
        <f t="shared" si="124"/>
        <v>5.0782469227900036</v>
      </c>
      <c r="M848" s="37">
        <f t="shared" si="122"/>
        <v>1.8672713935098844</v>
      </c>
      <c r="N848" s="37">
        <v>1.9767857142857144</v>
      </c>
      <c r="O848" s="947">
        <f t="shared" si="126"/>
        <v>0.36076091010816858</v>
      </c>
      <c r="P848" s="37"/>
      <c r="Q848" s="954">
        <f t="shared" si="127"/>
        <v>5.6057155438972037E-2</v>
      </c>
    </row>
    <row r="849" spans="1:17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40">
        <f t="shared" si="120"/>
        <v>158.6</v>
      </c>
      <c r="G849" s="24">
        <v>4</v>
      </c>
      <c r="H849" s="8"/>
      <c r="I849" s="8"/>
      <c r="J849" s="40">
        <f t="shared" si="121"/>
        <v>4</v>
      </c>
      <c r="K849" s="221">
        <f t="shared" si="123"/>
        <v>2.237970906378217E-3</v>
      </c>
      <c r="L849" s="316">
        <f t="shared" si="124"/>
        <v>5.0782469227900036</v>
      </c>
      <c r="M849" s="37">
        <f t="shared" si="122"/>
        <v>1.8672713935098844</v>
      </c>
      <c r="N849" s="37">
        <v>1.9767857142857144</v>
      </c>
      <c r="O849" s="947">
        <f t="shared" si="126"/>
        <v>0.36076091010816858</v>
      </c>
      <c r="P849" s="37"/>
      <c r="Q849" s="954">
        <f t="shared" si="127"/>
        <v>5.8531304796303717E-2</v>
      </c>
    </row>
    <row r="850" spans="1:17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40">
        <f t="shared" si="120"/>
        <v>414.61</v>
      </c>
      <c r="G850" s="24">
        <v>12</v>
      </c>
      <c r="H850" s="8"/>
      <c r="I850" s="8"/>
      <c r="J850" s="40">
        <f t="shared" si="121"/>
        <v>12</v>
      </c>
      <c r="K850" s="221">
        <f t="shared" si="123"/>
        <v>6.713912719134651E-3</v>
      </c>
      <c r="L850" s="316">
        <f t="shared" si="124"/>
        <v>15.234740768370012</v>
      </c>
      <c r="M850" s="37">
        <f t="shared" si="122"/>
        <v>5.6018141805296535</v>
      </c>
      <c r="N850" s="37">
        <v>5.9303571428571429</v>
      </c>
      <c r="O850" s="947">
        <f t="shared" si="126"/>
        <v>1.0822827303245057</v>
      </c>
      <c r="P850" s="37"/>
      <c r="Q850" s="954">
        <f t="shared" si="127"/>
        <v>6.7169616801527499E-2</v>
      </c>
    </row>
    <row r="851" spans="1:17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40">
        <f t="shared" si="120"/>
        <v>148.1</v>
      </c>
      <c r="G851" s="24">
        <v>3</v>
      </c>
      <c r="H851" s="8"/>
      <c r="I851" s="8"/>
      <c r="J851" s="40">
        <f t="shared" si="121"/>
        <v>3</v>
      </c>
      <c r="K851" s="221">
        <f t="shared" si="123"/>
        <v>1.6784781797836627E-3</v>
      </c>
      <c r="L851" s="316">
        <f t="shared" si="124"/>
        <v>3.8086851920925029</v>
      </c>
      <c r="M851" s="37">
        <f t="shared" si="122"/>
        <v>1.4004535451324134</v>
      </c>
      <c r="N851" s="37">
        <v>1.4825892857142857</v>
      </c>
      <c r="O851" s="947">
        <f t="shared" si="126"/>
        <v>0.27057068258112643</v>
      </c>
      <c r="P851" s="37"/>
      <c r="Q851" s="954">
        <f t="shared" si="127"/>
        <v>4.7010794770562657E-2</v>
      </c>
    </row>
    <row r="852" spans="1:17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40">
        <f t="shared" si="120"/>
        <v>27.8</v>
      </c>
      <c r="G852" s="24">
        <v>1</v>
      </c>
      <c r="H852" s="8"/>
      <c r="I852" s="8"/>
      <c r="J852" s="40">
        <f t="shared" si="121"/>
        <v>1</v>
      </c>
      <c r="K852" s="221">
        <f t="shared" si="123"/>
        <v>5.5949272659455425E-4</v>
      </c>
      <c r="L852" s="316">
        <f t="shared" si="124"/>
        <v>1.2695617306975009</v>
      </c>
      <c r="M852" s="37">
        <f t="shared" si="122"/>
        <v>0.46681784837747109</v>
      </c>
      <c r="N852" s="37">
        <v>0.49419642857142859</v>
      </c>
      <c r="O852" s="947">
        <f t="shared" si="126"/>
        <v>9.0190227527042144E-2</v>
      </c>
      <c r="P852" s="37"/>
      <c r="Q852" s="954">
        <f t="shared" si="127"/>
        <v>8.3480799826382818E-2</v>
      </c>
    </row>
    <row r="853" spans="1:17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40">
        <f t="shared" si="120"/>
        <v>140.9</v>
      </c>
      <c r="G853" s="24">
        <v>4</v>
      </c>
      <c r="H853" s="8"/>
      <c r="I853" s="8"/>
      <c r="J853" s="40">
        <f t="shared" si="121"/>
        <v>4</v>
      </c>
      <c r="K853" s="221">
        <f t="shared" si="123"/>
        <v>2.237970906378217E-3</v>
      </c>
      <c r="L853" s="316">
        <f t="shared" si="124"/>
        <v>5.0782469227900036</v>
      </c>
      <c r="M853" s="37">
        <f t="shared" si="122"/>
        <v>1.8672713935098844</v>
      </c>
      <c r="N853" s="37">
        <v>1.9767857142857144</v>
      </c>
      <c r="O853" s="947">
        <f t="shared" si="126"/>
        <v>0.36076091010816858</v>
      </c>
      <c r="P853" s="37"/>
      <c r="Q853" s="954">
        <f t="shared" si="127"/>
        <v>6.5884066293071461E-2</v>
      </c>
    </row>
    <row r="854" spans="1:17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40">
        <f t="shared" si="120"/>
        <v>66.599999999999994</v>
      </c>
      <c r="G854" s="24">
        <v>2</v>
      </c>
      <c r="H854" s="8"/>
      <c r="I854" s="8"/>
      <c r="J854" s="40">
        <f t="shared" si="121"/>
        <v>2</v>
      </c>
      <c r="K854" s="221">
        <f t="shared" si="123"/>
        <v>1.1189854531891085E-3</v>
      </c>
      <c r="L854" s="316">
        <f t="shared" si="124"/>
        <v>2.5391234613950018</v>
      </c>
      <c r="M854" s="37">
        <f t="shared" si="122"/>
        <v>0.93363569675494218</v>
      </c>
      <c r="N854" s="37">
        <v>0.98839285714285718</v>
      </c>
      <c r="O854" s="947">
        <f t="shared" si="126"/>
        <v>0.18038045505408429</v>
      </c>
      <c r="P854" s="37"/>
      <c r="Q854" s="954">
        <f t="shared" si="127"/>
        <v>6.9692679734938215E-2</v>
      </c>
    </row>
    <row r="855" spans="1:17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40">
        <f t="shared" si="120"/>
        <v>97.5</v>
      </c>
      <c r="G855" s="24">
        <v>4</v>
      </c>
      <c r="H855" s="8"/>
      <c r="I855" s="8"/>
      <c r="J855" s="40">
        <f t="shared" si="121"/>
        <v>4</v>
      </c>
      <c r="K855" s="221">
        <f t="shared" si="123"/>
        <v>2.237970906378217E-3</v>
      </c>
      <c r="L855" s="316">
        <f t="shared" si="124"/>
        <v>5.0782469227900036</v>
      </c>
      <c r="M855" s="37">
        <f t="shared" si="122"/>
        <v>1.8672713935098844</v>
      </c>
      <c r="N855" s="37">
        <v>1.9767857142857144</v>
      </c>
      <c r="O855" s="947">
        <f t="shared" si="126"/>
        <v>0.36076091010816858</v>
      </c>
      <c r="P855" s="37"/>
      <c r="Q855" s="954">
        <f t="shared" si="127"/>
        <v>9.521092246865405E-2</v>
      </c>
    </row>
    <row r="856" spans="1:17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40">
        <f t="shared" si="120"/>
        <v>522.6</v>
      </c>
      <c r="G856" s="24">
        <v>8</v>
      </c>
      <c r="H856" s="8"/>
      <c r="I856" s="8"/>
      <c r="J856" s="40">
        <f t="shared" si="121"/>
        <v>8</v>
      </c>
      <c r="K856" s="221">
        <f t="shared" si="123"/>
        <v>4.475941812756434E-3</v>
      </c>
      <c r="L856" s="316">
        <f t="shared" si="124"/>
        <v>10.156493845580007</v>
      </c>
      <c r="M856" s="37">
        <f t="shared" si="122"/>
        <v>3.7345427870197687</v>
      </c>
      <c r="N856" s="37">
        <v>3.9535714285714287</v>
      </c>
      <c r="O856" s="947">
        <f t="shared" si="126"/>
        <v>0.72152182021633715</v>
      </c>
      <c r="P856" s="37"/>
      <c r="Q856" s="954">
        <f t="shared" si="127"/>
        <v>3.5526463607706733E-2</v>
      </c>
    </row>
    <row r="857" spans="1:17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40">
        <f t="shared" si="120"/>
        <v>71.8</v>
      </c>
      <c r="G857" s="24">
        <v>2</v>
      </c>
      <c r="H857" s="8"/>
      <c r="I857" s="8"/>
      <c r="J857" s="40">
        <f t="shared" si="121"/>
        <v>2</v>
      </c>
      <c r="K857" s="221">
        <f t="shared" si="123"/>
        <v>1.1189854531891085E-3</v>
      </c>
      <c r="L857" s="316">
        <f t="shared" si="124"/>
        <v>2.5391234613950018</v>
      </c>
      <c r="M857" s="37">
        <f t="shared" si="122"/>
        <v>0.93363569675494218</v>
      </c>
      <c r="N857" s="37">
        <v>0.98839285714285718</v>
      </c>
      <c r="O857" s="947">
        <f t="shared" si="126"/>
        <v>0.18038045505408429</v>
      </c>
      <c r="P857" s="37"/>
      <c r="Q857" s="954">
        <f t="shared" si="127"/>
        <v>6.4645299029900904E-2</v>
      </c>
    </row>
    <row r="858" spans="1:17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40">
        <f t="shared" si="120"/>
        <v>199</v>
      </c>
      <c r="G858" s="24">
        <v>7</v>
      </c>
      <c r="H858" s="8"/>
      <c r="I858" s="8"/>
      <c r="J858" s="40">
        <f t="shared" si="121"/>
        <v>7</v>
      </c>
      <c r="K858" s="221">
        <f t="shared" si="123"/>
        <v>3.9164490861618795E-3</v>
      </c>
      <c r="L858" s="316">
        <f t="shared" si="124"/>
        <v>8.8869321148825069</v>
      </c>
      <c r="M858" s="37">
        <f t="shared" si="122"/>
        <v>3.267724938642298</v>
      </c>
      <c r="N858" s="37">
        <v>3.4593750000000001</v>
      </c>
      <c r="O858" s="947">
        <f t="shared" si="126"/>
        <v>0.63133159268929495</v>
      </c>
      <c r="P858" s="37"/>
      <c r="Q858" s="954">
        <f t="shared" si="127"/>
        <v>8.1634993197055791E-2</v>
      </c>
    </row>
    <row r="859" spans="1:17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40">
        <f t="shared" si="120"/>
        <v>128.5</v>
      </c>
      <c r="G859" s="24">
        <v>3</v>
      </c>
      <c r="H859" s="8"/>
      <c r="I859" s="8"/>
      <c r="J859" s="40">
        <f t="shared" si="121"/>
        <v>3</v>
      </c>
      <c r="K859" s="221">
        <f t="shared" si="123"/>
        <v>1.6784781797836627E-3</v>
      </c>
      <c r="L859" s="316">
        <f t="shared" si="124"/>
        <v>3.8086851920925029</v>
      </c>
      <c r="M859" s="37">
        <f t="shared" si="122"/>
        <v>1.4004535451324134</v>
      </c>
      <c r="N859" s="37">
        <v>1.4825892857142857</v>
      </c>
      <c r="O859" s="947">
        <f t="shared" si="126"/>
        <v>0.27057068258112643</v>
      </c>
      <c r="P859" s="37"/>
      <c r="Q859" s="954">
        <f t="shared" si="127"/>
        <v>5.4181312883426681E-2</v>
      </c>
    </row>
    <row r="860" spans="1:17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40">
        <f t="shared" si="120"/>
        <v>43.4</v>
      </c>
      <c r="G860" s="24">
        <v>1</v>
      </c>
      <c r="H860" s="8"/>
      <c r="I860" s="8"/>
      <c r="J860" s="40">
        <f t="shared" si="121"/>
        <v>1</v>
      </c>
      <c r="K860" s="221">
        <f t="shared" si="123"/>
        <v>5.5949272659455425E-4</v>
      </c>
      <c r="L860" s="316">
        <f t="shared" si="124"/>
        <v>1.2695617306975009</v>
      </c>
      <c r="M860" s="37">
        <f t="shared" si="122"/>
        <v>0.46681784837747109</v>
      </c>
      <c r="N860" s="37">
        <v>0.49419642857142859</v>
      </c>
      <c r="O860" s="947">
        <f t="shared" si="126"/>
        <v>9.0190227527042144E-2</v>
      </c>
      <c r="P860" s="37"/>
      <c r="Q860" s="954">
        <f t="shared" si="127"/>
        <v>5.3473876386484848E-2</v>
      </c>
    </row>
    <row r="861" spans="1:17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40">
        <f t="shared" si="120"/>
        <v>35.4</v>
      </c>
      <c r="G861" s="24">
        <v>1</v>
      </c>
      <c r="H861" s="8"/>
      <c r="I861" s="8"/>
      <c r="J861" s="40">
        <f t="shared" si="121"/>
        <v>1</v>
      </c>
      <c r="K861" s="221">
        <f t="shared" si="123"/>
        <v>5.5949272659455425E-4</v>
      </c>
      <c r="L861" s="316">
        <f t="shared" si="124"/>
        <v>1.2695617306975009</v>
      </c>
      <c r="M861" s="37">
        <f t="shared" si="122"/>
        <v>0.46681784837747109</v>
      </c>
      <c r="N861" s="37">
        <v>0.49419642857142859</v>
      </c>
      <c r="O861" s="947">
        <f t="shared" si="126"/>
        <v>9.0190227527042144E-2</v>
      </c>
      <c r="P861" s="37"/>
      <c r="Q861" s="954">
        <f t="shared" si="127"/>
        <v>6.5558368225238486E-2</v>
      </c>
    </row>
    <row r="862" spans="1:17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40">
        <f t="shared" si="120"/>
        <v>407.14</v>
      </c>
      <c r="G862" s="24">
        <v>8</v>
      </c>
      <c r="H862" s="8"/>
      <c r="I862" s="8"/>
      <c r="J862" s="40">
        <f t="shared" si="121"/>
        <v>8</v>
      </c>
      <c r="K862" s="221">
        <f t="shared" si="123"/>
        <v>4.475941812756434E-3</v>
      </c>
      <c r="L862" s="316">
        <f t="shared" si="124"/>
        <v>10.156493845580007</v>
      </c>
      <c r="M862" s="37">
        <f t="shared" si="122"/>
        <v>3.7345427870197687</v>
      </c>
      <c r="N862" s="37">
        <v>3.9535714285714287</v>
      </c>
      <c r="O862" s="947">
        <f t="shared" si="126"/>
        <v>0.72152182021633715</v>
      </c>
      <c r="P862" s="37"/>
      <c r="Q862" s="954">
        <f t="shared" si="127"/>
        <v>4.5601340770711644E-2</v>
      </c>
    </row>
    <row r="863" spans="1:17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40">
        <f t="shared" si="120"/>
        <v>207.4</v>
      </c>
      <c r="G863" s="24">
        <v>4</v>
      </c>
      <c r="H863" s="8"/>
      <c r="I863" s="8"/>
      <c r="J863" s="40">
        <f t="shared" si="121"/>
        <v>4</v>
      </c>
      <c r="K863" s="221">
        <f t="shared" si="123"/>
        <v>2.237970906378217E-3</v>
      </c>
      <c r="L863" s="316">
        <f t="shared" si="124"/>
        <v>5.0782469227900036</v>
      </c>
      <c r="M863" s="37">
        <f t="shared" si="122"/>
        <v>1.8672713935098844</v>
      </c>
      <c r="N863" s="37">
        <v>1.9767857142857144</v>
      </c>
      <c r="O863" s="947">
        <f t="shared" si="126"/>
        <v>0.36076091010816858</v>
      </c>
      <c r="P863" s="37"/>
      <c r="Q863" s="954">
        <f t="shared" si="127"/>
        <v>4.4759233079526374E-2</v>
      </c>
    </row>
    <row r="864" spans="1:17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40">
        <f t="shared" si="120"/>
        <v>619.29999999999995</v>
      </c>
      <c r="G864" s="24">
        <v>9</v>
      </c>
      <c r="H864" s="8"/>
      <c r="I864" s="8">
        <v>1</v>
      </c>
      <c r="J864" s="40">
        <f t="shared" si="121"/>
        <v>10</v>
      </c>
      <c r="K864" s="221">
        <f t="shared" si="123"/>
        <v>5.5949272659455429E-3</v>
      </c>
      <c r="L864" s="316">
        <f t="shared" si="124"/>
        <v>12.695617306975011</v>
      </c>
      <c r="M864" s="37">
        <f t="shared" si="122"/>
        <v>4.668178483774712</v>
      </c>
      <c r="N864" s="37">
        <v>4.9419642857142865</v>
      </c>
      <c r="O864" s="947">
        <f t="shared" si="126"/>
        <v>0.90190227527042144</v>
      </c>
      <c r="P864" s="37"/>
      <c r="Q864" s="954">
        <f t="shared" si="127"/>
        <v>3.7474022851177832E-2</v>
      </c>
    </row>
    <row r="865" spans="1:17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40">
        <f t="shared" si="120"/>
        <v>326.7</v>
      </c>
      <c r="G865" s="24">
        <v>11</v>
      </c>
      <c r="H865" s="8"/>
      <c r="I865" s="8"/>
      <c r="J865" s="40">
        <f t="shared" si="121"/>
        <v>11</v>
      </c>
      <c r="K865" s="221">
        <f t="shared" si="123"/>
        <v>6.1544199925400965E-3</v>
      </c>
      <c r="L865" s="316">
        <f t="shared" si="124"/>
        <v>13.96517903767251</v>
      </c>
      <c r="M865" s="37">
        <f t="shared" si="122"/>
        <v>5.1349963321521823</v>
      </c>
      <c r="N865" s="37">
        <v>5.4361607142857142</v>
      </c>
      <c r="O865" s="947">
        <f t="shared" si="126"/>
        <v>0.99209250279746353</v>
      </c>
      <c r="P865" s="37"/>
      <c r="Q865" s="954">
        <f t="shared" si="127"/>
        <v>7.8140277278567108E-2</v>
      </c>
    </row>
    <row r="866" spans="1:17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40">
        <f t="shared" si="120"/>
        <v>485.4</v>
      </c>
      <c r="G866" s="24">
        <v>15</v>
      </c>
      <c r="H866" s="8"/>
      <c r="I866" s="8"/>
      <c r="J866" s="40">
        <f t="shared" si="121"/>
        <v>15</v>
      </c>
      <c r="K866" s="221">
        <f t="shared" si="123"/>
        <v>8.3923908989183144E-3</v>
      </c>
      <c r="L866" s="316">
        <f t="shared" si="124"/>
        <v>19.043425960462514</v>
      </c>
      <c r="M866" s="37">
        <f t="shared" si="122"/>
        <v>7.0022677256620671</v>
      </c>
      <c r="N866" s="37">
        <v>7.4129464285714297</v>
      </c>
      <c r="O866" s="947">
        <f t="shared" si="126"/>
        <v>1.3528534129056322</v>
      </c>
      <c r="P866" s="37"/>
      <c r="Q866" s="954">
        <f t="shared" si="127"/>
        <v>7.1717127168524186E-2</v>
      </c>
    </row>
    <row r="867" spans="1:17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40">
        <f t="shared" si="120"/>
        <v>133.6</v>
      </c>
      <c r="G867" s="24">
        <v>3</v>
      </c>
      <c r="H867" s="8"/>
      <c r="I867" s="8"/>
      <c r="J867" s="40">
        <f t="shared" si="121"/>
        <v>3</v>
      </c>
      <c r="K867" s="221">
        <f t="shared" si="123"/>
        <v>1.6784781797836627E-3</v>
      </c>
      <c r="L867" s="316">
        <f t="shared" si="124"/>
        <v>3.8086851920925029</v>
      </c>
      <c r="M867" s="37">
        <f t="shared" si="122"/>
        <v>1.4004535451324134</v>
      </c>
      <c r="N867" s="37">
        <v>1.4825892857142857</v>
      </c>
      <c r="O867" s="947">
        <f t="shared" si="126"/>
        <v>0.27057068258112643</v>
      </c>
      <c r="P867" s="37"/>
      <c r="Q867" s="954">
        <f t="shared" si="127"/>
        <v>5.2113014262876713E-2</v>
      </c>
    </row>
    <row r="868" spans="1:17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40">
        <f t="shared" si="120"/>
        <v>562.28</v>
      </c>
      <c r="G868" s="24">
        <v>12</v>
      </c>
      <c r="H868" s="8"/>
      <c r="I868" s="8"/>
      <c r="J868" s="40">
        <f t="shared" si="121"/>
        <v>12</v>
      </c>
      <c r="K868" s="221">
        <f t="shared" si="123"/>
        <v>6.713912719134651E-3</v>
      </c>
      <c r="L868" s="316">
        <f t="shared" si="124"/>
        <v>15.234740768370012</v>
      </c>
      <c r="M868" s="37">
        <f t="shared" si="122"/>
        <v>5.6018141805296535</v>
      </c>
      <c r="N868" s="37">
        <v>5.9303571428571429</v>
      </c>
      <c r="O868" s="947">
        <f t="shared" si="126"/>
        <v>1.0822827303245057</v>
      </c>
      <c r="P868" s="37"/>
      <c r="Q868" s="954">
        <f t="shared" si="127"/>
        <v>4.9529051045886952E-2</v>
      </c>
    </row>
    <row r="869" spans="1:17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40">
        <f t="shared" si="120"/>
        <v>156.78</v>
      </c>
      <c r="G869" s="24">
        <v>5</v>
      </c>
      <c r="H869" s="8"/>
      <c r="I869" s="8"/>
      <c r="J869" s="40">
        <f t="shared" si="121"/>
        <v>5</v>
      </c>
      <c r="K869" s="221">
        <f t="shared" si="123"/>
        <v>2.7974636329727715E-3</v>
      </c>
      <c r="L869" s="316">
        <f t="shared" si="124"/>
        <v>6.3478086534875056</v>
      </c>
      <c r="M869" s="37">
        <f t="shared" si="122"/>
        <v>2.334089241887356</v>
      </c>
      <c r="N869" s="37">
        <v>2.4709821428571432</v>
      </c>
      <c r="O869" s="947">
        <f t="shared" si="126"/>
        <v>0.45095113763521072</v>
      </c>
      <c r="P869" s="37"/>
      <c r="Q869" s="954">
        <f t="shared" si="127"/>
        <v>7.4013465849389046E-2</v>
      </c>
    </row>
    <row r="870" spans="1:17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40">
        <f t="shared" si="120"/>
        <v>169.82</v>
      </c>
      <c r="G870" s="24">
        <v>5</v>
      </c>
      <c r="H870" s="8"/>
      <c r="I870" s="8"/>
      <c r="J870" s="40">
        <f t="shared" si="121"/>
        <v>5</v>
      </c>
      <c r="K870" s="221">
        <f t="shared" si="123"/>
        <v>2.7974636329727715E-3</v>
      </c>
      <c r="L870" s="316">
        <f t="shared" si="124"/>
        <v>6.3478086534875056</v>
      </c>
      <c r="M870" s="37">
        <f t="shared" si="122"/>
        <v>2.334089241887356</v>
      </c>
      <c r="N870" s="37">
        <v>2.4709821428571432</v>
      </c>
      <c r="O870" s="947">
        <f t="shared" si="126"/>
        <v>0.45095113763521072</v>
      </c>
      <c r="P870" s="37"/>
      <c r="Q870" s="954">
        <f t="shared" si="127"/>
        <v>6.8330180048682229E-2</v>
      </c>
    </row>
    <row r="871" spans="1:17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40">
        <f t="shared" si="120"/>
        <v>263.20999999999998</v>
      </c>
      <c r="G871" s="24">
        <v>6</v>
      </c>
      <c r="H871" s="8"/>
      <c r="I871" s="8"/>
      <c r="J871" s="40">
        <f t="shared" si="121"/>
        <v>6</v>
      </c>
      <c r="K871" s="221">
        <f t="shared" si="123"/>
        <v>3.3569563595673255E-3</v>
      </c>
      <c r="L871" s="316">
        <f t="shared" si="124"/>
        <v>7.6173703841850058</v>
      </c>
      <c r="M871" s="37">
        <f t="shared" si="122"/>
        <v>2.8009070902648268</v>
      </c>
      <c r="N871" s="37">
        <v>2.9651785714285714</v>
      </c>
      <c r="O871" s="947">
        <f t="shared" si="126"/>
        <v>0.54114136516225286</v>
      </c>
      <c r="P871" s="37"/>
      <c r="Q871" s="954">
        <f t="shared" si="127"/>
        <v>5.2902995368871469E-2</v>
      </c>
    </row>
    <row r="872" spans="1:17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40">
        <f t="shared" ref="F872:F878" si="128">C872+D872+E872</f>
        <v>83.5</v>
      </c>
      <c r="G872" s="24">
        <v>1</v>
      </c>
      <c r="H872" s="8"/>
      <c r="I872" s="8"/>
      <c r="J872" s="40">
        <f>G872+H872+I872</f>
        <v>1</v>
      </c>
      <c r="K872" s="221">
        <f t="shared" si="123"/>
        <v>5.5949272659455425E-4</v>
      </c>
      <c r="L872" s="316">
        <f t="shared" si="124"/>
        <v>1.2695617306975009</v>
      </c>
      <c r="M872" s="37">
        <f t="shared" ref="M872:M879" si="129">L872*0.3677</f>
        <v>0.46681784837747109</v>
      </c>
      <c r="N872" s="37">
        <v>0.49419642857142859</v>
      </c>
      <c r="O872" s="947">
        <f t="shared" si="126"/>
        <v>9.0190227527042144E-2</v>
      </c>
      <c r="P872" s="37"/>
      <c r="Q872" s="954">
        <f t="shared" si="127"/>
        <v>2.7793607606867575E-2</v>
      </c>
    </row>
    <row r="873" spans="1:17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40">
        <f t="shared" si="128"/>
        <v>1770.4</v>
      </c>
      <c r="G873" s="24">
        <v>60</v>
      </c>
      <c r="H873" s="8"/>
      <c r="I873" s="8"/>
      <c r="J873" s="40">
        <f>G873+H873+I873</f>
        <v>60</v>
      </c>
      <c r="K873" s="221">
        <f t="shared" si="123"/>
        <v>3.3569563595673257E-2</v>
      </c>
      <c r="L873" s="316">
        <f t="shared" si="124"/>
        <v>76.173703841850056</v>
      </c>
      <c r="M873" s="37">
        <f t="shared" si="129"/>
        <v>28.009070902648268</v>
      </c>
      <c r="N873" s="37">
        <v>11.860714285714288</v>
      </c>
      <c r="O873" s="947">
        <f t="shared" si="126"/>
        <v>5.4114136516225289</v>
      </c>
      <c r="P873" s="37"/>
      <c r="Q873" s="954">
        <f t="shared" si="127"/>
        <v>6.8603085563621283E-2</v>
      </c>
    </row>
    <row r="874" spans="1:17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40">
        <f t="shared" si="128"/>
        <v>4761.2</v>
      </c>
      <c r="G874" s="24">
        <v>72</v>
      </c>
      <c r="H874" s="8"/>
      <c r="I874" s="8">
        <v>1</v>
      </c>
      <c r="J874" s="40">
        <f t="shared" ref="J874:J940" si="130">G874+H874+I874</f>
        <v>73</v>
      </c>
      <c r="K874" s="221">
        <f t="shared" si="123"/>
        <v>4.0842969041402458E-2</v>
      </c>
      <c r="L874" s="316">
        <f t="shared" si="124"/>
        <v>92.678006340917563</v>
      </c>
      <c r="M874" s="37">
        <f t="shared" si="129"/>
        <v>34.077702931555393</v>
      </c>
      <c r="N874" s="37">
        <v>36.07633928571429</v>
      </c>
      <c r="O874" s="947">
        <f t="shared" si="126"/>
        <v>6.5838866094740753</v>
      </c>
      <c r="P874" s="37"/>
      <c r="Q874" s="954">
        <f t="shared" si="127"/>
        <v>3.5582612611875439E-2</v>
      </c>
    </row>
    <row r="875" spans="1:17" s="6" customFormat="1" ht="15.75">
      <c r="A875" s="8">
        <v>130</v>
      </c>
      <c r="B875" s="195" t="s">
        <v>1382</v>
      </c>
      <c r="C875" s="550">
        <v>725.2</v>
      </c>
      <c r="D875" s="533"/>
      <c r="E875" s="533"/>
      <c r="F875" s="40">
        <f t="shared" si="128"/>
        <v>725.2</v>
      </c>
      <c r="G875" s="24">
        <v>15</v>
      </c>
      <c r="H875" s="8"/>
      <c r="I875" s="8"/>
      <c r="J875" s="40">
        <f t="shared" si="130"/>
        <v>15</v>
      </c>
      <c r="K875" s="221">
        <f t="shared" si="123"/>
        <v>8.3923908989183144E-3</v>
      </c>
      <c r="L875" s="316">
        <f t="shared" si="124"/>
        <v>19.043425960462514</v>
      </c>
      <c r="M875" s="37">
        <f t="shared" si="129"/>
        <v>7.0022677256620671</v>
      </c>
      <c r="N875" s="37">
        <v>7.4129464285714297</v>
      </c>
      <c r="O875" s="947">
        <f t="shared" si="126"/>
        <v>1.3528534129056322</v>
      </c>
      <c r="P875" s="37"/>
      <c r="Q875" s="954">
        <f t="shared" si="127"/>
        <v>4.8002611041921731E-2</v>
      </c>
    </row>
    <row r="876" spans="1:17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 t="shared" si="128"/>
        <v>2911.81</v>
      </c>
      <c r="G876" s="40">
        <v>71</v>
      </c>
      <c r="H876" s="8"/>
      <c r="I876" s="8"/>
      <c r="J876" s="40">
        <f t="shared" si="130"/>
        <v>71</v>
      </c>
      <c r="K876" s="221">
        <f t="shared" si="123"/>
        <v>3.972398358821335E-2</v>
      </c>
      <c r="L876" s="316">
        <f t="shared" si="124"/>
        <v>90.138882879522569</v>
      </c>
      <c r="M876" s="37">
        <f t="shared" si="129"/>
        <v>33.144067234800453</v>
      </c>
      <c r="N876" s="37">
        <v>11.860714285714288</v>
      </c>
      <c r="O876" s="947">
        <f>K876*161.2</f>
        <v>6.4035061544199916</v>
      </c>
      <c r="P876" s="37"/>
      <c r="Q876" s="954">
        <f t="shared" si="127"/>
        <v>4.8611403406972745E-2</v>
      </c>
    </row>
    <row r="877" spans="1:17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 t="shared" si="128"/>
        <v>2933</v>
      </c>
      <c r="G877" s="40">
        <v>67</v>
      </c>
      <c r="H877" s="8"/>
      <c r="I877" s="8"/>
      <c r="J877" s="40">
        <f t="shared" si="130"/>
        <v>67</v>
      </c>
      <c r="K877" s="221">
        <f>3/5362*J877</f>
        <v>3.7486012681835136E-2</v>
      </c>
      <c r="L877" s="316">
        <f>K877*2269.13</f>
        <v>85.060635956732568</v>
      </c>
      <c r="M877" s="37">
        <f t="shared" si="129"/>
        <v>31.276795841290568</v>
      </c>
      <c r="N877" s="37">
        <v>36.07633928571429</v>
      </c>
      <c r="O877" s="947">
        <f>K877*161.2</f>
        <v>6.0427452443118232</v>
      </c>
      <c r="P877" s="37"/>
      <c r="Q877" s="954">
        <f t="shared" si="127"/>
        <v>5.4025406180719146E-2</v>
      </c>
    </row>
    <row r="878" spans="1:17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 t="shared" si="128"/>
        <v>3120.67</v>
      </c>
      <c r="G878" s="40">
        <v>75</v>
      </c>
      <c r="H878" s="8"/>
      <c r="I878" s="8"/>
      <c r="J878" s="40">
        <f t="shared" si="130"/>
        <v>75</v>
      </c>
      <c r="K878" s="221">
        <f>3/5362*J878</f>
        <v>4.1961954494591572E-2</v>
      </c>
      <c r="L878" s="316">
        <f>K878*2269.13</f>
        <v>95.217129802312584</v>
      </c>
      <c r="M878" s="37">
        <f t="shared" si="129"/>
        <v>35.011338628310341</v>
      </c>
      <c r="N878" s="37">
        <v>7.4129464285714297</v>
      </c>
      <c r="O878" s="947">
        <f>K878*161.2</f>
        <v>6.7642670645281608</v>
      </c>
      <c r="P878" s="37"/>
      <c r="Q878" s="954">
        <f t="shared" si="127"/>
        <v>4.6273935380454358E-2</v>
      </c>
    </row>
    <row r="879" spans="1:17" s="69" customFormat="1" ht="15.75">
      <c r="A879" s="63"/>
      <c r="B879" s="63" t="s">
        <v>681</v>
      </c>
      <c r="C879" s="63">
        <f t="shared" ref="C879:I879" si="131">SUM(C749:C875)</f>
        <v>265431.31999999989</v>
      </c>
      <c r="D879" s="63">
        <f t="shared" si="131"/>
        <v>216.9</v>
      </c>
      <c r="E879" s="63">
        <f t="shared" si="131"/>
        <v>5608.6</v>
      </c>
      <c r="F879" s="63">
        <f t="shared" si="131"/>
        <v>271256.81999999995</v>
      </c>
      <c r="G879" s="153">
        <f t="shared" si="131"/>
        <v>5104</v>
      </c>
      <c r="H879" s="153">
        <f t="shared" si="131"/>
        <v>5</v>
      </c>
      <c r="I879" s="153">
        <f t="shared" si="131"/>
        <v>40</v>
      </c>
      <c r="J879" s="980">
        <f>SUM(J749:J878)</f>
        <v>5362</v>
      </c>
      <c r="K879" s="221">
        <f>3/5362*J879</f>
        <v>3</v>
      </c>
      <c r="L879" s="316">
        <f>K879*2269.13</f>
        <v>6807.39</v>
      </c>
      <c r="M879" s="64">
        <f t="shared" si="129"/>
        <v>2503.0773030000005</v>
      </c>
      <c r="N879" s="37">
        <f>SUM(N536:N875)</f>
        <v>9860.820402338195</v>
      </c>
      <c r="O879" s="947">
        <f>K879*161.2</f>
        <v>483.59999999999997</v>
      </c>
      <c r="P879" s="37"/>
      <c r="Q879" s="954">
        <f t="shared" si="127"/>
        <v>7.2458593687481102E-2</v>
      </c>
    </row>
    <row r="880" spans="1:17" s="6" customFormat="1" ht="15.75">
      <c r="A880" s="9" t="s">
        <v>392</v>
      </c>
      <c r="B880" s="8"/>
      <c r="C880" s="8"/>
      <c r="D880" s="8"/>
      <c r="E880" s="8"/>
      <c r="F880" s="40">
        <f t="shared" ref="F880:F942" si="132">C880+D880+E880</f>
        <v>0</v>
      </c>
      <c r="G880" s="24"/>
      <c r="H880" s="8"/>
      <c r="I880" s="8"/>
      <c r="J880" s="40"/>
      <c r="K880" s="61"/>
      <c r="L880" s="316">
        <f>K880*2077.52</f>
        <v>0</v>
      </c>
      <c r="M880" s="37"/>
      <c r="N880" s="37">
        <v>0</v>
      </c>
      <c r="O880" s="947">
        <f>K880*161.2</f>
        <v>0</v>
      </c>
      <c r="P880" s="37"/>
      <c r="Q880" s="954" t="e">
        <f t="shared" si="127"/>
        <v>#DIV/0!</v>
      </c>
    </row>
    <row r="881" spans="1:17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432">
        <f t="shared" si="132"/>
        <v>4265.91</v>
      </c>
      <c r="G881" s="330">
        <v>84</v>
      </c>
      <c r="H881" s="386"/>
      <c r="I881" s="386"/>
      <c r="J881" s="40">
        <f t="shared" si="130"/>
        <v>84</v>
      </c>
      <c r="K881" s="221">
        <f t="shared" ref="K881:K944" si="133">4/6375*J881</f>
        <v>5.2705882352941179E-2</v>
      </c>
      <c r="L881" s="316">
        <f t="shared" ref="L881:L944" si="134">K881*2269.13</f>
        <v>119.59649882352942</v>
      </c>
      <c r="M881" s="7">
        <f>L881*0.3677</f>
        <v>43.975632617411769</v>
      </c>
      <c r="N881" s="37">
        <v>45.989606495940038</v>
      </c>
      <c r="O881" s="947">
        <f>K881*1161.2</f>
        <v>61.202070588235301</v>
      </c>
      <c r="P881" s="37">
        <f>O881*1.219</f>
        <v>74.605324047058843</v>
      </c>
      <c r="Q881" s="954">
        <f t="shared" si="127"/>
        <v>6.3471523901141039E-2</v>
      </c>
    </row>
    <row r="882" spans="1:17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432">
        <f t="shared" si="132"/>
        <v>9865.73</v>
      </c>
      <c r="G882" s="330">
        <v>180</v>
      </c>
      <c r="H882" s="330"/>
      <c r="I882" s="330"/>
      <c r="J882" s="40">
        <f t="shared" si="130"/>
        <v>180</v>
      </c>
      <c r="K882" s="221">
        <f t="shared" si="133"/>
        <v>0.11294117647058824</v>
      </c>
      <c r="L882" s="316">
        <f t="shared" si="134"/>
        <v>256.27821176470593</v>
      </c>
      <c r="M882" s="7">
        <f t="shared" ref="M882:M944" si="135">L882*0.3677</f>
        <v>94.233498465882377</v>
      </c>
      <c r="N882" s="37">
        <v>98.54915677701436</v>
      </c>
      <c r="O882" s="947">
        <f>K882*1161.2</f>
        <v>131.14729411764708</v>
      </c>
      <c r="P882" s="37">
        <f t="shared" ref="P882:P945" si="136">O882*1.219</f>
        <v>159.8685515294118</v>
      </c>
      <c r="Q882" s="954">
        <f t="shared" si="127"/>
        <v>5.8810464215547129E-2</v>
      </c>
    </row>
    <row r="883" spans="1:17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432">
        <f t="shared" si="132"/>
        <v>4252.49</v>
      </c>
      <c r="G883" s="330">
        <v>85</v>
      </c>
      <c r="H883" s="330"/>
      <c r="I883" s="330"/>
      <c r="J883" s="40">
        <f t="shared" si="130"/>
        <v>85</v>
      </c>
      <c r="K883" s="221">
        <f t="shared" si="133"/>
        <v>5.3333333333333337E-2</v>
      </c>
      <c r="L883" s="316">
        <f t="shared" si="134"/>
        <v>121.02026666666669</v>
      </c>
      <c r="M883" s="7">
        <f t="shared" si="135"/>
        <v>44.499152053333347</v>
      </c>
      <c r="N883" s="37">
        <v>46.53710181136789</v>
      </c>
      <c r="O883" s="947">
        <f>K883*1161.2</f>
        <v>61.930666666666674</v>
      </c>
      <c r="P883" s="37">
        <f t="shared" si="136"/>
        <v>75.493482666666679</v>
      </c>
      <c r="Q883" s="954">
        <f t="shared" si="127"/>
        <v>6.4429825160796289E-2</v>
      </c>
    </row>
    <row r="884" spans="1:17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432">
        <f t="shared" si="132"/>
        <v>5951.3</v>
      </c>
      <c r="G884" s="330">
        <v>108</v>
      </c>
      <c r="H884" s="330"/>
      <c r="I884" s="330">
        <v>1</v>
      </c>
      <c r="J884" s="40">
        <f t="shared" si="130"/>
        <v>109</v>
      </c>
      <c r="K884" s="221">
        <f t="shared" si="133"/>
        <v>6.8392156862745093E-2</v>
      </c>
      <c r="L884" s="316">
        <f t="shared" si="134"/>
        <v>155.19069490196077</v>
      </c>
      <c r="M884" s="7">
        <f t="shared" si="135"/>
        <v>57.063618515450976</v>
      </c>
      <c r="N884" s="37">
        <v>59.676989381636474</v>
      </c>
      <c r="O884" s="947">
        <f>K884*161.2</f>
        <v>11.024815686274508</v>
      </c>
      <c r="P884" s="37">
        <f t="shared" si="136"/>
        <v>13.439250321568625</v>
      </c>
      <c r="Q884" s="954">
        <f t="shared" si="127"/>
        <v>4.7545262125136135E-2</v>
      </c>
    </row>
    <row r="885" spans="1:17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432">
        <f t="shared" si="132"/>
        <v>4295.57</v>
      </c>
      <c r="G885" s="330">
        <v>84</v>
      </c>
      <c r="H885" s="330"/>
      <c r="I885" s="330"/>
      <c r="J885" s="40">
        <f t="shared" si="130"/>
        <v>84</v>
      </c>
      <c r="K885" s="221">
        <f t="shared" si="133"/>
        <v>5.2705882352941179E-2</v>
      </c>
      <c r="L885" s="316">
        <f t="shared" si="134"/>
        <v>119.59649882352942</v>
      </c>
      <c r="M885" s="7">
        <f t="shared" si="135"/>
        <v>43.975632617411769</v>
      </c>
      <c r="N885" s="37">
        <v>45.989606495940038</v>
      </c>
      <c r="O885" s="947">
        <f>K885*1161.2</f>
        <v>61.202070588235301</v>
      </c>
      <c r="P885" s="37">
        <f t="shared" si="136"/>
        <v>74.605324047058843</v>
      </c>
      <c r="Q885" s="954">
        <f t="shared" si="127"/>
        <v>6.3033266487361753E-2</v>
      </c>
    </row>
    <row r="886" spans="1:17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432">
        <f t="shared" si="132"/>
        <v>7972.34</v>
      </c>
      <c r="G886" s="330">
        <v>144</v>
      </c>
      <c r="H886" s="330"/>
      <c r="I886" s="330"/>
      <c r="J886" s="40">
        <f t="shared" si="130"/>
        <v>144</v>
      </c>
      <c r="K886" s="221">
        <f t="shared" si="133"/>
        <v>9.0352941176470594E-2</v>
      </c>
      <c r="L886" s="316">
        <f t="shared" si="134"/>
        <v>205.02256941176472</v>
      </c>
      <c r="M886" s="7">
        <f t="shared" si="135"/>
        <v>75.386798772705887</v>
      </c>
      <c r="N886" s="37">
        <v>78.839325421611491</v>
      </c>
      <c r="O886" s="947">
        <f>K886*161.2</f>
        <v>14.564894117647059</v>
      </c>
      <c r="P886" s="37">
        <f t="shared" si="136"/>
        <v>17.754605929411767</v>
      </c>
      <c r="Q886" s="954">
        <f t="shared" si="127"/>
        <v>4.6888816548683217E-2</v>
      </c>
    </row>
    <row r="887" spans="1:17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432">
        <f t="shared" si="132"/>
        <v>3946.89</v>
      </c>
      <c r="G887" s="330">
        <v>72</v>
      </c>
      <c r="H887" s="330"/>
      <c r="I887" s="330">
        <v>1</v>
      </c>
      <c r="J887" s="40">
        <f t="shared" si="130"/>
        <v>73</v>
      </c>
      <c r="K887" s="221">
        <f t="shared" si="133"/>
        <v>4.5803921568627455E-2</v>
      </c>
      <c r="L887" s="316">
        <f t="shared" si="134"/>
        <v>103.93505254901962</v>
      </c>
      <c r="M887" s="7">
        <f t="shared" si="135"/>
        <v>38.216918822274515</v>
      </c>
      <c r="N887" s="37">
        <v>39.967158026233598</v>
      </c>
      <c r="O887" s="947">
        <f>K887*1161.2</f>
        <v>53.187513725490206</v>
      </c>
      <c r="P887" s="37">
        <f t="shared" si="136"/>
        <v>64.835579231372563</v>
      </c>
      <c r="Q887" s="954">
        <f t="shared" si="127"/>
        <v>5.9618241988760257E-2</v>
      </c>
    </row>
    <row r="888" spans="1:17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432">
        <f t="shared" si="132"/>
        <v>8036.22</v>
      </c>
      <c r="G888" s="330">
        <v>144</v>
      </c>
      <c r="H888" s="330"/>
      <c r="I888" s="330"/>
      <c r="J888" s="40">
        <f t="shared" si="130"/>
        <v>144</v>
      </c>
      <c r="K888" s="221">
        <f t="shared" si="133"/>
        <v>9.0352941176470594E-2</v>
      </c>
      <c r="L888" s="316">
        <f t="shared" si="134"/>
        <v>205.02256941176472</v>
      </c>
      <c r="M888" s="7">
        <f t="shared" si="135"/>
        <v>75.386798772705887</v>
      </c>
      <c r="N888" s="37">
        <v>78.839325421611491</v>
      </c>
      <c r="O888" s="947">
        <f t="shared" ref="O888:O893" si="137">K888*161.2</f>
        <v>14.564894117647059</v>
      </c>
      <c r="P888" s="37">
        <f t="shared" si="136"/>
        <v>17.754605929411767</v>
      </c>
      <c r="Q888" s="954">
        <f t="shared" si="127"/>
        <v>4.6516096837036461E-2</v>
      </c>
    </row>
    <row r="889" spans="1:17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432">
        <f t="shared" si="132"/>
        <v>3993.05</v>
      </c>
      <c r="G889" s="330">
        <v>72</v>
      </c>
      <c r="H889" s="330"/>
      <c r="I889" s="330"/>
      <c r="J889" s="40">
        <f t="shared" si="130"/>
        <v>72</v>
      </c>
      <c r="K889" s="221">
        <f t="shared" si="133"/>
        <v>4.5176470588235297E-2</v>
      </c>
      <c r="L889" s="316">
        <f t="shared" si="134"/>
        <v>102.51128470588236</v>
      </c>
      <c r="M889" s="7">
        <f t="shared" si="135"/>
        <v>37.693399386352944</v>
      </c>
      <c r="N889" s="37">
        <v>39.419662710805746</v>
      </c>
      <c r="O889" s="947">
        <f t="shared" si="137"/>
        <v>7.2824470588235295</v>
      </c>
      <c r="P889" s="37">
        <f t="shared" si="136"/>
        <v>8.8773029647058834</v>
      </c>
      <c r="Q889" s="954">
        <f t="shared" si="127"/>
        <v>4.6808027413096392E-2</v>
      </c>
    </row>
    <row r="890" spans="1:17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432">
        <f t="shared" si="132"/>
        <v>8196.09</v>
      </c>
      <c r="G890" s="330">
        <v>146</v>
      </c>
      <c r="H890" s="330"/>
      <c r="I890" s="330"/>
      <c r="J890" s="40">
        <f t="shared" si="130"/>
        <v>146</v>
      </c>
      <c r="K890" s="221">
        <f t="shared" si="133"/>
        <v>9.160784313725491E-2</v>
      </c>
      <c r="L890" s="316">
        <f t="shared" si="134"/>
        <v>207.87010509803923</v>
      </c>
      <c r="M890" s="7">
        <f t="shared" si="135"/>
        <v>76.43383764454903</v>
      </c>
      <c r="N890" s="37">
        <v>79.934316052467196</v>
      </c>
      <c r="O890" s="947">
        <f t="shared" si="137"/>
        <v>14.76718431372549</v>
      </c>
      <c r="P890" s="37">
        <f t="shared" si="136"/>
        <v>18.001197678431375</v>
      </c>
      <c r="Q890" s="954">
        <f t="shared" si="127"/>
        <v>4.6242225635489714E-2</v>
      </c>
    </row>
    <row r="891" spans="1:17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432">
        <f t="shared" si="132"/>
        <v>3935.64</v>
      </c>
      <c r="G891" s="330">
        <v>72</v>
      </c>
      <c r="H891" s="330"/>
      <c r="I891" s="330"/>
      <c r="J891" s="40">
        <f t="shared" si="130"/>
        <v>72</v>
      </c>
      <c r="K891" s="221">
        <f t="shared" si="133"/>
        <v>4.5176470588235297E-2</v>
      </c>
      <c r="L891" s="316">
        <f t="shared" si="134"/>
        <v>102.51128470588236</v>
      </c>
      <c r="M891" s="7">
        <f t="shared" si="135"/>
        <v>37.693399386352944</v>
      </c>
      <c r="N891" s="37">
        <v>39.419662710805746</v>
      </c>
      <c r="O891" s="947">
        <f t="shared" si="137"/>
        <v>7.2824470588235295</v>
      </c>
      <c r="P891" s="37">
        <f t="shared" si="136"/>
        <v>8.8773029647058834</v>
      </c>
      <c r="Q891" s="954">
        <f t="shared" si="127"/>
        <v>4.7490825853448125E-2</v>
      </c>
    </row>
    <row r="892" spans="1:17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432">
        <f t="shared" si="132"/>
        <v>4128.3999999999996</v>
      </c>
      <c r="G892" s="330">
        <v>70</v>
      </c>
      <c r="H892" s="330"/>
      <c r="I892" s="730">
        <v>3</v>
      </c>
      <c r="J892" s="40">
        <f t="shared" si="130"/>
        <v>73</v>
      </c>
      <c r="K892" s="221">
        <f t="shared" si="133"/>
        <v>4.5803921568627455E-2</v>
      </c>
      <c r="L892" s="316">
        <f t="shared" si="134"/>
        <v>103.93505254901962</v>
      </c>
      <c r="M892" s="7">
        <f t="shared" si="135"/>
        <v>38.216918822274515</v>
      </c>
      <c r="N892" s="37">
        <v>39.967158026233598</v>
      </c>
      <c r="O892" s="947">
        <f t="shared" si="137"/>
        <v>7.3835921568627452</v>
      </c>
      <c r="P892" s="37">
        <f t="shared" si="136"/>
        <v>9.0005988392156873</v>
      </c>
      <c r="Q892" s="954">
        <f t="shared" si="127"/>
        <v>4.5902219153761865E-2</v>
      </c>
    </row>
    <row r="893" spans="1:17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432">
        <f t="shared" si="132"/>
        <v>18171.13</v>
      </c>
      <c r="G893" s="330">
        <v>327</v>
      </c>
      <c r="H893" s="330">
        <v>3</v>
      </c>
      <c r="I893" s="330"/>
      <c r="J893" s="40">
        <f t="shared" si="130"/>
        <v>330</v>
      </c>
      <c r="K893" s="221">
        <f t="shared" si="133"/>
        <v>0.20705882352941177</v>
      </c>
      <c r="L893" s="316">
        <f t="shared" si="134"/>
        <v>469.84338823529413</v>
      </c>
      <c r="M893" s="7">
        <f t="shared" si="135"/>
        <v>172.76141385411768</v>
      </c>
      <c r="N893" s="37">
        <v>180.67345409119298</v>
      </c>
      <c r="O893" s="947">
        <f t="shared" si="137"/>
        <v>33.377882352941171</v>
      </c>
      <c r="P893" s="37">
        <f t="shared" si="136"/>
        <v>40.687638588235288</v>
      </c>
      <c r="Q893" s="954">
        <f t="shared" si="127"/>
        <v>4.7143801102823325E-2</v>
      </c>
    </row>
    <row r="894" spans="1:17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432">
        <f t="shared" si="132"/>
        <v>3212.3</v>
      </c>
      <c r="G894" s="330">
        <v>55</v>
      </c>
      <c r="H894" s="330"/>
      <c r="I894" s="330"/>
      <c r="J894" s="40">
        <f t="shared" si="130"/>
        <v>55</v>
      </c>
      <c r="K894" s="221">
        <f t="shared" si="133"/>
        <v>3.4509803921568626E-2</v>
      </c>
      <c r="L894" s="316">
        <f t="shared" si="134"/>
        <v>78.307231372549026</v>
      </c>
      <c r="M894" s="7">
        <f t="shared" si="135"/>
        <v>28.793568975686281</v>
      </c>
      <c r="N894" s="37">
        <v>30.112242348532167</v>
      </c>
      <c r="O894" s="947">
        <f>K894*1161.2</f>
        <v>40.072784313725492</v>
      </c>
      <c r="P894" s="37">
        <f t="shared" si="136"/>
        <v>48.848724078431381</v>
      </c>
      <c r="Q894" s="954">
        <f t="shared" si="127"/>
        <v>5.5189685586804767E-2</v>
      </c>
    </row>
    <row r="895" spans="1:17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432">
        <f t="shared" si="132"/>
        <v>4181.6099999999997</v>
      </c>
      <c r="G895" s="330">
        <v>163</v>
      </c>
      <c r="H895" s="730">
        <v>1</v>
      </c>
      <c r="I895" s="730"/>
      <c r="J895" s="40">
        <f t="shared" si="130"/>
        <v>164</v>
      </c>
      <c r="K895" s="221">
        <f t="shared" si="133"/>
        <v>0.10290196078431373</v>
      </c>
      <c r="L895" s="316">
        <f t="shared" si="134"/>
        <v>233.49792627450981</v>
      </c>
      <c r="M895" s="7">
        <f t="shared" si="135"/>
        <v>85.857187491137267</v>
      </c>
      <c r="N895" s="37">
        <v>89.789231730168638</v>
      </c>
      <c r="O895" s="947">
        <f>K895*161.2</f>
        <v>16.587796078431371</v>
      </c>
      <c r="P895" s="37">
        <f t="shared" si="136"/>
        <v>20.220523419607844</v>
      </c>
      <c r="Q895" s="954">
        <f t="shared" si="127"/>
        <v>0.10181058051187153</v>
      </c>
    </row>
    <row r="896" spans="1:17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432">
        <f t="shared" si="132"/>
        <v>6299.01</v>
      </c>
      <c r="G896" s="330">
        <v>101</v>
      </c>
      <c r="H896" s="330"/>
      <c r="I896" s="330"/>
      <c r="J896" s="40">
        <f t="shared" si="130"/>
        <v>101</v>
      </c>
      <c r="K896" s="221">
        <f t="shared" si="133"/>
        <v>6.3372549019607843E-2</v>
      </c>
      <c r="L896" s="316">
        <f t="shared" si="134"/>
        <v>143.80055215686275</v>
      </c>
      <c r="M896" s="7">
        <f t="shared" si="135"/>
        <v>52.875463028078435</v>
      </c>
      <c r="N896" s="37">
        <v>55.297026858213606</v>
      </c>
      <c r="O896" s="947">
        <f>K896*161.2</f>
        <v>10.215654901960784</v>
      </c>
      <c r="P896" s="37">
        <f t="shared" si="136"/>
        <v>12.452883325490196</v>
      </c>
      <c r="Q896" s="954">
        <f t="shared" si="127"/>
        <v>4.1623794365323367E-2</v>
      </c>
    </row>
    <row r="897" spans="1:17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432">
        <f t="shared" si="132"/>
        <v>147.65</v>
      </c>
      <c r="G897" s="330">
        <v>3</v>
      </c>
      <c r="H897" s="330"/>
      <c r="I897" s="330"/>
      <c r="J897" s="40">
        <f t="shared" si="130"/>
        <v>3</v>
      </c>
      <c r="K897" s="221">
        <f t="shared" si="133"/>
        <v>1.8823529411764706E-3</v>
      </c>
      <c r="L897" s="316">
        <f t="shared" si="134"/>
        <v>4.2713035294117647</v>
      </c>
      <c r="M897" s="7">
        <f t="shared" si="135"/>
        <v>1.5705583077647061</v>
      </c>
      <c r="N897" s="37">
        <v>1.6424859462835726</v>
      </c>
      <c r="O897" s="947">
        <f>K897*161.2</f>
        <v>0.30343529411764703</v>
      </c>
      <c r="P897" s="37">
        <f t="shared" si="136"/>
        <v>0.36988762352941174</v>
      </c>
      <c r="Q897" s="954">
        <f t="shared" si="127"/>
        <v>5.2744890467847541E-2</v>
      </c>
    </row>
    <row r="898" spans="1:17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432">
        <f t="shared" si="132"/>
        <v>4248.3</v>
      </c>
      <c r="G898" s="330">
        <v>171</v>
      </c>
      <c r="H898" s="330"/>
      <c r="I898" s="330"/>
      <c r="J898" s="40">
        <f t="shared" si="130"/>
        <v>171</v>
      </c>
      <c r="K898" s="221">
        <f t="shared" si="133"/>
        <v>0.10729411764705883</v>
      </c>
      <c r="L898" s="316">
        <f t="shared" si="134"/>
        <v>243.46430117647063</v>
      </c>
      <c r="M898" s="7">
        <f t="shared" si="135"/>
        <v>89.521823542588251</v>
      </c>
      <c r="N898" s="37">
        <v>93.621698938163647</v>
      </c>
      <c r="O898" s="947">
        <f>K898*761.2</f>
        <v>81.672282352941181</v>
      </c>
      <c r="P898" s="37">
        <f t="shared" si="136"/>
        <v>99.558512188235312</v>
      </c>
      <c r="Q898" s="954">
        <f t="shared" si="127"/>
        <v>0.1196431763317477</v>
      </c>
    </row>
    <row r="899" spans="1:17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432">
        <f t="shared" si="132"/>
        <v>4085.47</v>
      </c>
      <c r="G899" s="330">
        <v>108</v>
      </c>
      <c r="H899" s="330"/>
      <c r="I899" s="330"/>
      <c r="J899" s="40">
        <f t="shared" si="130"/>
        <v>108</v>
      </c>
      <c r="K899" s="221">
        <f t="shared" si="133"/>
        <v>6.7764705882352949E-2</v>
      </c>
      <c r="L899" s="316">
        <f t="shared" si="134"/>
        <v>153.76692705882357</v>
      </c>
      <c r="M899" s="7">
        <f t="shared" si="135"/>
        <v>56.540099079529433</v>
      </c>
      <c r="N899" s="37">
        <v>59.129494066208608</v>
      </c>
      <c r="O899" s="947">
        <f>K899*161.2</f>
        <v>10.923670588235295</v>
      </c>
      <c r="P899" s="37">
        <f t="shared" si="136"/>
        <v>13.315954447058825</v>
      </c>
      <c r="Q899" s="954">
        <f t="shared" si="127"/>
        <v>6.8623730144340048E-2</v>
      </c>
    </row>
    <row r="900" spans="1:17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432">
        <f t="shared" si="132"/>
        <v>4100.95</v>
      </c>
      <c r="G900" s="330">
        <v>105</v>
      </c>
      <c r="H900" s="330">
        <v>2</v>
      </c>
      <c r="I900" s="330"/>
      <c r="J900" s="40">
        <f t="shared" si="130"/>
        <v>107</v>
      </c>
      <c r="K900" s="221">
        <f t="shared" si="133"/>
        <v>6.7137254901960791E-2</v>
      </c>
      <c r="L900" s="316">
        <f t="shared" si="134"/>
        <v>152.34315921568628</v>
      </c>
      <c r="M900" s="7">
        <f t="shared" si="135"/>
        <v>56.016579643607848</v>
      </c>
      <c r="N900" s="37">
        <v>58.581998750780762</v>
      </c>
      <c r="O900" s="947">
        <f>K900*161.2</f>
        <v>10.822525490196078</v>
      </c>
      <c r="P900" s="37">
        <f t="shared" si="136"/>
        <v>13.19265857254902</v>
      </c>
      <c r="Q900" s="954">
        <f t="shared" si="127"/>
        <v>6.7731687316419611E-2</v>
      </c>
    </row>
    <row r="901" spans="1:17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432">
        <f t="shared" si="132"/>
        <v>7076.23</v>
      </c>
      <c r="G901" s="330">
        <v>120</v>
      </c>
      <c r="H901" s="330"/>
      <c r="I901" s="330"/>
      <c r="J901" s="40">
        <f t="shared" si="130"/>
        <v>120</v>
      </c>
      <c r="K901" s="221">
        <f t="shared" si="133"/>
        <v>7.5294117647058831E-2</v>
      </c>
      <c r="L901" s="316">
        <f t="shared" si="134"/>
        <v>170.85214117647061</v>
      </c>
      <c r="M901" s="7">
        <f t="shared" si="135"/>
        <v>62.822332310588251</v>
      </c>
      <c r="N901" s="37">
        <v>65.699437851342893</v>
      </c>
      <c r="O901" s="947">
        <f>K901*1461.2</f>
        <v>110.01976470588237</v>
      </c>
      <c r="P901" s="37">
        <f t="shared" si="136"/>
        <v>134.11409317647062</v>
      </c>
      <c r="Q901" s="954">
        <f t="shared" si="127"/>
        <v>5.7854772392118989E-2</v>
      </c>
    </row>
    <row r="902" spans="1:17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432">
        <f t="shared" si="132"/>
        <v>4062.74</v>
      </c>
      <c r="G902" s="330">
        <v>108</v>
      </c>
      <c r="H902" s="330"/>
      <c r="I902" s="330"/>
      <c r="J902" s="40">
        <f t="shared" si="130"/>
        <v>108</v>
      </c>
      <c r="K902" s="221">
        <f t="shared" si="133"/>
        <v>6.7764705882352949E-2</v>
      </c>
      <c r="L902" s="316">
        <f t="shared" si="134"/>
        <v>153.76692705882357</v>
      </c>
      <c r="M902" s="7">
        <f t="shared" si="135"/>
        <v>56.540099079529433</v>
      </c>
      <c r="N902" s="37">
        <v>59.129494066208608</v>
      </c>
      <c r="O902" s="947">
        <f>K902*1161.2</f>
        <v>78.688376470588253</v>
      </c>
      <c r="P902" s="37">
        <f t="shared" si="136"/>
        <v>95.921130917647091</v>
      </c>
      <c r="Q902" s="954">
        <f t="shared" si="127"/>
        <v>8.5687220121186666E-2</v>
      </c>
    </row>
    <row r="903" spans="1:17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432">
        <f t="shared" si="132"/>
        <v>6379.08</v>
      </c>
      <c r="G903" s="330">
        <v>108</v>
      </c>
      <c r="H903" s="330"/>
      <c r="I903" s="330"/>
      <c r="J903" s="40">
        <f t="shared" si="130"/>
        <v>108</v>
      </c>
      <c r="K903" s="221">
        <f t="shared" si="133"/>
        <v>6.7764705882352949E-2</v>
      </c>
      <c r="L903" s="316">
        <f t="shared" si="134"/>
        <v>153.76692705882357</v>
      </c>
      <c r="M903" s="7">
        <f t="shared" si="135"/>
        <v>56.540099079529433</v>
      </c>
      <c r="N903" s="37">
        <v>59.129494066208608</v>
      </c>
      <c r="O903" s="947">
        <f>K903*2761.2</f>
        <v>187.11190588235294</v>
      </c>
      <c r="P903" s="37">
        <f t="shared" si="136"/>
        <v>228.08941327058827</v>
      </c>
      <c r="Q903" s="954">
        <f t="shared" ref="Q903:Q966" si="138">(O903+N903+M903+L903)/F903</f>
        <v>7.1569634819897948E-2</v>
      </c>
    </row>
    <row r="904" spans="1:17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432">
        <f t="shared" si="132"/>
        <v>6509.3399999999992</v>
      </c>
      <c r="G904" s="330">
        <v>107</v>
      </c>
      <c r="H904" s="330"/>
      <c r="I904" s="330">
        <v>1</v>
      </c>
      <c r="J904" s="40">
        <f t="shared" si="130"/>
        <v>108</v>
      </c>
      <c r="K904" s="221">
        <f t="shared" si="133"/>
        <v>6.7764705882352949E-2</v>
      </c>
      <c r="L904" s="316">
        <f t="shared" si="134"/>
        <v>153.76692705882357</v>
      </c>
      <c r="M904" s="7">
        <f t="shared" si="135"/>
        <v>56.540099079529433</v>
      </c>
      <c r="N904" s="37">
        <v>59.129494066208608</v>
      </c>
      <c r="O904" s="947">
        <f>K904*1161.2</f>
        <v>78.688376470588253</v>
      </c>
      <c r="P904" s="37">
        <f t="shared" si="136"/>
        <v>95.921130917647091</v>
      </c>
      <c r="Q904" s="954">
        <f t="shared" si="138"/>
        <v>5.3480828574809416E-2</v>
      </c>
    </row>
    <row r="905" spans="1:17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432">
        <f t="shared" si="132"/>
        <v>4249.6000000000004</v>
      </c>
      <c r="G905" s="330">
        <v>171</v>
      </c>
      <c r="H905" s="330"/>
      <c r="I905" s="330"/>
      <c r="J905" s="40">
        <f t="shared" si="130"/>
        <v>171</v>
      </c>
      <c r="K905" s="221">
        <f t="shared" si="133"/>
        <v>0.10729411764705883</v>
      </c>
      <c r="L905" s="316">
        <f t="shared" si="134"/>
        <v>243.46430117647063</v>
      </c>
      <c r="M905" s="7">
        <f t="shared" si="135"/>
        <v>89.521823542588251</v>
      </c>
      <c r="N905" s="37">
        <v>93.621698938163647</v>
      </c>
      <c r="O905" s="947">
        <f>K905*1761.2</f>
        <v>188.96640000000002</v>
      </c>
      <c r="P905" s="37">
        <f t="shared" si="136"/>
        <v>230.35004160000005</v>
      </c>
      <c r="Q905" s="954">
        <f t="shared" si="138"/>
        <v>0.14485462717837502</v>
      </c>
    </row>
    <row r="906" spans="1:17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432">
        <f t="shared" si="132"/>
        <v>2807.52</v>
      </c>
      <c r="G906" s="330">
        <v>90</v>
      </c>
      <c r="H906" s="330"/>
      <c r="I906" s="330"/>
      <c r="J906" s="40">
        <f t="shared" si="130"/>
        <v>90</v>
      </c>
      <c r="K906" s="221">
        <f t="shared" si="133"/>
        <v>5.647058823529412E-2</v>
      </c>
      <c r="L906" s="316">
        <f t="shared" si="134"/>
        <v>128.13910588235296</v>
      </c>
      <c r="M906" s="7">
        <f t="shared" si="135"/>
        <v>47.116749232941189</v>
      </c>
      <c r="N906" s="37">
        <v>49.27457838850718</v>
      </c>
      <c r="O906" s="947">
        <f>K906*1161.2</f>
        <v>65.573647058823539</v>
      </c>
      <c r="P906" s="37">
        <f t="shared" si="136"/>
        <v>79.934275764705902</v>
      </c>
      <c r="Q906" s="954">
        <f t="shared" si="138"/>
        <v>0.10333108243667895</v>
      </c>
    </row>
    <row r="907" spans="1:17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432">
        <f t="shared" si="132"/>
        <v>4226.7</v>
      </c>
      <c r="G907" s="330">
        <v>69</v>
      </c>
      <c r="H907" s="330"/>
      <c r="I907" s="330"/>
      <c r="J907" s="40">
        <f t="shared" si="130"/>
        <v>69</v>
      </c>
      <c r="K907" s="221">
        <f t="shared" si="133"/>
        <v>4.3294117647058823E-2</v>
      </c>
      <c r="L907" s="316">
        <f t="shared" si="134"/>
        <v>98.239981176470593</v>
      </c>
      <c r="M907" s="7">
        <f t="shared" si="135"/>
        <v>36.122841078588237</v>
      </c>
      <c r="N907" s="37">
        <v>37.777176764522167</v>
      </c>
      <c r="O907" s="947">
        <f>K907*1761.2</f>
        <v>76.249600000000001</v>
      </c>
      <c r="P907" s="37">
        <f t="shared" si="136"/>
        <v>92.948262400000004</v>
      </c>
      <c r="Q907" s="954">
        <f t="shared" si="138"/>
        <v>5.876679182804103E-2</v>
      </c>
    </row>
    <row r="908" spans="1:17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432">
        <f t="shared" si="132"/>
        <v>4709.3599999999997</v>
      </c>
      <c r="G908" s="330">
        <v>159</v>
      </c>
      <c r="H908" s="330"/>
      <c r="I908" s="330"/>
      <c r="J908" s="40">
        <f t="shared" si="130"/>
        <v>159</v>
      </c>
      <c r="K908" s="221">
        <f t="shared" si="133"/>
        <v>9.976470588235295E-2</v>
      </c>
      <c r="L908" s="316">
        <f t="shared" si="134"/>
        <v>226.37908705882356</v>
      </c>
      <c r="M908" s="7">
        <f t="shared" si="135"/>
        <v>83.239590311529426</v>
      </c>
      <c r="N908" s="37">
        <v>87.051755153029347</v>
      </c>
      <c r="O908" s="947">
        <f>K908*1161.2</f>
        <v>115.84677647058825</v>
      </c>
      <c r="P908" s="37">
        <f t="shared" si="136"/>
        <v>141.21722051764709</v>
      </c>
      <c r="Q908" s="954">
        <f t="shared" si="138"/>
        <v>0.10882948192407686</v>
      </c>
    </row>
    <row r="909" spans="1:17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432">
        <f t="shared" si="132"/>
        <v>5750.25</v>
      </c>
      <c r="G909" s="330">
        <v>197</v>
      </c>
      <c r="H909" s="330"/>
      <c r="I909" s="330">
        <v>1</v>
      </c>
      <c r="J909" s="40">
        <f t="shared" si="130"/>
        <v>198</v>
      </c>
      <c r="K909" s="221">
        <f t="shared" si="133"/>
        <v>0.12423529411764707</v>
      </c>
      <c r="L909" s="316">
        <f t="shared" si="134"/>
        <v>281.90603294117653</v>
      </c>
      <c r="M909" s="7">
        <f t="shared" si="135"/>
        <v>103.65684831247061</v>
      </c>
      <c r="N909" s="37">
        <v>108.40407245471579</v>
      </c>
      <c r="O909" s="947">
        <f>K909*161.2</f>
        <v>20.026729411764705</v>
      </c>
      <c r="P909" s="37">
        <f t="shared" si="136"/>
        <v>24.412583152941178</v>
      </c>
      <c r="Q909" s="954">
        <f t="shared" si="138"/>
        <v>8.9386319398309211E-2</v>
      </c>
    </row>
    <row r="910" spans="1:17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432">
        <f t="shared" si="132"/>
        <v>3555.12</v>
      </c>
      <c r="G910" s="330">
        <v>72</v>
      </c>
      <c r="H910" s="330"/>
      <c r="I910" s="330"/>
      <c r="J910" s="40">
        <f t="shared" si="130"/>
        <v>72</v>
      </c>
      <c r="K910" s="221">
        <f t="shared" si="133"/>
        <v>4.5176470588235297E-2</v>
      </c>
      <c r="L910" s="316">
        <f t="shared" si="134"/>
        <v>102.51128470588236</v>
      </c>
      <c r="M910" s="7">
        <f t="shared" si="135"/>
        <v>37.693399386352944</v>
      </c>
      <c r="N910" s="37">
        <v>39.419662710805746</v>
      </c>
      <c r="O910" s="947">
        <f>K910*1161.2</f>
        <v>52.458917647058826</v>
      </c>
      <c r="P910" s="37">
        <f t="shared" si="136"/>
        <v>63.947420611764713</v>
      </c>
      <c r="Q910" s="954">
        <f t="shared" si="138"/>
        <v>6.5281415099940329E-2</v>
      </c>
    </row>
    <row r="911" spans="1:17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432">
        <f t="shared" si="132"/>
        <v>342.6</v>
      </c>
      <c r="G911" s="330">
        <v>8</v>
      </c>
      <c r="H911" s="330"/>
      <c r="I911" s="330"/>
      <c r="J911" s="40">
        <f t="shared" si="130"/>
        <v>8</v>
      </c>
      <c r="K911" s="221">
        <f t="shared" si="133"/>
        <v>5.019607843137255E-3</v>
      </c>
      <c r="L911" s="316">
        <f t="shared" si="134"/>
        <v>11.390142745098039</v>
      </c>
      <c r="M911" s="7">
        <f t="shared" si="135"/>
        <v>4.1881554873725495</v>
      </c>
      <c r="N911" s="37">
        <v>4.3799625234228605</v>
      </c>
      <c r="O911" s="947">
        <f>K911*2761.2</f>
        <v>13.860141176470588</v>
      </c>
      <c r="P911" s="37">
        <f t="shared" si="136"/>
        <v>16.895512094117649</v>
      </c>
      <c r="Q911" s="954">
        <f t="shared" si="138"/>
        <v>9.8711038915248212E-2</v>
      </c>
    </row>
    <row r="912" spans="1:17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432">
        <f t="shared" si="132"/>
        <v>361.6</v>
      </c>
      <c r="G912" s="330">
        <v>8</v>
      </c>
      <c r="H912" s="330"/>
      <c r="I912" s="330"/>
      <c r="J912" s="40">
        <f t="shared" si="130"/>
        <v>8</v>
      </c>
      <c r="K912" s="221">
        <f t="shared" si="133"/>
        <v>5.019607843137255E-3</v>
      </c>
      <c r="L912" s="316">
        <f t="shared" si="134"/>
        <v>11.390142745098039</v>
      </c>
      <c r="M912" s="7">
        <f t="shared" si="135"/>
        <v>4.1881554873725495</v>
      </c>
      <c r="N912" s="37">
        <v>4.3799625234228605</v>
      </c>
      <c r="O912" s="947">
        <f>K912*1161.2</f>
        <v>5.8287686274509811</v>
      </c>
      <c r="P912" s="37">
        <f t="shared" si="136"/>
        <v>7.1052689568627461</v>
      </c>
      <c r="Q912" s="954">
        <f t="shared" si="138"/>
        <v>7.1313687453939248E-2</v>
      </c>
    </row>
    <row r="913" spans="1:17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432">
        <f t="shared" si="132"/>
        <v>7926.65</v>
      </c>
      <c r="G913" s="330">
        <v>264</v>
      </c>
      <c r="H913" s="330"/>
      <c r="I913" s="330">
        <v>3</v>
      </c>
      <c r="J913" s="40">
        <f t="shared" si="130"/>
        <v>267</v>
      </c>
      <c r="K913" s="221">
        <f t="shared" si="133"/>
        <v>0.1675294117647059</v>
      </c>
      <c r="L913" s="316">
        <f t="shared" si="134"/>
        <v>380.1460141176471</v>
      </c>
      <c r="M913" s="7">
        <f t="shared" si="135"/>
        <v>139.77968939105884</v>
      </c>
      <c r="N913" s="37">
        <v>146.18124921923794</v>
      </c>
      <c r="O913" s="947">
        <f>K913*1961.2</f>
        <v>328.55868235294122</v>
      </c>
      <c r="P913" s="37">
        <f t="shared" si="136"/>
        <v>400.51303378823536</v>
      </c>
      <c r="Q913" s="954">
        <f t="shared" si="138"/>
        <v>0.12548373336540469</v>
      </c>
    </row>
    <row r="914" spans="1:17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432">
        <f t="shared" si="132"/>
        <v>4021.5</v>
      </c>
      <c r="G914" s="330">
        <v>108</v>
      </c>
      <c r="H914" s="330"/>
      <c r="I914" s="330"/>
      <c r="J914" s="40">
        <f t="shared" si="130"/>
        <v>108</v>
      </c>
      <c r="K914" s="221">
        <f t="shared" si="133"/>
        <v>6.7764705882352949E-2</v>
      </c>
      <c r="L914" s="316">
        <f t="shared" si="134"/>
        <v>153.76692705882357</v>
      </c>
      <c r="M914" s="7">
        <f t="shared" si="135"/>
        <v>56.540099079529433</v>
      </c>
      <c r="N914" s="37">
        <v>59.129494066208608</v>
      </c>
      <c r="O914" s="947">
        <f>K914*1161.2</f>
        <v>78.688376470588253</v>
      </c>
      <c r="P914" s="37">
        <f t="shared" si="136"/>
        <v>95.921130917647091</v>
      </c>
      <c r="Q914" s="954">
        <f t="shared" si="138"/>
        <v>8.6565932282767599E-2</v>
      </c>
    </row>
    <row r="915" spans="1:17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432">
        <f t="shared" si="132"/>
        <v>4138.7700000000004</v>
      </c>
      <c r="G915" s="330">
        <v>108</v>
      </c>
      <c r="H915" s="330"/>
      <c r="I915" s="330"/>
      <c r="J915" s="40">
        <f t="shared" si="130"/>
        <v>108</v>
      </c>
      <c r="K915" s="221">
        <f t="shared" si="133"/>
        <v>6.7764705882352949E-2</v>
      </c>
      <c r="L915" s="316">
        <f t="shared" si="134"/>
        <v>153.76692705882357</v>
      </c>
      <c r="M915" s="7">
        <f t="shared" si="135"/>
        <v>56.540099079529433</v>
      </c>
      <c r="N915" s="37">
        <v>59.129494066208608</v>
      </c>
      <c r="O915" s="947">
        <f>K915*1161.2</f>
        <v>78.688376470588253</v>
      </c>
      <c r="P915" s="37">
        <f t="shared" si="136"/>
        <v>95.921130917647091</v>
      </c>
      <c r="Q915" s="954">
        <f t="shared" si="138"/>
        <v>8.4113129426170066E-2</v>
      </c>
    </row>
    <row r="916" spans="1:17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432">
        <f t="shared" si="132"/>
        <v>361.5</v>
      </c>
      <c r="G916" s="330">
        <v>8</v>
      </c>
      <c r="H916" s="330"/>
      <c r="I916" s="330"/>
      <c r="J916" s="40">
        <f t="shared" si="130"/>
        <v>8</v>
      </c>
      <c r="K916" s="221">
        <f t="shared" si="133"/>
        <v>5.019607843137255E-3</v>
      </c>
      <c r="L916" s="316">
        <f t="shared" si="134"/>
        <v>11.390142745098039</v>
      </c>
      <c r="M916" s="7">
        <f t="shared" si="135"/>
        <v>4.1881554873725495</v>
      </c>
      <c r="N916" s="37">
        <v>4.3799625234228605</v>
      </c>
      <c r="O916" s="947">
        <f>K916*2161.2</f>
        <v>10.848376470588235</v>
      </c>
      <c r="P916" s="37">
        <f t="shared" si="136"/>
        <v>13.22417091764706</v>
      </c>
      <c r="Q916" s="954">
        <f t="shared" si="138"/>
        <v>8.5218913489575887E-2</v>
      </c>
    </row>
    <row r="917" spans="1:17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432">
        <f t="shared" si="132"/>
        <v>5864.56</v>
      </c>
      <c r="G917" s="330">
        <v>98</v>
      </c>
      <c r="H917" s="330"/>
      <c r="I917" s="330">
        <v>1</v>
      </c>
      <c r="J917" s="40">
        <f t="shared" si="130"/>
        <v>99</v>
      </c>
      <c r="K917" s="221">
        <f t="shared" si="133"/>
        <v>6.2117647058823534E-2</v>
      </c>
      <c r="L917" s="316">
        <f t="shared" si="134"/>
        <v>140.95301647058827</v>
      </c>
      <c r="M917" s="7">
        <f t="shared" si="135"/>
        <v>51.828424156235307</v>
      </c>
      <c r="N917" s="37">
        <v>54.202036227357894</v>
      </c>
      <c r="O917" s="947">
        <f>K917*161.2</f>
        <v>10.013364705882353</v>
      </c>
      <c r="P917" s="37">
        <f t="shared" si="136"/>
        <v>12.206291576470589</v>
      </c>
      <c r="Q917" s="954">
        <f t="shared" si="138"/>
        <v>4.3822015898901841E-2</v>
      </c>
    </row>
    <row r="918" spans="1:17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432">
        <f t="shared" si="132"/>
        <v>135.35</v>
      </c>
      <c r="G918" s="330">
        <v>5</v>
      </c>
      <c r="H918" s="330"/>
      <c r="I918" s="330"/>
      <c r="J918" s="40">
        <f t="shared" si="130"/>
        <v>5</v>
      </c>
      <c r="K918" s="221">
        <f t="shared" si="133"/>
        <v>3.1372549019607846E-3</v>
      </c>
      <c r="L918" s="316">
        <f t="shared" si="134"/>
        <v>7.1188392156862754</v>
      </c>
      <c r="M918" s="7">
        <f t="shared" si="135"/>
        <v>2.6175971796078437</v>
      </c>
      <c r="N918" s="37">
        <v>2.7374765771392875</v>
      </c>
      <c r="O918" s="947">
        <f>K918*161.2</f>
        <v>0.50572549019607849</v>
      </c>
      <c r="P918" s="37">
        <f t="shared" si="136"/>
        <v>0.61647937254901974</v>
      </c>
      <c r="Q918" s="954">
        <f t="shared" si="138"/>
        <v>9.5896848634129922E-2</v>
      </c>
    </row>
    <row r="919" spans="1:17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432">
        <f t="shared" si="132"/>
        <v>37.4</v>
      </c>
      <c r="G919" s="330">
        <v>1</v>
      </c>
      <c r="H919" s="330"/>
      <c r="I919" s="330"/>
      <c r="J919" s="40">
        <f t="shared" si="130"/>
        <v>1</v>
      </c>
      <c r="K919" s="221">
        <f t="shared" si="133"/>
        <v>6.2745098039215688E-4</v>
      </c>
      <c r="L919" s="316">
        <f t="shared" si="134"/>
        <v>1.4237678431372549</v>
      </c>
      <c r="M919" s="7">
        <f t="shared" si="135"/>
        <v>0.52351943592156869</v>
      </c>
      <c r="N919" s="37">
        <v>0.54749531542785757</v>
      </c>
      <c r="O919" s="947">
        <f>K919*161.2</f>
        <v>0.10114509803921568</v>
      </c>
      <c r="P919" s="37">
        <f t="shared" si="136"/>
        <v>0.12329587450980392</v>
      </c>
      <c r="Q919" s="954">
        <f t="shared" si="138"/>
        <v>6.9409831350959808E-2</v>
      </c>
    </row>
    <row r="920" spans="1:17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432">
        <f t="shared" si="132"/>
        <v>236.9</v>
      </c>
      <c r="G920" s="330">
        <v>5</v>
      </c>
      <c r="H920" s="330"/>
      <c r="I920" s="330">
        <v>1</v>
      </c>
      <c r="J920" s="40">
        <f t="shared" si="130"/>
        <v>6</v>
      </c>
      <c r="K920" s="221">
        <f t="shared" si="133"/>
        <v>3.7647058823529413E-3</v>
      </c>
      <c r="L920" s="316">
        <f t="shared" si="134"/>
        <v>8.5426070588235294</v>
      </c>
      <c r="M920" s="7">
        <f t="shared" si="135"/>
        <v>3.1411166155294121</v>
      </c>
      <c r="N920" s="37">
        <v>3.2849718925671452</v>
      </c>
      <c r="O920" s="947">
        <f>K920*2161.2</f>
        <v>8.1362823529411763</v>
      </c>
      <c r="P920" s="37">
        <f t="shared" si="136"/>
        <v>9.9181281882352952</v>
      </c>
      <c r="Q920" s="954">
        <f t="shared" si="138"/>
        <v>9.7530510425754585E-2</v>
      </c>
    </row>
    <row r="921" spans="1:17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432">
        <f t="shared" si="132"/>
        <v>362.6</v>
      </c>
      <c r="G921" s="330">
        <v>5</v>
      </c>
      <c r="H921" s="330"/>
      <c r="I921" s="330">
        <v>2</v>
      </c>
      <c r="J921" s="40">
        <f t="shared" si="130"/>
        <v>7</v>
      </c>
      <c r="K921" s="221">
        <f t="shared" si="133"/>
        <v>4.3921568627450979E-3</v>
      </c>
      <c r="L921" s="316">
        <f t="shared" si="134"/>
        <v>9.9663749019607852</v>
      </c>
      <c r="M921" s="7">
        <f t="shared" si="135"/>
        <v>3.664636051450981</v>
      </c>
      <c r="N921" s="37">
        <v>3.8324672079950028</v>
      </c>
      <c r="O921" s="947">
        <f>K921*1761.2</f>
        <v>7.7354666666666665</v>
      </c>
      <c r="P921" s="37">
        <f t="shared" si="136"/>
        <v>9.4295338666666666</v>
      </c>
      <c r="Q921" s="954">
        <f t="shared" si="138"/>
        <v>6.9495159481724855E-2</v>
      </c>
    </row>
    <row r="922" spans="1:17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432">
        <f t="shared" si="132"/>
        <v>494.9</v>
      </c>
      <c r="G922" s="330">
        <v>13</v>
      </c>
      <c r="H922" s="330"/>
      <c r="I922" s="330"/>
      <c r="J922" s="40">
        <f t="shared" si="130"/>
        <v>13</v>
      </c>
      <c r="K922" s="221">
        <f t="shared" si="133"/>
        <v>8.1568627450980397E-3</v>
      </c>
      <c r="L922" s="316">
        <f t="shared" si="134"/>
        <v>18.508981960784315</v>
      </c>
      <c r="M922" s="7">
        <f t="shared" si="135"/>
        <v>6.8057526669803927</v>
      </c>
      <c r="N922" s="37">
        <v>7.1174391005621489</v>
      </c>
      <c r="O922" s="947">
        <f>K922*2161.2</f>
        <v>17.62861176470588</v>
      </c>
      <c r="P922" s="37">
        <f t="shared" si="136"/>
        <v>21.489277741176469</v>
      </c>
      <c r="Q922" s="954">
        <f t="shared" si="138"/>
        <v>0.10115333500309708</v>
      </c>
    </row>
    <row r="923" spans="1:17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432">
        <f t="shared" si="132"/>
        <v>277.2</v>
      </c>
      <c r="G923" s="330">
        <v>7</v>
      </c>
      <c r="H923" s="330"/>
      <c r="I923" s="330"/>
      <c r="J923" s="40">
        <f t="shared" si="130"/>
        <v>7</v>
      </c>
      <c r="K923" s="221">
        <f t="shared" si="133"/>
        <v>4.3921568627450979E-3</v>
      </c>
      <c r="L923" s="316">
        <f t="shared" si="134"/>
        <v>9.9663749019607852</v>
      </c>
      <c r="M923" s="7">
        <f t="shared" si="135"/>
        <v>3.664636051450981</v>
      </c>
      <c r="N923" s="37">
        <v>3.8324672079950028</v>
      </c>
      <c r="O923" s="947">
        <f>K923*2761.2</f>
        <v>12.127623529411764</v>
      </c>
      <c r="P923" s="37">
        <f t="shared" si="136"/>
        <v>14.783573082352941</v>
      </c>
      <c r="Q923" s="954">
        <f t="shared" si="138"/>
        <v>0.10675000609963396</v>
      </c>
    </row>
    <row r="924" spans="1:17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432">
        <f t="shared" si="132"/>
        <v>7127.52</v>
      </c>
      <c r="G924" s="330">
        <v>120</v>
      </c>
      <c r="H924" s="330"/>
      <c r="I924" s="330"/>
      <c r="J924" s="40">
        <f t="shared" si="130"/>
        <v>120</v>
      </c>
      <c r="K924" s="221">
        <f t="shared" si="133"/>
        <v>7.5294117647058831E-2</v>
      </c>
      <c r="L924" s="316">
        <f t="shared" si="134"/>
        <v>170.85214117647061</v>
      </c>
      <c r="M924" s="7">
        <f t="shared" si="135"/>
        <v>62.822332310588251</v>
      </c>
      <c r="N924" s="37">
        <v>65.699437851342893</v>
      </c>
      <c r="O924" s="947">
        <f>K924*161.2</f>
        <v>12.137411764705883</v>
      </c>
      <c r="P924" s="37">
        <f t="shared" si="136"/>
        <v>14.795504941176473</v>
      </c>
      <c r="Q924" s="954">
        <f t="shared" si="138"/>
        <v>4.3705429532727741E-2</v>
      </c>
    </row>
    <row r="925" spans="1:17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432">
        <f t="shared" si="132"/>
        <v>52.9</v>
      </c>
      <c r="G925" s="330">
        <v>2</v>
      </c>
      <c r="H925" s="330"/>
      <c r="I925" s="330"/>
      <c r="J925" s="40">
        <f t="shared" si="130"/>
        <v>2</v>
      </c>
      <c r="K925" s="221">
        <f t="shared" si="133"/>
        <v>1.2549019607843138E-3</v>
      </c>
      <c r="L925" s="316">
        <f t="shared" si="134"/>
        <v>2.8475356862745098</v>
      </c>
      <c r="M925" s="7">
        <f t="shared" si="135"/>
        <v>1.0470388718431374</v>
      </c>
      <c r="N925" s="37">
        <v>1.0949906308557151</v>
      </c>
      <c r="O925" s="947">
        <f>K925*161.2</f>
        <v>0.20229019607843135</v>
      </c>
      <c r="P925" s="37">
        <f t="shared" si="136"/>
        <v>0.24659174901960784</v>
      </c>
      <c r="Q925" s="954">
        <f t="shared" si="138"/>
        <v>9.8144714273190811E-2</v>
      </c>
    </row>
    <row r="926" spans="1:17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432">
        <f t="shared" si="132"/>
        <v>119.9</v>
      </c>
      <c r="G926" s="330">
        <v>4</v>
      </c>
      <c r="H926" s="330"/>
      <c r="I926" s="330"/>
      <c r="J926" s="40">
        <f t="shared" si="130"/>
        <v>4</v>
      </c>
      <c r="K926" s="221">
        <f t="shared" si="133"/>
        <v>2.5098039215686275E-3</v>
      </c>
      <c r="L926" s="316">
        <f t="shared" si="134"/>
        <v>5.6950713725490196</v>
      </c>
      <c r="M926" s="7">
        <f t="shared" si="135"/>
        <v>2.0940777436862748</v>
      </c>
      <c r="N926" s="37">
        <v>2.1899812617114303</v>
      </c>
      <c r="O926" s="947">
        <f>K926*1761.2</f>
        <v>4.4202666666666666</v>
      </c>
      <c r="P926" s="37">
        <f t="shared" si="136"/>
        <v>5.3883050666666668</v>
      </c>
      <c r="Q926" s="954">
        <f t="shared" si="138"/>
        <v>0.12009505458393152</v>
      </c>
    </row>
    <row r="927" spans="1:17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432">
        <f t="shared" si="132"/>
        <v>75.3</v>
      </c>
      <c r="G927" s="330">
        <v>1</v>
      </c>
      <c r="H927" s="330"/>
      <c r="I927" s="330"/>
      <c r="J927" s="40">
        <f t="shared" si="130"/>
        <v>1</v>
      </c>
      <c r="K927" s="221">
        <f t="shared" si="133"/>
        <v>6.2745098039215688E-4</v>
      </c>
      <c r="L927" s="316">
        <f t="shared" si="134"/>
        <v>1.4237678431372549</v>
      </c>
      <c r="M927" s="7">
        <f t="shared" si="135"/>
        <v>0.52351943592156869</v>
      </c>
      <c r="N927" s="37">
        <v>0.54749531542785757</v>
      </c>
      <c r="O927" s="947">
        <f>K927*1761.2</f>
        <v>1.1050666666666666</v>
      </c>
      <c r="P927" s="37">
        <f t="shared" si="136"/>
        <v>1.3470762666666667</v>
      </c>
      <c r="Q927" s="954">
        <f t="shared" si="138"/>
        <v>4.7806763096325998E-2</v>
      </c>
    </row>
    <row r="928" spans="1:17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432">
        <f t="shared" si="132"/>
        <v>120.8</v>
      </c>
      <c r="G928" s="330">
        <v>3</v>
      </c>
      <c r="H928" s="330"/>
      <c r="I928" s="330"/>
      <c r="J928" s="40">
        <f t="shared" si="130"/>
        <v>3</v>
      </c>
      <c r="K928" s="221">
        <f t="shared" si="133"/>
        <v>1.8823529411764706E-3</v>
      </c>
      <c r="L928" s="316">
        <f t="shared" si="134"/>
        <v>4.2713035294117647</v>
      </c>
      <c r="M928" s="7">
        <f t="shared" si="135"/>
        <v>1.5705583077647061</v>
      </c>
      <c r="N928" s="37">
        <v>1.6424859462835726</v>
      </c>
      <c r="O928" s="947">
        <f>K928*1761.2</f>
        <v>3.3152000000000004</v>
      </c>
      <c r="P928" s="37">
        <f t="shared" si="136"/>
        <v>4.0412288000000007</v>
      </c>
      <c r="Q928" s="954">
        <f t="shared" si="138"/>
        <v>8.940022999553017E-2</v>
      </c>
    </row>
    <row r="929" spans="1:17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432">
        <f t="shared" si="132"/>
        <v>429.7</v>
      </c>
      <c r="G929" s="330">
        <v>9</v>
      </c>
      <c r="H929" s="330"/>
      <c r="I929" s="330"/>
      <c r="J929" s="40">
        <f t="shared" si="130"/>
        <v>9</v>
      </c>
      <c r="K929" s="221">
        <f t="shared" si="133"/>
        <v>5.6470588235294121E-3</v>
      </c>
      <c r="L929" s="316">
        <f t="shared" si="134"/>
        <v>12.813910588235295</v>
      </c>
      <c r="M929" s="7">
        <f t="shared" si="135"/>
        <v>4.711674923294118</v>
      </c>
      <c r="N929" s="37">
        <v>4.9274578388507182</v>
      </c>
      <c r="O929" s="947">
        <f>K929*1761.2</f>
        <v>9.9456000000000007</v>
      </c>
      <c r="P929" s="37">
        <f t="shared" si="136"/>
        <v>12.123686400000002</v>
      </c>
      <c r="Q929" s="954">
        <f t="shared" si="138"/>
        <v>7.5398285665301684E-2</v>
      </c>
    </row>
    <row r="930" spans="1:17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432">
        <f t="shared" si="132"/>
        <v>249.1</v>
      </c>
      <c r="G930" s="330">
        <v>6</v>
      </c>
      <c r="H930" s="330"/>
      <c r="I930" s="330"/>
      <c r="J930" s="40">
        <f t="shared" si="130"/>
        <v>6</v>
      </c>
      <c r="K930" s="221">
        <f t="shared" si="133"/>
        <v>3.7647058823529413E-3</v>
      </c>
      <c r="L930" s="316">
        <f t="shared" si="134"/>
        <v>8.5426070588235294</v>
      </c>
      <c r="M930" s="7">
        <f t="shared" si="135"/>
        <v>3.1411166155294121</v>
      </c>
      <c r="N930" s="37">
        <v>3.2849718925671452</v>
      </c>
      <c r="O930" s="947">
        <f>K930*1761.2</f>
        <v>6.6304000000000007</v>
      </c>
      <c r="P930" s="37">
        <f t="shared" si="136"/>
        <v>8.0824576000000015</v>
      </c>
      <c r="Q930" s="954">
        <f t="shared" si="138"/>
        <v>8.6708532986431511E-2</v>
      </c>
    </row>
    <row r="931" spans="1:17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432">
        <f t="shared" si="132"/>
        <v>103</v>
      </c>
      <c r="G931" s="330">
        <v>1</v>
      </c>
      <c r="H931" s="330"/>
      <c r="I931" s="330">
        <v>1</v>
      </c>
      <c r="J931" s="40">
        <f t="shared" si="130"/>
        <v>2</v>
      </c>
      <c r="K931" s="221">
        <f t="shared" si="133"/>
        <v>1.2549019607843138E-3</v>
      </c>
      <c r="L931" s="316">
        <f t="shared" si="134"/>
        <v>2.8475356862745098</v>
      </c>
      <c r="M931" s="7">
        <f t="shared" si="135"/>
        <v>1.0470388718431374</v>
      </c>
      <c r="N931" s="37">
        <v>1.0949906308557151</v>
      </c>
      <c r="O931" s="947">
        <f>K931*3761.2</f>
        <v>4.7199372549019607</v>
      </c>
      <c r="P931" s="37">
        <f t="shared" si="136"/>
        <v>5.7536035137254906</v>
      </c>
      <c r="Q931" s="954">
        <f t="shared" si="138"/>
        <v>9.4267014018207015E-2</v>
      </c>
    </row>
    <row r="932" spans="1:17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432">
        <f t="shared" si="132"/>
        <v>176.5</v>
      </c>
      <c r="G932" s="330">
        <v>2</v>
      </c>
      <c r="H932" s="330">
        <v>1</v>
      </c>
      <c r="I932" s="330"/>
      <c r="J932" s="40">
        <f t="shared" si="130"/>
        <v>3</v>
      </c>
      <c r="K932" s="221">
        <f t="shared" si="133"/>
        <v>1.8823529411764706E-3</v>
      </c>
      <c r="L932" s="316">
        <f t="shared" si="134"/>
        <v>4.2713035294117647</v>
      </c>
      <c r="M932" s="7">
        <f t="shared" si="135"/>
        <v>1.5705583077647061</v>
      </c>
      <c r="N932" s="37">
        <v>1.6424859462835726</v>
      </c>
      <c r="O932" s="947">
        <f>K932*1761.2</f>
        <v>3.3152000000000004</v>
      </c>
      <c r="P932" s="37">
        <f t="shared" si="136"/>
        <v>4.0412288000000007</v>
      </c>
      <c r="Q932" s="954">
        <f t="shared" si="138"/>
        <v>6.1187239566345857E-2</v>
      </c>
    </row>
    <row r="933" spans="1:17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432">
        <f t="shared" si="132"/>
        <v>109.5</v>
      </c>
      <c r="G933" s="330">
        <v>2</v>
      </c>
      <c r="H933" s="330"/>
      <c r="I933" s="330"/>
      <c r="J933" s="40">
        <f t="shared" si="130"/>
        <v>2</v>
      </c>
      <c r="K933" s="221">
        <f t="shared" si="133"/>
        <v>1.2549019607843138E-3</v>
      </c>
      <c r="L933" s="316">
        <f t="shared" si="134"/>
        <v>2.8475356862745098</v>
      </c>
      <c r="M933" s="7">
        <f t="shared" si="135"/>
        <v>1.0470388718431374</v>
      </c>
      <c r="N933" s="37">
        <v>1.0949906308557151</v>
      </c>
      <c r="O933" s="947">
        <f>K933*1161.2</f>
        <v>1.4571921568627453</v>
      </c>
      <c r="P933" s="37">
        <f t="shared" si="136"/>
        <v>1.7763172392156865</v>
      </c>
      <c r="Q933" s="954">
        <f t="shared" si="138"/>
        <v>5.8874496309005556E-2</v>
      </c>
    </row>
    <row r="934" spans="1:17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432">
        <f t="shared" si="132"/>
        <v>111.4</v>
      </c>
      <c r="G934" s="330">
        <v>3</v>
      </c>
      <c r="H934" s="330"/>
      <c r="I934" s="330"/>
      <c r="J934" s="40">
        <f t="shared" si="130"/>
        <v>3</v>
      </c>
      <c r="K934" s="221">
        <f t="shared" si="133"/>
        <v>1.8823529411764706E-3</v>
      </c>
      <c r="L934" s="316">
        <f t="shared" si="134"/>
        <v>4.2713035294117647</v>
      </c>
      <c r="M934" s="7">
        <f t="shared" si="135"/>
        <v>1.5705583077647061</v>
      </c>
      <c r="N934" s="37">
        <v>1.6424859462835726</v>
      </c>
      <c r="O934" s="947">
        <f>K934*1161.2</f>
        <v>2.1857882352941176</v>
      </c>
      <c r="P934" s="37">
        <f t="shared" si="136"/>
        <v>2.6644758588235296</v>
      </c>
      <c r="Q934" s="954">
        <f t="shared" si="138"/>
        <v>8.680552979132998E-2</v>
      </c>
    </row>
    <row r="935" spans="1:17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432">
        <f t="shared" si="132"/>
        <v>92.9</v>
      </c>
      <c r="G935" s="330">
        <v>2</v>
      </c>
      <c r="H935" s="330"/>
      <c r="I935" s="330"/>
      <c r="J935" s="40">
        <f t="shared" si="130"/>
        <v>2</v>
      </c>
      <c r="K935" s="221">
        <f t="shared" si="133"/>
        <v>1.2549019607843138E-3</v>
      </c>
      <c r="L935" s="316">
        <f t="shared" si="134"/>
        <v>2.8475356862745098</v>
      </c>
      <c r="M935" s="7">
        <f t="shared" si="135"/>
        <v>1.0470388718431374</v>
      </c>
      <c r="N935" s="37">
        <v>1.0949906308557151</v>
      </c>
      <c r="O935" s="947">
        <f>K935*161.2</f>
        <v>0.20229019607843135</v>
      </c>
      <c r="P935" s="37">
        <f t="shared" si="136"/>
        <v>0.24659174901960784</v>
      </c>
      <c r="Q935" s="954">
        <f t="shared" si="138"/>
        <v>5.5886494995175381E-2</v>
      </c>
    </row>
    <row r="936" spans="1:17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432">
        <f t="shared" si="132"/>
        <v>101.8</v>
      </c>
      <c r="G936" s="330">
        <v>3</v>
      </c>
      <c r="H936" s="330"/>
      <c r="I936" s="330"/>
      <c r="J936" s="40">
        <f t="shared" si="130"/>
        <v>3</v>
      </c>
      <c r="K936" s="221">
        <f t="shared" si="133"/>
        <v>1.8823529411764706E-3</v>
      </c>
      <c r="L936" s="316">
        <f t="shared" si="134"/>
        <v>4.2713035294117647</v>
      </c>
      <c r="M936" s="7">
        <f t="shared" si="135"/>
        <v>1.5705583077647061</v>
      </c>
      <c r="N936" s="37">
        <v>1.6424859462835726</v>
      </c>
      <c r="O936" s="947">
        <f>K936*1761.2</f>
        <v>3.3152000000000004</v>
      </c>
      <c r="P936" s="37">
        <f t="shared" si="136"/>
        <v>4.0412288000000007</v>
      </c>
      <c r="Q936" s="954">
        <f t="shared" si="138"/>
        <v>0.10608593107524601</v>
      </c>
    </row>
    <row r="937" spans="1:17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432">
        <f t="shared" si="132"/>
        <v>202</v>
      </c>
      <c r="G937" s="330">
        <v>7</v>
      </c>
      <c r="H937" s="330"/>
      <c r="I937" s="330"/>
      <c r="J937" s="40">
        <f t="shared" si="130"/>
        <v>7</v>
      </c>
      <c r="K937" s="221">
        <f t="shared" si="133"/>
        <v>4.3921568627450979E-3</v>
      </c>
      <c r="L937" s="316">
        <f t="shared" si="134"/>
        <v>9.9663749019607852</v>
      </c>
      <c r="M937" s="7">
        <f t="shared" si="135"/>
        <v>3.664636051450981</v>
      </c>
      <c r="N937" s="37">
        <v>3.8324672079950028</v>
      </c>
      <c r="O937" s="947">
        <f>K937*1161.2</f>
        <v>5.1001725490196081</v>
      </c>
      <c r="P937" s="37">
        <f t="shared" si="136"/>
        <v>6.217110337254903</v>
      </c>
      <c r="Q937" s="954">
        <f t="shared" si="138"/>
        <v>0.11170124114072465</v>
      </c>
    </row>
    <row r="938" spans="1:17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432">
        <f t="shared" si="132"/>
        <v>214.1</v>
      </c>
      <c r="G938" s="330">
        <v>4</v>
      </c>
      <c r="H938" s="330"/>
      <c r="I938" s="330"/>
      <c r="J938" s="40">
        <f t="shared" si="130"/>
        <v>4</v>
      </c>
      <c r="K938" s="221">
        <f t="shared" si="133"/>
        <v>2.5098039215686275E-3</v>
      </c>
      <c r="L938" s="316">
        <f t="shared" si="134"/>
        <v>5.6950713725490196</v>
      </c>
      <c r="M938" s="7">
        <f t="shared" si="135"/>
        <v>2.0940777436862748</v>
      </c>
      <c r="N938" s="37">
        <v>2.1899812617114303</v>
      </c>
      <c r="O938" s="947">
        <f>K938*161.2</f>
        <v>0.4045803921568627</v>
      </c>
      <c r="P938" s="37">
        <f t="shared" si="136"/>
        <v>0.49318349803921568</v>
      </c>
      <c r="Q938" s="954">
        <f t="shared" si="138"/>
        <v>4.8499349696887378E-2</v>
      </c>
    </row>
    <row r="939" spans="1:17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432">
        <f t="shared" si="132"/>
        <v>161.19999999999999</v>
      </c>
      <c r="G939" s="330">
        <v>3</v>
      </c>
      <c r="H939" s="330"/>
      <c r="I939" s="330"/>
      <c r="J939" s="40">
        <f t="shared" si="130"/>
        <v>3</v>
      </c>
      <c r="K939" s="221">
        <f t="shared" si="133"/>
        <v>1.8823529411764706E-3</v>
      </c>
      <c r="L939" s="316">
        <f t="shared" si="134"/>
        <v>4.2713035294117647</v>
      </c>
      <c r="M939" s="7">
        <f t="shared" si="135"/>
        <v>1.5705583077647061</v>
      </c>
      <c r="N939" s="37">
        <v>1.6424859462835726</v>
      </c>
      <c r="O939" s="947">
        <f>K939*1161.2</f>
        <v>2.1857882352941176</v>
      </c>
      <c r="P939" s="37">
        <f t="shared" si="136"/>
        <v>2.6644758588235296</v>
      </c>
      <c r="Q939" s="954">
        <f t="shared" si="138"/>
        <v>5.9988436840906705E-2</v>
      </c>
    </row>
    <row r="940" spans="1:17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432">
        <f t="shared" si="132"/>
        <v>134.9</v>
      </c>
      <c r="G940" s="330">
        <v>4</v>
      </c>
      <c r="H940" s="330"/>
      <c r="I940" s="330"/>
      <c r="J940" s="40">
        <f t="shared" si="130"/>
        <v>4</v>
      </c>
      <c r="K940" s="221">
        <f t="shared" si="133"/>
        <v>2.5098039215686275E-3</v>
      </c>
      <c r="L940" s="316">
        <f t="shared" si="134"/>
        <v>5.6950713725490196</v>
      </c>
      <c r="M940" s="7">
        <f t="shared" si="135"/>
        <v>2.0940777436862748</v>
      </c>
      <c r="N940" s="37">
        <v>2.1899812617114303</v>
      </c>
      <c r="O940" s="947">
        <f>K940*1161.2</f>
        <v>2.9143843137254906</v>
      </c>
      <c r="P940" s="37">
        <f t="shared" si="136"/>
        <v>3.552634478431373</v>
      </c>
      <c r="Q940" s="954">
        <f t="shared" si="138"/>
        <v>9.5578314986450821E-2</v>
      </c>
    </row>
    <row r="941" spans="1:17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432">
        <f t="shared" si="132"/>
        <v>80.599999999999994</v>
      </c>
      <c r="G941" s="330">
        <v>2</v>
      </c>
      <c r="H941" s="330"/>
      <c r="I941" s="330"/>
      <c r="J941" s="40">
        <f t="shared" ref="J941:J999" si="139">G941+H941+I941</f>
        <v>2</v>
      </c>
      <c r="K941" s="221">
        <f t="shared" si="133"/>
        <v>1.2549019607843138E-3</v>
      </c>
      <c r="L941" s="316">
        <f t="shared" si="134"/>
        <v>2.8475356862745098</v>
      </c>
      <c r="M941" s="7">
        <f t="shared" si="135"/>
        <v>1.0470388718431374</v>
      </c>
      <c r="N941" s="37">
        <v>1.0949906308557151</v>
      </c>
      <c r="O941" s="947">
        <f>K941*1161.2</f>
        <v>1.4571921568627453</v>
      </c>
      <c r="P941" s="37">
        <f t="shared" si="136"/>
        <v>1.7763172392156865</v>
      </c>
      <c r="Q941" s="954">
        <f t="shared" si="138"/>
        <v>7.9984582454542291E-2</v>
      </c>
    </row>
    <row r="942" spans="1:17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432">
        <f t="shared" si="132"/>
        <v>249.4</v>
      </c>
      <c r="G942" s="330">
        <v>5</v>
      </c>
      <c r="H942" s="330"/>
      <c r="I942" s="330"/>
      <c r="J942" s="40">
        <f t="shared" si="139"/>
        <v>5</v>
      </c>
      <c r="K942" s="221">
        <f t="shared" si="133"/>
        <v>3.1372549019607846E-3</v>
      </c>
      <c r="L942" s="316">
        <f t="shared" si="134"/>
        <v>7.1188392156862754</v>
      </c>
      <c r="M942" s="7">
        <f t="shared" si="135"/>
        <v>2.6175971796078437</v>
      </c>
      <c r="N942" s="37">
        <v>2.7374765771392875</v>
      </c>
      <c r="O942" s="947">
        <f>K942*2161.2</f>
        <v>6.7802352941176469</v>
      </c>
      <c r="P942" s="37">
        <f t="shared" si="136"/>
        <v>8.2651068235294129</v>
      </c>
      <c r="Q942" s="954">
        <f t="shared" si="138"/>
        <v>7.7201877572377925E-2</v>
      </c>
    </row>
    <row r="943" spans="1:17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432">
        <f t="shared" ref="F943:F1001" si="140">C943+D943+E943</f>
        <v>110.5</v>
      </c>
      <c r="G943" s="330">
        <v>2</v>
      </c>
      <c r="H943" s="330"/>
      <c r="I943" s="330"/>
      <c r="J943" s="40">
        <f t="shared" si="139"/>
        <v>2</v>
      </c>
      <c r="K943" s="221">
        <f t="shared" si="133"/>
        <v>1.2549019607843138E-3</v>
      </c>
      <c r="L943" s="316">
        <f t="shared" si="134"/>
        <v>2.8475356862745098</v>
      </c>
      <c r="M943" s="7">
        <f t="shared" si="135"/>
        <v>1.0470388718431374</v>
      </c>
      <c r="N943" s="37">
        <v>1.0949906308557151</v>
      </c>
      <c r="O943" s="947">
        <f>K943*161.2</f>
        <v>0.20229019607843135</v>
      </c>
      <c r="P943" s="37">
        <f t="shared" si="136"/>
        <v>0.24659174901960784</v>
      </c>
      <c r="Q943" s="954">
        <f t="shared" si="138"/>
        <v>4.6985116606803559E-2</v>
      </c>
    </row>
    <row r="944" spans="1:17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432">
        <f t="shared" si="140"/>
        <v>168.5</v>
      </c>
      <c r="G944" s="330">
        <v>4</v>
      </c>
      <c r="H944" s="330"/>
      <c r="I944" s="330"/>
      <c r="J944" s="40">
        <f t="shared" si="139"/>
        <v>4</v>
      </c>
      <c r="K944" s="221">
        <f t="shared" si="133"/>
        <v>2.5098039215686275E-3</v>
      </c>
      <c r="L944" s="316">
        <f t="shared" si="134"/>
        <v>5.6950713725490196</v>
      </c>
      <c r="M944" s="7">
        <f t="shared" si="135"/>
        <v>2.0940777436862748</v>
      </c>
      <c r="N944" s="37">
        <v>2.1899812617114303</v>
      </c>
      <c r="O944" s="947">
        <f>K944*1161.2</f>
        <v>2.9143843137254906</v>
      </c>
      <c r="P944" s="37">
        <f t="shared" si="136"/>
        <v>3.552634478431373</v>
      </c>
      <c r="Q944" s="954">
        <f t="shared" si="138"/>
        <v>7.651937502476093E-2</v>
      </c>
    </row>
    <row r="945" spans="1:17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432">
        <f t="shared" si="140"/>
        <v>130</v>
      </c>
      <c r="G945" s="330">
        <v>4</v>
      </c>
      <c r="H945" s="330"/>
      <c r="I945" s="330"/>
      <c r="J945" s="40">
        <f t="shared" si="139"/>
        <v>4</v>
      </c>
      <c r="K945" s="221">
        <f t="shared" ref="K945:K1008" si="141">4/6375*J945</f>
        <v>2.5098039215686275E-3</v>
      </c>
      <c r="L945" s="316">
        <f t="shared" ref="L945:L1008" si="142">K945*2269.13</f>
        <v>5.6950713725490196</v>
      </c>
      <c r="M945" s="7">
        <f t="shared" ref="M945:M1003" si="143">L945*0.3677</f>
        <v>2.0940777436862748</v>
      </c>
      <c r="N945" s="37">
        <v>2.1899812617114303</v>
      </c>
      <c r="O945" s="947">
        <f>K945*1161.2</f>
        <v>2.9143843137254906</v>
      </c>
      <c r="P945" s="37">
        <f t="shared" si="136"/>
        <v>3.552634478431373</v>
      </c>
      <c r="Q945" s="954">
        <f t="shared" si="138"/>
        <v>9.9180882243632432E-2</v>
      </c>
    </row>
    <row r="946" spans="1:17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432">
        <f t="shared" si="140"/>
        <v>175.8</v>
      </c>
      <c r="G946" s="330">
        <v>4</v>
      </c>
      <c r="H946" s="330"/>
      <c r="I946" s="330"/>
      <c r="J946" s="40">
        <f t="shared" si="139"/>
        <v>4</v>
      </c>
      <c r="K946" s="221">
        <f t="shared" si="141"/>
        <v>2.5098039215686275E-3</v>
      </c>
      <c r="L946" s="316">
        <f t="shared" si="142"/>
        <v>5.6950713725490196</v>
      </c>
      <c r="M946" s="7">
        <f t="shared" si="143"/>
        <v>2.0940777436862748</v>
      </c>
      <c r="N946" s="37">
        <v>2.1899812617114303</v>
      </c>
      <c r="O946" s="947">
        <f>K946*1161.2</f>
        <v>2.9143843137254906</v>
      </c>
      <c r="P946" s="37">
        <f t="shared" ref="P946:P1009" si="144">O946*1.219</f>
        <v>3.552634478431373</v>
      </c>
      <c r="Q946" s="954">
        <f t="shared" si="138"/>
        <v>7.3341949326918177E-2</v>
      </c>
    </row>
    <row r="947" spans="1:17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432">
        <f t="shared" si="140"/>
        <v>129.80000000000001</v>
      </c>
      <c r="G947" s="330">
        <v>4</v>
      </c>
      <c r="H947" s="330"/>
      <c r="I947" s="330"/>
      <c r="J947" s="40">
        <f t="shared" si="139"/>
        <v>4</v>
      </c>
      <c r="K947" s="221">
        <f t="shared" si="141"/>
        <v>2.5098039215686275E-3</v>
      </c>
      <c r="L947" s="316">
        <f t="shared" si="142"/>
        <v>5.6950713725490196</v>
      </c>
      <c r="M947" s="7">
        <f t="shared" si="143"/>
        <v>2.0940777436862748</v>
      </c>
      <c r="N947" s="37">
        <v>2.1899812617114303</v>
      </c>
      <c r="O947" s="947">
        <f>K947*1161.2</f>
        <v>2.9143843137254906</v>
      </c>
      <c r="P947" s="37">
        <f t="shared" si="144"/>
        <v>3.552634478431373</v>
      </c>
      <c r="Q947" s="954">
        <f t="shared" si="138"/>
        <v>9.9333703325671915E-2</v>
      </c>
    </row>
    <row r="948" spans="1:17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432">
        <f t="shared" si="140"/>
        <v>152.30000000000001</v>
      </c>
      <c r="G948" s="330">
        <v>2</v>
      </c>
      <c r="H948" s="330"/>
      <c r="I948" s="330"/>
      <c r="J948" s="40">
        <f t="shared" si="139"/>
        <v>2</v>
      </c>
      <c r="K948" s="221">
        <f t="shared" si="141"/>
        <v>1.2549019607843138E-3</v>
      </c>
      <c r="L948" s="316">
        <f t="shared" si="142"/>
        <v>2.8475356862745098</v>
      </c>
      <c r="M948" s="7">
        <f t="shared" si="143"/>
        <v>1.0470388718431374</v>
      </c>
      <c r="N948" s="37">
        <v>1.0949906308557151</v>
      </c>
      <c r="O948" s="947">
        <f>K948*1161.2</f>
        <v>1.4571921568627453</v>
      </c>
      <c r="P948" s="37">
        <f t="shared" si="144"/>
        <v>1.7763172392156865</v>
      </c>
      <c r="Q948" s="954">
        <f t="shared" si="138"/>
        <v>4.2329332539961309E-2</v>
      </c>
    </row>
    <row r="949" spans="1:17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432">
        <f t="shared" si="140"/>
        <v>239.4</v>
      </c>
      <c r="G949" s="330">
        <v>5</v>
      </c>
      <c r="H949" s="330"/>
      <c r="I949" s="330"/>
      <c r="J949" s="40">
        <f t="shared" si="139"/>
        <v>5</v>
      </c>
      <c r="K949" s="221">
        <f t="shared" si="141"/>
        <v>3.1372549019607846E-3</v>
      </c>
      <c r="L949" s="316">
        <f t="shared" si="142"/>
        <v>7.1188392156862754</v>
      </c>
      <c r="M949" s="7">
        <f t="shared" si="143"/>
        <v>2.6175971796078437</v>
      </c>
      <c r="N949" s="37">
        <v>2.7374765771392875</v>
      </c>
      <c r="O949" s="947">
        <f>K949*2161.2</f>
        <v>6.7802352941176469</v>
      </c>
      <c r="P949" s="37">
        <f t="shared" si="144"/>
        <v>8.2651068235294129</v>
      </c>
      <c r="Q949" s="954">
        <f t="shared" si="138"/>
        <v>8.0426684488517364E-2</v>
      </c>
    </row>
    <row r="950" spans="1:17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432">
        <f t="shared" si="140"/>
        <v>84.2</v>
      </c>
      <c r="G950" s="330">
        <v>2</v>
      </c>
      <c r="H950" s="330"/>
      <c r="I950" s="330"/>
      <c r="J950" s="40">
        <f t="shared" si="139"/>
        <v>2</v>
      </c>
      <c r="K950" s="221">
        <f t="shared" si="141"/>
        <v>1.2549019607843138E-3</v>
      </c>
      <c r="L950" s="316">
        <f t="shared" si="142"/>
        <v>2.8475356862745098</v>
      </c>
      <c r="M950" s="7">
        <f t="shared" si="143"/>
        <v>1.0470388718431374</v>
      </c>
      <c r="N950" s="37">
        <v>1.0949906308557151</v>
      </c>
      <c r="O950" s="947">
        <f>K950*1761.2</f>
        <v>2.2101333333333333</v>
      </c>
      <c r="P950" s="37">
        <f t="shared" si="144"/>
        <v>2.6941525333333334</v>
      </c>
      <c r="Q950" s="954">
        <f t="shared" si="138"/>
        <v>8.5507108340934626E-2</v>
      </c>
    </row>
    <row r="951" spans="1:17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432">
        <f t="shared" si="140"/>
        <v>193.9</v>
      </c>
      <c r="G951" s="330">
        <v>4</v>
      </c>
      <c r="H951" s="330"/>
      <c r="I951" s="330"/>
      <c r="J951" s="40">
        <f t="shared" si="139"/>
        <v>4</v>
      </c>
      <c r="K951" s="221">
        <f t="shared" si="141"/>
        <v>2.5098039215686275E-3</v>
      </c>
      <c r="L951" s="316">
        <f t="shared" si="142"/>
        <v>5.6950713725490196</v>
      </c>
      <c r="M951" s="7">
        <f t="shared" si="143"/>
        <v>2.0940777436862748</v>
      </c>
      <c r="N951" s="37">
        <v>2.1899812617114303</v>
      </c>
      <c r="O951" s="947">
        <f>K951*1761.2</f>
        <v>4.4202666666666666</v>
      </c>
      <c r="P951" s="37">
        <f t="shared" si="144"/>
        <v>5.3883050666666668</v>
      </c>
      <c r="Q951" s="954">
        <f t="shared" si="138"/>
        <v>7.4261975475056169E-2</v>
      </c>
    </row>
    <row r="952" spans="1:17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432">
        <f t="shared" si="140"/>
        <v>252.4</v>
      </c>
      <c r="G952" s="330">
        <v>7</v>
      </c>
      <c r="H952" s="330"/>
      <c r="I952" s="330"/>
      <c r="J952" s="40">
        <f t="shared" si="139"/>
        <v>7</v>
      </c>
      <c r="K952" s="221">
        <f t="shared" si="141"/>
        <v>4.3921568627450979E-3</v>
      </c>
      <c r="L952" s="316">
        <f t="shared" si="142"/>
        <v>9.9663749019607852</v>
      </c>
      <c r="M952" s="7">
        <f t="shared" si="143"/>
        <v>3.664636051450981</v>
      </c>
      <c r="N952" s="37">
        <v>3.8324672079950028</v>
      </c>
      <c r="O952" s="947">
        <f>K952*161.2</f>
        <v>0.70801568627450973</v>
      </c>
      <c r="P952" s="37">
        <f t="shared" si="144"/>
        <v>0.86307112156862742</v>
      </c>
      <c r="Q952" s="954">
        <f t="shared" si="138"/>
        <v>7.1994825070052601E-2</v>
      </c>
    </row>
    <row r="953" spans="1:17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432">
        <f t="shared" si="140"/>
        <v>79</v>
      </c>
      <c r="G953" s="330">
        <v>1</v>
      </c>
      <c r="H953" s="330"/>
      <c r="I953" s="330"/>
      <c r="J953" s="40">
        <f t="shared" si="139"/>
        <v>1</v>
      </c>
      <c r="K953" s="221">
        <f t="shared" si="141"/>
        <v>6.2745098039215688E-4</v>
      </c>
      <c r="L953" s="316">
        <f t="shared" si="142"/>
        <v>1.4237678431372549</v>
      </c>
      <c r="M953" s="7">
        <f t="shared" si="143"/>
        <v>0.52351943592156869</v>
      </c>
      <c r="N953" s="37">
        <v>0.54749531542785757</v>
      </c>
      <c r="O953" s="947">
        <f t="shared" ref="O953:O959" si="145">K953*1161.2</f>
        <v>0.72859607843137264</v>
      </c>
      <c r="P953" s="37">
        <f t="shared" si="144"/>
        <v>0.88815861960784326</v>
      </c>
      <c r="Q953" s="954">
        <f t="shared" si="138"/>
        <v>4.0802261682507016E-2</v>
      </c>
    </row>
    <row r="954" spans="1:17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432">
        <f t="shared" si="140"/>
        <v>549.69000000000005</v>
      </c>
      <c r="G954" s="330">
        <v>12</v>
      </c>
      <c r="H954" s="330"/>
      <c r="I954" s="330"/>
      <c r="J954" s="40">
        <f t="shared" si="139"/>
        <v>12</v>
      </c>
      <c r="K954" s="221">
        <f t="shared" si="141"/>
        <v>7.5294117647058826E-3</v>
      </c>
      <c r="L954" s="316">
        <f t="shared" si="142"/>
        <v>17.085214117647059</v>
      </c>
      <c r="M954" s="7">
        <f t="shared" si="143"/>
        <v>6.2822332310588243</v>
      </c>
      <c r="N954" s="37">
        <v>6.5699437851342903</v>
      </c>
      <c r="O954" s="947">
        <f t="shared" si="145"/>
        <v>8.7431529411764703</v>
      </c>
      <c r="P954" s="37">
        <f t="shared" si="144"/>
        <v>10.657903435294118</v>
      </c>
      <c r="Q954" s="954">
        <f t="shared" si="138"/>
        <v>7.0367923875305424E-2</v>
      </c>
    </row>
    <row r="955" spans="1:17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432">
        <f t="shared" si="140"/>
        <v>192.1</v>
      </c>
      <c r="G955" s="330">
        <v>4</v>
      </c>
      <c r="H955" s="330"/>
      <c r="I955" s="330"/>
      <c r="J955" s="40">
        <f t="shared" si="139"/>
        <v>4</v>
      </c>
      <c r="K955" s="221">
        <f t="shared" si="141"/>
        <v>2.5098039215686275E-3</v>
      </c>
      <c r="L955" s="316">
        <f t="shared" si="142"/>
        <v>5.6950713725490196</v>
      </c>
      <c r="M955" s="7">
        <f t="shared" si="143"/>
        <v>2.0940777436862748</v>
      </c>
      <c r="N955" s="37">
        <v>2.1899812617114303</v>
      </c>
      <c r="O955" s="947">
        <f t="shared" si="145"/>
        <v>2.9143843137254906</v>
      </c>
      <c r="P955" s="37">
        <f t="shared" si="144"/>
        <v>3.552634478431373</v>
      </c>
      <c r="Q955" s="954">
        <f t="shared" si="138"/>
        <v>6.7118764662531055E-2</v>
      </c>
    </row>
    <row r="956" spans="1:17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432">
        <f t="shared" si="140"/>
        <v>166.8</v>
      </c>
      <c r="G956" s="330">
        <v>4</v>
      </c>
      <c r="H956" s="330"/>
      <c r="I956" s="330"/>
      <c r="J956" s="40">
        <f t="shared" si="139"/>
        <v>4</v>
      </c>
      <c r="K956" s="221">
        <f t="shared" si="141"/>
        <v>2.5098039215686275E-3</v>
      </c>
      <c r="L956" s="316">
        <f t="shared" si="142"/>
        <v>5.6950713725490196</v>
      </c>
      <c r="M956" s="7">
        <f t="shared" si="143"/>
        <v>2.0940777436862748</v>
      </c>
      <c r="N956" s="37">
        <v>2.1899812617114303</v>
      </c>
      <c r="O956" s="947">
        <f t="shared" si="145"/>
        <v>2.9143843137254906</v>
      </c>
      <c r="P956" s="37">
        <f t="shared" si="144"/>
        <v>3.552634478431373</v>
      </c>
      <c r="Q956" s="954">
        <f t="shared" si="138"/>
        <v>7.7299248751032459E-2</v>
      </c>
    </row>
    <row r="957" spans="1:17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432">
        <f t="shared" si="140"/>
        <v>119.9</v>
      </c>
      <c r="G957" s="330">
        <v>3</v>
      </c>
      <c r="H957" s="330"/>
      <c r="I957" s="330"/>
      <c r="J957" s="40">
        <f t="shared" si="139"/>
        <v>3</v>
      </c>
      <c r="K957" s="221">
        <f t="shared" si="141"/>
        <v>1.8823529411764706E-3</v>
      </c>
      <c r="L957" s="316">
        <f t="shared" si="142"/>
        <v>4.2713035294117647</v>
      </c>
      <c r="M957" s="7">
        <f t="shared" si="143"/>
        <v>1.5705583077647061</v>
      </c>
      <c r="N957" s="37">
        <v>1.6424859462835726</v>
      </c>
      <c r="O957" s="947">
        <f t="shared" si="145"/>
        <v>2.1857882352941176</v>
      </c>
      <c r="P957" s="37">
        <f t="shared" si="144"/>
        <v>2.6644758588235296</v>
      </c>
      <c r="Q957" s="954">
        <f t="shared" si="138"/>
        <v>8.0651676553412516E-2</v>
      </c>
    </row>
    <row r="958" spans="1:17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432">
        <f t="shared" si="140"/>
        <v>188.7</v>
      </c>
      <c r="G958" s="330">
        <v>4</v>
      </c>
      <c r="H958" s="330"/>
      <c r="I958" s="330"/>
      <c r="J958" s="40">
        <f t="shared" si="139"/>
        <v>4</v>
      </c>
      <c r="K958" s="221">
        <f t="shared" si="141"/>
        <v>2.5098039215686275E-3</v>
      </c>
      <c r="L958" s="316">
        <f t="shared" si="142"/>
        <v>5.6950713725490196</v>
      </c>
      <c r="M958" s="7">
        <f t="shared" si="143"/>
        <v>2.0940777436862748</v>
      </c>
      <c r="N958" s="37">
        <v>2.1899812617114303</v>
      </c>
      <c r="O958" s="947">
        <f t="shared" si="145"/>
        <v>2.9143843137254906</v>
      </c>
      <c r="P958" s="37">
        <f t="shared" si="144"/>
        <v>3.552634478431373</v>
      </c>
      <c r="Q958" s="954">
        <f t="shared" si="138"/>
        <v>6.8328111773567651E-2</v>
      </c>
    </row>
    <row r="959" spans="1:17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432">
        <f t="shared" si="140"/>
        <v>4734.5</v>
      </c>
      <c r="G959" s="330">
        <v>80</v>
      </c>
      <c r="H959" s="330"/>
      <c r="I959" s="330"/>
      <c r="J959" s="40">
        <f t="shared" si="139"/>
        <v>80</v>
      </c>
      <c r="K959" s="221">
        <f t="shared" si="141"/>
        <v>5.0196078431372554E-2</v>
      </c>
      <c r="L959" s="316">
        <f t="shared" si="142"/>
        <v>113.90142745098041</v>
      </c>
      <c r="M959" s="7">
        <f t="shared" si="143"/>
        <v>41.881554873725499</v>
      </c>
      <c r="N959" s="37">
        <v>43.7996252342286</v>
      </c>
      <c r="O959" s="947">
        <f t="shared" si="145"/>
        <v>58.287686274509809</v>
      </c>
      <c r="P959" s="37">
        <f t="shared" si="144"/>
        <v>71.052689568627457</v>
      </c>
      <c r="Q959" s="954">
        <f t="shared" si="138"/>
        <v>5.4466214771030586E-2</v>
      </c>
    </row>
    <row r="960" spans="1:17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432">
        <f t="shared" si="140"/>
        <v>66.3</v>
      </c>
      <c r="G960" s="330">
        <v>3</v>
      </c>
      <c r="H960" s="330"/>
      <c r="I960" s="330"/>
      <c r="J960" s="40">
        <f t="shared" si="139"/>
        <v>3</v>
      </c>
      <c r="K960" s="221">
        <f t="shared" si="141"/>
        <v>1.8823529411764706E-3</v>
      </c>
      <c r="L960" s="316">
        <f t="shared" si="142"/>
        <v>4.2713035294117647</v>
      </c>
      <c r="M960" s="7">
        <f t="shared" si="143"/>
        <v>1.5705583077647061</v>
      </c>
      <c r="N960" s="37">
        <v>1.6424859462835726</v>
      </c>
      <c r="O960" s="947">
        <f t="shared" ref="O960:O1019" si="146">K960*161.2</f>
        <v>0.30343529411764703</v>
      </c>
      <c r="P960" s="37">
        <f t="shared" si="144"/>
        <v>0.36988762352941174</v>
      </c>
      <c r="Q960" s="954">
        <f t="shared" si="138"/>
        <v>0.1174627915170089</v>
      </c>
    </row>
    <row r="961" spans="1:17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432">
        <f t="shared" si="140"/>
        <v>19.8</v>
      </c>
      <c r="G961" s="330">
        <v>1</v>
      </c>
      <c r="H961" s="330"/>
      <c r="I961" s="330"/>
      <c r="J961" s="40">
        <f t="shared" si="139"/>
        <v>1</v>
      </c>
      <c r="K961" s="221">
        <f t="shared" si="141"/>
        <v>6.2745098039215688E-4</v>
      </c>
      <c r="L961" s="316">
        <f t="shared" si="142"/>
        <v>1.4237678431372549</v>
      </c>
      <c r="M961" s="7">
        <f t="shared" si="143"/>
        <v>0.52351943592156869</v>
      </c>
      <c r="N961" s="37">
        <v>0.54749531542785757</v>
      </c>
      <c r="O961" s="947">
        <f t="shared" si="146"/>
        <v>0.10114509803921568</v>
      </c>
      <c r="P961" s="37">
        <f t="shared" si="144"/>
        <v>0.12329587450980392</v>
      </c>
      <c r="Q961" s="954">
        <f t="shared" si="138"/>
        <v>0.13110745921847963</v>
      </c>
    </row>
    <row r="962" spans="1:17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432">
        <f t="shared" si="140"/>
        <v>61.2</v>
      </c>
      <c r="G962" s="330">
        <v>2</v>
      </c>
      <c r="H962" s="330"/>
      <c r="I962" s="330"/>
      <c r="J962" s="40">
        <f t="shared" si="139"/>
        <v>2</v>
      </c>
      <c r="K962" s="221">
        <f t="shared" si="141"/>
        <v>1.2549019607843138E-3</v>
      </c>
      <c r="L962" s="316">
        <f t="shared" si="142"/>
        <v>2.8475356862745098</v>
      </c>
      <c r="M962" s="7">
        <f t="shared" si="143"/>
        <v>1.0470388718431374</v>
      </c>
      <c r="N962" s="37">
        <v>1.0949906308557151</v>
      </c>
      <c r="O962" s="947">
        <f t="shared" si="146"/>
        <v>0.20229019607843135</v>
      </c>
      <c r="P962" s="37">
        <f t="shared" si="144"/>
        <v>0.24659174901960784</v>
      </c>
      <c r="Q962" s="954">
        <f t="shared" si="138"/>
        <v>8.4834238317839761E-2</v>
      </c>
    </row>
    <row r="963" spans="1:17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432">
        <f t="shared" si="140"/>
        <v>47.1</v>
      </c>
      <c r="G963" s="330">
        <v>1</v>
      </c>
      <c r="H963" s="330"/>
      <c r="I963" s="330"/>
      <c r="J963" s="40">
        <f t="shared" si="139"/>
        <v>1</v>
      </c>
      <c r="K963" s="221">
        <f t="shared" si="141"/>
        <v>6.2745098039215688E-4</v>
      </c>
      <c r="L963" s="316">
        <f t="shared" si="142"/>
        <v>1.4237678431372549</v>
      </c>
      <c r="M963" s="7">
        <f t="shared" si="143"/>
        <v>0.52351943592156869</v>
      </c>
      <c r="N963" s="37">
        <v>0.54749531542785757</v>
      </c>
      <c r="O963" s="947">
        <f t="shared" si="146"/>
        <v>0.10114509803921568</v>
      </c>
      <c r="P963" s="37">
        <f t="shared" si="144"/>
        <v>0.12329587450980392</v>
      </c>
      <c r="Q963" s="954">
        <f t="shared" si="138"/>
        <v>5.511523763324621E-2</v>
      </c>
    </row>
    <row r="964" spans="1:17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432">
        <f t="shared" si="140"/>
        <v>282.8</v>
      </c>
      <c r="G964" s="330">
        <v>9</v>
      </c>
      <c r="H964" s="330"/>
      <c r="I964" s="330"/>
      <c r="J964" s="40">
        <f t="shared" si="139"/>
        <v>9</v>
      </c>
      <c r="K964" s="221">
        <f t="shared" si="141"/>
        <v>5.6470588235294121E-3</v>
      </c>
      <c r="L964" s="316">
        <f t="shared" si="142"/>
        <v>12.813910588235295</v>
      </c>
      <c r="M964" s="7">
        <f t="shared" si="143"/>
        <v>4.711674923294118</v>
      </c>
      <c r="N964" s="37">
        <v>4.9274578388507182</v>
      </c>
      <c r="O964" s="947">
        <f>K964*2561.2</f>
        <v>14.46324705882353</v>
      </c>
      <c r="P964" s="37">
        <f t="shared" si="144"/>
        <v>17.630698164705883</v>
      </c>
      <c r="Q964" s="954">
        <f t="shared" si="138"/>
        <v>0.13053850922632129</v>
      </c>
    </row>
    <row r="965" spans="1:17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432">
        <f t="shared" si="140"/>
        <v>46.6</v>
      </c>
      <c r="G965" s="330">
        <v>1</v>
      </c>
      <c r="H965" s="330"/>
      <c r="I965" s="330"/>
      <c r="J965" s="40">
        <f t="shared" si="139"/>
        <v>1</v>
      </c>
      <c r="K965" s="221">
        <f t="shared" si="141"/>
        <v>6.2745098039215688E-4</v>
      </c>
      <c r="L965" s="316">
        <f t="shared" si="142"/>
        <v>1.4237678431372549</v>
      </c>
      <c r="M965" s="7">
        <f t="shared" si="143"/>
        <v>0.52351943592156869</v>
      </c>
      <c r="N965" s="37">
        <v>0.54749531542785757</v>
      </c>
      <c r="O965" s="947">
        <f t="shared" si="146"/>
        <v>0.10114509803921568</v>
      </c>
      <c r="P965" s="37">
        <f t="shared" si="144"/>
        <v>0.12329587450980392</v>
      </c>
      <c r="Q965" s="954">
        <f t="shared" si="138"/>
        <v>5.5706602843903365E-2</v>
      </c>
    </row>
    <row r="966" spans="1:17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432">
        <f t="shared" si="140"/>
        <v>3266.45</v>
      </c>
      <c r="G966" s="330">
        <v>60</v>
      </c>
      <c r="H966" s="330"/>
      <c r="I966" s="330"/>
      <c r="J966" s="40">
        <f t="shared" si="139"/>
        <v>60</v>
      </c>
      <c r="K966" s="221">
        <f t="shared" si="141"/>
        <v>3.7647058823529415E-2</v>
      </c>
      <c r="L966" s="316">
        <f t="shared" si="142"/>
        <v>85.426070588235305</v>
      </c>
      <c r="M966" s="7">
        <f t="shared" si="143"/>
        <v>31.411166155294126</v>
      </c>
      <c r="N966" s="37">
        <v>32.849718925671446</v>
      </c>
      <c r="O966" s="947">
        <f>K966*1161.2</f>
        <v>43.715764705882357</v>
      </c>
      <c r="P966" s="37">
        <f t="shared" si="144"/>
        <v>53.289517176470596</v>
      </c>
      <c r="Q966" s="954">
        <f t="shared" si="138"/>
        <v>5.9208841517575113E-2</v>
      </c>
    </row>
    <row r="967" spans="1:17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432">
        <f t="shared" si="140"/>
        <v>3257.47</v>
      </c>
      <c r="G967" s="330">
        <v>60</v>
      </c>
      <c r="H967" s="330"/>
      <c r="I967" s="330"/>
      <c r="J967" s="40">
        <f t="shared" si="139"/>
        <v>60</v>
      </c>
      <c r="K967" s="221">
        <f t="shared" si="141"/>
        <v>3.7647058823529415E-2</v>
      </c>
      <c r="L967" s="316">
        <f t="shared" si="142"/>
        <v>85.426070588235305</v>
      </c>
      <c r="M967" s="7">
        <f t="shared" si="143"/>
        <v>31.411166155294126</v>
      </c>
      <c r="N967" s="37">
        <v>32.849718925671446</v>
      </c>
      <c r="O967" s="947">
        <f t="shared" si="146"/>
        <v>6.0687058823529414</v>
      </c>
      <c r="P967" s="37">
        <f t="shared" si="144"/>
        <v>7.3977524705882365</v>
      </c>
      <c r="Q967" s="954">
        <f t="shared" ref="Q967:Q1030" si="147">(O967+N967+M967+L967)/F967</f>
        <v>4.781491818851865E-2</v>
      </c>
    </row>
    <row r="968" spans="1:17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432">
        <f t="shared" si="140"/>
        <v>24.3</v>
      </c>
      <c r="G968" s="330">
        <v>1</v>
      </c>
      <c r="H968" s="330"/>
      <c r="I968" s="330"/>
      <c r="J968" s="40">
        <f t="shared" si="139"/>
        <v>1</v>
      </c>
      <c r="K968" s="221">
        <f t="shared" si="141"/>
        <v>6.2745098039215688E-4</v>
      </c>
      <c r="L968" s="316">
        <f t="shared" si="142"/>
        <v>1.4237678431372549</v>
      </c>
      <c r="M968" s="7">
        <f t="shared" si="143"/>
        <v>0.52351943592156869</v>
      </c>
      <c r="N968" s="37">
        <v>0.54749531542785757</v>
      </c>
      <c r="O968" s="947">
        <f>K968*1161.2</f>
        <v>0.72859607843137264</v>
      </c>
      <c r="P968" s="37">
        <f t="shared" si="144"/>
        <v>0.88815861960784326</v>
      </c>
      <c r="Q968" s="954">
        <f t="shared" si="147"/>
        <v>0.13264932810362362</v>
      </c>
    </row>
    <row r="969" spans="1:17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432">
        <f t="shared" si="140"/>
        <v>4572.4000000000005</v>
      </c>
      <c r="G969" s="330">
        <v>134</v>
      </c>
      <c r="H969" s="330"/>
      <c r="I969" s="330">
        <v>2</v>
      </c>
      <c r="J969" s="40">
        <f t="shared" si="139"/>
        <v>136</v>
      </c>
      <c r="K969" s="221">
        <f t="shared" si="141"/>
        <v>8.533333333333333E-2</v>
      </c>
      <c r="L969" s="316">
        <f t="shared" si="142"/>
        <v>193.63242666666667</v>
      </c>
      <c r="M969" s="7">
        <f t="shared" si="143"/>
        <v>71.198643285333347</v>
      </c>
      <c r="N969" s="37">
        <v>74.45936289818863</v>
      </c>
      <c r="O969" s="947">
        <f>K969*3161.2</f>
        <v>269.7557333333333</v>
      </c>
      <c r="P969" s="37">
        <f t="shared" si="144"/>
        <v>328.83223893333331</v>
      </c>
      <c r="Q969" s="954">
        <f t="shared" si="147"/>
        <v>0.13320054373710127</v>
      </c>
    </row>
    <row r="970" spans="1:17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143">
        <f t="shared" si="140"/>
        <v>140.30000000000001</v>
      </c>
      <c r="G970" s="803">
        <v>1</v>
      </c>
      <c r="H970" s="803"/>
      <c r="I970" s="803"/>
      <c r="J970" s="40">
        <f t="shared" si="139"/>
        <v>1</v>
      </c>
      <c r="K970" s="221">
        <f t="shared" si="141"/>
        <v>6.2745098039215688E-4</v>
      </c>
      <c r="L970" s="316">
        <f t="shared" si="142"/>
        <v>1.4237678431372549</v>
      </c>
      <c r="M970" s="7">
        <f t="shared" si="143"/>
        <v>0.52351943592156869</v>
      </c>
      <c r="N970" s="37">
        <v>0.54749531542785757</v>
      </c>
      <c r="O970" s="947">
        <f>K970*161.2</f>
        <v>0.10114509803921568</v>
      </c>
      <c r="P970" s="37">
        <f t="shared" si="144"/>
        <v>0.12329587450980392</v>
      </c>
      <c r="Q970" s="954">
        <f t="shared" si="147"/>
        <v>1.8502692035109739E-2</v>
      </c>
    </row>
    <row r="971" spans="1:17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432">
        <f t="shared" si="140"/>
        <v>427.4</v>
      </c>
      <c r="G971" s="330">
        <v>9</v>
      </c>
      <c r="H971" s="330"/>
      <c r="I971" s="330"/>
      <c r="J971" s="40">
        <f t="shared" si="139"/>
        <v>9</v>
      </c>
      <c r="K971" s="221">
        <f t="shared" si="141"/>
        <v>5.6470588235294121E-3</v>
      </c>
      <c r="L971" s="316">
        <f t="shared" si="142"/>
        <v>12.813910588235295</v>
      </c>
      <c r="M971" s="7">
        <f t="shared" si="143"/>
        <v>4.711674923294118</v>
      </c>
      <c r="N971" s="37">
        <v>4.9274578388507182</v>
      </c>
      <c r="O971" s="947">
        <f>K971*161.2</f>
        <v>0.91030588235294119</v>
      </c>
      <c r="P971" s="37">
        <f t="shared" si="144"/>
        <v>1.1096628705882354</v>
      </c>
      <c r="Q971" s="954">
        <f t="shared" si="147"/>
        <v>5.4663896192637042E-2</v>
      </c>
    </row>
    <row r="972" spans="1:17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432">
        <f t="shared" si="140"/>
        <v>954</v>
      </c>
      <c r="G972" s="330">
        <v>18</v>
      </c>
      <c r="H972" s="330"/>
      <c r="I972" s="330"/>
      <c r="J972" s="40">
        <f t="shared" si="139"/>
        <v>18</v>
      </c>
      <c r="K972" s="221">
        <f t="shared" si="141"/>
        <v>1.1294117647058824E-2</v>
      </c>
      <c r="L972" s="316">
        <f t="shared" si="142"/>
        <v>25.62782117647059</v>
      </c>
      <c r="M972" s="7">
        <f t="shared" si="143"/>
        <v>9.4233498465882359</v>
      </c>
      <c r="N972" s="37">
        <v>9.8549156777014364</v>
      </c>
      <c r="O972" s="947">
        <f>K972*161.2</f>
        <v>1.8206117647058824</v>
      </c>
      <c r="P972" s="37">
        <f t="shared" si="144"/>
        <v>2.2193257411764709</v>
      </c>
      <c r="Q972" s="954">
        <f t="shared" si="147"/>
        <v>4.8979767783507488E-2</v>
      </c>
    </row>
    <row r="973" spans="1:17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432">
        <f t="shared" si="140"/>
        <v>202.5</v>
      </c>
      <c r="G973" s="330">
        <v>7</v>
      </c>
      <c r="H973" s="330"/>
      <c r="I973" s="330"/>
      <c r="J973" s="40">
        <f t="shared" si="139"/>
        <v>7</v>
      </c>
      <c r="K973" s="221">
        <f t="shared" si="141"/>
        <v>4.3921568627450979E-3</v>
      </c>
      <c r="L973" s="316">
        <f t="shared" si="142"/>
        <v>9.9663749019607852</v>
      </c>
      <c r="M973" s="7">
        <f t="shared" si="143"/>
        <v>3.664636051450981</v>
      </c>
      <c r="N973" s="37">
        <v>3.8324672079950028</v>
      </c>
      <c r="O973" s="947">
        <f>K973*161.2</f>
        <v>0.70801568627450973</v>
      </c>
      <c r="P973" s="37">
        <f t="shared" si="144"/>
        <v>0.86307112156862742</v>
      </c>
      <c r="Q973" s="954">
        <f t="shared" si="147"/>
        <v>8.9735772087314938E-2</v>
      </c>
    </row>
    <row r="974" spans="1:17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432">
        <f t="shared" si="140"/>
        <v>308.2</v>
      </c>
      <c r="G974" s="330">
        <v>8</v>
      </c>
      <c r="H974" s="330"/>
      <c r="I974" s="330"/>
      <c r="J974" s="40">
        <f t="shared" si="139"/>
        <v>8</v>
      </c>
      <c r="K974" s="221">
        <f t="shared" si="141"/>
        <v>5.019607843137255E-3</v>
      </c>
      <c r="L974" s="316">
        <f t="shared" si="142"/>
        <v>11.390142745098039</v>
      </c>
      <c r="M974" s="7">
        <f t="shared" si="143"/>
        <v>4.1881554873725495</v>
      </c>
      <c r="N974" s="37">
        <v>4.3799625234228605</v>
      </c>
      <c r="O974" s="947">
        <f>K974*161.2</f>
        <v>0.8091607843137254</v>
      </c>
      <c r="P974" s="37">
        <f t="shared" si="144"/>
        <v>0.98636699607843137</v>
      </c>
      <c r="Q974" s="954">
        <f t="shared" si="147"/>
        <v>6.7382938157713096E-2</v>
      </c>
    </row>
    <row r="975" spans="1:17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432">
        <f t="shared" si="140"/>
        <v>44.1</v>
      </c>
      <c r="G975" s="330">
        <v>2</v>
      </c>
      <c r="H975" s="330"/>
      <c r="I975" s="330"/>
      <c r="J975" s="40">
        <f t="shared" si="139"/>
        <v>2</v>
      </c>
      <c r="K975" s="221">
        <f t="shared" si="141"/>
        <v>1.2549019607843138E-3</v>
      </c>
      <c r="L975" s="316">
        <f t="shared" si="142"/>
        <v>2.8475356862745098</v>
      </c>
      <c r="M975" s="7">
        <f t="shared" si="143"/>
        <v>1.0470388718431374</v>
      </c>
      <c r="N975" s="37">
        <v>1.0949906308557151</v>
      </c>
      <c r="O975" s="947">
        <f>K975*2161.2</f>
        <v>2.7120941176470588</v>
      </c>
      <c r="P975" s="37">
        <f t="shared" si="144"/>
        <v>3.3060427294117649</v>
      </c>
      <c r="Q975" s="954">
        <f t="shared" si="147"/>
        <v>0.17464080060363765</v>
      </c>
    </row>
    <row r="976" spans="1:17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432">
        <f t="shared" si="140"/>
        <v>236.79</v>
      </c>
      <c r="G976" s="330">
        <v>5</v>
      </c>
      <c r="H976" s="330"/>
      <c r="I976" s="330"/>
      <c r="J976" s="40">
        <f t="shared" si="139"/>
        <v>5</v>
      </c>
      <c r="K976" s="221">
        <f t="shared" si="141"/>
        <v>3.1372549019607846E-3</v>
      </c>
      <c r="L976" s="316">
        <f t="shared" si="142"/>
        <v>7.1188392156862754</v>
      </c>
      <c r="M976" s="7">
        <f t="shared" si="143"/>
        <v>2.6175971796078437</v>
      </c>
      <c r="N976" s="37">
        <v>2.7374765771392875</v>
      </c>
      <c r="O976" s="947">
        <f>K976*161.2</f>
        <v>0.50572549019607849</v>
      </c>
      <c r="P976" s="37">
        <f t="shared" si="144"/>
        <v>0.61647937254901974</v>
      </c>
      <c r="Q976" s="954">
        <f t="shared" si="147"/>
        <v>5.4814977248319123E-2</v>
      </c>
    </row>
    <row r="977" spans="1:17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432">
        <f t="shared" si="140"/>
        <v>571.4</v>
      </c>
      <c r="G977" s="330">
        <v>16</v>
      </c>
      <c r="H977" s="330"/>
      <c r="I977" s="330"/>
      <c r="J977" s="40">
        <f t="shared" si="139"/>
        <v>16</v>
      </c>
      <c r="K977" s="221">
        <f t="shared" si="141"/>
        <v>1.003921568627451E-2</v>
      </c>
      <c r="L977" s="316">
        <f t="shared" si="142"/>
        <v>22.780285490196079</v>
      </c>
      <c r="M977" s="7">
        <f t="shared" si="143"/>
        <v>8.376310974745099</v>
      </c>
      <c r="N977" s="37">
        <v>8.759925046845721</v>
      </c>
      <c r="O977" s="947">
        <f>K977*161.2</f>
        <v>1.6183215686274508</v>
      </c>
      <c r="P977" s="37">
        <f t="shared" si="144"/>
        <v>1.9727339921568627</v>
      </c>
      <c r="Q977" s="954">
        <f t="shared" si="147"/>
        <v>7.2689609871218669E-2</v>
      </c>
    </row>
    <row r="978" spans="1:17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432">
        <f t="shared" si="140"/>
        <v>654.29999999999995</v>
      </c>
      <c r="G978" s="330">
        <v>13</v>
      </c>
      <c r="H978" s="330"/>
      <c r="I978" s="330"/>
      <c r="J978" s="40">
        <f t="shared" si="139"/>
        <v>13</v>
      </c>
      <c r="K978" s="221">
        <f t="shared" si="141"/>
        <v>8.1568627450980397E-3</v>
      </c>
      <c r="L978" s="316">
        <f t="shared" si="142"/>
        <v>18.508981960784315</v>
      </c>
      <c r="M978" s="7">
        <f t="shared" si="143"/>
        <v>6.8057526669803927</v>
      </c>
      <c r="N978" s="37">
        <v>7.1174391005621489</v>
      </c>
      <c r="O978" s="947">
        <f t="shared" si="146"/>
        <v>1.314886274509804</v>
      </c>
      <c r="P978" s="37">
        <f t="shared" si="144"/>
        <v>1.6028463686274512</v>
      </c>
      <c r="Q978" s="954">
        <f t="shared" si="147"/>
        <v>5.1577349843858575E-2</v>
      </c>
    </row>
    <row r="979" spans="1:17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432">
        <f t="shared" si="140"/>
        <v>559.79999999999995</v>
      </c>
      <c r="G979" s="330">
        <v>14</v>
      </c>
      <c r="H979" s="330"/>
      <c r="I979" s="330"/>
      <c r="J979" s="40">
        <f t="shared" si="139"/>
        <v>14</v>
      </c>
      <c r="K979" s="221">
        <f t="shared" si="141"/>
        <v>8.7843137254901959E-3</v>
      </c>
      <c r="L979" s="316">
        <f t="shared" si="142"/>
        <v>19.93274980392157</v>
      </c>
      <c r="M979" s="7">
        <f t="shared" si="143"/>
        <v>7.3292721029019621</v>
      </c>
      <c r="N979" s="37">
        <v>7.6649344159900057</v>
      </c>
      <c r="O979" s="947">
        <f t="shared" si="146"/>
        <v>1.4160313725490195</v>
      </c>
      <c r="P979" s="37">
        <f t="shared" si="144"/>
        <v>1.7261422431372548</v>
      </c>
      <c r="Q979" s="954">
        <f t="shared" si="147"/>
        <v>6.4921378519761624E-2</v>
      </c>
    </row>
    <row r="980" spans="1:17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432">
        <f t="shared" si="140"/>
        <v>681</v>
      </c>
      <c r="G980" s="330">
        <v>15</v>
      </c>
      <c r="H980" s="330"/>
      <c r="I980" s="330">
        <v>2</v>
      </c>
      <c r="J980" s="40">
        <f t="shared" si="139"/>
        <v>17</v>
      </c>
      <c r="K980" s="221">
        <f t="shared" si="141"/>
        <v>1.0666666666666666E-2</v>
      </c>
      <c r="L980" s="316">
        <f t="shared" si="142"/>
        <v>24.204053333333334</v>
      </c>
      <c r="M980" s="7">
        <f t="shared" si="143"/>
        <v>8.8998304106666684</v>
      </c>
      <c r="N980" s="37">
        <v>9.3074203622735787</v>
      </c>
      <c r="O980" s="947">
        <f t="shared" si="146"/>
        <v>1.7194666666666665</v>
      </c>
      <c r="P980" s="37">
        <f t="shared" si="144"/>
        <v>2.0960298666666666</v>
      </c>
      <c r="Q980" s="954">
        <f t="shared" si="147"/>
        <v>6.4802893939706674E-2</v>
      </c>
    </row>
    <row r="981" spans="1:17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432">
        <f t="shared" si="140"/>
        <v>373.3</v>
      </c>
      <c r="G981" s="330">
        <v>8</v>
      </c>
      <c r="H981" s="330"/>
      <c r="I981" s="330"/>
      <c r="J981" s="40">
        <f t="shared" si="139"/>
        <v>8</v>
      </c>
      <c r="K981" s="221">
        <f t="shared" si="141"/>
        <v>5.019607843137255E-3</v>
      </c>
      <c r="L981" s="316">
        <f t="shared" si="142"/>
        <v>11.390142745098039</v>
      </c>
      <c r="M981" s="7">
        <f t="shared" si="143"/>
        <v>4.1881554873725495</v>
      </c>
      <c r="N981" s="37">
        <v>4.3799625234228605</v>
      </c>
      <c r="O981" s="947">
        <f t="shared" si="146"/>
        <v>0.8091607843137254</v>
      </c>
      <c r="P981" s="37">
        <f t="shared" si="144"/>
        <v>0.98636699607843137</v>
      </c>
      <c r="Q981" s="954">
        <f t="shared" si="147"/>
        <v>5.5631989124583905E-2</v>
      </c>
    </row>
    <row r="982" spans="1:17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432">
        <f t="shared" si="140"/>
        <v>395.4</v>
      </c>
      <c r="G982" s="330">
        <v>11</v>
      </c>
      <c r="H982" s="330"/>
      <c r="I982" s="330"/>
      <c r="J982" s="40">
        <f t="shared" si="139"/>
        <v>11</v>
      </c>
      <c r="K982" s="221">
        <f t="shared" si="141"/>
        <v>6.9019607843137255E-3</v>
      </c>
      <c r="L982" s="316">
        <f t="shared" si="142"/>
        <v>15.661446274509805</v>
      </c>
      <c r="M982" s="7">
        <f t="shared" si="143"/>
        <v>5.7587137951372558</v>
      </c>
      <c r="N982" s="37">
        <v>6.0224484697064327</v>
      </c>
      <c r="O982" s="947">
        <f t="shared" si="146"/>
        <v>1.1125960784313724</v>
      </c>
      <c r="P982" s="37">
        <f t="shared" si="144"/>
        <v>1.3562546196078431</v>
      </c>
      <c r="Q982" s="954">
        <f t="shared" si="147"/>
        <v>7.2218524577098805E-2</v>
      </c>
    </row>
    <row r="983" spans="1:17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432">
        <f t="shared" si="140"/>
        <v>359.5</v>
      </c>
      <c r="G983" s="330">
        <v>12</v>
      </c>
      <c r="H983" s="330"/>
      <c r="I983" s="330"/>
      <c r="J983" s="40">
        <f t="shared" si="139"/>
        <v>12</v>
      </c>
      <c r="K983" s="221">
        <f t="shared" si="141"/>
        <v>7.5294117647058826E-3</v>
      </c>
      <c r="L983" s="316">
        <f t="shared" si="142"/>
        <v>17.085214117647059</v>
      </c>
      <c r="M983" s="7">
        <f t="shared" si="143"/>
        <v>6.2822332310588243</v>
      </c>
      <c r="N983" s="37">
        <v>6.5699437851342903</v>
      </c>
      <c r="O983" s="947">
        <f t="shared" si="146"/>
        <v>1.2137411764705881</v>
      </c>
      <c r="P983" s="37">
        <f t="shared" si="144"/>
        <v>1.4795504941176469</v>
      </c>
      <c r="Q983" s="954">
        <f t="shared" si="147"/>
        <v>8.6651272073187097E-2</v>
      </c>
    </row>
    <row r="984" spans="1:17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432">
        <f t="shared" si="140"/>
        <v>581.70000000000005</v>
      </c>
      <c r="G984" s="330">
        <v>13</v>
      </c>
      <c r="H984" s="330"/>
      <c r="I984" s="330">
        <v>3</v>
      </c>
      <c r="J984" s="40">
        <f t="shared" si="139"/>
        <v>16</v>
      </c>
      <c r="K984" s="221">
        <f t="shared" si="141"/>
        <v>1.003921568627451E-2</v>
      </c>
      <c r="L984" s="316">
        <f t="shared" si="142"/>
        <v>22.780285490196079</v>
      </c>
      <c r="M984" s="7">
        <f t="shared" si="143"/>
        <v>8.376310974745099</v>
      </c>
      <c r="N984" s="37">
        <v>8.759925046845721</v>
      </c>
      <c r="O984" s="947">
        <f t="shared" si="146"/>
        <v>1.6183215686274508</v>
      </c>
      <c r="P984" s="37">
        <f t="shared" si="144"/>
        <v>1.9727339921568627</v>
      </c>
      <c r="Q984" s="954">
        <f t="shared" si="147"/>
        <v>7.1402515180358159E-2</v>
      </c>
    </row>
    <row r="985" spans="1:17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432">
        <f t="shared" si="140"/>
        <v>397</v>
      </c>
      <c r="G985" s="330">
        <v>9</v>
      </c>
      <c r="H985" s="330"/>
      <c r="I985" s="330"/>
      <c r="J985" s="40">
        <f t="shared" si="139"/>
        <v>9</v>
      </c>
      <c r="K985" s="221">
        <f t="shared" si="141"/>
        <v>5.6470588235294121E-3</v>
      </c>
      <c r="L985" s="316">
        <f t="shared" si="142"/>
        <v>12.813910588235295</v>
      </c>
      <c r="M985" s="7">
        <f t="shared" si="143"/>
        <v>4.711674923294118</v>
      </c>
      <c r="N985" s="37">
        <v>4.9274578388507182</v>
      </c>
      <c r="O985" s="947">
        <f t="shared" si="146"/>
        <v>0.91030588235294119</v>
      </c>
      <c r="P985" s="37">
        <f t="shared" si="144"/>
        <v>1.1096628705882354</v>
      </c>
      <c r="Q985" s="954">
        <f t="shared" si="147"/>
        <v>5.8849746178168946E-2</v>
      </c>
    </row>
    <row r="986" spans="1:17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432">
        <f t="shared" si="140"/>
        <v>271.5</v>
      </c>
      <c r="G986" s="330">
        <v>5</v>
      </c>
      <c r="H986" s="330"/>
      <c r="I986" s="330"/>
      <c r="J986" s="40">
        <f t="shared" si="139"/>
        <v>5</v>
      </c>
      <c r="K986" s="221">
        <f t="shared" si="141"/>
        <v>3.1372549019607846E-3</v>
      </c>
      <c r="L986" s="316">
        <f t="shared" si="142"/>
        <v>7.1188392156862754</v>
      </c>
      <c r="M986" s="7">
        <f t="shared" si="143"/>
        <v>2.6175971796078437</v>
      </c>
      <c r="N986" s="37">
        <v>2.7374765771392875</v>
      </c>
      <c r="O986" s="947">
        <f t="shared" si="146"/>
        <v>0.50572549019607849</v>
      </c>
      <c r="P986" s="37">
        <f t="shared" si="144"/>
        <v>0.61647937254901974</v>
      </c>
      <c r="Q986" s="954">
        <f t="shared" si="147"/>
        <v>4.7807139825522961E-2</v>
      </c>
    </row>
    <row r="987" spans="1:17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432">
        <f t="shared" si="140"/>
        <v>258.60000000000002</v>
      </c>
      <c r="G987" s="330">
        <v>7</v>
      </c>
      <c r="H987" s="330"/>
      <c r="I987" s="330"/>
      <c r="J987" s="40">
        <f t="shared" si="139"/>
        <v>7</v>
      </c>
      <c r="K987" s="221">
        <f t="shared" si="141"/>
        <v>4.3921568627450979E-3</v>
      </c>
      <c r="L987" s="316">
        <f t="shared" si="142"/>
        <v>9.9663749019607852</v>
      </c>
      <c r="M987" s="7">
        <f t="shared" si="143"/>
        <v>3.664636051450981</v>
      </c>
      <c r="N987" s="37">
        <v>3.8324672079950028</v>
      </c>
      <c r="O987" s="947">
        <f t="shared" si="146"/>
        <v>0.70801568627450973</v>
      </c>
      <c r="P987" s="37">
        <f t="shared" si="144"/>
        <v>0.86307112156862742</v>
      </c>
      <c r="Q987" s="954">
        <f t="shared" si="147"/>
        <v>7.0268731042851029E-2</v>
      </c>
    </row>
    <row r="988" spans="1:17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432">
        <f t="shared" si="140"/>
        <v>737.4</v>
      </c>
      <c r="G988" s="330">
        <v>20</v>
      </c>
      <c r="H988" s="330"/>
      <c r="I988" s="330"/>
      <c r="J988" s="40">
        <f t="shared" si="139"/>
        <v>20</v>
      </c>
      <c r="K988" s="221">
        <f t="shared" si="141"/>
        <v>1.2549019607843138E-2</v>
      </c>
      <c r="L988" s="316">
        <f t="shared" si="142"/>
        <v>28.475356862745102</v>
      </c>
      <c r="M988" s="7">
        <f t="shared" si="143"/>
        <v>10.470388718431375</v>
      </c>
      <c r="N988" s="37">
        <v>10.94990630855715</v>
      </c>
      <c r="O988" s="947">
        <f t="shared" si="146"/>
        <v>2.0229019607843139</v>
      </c>
      <c r="P988" s="37">
        <f t="shared" si="144"/>
        <v>2.465917490196079</v>
      </c>
      <c r="Q988" s="954">
        <f t="shared" si="147"/>
        <v>7.0407585910656281E-2</v>
      </c>
    </row>
    <row r="989" spans="1:17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432">
        <f t="shared" si="140"/>
        <v>473.4</v>
      </c>
      <c r="G989" s="330">
        <v>9</v>
      </c>
      <c r="H989" s="330"/>
      <c r="I989" s="330"/>
      <c r="J989" s="40">
        <f t="shared" si="139"/>
        <v>9</v>
      </c>
      <c r="K989" s="221">
        <f t="shared" si="141"/>
        <v>5.6470588235294121E-3</v>
      </c>
      <c r="L989" s="316">
        <f t="shared" si="142"/>
        <v>12.813910588235295</v>
      </c>
      <c r="M989" s="7">
        <f t="shared" si="143"/>
        <v>4.711674923294118</v>
      </c>
      <c r="N989" s="37">
        <v>4.9274578388507182</v>
      </c>
      <c r="O989" s="947">
        <f t="shared" si="146"/>
        <v>0.91030588235294119</v>
      </c>
      <c r="P989" s="37">
        <f t="shared" si="144"/>
        <v>1.1096628705882354</v>
      </c>
      <c r="Q989" s="954">
        <f t="shared" si="147"/>
        <v>4.9352237500492335E-2</v>
      </c>
    </row>
    <row r="990" spans="1:17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432">
        <f t="shared" si="140"/>
        <v>320.60000000000002</v>
      </c>
      <c r="G990" s="330">
        <v>8</v>
      </c>
      <c r="H990" s="330"/>
      <c r="I990" s="330"/>
      <c r="J990" s="40">
        <f t="shared" si="139"/>
        <v>8</v>
      </c>
      <c r="K990" s="221">
        <f t="shared" si="141"/>
        <v>5.019607843137255E-3</v>
      </c>
      <c r="L990" s="316">
        <f t="shared" si="142"/>
        <v>11.390142745098039</v>
      </c>
      <c r="M990" s="7">
        <f t="shared" si="143"/>
        <v>4.1881554873725495</v>
      </c>
      <c r="N990" s="37">
        <v>4.3799625234228605</v>
      </c>
      <c r="O990" s="947">
        <f t="shared" si="146"/>
        <v>0.8091607843137254</v>
      </c>
      <c r="P990" s="37">
        <f t="shared" si="144"/>
        <v>0.98636699607843137</v>
      </c>
      <c r="Q990" s="954">
        <f t="shared" si="147"/>
        <v>6.4776735933272531E-2</v>
      </c>
    </row>
    <row r="991" spans="1:17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432">
        <f t="shared" si="140"/>
        <v>963.8</v>
      </c>
      <c r="G991" s="330">
        <v>22</v>
      </c>
      <c r="H991" s="330"/>
      <c r="I991" s="330"/>
      <c r="J991" s="40">
        <f t="shared" si="139"/>
        <v>22</v>
      </c>
      <c r="K991" s="221">
        <f t="shared" si="141"/>
        <v>1.3803921568627451E-2</v>
      </c>
      <c r="L991" s="316">
        <f t="shared" si="142"/>
        <v>31.32289254901961</v>
      </c>
      <c r="M991" s="7">
        <f t="shared" si="143"/>
        <v>11.517427590274512</v>
      </c>
      <c r="N991" s="37">
        <v>12.044896939412865</v>
      </c>
      <c r="O991" s="947">
        <f t="shared" si="146"/>
        <v>2.2251921568627449</v>
      </c>
      <c r="P991" s="37">
        <f t="shared" si="144"/>
        <v>2.7125092392156862</v>
      </c>
      <c r="Q991" s="954">
        <f t="shared" si="147"/>
        <v>5.9255456770667916E-2</v>
      </c>
    </row>
    <row r="992" spans="1:17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432">
        <f t="shared" si="140"/>
        <v>143.69999999999999</v>
      </c>
      <c r="G992" s="330">
        <v>3</v>
      </c>
      <c r="H992" s="330"/>
      <c r="I992" s="330"/>
      <c r="J992" s="40">
        <f t="shared" si="139"/>
        <v>3</v>
      </c>
      <c r="K992" s="221">
        <f t="shared" si="141"/>
        <v>1.8823529411764706E-3</v>
      </c>
      <c r="L992" s="316">
        <f t="shared" si="142"/>
        <v>4.2713035294117647</v>
      </c>
      <c r="M992" s="7">
        <f t="shared" si="143"/>
        <v>1.5705583077647061</v>
      </c>
      <c r="N992" s="37">
        <v>1.6424859462835726</v>
      </c>
      <c r="O992" s="947">
        <f t="shared" si="146"/>
        <v>0.30343529411764703</v>
      </c>
      <c r="P992" s="37">
        <f t="shared" si="144"/>
        <v>0.36988762352941174</v>
      </c>
      <c r="Q992" s="954">
        <f t="shared" si="147"/>
        <v>5.41947326205824E-2</v>
      </c>
    </row>
    <row r="993" spans="1:17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432">
        <f t="shared" si="140"/>
        <v>136.80000000000001</v>
      </c>
      <c r="G993" s="330">
        <v>3</v>
      </c>
      <c r="H993" s="330"/>
      <c r="I993" s="330"/>
      <c r="J993" s="40">
        <f t="shared" si="139"/>
        <v>3</v>
      </c>
      <c r="K993" s="221">
        <f t="shared" si="141"/>
        <v>1.8823529411764706E-3</v>
      </c>
      <c r="L993" s="316">
        <f t="shared" si="142"/>
        <v>4.2713035294117647</v>
      </c>
      <c r="M993" s="7">
        <f t="shared" si="143"/>
        <v>1.5705583077647061</v>
      </c>
      <c r="N993" s="37">
        <v>1.6424859462835726</v>
      </c>
      <c r="O993" s="947">
        <f t="shared" si="146"/>
        <v>0.30343529411764703</v>
      </c>
      <c r="P993" s="37">
        <f t="shared" si="144"/>
        <v>0.36988762352941174</v>
      </c>
      <c r="Q993" s="954">
        <f t="shared" si="147"/>
        <v>5.6928238871181938E-2</v>
      </c>
    </row>
    <row r="994" spans="1:17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432">
        <f t="shared" si="140"/>
        <v>128.1</v>
      </c>
      <c r="G994" s="330">
        <v>3</v>
      </c>
      <c r="H994" s="330"/>
      <c r="I994" s="330"/>
      <c r="J994" s="40">
        <f t="shared" si="139"/>
        <v>3</v>
      </c>
      <c r="K994" s="221">
        <f t="shared" si="141"/>
        <v>1.8823529411764706E-3</v>
      </c>
      <c r="L994" s="316">
        <f t="shared" si="142"/>
        <v>4.2713035294117647</v>
      </c>
      <c r="M994" s="7">
        <f t="shared" si="143"/>
        <v>1.5705583077647061</v>
      </c>
      <c r="N994" s="37">
        <v>1.6424859462835726</v>
      </c>
      <c r="O994" s="947">
        <f t="shared" si="146"/>
        <v>0.30343529411764703</v>
      </c>
      <c r="P994" s="37">
        <f t="shared" si="144"/>
        <v>0.36988762352941174</v>
      </c>
      <c r="Q994" s="954">
        <f t="shared" si="147"/>
        <v>6.0794559543932009E-2</v>
      </c>
    </row>
    <row r="995" spans="1:17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432">
        <f t="shared" si="140"/>
        <v>72.5</v>
      </c>
      <c r="G995" s="330">
        <v>2</v>
      </c>
      <c r="H995" s="330"/>
      <c r="I995" s="330"/>
      <c r="J995" s="40">
        <f t="shared" si="139"/>
        <v>2</v>
      </c>
      <c r="K995" s="221">
        <f t="shared" si="141"/>
        <v>1.2549019607843138E-3</v>
      </c>
      <c r="L995" s="316">
        <f t="shared" si="142"/>
        <v>2.8475356862745098</v>
      </c>
      <c r="M995" s="7">
        <f t="shared" si="143"/>
        <v>1.0470388718431374</v>
      </c>
      <c r="N995" s="37">
        <v>1.0949906308557151</v>
      </c>
      <c r="O995" s="947">
        <f>K995*1161.2</f>
        <v>1.4571921568627453</v>
      </c>
      <c r="P995" s="37">
        <f t="shared" si="144"/>
        <v>1.7763172392156865</v>
      </c>
      <c r="Q995" s="954">
        <f t="shared" si="147"/>
        <v>8.892079097704976E-2</v>
      </c>
    </row>
    <row r="996" spans="1:17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432">
        <f t="shared" si="140"/>
        <v>237.6</v>
      </c>
      <c r="G996" s="330">
        <v>6</v>
      </c>
      <c r="H996" s="330"/>
      <c r="I996" s="330"/>
      <c r="J996" s="40">
        <f t="shared" si="139"/>
        <v>6</v>
      </c>
      <c r="K996" s="221">
        <f t="shared" si="141"/>
        <v>3.7647058823529413E-3</v>
      </c>
      <c r="L996" s="316">
        <f t="shared" si="142"/>
        <v>8.5426070588235294</v>
      </c>
      <c r="M996" s="7">
        <f t="shared" si="143"/>
        <v>3.1411166155294121</v>
      </c>
      <c r="N996" s="37">
        <v>3.2849718925671452</v>
      </c>
      <c r="O996" s="947">
        <f t="shared" si="146"/>
        <v>0.60687058823529405</v>
      </c>
      <c r="P996" s="37">
        <f t="shared" si="144"/>
        <v>0.73977524705882347</v>
      </c>
      <c r="Q996" s="954">
        <f t="shared" si="147"/>
        <v>6.5553729609239816E-2</v>
      </c>
    </row>
    <row r="997" spans="1:17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432">
        <f t="shared" si="140"/>
        <v>106.4</v>
      </c>
      <c r="G997" s="330">
        <v>2</v>
      </c>
      <c r="H997" s="330"/>
      <c r="I997" s="330"/>
      <c r="J997" s="40">
        <f t="shared" si="139"/>
        <v>2</v>
      </c>
      <c r="K997" s="221">
        <f t="shared" si="141"/>
        <v>1.2549019607843138E-3</v>
      </c>
      <c r="L997" s="316">
        <f t="shared" si="142"/>
        <v>2.8475356862745098</v>
      </c>
      <c r="M997" s="7">
        <f t="shared" si="143"/>
        <v>1.0470388718431374</v>
      </c>
      <c r="N997" s="37">
        <v>1.0949906308557151</v>
      </c>
      <c r="O997" s="947">
        <f t="shared" si="146"/>
        <v>0.20229019607843135</v>
      </c>
      <c r="P997" s="37">
        <f t="shared" si="144"/>
        <v>0.24659174901960784</v>
      </c>
      <c r="Q997" s="954">
        <f t="shared" si="147"/>
        <v>4.8795633318155951E-2</v>
      </c>
    </row>
    <row r="998" spans="1:17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432">
        <f t="shared" si="140"/>
        <v>348.62</v>
      </c>
      <c r="G998" s="330">
        <v>8</v>
      </c>
      <c r="H998" s="330"/>
      <c r="I998" s="330"/>
      <c r="J998" s="40">
        <f t="shared" si="139"/>
        <v>8</v>
      </c>
      <c r="K998" s="221">
        <f t="shared" si="141"/>
        <v>5.019607843137255E-3</v>
      </c>
      <c r="L998" s="316">
        <f t="shared" si="142"/>
        <v>11.390142745098039</v>
      </c>
      <c r="M998" s="7">
        <f t="shared" si="143"/>
        <v>4.1881554873725495</v>
      </c>
      <c r="N998" s="37">
        <v>4.3799625234228605</v>
      </c>
      <c r="O998" s="947">
        <f t="shared" si="146"/>
        <v>0.8091607843137254</v>
      </c>
      <c r="P998" s="37">
        <f t="shared" si="144"/>
        <v>0.98636699607843137</v>
      </c>
      <c r="Q998" s="954">
        <f t="shared" si="147"/>
        <v>5.9570367564130498E-2</v>
      </c>
    </row>
    <row r="999" spans="1:17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432">
        <f t="shared" si="140"/>
        <v>360.12</v>
      </c>
      <c r="G999" s="330">
        <v>8</v>
      </c>
      <c r="H999" s="330"/>
      <c r="I999" s="330"/>
      <c r="J999" s="40">
        <f t="shared" si="139"/>
        <v>8</v>
      </c>
      <c r="K999" s="221">
        <f t="shared" si="141"/>
        <v>5.019607843137255E-3</v>
      </c>
      <c r="L999" s="316">
        <f t="shared" si="142"/>
        <v>11.390142745098039</v>
      </c>
      <c r="M999" s="7">
        <f t="shared" si="143"/>
        <v>4.1881554873725495</v>
      </c>
      <c r="N999" s="37">
        <v>4.3799625234228605</v>
      </c>
      <c r="O999" s="947">
        <f t="shared" si="146"/>
        <v>0.8091607843137254</v>
      </c>
      <c r="P999" s="37">
        <f t="shared" si="144"/>
        <v>0.98636699607843137</v>
      </c>
      <c r="Q999" s="954">
        <f t="shared" si="147"/>
        <v>5.7668059369674479E-2</v>
      </c>
    </row>
    <row r="1000" spans="1:17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432">
        <f t="shared" si="140"/>
        <v>301.69</v>
      </c>
      <c r="G1000" s="330">
        <v>9</v>
      </c>
      <c r="H1000" s="330"/>
      <c r="I1000" s="330"/>
      <c r="J1000" s="40">
        <f t="shared" ref="J1000:J1060" si="148">G1000+H1000+I1000</f>
        <v>9</v>
      </c>
      <c r="K1000" s="221">
        <f t="shared" si="141"/>
        <v>5.6470588235294121E-3</v>
      </c>
      <c r="L1000" s="316">
        <f t="shared" si="142"/>
        <v>12.813910588235295</v>
      </c>
      <c r="M1000" s="7">
        <f t="shared" si="143"/>
        <v>4.711674923294118</v>
      </c>
      <c r="N1000" s="37">
        <v>4.9274578388507182</v>
      </c>
      <c r="O1000" s="947">
        <f>K1000*1161.2</f>
        <v>6.5573647058823532</v>
      </c>
      <c r="P1000" s="37">
        <f t="shared" si="144"/>
        <v>7.9934275764705891</v>
      </c>
      <c r="Q1000" s="954">
        <f t="shared" si="147"/>
        <v>9.6159660765230817E-2</v>
      </c>
    </row>
    <row r="1001" spans="1:17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432">
        <f t="shared" si="140"/>
        <v>136.1</v>
      </c>
      <c r="G1001" s="330">
        <v>6</v>
      </c>
      <c r="H1001" s="330"/>
      <c r="I1001" s="330"/>
      <c r="J1001" s="40">
        <f t="shared" si="148"/>
        <v>6</v>
      </c>
      <c r="K1001" s="221">
        <f t="shared" si="141"/>
        <v>3.7647058823529413E-3</v>
      </c>
      <c r="L1001" s="316">
        <f t="shared" si="142"/>
        <v>8.5426070588235294</v>
      </c>
      <c r="M1001" s="7">
        <f t="shared" si="143"/>
        <v>3.1411166155294121</v>
      </c>
      <c r="N1001" s="37">
        <v>3.2849718925671452</v>
      </c>
      <c r="O1001" s="947">
        <f t="shared" si="146"/>
        <v>0.60687058823529405</v>
      </c>
      <c r="P1001" s="37">
        <f t="shared" si="144"/>
        <v>0.73977524705882347</v>
      </c>
      <c r="Q1001" s="954">
        <f t="shared" si="147"/>
        <v>0.11444207314588818</v>
      </c>
    </row>
    <row r="1002" spans="1:17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432">
        <f t="shared" ref="F1002:F1063" si="149">C1002+D1002+E1002</f>
        <v>113.9</v>
      </c>
      <c r="G1002" s="330">
        <v>7</v>
      </c>
      <c r="H1002" s="330"/>
      <c r="I1002" s="330"/>
      <c r="J1002" s="40">
        <f t="shared" si="148"/>
        <v>7</v>
      </c>
      <c r="K1002" s="221">
        <f t="shared" si="141"/>
        <v>4.3921568627450979E-3</v>
      </c>
      <c r="L1002" s="316">
        <f t="shared" si="142"/>
        <v>9.9663749019607852</v>
      </c>
      <c r="M1002" s="7">
        <f t="shared" si="143"/>
        <v>3.664636051450981</v>
      </c>
      <c r="N1002" s="37">
        <v>3.8324672079950028</v>
      </c>
      <c r="O1002" s="947">
        <f t="shared" si="146"/>
        <v>0.70801568627450973</v>
      </c>
      <c r="P1002" s="37">
        <f t="shared" si="144"/>
        <v>0.86307112156862742</v>
      </c>
      <c r="Q1002" s="954">
        <f t="shared" si="147"/>
        <v>0.15953901534399714</v>
      </c>
    </row>
    <row r="1003" spans="1:17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432">
        <f t="shared" si="149"/>
        <v>566.45000000000005</v>
      </c>
      <c r="G1003" s="330">
        <v>18</v>
      </c>
      <c r="H1003" s="330"/>
      <c r="I1003" s="330"/>
      <c r="J1003" s="40">
        <f t="shared" si="148"/>
        <v>18</v>
      </c>
      <c r="K1003" s="221">
        <f t="shared" si="141"/>
        <v>1.1294117647058824E-2</v>
      </c>
      <c r="L1003" s="316">
        <f t="shared" si="142"/>
        <v>25.62782117647059</v>
      </c>
      <c r="M1003" s="7">
        <f t="shared" si="143"/>
        <v>9.4233498465882359</v>
      </c>
      <c r="N1003" s="37">
        <v>9.8549156777014364</v>
      </c>
      <c r="O1003" s="947">
        <f t="shared" si="146"/>
        <v>1.8206117647058824</v>
      </c>
      <c r="P1003" s="37">
        <f t="shared" si="144"/>
        <v>2.2193257411764709</v>
      </c>
      <c r="Q1003" s="954">
        <f t="shared" si="147"/>
        <v>8.2490420099684242E-2</v>
      </c>
    </row>
    <row r="1004" spans="1:17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432">
        <f t="shared" si="149"/>
        <v>760.45</v>
      </c>
      <c r="G1004" s="330">
        <v>17</v>
      </c>
      <c r="H1004" s="330"/>
      <c r="I1004" s="330"/>
      <c r="J1004" s="40">
        <f t="shared" si="148"/>
        <v>17</v>
      </c>
      <c r="K1004" s="221">
        <f t="shared" si="141"/>
        <v>1.0666666666666666E-2</v>
      </c>
      <c r="L1004" s="316">
        <f t="shared" si="142"/>
        <v>24.204053333333334</v>
      </c>
      <c r="M1004" s="7">
        <f t="shared" ref="M1004:M1065" si="150">L1004*0.3677</f>
        <v>8.8998304106666684</v>
      </c>
      <c r="N1004" s="37">
        <v>9.3074203622735787</v>
      </c>
      <c r="O1004" s="947">
        <f t="shared" si="146"/>
        <v>1.7194666666666665</v>
      </c>
      <c r="P1004" s="37">
        <f t="shared" si="144"/>
        <v>2.0960298666666666</v>
      </c>
      <c r="Q1004" s="954">
        <f t="shared" si="147"/>
        <v>5.8032442334065674E-2</v>
      </c>
    </row>
    <row r="1005" spans="1:17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432">
        <f t="shared" si="149"/>
        <v>275.3</v>
      </c>
      <c r="G1005" s="330">
        <v>5</v>
      </c>
      <c r="H1005" s="330"/>
      <c r="I1005" s="330"/>
      <c r="J1005" s="40">
        <f t="shared" si="148"/>
        <v>5</v>
      </c>
      <c r="K1005" s="221">
        <f t="shared" si="141"/>
        <v>3.1372549019607846E-3</v>
      </c>
      <c r="L1005" s="316">
        <f t="shared" si="142"/>
        <v>7.1188392156862754</v>
      </c>
      <c r="M1005" s="7">
        <f t="shared" si="150"/>
        <v>2.6175971796078437</v>
      </c>
      <c r="N1005" s="37">
        <v>2.7374765771392875</v>
      </c>
      <c r="O1005" s="947">
        <f t="shared" si="146"/>
        <v>0.50572549019607849</v>
      </c>
      <c r="P1005" s="37">
        <f t="shared" si="144"/>
        <v>0.61647937254901974</v>
      </c>
      <c r="Q1005" s="954">
        <f t="shared" si="147"/>
        <v>4.7147251952885882E-2</v>
      </c>
    </row>
    <row r="1006" spans="1:17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432">
        <f t="shared" si="149"/>
        <v>384.4</v>
      </c>
      <c r="G1006" s="330">
        <v>8</v>
      </c>
      <c r="H1006" s="330"/>
      <c r="I1006" s="330"/>
      <c r="J1006" s="40">
        <f t="shared" si="148"/>
        <v>8</v>
      </c>
      <c r="K1006" s="221">
        <f t="shared" si="141"/>
        <v>5.019607843137255E-3</v>
      </c>
      <c r="L1006" s="316">
        <f t="shared" si="142"/>
        <v>11.390142745098039</v>
      </c>
      <c r="M1006" s="7">
        <f t="shared" si="150"/>
        <v>4.1881554873725495</v>
      </c>
      <c r="N1006" s="37">
        <v>4.3799625234228605</v>
      </c>
      <c r="O1006" s="947">
        <f t="shared" si="146"/>
        <v>0.8091607843137254</v>
      </c>
      <c r="P1006" s="37">
        <f t="shared" si="144"/>
        <v>0.98636699607843137</v>
      </c>
      <c r="Q1006" s="954">
        <f t="shared" si="147"/>
        <v>5.4025550312713777E-2</v>
      </c>
    </row>
    <row r="1007" spans="1:17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432">
        <f t="shared" si="149"/>
        <v>207.2</v>
      </c>
      <c r="G1007" s="330">
        <v>6</v>
      </c>
      <c r="H1007" s="330"/>
      <c r="I1007" s="330"/>
      <c r="J1007" s="40">
        <f t="shared" si="148"/>
        <v>6</v>
      </c>
      <c r="K1007" s="221">
        <f t="shared" si="141"/>
        <v>3.7647058823529413E-3</v>
      </c>
      <c r="L1007" s="316">
        <f t="shared" si="142"/>
        <v>8.5426070588235294</v>
      </c>
      <c r="M1007" s="7">
        <f t="shared" si="150"/>
        <v>3.1411166155294121</v>
      </c>
      <c r="N1007" s="37">
        <v>3.2849718925671452</v>
      </c>
      <c r="O1007" s="947">
        <f t="shared" si="146"/>
        <v>0.60687058823529405</v>
      </c>
      <c r="P1007" s="37">
        <f t="shared" si="144"/>
        <v>0.73977524705882347</v>
      </c>
      <c r="Q1007" s="954">
        <f t="shared" si="147"/>
        <v>7.517165132796999E-2</v>
      </c>
    </row>
    <row r="1008" spans="1:17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432">
        <f t="shared" si="149"/>
        <v>603.70000000000005</v>
      </c>
      <c r="G1008" s="330">
        <v>19</v>
      </c>
      <c r="H1008" s="330"/>
      <c r="I1008" s="330"/>
      <c r="J1008" s="40">
        <f t="shared" si="148"/>
        <v>19</v>
      </c>
      <c r="K1008" s="221">
        <f t="shared" si="141"/>
        <v>1.1921568627450981E-2</v>
      </c>
      <c r="L1008" s="316">
        <f t="shared" si="142"/>
        <v>27.051589019607846</v>
      </c>
      <c r="M1008" s="7">
        <f t="shared" si="150"/>
        <v>9.9468692825098053</v>
      </c>
      <c r="N1008" s="37">
        <v>10.402410993129292</v>
      </c>
      <c r="O1008" s="947">
        <f>K1008*1161.2</f>
        <v>13.843325490196079</v>
      </c>
      <c r="P1008" s="37">
        <f t="shared" si="144"/>
        <v>16.875013772549021</v>
      </c>
      <c r="Q1008" s="954">
        <f t="shared" si="147"/>
        <v>0.101448061595897</v>
      </c>
    </row>
    <row r="1009" spans="1:17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432">
        <f t="shared" si="149"/>
        <v>477.8</v>
      </c>
      <c r="G1009" s="330">
        <v>12</v>
      </c>
      <c r="H1009" s="330"/>
      <c r="I1009" s="330"/>
      <c r="J1009" s="40">
        <f t="shared" si="148"/>
        <v>12</v>
      </c>
      <c r="K1009" s="221">
        <f t="shared" ref="K1009:K1072" si="151">4/6375*J1009</f>
        <v>7.5294117647058826E-3</v>
      </c>
      <c r="L1009" s="316">
        <f t="shared" ref="L1009:L1072" si="152">K1009*2269.13</f>
        <v>17.085214117647059</v>
      </c>
      <c r="M1009" s="7">
        <f t="shared" si="150"/>
        <v>6.2822332310588243</v>
      </c>
      <c r="N1009" s="37">
        <v>6.5699437851342903</v>
      </c>
      <c r="O1009" s="947">
        <f>K1009*1161.2</f>
        <v>8.7431529411764703</v>
      </c>
      <c r="P1009" s="37">
        <f t="shared" si="144"/>
        <v>10.657903435294118</v>
      </c>
      <c r="Q1009" s="954">
        <f t="shared" si="147"/>
        <v>8.0955512923852321E-2</v>
      </c>
    </row>
    <row r="1010" spans="1:17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432">
        <f t="shared" si="149"/>
        <v>481.5</v>
      </c>
      <c r="G1010" s="330">
        <v>12</v>
      </c>
      <c r="H1010" s="330"/>
      <c r="I1010" s="330"/>
      <c r="J1010" s="40">
        <f t="shared" si="148"/>
        <v>12</v>
      </c>
      <c r="K1010" s="221">
        <f t="shared" si="151"/>
        <v>7.5294117647058826E-3</v>
      </c>
      <c r="L1010" s="316">
        <f t="shared" si="152"/>
        <v>17.085214117647059</v>
      </c>
      <c r="M1010" s="7">
        <f t="shared" si="150"/>
        <v>6.2822332310588243</v>
      </c>
      <c r="N1010" s="37">
        <v>6.5699437851342903</v>
      </c>
      <c r="O1010" s="947">
        <f>K1010*1161.2</f>
        <v>8.7431529411764703</v>
      </c>
      <c r="P1010" s="37">
        <f t="shared" ref="P1010:P1073" si="153">O1010*1.219</f>
        <v>10.657903435294118</v>
      </c>
      <c r="Q1010" s="954">
        <f t="shared" si="147"/>
        <v>8.0333424870231859E-2</v>
      </c>
    </row>
    <row r="1011" spans="1:17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432">
        <f t="shared" si="149"/>
        <v>539.4</v>
      </c>
      <c r="G1011" s="330">
        <v>13</v>
      </c>
      <c r="H1011" s="330"/>
      <c r="I1011" s="330"/>
      <c r="J1011" s="40">
        <f t="shared" si="148"/>
        <v>13</v>
      </c>
      <c r="K1011" s="221">
        <f t="shared" si="151"/>
        <v>8.1568627450980397E-3</v>
      </c>
      <c r="L1011" s="316">
        <f t="shared" si="152"/>
        <v>18.508981960784315</v>
      </c>
      <c r="M1011" s="7">
        <f t="shared" si="150"/>
        <v>6.8057526669803927</v>
      </c>
      <c r="N1011" s="37">
        <v>7.1174391005621489</v>
      </c>
      <c r="O1011" s="947">
        <f t="shared" si="146"/>
        <v>1.314886274509804</v>
      </c>
      <c r="P1011" s="37">
        <f t="shared" si="153"/>
        <v>1.6028463686274512</v>
      </c>
      <c r="Q1011" s="954">
        <f t="shared" si="147"/>
        <v>6.2564071195470264E-2</v>
      </c>
    </row>
    <row r="1012" spans="1:17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432">
        <f t="shared" si="149"/>
        <v>120.6</v>
      </c>
      <c r="G1012" s="330">
        <v>4</v>
      </c>
      <c r="H1012" s="330"/>
      <c r="I1012" s="330"/>
      <c r="J1012" s="40">
        <f t="shared" si="148"/>
        <v>4</v>
      </c>
      <c r="K1012" s="221">
        <f t="shared" si="151"/>
        <v>2.5098039215686275E-3</v>
      </c>
      <c r="L1012" s="316">
        <f t="shared" si="152"/>
        <v>5.6950713725490196</v>
      </c>
      <c r="M1012" s="7">
        <f t="shared" si="150"/>
        <v>2.0940777436862748</v>
      </c>
      <c r="N1012" s="37">
        <v>2.1899812617114303</v>
      </c>
      <c r="O1012" s="947">
        <f t="shared" si="146"/>
        <v>0.4045803921568627</v>
      </c>
      <c r="P1012" s="37">
        <f t="shared" si="153"/>
        <v>0.49318349803921568</v>
      </c>
      <c r="Q1012" s="954">
        <f t="shared" si="147"/>
        <v>8.6100420979300055E-2</v>
      </c>
    </row>
    <row r="1013" spans="1:17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432">
        <f t="shared" si="149"/>
        <v>98.1</v>
      </c>
      <c r="G1013" s="330">
        <v>3</v>
      </c>
      <c r="H1013" s="330"/>
      <c r="I1013" s="330"/>
      <c r="J1013" s="40">
        <f t="shared" si="148"/>
        <v>3</v>
      </c>
      <c r="K1013" s="221">
        <f t="shared" si="151"/>
        <v>1.8823529411764706E-3</v>
      </c>
      <c r="L1013" s="316">
        <f t="shared" si="152"/>
        <v>4.2713035294117647</v>
      </c>
      <c r="M1013" s="7">
        <f t="shared" si="150"/>
        <v>1.5705583077647061</v>
      </c>
      <c r="N1013" s="37">
        <v>1.6424859462835726</v>
      </c>
      <c r="O1013" s="947">
        <f t="shared" si="146"/>
        <v>0.30343529411764703</v>
      </c>
      <c r="P1013" s="37">
        <f t="shared" si="153"/>
        <v>0.36988762352941174</v>
      </c>
      <c r="Q1013" s="954">
        <f t="shared" si="147"/>
        <v>7.938616796715281E-2</v>
      </c>
    </row>
    <row r="1014" spans="1:17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432">
        <f t="shared" si="149"/>
        <v>95.2</v>
      </c>
      <c r="G1014" s="330">
        <v>4</v>
      </c>
      <c r="H1014" s="330"/>
      <c r="I1014" s="330"/>
      <c r="J1014" s="40">
        <f t="shared" si="148"/>
        <v>4</v>
      </c>
      <c r="K1014" s="221">
        <f t="shared" si="151"/>
        <v>2.5098039215686275E-3</v>
      </c>
      <c r="L1014" s="316">
        <f t="shared" si="152"/>
        <v>5.6950713725490196</v>
      </c>
      <c r="M1014" s="7">
        <f t="shared" si="150"/>
        <v>2.0940777436862748</v>
      </c>
      <c r="N1014" s="37">
        <v>2.1899812617114303</v>
      </c>
      <c r="O1014" s="947">
        <f t="shared" si="146"/>
        <v>0.4045803921568627</v>
      </c>
      <c r="P1014" s="37">
        <f t="shared" si="153"/>
        <v>0.49318349803921568</v>
      </c>
      <c r="Q1014" s="954">
        <f t="shared" si="147"/>
        <v>0.10907259212293684</v>
      </c>
    </row>
    <row r="1015" spans="1:17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432">
        <f t="shared" si="149"/>
        <v>2329.16</v>
      </c>
      <c r="G1015" s="330">
        <v>40</v>
      </c>
      <c r="H1015" s="330"/>
      <c r="I1015" s="330"/>
      <c r="J1015" s="40">
        <f t="shared" si="148"/>
        <v>40</v>
      </c>
      <c r="K1015" s="221">
        <f t="shared" si="151"/>
        <v>2.5098039215686277E-2</v>
      </c>
      <c r="L1015" s="316">
        <f t="shared" si="152"/>
        <v>56.950713725490203</v>
      </c>
      <c r="M1015" s="7">
        <f t="shared" si="150"/>
        <v>20.940777436862749</v>
      </c>
      <c r="N1015" s="37">
        <v>21.8998126171143</v>
      </c>
      <c r="O1015" s="947">
        <f t="shared" si="146"/>
        <v>4.0458039215686279</v>
      </c>
      <c r="P1015" s="37">
        <f t="shared" si="153"/>
        <v>4.931834980392158</v>
      </c>
      <c r="Q1015" s="954">
        <f t="shared" si="147"/>
        <v>4.4581354523105278E-2</v>
      </c>
    </row>
    <row r="1016" spans="1:17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432">
        <f t="shared" si="149"/>
        <v>188</v>
      </c>
      <c r="G1016" s="330">
        <v>4</v>
      </c>
      <c r="H1016" s="330"/>
      <c r="I1016" s="330"/>
      <c r="J1016" s="40">
        <f t="shared" si="148"/>
        <v>4</v>
      </c>
      <c r="K1016" s="221">
        <f t="shared" si="151"/>
        <v>2.5098039215686275E-3</v>
      </c>
      <c r="L1016" s="316">
        <f t="shared" si="152"/>
        <v>5.6950713725490196</v>
      </c>
      <c r="M1016" s="7">
        <f t="shared" si="150"/>
        <v>2.0940777436862748</v>
      </c>
      <c r="N1016" s="37">
        <v>2.1899812617114303</v>
      </c>
      <c r="O1016" s="947">
        <f t="shared" si="146"/>
        <v>0.4045803921568627</v>
      </c>
      <c r="P1016" s="37">
        <f t="shared" si="153"/>
        <v>0.49318349803921568</v>
      </c>
      <c r="Q1016" s="954">
        <f t="shared" si="147"/>
        <v>5.5232504096295675E-2</v>
      </c>
    </row>
    <row r="1017" spans="1:17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432">
        <f t="shared" si="149"/>
        <v>110.1</v>
      </c>
      <c r="G1017" s="330">
        <v>3</v>
      </c>
      <c r="H1017" s="330"/>
      <c r="I1017" s="330"/>
      <c r="J1017" s="40">
        <f t="shared" si="148"/>
        <v>3</v>
      </c>
      <c r="K1017" s="221">
        <f t="shared" si="151"/>
        <v>1.8823529411764706E-3</v>
      </c>
      <c r="L1017" s="316">
        <f t="shared" si="152"/>
        <v>4.2713035294117647</v>
      </c>
      <c r="M1017" s="7">
        <f t="shared" si="150"/>
        <v>1.5705583077647061</v>
      </c>
      <c r="N1017" s="37">
        <v>1.6424859462835726</v>
      </c>
      <c r="O1017" s="947">
        <f t="shared" si="146"/>
        <v>0.30343529411764703</v>
      </c>
      <c r="P1017" s="37">
        <f t="shared" si="153"/>
        <v>0.36988762352941174</v>
      </c>
      <c r="Q1017" s="954">
        <f t="shared" si="147"/>
        <v>7.0733724591986291E-2</v>
      </c>
    </row>
    <row r="1018" spans="1:17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432">
        <f t="shared" si="149"/>
        <v>215.8</v>
      </c>
      <c r="G1018" s="330">
        <v>4</v>
      </c>
      <c r="H1018" s="330"/>
      <c r="I1018" s="330"/>
      <c r="J1018" s="40">
        <f t="shared" si="148"/>
        <v>4</v>
      </c>
      <c r="K1018" s="221">
        <f t="shared" si="151"/>
        <v>2.5098039215686275E-3</v>
      </c>
      <c r="L1018" s="316">
        <f t="shared" si="152"/>
        <v>5.6950713725490196</v>
      </c>
      <c r="M1018" s="7">
        <f t="shared" si="150"/>
        <v>2.0940777436862748</v>
      </c>
      <c r="N1018" s="37">
        <v>2.1899812617114303</v>
      </c>
      <c r="O1018" s="947">
        <f t="shared" si="146"/>
        <v>0.4045803921568627</v>
      </c>
      <c r="P1018" s="37">
        <f t="shared" si="153"/>
        <v>0.49318349803921568</v>
      </c>
      <c r="Q1018" s="954">
        <f t="shared" si="147"/>
        <v>4.8117288091304847E-2</v>
      </c>
    </row>
    <row r="1019" spans="1:17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432">
        <f t="shared" si="149"/>
        <v>1481.3</v>
      </c>
      <c r="G1019" s="330">
        <v>32</v>
      </c>
      <c r="H1019" s="330"/>
      <c r="I1019" s="330"/>
      <c r="J1019" s="40">
        <f t="shared" si="148"/>
        <v>32</v>
      </c>
      <c r="K1019" s="221">
        <f t="shared" si="151"/>
        <v>2.007843137254902E-2</v>
      </c>
      <c r="L1019" s="316">
        <f t="shared" si="152"/>
        <v>45.560570980392157</v>
      </c>
      <c r="M1019" s="7">
        <f t="shared" si="150"/>
        <v>16.752621949490198</v>
      </c>
      <c r="N1019" s="37">
        <v>17.519850093691442</v>
      </c>
      <c r="O1019" s="947">
        <f t="shared" si="146"/>
        <v>3.2366431372549016</v>
      </c>
      <c r="P1019" s="37">
        <f t="shared" si="153"/>
        <v>3.9454679843137255</v>
      </c>
      <c r="Q1019" s="954">
        <f t="shared" si="147"/>
        <v>5.6078907824767904E-2</v>
      </c>
    </row>
    <row r="1020" spans="1:17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432">
        <f t="shared" si="149"/>
        <v>152.6</v>
      </c>
      <c r="G1020" s="330">
        <v>6</v>
      </c>
      <c r="H1020" s="330"/>
      <c r="I1020" s="330"/>
      <c r="J1020" s="40">
        <f t="shared" si="148"/>
        <v>6</v>
      </c>
      <c r="K1020" s="221">
        <f t="shared" si="151"/>
        <v>3.7647058823529413E-3</v>
      </c>
      <c r="L1020" s="316">
        <f t="shared" si="152"/>
        <v>8.5426070588235294</v>
      </c>
      <c r="M1020" s="7">
        <f t="shared" si="150"/>
        <v>3.1411166155294121</v>
      </c>
      <c r="N1020" s="37">
        <v>3.2849718925671452</v>
      </c>
      <c r="O1020" s="947">
        <f>K1020*1161.2</f>
        <v>4.3715764705882352</v>
      </c>
      <c r="P1020" s="37">
        <f t="shared" si="153"/>
        <v>5.3289517176470591</v>
      </c>
      <c r="Q1020" s="954">
        <f t="shared" si="147"/>
        <v>0.12673834886964824</v>
      </c>
    </row>
    <row r="1021" spans="1:17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432">
        <f t="shared" si="149"/>
        <v>110.9</v>
      </c>
      <c r="G1021" s="330">
        <v>2</v>
      </c>
      <c r="H1021" s="330"/>
      <c r="I1021" s="330"/>
      <c r="J1021" s="40">
        <f t="shared" si="148"/>
        <v>2</v>
      </c>
      <c r="K1021" s="221">
        <f t="shared" si="151"/>
        <v>1.2549019607843138E-3</v>
      </c>
      <c r="L1021" s="316">
        <f t="shared" si="152"/>
        <v>2.8475356862745098</v>
      </c>
      <c r="M1021" s="7">
        <f t="shared" si="150"/>
        <v>1.0470388718431374</v>
      </c>
      <c r="N1021" s="37">
        <v>1.0949906308557151</v>
      </c>
      <c r="O1021" s="947">
        <f t="shared" ref="O1021:O1078" si="154">K1021*161.2</f>
        <v>0.20229019607843135</v>
      </c>
      <c r="P1021" s="37">
        <f t="shared" si="153"/>
        <v>0.24659174901960784</v>
      </c>
      <c r="Q1021" s="954">
        <f t="shared" si="147"/>
        <v>4.6815648197040517E-2</v>
      </c>
    </row>
    <row r="1022" spans="1:17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432">
        <f t="shared" si="149"/>
        <v>59.5</v>
      </c>
      <c r="G1022" s="330">
        <v>2</v>
      </c>
      <c r="H1022" s="330"/>
      <c r="I1022" s="330"/>
      <c r="J1022" s="40">
        <f t="shared" si="148"/>
        <v>2</v>
      </c>
      <c r="K1022" s="221">
        <f t="shared" si="151"/>
        <v>1.2549019607843138E-3</v>
      </c>
      <c r="L1022" s="316">
        <f t="shared" si="152"/>
        <v>2.8475356862745098</v>
      </c>
      <c r="M1022" s="7">
        <f t="shared" si="150"/>
        <v>1.0470388718431374</v>
      </c>
      <c r="N1022" s="37">
        <v>1.0949906308557151</v>
      </c>
      <c r="O1022" s="947">
        <f t="shared" si="154"/>
        <v>0.20229019607843135</v>
      </c>
      <c r="P1022" s="37">
        <f t="shared" si="153"/>
        <v>0.24659174901960784</v>
      </c>
      <c r="Q1022" s="954">
        <f t="shared" si="147"/>
        <v>8.7258073698349467E-2</v>
      </c>
    </row>
    <row r="1023" spans="1:17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432">
        <f t="shared" si="149"/>
        <v>38.700000000000003</v>
      </c>
      <c r="G1023" s="330">
        <v>1</v>
      </c>
      <c r="H1023" s="330"/>
      <c r="I1023" s="330"/>
      <c r="J1023" s="40">
        <f t="shared" si="148"/>
        <v>1</v>
      </c>
      <c r="K1023" s="221">
        <f t="shared" si="151"/>
        <v>6.2745098039215688E-4</v>
      </c>
      <c r="L1023" s="316">
        <f t="shared" si="152"/>
        <v>1.4237678431372549</v>
      </c>
      <c r="M1023" s="7">
        <f t="shared" si="150"/>
        <v>0.52351943592156869</v>
      </c>
      <c r="N1023" s="37">
        <v>0.54749531542785757</v>
      </c>
      <c r="O1023" s="947">
        <f t="shared" si="154"/>
        <v>0.10114509803921568</v>
      </c>
      <c r="P1023" s="37">
        <f t="shared" si="153"/>
        <v>0.12329587450980392</v>
      </c>
      <c r="Q1023" s="954">
        <f t="shared" si="147"/>
        <v>6.7078234948989568E-2</v>
      </c>
    </row>
    <row r="1024" spans="1:17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432">
        <f t="shared" si="149"/>
        <v>72.3</v>
      </c>
      <c r="G1024" s="330">
        <v>2</v>
      </c>
      <c r="H1024" s="330"/>
      <c r="I1024" s="330"/>
      <c r="J1024" s="40">
        <f t="shared" si="148"/>
        <v>2</v>
      </c>
      <c r="K1024" s="221">
        <f t="shared" si="151"/>
        <v>1.2549019607843138E-3</v>
      </c>
      <c r="L1024" s="316">
        <f t="shared" si="152"/>
        <v>2.8475356862745098</v>
      </c>
      <c r="M1024" s="7">
        <f t="shared" si="150"/>
        <v>1.0470388718431374</v>
      </c>
      <c r="N1024" s="37">
        <v>1.0949906308557151</v>
      </c>
      <c r="O1024" s="947">
        <f t="shared" si="154"/>
        <v>0.20229019607843135</v>
      </c>
      <c r="P1024" s="37">
        <f t="shared" si="153"/>
        <v>0.24659174901960784</v>
      </c>
      <c r="Q1024" s="954">
        <f t="shared" si="147"/>
        <v>7.1809894675681787E-2</v>
      </c>
    </row>
    <row r="1025" spans="1:17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432">
        <f t="shared" si="149"/>
        <v>99.09</v>
      </c>
      <c r="G1025" s="330">
        <v>2</v>
      </c>
      <c r="H1025" s="330"/>
      <c r="I1025" s="330"/>
      <c r="J1025" s="40">
        <f t="shared" si="148"/>
        <v>2</v>
      </c>
      <c r="K1025" s="221">
        <f t="shared" si="151"/>
        <v>1.2549019607843138E-3</v>
      </c>
      <c r="L1025" s="316">
        <f t="shared" si="152"/>
        <v>2.8475356862745098</v>
      </c>
      <c r="M1025" s="7">
        <f t="shared" si="150"/>
        <v>1.0470388718431374</v>
      </c>
      <c r="N1025" s="37">
        <v>1.0949906308557151</v>
      </c>
      <c r="O1025" s="947">
        <f t="shared" si="154"/>
        <v>0.20229019607843135</v>
      </c>
      <c r="P1025" s="37">
        <f t="shared" si="153"/>
        <v>0.24659174901960784</v>
      </c>
      <c r="Q1025" s="954">
        <f t="shared" si="147"/>
        <v>5.2395351549619468E-2</v>
      </c>
    </row>
    <row r="1026" spans="1:17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432">
        <f t="shared" si="149"/>
        <v>78.7</v>
      </c>
      <c r="G1026" s="330">
        <v>3</v>
      </c>
      <c r="H1026" s="330"/>
      <c r="I1026" s="330"/>
      <c r="J1026" s="40">
        <f t="shared" si="148"/>
        <v>3</v>
      </c>
      <c r="K1026" s="221">
        <f t="shared" si="151"/>
        <v>1.8823529411764706E-3</v>
      </c>
      <c r="L1026" s="316">
        <f t="shared" si="152"/>
        <v>4.2713035294117647</v>
      </c>
      <c r="M1026" s="7">
        <f t="shared" si="150"/>
        <v>1.5705583077647061</v>
      </c>
      <c r="N1026" s="37">
        <v>1.6424859462835726</v>
      </c>
      <c r="O1026" s="947">
        <f t="shared" si="154"/>
        <v>0.30343529411764703</v>
      </c>
      <c r="P1026" s="37">
        <f t="shared" si="153"/>
        <v>0.36988762352941174</v>
      </c>
      <c r="Q1026" s="954">
        <f t="shared" si="147"/>
        <v>9.8955312294506867E-2</v>
      </c>
    </row>
    <row r="1027" spans="1:17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432">
        <f t="shared" si="149"/>
        <v>557.9</v>
      </c>
      <c r="G1027" s="330">
        <v>12</v>
      </c>
      <c r="H1027" s="330"/>
      <c r="I1027" s="330"/>
      <c r="J1027" s="40">
        <f t="shared" si="148"/>
        <v>12</v>
      </c>
      <c r="K1027" s="221">
        <f t="shared" si="151"/>
        <v>7.5294117647058826E-3</v>
      </c>
      <c r="L1027" s="316">
        <f t="shared" si="152"/>
        <v>17.085214117647059</v>
      </c>
      <c r="M1027" s="7">
        <f t="shared" si="150"/>
        <v>6.2822332310588243</v>
      </c>
      <c r="N1027" s="37">
        <v>6.5699437851342903</v>
      </c>
      <c r="O1027" s="947">
        <f t="shared" si="154"/>
        <v>1.2137411764705881</v>
      </c>
      <c r="P1027" s="37">
        <f t="shared" si="153"/>
        <v>1.4795504941176469</v>
      </c>
      <c r="Q1027" s="954">
        <f t="shared" si="147"/>
        <v>5.5836408514627643E-2</v>
      </c>
    </row>
    <row r="1028" spans="1:17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432">
        <f t="shared" si="149"/>
        <v>122.5</v>
      </c>
      <c r="G1028" s="330">
        <v>4</v>
      </c>
      <c r="H1028" s="330"/>
      <c r="I1028" s="330"/>
      <c r="J1028" s="40">
        <f t="shared" si="148"/>
        <v>4</v>
      </c>
      <c r="K1028" s="221">
        <f t="shared" si="151"/>
        <v>2.5098039215686275E-3</v>
      </c>
      <c r="L1028" s="316">
        <f t="shared" si="152"/>
        <v>5.6950713725490196</v>
      </c>
      <c r="M1028" s="7">
        <f t="shared" si="150"/>
        <v>2.0940777436862748</v>
      </c>
      <c r="N1028" s="37">
        <v>2.1899812617114303</v>
      </c>
      <c r="O1028" s="947">
        <f t="shared" si="154"/>
        <v>0.4045803921568627</v>
      </c>
      <c r="P1028" s="37">
        <f t="shared" si="153"/>
        <v>0.49318349803921568</v>
      </c>
      <c r="Q1028" s="954">
        <f t="shared" si="147"/>
        <v>8.4764985878396634E-2</v>
      </c>
    </row>
    <row r="1029" spans="1:17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432">
        <f t="shared" si="149"/>
        <v>275.5</v>
      </c>
      <c r="G1029" s="330">
        <v>5</v>
      </c>
      <c r="H1029" s="330">
        <v>1</v>
      </c>
      <c r="I1029" s="330"/>
      <c r="J1029" s="40">
        <f t="shared" si="148"/>
        <v>6</v>
      </c>
      <c r="K1029" s="221">
        <f t="shared" si="151"/>
        <v>3.7647058823529413E-3</v>
      </c>
      <c r="L1029" s="316">
        <f t="shared" si="152"/>
        <v>8.5426070588235294</v>
      </c>
      <c r="M1029" s="7">
        <f t="shared" si="150"/>
        <v>3.1411166155294121</v>
      </c>
      <c r="N1029" s="37">
        <v>3.2849718925671452</v>
      </c>
      <c r="O1029" s="947">
        <f t="shared" si="154"/>
        <v>0.60687058823529405</v>
      </c>
      <c r="P1029" s="37">
        <f t="shared" si="153"/>
        <v>0.73977524705882347</v>
      </c>
      <c r="Q1029" s="954">
        <f t="shared" si="147"/>
        <v>5.6535630327242757E-2</v>
      </c>
    </row>
    <row r="1030" spans="1:17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432">
        <f t="shared" si="149"/>
        <v>189.1</v>
      </c>
      <c r="G1030" s="330">
        <v>6</v>
      </c>
      <c r="H1030" s="330"/>
      <c r="I1030" s="330"/>
      <c r="J1030" s="40">
        <f t="shared" si="148"/>
        <v>6</v>
      </c>
      <c r="K1030" s="221">
        <f t="shared" si="151"/>
        <v>3.7647058823529413E-3</v>
      </c>
      <c r="L1030" s="316">
        <f t="shared" si="152"/>
        <v>8.5426070588235294</v>
      </c>
      <c r="M1030" s="7">
        <f t="shared" si="150"/>
        <v>3.1411166155294121</v>
      </c>
      <c r="N1030" s="37">
        <v>3.2849718925671452</v>
      </c>
      <c r="O1030" s="947">
        <f t="shared" si="154"/>
        <v>0.60687058823529405</v>
      </c>
      <c r="P1030" s="37">
        <f t="shared" si="153"/>
        <v>0.73977524705882347</v>
      </c>
      <c r="Q1030" s="954">
        <f t="shared" si="147"/>
        <v>8.2366822607907883E-2</v>
      </c>
    </row>
    <row r="1031" spans="1:17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432">
        <f t="shared" si="149"/>
        <v>590.4</v>
      </c>
      <c r="G1031" s="330">
        <v>15</v>
      </c>
      <c r="H1031" s="330"/>
      <c r="I1031" s="330"/>
      <c r="J1031" s="40">
        <f t="shared" si="148"/>
        <v>15</v>
      </c>
      <c r="K1031" s="221">
        <f t="shared" si="151"/>
        <v>9.4117647058823539E-3</v>
      </c>
      <c r="L1031" s="316">
        <f t="shared" si="152"/>
        <v>21.356517647058826</v>
      </c>
      <c r="M1031" s="7">
        <f t="shared" si="150"/>
        <v>7.8527915388235314</v>
      </c>
      <c r="N1031" s="37">
        <v>8.2124297314178616</v>
      </c>
      <c r="O1031" s="947">
        <f>K1031*1161.2</f>
        <v>10.928941176470589</v>
      </c>
      <c r="P1031" s="37">
        <f t="shared" si="153"/>
        <v>13.322379294117649</v>
      </c>
      <c r="Q1031" s="954">
        <f t="shared" ref="Q1031:Q1094" si="155">(O1031+N1031+M1031+L1031)/F1031</f>
        <v>8.1894783356657869E-2</v>
      </c>
    </row>
    <row r="1032" spans="1:17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432">
        <f t="shared" si="149"/>
        <v>761.4</v>
      </c>
      <c r="G1032" s="330">
        <v>22</v>
      </c>
      <c r="H1032" s="330"/>
      <c r="I1032" s="330"/>
      <c r="J1032" s="40">
        <f t="shared" si="148"/>
        <v>22</v>
      </c>
      <c r="K1032" s="221">
        <f t="shared" si="151"/>
        <v>1.3803921568627451E-2</v>
      </c>
      <c r="L1032" s="316">
        <f t="shared" si="152"/>
        <v>31.32289254901961</v>
      </c>
      <c r="M1032" s="7">
        <f t="shared" si="150"/>
        <v>11.517427590274512</v>
      </c>
      <c r="N1032" s="37">
        <v>12.044896939412865</v>
      </c>
      <c r="O1032" s="947">
        <f>K1032*1161.2</f>
        <v>16.029113725490198</v>
      </c>
      <c r="P1032" s="37">
        <f t="shared" si="153"/>
        <v>19.539489631372554</v>
      </c>
      <c r="Q1032" s="954">
        <f t="shared" si="155"/>
        <v>9.3136762285522978E-2</v>
      </c>
    </row>
    <row r="1033" spans="1:17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432">
        <f t="shared" si="149"/>
        <v>577.12</v>
      </c>
      <c r="G1033" s="330">
        <v>17</v>
      </c>
      <c r="H1033" s="330"/>
      <c r="I1033" s="730">
        <v>1</v>
      </c>
      <c r="J1033" s="40">
        <f t="shared" si="148"/>
        <v>18</v>
      </c>
      <c r="K1033" s="221">
        <f t="shared" si="151"/>
        <v>1.1294117647058824E-2</v>
      </c>
      <c r="L1033" s="316">
        <f t="shared" si="152"/>
        <v>25.62782117647059</v>
      </c>
      <c r="M1033" s="7">
        <f t="shared" si="150"/>
        <v>9.4233498465882359</v>
      </c>
      <c r="N1033" s="37">
        <v>9.8549156777014364</v>
      </c>
      <c r="O1033" s="947">
        <f>K1033*1161.2</f>
        <v>13.114729411764706</v>
      </c>
      <c r="P1033" s="37">
        <f t="shared" si="153"/>
        <v>15.986855152941178</v>
      </c>
      <c r="Q1033" s="954">
        <f t="shared" si="155"/>
        <v>0.10053509861471613</v>
      </c>
    </row>
    <row r="1034" spans="1:17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432">
        <f t="shared" si="149"/>
        <v>136.80000000000001</v>
      </c>
      <c r="G1034" s="330">
        <v>3</v>
      </c>
      <c r="H1034" s="330"/>
      <c r="I1034" s="730">
        <v>1</v>
      </c>
      <c r="J1034" s="40">
        <f t="shared" si="148"/>
        <v>4</v>
      </c>
      <c r="K1034" s="221">
        <f t="shared" si="151"/>
        <v>2.5098039215686275E-3</v>
      </c>
      <c r="L1034" s="316">
        <f t="shared" si="152"/>
        <v>5.6950713725490196</v>
      </c>
      <c r="M1034" s="7">
        <f t="shared" si="150"/>
        <v>2.0940777436862748</v>
      </c>
      <c r="N1034" s="37">
        <v>2.1899812617114303</v>
      </c>
      <c r="O1034" s="947">
        <f>K1034*1161.2</f>
        <v>2.9143843137254906</v>
      </c>
      <c r="P1034" s="37">
        <f t="shared" si="153"/>
        <v>3.552634478431373</v>
      </c>
      <c r="Q1034" s="954">
        <f t="shared" si="155"/>
        <v>9.425083838941678E-2</v>
      </c>
    </row>
    <row r="1035" spans="1:17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432">
        <f t="shared" si="149"/>
        <v>578</v>
      </c>
      <c r="G1035" s="330">
        <v>16</v>
      </c>
      <c r="H1035" s="330"/>
      <c r="I1035" s="330"/>
      <c r="J1035" s="40">
        <f t="shared" si="148"/>
        <v>16</v>
      </c>
      <c r="K1035" s="221">
        <f t="shared" si="151"/>
        <v>1.003921568627451E-2</v>
      </c>
      <c r="L1035" s="316">
        <f t="shared" si="152"/>
        <v>22.780285490196079</v>
      </c>
      <c r="M1035" s="7">
        <f t="shared" si="150"/>
        <v>8.376310974745099</v>
      </c>
      <c r="N1035" s="37">
        <v>8.759925046845721</v>
      </c>
      <c r="O1035" s="947">
        <f t="shared" si="154"/>
        <v>1.6183215686274508</v>
      </c>
      <c r="P1035" s="37">
        <f t="shared" si="153"/>
        <v>1.9727339921568627</v>
      </c>
      <c r="Q1035" s="954">
        <f t="shared" si="155"/>
        <v>7.1859590104523099E-2</v>
      </c>
    </row>
    <row r="1036" spans="1:17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432">
        <f t="shared" si="149"/>
        <v>150</v>
      </c>
      <c r="G1036" s="330">
        <v>5</v>
      </c>
      <c r="H1036" s="330"/>
      <c r="I1036" s="330"/>
      <c r="J1036" s="40">
        <f t="shared" si="148"/>
        <v>5</v>
      </c>
      <c r="K1036" s="221">
        <f t="shared" si="151"/>
        <v>3.1372549019607846E-3</v>
      </c>
      <c r="L1036" s="316">
        <f t="shared" si="152"/>
        <v>7.1188392156862754</v>
      </c>
      <c r="M1036" s="7">
        <f t="shared" si="150"/>
        <v>2.6175971796078437</v>
      </c>
      <c r="N1036" s="37">
        <v>2.7374765771392875</v>
      </c>
      <c r="O1036" s="947">
        <f>K1036*1161.2</f>
        <v>3.6429803921568631</v>
      </c>
      <c r="P1036" s="37">
        <f t="shared" si="153"/>
        <v>4.4407930980392161</v>
      </c>
      <c r="Q1036" s="954">
        <f t="shared" si="155"/>
        <v>0.10744595576393512</v>
      </c>
    </row>
    <row r="1037" spans="1:17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432">
        <f t="shared" si="149"/>
        <v>106.6</v>
      </c>
      <c r="G1037" s="330">
        <v>3</v>
      </c>
      <c r="H1037" s="330"/>
      <c r="I1037" s="330"/>
      <c r="J1037" s="40">
        <f t="shared" si="148"/>
        <v>3</v>
      </c>
      <c r="K1037" s="221">
        <f t="shared" si="151"/>
        <v>1.8823529411764706E-3</v>
      </c>
      <c r="L1037" s="316">
        <f t="shared" si="152"/>
        <v>4.2713035294117647</v>
      </c>
      <c r="M1037" s="7">
        <f t="shared" si="150"/>
        <v>1.5705583077647061</v>
      </c>
      <c r="N1037" s="37">
        <v>1.6424859462835726</v>
      </c>
      <c r="O1037" s="947">
        <f>K1037*1161.2</f>
        <v>2.1857882352941176</v>
      </c>
      <c r="P1037" s="37">
        <f t="shared" si="153"/>
        <v>2.6644758588235296</v>
      </c>
      <c r="Q1037" s="954">
        <f t="shared" si="155"/>
        <v>9.0714221564297939E-2</v>
      </c>
    </row>
    <row r="1038" spans="1:17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432">
        <f t="shared" si="149"/>
        <v>128.4</v>
      </c>
      <c r="G1038" s="330">
        <v>4</v>
      </c>
      <c r="H1038" s="330"/>
      <c r="I1038" s="330"/>
      <c r="J1038" s="40">
        <f t="shared" si="148"/>
        <v>4</v>
      </c>
      <c r="K1038" s="221">
        <f t="shared" si="151"/>
        <v>2.5098039215686275E-3</v>
      </c>
      <c r="L1038" s="316">
        <f t="shared" si="152"/>
        <v>5.6950713725490196</v>
      </c>
      <c r="M1038" s="7">
        <f t="shared" si="150"/>
        <v>2.0940777436862748</v>
      </c>
      <c r="N1038" s="37">
        <v>2.1899812617114303</v>
      </c>
      <c r="O1038" s="947">
        <f t="shared" si="154"/>
        <v>0.4045803921568627</v>
      </c>
      <c r="P1038" s="37">
        <f t="shared" si="153"/>
        <v>0.49318349803921568</v>
      </c>
      <c r="Q1038" s="954">
        <f t="shared" si="155"/>
        <v>8.0870021574015474E-2</v>
      </c>
    </row>
    <row r="1039" spans="1:17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432">
        <f t="shared" si="149"/>
        <v>57.7</v>
      </c>
      <c r="G1039" s="330">
        <v>1</v>
      </c>
      <c r="H1039" s="330"/>
      <c r="I1039" s="330"/>
      <c r="J1039" s="40">
        <f t="shared" si="148"/>
        <v>1</v>
      </c>
      <c r="K1039" s="221">
        <f t="shared" si="151"/>
        <v>6.2745098039215688E-4</v>
      </c>
      <c r="L1039" s="316">
        <f t="shared" si="152"/>
        <v>1.4237678431372549</v>
      </c>
      <c r="M1039" s="7">
        <f t="shared" si="150"/>
        <v>0.52351943592156869</v>
      </c>
      <c r="N1039" s="37">
        <v>0.54749531542785757</v>
      </c>
      <c r="O1039" s="947">
        <f t="shared" si="154"/>
        <v>0.10114509803921568</v>
      </c>
      <c r="P1039" s="37">
        <f t="shared" si="153"/>
        <v>0.12329587450980392</v>
      </c>
      <c r="Q1039" s="954">
        <f t="shared" si="155"/>
        <v>4.4990081326272038E-2</v>
      </c>
    </row>
    <row r="1040" spans="1:17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432">
        <f t="shared" si="149"/>
        <v>256.5</v>
      </c>
      <c r="G1040" s="330">
        <v>5</v>
      </c>
      <c r="H1040" s="330"/>
      <c r="I1040" s="330">
        <v>1</v>
      </c>
      <c r="J1040" s="40">
        <f t="shared" si="148"/>
        <v>6</v>
      </c>
      <c r="K1040" s="221">
        <f t="shared" si="151"/>
        <v>3.7647058823529413E-3</v>
      </c>
      <c r="L1040" s="316">
        <f t="shared" si="152"/>
        <v>8.5426070588235294</v>
      </c>
      <c r="M1040" s="7">
        <f t="shared" si="150"/>
        <v>3.1411166155294121</v>
      </c>
      <c r="N1040" s="37">
        <v>3.2849718925671452</v>
      </c>
      <c r="O1040" s="947">
        <f t="shared" si="154"/>
        <v>0.60687058823529405</v>
      </c>
      <c r="P1040" s="37">
        <f t="shared" si="153"/>
        <v>0.73977524705882347</v>
      </c>
      <c r="Q1040" s="954">
        <f t="shared" si="155"/>
        <v>6.072345479592741E-2</v>
      </c>
    </row>
    <row r="1041" spans="1:17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432">
        <f t="shared" si="149"/>
        <v>118.5</v>
      </c>
      <c r="G1041" s="330">
        <v>2</v>
      </c>
      <c r="H1041" s="330"/>
      <c r="I1041" s="330">
        <v>1</v>
      </c>
      <c r="J1041" s="40">
        <f t="shared" si="148"/>
        <v>3</v>
      </c>
      <c r="K1041" s="221">
        <f t="shared" si="151"/>
        <v>1.8823529411764706E-3</v>
      </c>
      <c r="L1041" s="316">
        <f t="shared" si="152"/>
        <v>4.2713035294117647</v>
      </c>
      <c r="M1041" s="7">
        <f t="shared" si="150"/>
        <v>1.5705583077647061</v>
      </c>
      <c r="N1041" s="37">
        <v>1.6424859462835726</v>
      </c>
      <c r="O1041" s="947">
        <f t="shared" si="154"/>
        <v>0.30343529411764703</v>
      </c>
      <c r="P1041" s="37">
        <f t="shared" si="153"/>
        <v>0.36988762352941174</v>
      </c>
      <c r="Q1041" s="954">
        <f t="shared" si="155"/>
        <v>6.5719688418377137E-2</v>
      </c>
    </row>
    <row r="1042" spans="1:17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432">
        <f t="shared" si="149"/>
        <v>142.1</v>
      </c>
      <c r="G1042" s="330">
        <v>4</v>
      </c>
      <c r="H1042" s="330"/>
      <c r="I1042" s="330"/>
      <c r="J1042" s="40">
        <f t="shared" si="148"/>
        <v>4</v>
      </c>
      <c r="K1042" s="221">
        <f t="shared" si="151"/>
        <v>2.5098039215686275E-3</v>
      </c>
      <c r="L1042" s="316">
        <f t="shared" si="152"/>
        <v>5.6950713725490196</v>
      </c>
      <c r="M1042" s="7">
        <f t="shared" si="150"/>
        <v>2.0940777436862748</v>
      </c>
      <c r="N1042" s="37">
        <v>2.1899812617114303</v>
      </c>
      <c r="O1042" s="947">
        <f t="shared" si="154"/>
        <v>0.4045803921568627</v>
      </c>
      <c r="P1042" s="37">
        <f t="shared" si="153"/>
        <v>0.49318349803921568</v>
      </c>
      <c r="Q1042" s="954">
        <f t="shared" si="155"/>
        <v>7.3073263688272952E-2</v>
      </c>
    </row>
    <row r="1043" spans="1:17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432">
        <f t="shared" si="149"/>
        <v>259.7</v>
      </c>
      <c r="G1043" s="330">
        <v>8</v>
      </c>
      <c r="H1043" s="330"/>
      <c r="I1043" s="330"/>
      <c r="J1043" s="40">
        <f t="shared" si="148"/>
        <v>8</v>
      </c>
      <c r="K1043" s="221">
        <f t="shared" si="151"/>
        <v>5.019607843137255E-3</v>
      </c>
      <c r="L1043" s="316">
        <f t="shared" si="152"/>
        <v>11.390142745098039</v>
      </c>
      <c r="M1043" s="7">
        <f t="shared" si="150"/>
        <v>4.1881554873725495</v>
      </c>
      <c r="N1043" s="37">
        <v>4.3799625234228605</v>
      </c>
      <c r="O1043" s="947">
        <f t="shared" si="154"/>
        <v>0.8091607843137254</v>
      </c>
      <c r="P1043" s="37">
        <f t="shared" si="153"/>
        <v>0.98636699607843137</v>
      </c>
      <c r="Q1043" s="954">
        <f t="shared" si="155"/>
        <v>7.9966967809808137E-2</v>
      </c>
    </row>
    <row r="1044" spans="1:17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432">
        <f t="shared" si="149"/>
        <v>309.39999999999998</v>
      </c>
      <c r="G1044" s="330">
        <v>4</v>
      </c>
      <c r="H1044" s="330"/>
      <c r="I1044" s="330">
        <v>1</v>
      </c>
      <c r="J1044" s="40">
        <f t="shared" si="148"/>
        <v>5</v>
      </c>
      <c r="K1044" s="221">
        <f t="shared" si="151"/>
        <v>3.1372549019607846E-3</v>
      </c>
      <c r="L1044" s="316">
        <f t="shared" si="152"/>
        <v>7.1188392156862754</v>
      </c>
      <c r="M1044" s="7">
        <f t="shared" si="150"/>
        <v>2.6175971796078437</v>
      </c>
      <c r="N1044" s="37">
        <v>2.7374765771392875</v>
      </c>
      <c r="O1044" s="947">
        <f t="shared" si="154"/>
        <v>0.50572549019607849</v>
      </c>
      <c r="P1044" s="37">
        <f t="shared" si="153"/>
        <v>0.61647937254901974</v>
      </c>
      <c r="Q1044" s="954">
        <f t="shared" si="155"/>
        <v>4.1950996970360331E-2</v>
      </c>
    </row>
    <row r="1045" spans="1:17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432">
        <f t="shared" si="149"/>
        <v>432.1</v>
      </c>
      <c r="G1045" s="330">
        <v>12</v>
      </c>
      <c r="H1045" s="330"/>
      <c r="I1045" s="330"/>
      <c r="J1045" s="40">
        <f t="shared" si="148"/>
        <v>12</v>
      </c>
      <c r="K1045" s="221">
        <f t="shared" si="151"/>
        <v>7.5294117647058826E-3</v>
      </c>
      <c r="L1045" s="316">
        <f t="shared" si="152"/>
        <v>17.085214117647059</v>
      </c>
      <c r="M1045" s="7">
        <f t="shared" si="150"/>
        <v>6.2822332310588243</v>
      </c>
      <c r="N1045" s="37">
        <v>6.5699437851342903</v>
      </c>
      <c r="O1045" s="947">
        <f t="shared" si="154"/>
        <v>1.2137411764705881</v>
      </c>
      <c r="P1045" s="37">
        <f t="shared" si="153"/>
        <v>1.4795504941176469</v>
      </c>
      <c r="Q1045" s="954">
        <f t="shared" si="155"/>
        <v>7.2092414511249148E-2</v>
      </c>
    </row>
    <row r="1046" spans="1:17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432">
        <f t="shared" si="149"/>
        <v>241.89999999999998</v>
      </c>
      <c r="G1046" s="330">
        <v>4</v>
      </c>
      <c r="H1046" s="330"/>
      <c r="I1046" s="330">
        <v>1</v>
      </c>
      <c r="J1046" s="40">
        <f t="shared" si="148"/>
        <v>5</v>
      </c>
      <c r="K1046" s="221">
        <f t="shared" si="151"/>
        <v>3.1372549019607846E-3</v>
      </c>
      <c r="L1046" s="316">
        <f t="shared" si="152"/>
        <v>7.1188392156862754</v>
      </c>
      <c r="M1046" s="7">
        <f t="shared" si="150"/>
        <v>2.6175971796078437</v>
      </c>
      <c r="N1046" s="37">
        <v>2.7374765771392875</v>
      </c>
      <c r="O1046" s="947">
        <f t="shared" si="154"/>
        <v>0.50572549019607849</v>
      </c>
      <c r="P1046" s="37">
        <f t="shared" si="153"/>
        <v>0.61647937254901974</v>
      </c>
      <c r="Q1046" s="954">
        <f t="shared" si="155"/>
        <v>5.3657042011696923E-2</v>
      </c>
    </row>
    <row r="1047" spans="1:17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432">
        <f t="shared" si="149"/>
        <v>278.3</v>
      </c>
      <c r="G1047" s="330">
        <v>5</v>
      </c>
      <c r="H1047" s="330"/>
      <c r="I1047" s="330"/>
      <c r="J1047" s="40">
        <f t="shared" si="148"/>
        <v>5</v>
      </c>
      <c r="K1047" s="221">
        <f t="shared" si="151"/>
        <v>3.1372549019607846E-3</v>
      </c>
      <c r="L1047" s="316">
        <f t="shared" si="152"/>
        <v>7.1188392156862754</v>
      </c>
      <c r="M1047" s="7">
        <f t="shared" si="150"/>
        <v>2.6175971796078437</v>
      </c>
      <c r="N1047" s="37">
        <v>2.7374765771392875</v>
      </c>
      <c r="O1047" s="947">
        <f t="shared" si="154"/>
        <v>0.50572549019607849</v>
      </c>
      <c r="P1047" s="37">
        <f t="shared" si="153"/>
        <v>0.61647937254901974</v>
      </c>
      <c r="Q1047" s="954">
        <f t="shared" si="155"/>
        <v>4.6639017113293151E-2</v>
      </c>
    </row>
    <row r="1048" spans="1:17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432">
        <f t="shared" si="149"/>
        <v>150</v>
      </c>
      <c r="G1048" s="330">
        <v>4</v>
      </c>
      <c r="H1048" s="330"/>
      <c r="I1048" s="330"/>
      <c r="J1048" s="40">
        <f t="shared" si="148"/>
        <v>4</v>
      </c>
      <c r="K1048" s="221">
        <f t="shared" si="151"/>
        <v>2.5098039215686275E-3</v>
      </c>
      <c r="L1048" s="316">
        <f t="shared" si="152"/>
        <v>5.6950713725490196</v>
      </c>
      <c r="M1048" s="7">
        <f t="shared" si="150"/>
        <v>2.0940777436862748</v>
      </c>
      <c r="N1048" s="37">
        <v>2.1899812617114303</v>
      </c>
      <c r="O1048" s="947">
        <f>K1048*1161.2</f>
        <v>2.9143843137254906</v>
      </c>
      <c r="P1048" s="37">
        <f t="shared" si="153"/>
        <v>3.552634478431373</v>
      </c>
      <c r="Q1048" s="954">
        <f t="shared" si="155"/>
        <v>8.5956764611148109E-2</v>
      </c>
    </row>
    <row r="1049" spans="1:17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432">
        <f t="shared" si="149"/>
        <v>140.6</v>
      </c>
      <c r="G1049" s="330">
        <v>4</v>
      </c>
      <c r="H1049" s="330"/>
      <c r="I1049" s="330"/>
      <c r="J1049" s="40">
        <f t="shared" si="148"/>
        <v>4</v>
      </c>
      <c r="K1049" s="221">
        <f t="shared" si="151"/>
        <v>2.5098039215686275E-3</v>
      </c>
      <c r="L1049" s="316">
        <f t="shared" si="152"/>
        <v>5.6950713725490196</v>
      </c>
      <c r="M1049" s="7">
        <f t="shared" si="150"/>
        <v>2.0940777436862748</v>
      </c>
      <c r="N1049" s="37">
        <v>2.1899812617114303</v>
      </c>
      <c r="O1049" s="947">
        <f t="shared" si="154"/>
        <v>0.4045803921568627</v>
      </c>
      <c r="P1049" s="37">
        <f t="shared" si="153"/>
        <v>0.49318349803921568</v>
      </c>
      <c r="Q1049" s="954">
        <f t="shared" si="155"/>
        <v>7.3852850427479286E-2</v>
      </c>
    </row>
    <row r="1050" spans="1:17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432">
        <f t="shared" si="149"/>
        <v>209.1</v>
      </c>
      <c r="G1050" s="330">
        <v>9</v>
      </c>
      <c r="H1050" s="330"/>
      <c r="I1050" s="330"/>
      <c r="J1050" s="40">
        <f t="shared" si="148"/>
        <v>9</v>
      </c>
      <c r="K1050" s="221">
        <f t="shared" si="151"/>
        <v>5.6470588235294121E-3</v>
      </c>
      <c r="L1050" s="316">
        <f t="shared" si="152"/>
        <v>12.813910588235295</v>
      </c>
      <c r="M1050" s="7">
        <f t="shared" si="150"/>
        <v>4.711674923294118</v>
      </c>
      <c r="N1050" s="37">
        <v>4.9274578388507182</v>
      </c>
      <c r="O1050" s="947">
        <f>K1050*1161.2</f>
        <v>6.5573647058823532</v>
      </c>
      <c r="P1050" s="37">
        <f t="shared" si="153"/>
        <v>7.9934275764705891</v>
      </c>
      <c r="Q1050" s="954">
        <f t="shared" si="155"/>
        <v>0.13873939768657334</v>
      </c>
    </row>
    <row r="1051" spans="1:17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432">
        <f t="shared" si="149"/>
        <v>463.5</v>
      </c>
      <c r="G1051" s="330">
        <v>8</v>
      </c>
      <c r="H1051" s="330"/>
      <c r="I1051" s="330"/>
      <c r="J1051" s="40">
        <f t="shared" si="148"/>
        <v>8</v>
      </c>
      <c r="K1051" s="221">
        <f t="shared" si="151"/>
        <v>5.019607843137255E-3</v>
      </c>
      <c r="L1051" s="316">
        <f t="shared" si="152"/>
        <v>11.390142745098039</v>
      </c>
      <c r="M1051" s="7">
        <f t="shared" si="150"/>
        <v>4.1881554873725495</v>
      </c>
      <c r="N1051" s="37">
        <v>4.3799625234228605</v>
      </c>
      <c r="O1051" s="947">
        <f>K1051*1461.2</f>
        <v>7.3346509803921576</v>
      </c>
      <c r="P1051" s="37">
        <f t="shared" si="153"/>
        <v>8.9409395450980416</v>
      </c>
      <c r="Q1051" s="954">
        <f t="shared" si="155"/>
        <v>5.8884383465556862E-2</v>
      </c>
    </row>
    <row r="1052" spans="1:17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432">
        <f t="shared" si="149"/>
        <v>126</v>
      </c>
      <c r="G1052" s="330">
        <v>4</v>
      </c>
      <c r="H1052" s="330"/>
      <c r="I1052" s="330"/>
      <c r="J1052" s="40">
        <f t="shared" si="148"/>
        <v>4</v>
      </c>
      <c r="K1052" s="221">
        <f t="shared" si="151"/>
        <v>2.5098039215686275E-3</v>
      </c>
      <c r="L1052" s="316">
        <f t="shared" si="152"/>
        <v>5.6950713725490196</v>
      </c>
      <c r="M1052" s="7">
        <f t="shared" si="150"/>
        <v>2.0940777436862748</v>
      </c>
      <c r="N1052" s="37">
        <v>2.1899812617114303</v>
      </c>
      <c r="O1052" s="947">
        <f>K1052*1161.2</f>
        <v>2.9143843137254906</v>
      </c>
      <c r="P1052" s="37">
        <f t="shared" si="153"/>
        <v>3.552634478431373</v>
      </c>
      <c r="Q1052" s="954">
        <f t="shared" si="155"/>
        <v>0.10232948167993822</v>
      </c>
    </row>
    <row r="1053" spans="1:17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432">
        <f t="shared" si="149"/>
        <v>725.1</v>
      </c>
      <c r="G1053" s="330">
        <v>19</v>
      </c>
      <c r="H1053" s="330"/>
      <c r="I1053" s="330"/>
      <c r="J1053" s="40">
        <f t="shared" si="148"/>
        <v>19</v>
      </c>
      <c r="K1053" s="221">
        <f t="shared" si="151"/>
        <v>1.1921568627450981E-2</v>
      </c>
      <c r="L1053" s="316">
        <f t="shared" si="152"/>
        <v>27.051589019607846</v>
      </c>
      <c r="M1053" s="7">
        <f t="shared" si="150"/>
        <v>9.9468692825098053</v>
      </c>
      <c r="N1053" s="37">
        <v>10.402410993129292</v>
      </c>
      <c r="O1053" s="947">
        <f t="shared" si="154"/>
        <v>1.9217568627450978</v>
      </c>
      <c r="P1053" s="37">
        <f t="shared" si="153"/>
        <v>2.3426216156862743</v>
      </c>
      <c r="Q1053" s="954">
        <f t="shared" si="155"/>
        <v>6.8021826172930677E-2</v>
      </c>
    </row>
    <row r="1054" spans="1:17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432">
        <f t="shared" si="149"/>
        <v>466.88</v>
      </c>
      <c r="G1054" s="330">
        <v>13</v>
      </c>
      <c r="H1054" s="330"/>
      <c r="I1054" s="330"/>
      <c r="J1054" s="40">
        <f t="shared" si="148"/>
        <v>13</v>
      </c>
      <c r="K1054" s="221">
        <f t="shared" si="151"/>
        <v>8.1568627450980397E-3</v>
      </c>
      <c r="L1054" s="316">
        <f t="shared" si="152"/>
        <v>18.508981960784315</v>
      </c>
      <c r="M1054" s="7">
        <f t="shared" si="150"/>
        <v>6.8057526669803927</v>
      </c>
      <c r="N1054" s="37">
        <v>7.1174391005621489</v>
      </c>
      <c r="O1054" s="947">
        <f t="shared" si="154"/>
        <v>1.314886274509804</v>
      </c>
      <c r="P1054" s="37">
        <f t="shared" si="153"/>
        <v>1.6028463686274512</v>
      </c>
      <c r="Q1054" s="954">
        <f t="shared" si="155"/>
        <v>7.2282085338495256E-2</v>
      </c>
    </row>
    <row r="1055" spans="1:17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432">
        <f t="shared" si="149"/>
        <v>138.1</v>
      </c>
      <c r="G1055" s="330">
        <v>4</v>
      </c>
      <c r="H1055" s="330"/>
      <c r="I1055" s="330"/>
      <c r="J1055" s="40">
        <f t="shared" si="148"/>
        <v>4</v>
      </c>
      <c r="K1055" s="221">
        <f t="shared" si="151"/>
        <v>2.5098039215686275E-3</v>
      </c>
      <c r="L1055" s="316">
        <f t="shared" si="152"/>
        <v>5.6950713725490196</v>
      </c>
      <c r="M1055" s="7">
        <f t="shared" si="150"/>
        <v>2.0940777436862748</v>
      </c>
      <c r="N1055" s="37">
        <v>2.1899812617114303</v>
      </c>
      <c r="O1055" s="947">
        <f t="shared" si="154"/>
        <v>0.4045803921568627</v>
      </c>
      <c r="P1055" s="37">
        <f t="shared" si="153"/>
        <v>0.49318349803921568</v>
      </c>
      <c r="Q1055" s="954">
        <f t="shared" si="155"/>
        <v>7.5189795583661026E-2</v>
      </c>
    </row>
    <row r="1056" spans="1:17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432">
        <f t="shared" si="149"/>
        <v>139.30000000000001</v>
      </c>
      <c r="G1056" s="330">
        <v>2</v>
      </c>
      <c r="H1056" s="330"/>
      <c r="I1056" s="330"/>
      <c r="J1056" s="40">
        <f t="shared" si="148"/>
        <v>2</v>
      </c>
      <c r="K1056" s="221">
        <f t="shared" si="151"/>
        <v>1.2549019607843138E-3</v>
      </c>
      <c r="L1056" s="316">
        <f t="shared" si="152"/>
        <v>2.8475356862745098</v>
      </c>
      <c r="M1056" s="7">
        <f t="shared" si="150"/>
        <v>1.0470388718431374</v>
      </c>
      <c r="N1056" s="37">
        <v>1.0949906308557151</v>
      </c>
      <c r="O1056" s="947">
        <f>K1056*1161.2</f>
        <v>1.4571921568627453</v>
      </c>
      <c r="P1056" s="37">
        <f t="shared" si="153"/>
        <v>1.7763172392156865</v>
      </c>
      <c r="Q1056" s="954">
        <f t="shared" si="155"/>
        <v>4.6279665081379089E-2</v>
      </c>
    </row>
    <row r="1057" spans="1:17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432">
        <f t="shared" si="149"/>
        <v>807</v>
      </c>
      <c r="G1057" s="330">
        <v>16</v>
      </c>
      <c r="H1057" s="330"/>
      <c r="I1057" s="330"/>
      <c r="J1057" s="40">
        <f t="shared" si="148"/>
        <v>16</v>
      </c>
      <c r="K1057" s="221">
        <f t="shared" si="151"/>
        <v>1.003921568627451E-2</v>
      </c>
      <c r="L1057" s="316">
        <f t="shared" si="152"/>
        <v>22.780285490196079</v>
      </c>
      <c r="M1057" s="7">
        <f t="shared" si="150"/>
        <v>8.376310974745099</v>
      </c>
      <c r="N1057" s="37">
        <v>8.759925046845721</v>
      </c>
      <c r="O1057" s="947">
        <f>K1057*1161.2</f>
        <v>11.657537254901962</v>
      </c>
      <c r="P1057" s="37">
        <f t="shared" si="153"/>
        <v>14.210537913725492</v>
      </c>
      <c r="Q1057" s="954">
        <f t="shared" si="155"/>
        <v>6.3908375175574794E-2</v>
      </c>
    </row>
    <row r="1058" spans="1:17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432">
        <f t="shared" si="149"/>
        <v>1555.2</v>
      </c>
      <c r="G1058" s="330">
        <v>32</v>
      </c>
      <c r="H1058" s="330"/>
      <c r="I1058" s="330"/>
      <c r="J1058" s="40">
        <f t="shared" si="148"/>
        <v>32</v>
      </c>
      <c r="K1058" s="221">
        <f t="shared" si="151"/>
        <v>2.007843137254902E-2</v>
      </c>
      <c r="L1058" s="316">
        <f t="shared" si="152"/>
        <v>45.560570980392157</v>
      </c>
      <c r="M1058" s="7">
        <f t="shared" si="150"/>
        <v>16.752621949490198</v>
      </c>
      <c r="N1058" s="37">
        <v>17.519850093691442</v>
      </c>
      <c r="O1058" s="947">
        <f t="shared" si="154"/>
        <v>3.2366431372549016</v>
      </c>
      <c r="P1058" s="37">
        <f t="shared" si="153"/>
        <v>3.9454679843137255</v>
      </c>
      <c r="Q1058" s="954">
        <f t="shared" si="155"/>
        <v>5.3414150051973183E-2</v>
      </c>
    </row>
    <row r="1059" spans="1:17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432">
        <f t="shared" si="149"/>
        <v>1514.3</v>
      </c>
      <c r="G1059" s="330">
        <v>32</v>
      </c>
      <c r="H1059" s="330"/>
      <c r="I1059" s="330"/>
      <c r="J1059" s="40">
        <f t="shared" si="148"/>
        <v>32</v>
      </c>
      <c r="K1059" s="221">
        <f t="shared" si="151"/>
        <v>2.007843137254902E-2</v>
      </c>
      <c r="L1059" s="316">
        <f t="shared" si="152"/>
        <v>45.560570980392157</v>
      </c>
      <c r="M1059" s="7">
        <f t="shared" si="150"/>
        <v>16.752621949490198</v>
      </c>
      <c r="N1059" s="37">
        <v>17.519850093691442</v>
      </c>
      <c r="O1059" s="947">
        <f t="shared" si="154"/>
        <v>3.2366431372549016</v>
      </c>
      <c r="P1059" s="37">
        <f t="shared" si="153"/>
        <v>3.9454679843137255</v>
      </c>
      <c r="Q1059" s="954">
        <f t="shared" si="155"/>
        <v>5.4856822400335931E-2</v>
      </c>
    </row>
    <row r="1060" spans="1:17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432">
        <f t="shared" si="149"/>
        <v>394</v>
      </c>
      <c r="G1060" s="330">
        <v>12</v>
      </c>
      <c r="H1060" s="330"/>
      <c r="I1060" s="330"/>
      <c r="J1060" s="40">
        <f t="shared" si="148"/>
        <v>12</v>
      </c>
      <c r="K1060" s="221">
        <f t="shared" si="151"/>
        <v>7.5294117647058826E-3</v>
      </c>
      <c r="L1060" s="316">
        <f t="shared" si="152"/>
        <v>17.085214117647059</v>
      </c>
      <c r="M1060" s="7">
        <f t="shared" si="150"/>
        <v>6.2822332310588243</v>
      </c>
      <c r="N1060" s="37">
        <v>6.5699437851342903</v>
      </c>
      <c r="O1060" s="947">
        <f t="shared" si="154"/>
        <v>1.2137411764705881</v>
      </c>
      <c r="P1060" s="37">
        <f t="shared" si="153"/>
        <v>1.4795504941176469</v>
      </c>
      <c r="Q1060" s="954">
        <f t="shared" si="155"/>
        <v>7.9063787589621223E-2</v>
      </c>
    </row>
    <row r="1061" spans="1:17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432">
        <f t="shared" si="149"/>
        <v>572.5</v>
      </c>
      <c r="G1061" s="330">
        <v>12</v>
      </c>
      <c r="H1061" s="330"/>
      <c r="I1061" s="330"/>
      <c r="J1061" s="40">
        <f t="shared" ref="J1061:J1123" si="156">G1061+H1061+I1061</f>
        <v>12</v>
      </c>
      <c r="K1061" s="221">
        <f t="shared" si="151"/>
        <v>7.5294117647058826E-3</v>
      </c>
      <c r="L1061" s="316">
        <f t="shared" si="152"/>
        <v>17.085214117647059</v>
      </c>
      <c r="M1061" s="7">
        <f t="shared" si="150"/>
        <v>6.2822332310588243</v>
      </c>
      <c r="N1061" s="37">
        <v>6.5699437851342903</v>
      </c>
      <c r="O1061" s="947">
        <f t="shared" si="154"/>
        <v>1.2137411764705881</v>
      </c>
      <c r="P1061" s="37">
        <f t="shared" si="153"/>
        <v>1.4795504941176469</v>
      </c>
      <c r="Q1061" s="954">
        <f t="shared" si="155"/>
        <v>5.4412458183948929E-2</v>
      </c>
    </row>
    <row r="1062" spans="1:17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432">
        <f t="shared" si="149"/>
        <v>351.9</v>
      </c>
      <c r="G1062" s="330">
        <v>9</v>
      </c>
      <c r="H1062" s="330"/>
      <c r="I1062" s="330"/>
      <c r="J1062" s="40">
        <f t="shared" si="156"/>
        <v>9</v>
      </c>
      <c r="K1062" s="221">
        <f t="shared" si="151"/>
        <v>5.6470588235294121E-3</v>
      </c>
      <c r="L1062" s="316">
        <f t="shared" si="152"/>
        <v>12.813910588235295</v>
      </c>
      <c r="M1062" s="7">
        <f t="shared" si="150"/>
        <v>4.711674923294118</v>
      </c>
      <c r="N1062" s="37">
        <v>4.9274578388507182</v>
      </c>
      <c r="O1062" s="947">
        <f t="shared" si="154"/>
        <v>0.91030588235294119</v>
      </c>
      <c r="P1062" s="37">
        <f t="shared" si="153"/>
        <v>1.1096628705882354</v>
      </c>
      <c r="Q1062" s="954">
        <f t="shared" si="155"/>
        <v>6.6392012596570252E-2</v>
      </c>
    </row>
    <row r="1063" spans="1:17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432">
        <f t="shared" si="149"/>
        <v>449.4</v>
      </c>
      <c r="G1063" s="330">
        <v>10</v>
      </c>
      <c r="H1063" s="330"/>
      <c r="I1063" s="330"/>
      <c r="J1063" s="40">
        <f t="shared" si="156"/>
        <v>10</v>
      </c>
      <c r="K1063" s="221">
        <f t="shared" si="151"/>
        <v>6.2745098039215692E-3</v>
      </c>
      <c r="L1063" s="316">
        <f t="shared" si="152"/>
        <v>14.237678431372551</v>
      </c>
      <c r="M1063" s="7">
        <f t="shared" si="150"/>
        <v>5.2351943592156873</v>
      </c>
      <c r="N1063" s="37">
        <v>5.474953154278575</v>
      </c>
      <c r="O1063" s="947">
        <f t="shared" si="154"/>
        <v>1.011450980392157</v>
      </c>
      <c r="P1063" s="37">
        <f t="shared" si="153"/>
        <v>1.2329587450980395</v>
      </c>
      <c r="Q1063" s="954">
        <f t="shared" si="155"/>
        <v>5.7764301124296771E-2</v>
      </c>
    </row>
    <row r="1064" spans="1:17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432">
        <f t="shared" ref="F1064:F1126" si="157">C1064+D1064+E1064</f>
        <v>1394.3</v>
      </c>
      <c r="G1064" s="330">
        <v>31</v>
      </c>
      <c r="H1064" s="330"/>
      <c r="I1064" s="330"/>
      <c r="J1064" s="40">
        <f t="shared" si="156"/>
        <v>31</v>
      </c>
      <c r="K1064" s="221">
        <f t="shared" si="151"/>
        <v>1.9450980392156862E-2</v>
      </c>
      <c r="L1064" s="316">
        <f t="shared" si="152"/>
        <v>44.136803137254901</v>
      </c>
      <c r="M1064" s="7">
        <f t="shared" si="150"/>
        <v>16.229102513568627</v>
      </c>
      <c r="N1064" s="37">
        <v>16.972354778263583</v>
      </c>
      <c r="O1064" s="947">
        <f t="shared" si="154"/>
        <v>3.1354980392156859</v>
      </c>
      <c r="P1064" s="37">
        <f t="shared" si="153"/>
        <v>3.8221721098039212</v>
      </c>
      <c r="Q1064" s="954">
        <f t="shared" si="155"/>
        <v>5.7716243612065413E-2</v>
      </c>
    </row>
    <row r="1065" spans="1:17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432">
        <f t="shared" si="157"/>
        <v>398.7</v>
      </c>
      <c r="G1065" s="330">
        <v>9</v>
      </c>
      <c r="H1065" s="330"/>
      <c r="I1065" s="330"/>
      <c r="J1065" s="40">
        <f t="shared" si="156"/>
        <v>9</v>
      </c>
      <c r="K1065" s="221">
        <f t="shared" si="151"/>
        <v>5.6470588235294121E-3</v>
      </c>
      <c r="L1065" s="316">
        <f t="shared" si="152"/>
        <v>12.813910588235295</v>
      </c>
      <c r="M1065" s="7">
        <f t="shared" si="150"/>
        <v>4.711674923294118</v>
      </c>
      <c r="N1065" s="37">
        <v>4.9274578388507182</v>
      </c>
      <c r="O1065" s="947">
        <f t="shared" si="154"/>
        <v>0.91030588235294119</v>
      </c>
      <c r="P1065" s="37">
        <f t="shared" si="153"/>
        <v>1.1096628705882354</v>
      </c>
      <c r="Q1065" s="954">
        <f t="shared" si="155"/>
        <v>5.8598819244376904E-2</v>
      </c>
    </row>
    <row r="1066" spans="1:17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432">
        <f t="shared" si="157"/>
        <v>359.4</v>
      </c>
      <c r="G1066" s="330">
        <v>8</v>
      </c>
      <c r="H1066" s="330"/>
      <c r="I1066" s="330"/>
      <c r="J1066" s="40">
        <f t="shared" si="156"/>
        <v>8</v>
      </c>
      <c r="K1066" s="221">
        <f t="shared" si="151"/>
        <v>5.019607843137255E-3</v>
      </c>
      <c r="L1066" s="316">
        <f t="shared" si="152"/>
        <v>11.390142745098039</v>
      </c>
      <c r="M1066" s="7">
        <f t="shared" ref="M1066:M1128" si="158">L1066*0.3677</f>
        <v>4.1881554873725495</v>
      </c>
      <c r="N1066" s="37">
        <v>4.3799625234228605</v>
      </c>
      <c r="O1066" s="947">
        <f>K1066*161.2</f>
        <v>0.8091607843137254</v>
      </c>
      <c r="P1066" s="37">
        <f t="shared" si="153"/>
        <v>0.98636699607843137</v>
      </c>
      <c r="Q1066" s="954">
        <f t="shared" si="155"/>
        <v>5.7783588036191359E-2</v>
      </c>
    </row>
    <row r="1067" spans="1:17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432">
        <f t="shared" si="157"/>
        <v>694.9</v>
      </c>
      <c r="G1067" s="330">
        <v>19</v>
      </c>
      <c r="H1067" s="330"/>
      <c r="I1067" s="330"/>
      <c r="J1067" s="40">
        <f t="shared" si="156"/>
        <v>19</v>
      </c>
      <c r="K1067" s="221">
        <f t="shared" si="151"/>
        <v>1.1921568627450981E-2</v>
      </c>
      <c r="L1067" s="316">
        <f t="shared" si="152"/>
        <v>27.051589019607846</v>
      </c>
      <c r="M1067" s="7">
        <f t="shared" si="158"/>
        <v>9.9468692825098053</v>
      </c>
      <c r="N1067" s="37">
        <v>10.402410993129292</v>
      </c>
      <c r="O1067" s="947">
        <f t="shared" si="154"/>
        <v>1.9217568627450978</v>
      </c>
      <c r="P1067" s="37">
        <f t="shared" si="153"/>
        <v>2.3426216156862743</v>
      </c>
      <c r="Q1067" s="954">
        <f t="shared" si="155"/>
        <v>7.0978020086331903E-2</v>
      </c>
    </row>
    <row r="1068" spans="1:17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432">
        <f t="shared" si="157"/>
        <v>629.6</v>
      </c>
      <c r="G1068" s="330">
        <v>16</v>
      </c>
      <c r="H1068" s="330"/>
      <c r="I1068" s="330"/>
      <c r="J1068" s="40">
        <f t="shared" si="156"/>
        <v>16</v>
      </c>
      <c r="K1068" s="221">
        <f t="shared" si="151"/>
        <v>1.003921568627451E-2</v>
      </c>
      <c r="L1068" s="316">
        <f t="shared" si="152"/>
        <v>22.780285490196079</v>
      </c>
      <c r="M1068" s="7">
        <f t="shared" si="158"/>
        <v>8.376310974745099</v>
      </c>
      <c r="N1068" s="37">
        <v>8.759925046845721</v>
      </c>
      <c r="O1068" s="947">
        <f>K1068*1161.2</f>
        <v>11.657537254901962</v>
      </c>
      <c r="P1068" s="37">
        <f t="shared" si="153"/>
        <v>14.210537913725492</v>
      </c>
      <c r="Q1068" s="954">
        <f t="shared" si="155"/>
        <v>8.1915595245693876E-2</v>
      </c>
    </row>
    <row r="1069" spans="1:17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432">
        <f t="shared" si="157"/>
        <v>969.07</v>
      </c>
      <c r="G1069" s="330">
        <v>24</v>
      </c>
      <c r="H1069" s="330"/>
      <c r="I1069" s="330"/>
      <c r="J1069" s="40">
        <f t="shared" si="156"/>
        <v>24</v>
      </c>
      <c r="K1069" s="221">
        <f t="shared" si="151"/>
        <v>1.5058823529411765E-2</v>
      </c>
      <c r="L1069" s="316">
        <f t="shared" si="152"/>
        <v>34.170428235294118</v>
      </c>
      <c r="M1069" s="7">
        <f t="shared" si="158"/>
        <v>12.564466462117649</v>
      </c>
      <c r="N1069" s="37">
        <v>13.139887570268581</v>
      </c>
      <c r="O1069" s="947">
        <f t="shared" si="154"/>
        <v>2.4274823529411762</v>
      </c>
      <c r="P1069" s="37">
        <f t="shared" si="153"/>
        <v>2.9591009882352939</v>
      </c>
      <c r="Q1069" s="954">
        <f t="shared" si="155"/>
        <v>6.4290778396422874E-2</v>
      </c>
    </row>
    <row r="1070" spans="1:17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432">
        <f t="shared" si="157"/>
        <v>315.7</v>
      </c>
      <c r="G1070" s="330">
        <v>10</v>
      </c>
      <c r="H1070" s="330"/>
      <c r="I1070" s="330"/>
      <c r="J1070" s="40">
        <f t="shared" si="156"/>
        <v>10</v>
      </c>
      <c r="K1070" s="221">
        <f t="shared" si="151"/>
        <v>6.2745098039215692E-3</v>
      </c>
      <c r="L1070" s="316">
        <f t="shared" si="152"/>
        <v>14.237678431372551</v>
      </c>
      <c r="M1070" s="7">
        <f t="shared" si="158"/>
        <v>5.2351943592156873</v>
      </c>
      <c r="N1070" s="37">
        <v>5.474953154278575</v>
      </c>
      <c r="O1070" s="947">
        <f t="shared" si="154"/>
        <v>1.011450980392157</v>
      </c>
      <c r="P1070" s="37">
        <f t="shared" si="153"/>
        <v>1.2329587450980395</v>
      </c>
      <c r="Q1070" s="954">
        <f t="shared" si="155"/>
        <v>8.2227674771171905E-2</v>
      </c>
    </row>
    <row r="1071" spans="1:17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432">
        <f t="shared" si="157"/>
        <v>677.4</v>
      </c>
      <c r="G1071" s="330">
        <v>15</v>
      </c>
      <c r="H1071" s="330"/>
      <c r="I1071" s="330"/>
      <c r="J1071" s="40">
        <f t="shared" si="156"/>
        <v>15</v>
      </c>
      <c r="K1071" s="221">
        <f t="shared" si="151"/>
        <v>9.4117647058823539E-3</v>
      </c>
      <c r="L1071" s="316">
        <f t="shared" si="152"/>
        <v>21.356517647058826</v>
      </c>
      <c r="M1071" s="7">
        <f t="shared" si="158"/>
        <v>7.8527915388235314</v>
      </c>
      <c r="N1071" s="37">
        <v>8.2124297314178616</v>
      </c>
      <c r="O1071" s="947">
        <f t="shared" si="154"/>
        <v>1.5171764705882353</v>
      </c>
      <c r="P1071" s="37">
        <f t="shared" si="153"/>
        <v>1.8494381176470591</v>
      </c>
      <c r="Q1071" s="954">
        <f t="shared" si="155"/>
        <v>5.7482898417313931E-2</v>
      </c>
    </row>
    <row r="1072" spans="1:17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432">
        <f t="shared" si="157"/>
        <v>255.8</v>
      </c>
      <c r="G1072" s="330">
        <v>7</v>
      </c>
      <c r="H1072" s="330"/>
      <c r="I1072" s="330"/>
      <c r="J1072" s="40">
        <f t="shared" si="156"/>
        <v>7</v>
      </c>
      <c r="K1072" s="221">
        <f t="shared" si="151"/>
        <v>4.3921568627450979E-3</v>
      </c>
      <c r="L1072" s="316">
        <f t="shared" si="152"/>
        <v>9.9663749019607852</v>
      </c>
      <c r="M1072" s="7">
        <f t="shared" si="158"/>
        <v>3.664636051450981</v>
      </c>
      <c r="N1072" s="37">
        <v>3.8324672079950028</v>
      </c>
      <c r="O1072" s="947">
        <f t="shared" si="154"/>
        <v>0.70801568627450973</v>
      </c>
      <c r="P1072" s="37">
        <f t="shared" si="153"/>
        <v>0.86307112156862742</v>
      </c>
      <c r="Q1072" s="954">
        <f t="shared" si="155"/>
        <v>7.1037896198910377E-2</v>
      </c>
    </row>
    <row r="1073" spans="1:17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432">
        <f t="shared" si="157"/>
        <v>352.5</v>
      </c>
      <c r="G1073" s="330">
        <v>4</v>
      </c>
      <c r="H1073" s="730">
        <v>1</v>
      </c>
      <c r="I1073" s="330"/>
      <c r="J1073" s="40">
        <f t="shared" si="156"/>
        <v>5</v>
      </c>
      <c r="K1073" s="221">
        <f t="shared" ref="K1073:K1136" si="159">4/6375*J1073</f>
        <v>3.1372549019607846E-3</v>
      </c>
      <c r="L1073" s="316">
        <f t="shared" ref="L1073:L1136" si="160">K1073*2269.13</f>
        <v>7.1188392156862754</v>
      </c>
      <c r="M1073" s="7">
        <f t="shared" si="158"/>
        <v>2.6175971796078437</v>
      </c>
      <c r="N1073" s="37">
        <v>2.7374765771392875</v>
      </c>
      <c r="O1073" s="947">
        <f>K1073*3161.2</f>
        <v>9.9174901960784325</v>
      </c>
      <c r="P1073" s="37">
        <f t="shared" si="153"/>
        <v>12.089420549019611</v>
      </c>
      <c r="Q1073" s="954">
        <f t="shared" si="155"/>
        <v>6.3521711116345636E-2</v>
      </c>
    </row>
    <row r="1074" spans="1:17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432">
        <f t="shared" si="157"/>
        <v>642.9</v>
      </c>
      <c r="G1074" s="330">
        <v>20</v>
      </c>
      <c r="H1074" s="330"/>
      <c r="I1074" s="330"/>
      <c r="J1074" s="40">
        <f t="shared" si="156"/>
        <v>20</v>
      </c>
      <c r="K1074" s="221">
        <f t="shared" si="159"/>
        <v>1.2549019607843138E-2</v>
      </c>
      <c r="L1074" s="316">
        <f t="shared" si="160"/>
        <v>28.475356862745102</v>
      </c>
      <c r="M1074" s="7">
        <f t="shared" si="158"/>
        <v>10.470388718431375</v>
      </c>
      <c r="N1074" s="37">
        <v>10.94990630855715</v>
      </c>
      <c r="O1074" s="947">
        <f>K1074*2161.2</f>
        <v>27.120941176470588</v>
      </c>
      <c r="P1074" s="37">
        <f t="shared" ref="P1074:P1137" si="161">O1074*1.219</f>
        <v>33.060427294117652</v>
      </c>
      <c r="Q1074" s="954">
        <f t="shared" si="155"/>
        <v>0.11979560284057275</v>
      </c>
    </row>
    <row r="1075" spans="1:17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432">
        <f t="shared" si="157"/>
        <v>324.39999999999998</v>
      </c>
      <c r="G1075" s="330">
        <v>9</v>
      </c>
      <c r="H1075" s="330"/>
      <c r="I1075" s="330"/>
      <c r="J1075" s="40">
        <f t="shared" si="156"/>
        <v>9</v>
      </c>
      <c r="K1075" s="221">
        <f t="shared" si="159"/>
        <v>5.6470588235294121E-3</v>
      </c>
      <c r="L1075" s="316">
        <f t="shared" si="160"/>
        <v>12.813910588235295</v>
      </c>
      <c r="M1075" s="7">
        <f t="shared" si="158"/>
        <v>4.711674923294118</v>
      </c>
      <c r="N1075" s="37">
        <v>4.9274578388507182</v>
      </c>
      <c r="O1075" s="947">
        <f t="shared" si="154"/>
        <v>0.91030588235294119</v>
      </c>
      <c r="P1075" s="37">
        <f t="shared" si="161"/>
        <v>1.1096628705882354</v>
      </c>
      <c r="Q1075" s="954">
        <f t="shared" si="155"/>
        <v>7.2020188756883707E-2</v>
      </c>
    </row>
    <row r="1076" spans="1:17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432">
        <f t="shared" si="157"/>
        <v>505</v>
      </c>
      <c r="G1076" s="330">
        <v>12</v>
      </c>
      <c r="H1076" s="330"/>
      <c r="I1076" s="330"/>
      <c r="J1076" s="40">
        <f t="shared" si="156"/>
        <v>12</v>
      </c>
      <c r="K1076" s="221">
        <f t="shared" si="159"/>
        <v>7.5294117647058826E-3</v>
      </c>
      <c r="L1076" s="316">
        <f t="shared" si="160"/>
        <v>17.085214117647059</v>
      </c>
      <c r="M1076" s="7">
        <f t="shared" si="158"/>
        <v>6.2822332310588243</v>
      </c>
      <c r="N1076" s="37">
        <v>6.5699437851342903</v>
      </c>
      <c r="O1076" s="947">
        <f t="shared" si="154"/>
        <v>1.2137411764705881</v>
      </c>
      <c r="P1076" s="37">
        <f t="shared" si="161"/>
        <v>1.4795504941176469</v>
      </c>
      <c r="Q1076" s="954">
        <f t="shared" si="155"/>
        <v>6.1685410515466853E-2</v>
      </c>
    </row>
    <row r="1077" spans="1:17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432">
        <f t="shared" si="157"/>
        <v>548.70000000000005</v>
      </c>
      <c r="G1077" s="330">
        <v>14</v>
      </c>
      <c r="H1077" s="330"/>
      <c r="I1077" s="330"/>
      <c r="J1077" s="40">
        <f t="shared" si="156"/>
        <v>14</v>
      </c>
      <c r="K1077" s="221">
        <f t="shared" si="159"/>
        <v>8.7843137254901959E-3</v>
      </c>
      <c r="L1077" s="316">
        <f t="shared" si="160"/>
        <v>19.93274980392157</v>
      </c>
      <c r="M1077" s="7">
        <f t="shared" si="158"/>
        <v>7.3292721029019621</v>
      </c>
      <c r="N1077" s="37">
        <v>7.6649344159900057</v>
      </c>
      <c r="O1077" s="947">
        <f t="shared" si="154"/>
        <v>1.4160313725490195</v>
      </c>
      <c r="P1077" s="37">
        <f t="shared" si="161"/>
        <v>1.7261422431372548</v>
      </c>
      <c r="Q1077" s="954">
        <f t="shared" si="155"/>
        <v>6.6234714225191449E-2</v>
      </c>
    </row>
    <row r="1078" spans="1:17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432">
        <f t="shared" si="157"/>
        <v>222.33</v>
      </c>
      <c r="G1078" s="330">
        <v>7</v>
      </c>
      <c r="H1078" s="330"/>
      <c r="I1078" s="330"/>
      <c r="J1078" s="40">
        <f t="shared" si="156"/>
        <v>7</v>
      </c>
      <c r="K1078" s="221">
        <f t="shared" si="159"/>
        <v>4.3921568627450979E-3</v>
      </c>
      <c r="L1078" s="316">
        <f t="shared" si="160"/>
        <v>9.9663749019607852</v>
      </c>
      <c r="M1078" s="7">
        <f t="shared" si="158"/>
        <v>3.664636051450981</v>
      </c>
      <c r="N1078" s="37">
        <v>3.8324672079950028</v>
      </c>
      <c r="O1078" s="947">
        <f t="shared" si="154"/>
        <v>0.70801568627450973</v>
      </c>
      <c r="P1078" s="37">
        <f t="shared" si="161"/>
        <v>0.86307112156862742</v>
      </c>
      <c r="Q1078" s="954">
        <f t="shared" si="155"/>
        <v>8.1732082254672225E-2</v>
      </c>
    </row>
    <row r="1079" spans="1:17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432">
        <f t="shared" si="157"/>
        <v>461.2</v>
      </c>
      <c r="G1079" s="330">
        <v>13</v>
      </c>
      <c r="H1079" s="330"/>
      <c r="I1079" s="330"/>
      <c r="J1079" s="40">
        <f t="shared" si="156"/>
        <v>13</v>
      </c>
      <c r="K1079" s="221">
        <f t="shared" si="159"/>
        <v>8.1568627450980397E-3</v>
      </c>
      <c r="L1079" s="316">
        <f t="shared" si="160"/>
        <v>18.508981960784315</v>
      </c>
      <c r="M1079" s="7">
        <f t="shared" si="158"/>
        <v>6.8057526669803927</v>
      </c>
      <c r="N1079" s="37">
        <v>7.1174391005621489</v>
      </c>
      <c r="O1079" s="947">
        <f>K1079*1161.2</f>
        <v>9.4717490196078433</v>
      </c>
      <c r="P1079" s="37">
        <f t="shared" si="161"/>
        <v>11.546062054901961</v>
      </c>
      <c r="Q1079" s="954">
        <f t="shared" si="155"/>
        <v>9.0858462159442113E-2</v>
      </c>
    </row>
    <row r="1080" spans="1:17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432">
        <f t="shared" si="157"/>
        <v>446.5</v>
      </c>
      <c r="G1080" s="330">
        <v>15</v>
      </c>
      <c r="H1080" s="330"/>
      <c r="I1080" s="330"/>
      <c r="J1080" s="40">
        <f t="shared" si="156"/>
        <v>15</v>
      </c>
      <c r="K1080" s="221">
        <f t="shared" si="159"/>
        <v>9.4117647058823539E-3</v>
      </c>
      <c r="L1080" s="316">
        <f t="shared" si="160"/>
        <v>21.356517647058826</v>
      </c>
      <c r="M1080" s="7">
        <f t="shared" si="158"/>
        <v>7.8527915388235314</v>
      </c>
      <c r="N1080" s="37">
        <v>8.2124297314178616</v>
      </c>
      <c r="O1080" s="947">
        <f>K1080*1161.2</f>
        <v>10.928941176470589</v>
      </c>
      <c r="P1080" s="37">
        <f t="shared" si="161"/>
        <v>13.322379294117649</v>
      </c>
      <c r="Q1080" s="954">
        <f t="shared" si="155"/>
        <v>0.10828819729847884</v>
      </c>
    </row>
    <row r="1081" spans="1:17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432">
        <f t="shared" si="157"/>
        <v>291.5</v>
      </c>
      <c r="G1081" s="330">
        <v>7</v>
      </c>
      <c r="H1081" s="330"/>
      <c r="I1081" s="330"/>
      <c r="J1081" s="40">
        <f t="shared" si="156"/>
        <v>7</v>
      </c>
      <c r="K1081" s="221">
        <f t="shared" si="159"/>
        <v>4.3921568627450979E-3</v>
      </c>
      <c r="L1081" s="316">
        <f t="shared" si="160"/>
        <v>9.9663749019607852</v>
      </c>
      <c r="M1081" s="7">
        <f t="shared" si="158"/>
        <v>3.664636051450981</v>
      </c>
      <c r="N1081" s="37">
        <v>3.8324672079950028</v>
      </c>
      <c r="O1081" s="947">
        <f>K1081*1161.2</f>
        <v>5.1001725490196081</v>
      </c>
      <c r="P1081" s="37">
        <f t="shared" si="161"/>
        <v>6.217110337254903</v>
      </c>
      <c r="Q1081" s="954">
        <f t="shared" si="155"/>
        <v>7.7405319761325489E-2</v>
      </c>
    </row>
    <row r="1082" spans="1:17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432">
        <f t="shared" si="157"/>
        <v>361.5</v>
      </c>
      <c r="G1082" s="330">
        <v>7</v>
      </c>
      <c r="H1082" s="330"/>
      <c r="I1082" s="330"/>
      <c r="J1082" s="40">
        <f t="shared" si="156"/>
        <v>7</v>
      </c>
      <c r="K1082" s="221">
        <f t="shared" si="159"/>
        <v>4.3921568627450979E-3</v>
      </c>
      <c r="L1082" s="316">
        <f t="shared" si="160"/>
        <v>9.9663749019607852</v>
      </c>
      <c r="M1082" s="7">
        <f t="shared" si="158"/>
        <v>3.664636051450981</v>
      </c>
      <c r="N1082" s="37">
        <v>3.8324672079950028</v>
      </c>
      <c r="O1082" s="947">
        <f>K1082*1161.2</f>
        <v>5.1001725490196081</v>
      </c>
      <c r="P1082" s="37">
        <f t="shared" si="161"/>
        <v>6.217110337254903</v>
      </c>
      <c r="Q1082" s="954">
        <f t="shared" si="155"/>
        <v>6.2416737788178092E-2</v>
      </c>
    </row>
    <row r="1083" spans="1:17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432">
        <f t="shared" si="157"/>
        <v>485.90000000000003</v>
      </c>
      <c r="G1083" s="330">
        <v>11</v>
      </c>
      <c r="H1083" s="330"/>
      <c r="I1083" s="330">
        <v>1</v>
      </c>
      <c r="J1083" s="40">
        <f t="shared" si="156"/>
        <v>12</v>
      </c>
      <c r="K1083" s="221">
        <f t="shared" si="159"/>
        <v>7.5294117647058826E-3</v>
      </c>
      <c r="L1083" s="316">
        <f t="shared" si="160"/>
        <v>17.085214117647059</v>
      </c>
      <c r="M1083" s="7">
        <f t="shared" si="158"/>
        <v>6.2822332310588243</v>
      </c>
      <c r="N1083" s="37">
        <v>6.5699437851342903</v>
      </c>
      <c r="O1083" s="947">
        <f t="shared" ref="O1083:O1145" si="162">K1083*161.2</f>
        <v>1.2137411764705881</v>
      </c>
      <c r="P1083" s="37">
        <f t="shared" si="161"/>
        <v>1.4795504941176469</v>
      </c>
      <c r="Q1083" s="954">
        <f t="shared" si="155"/>
        <v>6.4110171455671452E-2</v>
      </c>
    </row>
    <row r="1084" spans="1:17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432">
        <f t="shared" si="157"/>
        <v>430.5</v>
      </c>
      <c r="G1084" s="330">
        <v>12</v>
      </c>
      <c r="H1084" s="330"/>
      <c r="I1084" s="330">
        <v>1</v>
      </c>
      <c r="J1084" s="40">
        <f t="shared" si="156"/>
        <v>13</v>
      </c>
      <c r="K1084" s="221">
        <f t="shared" si="159"/>
        <v>8.1568627450980397E-3</v>
      </c>
      <c r="L1084" s="316">
        <f t="shared" si="160"/>
        <v>18.508981960784315</v>
      </c>
      <c r="M1084" s="7">
        <f t="shared" si="158"/>
        <v>6.8057526669803927</v>
      </c>
      <c r="N1084" s="37">
        <v>7.1174391005621489</v>
      </c>
      <c r="O1084" s="947">
        <f t="shared" si="162"/>
        <v>1.314886274509804</v>
      </c>
      <c r="P1084" s="37">
        <f t="shared" si="161"/>
        <v>1.6028463686274512</v>
      </c>
      <c r="Q1084" s="954">
        <f t="shared" si="155"/>
        <v>7.8390383281850551E-2</v>
      </c>
    </row>
    <row r="1085" spans="1:17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432">
        <f t="shared" si="157"/>
        <v>96.4</v>
      </c>
      <c r="G1085" s="330">
        <v>2</v>
      </c>
      <c r="H1085" s="330"/>
      <c r="I1085" s="330"/>
      <c r="J1085" s="40">
        <f t="shared" si="156"/>
        <v>2</v>
      </c>
      <c r="K1085" s="221">
        <f t="shared" si="159"/>
        <v>1.2549019607843138E-3</v>
      </c>
      <c r="L1085" s="316">
        <f t="shared" si="160"/>
        <v>2.8475356862745098</v>
      </c>
      <c r="M1085" s="7">
        <f t="shared" si="158"/>
        <v>1.0470388718431374</v>
      </c>
      <c r="N1085" s="37">
        <v>1.0949906308557151</v>
      </c>
      <c r="O1085" s="947">
        <f t="shared" si="162"/>
        <v>0.20229019607843135</v>
      </c>
      <c r="P1085" s="37">
        <f t="shared" si="161"/>
        <v>0.24659174901960784</v>
      </c>
      <c r="Q1085" s="954">
        <f t="shared" si="155"/>
        <v>5.3857421006761337E-2</v>
      </c>
    </row>
    <row r="1086" spans="1:17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432">
        <f t="shared" si="157"/>
        <v>76.2</v>
      </c>
      <c r="G1086" s="330">
        <v>2</v>
      </c>
      <c r="H1086" s="330"/>
      <c r="I1086" s="330"/>
      <c r="J1086" s="40">
        <f t="shared" si="156"/>
        <v>2</v>
      </c>
      <c r="K1086" s="221">
        <f t="shared" si="159"/>
        <v>1.2549019607843138E-3</v>
      </c>
      <c r="L1086" s="316">
        <f t="shared" si="160"/>
        <v>2.8475356862745098</v>
      </c>
      <c r="M1086" s="7">
        <f t="shared" si="158"/>
        <v>1.0470388718431374</v>
      </c>
      <c r="N1086" s="37">
        <v>1.0949906308557151</v>
      </c>
      <c r="O1086" s="947">
        <f t="shared" si="162"/>
        <v>0.20229019607843135</v>
      </c>
      <c r="P1086" s="37">
        <f t="shared" si="161"/>
        <v>0.24659174901960784</v>
      </c>
      <c r="Q1086" s="954">
        <f t="shared" si="155"/>
        <v>6.8134585105666584E-2</v>
      </c>
    </row>
    <row r="1087" spans="1:17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432">
        <f t="shared" si="157"/>
        <v>84.3</v>
      </c>
      <c r="G1087" s="330">
        <v>4</v>
      </c>
      <c r="H1087" s="330"/>
      <c r="I1087" s="330"/>
      <c r="J1087" s="40">
        <f t="shared" si="156"/>
        <v>4</v>
      </c>
      <c r="K1087" s="221">
        <f t="shared" si="159"/>
        <v>2.5098039215686275E-3</v>
      </c>
      <c r="L1087" s="316">
        <f t="shared" si="160"/>
        <v>5.6950713725490196</v>
      </c>
      <c r="M1087" s="7">
        <f t="shared" si="158"/>
        <v>2.0940777436862748</v>
      </c>
      <c r="N1087" s="37">
        <v>2.1899812617114303</v>
      </c>
      <c r="O1087" s="947">
        <f t="shared" si="162"/>
        <v>0.4045803921568627</v>
      </c>
      <c r="P1087" s="37">
        <f t="shared" si="161"/>
        <v>0.49318349803921568</v>
      </c>
      <c r="Q1087" s="954">
        <f t="shared" si="155"/>
        <v>0.12317569122305561</v>
      </c>
    </row>
    <row r="1088" spans="1:17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432">
        <f t="shared" si="157"/>
        <v>236.4</v>
      </c>
      <c r="G1088" s="330">
        <v>5</v>
      </c>
      <c r="H1088" s="330"/>
      <c r="I1088" s="330"/>
      <c r="J1088" s="40">
        <f t="shared" si="156"/>
        <v>5</v>
      </c>
      <c r="K1088" s="221">
        <f t="shared" si="159"/>
        <v>3.1372549019607846E-3</v>
      </c>
      <c r="L1088" s="316">
        <f t="shared" si="160"/>
        <v>7.1188392156862754</v>
      </c>
      <c r="M1088" s="7">
        <f t="shared" si="158"/>
        <v>2.6175971796078437</v>
      </c>
      <c r="N1088" s="37">
        <v>2.7374765771392875</v>
      </c>
      <c r="O1088" s="947">
        <f t="shared" si="162"/>
        <v>0.50572549019607849</v>
      </c>
      <c r="P1088" s="37">
        <f t="shared" si="161"/>
        <v>0.61647937254901974</v>
      </c>
      <c r="Q1088" s="954">
        <f t="shared" si="155"/>
        <v>5.4905408048348071E-2</v>
      </c>
    </row>
    <row r="1089" spans="1:17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432">
        <f t="shared" si="157"/>
        <v>84.3</v>
      </c>
      <c r="G1089" s="330">
        <v>1</v>
      </c>
      <c r="H1089" s="330"/>
      <c r="I1089" s="330"/>
      <c r="J1089" s="40">
        <f t="shared" si="156"/>
        <v>1</v>
      </c>
      <c r="K1089" s="221">
        <f t="shared" si="159"/>
        <v>6.2745098039215688E-4</v>
      </c>
      <c r="L1089" s="316">
        <f t="shared" si="160"/>
        <v>1.4237678431372549</v>
      </c>
      <c r="M1089" s="7">
        <f t="shared" si="158"/>
        <v>0.52351943592156869</v>
      </c>
      <c r="N1089" s="37">
        <v>0.54749531542785757</v>
      </c>
      <c r="O1089" s="947">
        <f t="shared" si="162"/>
        <v>0.10114509803921568</v>
      </c>
      <c r="P1089" s="37">
        <f t="shared" si="161"/>
        <v>0.12329587450980392</v>
      </c>
      <c r="Q1089" s="954">
        <f t="shared" si="155"/>
        <v>3.0793922805763901E-2</v>
      </c>
    </row>
    <row r="1090" spans="1:17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432">
        <f t="shared" si="157"/>
        <v>84.3</v>
      </c>
      <c r="G1090" s="330">
        <v>3</v>
      </c>
      <c r="H1090" s="330"/>
      <c r="I1090" s="330"/>
      <c r="J1090" s="40">
        <f t="shared" si="156"/>
        <v>3</v>
      </c>
      <c r="K1090" s="221">
        <f t="shared" si="159"/>
        <v>1.8823529411764706E-3</v>
      </c>
      <c r="L1090" s="316">
        <f t="shared" si="160"/>
        <v>4.2713035294117647</v>
      </c>
      <c r="M1090" s="7">
        <f t="shared" si="158"/>
        <v>1.5705583077647061</v>
      </c>
      <c r="N1090" s="37">
        <v>1.6424859462835726</v>
      </c>
      <c r="O1090" s="947">
        <f t="shared" si="162"/>
        <v>0.30343529411764703</v>
      </c>
      <c r="P1090" s="37">
        <f t="shared" si="161"/>
        <v>0.36988762352941174</v>
      </c>
      <c r="Q1090" s="954">
        <f t="shared" si="155"/>
        <v>9.2381768417291704E-2</v>
      </c>
    </row>
    <row r="1091" spans="1:17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432">
        <f t="shared" si="157"/>
        <v>176.6</v>
      </c>
      <c r="G1091" s="330">
        <v>4</v>
      </c>
      <c r="H1091" s="330"/>
      <c r="I1091" s="330"/>
      <c r="J1091" s="40">
        <f t="shared" si="156"/>
        <v>4</v>
      </c>
      <c r="K1091" s="221">
        <f t="shared" si="159"/>
        <v>2.5098039215686275E-3</v>
      </c>
      <c r="L1091" s="316">
        <f t="shared" si="160"/>
        <v>5.6950713725490196</v>
      </c>
      <c r="M1091" s="7">
        <f t="shared" si="158"/>
        <v>2.0940777436862748</v>
      </c>
      <c r="N1091" s="37">
        <v>2.1899812617114303</v>
      </c>
      <c r="O1091" s="947">
        <f t="shared" si="162"/>
        <v>0.4045803921568627</v>
      </c>
      <c r="P1091" s="37">
        <f t="shared" si="161"/>
        <v>0.49318349803921568</v>
      </c>
      <c r="Q1091" s="954">
        <f t="shared" si="155"/>
        <v>5.8797909230484641E-2</v>
      </c>
    </row>
    <row r="1092" spans="1:17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432">
        <f t="shared" si="157"/>
        <v>111.5</v>
      </c>
      <c r="G1092" s="330">
        <v>3</v>
      </c>
      <c r="H1092" s="330"/>
      <c r="I1092" s="330"/>
      <c r="J1092" s="40">
        <f t="shared" si="156"/>
        <v>3</v>
      </c>
      <c r="K1092" s="221">
        <f t="shared" si="159"/>
        <v>1.8823529411764706E-3</v>
      </c>
      <c r="L1092" s="316">
        <f t="shared" si="160"/>
        <v>4.2713035294117647</v>
      </c>
      <c r="M1092" s="7">
        <f t="shared" si="158"/>
        <v>1.5705583077647061</v>
      </c>
      <c r="N1092" s="37">
        <v>1.6424859462835726</v>
      </c>
      <c r="O1092" s="947">
        <f t="shared" si="162"/>
        <v>0.30343529411764703</v>
      </c>
      <c r="P1092" s="37">
        <f t="shared" si="161"/>
        <v>0.36988762352941174</v>
      </c>
      <c r="Q1092" s="954">
        <f t="shared" si="155"/>
        <v>6.984558813971023E-2</v>
      </c>
    </row>
    <row r="1093" spans="1:17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432">
        <f t="shared" si="157"/>
        <v>94.2</v>
      </c>
      <c r="G1093" s="330">
        <v>2</v>
      </c>
      <c r="H1093" s="330"/>
      <c r="I1093" s="330"/>
      <c r="J1093" s="40">
        <f t="shared" si="156"/>
        <v>2</v>
      </c>
      <c r="K1093" s="221">
        <f t="shared" si="159"/>
        <v>1.2549019607843138E-3</v>
      </c>
      <c r="L1093" s="316">
        <f t="shared" si="160"/>
        <v>2.8475356862745098</v>
      </c>
      <c r="M1093" s="7">
        <f t="shared" si="158"/>
        <v>1.0470388718431374</v>
      </c>
      <c r="N1093" s="37">
        <v>1.0949906308557151</v>
      </c>
      <c r="O1093" s="947">
        <f t="shared" si="162"/>
        <v>0.20229019607843135</v>
      </c>
      <c r="P1093" s="37">
        <f t="shared" si="161"/>
        <v>0.24659174901960784</v>
      </c>
      <c r="Q1093" s="954">
        <f t="shared" si="155"/>
        <v>5.511523763324621E-2</v>
      </c>
    </row>
    <row r="1094" spans="1:17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432">
        <f t="shared" si="157"/>
        <v>131.4</v>
      </c>
      <c r="G1094" s="330">
        <v>3</v>
      </c>
      <c r="H1094" s="330"/>
      <c r="I1094" s="330"/>
      <c r="J1094" s="40">
        <f t="shared" si="156"/>
        <v>3</v>
      </c>
      <c r="K1094" s="221">
        <f t="shared" si="159"/>
        <v>1.8823529411764706E-3</v>
      </c>
      <c r="L1094" s="316">
        <f t="shared" si="160"/>
        <v>4.2713035294117647</v>
      </c>
      <c r="M1094" s="7">
        <f t="shared" si="158"/>
        <v>1.5705583077647061</v>
      </c>
      <c r="N1094" s="37">
        <v>1.6424859462835726</v>
      </c>
      <c r="O1094" s="947">
        <f>K1094*1161.2</f>
        <v>2.1857882352941176</v>
      </c>
      <c r="P1094" s="37">
        <f t="shared" si="161"/>
        <v>2.6644758588235296</v>
      </c>
      <c r="Q1094" s="954">
        <f t="shared" si="155"/>
        <v>7.3593120386256927E-2</v>
      </c>
    </row>
    <row r="1095" spans="1:17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432">
        <f t="shared" si="157"/>
        <v>87.9</v>
      </c>
      <c r="G1095" s="330">
        <v>2</v>
      </c>
      <c r="H1095" s="330"/>
      <c r="I1095" s="330"/>
      <c r="J1095" s="40">
        <f t="shared" si="156"/>
        <v>2</v>
      </c>
      <c r="K1095" s="221">
        <f t="shared" si="159"/>
        <v>1.2549019607843138E-3</v>
      </c>
      <c r="L1095" s="316">
        <f t="shared" si="160"/>
        <v>2.8475356862745098</v>
      </c>
      <c r="M1095" s="7">
        <f t="shared" si="158"/>
        <v>1.0470388718431374</v>
      </c>
      <c r="N1095" s="37">
        <v>1.0949906308557151</v>
      </c>
      <c r="O1095" s="947">
        <f t="shared" si="162"/>
        <v>0.20229019607843135</v>
      </c>
      <c r="P1095" s="37">
        <f t="shared" si="161"/>
        <v>0.24659174901960784</v>
      </c>
      <c r="Q1095" s="954">
        <f t="shared" ref="Q1095:Q1158" si="163">(O1095+N1095+M1095+L1095)/F1095</f>
        <v>5.9065476507983994E-2</v>
      </c>
    </row>
    <row r="1096" spans="1:17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432">
        <f t="shared" si="157"/>
        <v>69.599999999999994</v>
      </c>
      <c r="G1096" s="330">
        <v>2</v>
      </c>
      <c r="H1096" s="330"/>
      <c r="I1096" s="330"/>
      <c r="J1096" s="40">
        <f t="shared" si="156"/>
        <v>2</v>
      </c>
      <c r="K1096" s="221">
        <f t="shared" si="159"/>
        <v>1.2549019607843138E-3</v>
      </c>
      <c r="L1096" s="316">
        <f t="shared" si="160"/>
        <v>2.8475356862745098</v>
      </c>
      <c r="M1096" s="7">
        <f t="shared" si="158"/>
        <v>1.0470388718431374</v>
      </c>
      <c r="N1096" s="37">
        <v>1.0949906308557151</v>
      </c>
      <c r="O1096" s="947">
        <f>K1096*1161.2</f>
        <v>1.4571921568627453</v>
      </c>
      <c r="P1096" s="37">
        <f t="shared" si="161"/>
        <v>1.7763172392156865</v>
      </c>
      <c r="Q1096" s="954">
        <f t="shared" si="163"/>
        <v>9.2625823934426851E-2</v>
      </c>
    </row>
    <row r="1097" spans="1:17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432">
        <f t="shared" si="157"/>
        <v>101.5</v>
      </c>
      <c r="G1097" s="330">
        <v>3</v>
      </c>
      <c r="H1097" s="330"/>
      <c r="I1097" s="330"/>
      <c r="J1097" s="40">
        <f t="shared" si="156"/>
        <v>3</v>
      </c>
      <c r="K1097" s="221">
        <f t="shared" si="159"/>
        <v>1.8823529411764706E-3</v>
      </c>
      <c r="L1097" s="316">
        <f t="shared" si="160"/>
        <v>4.2713035294117647</v>
      </c>
      <c r="M1097" s="7">
        <f t="shared" si="158"/>
        <v>1.5705583077647061</v>
      </c>
      <c r="N1097" s="37">
        <v>1.6424859462835726</v>
      </c>
      <c r="O1097" s="947">
        <f t="shared" si="162"/>
        <v>0.30343529411764703</v>
      </c>
      <c r="P1097" s="37">
        <f t="shared" si="161"/>
        <v>0.36988762352941174</v>
      </c>
      <c r="Q1097" s="954">
        <f t="shared" si="163"/>
        <v>7.6726926872686604E-2</v>
      </c>
    </row>
    <row r="1098" spans="1:17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432">
        <f t="shared" si="157"/>
        <v>237.8</v>
      </c>
      <c r="G1098" s="330">
        <v>5</v>
      </c>
      <c r="H1098" s="330"/>
      <c r="I1098" s="330"/>
      <c r="J1098" s="40">
        <f t="shared" si="156"/>
        <v>5</v>
      </c>
      <c r="K1098" s="221">
        <f t="shared" si="159"/>
        <v>3.1372549019607846E-3</v>
      </c>
      <c r="L1098" s="316">
        <f t="shared" si="160"/>
        <v>7.1188392156862754</v>
      </c>
      <c r="M1098" s="7">
        <f t="shared" si="158"/>
        <v>2.6175971796078437</v>
      </c>
      <c r="N1098" s="37">
        <v>2.7374765771392875</v>
      </c>
      <c r="O1098" s="947">
        <f t="shared" si="162"/>
        <v>0.50572549019607849</v>
      </c>
      <c r="P1098" s="37">
        <f t="shared" si="161"/>
        <v>0.61647937254901974</v>
      </c>
      <c r="Q1098" s="954">
        <f t="shared" si="163"/>
        <v>5.4582163425691693E-2</v>
      </c>
    </row>
    <row r="1099" spans="1:17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432">
        <f t="shared" si="157"/>
        <v>96.6</v>
      </c>
      <c r="G1099" s="330">
        <v>3</v>
      </c>
      <c r="H1099" s="330"/>
      <c r="I1099" s="330"/>
      <c r="J1099" s="40">
        <f t="shared" si="156"/>
        <v>3</v>
      </c>
      <c r="K1099" s="221">
        <f t="shared" si="159"/>
        <v>1.8823529411764706E-3</v>
      </c>
      <c r="L1099" s="316">
        <f t="shared" si="160"/>
        <v>4.2713035294117647</v>
      </c>
      <c r="M1099" s="7">
        <f t="shared" si="158"/>
        <v>1.5705583077647061</v>
      </c>
      <c r="N1099" s="37">
        <v>1.6424859462835726</v>
      </c>
      <c r="O1099" s="947">
        <f t="shared" si="162"/>
        <v>0.30343529411764703</v>
      </c>
      <c r="P1099" s="37">
        <f t="shared" si="161"/>
        <v>0.36988762352941174</v>
      </c>
      <c r="Q1099" s="954">
        <f t="shared" si="163"/>
        <v>8.0618872438692452E-2</v>
      </c>
    </row>
    <row r="1100" spans="1:17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432">
        <f t="shared" si="157"/>
        <v>120.2</v>
      </c>
      <c r="G1100" s="330">
        <v>3</v>
      </c>
      <c r="H1100" s="330"/>
      <c r="I1100" s="330"/>
      <c r="J1100" s="40">
        <f t="shared" si="156"/>
        <v>3</v>
      </c>
      <c r="K1100" s="221">
        <f t="shared" si="159"/>
        <v>1.8823529411764706E-3</v>
      </c>
      <c r="L1100" s="316">
        <f t="shared" si="160"/>
        <v>4.2713035294117647</v>
      </c>
      <c r="M1100" s="7">
        <f t="shared" si="158"/>
        <v>1.5705583077647061</v>
      </c>
      <c r="N1100" s="37">
        <v>1.6424859462835726</v>
      </c>
      <c r="O1100" s="947">
        <f t="shared" si="162"/>
        <v>0.30343529411764703</v>
      </c>
      <c r="P1100" s="37">
        <f t="shared" si="161"/>
        <v>0.36988762352941174</v>
      </c>
      <c r="Q1100" s="954">
        <f t="shared" si="163"/>
        <v>6.4790208632093921E-2</v>
      </c>
    </row>
    <row r="1101" spans="1:17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432">
        <f t="shared" si="157"/>
        <v>340.3</v>
      </c>
      <c r="G1101" s="330">
        <v>9</v>
      </c>
      <c r="H1101" s="330"/>
      <c r="I1101" s="330"/>
      <c r="J1101" s="40">
        <f t="shared" si="156"/>
        <v>9</v>
      </c>
      <c r="K1101" s="221">
        <f t="shared" si="159"/>
        <v>5.6470588235294121E-3</v>
      </c>
      <c r="L1101" s="316">
        <f t="shared" si="160"/>
        <v>12.813910588235295</v>
      </c>
      <c r="M1101" s="7">
        <f t="shared" si="158"/>
        <v>4.711674923294118</v>
      </c>
      <c r="N1101" s="37">
        <v>4.9274578388507182</v>
      </c>
      <c r="O1101" s="947">
        <f t="shared" si="162"/>
        <v>0.91030588235294119</v>
      </c>
      <c r="P1101" s="37">
        <f t="shared" si="161"/>
        <v>1.1096628705882354</v>
      </c>
      <c r="Q1101" s="954">
        <f t="shared" si="163"/>
        <v>6.8655154959544731E-2</v>
      </c>
    </row>
    <row r="1102" spans="1:17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432">
        <f t="shared" si="157"/>
        <v>264.89999999999998</v>
      </c>
      <c r="G1102" s="330">
        <v>6</v>
      </c>
      <c r="H1102" s="330"/>
      <c r="I1102" s="330"/>
      <c r="J1102" s="40">
        <f t="shared" si="156"/>
        <v>6</v>
      </c>
      <c r="K1102" s="221">
        <f t="shared" si="159"/>
        <v>3.7647058823529413E-3</v>
      </c>
      <c r="L1102" s="316">
        <f t="shared" si="160"/>
        <v>8.5426070588235294</v>
      </c>
      <c r="M1102" s="7">
        <f t="shared" si="158"/>
        <v>3.1411166155294121</v>
      </c>
      <c r="N1102" s="37">
        <v>3.2849718925671452</v>
      </c>
      <c r="O1102" s="947">
        <f t="shared" si="162"/>
        <v>0.60687058823529405</v>
      </c>
      <c r="P1102" s="37">
        <f t="shared" si="161"/>
        <v>0.73977524705882347</v>
      </c>
      <c r="Q1102" s="954">
        <f t="shared" si="163"/>
        <v>5.8797909230484641E-2</v>
      </c>
    </row>
    <row r="1103" spans="1:17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432">
        <f t="shared" si="157"/>
        <v>299.7</v>
      </c>
      <c r="G1103" s="330">
        <v>9</v>
      </c>
      <c r="H1103" s="330"/>
      <c r="I1103" s="330"/>
      <c r="J1103" s="40">
        <f t="shared" si="156"/>
        <v>9</v>
      </c>
      <c r="K1103" s="221">
        <f t="shared" si="159"/>
        <v>5.6470588235294121E-3</v>
      </c>
      <c r="L1103" s="316">
        <f t="shared" si="160"/>
        <v>12.813910588235295</v>
      </c>
      <c r="M1103" s="7">
        <f t="shared" si="158"/>
        <v>4.711674923294118</v>
      </c>
      <c r="N1103" s="37">
        <v>4.9274578388507182</v>
      </c>
      <c r="O1103" s="947">
        <f t="shared" si="162"/>
        <v>0.91030588235294119</v>
      </c>
      <c r="P1103" s="37">
        <f t="shared" si="161"/>
        <v>1.1096628705882354</v>
      </c>
      <c r="Q1103" s="954">
        <f t="shared" si="163"/>
        <v>7.7955786562339244E-2</v>
      </c>
    </row>
    <row r="1104" spans="1:17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432">
        <f t="shared" si="157"/>
        <v>143.69999999999999</v>
      </c>
      <c r="G1104" s="330">
        <v>3</v>
      </c>
      <c r="H1104" s="330"/>
      <c r="I1104" s="330"/>
      <c r="J1104" s="40">
        <f t="shared" si="156"/>
        <v>3</v>
      </c>
      <c r="K1104" s="221">
        <f t="shared" si="159"/>
        <v>1.8823529411764706E-3</v>
      </c>
      <c r="L1104" s="316">
        <f t="shared" si="160"/>
        <v>4.2713035294117647</v>
      </c>
      <c r="M1104" s="7">
        <f t="shared" si="158"/>
        <v>1.5705583077647061</v>
      </c>
      <c r="N1104" s="37">
        <v>1.6424859462835726</v>
      </c>
      <c r="O1104" s="947">
        <f t="shared" si="162"/>
        <v>0.30343529411764703</v>
      </c>
      <c r="P1104" s="37">
        <f t="shared" si="161"/>
        <v>0.36988762352941174</v>
      </c>
      <c r="Q1104" s="954">
        <f t="shared" si="163"/>
        <v>5.41947326205824E-2</v>
      </c>
    </row>
    <row r="1105" spans="1:17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432">
        <f t="shared" si="157"/>
        <v>295.10000000000002</v>
      </c>
      <c r="G1105" s="330">
        <v>9</v>
      </c>
      <c r="H1105" s="330"/>
      <c r="I1105" s="330"/>
      <c r="J1105" s="40">
        <f t="shared" si="156"/>
        <v>9</v>
      </c>
      <c r="K1105" s="221">
        <f t="shared" si="159"/>
        <v>5.6470588235294121E-3</v>
      </c>
      <c r="L1105" s="316">
        <f t="shared" si="160"/>
        <v>12.813910588235295</v>
      </c>
      <c r="M1105" s="7">
        <f t="shared" si="158"/>
        <v>4.711674923294118</v>
      </c>
      <c r="N1105" s="37">
        <v>4.9274578388507182</v>
      </c>
      <c r="O1105" s="947">
        <f t="shared" si="162"/>
        <v>0.91030588235294119</v>
      </c>
      <c r="P1105" s="37">
        <f t="shared" si="161"/>
        <v>1.1096628705882354</v>
      </c>
      <c r="Q1105" s="954">
        <f t="shared" si="163"/>
        <v>7.9170956396926701E-2</v>
      </c>
    </row>
    <row r="1106" spans="1:17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432">
        <f t="shared" si="157"/>
        <v>148.69999999999999</v>
      </c>
      <c r="G1106" s="330">
        <v>4</v>
      </c>
      <c r="H1106" s="330"/>
      <c r="I1106" s="330"/>
      <c r="J1106" s="40">
        <f t="shared" si="156"/>
        <v>4</v>
      </c>
      <c r="K1106" s="221">
        <f t="shared" si="159"/>
        <v>2.5098039215686275E-3</v>
      </c>
      <c r="L1106" s="316">
        <f t="shared" si="160"/>
        <v>5.6950713725490196</v>
      </c>
      <c r="M1106" s="7">
        <f t="shared" si="158"/>
        <v>2.0940777436862748</v>
      </c>
      <c r="N1106" s="37">
        <v>2.1899812617114303</v>
      </c>
      <c r="O1106" s="947">
        <f t="shared" si="162"/>
        <v>0.4045803921568627</v>
      </c>
      <c r="P1106" s="37">
        <f t="shared" si="161"/>
        <v>0.49318349803921568</v>
      </c>
      <c r="Q1106" s="954">
        <f t="shared" si="163"/>
        <v>6.9829931204462597E-2</v>
      </c>
    </row>
    <row r="1107" spans="1:17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432">
        <f t="shared" si="157"/>
        <v>339.7</v>
      </c>
      <c r="G1107" s="330">
        <v>8</v>
      </c>
      <c r="H1107" s="330"/>
      <c r="I1107" s="330"/>
      <c r="J1107" s="40">
        <f t="shared" si="156"/>
        <v>8</v>
      </c>
      <c r="K1107" s="221">
        <f t="shared" si="159"/>
        <v>5.019607843137255E-3</v>
      </c>
      <c r="L1107" s="316">
        <f t="shared" si="160"/>
        <v>11.390142745098039</v>
      </c>
      <c r="M1107" s="7">
        <f t="shared" si="158"/>
        <v>4.1881554873725495</v>
      </c>
      <c r="N1107" s="37">
        <v>4.3799625234228605</v>
      </c>
      <c r="O1107" s="947">
        <f t="shared" si="162"/>
        <v>0.8091607843137254</v>
      </c>
      <c r="P1107" s="37">
        <f t="shared" si="161"/>
        <v>0.98636699607843137</v>
      </c>
      <c r="Q1107" s="954">
        <f t="shared" si="163"/>
        <v>6.1134593877560123E-2</v>
      </c>
    </row>
    <row r="1108" spans="1:17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432">
        <f t="shared" si="157"/>
        <v>197.6</v>
      </c>
      <c r="G1108" s="330">
        <v>6</v>
      </c>
      <c r="H1108" s="330"/>
      <c r="I1108" s="330"/>
      <c r="J1108" s="40">
        <f t="shared" si="156"/>
        <v>6</v>
      </c>
      <c r="K1108" s="221">
        <f t="shared" si="159"/>
        <v>3.7647058823529413E-3</v>
      </c>
      <c r="L1108" s="316">
        <f t="shared" si="160"/>
        <v>8.5426070588235294</v>
      </c>
      <c r="M1108" s="7">
        <f t="shared" si="158"/>
        <v>3.1411166155294121</v>
      </c>
      <c r="N1108" s="37">
        <v>3.2849718925671452</v>
      </c>
      <c r="O1108" s="947">
        <f t="shared" si="162"/>
        <v>0.60687058823529405</v>
      </c>
      <c r="P1108" s="37">
        <f t="shared" si="161"/>
        <v>0.73977524705882347</v>
      </c>
      <c r="Q1108" s="954">
        <f t="shared" si="163"/>
        <v>7.8823715360098079E-2</v>
      </c>
    </row>
    <row r="1109" spans="1:17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432">
        <f t="shared" si="157"/>
        <v>251</v>
      </c>
      <c r="G1109" s="330">
        <v>8</v>
      </c>
      <c r="H1109" s="330"/>
      <c r="I1109" s="330"/>
      <c r="J1109" s="40">
        <f t="shared" si="156"/>
        <v>8</v>
      </c>
      <c r="K1109" s="221">
        <f t="shared" si="159"/>
        <v>5.019607843137255E-3</v>
      </c>
      <c r="L1109" s="316">
        <f t="shared" si="160"/>
        <v>11.390142745098039</v>
      </c>
      <c r="M1109" s="7">
        <f t="shared" si="158"/>
        <v>4.1881554873725495</v>
      </c>
      <c r="N1109" s="37">
        <v>4.3799625234228605</v>
      </c>
      <c r="O1109" s="947">
        <f>K1109*1161.2</f>
        <v>5.8287686274509811</v>
      </c>
      <c r="P1109" s="37">
        <f t="shared" si="161"/>
        <v>7.1052689568627461</v>
      </c>
      <c r="Q1109" s="954">
        <f t="shared" si="163"/>
        <v>0.10273716885794594</v>
      </c>
    </row>
    <row r="1110" spans="1:17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432">
        <f t="shared" si="157"/>
        <v>172.7</v>
      </c>
      <c r="G1110" s="330">
        <v>5</v>
      </c>
      <c r="H1110" s="330"/>
      <c r="I1110" s="330"/>
      <c r="J1110" s="40">
        <f t="shared" si="156"/>
        <v>5</v>
      </c>
      <c r="K1110" s="221">
        <f t="shared" si="159"/>
        <v>3.1372549019607846E-3</v>
      </c>
      <c r="L1110" s="316">
        <f t="shared" si="160"/>
        <v>7.1188392156862754</v>
      </c>
      <c r="M1110" s="7">
        <f t="shared" si="158"/>
        <v>2.6175971796078437</v>
      </c>
      <c r="N1110" s="37">
        <v>2.7374765771392875</v>
      </c>
      <c r="O1110" s="947">
        <f t="shared" si="162"/>
        <v>0.50572549019607849</v>
      </c>
      <c r="P1110" s="37">
        <f t="shared" si="161"/>
        <v>0.61647937254901974</v>
      </c>
      <c r="Q1110" s="954">
        <f t="shared" si="163"/>
        <v>7.5157142227153945E-2</v>
      </c>
    </row>
    <row r="1111" spans="1:17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432">
        <f t="shared" si="157"/>
        <v>294.2</v>
      </c>
      <c r="G1111" s="330">
        <v>9</v>
      </c>
      <c r="H1111" s="330"/>
      <c r="I1111" s="330"/>
      <c r="J1111" s="40">
        <f t="shared" si="156"/>
        <v>9</v>
      </c>
      <c r="K1111" s="221">
        <f t="shared" si="159"/>
        <v>5.6470588235294121E-3</v>
      </c>
      <c r="L1111" s="316">
        <f t="shared" si="160"/>
        <v>12.813910588235295</v>
      </c>
      <c r="M1111" s="7">
        <f t="shared" si="158"/>
        <v>4.711674923294118</v>
      </c>
      <c r="N1111" s="37">
        <v>4.9274578388507182</v>
      </c>
      <c r="O1111" s="947">
        <f t="shared" si="162"/>
        <v>0.91030588235294119</v>
      </c>
      <c r="P1111" s="37">
        <f t="shared" si="161"/>
        <v>1.1096628705882354</v>
      </c>
      <c r="Q1111" s="954">
        <f t="shared" si="163"/>
        <v>7.9413151708813981E-2</v>
      </c>
    </row>
    <row r="1112" spans="1:17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432">
        <f t="shared" si="157"/>
        <v>200.9</v>
      </c>
      <c r="G1112" s="330">
        <v>8</v>
      </c>
      <c r="H1112" s="330"/>
      <c r="I1112" s="330"/>
      <c r="J1112" s="40">
        <f t="shared" si="156"/>
        <v>8</v>
      </c>
      <c r="K1112" s="221">
        <f t="shared" si="159"/>
        <v>5.019607843137255E-3</v>
      </c>
      <c r="L1112" s="316">
        <f t="shared" si="160"/>
        <v>11.390142745098039</v>
      </c>
      <c r="M1112" s="7">
        <f t="shared" si="158"/>
        <v>4.1881554873725495</v>
      </c>
      <c r="N1112" s="37">
        <v>4.3799625234228605</v>
      </c>
      <c r="O1112" s="947">
        <f t="shared" si="162"/>
        <v>0.8091607843137254</v>
      </c>
      <c r="P1112" s="37">
        <f t="shared" si="161"/>
        <v>0.98636699607843137</v>
      </c>
      <c r="Q1112" s="954">
        <f t="shared" si="163"/>
        <v>0.10337193399804466</v>
      </c>
    </row>
    <row r="1113" spans="1:17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432">
        <f t="shared" si="157"/>
        <v>297.8</v>
      </c>
      <c r="G1113" s="330">
        <v>11</v>
      </c>
      <c r="H1113" s="330"/>
      <c r="I1113" s="330"/>
      <c r="J1113" s="40">
        <f t="shared" si="156"/>
        <v>11</v>
      </c>
      <c r="K1113" s="221">
        <f t="shared" si="159"/>
        <v>6.9019607843137255E-3</v>
      </c>
      <c r="L1113" s="316">
        <f t="shared" si="160"/>
        <v>15.661446274509805</v>
      </c>
      <c r="M1113" s="7">
        <f t="shared" si="158"/>
        <v>5.7587137951372558</v>
      </c>
      <c r="N1113" s="37">
        <v>6.0224484697064327</v>
      </c>
      <c r="O1113" s="947">
        <f t="shared" si="162"/>
        <v>1.1125960784313724</v>
      </c>
      <c r="P1113" s="37">
        <f t="shared" si="161"/>
        <v>1.3562546196078431</v>
      </c>
      <c r="Q1113" s="954">
        <f t="shared" si="163"/>
        <v>9.5887188105389071E-2</v>
      </c>
    </row>
    <row r="1114" spans="1:17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432">
        <f t="shared" si="157"/>
        <v>124.6</v>
      </c>
      <c r="G1114" s="330">
        <v>5</v>
      </c>
      <c r="H1114" s="330"/>
      <c r="I1114" s="330"/>
      <c r="J1114" s="40">
        <f t="shared" si="156"/>
        <v>5</v>
      </c>
      <c r="K1114" s="221">
        <f t="shared" si="159"/>
        <v>3.1372549019607846E-3</v>
      </c>
      <c r="L1114" s="316">
        <f t="shared" si="160"/>
        <v>7.1188392156862754</v>
      </c>
      <c r="M1114" s="7">
        <f t="shared" si="158"/>
        <v>2.6175971796078437</v>
      </c>
      <c r="N1114" s="37">
        <v>2.7374765771392875</v>
      </c>
      <c r="O1114" s="947">
        <f>K1114*1161.2</f>
        <v>3.6429803921568631</v>
      </c>
      <c r="P1114" s="37">
        <f t="shared" si="161"/>
        <v>4.4407930980392161</v>
      </c>
      <c r="Q1114" s="954">
        <f t="shared" si="163"/>
        <v>0.12934906392127021</v>
      </c>
    </row>
    <row r="1115" spans="1:17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432">
        <f t="shared" si="157"/>
        <v>132.19999999999999</v>
      </c>
      <c r="G1115" s="330">
        <v>5</v>
      </c>
      <c r="H1115" s="330"/>
      <c r="I1115" s="330"/>
      <c r="J1115" s="40">
        <f t="shared" si="156"/>
        <v>5</v>
      </c>
      <c r="K1115" s="221">
        <f t="shared" si="159"/>
        <v>3.1372549019607846E-3</v>
      </c>
      <c r="L1115" s="316">
        <f t="shared" si="160"/>
        <v>7.1188392156862754</v>
      </c>
      <c r="M1115" s="7">
        <f t="shared" si="158"/>
        <v>2.6175971796078437</v>
      </c>
      <c r="N1115" s="37">
        <v>2.7374765771392875</v>
      </c>
      <c r="O1115" s="947">
        <f>K1115*161.2</f>
        <v>0.50572549019607849</v>
      </c>
      <c r="P1115" s="37">
        <f t="shared" si="161"/>
        <v>0.61647937254901974</v>
      </c>
      <c r="Q1115" s="954">
        <f t="shared" si="163"/>
        <v>9.8181834059224551E-2</v>
      </c>
    </row>
    <row r="1116" spans="1:17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432">
        <f t="shared" si="157"/>
        <v>225.4</v>
      </c>
      <c r="G1116" s="330">
        <v>5</v>
      </c>
      <c r="H1116" s="330"/>
      <c r="I1116" s="330"/>
      <c r="J1116" s="40">
        <f t="shared" si="156"/>
        <v>5</v>
      </c>
      <c r="K1116" s="221">
        <f t="shared" si="159"/>
        <v>3.1372549019607846E-3</v>
      </c>
      <c r="L1116" s="316">
        <f t="shared" si="160"/>
        <v>7.1188392156862754</v>
      </c>
      <c r="M1116" s="7">
        <f t="shared" si="158"/>
        <v>2.6175971796078437</v>
      </c>
      <c r="N1116" s="37">
        <v>2.7374765771392875</v>
      </c>
      <c r="O1116" s="947">
        <f t="shared" si="162"/>
        <v>0.50572549019607849</v>
      </c>
      <c r="P1116" s="37">
        <f t="shared" si="161"/>
        <v>0.61647937254901974</v>
      </c>
      <c r="Q1116" s="954">
        <f t="shared" si="163"/>
        <v>5.7584908884780323E-2</v>
      </c>
    </row>
    <row r="1117" spans="1:17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432">
        <f t="shared" si="157"/>
        <v>415.6</v>
      </c>
      <c r="G1117" s="330">
        <v>8</v>
      </c>
      <c r="H1117" s="330"/>
      <c r="I1117" s="330"/>
      <c r="J1117" s="40">
        <f t="shared" si="156"/>
        <v>8</v>
      </c>
      <c r="K1117" s="221">
        <f t="shared" si="159"/>
        <v>5.019607843137255E-3</v>
      </c>
      <c r="L1117" s="316">
        <f t="shared" si="160"/>
        <v>11.390142745098039</v>
      </c>
      <c r="M1117" s="7">
        <f t="shared" si="158"/>
        <v>4.1881554873725495</v>
      </c>
      <c r="N1117" s="37">
        <v>4.3799625234228605</v>
      </c>
      <c r="O1117" s="947">
        <f t="shared" si="162"/>
        <v>0.8091607843137254</v>
      </c>
      <c r="P1117" s="37">
        <f t="shared" si="161"/>
        <v>0.98636699607843137</v>
      </c>
      <c r="Q1117" s="954">
        <f t="shared" si="163"/>
        <v>4.9969734216090404E-2</v>
      </c>
    </row>
    <row r="1118" spans="1:17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432">
        <f t="shared" si="157"/>
        <v>1495</v>
      </c>
      <c r="G1118" s="330">
        <v>32</v>
      </c>
      <c r="H1118" s="330"/>
      <c r="I1118" s="330"/>
      <c r="J1118" s="40">
        <f t="shared" si="156"/>
        <v>32</v>
      </c>
      <c r="K1118" s="221">
        <f t="shared" si="159"/>
        <v>2.007843137254902E-2</v>
      </c>
      <c r="L1118" s="316">
        <f t="shared" si="160"/>
        <v>45.560570980392157</v>
      </c>
      <c r="M1118" s="7">
        <f t="shared" si="158"/>
        <v>16.752621949490198</v>
      </c>
      <c r="N1118" s="37">
        <v>17.519850093691442</v>
      </c>
      <c r="O1118" s="947">
        <f t="shared" si="162"/>
        <v>3.2366431372549016</v>
      </c>
      <c r="P1118" s="37">
        <f t="shared" si="161"/>
        <v>3.9454679843137255</v>
      </c>
      <c r="Q1118" s="954">
        <f t="shared" si="163"/>
        <v>5.5565007465437251E-2</v>
      </c>
    </row>
    <row r="1119" spans="1:17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432">
        <f t="shared" si="157"/>
        <v>288.60000000000002</v>
      </c>
      <c r="G1119" s="330">
        <v>7</v>
      </c>
      <c r="H1119" s="330"/>
      <c r="I1119" s="330"/>
      <c r="J1119" s="40">
        <f t="shared" si="156"/>
        <v>7</v>
      </c>
      <c r="K1119" s="221">
        <f t="shared" si="159"/>
        <v>4.3921568627450979E-3</v>
      </c>
      <c r="L1119" s="316">
        <f t="shared" si="160"/>
        <v>9.9663749019607852</v>
      </c>
      <c r="M1119" s="7">
        <f t="shared" si="158"/>
        <v>3.664636051450981</v>
      </c>
      <c r="N1119" s="37">
        <v>3.8324672079950028</v>
      </c>
      <c r="O1119" s="947">
        <f t="shared" si="162"/>
        <v>0.70801568627450973</v>
      </c>
      <c r="P1119" s="37">
        <f t="shared" si="161"/>
        <v>0.86307112156862742</v>
      </c>
      <c r="Q1119" s="954">
        <f t="shared" si="163"/>
        <v>6.2964289146504759E-2</v>
      </c>
    </row>
    <row r="1120" spans="1:17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432">
        <f t="shared" si="157"/>
        <v>272.10000000000002</v>
      </c>
      <c r="G1120" s="330">
        <v>6</v>
      </c>
      <c r="H1120" s="330"/>
      <c r="I1120" s="330"/>
      <c r="J1120" s="40">
        <f t="shared" si="156"/>
        <v>6</v>
      </c>
      <c r="K1120" s="221">
        <f t="shared" si="159"/>
        <v>3.7647058823529413E-3</v>
      </c>
      <c r="L1120" s="316">
        <f t="shared" si="160"/>
        <v>8.5426070588235294</v>
      </c>
      <c r="M1120" s="7">
        <f t="shared" si="158"/>
        <v>3.1411166155294121</v>
      </c>
      <c r="N1120" s="37">
        <v>3.2849718925671452</v>
      </c>
      <c r="O1120" s="947">
        <f t="shared" si="162"/>
        <v>0.60687058823529405</v>
      </c>
      <c r="P1120" s="37">
        <f t="shared" si="161"/>
        <v>0.73977524705882347</v>
      </c>
      <c r="Q1120" s="954">
        <f t="shared" si="163"/>
        <v>5.7242065987340607E-2</v>
      </c>
    </row>
    <row r="1121" spans="1:17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432">
        <f t="shared" si="157"/>
        <v>313.7</v>
      </c>
      <c r="G1121" s="330">
        <v>9</v>
      </c>
      <c r="H1121" s="330"/>
      <c r="I1121" s="330">
        <v>1</v>
      </c>
      <c r="J1121" s="40">
        <f t="shared" si="156"/>
        <v>10</v>
      </c>
      <c r="K1121" s="221">
        <f t="shared" si="159"/>
        <v>6.2745098039215692E-3</v>
      </c>
      <c r="L1121" s="316">
        <f t="shared" si="160"/>
        <v>14.237678431372551</v>
      </c>
      <c r="M1121" s="7">
        <f t="shared" si="158"/>
        <v>5.2351943592156873</v>
      </c>
      <c r="N1121" s="37">
        <v>5.474953154278575</v>
      </c>
      <c r="O1121" s="947">
        <f t="shared" si="162"/>
        <v>1.011450980392157</v>
      </c>
      <c r="P1121" s="37">
        <f t="shared" si="161"/>
        <v>1.2329587450980395</v>
      </c>
      <c r="Q1121" s="954">
        <f t="shared" si="163"/>
        <v>8.2751918792664872E-2</v>
      </c>
    </row>
    <row r="1122" spans="1:17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432">
        <f t="shared" si="157"/>
        <v>860.41000000000008</v>
      </c>
      <c r="G1122" s="330">
        <v>11</v>
      </c>
      <c r="H1122" s="330"/>
      <c r="I1122" s="730">
        <v>1</v>
      </c>
      <c r="J1122" s="40">
        <f t="shared" si="156"/>
        <v>12</v>
      </c>
      <c r="K1122" s="221">
        <f t="shared" si="159"/>
        <v>7.5294117647058826E-3</v>
      </c>
      <c r="L1122" s="316">
        <f t="shared" si="160"/>
        <v>17.085214117647059</v>
      </c>
      <c r="M1122" s="7">
        <f t="shared" si="158"/>
        <v>6.2822332310588243</v>
      </c>
      <c r="N1122" s="37">
        <v>6.5699437851342903</v>
      </c>
      <c r="O1122" s="947">
        <f t="shared" si="162"/>
        <v>1.2137411764705881</v>
      </c>
      <c r="P1122" s="37">
        <f t="shared" si="161"/>
        <v>1.4795504941176469</v>
      </c>
      <c r="Q1122" s="954">
        <f t="shared" si="163"/>
        <v>3.6204986355703392E-2</v>
      </c>
    </row>
    <row r="1123" spans="1:17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432">
        <f t="shared" si="157"/>
        <v>294</v>
      </c>
      <c r="G1123" s="330">
        <v>7</v>
      </c>
      <c r="H1123" s="330"/>
      <c r="I1123" s="330"/>
      <c r="J1123" s="40">
        <f t="shared" si="156"/>
        <v>7</v>
      </c>
      <c r="K1123" s="221">
        <f t="shared" si="159"/>
        <v>4.3921568627450979E-3</v>
      </c>
      <c r="L1123" s="316">
        <f t="shared" si="160"/>
        <v>9.9663749019607852</v>
      </c>
      <c r="M1123" s="7">
        <f t="shared" si="158"/>
        <v>3.664636051450981</v>
      </c>
      <c r="N1123" s="37">
        <v>3.8324672079950028</v>
      </c>
      <c r="O1123" s="947">
        <f t="shared" si="162"/>
        <v>0.70801568627450973</v>
      </c>
      <c r="P1123" s="37">
        <f t="shared" si="161"/>
        <v>0.86307112156862742</v>
      </c>
      <c r="Q1123" s="954">
        <f t="shared" si="163"/>
        <v>6.1807802202997537E-2</v>
      </c>
    </row>
    <row r="1124" spans="1:17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432">
        <f t="shared" si="157"/>
        <v>1119.54</v>
      </c>
      <c r="G1124" s="330">
        <v>25</v>
      </c>
      <c r="H1124" s="330"/>
      <c r="I1124" s="330"/>
      <c r="J1124" s="40">
        <f t="shared" ref="J1124:J1145" si="164">G1124+H1124+I1124</f>
        <v>25</v>
      </c>
      <c r="K1124" s="221">
        <f t="shared" si="159"/>
        <v>1.5686274509803921E-2</v>
      </c>
      <c r="L1124" s="316">
        <f t="shared" si="160"/>
        <v>35.594196078431374</v>
      </c>
      <c r="M1124" s="7">
        <f t="shared" si="158"/>
        <v>13.087985898039218</v>
      </c>
      <c r="N1124" s="37">
        <v>13.687382885696438</v>
      </c>
      <c r="O1124" s="947">
        <f>K1124*1161.2</f>
        <v>18.214901960784314</v>
      </c>
      <c r="P1124" s="37">
        <f t="shared" si="161"/>
        <v>22.203965490196079</v>
      </c>
      <c r="Q1124" s="954">
        <f t="shared" si="163"/>
        <v>7.1979980012283049E-2</v>
      </c>
    </row>
    <row r="1125" spans="1:17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432">
        <f t="shared" si="157"/>
        <v>542.66</v>
      </c>
      <c r="G1125" s="330">
        <v>15</v>
      </c>
      <c r="H1125" s="330"/>
      <c r="I1125" s="330"/>
      <c r="J1125" s="40">
        <f t="shared" si="164"/>
        <v>15</v>
      </c>
      <c r="K1125" s="221">
        <f t="shared" si="159"/>
        <v>9.4117647058823539E-3</v>
      </c>
      <c r="L1125" s="316">
        <f t="shared" si="160"/>
        <v>21.356517647058826</v>
      </c>
      <c r="M1125" s="7">
        <f t="shared" si="158"/>
        <v>7.8527915388235314</v>
      </c>
      <c r="N1125" s="37">
        <v>8.2124297314178616</v>
      </c>
      <c r="O1125" s="947">
        <f t="shared" si="162"/>
        <v>1.5171764705882353</v>
      </c>
      <c r="P1125" s="37">
        <f t="shared" si="161"/>
        <v>1.8494381176470591</v>
      </c>
      <c r="Q1125" s="954">
        <f t="shared" si="163"/>
        <v>7.1755639604703603E-2</v>
      </c>
    </row>
    <row r="1126" spans="1:17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432">
        <f t="shared" si="157"/>
        <v>507.72</v>
      </c>
      <c r="G1126" s="330">
        <v>14</v>
      </c>
      <c r="H1126" s="330"/>
      <c r="I1126" s="330"/>
      <c r="J1126" s="40">
        <f t="shared" si="164"/>
        <v>14</v>
      </c>
      <c r="K1126" s="221">
        <f t="shared" si="159"/>
        <v>8.7843137254901959E-3</v>
      </c>
      <c r="L1126" s="316">
        <f t="shared" si="160"/>
        <v>19.93274980392157</v>
      </c>
      <c r="M1126" s="7">
        <f t="shared" si="158"/>
        <v>7.3292721029019621</v>
      </c>
      <c r="N1126" s="37">
        <v>7.6649344159900057</v>
      </c>
      <c r="O1126" s="947">
        <f t="shared" si="162"/>
        <v>1.4160313725490195</v>
      </c>
      <c r="P1126" s="37">
        <f t="shared" si="161"/>
        <v>1.7261422431372548</v>
      </c>
      <c r="Q1126" s="954">
        <f t="shared" si="163"/>
        <v>7.1580768327744723E-2</v>
      </c>
    </row>
    <row r="1127" spans="1:17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432">
        <f t="shared" ref="F1127:F1145" si="165">C1127+D1127+E1127</f>
        <v>517.03</v>
      </c>
      <c r="G1127" s="330">
        <v>11</v>
      </c>
      <c r="H1127" s="330"/>
      <c r="I1127" s="330"/>
      <c r="J1127" s="40">
        <f t="shared" si="164"/>
        <v>11</v>
      </c>
      <c r="K1127" s="221">
        <f t="shared" si="159"/>
        <v>6.9019607843137255E-3</v>
      </c>
      <c r="L1127" s="316">
        <f t="shared" si="160"/>
        <v>15.661446274509805</v>
      </c>
      <c r="M1127" s="7">
        <f t="shared" si="158"/>
        <v>5.7587137951372558</v>
      </c>
      <c r="N1127" s="37">
        <v>6.0224484697064327</v>
      </c>
      <c r="O1127" s="947">
        <f t="shared" si="162"/>
        <v>1.1125960784313724</v>
      </c>
      <c r="P1127" s="37">
        <f t="shared" si="161"/>
        <v>1.3562546196078431</v>
      </c>
      <c r="Q1127" s="954">
        <f t="shared" si="163"/>
        <v>5.5229299301365234E-2</v>
      </c>
    </row>
    <row r="1128" spans="1:17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432">
        <f t="shared" si="165"/>
        <v>497.81</v>
      </c>
      <c r="G1128" s="330">
        <v>15</v>
      </c>
      <c r="H1128" s="330"/>
      <c r="I1128" s="330"/>
      <c r="J1128" s="40">
        <f t="shared" si="164"/>
        <v>15</v>
      </c>
      <c r="K1128" s="221">
        <f t="shared" si="159"/>
        <v>9.4117647058823539E-3</v>
      </c>
      <c r="L1128" s="316">
        <f t="shared" si="160"/>
        <v>21.356517647058826</v>
      </c>
      <c r="M1128" s="7">
        <f t="shared" si="158"/>
        <v>7.8527915388235314</v>
      </c>
      <c r="N1128" s="37">
        <v>8.2124297314178616</v>
      </c>
      <c r="O1128" s="947">
        <f t="shared" si="162"/>
        <v>1.5171764705882353</v>
      </c>
      <c r="P1128" s="37">
        <f t="shared" si="161"/>
        <v>1.8494381176470591</v>
      </c>
      <c r="Q1128" s="954">
        <f t="shared" si="163"/>
        <v>7.8220436286712713E-2</v>
      </c>
    </row>
    <row r="1129" spans="1:17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432">
        <f t="shared" si="165"/>
        <v>301.3</v>
      </c>
      <c r="G1129" s="330">
        <v>6</v>
      </c>
      <c r="H1129" s="330"/>
      <c r="I1129" s="330"/>
      <c r="J1129" s="40">
        <f t="shared" si="164"/>
        <v>6</v>
      </c>
      <c r="K1129" s="221">
        <f t="shared" si="159"/>
        <v>3.7647058823529413E-3</v>
      </c>
      <c r="L1129" s="316">
        <f t="shared" si="160"/>
        <v>8.5426070588235294</v>
      </c>
      <c r="M1129" s="7">
        <f t="shared" ref="M1129:M1145" si="166">L1129*0.3677</f>
        <v>3.1411166155294121</v>
      </c>
      <c r="N1129" s="37">
        <v>3.2849718925671452</v>
      </c>
      <c r="O1129" s="947">
        <f t="shared" si="162"/>
        <v>0.60687058823529405</v>
      </c>
      <c r="P1129" s="37">
        <f t="shared" si="161"/>
        <v>0.73977524705882347</v>
      </c>
      <c r="Q1129" s="954">
        <f t="shared" si="163"/>
        <v>5.1694544159161568E-2</v>
      </c>
    </row>
    <row r="1130" spans="1:17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432">
        <f t="shared" si="165"/>
        <v>493.5</v>
      </c>
      <c r="G1130" s="330">
        <v>11</v>
      </c>
      <c r="H1130" s="330"/>
      <c r="I1130" s="330"/>
      <c r="J1130" s="40">
        <f t="shared" si="164"/>
        <v>11</v>
      </c>
      <c r="K1130" s="221">
        <f t="shared" si="159"/>
        <v>6.9019607843137255E-3</v>
      </c>
      <c r="L1130" s="316">
        <f t="shared" si="160"/>
        <v>15.661446274509805</v>
      </c>
      <c r="M1130" s="7">
        <f t="shared" si="166"/>
        <v>5.7587137951372558</v>
      </c>
      <c r="N1130" s="37">
        <v>6.0224484697064327</v>
      </c>
      <c r="O1130" s="947">
        <f t="shared" si="162"/>
        <v>1.1125960784313724</v>
      </c>
      <c r="P1130" s="37">
        <f t="shared" si="161"/>
        <v>1.3562546196078431</v>
      </c>
      <c r="Q1130" s="954">
        <f t="shared" si="163"/>
        <v>5.7862623338976425E-2</v>
      </c>
    </row>
    <row r="1131" spans="1:17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432">
        <f t="shared" si="165"/>
        <v>264.8</v>
      </c>
      <c r="G1131" s="330">
        <v>8</v>
      </c>
      <c r="H1131" s="330"/>
      <c r="I1131" s="330"/>
      <c r="J1131" s="40">
        <f t="shared" si="164"/>
        <v>8</v>
      </c>
      <c r="K1131" s="221">
        <f t="shared" si="159"/>
        <v>5.019607843137255E-3</v>
      </c>
      <c r="L1131" s="316">
        <f t="shared" si="160"/>
        <v>11.390142745098039</v>
      </c>
      <c r="M1131" s="7">
        <f t="shared" si="166"/>
        <v>4.1881554873725495</v>
      </c>
      <c r="N1131" s="37">
        <v>4.3799625234228605</v>
      </c>
      <c r="O1131" s="947">
        <f t="shared" si="162"/>
        <v>0.8091607843137254</v>
      </c>
      <c r="P1131" s="37">
        <f t="shared" si="161"/>
        <v>0.98636699607843137</v>
      </c>
      <c r="Q1131" s="954">
        <f t="shared" si="163"/>
        <v>7.8426818505314091E-2</v>
      </c>
    </row>
    <row r="1132" spans="1:17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432">
        <f t="shared" si="165"/>
        <v>544.79999999999995</v>
      </c>
      <c r="G1132" s="330">
        <v>13</v>
      </c>
      <c r="H1132" s="330"/>
      <c r="I1132" s="330"/>
      <c r="J1132" s="40">
        <f t="shared" si="164"/>
        <v>13</v>
      </c>
      <c r="K1132" s="221">
        <f t="shared" si="159"/>
        <v>8.1568627450980397E-3</v>
      </c>
      <c r="L1132" s="316">
        <f t="shared" si="160"/>
        <v>18.508981960784315</v>
      </c>
      <c r="M1132" s="7">
        <f t="shared" si="166"/>
        <v>6.8057526669803927</v>
      </c>
      <c r="N1132" s="37">
        <v>7.1174391005621489</v>
      </c>
      <c r="O1132" s="947">
        <f>K1132*161.2</f>
        <v>1.314886274509804</v>
      </c>
      <c r="P1132" s="37">
        <f t="shared" si="161"/>
        <v>1.6028463686274512</v>
      </c>
      <c r="Q1132" s="954">
        <f t="shared" si="163"/>
        <v>6.1943942736484334E-2</v>
      </c>
    </row>
    <row r="1133" spans="1:17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432">
        <f t="shared" si="165"/>
        <v>205</v>
      </c>
      <c r="G1133" s="330">
        <v>7</v>
      </c>
      <c r="H1133" s="330"/>
      <c r="I1133" s="330"/>
      <c r="J1133" s="40">
        <f t="shared" si="164"/>
        <v>7</v>
      </c>
      <c r="K1133" s="221">
        <f t="shared" si="159"/>
        <v>4.3921568627450979E-3</v>
      </c>
      <c r="L1133" s="316">
        <f t="shared" si="160"/>
        <v>9.9663749019607852</v>
      </c>
      <c r="M1133" s="7">
        <f t="shared" si="166"/>
        <v>3.664636051450981</v>
      </c>
      <c r="N1133" s="37">
        <v>3.8324672079950028</v>
      </c>
      <c r="O1133" s="947">
        <f t="shared" si="162"/>
        <v>0.70801568627450973</v>
      </c>
      <c r="P1133" s="37">
        <f t="shared" si="161"/>
        <v>0.86307112156862742</v>
      </c>
      <c r="Q1133" s="954">
        <f t="shared" si="163"/>
        <v>8.8641433403323297E-2</v>
      </c>
    </row>
    <row r="1134" spans="1:17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432">
        <f t="shared" si="165"/>
        <v>577.32000000000005</v>
      </c>
      <c r="G1134" s="330">
        <v>14</v>
      </c>
      <c r="H1134" s="330"/>
      <c r="I1134" s="330"/>
      <c r="J1134" s="40">
        <f t="shared" si="164"/>
        <v>14</v>
      </c>
      <c r="K1134" s="221">
        <f t="shared" si="159"/>
        <v>8.7843137254901959E-3</v>
      </c>
      <c r="L1134" s="316">
        <f t="shared" si="160"/>
        <v>19.93274980392157</v>
      </c>
      <c r="M1134" s="7">
        <f t="shared" si="166"/>
        <v>7.3292721029019621</v>
      </c>
      <c r="N1134" s="37">
        <v>7.6649344159900057</v>
      </c>
      <c r="O1134" s="947">
        <f t="shared" si="162"/>
        <v>1.4160313725490195</v>
      </c>
      <c r="P1134" s="37">
        <f t="shared" si="161"/>
        <v>1.7261422431372548</v>
      </c>
      <c r="Q1134" s="954">
        <f t="shared" si="163"/>
        <v>6.2951201578609006E-2</v>
      </c>
    </row>
    <row r="1135" spans="1:17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432">
        <f t="shared" si="165"/>
        <v>353</v>
      </c>
      <c r="G1135" s="330">
        <v>7</v>
      </c>
      <c r="H1135" s="330"/>
      <c r="I1135" s="330"/>
      <c r="J1135" s="40">
        <f t="shared" si="164"/>
        <v>7</v>
      </c>
      <c r="K1135" s="221">
        <f t="shared" si="159"/>
        <v>4.3921568627450979E-3</v>
      </c>
      <c r="L1135" s="316">
        <f t="shared" si="160"/>
        <v>9.9663749019607852</v>
      </c>
      <c r="M1135" s="7">
        <f t="shared" si="166"/>
        <v>3.664636051450981</v>
      </c>
      <c r="N1135" s="37">
        <v>3.8324672079950028</v>
      </c>
      <c r="O1135" s="947">
        <f t="shared" si="162"/>
        <v>0.70801568627450973</v>
      </c>
      <c r="P1135" s="37">
        <f t="shared" si="161"/>
        <v>0.86307112156862742</v>
      </c>
      <c r="Q1135" s="954">
        <f t="shared" si="163"/>
        <v>5.1477319681816645E-2</v>
      </c>
    </row>
    <row r="1136" spans="1:17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432">
        <f t="shared" si="165"/>
        <v>646.29999999999995</v>
      </c>
      <c r="G1136" s="330">
        <v>15</v>
      </c>
      <c r="H1136" s="330"/>
      <c r="I1136" s="330">
        <v>1</v>
      </c>
      <c r="J1136" s="40">
        <f t="shared" si="164"/>
        <v>16</v>
      </c>
      <c r="K1136" s="221">
        <f t="shared" si="159"/>
        <v>1.003921568627451E-2</v>
      </c>
      <c r="L1136" s="316">
        <f t="shared" si="160"/>
        <v>22.780285490196079</v>
      </c>
      <c r="M1136" s="7">
        <f t="shared" si="166"/>
        <v>8.376310974745099</v>
      </c>
      <c r="N1136" s="37">
        <v>8.759925046845721</v>
      </c>
      <c r="O1136" s="947">
        <f>K1136*1161.2</f>
        <v>11.657537254901962</v>
      </c>
      <c r="P1136" s="37">
        <f t="shared" si="161"/>
        <v>14.210537913725492</v>
      </c>
      <c r="Q1136" s="954">
        <f t="shared" si="163"/>
        <v>7.9798945948768171E-2</v>
      </c>
    </row>
    <row r="1137" spans="1:17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432">
        <f t="shared" si="165"/>
        <v>281.89999999999998</v>
      </c>
      <c r="G1137" s="330">
        <v>6</v>
      </c>
      <c r="H1137" s="330"/>
      <c r="I1137" s="330"/>
      <c r="J1137" s="40">
        <f t="shared" si="164"/>
        <v>6</v>
      </c>
      <c r="K1137" s="221">
        <f t="shared" ref="K1137:K1145" si="167">4/6375*J1137</f>
        <v>3.7647058823529413E-3</v>
      </c>
      <c r="L1137" s="316">
        <f t="shared" ref="L1137:L1145" si="168">K1137*2269.13</f>
        <v>8.5426070588235294</v>
      </c>
      <c r="M1137" s="7">
        <f t="shared" si="166"/>
        <v>3.1411166155294121</v>
      </c>
      <c r="N1137" s="37">
        <v>3.2849718925671452</v>
      </c>
      <c r="O1137" s="947">
        <f t="shared" si="162"/>
        <v>0.60687058823529405</v>
      </c>
      <c r="P1137" s="37">
        <f t="shared" si="161"/>
        <v>0.73977524705882347</v>
      </c>
      <c r="Q1137" s="954">
        <f t="shared" si="163"/>
        <v>5.5252097038507919E-2</v>
      </c>
    </row>
    <row r="1138" spans="1:17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432">
        <f t="shared" si="165"/>
        <v>305.10000000000002</v>
      </c>
      <c r="G1138" s="330">
        <v>10</v>
      </c>
      <c r="H1138" s="330"/>
      <c r="I1138" s="330"/>
      <c r="J1138" s="40">
        <f t="shared" si="164"/>
        <v>10</v>
      </c>
      <c r="K1138" s="221">
        <f t="shared" si="167"/>
        <v>6.2745098039215692E-3</v>
      </c>
      <c r="L1138" s="316">
        <f t="shared" si="168"/>
        <v>14.237678431372551</v>
      </c>
      <c r="M1138" s="7">
        <f t="shared" si="166"/>
        <v>5.2351943592156873</v>
      </c>
      <c r="N1138" s="37">
        <v>5.474953154278575</v>
      </c>
      <c r="O1138" s="947">
        <f t="shared" si="162"/>
        <v>1.011450980392157</v>
      </c>
      <c r="P1138" s="37">
        <f t="shared" ref="P1138:P1146" si="169">O1138*1.219</f>
        <v>1.2329587450980395</v>
      </c>
      <c r="Q1138" s="954">
        <f t="shared" si="163"/>
        <v>8.5084486808452861E-2</v>
      </c>
    </row>
    <row r="1139" spans="1:17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432">
        <f t="shared" si="165"/>
        <v>369.45</v>
      </c>
      <c r="G1139" s="330">
        <v>9</v>
      </c>
      <c r="H1139" s="330"/>
      <c r="I1139" s="330"/>
      <c r="J1139" s="40">
        <f t="shared" si="164"/>
        <v>9</v>
      </c>
      <c r="K1139" s="221">
        <f t="shared" si="167"/>
        <v>5.6470588235294121E-3</v>
      </c>
      <c r="L1139" s="316">
        <f t="shared" si="168"/>
        <v>12.813910588235295</v>
      </c>
      <c r="M1139" s="7">
        <f t="shared" si="166"/>
        <v>4.711674923294118</v>
      </c>
      <c r="N1139" s="37">
        <v>4.9274578388507182</v>
      </c>
      <c r="O1139" s="947">
        <f t="shared" si="162"/>
        <v>0.91030588235294119</v>
      </c>
      <c r="P1139" s="37">
        <f t="shared" si="169"/>
        <v>1.1096628705882354</v>
      </c>
      <c r="Q1139" s="954">
        <f t="shared" si="163"/>
        <v>6.3238189830107108E-2</v>
      </c>
    </row>
    <row r="1140" spans="1:17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432">
        <f t="shared" si="165"/>
        <v>453.11</v>
      </c>
      <c r="G1140" s="330">
        <v>12</v>
      </c>
      <c r="H1140" s="330"/>
      <c r="I1140" s="330"/>
      <c r="J1140" s="40">
        <f t="shared" si="164"/>
        <v>12</v>
      </c>
      <c r="K1140" s="221">
        <f t="shared" si="167"/>
        <v>7.5294117647058826E-3</v>
      </c>
      <c r="L1140" s="316">
        <f t="shared" si="168"/>
        <v>17.085214117647059</v>
      </c>
      <c r="M1140" s="7">
        <f t="shared" si="166"/>
        <v>6.2822332310588243</v>
      </c>
      <c r="N1140" s="37">
        <v>6.5699437851342903</v>
      </c>
      <c r="O1140" s="947">
        <f t="shared" si="162"/>
        <v>1.2137411764705881</v>
      </c>
      <c r="P1140" s="37">
        <f t="shared" si="169"/>
        <v>1.4795504941176469</v>
      </c>
      <c r="Q1140" s="954">
        <f t="shared" si="163"/>
        <v>6.8749602326831805E-2</v>
      </c>
    </row>
    <row r="1141" spans="1:17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432">
        <f t="shared" si="165"/>
        <v>729</v>
      </c>
      <c r="G1141" s="330">
        <v>9</v>
      </c>
      <c r="H1141" s="330">
        <v>2</v>
      </c>
      <c r="I1141" s="330"/>
      <c r="J1141" s="40">
        <f t="shared" si="164"/>
        <v>11</v>
      </c>
      <c r="K1141" s="221">
        <f t="shared" si="167"/>
        <v>6.9019607843137255E-3</v>
      </c>
      <c r="L1141" s="316">
        <f t="shared" si="168"/>
        <v>15.661446274509805</v>
      </c>
      <c r="M1141" s="7">
        <f t="shared" si="166"/>
        <v>5.7587137951372558</v>
      </c>
      <c r="N1141" s="37">
        <v>6.0224484697064327</v>
      </c>
      <c r="O1141" s="947">
        <f>K1141*2161.2</f>
        <v>14.916517647058821</v>
      </c>
      <c r="P1141" s="37">
        <f t="shared" si="169"/>
        <v>18.183235011764705</v>
      </c>
      <c r="Q1141" s="954">
        <f t="shared" si="163"/>
        <v>5.8105797237876983E-2</v>
      </c>
    </row>
    <row r="1142" spans="1:17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432">
        <f t="shared" si="165"/>
        <v>422.76</v>
      </c>
      <c r="G1142" s="330">
        <v>10</v>
      </c>
      <c r="H1142" s="330"/>
      <c r="I1142" s="330"/>
      <c r="J1142" s="40">
        <f t="shared" si="164"/>
        <v>10</v>
      </c>
      <c r="K1142" s="221">
        <f t="shared" si="167"/>
        <v>6.2745098039215692E-3</v>
      </c>
      <c r="L1142" s="316">
        <f t="shared" si="168"/>
        <v>14.237678431372551</v>
      </c>
      <c r="M1142" s="7">
        <f t="shared" si="166"/>
        <v>5.2351943592156873</v>
      </c>
      <c r="N1142" s="37">
        <v>5.474953154278575</v>
      </c>
      <c r="O1142" s="947">
        <f t="shared" si="162"/>
        <v>1.011450980392157</v>
      </c>
      <c r="P1142" s="37">
        <f t="shared" si="169"/>
        <v>1.2329587450980395</v>
      </c>
      <c r="Q1142" s="954">
        <f t="shared" si="163"/>
        <v>6.1404288308399495E-2</v>
      </c>
    </row>
    <row r="1143" spans="1:17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432">
        <f t="shared" si="165"/>
        <v>152.30000000000001</v>
      </c>
      <c r="G1143" s="330">
        <v>4</v>
      </c>
      <c r="H1143" s="330"/>
      <c r="I1143" s="330"/>
      <c r="J1143" s="40">
        <f t="shared" si="164"/>
        <v>4</v>
      </c>
      <c r="K1143" s="221">
        <f t="shared" si="167"/>
        <v>2.5098039215686275E-3</v>
      </c>
      <c r="L1143" s="316">
        <f t="shared" si="168"/>
        <v>5.6950713725490196</v>
      </c>
      <c r="M1143" s="7">
        <f t="shared" si="166"/>
        <v>2.0940777436862748</v>
      </c>
      <c r="N1143" s="37">
        <v>2.1899812617114303</v>
      </c>
      <c r="O1143" s="947">
        <f t="shared" si="162"/>
        <v>0.4045803921568627</v>
      </c>
      <c r="P1143" s="37">
        <f t="shared" si="169"/>
        <v>0.49318349803921568</v>
      </c>
      <c r="Q1143" s="954">
        <f t="shared" si="163"/>
        <v>6.8179322193720193E-2</v>
      </c>
    </row>
    <row r="1144" spans="1:17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432">
        <f t="shared" si="165"/>
        <v>252.6</v>
      </c>
      <c r="G1144" s="330">
        <v>9</v>
      </c>
      <c r="H1144" s="330"/>
      <c r="I1144" s="330"/>
      <c r="J1144" s="40">
        <f t="shared" si="164"/>
        <v>9</v>
      </c>
      <c r="K1144" s="221">
        <f t="shared" si="167"/>
        <v>5.6470588235294121E-3</v>
      </c>
      <c r="L1144" s="316">
        <f t="shared" si="168"/>
        <v>12.813910588235295</v>
      </c>
      <c r="M1144" s="7">
        <f t="shared" si="166"/>
        <v>4.711674923294118</v>
      </c>
      <c r="N1144" s="37">
        <v>4.9274578388507182</v>
      </c>
      <c r="O1144" s="947">
        <f t="shared" si="162"/>
        <v>0.91030588235294119</v>
      </c>
      <c r="P1144" s="37">
        <f t="shared" si="169"/>
        <v>1.1096628705882354</v>
      </c>
      <c r="Q1144" s="954">
        <f t="shared" si="163"/>
        <v>9.2491485481920321E-2</v>
      </c>
    </row>
    <row r="1145" spans="1:17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143">
        <f t="shared" si="165"/>
        <v>143.69999999999999</v>
      </c>
      <c r="G1145" s="330">
        <v>2</v>
      </c>
      <c r="H1145" s="330"/>
      <c r="I1145" s="330"/>
      <c r="J1145" s="40">
        <f t="shared" si="164"/>
        <v>2</v>
      </c>
      <c r="K1145" s="221">
        <f t="shared" si="167"/>
        <v>1.2549019607843138E-3</v>
      </c>
      <c r="L1145" s="316">
        <f t="shared" si="168"/>
        <v>2.8475356862745098</v>
      </c>
      <c r="M1145" s="7">
        <f t="shared" si="166"/>
        <v>1.0470388718431374</v>
      </c>
      <c r="N1145" s="37">
        <v>1.0949906308557151</v>
      </c>
      <c r="O1145" s="947">
        <f t="shared" si="162"/>
        <v>0.20229019607843135</v>
      </c>
      <c r="P1145" s="37">
        <f t="shared" si="169"/>
        <v>0.24659174901960784</v>
      </c>
      <c r="Q1145" s="954">
        <f t="shared" si="163"/>
        <v>3.6129821747054931E-2</v>
      </c>
    </row>
    <row r="1146" spans="1:17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 t="shared" ref="F1146:F1201" si="170">C1146+D1146+E1146</f>
        <v>282420.12999999971</v>
      </c>
      <c r="G1146" s="30">
        <f>SUM(G881:G1145)</f>
        <v>6331</v>
      </c>
      <c r="H1146" s="30">
        <f>SUM(H881:H1145)</f>
        <v>11</v>
      </c>
      <c r="I1146" s="30">
        <f>SUM(I881:I1145)</f>
        <v>33</v>
      </c>
      <c r="J1146" s="30">
        <f>SUM(J881:J1145)</f>
        <v>6375</v>
      </c>
      <c r="K1146" s="221">
        <f>4/6375*J1146</f>
        <v>4</v>
      </c>
      <c r="L1146" s="316">
        <f>K1146*2269.13</f>
        <v>9076.52</v>
      </c>
      <c r="M1146" s="64">
        <f t="shared" ref="M1146:M1201" si="171">L1146*0.3677</f>
        <v>3337.4364040000005</v>
      </c>
      <c r="N1146" s="37">
        <f>SUM(N880:N1145)</f>
        <v>3490.2826358525949</v>
      </c>
      <c r="O1146" s="947">
        <f>K1146*161.2*1.08</f>
        <v>696.38400000000001</v>
      </c>
      <c r="P1146" s="37">
        <f t="shared" si="169"/>
        <v>848.89209600000004</v>
      </c>
      <c r="Q1146" s="954">
        <f t="shared" si="163"/>
        <v>5.877988597998525E-2</v>
      </c>
    </row>
    <row r="1147" spans="1:17" s="6" customFormat="1" ht="15.75">
      <c r="A1147" s="28" t="s">
        <v>634</v>
      </c>
      <c r="B1147" s="8"/>
      <c r="C1147" s="8"/>
      <c r="D1147" s="8"/>
      <c r="E1147" s="8"/>
      <c r="F1147" s="40">
        <f t="shared" si="170"/>
        <v>0</v>
      </c>
      <c r="G1147" s="24"/>
      <c r="H1147" s="8"/>
      <c r="I1147" s="8"/>
      <c r="J1147" s="40"/>
      <c r="K1147" s="61"/>
      <c r="L1147" s="316"/>
      <c r="M1147" s="37"/>
      <c r="N1147" s="37"/>
      <c r="O1147" s="947"/>
      <c r="P1147" s="37"/>
      <c r="Q1147" s="954" t="e">
        <f t="shared" si="163"/>
        <v>#DIV/0!</v>
      </c>
    </row>
    <row r="1148" spans="1:17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>
        <f t="shared" si="170"/>
        <v>219.1</v>
      </c>
      <c r="G1148" s="24">
        <v>5</v>
      </c>
      <c r="H1148" s="8"/>
      <c r="I1148" s="8"/>
      <c r="J1148" s="40">
        <f>G1148+H1148+I1148</f>
        <v>5</v>
      </c>
      <c r="K1148" s="324">
        <f t="shared" ref="K1148:K1201" si="172">2/2913*J1148</f>
        <v>3.4328870580157917E-3</v>
      </c>
      <c r="L1148" s="316">
        <f t="shared" ref="L1148:L1201" si="173">K1148*2269.13</f>
        <v>7.789667009955374</v>
      </c>
      <c r="M1148" s="37">
        <f t="shared" si="171"/>
        <v>2.864260559560591</v>
      </c>
      <c r="N1148" s="37">
        <v>3.0090628218331621</v>
      </c>
      <c r="O1148" s="947">
        <f>K1148*161.2</f>
        <v>0.55338139375214557</v>
      </c>
      <c r="P1148" s="37"/>
      <c r="Q1148" s="954">
        <f t="shared" si="163"/>
        <v>6.4885311661804085E-2</v>
      </c>
    </row>
    <row r="1149" spans="1:17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>
        <f t="shared" si="170"/>
        <v>265.10000000000002</v>
      </c>
      <c r="G1149" s="24">
        <v>4</v>
      </c>
      <c r="H1149" s="8"/>
      <c r="I1149" s="8"/>
      <c r="J1149" s="40">
        <f t="shared" ref="J1149:J1201" si="174">G1149+H1149+I1149</f>
        <v>4</v>
      </c>
      <c r="K1149" s="324">
        <f t="shared" si="172"/>
        <v>2.7463096464126332E-3</v>
      </c>
      <c r="L1149" s="316">
        <f t="shared" si="173"/>
        <v>6.2317336079642986</v>
      </c>
      <c r="M1149" s="37">
        <f t="shared" si="171"/>
        <v>2.2914084476484726</v>
      </c>
      <c r="N1149" s="37">
        <v>2.4072502574665293</v>
      </c>
      <c r="O1149" s="947">
        <f t="shared" ref="O1149:O1160" si="175">K1149*161.2</f>
        <v>0.44270511500171644</v>
      </c>
      <c r="P1149" s="37"/>
      <c r="Q1149" s="954">
        <f t="shared" si="163"/>
        <v>4.29011596683554E-2</v>
      </c>
    </row>
    <row r="1150" spans="1:17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>
        <f t="shared" si="170"/>
        <v>352.7</v>
      </c>
      <c r="G1150" s="24">
        <v>8</v>
      </c>
      <c r="H1150" s="8"/>
      <c r="I1150" s="8"/>
      <c r="J1150" s="40">
        <f t="shared" si="174"/>
        <v>8</v>
      </c>
      <c r="K1150" s="324">
        <f t="shared" si="172"/>
        <v>5.4926192928252664E-3</v>
      </c>
      <c r="L1150" s="316">
        <f t="shared" si="173"/>
        <v>12.463467215928597</v>
      </c>
      <c r="M1150" s="37">
        <f t="shared" si="171"/>
        <v>4.5828168952969452</v>
      </c>
      <c r="N1150" s="37">
        <v>4.8145005149330586</v>
      </c>
      <c r="O1150" s="947">
        <f t="shared" si="175"/>
        <v>0.88541023000343289</v>
      </c>
      <c r="P1150" s="37"/>
      <c r="Q1150" s="954">
        <f t="shared" si="163"/>
        <v>6.4491621367059923E-2</v>
      </c>
    </row>
    <row r="1151" spans="1:17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>
        <f t="shared" si="170"/>
        <v>350.15</v>
      </c>
      <c r="G1151" s="24">
        <v>8</v>
      </c>
      <c r="H1151" s="8"/>
      <c r="I1151" s="8"/>
      <c r="J1151" s="40">
        <f t="shared" si="174"/>
        <v>8</v>
      </c>
      <c r="K1151" s="324">
        <f t="shared" si="172"/>
        <v>5.4926192928252664E-3</v>
      </c>
      <c r="L1151" s="316">
        <f t="shared" si="173"/>
        <v>12.463467215928597</v>
      </c>
      <c r="M1151" s="37">
        <f t="shared" si="171"/>
        <v>4.5828168952969452</v>
      </c>
      <c r="N1151" s="37">
        <v>4.8145005149330586</v>
      </c>
      <c r="O1151" s="947">
        <f t="shared" si="175"/>
        <v>0.88541023000343289</v>
      </c>
      <c r="P1151" s="37"/>
      <c r="Q1151" s="954">
        <f t="shared" si="163"/>
        <v>6.4961287608630694E-2</v>
      </c>
    </row>
    <row r="1152" spans="1:17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>
        <f t="shared" si="170"/>
        <v>348.6</v>
      </c>
      <c r="G1152" s="24">
        <v>8</v>
      </c>
      <c r="H1152" s="8"/>
      <c r="I1152" s="8"/>
      <c r="J1152" s="40">
        <f t="shared" si="174"/>
        <v>8</v>
      </c>
      <c r="K1152" s="324">
        <f t="shared" si="172"/>
        <v>5.4926192928252664E-3</v>
      </c>
      <c r="L1152" s="316">
        <f t="shared" si="173"/>
        <v>12.463467215928597</v>
      </c>
      <c r="M1152" s="37">
        <f t="shared" si="171"/>
        <v>4.5828168952969452</v>
      </c>
      <c r="N1152" s="37">
        <v>4.8145005149330586</v>
      </c>
      <c r="O1152" s="947">
        <f t="shared" si="175"/>
        <v>0.88541023000343289</v>
      </c>
      <c r="P1152" s="37"/>
      <c r="Q1152" s="954">
        <f t="shared" si="163"/>
        <v>6.525012867516361E-2</v>
      </c>
    </row>
    <row r="1153" spans="1:17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>
        <f t="shared" si="170"/>
        <v>430.37</v>
      </c>
      <c r="G1153" s="24">
        <v>8</v>
      </c>
      <c r="H1153" s="8"/>
      <c r="I1153" s="8"/>
      <c r="J1153" s="40">
        <f t="shared" si="174"/>
        <v>8</v>
      </c>
      <c r="K1153" s="324">
        <f t="shared" si="172"/>
        <v>5.4926192928252664E-3</v>
      </c>
      <c r="L1153" s="316">
        <f t="shared" si="173"/>
        <v>12.463467215928597</v>
      </c>
      <c r="M1153" s="37">
        <f t="shared" si="171"/>
        <v>4.5828168952969452</v>
      </c>
      <c r="N1153" s="37">
        <v>4.8145005149330586</v>
      </c>
      <c r="O1153" s="947">
        <f t="shared" si="175"/>
        <v>0.88541023000343289</v>
      </c>
      <c r="P1153" s="37"/>
      <c r="Q1153" s="954">
        <f t="shared" si="163"/>
        <v>5.2852649711090535E-2</v>
      </c>
    </row>
    <row r="1154" spans="1:17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>
        <f t="shared" si="170"/>
        <v>79.3</v>
      </c>
      <c r="G1154" s="24">
        <v>0</v>
      </c>
      <c r="H1154" s="8"/>
      <c r="I1154" s="8"/>
      <c r="J1154" s="40">
        <f t="shared" si="174"/>
        <v>0</v>
      </c>
      <c r="K1154" s="324">
        <f t="shared" si="172"/>
        <v>0</v>
      </c>
      <c r="L1154" s="316">
        <f t="shared" si="173"/>
        <v>0</v>
      </c>
      <c r="M1154" s="37">
        <f t="shared" si="171"/>
        <v>0</v>
      </c>
      <c r="N1154" s="37">
        <v>0</v>
      </c>
      <c r="O1154" s="947">
        <f t="shared" si="175"/>
        <v>0</v>
      </c>
      <c r="P1154" s="37"/>
      <c r="Q1154" s="954">
        <f t="shared" si="163"/>
        <v>0</v>
      </c>
    </row>
    <row r="1155" spans="1:17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>
        <f t="shared" si="170"/>
        <v>70.099999999999994</v>
      </c>
      <c r="G1155" s="24">
        <v>0</v>
      </c>
      <c r="H1155" s="8"/>
      <c r="I1155" s="8"/>
      <c r="J1155" s="40">
        <f t="shared" si="174"/>
        <v>0</v>
      </c>
      <c r="K1155" s="324">
        <f t="shared" si="172"/>
        <v>0</v>
      </c>
      <c r="L1155" s="316">
        <f t="shared" si="173"/>
        <v>0</v>
      </c>
      <c r="M1155" s="37">
        <f t="shared" si="171"/>
        <v>0</v>
      </c>
      <c r="N1155" s="37">
        <v>0</v>
      </c>
      <c r="O1155" s="947">
        <f t="shared" si="175"/>
        <v>0</v>
      </c>
      <c r="P1155" s="37"/>
      <c r="Q1155" s="954">
        <f t="shared" si="163"/>
        <v>0</v>
      </c>
    </row>
    <row r="1156" spans="1:17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>
        <f t="shared" si="170"/>
        <v>326.92</v>
      </c>
      <c r="G1156" s="24">
        <v>8</v>
      </c>
      <c r="H1156" s="8"/>
      <c r="I1156" s="8"/>
      <c r="J1156" s="40">
        <f t="shared" si="174"/>
        <v>8</v>
      </c>
      <c r="K1156" s="324">
        <f t="shared" si="172"/>
        <v>5.4926192928252664E-3</v>
      </c>
      <c r="L1156" s="316">
        <f t="shared" si="173"/>
        <v>12.463467215928597</v>
      </c>
      <c r="M1156" s="37">
        <f t="shared" si="171"/>
        <v>4.5828168952969452</v>
      </c>
      <c r="N1156" s="37">
        <v>4.8145005149330586</v>
      </c>
      <c r="O1156" s="947">
        <f t="shared" si="175"/>
        <v>0.88541023000343289</v>
      </c>
      <c r="P1156" s="37"/>
      <c r="Q1156" s="954">
        <f t="shared" si="163"/>
        <v>6.9577250875327401E-2</v>
      </c>
    </row>
    <row r="1157" spans="1:17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>
        <f t="shared" si="170"/>
        <v>322.55</v>
      </c>
      <c r="G1157" s="24">
        <v>8</v>
      </c>
      <c r="H1157" s="8"/>
      <c r="I1157" s="8"/>
      <c r="J1157" s="40">
        <f t="shared" si="174"/>
        <v>8</v>
      </c>
      <c r="K1157" s="324">
        <f t="shared" si="172"/>
        <v>5.4926192928252664E-3</v>
      </c>
      <c r="L1157" s="316">
        <f t="shared" si="173"/>
        <v>12.463467215928597</v>
      </c>
      <c r="M1157" s="37">
        <f t="shared" si="171"/>
        <v>4.5828168952969452</v>
      </c>
      <c r="N1157" s="37">
        <v>4.8145005149330586</v>
      </c>
      <c r="O1157" s="947">
        <f t="shared" si="175"/>
        <v>0.88541023000343289</v>
      </c>
      <c r="P1157" s="37"/>
      <c r="Q1157" s="954">
        <f t="shared" si="163"/>
        <v>7.0519903444929574E-2</v>
      </c>
    </row>
    <row r="1158" spans="1:17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>
        <f t="shared" si="170"/>
        <v>415.5</v>
      </c>
      <c r="G1158" s="24">
        <v>10</v>
      </c>
      <c r="H1158" s="8"/>
      <c r="I1158" s="8"/>
      <c r="J1158" s="40">
        <f t="shared" si="174"/>
        <v>10</v>
      </c>
      <c r="K1158" s="324">
        <f t="shared" si="172"/>
        <v>6.8657741160315835E-3</v>
      </c>
      <c r="L1158" s="316">
        <f t="shared" si="173"/>
        <v>15.579334019910748</v>
      </c>
      <c r="M1158" s="37">
        <f t="shared" si="171"/>
        <v>5.728521119121182</v>
      </c>
      <c r="N1158" s="37">
        <v>6.0181256436663242</v>
      </c>
      <c r="O1158" s="947">
        <f t="shared" si="175"/>
        <v>1.1067627875042911</v>
      </c>
      <c r="P1158" s="37"/>
      <c r="Q1158" s="954">
        <f t="shared" si="163"/>
        <v>6.8430189097960406E-2</v>
      </c>
    </row>
    <row r="1159" spans="1:17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>
        <f t="shared" si="170"/>
        <v>372.82</v>
      </c>
      <c r="G1159" s="24">
        <v>8</v>
      </c>
      <c r="H1159" s="8"/>
      <c r="I1159" s="8"/>
      <c r="J1159" s="40">
        <f t="shared" si="174"/>
        <v>8</v>
      </c>
      <c r="K1159" s="324">
        <f t="shared" si="172"/>
        <v>5.4926192928252664E-3</v>
      </c>
      <c r="L1159" s="316">
        <f t="shared" si="173"/>
        <v>12.463467215928597</v>
      </c>
      <c r="M1159" s="37">
        <f t="shared" si="171"/>
        <v>4.5828168952969452</v>
      </c>
      <c r="N1159" s="37">
        <v>4.8145005149330586</v>
      </c>
      <c r="O1159" s="947">
        <f t="shared" si="175"/>
        <v>0.88541023000343289</v>
      </c>
      <c r="P1159" s="37"/>
      <c r="Q1159" s="954">
        <f t="shared" ref="Q1159:Q1222" si="176">(O1159+N1159+M1159+L1159)/F1159</f>
        <v>6.1011198047749675E-2</v>
      </c>
    </row>
    <row r="1160" spans="1:17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>
        <f t="shared" si="170"/>
        <v>282.76</v>
      </c>
      <c r="G1160" s="24">
        <v>4</v>
      </c>
      <c r="H1160" s="8"/>
      <c r="I1160" s="8"/>
      <c r="J1160" s="40">
        <f t="shared" si="174"/>
        <v>4</v>
      </c>
      <c r="K1160" s="324">
        <f t="shared" si="172"/>
        <v>2.7463096464126332E-3</v>
      </c>
      <c r="L1160" s="316">
        <f t="shared" si="173"/>
        <v>6.2317336079642986</v>
      </c>
      <c r="M1160" s="37">
        <f t="shared" si="171"/>
        <v>2.2914084476484726</v>
      </c>
      <c r="N1160" s="37">
        <v>2.4072502574665293</v>
      </c>
      <c r="O1160" s="947">
        <f t="shared" si="175"/>
        <v>0.44270511500171644</v>
      </c>
      <c r="P1160" s="37"/>
      <c r="Q1160" s="954">
        <f t="shared" si="176"/>
        <v>4.0221733725000063E-2</v>
      </c>
    </row>
    <row r="1161" spans="1:17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>
        <f t="shared" si="170"/>
        <v>180.5</v>
      </c>
      <c r="G1161" s="24">
        <v>0</v>
      </c>
      <c r="H1161" s="8"/>
      <c r="I1161" s="8"/>
      <c r="J1161" s="40">
        <f t="shared" si="174"/>
        <v>0</v>
      </c>
      <c r="K1161" s="324">
        <f t="shared" si="172"/>
        <v>0</v>
      </c>
      <c r="L1161" s="316">
        <f t="shared" si="173"/>
        <v>0</v>
      </c>
      <c r="M1161" s="37">
        <f t="shared" si="171"/>
        <v>0</v>
      </c>
      <c r="N1161" s="37">
        <v>0</v>
      </c>
      <c r="O1161" s="947">
        <f>K1161*161.2</f>
        <v>0</v>
      </c>
      <c r="P1161" s="37"/>
      <c r="Q1161" s="954">
        <f t="shared" si="176"/>
        <v>0</v>
      </c>
    </row>
    <row r="1162" spans="1:17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40">
        <f t="shared" si="170"/>
        <v>5520.77</v>
      </c>
      <c r="G1162" s="24">
        <v>81</v>
      </c>
      <c r="H1162" s="8"/>
      <c r="I1162" s="8"/>
      <c r="J1162" s="40">
        <f t="shared" si="174"/>
        <v>81</v>
      </c>
      <c r="K1162" s="324">
        <f t="shared" si="172"/>
        <v>5.5612770339855823E-2</v>
      </c>
      <c r="L1162" s="316">
        <f t="shared" si="173"/>
        <v>126.19260556127705</v>
      </c>
      <c r="M1162" s="37">
        <f t="shared" si="171"/>
        <v>46.401021064881576</v>
      </c>
      <c r="N1162" s="37">
        <v>48.746817713697219</v>
      </c>
      <c r="O1162" s="947">
        <f>K1162*581.63</f>
        <v>32.346055612770343</v>
      </c>
      <c r="P1162" s="37"/>
      <c r="Q1162" s="954">
        <f t="shared" si="176"/>
        <v>4.595128939488987E-2</v>
      </c>
    </row>
    <row r="1163" spans="1:17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40">
        <f t="shared" si="170"/>
        <v>5310.85</v>
      </c>
      <c r="G1163" s="24">
        <v>81</v>
      </c>
      <c r="H1163" s="8"/>
      <c r="I1163" s="8"/>
      <c r="J1163" s="40">
        <f t="shared" si="174"/>
        <v>81</v>
      </c>
      <c r="K1163" s="324">
        <f t="shared" si="172"/>
        <v>5.5612770339855823E-2</v>
      </c>
      <c r="L1163" s="316">
        <f t="shared" si="173"/>
        <v>126.19260556127705</v>
      </c>
      <c r="M1163" s="37">
        <f t="shared" si="171"/>
        <v>46.401021064881576</v>
      </c>
      <c r="N1163" s="37">
        <v>48.746817713697219</v>
      </c>
      <c r="O1163" s="947">
        <f>K1163*581.63</f>
        <v>32.346055612770343</v>
      </c>
      <c r="P1163" s="37"/>
      <c r="Q1163" s="954">
        <f t="shared" si="176"/>
        <v>4.776758898342566E-2</v>
      </c>
    </row>
    <row r="1164" spans="1:17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40">
        <f t="shared" si="170"/>
        <v>5405.43</v>
      </c>
      <c r="G1164" s="24">
        <v>81</v>
      </c>
      <c r="H1164" s="8"/>
      <c r="I1164" s="8"/>
      <c r="J1164" s="40">
        <f t="shared" si="174"/>
        <v>81</v>
      </c>
      <c r="K1164" s="324">
        <f t="shared" si="172"/>
        <v>5.5612770339855823E-2</v>
      </c>
      <c r="L1164" s="316">
        <f t="shared" si="173"/>
        <v>126.19260556127705</v>
      </c>
      <c r="M1164" s="37">
        <f t="shared" si="171"/>
        <v>46.401021064881576</v>
      </c>
      <c r="N1164" s="37">
        <v>48.746817713697219</v>
      </c>
      <c r="O1164" s="947">
        <f>K1164*581.63</f>
        <v>32.346055612770343</v>
      </c>
      <c r="P1164" s="37"/>
      <c r="Q1164" s="954">
        <f t="shared" si="176"/>
        <v>4.693178895159611E-2</v>
      </c>
    </row>
    <row r="1165" spans="1:17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>
        <f t="shared" si="170"/>
        <v>349.2</v>
      </c>
      <c r="G1165" s="24">
        <v>8</v>
      </c>
      <c r="H1165" s="8"/>
      <c r="I1165" s="8"/>
      <c r="J1165" s="40">
        <f t="shared" si="174"/>
        <v>8</v>
      </c>
      <c r="K1165" s="324">
        <f t="shared" si="172"/>
        <v>5.4926192928252664E-3</v>
      </c>
      <c r="L1165" s="316">
        <f t="shared" si="173"/>
        <v>12.463467215928597</v>
      </c>
      <c r="M1165" s="37">
        <f t="shared" si="171"/>
        <v>4.5828168952969452</v>
      </c>
      <c r="N1165" s="37">
        <v>4.8145005149330586</v>
      </c>
      <c r="O1165" s="947">
        <f t="shared" ref="O1165:O1201" si="177">K1165*161.2</f>
        <v>0.88541023000343289</v>
      </c>
      <c r="P1165" s="37"/>
      <c r="Q1165" s="954">
        <f t="shared" si="176"/>
        <v>6.5138015052010417E-2</v>
      </c>
    </row>
    <row r="1166" spans="1:17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>
        <f t="shared" si="170"/>
        <v>433.4</v>
      </c>
      <c r="G1166" s="24">
        <v>8</v>
      </c>
      <c r="H1166" s="8"/>
      <c r="I1166" s="8"/>
      <c r="J1166" s="40">
        <f t="shared" si="174"/>
        <v>8</v>
      </c>
      <c r="K1166" s="324">
        <f t="shared" si="172"/>
        <v>5.4926192928252664E-3</v>
      </c>
      <c r="L1166" s="316">
        <f t="shared" si="173"/>
        <v>12.463467215928597</v>
      </c>
      <c r="M1166" s="37">
        <f t="shared" si="171"/>
        <v>4.5828168952969452</v>
      </c>
      <c r="N1166" s="37">
        <v>4.8145005149330586</v>
      </c>
      <c r="O1166" s="947">
        <f t="shared" si="177"/>
        <v>0.88541023000343289</v>
      </c>
      <c r="P1166" s="37"/>
      <c r="Q1166" s="954">
        <f t="shared" si="176"/>
        <v>5.2483144568901789E-2</v>
      </c>
    </row>
    <row r="1167" spans="1:17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>
        <f t="shared" si="170"/>
        <v>360.2</v>
      </c>
      <c r="G1167" s="24">
        <v>8</v>
      </c>
      <c r="H1167" s="8"/>
      <c r="I1167" s="8"/>
      <c r="J1167" s="40">
        <f t="shared" si="174"/>
        <v>8</v>
      </c>
      <c r="K1167" s="324">
        <f t="shared" si="172"/>
        <v>5.4926192928252664E-3</v>
      </c>
      <c r="L1167" s="316">
        <f t="shared" si="173"/>
        <v>12.463467215928597</v>
      </c>
      <c r="M1167" s="37">
        <f t="shared" si="171"/>
        <v>4.5828168952969452</v>
      </c>
      <c r="N1167" s="37">
        <v>4.8145005149330586</v>
      </c>
      <c r="O1167" s="947">
        <f t="shared" si="177"/>
        <v>0.88541023000343289</v>
      </c>
      <c r="P1167" s="37"/>
      <c r="Q1167" s="954">
        <f t="shared" si="176"/>
        <v>6.3148791938262172E-2</v>
      </c>
    </row>
    <row r="1168" spans="1:17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>
        <f t="shared" si="170"/>
        <v>31.8</v>
      </c>
      <c r="G1168" s="24">
        <v>0</v>
      </c>
      <c r="H1168" s="8"/>
      <c r="I1168" s="8"/>
      <c r="J1168" s="40">
        <f t="shared" si="174"/>
        <v>0</v>
      </c>
      <c r="K1168" s="324">
        <f t="shared" si="172"/>
        <v>0</v>
      </c>
      <c r="L1168" s="316">
        <f t="shared" si="173"/>
        <v>0</v>
      </c>
      <c r="M1168" s="37">
        <f t="shared" si="171"/>
        <v>0</v>
      </c>
      <c r="N1168" s="37">
        <v>0</v>
      </c>
      <c r="O1168" s="947">
        <f t="shared" si="177"/>
        <v>0</v>
      </c>
      <c r="P1168" s="37"/>
      <c r="Q1168" s="954">
        <f t="shared" si="176"/>
        <v>0</v>
      </c>
    </row>
    <row r="1169" spans="1:17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>
        <f t="shared" si="170"/>
        <v>357.19</v>
      </c>
      <c r="G1169" s="24">
        <v>8</v>
      </c>
      <c r="H1169" s="8"/>
      <c r="I1169" s="8"/>
      <c r="J1169" s="40">
        <f t="shared" si="174"/>
        <v>8</v>
      </c>
      <c r="K1169" s="324">
        <f t="shared" si="172"/>
        <v>5.4926192928252664E-3</v>
      </c>
      <c r="L1169" s="316">
        <f t="shared" si="173"/>
        <v>12.463467215928597</v>
      </c>
      <c r="M1169" s="37">
        <f t="shared" si="171"/>
        <v>4.5828168952969452</v>
      </c>
      <c r="N1169" s="37">
        <v>4.8145005149330586</v>
      </c>
      <c r="O1169" s="947">
        <f t="shared" si="177"/>
        <v>0.88541023000343289</v>
      </c>
      <c r="P1169" s="37"/>
      <c r="Q1169" s="954">
        <f t="shared" si="176"/>
        <v>6.3680939713211551E-2</v>
      </c>
    </row>
    <row r="1170" spans="1:17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>
        <f t="shared" si="170"/>
        <v>306.39999999999998</v>
      </c>
      <c r="G1170" s="24">
        <v>8</v>
      </c>
      <c r="H1170" s="8"/>
      <c r="I1170" s="8"/>
      <c r="J1170" s="40">
        <f t="shared" si="174"/>
        <v>8</v>
      </c>
      <c r="K1170" s="324">
        <f t="shared" si="172"/>
        <v>5.4926192928252664E-3</v>
      </c>
      <c r="L1170" s="316">
        <f t="shared" si="173"/>
        <v>12.463467215928597</v>
      </c>
      <c r="M1170" s="37">
        <f t="shared" si="171"/>
        <v>4.5828168952969452</v>
      </c>
      <c r="N1170" s="37">
        <v>4.8145005149330586</v>
      </c>
      <c r="O1170" s="947">
        <f t="shared" si="177"/>
        <v>0.88541023000343289</v>
      </c>
      <c r="P1170" s="37"/>
      <c r="Q1170" s="954">
        <f t="shared" si="176"/>
        <v>7.4236928381729878E-2</v>
      </c>
    </row>
    <row r="1171" spans="1:17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>
        <f t="shared" si="170"/>
        <v>407.2</v>
      </c>
      <c r="G1171" s="24">
        <v>8</v>
      </c>
      <c r="H1171" s="8"/>
      <c r="I1171" s="8"/>
      <c r="J1171" s="40">
        <f t="shared" si="174"/>
        <v>8</v>
      </c>
      <c r="K1171" s="324">
        <f t="shared" si="172"/>
        <v>5.4926192928252664E-3</v>
      </c>
      <c r="L1171" s="316">
        <f t="shared" si="173"/>
        <v>12.463467215928597</v>
      </c>
      <c r="M1171" s="37">
        <f t="shared" si="171"/>
        <v>4.5828168952969452</v>
      </c>
      <c r="N1171" s="37">
        <v>4.8145005149330586</v>
      </c>
      <c r="O1171" s="947">
        <f t="shared" si="177"/>
        <v>0.88541023000343289</v>
      </c>
      <c r="P1171" s="37"/>
      <c r="Q1171" s="954">
        <f t="shared" si="176"/>
        <v>5.5860007014150379E-2</v>
      </c>
    </row>
    <row r="1172" spans="1:17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>
        <f t="shared" si="170"/>
        <v>52.3</v>
      </c>
      <c r="G1172" s="24">
        <v>0</v>
      </c>
      <c r="H1172" s="8"/>
      <c r="I1172" s="8"/>
      <c r="J1172" s="40">
        <f t="shared" si="174"/>
        <v>0</v>
      </c>
      <c r="K1172" s="324">
        <f t="shared" si="172"/>
        <v>0</v>
      </c>
      <c r="L1172" s="316">
        <f t="shared" si="173"/>
        <v>0</v>
      </c>
      <c r="M1172" s="37">
        <f t="shared" si="171"/>
        <v>0</v>
      </c>
      <c r="N1172" s="37">
        <v>0</v>
      </c>
      <c r="O1172" s="947">
        <f t="shared" si="177"/>
        <v>0</v>
      </c>
      <c r="P1172" s="37"/>
      <c r="Q1172" s="954">
        <f t="shared" si="176"/>
        <v>0</v>
      </c>
    </row>
    <row r="1173" spans="1:17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>
        <f t="shared" si="170"/>
        <v>122.2</v>
      </c>
      <c r="G1173" s="24">
        <v>0</v>
      </c>
      <c r="H1173" s="8"/>
      <c r="I1173" s="8"/>
      <c r="J1173" s="40">
        <f t="shared" si="174"/>
        <v>0</v>
      </c>
      <c r="K1173" s="324">
        <f t="shared" si="172"/>
        <v>0</v>
      </c>
      <c r="L1173" s="316">
        <f t="shared" si="173"/>
        <v>0</v>
      </c>
      <c r="M1173" s="37">
        <f t="shared" si="171"/>
        <v>0</v>
      </c>
      <c r="N1173" s="37">
        <v>0</v>
      </c>
      <c r="O1173" s="947">
        <f t="shared" si="177"/>
        <v>0</v>
      </c>
      <c r="P1173" s="37"/>
      <c r="Q1173" s="954">
        <f t="shared" si="176"/>
        <v>0</v>
      </c>
    </row>
    <row r="1174" spans="1:17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>
        <f t="shared" si="170"/>
        <v>77.900000000000006</v>
      </c>
      <c r="G1174" s="24">
        <v>0</v>
      </c>
      <c r="H1174" s="8"/>
      <c r="I1174" s="8"/>
      <c r="J1174" s="40">
        <f t="shared" si="174"/>
        <v>0</v>
      </c>
      <c r="K1174" s="324">
        <f t="shared" si="172"/>
        <v>0</v>
      </c>
      <c r="L1174" s="316">
        <f t="shared" si="173"/>
        <v>0</v>
      </c>
      <c r="M1174" s="37">
        <f t="shared" si="171"/>
        <v>0</v>
      </c>
      <c r="N1174" s="37">
        <v>0</v>
      </c>
      <c r="O1174" s="947">
        <f t="shared" si="177"/>
        <v>0</v>
      </c>
      <c r="P1174" s="37"/>
      <c r="Q1174" s="954">
        <f t="shared" si="176"/>
        <v>0</v>
      </c>
    </row>
    <row r="1175" spans="1:17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>
        <f t="shared" si="170"/>
        <v>205.19</v>
      </c>
      <c r="G1175" s="24">
        <v>0</v>
      </c>
      <c r="H1175" s="8"/>
      <c r="I1175" s="8"/>
      <c r="J1175" s="40">
        <f t="shared" si="174"/>
        <v>0</v>
      </c>
      <c r="K1175" s="324">
        <f t="shared" si="172"/>
        <v>0</v>
      </c>
      <c r="L1175" s="316">
        <f t="shared" si="173"/>
        <v>0</v>
      </c>
      <c r="M1175" s="37">
        <f t="shared" si="171"/>
        <v>0</v>
      </c>
      <c r="N1175" s="37">
        <v>0</v>
      </c>
      <c r="O1175" s="947">
        <f t="shared" si="177"/>
        <v>0</v>
      </c>
      <c r="P1175" s="37"/>
      <c r="Q1175" s="954">
        <f t="shared" si="176"/>
        <v>0</v>
      </c>
    </row>
    <row r="1176" spans="1:17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>
        <f t="shared" si="170"/>
        <v>289.10000000000002</v>
      </c>
      <c r="G1176" s="24">
        <v>0</v>
      </c>
      <c r="H1176" s="8"/>
      <c r="I1176" s="8"/>
      <c r="J1176" s="40">
        <f t="shared" si="174"/>
        <v>0</v>
      </c>
      <c r="K1176" s="324">
        <f t="shared" si="172"/>
        <v>0</v>
      </c>
      <c r="L1176" s="316">
        <f t="shared" si="173"/>
        <v>0</v>
      </c>
      <c r="M1176" s="37">
        <f t="shared" si="171"/>
        <v>0</v>
      </c>
      <c r="N1176" s="37">
        <v>0</v>
      </c>
      <c r="O1176" s="947">
        <f t="shared" si="177"/>
        <v>0</v>
      </c>
      <c r="P1176" s="37"/>
      <c r="Q1176" s="954">
        <f t="shared" si="176"/>
        <v>0</v>
      </c>
    </row>
    <row r="1177" spans="1:17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>
        <f t="shared" si="170"/>
        <v>117.92</v>
      </c>
      <c r="G1177" s="24">
        <v>0</v>
      </c>
      <c r="H1177" s="8"/>
      <c r="I1177" s="8"/>
      <c r="J1177" s="40">
        <f t="shared" si="174"/>
        <v>0</v>
      </c>
      <c r="K1177" s="324">
        <f t="shared" si="172"/>
        <v>0</v>
      </c>
      <c r="L1177" s="316">
        <f t="shared" si="173"/>
        <v>0</v>
      </c>
      <c r="M1177" s="37">
        <f t="shared" si="171"/>
        <v>0</v>
      </c>
      <c r="N1177" s="37">
        <v>0</v>
      </c>
      <c r="O1177" s="947">
        <f t="shared" si="177"/>
        <v>0</v>
      </c>
      <c r="P1177" s="37"/>
      <c r="Q1177" s="954">
        <f t="shared" si="176"/>
        <v>0</v>
      </c>
    </row>
    <row r="1178" spans="1:17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>
        <f t="shared" si="170"/>
        <v>242.85</v>
      </c>
      <c r="G1178" s="24">
        <v>0</v>
      </c>
      <c r="H1178" s="8"/>
      <c r="I1178" s="8"/>
      <c r="J1178" s="40">
        <f t="shared" si="174"/>
        <v>0</v>
      </c>
      <c r="K1178" s="324">
        <f t="shared" si="172"/>
        <v>0</v>
      </c>
      <c r="L1178" s="316">
        <f t="shared" si="173"/>
        <v>0</v>
      </c>
      <c r="M1178" s="37">
        <f t="shared" si="171"/>
        <v>0</v>
      </c>
      <c r="N1178" s="37">
        <v>0</v>
      </c>
      <c r="O1178" s="947">
        <f t="shared" si="177"/>
        <v>0</v>
      </c>
      <c r="P1178" s="37"/>
      <c r="Q1178" s="954">
        <f t="shared" si="176"/>
        <v>0</v>
      </c>
    </row>
    <row r="1179" spans="1:17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>
        <f t="shared" si="170"/>
        <v>415.2</v>
      </c>
      <c r="G1179" s="24">
        <v>9</v>
      </c>
      <c r="H1179" s="8"/>
      <c r="I1179" s="8"/>
      <c r="J1179" s="40">
        <f t="shared" si="174"/>
        <v>9</v>
      </c>
      <c r="K1179" s="324">
        <f t="shared" si="172"/>
        <v>6.179196704428425E-3</v>
      </c>
      <c r="L1179" s="316">
        <f t="shared" si="173"/>
        <v>14.021400617919673</v>
      </c>
      <c r="M1179" s="37">
        <f t="shared" si="171"/>
        <v>5.1556690072090641</v>
      </c>
      <c r="N1179" s="37">
        <v>5.416313079299691</v>
      </c>
      <c r="O1179" s="947">
        <f t="shared" si="177"/>
        <v>0.99608650875386207</v>
      </c>
      <c r="P1179" s="37"/>
      <c r="Q1179" s="954">
        <f t="shared" si="176"/>
        <v>6.1631669588589337E-2</v>
      </c>
    </row>
    <row r="1180" spans="1:17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40">
        <f t="shared" si="170"/>
        <v>8111.75</v>
      </c>
      <c r="G1180" s="24">
        <v>142</v>
      </c>
      <c r="H1180" s="8"/>
      <c r="I1180" s="8"/>
      <c r="J1180" s="40">
        <f t="shared" si="174"/>
        <v>142</v>
      </c>
      <c r="K1180" s="324">
        <f t="shared" si="172"/>
        <v>9.7493992447648475E-2</v>
      </c>
      <c r="L1180" s="316">
        <f t="shared" si="173"/>
        <v>221.2265430827326</v>
      </c>
      <c r="M1180" s="37">
        <f t="shared" si="171"/>
        <v>81.344999891520786</v>
      </c>
      <c r="N1180" s="37">
        <v>85.457384140061791</v>
      </c>
      <c r="O1180" s="947">
        <f t="shared" si="177"/>
        <v>15.716031582560934</v>
      </c>
      <c r="P1180" s="37"/>
      <c r="Q1180" s="954">
        <f t="shared" si="176"/>
        <v>4.9772855265124802E-2</v>
      </c>
    </row>
    <row r="1181" spans="1:17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40">
        <f t="shared" si="170"/>
        <v>6280.23</v>
      </c>
      <c r="G1181" s="24">
        <v>108</v>
      </c>
      <c r="H1181" s="8"/>
      <c r="I1181" s="8"/>
      <c r="J1181" s="40">
        <f t="shared" si="174"/>
        <v>108</v>
      </c>
      <c r="K1181" s="324">
        <f t="shared" si="172"/>
        <v>7.4150360453141093E-2</v>
      </c>
      <c r="L1181" s="316">
        <f t="shared" si="173"/>
        <v>168.25680741503606</v>
      </c>
      <c r="M1181" s="37">
        <f t="shared" si="171"/>
        <v>61.868028086508765</v>
      </c>
      <c r="N1181" s="37">
        <v>64.995756951596292</v>
      </c>
      <c r="O1181" s="947">
        <f t="shared" ref="O1181:O1186" si="178">K1181*581.63</f>
        <v>43.128074150360455</v>
      </c>
      <c r="P1181" s="37"/>
      <c r="Q1181" s="954">
        <f t="shared" si="176"/>
        <v>5.3859280090617946E-2</v>
      </c>
    </row>
    <row r="1182" spans="1:17" s="6" customFormat="1" ht="18">
      <c r="A1182" s="105">
        <v>37</v>
      </c>
      <c r="B1182" s="32" t="s">
        <v>514</v>
      </c>
      <c r="C1182" s="330">
        <v>8361.6299999999992</v>
      </c>
      <c r="D1182" s="330"/>
      <c r="E1182" s="330"/>
      <c r="F1182" s="40">
        <f t="shared" si="170"/>
        <v>8361.6299999999992</v>
      </c>
      <c r="G1182" s="24">
        <v>180</v>
      </c>
      <c r="H1182" s="8"/>
      <c r="I1182" s="8"/>
      <c r="J1182" s="40">
        <f t="shared" si="174"/>
        <v>180</v>
      </c>
      <c r="K1182" s="324">
        <f t="shared" si="172"/>
        <v>0.12358393408856849</v>
      </c>
      <c r="L1182" s="316">
        <f t="shared" si="173"/>
        <v>280.42801235839346</v>
      </c>
      <c r="M1182" s="37">
        <f t="shared" si="171"/>
        <v>103.11338014418128</v>
      </c>
      <c r="N1182" s="37">
        <v>108.32626158599382</v>
      </c>
      <c r="O1182" s="947">
        <f t="shared" si="178"/>
        <v>71.880123583934093</v>
      </c>
      <c r="P1182" s="37"/>
      <c r="Q1182" s="954">
        <f t="shared" si="176"/>
        <v>6.7420799254750904E-2</v>
      </c>
    </row>
    <row r="1183" spans="1:17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40">
        <f t="shared" si="170"/>
        <v>6675.9</v>
      </c>
      <c r="G1183" s="24">
        <v>126</v>
      </c>
      <c r="H1183" s="8"/>
      <c r="I1183" s="8"/>
      <c r="J1183" s="40">
        <f t="shared" si="174"/>
        <v>126</v>
      </c>
      <c r="K1183" s="324">
        <f t="shared" si="172"/>
        <v>8.6508753861997953E-2</v>
      </c>
      <c r="L1183" s="316">
        <f t="shared" si="173"/>
        <v>196.29960865087543</v>
      </c>
      <c r="M1183" s="37">
        <f t="shared" si="171"/>
        <v>72.179366100926899</v>
      </c>
      <c r="N1183" s="37">
        <v>75.828383110195688</v>
      </c>
      <c r="O1183" s="947">
        <f t="shared" si="178"/>
        <v>50.31608650875387</v>
      </c>
      <c r="P1183" s="37"/>
      <c r="Q1183" s="954">
        <f t="shared" si="176"/>
        <v>5.9111647024483877E-2</v>
      </c>
    </row>
    <row r="1184" spans="1:17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170"/>
        <v>4537.7299999999996</v>
      </c>
      <c r="G1184" s="24">
        <v>90</v>
      </c>
      <c r="H1184" s="330"/>
      <c r="I1184" s="330">
        <v>1</v>
      </c>
      <c r="J1184" s="40">
        <f t="shared" si="174"/>
        <v>91</v>
      </c>
      <c r="K1184" s="324">
        <f t="shared" si="172"/>
        <v>6.2478544455887408E-2</v>
      </c>
      <c r="L1184" s="316">
        <f t="shared" si="173"/>
        <v>141.77193958118781</v>
      </c>
      <c r="M1184" s="37">
        <f t="shared" si="171"/>
        <v>52.129542184002759</v>
      </c>
      <c r="N1184" s="37">
        <v>54.764943357363549</v>
      </c>
      <c r="O1184" s="947">
        <f t="shared" si="178"/>
        <v>36.339395811877793</v>
      </c>
      <c r="P1184" s="37"/>
      <c r="Q1184" s="954">
        <f t="shared" si="176"/>
        <v>6.2808016548898213E-2</v>
      </c>
    </row>
    <row r="1185" spans="1:17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40">
        <f t="shared" si="170"/>
        <v>4352.13</v>
      </c>
      <c r="G1185" s="24">
        <v>72</v>
      </c>
      <c r="H1185" s="330"/>
      <c r="I1185" s="330"/>
      <c r="J1185" s="40">
        <f t="shared" si="174"/>
        <v>72</v>
      </c>
      <c r="K1185" s="324">
        <f t="shared" si="172"/>
        <v>4.94335736354274E-2</v>
      </c>
      <c r="L1185" s="316">
        <f t="shared" si="173"/>
        <v>112.17120494335738</v>
      </c>
      <c r="M1185" s="37">
        <f t="shared" si="171"/>
        <v>41.245352057672513</v>
      </c>
      <c r="N1185" s="37">
        <v>43.330504634397528</v>
      </c>
      <c r="O1185" s="947">
        <f t="shared" si="178"/>
        <v>28.752049433573639</v>
      </c>
      <c r="P1185" s="37"/>
      <c r="Q1185" s="954">
        <f t="shared" si="176"/>
        <v>5.1813505356917429E-2</v>
      </c>
    </row>
    <row r="1186" spans="1:17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170"/>
        <v>4529.3500000000004</v>
      </c>
      <c r="G1186" s="24">
        <v>89</v>
      </c>
      <c r="H1186" s="330"/>
      <c r="I1186" s="330">
        <v>1</v>
      </c>
      <c r="J1186" s="40">
        <f t="shared" si="174"/>
        <v>90</v>
      </c>
      <c r="K1186" s="324">
        <f t="shared" si="172"/>
        <v>6.1791967044284246E-2</v>
      </c>
      <c r="L1186" s="316">
        <f t="shared" si="173"/>
        <v>140.21400617919673</v>
      </c>
      <c r="M1186" s="37">
        <f t="shared" si="171"/>
        <v>51.556690072090639</v>
      </c>
      <c r="N1186" s="37">
        <v>54.16313079299691</v>
      </c>
      <c r="O1186" s="947">
        <f t="shared" si="178"/>
        <v>35.940061791967047</v>
      </c>
      <c r="P1186" s="37"/>
      <c r="Q1186" s="954">
        <f t="shared" si="176"/>
        <v>6.2232746163633043E-2</v>
      </c>
    </row>
    <row r="1187" spans="1:17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170"/>
        <v>4151.1900000000005</v>
      </c>
      <c r="G1187" s="24">
        <v>72</v>
      </c>
      <c r="H1187" s="330"/>
      <c r="I1187" s="330">
        <v>1</v>
      </c>
      <c r="J1187" s="40">
        <f t="shared" si="174"/>
        <v>73</v>
      </c>
      <c r="K1187" s="324">
        <f t="shared" si="172"/>
        <v>5.0120151047030555E-2</v>
      </c>
      <c r="L1187" s="316">
        <f t="shared" si="173"/>
        <v>113.72913834534845</v>
      </c>
      <c r="M1187" s="37">
        <f t="shared" si="171"/>
        <v>41.818204169584625</v>
      </c>
      <c r="N1187" s="37">
        <v>43.93231719876416</v>
      </c>
      <c r="O1187" s="947">
        <f t="shared" si="177"/>
        <v>8.0793683487813244</v>
      </c>
      <c r="P1187" s="37"/>
      <c r="Q1187" s="954">
        <f t="shared" si="176"/>
        <v>4.9999886312714792E-2</v>
      </c>
    </row>
    <row r="1188" spans="1:17" s="6" customFormat="1" ht="18">
      <c r="A1188" s="105">
        <v>43</v>
      </c>
      <c r="B1188" s="32" t="s">
        <v>520</v>
      </c>
      <c r="C1188" s="330">
        <v>8136.02</v>
      </c>
      <c r="D1188" s="330"/>
      <c r="E1188" s="330"/>
      <c r="F1188" s="40">
        <f t="shared" si="170"/>
        <v>8136.02</v>
      </c>
      <c r="G1188" s="24">
        <v>144</v>
      </c>
      <c r="H1188" s="330"/>
      <c r="I1188" s="330"/>
      <c r="J1188" s="40">
        <f t="shared" si="174"/>
        <v>144</v>
      </c>
      <c r="K1188" s="324">
        <f t="shared" si="172"/>
        <v>9.8867147270854799E-2</v>
      </c>
      <c r="L1188" s="316">
        <f t="shared" si="173"/>
        <v>224.34240988671476</v>
      </c>
      <c r="M1188" s="37">
        <f t="shared" si="171"/>
        <v>82.490704115345025</v>
      </c>
      <c r="N1188" s="37">
        <v>86.661009268795056</v>
      </c>
      <c r="O1188" s="947">
        <f t="shared" si="177"/>
        <v>15.937384140061793</v>
      </c>
      <c r="P1188" s="37"/>
      <c r="Q1188" s="954">
        <f t="shared" si="176"/>
        <v>5.0323316241960646E-2</v>
      </c>
    </row>
    <row r="1189" spans="1:17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70"/>
        <v>6240.13</v>
      </c>
      <c r="G1189" s="24">
        <v>103</v>
      </c>
      <c r="H1189" s="330">
        <v>1</v>
      </c>
      <c r="I1189" s="330">
        <v>1</v>
      </c>
      <c r="J1189" s="40">
        <f t="shared" si="174"/>
        <v>105</v>
      </c>
      <c r="K1189" s="324">
        <f t="shared" si="172"/>
        <v>7.209062821833162E-2</v>
      </c>
      <c r="L1189" s="316">
        <f t="shared" si="173"/>
        <v>163.58300720906283</v>
      </c>
      <c r="M1189" s="37">
        <f t="shared" si="171"/>
        <v>60.149471750772406</v>
      </c>
      <c r="N1189" s="37">
        <v>63.190319258496395</v>
      </c>
      <c r="O1189" s="947">
        <f t="shared" si="177"/>
        <v>11.621009268795056</v>
      </c>
      <c r="P1189" s="37"/>
      <c r="Q1189" s="954">
        <f t="shared" si="176"/>
        <v>4.7842562172122481E-2</v>
      </c>
    </row>
    <row r="1190" spans="1:17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70"/>
        <v>6278.0199999999995</v>
      </c>
      <c r="G1190" s="24">
        <v>98</v>
      </c>
      <c r="H1190" s="330">
        <v>1</v>
      </c>
      <c r="I1190" s="330">
        <v>2</v>
      </c>
      <c r="J1190" s="40">
        <f t="shared" si="174"/>
        <v>101</v>
      </c>
      <c r="K1190" s="324">
        <f t="shared" si="172"/>
        <v>6.9344318571918986E-2</v>
      </c>
      <c r="L1190" s="316">
        <f t="shared" si="173"/>
        <v>157.35127360109854</v>
      </c>
      <c r="M1190" s="37">
        <f t="shared" si="171"/>
        <v>57.858063303123934</v>
      </c>
      <c r="N1190" s="37">
        <v>60.783069001029865</v>
      </c>
      <c r="O1190" s="947">
        <f t="shared" si="177"/>
        <v>11.17830415379334</v>
      </c>
      <c r="P1190" s="37"/>
      <c r="Q1190" s="954">
        <f t="shared" si="176"/>
        <v>4.5742241990157043E-2</v>
      </c>
    </row>
    <row r="1191" spans="1:17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170"/>
        <v>3988.11</v>
      </c>
      <c r="G1191" s="24">
        <v>72</v>
      </c>
      <c r="H1191" s="330"/>
      <c r="I1191" s="330"/>
      <c r="J1191" s="40">
        <f t="shared" si="174"/>
        <v>72</v>
      </c>
      <c r="K1191" s="324">
        <f t="shared" si="172"/>
        <v>4.94335736354274E-2</v>
      </c>
      <c r="L1191" s="316">
        <f t="shared" si="173"/>
        <v>112.17120494335738</v>
      </c>
      <c r="M1191" s="37">
        <f t="shared" si="171"/>
        <v>41.245352057672513</v>
      </c>
      <c r="N1191" s="37">
        <v>43.330504634397528</v>
      </c>
      <c r="O1191" s="947">
        <f t="shared" si="177"/>
        <v>7.9686920700308965</v>
      </c>
      <c r="P1191" s="37"/>
      <c r="Q1191" s="954">
        <f t="shared" si="176"/>
        <v>5.133152137364775E-2</v>
      </c>
    </row>
    <row r="1192" spans="1:17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40">
        <f t="shared" si="170"/>
        <v>4150.55</v>
      </c>
      <c r="G1192" s="24">
        <v>72</v>
      </c>
      <c r="H1192" s="330"/>
      <c r="I1192" s="330"/>
      <c r="J1192" s="40">
        <f t="shared" si="174"/>
        <v>72</v>
      </c>
      <c r="K1192" s="324">
        <f t="shared" si="172"/>
        <v>4.94335736354274E-2</v>
      </c>
      <c r="L1192" s="316">
        <f t="shared" si="173"/>
        <v>112.17120494335738</v>
      </c>
      <c r="M1192" s="37">
        <f t="shared" si="171"/>
        <v>41.245352057672513</v>
      </c>
      <c r="N1192" s="37">
        <v>43.330504634397528</v>
      </c>
      <c r="O1192" s="947">
        <f t="shared" si="177"/>
        <v>7.9686920700308965</v>
      </c>
      <c r="P1192" s="37"/>
      <c r="Q1192" s="954">
        <f t="shared" si="176"/>
        <v>4.9322560553531056E-2</v>
      </c>
    </row>
    <row r="1193" spans="1:17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40">
        <f t="shared" si="170"/>
        <v>14374.02</v>
      </c>
      <c r="G1193" s="24">
        <v>251</v>
      </c>
      <c r="H1193" s="330"/>
      <c r="I1193" s="330"/>
      <c r="J1193" s="40">
        <f t="shared" si="174"/>
        <v>251</v>
      </c>
      <c r="K1193" s="324">
        <f t="shared" si="172"/>
        <v>0.17233093031239274</v>
      </c>
      <c r="L1193" s="316">
        <f t="shared" si="173"/>
        <v>391.04128389975978</v>
      </c>
      <c r="M1193" s="37">
        <f t="shared" si="171"/>
        <v>143.78588008994168</v>
      </c>
      <c r="N1193" s="37">
        <v>151.05495365602474</v>
      </c>
      <c r="O1193" s="947">
        <f t="shared" si="177"/>
        <v>27.779745966357709</v>
      </c>
      <c r="P1193" s="37"/>
      <c r="Q1193" s="954">
        <f t="shared" si="176"/>
        <v>4.964942748180981E-2</v>
      </c>
    </row>
    <row r="1194" spans="1:17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40">
        <f t="shared" si="170"/>
        <v>4120.28</v>
      </c>
      <c r="G1194" s="24">
        <v>72</v>
      </c>
      <c r="H1194" s="330"/>
      <c r="I1194" s="330"/>
      <c r="J1194" s="40">
        <f t="shared" si="174"/>
        <v>72</v>
      </c>
      <c r="K1194" s="324">
        <f t="shared" si="172"/>
        <v>4.94335736354274E-2</v>
      </c>
      <c r="L1194" s="316">
        <f t="shared" si="173"/>
        <v>112.17120494335738</v>
      </c>
      <c r="M1194" s="37">
        <f t="shared" si="171"/>
        <v>41.245352057672513</v>
      </c>
      <c r="N1194" s="37">
        <v>43.330504634397528</v>
      </c>
      <c r="O1194" s="947">
        <f t="shared" si="177"/>
        <v>7.9686920700308965</v>
      </c>
      <c r="P1194" s="37"/>
      <c r="Q1194" s="954">
        <f t="shared" si="176"/>
        <v>4.9684913089755631E-2</v>
      </c>
    </row>
    <row r="1195" spans="1:17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40">
        <f t="shared" si="170"/>
        <v>14371.39</v>
      </c>
      <c r="G1195" s="24">
        <v>251</v>
      </c>
      <c r="H1195" s="330"/>
      <c r="I1195" s="330"/>
      <c r="J1195" s="40">
        <f t="shared" si="174"/>
        <v>251</v>
      </c>
      <c r="K1195" s="324">
        <f t="shared" si="172"/>
        <v>0.17233093031239274</v>
      </c>
      <c r="L1195" s="316">
        <f t="shared" si="173"/>
        <v>391.04128389975978</v>
      </c>
      <c r="M1195" s="37">
        <f t="shared" si="171"/>
        <v>143.78588008994168</v>
      </c>
      <c r="N1195" s="37">
        <v>151.05495365602474</v>
      </c>
      <c r="O1195" s="947">
        <f t="shared" si="177"/>
        <v>27.779745966357709</v>
      </c>
      <c r="P1195" s="37"/>
      <c r="Q1195" s="954">
        <f t="shared" si="176"/>
        <v>4.9658513450131399E-2</v>
      </c>
    </row>
    <row r="1196" spans="1:17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170"/>
        <v>11511.4</v>
      </c>
      <c r="G1196" s="24">
        <v>160</v>
      </c>
      <c r="H1196" s="330"/>
      <c r="I1196" s="330">
        <v>1</v>
      </c>
      <c r="J1196" s="40">
        <f t="shared" si="174"/>
        <v>161</v>
      </c>
      <c r="K1196" s="324">
        <f t="shared" si="172"/>
        <v>0.11053896326810848</v>
      </c>
      <c r="L1196" s="316">
        <f t="shared" si="173"/>
        <v>250.82727772056302</v>
      </c>
      <c r="M1196" s="37">
        <f t="shared" si="171"/>
        <v>92.229190017851025</v>
      </c>
      <c r="N1196" s="37">
        <v>96.891822863027812</v>
      </c>
      <c r="O1196" s="947">
        <f>K1196*581.63</f>
        <v>64.292777205629932</v>
      </c>
      <c r="P1196" s="37"/>
      <c r="Q1196" s="954">
        <f t="shared" si="176"/>
        <v>4.3803626648980298E-2</v>
      </c>
    </row>
    <row r="1197" spans="1:17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170"/>
        <v>6924.2000000000007</v>
      </c>
      <c r="G1197" s="24">
        <v>95</v>
      </c>
      <c r="H1197" s="330"/>
      <c r="I1197" s="330">
        <v>1</v>
      </c>
      <c r="J1197" s="40">
        <f t="shared" si="174"/>
        <v>96</v>
      </c>
      <c r="K1197" s="324">
        <f t="shared" si="172"/>
        <v>6.591143151390319E-2</v>
      </c>
      <c r="L1197" s="316">
        <f t="shared" si="173"/>
        <v>149.56160659114315</v>
      </c>
      <c r="M1197" s="37">
        <f t="shared" si="171"/>
        <v>54.993802743563336</v>
      </c>
      <c r="N1197" s="37">
        <v>57.774006179196697</v>
      </c>
      <c r="O1197" s="947">
        <f>K1197*581.63</f>
        <v>38.336065911431511</v>
      </c>
      <c r="P1197" s="37"/>
      <c r="Q1197" s="954">
        <f t="shared" si="176"/>
        <v>4.3422414347554179E-2</v>
      </c>
    </row>
    <row r="1198" spans="1:17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170"/>
        <v>10867.230000000001</v>
      </c>
      <c r="G1198" s="24">
        <v>160</v>
      </c>
      <c r="H1198" s="330"/>
      <c r="I1198" s="330">
        <v>2</v>
      </c>
      <c r="J1198" s="40">
        <f t="shared" si="174"/>
        <v>162</v>
      </c>
      <c r="K1198" s="324">
        <f t="shared" si="172"/>
        <v>0.11122554067971165</v>
      </c>
      <c r="L1198" s="316">
        <f t="shared" si="173"/>
        <v>252.3852111225541</v>
      </c>
      <c r="M1198" s="37">
        <f t="shared" si="171"/>
        <v>92.802042129763151</v>
      </c>
      <c r="N1198" s="37">
        <v>97.493635427394437</v>
      </c>
      <c r="O1198" s="947">
        <f>K1198*581.63</f>
        <v>64.692111225540685</v>
      </c>
      <c r="P1198" s="37"/>
      <c r="Q1198" s="954">
        <f t="shared" si="176"/>
        <v>4.6688346515648634E-2</v>
      </c>
    </row>
    <row r="1199" spans="1:17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170"/>
        <v>7546</v>
      </c>
      <c r="G1199" s="24">
        <v>94</v>
      </c>
      <c r="H1199" s="330"/>
      <c r="I1199" s="330">
        <v>2</v>
      </c>
      <c r="J1199" s="40">
        <f t="shared" si="174"/>
        <v>96</v>
      </c>
      <c r="K1199" s="324">
        <f t="shared" si="172"/>
        <v>6.591143151390319E-2</v>
      </c>
      <c r="L1199" s="316">
        <f t="shared" si="173"/>
        <v>149.56160659114315</v>
      </c>
      <c r="M1199" s="37">
        <f t="shared" si="171"/>
        <v>54.993802743563336</v>
      </c>
      <c r="N1199" s="37">
        <v>57.774006179196697</v>
      </c>
      <c r="O1199" s="947">
        <f>K1199*581.63</f>
        <v>38.336065911431511</v>
      </c>
      <c r="P1199" s="37"/>
      <c r="Q1199" s="954">
        <f t="shared" si="176"/>
        <v>3.9844352163442183E-2</v>
      </c>
    </row>
    <row r="1200" spans="1:17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170"/>
        <v>2503.4</v>
      </c>
      <c r="G1200" s="24">
        <v>49</v>
      </c>
      <c r="H1200" s="330"/>
      <c r="I1200" s="330"/>
      <c r="J1200" s="40">
        <f t="shared" si="174"/>
        <v>49</v>
      </c>
      <c r="K1200" s="324">
        <f t="shared" si="172"/>
        <v>3.3642293168554757E-2</v>
      </c>
      <c r="L1200" s="316">
        <f t="shared" si="173"/>
        <v>76.338736697562666</v>
      </c>
      <c r="M1200" s="37">
        <f t="shared" si="171"/>
        <v>28.069753483693795</v>
      </c>
      <c r="N1200" s="37">
        <v>29.488815653964984</v>
      </c>
      <c r="O1200" s="947">
        <f t="shared" si="177"/>
        <v>5.4231376587710267</v>
      </c>
      <c r="P1200" s="37"/>
      <c r="Q1200" s="954">
        <f t="shared" si="176"/>
        <v>5.5652490011181777E-2</v>
      </c>
    </row>
    <row r="1201" spans="1:17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 t="shared" si="170"/>
        <v>1175</v>
      </c>
      <c r="G1201" s="24">
        <v>20</v>
      </c>
      <c r="H1201" s="330"/>
      <c r="I1201" s="330"/>
      <c r="J1201" s="40">
        <f t="shared" si="174"/>
        <v>20</v>
      </c>
      <c r="K1201" s="324">
        <f t="shared" si="172"/>
        <v>1.3731548232063167E-2</v>
      </c>
      <c r="L1201" s="316">
        <f t="shared" si="173"/>
        <v>31.158668039821496</v>
      </c>
      <c r="M1201" s="37">
        <f t="shared" si="171"/>
        <v>11.457042238242364</v>
      </c>
      <c r="N1201" s="37">
        <v>12.036251287332648</v>
      </c>
      <c r="O1201" s="947">
        <f t="shared" si="177"/>
        <v>2.2135255750085823</v>
      </c>
      <c r="P1201" s="37"/>
      <c r="Q1201" s="954">
        <f t="shared" si="176"/>
        <v>4.839615926842987E-2</v>
      </c>
    </row>
    <row r="1202" spans="1:17" s="5" customFormat="1" ht="15.75">
      <c r="A1202" s="9"/>
      <c r="B1202" s="9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40">
        <f t="shared" ref="F1202:F1232" si="179">C1202+D1202+E1202</f>
        <v>173207.23</v>
      </c>
      <c r="G1202" s="30">
        <f>SUM(G1148:G1201)</f>
        <v>2899</v>
      </c>
      <c r="H1202" s="30">
        <f>SUM(H1148:H1201)</f>
        <v>2</v>
      </c>
      <c r="I1202" s="30">
        <f>SUM(I1148:I1201)</f>
        <v>12</v>
      </c>
      <c r="J1202" s="30">
        <f>SUM(J1148:J1201)</f>
        <v>2913</v>
      </c>
      <c r="K1202" s="324">
        <f>2/2913*J1202</f>
        <v>2</v>
      </c>
      <c r="L1202" s="316">
        <f>K1202*2269.13</f>
        <v>4538.26</v>
      </c>
      <c r="M1202" s="37">
        <f t="shared" ref="M1202:M1232" si="180">L1202*0.3677</f>
        <v>1668.7182020000002</v>
      </c>
      <c r="N1202" s="37">
        <f>SUM(N1147:N1201)</f>
        <v>1753.08</v>
      </c>
      <c r="O1202" s="947">
        <f>K1202*161.2</f>
        <v>322.39999999999998</v>
      </c>
      <c r="P1202" s="37"/>
      <c r="Q1202" s="954">
        <f t="shared" si="176"/>
        <v>4.7818201364919932E-2</v>
      </c>
    </row>
    <row r="1203" spans="1:17" s="6" customFormat="1" ht="15.75">
      <c r="A1203" s="9" t="s">
        <v>629</v>
      </c>
      <c r="B1203" s="8"/>
      <c r="C1203" s="8"/>
      <c r="D1203" s="8"/>
      <c r="E1203" s="8"/>
      <c r="F1203" s="40">
        <f t="shared" si="179"/>
        <v>0</v>
      </c>
      <c r="G1203" s="24"/>
      <c r="H1203" s="8"/>
      <c r="I1203" s="8"/>
      <c r="J1203" s="40">
        <f t="shared" ref="J1203:J1231" si="181">G1203+H1203+I1203</f>
        <v>0</v>
      </c>
      <c r="K1203" s="61"/>
      <c r="L1203" s="316"/>
      <c r="M1203" s="37"/>
      <c r="N1203" s="37"/>
      <c r="O1203" s="947"/>
      <c r="P1203" s="37"/>
      <c r="Q1203" s="954" t="e">
        <f t="shared" si="176"/>
        <v>#DIV/0!</v>
      </c>
    </row>
    <row r="1204" spans="1:17" s="6" customFormat="1" ht="15.75">
      <c r="A1204" s="8">
        <v>1</v>
      </c>
      <c r="B1204" s="8" t="s">
        <v>532</v>
      </c>
      <c r="C1204" s="142">
        <v>3898.29</v>
      </c>
      <c r="D1204" s="142">
        <v>123.1</v>
      </c>
      <c r="E1204" s="142">
        <v>374.5</v>
      </c>
      <c r="F1204" s="40">
        <f t="shared" si="179"/>
        <v>4395.8899999999994</v>
      </c>
      <c r="G1204" s="24">
        <v>64</v>
      </c>
      <c r="H1204" s="8"/>
      <c r="I1204" s="8"/>
      <c r="J1204" s="40">
        <f t="shared" si="181"/>
        <v>64</v>
      </c>
      <c r="K1204" s="66">
        <f t="shared" ref="K1204:K1231" si="182">1/1549*J1204</f>
        <v>4.1316978695932857E-2</v>
      </c>
      <c r="L1204" s="316">
        <f t="shared" ref="L1204:L1231" si="183">K1204*2269.13</f>
        <v>93.753595868302128</v>
      </c>
      <c r="M1204" s="37">
        <f t="shared" si="180"/>
        <v>34.473197200774692</v>
      </c>
      <c r="N1204" s="37">
        <v>36.192619354838705</v>
      </c>
      <c r="O1204" s="947">
        <f>K1204*161.2</f>
        <v>6.6602969657843758</v>
      </c>
      <c r="P1204" s="37"/>
      <c r="Q1204" s="954">
        <f t="shared" si="176"/>
        <v>3.8918105182272511E-2</v>
      </c>
    </row>
    <row r="1205" spans="1:17" s="6" customFormat="1" ht="15.75">
      <c r="A1205" s="8">
        <v>2</v>
      </c>
      <c r="B1205" s="8" t="s">
        <v>533</v>
      </c>
      <c r="C1205" s="55">
        <v>3600.73</v>
      </c>
      <c r="D1205" s="55"/>
      <c r="E1205" s="55">
        <v>290.5</v>
      </c>
      <c r="F1205" s="40">
        <f t="shared" si="179"/>
        <v>3891.23</v>
      </c>
      <c r="G1205" s="24">
        <v>96</v>
      </c>
      <c r="H1205" s="8"/>
      <c r="I1205" s="8"/>
      <c r="J1205" s="40">
        <f t="shared" si="181"/>
        <v>96</v>
      </c>
      <c r="K1205" s="66">
        <f t="shared" si="182"/>
        <v>6.1975468043899286E-2</v>
      </c>
      <c r="L1205" s="316">
        <f t="shared" si="183"/>
        <v>140.6303938024532</v>
      </c>
      <c r="M1205" s="37">
        <f t="shared" si="180"/>
        <v>51.709795801162045</v>
      </c>
      <c r="N1205" s="37">
        <v>54.288929032258061</v>
      </c>
      <c r="O1205" s="947">
        <f t="shared" ref="O1205:O1221" si="184">K1205*161.2</f>
        <v>9.9904454486765637</v>
      </c>
      <c r="P1205" s="37"/>
      <c r="Q1205" s="954">
        <f t="shared" si="176"/>
        <v>6.5948187098822192E-2</v>
      </c>
    </row>
    <row r="1206" spans="1:17" s="6" customFormat="1" ht="15.75">
      <c r="A1206" s="8">
        <v>3</v>
      </c>
      <c r="B1206" s="8" t="s">
        <v>534</v>
      </c>
      <c r="C1206" s="55">
        <v>5868.42</v>
      </c>
      <c r="D1206" s="55">
        <v>489.8</v>
      </c>
      <c r="E1206" s="55"/>
      <c r="F1206" s="40">
        <f t="shared" si="179"/>
        <v>6358.22</v>
      </c>
      <c r="G1206" s="24">
        <v>99</v>
      </c>
      <c r="H1206" s="8"/>
      <c r="I1206" s="8"/>
      <c r="J1206" s="40">
        <f t="shared" si="181"/>
        <v>99</v>
      </c>
      <c r="K1206" s="66">
        <f t="shared" si="182"/>
        <v>6.3912201420271139E-2</v>
      </c>
      <c r="L1206" s="316">
        <f t="shared" si="183"/>
        <v>145.02509360877986</v>
      </c>
      <c r="M1206" s="37">
        <f t="shared" si="180"/>
        <v>53.325726919948359</v>
      </c>
      <c r="N1206" s="37">
        <v>55.985458064516131</v>
      </c>
      <c r="O1206" s="947">
        <f t="shared" si="184"/>
        <v>10.302646868947708</v>
      </c>
      <c r="P1206" s="37"/>
      <c r="Q1206" s="954">
        <f t="shared" si="176"/>
        <v>4.1621542737148451E-2</v>
      </c>
    </row>
    <row r="1207" spans="1:17" s="6" customFormat="1" ht="15.75">
      <c r="A1207" s="8">
        <v>4</v>
      </c>
      <c r="B1207" s="8" t="s">
        <v>535</v>
      </c>
      <c r="C1207" s="55">
        <v>4090.86</v>
      </c>
      <c r="D1207" s="55"/>
      <c r="E1207" s="55"/>
      <c r="F1207" s="40">
        <f t="shared" si="179"/>
        <v>4090.86</v>
      </c>
      <c r="G1207" s="24">
        <v>108</v>
      </c>
      <c r="H1207" s="8"/>
      <c r="I1207" s="8"/>
      <c r="J1207" s="40">
        <f t="shared" si="181"/>
        <v>108</v>
      </c>
      <c r="K1207" s="66">
        <f t="shared" si="182"/>
        <v>6.9722401549386692E-2</v>
      </c>
      <c r="L1207" s="316">
        <f t="shared" si="183"/>
        <v>158.20919302775982</v>
      </c>
      <c r="M1207" s="37">
        <f t="shared" si="180"/>
        <v>58.173520276307293</v>
      </c>
      <c r="N1207" s="37">
        <v>61.075045161290312</v>
      </c>
      <c r="O1207" s="947">
        <f t="shared" si="184"/>
        <v>11.239251129761135</v>
      </c>
      <c r="P1207" s="37"/>
      <c r="Q1207" s="954">
        <f t="shared" si="176"/>
        <v>7.0571226977974938E-2</v>
      </c>
    </row>
    <row r="1208" spans="1:17" s="6" customFormat="1" ht="15.75">
      <c r="A1208" s="8">
        <v>5</v>
      </c>
      <c r="B1208" s="8" t="s">
        <v>536</v>
      </c>
      <c r="C1208" s="55">
        <v>3274.15</v>
      </c>
      <c r="D1208" s="55"/>
      <c r="E1208" s="55"/>
      <c r="F1208" s="40">
        <f t="shared" si="179"/>
        <v>3274.15</v>
      </c>
      <c r="G1208" s="24">
        <v>55</v>
      </c>
      <c r="H1208" s="8"/>
      <c r="I1208" s="8"/>
      <c r="J1208" s="40">
        <f t="shared" si="181"/>
        <v>55</v>
      </c>
      <c r="K1208" s="66">
        <f t="shared" si="182"/>
        <v>3.5506778566817297E-2</v>
      </c>
      <c r="L1208" s="316">
        <f t="shared" si="183"/>
        <v>80.569496449322131</v>
      </c>
      <c r="M1208" s="37">
        <f t="shared" si="180"/>
        <v>29.62540384441575</v>
      </c>
      <c r="N1208" s="37">
        <v>31.103032258064516</v>
      </c>
      <c r="O1208" s="947">
        <f t="shared" si="184"/>
        <v>5.7236927049709481</v>
      </c>
      <c r="P1208" s="37"/>
      <c r="Q1208" s="954">
        <f t="shared" si="176"/>
        <v>4.4903753724408885E-2</v>
      </c>
    </row>
    <row r="1209" spans="1:17" s="6" customFormat="1" ht="15.75">
      <c r="A1209" s="8">
        <v>6</v>
      </c>
      <c r="B1209" s="8" t="s">
        <v>537</v>
      </c>
      <c r="C1209" s="55">
        <v>6596</v>
      </c>
      <c r="D1209" s="55"/>
      <c r="E1209" s="55"/>
      <c r="F1209" s="40">
        <f t="shared" si="179"/>
        <v>6596</v>
      </c>
      <c r="G1209" s="24">
        <v>108</v>
      </c>
      <c r="H1209" s="8"/>
      <c r="I1209" s="8"/>
      <c r="J1209" s="40">
        <f t="shared" si="181"/>
        <v>108</v>
      </c>
      <c r="K1209" s="66">
        <f t="shared" si="182"/>
        <v>6.9722401549386692E-2</v>
      </c>
      <c r="L1209" s="316">
        <f t="shared" si="183"/>
        <v>158.20919302775982</v>
      </c>
      <c r="M1209" s="37">
        <f t="shared" si="180"/>
        <v>58.173520276307293</v>
      </c>
      <c r="N1209" s="37">
        <v>61.075045161290312</v>
      </c>
      <c r="O1209" s="947">
        <f t="shared" si="184"/>
        <v>11.239251129761135</v>
      </c>
      <c r="P1209" s="37"/>
      <c r="Q1209" s="954">
        <f t="shared" si="176"/>
        <v>4.3768497512904576E-2</v>
      </c>
    </row>
    <row r="1210" spans="1:17" s="6" customFormat="1" ht="15.75">
      <c r="A1210" s="8">
        <v>7</v>
      </c>
      <c r="B1210" s="8" t="s">
        <v>538</v>
      </c>
      <c r="C1210" s="55">
        <v>7101.2</v>
      </c>
      <c r="D1210" s="55"/>
      <c r="E1210" s="55"/>
      <c r="F1210" s="40">
        <f t="shared" si="179"/>
        <v>7101.2</v>
      </c>
      <c r="G1210" s="24">
        <v>120</v>
      </c>
      <c r="H1210" s="8"/>
      <c r="I1210" s="8"/>
      <c r="J1210" s="40">
        <f t="shared" si="181"/>
        <v>120</v>
      </c>
      <c r="K1210" s="66">
        <f t="shared" si="182"/>
        <v>7.7469335054874106E-2</v>
      </c>
      <c r="L1210" s="316">
        <f t="shared" si="183"/>
        <v>175.78799225306648</v>
      </c>
      <c r="M1210" s="37">
        <f t="shared" si="180"/>
        <v>64.637244751452542</v>
      </c>
      <c r="N1210" s="37">
        <v>67.861161290322585</v>
      </c>
      <c r="O1210" s="947">
        <f t="shared" si="184"/>
        <v>12.488056810845706</v>
      </c>
      <c r="P1210" s="37"/>
      <c r="Q1210" s="954">
        <f t="shared" si="176"/>
        <v>4.5171866037527084E-2</v>
      </c>
    </row>
    <row r="1211" spans="1:17" s="6" customFormat="1" ht="15.75">
      <c r="A1211" s="8">
        <v>8</v>
      </c>
      <c r="B1211" s="8" t="s">
        <v>539</v>
      </c>
      <c r="C1211" s="55">
        <v>7470.48</v>
      </c>
      <c r="D1211" s="55"/>
      <c r="E1211" s="55"/>
      <c r="F1211" s="40">
        <f t="shared" si="179"/>
        <v>7470.48</v>
      </c>
      <c r="G1211" s="24">
        <v>120</v>
      </c>
      <c r="H1211" s="8"/>
      <c r="I1211" s="8"/>
      <c r="J1211" s="40">
        <f t="shared" si="181"/>
        <v>120</v>
      </c>
      <c r="K1211" s="66">
        <f t="shared" si="182"/>
        <v>7.7469335054874106E-2</v>
      </c>
      <c r="L1211" s="316">
        <f t="shared" si="183"/>
        <v>175.78799225306648</v>
      </c>
      <c r="M1211" s="37">
        <f t="shared" si="180"/>
        <v>64.637244751452542</v>
      </c>
      <c r="N1211" s="37">
        <v>67.861161290322585</v>
      </c>
      <c r="O1211" s="947">
        <f t="shared" si="184"/>
        <v>12.488056810845706</v>
      </c>
      <c r="P1211" s="37"/>
      <c r="Q1211" s="954">
        <f t="shared" si="176"/>
        <v>4.2938934995567529E-2</v>
      </c>
    </row>
    <row r="1212" spans="1:17" s="6" customFormat="1" ht="15.75">
      <c r="A1212" s="8">
        <v>9</v>
      </c>
      <c r="B1212" s="8" t="s">
        <v>540</v>
      </c>
      <c r="C1212" s="55">
        <v>2276.6</v>
      </c>
      <c r="D1212" s="55"/>
      <c r="E1212" s="55"/>
      <c r="F1212" s="40">
        <f t="shared" si="179"/>
        <v>2276.6</v>
      </c>
      <c r="G1212" s="24">
        <v>40</v>
      </c>
      <c r="H1212" s="8"/>
      <c r="I1212" s="8"/>
      <c r="J1212" s="40">
        <f t="shared" si="181"/>
        <v>40</v>
      </c>
      <c r="K1212" s="66">
        <f t="shared" si="182"/>
        <v>2.5823111684958037E-2</v>
      </c>
      <c r="L1212" s="316">
        <f t="shared" si="183"/>
        <v>58.595997417688835</v>
      </c>
      <c r="M1212" s="37">
        <f t="shared" si="180"/>
        <v>21.545748250484188</v>
      </c>
      <c r="N1212" s="37">
        <v>22.620387096774191</v>
      </c>
      <c r="O1212" s="947">
        <f t="shared" si="184"/>
        <v>4.1626856036152358</v>
      </c>
      <c r="P1212" s="37"/>
      <c r="Q1212" s="954">
        <f t="shared" si="176"/>
        <v>4.6966888504156402E-2</v>
      </c>
    </row>
    <row r="1213" spans="1:17" s="6" customFormat="1" ht="15.75">
      <c r="A1213" s="8">
        <v>10</v>
      </c>
      <c r="B1213" s="8" t="s">
        <v>541</v>
      </c>
      <c r="C1213" s="55">
        <v>4642.43</v>
      </c>
      <c r="D1213" s="55"/>
      <c r="E1213" s="55"/>
      <c r="F1213" s="40">
        <f t="shared" si="179"/>
        <v>4642.43</v>
      </c>
      <c r="G1213" s="24">
        <v>78</v>
      </c>
      <c r="H1213" s="8"/>
      <c r="I1213" s="8"/>
      <c r="J1213" s="40">
        <f t="shared" si="181"/>
        <v>78</v>
      </c>
      <c r="K1213" s="66">
        <f t="shared" si="182"/>
        <v>5.0355067785668173E-2</v>
      </c>
      <c r="L1213" s="316">
        <f t="shared" si="183"/>
        <v>114.26219496449323</v>
      </c>
      <c r="M1213" s="37">
        <f t="shared" si="180"/>
        <v>42.014209088444161</v>
      </c>
      <c r="N1213" s="37">
        <v>44.109754838709677</v>
      </c>
      <c r="O1213" s="947">
        <f t="shared" si="184"/>
        <v>8.1172369270497082</v>
      </c>
      <c r="P1213" s="37"/>
      <c r="Q1213" s="954">
        <f t="shared" si="176"/>
        <v>4.4912555669917864E-2</v>
      </c>
    </row>
    <row r="1214" spans="1:17" s="6" customFormat="1" ht="15.75">
      <c r="A1214" s="8">
        <v>11</v>
      </c>
      <c r="B1214" s="8" t="s">
        <v>542</v>
      </c>
      <c r="C1214" s="55">
        <v>3634.2</v>
      </c>
      <c r="D1214" s="55"/>
      <c r="E1214" s="55"/>
      <c r="F1214" s="40">
        <f t="shared" si="179"/>
        <v>3634.2</v>
      </c>
      <c r="G1214" s="24">
        <v>51</v>
      </c>
      <c r="H1214" s="8"/>
      <c r="I1214" s="8"/>
      <c r="J1214" s="40">
        <f t="shared" si="181"/>
        <v>51</v>
      </c>
      <c r="K1214" s="66">
        <f t="shared" si="182"/>
        <v>3.2924467398321493E-2</v>
      </c>
      <c r="L1214" s="316">
        <f t="shared" si="183"/>
        <v>74.709896707553256</v>
      </c>
      <c r="M1214" s="37">
        <f t="shared" si="180"/>
        <v>27.470829019367333</v>
      </c>
      <c r="N1214" s="37">
        <v>28.840993548387097</v>
      </c>
      <c r="O1214" s="947">
        <f t="shared" si="184"/>
        <v>5.3074241446094241</v>
      </c>
      <c r="P1214" s="37"/>
      <c r="Q1214" s="954">
        <f t="shared" si="176"/>
        <v>3.7512834577050548E-2</v>
      </c>
    </row>
    <row r="1215" spans="1:17" s="6" customFormat="1" ht="15.75">
      <c r="A1215" s="8">
        <v>12</v>
      </c>
      <c r="B1215" s="8" t="s">
        <v>543</v>
      </c>
      <c r="C1215" s="55">
        <v>5551.35</v>
      </c>
      <c r="D1215" s="55"/>
      <c r="E1215" s="55"/>
      <c r="F1215" s="40">
        <f t="shared" si="179"/>
        <v>5551.35</v>
      </c>
      <c r="G1215" s="24">
        <v>70</v>
      </c>
      <c r="H1215" s="8"/>
      <c r="I1215" s="8"/>
      <c r="J1215" s="40">
        <f t="shared" si="181"/>
        <v>70</v>
      </c>
      <c r="K1215" s="66">
        <f t="shared" si="182"/>
        <v>4.5190445448676564E-2</v>
      </c>
      <c r="L1215" s="316">
        <f t="shared" si="183"/>
        <v>102.54299548095545</v>
      </c>
      <c r="M1215" s="37">
        <f t="shared" si="180"/>
        <v>37.705059438347327</v>
      </c>
      <c r="N1215" s="37">
        <v>39.585677419354838</v>
      </c>
      <c r="O1215" s="947">
        <f t="shared" si="184"/>
        <v>7.2846998063266613</v>
      </c>
      <c r="P1215" s="37"/>
      <c r="Q1215" s="954">
        <f t="shared" si="176"/>
        <v>3.3706833859328683E-2</v>
      </c>
    </row>
    <row r="1216" spans="1:17" s="6" customFormat="1" ht="15.75">
      <c r="A1216" s="8">
        <v>13</v>
      </c>
      <c r="B1216" s="8" t="s">
        <v>545</v>
      </c>
      <c r="C1216" s="55">
        <v>4556.37</v>
      </c>
      <c r="D1216" s="55"/>
      <c r="E1216" s="55"/>
      <c r="F1216" s="40">
        <f t="shared" si="179"/>
        <v>4556.37</v>
      </c>
      <c r="G1216" s="24">
        <v>76</v>
      </c>
      <c r="H1216" s="8"/>
      <c r="I1216" s="8"/>
      <c r="J1216" s="40">
        <f t="shared" si="181"/>
        <v>76</v>
      </c>
      <c r="K1216" s="66">
        <f t="shared" si="182"/>
        <v>4.9063912201420271E-2</v>
      </c>
      <c r="L1216" s="316">
        <f t="shared" si="183"/>
        <v>111.33239509360878</v>
      </c>
      <c r="M1216" s="37">
        <f t="shared" si="180"/>
        <v>40.936921675919955</v>
      </c>
      <c r="N1216" s="37">
        <v>42.97873548387097</v>
      </c>
      <c r="O1216" s="947">
        <f t="shared" si="184"/>
        <v>7.9091026468689467</v>
      </c>
      <c r="P1216" s="37"/>
      <c r="Q1216" s="954">
        <f t="shared" si="176"/>
        <v>4.4587501651592969E-2</v>
      </c>
    </row>
    <row r="1217" spans="1:17" s="6" customFormat="1" ht="15.75">
      <c r="A1217" s="8">
        <v>14</v>
      </c>
      <c r="B1217" s="8" t="s">
        <v>546</v>
      </c>
      <c r="C1217" s="55">
        <v>4596.6099999999997</v>
      </c>
      <c r="D1217" s="55"/>
      <c r="E1217" s="55"/>
      <c r="F1217" s="40">
        <f t="shared" si="179"/>
        <v>4596.6099999999997</v>
      </c>
      <c r="G1217" s="24">
        <v>72</v>
      </c>
      <c r="H1217" s="8"/>
      <c r="I1217" s="8"/>
      <c r="J1217" s="40">
        <f t="shared" si="181"/>
        <v>72</v>
      </c>
      <c r="K1217" s="66">
        <f t="shared" si="182"/>
        <v>4.6481601032924466E-2</v>
      </c>
      <c r="L1217" s="316">
        <f t="shared" si="183"/>
        <v>105.47279535183989</v>
      </c>
      <c r="M1217" s="37">
        <f t="shared" si="180"/>
        <v>38.782346850871534</v>
      </c>
      <c r="N1217" s="37">
        <v>40.716696774193544</v>
      </c>
      <c r="O1217" s="947">
        <f t="shared" si="184"/>
        <v>7.4928340865074237</v>
      </c>
      <c r="P1217" s="37"/>
      <c r="Q1217" s="954">
        <f t="shared" si="176"/>
        <v>4.1871003427180552E-2</v>
      </c>
    </row>
    <row r="1218" spans="1:17" s="6" customFormat="1" ht="15.75">
      <c r="A1218" s="8">
        <v>15</v>
      </c>
      <c r="B1218" s="8" t="s">
        <v>567</v>
      </c>
      <c r="C1218" s="55">
        <v>4490.43</v>
      </c>
      <c r="D1218" s="55"/>
      <c r="E1218" s="55"/>
      <c r="F1218" s="40">
        <f t="shared" si="179"/>
        <v>4490.43</v>
      </c>
      <c r="G1218" s="24">
        <v>75</v>
      </c>
      <c r="H1218" s="8"/>
      <c r="I1218" s="8"/>
      <c r="J1218" s="40">
        <f t="shared" si="181"/>
        <v>75</v>
      </c>
      <c r="K1218" s="66">
        <f t="shared" si="182"/>
        <v>4.8418334409296319E-2</v>
      </c>
      <c r="L1218" s="316">
        <f t="shared" si="183"/>
        <v>109.86749515816656</v>
      </c>
      <c r="M1218" s="37">
        <f t="shared" si="180"/>
        <v>40.398277969657848</v>
      </c>
      <c r="N1218" s="37">
        <v>42.413225806451607</v>
      </c>
      <c r="O1218" s="947">
        <f t="shared" si="184"/>
        <v>7.8050355067785659</v>
      </c>
      <c r="P1218" s="37"/>
      <c r="Q1218" s="954">
        <f t="shared" si="176"/>
        <v>4.4646956848465418E-2</v>
      </c>
    </row>
    <row r="1219" spans="1:17" s="6" customFormat="1" ht="15.75">
      <c r="A1219" s="8">
        <v>16</v>
      </c>
      <c r="B1219" s="8" t="s">
        <v>568</v>
      </c>
      <c r="C1219" s="55">
        <v>4338.5</v>
      </c>
      <c r="D1219" s="55"/>
      <c r="E1219" s="55"/>
      <c r="F1219" s="40">
        <f t="shared" si="179"/>
        <v>4338.5</v>
      </c>
      <c r="G1219" s="24">
        <v>56</v>
      </c>
      <c r="H1219" s="8"/>
      <c r="I1219" s="8"/>
      <c r="J1219" s="40">
        <f t="shared" si="181"/>
        <v>56</v>
      </c>
      <c r="K1219" s="66">
        <f t="shared" si="182"/>
        <v>3.6152356358941248E-2</v>
      </c>
      <c r="L1219" s="316">
        <f t="shared" si="183"/>
        <v>82.034396384764364</v>
      </c>
      <c r="M1219" s="37">
        <f t="shared" si="180"/>
        <v>30.164047550677857</v>
      </c>
      <c r="N1219" s="37">
        <v>31.668541935483873</v>
      </c>
      <c r="O1219" s="947">
        <f t="shared" si="184"/>
        <v>5.8277598450613288</v>
      </c>
      <c r="P1219" s="37"/>
      <c r="Q1219" s="954">
        <f t="shared" si="176"/>
        <v>3.450380217033247E-2</v>
      </c>
    </row>
    <row r="1220" spans="1:17" s="6" customFormat="1" ht="15.75">
      <c r="A1220" s="8">
        <v>17</v>
      </c>
      <c r="B1220" s="8" t="s">
        <v>569</v>
      </c>
      <c r="C1220" s="55">
        <v>3131.06</v>
      </c>
      <c r="D1220" s="55"/>
      <c r="E1220" s="55"/>
      <c r="F1220" s="40">
        <f t="shared" si="179"/>
        <v>3131.06</v>
      </c>
      <c r="G1220" s="24">
        <v>40</v>
      </c>
      <c r="H1220" s="8"/>
      <c r="I1220" s="8"/>
      <c r="J1220" s="40">
        <f t="shared" si="181"/>
        <v>40</v>
      </c>
      <c r="K1220" s="66">
        <f t="shared" si="182"/>
        <v>2.5823111684958037E-2</v>
      </c>
      <c r="L1220" s="316">
        <f t="shared" si="183"/>
        <v>58.595997417688835</v>
      </c>
      <c r="M1220" s="37">
        <f t="shared" si="180"/>
        <v>21.545748250484188</v>
      </c>
      <c r="N1220" s="37">
        <v>22.620387096774191</v>
      </c>
      <c r="O1220" s="947">
        <f t="shared" si="184"/>
        <v>4.1626856036152358</v>
      </c>
      <c r="P1220" s="37"/>
      <c r="Q1220" s="954">
        <f t="shared" si="176"/>
        <v>3.4149718743352875E-2</v>
      </c>
    </row>
    <row r="1221" spans="1:17" s="6" customFormat="1" ht="15.75">
      <c r="A1221" s="8">
        <v>18</v>
      </c>
      <c r="B1221" s="8" t="s">
        <v>570</v>
      </c>
      <c r="C1221" s="55">
        <v>3376.98</v>
      </c>
      <c r="D1221" s="55"/>
      <c r="E1221" s="55"/>
      <c r="F1221" s="40">
        <f t="shared" si="179"/>
        <v>3376.98</v>
      </c>
      <c r="G1221" s="24">
        <v>48</v>
      </c>
      <c r="H1221" s="8"/>
      <c r="I1221" s="8"/>
      <c r="J1221" s="40">
        <f t="shared" si="181"/>
        <v>48</v>
      </c>
      <c r="K1221" s="66">
        <f t="shared" si="182"/>
        <v>3.0987734021949643E-2</v>
      </c>
      <c r="L1221" s="316">
        <f t="shared" si="183"/>
        <v>70.315196901226599</v>
      </c>
      <c r="M1221" s="37">
        <f t="shared" si="180"/>
        <v>25.854897900581022</v>
      </c>
      <c r="N1221" s="37">
        <v>27.14446451612903</v>
      </c>
      <c r="O1221" s="947">
        <f t="shared" si="184"/>
        <v>4.9952227243382819</v>
      </c>
      <c r="P1221" s="37"/>
      <c r="Q1221" s="954">
        <f t="shared" si="176"/>
        <v>3.7995422549815201E-2</v>
      </c>
    </row>
    <row r="1222" spans="1:17" s="6" customFormat="1" ht="15.75">
      <c r="A1222" s="8">
        <v>20</v>
      </c>
      <c r="B1222" s="8" t="s">
        <v>571</v>
      </c>
      <c r="C1222" s="55">
        <v>50.5</v>
      </c>
      <c r="D1222" s="55"/>
      <c r="E1222" s="55"/>
      <c r="F1222" s="40">
        <f t="shared" si="179"/>
        <v>50.5</v>
      </c>
      <c r="G1222" s="24"/>
      <c r="H1222" s="8"/>
      <c r="I1222" s="8"/>
      <c r="J1222" s="40">
        <f t="shared" si="181"/>
        <v>0</v>
      </c>
      <c r="K1222" s="66">
        <f t="shared" si="182"/>
        <v>0</v>
      </c>
      <c r="L1222" s="316">
        <f t="shared" si="183"/>
        <v>0</v>
      </c>
      <c r="M1222" s="37">
        <f t="shared" si="180"/>
        <v>0</v>
      </c>
      <c r="N1222" s="37">
        <v>0</v>
      </c>
      <c r="O1222" s="947">
        <f t="shared" ref="O1222:O1231" si="185">K1222*161.2</f>
        <v>0</v>
      </c>
      <c r="P1222" s="37"/>
      <c r="Q1222" s="954">
        <f t="shared" si="176"/>
        <v>0</v>
      </c>
    </row>
    <row r="1223" spans="1:17" s="6" customFormat="1" ht="15.75">
      <c r="A1223" s="8">
        <v>22</v>
      </c>
      <c r="B1223" s="8" t="s">
        <v>356</v>
      </c>
      <c r="C1223" s="55">
        <v>306.8</v>
      </c>
      <c r="D1223" s="55"/>
      <c r="E1223" s="55"/>
      <c r="F1223" s="40">
        <f t="shared" si="179"/>
        <v>306.8</v>
      </c>
      <c r="G1223" s="24">
        <v>8</v>
      </c>
      <c r="H1223" s="8"/>
      <c r="I1223" s="8"/>
      <c r="J1223" s="40">
        <f t="shared" si="181"/>
        <v>8</v>
      </c>
      <c r="K1223" s="66">
        <f t="shared" si="182"/>
        <v>5.1646223369916072E-3</v>
      </c>
      <c r="L1223" s="316">
        <f t="shared" si="183"/>
        <v>11.719199483537766</v>
      </c>
      <c r="M1223" s="37">
        <f t="shared" si="180"/>
        <v>4.3091496500968365</v>
      </c>
      <c r="N1223" s="37">
        <v>4.5240774193548381</v>
      </c>
      <c r="O1223" s="947">
        <f t="shared" si="185"/>
        <v>0.83253712072304698</v>
      </c>
      <c r="P1223" s="37"/>
      <c r="Q1223" s="954">
        <f t="shared" ref="Q1223:Q1232" si="186">(O1223+N1223+M1223+L1223)/F1223</f>
        <v>6.9703271426703017E-2</v>
      </c>
    </row>
    <row r="1224" spans="1:17" s="6" customFormat="1" ht="15.75">
      <c r="A1224" s="8">
        <v>23</v>
      </c>
      <c r="B1224" s="8" t="s">
        <v>357</v>
      </c>
      <c r="C1224" s="55">
        <v>304.18</v>
      </c>
      <c r="D1224" s="55"/>
      <c r="E1224" s="55"/>
      <c r="F1224" s="40">
        <f t="shared" si="179"/>
        <v>304.18</v>
      </c>
      <c r="G1224" s="24">
        <v>8</v>
      </c>
      <c r="H1224" s="8"/>
      <c r="I1224" s="8"/>
      <c r="J1224" s="40">
        <f t="shared" si="181"/>
        <v>8</v>
      </c>
      <c r="K1224" s="66">
        <f t="shared" si="182"/>
        <v>5.1646223369916072E-3</v>
      </c>
      <c r="L1224" s="316">
        <f t="shared" si="183"/>
        <v>11.719199483537766</v>
      </c>
      <c r="M1224" s="37">
        <f t="shared" si="180"/>
        <v>4.3091496500968365</v>
      </c>
      <c r="N1224" s="37">
        <v>4.5240774193548381</v>
      </c>
      <c r="O1224" s="947">
        <f t="shared" si="185"/>
        <v>0.83253712072304698</v>
      </c>
      <c r="P1224" s="37"/>
      <c r="Q1224" s="954">
        <f t="shared" si="186"/>
        <v>7.0303648082426479E-2</v>
      </c>
    </row>
    <row r="1225" spans="1:17" s="6" customFormat="1" ht="15.75">
      <c r="A1225" s="8">
        <v>24</v>
      </c>
      <c r="B1225" s="8" t="s">
        <v>358</v>
      </c>
      <c r="C1225" s="55">
        <v>823.48</v>
      </c>
      <c r="D1225" s="55"/>
      <c r="E1225" s="55"/>
      <c r="F1225" s="40">
        <f t="shared" si="179"/>
        <v>823.48</v>
      </c>
      <c r="G1225" s="24">
        <v>14</v>
      </c>
      <c r="H1225" s="8"/>
      <c r="I1225" s="8"/>
      <c r="J1225" s="40">
        <f t="shared" si="181"/>
        <v>14</v>
      </c>
      <c r="K1225" s="66">
        <f t="shared" si="182"/>
        <v>9.0380890897353121E-3</v>
      </c>
      <c r="L1225" s="316">
        <f t="shared" si="183"/>
        <v>20.508599096191091</v>
      </c>
      <c r="M1225" s="37">
        <f t="shared" si="180"/>
        <v>7.5410118876694643</v>
      </c>
      <c r="N1225" s="37">
        <v>7.9171354838709682</v>
      </c>
      <c r="O1225" s="947">
        <f t="shared" si="185"/>
        <v>1.4569399612653322</v>
      </c>
      <c r="P1225" s="37"/>
      <c r="Q1225" s="954">
        <f t="shared" si="186"/>
        <v>4.5445774553112231E-2</v>
      </c>
    </row>
    <row r="1226" spans="1:17" s="6" customFormat="1" ht="15.75">
      <c r="A1226" s="8">
        <v>25</v>
      </c>
      <c r="B1226" s="8" t="s">
        <v>359</v>
      </c>
      <c r="C1226" s="55">
        <v>733.47</v>
      </c>
      <c r="D1226" s="55"/>
      <c r="E1226" s="55">
        <v>70</v>
      </c>
      <c r="F1226" s="40">
        <f t="shared" si="179"/>
        <v>803.47</v>
      </c>
      <c r="G1226" s="24">
        <v>13</v>
      </c>
      <c r="H1226" s="8"/>
      <c r="I1226" s="8"/>
      <c r="J1226" s="40">
        <f t="shared" si="181"/>
        <v>13</v>
      </c>
      <c r="K1226" s="66">
        <f t="shared" si="182"/>
        <v>8.392511297611361E-3</v>
      </c>
      <c r="L1226" s="316">
        <f t="shared" si="183"/>
        <v>19.043699160748869</v>
      </c>
      <c r="M1226" s="37">
        <f t="shared" si="180"/>
        <v>7.0023681814073591</v>
      </c>
      <c r="N1226" s="37">
        <v>7.3516258064516125</v>
      </c>
      <c r="O1226" s="947">
        <f t="shared" si="185"/>
        <v>1.3528728211749512</v>
      </c>
      <c r="P1226" s="37"/>
      <c r="Q1226" s="954">
        <f t="shared" si="186"/>
        <v>4.3250607950244303E-2</v>
      </c>
    </row>
    <row r="1227" spans="1:17" s="6" customFormat="1" ht="15.75">
      <c r="A1227" s="8">
        <v>26</v>
      </c>
      <c r="B1227" s="8" t="s">
        <v>360</v>
      </c>
      <c r="C1227" s="55">
        <v>4465.32</v>
      </c>
      <c r="D1227" s="55"/>
      <c r="E1227" s="55"/>
      <c r="F1227" s="40">
        <f t="shared" si="179"/>
        <v>4465.32</v>
      </c>
      <c r="G1227" s="24">
        <v>80</v>
      </c>
      <c r="H1227" s="8"/>
      <c r="I1227" s="8"/>
      <c r="J1227" s="40">
        <f t="shared" si="181"/>
        <v>80</v>
      </c>
      <c r="K1227" s="66">
        <f t="shared" si="182"/>
        <v>5.1646223369916075E-2</v>
      </c>
      <c r="L1227" s="316">
        <f t="shared" si="183"/>
        <v>117.19199483537767</v>
      </c>
      <c r="M1227" s="37">
        <f t="shared" si="180"/>
        <v>43.091496500968375</v>
      </c>
      <c r="N1227" s="37">
        <v>45.240774193548383</v>
      </c>
      <c r="O1227" s="947">
        <f t="shared" si="185"/>
        <v>8.3253712072304715</v>
      </c>
      <c r="P1227" s="37"/>
      <c r="Q1227" s="954">
        <f t="shared" si="186"/>
        <v>4.7891223190527202E-2</v>
      </c>
    </row>
    <row r="1228" spans="1:17" s="6" customFormat="1" ht="15.75">
      <c r="A1228" s="8">
        <v>27</v>
      </c>
      <c r="B1228" s="8" t="s">
        <v>361</v>
      </c>
      <c r="C1228" s="55">
        <v>2218.6799999999998</v>
      </c>
      <c r="D1228" s="55"/>
      <c r="E1228" s="55"/>
      <c r="F1228" s="40">
        <f t="shared" si="179"/>
        <v>2218.6799999999998</v>
      </c>
      <c r="G1228" s="24">
        <v>40</v>
      </c>
      <c r="H1228" s="8"/>
      <c r="I1228" s="8"/>
      <c r="J1228" s="40">
        <f t="shared" si="181"/>
        <v>40</v>
      </c>
      <c r="K1228" s="66">
        <f t="shared" si="182"/>
        <v>2.5823111684958037E-2</v>
      </c>
      <c r="L1228" s="316">
        <f t="shared" si="183"/>
        <v>58.595997417688835</v>
      </c>
      <c r="M1228" s="37">
        <f t="shared" si="180"/>
        <v>21.545748250484188</v>
      </c>
      <c r="N1228" s="37">
        <v>22.620387096774191</v>
      </c>
      <c r="O1228" s="947">
        <f t="shared" si="185"/>
        <v>4.1626856036152358</v>
      </c>
      <c r="P1228" s="37"/>
      <c r="Q1228" s="954">
        <f t="shared" si="186"/>
        <v>4.8192987888547451E-2</v>
      </c>
    </row>
    <row r="1229" spans="1:17" s="6" customFormat="1" ht="15.75">
      <c r="A1229" s="8">
        <v>28</v>
      </c>
      <c r="B1229" s="8" t="s">
        <v>362</v>
      </c>
      <c r="C1229" s="55">
        <v>120.8</v>
      </c>
      <c r="D1229" s="55"/>
      <c r="E1229" s="55"/>
      <c r="F1229" s="40">
        <f t="shared" si="179"/>
        <v>120.8</v>
      </c>
      <c r="G1229" s="24">
        <v>2</v>
      </c>
      <c r="H1229" s="8"/>
      <c r="I1229" s="8"/>
      <c r="J1229" s="40">
        <f t="shared" si="181"/>
        <v>2</v>
      </c>
      <c r="K1229" s="66">
        <f t="shared" si="182"/>
        <v>1.2911555842479018E-3</v>
      </c>
      <c r="L1229" s="316">
        <f t="shared" si="183"/>
        <v>2.9297998708844415</v>
      </c>
      <c r="M1229" s="37">
        <f t="shared" si="180"/>
        <v>1.0772874125242091</v>
      </c>
      <c r="N1229" s="37">
        <v>1.1310193548387095</v>
      </c>
      <c r="O1229" s="947">
        <f t="shared" si="185"/>
        <v>0.20813428018076174</v>
      </c>
      <c r="P1229" s="37"/>
      <c r="Q1229" s="954">
        <f t="shared" si="186"/>
        <v>4.4256961245265909E-2</v>
      </c>
    </row>
    <row r="1230" spans="1:17" s="6" customFormat="1" ht="15.75">
      <c r="A1230" s="8">
        <v>30</v>
      </c>
      <c r="B1230" s="8" t="s">
        <v>363</v>
      </c>
      <c r="C1230" s="55">
        <v>174.6</v>
      </c>
      <c r="D1230" s="55"/>
      <c r="E1230" s="55"/>
      <c r="F1230" s="40">
        <f t="shared" si="179"/>
        <v>174.6</v>
      </c>
      <c r="G1230" s="24">
        <v>4</v>
      </c>
      <c r="H1230" s="8"/>
      <c r="I1230" s="8"/>
      <c r="J1230" s="40">
        <f t="shared" si="181"/>
        <v>4</v>
      </c>
      <c r="K1230" s="66">
        <f t="shared" si="182"/>
        <v>2.5823111684958036E-3</v>
      </c>
      <c r="L1230" s="316">
        <f t="shared" si="183"/>
        <v>5.859599741768883</v>
      </c>
      <c r="M1230" s="37">
        <f t="shared" si="180"/>
        <v>2.1545748250484182</v>
      </c>
      <c r="N1230" s="37">
        <v>2.262038709677419</v>
      </c>
      <c r="O1230" s="947">
        <f t="shared" si="185"/>
        <v>0.41626856036152349</v>
      </c>
      <c r="P1230" s="37"/>
      <c r="Q1230" s="954">
        <f t="shared" si="186"/>
        <v>6.1239873063323277E-2</v>
      </c>
    </row>
    <row r="1231" spans="1:17" s="6" customFormat="1" ht="15.75">
      <c r="A1231" s="8">
        <v>31</v>
      </c>
      <c r="B1231" s="8" t="s">
        <v>364</v>
      </c>
      <c r="C1231" s="55">
        <v>139.19999999999999</v>
      </c>
      <c r="D1231" s="55"/>
      <c r="E1231" s="55"/>
      <c r="F1231" s="40">
        <f t="shared" si="179"/>
        <v>139.19999999999999</v>
      </c>
      <c r="G1231" s="24">
        <v>4</v>
      </c>
      <c r="H1231" s="8"/>
      <c r="I1231" s="8"/>
      <c r="J1231" s="40">
        <f t="shared" si="181"/>
        <v>4</v>
      </c>
      <c r="K1231" s="66">
        <f t="shared" si="182"/>
        <v>2.5823111684958036E-3</v>
      </c>
      <c r="L1231" s="316">
        <f t="shared" si="183"/>
        <v>5.859599741768883</v>
      </c>
      <c r="M1231" s="37">
        <f t="shared" si="180"/>
        <v>2.1545748250484182</v>
      </c>
      <c r="N1231" s="37">
        <v>2.262038709677419</v>
      </c>
      <c r="O1231" s="947">
        <f t="shared" si="185"/>
        <v>0.41626856036152349</v>
      </c>
      <c r="P1231" s="37"/>
      <c r="Q1231" s="954">
        <f t="shared" si="186"/>
        <v>7.6813806299254633E-2</v>
      </c>
    </row>
    <row r="1232" spans="1:17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179"/>
        <v>93179.589999999967</v>
      </c>
      <c r="G1232" s="63">
        <f>SUM(G1204:G1231)</f>
        <v>1549</v>
      </c>
      <c r="H1232" s="63">
        <f>SUM(H1204:H1231)</f>
        <v>0</v>
      </c>
      <c r="I1232" s="63">
        <f>SUM(I1204:I1231)</f>
        <v>0</v>
      </c>
      <c r="J1232" s="63">
        <f>SUM(J1204:J1231)</f>
        <v>1549</v>
      </c>
      <c r="K1232" s="66">
        <f>1/1549*J1232</f>
        <v>0.99999999999999989</v>
      </c>
      <c r="L1232" s="316">
        <f>K1232*2269.13</f>
        <v>2269.1299999999997</v>
      </c>
      <c r="M1232" s="64">
        <f t="shared" si="180"/>
        <v>834.3591009999999</v>
      </c>
      <c r="N1232" s="37">
        <f>SUM(N1203:N1231)</f>
        <v>875.97449032258055</v>
      </c>
      <c r="O1232" s="947">
        <f>K1232*161.2</f>
        <v>161.19999999999996</v>
      </c>
      <c r="P1232" s="37"/>
      <c r="Q1232" s="954">
        <f t="shared" si="186"/>
        <v>4.443745235756652E-2</v>
      </c>
    </row>
    <row r="1233" spans="2:17" s="6" customFormat="1" ht="15.75">
      <c r="F1233" s="34"/>
      <c r="G1233" s="25"/>
      <c r="J1233" s="34"/>
      <c r="K1233" s="66"/>
      <c r="L1233" s="34"/>
      <c r="M1233" s="34"/>
      <c r="N1233" s="34"/>
      <c r="O1233" s="34"/>
      <c r="P1233" s="40"/>
      <c r="Q1233" s="110"/>
    </row>
    <row r="1234" spans="2:17" s="69" customFormat="1" ht="15.75">
      <c r="B1234" s="69" t="s">
        <v>667</v>
      </c>
      <c r="C1234" s="65">
        <f t="shared" ref="C1234:O1234" si="187">C90+C384+C535+C747+C879+C1146+C1202+C1232</f>
        <v>1621837.7799999998</v>
      </c>
      <c r="D1234" s="65">
        <f t="shared" si="187"/>
        <v>9361.1699999999983</v>
      </c>
      <c r="E1234" s="65">
        <f t="shared" si="187"/>
        <v>24015.95</v>
      </c>
      <c r="F1234" s="65">
        <f t="shared" si="187"/>
        <v>1655214.8999999994</v>
      </c>
      <c r="G1234" s="65">
        <f t="shared" si="187"/>
        <v>33359</v>
      </c>
      <c r="H1234" s="65">
        <f t="shared" si="187"/>
        <v>116</v>
      </c>
      <c r="I1234" s="65">
        <f t="shared" si="187"/>
        <v>264</v>
      </c>
      <c r="J1234" s="65">
        <f t="shared" si="187"/>
        <v>33952</v>
      </c>
      <c r="K1234" s="65">
        <f>K1232+K1202+K1146+K879+K747+K535+K384+K90+K67</f>
        <v>23</v>
      </c>
      <c r="L1234" s="65">
        <f t="shared" si="187"/>
        <v>43113.47</v>
      </c>
      <c r="M1234" s="65">
        <f t="shared" si="187"/>
        <v>15852.822919000002</v>
      </c>
      <c r="N1234" s="65">
        <f t="shared" si="187"/>
        <v>25774.162224027612</v>
      </c>
      <c r="O1234" s="949">
        <f t="shared" si="187"/>
        <v>3174.1756820164806</v>
      </c>
      <c r="P1234" s="65"/>
      <c r="Q1234" s="955">
        <f>(O1234+N1234+M1234+L1234)/F1234</f>
        <v>5.3113726093840817E-2</v>
      </c>
    </row>
    <row r="1235" spans="2:17" s="6" customFormat="1" ht="15.75">
      <c r="F1235" s="34"/>
      <c r="G1235" s="25"/>
      <c r="J1235" s="34"/>
      <c r="K1235" s="67"/>
      <c r="L1235" s="34"/>
      <c r="M1235" s="34"/>
      <c r="N1235" s="34"/>
      <c r="O1235" s="34"/>
      <c r="P1235" s="40"/>
      <c r="Q1235" s="34"/>
    </row>
    <row r="1236" spans="2:17" s="6" customFormat="1" ht="15.75">
      <c r="F1236" s="34"/>
      <c r="G1236" s="25"/>
      <c r="J1236" s="34"/>
      <c r="K1236" s="67"/>
      <c r="L1236" s="34"/>
      <c r="M1236" s="34"/>
      <c r="N1236" s="34"/>
      <c r="O1236" s="34"/>
      <c r="P1236" s="40"/>
      <c r="Q1236" s="34"/>
    </row>
    <row r="1237" spans="2:17" s="6" customFormat="1" ht="15.75">
      <c r="F1237" s="34"/>
      <c r="G1237" s="25"/>
      <c r="J1237" s="34"/>
      <c r="K1237" s="67"/>
      <c r="L1237" s="34"/>
      <c r="M1237" s="34"/>
      <c r="N1237" s="34"/>
      <c r="O1237" s="34"/>
      <c r="P1237" s="40"/>
      <c r="Q1237" s="34"/>
    </row>
    <row r="1238" spans="2:17" s="6" customFormat="1" ht="15.75">
      <c r="F1238" s="34"/>
      <c r="G1238" s="25"/>
      <c r="J1238" s="34"/>
      <c r="K1238" s="67"/>
      <c r="L1238" s="34"/>
      <c r="M1238" s="34"/>
      <c r="N1238" s="34"/>
      <c r="O1238" s="34"/>
      <c r="P1238" s="40"/>
      <c r="Q1238" s="34"/>
    </row>
    <row r="1239" spans="2:17" s="6" customFormat="1" ht="15.75">
      <c r="F1239" s="34"/>
      <c r="G1239" s="25"/>
      <c r="J1239" s="34"/>
      <c r="K1239" s="67"/>
      <c r="L1239" s="34"/>
      <c r="M1239" s="34"/>
      <c r="N1239" s="34"/>
      <c r="O1239" s="34"/>
      <c r="P1239" s="40"/>
      <c r="Q1239" s="34"/>
    </row>
    <row r="1240" spans="2:17" s="6" customFormat="1" ht="15.75">
      <c r="F1240" s="34"/>
      <c r="G1240" s="25"/>
      <c r="J1240" s="34"/>
      <c r="K1240" s="67"/>
      <c r="L1240" s="34"/>
      <c r="M1240" s="34"/>
      <c r="N1240" s="34"/>
      <c r="O1240" s="34"/>
      <c r="P1240" s="40"/>
      <c r="Q1240" s="34"/>
    </row>
    <row r="1241" spans="2:17" s="6" customFormat="1" ht="15.75">
      <c r="F1241" s="34"/>
      <c r="G1241" s="25"/>
      <c r="J1241" s="34"/>
      <c r="K1241" s="67"/>
      <c r="L1241" s="34"/>
      <c r="M1241" s="34"/>
      <c r="N1241" s="34"/>
      <c r="O1241" s="34"/>
      <c r="P1241" s="40"/>
      <c r="Q1241" s="34"/>
    </row>
    <row r="1242" spans="2:17" s="6" customFormat="1" ht="15.75">
      <c r="F1242" s="34"/>
      <c r="G1242" s="25"/>
      <c r="J1242" s="34"/>
      <c r="K1242" s="67"/>
      <c r="L1242" s="34"/>
      <c r="M1242" s="34"/>
      <c r="N1242" s="34"/>
      <c r="O1242" s="34"/>
      <c r="P1242" s="40"/>
      <c r="Q1242" s="34"/>
    </row>
    <row r="1243" spans="2:17" s="6" customFormat="1" ht="15.75">
      <c r="F1243" s="34"/>
      <c r="G1243" s="25"/>
      <c r="J1243" s="34"/>
      <c r="K1243" s="67"/>
      <c r="L1243" s="34"/>
      <c r="M1243" s="34"/>
      <c r="N1243" s="34"/>
      <c r="O1243" s="34"/>
      <c r="P1243" s="40"/>
      <c r="Q1243" s="34"/>
    </row>
    <row r="1244" spans="2:17" s="6" customFormat="1" ht="15.75">
      <c r="F1244" s="34"/>
      <c r="G1244" s="25"/>
      <c r="J1244" s="34"/>
      <c r="K1244" s="67"/>
      <c r="L1244" s="34"/>
      <c r="M1244" s="34"/>
      <c r="N1244" s="34"/>
      <c r="O1244" s="34"/>
      <c r="P1244" s="40"/>
      <c r="Q1244" s="34"/>
    </row>
    <row r="1245" spans="2:17" s="6" customFormat="1" ht="15.75">
      <c r="F1245" s="34"/>
      <c r="G1245" s="25"/>
      <c r="J1245" s="34"/>
      <c r="K1245" s="67"/>
      <c r="L1245" s="34"/>
      <c r="M1245" s="34"/>
      <c r="N1245" s="34"/>
      <c r="O1245" s="34"/>
      <c r="P1245" s="40"/>
      <c r="Q1245" s="34"/>
    </row>
    <row r="1246" spans="2:17" s="6" customFormat="1" ht="15.75">
      <c r="F1246" s="34"/>
      <c r="G1246" s="25"/>
      <c r="J1246" s="34"/>
      <c r="K1246" s="67"/>
      <c r="L1246" s="34"/>
      <c r="M1246" s="34"/>
      <c r="N1246" s="34"/>
      <c r="O1246" s="34"/>
      <c r="P1246" s="40"/>
      <c r="Q1246" s="34"/>
    </row>
    <row r="1247" spans="2:17" s="6" customFormat="1" ht="15.75">
      <c r="F1247" s="34"/>
      <c r="G1247" s="25"/>
      <c r="J1247" s="34"/>
      <c r="K1247" s="67"/>
      <c r="L1247" s="34"/>
      <c r="M1247" s="34"/>
      <c r="N1247" s="34"/>
      <c r="O1247" s="34"/>
      <c r="P1247" s="40"/>
      <c r="Q1247" s="34"/>
    </row>
    <row r="1248" spans="2:17" s="6" customFormat="1" ht="15.75">
      <c r="F1248" s="34"/>
      <c r="G1248" s="25"/>
      <c r="J1248" s="34"/>
      <c r="K1248" s="67"/>
      <c r="L1248" s="34"/>
      <c r="M1248" s="34"/>
      <c r="N1248" s="34"/>
      <c r="O1248" s="34"/>
      <c r="P1248" s="40"/>
      <c r="Q1248" s="34"/>
    </row>
    <row r="1249" spans="6:17" s="6" customFormat="1" ht="15.75">
      <c r="F1249" s="34"/>
      <c r="G1249" s="25"/>
      <c r="J1249" s="34"/>
      <c r="K1249" s="67"/>
      <c r="L1249" s="34"/>
      <c r="M1249" s="34"/>
      <c r="N1249" s="34"/>
      <c r="O1249" s="34"/>
      <c r="P1249" s="40"/>
      <c r="Q1249" s="34"/>
    </row>
    <row r="1250" spans="6:17" s="6" customFormat="1" ht="15.75">
      <c r="F1250" s="34"/>
      <c r="G1250" s="25"/>
      <c r="J1250" s="34"/>
      <c r="K1250" s="67"/>
      <c r="L1250" s="34"/>
      <c r="M1250" s="34"/>
      <c r="N1250" s="34"/>
      <c r="O1250" s="34"/>
      <c r="P1250" s="40"/>
      <c r="Q1250" s="34"/>
    </row>
    <row r="1251" spans="6:17" s="6" customFormat="1" ht="15.75">
      <c r="F1251" s="34"/>
      <c r="G1251" s="25"/>
      <c r="J1251" s="34"/>
      <c r="K1251" s="67"/>
      <c r="L1251" s="34"/>
      <c r="M1251" s="34"/>
      <c r="N1251" s="34"/>
      <c r="O1251" s="34"/>
      <c r="P1251" s="40"/>
      <c r="Q1251" s="34"/>
    </row>
    <row r="1252" spans="6:17" s="6" customFormat="1" ht="15.75">
      <c r="F1252" s="34"/>
      <c r="G1252" s="25"/>
      <c r="J1252" s="34"/>
      <c r="K1252" s="67"/>
      <c r="L1252" s="34"/>
      <c r="M1252" s="34"/>
      <c r="N1252" s="34"/>
      <c r="O1252" s="34"/>
      <c r="P1252" s="40"/>
      <c r="Q1252" s="34"/>
    </row>
    <row r="1253" spans="6:17" s="6" customFormat="1" ht="15.75">
      <c r="F1253" s="34"/>
      <c r="G1253" s="25"/>
      <c r="J1253" s="34"/>
      <c r="K1253" s="67"/>
      <c r="L1253" s="34"/>
      <c r="M1253" s="34"/>
      <c r="N1253" s="34"/>
      <c r="O1253" s="34"/>
      <c r="P1253" s="40"/>
      <c r="Q1253" s="34"/>
    </row>
    <row r="1254" spans="6:17" s="6" customFormat="1" ht="15.75">
      <c r="F1254" s="34"/>
      <c r="G1254" s="25"/>
      <c r="J1254" s="34"/>
      <c r="K1254" s="67"/>
      <c r="L1254" s="34"/>
      <c r="M1254" s="34"/>
      <c r="N1254" s="34"/>
      <c r="O1254" s="34"/>
      <c r="P1254" s="40"/>
      <c r="Q1254" s="34"/>
    </row>
    <row r="1255" spans="6:17" s="6" customFormat="1" ht="15.75">
      <c r="F1255" s="34"/>
      <c r="G1255" s="25"/>
      <c r="J1255" s="34"/>
      <c r="K1255" s="67"/>
      <c r="L1255" s="34"/>
      <c r="M1255" s="34"/>
      <c r="N1255" s="34"/>
      <c r="O1255" s="34"/>
      <c r="P1255" s="40"/>
      <c r="Q1255" s="34"/>
    </row>
    <row r="1256" spans="6:17" s="6" customFormat="1" ht="15.75">
      <c r="F1256" s="34"/>
      <c r="G1256" s="25"/>
      <c r="J1256" s="34"/>
      <c r="K1256" s="67"/>
      <c r="L1256" s="34"/>
      <c r="M1256" s="34"/>
      <c r="N1256" s="34"/>
      <c r="O1256" s="34"/>
      <c r="P1256" s="40"/>
      <c r="Q1256" s="34"/>
    </row>
    <row r="1257" spans="6:17" s="6" customFormat="1" ht="15.75">
      <c r="F1257" s="34"/>
      <c r="G1257" s="25"/>
      <c r="J1257" s="34"/>
      <c r="K1257" s="67"/>
      <c r="L1257" s="34"/>
      <c r="M1257" s="34"/>
      <c r="N1257" s="34"/>
      <c r="O1257" s="34"/>
      <c r="P1257" s="40"/>
      <c r="Q1257" s="34"/>
    </row>
    <row r="1258" spans="6:17" s="6" customFormat="1" ht="15.75">
      <c r="F1258" s="34"/>
      <c r="G1258" s="25"/>
      <c r="J1258" s="34"/>
      <c r="K1258" s="67"/>
      <c r="L1258" s="34"/>
      <c r="M1258" s="34"/>
      <c r="N1258" s="34"/>
      <c r="O1258" s="34"/>
      <c r="P1258" s="40"/>
      <c r="Q1258" s="34"/>
    </row>
    <row r="1259" spans="6:17" s="6" customFormat="1" ht="15.75">
      <c r="F1259" s="34"/>
      <c r="G1259" s="25"/>
      <c r="J1259" s="34"/>
      <c r="K1259" s="67"/>
      <c r="L1259" s="34"/>
      <c r="M1259" s="34"/>
      <c r="N1259" s="34"/>
      <c r="O1259" s="34"/>
      <c r="P1259" s="40"/>
      <c r="Q1259" s="34"/>
    </row>
    <row r="1260" spans="6:17" s="6" customFormat="1" ht="15.75">
      <c r="F1260" s="34"/>
      <c r="G1260" s="25"/>
      <c r="J1260" s="34"/>
      <c r="K1260" s="67"/>
      <c r="L1260" s="34"/>
      <c r="M1260" s="34"/>
      <c r="N1260" s="34"/>
      <c r="O1260" s="34"/>
      <c r="P1260" s="40"/>
      <c r="Q1260" s="34"/>
    </row>
    <row r="1261" spans="6:17" s="6" customFormat="1" ht="15.75">
      <c r="F1261" s="34"/>
      <c r="G1261" s="25"/>
      <c r="J1261" s="34"/>
      <c r="K1261" s="67"/>
      <c r="L1261" s="34"/>
      <c r="M1261" s="34"/>
      <c r="N1261" s="34"/>
      <c r="O1261" s="34"/>
      <c r="P1261" s="40"/>
      <c r="Q1261" s="34"/>
    </row>
    <row r="1262" spans="6:17" s="6" customFormat="1" ht="15.75">
      <c r="F1262" s="34"/>
      <c r="G1262" s="25"/>
      <c r="J1262" s="34"/>
      <c r="K1262" s="67"/>
      <c r="L1262" s="34"/>
      <c r="M1262" s="34"/>
      <c r="N1262" s="34"/>
      <c r="O1262" s="34"/>
      <c r="P1262" s="40"/>
      <c r="Q1262" s="34"/>
    </row>
    <row r="1263" spans="6:17" s="6" customFormat="1" ht="15.75">
      <c r="F1263" s="34"/>
      <c r="G1263" s="25"/>
      <c r="J1263" s="34"/>
      <c r="K1263" s="67"/>
      <c r="L1263" s="34"/>
      <c r="M1263" s="34"/>
      <c r="N1263" s="34"/>
      <c r="O1263" s="34"/>
      <c r="P1263" s="40"/>
      <c r="Q1263" s="34"/>
    </row>
    <row r="1264" spans="6:17" s="6" customFormat="1" ht="15.75">
      <c r="F1264" s="34"/>
      <c r="G1264" s="25"/>
      <c r="J1264" s="34"/>
      <c r="K1264" s="67"/>
      <c r="L1264" s="34"/>
      <c r="M1264" s="34"/>
      <c r="N1264" s="34"/>
      <c r="O1264" s="34"/>
      <c r="P1264" s="40"/>
      <c r="Q1264" s="34"/>
    </row>
    <row r="1265" spans="6:17" s="6" customFormat="1" ht="15.75">
      <c r="F1265" s="34"/>
      <c r="G1265" s="25"/>
      <c r="J1265" s="34"/>
      <c r="K1265" s="67"/>
      <c r="L1265" s="34"/>
      <c r="M1265" s="34"/>
      <c r="N1265" s="34"/>
      <c r="O1265" s="34"/>
      <c r="P1265" s="40"/>
      <c r="Q1265" s="34"/>
    </row>
    <row r="1266" spans="6:17" s="6" customFormat="1" ht="15.75">
      <c r="F1266" s="34"/>
      <c r="G1266" s="25"/>
      <c r="J1266" s="34"/>
      <c r="K1266" s="67"/>
      <c r="L1266" s="34"/>
      <c r="M1266" s="34"/>
      <c r="N1266" s="34"/>
      <c r="O1266" s="34"/>
      <c r="P1266" s="40"/>
      <c r="Q1266" s="34"/>
    </row>
    <row r="1267" spans="6:17" s="6" customFormat="1" ht="15.75">
      <c r="F1267" s="34"/>
      <c r="G1267" s="25"/>
      <c r="J1267" s="34"/>
      <c r="K1267" s="67"/>
      <c r="L1267" s="34"/>
      <c r="M1267" s="34"/>
      <c r="N1267" s="34"/>
      <c r="O1267" s="34"/>
      <c r="P1267" s="40"/>
      <c r="Q1267" s="34"/>
    </row>
    <row r="1268" spans="6:17" s="6" customFormat="1" ht="15.75">
      <c r="F1268" s="34"/>
      <c r="G1268" s="25"/>
      <c r="J1268" s="34"/>
      <c r="K1268" s="67"/>
      <c r="L1268" s="34"/>
      <c r="M1268" s="34"/>
      <c r="N1268" s="34"/>
      <c r="O1268" s="34"/>
      <c r="P1268" s="40"/>
      <c r="Q1268" s="34"/>
    </row>
    <row r="1269" spans="6:17" s="6" customFormat="1" ht="15.75">
      <c r="F1269" s="34"/>
      <c r="G1269" s="25"/>
      <c r="J1269" s="34"/>
      <c r="K1269" s="67"/>
      <c r="L1269" s="34"/>
      <c r="M1269" s="34"/>
      <c r="N1269" s="34"/>
      <c r="O1269" s="34"/>
      <c r="P1269" s="40"/>
      <c r="Q1269" s="34"/>
    </row>
    <row r="1270" spans="6:17" s="6" customFormat="1" ht="15.75">
      <c r="F1270" s="34"/>
      <c r="G1270" s="25"/>
      <c r="J1270" s="34"/>
      <c r="K1270" s="67"/>
      <c r="L1270" s="34"/>
      <c r="M1270" s="34"/>
      <c r="N1270" s="34"/>
      <c r="O1270" s="34"/>
      <c r="P1270" s="40"/>
      <c r="Q1270" s="34"/>
    </row>
    <row r="1271" spans="6:17" s="6" customFormat="1" ht="15.75">
      <c r="F1271" s="34"/>
      <c r="G1271" s="25"/>
      <c r="J1271" s="34"/>
      <c r="K1271" s="67"/>
      <c r="L1271" s="34"/>
      <c r="M1271" s="34"/>
      <c r="N1271" s="34"/>
      <c r="O1271" s="34"/>
      <c r="P1271" s="40"/>
      <c r="Q1271" s="34"/>
    </row>
    <row r="1272" spans="6:17" s="6" customFormat="1" ht="15.75">
      <c r="F1272" s="34"/>
      <c r="G1272" s="25"/>
      <c r="J1272" s="34"/>
      <c r="K1272" s="67"/>
      <c r="L1272" s="34"/>
      <c r="M1272" s="34"/>
      <c r="N1272" s="34"/>
      <c r="O1272" s="34"/>
      <c r="P1272" s="40"/>
      <c r="Q1272" s="34"/>
    </row>
    <row r="1273" spans="6:17" s="6" customFormat="1" ht="15.75">
      <c r="F1273" s="34"/>
      <c r="G1273" s="25"/>
      <c r="J1273" s="34"/>
      <c r="K1273" s="67"/>
      <c r="L1273" s="34"/>
      <c r="M1273" s="34"/>
      <c r="N1273" s="34"/>
      <c r="O1273" s="34"/>
      <c r="P1273" s="40"/>
      <c r="Q1273" s="34"/>
    </row>
    <row r="1274" spans="6:17" s="6" customFormat="1" ht="15.75">
      <c r="F1274" s="34"/>
      <c r="G1274" s="25"/>
      <c r="J1274" s="34"/>
      <c r="K1274" s="67"/>
      <c r="L1274" s="34"/>
      <c r="M1274" s="34"/>
      <c r="N1274" s="34"/>
      <c r="O1274" s="34"/>
      <c r="P1274" s="40"/>
      <c r="Q1274" s="34"/>
    </row>
    <row r="1275" spans="6:17" s="6" customFormat="1" ht="15.75">
      <c r="F1275" s="34"/>
      <c r="G1275" s="25"/>
      <c r="J1275" s="34"/>
      <c r="K1275" s="67"/>
      <c r="L1275" s="34"/>
      <c r="M1275" s="34"/>
      <c r="N1275" s="34"/>
      <c r="O1275" s="34"/>
      <c r="P1275" s="40"/>
      <c r="Q1275" s="34"/>
    </row>
    <row r="1276" spans="6:17" s="6" customFormat="1" ht="15.75">
      <c r="F1276" s="34"/>
      <c r="G1276" s="25"/>
      <c r="J1276" s="34"/>
      <c r="K1276" s="67"/>
      <c r="L1276" s="34"/>
      <c r="M1276" s="34"/>
      <c r="N1276" s="34"/>
      <c r="O1276" s="34"/>
      <c r="P1276" s="40"/>
      <c r="Q1276" s="34"/>
    </row>
    <row r="1277" spans="6:17" s="6" customFormat="1" ht="15.75">
      <c r="F1277" s="34"/>
      <c r="G1277" s="25"/>
      <c r="J1277" s="34"/>
      <c r="K1277" s="67"/>
      <c r="L1277" s="34"/>
      <c r="M1277" s="34"/>
      <c r="N1277" s="34"/>
      <c r="O1277" s="34"/>
      <c r="P1277" s="40"/>
      <c r="Q1277" s="34"/>
    </row>
    <row r="1278" spans="6:17" s="6" customFormat="1" ht="15.75">
      <c r="F1278" s="34"/>
      <c r="G1278" s="25"/>
      <c r="J1278" s="34"/>
      <c r="K1278" s="67"/>
      <c r="L1278" s="34"/>
      <c r="M1278" s="34"/>
      <c r="N1278" s="34"/>
      <c r="O1278" s="34"/>
      <c r="P1278" s="40"/>
      <c r="Q1278" s="34"/>
    </row>
    <row r="1279" spans="6:17" s="6" customFormat="1" ht="15.75">
      <c r="F1279" s="34"/>
      <c r="G1279" s="25"/>
      <c r="J1279" s="34"/>
      <c r="K1279" s="67"/>
      <c r="L1279" s="34"/>
      <c r="M1279" s="34"/>
      <c r="N1279" s="34"/>
      <c r="O1279" s="34"/>
      <c r="P1279" s="40"/>
      <c r="Q1279" s="34"/>
    </row>
    <row r="1280" spans="6:17" s="6" customFormat="1" ht="15.75">
      <c r="F1280" s="34"/>
      <c r="G1280" s="25"/>
      <c r="J1280" s="34"/>
      <c r="K1280" s="67"/>
      <c r="L1280" s="34"/>
      <c r="M1280" s="34"/>
      <c r="N1280" s="34"/>
      <c r="O1280" s="34"/>
      <c r="P1280" s="40"/>
      <c r="Q1280" s="34"/>
    </row>
    <row r="1281" spans="6:17" s="6" customFormat="1" ht="15.75">
      <c r="F1281" s="34"/>
      <c r="G1281" s="25"/>
      <c r="J1281" s="34"/>
      <c r="K1281" s="67"/>
      <c r="L1281" s="34"/>
      <c r="M1281" s="34"/>
      <c r="N1281" s="34"/>
      <c r="O1281" s="34"/>
      <c r="P1281" s="40"/>
      <c r="Q1281" s="34"/>
    </row>
    <row r="1282" spans="6:17" s="6" customFormat="1" ht="15.75">
      <c r="F1282" s="34"/>
      <c r="G1282" s="25"/>
      <c r="J1282" s="34"/>
      <c r="K1282" s="67"/>
      <c r="L1282" s="34"/>
      <c r="M1282" s="34"/>
      <c r="N1282" s="34"/>
      <c r="O1282" s="34"/>
      <c r="P1282" s="40"/>
      <c r="Q1282" s="34"/>
    </row>
    <row r="1283" spans="6:17" s="6" customFormat="1" ht="15.75">
      <c r="F1283" s="34"/>
      <c r="G1283" s="25"/>
      <c r="J1283" s="34"/>
      <c r="K1283" s="67"/>
      <c r="L1283" s="34"/>
      <c r="M1283" s="34"/>
      <c r="N1283" s="34"/>
      <c r="O1283" s="34"/>
      <c r="P1283" s="40"/>
      <c r="Q1283" s="34"/>
    </row>
    <row r="1284" spans="6:17" s="6" customFormat="1" ht="15.75">
      <c r="F1284" s="34"/>
      <c r="G1284" s="25"/>
      <c r="J1284" s="34"/>
      <c r="K1284" s="67"/>
      <c r="L1284" s="34"/>
      <c r="M1284" s="34"/>
      <c r="N1284" s="34"/>
      <c r="O1284" s="34"/>
      <c r="P1284" s="40"/>
      <c r="Q1284" s="34"/>
    </row>
    <row r="1285" spans="6:17" s="6" customFormat="1" ht="15.75">
      <c r="F1285" s="34"/>
      <c r="G1285" s="25"/>
      <c r="J1285" s="34"/>
      <c r="K1285" s="67"/>
      <c r="L1285" s="34"/>
      <c r="M1285" s="34"/>
      <c r="N1285" s="34"/>
      <c r="O1285" s="34"/>
      <c r="P1285" s="40"/>
      <c r="Q1285" s="34"/>
    </row>
    <row r="1286" spans="6:17" s="6" customFormat="1" ht="15.75">
      <c r="F1286" s="34"/>
      <c r="G1286" s="25"/>
      <c r="J1286" s="34"/>
      <c r="K1286" s="67"/>
      <c r="L1286" s="34"/>
      <c r="M1286" s="34"/>
      <c r="N1286" s="34"/>
      <c r="O1286" s="34"/>
      <c r="P1286" s="40"/>
      <c r="Q1286" s="34"/>
    </row>
    <row r="1287" spans="6:17" s="6" customFormat="1" ht="15.75">
      <c r="F1287" s="34"/>
      <c r="G1287" s="25"/>
      <c r="J1287" s="34"/>
      <c r="K1287" s="67"/>
      <c r="L1287" s="34"/>
      <c r="M1287" s="34"/>
      <c r="N1287" s="34"/>
      <c r="O1287" s="34"/>
      <c r="P1287" s="40"/>
      <c r="Q1287" s="34"/>
    </row>
    <row r="1288" spans="6:17" s="6" customFormat="1" ht="15.75">
      <c r="F1288" s="34"/>
      <c r="G1288" s="25"/>
      <c r="J1288" s="34"/>
      <c r="K1288" s="67"/>
      <c r="L1288" s="34"/>
      <c r="M1288" s="34"/>
      <c r="N1288" s="34"/>
      <c r="O1288" s="34"/>
      <c r="P1288" s="40"/>
      <c r="Q1288" s="34"/>
    </row>
    <row r="1289" spans="6:17" s="6" customFormat="1" ht="15.75">
      <c r="F1289" s="34"/>
      <c r="G1289" s="25"/>
      <c r="J1289" s="34"/>
      <c r="K1289" s="67"/>
      <c r="L1289" s="34"/>
      <c r="M1289" s="34"/>
      <c r="N1289" s="34"/>
      <c r="O1289" s="34"/>
      <c r="P1289" s="40"/>
      <c r="Q1289" s="34"/>
    </row>
    <row r="1290" spans="6:17" s="6" customFormat="1" ht="15.75">
      <c r="F1290" s="34"/>
      <c r="G1290" s="25"/>
      <c r="J1290" s="34"/>
      <c r="K1290" s="67"/>
      <c r="L1290" s="34"/>
      <c r="M1290" s="34"/>
      <c r="N1290" s="34"/>
      <c r="O1290" s="34"/>
      <c r="P1290" s="40"/>
      <c r="Q1290" s="34"/>
    </row>
    <row r="1291" spans="6:17" s="6" customFormat="1" ht="15.75">
      <c r="F1291" s="34"/>
      <c r="G1291" s="25"/>
      <c r="J1291" s="34"/>
      <c r="K1291" s="67"/>
      <c r="L1291" s="34"/>
      <c r="M1291" s="34"/>
      <c r="N1291" s="34"/>
      <c r="O1291" s="34"/>
      <c r="P1291" s="40"/>
      <c r="Q1291" s="34"/>
    </row>
    <row r="1292" spans="6:17" s="6" customFormat="1" ht="15.75">
      <c r="F1292" s="34"/>
      <c r="G1292" s="25"/>
      <c r="J1292" s="34"/>
      <c r="K1292" s="67"/>
      <c r="L1292" s="34"/>
      <c r="M1292" s="34"/>
      <c r="N1292" s="34"/>
      <c r="O1292" s="34"/>
      <c r="P1292" s="40"/>
      <c r="Q1292" s="34"/>
    </row>
    <row r="1293" spans="6:17" s="6" customFormat="1" ht="15.75">
      <c r="F1293" s="34"/>
      <c r="G1293" s="25"/>
      <c r="J1293" s="34"/>
      <c r="K1293" s="67"/>
      <c r="L1293" s="34"/>
      <c r="M1293" s="34"/>
      <c r="N1293" s="34"/>
      <c r="O1293" s="34"/>
      <c r="P1293" s="40"/>
      <c r="Q1293" s="34"/>
    </row>
    <row r="1294" spans="6:17" s="6" customFormat="1" ht="15.75">
      <c r="F1294" s="34"/>
      <c r="G1294" s="25"/>
      <c r="J1294" s="34"/>
      <c r="K1294" s="67"/>
      <c r="L1294" s="34"/>
      <c r="M1294" s="34"/>
      <c r="N1294" s="34"/>
      <c r="O1294" s="34"/>
      <c r="P1294" s="40"/>
      <c r="Q1294" s="34"/>
    </row>
    <row r="1295" spans="6:17" s="6" customFormat="1" ht="15.75">
      <c r="F1295" s="34"/>
      <c r="G1295" s="25"/>
      <c r="J1295" s="34"/>
      <c r="K1295" s="67"/>
      <c r="L1295" s="34"/>
      <c r="M1295" s="34"/>
      <c r="N1295" s="34"/>
      <c r="O1295" s="34"/>
      <c r="P1295" s="40"/>
      <c r="Q1295" s="34"/>
    </row>
    <row r="1296" spans="6:17" s="6" customFormat="1" ht="15.75">
      <c r="F1296" s="34"/>
      <c r="G1296" s="25"/>
      <c r="J1296" s="34"/>
      <c r="K1296" s="67"/>
      <c r="L1296" s="34"/>
      <c r="M1296" s="34"/>
      <c r="N1296" s="34"/>
      <c r="O1296" s="34"/>
      <c r="P1296" s="40"/>
      <c r="Q1296" s="34"/>
    </row>
    <row r="1297" spans="6:17" s="6" customFormat="1" ht="15.75">
      <c r="F1297" s="34"/>
      <c r="G1297" s="25"/>
      <c r="J1297" s="34"/>
      <c r="K1297" s="67"/>
      <c r="L1297" s="34"/>
      <c r="M1297" s="34"/>
      <c r="N1297" s="34"/>
      <c r="O1297" s="34"/>
      <c r="P1297" s="40"/>
      <c r="Q1297" s="34"/>
    </row>
    <row r="1298" spans="6:17" s="6" customFormat="1" ht="15.75">
      <c r="F1298" s="34"/>
      <c r="G1298" s="25"/>
      <c r="J1298" s="34"/>
      <c r="K1298" s="67"/>
      <c r="L1298" s="34"/>
      <c r="M1298" s="34"/>
      <c r="N1298" s="34"/>
      <c r="O1298" s="34"/>
      <c r="P1298" s="40"/>
      <c r="Q1298" s="34"/>
    </row>
    <row r="1299" spans="6:17" s="6" customFormat="1" ht="15.75">
      <c r="F1299" s="34"/>
      <c r="G1299" s="25"/>
      <c r="J1299" s="34"/>
      <c r="K1299" s="67"/>
      <c r="L1299" s="34"/>
      <c r="M1299" s="34"/>
      <c r="N1299" s="34"/>
      <c r="O1299" s="34"/>
      <c r="P1299" s="40"/>
      <c r="Q1299" s="34"/>
    </row>
    <row r="1300" spans="6:17" s="6" customFormat="1" ht="15.75">
      <c r="F1300" s="34"/>
      <c r="G1300" s="25"/>
      <c r="J1300" s="34"/>
      <c r="K1300" s="67"/>
      <c r="L1300" s="34"/>
      <c r="M1300" s="34"/>
      <c r="N1300" s="34"/>
      <c r="O1300" s="34"/>
      <c r="P1300" s="40"/>
      <c r="Q1300" s="34"/>
    </row>
    <row r="1301" spans="6:17" s="6" customFormat="1" ht="15.75">
      <c r="F1301" s="34"/>
      <c r="G1301" s="25"/>
      <c r="J1301" s="34"/>
      <c r="K1301" s="67"/>
      <c r="L1301" s="34"/>
      <c r="M1301" s="34"/>
      <c r="N1301" s="34"/>
      <c r="O1301" s="34"/>
      <c r="P1301" s="40"/>
      <c r="Q1301" s="34"/>
    </row>
    <row r="1302" spans="6:17" s="6" customFormat="1" ht="15.75">
      <c r="F1302" s="34"/>
      <c r="G1302" s="25"/>
      <c r="J1302" s="34"/>
      <c r="K1302" s="67"/>
      <c r="L1302" s="34"/>
      <c r="M1302" s="34"/>
      <c r="N1302" s="34"/>
      <c r="O1302" s="34"/>
      <c r="P1302" s="40"/>
      <c r="Q1302" s="34"/>
    </row>
    <row r="1303" spans="6:17" s="6" customFormat="1" ht="15.75">
      <c r="F1303" s="34"/>
      <c r="G1303" s="25"/>
      <c r="J1303" s="34"/>
      <c r="K1303" s="67"/>
      <c r="L1303" s="34"/>
      <c r="M1303" s="34"/>
      <c r="N1303" s="34"/>
      <c r="O1303" s="34"/>
      <c r="P1303" s="40"/>
      <c r="Q1303" s="34"/>
    </row>
    <row r="1304" spans="6:17" s="6" customFormat="1" ht="15.75">
      <c r="F1304" s="34"/>
      <c r="G1304" s="25"/>
      <c r="J1304" s="34"/>
      <c r="K1304" s="67"/>
      <c r="L1304" s="34"/>
      <c r="M1304" s="34"/>
      <c r="N1304" s="34"/>
      <c r="O1304" s="34"/>
      <c r="P1304" s="40"/>
      <c r="Q1304" s="34"/>
    </row>
    <row r="1305" spans="6:17" s="6" customFormat="1" ht="15.75">
      <c r="F1305" s="34"/>
      <c r="G1305" s="25"/>
      <c r="J1305" s="34"/>
      <c r="K1305" s="67"/>
      <c r="L1305" s="34"/>
      <c r="M1305" s="34"/>
      <c r="N1305" s="34"/>
      <c r="O1305" s="34"/>
      <c r="P1305" s="40"/>
      <c r="Q1305" s="34"/>
    </row>
    <row r="1306" spans="6:17" s="6" customFormat="1" ht="15.75">
      <c r="F1306" s="34"/>
      <c r="G1306" s="25"/>
      <c r="J1306" s="34"/>
      <c r="K1306" s="67"/>
      <c r="L1306" s="34"/>
      <c r="M1306" s="34"/>
      <c r="N1306" s="34"/>
      <c r="O1306" s="34"/>
      <c r="P1306" s="40"/>
      <c r="Q1306" s="34"/>
    </row>
    <row r="1307" spans="6:17" s="6" customFormat="1" ht="15.75">
      <c r="F1307" s="34"/>
      <c r="G1307" s="25"/>
      <c r="J1307" s="34"/>
      <c r="K1307" s="67"/>
      <c r="L1307" s="34"/>
      <c r="M1307" s="34"/>
      <c r="N1307" s="34"/>
      <c r="O1307" s="34"/>
      <c r="P1307" s="40"/>
      <c r="Q1307" s="34"/>
    </row>
    <row r="1308" spans="6:17" s="6" customFormat="1" ht="15.75">
      <c r="F1308" s="34"/>
      <c r="G1308" s="25"/>
      <c r="J1308" s="34"/>
      <c r="K1308" s="67"/>
      <c r="L1308" s="34"/>
      <c r="M1308" s="34"/>
      <c r="N1308" s="34"/>
      <c r="O1308" s="34"/>
      <c r="P1308" s="40"/>
      <c r="Q1308" s="34"/>
    </row>
    <row r="1309" spans="6:17" s="6" customFormat="1" ht="15.75">
      <c r="F1309" s="34"/>
      <c r="G1309" s="25"/>
      <c r="J1309" s="34"/>
      <c r="K1309" s="67"/>
      <c r="L1309" s="34"/>
      <c r="M1309" s="34"/>
      <c r="N1309" s="34"/>
      <c r="O1309" s="34"/>
      <c r="P1309" s="40"/>
      <c r="Q1309" s="34"/>
    </row>
    <row r="1310" spans="6:17" s="6" customFormat="1" ht="15.75">
      <c r="F1310" s="34"/>
      <c r="G1310" s="25"/>
      <c r="J1310" s="34"/>
      <c r="K1310" s="67"/>
      <c r="L1310" s="34"/>
      <c r="M1310" s="34"/>
      <c r="N1310" s="34"/>
      <c r="O1310" s="34"/>
      <c r="P1310" s="40"/>
      <c r="Q1310" s="34"/>
    </row>
    <row r="1311" spans="6:17" s="6" customFormat="1" ht="15.75">
      <c r="F1311" s="34"/>
      <c r="G1311" s="25"/>
      <c r="J1311" s="34"/>
      <c r="K1311" s="67"/>
      <c r="L1311" s="34"/>
      <c r="M1311" s="34"/>
      <c r="N1311" s="34"/>
      <c r="O1311" s="34"/>
      <c r="P1311" s="40"/>
      <c r="Q1311" s="34"/>
    </row>
    <row r="1312" spans="6:17" s="6" customFormat="1" ht="15.75">
      <c r="F1312" s="34"/>
      <c r="G1312" s="25"/>
      <c r="J1312" s="34"/>
      <c r="K1312" s="67"/>
      <c r="L1312" s="34"/>
      <c r="M1312" s="34"/>
      <c r="N1312" s="34"/>
      <c r="O1312" s="34"/>
      <c r="P1312" s="40"/>
      <c r="Q1312" s="34"/>
    </row>
    <row r="1313" spans="6:17" s="6" customFormat="1" ht="15.75">
      <c r="F1313" s="34"/>
      <c r="G1313" s="25"/>
      <c r="J1313" s="34"/>
      <c r="K1313" s="67"/>
      <c r="L1313" s="34"/>
      <c r="M1313" s="34"/>
      <c r="N1313" s="34"/>
      <c r="O1313" s="34"/>
      <c r="P1313" s="40"/>
      <c r="Q1313" s="34"/>
    </row>
    <row r="1314" spans="6:17" s="6" customFormat="1" ht="15.75">
      <c r="F1314" s="34"/>
      <c r="G1314" s="25"/>
      <c r="J1314" s="34"/>
      <c r="K1314" s="67"/>
      <c r="L1314" s="34"/>
      <c r="M1314" s="34"/>
      <c r="N1314" s="34"/>
      <c r="O1314" s="34"/>
      <c r="P1314" s="40"/>
      <c r="Q1314" s="34"/>
    </row>
    <row r="1315" spans="6:17" s="6" customFormat="1" ht="15.75">
      <c r="F1315" s="34"/>
      <c r="G1315" s="25"/>
      <c r="J1315" s="34"/>
      <c r="K1315" s="67"/>
      <c r="L1315" s="34"/>
      <c r="M1315" s="34"/>
      <c r="N1315" s="34"/>
      <c r="O1315" s="34"/>
      <c r="P1315" s="40"/>
      <c r="Q1315" s="34"/>
    </row>
    <row r="1316" spans="6:17" s="6" customFormat="1" ht="15.75">
      <c r="F1316" s="34"/>
      <c r="G1316" s="25"/>
      <c r="J1316" s="34"/>
      <c r="K1316" s="67"/>
      <c r="L1316" s="34"/>
      <c r="M1316" s="34"/>
      <c r="N1316" s="34"/>
      <c r="O1316" s="34"/>
      <c r="P1316" s="40"/>
      <c r="Q1316" s="34"/>
    </row>
    <row r="1317" spans="6:17" s="6" customFormat="1" ht="15.75">
      <c r="F1317" s="34"/>
      <c r="G1317" s="25"/>
      <c r="J1317" s="34"/>
      <c r="K1317" s="67"/>
      <c r="L1317" s="34"/>
      <c r="M1317" s="34"/>
      <c r="N1317" s="34"/>
      <c r="O1317" s="34"/>
      <c r="P1317" s="40"/>
      <c r="Q1317" s="34"/>
    </row>
    <row r="1318" spans="6:17" s="6" customFormat="1" ht="15.75">
      <c r="F1318" s="34"/>
      <c r="G1318" s="25"/>
      <c r="J1318" s="34"/>
      <c r="K1318" s="67"/>
      <c r="L1318" s="34"/>
      <c r="M1318" s="34"/>
      <c r="N1318" s="34"/>
      <c r="O1318" s="34"/>
      <c r="P1318" s="40"/>
      <c r="Q1318" s="34"/>
    </row>
    <row r="1319" spans="6:17" s="6" customFormat="1" ht="15.75">
      <c r="F1319" s="34"/>
      <c r="G1319" s="25"/>
      <c r="J1319" s="34"/>
      <c r="K1319" s="67"/>
      <c r="L1319" s="34"/>
      <c r="M1319" s="34"/>
      <c r="N1319" s="34"/>
      <c r="O1319" s="34"/>
      <c r="P1319" s="40"/>
      <c r="Q1319" s="34"/>
    </row>
    <row r="1320" spans="6:17" s="6" customFormat="1" ht="15.75">
      <c r="F1320" s="34"/>
      <c r="G1320" s="25"/>
      <c r="J1320" s="34"/>
      <c r="K1320" s="67"/>
      <c r="L1320" s="34"/>
      <c r="M1320" s="34"/>
      <c r="N1320" s="34"/>
      <c r="O1320" s="34"/>
      <c r="P1320" s="40"/>
      <c r="Q1320" s="34"/>
    </row>
    <row r="1321" spans="6:17" s="6" customFormat="1" ht="15.75">
      <c r="F1321" s="34"/>
      <c r="G1321" s="25"/>
      <c r="J1321" s="34"/>
      <c r="K1321" s="67"/>
      <c r="L1321" s="34"/>
      <c r="M1321" s="34"/>
      <c r="N1321" s="34"/>
      <c r="O1321" s="34"/>
      <c r="P1321" s="40"/>
      <c r="Q1321" s="34"/>
    </row>
    <row r="1322" spans="6:17" s="6" customFormat="1" ht="15.75">
      <c r="F1322" s="34"/>
      <c r="G1322" s="25"/>
      <c r="J1322" s="34"/>
      <c r="K1322" s="67"/>
      <c r="L1322" s="34"/>
      <c r="M1322" s="34"/>
      <c r="N1322" s="34"/>
      <c r="O1322" s="34"/>
      <c r="P1322" s="40"/>
      <c r="Q1322" s="34"/>
    </row>
    <row r="1323" spans="6:17" s="6" customFormat="1" ht="15.75">
      <c r="F1323" s="34"/>
      <c r="G1323" s="25"/>
      <c r="J1323" s="34"/>
      <c r="K1323" s="67"/>
      <c r="L1323" s="34"/>
      <c r="M1323" s="34"/>
      <c r="N1323" s="34"/>
      <c r="O1323" s="34"/>
      <c r="P1323" s="40"/>
      <c r="Q1323" s="34"/>
    </row>
    <row r="1324" spans="6:17" s="6" customFormat="1" ht="15.75">
      <c r="F1324" s="34"/>
      <c r="G1324" s="25"/>
      <c r="J1324" s="34"/>
      <c r="K1324" s="67"/>
      <c r="L1324" s="34"/>
      <c r="M1324" s="34"/>
      <c r="N1324" s="34"/>
      <c r="O1324" s="34"/>
      <c r="P1324" s="40"/>
      <c r="Q1324" s="34"/>
    </row>
    <row r="1325" spans="6:17" s="6" customFormat="1" ht="15.75">
      <c r="F1325" s="34"/>
      <c r="G1325" s="25"/>
      <c r="J1325" s="34"/>
      <c r="K1325" s="67"/>
      <c r="L1325" s="34"/>
      <c r="M1325" s="34"/>
      <c r="N1325" s="34"/>
      <c r="O1325" s="34"/>
      <c r="P1325" s="40"/>
      <c r="Q1325" s="34"/>
    </row>
    <row r="1326" spans="6:17" s="6" customFormat="1" ht="15.75">
      <c r="F1326" s="34"/>
      <c r="G1326" s="25"/>
      <c r="J1326" s="34"/>
      <c r="K1326" s="67"/>
      <c r="L1326" s="34"/>
      <c r="M1326" s="34"/>
      <c r="N1326" s="34"/>
      <c r="O1326" s="34"/>
      <c r="P1326" s="40"/>
      <c r="Q1326" s="34"/>
    </row>
    <row r="1327" spans="6:17" s="6" customFormat="1" ht="15.75">
      <c r="F1327" s="34"/>
      <c r="G1327" s="25"/>
      <c r="J1327" s="34"/>
      <c r="K1327" s="67"/>
      <c r="L1327" s="34"/>
      <c r="M1327" s="34"/>
      <c r="N1327" s="34"/>
      <c r="O1327" s="34"/>
      <c r="P1327" s="40"/>
      <c r="Q1327" s="34"/>
    </row>
    <row r="1328" spans="6:17" s="6" customFormat="1" ht="15.75">
      <c r="F1328" s="34"/>
      <c r="G1328" s="25"/>
      <c r="J1328" s="34"/>
      <c r="K1328" s="67"/>
      <c r="L1328" s="34"/>
      <c r="M1328" s="34"/>
      <c r="N1328" s="34"/>
      <c r="O1328" s="34"/>
      <c r="P1328" s="40"/>
      <c r="Q1328" s="34"/>
    </row>
    <row r="1329" spans="6:17" s="6" customFormat="1" ht="15.75">
      <c r="F1329" s="34"/>
      <c r="G1329" s="25"/>
      <c r="J1329" s="34"/>
      <c r="K1329" s="67"/>
      <c r="L1329" s="34"/>
      <c r="M1329" s="34"/>
      <c r="N1329" s="34"/>
      <c r="O1329" s="34"/>
      <c r="P1329" s="40"/>
      <c r="Q1329" s="34"/>
    </row>
    <row r="1330" spans="6:17" s="6" customFormat="1" ht="15.75">
      <c r="F1330" s="34"/>
      <c r="G1330" s="25"/>
      <c r="J1330" s="34"/>
      <c r="K1330" s="67"/>
      <c r="L1330" s="34"/>
      <c r="M1330" s="34"/>
      <c r="N1330" s="34"/>
      <c r="O1330" s="34"/>
      <c r="P1330" s="40"/>
      <c r="Q1330" s="34"/>
    </row>
    <row r="1331" spans="6:17" s="6" customFormat="1" ht="15.75">
      <c r="F1331" s="34"/>
      <c r="G1331" s="25"/>
      <c r="J1331" s="34"/>
      <c r="K1331" s="67"/>
      <c r="L1331" s="34"/>
      <c r="M1331" s="34"/>
      <c r="N1331" s="34"/>
      <c r="O1331" s="34"/>
      <c r="P1331" s="40"/>
      <c r="Q1331" s="34"/>
    </row>
    <row r="1332" spans="6:17" s="6" customFormat="1" ht="15.75">
      <c r="F1332" s="34"/>
      <c r="G1332" s="25"/>
      <c r="J1332" s="34"/>
      <c r="K1332" s="67"/>
      <c r="L1332" s="34"/>
      <c r="M1332" s="34"/>
      <c r="N1332" s="34"/>
      <c r="O1332" s="34"/>
      <c r="P1332" s="40"/>
      <c r="Q1332" s="34"/>
    </row>
    <row r="1333" spans="6:17" s="6" customFormat="1" ht="15.75">
      <c r="F1333" s="34"/>
      <c r="G1333" s="25"/>
      <c r="J1333" s="34"/>
      <c r="K1333" s="67"/>
      <c r="L1333" s="34"/>
      <c r="M1333" s="34"/>
      <c r="N1333" s="34"/>
      <c r="O1333" s="34"/>
      <c r="P1333" s="40"/>
      <c r="Q1333" s="34"/>
    </row>
    <row r="1334" spans="6:17" s="6" customFormat="1" ht="15.75">
      <c r="F1334" s="34"/>
      <c r="G1334" s="25"/>
      <c r="J1334" s="34"/>
      <c r="K1334" s="67"/>
      <c r="L1334" s="34"/>
      <c r="M1334" s="34"/>
      <c r="N1334" s="34"/>
      <c r="O1334" s="34"/>
      <c r="P1334" s="40"/>
      <c r="Q1334" s="34"/>
    </row>
    <row r="1335" spans="6:17" s="6" customFormat="1" ht="15.75">
      <c r="F1335" s="34"/>
      <c r="G1335" s="25"/>
      <c r="J1335" s="34"/>
      <c r="K1335" s="67"/>
      <c r="L1335" s="34"/>
      <c r="M1335" s="34"/>
      <c r="N1335" s="34"/>
      <c r="O1335" s="34"/>
      <c r="P1335" s="40"/>
      <c r="Q1335" s="34"/>
    </row>
    <row r="1336" spans="6:17" s="6" customFormat="1" ht="15.75">
      <c r="F1336" s="34"/>
      <c r="G1336" s="25"/>
      <c r="J1336" s="34"/>
      <c r="K1336" s="67"/>
      <c r="L1336" s="34"/>
      <c r="M1336" s="34"/>
      <c r="N1336" s="34"/>
      <c r="O1336" s="34"/>
      <c r="P1336" s="40"/>
      <c r="Q1336" s="34"/>
    </row>
    <row r="1337" spans="6:17" s="6" customFormat="1" ht="15.75">
      <c r="F1337" s="34"/>
      <c r="G1337" s="25"/>
      <c r="J1337" s="34"/>
      <c r="K1337" s="67"/>
      <c r="L1337" s="34"/>
      <c r="M1337" s="34"/>
      <c r="N1337" s="34"/>
      <c r="O1337" s="34"/>
      <c r="P1337" s="40"/>
      <c r="Q1337" s="34"/>
    </row>
  </sheetData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2:R1314"/>
  <sheetViews>
    <sheetView zoomScaleNormal="100" workbookViewId="0">
      <pane ySplit="3075" topLeftCell="A79" activePane="bottomLeft"/>
      <selection activeCell="J3" sqref="J3"/>
      <selection pane="bottomLeft" activeCell="H1232" sqref="H92:H1232"/>
    </sheetView>
  </sheetViews>
  <sheetFormatPr defaultRowHeight="12.75"/>
  <cols>
    <col min="1" max="1" width="9.140625" style="734"/>
    <col min="2" max="2" width="24.28515625" style="734" customWidth="1"/>
    <col min="3" max="3" width="17.42578125" style="734" customWidth="1"/>
    <col min="4" max="5" width="13.5703125" style="734" customWidth="1"/>
    <col min="6" max="7" width="13.5703125" style="735" customWidth="1"/>
    <col min="8" max="8" width="14.28515625" style="734" customWidth="1"/>
    <col min="9" max="9" width="11.85546875" style="735" customWidth="1"/>
  </cols>
  <sheetData>
    <row r="2" spans="1:11" s="6" customFormat="1" ht="15.75">
      <c r="B2" s="5" t="s">
        <v>1368</v>
      </c>
      <c r="F2" s="34"/>
      <c r="G2" s="34"/>
      <c r="H2" s="6">
        <v>5.2299999999999999E-2</v>
      </c>
      <c r="I2" s="34"/>
    </row>
    <row r="3" spans="1:11" s="6" customFormat="1" ht="78" customHeight="1">
      <c r="A3" s="8" t="s">
        <v>574</v>
      </c>
      <c r="B3" s="8" t="s">
        <v>674</v>
      </c>
      <c r="C3" s="15" t="s">
        <v>1331</v>
      </c>
      <c r="D3" s="15" t="s">
        <v>610</v>
      </c>
      <c r="E3" s="15" t="s">
        <v>611</v>
      </c>
      <c r="F3" s="44" t="s">
        <v>575</v>
      </c>
      <c r="G3" s="49" t="s">
        <v>1337</v>
      </c>
      <c r="H3" s="15" t="s">
        <v>1352</v>
      </c>
      <c r="I3" s="51" t="s">
        <v>1338</v>
      </c>
      <c r="J3" s="13"/>
      <c r="K3" s="13"/>
    </row>
    <row r="4" spans="1:11" s="6" customFormat="1" ht="15.75">
      <c r="A4" s="3">
        <v>1</v>
      </c>
      <c r="B4" s="3">
        <v>2</v>
      </c>
      <c r="C4" s="3">
        <v>3</v>
      </c>
      <c r="D4" s="3">
        <v>5</v>
      </c>
      <c r="E4" s="3">
        <v>6</v>
      </c>
      <c r="F4" s="42"/>
      <c r="G4" s="42"/>
      <c r="H4" s="3">
        <v>7</v>
      </c>
      <c r="I4" s="42">
        <v>8</v>
      </c>
    </row>
    <row r="5" spans="1:11" s="6" customFormat="1" ht="15.75">
      <c r="A5" s="9" t="s">
        <v>682</v>
      </c>
      <c r="B5" s="8"/>
      <c r="C5" s="8"/>
      <c r="D5" s="8"/>
      <c r="E5" s="8"/>
      <c r="F5" s="40"/>
      <c r="G5" s="40"/>
      <c r="H5" s="8"/>
      <c r="I5" s="37"/>
    </row>
    <row r="6" spans="1:11" s="6" customFormat="1" ht="15.75">
      <c r="A6" s="765">
        <v>1</v>
      </c>
      <c r="B6" s="418" t="s">
        <v>683</v>
      </c>
      <c r="C6" s="386">
        <v>9570.0499999999993</v>
      </c>
      <c r="D6" s="386"/>
      <c r="E6" s="386"/>
      <c r="F6" s="40">
        <f>C6+D6+E6</f>
        <v>9570.0499999999993</v>
      </c>
      <c r="G6" s="103">
        <f>SUM(F6*H6)</f>
        <v>631.52759949999984</v>
      </c>
      <c r="H6" s="8">
        <f>0.0523+0.01369</f>
        <v>6.5989999999999993E-2</v>
      </c>
      <c r="I6" s="45">
        <v>0</v>
      </c>
    </row>
    <row r="7" spans="1:11" s="6" customFormat="1" ht="15.75">
      <c r="A7" s="765">
        <v>2</v>
      </c>
      <c r="B7" s="418" t="s">
        <v>684</v>
      </c>
      <c r="C7" s="330">
        <v>4259.1400000000003</v>
      </c>
      <c r="D7" s="330"/>
      <c r="E7" s="330"/>
      <c r="F7" s="40">
        <f t="shared" ref="F7:F66" si="0">C7+D7+E7</f>
        <v>4259.1400000000003</v>
      </c>
      <c r="G7" s="103">
        <f t="shared" ref="G7:G67" si="1">SUM(F7*H7)</f>
        <v>281.06064859999998</v>
      </c>
      <c r="H7" s="8">
        <f t="shared" ref="H7:H77" si="2">0.0523+0.01369</f>
        <v>6.5989999999999993E-2</v>
      </c>
      <c r="I7" s="45">
        <v>0</v>
      </c>
    </row>
    <row r="8" spans="1:11" s="6" customFormat="1" ht="15.75">
      <c r="A8" s="765">
        <v>3</v>
      </c>
      <c r="B8" s="418" t="s">
        <v>685</v>
      </c>
      <c r="C8" s="330">
        <v>8696.41</v>
      </c>
      <c r="D8" s="330"/>
      <c r="E8" s="330"/>
      <c r="F8" s="40">
        <f t="shared" si="0"/>
        <v>8696.41</v>
      </c>
      <c r="G8" s="103">
        <f t="shared" si="1"/>
        <v>573.87609589999988</v>
      </c>
      <c r="H8" s="8">
        <f t="shared" si="2"/>
        <v>6.5989999999999993E-2</v>
      </c>
      <c r="I8" s="45">
        <v>0</v>
      </c>
    </row>
    <row r="9" spans="1:11" s="6" customFormat="1" ht="15.75">
      <c r="A9" s="765">
        <v>4</v>
      </c>
      <c r="B9" s="418" t="s">
        <v>686</v>
      </c>
      <c r="C9" s="330">
        <v>2719.72</v>
      </c>
      <c r="D9" s="330"/>
      <c r="E9" s="330"/>
      <c r="F9" s="40">
        <f t="shared" si="0"/>
        <v>2719.72</v>
      </c>
      <c r="G9" s="103">
        <f t="shared" si="1"/>
        <v>179.47432279999998</v>
      </c>
      <c r="H9" s="8">
        <f t="shared" si="2"/>
        <v>6.5989999999999993E-2</v>
      </c>
      <c r="I9" s="45">
        <v>0</v>
      </c>
    </row>
    <row r="10" spans="1:11" s="6" customFormat="1" ht="15.75">
      <c r="A10" s="765">
        <v>5</v>
      </c>
      <c r="B10" s="418" t="s">
        <v>687</v>
      </c>
      <c r="C10" s="330">
        <v>4138.7</v>
      </c>
      <c r="D10" s="330"/>
      <c r="E10" s="330"/>
      <c r="F10" s="40">
        <f t="shared" si="0"/>
        <v>4138.7</v>
      </c>
      <c r="G10" s="103">
        <f t="shared" si="1"/>
        <v>273.11281299999996</v>
      </c>
      <c r="H10" s="8">
        <f t="shared" si="2"/>
        <v>6.5989999999999993E-2</v>
      </c>
      <c r="I10" s="45">
        <v>0</v>
      </c>
    </row>
    <row r="11" spans="1:11" s="6" customFormat="1" ht="15.75">
      <c r="A11" s="765">
        <v>6</v>
      </c>
      <c r="B11" s="418" t="s">
        <v>688</v>
      </c>
      <c r="C11" s="330">
        <v>4166.1899999999996</v>
      </c>
      <c r="D11" s="330"/>
      <c r="E11" s="330"/>
      <c r="F11" s="40">
        <f t="shared" si="0"/>
        <v>4166.1899999999996</v>
      </c>
      <c r="G11" s="103">
        <f t="shared" si="1"/>
        <v>274.92687809999995</v>
      </c>
      <c r="H11" s="8">
        <f t="shared" si="2"/>
        <v>6.5989999999999993E-2</v>
      </c>
      <c r="I11" s="45">
        <v>0</v>
      </c>
    </row>
    <row r="12" spans="1:11" s="6" customFormat="1" ht="15.75">
      <c r="A12" s="765">
        <v>7</v>
      </c>
      <c r="B12" s="418" t="s">
        <v>689</v>
      </c>
      <c r="C12" s="330">
        <v>3572.8</v>
      </c>
      <c r="D12" s="330"/>
      <c r="E12" s="330"/>
      <c r="F12" s="40">
        <f t="shared" si="0"/>
        <v>3572.8</v>
      </c>
      <c r="G12" s="103">
        <f t="shared" si="1"/>
        <v>235.76907199999999</v>
      </c>
      <c r="H12" s="8">
        <f t="shared" si="2"/>
        <v>6.5989999999999993E-2</v>
      </c>
      <c r="I12" s="45">
        <v>0</v>
      </c>
    </row>
    <row r="13" spans="1:11" s="6" customFormat="1" ht="15.75">
      <c r="A13" s="765">
        <v>8</v>
      </c>
      <c r="B13" s="418" t="s">
        <v>690</v>
      </c>
      <c r="C13" s="330">
        <v>6443.05</v>
      </c>
      <c r="D13" s="330"/>
      <c r="E13" s="330"/>
      <c r="F13" s="40">
        <f t="shared" si="0"/>
        <v>6443.05</v>
      </c>
      <c r="G13" s="103">
        <f t="shared" si="1"/>
        <v>425.17686949999995</v>
      </c>
      <c r="H13" s="8">
        <f t="shared" si="2"/>
        <v>6.5989999999999993E-2</v>
      </c>
      <c r="I13" s="45">
        <v>0</v>
      </c>
    </row>
    <row r="14" spans="1:11" s="6" customFormat="1" ht="15.75">
      <c r="A14" s="765">
        <v>9</v>
      </c>
      <c r="B14" s="418" t="s">
        <v>691</v>
      </c>
      <c r="C14" s="330">
        <v>6459.7</v>
      </c>
      <c r="D14" s="330"/>
      <c r="E14" s="330"/>
      <c r="F14" s="40">
        <f t="shared" si="0"/>
        <v>6459.7</v>
      </c>
      <c r="G14" s="103">
        <f t="shared" si="1"/>
        <v>426.27560299999993</v>
      </c>
      <c r="H14" s="8">
        <f t="shared" si="2"/>
        <v>6.5989999999999993E-2</v>
      </c>
      <c r="I14" s="45">
        <v>0</v>
      </c>
    </row>
    <row r="15" spans="1:11" s="6" customFormat="1" ht="15.75">
      <c r="A15" s="765">
        <v>10</v>
      </c>
      <c r="B15" s="418" t="s">
        <v>692</v>
      </c>
      <c r="C15" s="330">
        <v>4374.04</v>
      </c>
      <c r="D15" s="330"/>
      <c r="E15" s="330"/>
      <c r="F15" s="40">
        <f t="shared" si="0"/>
        <v>4374.04</v>
      </c>
      <c r="G15" s="103">
        <f t="shared" si="1"/>
        <v>288.64289959999996</v>
      </c>
      <c r="H15" s="8">
        <f t="shared" si="2"/>
        <v>6.5989999999999993E-2</v>
      </c>
      <c r="I15" s="45">
        <v>0</v>
      </c>
    </row>
    <row r="16" spans="1:11" s="6" customFormat="1" ht="15.75">
      <c r="A16" s="765">
        <v>11</v>
      </c>
      <c r="B16" s="418" t="s">
        <v>693</v>
      </c>
      <c r="C16" s="330">
        <v>3413.87</v>
      </c>
      <c r="D16" s="330"/>
      <c r="E16" s="330">
        <v>85.7</v>
      </c>
      <c r="F16" s="40">
        <f t="shared" si="0"/>
        <v>3499.5699999999997</v>
      </c>
      <c r="G16" s="103">
        <f t="shared" si="1"/>
        <v>230.93662429999995</v>
      </c>
      <c r="H16" s="8">
        <f t="shared" si="2"/>
        <v>6.5989999999999993E-2</v>
      </c>
      <c r="I16" s="45">
        <v>0</v>
      </c>
    </row>
    <row r="17" spans="1:9" s="6" customFormat="1" ht="15.75">
      <c r="A17" s="765">
        <v>12</v>
      </c>
      <c r="B17" s="418" t="s">
        <v>694</v>
      </c>
      <c r="C17" s="330">
        <v>3466.61</v>
      </c>
      <c r="D17" s="330">
        <v>97.8</v>
      </c>
      <c r="E17" s="330"/>
      <c r="F17" s="40">
        <f t="shared" si="0"/>
        <v>3564.4100000000003</v>
      </c>
      <c r="G17" s="103">
        <f t="shared" si="1"/>
        <v>235.21541589999998</v>
      </c>
      <c r="H17" s="8">
        <f t="shared" si="2"/>
        <v>6.5989999999999993E-2</v>
      </c>
      <c r="I17" s="45">
        <v>0</v>
      </c>
    </row>
    <row r="18" spans="1:9" s="6" customFormat="1" ht="15.75">
      <c r="A18" s="765">
        <v>13</v>
      </c>
      <c r="B18" s="418" t="s">
        <v>695</v>
      </c>
      <c r="C18" s="330">
        <v>5767.21</v>
      </c>
      <c r="D18" s="330">
        <v>261.60000000000002</v>
      </c>
      <c r="E18" s="330">
        <v>456.05</v>
      </c>
      <c r="F18" s="40">
        <f t="shared" si="0"/>
        <v>6484.8600000000006</v>
      </c>
      <c r="G18" s="103">
        <f t="shared" si="1"/>
        <v>427.93591140000001</v>
      </c>
      <c r="H18" s="8">
        <f t="shared" si="2"/>
        <v>6.5989999999999993E-2</v>
      </c>
      <c r="I18" s="45">
        <v>0</v>
      </c>
    </row>
    <row r="19" spans="1:9" s="6" customFormat="1" ht="15.75">
      <c r="A19" s="765">
        <v>14</v>
      </c>
      <c r="B19" s="418" t="s">
        <v>696</v>
      </c>
      <c r="C19" s="330">
        <v>5966.95</v>
      </c>
      <c r="D19" s="330"/>
      <c r="E19" s="330">
        <v>49.5</v>
      </c>
      <c r="F19" s="40">
        <f t="shared" si="0"/>
        <v>6016.45</v>
      </c>
      <c r="G19" s="103">
        <f t="shared" si="1"/>
        <v>397.02553549999993</v>
      </c>
      <c r="H19" s="8">
        <f t="shared" si="2"/>
        <v>6.5989999999999993E-2</v>
      </c>
      <c r="I19" s="45">
        <v>0</v>
      </c>
    </row>
    <row r="20" spans="1:9" s="6" customFormat="1" ht="15.75">
      <c r="A20" s="765">
        <v>15</v>
      </c>
      <c r="B20" s="418" t="s">
        <v>697</v>
      </c>
      <c r="C20" s="330">
        <v>8566.1200000000008</v>
      </c>
      <c r="D20" s="330"/>
      <c r="E20" s="330"/>
      <c r="F20" s="40">
        <f t="shared" si="0"/>
        <v>8566.1200000000008</v>
      </c>
      <c r="G20" s="103">
        <f t="shared" si="1"/>
        <v>565.2782588</v>
      </c>
      <c r="H20" s="8">
        <f t="shared" si="2"/>
        <v>6.5989999999999993E-2</v>
      </c>
      <c r="I20" s="45">
        <v>0</v>
      </c>
    </row>
    <row r="21" spans="1:9" s="6" customFormat="1" ht="15.75">
      <c r="A21" s="765">
        <v>16</v>
      </c>
      <c r="B21" s="418" t="s">
        <v>698</v>
      </c>
      <c r="C21" s="330">
        <v>5774.55</v>
      </c>
      <c r="D21" s="330">
        <v>201.5</v>
      </c>
      <c r="E21" s="330"/>
      <c r="F21" s="40">
        <f t="shared" si="0"/>
        <v>5976.05</v>
      </c>
      <c r="G21" s="103">
        <f t="shared" si="1"/>
        <v>394.35953949999998</v>
      </c>
      <c r="H21" s="8">
        <f t="shared" si="2"/>
        <v>6.5989999999999993E-2</v>
      </c>
      <c r="I21" s="45">
        <v>0</v>
      </c>
    </row>
    <row r="22" spans="1:9" s="6" customFormat="1" ht="15.75">
      <c r="A22" s="765">
        <v>17</v>
      </c>
      <c r="B22" s="418" t="s">
        <v>699</v>
      </c>
      <c r="C22" s="330">
        <v>3226.62</v>
      </c>
      <c r="D22" s="330"/>
      <c r="E22" s="330"/>
      <c r="F22" s="40">
        <f t="shared" si="0"/>
        <v>3226.62</v>
      </c>
      <c r="G22" s="103">
        <f t="shared" si="1"/>
        <v>212.92465379999996</v>
      </c>
      <c r="H22" s="8">
        <f t="shared" si="2"/>
        <v>6.5989999999999993E-2</v>
      </c>
      <c r="I22" s="45">
        <v>0</v>
      </c>
    </row>
    <row r="23" spans="1:9" s="6" customFormat="1" ht="15.75">
      <c r="A23" s="765">
        <v>18</v>
      </c>
      <c r="B23" s="418" t="s">
        <v>700</v>
      </c>
      <c r="C23" s="330">
        <v>3233.9</v>
      </c>
      <c r="D23" s="330"/>
      <c r="E23" s="330"/>
      <c r="F23" s="40">
        <f t="shared" si="0"/>
        <v>3233.9</v>
      </c>
      <c r="G23" s="103">
        <f t="shared" si="1"/>
        <v>213.40506099999999</v>
      </c>
      <c r="H23" s="8">
        <f t="shared" si="2"/>
        <v>6.5989999999999993E-2</v>
      </c>
      <c r="I23" s="45">
        <v>0</v>
      </c>
    </row>
    <row r="24" spans="1:9" s="6" customFormat="1" ht="15.75">
      <c r="A24" s="765">
        <v>19</v>
      </c>
      <c r="B24" s="418" t="s">
        <v>701</v>
      </c>
      <c r="C24" s="330">
        <v>6095.4</v>
      </c>
      <c r="D24" s="330"/>
      <c r="E24" s="330"/>
      <c r="F24" s="40">
        <f t="shared" si="0"/>
        <v>6095.4</v>
      </c>
      <c r="G24" s="103">
        <f t="shared" si="1"/>
        <v>402.23544599999991</v>
      </c>
      <c r="H24" s="8">
        <f t="shared" si="2"/>
        <v>6.5989999999999993E-2</v>
      </c>
      <c r="I24" s="45">
        <v>0</v>
      </c>
    </row>
    <row r="25" spans="1:9" s="6" customFormat="1" ht="15.75">
      <c r="A25" s="765">
        <v>20</v>
      </c>
      <c r="B25" s="418" t="s">
        <v>702</v>
      </c>
      <c r="C25" s="330">
        <v>6384.91</v>
      </c>
      <c r="D25" s="330"/>
      <c r="E25" s="330"/>
      <c r="F25" s="40">
        <f t="shared" si="0"/>
        <v>6384.91</v>
      </c>
      <c r="G25" s="103">
        <f t="shared" si="1"/>
        <v>421.34021089999993</v>
      </c>
      <c r="H25" s="8">
        <f t="shared" si="2"/>
        <v>6.5989999999999993E-2</v>
      </c>
      <c r="I25" s="45">
        <v>0</v>
      </c>
    </row>
    <row r="26" spans="1:9" s="6" customFormat="1" ht="15.75">
      <c r="A26" s="765">
        <v>21</v>
      </c>
      <c r="B26" s="418" t="s">
        <v>703</v>
      </c>
      <c r="C26" s="330">
        <v>3929.49</v>
      </c>
      <c r="D26" s="330">
        <v>464.4</v>
      </c>
      <c r="E26" s="330"/>
      <c r="F26" s="40">
        <f t="shared" si="0"/>
        <v>4393.8899999999994</v>
      </c>
      <c r="G26" s="103">
        <f t="shared" si="1"/>
        <v>289.95280109999993</v>
      </c>
      <c r="H26" s="8">
        <f t="shared" si="2"/>
        <v>6.5989999999999993E-2</v>
      </c>
      <c r="I26" s="45">
        <v>0</v>
      </c>
    </row>
    <row r="27" spans="1:9" s="6" customFormat="1" ht="15.75">
      <c r="A27" s="765">
        <v>22</v>
      </c>
      <c r="B27" s="418" t="s">
        <v>704</v>
      </c>
      <c r="C27" s="330">
        <v>7174.09</v>
      </c>
      <c r="D27" s="330"/>
      <c r="E27" s="330"/>
      <c r="F27" s="40">
        <f t="shared" si="0"/>
        <v>7174.09</v>
      </c>
      <c r="G27" s="103">
        <f t="shared" si="1"/>
        <v>473.41819909999998</v>
      </c>
      <c r="H27" s="8">
        <f t="shared" si="2"/>
        <v>6.5989999999999993E-2</v>
      </c>
      <c r="I27" s="45">
        <v>0</v>
      </c>
    </row>
    <row r="28" spans="1:9" s="6" customFormat="1" ht="15.75">
      <c r="A28" s="765">
        <v>23</v>
      </c>
      <c r="B28" s="418" t="s">
        <v>705</v>
      </c>
      <c r="C28" s="330">
        <v>3836.07</v>
      </c>
      <c r="D28" s="330"/>
      <c r="E28" s="330">
        <v>416</v>
      </c>
      <c r="F28" s="40">
        <f t="shared" si="0"/>
        <v>4252.07</v>
      </c>
      <c r="G28" s="103">
        <f t="shared" si="1"/>
        <v>280.59409929999993</v>
      </c>
      <c r="H28" s="8">
        <f t="shared" si="2"/>
        <v>6.5989999999999993E-2</v>
      </c>
      <c r="I28" s="45">
        <v>0</v>
      </c>
    </row>
    <row r="29" spans="1:9" s="6" customFormat="1" ht="15.75">
      <c r="A29" s="765">
        <v>24</v>
      </c>
      <c r="B29" s="418" t="s">
        <v>706</v>
      </c>
      <c r="C29" s="330">
        <v>2413.89</v>
      </c>
      <c r="D29" s="330"/>
      <c r="E29" s="330"/>
      <c r="F29" s="40">
        <f t="shared" si="0"/>
        <v>2413.89</v>
      </c>
      <c r="G29" s="103">
        <f t="shared" si="1"/>
        <v>159.29260109999998</v>
      </c>
      <c r="H29" s="8">
        <f t="shared" si="2"/>
        <v>6.5989999999999993E-2</v>
      </c>
      <c r="I29" s="45">
        <v>0</v>
      </c>
    </row>
    <row r="30" spans="1:9" s="6" customFormat="1" ht="15.75">
      <c r="A30" s="765">
        <v>25</v>
      </c>
      <c r="B30" s="418" t="s">
        <v>707</v>
      </c>
      <c r="C30" s="330">
        <v>6323.28</v>
      </c>
      <c r="D30" s="330"/>
      <c r="E30" s="330"/>
      <c r="F30" s="40">
        <f t="shared" si="0"/>
        <v>6323.28</v>
      </c>
      <c r="G30" s="103">
        <f t="shared" si="1"/>
        <v>417.27324719999996</v>
      </c>
      <c r="H30" s="8">
        <f t="shared" si="2"/>
        <v>6.5989999999999993E-2</v>
      </c>
      <c r="I30" s="45">
        <v>0</v>
      </c>
    </row>
    <row r="31" spans="1:9" s="6" customFormat="1" ht="15.75">
      <c r="A31" s="765">
        <v>26</v>
      </c>
      <c r="B31" s="418" t="s">
        <v>708</v>
      </c>
      <c r="C31" s="330">
        <v>4396.59</v>
      </c>
      <c r="D31" s="330"/>
      <c r="E31" s="330"/>
      <c r="F31" s="40">
        <f t="shared" si="0"/>
        <v>4396.59</v>
      </c>
      <c r="G31" s="103">
        <f t="shared" si="1"/>
        <v>290.1309741</v>
      </c>
      <c r="H31" s="8">
        <f t="shared" si="2"/>
        <v>6.5989999999999993E-2</v>
      </c>
      <c r="I31" s="45">
        <v>0</v>
      </c>
    </row>
    <row r="32" spans="1:9" s="6" customFormat="1" ht="15.75">
      <c r="A32" s="765">
        <v>27</v>
      </c>
      <c r="B32" s="418" t="s">
        <v>709</v>
      </c>
      <c r="C32" s="330">
        <v>6702.46</v>
      </c>
      <c r="D32" s="330"/>
      <c r="E32" s="330"/>
      <c r="F32" s="40">
        <f t="shared" si="0"/>
        <v>6702.46</v>
      </c>
      <c r="G32" s="103">
        <f t="shared" si="1"/>
        <v>442.29533539999994</v>
      </c>
      <c r="H32" s="8">
        <f t="shared" si="2"/>
        <v>6.5989999999999993E-2</v>
      </c>
      <c r="I32" s="45">
        <v>0</v>
      </c>
    </row>
    <row r="33" spans="1:9" s="6" customFormat="1" ht="15.75">
      <c r="A33" s="765">
        <v>28</v>
      </c>
      <c r="B33" s="418" t="s">
        <v>710</v>
      </c>
      <c r="C33" s="330">
        <v>6185.24</v>
      </c>
      <c r="D33" s="330"/>
      <c r="E33" s="330"/>
      <c r="F33" s="40">
        <f t="shared" si="0"/>
        <v>6185.24</v>
      </c>
      <c r="G33" s="103">
        <f t="shared" si="1"/>
        <v>408.16398759999993</v>
      </c>
      <c r="H33" s="8">
        <f t="shared" si="2"/>
        <v>6.5989999999999993E-2</v>
      </c>
      <c r="I33" s="45">
        <v>0</v>
      </c>
    </row>
    <row r="34" spans="1:9" s="6" customFormat="1" ht="15.75">
      <c r="A34" s="765">
        <v>29</v>
      </c>
      <c r="B34" s="418" t="s">
        <v>711</v>
      </c>
      <c r="C34" s="330">
        <v>6856.85</v>
      </c>
      <c r="D34" s="330"/>
      <c r="E34" s="330"/>
      <c r="F34" s="40">
        <f t="shared" si="0"/>
        <v>6856.85</v>
      </c>
      <c r="G34" s="103">
        <f t="shared" si="1"/>
        <v>452.48353149999997</v>
      </c>
      <c r="H34" s="8">
        <f t="shared" si="2"/>
        <v>6.5989999999999993E-2</v>
      </c>
      <c r="I34" s="45">
        <v>0</v>
      </c>
    </row>
    <row r="35" spans="1:9" s="6" customFormat="1" ht="15.75">
      <c r="A35" s="765">
        <v>30</v>
      </c>
      <c r="B35" s="418" t="s">
        <v>712</v>
      </c>
      <c r="C35" s="330">
        <v>6358.97</v>
      </c>
      <c r="D35" s="330"/>
      <c r="E35" s="330"/>
      <c r="F35" s="40">
        <f t="shared" si="0"/>
        <v>6358.97</v>
      </c>
      <c r="G35" s="103">
        <f t="shared" si="1"/>
        <v>419.62843029999999</v>
      </c>
      <c r="H35" s="8">
        <f t="shared" si="2"/>
        <v>6.5989999999999993E-2</v>
      </c>
      <c r="I35" s="45">
        <v>0</v>
      </c>
    </row>
    <row r="36" spans="1:9" s="6" customFormat="1" ht="15.75">
      <c r="A36" s="765">
        <v>31</v>
      </c>
      <c r="B36" s="418" t="s">
        <v>713</v>
      </c>
      <c r="C36" s="330">
        <v>4302.43</v>
      </c>
      <c r="D36" s="330"/>
      <c r="E36" s="330"/>
      <c r="F36" s="40">
        <f t="shared" si="0"/>
        <v>4302.43</v>
      </c>
      <c r="G36" s="103">
        <f t="shared" si="1"/>
        <v>283.91735569999997</v>
      </c>
      <c r="H36" s="8">
        <f t="shared" si="2"/>
        <v>6.5989999999999993E-2</v>
      </c>
      <c r="I36" s="45">
        <v>0</v>
      </c>
    </row>
    <row r="37" spans="1:9" s="6" customFormat="1" ht="15.75">
      <c r="A37" s="765">
        <v>32</v>
      </c>
      <c r="B37" s="418" t="s">
        <v>714</v>
      </c>
      <c r="C37" s="330">
        <v>4355.7</v>
      </c>
      <c r="D37" s="330"/>
      <c r="E37" s="330"/>
      <c r="F37" s="40">
        <f t="shared" si="0"/>
        <v>4355.7</v>
      </c>
      <c r="G37" s="103">
        <f t="shared" si="1"/>
        <v>287.43264299999998</v>
      </c>
      <c r="H37" s="8">
        <f t="shared" si="2"/>
        <v>6.5989999999999993E-2</v>
      </c>
      <c r="I37" s="45">
        <v>0</v>
      </c>
    </row>
    <row r="38" spans="1:9" s="6" customFormat="1" ht="15.75">
      <c r="A38" s="765">
        <v>33</v>
      </c>
      <c r="B38" s="418" t="s">
        <v>715</v>
      </c>
      <c r="C38" s="330">
        <v>61.3</v>
      </c>
      <c r="D38" s="330"/>
      <c r="E38" s="330"/>
      <c r="F38" s="40">
        <f t="shared" si="0"/>
        <v>61.3</v>
      </c>
      <c r="G38" s="103">
        <f t="shared" si="1"/>
        <v>4.0451869999999994</v>
      </c>
      <c r="H38" s="8">
        <f t="shared" si="2"/>
        <v>6.5989999999999993E-2</v>
      </c>
      <c r="I38" s="45">
        <v>0</v>
      </c>
    </row>
    <row r="39" spans="1:9" s="6" customFormat="1" ht="15.75">
      <c r="A39" s="765">
        <v>34</v>
      </c>
      <c r="B39" s="418" t="s">
        <v>716</v>
      </c>
      <c r="C39" s="330">
        <v>105.7</v>
      </c>
      <c r="D39" s="330"/>
      <c r="E39" s="330"/>
      <c r="F39" s="40">
        <f t="shared" si="0"/>
        <v>105.7</v>
      </c>
      <c r="G39" s="103">
        <f t="shared" si="1"/>
        <v>6.9751429999999992</v>
      </c>
      <c r="H39" s="8">
        <f t="shared" si="2"/>
        <v>6.5989999999999993E-2</v>
      </c>
      <c r="I39" s="45">
        <v>0</v>
      </c>
    </row>
    <row r="40" spans="1:9" s="6" customFormat="1" ht="15.75">
      <c r="A40" s="765">
        <v>35</v>
      </c>
      <c r="B40" s="418" t="s">
        <v>717</v>
      </c>
      <c r="C40" s="330">
        <v>124.1</v>
      </c>
      <c r="D40" s="330"/>
      <c r="E40" s="330"/>
      <c r="F40" s="40">
        <f t="shared" si="0"/>
        <v>124.1</v>
      </c>
      <c r="G40" s="103">
        <f t="shared" si="1"/>
        <v>8.1893589999999996</v>
      </c>
      <c r="H40" s="8">
        <f t="shared" si="2"/>
        <v>6.5989999999999993E-2</v>
      </c>
      <c r="I40" s="45">
        <v>0</v>
      </c>
    </row>
    <row r="41" spans="1:9" s="6" customFormat="1" ht="15.75">
      <c r="A41" s="765">
        <v>36</v>
      </c>
      <c r="B41" s="418" t="s">
        <v>718</v>
      </c>
      <c r="C41" s="330">
        <v>2349.19</v>
      </c>
      <c r="D41" s="330"/>
      <c r="E41" s="330"/>
      <c r="F41" s="40">
        <f t="shared" si="0"/>
        <v>2349.19</v>
      </c>
      <c r="G41" s="103">
        <f t="shared" si="1"/>
        <v>155.02304809999998</v>
      </c>
      <c r="H41" s="8">
        <f t="shared" si="2"/>
        <v>6.5989999999999993E-2</v>
      </c>
      <c r="I41" s="45">
        <v>0</v>
      </c>
    </row>
    <row r="42" spans="1:9" s="6" customFormat="1" ht="15.75">
      <c r="A42" s="765">
        <v>37</v>
      </c>
      <c r="B42" s="418" t="s">
        <v>719</v>
      </c>
      <c r="C42" s="330">
        <v>3321.01</v>
      </c>
      <c r="D42" s="330"/>
      <c r="E42" s="330"/>
      <c r="F42" s="40">
        <f t="shared" si="0"/>
        <v>3321.01</v>
      </c>
      <c r="G42" s="103">
        <f t="shared" si="1"/>
        <v>219.1534499</v>
      </c>
      <c r="H42" s="8">
        <f t="shared" si="2"/>
        <v>6.5989999999999993E-2</v>
      </c>
      <c r="I42" s="45">
        <v>0</v>
      </c>
    </row>
    <row r="43" spans="1:9" s="6" customFormat="1" ht="15.75">
      <c r="A43" s="765">
        <v>38</v>
      </c>
      <c r="B43" s="418" t="s">
        <v>720</v>
      </c>
      <c r="C43" s="330">
        <v>3969.9</v>
      </c>
      <c r="D43" s="330"/>
      <c r="E43" s="330"/>
      <c r="F43" s="40">
        <f t="shared" si="0"/>
        <v>3969.9</v>
      </c>
      <c r="G43" s="103">
        <f t="shared" si="1"/>
        <v>261.97370100000001</v>
      </c>
      <c r="H43" s="8">
        <f t="shared" si="2"/>
        <v>6.5989999999999993E-2</v>
      </c>
      <c r="I43" s="45">
        <v>0</v>
      </c>
    </row>
    <row r="44" spans="1:9" s="6" customFormat="1" ht="15.75">
      <c r="A44" s="765">
        <v>39</v>
      </c>
      <c r="B44" s="418" t="s">
        <v>721</v>
      </c>
      <c r="C44" s="330">
        <v>6582.1</v>
      </c>
      <c r="D44" s="330"/>
      <c r="E44" s="330"/>
      <c r="F44" s="40">
        <f t="shared" si="0"/>
        <v>6582.1</v>
      </c>
      <c r="G44" s="103">
        <f t="shared" si="1"/>
        <v>434.352779</v>
      </c>
      <c r="H44" s="8">
        <f t="shared" si="2"/>
        <v>6.5989999999999993E-2</v>
      </c>
      <c r="I44" s="45">
        <v>0</v>
      </c>
    </row>
    <row r="45" spans="1:9" s="6" customFormat="1" ht="15.75">
      <c r="A45" s="765">
        <v>40</v>
      </c>
      <c r="B45" s="418" t="s">
        <v>722</v>
      </c>
      <c r="C45" s="330">
        <v>8461.27</v>
      </c>
      <c r="D45" s="330">
        <v>287.3</v>
      </c>
      <c r="E45" s="330"/>
      <c r="F45" s="40">
        <f t="shared" si="0"/>
        <v>8748.57</v>
      </c>
      <c r="G45" s="103">
        <f t="shared" si="1"/>
        <v>577.31813429999988</v>
      </c>
      <c r="H45" s="8">
        <f t="shared" si="2"/>
        <v>6.5989999999999993E-2</v>
      </c>
      <c r="I45" s="45">
        <v>0</v>
      </c>
    </row>
    <row r="46" spans="1:9" s="6" customFormat="1" ht="15.75">
      <c r="A46" s="765">
        <v>41</v>
      </c>
      <c r="B46" s="418" t="s">
        <v>723</v>
      </c>
      <c r="C46" s="330">
        <v>3715.24</v>
      </c>
      <c r="D46" s="330"/>
      <c r="E46" s="330">
        <v>109.3</v>
      </c>
      <c r="F46" s="40">
        <f t="shared" si="0"/>
        <v>3824.54</v>
      </c>
      <c r="G46" s="103">
        <f t="shared" si="1"/>
        <v>252.38139459999996</v>
      </c>
      <c r="H46" s="8">
        <f t="shared" si="2"/>
        <v>6.5989999999999993E-2</v>
      </c>
      <c r="I46" s="45">
        <v>0</v>
      </c>
    </row>
    <row r="47" spans="1:9" s="6" customFormat="1" ht="15.75">
      <c r="A47" s="765">
        <v>42</v>
      </c>
      <c r="B47" s="418" t="s">
        <v>724</v>
      </c>
      <c r="C47" s="330">
        <v>355.8</v>
      </c>
      <c r="D47" s="330"/>
      <c r="E47" s="330"/>
      <c r="F47" s="40">
        <f t="shared" si="0"/>
        <v>355.8</v>
      </c>
      <c r="G47" s="103">
        <f t="shared" si="1"/>
        <v>23.479241999999999</v>
      </c>
      <c r="H47" s="8">
        <f t="shared" si="2"/>
        <v>6.5989999999999993E-2</v>
      </c>
      <c r="I47" s="45">
        <v>0</v>
      </c>
    </row>
    <row r="48" spans="1:9" s="6" customFormat="1" ht="15.75">
      <c r="A48" s="765">
        <v>43</v>
      </c>
      <c r="B48" s="418" t="s">
        <v>725</v>
      </c>
      <c r="C48" s="330">
        <v>907.4</v>
      </c>
      <c r="D48" s="330"/>
      <c r="E48" s="330"/>
      <c r="F48" s="40">
        <f t="shared" si="0"/>
        <v>907.4</v>
      </c>
      <c r="G48" s="103">
        <f t="shared" si="1"/>
        <v>59.879325999999992</v>
      </c>
      <c r="H48" s="8">
        <f t="shared" si="2"/>
        <v>6.5989999999999993E-2</v>
      </c>
      <c r="I48" s="45">
        <v>0</v>
      </c>
    </row>
    <row r="49" spans="1:9" s="6" customFormat="1" ht="15.75">
      <c r="A49" s="765">
        <v>44</v>
      </c>
      <c r="B49" s="418" t="s">
        <v>726</v>
      </c>
      <c r="C49" s="330">
        <v>2273.6</v>
      </c>
      <c r="D49" s="330"/>
      <c r="E49" s="330"/>
      <c r="F49" s="40">
        <f t="shared" si="0"/>
        <v>2273.6</v>
      </c>
      <c r="G49" s="103">
        <f t="shared" si="1"/>
        <v>150.03486399999997</v>
      </c>
      <c r="H49" s="8">
        <f t="shared" si="2"/>
        <v>6.5989999999999993E-2</v>
      </c>
      <c r="I49" s="45">
        <v>0</v>
      </c>
    </row>
    <row r="50" spans="1:9" s="6" customFormat="1" ht="15.75">
      <c r="A50" s="765">
        <v>45</v>
      </c>
      <c r="B50" s="418" t="s">
        <v>727</v>
      </c>
      <c r="C50" s="330">
        <v>154.1</v>
      </c>
      <c r="D50" s="330"/>
      <c r="E50" s="330"/>
      <c r="F50" s="40">
        <f t="shared" si="0"/>
        <v>154.1</v>
      </c>
      <c r="G50" s="103">
        <f t="shared" si="1"/>
        <v>10.169058999999999</v>
      </c>
      <c r="H50" s="8">
        <f t="shared" si="2"/>
        <v>6.5989999999999993E-2</v>
      </c>
      <c r="I50" s="45">
        <v>0</v>
      </c>
    </row>
    <row r="51" spans="1:9" s="6" customFormat="1" ht="15.75">
      <c r="A51" s="765">
        <v>46</v>
      </c>
      <c r="B51" s="418" t="s">
        <v>728</v>
      </c>
      <c r="C51" s="330">
        <v>93.9</v>
      </c>
      <c r="D51" s="330"/>
      <c r="E51" s="330"/>
      <c r="F51" s="40">
        <f t="shared" si="0"/>
        <v>93.9</v>
      </c>
      <c r="G51" s="103">
        <f t="shared" si="1"/>
        <v>6.1964609999999993</v>
      </c>
      <c r="H51" s="8">
        <f t="shared" si="2"/>
        <v>6.5989999999999993E-2</v>
      </c>
      <c r="I51" s="45">
        <v>0</v>
      </c>
    </row>
    <row r="52" spans="1:9" s="6" customFormat="1" ht="15.75">
      <c r="A52" s="765">
        <v>47</v>
      </c>
      <c r="B52" s="418" t="s">
        <v>729</v>
      </c>
      <c r="C52" s="330">
        <v>296.10000000000002</v>
      </c>
      <c r="D52" s="330"/>
      <c r="E52" s="330"/>
      <c r="F52" s="40">
        <f t="shared" si="0"/>
        <v>296.10000000000002</v>
      </c>
      <c r="G52" s="103">
        <f t="shared" si="1"/>
        <v>19.539639000000001</v>
      </c>
      <c r="H52" s="8">
        <f t="shared" si="2"/>
        <v>6.5989999999999993E-2</v>
      </c>
      <c r="I52" s="45">
        <v>0</v>
      </c>
    </row>
    <row r="53" spans="1:9" s="6" customFormat="1" ht="15.75">
      <c r="A53" s="765">
        <v>48</v>
      </c>
      <c r="B53" s="418" t="s">
        <v>647</v>
      </c>
      <c r="C53" s="330">
        <v>4177.21</v>
      </c>
      <c r="D53" s="330">
        <v>6.6</v>
      </c>
      <c r="E53" s="330"/>
      <c r="F53" s="40">
        <f t="shared" si="0"/>
        <v>4183.8100000000004</v>
      </c>
      <c r="G53" s="103">
        <f t="shared" si="1"/>
        <v>276.0896219</v>
      </c>
      <c r="H53" s="8">
        <f t="shared" si="2"/>
        <v>6.5989999999999993E-2</v>
      </c>
      <c r="I53" s="45">
        <v>0</v>
      </c>
    </row>
    <row r="54" spans="1:9" s="6" customFormat="1" ht="15.75">
      <c r="A54" s="765">
        <v>49</v>
      </c>
      <c r="B54" s="418" t="s">
        <v>648</v>
      </c>
      <c r="C54" s="330">
        <v>4140.68</v>
      </c>
      <c r="D54" s="330"/>
      <c r="E54" s="330"/>
      <c r="F54" s="40">
        <f t="shared" si="0"/>
        <v>4140.68</v>
      </c>
      <c r="G54" s="103">
        <f t="shared" si="1"/>
        <v>273.24347319999998</v>
      </c>
      <c r="H54" s="8">
        <f t="shared" si="2"/>
        <v>6.5989999999999993E-2</v>
      </c>
      <c r="I54" s="45">
        <v>0</v>
      </c>
    </row>
    <row r="55" spans="1:9" s="6" customFormat="1" ht="15.75">
      <c r="A55" s="765">
        <v>50</v>
      </c>
      <c r="B55" s="418" t="s">
        <v>1354</v>
      </c>
      <c r="C55" s="818">
        <v>7831.81</v>
      </c>
      <c r="D55" s="330"/>
      <c r="E55" s="330"/>
      <c r="F55" s="40">
        <f t="shared" si="0"/>
        <v>7831.81</v>
      </c>
      <c r="G55" s="103">
        <f t="shared" si="1"/>
        <v>516.82114189999993</v>
      </c>
      <c r="H55" s="8">
        <f t="shared" si="2"/>
        <v>6.5989999999999993E-2</v>
      </c>
      <c r="I55" s="45">
        <v>0</v>
      </c>
    </row>
    <row r="56" spans="1:9" s="6" customFormat="1" ht="15.75">
      <c r="A56" s="765">
        <v>51</v>
      </c>
      <c r="B56" s="404" t="s">
        <v>1374</v>
      </c>
      <c r="C56" s="818">
        <v>996.1</v>
      </c>
      <c r="D56" s="330"/>
      <c r="E56" s="330"/>
      <c r="F56" s="40">
        <f t="shared" si="0"/>
        <v>996.1</v>
      </c>
      <c r="G56" s="103">
        <f t="shared" si="1"/>
        <v>65.732638999999992</v>
      </c>
      <c r="H56" s="8">
        <f t="shared" si="2"/>
        <v>6.5989999999999993E-2</v>
      </c>
      <c r="I56" s="45">
        <v>0</v>
      </c>
    </row>
    <row r="57" spans="1:9" s="6" customFormat="1" ht="15.75">
      <c r="A57" s="765">
        <v>52</v>
      </c>
      <c r="B57" s="404" t="s">
        <v>1376</v>
      </c>
      <c r="C57" s="818">
        <v>533.79999999999995</v>
      </c>
      <c r="D57" s="330"/>
      <c r="E57" s="330"/>
      <c r="F57" s="40">
        <f t="shared" si="0"/>
        <v>533.79999999999995</v>
      </c>
      <c r="G57" s="103">
        <f t="shared" si="1"/>
        <v>35.225461999999993</v>
      </c>
      <c r="H57" s="8">
        <f t="shared" si="2"/>
        <v>6.5989999999999993E-2</v>
      </c>
      <c r="I57" s="45">
        <v>0</v>
      </c>
    </row>
    <row r="58" spans="1:9" s="6" customFormat="1" ht="15.75">
      <c r="A58" s="765">
        <v>53</v>
      </c>
      <c r="B58" s="404" t="s">
        <v>1375</v>
      </c>
      <c r="C58" s="818">
        <v>987.3</v>
      </c>
      <c r="D58" s="330"/>
      <c r="E58" s="330"/>
      <c r="F58" s="40">
        <f t="shared" si="0"/>
        <v>987.3</v>
      </c>
      <c r="G58" s="103">
        <f t="shared" si="1"/>
        <v>65.151926999999986</v>
      </c>
      <c r="H58" s="8">
        <f t="shared" si="2"/>
        <v>6.5989999999999993E-2</v>
      </c>
      <c r="I58" s="45">
        <v>0</v>
      </c>
    </row>
    <row r="59" spans="1:9" s="6" customFormat="1" ht="15.75">
      <c r="A59" s="765">
        <v>54</v>
      </c>
      <c r="B59" s="404" t="s">
        <v>1377</v>
      </c>
      <c r="C59" s="818">
        <v>442.6</v>
      </c>
      <c r="D59" s="330"/>
      <c r="E59" s="330"/>
      <c r="F59" s="40">
        <f t="shared" si="0"/>
        <v>442.6</v>
      </c>
      <c r="G59" s="103">
        <f t="shared" si="1"/>
        <v>29.207173999999998</v>
      </c>
      <c r="H59" s="8">
        <f t="shared" si="2"/>
        <v>6.5989999999999993E-2</v>
      </c>
      <c r="I59" s="45">
        <v>0</v>
      </c>
    </row>
    <row r="60" spans="1:9" s="6" customFormat="1" ht="15.75">
      <c r="A60" s="279">
        <v>55</v>
      </c>
      <c r="B60" s="142" t="s">
        <v>1407</v>
      </c>
      <c r="C60" s="284">
        <v>7013.2</v>
      </c>
      <c r="D60" s="284"/>
      <c r="E60" s="284"/>
      <c r="F60" s="40">
        <f t="shared" si="0"/>
        <v>7013.2</v>
      </c>
      <c r="G60" s="103">
        <f t="shared" si="1"/>
        <v>462.80106799999993</v>
      </c>
      <c r="H60" s="8">
        <f t="shared" si="2"/>
        <v>6.5989999999999993E-2</v>
      </c>
      <c r="I60" s="45">
        <v>0</v>
      </c>
    </row>
    <row r="61" spans="1:9" s="6" customFormat="1" ht="15.75">
      <c r="A61" s="279">
        <v>56</v>
      </c>
      <c r="B61" s="234" t="s">
        <v>1390</v>
      </c>
      <c r="C61" s="284">
        <v>8402.66</v>
      </c>
      <c r="D61" s="284"/>
      <c r="E61" s="284"/>
      <c r="F61" s="40">
        <f t="shared" si="0"/>
        <v>8402.66</v>
      </c>
      <c r="G61" s="103">
        <f t="shared" si="1"/>
        <v>554.49153339999998</v>
      </c>
      <c r="H61" s="8">
        <f t="shared" si="2"/>
        <v>6.5989999999999993E-2</v>
      </c>
      <c r="I61" s="45">
        <v>0</v>
      </c>
    </row>
    <row r="62" spans="1:9" s="6" customFormat="1" ht="15.75">
      <c r="A62" s="279">
        <v>57</v>
      </c>
      <c r="B62" s="233" t="s">
        <v>1386</v>
      </c>
      <c r="C62" s="285">
        <v>2601.63</v>
      </c>
      <c r="D62" s="285"/>
      <c r="E62" s="285"/>
      <c r="F62" s="40">
        <f t="shared" si="0"/>
        <v>2601.63</v>
      </c>
      <c r="G62" s="103">
        <f t="shared" si="1"/>
        <v>171.6815637</v>
      </c>
      <c r="H62" s="8">
        <f t="shared" si="2"/>
        <v>6.5989999999999993E-2</v>
      </c>
      <c r="I62" s="45">
        <v>0</v>
      </c>
    </row>
    <row r="63" spans="1:9" s="6" customFormat="1" ht="15.75">
      <c r="A63" s="279">
        <v>58</v>
      </c>
      <c r="B63" s="233" t="s">
        <v>1385</v>
      </c>
      <c r="C63" s="285">
        <v>2594.2600000000002</v>
      </c>
      <c r="D63" s="285"/>
      <c r="E63" s="285"/>
      <c r="F63" s="40">
        <f t="shared" si="0"/>
        <v>2594.2600000000002</v>
      </c>
      <c r="G63" s="103">
        <f t="shared" si="1"/>
        <v>171.19521739999999</v>
      </c>
      <c r="H63" s="8">
        <f t="shared" si="2"/>
        <v>6.5989999999999993E-2</v>
      </c>
      <c r="I63" s="45">
        <v>0</v>
      </c>
    </row>
    <row r="64" spans="1:9" s="6" customFormat="1" ht="15.75">
      <c r="A64" s="279">
        <v>59</v>
      </c>
      <c r="B64" s="233" t="s">
        <v>1388</v>
      </c>
      <c r="C64" s="285">
        <v>2653.52</v>
      </c>
      <c r="D64" s="285"/>
      <c r="E64" s="285"/>
      <c r="F64" s="40">
        <f t="shared" si="0"/>
        <v>2653.52</v>
      </c>
      <c r="G64" s="103">
        <f t="shared" si="1"/>
        <v>175.10578479999998</v>
      </c>
      <c r="H64" s="8">
        <f t="shared" si="2"/>
        <v>6.5989999999999993E-2</v>
      </c>
      <c r="I64" s="45">
        <v>0</v>
      </c>
    </row>
    <row r="65" spans="1:13" s="6" customFormat="1" ht="15.75">
      <c r="A65" s="279">
        <v>60</v>
      </c>
      <c r="B65" s="763" t="s">
        <v>1389</v>
      </c>
      <c r="C65" s="285">
        <v>2150.9</v>
      </c>
      <c r="D65" s="285"/>
      <c r="E65" s="285"/>
      <c r="F65" s="40">
        <f t="shared" si="0"/>
        <v>2150.9</v>
      </c>
      <c r="G65" s="103">
        <f t="shared" si="1"/>
        <v>141.93789099999998</v>
      </c>
      <c r="H65" s="8">
        <f t="shared" si="2"/>
        <v>6.5989999999999993E-2</v>
      </c>
      <c r="I65" s="45">
        <v>0</v>
      </c>
    </row>
    <row r="66" spans="1:13" s="6" customFormat="1" ht="15.75">
      <c r="A66" s="279">
        <v>61</v>
      </c>
      <c r="B66" s="763" t="s">
        <v>1397</v>
      </c>
      <c r="C66" s="284">
        <v>3353.7</v>
      </c>
      <c r="D66" s="284"/>
      <c r="E66" s="284"/>
      <c r="F66" s="40">
        <f t="shared" si="0"/>
        <v>3353.7</v>
      </c>
      <c r="G66" s="103">
        <f t="shared" si="1"/>
        <v>221.31066299999998</v>
      </c>
      <c r="H66" s="8">
        <f t="shared" si="2"/>
        <v>6.5989999999999993E-2</v>
      </c>
      <c r="I66" s="45">
        <v>0</v>
      </c>
    </row>
    <row r="67" spans="1:13" s="6" customFormat="1" ht="15.75">
      <c r="A67" s="385"/>
      <c r="B67" s="63" t="s">
        <v>749</v>
      </c>
      <c r="C67" s="65">
        <f>SUM(C6:C66)</f>
        <v>249781.08</v>
      </c>
      <c r="D67" s="65">
        <f>SUM(D6:D66)</f>
        <v>1319.2</v>
      </c>
      <c r="E67" s="65">
        <f>SUM(E6:E66)</f>
        <v>1116.55</v>
      </c>
      <c r="F67" s="65">
        <f>SUM(F6:F66)</f>
        <v>252216.83000000002</v>
      </c>
      <c r="G67" s="103">
        <f t="shared" si="1"/>
        <v>16643.788611699998</v>
      </c>
      <c r="H67" s="8">
        <f t="shared" si="2"/>
        <v>6.5989999999999993E-2</v>
      </c>
      <c r="I67" s="45">
        <v>0</v>
      </c>
    </row>
    <row r="68" spans="1:13" s="6" customFormat="1" ht="21" thickBot="1">
      <c r="A68" s="1063" t="s">
        <v>984</v>
      </c>
      <c r="B68" s="1064"/>
      <c r="C68" s="1064"/>
      <c r="D68" s="1064"/>
      <c r="E68" s="1064"/>
      <c r="F68" s="1064"/>
      <c r="G68" s="1064"/>
      <c r="H68" s="1064"/>
      <c r="I68" s="1064"/>
      <c r="J68" s="1064"/>
      <c r="K68" s="1064"/>
      <c r="L68" s="1064"/>
      <c r="M68" s="1065"/>
    </row>
    <row r="69" spans="1:13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>C69+D69+E69</f>
        <v>6328.85</v>
      </c>
      <c r="G69" s="437">
        <v>0</v>
      </c>
      <c r="H69" s="8">
        <f t="shared" si="2"/>
        <v>6.5989999999999993E-2</v>
      </c>
      <c r="I69" s="45">
        <v>0</v>
      </c>
      <c r="L69" s="342"/>
    </row>
    <row r="70" spans="1:13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ref="F70:F89" si="3">C70+D70+E70</f>
        <v>7565.74</v>
      </c>
      <c r="G70" s="437">
        <v>0</v>
      </c>
      <c r="H70" s="8">
        <f t="shared" si="2"/>
        <v>6.5989999999999993E-2</v>
      </c>
      <c r="I70" s="45">
        <v>0</v>
      </c>
      <c r="L70" s="342"/>
    </row>
    <row r="71" spans="1:13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3"/>
        <v>7217.2</v>
      </c>
      <c r="G71" s="437">
        <v>0</v>
      </c>
      <c r="H71" s="8">
        <f t="shared" si="2"/>
        <v>6.5989999999999993E-2</v>
      </c>
      <c r="I71" s="45">
        <v>0</v>
      </c>
      <c r="L71" s="342"/>
    </row>
    <row r="72" spans="1:13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3"/>
        <v>6435.2</v>
      </c>
      <c r="G72" s="437">
        <v>0</v>
      </c>
      <c r="H72" s="8">
        <f t="shared" si="2"/>
        <v>6.5989999999999993E-2</v>
      </c>
      <c r="I72" s="45">
        <v>0</v>
      </c>
      <c r="L72" s="342"/>
    </row>
    <row r="73" spans="1:13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3"/>
        <v>8881.51</v>
      </c>
      <c r="G73" s="437">
        <v>0</v>
      </c>
      <c r="H73" s="8">
        <f t="shared" si="2"/>
        <v>6.5989999999999993E-2</v>
      </c>
      <c r="I73" s="45">
        <v>0</v>
      </c>
      <c r="L73" s="342"/>
    </row>
    <row r="74" spans="1:13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3"/>
        <v>7938.92</v>
      </c>
      <c r="G74" s="437">
        <v>0</v>
      </c>
      <c r="H74" s="8">
        <f t="shared" si="2"/>
        <v>6.5989999999999993E-2</v>
      </c>
      <c r="I74" s="45">
        <v>0</v>
      </c>
      <c r="L74" s="342"/>
    </row>
    <row r="75" spans="1:13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3"/>
        <v>7102.99</v>
      </c>
      <c r="G75" s="437">
        <v>0</v>
      </c>
      <c r="H75" s="8">
        <f t="shared" si="2"/>
        <v>6.5989999999999993E-2</v>
      </c>
      <c r="I75" s="45">
        <v>0</v>
      </c>
      <c r="L75" s="342"/>
    </row>
    <row r="76" spans="1:13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3"/>
        <v>2982.2</v>
      </c>
      <c r="G76" s="437">
        <v>0</v>
      </c>
      <c r="H76" s="8">
        <f t="shared" si="2"/>
        <v>6.5989999999999993E-2</v>
      </c>
      <c r="I76" s="45">
        <v>0</v>
      </c>
      <c r="L76" s="342"/>
    </row>
    <row r="77" spans="1:13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3"/>
        <v>2528.85</v>
      </c>
      <c r="G77" s="437">
        <v>0</v>
      </c>
      <c r="H77" s="8">
        <f t="shared" si="2"/>
        <v>6.5989999999999993E-2</v>
      </c>
      <c r="I77" s="45">
        <v>0</v>
      </c>
      <c r="L77" s="342"/>
    </row>
    <row r="78" spans="1:13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3"/>
        <v>4250.83</v>
      </c>
      <c r="G78" s="437">
        <v>0</v>
      </c>
      <c r="H78" s="8">
        <f t="shared" ref="H78:H91" si="4">0.0523+0.01369</f>
        <v>6.5989999999999993E-2</v>
      </c>
      <c r="I78" s="45">
        <v>0</v>
      </c>
      <c r="L78" s="342"/>
    </row>
    <row r="79" spans="1:13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3"/>
        <v>2862.08</v>
      </c>
      <c r="G79" s="437">
        <v>0</v>
      </c>
      <c r="H79" s="8">
        <f t="shared" si="4"/>
        <v>6.5989999999999993E-2</v>
      </c>
      <c r="I79" s="45">
        <v>0</v>
      </c>
      <c r="L79" s="342"/>
    </row>
    <row r="80" spans="1:13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si="3"/>
        <v>6415.24</v>
      </c>
      <c r="G80" s="437">
        <v>0</v>
      </c>
      <c r="H80" s="8">
        <f t="shared" si="4"/>
        <v>6.5989999999999993E-2</v>
      </c>
      <c r="I80" s="45">
        <v>0</v>
      </c>
      <c r="L80" s="342"/>
    </row>
    <row r="81" spans="1:18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3"/>
        <v>2523.4899999999998</v>
      </c>
      <c r="G81" s="437">
        <v>0</v>
      </c>
      <c r="H81" s="8">
        <f t="shared" si="4"/>
        <v>6.5989999999999993E-2</v>
      </c>
      <c r="I81" s="45">
        <v>0</v>
      </c>
      <c r="L81" s="342"/>
    </row>
    <row r="82" spans="1:18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3"/>
        <v>2727.04</v>
      </c>
      <c r="G82" s="437">
        <v>0</v>
      </c>
      <c r="H82" s="8">
        <f t="shared" si="4"/>
        <v>6.5989999999999993E-2</v>
      </c>
      <c r="I82" s="45">
        <v>0</v>
      </c>
      <c r="L82" s="342"/>
    </row>
    <row r="83" spans="1:18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3"/>
        <v>11075.779999999999</v>
      </c>
      <c r="G83" s="437">
        <v>0</v>
      </c>
      <c r="H83" s="8">
        <f t="shared" si="4"/>
        <v>6.5989999999999993E-2</v>
      </c>
      <c r="I83" s="45">
        <v>0</v>
      </c>
      <c r="L83" s="342"/>
    </row>
    <row r="84" spans="1:18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3"/>
        <v>6438.12</v>
      </c>
      <c r="G84" s="437">
        <v>0</v>
      </c>
      <c r="H84" s="8">
        <f t="shared" si="4"/>
        <v>6.5989999999999993E-2</v>
      </c>
      <c r="I84" s="45">
        <v>0</v>
      </c>
      <c r="J84" s="6" t="s">
        <v>1412</v>
      </c>
      <c r="L84" s="342"/>
    </row>
    <row r="85" spans="1:18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3"/>
        <v>6322.5</v>
      </c>
      <c r="G85" s="437">
        <v>0</v>
      </c>
      <c r="H85" s="8">
        <f t="shared" si="4"/>
        <v>6.5989999999999993E-2</v>
      </c>
      <c r="I85" s="45">
        <v>0</v>
      </c>
      <c r="L85" s="342"/>
    </row>
    <row r="86" spans="1:18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3"/>
        <v>3207.6099999999997</v>
      </c>
      <c r="G86" s="437">
        <v>0</v>
      </c>
      <c r="H86" s="8">
        <f t="shared" si="4"/>
        <v>6.5989999999999993E-2</v>
      </c>
      <c r="I86" s="45">
        <v>0</v>
      </c>
      <c r="L86" s="342"/>
    </row>
    <row r="87" spans="1:18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3"/>
        <v>2997.37</v>
      </c>
      <c r="G87" s="437">
        <v>0</v>
      </c>
      <c r="H87" s="8">
        <f t="shared" si="4"/>
        <v>6.5989999999999993E-2</v>
      </c>
      <c r="I87" s="45">
        <v>0</v>
      </c>
      <c r="L87" s="342"/>
    </row>
    <row r="88" spans="1:18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">
        <f t="shared" si="3"/>
        <v>6397.6</v>
      </c>
      <c r="G88" s="437">
        <v>0</v>
      </c>
      <c r="H88" s="8">
        <f t="shared" si="4"/>
        <v>6.5989999999999993E-2</v>
      </c>
      <c r="I88" s="45">
        <v>0</v>
      </c>
    </row>
    <row r="89" spans="1:18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0">
        <f t="shared" si="3"/>
        <v>566.29999999999995</v>
      </c>
      <c r="G89" s="437">
        <v>0</v>
      </c>
      <c r="H89" s="8">
        <f t="shared" si="4"/>
        <v>6.5989999999999993E-2</v>
      </c>
      <c r="I89" s="45">
        <v>0</v>
      </c>
      <c r="R89" s="6">
        <v>2</v>
      </c>
    </row>
    <row r="90" spans="1:18" s="69" customFormat="1" ht="15.75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5">
        <f>SUM(F69:F89)</f>
        <v>112765.42</v>
      </c>
      <c r="G90" s="103">
        <f>SUM(F90*H90)</f>
        <v>7441.3900657999993</v>
      </c>
      <c r="H90" s="8">
        <f t="shared" si="4"/>
        <v>6.5989999999999993E-2</v>
      </c>
      <c r="I90" s="45">
        <v>0</v>
      </c>
    </row>
    <row r="91" spans="1:18" s="6" customFormat="1" ht="15.75">
      <c r="A91" s="9" t="s">
        <v>50</v>
      </c>
      <c r="B91" s="8"/>
      <c r="C91" s="8"/>
      <c r="D91" s="8"/>
      <c r="E91" s="8"/>
      <c r="F91" s="40"/>
      <c r="G91" s="50"/>
      <c r="H91" s="8">
        <f t="shared" si="4"/>
        <v>6.5989999999999993E-2</v>
      </c>
      <c r="I91" s="45"/>
    </row>
    <row r="92" spans="1:18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ref="F92:F143" si="5">C92+D92+E92</f>
        <v>689.3</v>
      </c>
      <c r="G92" s="50">
        <f t="shared" ref="G92:G155" si="6">SUM(F92*H92)</f>
        <v>45.486906999999995</v>
      </c>
      <c r="H92" s="8">
        <f t="shared" ref="H92:H155" si="7">0.06599</f>
        <v>6.5989999999999993E-2</v>
      </c>
      <c r="I92" s="98">
        <f t="shared" ref="I92:I155" si="8">SUM(G92/F92)</f>
        <v>6.5989999999999993E-2</v>
      </c>
      <c r="L92" s="6">
        <v>8.7264800000000005</v>
      </c>
    </row>
    <row r="93" spans="1:18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5"/>
        <v>356.29999999999995</v>
      </c>
      <c r="G93" s="50">
        <f t="shared" si="6"/>
        <v>23.512236999999995</v>
      </c>
      <c r="H93" s="8">
        <f t="shared" si="7"/>
        <v>6.5989999999999993E-2</v>
      </c>
      <c r="I93" s="98">
        <f t="shared" si="8"/>
        <v>6.5989999999999993E-2</v>
      </c>
      <c r="L93" s="6">
        <v>12.726116666666664</v>
      </c>
    </row>
    <row r="94" spans="1:18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5"/>
        <v>425.13</v>
      </c>
      <c r="G94" s="50">
        <f t="shared" si="6"/>
        <v>28.054328699999996</v>
      </c>
      <c r="H94" s="8">
        <f t="shared" si="7"/>
        <v>6.5989999999999993E-2</v>
      </c>
      <c r="I94" s="98">
        <f t="shared" si="8"/>
        <v>6.5989999999999993E-2</v>
      </c>
      <c r="L94" s="6">
        <v>14.544133333333335</v>
      </c>
    </row>
    <row r="95" spans="1:18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5"/>
        <v>690.66</v>
      </c>
      <c r="G95" s="50">
        <f t="shared" si="6"/>
        <v>45.576653399999991</v>
      </c>
      <c r="H95" s="8">
        <f t="shared" si="7"/>
        <v>6.5989999999999993E-2</v>
      </c>
      <c r="I95" s="98">
        <f t="shared" si="8"/>
        <v>6.5989999999999993E-2</v>
      </c>
      <c r="L95" s="6">
        <v>12.4664</v>
      </c>
    </row>
    <row r="96" spans="1:18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5"/>
        <v>618.05999999999995</v>
      </c>
      <c r="G96" s="50">
        <f t="shared" si="6"/>
        <v>40.785779399999996</v>
      </c>
      <c r="H96" s="8">
        <f t="shared" si="7"/>
        <v>6.5989999999999993E-2</v>
      </c>
      <c r="I96" s="98">
        <f t="shared" si="8"/>
        <v>6.5989999999999993E-2</v>
      </c>
      <c r="L96" s="6">
        <v>13.505266666666666</v>
      </c>
    </row>
    <row r="97" spans="1:12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5"/>
        <v>1327.4</v>
      </c>
      <c r="G97" s="50">
        <f t="shared" si="6"/>
        <v>87.595125999999993</v>
      </c>
      <c r="H97" s="8">
        <f t="shared" si="7"/>
        <v>6.5989999999999993E-2</v>
      </c>
      <c r="I97" s="98">
        <f t="shared" si="8"/>
        <v>6.5989999999999993E-2</v>
      </c>
      <c r="L97" s="6">
        <v>28.309116666666668</v>
      </c>
    </row>
    <row r="98" spans="1:12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5"/>
        <v>1528.3</v>
      </c>
      <c r="G98" s="50">
        <f t="shared" si="6"/>
        <v>100.85251699999999</v>
      </c>
      <c r="H98" s="8">
        <f t="shared" si="7"/>
        <v>6.5989999999999993E-2</v>
      </c>
      <c r="I98" s="98">
        <f t="shared" si="8"/>
        <v>6.5989999999999993E-2</v>
      </c>
      <c r="L98" s="6">
        <v>17.660733333333333</v>
      </c>
    </row>
    <row r="99" spans="1:12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5"/>
        <v>736.94</v>
      </c>
      <c r="G99" s="50">
        <f t="shared" si="6"/>
        <v>48.630670600000002</v>
      </c>
      <c r="H99" s="8">
        <f t="shared" si="7"/>
        <v>6.5989999999999993E-2</v>
      </c>
      <c r="I99" s="98">
        <f t="shared" si="8"/>
        <v>6.5989999999999993E-2</v>
      </c>
      <c r="L99" s="6">
        <v>10.12895</v>
      </c>
    </row>
    <row r="100" spans="1:12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5"/>
        <v>588.29</v>
      </c>
      <c r="G100" s="50">
        <f t="shared" si="6"/>
        <v>38.821257099999997</v>
      </c>
      <c r="H100" s="8">
        <f t="shared" si="7"/>
        <v>6.5989999999999993E-2</v>
      </c>
      <c r="I100" s="98">
        <f t="shared" si="8"/>
        <v>6.5989999999999993E-2</v>
      </c>
      <c r="L100" s="6">
        <v>8.8303666666666665</v>
      </c>
    </row>
    <row r="101" spans="1:12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5"/>
        <v>264.32</v>
      </c>
      <c r="G101" s="50">
        <f t="shared" si="6"/>
        <v>17.442476799999998</v>
      </c>
      <c r="H101" s="8">
        <f t="shared" si="7"/>
        <v>6.5989999999999993E-2</v>
      </c>
      <c r="I101" s="98">
        <f t="shared" si="8"/>
        <v>6.5989999999999993E-2</v>
      </c>
      <c r="L101" s="6">
        <v>0</v>
      </c>
    </row>
    <row r="102" spans="1:12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5"/>
        <v>202.70000000000002</v>
      </c>
      <c r="G102" s="50">
        <f t="shared" si="6"/>
        <v>13.376173</v>
      </c>
      <c r="H102" s="8">
        <f t="shared" si="7"/>
        <v>6.5989999999999993E-2</v>
      </c>
      <c r="I102" s="98">
        <f t="shared" si="8"/>
        <v>6.5989999999999993E-2</v>
      </c>
      <c r="L102" s="6">
        <v>18.6996</v>
      </c>
    </row>
    <row r="103" spans="1:12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5"/>
        <v>366.9</v>
      </c>
      <c r="G103" s="50">
        <f t="shared" si="6"/>
        <v>24.211730999999997</v>
      </c>
      <c r="H103" s="8">
        <f t="shared" si="7"/>
        <v>6.5989999999999993E-2</v>
      </c>
      <c r="I103" s="98">
        <f t="shared" si="8"/>
        <v>6.5989999999999993E-2</v>
      </c>
      <c r="L103" s="6">
        <v>46.229566666666663</v>
      </c>
    </row>
    <row r="104" spans="1:12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5"/>
        <v>580.66999999999996</v>
      </c>
      <c r="G104" s="50">
        <f t="shared" si="6"/>
        <v>38.318413299999996</v>
      </c>
      <c r="H104" s="8">
        <f t="shared" si="7"/>
        <v>6.5989999999999993E-2</v>
      </c>
      <c r="I104" s="98">
        <f t="shared" si="8"/>
        <v>6.5989999999999993E-2</v>
      </c>
      <c r="L104" s="6">
        <v>24.776970000000002</v>
      </c>
    </row>
    <row r="105" spans="1:12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5"/>
        <v>612.9</v>
      </c>
      <c r="G105" s="50">
        <f t="shared" si="6"/>
        <v>40.445270999999991</v>
      </c>
      <c r="H105" s="8">
        <f t="shared" si="7"/>
        <v>6.5989999999999993E-2</v>
      </c>
      <c r="I105" s="98">
        <f t="shared" si="8"/>
        <v>6.5989999999999993E-2</v>
      </c>
      <c r="L105" s="6">
        <v>32.724299999999999</v>
      </c>
    </row>
    <row r="106" spans="1:12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5"/>
        <v>851.5</v>
      </c>
      <c r="G106" s="50">
        <f t="shared" si="6"/>
        <v>56.190484999999995</v>
      </c>
      <c r="H106" s="8">
        <f t="shared" si="7"/>
        <v>6.5989999999999993E-2</v>
      </c>
      <c r="I106" s="98">
        <f t="shared" si="8"/>
        <v>6.5989999999999993E-2</v>
      </c>
      <c r="L106" s="6">
        <v>61.29313333333333</v>
      </c>
    </row>
    <row r="107" spans="1:12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5"/>
        <v>545.6</v>
      </c>
      <c r="G107" s="50">
        <f t="shared" si="6"/>
        <v>36.004143999999997</v>
      </c>
      <c r="H107" s="8">
        <f t="shared" si="7"/>
        <v>6.5989999999999993E-2</v>
      </c>
      <c r="I107" s="98">
        <f t="shared" si="8"/>
        <v>6.5989999999999993E-2</v>
      </c>
      <c r="L107" s="6">
        <v>31.166</v>
      </c>
    </row>
    <row r="108" spans="1:12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5"/>
        <v>564.81000000000006</v>
      </c>
      <c r="G108" s="50">
        <f t="shared" si="6"/>
        <v>37.271811900000003</v>
      </c>
      <c r="H108" s="8">
        <f t="shared" si="7"/>
        <v>6.5989999999999993E-2</v>
      </c>
      <c r="I108" s="98">
        <f t="shared" si="8"/>
        <v>6.5989999999999993E-2</v>
      </c>
      <c r="L108" s="6">
        <v>31.166</v>
      </c>
    </row>
    <row r="109" spans="1:12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5"/>
        <v>536.25</v>
      </c>
      <c r="G109" s="50">
        <f t="shared" si="6"/>
        <v>35.387137499999994</v>
      </c>
      <c r="H109" s="8">
        <f t="shared" si="7"/>
        <v>6.5989999999999993E-2</v>
      </c>
      <c r="I109" s="98">
        <f t="shared" si="8"/>
        <v>6.5989999999999993E-2</v>
      </c>
      <c r="L109" s="6">
        <v>31.166</v>
      </c>
    </row>
    <row r="110" spans="1:12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5"/>
        <v>603.17000000000007</v>
      </c>
      <c r="G110" s="50">
        <f t="shared" si="6"/>
        <v>39.803188300000002</v>
      </c>
      <c r="H110" s="8">
        <f t="shared" si="7"/>
        <v>6.5989999999999993E-2</v>
      </c>
      <c r="I110" s="98">
        <f>SUM(G110/F110)</f>
        <v>6.5989999999999993E-2</v>
      </c>
      <c r="L110" s="6">
        <v>31.166</v>
      </c>
    </row>
    <row r="111" spans="1:12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5"/>
        <v>226.9</v>
      </c>
      <c r="G111" s="50">
        <f t="shared" si="6"/>
        <v>14.973130999999999</v>
      </c>
      <c r="H111" s="8">
        <f t="shared" si="7"/>
        <v>6.5989999999999993E-2</v>
      </c>
      <c r="I111" s="98">
        <f t="shared" si="8"/>
        <v>6.5989999999999993E-2</v>
      </c>
      <c r="L111" s="6">
        <v>27.270250000000001</v>
      </c>
    </row>
    <row r="112" spans="1:12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5"/>
        <v>385.59999999999997</v>
      </c>
      <c r="G112" s="50">
        <f t="shared" si="6"/>
        <v>25.445743999999994</v>
      </c>
      <c r="H112" s="8">
        <f t="shared" si="7"/>
        <v>6.5989999999999993E-2</v>
      </c>
      <c r="I112" s="98">
        <f t="shared" si="8"/>
        <v>6.5989999999999993E-2</v>
      </c>
      <c r="L112" s="6">
        <v>23.374499999999998</v>
      </c>
    </row>
    <row r="113" spans="1:12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5"/>
        <v>340.18</v>
      </c>
      <c r="G113" s="50">
        <f t="shared" si="6"/>
        <v>22.448478199999997</v>
      </c>
      <c r="H113" s="8">
        <f t="shared" si="7"/>
        <v>6.5989999999999993E-2</v>
      </c>
      <c r="I113" s="98">
        <f t="shared" si="8"/>
        <v>6.5989999999999993E-2</v>
      </c>
      <c r="L113" s="6">
        <v>30.386849999999999</v>
      </c>
    </row>
    <row r="114" spans="1:12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5"/>
        <v>304.7</v>
      </c>
      <c r="G114" s="50">
        <f t="shared" si="6"/>
        <v>20.107152999999997</v>
      </c>
      <c r="H114" s="8">
        <f t="shared" si="7"/>
        <v>6.5989999999999993E-2</v>
      </c>
      <c r="I114" s="98">
        <f t="shared" si="8"/>
        <v>6.5989999999999993E-2</v>
      </c>
      <c r="L114" s="6">
        <v>31.166</v>
      </c>
    </row>
    <row r="115" spans="1:12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5"/>
        <v>979.97</v>
      </c>
      <c r="G115" s="50">
        <f t="shared" si="6"/>
        <v>64.668220300000002</v>
      </c>
      <c r="H115" s="8">
        <f t="shared" si="7"/>
        <v>6.5989999999999993E-2</v>
      </c>
      <c r="I115" s="98">
        <f t="shared" si="8"/>
        <v>6.5989999999999993E-2</v>
      </c>
      <c r="L115" s="6">
        <v>77.915000000000006</v>
      </c>
    </row>
    <row r="116" spans="1:12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5"/>
        <v>1330.1</v>
      </c>
      <c r="G116" s="50">
        <f t="shared" si="6"/>
        <v>87.77329899999998</v>
      </c>
      <c r="H116" s="8">
        <f t="shared" si="7"/>
        <v>6.5989999999999993E-2</v>
      </c>
      <c r="I116" s="98">
        <f t="shared" si="8"/>
        <v>6.5989999999999993E-2</v>
      </c>
      <c r="L116" s="6">
        <v>151.46676000000002</v>
      </c>
    </row>
    <row r="117" spans="1:12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5"/>
        <v>820.65</v>
      </c>
      <c r="G117" s="50">
        <f t="shared" si="6"/>
        <v>54.154693499999993</v>
      </c>
      <c r="H117" s="8">
        <f t="shared" si="7"/>
        <v>6.5989999999999993E-2</v>
      </c>
      <c r="I117" s="98">
        <f t="shared" si="8"/>
        <v>6.5989999999999993E-2</v>
      </c>
      <c r="L117" s="6">
        <v>74.175080000000008</v>
      </c>
    </row>
    <row r="118" spans="1:12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5"/>
        <v>1463.87</v>
      </c>
      <c r="G118" s="50">
        <f t="shared" si="6"/>
        <v>96.60078129999998</v>
      </c>
      <c r="H118" s="8">
        <f t="shared" si="7"/>
        <v>6.5989999999999993E-2</v>
      </c>
      <c r="I118" s="98">
        <f t="shared" si="8"/>
        <v>6.5989999999999993E-2</v>
      </c>
      <c r="L118" s="6">
        <v>128.55975000000001</v>
      </c>
    </row>
    <row r="119" spans="1:12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5"/>
        <v>595.18000000000006</v>
      </c>
      <c r="G119" s="50">
        <f t="shared" si="6"/>
        <v>39.275928200000003</v>
      </c>
      <c r="H119" s="8">
        <f t="shared" si="7"/>
        <v>6.5989999999999993E-2</v>
      </c>
      <c r="I119" s="98">
        <f t="shared" si="8"/>
        <v>6.5989999999999993E-2</v>
      </c>
      <c r="L119" s="6">
        <v>8.8303666666666665</v>
      </c>
    </row>
    <row r="120" spans="1:12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5"/>
        <v>142</v>
      </c>
      <c r="G120" s="50">
        <f t="shared" si="6"/>
        <v>9.3705799999999986</v>
      </c>
      <c r="H120" s="8">
        <f t="shared" si="7"/>
        <v>6.5989999999999993E-2</v>
      </c>
      <c r="I120" s="98">
        <f t="shared" si="8"/>
        <v>6.5989999999999993E-2</v>
      </c>
      <c r="L120" s="6">
        <v>21.037050000000001</v>
      </c>
    </row>
    <row r="121" spans="1:12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5"/>
        <v>576.93999999999994</v>
      </c>
      <c r="G121" s="50">
        <f t="shared" si="6"/>
        <v>38.072270599999989</v>
      </c>
      <c r="H121" s="8">
        <f t="shared" si="7"/>
        <v>6.5989999999999993E-2</v>
      </c>
      <c r="I121" s="98">
        <f t="shared" si="8"/>
        <v>6.5989999999999993E-2</v>
      </c>
      <c r="L121" s="6">
        <v>49.865600000000001</v>
      </c>
    </row>
    <row r="122" spans="1:12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5"/>
        <v>587.76</v>
      </c>
      <c r="G122" s="50">
        <f t="shared" si="6"/>
        <v>38.786282399999997</v>
      </c>
      <c r="H122" s="8">
        <f t="shared" si="7"/>
        <v>6.5989999999999993E-2</v>
      </c>
      <c r="I122" s="98">
        <f t="shared" si="8"/>
        <v>6.5989999999999993E-2</v>
      </c>
      <c r="L122" s="6">
        <v>25.971666666666664</v>
      </c>
    </row>
    <row r="123" spans="1:12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5"/>
        <v>1891.7</v>
      </c>
      <c r="G123" s="50">
        <f t="shared" si="6"/>
        <v>124.83328299999999</v>
      </c>
      <c r="H123" s="8">
        <f t="shared" si="7"/>
        <v>6.5989999999999993E-2</v>
      </c>
      <c r="I123" s="98">
        <f t="shared" si="8"/>
        <v>6.5989999999999993E-2</v>
      </c>
      <c r="L123" s="6">
        <v>114.27533333333334</v>
      </c>
    </row>
    <row r="124" spans="1:12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5"/>
        <v>262.7</v>
      </c>
      <c r="G124" s="50">
        <f t="shared" si="6"/>
        <v>17.335572999999997</v>
      </c>
      <c r="H124" s="8">
        <f t="shared" si="7"/>
        <v>6.5989999999999993E-2</v>
      </c>
      <c r="I124" s="98">
        <f t="shared" si="8"/>
        <v>6.5989999999999993E-2</v>
      </c>
      <c r="L124" s="6">
        <v>12.985833333333332</v>
      </c>
    </row>
    <row r="125" spans="1:12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5"/>
        <v>1857.4</v>
      </c>
      <c r="G125" s="50">
        <f t="shared" si="6"/>
        <v>122.56982599999999</v>
      </c>
      <c r="H125" s="8">
        <f t="shared" si="7"/>
        <v>6.5989999999999993E-2</v>
      </c>
      <c r="I125" s="98">
        <f t="shared" si="8"/>
        <v>6.5989999999999993E-2</v>
      </c>
      <c r="L125" s="6">
        <v>148.0385</v>
      </c>
    </row>
    <row r="126" spans="1:12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5"/>
        <v>2470.1999999999998</v>
      </c>
      <c r="G126" s="50">
        <f t="shared" si="6"/>
        <v>163.00849799999997</v>
      </c>
      <c r="H126" s="8">
        <f t="shared" si="7"/>
        <v>6.5989999999999993E-2</v>
      </c>
      <c r="I126" s="98">
        <f t="shared" si="8"/>
        <v>6.5989999999999993E-2</v>
      </c>
      <c r="L126" s="6">
        <v>285.68833333333333</v>
      </c>
    </row>
    <row r="127" spans="1:12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5"/>
        <v>121.8</v>
      </c>
      <c r="G127" s="50">
        <f t="shared" si="6"/>
        <v>8.0375819999999987</v>
      </c>
      <c r="H127" s="8">
        <f t="shared" si="7"/>
        <v>6.5989999999999993E-2</v>
      </c>
      <c r="I127" s="98">
        <f t="shared" si="8"/>
        <v>6.5989999999999993E-2</v>
      </c>
      <c r="L127" s="6">
        <v>5.7137666666666664</v>
      </c>
    </row>
    <row r="128" spans="1:12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5"/>
        <v>1831.3</v>
      </c>
      <c r="G128" s="50">
        <f t="shared" si="6"/>
        <v>120.84748699999999</v>
      </c>
      <c r="H128" s="8">
        <f t="shared" si="7"/>
        <v>6.5989999999999993E-2</v>
      </c>
      <c r="I128" s="98">
        <f t="shared" si="8"/>
        <v>6.5989999999999993E-2</v>
      </c>
      <c r="L128" s="6">
        <v>128.55975000000001</v>
      </c>
    </row>
    <row r="129" spans="1:12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5"/>
        <v>1844.3</v>
      </c>
      <c r="G129" s="50">
        <f t="shared" si="6"/>
        <v>121.70535699999998</v>
      </c>
      <c r="H129" s="8">
        <f t="shared" si="7"/>
        <v>6.5989999999999993E-2</v>
      </c>
      <c r="I129" s="98">
        <f t="shared" si="8"/>
        <v>6.5989999999999993E-2</v>
      </c>
      <c r="L129" s="6">
        <v>103.88666666666666</v>
      </c>
    </row>
    <row r="130" spans="1:12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5"/>
        <v>193.76</v>
      </c>
      <c r="G130" s="50">
        <f t="shared" si="6"/>
        <v>12.786222399999998</v>
      </c>
      <c r="H130" s="8">
        <f t="shared" si="7"/>
        <v>6.5989999999999993E-2</v>
      </c>
      <c r="I130" s="98">
        <f t="shared" si="8"/>
        <v>6.5989999999999993E-2</v>
      </c>
      <c r="L130" s="6">
        <v>8.5706499999999988</v>
      </c>
    </row>
    <row r="131" spans="1:12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5"/>
        <v>1841.4</v>
      </c>
      <c r="G131" s="50">
        <f t="shared" si="6"/>
        <v>121.51398599999999</v>
      </c>
      <c r="H131" s="8">
        <f t="shared" si="7"/>
        <v>6.5989999999999993E-2</v>
      </c>
      <c r="I131" s="98">
        <f t="shared" si="8"/>
        <v>6.5989999999999993E-2</v>
      </c>
      <c r="L131" s="6">
        <v>167.77696666666665</v>
      </c>
    </row>
    <row r="132" spans="1:12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5"/>
        <v>262.3</v>
      </c>
      <c r="G132" s="50">
        <f t="shared" si="6"/>
        <v>17.309176999999998</v>
      </c>
      <c r="H132" s="8">
        <f t="shared" si="7"/>
        <v>6.5989999999999993E-2</v>
      </c>
      <c r="I132" s="98">
        <f t="shared" si="8"/>
        <v>6.5989999999999993E-2</v>
      </c>
      <c r="L132" s="6">
        <v>44.93098333333333</v>
      </c>
    </row>
    <row r="133" spans="1:12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5"/>
        <v>94.7</v>
      </c>
      <c r="G133" s="50">
        <f t="shared" si="6"/>
        <v>6.2492529999999995</v>
      </c>
      <c r="H133" s="8">
        <f t="shared" si="7"/>
        <v>6.5989999999999993E-2</v>
      </c>
      <c r="I133" s="98">
        <f t="shared" si="8"/>
        <v>6.5989999999999993E-2</v>
      </c>
      <c r="L133" s="6">
        <v>5.4540499999999996</v>
      </c>
    </row>
    <row r="134" spans="1:12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5"/>
        <v>38</v>
      </c>
      <c r="G134" s="50">
        <f t="shared" si="6"/>
        <v>2.5076199999999997</v>
      </c>
      <c r="H134" s="8">
        <f t="shared" si="7"/>
        <v>6.5989999999999993E-2</v>
      </c>
      <c r="I134" s="98">
        <f t="shared" si="8"/>
        <v>6.5989999999999993E-2</v>
      </c>
      <c r="L134" s="6">
        <v>0.64929166666666671</v>
      </c>
    </row>
    <row r="135" spans="1:12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5"/>
        <v>1812.3999999999999</v>
      </c>
      <c r="G135" s="50">
        <f t="shared" si="6"/>
        <v>119.60027599999998</v>
      </c>
      <c r="H135" s="8">
        <f t="shared" si="7"/>
        <v>6.5989999999999993E-2</v>
      </c>
      <c r="I135" s="98">
        <f t="shared" si="8"/>
        <v>6.5989999999999993E-2</v>
      </c>
      <c r="L135" s="6">
        <v>125.96258333333331</v>
      </c>
    </row>
    <row r="136" spans="1:12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5"/>
        <v>155.80000000000001</v>
      </c>
      <c r="G136" s="50">
        <f t="shared" si="6"/>
        <v>10.281241999999999</v>
      </c>
      <c r="H136" s="8">
        <f t="shared" si="7"/>
        <v>6.5989999999999993E-2</v>
      </c>
      <c r="I136" s="98">
        <f t="shared" si="8"/>
        <v>6.5989999999999993E-2</v>
      </c>
      <c r="L136" s="6">
        <v>25.971666666666664</v>
      </c>
    </row>
    <row r="137" spans="1:12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5"/>
        <v>378.1</v>
      </c>
      <c r="G137" s="50">
        <f t="shared" si="6"/>
        <v>24.950818999999999</v>
      </c>
      <c r="H137" s="8">
        <f t="shared" si="7"/>
        <v>6.5989999999999993E-2</v>
      </c>
      <c r="I137" s="98">
        <f t="shared" si="8"/>
        <v>6.5989999999999993E-2</v>
      </c>
      <c r="L137" s="6">
        <v>38.438066666666664</v>
      </c>
    </row>
    <row r="138" spans="1:12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5"/>
        <v>120.9</v>
      </c>
      <c r="G138" s="50">
        <f t="shared" si="6"/>
        <v>7.9781909999999998</v>
      </c>
      <c r="H138" s="8">
        <f t="shared" si="7"/>
        <v>6.5989999999999993E-2</v>
      </c>
      <c r="I138" s="98">
        <f t="shared" si="8"/>
        <v>6.5989999999999993E-2</v>
      </c>
      <c r="L138" s="6">
        <v>0</v>
      </c>
    </row>
    <row r="139" spans="1:12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5"/>
        <v>2549</v>
      </c>
      <c r="G139" s="50">
        <f t="shared" si="6"/>
        <v>168.20850999999999</v>
      </c>
      <c r="H139" s="8">
        <f t="shared" si="7"/>
        <v>6.5989999999999993E-2</v>
      </c>
      <c r="I139" s="98">
        <f t="shared" si="8"/>
        <v>6.5989999999999993E-2</v>
      </c>
      <c r="L139" s="6">
        <v>298.67416666666668</v>
      </c>
    </row>
    <row r="140" spans="1:12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5"/>
        <v>2593.29</v>
      </c>
      <c r="G140" s="50">
        <f t="shared" si="6"/>
        <v>171.13120709999998</v>
      </c>
      <c r="H140" s="8">
        <f t="shared" si="7"/>
        <v>6.5989999999999993E-2</v>
      </c>
      <c r="I140" s="98">
        <f t="shared" si="8"/>
        <v>6.5989999999999993E-2</v>
      </c>
      <c r="L140" s="6">
        <v>259.45695000000001</v>
      </c>
    </row>
    <row r="141" spans="1:12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5"/>
        <v>385.82</v>
      </c>
      <c r="G141" s="50">
        <f t="shared" si="6"/>
        <v>25.460261799999998</v>
      </c>
      <c r="H141" s="8">
        <f t="shared" si="7"/>
        <v>6.5989999999999993E-2</v>
      </c>
      <c r="I141" s="98">
        <f t="shared" si="8"/>
        <v>6.5989999999999993E-2</v>
      </c>
      <c r="L141" s="6">
        <v>0</v>
      </c>
    </row>
    <row r="142" spans="1:12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5"/>
        <v>1699.75</v>
      </c>
      <c r="G142" s="50">
        <f t="shared" si="6"/>
        <v>112.16650249999999</v>
      </c>
      <c r="H142" s="8">
        <f t="shared" si="7"/>
        <v>6.5989999999999993E-2</v>
      </c>
      <c r="I142" s="98">
        <f t="shared" si="8"/>
        <v>6.5989999999999993E-2</v>
      </c>
      <c r="L142" s="6">
        <v>191.67089999999999</v>
      </c>
    </row>
    <row r="143" spans="1:12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5"/>
        <v>224.06</v>
      </c>
      <c r="G143" s="50">
        <f t="shared" si="6"/>
        <v>14.785719399999998</v>
      </c>
      <c r="H143" s="8">
        <f t="shared" si="7"/>
        <v>6.5989999999999993E-2</v>
      </c>
      <c r="I143" s="98">
        <f t="shared" si="8"/>
        <v>6.5989999999999993E-2</v>
      </c>
      <c r="L143" s="6">
        <v>29.347983333333332</v>
      </c>
    </row>
    <row r="144" spans="1:12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ref="F144:F206" si="9">C144+D144+E144</f>
        <v>138.9</v>
      </c>
      <c r="G144" s="50">
        <f t="shared" si="6"/>
        <v>9.1660109999999992</v>
      </c>
      <c r="H144" s="8">
        <f t="shared" si="7"/>
        <v>6.5989999999999993E-2</v>
      </c>
      <c r="I144" s="98">
        <f t="shared" si="8"/>
        <v>6.5989999999999993E-2</v>
      </c>
      <c r="L144" s="6">
        <v>11.427533333333333</v>
      </c>
    </row>
    <row r="145" spans="1:12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si="9"/>
        <v>8410.83</v>
      </c>
      <c r="G145" s="50">
        <f t="shared" si="6"/>
        <v>555.03067169999997</v>
      </c>
      <c r="H145" s="8">
        <f t="shared" si="7"/>
        <v>6.5989999999999993E-2</v>
      </c>
      <c r="I145" s="98">
        <f t="shared" si="8"/>
        <v>6.5989999999999993E-2</v>
      </c>
      <c r="L145" s="6">
        <v>153.23283333333333</v>
      </c>
    </row>
    <row r="146" spans="1:12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si="9"/>
        <v>953.56</v>
      </c>
      <c r="G146" s="50">
        <f t="shared" si="6"/>
        <v>62.92542439999999</v>
      </c>
      <c r="H146" s="8">
        <f t="shared" si="7"/>
        <v>6.5989999999999993E-2</v>
      </c>
      <c r="I146" s="98">
        <f t="shared" si="8"/>
        <v>6.5989999999999993E-2</v>
      </c>
      <c r="L146" s="6">
        <v>46.748999999999995</v>
      </c>
    </row>
    <row r="147" spans="1:12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9"/>
        <v>1720.1</v>
      </c>
      <c r="G147" s="50">
        <f t="shared" si="6"/>
        <v>113.50939899999999</v>
      </c>
      <c r="H147" s="8">
        <f t="shared" si="7"/>
        <v>6.5989999999999993E-2</v>
      </c>
      <c r="I147" s="98">
        <f t="shared" si="8"/>
        <v>6.5989999999999993E-2</v>
      </c>
      <c r="L147" s="6">
        <v>66.487466666666663</v>
      </c>
    </row>
    <row r="148" spans="1:12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9"/>
        <v>1033.02</v>
      </c>
      <c r="G148" s="50">
        <f t="shared" si="6"/>
        <v>68.168989799999991</v>
      </c>
      <c r="H148" s="8">
        <f t="shared" si="7"/>
        <v>6.5989999999999993E-2</v>
      </c>
      <c r="I148" s="98">
        <f t="shared" si="8"/>
        <v>6.5989999999999993E-2</v>
      </c>
      <c r="L148" s="6">
        <v>109.081</v>
      </c>
    </row>
    <row r="149" spans="1:12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9"/>
        <v>220.38</v>
      </c>
      <c r="G149" s="50">
        <f t="shared" si="6"/>
        <v>14.542876199999998</v>
      </c>
      <c r="H149" s="8">
        <f t="shared" si="7"/>
        <v>6.5989999999999993E-2</v>
      </c>
      <c r="I149" s="98">
        <f t="shared" si="8"/>
        <v>6.5989999999999993E-2</v>
      </c>
      <c r="L149" s="6">
        <v>24.673083333333334</v>
      </c>
    </row>
    <row r="150" spans="1:12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9"/>
        <v>1973.5500000000002</v>
      </c>
      <c r="G150" s="50">
        <f t="shared" si="6"/>
        <v>130.2345645</v>
      </c>
      <c r="H150" s="8">
        <f t="shared" si="7"/>
        <v>6.5989999999999993E-2</v>
      </c>
      <c r="I150" s="98">
        <f t="shared" si="8"/>
        <v>6.5989999999999993E-2</v>
      </c>
      <c r="L150" s="6">
        <v>124.664</v>
      </c>
    </row>
    <row r="151" spans="1:12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9"/>
        <v>1290.5</v>
      </c>
      <c r="G151" s="50">
        <f t="shared" si="6"/>
        <v>85.160094999999984</v>
      </c>
      <c r="H151" s="8">
        <f t="shared" si="7"/>
        <v>6.5989999999999993E-2</v>
      </c>
      <c r="I151" s="98">
        <f t="shared" si="8"/>
        <v>6.5989999999999993E-2</v>
      </c>
      <c r="L151" s="6">
        <v>129.59861666666666</v>
      </c>
    </row>
    <row r="152" spans="1:12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9"/>
        <v>231.77</v>
      </c>
      <c r="G152" s="50">
        <f t="shared" si="6"/>
        <v>15.2945023</v>
      </c>
      <c r="H152" s="8">
        <f t="shared" si="7"/>
        <v>6.5989999999999993E-2</v>
      </c>
      <c r="I152" s="98">
        <f t="shared" si="8"/>
        <v>6.5989999999999993E-2</v>
      </c>
      <c r="L152" s="6">
        <v>30.906283333333334</v>
      </c>
    </row>
    <row r="153" spans="1:12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9"/>
        <v>1422.83</v>
      </c>
      <c r="G153" s="50">
        <f t="shared" si="6"/>
        <v>93.892551699999984</v>
      </c>
      <c r="H153" s="8">
        <f t="shared" si="7"/>
        <v>6.5989999999999993E-2</v>
      </c>
      <c r="I153" s="98">
        <f t="shared" si="8"/>
        <v>6.5989999999999993E-2</v>
      </c>
      <c r="L153" s="6">
        <v>98.692333333333337</v>
      </c>
    </row>
    <row r="154" spans="1:12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9"/>
        <v>377.6</v>
      </c>
      <c r="G154" s="50">
        <f t="shared" si="6"/>
        <v>24.917824</v>
      </c>
      <c r="H154" s="8">
        <f t="shared" si="7"/>
        <v>6.5989999999999993E-2</v>
      </c>
      <c r="I154" s="98">
        <f t="shared" si="8"/>
        <v>6.5989999999999993E-2</v>
      </c>
      <c r="L154" s="6">
        <v>61.812566666666669</v>
      </c>
    </row>
    <row r="155" spans="1:12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9"/>
        <v>1852.5099999999998</v>
      </c>
      <c r="G155" s="50">
        <f t="shared" si="6"/>
        <v>122.24713489999998</v>
      </c>
      <c r="H155" s="8">
        <f t="shared" si="7"/>
        <v>6.5989999999999993E-2</v>
      </c>
      <c r="I155" s="98">
        <f t="shared" si="8"/>
        <v>6.5989999999999993E-2</v>
      </c>
      <c r="L155" s="6">
        <v>186.99599999999998</v>
      </c>
    </row>
    <row r="156" spans="1:12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9"/>
        <v>2010.19</v>
      </c>
      <c r="G156" s="50">
        <f t="shared" ref="G156:G219" si="10">SUM(F156*H156)</f>
        <v>132.65243809999998</v>
      </c>
      <c r="H156" s="8">
        <f t="shared" ref="H156:H219" si="11">0.06599</f>
        <v>6.5989999999999993E-2</v>
      </c>
      <c r="I156" s="98">
        <f t="shared" ref="I156:I219" si="12">SUM(G156/F156)</f>
        <v>6.5989999999999993E-2</v>
      </c>
      <c r="L156" s="6">
        <v>186.99599999999998</v>
      </c>
    </row>
    <row r="157" spans="1:12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9"/>
        <v>1464.32</v>
      </c>
      <c r="G157" s="50">
        <f t="shared" si="10"/>
        <v>96.630476799999983</v>
      </c>
      <c r="H157" s="8">
        <f t="shared" si="11"/>
        <v>6.5989999999999993E-2</v>
      </c>
      <c r="I157" s="98">
        <f t="shared" si="12"/>
        <v>6.5989999999999993E-2</v>
      </c>
      <c r="L157" s="6">
        <v>127.26116666666665</v>
      </c>
    </row>
    <row r="158" spans="1:12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9"/>
        <v>152.11000000000001</v>
      </c>
      <c r="G158" s="50">
        <f t="shared" si="10"/>
        <v>10.037738899999999</v>
      </c>
      <c r="H158" s="8">
        <f t="shared" si="11"/>
        <v>6.5989999999999993E-2</v>
      </c>
      <c r="I158" s="98">
        <f t="shared" si="12"/>
        <v>6.5989999999999993E-2</v>
      </c>
      <c r="L158" s="6">
        <v>0</v>
      </c>
    </row>
    <row r="159" spans="1:12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9"/>
        <v>2553.5700000000002</v>
      </c>
      <c r="G159" s="50">
        <f t="shared" si="10"/>
        <v>168.51008429999999</v>
      </c>
      <c r="H159" s="8">
        <f t="shared" si="11"/>
        <v>6.5989999999999993E-2</v>
      </c>
      <c r="I159" s="98">
        <f t="shared" si="12"/>
        <v>6.5989999999999993E-2</v>
      </c>
      <c r="L159" s="6">
        <v>276.59824999999995</v>
      </c>
    </row>
    <row r="160" spans="1:12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9"/>
        <v>101.99</v>
      </c>
      <c r="G160" s="50">
        <f t="shared" si="10"/>
        <v>6.7303200999999993</v>
      </c>
      <c r="H160" s="8">
        <f t="shared" si="11"/>
        <v>6.5989999999999993E-2</v>
      </c>
      <c r="I160" s="98">
        <f t="shared" si="12"/>
        <v>6.5989999999999993E-2</v>
      </c>
      <c r="L160" s="6">
        <v>0</v>
      </c>
    </row>
    <row r="161" spans="1:12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9"/>
        <v>166.1</v>
      </c>
      <c r="G161" s="50">
        <f t="shared" si="10"/>
        <v>10.960938999999998</v>
      </c>
      <c r="H161" s="8">
        <f t="shared" si="11"/>
        <v>6.5989999999999993E-2</v>
      </c>
      <c r="I161" s="98">
        <f t="shared" si="12"/>
        <v>6.5989999999999993E-2</v>
      </c>
      <c r="L161" s="6">
        <v>0</v>
      </c>
    </row>
    <row r="162" spans="1:12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9"/>
        <v>315.39999999999998</v>
      </c>
      <c r="G162" s="50">
        <f t="shared" si="10"/>
        <v>20.813245999999996</v>
      </c>
      <c r="H162" s="8">
        <f t="shared" si="11"/>
        <v>6.5989999999999993E-2</v>
      </c>
      <c r="I162" s="98">
        <f t="shared" si="12"/>
        <v>6.5989999999999993E-2</v>
      </c>
      <c r="L162" s="6">
        <v>0</v>
      </c>
    </row>
    <row r="163" spans="1:12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9"/>
        <v>1497.91</v>
      </c>
      <c r="G163" s="50">
        <f t="shared" si="10"/>
        <v>98.847080899999995</v>
      </c>
      <c r="H163" s="8">
        <f t="shared" si="11"/>
        <v>6.5989999999999993E-2</v>
      </c>
      <c r="I163" s="98">
        <f t="shared" si="12"/>
        <v>6.5989999999999993E-2</v>
      </c>
      <c r="L163" s="6">
        <v>158.42716666666666</v>
      </c>
    </row>
    <row r="164" spans="1:12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9"/>
        <v>165.93</v>
      </c>
      <c r="G164" s="50">
        <f t="shared" si="10"/>
        <v>10.949720699999999</v>
      </c>
      <c r="H164" s="8">
        <f t="shared" si="11"/>
        <v>6.5989999999999993E-2</v>
      </c>
      <c r="I164" s="98">
        <f t="shared" si="12"/>
        <v>6.5989999999999993E-2</v>
      </c>
      <c r="L164" s="6">
        <v>0</v>
      </c>
    </row>
    <row r="165" spans="1:12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9"/>
        <v>977.29000000000008</v>
      </c>
      <c r="G165" s="50">
        <f t="shared" si="10"/>
        <v>64.491367100000005</v>
      </c>
      <c r="H165" s="8">
        <f t="shared" si="11"/>
        <v>6.5989999999999993E-2</v>
      </c>
      <c r="I165" s="98">
        <f t="shared" si="12"/>
        <v>6.5989999999999993E-2</v>
      </c>
      <c r="L165" s="6">
        <v>32.204866666666668</v>
      </c>
    </row>
    <row r="166" spans="1:12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9"/>
        <v>144.9</v>
      </c>
      <c r="G166" s="50">
        <f t="shared" si="10"/>
        <v>9.5619509999999988</v>
      </c>
      <c r="H166" s="8">
        <f t="shared" si="11"/>
        <v>6.5989999999999993E-2</v>
      </c>
      <c r="I166" s="98">
        <f t="shared" si="12"/>
        <v>6.5989999999999993E-2</v>
      </c>
      <c r="L166" s="6">
        <v>0</v>
      </c>
    </row>
    <row r="167" spans="1:12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9"/>
        <v>231.9</v>
      </c>
      <c r="G167" s="50">
        <f t="shared" si="10"/>
        <v>15.303080999999999</v>
      </c>
      <c r="H167" s="8">
        <f t="shared" si="11"/>
        <v>6.5989999999999993E-2</v>
      </c>
      <c r="I167" s="98">
        <f t="shared" si="12"/>
        <v>6.5989999999999993E-2</v>
      </c>
      <c r="L167" s="6">
        <v>0</v>
      </c>
    </row>
    <row r="168" spans="1:12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9"/>
        <v>3146.6</v>
      </c>
      <c r="G168" s="50">
        <f t="shared" si="10"/>
        <v>207.64413399999998</v>
      </c>
      <c r="H168" s="8">
        <f t="shared" si="11"/>
        <v>6.5989999999999993E-2</v>
      </c>
      <c r="I168" s="98">
        <f t="shared" si="12"/>
        <v>6.5989999999999993E-2</v>
      </c>
      <c r="L168" s="6">
        <v>414.24808333333328</v>
      </c>
    </row>
    <row r="169" spans="1:12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9"/>
        <v>848.35</v>
      </c>
      <c r="G169" s="50">
        <f t="shared" si="10"/>
        <v>55.982616499999999</v>
      </c>
      <c r="H169" s="8">
        <f t="shared" si="11"/>
        <v>6.5989999999999993E-2</v>
      </c>
      <c r="I169" s="98">
        <f t="shared" si="12"/>
        <v>6.5989999999999993E-2</v>
      </c>
      <c r="L169" s="6">
        <v>22.075916666666664</v>
      </c>
    </row>
    <row r="170" spans="1:12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9"/>
        <v>885.4</v>
      </c>
      <c r="G170" s="50">
        <f t="shared" si="10"/>
        <v>58.427545999999992</v>
      </c>
      <c r="H170" s="8">
        <f t="shared" si="11"/>
        <v>6.5989999999999993E-2</v>
      </c>
      <c r="I170" s="98">
        <f t="shared" si="12"/>
        <v>6.5989999999999993E-2</v>
      </c>
      <c r="L170" s="6">
        <v>12.4664</v>
      </c>
    </row>
    <row r="171" spans="1:12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9"/>
        <v>877.79</v>
      </c>
      <c r="G171" s="50">
        <f t="shared" si="10"/>
        <v>57.925362099999994</v>
      </c>
      <c r="H171" s="8">
        <f t="shared" si="11"/>
        <v>6.5989999999999993E-2</v>
      </c>
      <c r="I171" s="98">
        <f t="shared" si="12"/>
        <v>6.5989999999999993E-2</v>
      </c>
      <c r="L171" s="6">
        <v>17.141299999999998</v>
      </c>
    </row>
    <row r="172" spans="1:12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9"/>
        <v>949.9</v>
      </c>
      <c r="G172" s="50">
        <f t="shared" si="10"/>
        <v>62.683900999999992</v>
      </c>
      <c r="H172" s="8">
        <f t="shared" si="11"/>
        <v>6.5989999999999993E-2</v>
      </c>
      <c r="I172" s="98">
        <f t="shared" si="12"/>
        <v>6.5989999999999993E-2</v>
      </c>
      <c r="L172" s="6">
        <v>34.022883333333333</v>
      </c>
    </row>
    <row r="173" spans="1:12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9"/>
        <v>1056</v>
      </c>
      <c r="G173" s="50">
        <f t="shared" si="10"/>
        <v>69.68544</v>
      </c>
      <c r="H173" s="8">
        <f t="shared" si="11"/>
        <v>6.5989999999999993E-2</v>
      </c>
      <c r="I173" s="98">
        <f t="shared" si="12"/>
        <v>6.5989999999999993E-2</v>
      </c>
      <c r="L173" s="6">
        <v>18.180166666666668</v>
      </c>
    </row>
    <row r="174" spans="1:12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9"/>
        <v>998.3</v>
      </c>
      <c r="G174" s="50">
        <f t="shared" si="10"/>
        <v>65.877816999999993</v>
      </c>
      <c r="H174" s="8">
        <f t="shared" si="11"/>
        <v>6.5989999999999993E-2</v>
      </c>
      <c r="I174" s="98">
        <f t="shared" si="12"/>
        <v>6.5989999999999993E-2</v>
      </c>
      <c r="L174" s="6">
        <v>22.075916666666664</v>
      </c>
    </row>
    <row r="175" spans="1:12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9"/>
        <v>304</v>
      </c>
      <c r="G175" s="50">
        <f t="shared" si="10"/>
        <v>20.060959999999998</v>
      </c>
      <c r="H175" s="8">
        <f t="shared" si="11"/>
        <v>6.5989999999999993E-2</v>
      </c>
      <c r="I175" s="98">
        <f t="shared" si="12"/>
        <v>6.5989999999999993E-2</v>
      </c>
      <c r="L175" s="6">
        <v>42.853249999999996</v>
      </c>
    </row>
    <row r="176" spans="1:12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9"/>
        <v>1347.46</v>
      </c>
      <c r="G176" s="50">
        <f t="shared" si="10"/>
        <v>88.918885399999994</v>
      </c>
      <c r="H176" s="8">
        <f t="shared" si="11"/>
        <v>6.5989999999999993E-2</v>
      </c>
      <c r="I176" s="98">
        <f t="shared" si="12"/>
        <v>6.5989999999999993E-2</v>
      </c>
      <c r="L176" s="6">
        <v>12.4664</v>
      </c>
    </row>
    <row r="177" spans="1:12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9"/>
        <v>930.9</v>
      </c>
      <c r="G177" s="50">
        <f t="shared" si="10"/>
        <v>61.43009099999999</v>
      </c>
      <c r="H177" s="8">
        <f t="shared" si="11"/>
        <v>6.5989999999999993E-2</v>
      </c>
      <c r="I177" s="98">
        <f t="shared" si="12"/>
        <v>6.5989999999999993E-2</v>
      </c>
      <c r="L177" s="6">
        <v>13.24555</v>
      </c>
    </row>
    <row r="178" spans="1:12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9"/>
        <v>791.4</v>
      </c>
      <c r="G178" s="50">
        <f t="shared" si="10"/>
        <v>52.224485999999992</v>
      </c>
      <c r="H178" s="8">
        <f t="shared" si="11"/>
        <v>6.5989999999999993E-2</v>
      </c>
      <c r="I178" s="98">
        <f t="shared" si="12"/>
        <v>6.5989999999999993E-2</v>
      </c>
      <c r="L178" s="6">
        <v>44.151833333333329</v>
      </c>
    </row>
    <row r="179" spans="1:12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9"/>
        <v>574.42999999999995</v>
      </c>
      <c r="G179" s="50">
        <f t="shared" si="10"/>
        <v>37.906635699999995</v>
      </c>
      <c r="H179" s="8">
        <f t="shared" si="11"/>
        <v>6.5989999999999993E-2</v>
      </c>
      <c r="I179" s="98">
        <f t="shared" si="12"/>
        <v>6.5989999999999993E-2</v>
      </c>
      <c r="L179" s="6">
        <v>32.46458333333333</v>
      </c>
    </row>
    <row r="180" spans="1:12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9"/>
        <v>326.89999999999998</v>
      </c>
      <c r="G180" s="50">
        <f t="shared" si="10"/>
        <v>21.572130999999995</v>
      </c>
      <c r="H180" s="8">
        <f t="shared" si="11"/>
        <v>6.5989999999999993E-2</v>
      </c>
      <c r="I180" s="98">
        <f t="shared" si="12"/>
        <v>6.5989999999999993E-2</v>
      </c>
      <c r="L180" s="6">
        <v>9.0381399999999985</v>
      </c>
    </row>
    <row r="181" spans="1:12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9"/>
        <v>323.60000000000002</v>
      </c>
      <c r="G181" s="50">
        <f t="shared" si="10"/>
        <v>21.354364</v>
      </c>
      <c r="H181" s="8">
        <f t="shared" si="11"/>
        <v>6.5989999999999993E-2</v>
      </c>
      <c r="I181" s="98">
        <f t="shared" si="12"/>
        <v>6.5989999999999993E-2</v>
      </c>
      <c r="L181" s="6">
        <v>14.803849999999999</v>
      </c>
    </row>
    <row r="182" spans="1:12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9"/>
        <v>483.2</v>
      </c>
      <c r="G182" s="50">
        <f t="shared" si="10"/>
        <v>31.886367999999997</v>
      </c>
      <c r="H182" s="8">
        <f t="shared" si="11"/>
        <v>6.5989999999999993E-2</v>
      </c>
      <c r="I182" s="98">
        <f t="shared" si="12"/>
        <v>6.5989999999999993E-2</v>
      </c>
      <c r="L182" s="6">
        <v>76.616416666666666</v>
      </c>
    </row>
    <row r="183" spans="1:12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9"/>
        <v>408.2</v>
      </c>
      <c r="G183" s="50">
        <f t="shared" si="10"/>
        <v>26.937117999999998</v>
      </c>
      <c r="H183" s="8">
        <f t="shared" si="11"/>
        <v>6.5989999999999993E-2</v>
      </c>
      <c r="I183" s="98">
        <f t="shared" si="12"/>
        <v>6.5989999999999993E-2</v>
      </c>
      <c r="L183" s="6">
        <v>67.006899999999987</v>
      </c>
    </row>
    <row r="184" spans="1:12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9"/>
        <v>482.97</v>
      </c>
      <c r="G184" s="50">
        <f t="shared" si="10"/>
        <v>31.871190299999999</v>
      </c>
      <c r="H184" s="8">
        <f t="shared" si="11"/>
        <v>6.5989999999999993E-2</v>
      </c>
      <c r="I184" s="98">
        <f t="shared" si="12"/>
        <v>6.5989999999999993E-2</v>
      </c>
      <c r="L184" s="6">
        <v>71.681799999999996</v>
      </c>
    </row>
    <row r="185" spans="1:12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9"/>
        <v>699.05</v>
      </c>
      <c r="G185" s="50">
        <f t="shared" si="10"/>
        <v>46.130309499999996</v>
      </c>
      <c r="H185" s="8">
        <f t="shared" si="11"/>
        <v>6.5989999999999993E-2</v>
      </c>
      <c r="I185" s="98">
        <f t="shared" si="12"/>
        <v>6.5989999999999993E-2</v>
      </c>
      <c r="L185" s="6">
        <v>112.45731666666667</v>
      </c>
    </row>
    <row r="186" spans="1:12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9"/>
        <v>6095.81</v>
      </c>
      <c r="G186" s="50">
        <f t="shared" si="10"/>
        <v>402.26250189999996</v>
      </c>
      <c r="H186" s="8">
        <f t="shared" si="11"/>
        <v>6.5989999999999993E-2</v>
      </c>
      <c r="I186" s="98">
        <f t="shared" si="12"/>
        <v>6.5989999999999993E-2</v>
      </c>
      <c r="L186" s="6">
        <v>319.45149999999995</v>
      </c>
    </row>
    <row r="187" spans="1:12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9"/>
        <v>166.2</v>
      </c>
      <c r="G187" s="50">
        <f t="shared" si="10"/>
        <v>10.967537999999998</v>
      </c>
      <c r="H187" s="8">
        <f t="shared" si="11"/>
        <v>6.5989999999999993E-2</v>
      </c>
      <c r="I187" s="98">
        <f t="shared" si="12"/>
        <v>6.5989999999999993E-2</v>
      </c>
      <c r="L187" s="6">
        <v>28.309116666666668</v>
      </c>
    </row>
    <row r="188" spans="1:12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9"/>
        <v>273.2</v>
      </c>
      <c r="G188" s="50">
        <f t="shared" si="10"/>
        <v>18.028467999999997</v>
      </c>
      <c r="H188" s="8">
        <f t="shared" si="11"/>
        <v>6.5989999999999993E-2</v>
      </c>
      <c r="I188" s="98">
        <f t="shared" si="12"/>
        <v>6.5989999999999993E-2</v>
      </c>
      <c r="L188" s="6">
        <v>16.36215</v>
      </c>
    </row>
    <row r="189" spans="1:12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9"/>
        <v>4159.58</v>
      </c>
      <c r="G189" s="50">
        <f t="shared" si="10"/>
        <v>274.49068419999998</v>
      </c>
      <c r="H189" s="8">
        <f t="shared" si="11"/>
        <v>6.5989999999999993E-2</v>
      </c>
      <c r="I189" s="98">
        <f t="shared" si="12"/>
        <v>6.5989999999999993E-2</v>
      </c>
      <c r="L189" s="6">
        <v>294.25898333333333</v>
      </c>
    </row>
    <row r="190" spans="1:12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9"/>
        <v>2240.77</v>
      </c>
      <c r="G190" s="50">
        <f t="shared" si="10"/>
        <v>147.86841229999999</v>
      </c>
      <c r="H190" s="8">
        <f t="shared" si="11"/>
        <v>6.5989999999999993E-2</v>
      </c>
      <c r="I190" s="98">
        <f t="shared" si="12"/>
        <v>6.5989999999999993E-2</v>
      </c>
      <c r="L190" s="6">
        <v>133.23465000000002</v>
      </c>
    </row>
    <row r="191" spans="1:12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9"/>
        <v>454.48</v>
      </c>
      <c r="G191" s="50">
        <f t="shared" si="10"/>
        <v>29.991135199999999</v>
      </c>
      <c r="H191" s="8">
        <f t="shared" si="11"/>
        <v>6.5989999999999993E-2</v>
      </c>
      <c r="I191" s="98">
        <f t="shared" si="12"/>
        <v>6.5989999999999993E-2</v>
      </c>
      <c r="L191" s="6">
        <v>17.141299999999998</v>
      </c>
    </row>
    <row r="192" spans="1:12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9"/>
        <v>166.2</v>
      </c>
      <c r="G192" s="50">
        <f t="shared" si="10"/>
        <v>10.967537999999998</v>
      </c>
      <c r="H192" s="8">
        <f t="shared" si="11"/>
        <v>6.5989999999999993E-2</v>
      </c>
      <c r="I192" s="98">
        <f t="shared" si="12"/>
        <v>6.5989999999999993E-2</v>
      </c>
      <c r="L192" s="6">
        <v>0</v>
      </c>
    </row>
    <row r="193" spans="1:12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9"/>
        <v>338.6</v>
      </c>
      <c r="G193" s="50">
        <f t="shared" si="10"/>
        <v>22.344214000000001</v>
      </c>
      <c r="H193" s="8">
        <f t="shared" si="11"/>
        <v>6.5989999999999993E-2</v>
      </c>
      <c r="I193" s="98">
        <f t="shared" si="12"/>
        <v>6.5989999999999993E-2</v>
      </c>
      <c r="L193" s="6">
        <v>0</v>
      </c>
    </row>
    <row r="194" spans="1:12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9"/>
        <v>453.7</v>
      </c>
      <c r="G194" s="50">
        <f t="shared" si="10"/>
        <v>29.939662999999996</v>
      </c>
      <c r="H194" s="8">
        <f t="shared" si="11"/>
        <v>6.5989999999999993E-2</v>
      </c>
      <c r="I194" s="98">
        <f t="shared" si="12"/>
        <v>6.5989999999999993E-2</v>
      </c>
      <c r="L194" s="6">
        <v>25.971666666666664</v>
      </c>
    </row>
    <row r="195" spans="1:12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9"/>
        <v>135</v>
      </c>
      <c r="G195" s="50">
        <f t="shared" si="10"/>
        <v>8.9086499999999997</v>
      </c>
      <c r="H195" s="8">
        <f t="shared" si="11"/>
        <v>6.5989999999999993E-2</v>
      </c>
      <c r="I195" s="98">
        <f t="shared" si="12"/>
        <v>6.5989999999999993E-2</v>
      </c>
      <c r="L195" s="6">
        <v>0</v>
      </c>
    </row>
    <row r="196" spans="1:12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9"/>
        <v>89.9</v>
      </c>
      <c r="G196" s="50">
        <f t="shared" si="10"/>
        <v>5.9325009999999994</v>
      </c>
      <c r="H196" s="8">
        <f t="shared" si="11"/>
        <v>6.5989999999999993E-2</v>
      </c>
      <c r="I196" s="98">
        <f t="shared" si="12"/>
        <v>6.5989999999999993E-2</v>
      </c>
      <c r="L196" s="6">
        <v>0</v>
      </c>
    </row>
    <row r="197" spans="1:12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9"/>
        <v>224.08</v>
      </c>
      <c r="G197" s="50">
        <f t="shared" si="10"/>
        <v>14.787039199999999</v>
      </c>
      <c r="H197" s="8">
        <f t="shared" si="11"/>
        <v>6.5989999999999993E-2</v>
      </c>
      <c r="I197" s="98">
        <f t="shared" si="12"/>
        <v>6.5989999999999993E-2</v>
      </c>
      <c r="L197" s="6">
        <v>0</v>
      </c>
    </row>
    <row r="198" spans="1:12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9"/>
        <v>653.71</v>
      </c>
      <c r="G198" s="50">
        <f t="shared" si="10"/>
        <v>43.138322899999999</v>
      </c>
      <c r="H198" s="8">
        <f t="shared" si="11"/>
        <v>6.5989999999999993E-2</v>
      </c>
      <c r="I198" s="98">
        <f t="shared" si="12"/>
        <v>6.5989999999999993E-2</v>
      </c>
      <c r="L198" s="6">
        <v>0</v>
      </c>
    </row>
    <row r="199" spans="1:12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9"/>
        <v>182.11</v>
      </c>
      <c r="G199" s="50">
        <f t="shared" si="10"/>
        <v>12.0174389</v>
      </c>
      <c r="H199" s="8">
        <f t="shared" si="11"/>
        <v>6.5989999999999993E-2</v>
      </c>
      <c r="I199" s="98">
        <f t="shared" si="12"/>
        <v>6.5989999999999993E-2</v>
      </c>
      <c r="L199" s="6">
        <v>0</v>
      </c>
    </row>
    <row r="200" spans="1:12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9"/>
        <v>2379.1</v>
      </c>
      <c r="G200" s="50">
        <f t="shared" si="10"/>
        <v>156.99680899999998</v>
      </c>
      <c r="H200" s="8">
        <f t="shared" si="11"/>
        <v>6.5989999999999993E-2</v>
      </c>
      <c r="I200" s="98">
        <f t="shared" si="12"/>
        <v>6.5989999999999993E-2</v>
      </c>
      <c r="L200" s="6">
        <v>172.71158333333335</v>
      </c>
    </row>
    <row r="201" spans="1:12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9"/>
        <v>140.19999999999999</v>
      </c>
      <c r="G201" s="50">
        <f t="shared" si="10"/>
        <v>9.2517979999999991</v>
      </c>
      <c r="H201" s="8">
        <f t="shared" si="11"/>
        <v>6.5989999999999993E-2</v>
      </c>
      <c r="I201" s="98">
        <f t="shared" si="12"/>
        <v>6.5989999999999993E-2</v>
      </c>
      <c r="L201" s="6">
        <v>0</v>
      </c>
    </row>
    <row r="202" spans="1:12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9"/>
        <v>116.79</v>
      </c>
      <c r="G202" s="50">
        <f t="shared" si="10"/>
        <v>7.7069720999999998</v>
      </c>
      <c r="H202" s="8">
        <f t="shared" si="11"/>
        <v>6.5989999999999993E-2</v>
      </c>
      <c r="I202" s="98">
        <f t="shared" si="12"/>
        <v>6.5989999999999993E-2</v>
      </c>
      <c r="L202" s="6">
        <v>0</v>
      </c>
    </row>
    <row r="203" spans="1:12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9"/>
        <v>59.7</v>
      </c>
      <c r="G203" s="50">
        <f t="shared" si="10"/>
        <v>3.939603</v>
      </c>
      <c r="H203" s="8">
        <f t="shared" si="11"/>
        <v>6.5989999999999993E-2</v>
      </c>
      <c r="I203" s="98">
        <f t="shared" si="12"/>
        <v>6.5989999999999993E-2</v>
      </c>
      <c r="L203" s="6">
        <v>0</v>
      </c>
    </row>
    <row r="204" spans="1:12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9"/>
        <v>137.5</v>
      </c>
      <c r="G204" s="50">
        <f t="shared" si="10"/>
        <v>9.0736249999999998</v>
      </c>
      <c r="H204" s="8">
        <f t="shared" si="11"/>
        <v>6.5989999999999993E-2</v>
      </c>
      <c r="I204" s="98">
        <f t="shared" si="12"/>
        <v>6.5989999999999993E-2</v>
      </c>
      <c r="L204" s="6">
        <v>0</v>
      </c>
    </row>
    <row r="205" spans="1:12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9"/>
        <v>1908.3000000000002</v>
      </c>
      <c r="G205" s="50">
        <f t="shared" si="10"/>
        <v>125.92871699999999</v>
      </c>
      <c r="H205" s="8">
        <f t="shared" si="11"/>
        <v>6.5989999999999993E-2</v>
      </c>
      <c r="I205" s="98">
        <f t="shared" si="12"/>
        <v>6.5989999999999993E-2</v>
      </c>
      <c r="L205" s="6">
        <v>93.238283333333328</v>
      </c>
    </row>
    <row r="206" spans="1:12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9"/>
        <v>140.4</v>
      </c>
      <c r="G206" s="50">
        <f t="shared" si="10"/>
        <v>9.264996</v>
      </c>
      <c r="H206" s="8">
        <f t="shared" si="11"/>
        <v>6.5989999999999993E-2</v>
      </c>
      <c r="I206" s="98">
        <f t="shared" si="12"/>
        <v>6.5989999999999993E-2</v>
      </c>
      <c r="L206" s="6">
        <v>7.7915000000000001</v>
      </c>
    </row>
    <row r="207" spans="1:12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ref="F207:F268" si="13">C207+D207+E207</f>
        <v>290.7</v>
      </c>
      <c r="G207" s="50">
        <f t="shared" si="10"/>
        <v>19.183292999999995</v>
      </c>
      <c r="H207" s="8">
        <f t="shared" si="11"/>
        <v>6.5989999999999993E-2</v>
      </c>
      <c r="I207" s="98">
        <f t="shared" si="12"/>
        <v>6.5989999999999993E-2</v>
      </c>
      <c r="L207" s="6">
        <v>38.438066666666664</v>
      </c>
    </row>
    <row r="208" spans="1:12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si="13"/>
        <v>2427.7199999999998</v>
      </c>
      <c r="G208" s="50">
        <f t="shared" si="10"/>
        <v>160.20524279999998</v>
      </c>
      <c r="H208" s="8">
        <f t="shared" si="11"/>
        <v>6.5989999999999993E-2</v>
      </c>
      <c r="I208" s="98">
        <f t="shared" si="12"/>
        <v>6.5989999999999993E-2</v>
      </c>
      <c r="L208" s="6">
        <v>181.80166666666668</v>
      </c>
    </row>
    <row r="209" spans="1:12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si="13"/>
        <v>93</v>
      </c>
      <c r="G209" s="50">
        <f t="shared" si="10"/>
        <v>6.1370699999999996</v>
      </c>
      <c r="H209" s="8">
        <f t="shared" si="11"/>
        <v>6.5989999999999993E-2</v>
      </c>
      <c r="I209" s="98">
        <f t="shared" si="12"/>
        <v>6.5989999999999993E-2</v>
      </c>
      <c r="L209" s="6">
        <v>0</v>
      </c>
    </row>
    <row r="210" spans="1:12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13"/>
        <v>1473.7</v>
      </c>
      <c r="G210" s="50">
        <f t="shared" si="10"/>
        <v>97.249462999999992</v>
      </c>
      <c r="H210" s="8">
        <f t="shared" si="11"/>
        <v>6.5989999999999993E-2</v>
      </c>
      <c r="I210" s="98">
        <f t="shared" si="12"/>
        <v>6.5989999999999993E-2</v>
      </c>
      <c r="L210" s="6">
        <v>124.92371666666666</v>
      </c>
    </row>
    <row r="211" spans="1:12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13"/>
        <v>2507</v>
      </c>
      <c r="G211" s="50">
        <f t="shared" si="10"/>
        <v>165.43692999999999</v>
      </c>
      <c r="H211" s="8">
        <f t="shared" si="11"/>
        <v>6.5989999999999993E-2</v>
      </c>
      <c r="I211" s="98">
        <f t="shared" si="12"/>
        <v>6.5989999999999993E-2</v>
      </c>
      <c r="L211" s="6">
        <v>129.85833333333332</v>
      </c>
    </row>
    <row r="212" spans="1:12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13"/>
        <v>3505.3</v>
      </c>
      <c r="G212" s="50">
        <f t="shared" si="10"/>
        <v>231.31474699999998</v>
      </c>
      <c r="H212" s="8">
        <f t="shared" si="11"/>
        <v>6.5989999999999993E-2</v>
      </c>
      <c r="I212" s="98">
        <f t="shared" si="12"/>
        <v>6.5989999999999993E-2</v>
      </c>
      <c r="L212" s="6">
        <v>398.40536666666662</v>
      </c>
    </row>
    <row r="213" spans="1:12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13"/>
        <v>191.78</v>
      </c>
      <c r="G213" s="50">
        <f t="shared" si="10"/>
        <v>12.655562199999999</v>
      </c>
      <c r="H213" s="8">
        <f t="shared" si="11"/>
        <v>6.5989999999999993E-2</v>
      </c>
      <c r="I213" s="98">
        <f t="shared" si="12"/>
        <v>6.5989999999999993E-2</v>
      </c>
      <c r="L213" s="6">
        <v>0</v>
      </c>
    </row>
    <row r="214" spans="1:12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13"/>
        <v>3560.1</v>
      </c>
      <c r="G214" s="50">
        <f t="shared" si="10"/>
        <v>234.93099899999996</v>
      </c>
      <c r="H214" s="8">
        <f t="shared" si="11"/>
        <v>6.5989999999999993E-2</v>
      </c>
      <c r="I214" s="98">
        <f t="shared" si="12"/>
        <v>6.5989999999999993E-2</v>
      </c>
      <c r="L214" s="6">
        <v>349.05919999999998</v>
      </c>
    </row>
    <row r="215" spans="1:12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13"/>
        <v>291.19</v>
      </c>
      <c r="G215" s="50">
        <f t="shared" si="10"/>
        <v>19.215628099999996</v>
      </c>
      <c r="H215" s="8">
        <f t="shared" si="11"/>
        <v>6.5989999999999993E-2</v>
      </c>
      <c r="I215" s="98">
        <f t="shared" si="12"/>
        <v>6.5989999999999993E-2</v>
      </c>
      <c r="L215" s="6">
        <v>14.803849999999999</v>
      </c>
    </row>
    <row r="216" spans="1:12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13"/>
        <v>173.45</v>
      </c>
      <c r="G216" s="50">
        <f t="shared" si="10"/>
        <v>11.445965499999998</v>
      </c>
      <c r="H216" s="8">
        <f t="shared" si="11"/>
        <v>6.5989999999999993E-2</v>
      </c>
      <c r="I216" s="98">
        <f t="shared" si="12"/>
        <v>6.5989999999999993E-2</v>
      </c>
      <c r="L216" s="6">
        <v>0</v>
      </c>
    </row>
    <row r="217" spans="1:12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13"/>
        <v>209.66</v>
      </c>
      <c r="G217" s="50">
        <f t="shared" si="10"/>
        <v>13.835463399999998</v>
      </c>
      <c r="H217" s="8">
        <f t="shared" si="11"/>
        <v>6.5989999999999993E-2</v>
      </c>
      <c r="I217" s="98">
        <f t="shared" si="12"/>
        <v>6.5989999999999993E-2</v>
      </c>
      <c r="L217" s="342">
        <f t="shared" ref="L217:L250" si="14">J217*0.5</f>
        <v>0</v>
      </c>
    </row>
    <row r="218" spans="1:12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13"/>
        <v>408.46</v>
      </c>
      <c r="G218" s="50">
        <f t="shared" si="10"/>
        <v>26.954275399999997</v>
      </c>
      <c r="H218" s="8">
        <f t="shared" si="11"/>
        <v>6.5989999999999993E-2</v>
      </c>
      <c r="I218" s="98">
        <f t="shared" si="12"/>
        <v>6.5989999999999993E-2</v>
      </c>
      <c r="L218" s="342">
        <f t="shared" si="14"/>
        <v>0</v>
      </c>
    </row>
    <row r="219" spans="1:12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13"/>
        <v>67.3</v>
      </c>
      <c r="G219" s="50">
        <f t="shared" si="10"/>
        <v>4.4411269999999989</v>
      </c>
      <c r="H219" s="8">
        <f t="shared" si="11"/>
        <v>6.5989999999999993E-2</v>
      </c>
      <c r="I219" s="98">
        <f t="shared" si="12"/>
        <v>6.5989999999999993E-2</v>
      </c>
      <c r="L219" s="342">
        <f t="shared" si="14"/>
        <v>0</v>
      </c>
    </row>
    <row r="220" spans="1:12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13"/>
        <v>352.8</v>
      </c>
      <c r="G220" s="50">
        <f t="shared" ref="G220:G283" si="15">SUM(F220*H220)</f>
        <v>23.281271999999998</v>
      </c>
      <c r="H220" s="8">
        <f t="shared" ref="H220:H283" si="16">0.06599</f>
        <v>6.5989999999999993E-2</v>
      </c>
      <c r="I220" s="98">
        <f t="shared" ref="I220:I283" si="17">SUM(G220/F220)</f>
        <v>6.5989999999999993E-2</v>
      </c>
      <c r="L220" s="342">
        <f t="shared" si="14"/>
        <v>0</v>
      </c>
    </row>
    <row r="221" spans="1:12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13"/>
        <v>111.58</v>
      </c>
      <c r="G221" s="50">
        <f t="shared" si="15"/>
        <v>7.363164199999999</v>
      </c>
      <c r="H221" s="8">
        <f t="shared" si="16"/>
        <v>6.5989999999999993E-2</v>
      </c>
      <c r="I221" s="98">
        <f t="shared" si="17"/>
        <v>6.5989999999999993E-2</v>
      </c>
      <c r="L221" s="342">
        <f t="shared" si="14"/>
        <v>0</v>
      </c>
    </row>
    <row r="222" spans="1:12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13"/>
        <v>115.8</v>
      </c>
      <c r="G222" s="50">
        <f t="shared" si="15"/>
        <v>7.6416419999999992</v>
      </c>
      <c r="H222" s="8">
        <f t="shared" si="16"/>
        <v>6.5989999999999993E-2</v>
      </c>
      <c r="I222" s="98">
        <f t="shared" si="17"/>
        <v>6.5989999999999993E-2</v>
      </c>
      <c r="L222" s="342">
        <f t="shared" si="14"/>
        <v>0</v>
      </c>
    </row>
    <row r="223" spans="1:12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13"/>
        <v>141.30000000000001</v>
      </c>
      <c r="G223" s="50">
        <f t="shared" si="15"/>
        <v>9.3243869999999998</v>
      </c>
      <c r="H223" s="8">
        <f t="shared" si="16"/>
        <v>6.5989999999999993E-2</v>
      </c>
      <c r="I223" s="98">
        <f t="shared" si="17"/>
        <v>6.5989999999999993E-2</v>
      </c>
      <c r="L223" s="342">
        <f t="shared" si="14"/>
        <v>0</v>
      </c>
    </row>
    <row r="224" spans="1:12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13"/>
        <v>161.1</v>
      </c>
      <c r="G224" s="50">
        <f t="shared" si="15"/>
        <v>10.630988999999998</v>
      </c>
      <c r="H224" s="8">
        <f t="shared" si="16"/>
        <v>6.5989999999999993E-2</v>
      </c>
      <c r="I224" s="98">
        <f t="shared" si="17"/>
        <v>6.5989999999999993E-2</v>
      </c>
      <c r="L224" s="342">
        <f t="shared" si="14"/>
        <v>0</v>
      </c>
    </row>
    <row r="225" spans="1:12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13"/>
        <v>308.8</v>
      </c>
      <c r="G225" s="50">
        <f t="shared" si="15"/>
        <v>20.377711999999999</v>
      </c>
      <c r="H225" s="8">
        <f t="shared" si="16"/>
        <v>6.5989999999999993E-2</v>
      </c>
      <c r="I225" s="98">
        <f t="shared" si="17"/>
        <v>6.5989999999999993E-2</v>
      </c>
      <c r="L225" s="342">
        <f t="shared" si="14"/>
        <v>0</v>
      </c>
    </row>
    <row r="226" spans="1:12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13"/>
        <v>343.31</v>
      </c>
      <c r="G226" s="50">
        <f t="shared" si="15"/>
        <v>22.655026899999999</v>
      </c>
      <c r="H226" s="8">
        <f t="shared" si="16"/>
        <v>6.5989999999999993E-2</v>
      </c>
      <c r="I226" s="98">
        <f t="shared" si="17"/>
        <v>6.5989999999999993E-2</v>
      </c>
      <c r="L226" s="342">
        <f t="shared" si="14"/>
        <v>0</v>
      </c>
    </row>
    <row r="227" spans="1:12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13"/>
        <v>146.82</v>
      </c>
      <c r="G227" s="50">
        <f t="shared" si="15"/>
        <v>9.6886517999999988</v>
      </c>
      <c r="H227" s="8">
        <f t="shared" si="16"/>
        <v>6.5989999999999993E-2</v>
      </c>
      <c r="I227" s="98">
        <f t="shared" si="17"/>
        <v>6.5989999999999993E-2</v>
      </c>
      <c r="L227" s="342">
        <f t="shared" si="14"/>
        <v>0</v>
      </c>
    </row>
    <row r="228" spans="1:12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13"/>
        <v>218.19</v>
      </c>
      <c r="G228" s="50">
        <f t="shared" si="15"/>
        <v>14.398358099999998</v>
      </c>
      <c r="H228" s="8">
        <f t="shared" si="16"/>
        <v>6.5989999999999993E-2</v>
      </c>
      <c r="I228" s="98">
        <f t="shared" si="17"/>
        <v>6.5989999999999993E-2</v>
      </c>
      <c r="L228" s="342">
        <f t="shared" si="14"/>
        <v>0</v>
      </c>
    </row>
    <row r="229" spans="1:12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13"/>
        <v>109.6</v>
      </c>
      <c r="G229" s="50">
        <f t="shared" si="15"/>
        <v>7.2325039999999987</v>
      </c>
      <c r="H229" s="8">
        <f t="shared" si="16"/>
        <v>6.5989999999999993E-2</v>
      </c>
      <c r="I229" s="98">
        <f t="shared" si="17"/>
        <v>6.5989999999999993E-2</v>
      </c>
      <c r="L229" s="342">
        <f t="shared" si="14"/>
        <v>0</v>
      </c>
    </row>
    <row r="230" spans="1:12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13"/>
        <v>41.4</v>
      </c>
      <c r="G230" s="50">
        <f t="shared" si="15"/>
        <v>2.7319859999999996</v>
      </c>
      <c r="H230" s="8">
        <f t="shared" si="16"/>
        <v>6.5989999999999993E-2</v>
      </c>
      <c r="I230" s="98">
        <f t="shared" si="17"/>
        <v>6.5989999999999993E-2</v>
      </c>
      <c r="L230" s="342">
        <f t="shared" si="14"/>
        <v>0</v>
      </c>
    </row>
    <row r="231" spans="1:12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13"/>
        <v>143.4</v>
      </c>
      <c r="G231" s="50">
        <f t="shared" si="15"/>
        <v>9.4629659999999998</v>
      </c>
      <c r="H231" s="8">
        <f t="shared" si="16"/>
        <v>6.5989999999999993E-2</v>
      </c>
      <c r="I231" s="98">
        <f t="shared" si="17"/>
        <v>6.5989999999999993E-2</v>
      </c>
      <c r="L231" s="342">
        <f t="shared" si="14"/>
        <v>0</v>
      </c>
    </row>
    <row r="232" spans="1:12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13"/>
        <v>473.2</v>
      </c>
      <c r="G232" s="50">
        <f t="shared" si="15"/>
        <v>31.226467999999997</v>
      </c>
      <c r="H232" s="8">
        <f t="shared" si="16"/>
        <v>6.5989999999999993E-2</v>
      </c>
      <c r="I232" s="98">
        <f t="shared" si="17"/>
        <v>6.5989999999999993E-2</v>
      </c>
      <c r="L232" s="342">
        <f t="shared" si="14"/>
        <v>0</v>
      </c>
    </row>
    <row r="233" spans="1:12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13"/>
        <v>306.10000000000002</v>
      </c>
      <c r="G233" s="50">
        <f t="shared" si="15"/>
        <v>20.199538999999998</v>
      </c>
      <c r="H233" s="8">
        <f t="shared" si="16"/>
        <v>6.5989999999999993E-2</v>
      </c>
      <c r="I233" s="98">
        <f t="shared" si="17"/>
        <v>6.5989999999999993E-2</v>
      </c>
      <c r="L233" s="342">
        <f t="shared" si="14"/>
        <v>0</v>
      </c>
    </row>
    <row r="234" spans="1:12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13"/>
        <v>239.7</v>
      </c>
      <c r="G234" s="50">
        <f t="shared" si="15"/>
        <v>15.817802999999998</v>
      </c>
      <c r="H234" s="8">
        <f t="shared" si="16"/>
        <v>6.5989999999999993E-2</v>
      </c>
      <c r="I234" s="98">
        <f t="shared" si="17"/>
        <v>6.5989999999999993E-2</v>
      </c>
      <c r="L234" s="342">
        <f t="shared" si="14"/>
        <v>0</v>
      </c>
    </row>
    <row r="235" spans="1:12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13"/>
        <v>193.7</v>
      </c>
      <c r="G235" s="50">
        <f t="shared" si="15"/>
        <v>12.782262999999999</v>
      </c>
      <c r="H235" s="8">
        <f t="shared" si="16"/>
        <v>6.5989999999999993E-2</v>
      </c>
      <c r="I235" s="98">
        <f t="shared" si="17"/>
        <v>6.5989999999999993E-2</v>
      </c>
      <c r="L235" s="342">
        <f t="shared" si="14"/>
        <v>0</v>
      </c>
    </row>
    <row r="236" spans="1:12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13"/>
        <v>83.9</v>
      </c>
      <c r="G236" s="50">
        <f t="shared" si="15"/>
        <v>5.5365609999999998</v>
      </c>
      <c r="H236" s="8">
        <f t="shared" si="16"/>
        <v>6.5989999999999993E-2</v>
      </c>
      <c r="I236" s="98">
        <f t="shared" si="17"/>
        <v>6.5989999999999993E-2</v>
      </c>
      <c r="L236" s="342">
        <f t="shared" si="14"/>
        <v>0</v>
      </c>
    </row>
    <row r="237" spans="1:12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13"/>
        <v>2111.66</v>
      </c>
      <c r="G237" s="50">
        <f t="shared" si="15"/>
        <v>139.34844339999998</v>
      </c>
      <c r="H237" s="8">
        <f t="shared" si="16"/>
        <v>6.5989999999999993E-2</v>
      </c>
      <c r="I237" s="98">
        <f t="shared" si="17"/>
        <v>6.5989999999999993E-2</v>
      </c>
      <c r="L237" s="342">
        <f t="shared" si="14"/>
        <v>0</v>
      </c>
    </row>
    <row r="238" spans="1:12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13"/>
        <v>424.8</v>
      </c>
      <c r="G238" s="50">
        <f t="shared" si="15"/>
        <v>28.032551999999999</v>
      </c>
      <c r="H238" s="8">
        <f t="shared" si="16"/>
        <v>6.5989999999999993E-2</v>
      </c>
      <c r="I238" s="98">
        <f t="shared" si="17"/>
        <v>6.5989999999999993E-2</v>
      </c>
      <c r="L238" s="342">
        <f t="shared" si="14"/>
        <v>0</v>
      </c>
    </row>
    <row r="239" spans="1:12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13"/>
        <v>105.5</v>
      </c>
      <c r="G239" s="50">
        <f t="shared" si="15"/>
        <v>6.9619449999999992</v>
      </c>
      <c r="H239" s="8">
        <f t="shared" si="16"/>
        <v>6.5989999999999993E-2</v>
      </c>
      <c r="I239" s="98">
        <f t="shared" si="17"/>
        <v>6.5989999999999993E-2</v>
      </c>
      <c r="L239" s="342">
        <f t="shared" si="14"/>
        <v>0</v>
      </c>
    </row>
    <row r="240" spans="1:12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13"/>
        <v>158.6</v>
      </c>
      <c r="G240" s="50">
        <f t="shared" si="15"/>
        <v>10.466013999999998</v>
      </c>
      <c r="H240" s="8">
        <f t="shared" si="16"/>
        <v>6.5989999999999993E-2</v>
      </c>
      <c r="I240" s="98">
        <f t="shared" si="17"/>
        <v>6.5989999999999993E-2</v>
      </c>
      <c r="L240" s="342">
        <f t="shared" si="14"/>
        <v>0</v>
      </c>
    </row>
    <row r="241" spans="1:12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13"/>
        <v>84.9</v>
      </c>
      <c r="G241" s="50">
        <f t="shared" si="15"/>
        <v>5.6025510000000001</v>
      </c>
      <c r="H241" s="8">
        <f t="shared" si="16"/>
        <v>6.5989999999999993E-2</v>
      </c>
      <c r="I241" s="98">
        <f t="shared" si="17"/>
        <v>6.5989999999999993E-2</v>
      </c>
      <c r="L241" s="342">
        <f t="shared" si="14"/>
        <v>0</v>
      </c>
    </row>
    <row r="242" spans="1:12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13"/>
        <v>191.6</v>
      </c>
      <c r="G242" s="50">
        <f t="shared" si="15"/>
        <v>12.643683999999999</v>
      </c>
      <c r="H242" s="8">
        <f t="shared" si="16"/>
        <v>6.5989999999999993E-2</v>
      </c>
      <c r="I242" s="98">
        <f t="shared" si="17"/>
        <v>6.5989999999999993E-2</v>
      </c>
      <c r="L242" s="342">
        <f t="shared" si="14"/>
        <v>0</v>
      </c>
    </row>
    <row r="243" spans="1:12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13"/>
        <v>220.11</v>
      </c>
      <c r="G243" s="50">
        <f t="shared" si="15"/>
        <v>14.525058899999999</v>
      </c>
      <c r="H243" s="8">
        <f t="shared" si="16"/>
        <v>6.5989999999999993E-2</v>
      </c>
      <c r="I243" s="98">
        <f t="shared" si="17"/>
        <v>6.5989999999999993E-2</v>
      </c>
      <c r="L243" s="342">
        <f t="shared" si="14"/>
        <v>0</v>
      </c>
    </row>
    <row r="244" spans="1:12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13"/>
        <v>154.1</v>
      </c>
      <c r="G244" s="50">
        <f t="shared" si="15"/>
        <v>10.169058999999999</v>
      </c>
      <c r="H244" s="8">
        <f t="shared" si="16"/>
        <v>6.5989999999999993E-2</v>
      </c>
      <c r="I244" s="98">
        <f t="shared" si="17"/>
        <v>6.5989999999999993E-2</v>
      </c>
      <c r="L244" s="342">
        <f t="shared" si="14"/>
        <v>0</v>
      </c>
    </row>
    <row r="245" spans="1:12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13"/>
        <v>219.1</v>
      </c>
      <c r="G245" s="50">
        <f t="shared" si="15"/>
        <v>14.458408999999998</v>
      </c>
      <c r="H245" s="8">
        <f t="shared" si="16"/>
        <v>6.5989999999999993E-2</v>
      </c>
      <c r="I245" s="98">
        <f t="shared" si="17"/>
        <v>6.5989999999999993E-2</v>
      </c>
      <c r="L245" s="342">
        <f t="shared" si="14"/>
        <v>0</v>
      </c>
    </row>
    <row r="246" spans="1:12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13"/>
        <v>255.8</v>
      </c>
      <c r="G246" s="50">
        <f t="shared" si="15"/>
        <v>16.880241999999999</v>
      </c>
      <c r="H246" s="8">
        <f t="shared" si="16"/>
        <v>6.5989999999999993E-2</v>
      </c>
      <c r="I246" s="98">
        <f t="shared" si="17"/>
        <v>6.5989999999999993E-2</v>
      </c>
      <c r="L246" s="342">
        <f t="shared" si="14"/>
        <v>0</v>
      </c>
    </row>
    <row r="247" spans="1:12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13"/>
        <v>58.3</v>
      </c>
      <c r="G247" s="50">
        <f t="shared" si="15"/>
        <v>3.8472169999999992</v>
      </c>
      <c r="H247" s="8">
        <f t="shared" si="16"/>
        <v>6.5989999999999993E-2</v>
      </c>
      <c r="I247" s="98">
        <f t="shared" si="17"/>
        <v>6.5989999999999993E-2</v>
      </c>
      <c r="L247" s="342">
        <f t="shared" si="14"/>
        <v>0</v>
      </c>
    </row>
    <row r="248" spans="1:12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13"/>
        <v>47.2</v>
      </c>
      <c r="G248" s="50">
        <f t="shared" si="15"/>
        <v>3.1147279999999999</v>
      </c>
      <c r="H248" s="8">
        <f t="shared" si="16"/>
        <v>6.5989999999999993E-2</v>
      </c>
      <c r="I248" s="98">
        <f t="shared" si="17"/>
        <v>6.5989999999999993E-2</v>
      </c>
      <c r="L248" s="342">
        <f t="shared" si="14"/>
        <v>0</v>
      </c>
    </row>
    <row r="249" spans="1:12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13"/>
        <v>101.5</v>
      </c>
      <c r="G249" s="50">
        <f t="shared" si="15"/>
        <v>6.6979849999999992</v>
      </c>
      <c r="H249" s="8">
        <f t="shared" si="16"/>
        <v>6.5989999999999993E-2</v>
      </c>
      <c r="I249" s="98">
        <f t="shared" si="17"/>
        <v>6.5989999999999993E-2</v>
      </c>
      <c r="L249" s="342">
        <f t="shared" si="14"/>
        <v>0</v>
      </c>
    </row>
    <row r="250" spans="1:12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13"/>
        <v>57.8</v>
      </c>
      <c r="G250" s="50">
        <f t="shared" si="15"/>
        <v>3.8142219999999996</v>
      </c>
      <c r="H250" s="8">
        <f t="shared" si="16"/>
        <v>6.5989999999999993E-2</v>
      </c>
      <c r="I250" s="98">
        <f t="shared" si="17"/>
        <v>6.5989999999999993E-2</v>
      </c>
      <c r="L250" s="342">
        <f t="shared" si="14"/>
        <v>0</v>
      </c>
    </row>
    <row r="251" spans="1:12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13"/>
        <v>670.84999999999991</v>
      </c>
      <c r="G251" s="50">
        <f t="shared" si="15"/>
        <v>44.26939149999999</v>
      </c>
      <c r="H251" s="8">
        <f t="shared" si="16"/>
        <v>6.5989999999999993E-2</v>
      </c>
      <c r="I251" s="98">
        <f t="shared" si="17"/>
        <v>6.5989999999999993E-2</v>
      </c>
      <c r="L251" s="6">
        <v>32.984016666666669</v>
      </c>
    </row>
    <row r="252" spans="1:12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13"/>
        <v>648.9</v>
      </c>
      <c r="G252" s="50">
        <f t="shared" si="15"/>
        <v>42.820910999999995</v>
      </c>
      <c r="H252" s="8">
        <f t="shared" si="16"/>
        <v>6.5989999999999993E-2</v>
      </c>
      <c r="I252" s="98">
        <f t="shared" si="17"/>
        <v>6.5989999999999993E-2</v>
      </c>
      <c r="L252" s="6">
        <v>37.658916666666663</v>
      </c>
    </row>
    <row r="253" spans="1:12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13"/>
        <v>753.1</v>
      </c>
      <c r="G253" s="50">
        <f t="shared" si="15"/>
        <v>49.697068999999999</v>
      </c>
      <c r="H253" s="8">
        <f t="shared" si="16"/>
        <v>6.5989999999999993E-2</v>
      </c>
      <c r="I253" s="98">
        <f t="shared" si="17"/>
        <v>6.5989999999999993E-2</v>
      </c>
      <c r="L253" s="6">
        <v>35.061749999999996</v>
      </c>
    </row>
    <row r="254" spans="1:12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13"/>
        <v>276.60000000000002</v>
      </c>
      <c r="G254" s="50">
        <f t="shared" si="15"/>
        <v>18.252834</v>
      </c>
      <c r="H254" s="8">
        <f t="shared" si="16"/>
        <v>6.5989999999999993E-2</v>
      </c>
      <c r="I254" s="98">
        <f t="shared" si="17"/>
        <v>6.5989999999999993E-2</v>
      </c>
      <c r="L254" s="6">
        <v>38.957500000000003</v>
      </c>
    </row>
    <row r="255" spans="1:12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13"/>
        <v>238.8</v>
      </c>
      <c r="G255" s="50">
        <f t="shared" si="15"/>
        <v>15.758412</v>
      </c>
      <c r="H255" s="8">
        <f t="shared" si="16"/>
        <v>6.5989999999999993E-2</v>
      </c>
      <c r="I255" s="98">
        <f t="shared" si="17"/>
        <v>6.5989999999999993E-2</v>
      </c>
      <c r="L255" s="6">
        <v>34.542316666666665</v>
      </c>
    </row>
    <row r="256" spans="1:12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13"/>
        <v>754.13</v>
      </c>
      <c r="G256" s="50">
        <f t="shared" si="15"/>
        <v>49.765038699999991</v>
      </c>
      <c r="H256" s="8">
        <f t="shared" si="16"/>
        <v>6.5989999999999993E-2</v>
      </c>
      <c r="I256" s="98">
        <f t="shared" si="17"/>
        <v>6.5989999999999993E-2</v>
      </c>
      <c r="L256" s="6">
        <v>9.0900833333333342</v>
      </c>
    </row>
    <row r="257" spans="1:12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13"/>
        <v>911.08</v>
      </c>
      <c r="G257" s="50">
        <f t="shared" si="15"/>
        <v>60.122169199999995</v>
      </c>
      <c r="H257" s="8">
        <f t="shared" si="16"/>
        <v>6.5989999999999993E-2</v>
      </c>
      <c r="I257" s="98">
        <f t="shared" si="17"/>
        <v>6.5989999999999993E-2</v>
      </c>
      <c r="L257" s="6">
        <v>10.908099999999999</v>
      </c>
    </row>
    <row r="258" spans="1:12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13"/>
        <v>707.90000000000009</v>
      </c>
      <c r="G258" s="50">
        <f t="shared" si="15"/>
        <v>46.714320999999998</v>
      </c>
      <c r="H258" s="8">
        <f t="shared" si="16"/>
        <v>6.5989999999999993E-2</v>
      </c>
      <c r="I258" s="98">
        <f t="shared" si="17"/>
        <v>6.5989999999999993E-2</v>
      </c>
      <c r="L258" s="6">
        <v>18.959316666666666</v>
      </c>
    </row>
    <row r="259" spans="1:12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13"/>
        <v>814.34</v>
      </c>
      <c r="G259" s="50">
        <f t="shared" si="15"/>
        <v>53.738296599999998</v>
      </c>
      <c r="H259" s="8">
        <f t="shared" si="16"/>
        <v>6.5989999999999993E-2</v>
      </c>
      <c r="I259" s="98">
        <f t="shared" si="17"/>
        <v>6.5989999999999993E-2</v>
      </c>
      <c r="L259" s="6">
        <v>35.061749999999996</v>
      </c>
    </row>
    <row r="260" spans="1:12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13"/>
        <v>562.29999999999995</v>
      </c>
      <c r="G260" s="50">
        <f t="shared" si="15"/>
        <v>37.106176999999995</v>
      </c>
      <c r="H260" s="8">
        <f t="shared" si="16"/>
        <v>6.5989999999999993E-2</v>
      </c>
      <c r="I260" s="98">
        <f t="shared" si="17"/>
        <v>6.5989999999999993E-2</v>
      </c>
      <c r="L260" s="6">
        <v>5.4540499999999996</v>
      </c>
    </row>
    <row r="261" spans="1:12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13"/>
        <v>410.5</v>
      </c>
      <c r="G261" s="50">
        <f t="shared" si="15"/>
        <v>27.088894999999997</v>
      </c>
      <c r="H261" s="8">
        <f t="shared" si="16"/>
        <v>6.5989999999999993E-2</v>
      </c>
      <c r="I261" s="98">
        <f t="shared" si="17"/>
        <v>6.5989999999999993E-2</v>
      </c>
      <c r="L261" s="6">
        <v>10.908099999999999</v>
      </c>
    </row>
    <row r="262" spans="1:12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13"/>
        <v>523.27</v>
      </c>
      <c r="G262" s="50">
        <f t="shared" si="15"/>
        <v>34.530587299999993</v>
      </c>
      <c r="H262" s="8">
        <f t="shared" si="16"/>
        <v>6.5989999999999993E-2</v>
      </c>
      <c r="I262" s="98">
        <f t="shared" si="17"/>
        <v>6.5989999999999993E-2</v>
      </c>
      <c r="L262" s="6">
        <v>28.049399999999999</v>
      </c>
    </row>
    <row r="263" spans="1:12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13"/>
        <v>684.1</v>
      </c>
      <c r="G263" s="50">
        <f t="shared" si="15"/>
        <v>45.143758999999996</v>
      </c>
      <c r="H263" s="8">
        <f t="shared" si="16"/>
        <v>6.5989999999999993E-2</v>
      </c>
      <c r="I263" s="98">
        <f t="shared" si="17"/>
        <v>6.5989999999999993E-2</v>
      </c>
      <c r="L263" s="6">
        <v>14.284416666666667</v>
      </c>
    </row>
    <row r="264" spans="1:12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13"/>
        <v>659.08</v>
      </c>
      <c r="G264" s="50">
        <f t="shared" si="15"/>
        <v>43.492689200000001</v>
      </c>
      <c r="H264" s="8">
        <f t="shared" si="16"/>
        <v>6.5989999999999993E-2</v>
      </c>
      <c r="I264" s="98">
        <f t="shared" si="17"/>
        <v>6.5989999999999993E-2</v>
      </c>
      <c r="L264" s="6">
        <v>11.99891</v>
      </c>
    </row>
    <row r="265" spans="1:12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13"/>
        <v>466.5</v>
      </c>
      <c r="G265" s="50">
        <f t="shared" si="15"/>
        <v>30.784334999999995</v>
      </c>
      <c r="H265" s="8">
        <f t="shared" si="16"/>
        <v>6.5989999999999993E-2</v>
      </c>
      <c r="I265" s="98">
        <f t="shared" si="17"/>
        <v>6.5989999999999993E-2</v>
      </c>
      <c r="L265" s="6">
        <v>11.946966666666667</v>
      </c>
    </row>
    <row r="266" spans="1:12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13"/>
        <v>412.04</v>
      </c>
      <c r="G266" s="50">
        <f t="shared" si="15"/>
        <v>27.190519599999998</v>
      </c>
      <c r="H266" s="8">
        <f t="shared" si="16"/>
        <v>6.5989999999999993E-2</v>
      </c>
      <c r="I266" s="98">
        <f t="shared" si="17"/>
        <v>6.5989999999999993E-2</v>
      </c>
      <c r="L266" s="6">
        <v>18.180166666666668</v>
      </c>
    </row>
    <row r="267" spans="1:12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13"/>
        <v>303.5</v>
      </c>
      <c r="G267" s="50">
        <f t="shared" si="15"/>
        <v>20.027964999999998</v>
      </c>
      <c r="H267" s="8">
        <f t="shared" si="16"/>
        <v>6.5989999999999993E-2</v>
      </c>
      <c r="I267" s="98">
        <f t="shared" si="17"/>
        <v>6.5989999999999993E-2</v>
      </c>
      <c r="L267" s="6">
        <v>6.492916666666666</v>
      </c>
    </row>
    <row r="268" spans="1:12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13"/>
        <v>654.13</v>
      </c>
      <c r="G268" s="50">
        <f t="shared" si="15"/>
        <v>43.166038699999994</v>
      </c>
      <c r="H268" s="8">
        <f t="shared" si="16"/>
        <v>6.5989999999999993E-2</v>
      </c>
      <c r="I268" s="98">
        <f t="shared" si="17"/>
        <v>6.5989999999999993E-2</v>
      </c>
      <c r="L268" s="6">
        <v>29.088266666666669</v>
      </c>
    </row>
    <row r="269" spans="1:12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ref="F269:F332" si="18">C269+D269+E269</f>
        <v>642.62</v>
      </c>
      <c r="G269" s="50">
        <f t="shared" si="15"/>
        <v>42.406493799999993</v>
      </c>
      <c r="H269" s="8">
        <f t="shared" si="16"/>
        <v>6.5989999999999993E-2</v>
      </c>
      <c r="I269" s="98">
        <f t="shared" si="17"/>
        <v>6.5989999999999993E-2</v>
      </c>
      <c r="L269" s="6">
        <v>31.166</v>
      </c>
    </row>
    <row r="270" spans="1:12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si="18"/>
        <v>278.7</v>
      </c>
      <c r="G270" s="50">
        <f>SUM(F270*H270)</f>
        <v>18.391412999999996</v>
      </c>
      <c r="H270" s="8">
        <f t="shared" si="16"/>
        <v>6.5989999999999993E-2</v>
      </c>
      <c r="I270" s="98">
        <f t="shared" si="17"/>
        <v>6.5989999999999993E-2</v>
      </c>
      <c r="L270" s="6">
        <v>56.358516666666667</v>
      </c>
    </row>
    <row r="271" spans="1:12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si="18"/>
        <v>3583.55</v>
      </c>
      <c r="G271" s="50">
        <f t="shared" si="15"/>
        <v>236.4784645</v>
      </c>
      <c r="H271" s="8">
        <f t="shared" si="16"/>
        <v>6.5989999999999993E-2</v>
      </c>
      <c r="I271" s="98">
        <f t="shared" si="17"/>
        <v>6.5989999999999993E-2</v>
      </c>
      <c r="L271" s="6">
        <v>103.88666666666666</v>
      </c>
    </row>
    <row r="272" spans="1:12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18"/>
        <v>513.5</v>
      </c>
      <c r="G272" s="50">
        <f t="shared" si="15"/>
        <v>33.885864999999995</v>
      </c>
      <c r="H272" s="8">
        <f t="shared" si="16"/>
        <v>6.5989999999999993E-2</v>
      </c>
      <c r="I272" s="98">
        <f t="shared" si="17"/>
        <v>6.5989999999999993E-2</v>
      </c>
      <c r="L272" s="6">
        <v>21.556483333333333</v>
      </c>
    </row>
    <row r="273" spans="1:12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18"/>
        <v>420.4</v>
      </c>
      <c r="G273" s="50">
        <f t="shared" si="15"/>
        <v>27.742195999999996</v>
      </c>
      <c r="H273" s="8">
        <f t="shared" si="16"/>
        <v>6.5989999999999993E-2</v>
      </c>
      <c r="I273" s="98">
        <f t="shared" si="17"/>
        <v>6.5989999999999993E-2</v>
      </c>
      <c r="L273" s="6">
        <v>18.543770000000002</v>
      </c>
    </row>
    <row r="274" spans="1:12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18"/>
        <v>344.2</v>
      </c>
      <c r="G274" s="50">
        <f t="shared" si="15"/>
        <v>22.713757999999999</v>
      </c>
      <c r="H274" s="8">
        <f t="shared" si="16"/>
        <v>6.5989999999999993E-2</v>
      </c>
      <c r="I274" s="98">
        <f t="shared" si="17"/>
        <v>6.5989999999999993E-2</v>
      </c>
      <c r="L274" s="6">
        <v>14.024699999999999</v>
      </c>
    </row>
    <row r="275" spans="1:12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18"/>
        <v>349.5</v>
      </c>
      <c r="G275" s="50">
        <f t="shared" si="15"/>
        <v>23.063504999999999</v>
      </c>
      <c r="H275" s="8">
        <f t="shared" si="16"/>
        <v>6.5989999999999993E-2</v>
      </c>
      <c r="I275" s="98">
        <f t="shared" si="17"/>
        <v>6.5989999999999993E-2</v>
      </c>
      <c r="L275" s="6">
        <v>28.309116666666668</v>
      </c>
    </row>
    <row r="276" spans="1:12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18"/>
        <v>437.7</v>
      </c>
      <c r="G276" s="50">
        <f t="shared" si="15"/>
        <v>28.883822999999996</v>
      </c>
      <c r="H276" s="8">
        <f t="shared" si="16"/>
        <v>6.5989999999999993E-2</v>
      </c>
      <c r="I276" s="98">
        <f t="shared" si="17"/>
        <v>6.5989999999999993E-2</v>
      </c>
      <c r="L276" s="6">
        <v>8.3109333333333328</v>
      </c>
    </row>
    <row r="277" spans="1:12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18"/>
        <v>555.74</v>
      </c>
      <c r="G277" s="50">
        <f t="shared" si="15"/>
        <v>36.6732826</v>
      </c>
      <c r="H277" s="8">
        <f t="shared" si="16"/>
        <v>6.5989999999999993E-2</v>
      </c>
      <c r="I277" s="98">
        <f t="shared" si="17"/>
        <v>6.5989999999999993E-2</v>
      </c>
      <c r="L277" s="6">
        <v>18.180166666666668</v>
      </c>
    </row>
    <row r="278" spans="1:12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18"/>
        <v>396.6</v>
      </c>
      <c r="G278" s="50">
        <f t="shared" si="15"/>
        <v>26.171633999999997</v>
      </c>
      <c r="H278" s="8">
        <f t="shared" si="16"/>
        <v>6.5989999999999993E-2</v>
      </c>
      <c r="I278" s="98">
        <f t="shared" si="17"/>
        <v>6.5989999999999993E-2</v>
      </c>
      <c r="L278" s="6">
        <v>23.374499999999998</v>
      </c>
    </row>
    <row r="279" spans="1:12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18"/>
        <v>1778.9</v>
      </c>
      <c r="G279" s="50">
        <f t="shared" si="15"/>
        <v>117.38961099999999</v>
      </c>
      <c r="H279" s="8">
        <f t="shared" si="16"/>
        <v>6.5989999999999993E-2</v>
      </c>
      <c r="I279" s="98">
        <f t="shared" si="17"/>
        <v>6.5989999999999993E-2</v>
      </c>
      <c r="L279" s="6">
        <v>73.759533333333323</v>
      </c>
    </row>
    <row r="280" spans="1:12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18"/>
        <v>731.78</v>
      </c>
      <c r="G280" s="50">
        <f t="shared" si="15"/>
        <v>48.29016219999999</v>
      </c>
      <c r="H280" s="8">
        <f t="shared" si="16"/>
        <v>6.5989999999999993E-2</v>
      </c>
      <c r="I280" s="98">
        <f t="shared" si="17"/>
        <v>6.5989999999999993E-2</v>
      </c>
      <c r="L280" s="6">
        <v>107.26298333333332</v>
      </c>
    </row>
    <row r="281" spans="1:12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18"/>
        <v>185.4</v>
      </c>
      <c r="G281" s="50">
        <f t="shared" si="15"/>
        <v>12.234546</v>
      </c>
      <c r="H281" s="8">
        <f t="shared" si="16"/>
        <v>6.5989999999999993E-2</v>
      </c>
      <c r="I281" s="98">
        <f t="shared" si="17"/>
        <v>6.5989999999999993E-2</v>
      </c>
      <c r="L281" s="6">
        <v>12.4664</v>
      </c>
    </row>
    <row r="282" spans="1:12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18"/>
        <v>478.6</v>
      </c>
      <c r="G282" s="50">
        <f t="shared" si="15"/>
        <v>31.582813999999999</v>
      </c>
      <c r="H282" s="8">
        <f t="shared" si="16"/>
        <v>6.5989999999999993E-2</v>
      </c>
      <c r="I282" s="98">
        <f t="shared" si="17"/>
        <v>6.5989999999999993E-2</v>
      </c>
      <c r="L282" s="6">
        <v>18.180166666666668</v>
      </c>
    </row>
    <row r="283" spans="1:12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18"/>
        <v>496.38</v>
      </c>
      <c r="G283" s="50">
        <f t="shared" si="15"/>
        <v>32.756116199999994</v>
      </c>
      <c r="H283" s="8">
        <f t="shared" si="16"/>
        <v>6.5989999999999993E-2</v>
      </c>
      <c r="I283" s="98">
        <f t="shared" si="17"/>
        <v>6.5989999999999993E-2</v>
      </c>
      <c r="L283" s="6">
        <v>18.180166666666668</v>
      </c>
    </row>
    <row r="284" spans="1:12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18"/>
        <v>260.8</v>
      </c>
      <c r="G284" s="50">
        <f t="shared" ref="G284:G347" si="19">SUM(F284*H284)</f>
        <v>17.210191999999999</v>
      </c>
      <c r="H284" s="8">
        <f t="shared" ref="H284:H347" si="20">0.06599</f>
        <v>6.5989999999999993E-2</v>
      </c>
      <c r="I284" s="98">
        <f t="shared" ref="I284:I347" si="21">SUM(G284/F284)</f>
        <v>6.5989999999999993E-2</v>
      </c>
      <c r="L284" s="6">
        <v>8.3109333333333328</v>
      </c>
    </row>
    <row r="285" spans="1:12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18"/>
        <v>282.8</v>
      </c>
      <c r="G285" s="50">
        <f t="shared" si="19"/>
        <v>18.661971999999999</v>
      </c>
      <c r="H285" s="8">
        <f t="shared" si="20"/>
        <v>6.5989999999999993E-2</v>
      </c>
      <c r="I285" s="98">
        <f t="shared" si="21"/>
        <v>6.5989999999999993E-2</v>
      </c>
      <c r="L285" s="6">
        <v>24.9328</v>
      </c>
    </row>
    <row r="286" spans="1:12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18"/>
        <v>227.3</v>
      </c>
      <c r="G286" s="50">
        <f t="shared" si="19"/>
        <v>14.999526999999999</v>
      </c>
      <c r="H286" s="8">
        <f t="shared" si="20"/>
        <v>6.5989999999999993E-2</v>
      </c>
      <c r="I286" s="98">
        <f t="shared" si="21"/>
        <v>6.5989999999999993E-2</v>
      </c>
      <c r="L286" s="6">
        <v>28.049399999999999</v>
      </c>
    </row>
    <row r="287" spans="1:12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18"/>
        <v>7849.73</v>
      </c>
      <c r="G287" s="50">
        <f t="shared" si="19"/>
        <v>518.0036826999999</v>
      </c>
      <c r="H287" s="8">
        <f t="shared" si="20"/>
        <v>6.5989999999999993E-2</v>
      </c>
      <c r="I287" s="98">
        <f t="shared" si="21"/>
        <v>6.5989999999999993E-2</v>
      </c>
      <c r="L287" s="6">
        <v>406.97601666666662</v>
      </c>
    </row>
    <row r="288" spans="1:12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18"/>
        <v>454.20000000000005</v>
      </c>
      <c r="G288" s="50">
        <f t="shared" si="19"/>
        <v>29.972657999999999</v>
      </c>
      <c r="H288" s="8">
        <f t="shared" si="20"/>
        <v>6.5989999999999993E-2</v>
      </c>
      <c r="I288" s="98">
        <f t="shared" si="21"/>
        <v>6.5989999999999993E-2</v>
      </c>
      <c r="L288" s="6">
        <v>24.673083333333334</v>
      </c>
    </row>
    <row r="289" spans="1:12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18"/>
        <v>493.90000000000003</v>
      </c>
      <c r="G289" s="50">
        <f t="shared" si="19"/>
        <v>32.592461</v>
      </c>
      <c r="H289" s="8">
        <f t="shared" si="20"/>
        <v>6.5989999999999993E-2</v>
      </c>
      <c r="I289" s="98">
        <f t="shared" si="21"/>
        <v>6.5989999999999993E-2</v>
      </c>
      <c r="L289" s="6">
        <v>20.777333333333335</v>
      </c>
    </row>
    <row r="290" spans="1:12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18"/>
        <v>698.82</v>
      </c>
      <c r="G290" s="50">
        <f t="shared" si="19"/>
        <v>46.1151318</v>
      </c>
      <c r="H290" s="8">
        <f t="shared" si="20"/>
        <v>6.5989999999999993E-2</v>
      </c>
      <c r="I290" s="98">
        <f t="shared" si="21"/>
        <v>6.5989999999999993E-2</v>
      </c>
      <c r="L290" s="6">
        <v>8.8303666666666665</v>
      </c>
    </row>
    <row r="291" spans="1:12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18"/>
        <v>559.52</v>
      </c>
      <c r="G291" s="50">
        <f t="shared" si="19"/>
        <v>36.922724799999997</v>
      </c>
      <c r="H291" s="8">
        <f t="shared" si="20"/>
        <v>6.5989999999999993E-2</v>
      </c>
      <c r="I291" s="98">
        <f t="shared" si="21"/>
        <v>6.5989999999999993E-2</v>
      </c>
      <c r="L291" s="6">
        <v>9.1939700000000002</v>
      </c>
    </row>
    <row r="292" spans="1:12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18"/>
        <v>958</v>
      </c>
      <c r="G292" s="50">
        <f t="shared" si="19"/>
        <v>63.218419999999995</v>
      </c>
      <c r="H292" s="8">
        <f t="shared" si="20"/>
        <v>6.5989999999999993E-2</v>
      </c>
      <c r="I292" s="98">
        <f t="shared" si="21"/>
        <v>6.5989999999999993E-2</v>
      </c>
      <c r="L292" s="6">
        <v>30.127133333333333</v>
      </c>
    </row>
    <row r="293" spans="1:12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18"/>
        <v>700</v>
      </c>
      <c r="G293" s="50">
        <f t="shared" si="19"/>
        <v>46.192999999999998</v>
      </c>
      <c r="H293" s="8">
        <f t="shared" si="20"/>
        <v>6.5989999999999993E-2</v>
      </c>
      <c r="I293" s="98">
        <f t="shared" si="21"/>
        <v>6.5989999999999993E-2</v>
      </c>
      <c r="L293" s="6">
        <v>27.789683333333333</v>
      </c>
    </row>
    <row r="294" spans="1:12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18"/>
        <v>209.86</v>
      </c>
      <c r="G294" s="50">
        <f t="shared" si="19"/>
        <v>13.848661399999999</v>
      </c>
      <c r="H294" s="8">
        <f t="shared" si="20"/>
        <v>6.5989999999999993E-2</v>
      </c>
      <c r="I294" s="98">
        <f t="shared" si="21"/>
        <v>6.5989999999999993E-2</v>
      </c>
      <c r="L294" s="6">
        <v>26.491099999999999</v>
      </c>
    </row>
    <row r="295" spans="1:12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18"/>
        <v>577.53</v>
      </c>
      <c r="G295" s="50">
        <f t="shared" si="19"/>
        <v>38.111204699999995</v>
      </c>
      <c r="H295" s="8">
        <f t="shared" si="20"/>
        <v>6.5989999999999993E-2</v>
      </c>
      <c r="I295" s="98">
        <f t="shared" si="21"/>
        <v>6.5989999999999993E-2</v>
      </c>
      <c r="L295" s="6">
        <v>53.241916666666661</v>
      </c>
    </row>
    <row r="296" spans="1:12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18"/>
        <v>265.16000000000003</v>
      </c>
      <c r="G296" s="50">
        <f t="shared" si="19"/>
        <v>17.4979084</v>
      </c>
      <c r="H296" s="8">
        <f t="shared" si="20"/>
        <v>6.5989999999999993E-2</v>
      </c>
      <c r="I296" s="98">
        <f t="shared" si="21"/>
        <v>6.5989999999999993E-2</v>
      </c>
      <c r="L296" s="6">
        <v>16.36215</v>
      </c>
    </row>
    <row r="297" spans="1:12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18"/>
        <v>134.88</v>
      </c>
      <c r="G297" s="50">
        <f t="shared" si="19"/>
        <v>8.9007311999999992</v>
      </c>
      <c r="H297" s="8">
        <f t="shared" si="20"/>
        <v>6.5989999999999993E-2</v>
      </c>
      <c r="I297" s="98">
        <f t="shared" si="21"/>
        <v>6.5989999999999993E-2</v>
      </c>
      <c r="L297" s="6">
        <v>19.478750000000002</v>
      </c>
    </row>
    <row r="298" spans="1:12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18"/>
        <v>427.34000000000003</v>
      </c>
      <c r="G298" s="50">
        <f t="shared" si="19"/>
        <v>28.200166599999999</v>
      </c>
      <c r="H298" s="8">
        <f t="shared" si="20"/>
        <v>6.5989999999999993E-2</v>
      </c>
      <c r="I298" s="98">
        <f t="shared" si="21"/>
        <v>6.5989999999999993E-2</v>
      </c>
      <c r="L298" s="6">
        <v>7.2720666666666673</v>
      </c>
    </row>
    <row r="299" spans="1:12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18"/>
        <v>603</v>
      </c>
      <c r="G299" s="50">
        <f t="shared" si="19"/>
        <v>39.791969999999999</v>
      </c>
      <c r="H299" s="8">
        <f t="shared" si="20"/>
        <v>6.5989999999999993E-2</v>
      </c>
      <c r="I299" s="98">
        <f t="shared" si="21"/>
        <v>6.5989999999999993E-2</v>
      </c>
      <c r="L299" s="6">
        <v>27.789683333333333</v>
      </c>
    </row>
    <row r="300" spans="1:12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18"/>
        <v>375.70000000000005</v>
      </c>
      <c r="G300" s="50">
        <f t="shared" si="19"/>
        <v>24.792442999999999</v>
      </c>
      <c r="H300" s="8">
        <f t="shared" si="20"/>
        <v>6.5989999999999993E-2</v>
      </c>
      <c r="I300" s="98">
        <f t="shared" si="21"/>
        <v>6.5989999999999993E-2</v>
      </c>
      <c r="L300" s="6">
        <v>28.309116666666668</v>
      </c>
    </row>
    <row r="301" spans="1:12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18"/>
        <v>607.62</v>
      </c>
      <c r="G301" s="50">
        <f t="shared" si="19"/>
        <v>40.096843799999995</v>
      </c>
      <c r="H301" s="8">
        <f t="shared" si="20"/>
        <v>6.5989999999999993E-2</v>
      </c>
      <c r="I301" s="98">
        <f t="shared" si="21"/>
        <v>6.5989999999999993E-2</v>
      </c>
      <c r="L301" s="6">
        <v>22.075916666666664</v>
      </c>
    </row>
    <row r="302" spans="1:12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18"/>
        <v>400.32000000000005</v>
      </c>
      <c r="G302" s="50">
        <f t="shared" si="19"/>
        <v>26.417116800000002</v>
      </c>
      <c r="H302" s="8">
        <f t="shared" si="20"/>
        <v>6.5989999999999993E-2</v>
      </c>
      <c r="I302" s="98">
        <f t="shared" si="21"/>
        <v>6.5989999999999993E-2</v>
      </c>
      <c r="L302" s="6">
        <v>30.646566666666665</v>
      </c>
    </row>
    <row r="303" spans="1:12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18"/>
        <v>311.52000000000004</v>
      </c>
      <c r="G303" s="50">
        <f t="shared" si="19"/>
        <v>20.557204800000001</v>
      </c>
      <c r="H303" s="8">
        <f t="shared" si="20"/>
        <v>6.5989999999999993E-2</v>
      </c>
      <c r="I303" s="98">
        <f t="shared" si="21"/>
        <v>6.5989999999999993E-2</v>
      </c>
      <c r="L303" s="6">
        <v>11.687249999999999</v>
      </c>
    </row>
    <row r="304" spans="1:12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18"/>
        <v>451.70000000000005</v>
      </c>
      <c r="G304" s="50">
        <f t="shared" si="19"/>
        <v>29.807683000000001</v>
      </c>
      <c r="H304" s="8">
        <f t="shared" si="20"/>
        <v>6.5989999999999993E-2</v>
      </c>
      <c r="I304" s="98">
        <f t="shared" si="21"/>
        <v>6.5989999999999993E-2</v>
      </c>
      <c r="L304" s="6">
        <v>4.934616666666666</v>
      </c>
    </row>
    <row r="305" spans="1:12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18"/>
        <v>529.70000000000005</v>
      </c>
      <c r="G305" s="50">
        <f t="shared" si="19"/>
        <v>34.954903000000002</v>
      </c>
      <c r="H305" s="8">
        <f t="shared" si="20"/>
        <v>6.5989999999999993E-2</v>
      </c>
      <c r="I305" s="98">
        <f t="shared" si="21"/>
        <v>6.5989999999999993E-2</v>
      </c>
      <c r="L305" s="6">
        <v>63.630583333333327</v>
      </c>
    </row>
    <row r="306" spans="1:12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18"/>
        <v>306.10000000000002</v>
      </c>
      <c r="G306" s="50">
        <f t="shared" si="19"/>
        <v>20.199538999999998</v>
      </c>
      <c r="H306" s="8">
        <f t="shared" si="20"/>
        <v>6.5989999999999993E-2</v>
      </c>
      <c r="I306" s="98">
        <f t="shared" si="21"/>
        <v>6.5989999999999993E-2</v>
      </c>
      <c r="L306" s="6">
        <v>32.984016666666669</v>
      </c>
    </row>
    <row r="307" spans="1:12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18"/>
        <v>551.6</v>
      </c>
      <c r="G307" s="50">
        <f t="shared" si="19"/>
        <v>36.400084</v>
      </c>
      <c r="H307" s="8">
        <f t="shared" si="20"/>
        <v>6.5989999999999993E-2</v>
      </c>
      <c r="I307" s="98">
        <f t="shared" si="21"/>
        <v>6.5989999999999993E-2</v>
      </c>
      <c r="L307" s="6">
        <v>17.401016666666667</v>
      </c>
    </row>
    <row r="308" spans="1:12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18"/>
        <v>329.2</v>
      </c>
      <c r="G308" s="50">
        <f t="shared" si="19"/>
        <v>21.723907999999998</v>
      </c>
      <c r="H308" s="8">
        <f t="shared" si="20"/>
        <v>6.5989999999999993E-2</v>
      </c>
      <c r="I308" s="98">
        <f t="shared" si="21"/>
        <v>6.5989999999999993E-2</v>
      </c>
      <c r="L308" s="6">
        <v>11.687249999999999</v>
      </c>
    </row>
    <row r="309" spans="1:12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18"/>
        <v>631.40000000000009</v>
      </c>
      <c r="G309" s="50">
        <f t="shared" si="19"/>
        <v>41.666086</v>
      </c>
      <c r="H309" s="8">
        <f t="shared" si="20"/>
        <v>6.5989999999999993E-2</v>
      </c>
      <c r="I309" s="98">
        <f t="shared" si="21"/>
        <v>6.5989999999999993E-2</v>
      </c>
      <c r="L309" s="6">
        <v>20.569559999999999</v>
      </c>
    </row>
    <row r="310" spans="1:12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18"/>
        <v>373.3</v>
      </c>
      <c r="G310" s="50">
        <f t="shared" si="19"/>
        <v>24.634066999999998</v>
      </c>
      <c r="H310" s="8">
        <f t="shared" si="20"/>
        <v>6.5989999999999993E-2</v>
      </c>
      <c r="I310" s="98">
        <f t="shared" si="21"/>
        <v>6.5989999999999993E-2</v>
      </c>
      <c r="L310" s="6">
        <v>15.323283333333332</v>
      </c>
    </row>
    <row r="311" spans="1:12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18"/>
        <v>918.4</v>
      </c>
      <c r="G311" s="50">
        <f t="shared" si="19"/>
        <v>60.605215999999992</v>
      </c>
      <c r="H311" s="8">
        <f t="shared" si="20"/>
        <v>6.5989999999999993E-2</v>
      </c>
      <c r="I311" s="98">
        <f t="shared" si="21"/>
        <v>6.5989999999999993E-2</v>
      </c>
      <c r="L311" s="6">
        <v>33.503449999999994</v>
      </c>
    </row>
    <row r="312" spans="1:12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18"/>
        <v>778.80000000000007</v>
      </c>
      <c r="G312" s="50">
        <f t="shared" si="19"/>
        <v>51.393011999999999</v>
      </c>
      <c r="H312" s="8">
        <f t="shared" si="20"/>
        <v>6.5989999999999993E-2</v>
      </c>
      <c r="I312" s="98">
        <f t="shared" si="21"/>
        <v>6.5989999999999993E-2</v>
      </c>
      <c r="L312" s="6">
        <v>12.154739999999999</v>
      </c>
    </row>
    <row r="313" spans="1:12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18"/>
        <v>806.91</v>
      </c>
      <c r="G313" s="50">
        <f t="shared" si="19"/>
        <v>53.247990899999991</v>
      </c>
      <c r="H313" s="8">
        <f t="shared" si="20"/>
        <v>6.5989999999999993E-2</v>
      </c>
      <c r="I313" s="98">
        <f t="shared" si="21"/>
        <v>6.5989999999999993E-2</v>
      </c>
      <c r="L313" s="6">
        <v>8.103159999999999</v>
      </c>
    </row>
    <row r="314" spans="1:12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18"/>
        <v>805</v>
      </c>
      <c r="G314" s="50">
        <f t="shared" si="19"/>
        <v>53.121949999999991</v>
      </c>
      <c r="H314" s="8">
        <f t="shared" si="20"/>
        <v>6.5989999999999993E-2</v>
      </c>
      <c r="I314" s="98">
        <f t="shared" si="21"/>
        <v>6.5989999999999993E-2</v>
      </c>
      <c r="L314" s="6">
        <v>14.803849999999999</v>
      </c>
    </row>
    <row r="315" spans="1:12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18"/>
        <v>491.9</v>
      </c>
      <c r="G315" s="50">
        <f t="shared" si="19"/>
        <v>32.460480999999994</v>
      </c>
      <c r="H315" s="8">
        <f t="shared" si="20"/>
        <v>6.5989999999999993E-2</v>
      </c>
      <c r="I315" s="98">
        <f t="shared" si="21"/>
        <v>6.5989999999999993E-2</v>
      </c>
      <c r="L315" s="6">
        <v>13.764983333333333</v>
      </c>
    </row>
    <row r="316" spans="1:12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18"/>
        <v>640.20000000000005</v>
      </c>
      <c r="G316" s="50">
        <f t="shared" si="19"/>
        <v>42.246797999999998</v>
      </c>
      <c r="H316" s="8">
        <f t="shared" si="20"/>
        <v>6.5989999999999993E-2</v>
      </c>
      <c r="I316" s="98">
        <f t="shared" si="21"/>
        <v>6.5989999999999993E-2</v>
      </c>
      <c r="L316" s="6">
        <v>18.180166666666668</v>
      </c>
    </row>
    <row r="317" spans="1:12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18"/>
        <v>537.94000000000005</v>
      </c>
      <c r="G317" s="50">
        <f t="shared" si="19"/>
        <v>35.498660600000001</v>
      </c>
      <c r="H317" s="8">
        <f t="shared" si="20"/>
        <v>6.5989999999999993E-2</v>
      </c>
      <c r="I317" s="98">
        <f t="shared" si="21"/>
        <v>6.5989999999999993E-2</v>
      </c>
      <c r="L317" s="6">
        <v>6.7526333333333328</v>
      </c>
    </row>
    <row r="318" spans="1:12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18"/>
        <v>929.9</v>
      </c>
      <c r="G318" s="50">
        <f t="shared" si="19"/>
        <v>61.364100999999991</v>
      </c>
      <c r="H318" s="8">
        <f t="shared" si="20"/>
        <v>6.5989999999999993E-2</v>
      </c>
      <c r="I318" s="98">
        <f t="shared" si="21"/>
        <v>6.5989999999999993E-2</v>
      </c>
      <c r="L318" s="6">
        <v>11.946966666666667</v>
      </c>
    </row>
    <row r="319" spans="1:12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18"/>
        <v>1417.36</v>
      </c>
      <c r="G319" s="50">
        <f t="shared" si="19"/>
        <v>93.531586399999981</v>
      </c>
      <c r="H319" s="8">
        <f t="shared" si="20"/>
        <v>6.5989999999999993E-2</v>
      </c>
      <c r="I319" s="98">
        <f t="shared" si="21"/>
        <v>6.5989999999999993E-2</v>
      </c>
      <c r="L319" s="6">
        <v>75.317833333333326</v>
      </c>
    </row>
    <row r="320" spans="1:12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18"/>
        <v>785.9799999999999</v>
      </c>
      <c r="G320" s="50">
        <f t="shared" si="19"/>
        <v>51.866820199999985</v>
      </c>
      <c r="H320" s="8">
        <f t="shared" si="20"/>
        <v>6.5989999999999993E-2</v>
      </c>
      <c r="I320" s="98">
        <f t="shared" si="21"/>
        <v>6.5989999999999993E-2</v>
      </c>
      <c r="L320" s="6">
        <v>16.881583333333335</v>
      </c>
    </row>
    <row r="321" spans="1:12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18"/>
        <v>485.67999999999995</v>
      </c>
      <c r="G321" s="50">
        <f t="shared" si="19"/>
        <v>32.050023199999991</v>
      </c>
      <c r="H321" s="8">
        <f t="shared" si="20"/>
        <v>6.5989999999999993E-2</v>
      </c>
      <c r="I321" s="98">
        <f t="shared" si="21"/>
        <v>6.5989999999999993E-2</v>
      </c>
      <c r="L321" s="6">
        <v>8.8303666666666665</v>
      </c>
    </row>
    <row r="322" spans="1:12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18"/>
        <v>461.17</v>
      </c>
      <c r="G322" s="50">
        <f t="shared" si="19"/>
        <v>30.432608299999998</v>
      </c>
      <c r="H322" s="8">
        <f t="shared" si="20"/>
        <v>6.5989999999999993E-2</v>
      </c>
      <c r="I322" s="98">
        <f t="shared" si="21"/>
        <v>6.5989999999999993E-2</v>
      </c>
      <c r="L322" s="6">
        <v>8.8303666666666665</v>
      </c>
    </row>
    <row r="323" spans="1:12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18"/>
        <v>305.37</v>
      </c>
      <c r="G323" s="50">
        <f t="shared" si="19"/>
        <v>20.151366299999999</v>
      </c>
      <c r="H323" s="8">
        <f t="shared" si="20"/>
        <v>6.5989999999999993E-2</v>
      </c>
      <c r="I323" s="98">
        <f t="shared" si="21"/>
        <v>6.5989999999999993E-2</v>
      </c>
      <c r="L323" s="6">
        <v>0</v>
      </c>
    </row>
    <row r="324" spans="1:12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18"/>
        <v>170.8</v>
      </c>
      <c r="G324" s="50">
        <f t="shared" si="19"/>
        <v>11.271091999999999</v>
      </c>
      <c r="H324" s="8">
        <f t="shared" si="20"/>
        <v>6.5989999999999993E-2</v>
      </c>
      <c r="I324" s="98">
        <f t="shared" si="21"/>
        <v>6.5989999999999993E-2</v>
      </c>
      <c r="L324" s="6">
        <v>10.908099999999999</v>
      </c>
    </row>
    <row r="325" spans="1:12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18"/>
        <v>678.2</v>
      </c>
      <c r="G325" s="50">
        <f t="shared" si="19"/>
        <v>44.754418000000001</v>
      </c>
      <c r="H325" s="8">
        <f t="shared" si="20"/>
        <v>6.5989999999999993E-2</v>
      </c>
      <c r="I325" s="98">
        <f t="shared" si="21"/>
        <v>6.5989999999999993E-2</v>
      </c>
      <c r="L325" s="6">
        <v>63.370866666666657</v>
      </c>
    </row>
    <row r="326" spans="1:12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18"/>
        <v>2613.27</v>
      </c>
      <c r="G326" s="50">
        <f t="shared" si="19"/>
        <v>172.44968729999999</v>
      </c>
      <c r="H326" s="8">
        <f t="shared" si="20"/>
        <v>6.5989999999999993E-2</v>
      </c>
      <c r="I326" s="98">
        <f t="shared" si="21"/>
        <v>6.5989999999999993E-2</v>
      </c>
      <c r="L326" s="6">
        <v>270.62476666666663</v>
      </c>
    </row>
    <row r="327" spans="1:12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18"/>
        <v>2055.4499999999998</v>
      </c>
      <c r="G327" s="50">
        <f t="shared" si="19"/>
        <v>135.63914549999998</v>
      </c>
      <c r="H327" s="8">
        <f t="shared" si="20"/>
        <v>6.5989999999999993E-2</v>
      </c>
      <c r="I327" s="98">
        <f t="shared" si="21"/>
        <v>6.5989999999999993E-2</v>
      </c>
      <c r="L327" s="6">
        <v>63.630583333333327</v>
      </c>
    </row>
    <row r="328" spans="1:12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18"/>
        <v>3486.96</v>
      </c>
      <c r="G328" s="50">
        <f t="shared" si="19"/>
        <v>230.10449039999997</v>
      </c>
      <c r="H328" s="8">
        <f t="shared" si="20"/>
        <v>6.5989999999999993E-2</v>
      </c>
      <c r="I328" s="98">
        <f t="shared" si="21"/>
        <v>6.5989999999999993E-2</v>
      </c>
      <c r="L328" s="6">
        <v>392.17216666666661</v>
      </c>
    </row>
    <row r="329" spans="1:12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18"/>
        <v>394.94</v>
      </c>
      <c r="G329" s="50">
        <f t="shared" si="19"/>
        <v>26.062090599999998</v>
      </c>
      <c r="H329" s="8">
        <f t="shared" si="20"/>
        <v>6.5989999999999993E-2</v>
      </c>
      <c r="I329" s="98">
        <f t="shared" si="21"/>
        <v>6.5989999999999993E-2</v>
      </c>
      <c r="L329" s="6">
        <v>27.529966666666667</v>
      </c>
    </row>
    <row r="330" spans="1:12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18"/>
        <v>351.67</v>
      </c>
      <c r="G330" s="50">
        <f t="shared" si="19"/>
        <v>23.206703299999997</v>
      </c>
      <c r="H330" s="8">
        <f t="shared" si="20"/>
        <v>6.5989999999999993E-2</v>
      </c>
      <c r="I330" s="98">
        <f t="shared" si="21"/>
        <v>6.5989999999999993E-2</v>
      </c>
      <c r="L330" s="6">
        <v>24.673083333333334</v>
      </c>
    </row>
    <row r="331" spans="1:12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18"/>
        <v>615.6</v>
      </c>
      <c r="G331" s="50">
        <f t="shared" si="19"/>
        <v>40.623443999999999</v>
      </c>
      <c r="H331" s="8">
        <f t="shared" si="20"/>
        <v>6.5989999999999993E-2</v>
      </c>
      <c r="I331" s="98">
        <f t="shared" si="21"/>
        <v>6.5989999999999993E-2</v>
      </c>
      <c r="L331" s="6">
        <v>33.503449999999994</v>
      </c>
    </row>
    <row r="332" spans="1:12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18"/>
        <v>571.49</v>
      </c>
      <c r="G332" s="50">
        <f t="shared" si="19"/>
        <v>37.712625099999997</v>
      </c>
      <c r="H332" s="8">
        <f t="shared" si="20"/>
        <v>6.5989999999999993E-2</v>
      </c>
      <c r="I332" s="98">
        <f t="shared" si="21"/>
        <v>6.5989999999999993E-2</v>
      </c>
      <c r="L332" s="6">
        <v>12.206683333333332</v>
      </c>
    </row>
    <row r="333" spans="1:12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ref="F333:F383" si="22">C333+D333+E333</f>
        <v>339.26</v>
      </c>
      <c r="G333" s="50">
        <f t="shared" si="19"/>
        <v>22.387767399999998</v>
      </c>
      <c r="H333" s="8">
        <f t="shared" si="20"/>
        <v>6.5989999999999993E-2</v>
      </c>
      <c r="I333" s="98">
        <f t="shared" si="21"/>
        <v>6.5989999999999993E-2</v>
      </c>
      <c r="L333" s="6">
        <v>16.881583333333335</v>
      </c>
    </row>
    <row r="334" spans="1:12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si="22"/>
        <v>364.76</v>
      </c>
      <c r="G334" s="50">
        <f t="shared" si="19"/>
        <v>24.070512399999998</v>
      </c>
      <c r="H334" s="8">
        <f t="shared" si="20"/>
        <v>6.5989999999999993E-2</v>
      </c>
      <c r="I334" s="98">
        <f t="shared" si="21"/>
        <v>6.5989999999999993E-2</v>
      </c>
      <c r="L334" s="6">
        <v>14.024699999999999</v>
      </c>
    </row>
    <row r="335" spans="1:12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si="22"/>
        <v>329.3</v>
      </c>
      <c r="G335" s="50">
        <f t="shared" si="19"/>
        <v>21.730506999999999</v>
      </c>
      <c r="H335" s="8">
        <f t="shared" si="20"/>
        <v>6.5989999999999993E-2</v>
      </c>
      <c r="I335" s="98">
        <f t="shared" si="21"/>
        <v>6.5989999999999993E-2</v>
      </c>
      <c r="L335" s="6">
        <v>6.492916666666666</v>
      </c>
    </row>
    <row r="336" spans="1:12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22"/>
        <v>445.65</v>
      </c>
      <c r="G336" s="50">
        <f t="shared" si="19"/>
        <v>29.408443499999997</v>
      </c>
      <c r="H336" s="8">
        <f t="shared" si="20"/>
        <v>6.5989999999999993E-2</v>
      </c>
      <c r="I336" s="98">
        <f t="shared" si="21"/>
        <v>6.5989999999999993E-2</v>
      </c>
      <c r="L336" s="6">
        <v>9.609516666666666</v>
      </c>
    </row>
    <row r="337" spans="1:12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22"/>
        <v>515.54999999999995</v>
      </c>
      <c r="G337" s="50">
        <f t="shared" si="19"/>
        <v>34.021144499999991</v>
      </c>
      <c r="H337" s="8">
        <f t="shared" si="20"/>
        <v>6.5989999999999993E-2</v>
      </c>
      <c r="I337" s="98">
        <f t="shared" si="21"/>
        <v>6.5989999999999993E-2</v>
      </c>
      <c r="L337" s="6">
        <v>27.789683333333333</v>
      </c>
    </row>
    <row r="338" spans="1:12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22"/>
        <v>969.83999999999992</v>
      </c>
      <c r="G338" s="50">
        <f t="shared" si="19"/>
        <v>63.999741599999986</v>
      </c>
      <c r="H338" s="8">
        <f t="shared" si="20"/>
        <v>6.5989999999999993E-2</v>
      </c>
      <c r="I338" s="98">
        <f t="shared" si="21"/>
        <v>6.5989999999999993E-2</v>
      </c>
      <c r="L338" s="6">
        <v>33.76316666666667</v>
      </c>
    </row>
    <row r="339" spans="1:12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22"/>
        <v>505.24</v>
      </c>
      <c r="G339" s="50">
        <f t="shared" si="19"/>
        <v>33.340787599999999</v>
      </c>
      <c r="H339" s="8">
        <f t="shared" si="20"/>
        <v>6.5989999999999993E-2</v>
      </c>
      <c r="I339" s="98">
        <f t="shared" si="21"/>
        <v>6.5989999999999993E-2</v>
      </c>
      <c r="L339" s="6">
        <v>27.789683333333333</v>
      </c>
    </row>
    <row r="340" spans="1:12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22"/>
        <v>497.67999999999995</v>
      </c>
      <c r="G340" s="50">
        <f t="shared" si="19"/>
        <v>32.84190319999999</v>
      </c>
      <c r="H340" s="8">
        <f t="shared" si="20"/>
        <v>6.5989999999999993E-2</v>
      </c>
      <c r="I340" s="98">
        <f t="shared" si="21"/>
        <v>6.5989999999999993E-2</v>
      </c>
      <c r="L340" s="6">
        <v>13.24555</v>
      </c>
    </row>
    <row r="341" spans="1:12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22"/>
        <v>244.79999999999998</v>
      </c>
      <c r="G341" s="50">
        <f t="shared" si="19"/>
        <v>16.154351999999996</v>
      </c>
      <c r="H341" s="8">
        <f t="shared" si="20"/>
        <v>6.5989999999999993E-2</v>
      </c>
      <c r="I341" s="98">
        <f t="shared" si="21"/>
        <v>6.5989999999999993E-2</v>
      </c>
      <c r="L341" s="6">
        <v>5.7137666666666664</v>
      </c>
    </row>
    <row r="342" spans="1:12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22"/>
        <v>607.48</v>
      </c>
      <c r="G342" s="50">
        <f t="shared" si="19"/>
        <v>40.087605199999999</v>
      </c>
      <c r="H342" s="8">
        <f t="shared" si="20"/>
        <v>6.5989999999999993E-2</v>
      </c>
      <c r="I342" s="98">
        <f t="shared" si="21"/>
        <v>6.5989999999999993E-2</v>
      </c>
      <c r="L342" s="6">
        <v>5.7137666666666664</v>
      </c>
    </row>
    <row r="343" spans="1:12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22"/>
        <v>480.34999999999997</v>
      </c>
      <c r="G343" s="50">
        <f t="shared" si="19"/>
        <v>31.698296499999994</v>
      </c>
      <c r="H343" s="8">
        <f t="shared" si="20"/>
        <v>6.5989999999999993E-2</v>
      </c>
      <c r="I343" s="98">
        <f t="shared" si="21"/>
        <v>6.5989999999999993E-2</v>
      </c>
      <c r="L343" s="6">
        <v>4.934616666666666</v>
      </c>
    </row>
    <row r="344" spans="1:12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22"/>
        <v>1165.33</v>
      </c>
      <c r="G344" s="50">
        <f t="shared" si="19"/>
        <v>76.900126699999987</v>
      </c>
      <c r="H344" s="8">
        <f t="shared" si="20"/>
        <v>6.5989999999999993E-2</v>
      </c>
      <c r="I344" s="98">
        <f t="shared" si="21"/>
        <v>6.5989999999999993E-2</v>
      </c>
      <c r="L344" s="6">
        <v>18.6996</v>
      </c>
    </row>
    <row r="345" spans="1:12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22"/>
        <v>1416.02</v>
      </c>
      <c r="G345" s="50">
        <f t="shared" si="19"/>
        <v>93.443159799999989</v>
      </c>
      <c r="H345" s="8">
        <f t="shared" si="20"/>
        <v>6.5989999999999993E-2</v>
      </c>
      <c r="I345" s="98">
        <f t="shared" si="21"/>
        <v>6.5989999999999993E-2</v>
      </c>
      <c r="L345" s="6">
        <v>49.346166666666669</v>
      </c>
    </row>
    <row r="346" spans="1:12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22"/>
        <v>1501.81</v>
      </c>
      <c r="G346" s="50">
        <f t="shared" si="19"/>
        <v>99.104441899999983</v>
      </c>
      <c r="H346" s="8">
        <f t="shared" si="20"/>
        <v>6.5989999999999993E-2</v>
      </c>
      <c r="I346" s="98">
        <f t="shared" si="21"/>
        <v>6.5989999999999993E-2</v>
      </c>
      <c r="L346" s="6">
        <v>57.137666666666668</v>
      </c>
    </row>
    <row r="347" spans="1:12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22"/>
        <v>970</v>
      </c>
      <c r="G347" s="50">
        <f t="shared" si="19"/>
        <v>64.010299999999987</v>
      </c>
      <c r="H347" s="8">
        <f t="shared" si="20"/>
        <v>6.5989999999999993E-2</v>
      </c>
      <c r="I347" s="98">
        <f t="shared" si="21"/>
        <v>6.5989999999999993E-2</v>
      </c>
      <c r="L347" s="6">
        <v>33.76316666666667</v>
      </c>
    </row>
    <row r="348" spans="1:12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22"/>
        <v>2158</v>
      </c>
      <c r="G348" s="50">
        <f t="shared" ref="G348:G383" si="23">SUM(F348*H348)</f>
        <v>142.40642</v>
      </c>
      <c r="H348" s="8">
        <f t="shared" ref="H348:H411" si="24">0.06599</f>
        <v>6.5989999999999993E-2</v>
      </c>
      <c r="I348" s="98">
        <f t="shared" ref="I348:I379" si="25">SUM(G348/F348)</f>
        <v>6.5989999999999993E-2</v>
      </c>
      <c r="L348" s="6">
        <v>42.333816666666664</v>
      </c>
    </row>
    <row r="349" spans="1:12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22"/>
        <v>729.1</v>
      </c>
      <c r="G349" s="50">
        <f t="shared" si="23"/>
        <v>48.113308999999994</v>
      </c>
      <c r="H349" s="8">
        <f t="shared" si="24"/>
        <v>6.5989999999999993E-2</v>
      </c>
      <c r="I349" s="98">
        <f t="shared" si="25"/>
        <v>6.5989999999999993E-2</v>
      </c>
      <c r="L349" s="6">
        <v>24.413366666666665</v>
      </c>
    </row>
    <row r="350" spans="1:12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22"/>
        <v>1052.04</v>
      </c>
      <c r="G350" s="50">
        <f t="shared" si="23"/>
        <v>69.424119599999997</v>
      </c>
      <c r="H350" s="8">
        <f t="shared" si="24"/>
        <v>6.5989999999999993E-2</v>
      </c>
      <c r="I350" s="98">
        <f t="shared" si="25"/>
        <v>6.5989999999999993E-2</v>
      </c>
      <c r="L350" s="6">
        <v>8.0512166666666669</v>
      </c>
    </row>
    <row r="351" spans="1:12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22"/>
        <v>608.6</v>
      </c>
      <c r="G351" s="50">
        <f t="shared" si="23"/>
        <v>40.161513999999997</v>
      </c>
      <c r="H351" s="8">
        <f t="shared" si="24"/>
        <v>6.5989999999999993E-2</v>
      </c>
      <c r="I351" s="98">
        <f t="shared" si="25"/>
        <v>6.5989999999999993E-2</v>
      </c>
      <c r="L351" s="6">
        <v>8.3109333333333328</v>
      </c>
    </row>
    <row r="352" spans="1:12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22"/>
        <v>415.8</v>
      </c>
      <c r="G352" s="50">
        <f t="shared" si="23"/>
        <v>27.438641999999998</v>
      </c>
      <c r="H352" s="8">
        <f t="shared" si="24"/>
        <v>6.5989999999999993E-2</v>
      </c>
      <c r="I352" s="98">
        <f t="shared" si="25"/>
        <v>6.5989999999999993E-2</v>
      </c>
      <c r="L352" s="6">
        <v>14.544133333333335</v>
      </c>
    </row>
    <row r="353" spans="1:12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22"/>
        <v>460.4</v>
      </c>
      <c r="G353" s="50">
        <f t="shared" si="23"/>
        <v>30.381795999999994</v>
      </c>
      <c r="H353" s="8">
        <f t="shared" si="24"/>
        <v>6.5989999999999993E-2</v>
      </c>
      <c r="I353" s="98">
        <f t="shared" si="25"/>
        <v>6.5989999999999993E-2</v>
      </c>
      <c r="L353" s="6">
        <v>11.687249999999999</v>
      </c>
    </row>
    <row r="354" spans="1:12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22"/>
        <v>573</v>
      </c>
      <c r="G354" s="50">
        <f t="shared" si="23"/>
        <v>37.812269999999998</v>
      </c>
      <c r="H354" s="8">
        <f t="shared" si="24"/>
        <v>6.5989999999999993E-2</v>
      </c>
      <c r="I354" s="98">
        <f t="shared" si="25"/>
        <v>6.5989999999999993E-2</v>
      </c>
      <c r="L354" s="6">
        <v>9.0900833333333342</v>
      </c>
    </row>
    <row r="355" spans="1:12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22"/>
        <v>791.22</v>
      </c>
      <c r="G355" s="50">
        <f t="shared" si="23"/>
        <v>52.212607799999994</v>
      </c>
      <c r="H355" s="8">
        <f t="shared" si="24"/>
        <v>6.5989999999999993E-2</v>
      </c>
      <c r="I355" s="98">
        <f t="shared" si="25"/>
        <v>6.5989999999999993E-2</v>
      </c>
      <c r="L355" s="6">
        <v>19.998183333333333</v>
      </c>
    </row>
    <row r="356" spans="1:12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22"/>
        <v>765.5</v>
      </c>
      <c r="G356" s="50">
        <f t="shared" si="23"/>
        <v>50.515344999999996</v>
      </c>
      <c r="H356" s="8">
        <f t="shared" si="24"/>
        <v>6.5989999999999993E-2</v>
      </c>
      <c r="I356" s="98">
        <f t="shared" si="25"/>
        <v>6.5989999999999993E-2</v>
      </c>
      <c r="L356" s="6">
        <v>27.737739999999999</v>
      </c>
    </row>
    <row r="357" spans="1:12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22"/>
        <v>806.19999999999993</v>
      </c>
      <c r="G357" s="50">
        <f t="shared" si="23"/>
        <v>53.201137999999993</v>
      </c>
      <c r="H357" s="8">
        <f t="shared" si="24"/>
        <v>6.5989999999999993E-2</v>
      </c>
      <c r="I357" s="98">
        <f t="shared" si="25"/>
        <v>6.5989999999999993E-2</v>
      </c>
      <c r="L357" s="6">
        <v>9.1939700000000002</v>
      </c>
    </row>
    <row r="358" spans="1:12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22"/>
        <v>753</v>
      </c>
      <c r="G358" s="50">
        <f t="shared" si="23"/>
        <v>49.690469999999998</v>
      </c>
      <c r="H358" s="8">
        <f t="shared" si="24"/>
        <v>6.5989999999999993E-2</v>
      </c>
      <c r="I358" s="98">
        <f t="shared" si="25"/>
        <v>6.5989999999999993E-2</v>
      </c>
      <c r="L358" s="6">
        <v>10.648383333333333</v>
      </c>
    </row>
    <row r="359" spans="1:12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22"/>
        <v>612.20000000000005</v>
      </c>
      <c r="G359" s="50">
        <f t="shared" si="23"/>
        <v>40.399077999999996</v>
      </c>
      <c r="H359" s="8">
        <f t="shared" si="24"/>
        <v>6.5989999999999993E-2</v>
      </c>
      <c r="I359" s="98">
        <f t="shared" si="25"/>
        <v>6.5989999999999993E-2</v>
      </c>
      <c r="L359" s="6">
        <v>12.206683333333332</v>
      </c>
    </row>
    <row r="360" spans="1:12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22"/>
        <v>611.79999999999995</v>
      </c>
      <c r="G360" s="50">
        <f t="shared" si="23"/>
        <v>40.37268199999999</v>
      </c>
      <c r="H360" s="8">
        <f t="shared" si="24"/>
        <v>6.5989999999999993E-2</v>
      </c>
      <c r="I360" s="98">
        <f t="shared" si="25"/>
        <v>6.5989999999999993E-2</v>
      </c>
      <c r="L360" s="6">
        <v>8.4148199999999989</v>
      </c>
    </row>
    <row r="361" spans="1:12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22"/>
        <v>510.4</v>
      </c>
      <c r="G361" s="50">
        <f t="shared" si="23"/>
        <v>33.681295999999996</v>
      </c>
      <c r="H361" s="8">
        <f t="shared" si="24"/>
        <v>6.5989999999999993E-2</v>
      </c>
      <c r="I361" s="98">
        <f t="shared" si="25"/>
        <v>6.5989999999999993E-2</v>
      </c>
      <c r="L361" s="6">
        <v>18.6996</v>
      </c>
    </row>
    <row r="362" spans="1:12" s="6" customFormat="1" ht="15.75">
      <c r="A362" s="268">
        <v>271</v>
      </c>
      <c r="B362" s="122" t="s">
        <v>1314</v>
      </c>
      <c r="C362" s="55">
        <v>564</v>
      </c>
      <c r="D362" s="256">
        <v>87.5</v>
      </c>
      <c r="E362" s="256"/>
      <c r="F362" s="95">
        <f t="shared" si="22"/>
        <v>651.5</v>
      </c>
      <c r="G362" s="50">
        <f t="shared" si="23"/>
        <v>42.992484999999995</v>
      </c>
      <c r="H362" s="8">
        <f t="shared" si="24"/>
        <v>6.5989999999999993E-2</v>
      </c>
      <c r="I362" s="98">
        <f t="shared" si="25"/>
        <v>6.5989999999999993E-2</v>
      </c>
      <c r="L362" s="6">
        <v>4.934616666666666</v>
      </c>
    </row>
    <row r="363" spans="1:12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22"/>
        <v>789.90000000000009</v>
      </c>
      <c r="G363" s="50">
        <f t="shared" si="23"/>
        <v>52.125501</v>
      </c>
      <c r="H363" s="8">
        <f t="shared" si="24"/>
        <v>6.5989999999999993E-2</v>
      </c>
      <c r="I363" s="98">
        <f t="shared" si="25"/>
        <v>6.5989999999999993E-2</v>
      </c>
      <c r="L363" s="6">
        <v>23.686160000000001</v>
      </c>
    </row>
    <row r="364" spans="1:12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22"/>
        <v>770.6</v>
      </c>
      <c r="G364" s="50">
        <f t="shared" si="23"/>
        <v>50.851893999999994</v>
      </c>
      <c r="H364" s="8">
        <f t="shared" si="24"/>
        <v>6.5989999999999993E-2</v>
      </c>
      <c r="I364" s="98">
        <f t="shared" si="25"/>
        <v>6.5989999999999993E-2</v>
      </c>
      <c r="L364" s="6">
        <v>26.491099999999999</v>
      </c>
    </row>
    <row r="365" spans="1:12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22"/>
        <v>958.2</v>
      </c>
      <c r="G365" s="50">
        <f t="shared" si="23"/>
        <v>63.231617999999997</v>
      </c>
      <c r="H365" s="8">
        <f t="shared" si="24"/>
        <v>6.5989999999999993E-2</v>
      </c>
      <c r="I365" s="98">
        <f t="shared" si="25"/>
        <v>6.5989999999999993E-2</v>
      </c>
      <c r="L365" s="6">
        <v>25.971666666666664</v>
      </c>
    </row>
    <row r="366" spans="1:12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22"/>
        <v>1194.4199999999998</v>
      </c>
      <c r="G366" s="50">
        <f t="shared" si="23"/>
        <v>78.819775799999988</v>
      </c>
      <c r="H366" s="8">
        <f t="shared" si="24"/>
        <v>6.5989999999999993E-2</v>
      </c>
      <c r="I366" s="98">
        <f t="shared" si="25"/>
        <v>6.5989999999999993E-2</v>
      </c>
      <c r="L366" s="6">
        <v>21.816199999999998</v>
      </c>
    </row>
    <row r="367" spans="1:12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22"/>
        <v>437.85999999999996</v>
      </c>
      <c r="G367" s="50">
        <f t="shared" si="23"/>
        <v>28.894381399999993</v>
      </c>
      <c r="H367" s="8">
        <f t="shared" si="24"/>
        <v>6.5989999999999993E-2</v>
      </c>
      <c r="I367" s="98">
        <f t="shared" si="25"/>
        <v>6.5989999999999993E-2</v>
      </c>
      <c r="L367" s="6">
        <v>27.010533333333338</v>
      </c>
    </row>
    <row r="368" spans="1:12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22"/>
        <v>712.5</v>
      </c>
      <c r="G368" s="50">
        <f t="shared" si="23"/>
        <v>47.017874999999997</v>
      </c>
      <c r="H368" s="8">
        <f t="shared" si="24"/>
        <v>6.5989999999999993E-2</v>
      </c>
      <c r="I368" s="98">
        <f t="shared" si="25"/>
        <v>6.5989999999999993E-2</v>
      </c>
      <c r="L368" s="6">
        <v>18.439883333333331</v>
      </c>
    </row>
    <row r="369" spans="1:12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22"/>
        <v>1035.06</v>
      </c>
      <c r="G369" s="50">
        <f t="shared" si="23"/>
        <v>68.303609399999985</v>
      </c>
      <c r="H369" s="8">
        <f t="shared" si="24"/>
        <v>6.5989999999999993E-2</v>
      </c>
      <c r="I369" s="98">
        <f t="shared" si="25"/>
        <v>6.5989999999999993E-2</v>
      </c>
      <c r="L369" s="6">
        <v>25</v>
      </c>
    </row>
    <row r="370" spans="1:12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22"/>
        <v>684.4</v>
      </c>
      <c r="G370" s="50">
        <f t="shared" si="23"/>
        <v>45.163555999999993</v>
      </c>
      <c r="H370" s="8">
        <f t="shared" si="24"/>
        <v>6.5989999999999993E-2</v>
      </c>
      <c r="I370" s="98">
        <f t="shared" si="25"/>
        <v>6.5989999999999993E-2</v>
      </c>
      <c r="L370" s="6">
        <v>16.36215</v>
      </c>
    </row>
    <row r="371" spans="1:12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22"/>
        <v>858.85</v>
      </c>
      <c r="G371" s="50">
        <f t="shared" si="23"/>
        <v>56.675511499999999</v>
      </c>
      <c r="H371" s="8">
        <f t="shared" si="24"/>
        <v>6.5989999999999993E-2</v>
      </c>
      <c r="I371" s="98">
        <f t="shared" si="25"/>
        <v>6.5989999999999993E-2</v>
      </c>
      <c r="L371" s="6">
        <v>21.816199999999998</v>
      </c>
    </row>
    <row r="372" spans="1:12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22"/>
        <v>827.7</v>
      </c>
      <c r="G372" s="50">
        <f t="shared" si="23"/>
        <v>54.619923</v>
      </c>
      <c r="H372" s="8">
        <f t="shared" si="24"/>
        <v>6.5989999999999993E-2</v>
      </c>
      <c r="I372" s="98">
        <f t="shared" si="25"/>
        <v>6.5989999999999993E-2</v>
      </c>
      <c r="L372" s="6">
        <v>17.764620000000001</v>
      </c>
    </row>
    <row r="373" spans="1:12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22"/>
        <v>837.19</v>
      </c>
      <c r="G373" s="50">
        <f t="shared" si="23"/>
        <v>55.246168099999998</v>
      </c>
      <c r="H373" s="8">
        <f t="shared" si="24"/>
        <v>6.5989999999999993E-2</v>
      </c>
      <c r="I373" s="98">
        <f t="shared" si="25"/>
        <v>6.5989999999999993E-2</v>
      </c>
      <c r="L373" s="6">
        <v>12.77806</v>
      </c>
    </row>
    <row r="374" spans="1:12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22"/>
        <v>325.10000000000002</v>
      </c>
      <c r="G374" s="50">
        <f t="shared" si="23"/>
        <v>21.453348999999999</v>
      </c>
      <c r="H374" s="8">
        <f t="shared" si="24"/>
        <v>6.5989999999999993E-2</v>
      </c>
      <c r="I374" s="98">
        <f t="shared" si="25"/>
        <v>6.5989999999999993E-2</v>
      </c>
      <c r="L374" s="6">
        <v>8.3109333333333328</v>
      </c>
    </row>
    <row r="375" spans="1:12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22"/>
        <v>513</v>
      </c>
      <c r="G375" s="50">
        <f t="shared" si="23"/>
        <v>33.852869999999996</v>
      </c>
      <c r="H375" s="8">
        <f t="shared" si="24"/>
        <v>6.5989999999999993E-2</v>
      </c>
      <c r="I375" s="98">
        <f t="shared" si="25"/>
        <v>6.5989999999999993E-2</v>
      </c>
      <c r="L375" s="6">
        <v>19.998183333333333</v>
      </c>
    </row>
    <row r="376" spans="1:12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22"/>
        <v>1023.42</v>
      </c>
      <c r="G376" s="50">
        <f t="shared" si="23"/>
        <v>67.535485799999989</v>
      </c>
      <c r="H376" s="8">
        <f t="shared" si="24"/>
        <v>6.5989999999999993E-2</v>
      </c>
      <c r="I376" s="98">
        <f t="shared" si="25"/>
        <v>6.5989999999999993E-2</v>
      </c>
      <c r="L376" s="6">
        <v>4.934616666666666</v>
      </c>
    </row>
    <row r="377" spans="1:12" s="5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22"/>
        <v>74.599999999999994</v>
      </c>
      <c r="G377" s="50">
        <f t="shared" si="23"/>
        <v>4.9228539999999992</v>
      </c>
      <c r="H377" s="8">
        <f t="shared" si="24"/>
        <v>6.5989999999999993E-2</v>
      </c>
      <c r="I377" s="98">
        <f t="shared" si="25"/>
        <v>6.5989999999999993E-2</v>
      </c>
      <c r="J377" s="6"/>
      <c r="L377" s="5">
        <v>0</v>
      </c>
    </row>
    <row r="378" spans="1:12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95">
        <f t="shared" si="22"/>
        <v>577.79999999999995</v>
      </c>
      <c r="G378" s="50">
        <f t="shared" si="23"/>
        <v>38.129021999999992</v>
      </c>
      <c r="H378" s="8">
        <f t="shared" si="24"/>
        <v>6.5989999999999993E-2</v>
      </c>
      <c r="I378" s="98">
        <f t="shared" si="25"/>
        <v>6.5989999999999993E-2</v>
      </c>
      <c r="L378" s="6">
        <v>5.1943333333333337</v>
      </c>
    </row>
    <row r="379" spans="1:12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95">
        <f t="shared" si="22"/>
        <v>379.4</v>
      </c>
      <c r="G379" s="50">
        <f t="shared" si="23"/>
        <v>25.036605999999995</v>
      </c>
      <c r="H379" s="8">
        <f t="shared" si="24"/>
        <v>6.5989999999999993E-2</v>
      </c>
      <c r="I379" s="98">
        <f t="shared" si="25"/>
        <v>6.5989999999999993E-2</v>
      </c>
      <c r="L379" s="6">
        <v>5.1943333333333337</v>
      </c>
    </row>
    <row r="380" spans="1:12" s="6" customFormat="1" ht="15.75">
      <c r="A380" s="268">
        <v>289</v>
      </c>
      <c r="B380" s="291" t="s">
        <v>1395</v>
      </c>
      <c r="C380" s="538">
        <f>1893+1096.4</f>
        <v>2989.4</v>
      </c>
      <c r="D380" s="255"/>
      <c r="E380" s="255"/>
      <c r="F380" s="95">
        <f t="shared" si="22"/>
        <v>2989.4</v>
      </c>
      <c r="G380" s="50">
        <f t="shared" si="23"/>
        <v>197.27050599999998</v>
      </c>
      <c r="H380" s="8">
        <f t="shared" si="24"/>
        <v>6.5989999999999993E-2</v>
      </c>
      <c r="I380" s="98">
        <f>SUM(G380/F380)</f>
        <v>6.5989999999999993E-2</v>
      </c>
    </row>
    <row r="381" spans="1:12" s="6" customFormat="1" ht="15.75">
      <c r="A381" s="268">
        <v>290</v>
      </c>
      <c r="B381" s="292" t="s">
        <v>1396</v>
      </c>
      <c r="C381" s="586">
        <v>527.29999999999995</v>
      </c>
      <c r="D381" s="255"/>
      <c r="E381" s="255"/>
      <c r="F381" s="95">
        <f t="shared" si="22"/>
        <v>527.29999999999995</v>
      </c>
      <c r="G381" s="50">
        <f t="shared" si="23"/>
        <v>34.79652699999999</v>
      </c>
      <c r="H381" s="8">
        <f t="shared" si="24"/>
        <v>6.5989999999999993E-2</v>
      </c>
      <c r="I381" s="98">
        <f>SUM(G381/F381)</f>
        <v>6.5989999999999993E-2</v>
      </c>
    </row>
    <row r="382" spans="1:12" s="6" customFormat="1" ht="15.75">
      <c r="A382" s="268">
        <v>291</v>
      </c>
      <c r="B382" s="301" t="s">
        <v>1400</v>
      </c>
      <c r="C382" s="538">
        <v>2299.1999999999998</v>
      </c>
      <c r="D382" s="255"/>
      <c r="E382" s="255"/>
      <c r="F382" s="95">
        <f t="shared" si="22"/>
        <v>2299.1999999999998</v>
      </c>
      <c r="G382" s="50">
        <f t="shared" si="23"/>
        <v>151.72420799999998</v>
      </c>
      <c r="H382" s="8">
        <f t="shared" si="24"/>
        <v>6.5989999999999993E-2</v>
      </c>
      <c r="I382" s="98">
        <f>SUM(G382/F382)</f>
        <v>6.5989999999999993E-2</v>
      </c>
    </row>
    <row r="383" spans="1:12" s="6" customFormat="1" ht="15.75">
      <c r="A383" s="268">
        <v>292</v>
      </c>
      <c r="B383" s="302" t="s">
        <v>1401</v>
      </c>
      <c r="C383" s="539">
        <v>292.60000000000002</v>
      </c>
      <c r="D383" s="413"/>
      <c r="E383" s="413"/>
      <c r="F383" s="95">
        <f t="shared" si="22"/>
        <v>292.60000000000002</v>
      </c>
      <c r="G383" s="50">
        <f t="shared" si="23"/>
        <v>19.308674</v>
      </c>
      <c r="H383" s="8">
        <f t="shared" si="24"/>
        <v>6.5989999999999993E-2</v>
      </c>
      <c r="I383" s="98">
        <f>SUM(G383/F383)</f>
        <v>6.5989999999999993E-2</v>
      </c>
    </row>
    <row r="384" spans="1:12" s="69" customFormat="1" ht="15.75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3">
        <f>C384+D384+E384</f>
        <v>232188.71000000008</v>
      </c>
      <c r="G384" s="50">
        <f>SUM(F384*H384)</f>
        <v>15322.132972900004</v>
      </c>
      <c r="H384" s="8">
        <f t="shared" si="24"/>
        <v>6.5989999999999993E-2</v>
      </c>
      <c r="I384" s="73">
        <f>SUM(G384/F384)</f>
        <v>6.5989999999999993E-2</v>
      </c>
    </row>
    <row r="385" spans="1:9" s="6" customFormat="1" ht="15.75">
      <c r="A385" s="5" t="s">
        <v>668</v>
      </c>
      <c r="B385" s="8"/>
      <c r="C385" s="8"/>
      <c r="D385" s="8"/>
      <c r="E385" s="8"/>
      <c r="F385" s="40">
        <f t="shared" ref="F385:F448" si="26">C385+D385+E385</f>
        <v>0</v>
      </c>
      <c r="G385" s="50">
        <f t="shared" ref="G385:G398" si="27">SUM(F385*H385)</f>
        <v>0</v>
      </c>
      <c r="H385" s="8">
        <f t="shared" si="24"/>
        <v>6.5989999999999993E-2</v>
      </c>
      <c r="I385" s="45"/>
    </row>
    <row r="386" spans="1:9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26"/>
        <v>4235</v>
      </c>
      <c r="G386" s="50">
        <f t="shared" si="27"/>
        <v>279.46764999999999</v>
      </c>
      <c r="H386" s="8">
        <f t="shared" si="24"/>
        <v>6.5989999999999993E-2</v>
      </c>
      <c r="I386" s="45">
        <f t="shared" ref="I386:I449" si="28">SUM(G386/F386)</f>
        <v>6.5989999999999993E-2</v>
      </c>
    </row>
    <row r="387" spans="1:9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26"/>
        <v>12601</v>
      </c>
      <c r="G387" s="50">
        <f t="shared" si="27"/>
        <v>831.53998999999988</v>
      </c>
      <c r="H387" s="8">
        <f t="shared" si="24"/>
        <v>6.5989999999999993E-2</v>
      </c>
      <c r="I387" s="45">
        <f t="shared" si="28"/>
        <v>6.5989999999999993E-2</v>
      </c>
    </row>
    <row r="388" spans="1:9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26"/>
        <v>12482</v>
      </c>
      <c r="G388" s="50">
        <f t="shared" si="27"/>
        <v>823.6871799999999</v>
      </c>
      <c r="H388" s="8">
        <f t="shared" si="24"/>
        <v>6.5989999999999993E-2</v>
      </c>
      <c r="I388" s="45">
        <f t="shared" si="28"/>
        <v>6.5989999999999993E-2</v>
      </c>
    </row>
    <row r="389" spans="1:9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26"/>
        <v>6092</v>
      </c>
      <c r="G389" s="50">
        <f t="shared" si="27"/>
        <v>402.01107999999994</v>
      </c>
      <c r="H389" s="8">
        <f t="shared" si="24"/>
        <v>6.5989999999999993E-2</v>
      </c>
      <c r="I389" s="45">
        <f t="shared" si="28"/>
        <v>6.5989999999999993E-2</v>
      </c>
    </row>
    <row r="390" spans="1:9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26"/>
        <v>12853.2</v>
      </c>
      <c r="G390" s="50">
        <f t="shared" si="27"/>
        <v>848.18266799999992</v>
      </c>
      <c r="H390" s="8">
        <f t="shared" si="24"/>
        <v>6.5989999999999993E-2</v>
      </c>
      <c r="I390" s="45">
        <f t="shared" si="28"/>
        <v>6.5989999999999993E-2</v>
      </c>
    </row>
    <row r="391" spans="1:9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26"/>
        <v>6317.1</v>
      </c>
      <c r="G391" s="50">
        <f t="shared" si="27"/>
        <v>416.86542900000001</v>
      </c>
      <c r="H391" s="8">
        <f t="shared" si="24"/>
        <v>6.5989999999999993E-2</v>
      </c>
      <c r="I391" s="45">
        <f t="shared" si="28"/>
        <v>6.5989999999999993E-2</v>
      </c>
    </row>
    <row r="392" spans="1:9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26"/>
        <v>6243.1</v>
      </c>
      <c r="G392" s="50">
        <f t="shared" si="27"/>
        <v>411.982169</v>
      </c>
      <c r="H392" s="8">
        <f t="shared" si="24"/>
        <v>6.5989999999999993E-2</v>
      </c>
      <c r="I392" s="45">
        <f t="shared" si="28"/>
        <v>6.5989999999999993E-2</v>
      </c>
    </row>
    <row r="393" spans="1:9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26"/>
        <v>3918</v>
      </c>
      <c r="G393" s="50">
        <f t="shared" si="27"/>
        <v>258.54881999999998</v>
      </c>
      <c r="H393" s="8">
        <f t="shared" si="24"/>
        <v>6.5989999999999993E-2</v>
      </c>
      <c r="I393" s="45">
        <f t="shared" si="28"/>
        <v>6.5989999999999993E-2</v>
      </c>
    </row>
    <row r="394" spans="1:9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26"/>
        <v>4332</v>
      </c>
      <c r="G394" s="50">
        <f>SUM(F394*H394)</f>
        <v>285.86867999999998</v>
      </c>
      <c r="H394" s="8">
        <f t="shared" si="24"/>
        <v>6.5989999999999993E-2</v>
      </c>
      <c r="I394" s="45">
        <f t="shared" si="28"/>
        <v>6.5989999999999993E-2</v>
      </c>
    </row>
    <row r="395" spans="1:9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26"/>
        <v>3911</v>
      </c>
      <c r="G395" s="50">
        <f t="shared" si="27"/>
        <v>258.08688999999998</v>
      </c>
      <c r="H395" s="8">
        <f t="shared" si="24"/>
        <v>6.5989999999999993E-2</v>
      </c>
      <c r="I395" s="45">
        <f t="shared" si="28"/>
        <v>6.5989999999999993E-2</v>
      </c>
    </row>
    <row r="396" spans="1:9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26"/>
        <v>3338</v>
      </c>
      <c r="G396" s="50">
        <f t="shared" si="27"/>
        <v>220.27461999999997</v>
      </c>
      <c r="H396" s="8">
        <f t="shared" si="24"/>
        <v>6.5989999999999993E-2</v>
      </c>
      <c r="I396" s="45">
        <f t="shared" si="28"/>
        <v>6.5989999999999993E-2</v>
      </c>
    </row>
    <row r="397" spans="1:9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26"/>
        <v>3353</v>
      </c>
      <c r="G397" s="50">
        <f t="shared" si="27"/>
        <v>221.26446999999999</v>
      </c>
      <c r="H397" s="8">
        <f t="shared" si="24"/>
        <v>6.5989999999999993E-2</v>
      </c>
      <c r="I397" s="45">
        <f t="shared" si="28"/>
        <v>6.5989999999999993E-2</v>
      </c>
    </row>
    <row r="398" spans="1:9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26"/>
        <v>4050</v>
      </c>
      <c r="G398" s="50">
        <f t="shared" si="27"/>
        <v>267.25949999999995</v>
      </c>
      <c r="H398" s="8">
        <f t="shared" si="24"/>
        <v>6.5989999999999993E-2</v>
      </c>
      <c r="I398" s="45">
        <f t="shared" si="28"/>
        <v>6.5989999999999993E-2</v>
      </c>
    </row>
    <row r="399" spans="1:9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26"/>
        <v>4035</v>
      </c>
      <c r="G399" s="50">
        <f t="shared" ref="G399:G462" si="29">SUM(F399*H399)</f>
        <v>266.26964999999996</v>
      </c>
      <c r="H399" s="8">
        <f t="shared" si="24"/>
        <v>6.5989999999999993E-2</v>
      </c>
      <c r="I399" s="45">
        <f t="shared" si="28"/>
        <v>6.5989999999999993E-2</v>
      </c>
    </row>
    <row r="400" spans="1:9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26"/>
        <v>4018</v>
      </c>
      <c r="G400" s="50">
        <f t="shared" si="29"/>
        <v>265.14781999999997</v>
      </c>
      <c r="H400" s="8">
        <f t="shared" si="24"/>
        <v>6.5989999999999993E-2</v>
      </c>
      <c r="I400" s="45">
        <f t="shared" si="28"/>
        <v>6.5989999999999993E-2</v>
      </c>
    </row>
    <row r="401" spans="1:9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26"/>
        <v>4031</v>
      </c>
      <c r="G401" s="50">
        <f t="shared" si="29"/>
        <v>266.00568999999996</v>
      </c>
      <c r="H401" s="8">
        <f t="shared" si="24"/>
        <v>6.5989999999999993E-2</v>
      </c>
      <c r="I401" s="45">
        <f t="shared" si="28"/>
        <v>6.5989999999999993E-2</v>
      </c>
    </row>
    <row r="402" spans="1:9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26"/>
        <v>4302</v>
      </c>
      <c r="G402" s="50">
        <f t="shared" si="29"/>
        <v>283.88897999999995</v>
      </c>
      <c r="H402" s="8">
        <f t="shared" si="24"/>
        <v>6.5989999999999993E-2</v>
      </c>
      <c r="I402" s="45">
        <f t="shared" si="28"/>
        <v>6.5989999999999993E-2</v>
      </c>
    </row>
    <row r="403" spans="1:9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26"/>
        <v>4275</v>
      </c>
      <c r="G403" s="50">
        <f t="shared" si="29"/>
        <v>282.10724999999996</v>
      </c>
      <c r="H403" s="8">
        <f t="shared" si="24"/>
        <v>6.5989999999999993E-2</v>
      </c>
      <c r="I403" s="45">
        <f t="shared" si="28"/>
        <v>6.5989999999999993E-2</v>
      </c>
    </row>
    <row r="404" spans="1:9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26"/>
        <v>4125</v>
      </c>
      <c r="G404" s="50">
        <f t="shared" si="29"/>
        <v>272.20874999999995</v>
      </c>
      <c r="H404" s="8">
        <f t="shared" si="24"/>
        <v>6.5989999999999993E-2</v>
      </c>
      <c r="I404" s="45">
        <f t="shared" si="28"/>
        <v>6.5989999999999993E-2</v>
      </c>
    </row>
    <row r="405" spans="1:9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26"/>
        <v>3975</v>
      </c>
      <c r="G405" s="50">
        <f t="shared" si="29"/>
        <v>262.31025</v>
      </c>
      <c r="H405" s="8">
        <f t="shared" si="24"/>
        <v>6.5989999999999993E-2</v>
      </c>
      <c r="I405" s="45">
        <f t="shared" si="28"/>
        <v>6.5989999999999993E-2</v>
      </c>
    </row>
    <row r="406" spans="1:9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26"/>
        <v>3357</v>
      </c>
      <c r="G406" s="50">
        <f t="shared" si="29"/>
        <v>221.52842999999999</v>
      </c>
      <c r="H406" s="8">
        <f t="shared" si="24"/>
        <v>6.5989999999999993E-2</v>
      </c>
      <c r="I406" s="45">
        <f t="shared" si="28"/>
        <v>6.5989999999999993E-2</v>
      </c>
    </row>
    <row r="407" spans="1:9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26"/>
        <v>6146</v>
      </c>
      <c r="G407" s="50">
        <f t="shared" si="29"/>
        <v>405.57453999999996</v>
      </c>
      <c r="H407" s="8">
        <f t="shared" si="24"/>
        <v>6.5989999999999993E-2</v>
      </c>
      <c r="I407" s="45">
        <f t="shared" si="28"/>
        <v>6.5989999999999993E-2</v>
      </c>
    </row>
    <row r="408" spans="1:9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26"/>
        <v>983</v>
      </c>
      <c r="G408" s="50">
        <f t="shared" si="29"/>
        <v>64.868169999999992</v>
      </c>
      <c r="H408" s="8">
        <f t="shared" si="24"/>
        <v>6.5989999999999993E-2</v>
      </c>
      <c r="I408" s="45">
        <f t="shared" si="28"/>
        <v>6.5989999999999993E-2</v>
      </c>
    </row>
    <row r="409" spans="1:9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26"/>
        <v>3815</v>
      </c>
      <c r="G409" s="50">
        <f t="shared" si="29"/>
        <v>251.75184999999996</v>
      </c>
      <c r="H409" s="8">
        <f t="shared" si="24"/>
        <v>6.5989999999999993E-2</v>
      </c>
      <c r="I409" s="45">
        <f t="shared" si="28"/>
        <v>6.5989999999999993E-2</v>
      </c>
    </row>
    <row r="410" spans="1:9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26"/>
        <v>4215</v>
      </c>
      <c r="G410" s="50">
        <f t="shared" si="29"/>
        <v>278.14784999999995</v>
      </c>
      <c r="H410" s="8">
        <f t="shared" si="24"/>
        <v>6.5989999999999993E-2</v>
      </c>
      <c r="I410" s="45">
        <f t="shared" si="28"/>
        <v>6.5989999999999993E-2</v>
      </c>
    </row>
    <row r="411" spans="1:9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26"/>
        <v>12662</v>
      </c>
      <c r="G411" s="50">
        <f t="shared" si="29"/>
        <v>835.56537999999989</v>
      </c>
      <c r="H411" s="8">
        <f t="shared" si="24"/>
        <v>6.5989999999999993E-2</v>
      </c>
      <c r="I411" s="45">
        <f t="shared" si="28"/>
        <v>6.5989999999999993E-2</v>
      </c>
    </row>
    <row r="412" spans="1:9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26"/>
        <v>3976</v>
      </c>
      <c r="G412" s="50">
        <f t="shared" si="29"/>
        <v>262.37624</v>
      </c>
      <c r="H412" s="8">
        <f t="shared" ref="H412:H475" si="30">0.06599</f>
        <v>6.5989999999999993E-2</v>
      </c>
      <c r="I412" s="45">
        <f t="shared" si="28"/>
        <v>6.5989999999999993E-2</v>
      </c>
    </row>
    <row r="413" spans="1:9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26"/>
        <v>12839</v>
      </c>
      <c r="G413" s="50">
        <f t="shared" si="29"/>
        <v>847.24560999999994</v>
      </c>
      <c r="H413" s="8">
        <f t="shared" si="30"/>
        <v>6.5989999999999993E-2</v>
      </c>
      <c r="I413" s="45">
        <f t="shared" si="28"/>
        <v>6.5989999999999993E-2</v>
      </c>
    </row>
    <row r="414" spans="1:9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26"/>
        <v>10313</v>
      </c>
      <c r="G414" s="50">
        <f t="shared" si="29"/>
        <v>680.55486999999994</v>
      </c>
      <c r="H414" s="8">
        <f t="shared" si="30"/>
        <v>6.5989999999999993E-2</v>
      </c>
      <c r="I414" s="45">
        <f t="shared" si="28"/>
        <v>6.5989999999999993E-2</v>
      </c>
    </row>
    <row r="415" spans="1:9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26"/>
        <v>6385</v>
      </c>
      <c r="G415" s="50">
        <f t="shared" si="29"/>
        <v>421.34614999999997</v>
      </c>
      <c r="H415" s="8">
        <f t="shared" si="30"/>
        <v>6.5989999999999993E-2</v>
      </c>
      <c r="I415" s="45">
        <f t="shared" si="28"/>
        <v>6.5989999999999993E-2</v>
      </c>
    </row>
    <row r="416" spans="1:9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26"/>
        <v>3041.2</v>
      </c>
      <c r="G416" s="50">
        <f t="shared" si="29"/>
        <v>200.68878799999996</v>
      </c>
      <c r="H416" s="8">
        <f t="shared" si="30"/>
        <v>6.5989999999999993E-2</v>
      </c>
      <c r="I416" s="45">
        <f t="shared" si="28"/>
        <v>6.5989999999999993E-2</v>
      </c>
    </row>
    <row r="417" spans="1:9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26"/>
        <v>3886</v>
      </c>
      <c r="G417" s="50">
        <f t="shared" si="29"/>
        <v>256.43714</v>
      </c>
      <c r="H417" s="8">
        <f t="shared" si="30"/>
        <v>6.5989999999999993E-2</v>
      </c>
      <c r="I417" s="45">
        <f t="shared" si="28"/>
        <v>6.5989999999999993E-2</v>
      </c>
    </row>
    <row r="418" spans="1:9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26"/>
        <v>4071</v>
      </c>
      <c r="G418" s="50">
        <f t="shared" si="29"/>
        <v>268.64528999999999</v>
      </c>
      <c r="H418" s="8">
        <f t="shared" si="30"/>
        <v>6.5989999999999993E-2</v>
      </c>
      <c r="I418" s="45">
        <f t="shared" si="28"/>
        <v>6.5989999999999993E-2</v>
      </c>
    </row>
    <row r="419" spans="1:9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26"/>
        <v>352.6</v>
      </c>
      <c r="G419" s="50">
        <f t="shared" si="29"/>
        <v>23.268073999999999</v>
      </c>
      <c r="H419" s="8">
        <f t="shared" si="30"/>
        <v>6.5989999999999993E-2</v>
      </c>
      <c r="I419" s="45">
        <f t="shared" si="28"/>
        <v>6.5989999999999993E-2</v>
      </c>
    </row>
    <row r="420" spans="1:9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26"/>
        <v>656.95</v>
      </c>
      <c r="G420" s="50">
        <f t="shared" si="29"/>
        <v>43.352130500000001</v>
      </c>
      <c r="H420" s="8">
        <f t="shared" si="30"/>
        <v>6.5989999999999993E-2</v>
      </c>
      <c r="I420" s="45">
        <f t="shared" si="28"/>
        <v>6.5989999999999993E-2</v>
      </c>
    </row>
    <row r="421" spans="1:9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26"/>
        <v>485.16</v>
      </c>
      <c r="G421" s="50">
        <f t="shared" si="29"/>
        <v>32.015708400000001</v>
      </c>
      <c r="H421" s="8">
        <f t="shared" si="30"/>
        <v>6.5989999999999993E-2</v>
      </c>
      <c r="I421" s="45">
        <f t="shared" si="28"/>
        <v>6.5989999999999993E-2</v>
      </c>
    </row>
    <row r="422" spans="1:9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26"/>
        <v>286.92</v>
      </c>
      <c r="G422" s="50">
        <f t="shared" si="29"/>
        <v>18.933850799999998</v>
      </c>
      <c r="H422" s="8">
        <f t="shared" si="30"/>
        <v>6.5989999999999993E-2</v>
      </c>
      <c r="I422" s="45">
        <f t="shared" si="28"/>
        <v>6.5989999999999993E-2</v>
      </c>
    </row>
    <row r="423" spans="1:9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26"/>
        <v>226.94</v>
      </c>
      <c r="G423" s="50">
        <f t="shared" si="29"/>
        <v>14.975770599999999</v>
      </c>
      <c r="H423" s="8">
        <f t="shared" si="30"/>
        <v>6.5989999999999993E-2</v>
      </c>
      <c r="I423" s="45">
        <f t="shared" si="28"/>
        <v>6.5989999999999993E-2</v>
      </c>
    </row>
    <row r="424" spans="1:9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26"/>
        <v>307.14999999999998</v>
      </c>
      <c r="G424" s="50">
        <f t="shared" si="29"/>
        <v>20.268828499999998</v>
      </c>
      <c r="H424" s="8">
        <f t="shared" si="30"/>
        <v>6.5989999999999993E-2</v>
      </c>
      <c r="I424" s="45">
        <f t="shared" si="28"/>
        <v>6.5989999999999993E-2</v>
      </c>
    </row>
    <row r="425" spans="1:9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26"/>
        <v>329.65</v>
      </c>
      <c r="G425" s="50">
        <f t="shared" si="29"/>
        <v>21.753603499999997</v>
      </c>
      <c r="H425" s="8">
        <f t="shared" si="30"/>
        <v>6.5989999999999993E-2</v>
      </c>
      <c r="I425" s="45">
        <f t="shared" si="28"/>
        <v>6.5989999999999993E-2</v>
      </c>
    </row>
    <row r="426" spans="1:9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26"/>
        <v>255.16</v>
      </c>
      <c r="G426" s="50">
        <f t="shared" si="29"/>
        <v>16.8380084</v>
      </c>
      <c r="H426" s="8">
        <f t="shared" si="30"/>
        <v>6.5989999999999993E-2</v>
      </c>
      <c r="I426" s="45">
        <f t="shared" si="28"/>
        <v>6.5989999999999993E-2</v>
      </c>
    </row>
    <row r="427" spans="1:9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26"/>
        <v>509.32</v>
      </c>
      <c r="G427" s="50">
        <f t="shared" si="29"/>
        <v>33.610026799999993</v>
      </c>
      <c r="H427" s="8">
        <f t="shared" si="30"/>
        <v>6.5989999999999993E-2</v>
      </c>
      <c r="I427" s="45">
        <f t="shared" si="28"/>
        <v>6.5989999999999993E-2</v>
      </c>
    </row>
    <row r="428" spans="1:9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26"/>
        <v>509.19</v>
      </c>
      <c r="G428" s="50">
        <f t="shared" si="29"/>
        <v>33.601448099999999</v>
      </c>
      <c r="H428" s="8">
        <f t="shared" si="30"/>
        <v>6.5989999999999993E-2</v>
      </c>
      <c r="I428" s="45">
        <f t="shared" si="28"/>
        <v>6.5989999999999993E-2</v>
      </c>
    </row>
    <row r="429" spans="1:9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26"/>
        <v>291.43</v>
      </c>
      <c r="G429" s="50">
        <f t="shared" si="29"/>
        <v>19.231465699999998</v>
      </c>
      <c r="H429" s="8">
        <f t="shared" si="30"/>
        <v>6.5989999999999993E-2</v>
      </c>
      <c r="I429" s="45">
        <f t="shared" si="28"/>
        <v>6.5989999999999993E-2</v>
      </c>
    </row>
    <row r="430" spans="1:9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26"/>
        <v>449.48</v>
      </c>
      <c r="G430" s="50">
        <f t="shared" si="29"/>
        <v>29.661185199999998</v>
      </c>
      <c r="H430" s="8">
        <f t="shared" si="30"/>
        <v>6.5989999999999993E-2</v>
      </c>
      <c r="I430" s="45">
        <f t="shared" si="28"/>
        <v>6.5989999999999993E-2</v>
      </c>
    </row>
    <row r="431" spans="1:9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26"/>
        <v>467.46</v>
      </c>
      <c r="G431" s="50">
        <f t="shared" si="29"/>
        <v>30.847685399999996</v>
      </c>
      <c r="H431" s="8">
        <f t="shared" si="30"/>
        <v>6.5989999999999993E-2</v>
      </c>
      <c r="I431" s="45">
        <f t="shared" si="28"/>
        <v>6.5989999999999993E-2</v>
      </c>
    </row>
    <row r="432" spans="1:9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26"/>
        <v>558.4</v>
      </c>
      <c r="G432" s="50">
        <f t="shared" si="29"/>
        <v>36.848815999999992</v>
      </c>
      <c r="H432" s="8">
        <f t="shared" si="30"/>
        <v>6.5989999999999993E-2</v>
      </c>
      <c r="I432" s="45">
        <f t="shared" si="28"/>
        <v>6.5989999999999993E-2</v>
      </c>
    </row>
    <row r="433" spans="1:9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26"/>
        <v>331.42</v>
      </c>
      <c r="G433" s="50">
        <f t="shared" si="29"/>
        <v>21.8704058</v>
      </c>
      <c r="H433" s="8">
        <f t="shared" si="30"/>
        <v>6.5989999999999993E-2</v>
      </c>
      <c r="I433" s="45">
        <f t="shared" si="28"/>
        <v>6.5989999999999993E-2</v>
      </c>
    </row>
    <row r="434" spans="1:9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26"/>
        <v>154.9</v>
      </c>
      <c r="G434" s="50">
        <f t="shared" si="29"/>
        <v>10.221850999999999</v>
      </c>
      <c r="H434" s="8">
        <f t="shared" si="30"/>
        <v>6.5989999999999993E-2</v>
      </c>
      <c r="I434" s="45">
        <f t="shared" si="28"/>
        <v>6.5989999999999993E-2</v>
      </c>
    </row>
    <row r="435" spans="1:9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26"/>
        <v>119.9</v>
      </c>
      <c r="G435" s="50">
        <f t="shared" si="29"/>
        <v>7.9122009999999996</v>
      </c>
      <c r="H435" s="8">
        <f t="shared" si="30"/>
        <v>6.5989999999999993E-2</v>
      </c>
      <c r="I435" s="45">
        <f t="shared" si="28"/>
        <v>6.5989999999999993E-2</v>
      </c>
    </row>
    <row r="436" spans="1:9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26"/>
        <v>300.3</v>
      </c>
      <c r="G436" s="50">
        <f t="shared" si="29"/>
        <v>19.816796999999998</v>
      </c>
      <c r="H436" s="8">
        <f t="shared" si="30"/>
        <v>6.5989999999999993E-2</v>
      </c>
      <c r="I436" s="45">
        <f t="shared" si="28"/>
        <v>6.5989999999999993E-2</v>
      </c>
    </row>
    <row r="437" spans="1:9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26"/>
        <v>226.84</v>
      </c>
      <c r="G437" s="50">
        <f t="shared" si="29"/>
        <v>14.969171599999999</v>
      </c>
      <c r="H437" s="8">
        <f t="shared" si="30"/>
        <v>6.5989999999999993E-2</v>
      </c>
      <c r="I437" s="45">
        <f t="shared" si="28"/>
        <v>6.5989999999999993E-2</v>
      </c>
    </row>
    <row r="438" spans="1:9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26"/>
        <v>216.3</v>
      </c>
      <c r="G438" s="50">
        <f t="shared" si="29"/>
        <v>14.273636999999999</v>
      </c>
      <c r="H438" s="8">
        <f t="shared" si="30"/>
        <v>6.5989999999999993E-2</v>
      </c>
      <c r="I438" s="45">
        <f t="shared" si="28"/>
        <v>6.5989999999999993E-2</v>
      </c>
    </row>
    <row r="439" spans="1:9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26"/>
        <v>307.64999999999998</v>
      </c>
      <c r="G439" s="50">
        <f t="shared" si="29"/>
        <v>20.301823499999998</v>
      </c>
      <c r="H439" s="8">
        <f t="shared" si="30"/>
        <v>6.5989999999999993E-2</v>
      </c>
      <c r="I439" s="45">
        <f t="shared" si="28"/>
        <v>6.5989999999999993E-2</v>
      </c>
    </row>
    <row r="440" spans="1:9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26"/>
        <v>350.66</v>
      </c>
      <c r="G440" s="50">
        <f t="shared" si="29"/>
        <v>23.140053399999999</v>
      </c>
      <c r="H440" s="8">
        <f t="shared" si="30"/>
        <v>6.5989999999999993E-2</v>
      </c>
      <c r="I440" s="45">
        <f t="shared" si="28"/>
        <v>6.5989999999999993E-2</v>
      </c>
    </row>
    <row r="441" spans="1:9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26"/>
        <v>485.8</v>
      </c>
      <c r="G441" s="50">
        <f t="shared" si="29"/>
        <v>32.057941999999997</v>
      </c>
      <c r="H441" s="8">
        <f t="shared" si="30"/>
        <v>6.5989999999999993E-2</v>
      </c>
      <c r="I441" s="45">
        <f t="shared" si="28"/>
        <v>6.5989999999999993E-2</v>
      </c>
    </row>
    <row r="442" spans="1:9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26"/>
        <v>402.96</v>
      </c>
      <c r="G442" s="50">
        <f t="shared" si="29"/>
        <v>26.591330399999997</v>
      </c>
      <c r="H442" s="8">
        <f t="shared" si="30"/>
        <v>6.5989999999999993E-2</v>
      </c>
      <c r="I442" s="45">
        <f t="shared" si="28"/>
        <v>6.5989999999999993E-2</v>
      </c>
    </row>
    <row r="443" spans="1:9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26"/>
        <v>526.67999999999995</v>
      </c>
      <c r="G443" s="50">
        <f t="shared" si="29"/>
        <v>34.755613199999992</v>
      </c>
      <c r="H443" s="8">
        <f t="shared" si="30"/>
        <v>6.5989999999999993E-2</v>
      </c>
      <c r="I443" s="45">
        <f t="shared" si="28"/>
        <v>6.5989999999999993E-2</v>
      </c>
    </row>
    <row r="444" spans="1:9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26"/>
        <v>198.5</v>
      </c>
      <c r="G444" s="50">
        <f t="shared" si="29"/>
        <v>13.099014999999998</v>
      </c>
      <c r="H444" s="8">
        <f t="shared" si="30"/>
        <v>6.5989999999999993E-2</v>
      </c>
      <c r="I444" s="45">
        <f t="shared" si="28"/>
        <v>6.5989999999999993E-2</v>
      </c>
    </row>
    <row r="445" spans="1:9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26"/>
        <v>879.8</v>
      </c>
      <c r="G445" s="50">
        <f t="shared" si="29"/>
        <v>58.058001999999988</v>
      </c>
      <c r="H445" s="8">
        <f t="shared" si="30"/>
        <v>6.5989999999999993E-2</v>
      </c>
      <c r="I445" s="45">
        <f t="shared" si="28"/>
        <v>6.5989999999999993E-2</v>
      </c>
    </row>
    <row r="446" spans="1:9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26"/>
        <v>1786.8</v>
      </c>
      <c r="G446" s="50">
        <f t="shared" si="29"/>
        <v>117.91093199999999</v>
      </c>
      <c r="H446" s="8">
        <f t="shared" si="30"/>
        <v>6.5989999999999993E-2</v>
      </c>
      <c r="I446" s="45">
        <f t="shared" si="28"/>
        <v>6.5989999999999993E-2</v>
      </c>
    </row>
    <row r="447" spans="1:9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26"/>
        <v>776.28</v>
      </c>
      <c r="G447" s="50">
        <f t="shared" si="29"/>
        <v>51.226717199999996</v>
      </c>
      <c r="H447" s="8">
        <f t="shared" si="30"/>
        <v>6.5989999999999993E-2</v>
      </c>
      <c r="I447" s="45">
        <f t="shared" si="28"/>
        <v>6.5989999999999993E-2</v>
      </c>
    </row>
    <row r="448" spans="1:9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si="26"/>
        <v>475.29</v>
      </c>
      <c r="G448" s="50">
        <f t="shared" si="29"/>
        <v>31.364387099999998</v>
      </c>
      <c r="H448" s="8">
        <f t="shared" si="30"/>
        <v>6.5989999999999993E-2</v>
      </c>
      <c r="I448" s="45">
        <f t="shared" si="28"/>
        <v>6.5989999999999993E-2</v>
      </c>
    </row>
    <row r="449" spans="1:9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ref="F449:F511" si="31">C449+D449+E449</f>
        <v>487.96</v>
      </c>
      <c r="G449" s="50">
        <f t="shared" si="29"/>
        <v>32.200480399999996</v>
      </c>
      <c r="H449" s="8">
        <f t="shared" si="30"/>
        <v>6.5989999999999993E-2</v>
      </c>
      <c r="I449" s="45">
        <f t="shared" si="28"/>
        <v>6.5989999999999993E-2</v>
      </c>
    </row>
    <row r="450" spans="1:9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31"/>
        <v>1058.94</v>
      </c>
      <c r="G450" s="50">
        <f t="shared" si="29"/>
        <v>69.879450599999998</v>
      </c>
      <c r="H450" s="8">
        <f t="shared" si="30"/>
        <v>6.5989999999999993E-2</v>
      </c>
      <c r="I450" s="45">
        <f t="shared" ref="I450:I511" si="32">SUM(G450/F450)</f>
        <v>6.5989999999999993E-2</v>
      </c>
    </row>
    <row r="451" spans="1:9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31"/>
        <v>435.39</v>
      </c>
      <c r="G451" s="50">
        <f t="shared" si="29"/>
        <v>28.731386099999995</v>
      </c>
      <c r="H451" s="8">
        <f t="shared" si="30"/>
        <v>6.5989999999999993E-2</v>
      </c>
      <c r="I451" s="45">
        <f t="shared" si="32"/>
        <v>6.5989999999999993E-2</v>
      </c>
    </row>
    <row r="452" spans="1:9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31"/>
        <v>539.61</v>
      </c>
      <c r="G452" s="50">
        <f t="shared" si="29"/>
        <v>35.608863899999996</v>
      </c>
      <c r="H452" s="8">
        <f t="shared" si="30"/>
        <v>6.5989999999999993E-2</v>
      </c>
      <c r="I452" s="45">
        <f t="shared" si="32"/>
        <v>6.5989999999999993E-2</v>
      </c>
    </row>
    <row r="453" spans="1:9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31"/>
        <v>466.35</v>
      </c>
      <c r="G453" s="50">
        <f t="shared" si="29"/>
        <v>30.774436499999997</v>
      </c>
      <c r="H453" s="8">
        <f t="shared" si="30"/>
        <v>6.5989999999999993E-2</v>
      </c>
      <c r="I453" s="45">
        <f t="shared" si="32"/>
        <v>6.5989999999999993E-2</v>
      </c>
    </row>
    <row r="454" spans="1:9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31"/>
        <v>270.3</v>
      </c>
      <c r="G454" s="50">
        <f t="shared" si="29"/>
        <v>17.837097</v>
      </c>
      <c r="H454" s="8">
        <f t="shared" si="30"/>
        <v>6.5989999999999993E-2</v>
      </c>
      <c r="I454" s="45">
        <f t="shared" si="32"/>
        <v>6.5989999999999993E-2</v>
      </c>
    </row>
    <row r="455" spans="1:9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31"/>
        <v>1056.99</v>
      </c>
      <c r="G455" s="50">
        <f t="shared" si="29"/>
        <v>69.750770099999997</v>
      </c>
      <c r="H455" s="8">
        <f t="shared" si="30"/>
        <v>6.5989999999999993E-2</v>
      </c>
      <c r="I455" s="45">
        <f t="shared" si="32"/>
        <v>6.5989999999999993E-2</v>
      </c>
    </row>
    <row r="456" spans="1:9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31"/>
        <v>353.79999999999995</v>
      </c>
      <c r="G456" s="50">
        <f t="shared" si="29"/>
        <v>23.347261999999994</v>
      </c>
      <c r="H456" s="8">
        <f t="shared" si="30"/>
        <v>6.5989999999999993E-2</v>
      </c>
      <c r="I456" s="45">
        <f t="shared" si="32"/>
        <v>6.5989999999999993E-2</v>
      </c>
    </row>
    <row r="457" spans="1:9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31"/>
        <v>239.3</v>
      </c>
      <c r="G457" s="50">
        <f t="shared" si="29"/>
        <v>15.791407</v>
      </c>
      <c r="H457" s="8">
        <f t="shared" si="30"/>
        <v>6.5989999999999993E-2</v>
      </c>
      <c r="I457" s="45">
        <f t="shared" si="32"/>
        <v>6.5989999999999993E-2</v>
      </c>
    </row>
    <row r="458" spans="1:9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31"/>
        <v>144.6</v>
      </c>
      <c r="G458" s="50">
        <f t="shared" si="29"/>
        <v>9.5421539999999982</v>
      </c>
      <c r="H458" s="8">
        <f t="shared" si="30"/>
        <v>6.5989999999999993E-2</v>
      </c>
      <c r="I458" s="45">
        <f t="shared" si="32"/>
        <v>6.5989999999999993E-2</v>
      </c>
    </row>
    <row r="459" spans="1:9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31"/>
        <v>375.5</v>
      </c>
      <c r="G459" s="50">
        <f t="shared" si="29"/>
        <v>24.779244999999996</v>
      </c>
      <c r="H459" s="8">
        <f t="shared" si="30"/>
        <v>6.5989999999999993E-2</v>
      </c>
      <c r="I459" s="45">
        <f t="shared" si="32"/>
        <v>6.5989999999999993E-2</v>
      </c>
    </row>
    <row r="460" spans="1:9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31"/>
        <v>993.91</v>
      </c>
      <c r="G460" s="50">
        <f t="shared" si="29"/>
        <v>65.588120899999993</v>
      </c>
      <c r="H460" s="8">
        <f t="shared" si="30"/>
        <v>6.5989999999999993E-2</v>
      </c>
      <c r="I460" s="45">
        <f t="shared" si="32"/>
        <v>6.5989999999999993E-2</v>
      </c>
    </row>
    <row r="461" spans="1:9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31"/>
        <v>716.19999999999993</v>
      </c>
      <c r="G461" s="50">
        <f t="shared" si="29"/>
        <v>47.26203799999999</v>
      </c>
      <c r="H461" s="8">
        <f t="shared" si="30"/>
        <v>6.5989999999999993E-2</v>
      </c>
      <c r="I461" s="45">
        <f t="shared" si="32"/>
        <v>6.5989999999999993E-2</v>
      </c>
    </row>
    <row r="462" spans="1:9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31"/>
        <v>472.2</v>
      </c>
      <c r="G462" s="50">
        <f t="shared" si="29"/>
        <v>31.160477999999998</v>
      </c>
      <c r="H462" s="8">
        <f t="shared" si="30"/>
        <v>6.5989999999999993E-2</v>
      </c>
      <c r="I462" s="45">
        <f t="shared" si="32"/>
        <v>6.5989999999999993E-2</v>
      </c>
    </row>
    <row r="463" spans="1:9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31"/>
        <v>337.29999999999995</v>
      </c>
      <c r="G463" s="50">
        <f t="shared" ref="G463:G524" si="33">SUM(F463*H463)</f>
        <v>22.258426999999994</v>
      </c>
      <c r="H463" s="8">
        <f t="shared" si="30"/>
        <v>6.5989999999999993E-2</v>
      </c>
      <c r="I463" s="45">
        <f t="shared" si="32"/>
        <v>6.5989999999999993E-2</v>
      </c>
    </row>
    <row r="464" spans="1:9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31"/>
        <v>395.5</v>
      </c>
      <c r="G464" s="50">
        <f t="shared" si="33"/>
        <v>26.099044999999997</v>
      </c>
      <c r="H464" s="8">
        <f t="shared" si="30"/>
        <v>6.5989999999999993E-2</v>
      </c>
      <c r="I464" s="45">
        <f t="shared" si="32"/>
        <v>6.5989999999999993E-2</v>
      </c>
    </row>
    <row r="465" spans="1:9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31"/>
        <v>464.09999999999997</v>
      </c>
      <c r="G465" s="50">
        <f t="shared" si="33"/>
        <v>30.625958999999995</v>
      </c>
      <c r="H465" s="8">
        <f t="shared" si="30"/>
        <v>6.5989999999999993E-2</v>
      </c>
      <c r="I465" s="45">
        <f t="shared" si="32"/>
        <v>6.5989999999999993E-2</v>
      </c>
    </row>
    <row r="466" spans="1:9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31"/>
        <v>350.27000000000004</v>
      </c>
      <c r="G466" s="50">
        <f t="shared" si="33"/>
        <v>23.1143173</v>
      </c>
      <c r="H466" s="8">
        <f t="shared" si="30"/>
        <v>6.5989999999999993E-2</v>
      </c>
      <c r="I466" s="45">
        <f t="shared" si="32"/>
        <v>6.5989999999999993E-2</v>
      </c>
    </row>
    <row r="467" spans="1:9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31"/>
        <v>396.61</v>
      </c>
      <c r="G467" s="50">
        <f t="shared" si="33"/>
        <v>26.1722939</v>
      </c>
      <c r="H467" s="8">
        <f t="shared" si="30"/>
        <v>6.5989999999999993E-2</v>
      </c>
      <c r="I467" s="45">
        <f t="shared" si="32"/>
        <v>6.5989999999999993E-2</v>
      </c>
    </row>
    <row r="468" spans="1:9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31"/>
        <v>380.01000000000005</v>
      </c>
      <c r="G468" s="50">
        <f t="shared" si="33"/>
        <v>25.076859899999999</v>
      </c>
      <c r="H468" s="8">
        <f t="shared" si="30"/>
        <v>6.5989999999999993E-2</v>
      </c>
      <c r="I468" s="45">
        <f t="shared" si="32"/>
        <v>6.5989999999999993E-2</v>
      </c>
    </row>
    <row r="469" spans="1:9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31"/>
        <v>501.9</v>
      </c>
      <c r="G469" s="50">
        <f t="shared" si="33"/>
        <v>33.120380999999995</v>
      </c>
      <c r="H469" s="8">
        <f t="shared" si="30"/>
        <v>6.5989999999999993E-2</v>
      </c>
      <c r="I469" s="45">
        <f t="shared" si="32"/>
        <v>6.5989999999999993E-2</v>
      </c>
    </row>
    <row r="470" spans="1:9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31"/>
        <v>406.9</v>
      </c>
      <c r="G470" s="50">
        <f t="shared" si="33"/>
        <v>26.851330999999995</v>
      </c>
      <c r="H470" s="8">
        <f t="shared" si="30"/>
        <v>6.5989999999999993E-2</v>
      </c>
      <c r="I470" s="45">
        <f t="shared" si="32"/>
        <v>6.5989999999999993E-2</v>
      </c>
    </row>
    <row r="471" spans="1:9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31"/>
        <v>583.66999999999996</v>
      </c>
      <c r="G471" s="50">
        <f t="shared" si="33"/>
        <v>38.516383299999994</v>
      </c>
      <c r="H471" s="8">
        <f t="shared" si="30"/>
        <v>6.5989999999999993E-2</v>
      </c>
      <c r="I471" s="45">
        <f t="shared" si="32"/>
        <v>6.5989999999999993E-2</v>
      </c>
    </row>
    <row r="472" spans="1:9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31"/>
        <v>634.80999999999995</v>
      </c>
      <c r="G472" s="50">
        <f t="shared" si="33"/>
        <v>41.891111899999991</v>
      </c>
      <c r="H472" s="8">
        <f t="shared" si="30"/>
        <v>6.5989999999999993E-2</v>
      </c>
      <c r="I472" s="45">
        <f t="shared" si="32"/>
        <v>6.5989999999999993E-2</v>
      </c>
    </row>
    <row r="473" spans="1:9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31"/>
        <v>312.74</v>
      </c>
      <c r="G473" s="50">
        <f t="shared" si="33"/>
        <v>20.637712599999997</v>
      </c>
      <c r="H473" s="8">
        <f t="shared" si="30"/>
        <v>6.5989999999999993E-2</v>
      </c>
      <c r="I473" s="45">
        <f t="shared" si="32"/>
        <v>6.5989999999999993E-2</v>
      </c>
    </row>
    <row r="474" spans="1:9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31"/>
        <v>359.3</v>
      </c>
      <c r="G474" s="50">
        <f t="shared" si="33"/>
        <v>23.710206999999997</v>
      </c>
      <c r="H474" s="8">
        <f t="shared" si="30"/>
        <v>6.5989999999999993E-2</v>
      </c>
      <c r="I474" s="45">
        <f t="shared" si="32"/>
        <v>6.5989999999999993E-2</v>
      </c>
    </row>
    <row r="475" spans="1:9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31"/>
        <v>417.17</v>
      </c>
      <c r="G475" s="50">
        <f t="shared" si="33"/>
        <v>27.529048299999999</v>
      </c>
      <c r="H475" s="8">
        <f t="shared" si="30"/>
        <v>6.5989999999999993E-2</v>
      </c>
      <c r="I475" s="45">
        <f t="shared" si="32"/>
        <v>6.5989999999999993E-2</v>
      </c>
    </row>
    <row r="476" spans="1:9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31"/>
        <v>249.3</v>
      </c>
      <c r="G476" s="50">
        <f t="shared" si="33"/>
        <v>16.451307</v>
      </c>
      <c r="H476" s="8">
        <f t="shared" ref="H476:H539" si="34">0.06599</f>
        <v>6.5989999999999993E-2</v>
      </c>
      <c r="I476" s="45">
        <f t="shared" si="32"/>
        <v>6.5989999999999993E-2</v>
      </c>
    </row>
    <row r="477" spans="1:9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31"/>
        <v>534.94000000000005</v>
      </c>
      <c r="G477" s="50">
        <f t="shared" si="33"/>
        <v>35.300690600000003</v>
      </c>
      <c r="H477" s="8">
        <f t="shared" si="34"/>
        <v>6.5989999999999993E-2</v>
      </c>
      <c r="I477" s="45">
        <f t="shared" si="32"/>
        <v>6.5989999999999993E-2</v>
      </c>
    </row>
    <row r="478" spans="1:9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31"/>
        <v>382.94</v>
      </c>
      <c r="G478" s="50">
        <f t="shared" si="33"/>
        <v>25.270210599999999</v>
      </c>
      <c r="H478" s="8">
        <f t="shared" si="34"/>
        <v>6.5989999999999993E-2</v>
      </c>
      <c r="I478" s="45">
        <f t="shared" si="32"/>
        <v>6.5989999999999993E-2</v>
      </c>
    </row>
    <row r="479" spans="1:9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31"/>
        <v>367.5</v>
      </c>
      <c r="G479" s="50">
        <f t="shared" si="33"/>
        <v>24.251324999999998</v>
      </c>
      <c r="H479" s="8">
        <f t="shared" si="34"/>
        <v>6.5989999999999993E-2</v>
      </c>
      <c r="I479" s="45">
        <f t="shared" si="32"/>
        <v>6.5989999999999993E-2</v>
      </c>
    </row>
    <row r="480" spans="1:9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31"/>
        <v>131.4</v>
      </c>
      <c r="G480" s="50">
        <f t="shared" si="33"/>
        <v>8.671085999999999</v>
      </c>
      <c r="H480" s="8">
        <f t="shared" si="34"/>
        <v>6.5989999999999993E-2</v>
      </c>
      <c r="I480" s="45">
        <f t="shared" si="32"/>
        <v>6.5989999999999993E-2</v>
      </c>
    </row>
    <row r="481" spans="1:9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31"/>
        <v>471.36</v>
      </c>
      <c r="G481" s="50">
        <f t="shared" si="33"/>
        <v>31.105046399999999</v>
      </c>
      <c r="H481" s="8">
        <f t="shared" si="34"/>
        <v>6.5989999999999993E-2</v>
      </c>
      <c r="I481" s="45">
        <f t="shared" si="32"/>
        <v>6.5989999999999993E-2</v>
      </c>
    </row>
    <row r="482" spans="1:9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31"/>
        <v>530.79999999999995</v>
      </c>
      <c r="G482" s="50">
        <f t="shared" si="33"/>
        <v>35.027491999999995</v>
      </c>
      <c r="H482" s="8">
        <f t="shared" si="34"/>
        <v>6.5989999999999993E-2</v>
      </c>
      <c r="I482" s="45">
        <f t="shared" si="32"/>
        <v>6.5989999999999993E-2</v>
      </c>
    </row>
    <row r="483" spans="1:9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31"/>
        <v>330.15</v>
      </c>
      <c r="G483" s="50">
        <f t="shared" si="33"/>
        <v>21.786598499999997</v>
      </c>
      <c r="H483" s="8">
        <f t="shared" si="34"/>
        <v>6.5989999999999993E-2</v>
      </c>
      <c r="I483" s="45">
        <f t="shared" si="32"/>
        <v>6.5989999999999993E-2</v>
      </c>
    </row>
    <row r="484" spans="1:9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31"/>
        <v>242.1</v>
      </c>
      <c r="G484" s="50">
        <f t="shared" si="33"/>
        <v>15.976178999999998</v>
      </c>
      <c r="H484" s="8">
        <f t="shared" si="34"/>
        <v>6.5989999999999993E-2</v>
      </c>
      <c r="I484" s="45">
        <f t="shared" si="32"/>
        <v>6.5989999999999993E-2</v>
      </c>
    </row>
    <row r="485" spans="1:9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31"/>
        <v>528.74</v>
      </c>
      <c r="G485" s="50">
        <f t="shared" si="33"/>
        <v>34.891552599999997</v>
      </c>
      <c r="H485" s="8">
        <f t="shared" si="34"/>
        <v>6.5989999999999993E-2</v>
      </c>
      <c r="I485" s="45">
        <f t="shared" si="32"/>
        <v>6.5989999999999993E-2</v>
      </c>
    </row>
    <row r="486" spans="1:9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31"/>
        <v>140.6</v>
      </c>
      <c r="G486" s="50">
        <f t="shared" si="33"/>
        <v>9.2781939999999992</v>
      </c>
      <c r="H486" s="8">
        <f t="shared" si="34"/>
        <v>6.5989999999999993E-2</v>
      </c>
      <c r="I486" s="45">
        <f t="shared" si="32"/>
        <v>6.5989999999999993E-2</v>
      </c>
    </row>
    <row r="487" spans="1:9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31"/>
        <v>183.6</v>
      </c>
      <c r="G487" s="50">
        <f t="shared" si="33"/>
        <v>12.115763999999999</v>
      </c>
      <c r="H487" s="8">
        <f t="shared" si="34"/>
        <v>6.5989999999999993E-2</v>
      </c>
      <c r="I487" s="45">
        <f t="shared" si="32"/>
        <v>6.5989999999999993E-2</v>
      </c>
    </row>
    <row r="488" spans="1:9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31"/>
        <v>384.7</v>
      </c>
      <c r="G488" s="50">
        <f t="shared" si="33"/>
        <v>25.386352999999996</v>
      </c>
      <c r="H488" s="8">
        <f t="shared" si="34"/>
        <v>6.5989999999999993E-2</v>
      </c>
      <c r="I488" s="45">
        <f t="shared" si="32"/>
        <v>6.5989999999999993E-2</v>
      </c>
    </row>
    <row r="489" spans="1:9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50">
        <f t="shared" si="33"/>
        <v>125.4384113</v>
      </c>
      <c r="H489" s="8">
        <f t="shared" si="34"/>
        <v>6.5989999999999993E-2</v>
      </c>
      <c r="I489" s="45">
        <f t="shared" si="32"/>
        <v>6.5989999999999993E-2</v>
      </c>
    </row>
    <row r="490" spans="1:9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50">
        <f t="shared" si="33"/>
        <v>23.914775999999996</v>
      </c>
      <c r="H490" s="8">
        <f t="shared" si="34"/>
        <v>6.5989999999999993E-2</v>
      </c>
      <c r="I490" s="45">
        <f t="shared" si="32"/>
        <v>6.5989999999999993E-2</v>
      </c>
    </row>
    <row r="491" spans="1:9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31"/>
        <v>196.1</v>
      </c>
      <c r="G491" s="50">
        <f t="shared" si="33"/>
        <v>12.940638999999999</v>
      </c>
      <c r="H491" s="8">
        <f t="shared" si="34"/>
        <v>6.5989999999999993E-2</v>
      </c>
      <c r="I491" s="45">
        <f t="shared" si="32"/>
        <v>6.5989999999999993E-2</v>
      </c>
    </row>
    <row r="492" spans="1:9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31"/>
        <v>98.48</v>
      </c>
      <c r="G492" s="50">
        <f t="shared" si="33"/>
        <v>6.4986951999999993</v>
      </c>
      <c r="H492" s="8">
        <f t="shared" si="34"/>
        <v>6.5989999999999993E-2</v>
      </c>
      <c r="I492" s="45">
        <f t="shared" si="32"/>
        <v>6.5989999999999993E-2</v>
      </c>
    </row>
    <row r="493" spans="1:9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31"/>
        <v>2328.6</v>
      </c>
      <c r="G493" s="50">
        <f t="shared" si="33"/>
        <v>153.66431399999999</v>
      </c>
      <c r="H493" s="8">
        <f t="shared" si="34"/>
        <v>6.5989999999999993E-2</v>
      </c>
      <c r="I493" s="45">
        <f t="shared" si="32"/>
        <v>6.5989999999999993E-2</v>
      </c>
    </row>
    <row r="494" spans="1:9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31"/>
        <v>479.01</v>
      </c>
      <c r="G494" s="50">
        <f t="shared" si="33"/>
        <v>31.609869899999996</v>
      </c>
      <c r="H494" s="8">
        <f t="shared" si="34"/>
        <v>6.5989999999999993E-2</v>
      </c>
      <c r="I494" s="45">
        <f t="shared" si="32"/>
        <v>6.5989999999999993E-2</v>
      </c>
    </row>
    <row r="495" spans="1:9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31"/>
        <v>479.14</v>
      </c>
      <c r="G495" s="50">
        <f t="shared" si="33"/>
        <v>31.618448599999997</v>
      </c>
      <c r="H495" s="8">
        <f t="shared" si="34"/>
        <v>6.5989999999999993E-2</v>
      </c>
      <c r="I495" s="45">
        <f t="shared" si="32"/>
        <v>6.5989999999999993E-2</v>
      </c>
    </row>
    <row r="496" spans="1:9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31"/>
        <v>1158.5899999999999</v>
      </c>
      <c r="G496" s="50">
        <f t="shared" si="33"/>
        <v>76.45535409999998</v>
      </c>
      <c r="H496" s="8">
        <f t="shared" si="34"/>
        <v>6.5989999999999993E-2</v>
      </c>
      <c r="I496" s="45">
        <f t="shared" si="32"/>
        <v>6.5989999999999993E-2</v>
      </c>
    </row>
    <row r="497" spans="1:9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31"/>
        <v>368.99</v>
      </c>
      <c r="G497" s="50">
        <f t="shared" si="33"/>
        <v>24.349650099999998</v>
      </c>
      <c r="H497" s="8">
        <f t="shared" si="34"/>
        <v>6.5989999999999993E-2</v>
      </c>
      <c r="I497" s="45">
        <f t="shared" si="32"/>
        <v>6.5989999999999993E-2</v>
      </c>
    </row>
    <row r="498" spans="1:9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31"/>
        <v>346.24</v>
      </c>
      <c r="G498" s="50">
        <f t="shared" si="33"/>
        <v>22.848377599999999</v>
      </c>
      <c r="H498" s="8">
        <f t="shared" si="34"/>
        <v>6.5989999999999993E-2</v>
      </c>
      <c r="I498" s="45">
        <f t="shared" si="32"/>
        <v>6.5989999999999993E-2</v>
      </c>
    </row>
    <row r="499" spans="1:9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31"/>
        <v>151.5</v>
      </c>
      <c r="G499" s="50">
        <f t="shared" si="33"/>
        <v>9.9974849999999993</v>
      </c>
      <c r="H499" s="8">
        <f t="shared" si="34"/>
        <v>6.5989999999999993E-2</v>
      </c>
      <c r="I499" s="45">
        <f t="shared" si="32"/>
        <v>6.5989999999999993E-2</v>
      </c>
    </row>
    <row r="500" spans="1:9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31"/>
        <v>123.6</v>
      </c>
      <c r="G500" s="50">
        <f t="shared" si="33"/>
        <v>8.1563639999999982</v>
      </c>
      <c r="H500" s="8">
        <f t="shared" si="34"/>
        <v>6.5989999999999993E-2</v>
      </c>
      <c r="I500" s="45">
        <f t="shared" si="32"/>
        <v>6.5989999999999993E-2</v>
      </c>
    </row>
    <row r="501" spans="1:9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31"/>
        <v>624.51</v>
      </c>
      <c r="G501" s="50">
        <f t="shared" si="33"/>
        <v>41.211414899999994</v>
      </c>
      <c r="H501" s="8">
        <f t="shared" si="34"/>
        <v>6.5989999999999993E-2</v>
      </c>
      <c r="I501" s="45">
        <f t="shared" si="32"/>
        <v>6.5989999999999993E-2</v>
      </c>
    </row>
    <row r="502" spans="1:9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31"/>
        <v>202.5</v>
      </c>
      <c r="G502" s="50">
        <f t="shared" si="33"/>
        <v>13.362974999999999</v>
      </c>
      <c r="H502" s="8">
        <f t="shared" si="34"/>
        <v>6.5989999999999993E-2</v>
      </c>
      <c r="I502" s="45">
        <f t="shared" si="32"/>
        <v>6.5989999999999993E-2</v>
      </c>
    </row>
    <row r="503" spans="1:9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31"/>
        <v>132.5</v>
      </c>
      <c r="G503" s="50">
        <f t="shared" si="33"/>
        <v>8.7436749999999996</v>
      </c>
      <c r="H503" s="8">
        <f t="shared" si="34"/>
        <v>6.5989999999999993E-2</v>
      </c>
      <c r="I503" s="45">
        <f t="shared" si="32"/>
        <v>6.5989999999999993E-2</v>
      </c>
    </row>
    <row r="504" spans="1:9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31"/>
        <v>156.1</v>
      </c>
      <c r="G504" s="50">
        <f t="shared" si="33"/>
        <v>10.301038999999999</v>
      </c>
      <c r="H504" s="8">
        <f t="shared" si="34"/>
        <v>6.5989999999999993E-2</v>
      </c>
      <c r="I504" s="45">
        <f t="shared" si="32"/>
        <v>6.5989999999999993E-2</v>
      </c>
    </row>
    <row r="505" spans="1:9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31"/>
        <v>138</v>
      </c>
      <c r="G505" s="50">
        <f t="shared" si="33"/>
        <v>9.1066199999999995</v>
      </c>
      <c r="H505" s="8">
        <f t="shared" si="34"/>
        <v>6.5989999999999993E-2</v>
      </c>
      <c r="I505" s="45">
        <f t="shared" si="32"/>
        <v>6.5989999999999993E-2</v>
      </c>
    </row>
    <row r="506" spans="1:9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31"/>
        <v>137.69999999999999</v>
      </c>
      <c r="G506" s="50">
        <f t="shared" si="33"/>
        <v>9.086822999999999</v>
      </c>
      <c r="H506" s="8">
        <f t="shared" si="34"/>
        <v>6.5989999999999993E-2</v>
      </c>
      <c r="I506" s="45">
        <f t="shared" si="32"/>
        <v>6.5989999999999993E-2</v>
      </c>
    </row>
    <row r="507" spans="1:9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31"/>
        <v>184.88</v>
      </c>
      <c r="G507" s="50">
        <f t="shared" si="33"/>
        <v>12.200231199999999</v>
      </c>
      <c r="H507" s="8">
        <f t="shared" si="34"/>
        <v>6.5989999999999993E-2</v>
      </c>
      <c r="I507" s="45">
        <f t="shared" si="32"/>
        <v>6.5989999999999993E-2</v>
      </c>
    </row>
    <row r="508" spans="1:9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31"/>
        <v>657.19</v>
      </c>
      <c r="G508" s="50">
        <f t="shared" si="33"/>
        <v>43.367968099999999</v>
      </c>
      <c r="H508" s="8">
        <f t="shared" si="34"/>
        <v>6.5989999999999993E-2</v>
      </c>
      <c r="I508" s="45">
        <f t="shared" si="32"/>
        <v>6.5989999999999993E-2</v>
      </c>
    </row>
    <row r="509" spans="1:9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31"/>
        <v>815.3</v>
      </c>
      <c r="G509" s="50">
        <f t="shared" si="33"/>
        <v>53.801646999999988</v>
      </c>
      <c r="H509" s="8">
        <f t="shared" si="34"/>
        <v>6.5989999999999993E-2</v>
      </c>
      <c r="I509" s="45">
        <f t="shared" si="32"/>
        <v>6.5989999999999993E-2</v>
      </c>
    </row>
    <row r="510" spans="1:9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31"/>
        <v>800.4</v>
      </c>
      <c r="G510" s="50">
        <f t="shared" si="33"/>
        <v>52.818395999999993</v>
      </c>
      <c r="H510" s="8">
        <f t="shared" si="34"/>
        <v>6.5989999999999993E-2</v>
      </c>
      <c r="I510" s="45">
        <f t="shared" si="32"/>
        <v>6.5989999999999993E-2</v>
      </c>
    </row>
    <row r="511" spans="1:9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si="31"/>
        <v>285.10000000000002</v>
      </c>
      <c r="G511" s="50">
        <f t="shared" si="33"/>
        <v>18.813748999999998</v>
      </c>
      <c r="H511" s="8">
        <f t="shared" si="34"/>
        <v>6.5989999999999993E-2</v>
      </c>
      <c r="I511" s="45">
        <f t="shared" si="32"/>
        <v>6.5989999999999993E-2</v>
      </c>
    </row>
    <row r="512" spans="1:9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ref="F512:F535" si="35">C512+D512+E512</f>
        <v>415.84</v>
      </c>
      <c r="G512" s="50">
        <f t="shared" si="33"/>
        <v>27.441281599999996</v>
      </c>
      <c r="H512" s="8">
        <f t="shared" si="34"/>
        <v>6.5989999999999993E-2</v>
      </c>
      <c r="I512" s="45">
        <f t="shared" ref="I512:I534" si="36">SUM(G512/F512)</f>
        <v>6.5989999999999993E-2</v>
      </c>
    </row>
    <row r="513" spans="1:9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35"/>
        <v>516.34</v>
      </c>
      <c r="G513" s="50">
        <f t="shared" si="33"/>
        <v>34.0732766</v>
      </c>
      <c r="H513" s="8">
        <f t="shared" si="34"/>
        <v>6.5989999999999993E-2</v>
      </c>
      <c r="I513" s="45">
        <f t="shared" si="36"/>
        <v>6.5989999999999993E-2</v>
      </c>
    </row>
    <row r="514" spans="1:9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35"/>
        <v>605.14</v>
      </c>
      <c r="G514" s="50">
        <f t="shared" si="33"/>
        <v>39.933188599999994</v>
      </c>
      <c r="H514" s="8">
        <f t="shared" si="34"/>
        <v>6.5989999999999993E-2</v>
      </c>
      <c r="I514" s="45">
        <f t="shared" si="36"/>
        <v>6.5989999999999993E-2</v>
      </c>
    </row>
    <row r="515" spans="1:9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35"/>
        <v>476.1</v>
      </c>
      <c r="G515" s="50">
        <f t="shared" si="33"/>
        <v>31.417838999999997</v>
      </c>
      <c r="H515" s="8">
        <f t="shared" si="34"/>
        <v>6.5989999999999993E-2</v>
      </c>
      <c r="I515" s="45">
        <f t="shared" si="36"/>
        <v>6.5989999999999993E-2</v>
      </c>
    </row>
    <row r="516" spans="1:9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35"/>
        <v>417.52</v>
      </c>
      <c r="G516" s="50">
        <f t="shared" si="33"/>
        <v>27.552144799999997</v>
      </c>
      <c r="H516" s="8">
        <f t="shared" si="34"/>
        <v>6.5989999999999993E-2</v>
      </c>
      <c r="I516" s="45">
        <f t="shared" si="36"/>
        <v>6.5989999999999993E-2</v>
      </c>
    </row>
    <row r="517" spans="1:9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35"/>
        <v>273.56</v>
      </c>
      <c r="G517" s="50">
        <f t="shared" si="33"/>
        <v>18.052224399999997</v>
      </c>
      <c r="H517" s="8">
        <f t="shared" si="34"/>
        <v>6.5989999999999993E-2</v>
      </c>
      <c r="I517" s="45">
        <f t="shared" si="36"/>
        <v>6.5989999999999993E-2</v>
      </c>
    </row>
    <row r="518" spans="1:9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35"/>
        <v>645.95000000000005</v>
      </c>
      <c r="G518" s="50">
        <f t="shared" si="33"/>
        <v>42.626240500000002</v>
      </c>
      <c r="H518" s="8">
        <f t="shared" si="34"/>
        <v>6.5989999999999993E-2</v>
      </c>
      <c r="I518" s="45">
        <f t="shared" si="36"/>
        <v>6.5989999999999993E-2</v>
      </c>
    </row>
    <row r="519" spans="1:9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35"/>
        <v>867.68</v>
      </c>
      <c r="G519" s="50">
        <f t="shared" si="33"/>
        <v>57.25820319999999</v>
      </c>
      <c r="H519" s="8">
        <f t="shared" si="34"/>
        <v>6.5989999999999993E-2</v>
      </c>
      <c r="I519" s="45">
        <f t="shared" si="36"/>
        <v>6.5989999999999993E-2</v>
      </c>
    </row>
    <row r="520" spans="1:9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35"/>
        <v>556.85</v>
      </c>
      <c r="G520" s="50">
        <f t="shared" si="33"/>
        <v>36.746531499999996</v>
      </c>
      <c r="H520" s="8">
        <f t="shared" si="34"/>
        <v>6.5989999999999993E-2</v>
      </c>
      <c r="I520" s="45">
        <f t="shared" si="36"/>
        <v>6.5989999999999993E-2</v>
      </c>
    </row>
    <row r="521" spans="1:9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35"/>
        <v>335.18</v>
      </c>
      <c r="G521" s="50">
        <f t="shared" si="33"/>
        <v>22.118528199999997</v>
      </c>
      <c r="H521" s="8">
        <f t="shared" si="34"/>
        <v>6.5989999999999993E-2</v>
      </c>
      <c r="I521" s="45">
        <f t="shared" si="36"/>
        <v>6.5989999999999993E-2</v>
      </c>
    </row>
    <row r="522" spans="1:9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35"/>
        <v>274.58999999999997</v>
      </c>
      <c r="G522" s="50">
        <f t="shared" si="33"/>
        <v>18.120194099999996</v>
      </c>
      <c r="H522" s="8">
        <f t="shared" si="34"/>
        <v>6.5989999999999993E-2</v>
      </c>
      <c r="I522" s="45">
        <f t="shared" si="36"/>
        <v>6.5989999999999993E-2</v>
      </c>
    </row>
    <row r="523" spans="1:9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35"/>
        <v>345.54</v>
      </c>
      <c r="G523" s="50">
        <f t="shared" si="33"/>
        <v>22.8021846</v>
      </c>
      <c r="H523" s="8">
        <f t="shared" si="34"/>
        <v>6.5989999999999993E-2</v>
      </c>
      <c r="I523" s="45">
        <f t="shared" si="36"/>
        <v>6.5989999999999993E-2</v>
      </c>
    </row>
    <row r="524" spans="1:9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35"/>
        <v>212.4</v>
      </c>
      <c r="G524" s="50">
        <f t="shared" si="33"/>
        <v>14.016276</v>
      </c>
      <c r="H524" s="8">
        <f t="shared" si="34"/>
        <v>6.5989999999999993E-2</v>
      </c>
      <c r="I524" s="45">
        <f t="shared" si="36"/>
        <v>6.5989999999999993E-2</v>
      </c>
    </row>
    <row r="525" spans="1:9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35"/>
        <v>257.2</v>
      </c>
      <c r="G525" s="50">
        <f t="shared" ref="G525:G534" si="37">SUM(F525*H525)</f>
        <v>16.972627999999997</v>
      </c>
      <c r="H525" s="8">
        <f t="shared" si="34"/>
        <v>6.5989999999999993E-2</v>
      </c>
      <c r="I525" s="45">
        <f t="shared" si="36"/>
        <v>6.5989999999999993E-2</v>
      </c>
    </row>
    <row r="526" spans="1:9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35"/>
        <v>406.14</v>
      </c>
      <c r="G526" s="50">
        <f t="shared" si="37"/>
        <v>26.801178599999997</v>
      </c>
      <c r="H526" s="8">
        <f t="shared" si="34"/>
        <v>6.5989999999999993E-2</v>
      </c>
      <c r="I526" s="45">
        <f t="shared" si="36"/>
        <v>6.5989999999999993E-2</v>
      </c>
    </row>
    <row r="527" spans="1:9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35"/>
        <v>253.51</v>
      </c>
      <c r="G527" s="50">
        <f t="shared" si="37"/>
        <v>16.729124899999999</v>
      </c>
      <c r="H527" s="8">
        <f t="shared" si="34"/>
        <v>6.5989999999999993E-2</v>
      </c>
      <c r="I527" s="45">
        <f t="shared" si="36"/>
        <v>6.5989999999999993E-2</v>
      </c>
    </row>
    <row r="528" spans="1:9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35"/>
        <v>354.64</v>
      </c>
      <c r="G528" s="50">
        <f t="shared" si="37"/>
        <v>23.402693599999996</v>
      </c>
      <c r="H528" s="8">
        <f t="shared" si="34"/>
        <v>6.5989999999999993E-2</v>
      </c>
      <c r="I528" s="45">
        <f t="shared" si="36"/>
        <v>6.5989999999999993E-2</v>
      </c>
    </row>
    <row r="529" spans="1:9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35"/>
        <v>286.98</v>
      </c>
      <c r="G529" s="50">
        <f t="shared" si="37"/>
        <v>18.937810199999998</v>
      </c>
      <c r="H529" s="8">
        <f t="shared" si="34"/>
        <v>6.5989999999999993E-2</v>
      </c>
      <c r="I529" s="45">
        <f t="shared" si="36"/>
        <v>6.5989999999999993E-2</v>
      </c>
    </row>
    <row r="530" spans="1:9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35"/>
        <v>128.9</v>
      </c>
      <c r="G530" s="50">
        <f t="shared" si="37"/>
        <v>8.5061109999999989</v>
      </c>
      <c r="H530" s="8">
        <f t="shared" si="34"/>
        <v>6.5989999999999993E-2</v>
      </c>
      <c r="I530" s="45">
        <f t="shared" si="36"/>
        <v>6.5989999999999993E-2</v>
      </c>
    </row>
    <row r="531" spans="1:9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35"/>
        <v>2048.73</v>
      </c>
      <c r="G531" s="50">
        <f t="shared" si="37"/>
        <v>135.1956927</v>
      </c>
      <c r="H531" s="8">
        <f t="shared" si="34"/>
        <v>6.5989999999999993E-2</v>
      </c>
      <c r="I531" s="45">
        <f t="shared" si="36"/>
        <v>6.5989999999999993E-2</v>
      </c>
    </row>
    <row r="532" spans="1:9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35"/>
        <v>2056.27</v>
      </c>
      <c r="G532" s="50">
        <f t="shared" si="37"/>
        <v>135.69325729999997</v>
      </c>
      <c r="H532" s="8">
        <f t="shared" si="34"/>
        <v>6.5989999999999993E-2</v>
      </c>
      <c r="I532" s="45">
        <f t="shared" si="36"/>
        <v>6.5989999999999993E-2</v>
      </c>
    </row>
    <row r="533" spans="1:9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35"/>
        <v>75.900000000000006</v>
      </c>
      <c r="G533" s="50">
        <f t="shared" si="37"/>
        <v>5.0086409999999999</v>
      </c>
      <c r="H533" s="8">
        <f t="shared" si="34"/>
        <v>6.5989999999999993E-2</v>
      </c>
      <c r="I533" s="45">
        <f t="shared" si="36"/>
        <v>6.5989999999999993E-2</v>
      </c>
    </row>
    <row r="534" spans="1:9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35"/>
        <v>903</v>
      </c>
      <c r="G534" s="50">
        <f t="shared" si="37"/>
        <v>59.588969999999996</v>
      </c>
      <c r="H534" s="8">
        <f t="shared" si="34"/>
        <v>6.5989999999999993E-2</v>
      </c>
      <c r="I534" s="45">
        <f t="shared" si="36"/>
        <v>6.5989999999999993E-2</v>
      </c>
    </row>
    <row r="535" spans="1:9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35"/>
        <v>243872.61000000004</v>
      </c>
      <c r="G535" s="71">
        <f t="shared" ref="G535:G579" si="38">SUM(F535*H535)</f>
        <v>16093.153533900002</v>
      </c>
      <c r="H535" s="8">
        <f t="shared" si="34"/>
        <v>6.5989999999999993E-2</v>
      </c>
      <c r="I535" s="73">
        <f t="shared" ref="I535:I580" si="39">SUM(G535/F535)</f>
        <v>6.5989999999999993E-2</v>
      </c>
    </row>
    <row r="536" spans="1:9" s="6" customFormat="1" ht="15.75">
      <c r="A536" s="9" t="s">
        <v>245</v>
      </c>
      <c r="B536" s="8"/>
      <c r="C536" s="8"/>
      <c r="D536" s="8"/>
      <c r="E536" s="8"/>
      <c r="F536" s="40"/>
      <c r="G536" s="50"/>
      <c r="H536" s="8">
        <f t="shared" si="34"/>
        <v>6.5989999999999993E-2</v>
      </c>
      <c r="I536" s="45"/>
    </row>
    <row r="537" spans="1:9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0">
        <f t="shared" ref="F537:F579" si="40">C537+D537+E537</f>
        <v>4713.8</v>
      </c>
      <c r="G537" s="50">
        <f t="shared" si="38"/>
        <v>311.06366199999997</v>
      </c>
      <c r="H537" s="8">
        <f t="shared" si="34"/>
        <v>6.5989999999999993E-2</v>
      </c>
      <c r="I537" s="45">
        <f t="shared" si="39"/>
        <v>6.5989999999999993E-2</v>
      </c>
    </row>
    <row r="538" spans="1:9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0">
        <f t="shared" si="40"/>
        <v>14312.59</v>
      </c>
      <c r="G538" s="50">
        <f t="shared" si="38"/>
        <v>944.48781409999992</v>
      </c>
      <c r="H538" s="8">
        <f t="shared" si="34"/>
        <v>6.5989999999999993E-2</v>
      </c>
      <c r="I538" s="45">
        <f t="shared" si="39"/>
        <v>6.5989999999999993E-2</v>
      </c>
    </row>
    <row r="539" spans="1:9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0">
        <f t="shared" si="40"/>
        <v>4226.7</v>
      </c>
      <c r="G539" s="50">
        <f t="shared" si="38"/>
        <v>278.91993299999996</v>
      </c>
      <c r="H539" s="8">
        <f t="shared" si="34"/>
        <v>6.5989999999999993E-2</v>
      </c>
      <c r="I539" s="45">
        <f t="shared" si="39"/>
        <v>6.5989999999999993E-2</v>
      </c>
    </row>
    <row r="540" spans="1:9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0">
        <f t="shared" si="40"/>
        <v>4136.82</v>
      </c>
      <c r="G540" s="50">
        <f t="shared" si="38"/>
        <v>272.98875179999993</v>
      </c>
      <c r="H540" s="8">
        <f t="shared" ref="H540:H603" si="41">0.06599</f>
        <v>6.5989999999999993E-2</v>
      </c>
      <c r="I540" s="45">
        <f t="shared" si="39"/>
        <v>6.5989999999999993E-2</v>
      </c>
    </row>
    <row r="541" spans="1:9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0">
        <f t="shared" si="40"/>
        <v>7984.78</v>
      </c>
      <c r="G541" s="50">
        <f t="shared" si="38"/>
        <v>526.91563219999989</v>
      </c>
      <c r="H541" s="8">
        <f t="shared" si="41"/>
        <v>6.5989999999999993E-2</v>
      </c>
      <c r="I541" s="45">
        <f t="shared" si="39"/>
        <v>6.5989999999999993E-2</v>
      </c>
    </row>
    <row r="542" spans="1:9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0">
        <f t="shared" si="40"/>
        <v>4209.92</v>
      </c>
      <c r="G542" s="50">
        <f t="shared" si="38"/>
        <v>277.81262079999999</v>
      </c>
      <c r="H542" s="8">
        <f t="shared" si="41"/>
        <v>6.5989999999999993E-2</v>
      </c>
      <c r="I542" s="45">
        <f t="shared" si="39"/>
        <v>6.5989999999999993E-2</v>
      </c>
    </row>
    <row r="543" spans="1:9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0">
        <f t="shared" si="40"/>
        <v>8071.9</v>
      </c>
      <c r="G543" s="50">
        <f t="shared" si="38"/>
        <v>532.66468099999997</v>
      </c>
      <c r="H543" s="8">
        <f t="shared" si="41"/>
        <v>6.5989999999999993E-2</v>
      </c>
      <c r="I543" s="45">
        <f t="shared" si="39"/>
        <v>6.5989999999999993E-2</v>
      </c>
    </row>
    <row r="544" spans="1:9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0">
        <f t="shared" si="40"/>
        <v>4461.2</v>
      </c>
      <c r="G544" s="50">
        <f t="shared" si="38"/>
        <v>294.39458799999994</v>
      </c>
      <c r="H544" s="8">
        <f t="shared" si="41"/>
        <v>6.5989999999999993E-2</v>
      </c>
      <c r="I544" s="45">
        <f t="shared" si="39"/>
        <v>6.5989999999999993E-2</v>
      </c>
    </row>
    <row r="545" spans="1:9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0">
        <f t="shared" si="40"/>
        <v>10161.57</v>
      </c>
      <c r="G545" s="50">
        <f t="shared" si="38"/>
        <v>670.5620042999999</v>
      </c>
      <c r="H545" s="8">
        <f t="shared" si="41"/>
        <v>6.5989999999999993E-2</v>
      </c>
      <c r="I545" s="45">
        <f t="shared" si="39"/>
        <v>6.5989999999999993E-2</v>
      </c>
    </row>
    <row r="546" spans="1:9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0">
        <f t="shared" si="40"/>
        <v>7889.76</v>
      </c>
      <c r="G546" s="50">
        <f t="shared" si="38"/>
        <v>520.64526239999998</v>
      </c>
      <c r="H546" s="8">
        <f t="shared" si="41"/>
        <v>6.5989999999999993E-2</v>
      </c>
      <c r="I546" s="45">
        <f t="shared" si="39"/>
        <v>6.5989999999999993E-2</v>
      </c>
    </row>
    <row r="547" spans="1:9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0">
        <f t="shared" si="40"/>
        <v>7084.55</v>
      </c>
      <c r="G547" s="50">
        <f t="shared" si="38"/>
        <v>467.50945449999995</v>
      </c>
      <c r="H547" s="8">
        <f t="shared" si="41"/>
        <v>6.5989999999999993E-2</v>
      </c>
      <c r="I547" s="45">
        <f t="shared" si="39"/>
        <v>6.5989999999999993E-2</v>
      </c>
    </row>
    <row r="548" spans="1:9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0">
        <f t="shared" si="40"/>
        <v>4792.88</v>
      </c>
      <c r="G548" s="50">
        <f t="shared" si="38"/>
        <v>316.28215119999999</v>
      </c>
      <c r="H548" s="8">
        <f t="shared" si="41"/>
        <v>6.5989999999999993E-2</v>
      </c>
      <c r="I548" s="45">
        <f t="shared" si="39"/>
        <v>6.5989999999999993E-2</v>
      </c>
    </row>
    <row r="549" spans="1:9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0">
        <f t="shared" si="40"/>
        <v>4816.47</v>
      </c>
      <c r="G549" s="50">
        <f t="shared" si="38"/>
        <v>317.83885529999998</v>
      </c>
      <c r="H549" s="8">
        <f t="shared" si="41"/>
        <v>6.5989999999999993E-2</v>
      </c>
      <c r="I549" s="45">
        <f t="shared" si="39"/>
        <v>6.5989999999999993E-2</v>
      </c>
    </row>
    <row r="550" spans="1:9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0">
        <f t="shared" si="40"/>
        <v>5818.22</v>
      </c>
      <c r="G550" s="50">
        <f t="shared" si="38"/>
        <v>383.94433779999997</v>
      </c>
      <c r="H550" s="8">
        <f t="shared" si="41"/>
        <v>6.5989999999999993E-2</v>
      </c>
      <c r="I550" s="45">
        <f t="shared" si="39"/>
        <v>6.5989999999999993E-2</v>
      </c>
    </row>
    <row r="551" spans="1:9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0">
        <f t="shared" si="40"/>
        <v>16414.989999999998</v>
      </c>
      <c r="G551" s="50">
        <f t="shared" si="38"/>
        <v>1083.2251900999997</v>
      </c>
      <c r="H551" s="8">
        <f t="shared" si="41"/>
        <v>6.5989999999999993E-2</v>
      </c>
      <c r="I551" s="45">
        <f t="shared" si="39"/>
        <v>6.5989999999999993E-2</v>
      </c>
    </row>
    <row r="552" spans="1:9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0">
        <f t="shared" si="40"/>
        <v>14876.619999999999</v>
      </c>
      <c r="G552" s="50">
        <f t="shared" si="38"/>
        <v>981.70815379999988</v>
      </c>
      <c r="H552" s="8">
        <f t="shared" si="41"/>
        <v>6.5989999999999993E-2</v>
      </c>
      <c r="I552" s="45">
        <f t="shared" si="39"/>
        <v>6.5989999999999993E-2</v>
      </c>
    </row>
    <row r="553" spans="1:9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0">
        <f t="shared" si="40"/>
        <v>351.06</v>
      </c>
      <c r="G553" s="50">
        <f t="shared" si="38"/>
        <v>23.166449399999998</v>
      </c>
      <c r="H553" s="8">
        <f t="shared" si="41"/>
        <v>6.5989999999999993E-2</v>
      </c>
      <c r="I553" s="45">
        <f t="shared" si="39"/>
        <v>6.5989999999999993E-2</v>
      </c>
    </row>
    <row r="554" spans="1:9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0">
        <f t="shared" si="40"/>
        <v>377.1</v>
      </c>
      <c r="G554" s="50">
        <f t="shared" si="38"/>
        <v>24.884829</v>
      </c>
      <c r="H554" s="8">
        <f t="shared" si="41"/>
        <v>6.5989999999999993E-2</v>
      </c>
      <c r="I554" s="45">
        <f t="shared" si="39"/>
        <v>6.5989999999999993E-2</v>
      </c>
    </row>
    <row r="555" spans="1:9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0">
        <f t="shared" si="40"/>
        <v>82.9</v>
      </c>
      <c r="G555" s="50">
        <f t="shared" si="38"/>
        <v>5.4705709999999996</v>
      </c>
      <c r="H555" s="8">
        <f t="shared" si="41"/>
        <v>6.5989999999999993E-2</v>
      </c>
      <c r="I555" s="45">
        <f t="shared" si="39"/>
        <v>6.5989999999999993E-2</v>
      </c>
    </row>
    <row r="556" spans="1:9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0">
        <f t="shared" si="40"/>
        <v>56.1</v>
      </c>
      <c r="G556" s="50">
        <f t="shared" si="38"/>
        <v>3.7020389999999996</v>
      </c>
      <c r="H556" s="8">
        <f t="shared" si="41"/>
        <v>6.5989999999999993E-2</v>
      </c>
      <c r="I556" s="45">
        <v>0</v>
      </c>
    </row>
    <row r="557" spans="1:9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0">
        <f t="shared" si="40"/>
        <v>87</v>
      </c>
      <c r="G557" s="50">
        <f t="shared" si="38"/>
        <v>5.7411299999999992</v>
      </c>
      <c r="H557" s="8">
        <f t="shared" si="41"/>
        <v>6.5989999999999993E-2</v>
      </c>
      <c r="I557" s="45">
        <f t="shared" si="39"/>
        <v>6.5989999999999993E-2</v>
      </c>
    </row>
    <row r="558" spans="1:9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0">
        <f t="shared" si="40"/>
        <v>4409.5</v>
      </c>
      <c r="G558" s="50">
        <f t="shared" si="38"/>
        <v>290.98290499999996</v>
      </c>
      <c r="H558" s="8">
        <f t="shared" si="41"/>
        <v>6.5989999999999993E-2</v>
      </c>
      <c r="I558" s="45">
        <f t="shared" si="39"/>
        <v>6.5989999999999993E-2</v>
      </c>
    </row>
    <row r="559" spans="1:9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0">
        <f t="shared" si="40"/>
        <v>354.7</v>
      </c>
      <c r="G559" s="50">
        <f t="shared" si="38"/>
        <v>23.406652999999995</v>
      </c>
      <c r="H559" s="8">
        <f t="shared" si="41"/>
        <v>6.5989999999999993E-2</v>
      </c>
      <c r="I559" s="45">
        <f t="shared" si="39"/>
        <v>6.5989999999999993E-2</v>
      </c>
    </row>
    <row r="560" spans="1:9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0">
        <f t="shared" si="40"/>
        <v>352.4</v>
      </c>
      <c r="G560" s="50">
        <f t="shared" si="38"/>
        <v>23.254875999999996</v>
      </c>
      <c r="H560" s="8">
        <f t="shared" si="41"/>
        <v>6.5989999999999993E-2</v>
      </c>
      <c r="I560" s="45">
        <f t="shared" si="39"/>
        <v>6.5989999999999993E-2</v>
      </c>
    </row>
    <row r="561" spans="1:9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0">
        <f t="shared" si="40"/>
        <v>216.7</v>
      </c>
      <c r="G561" s="50">
        <f t="shared" si="38"/>
        <v>14.300032999999997</v>
      </c>
      <c r="H561" s="8">
        <f t="shared" si="41"/>
        <v>6.5989999999999993E-2</v>
      </c>
      <c r="I561" s="45">
        <f t="shared" si="39"/>
        <v>6.5989999999999993E-2</v>
      </c>
    </row>
    <row r="562" spans="1:9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0">
        <f t="shared" si="40"/>
        <v>42.7</v>
      </c>
      <c r="G562" s="50">
        <f t="shared" si="38"/>
        <v>2.8177729999999999</v>
      </c>
      <c r="H562" s="8">
        <f t="shared" si="41"/>
        <v>6.5989999999999993E-2</v>
      </c>
      <c r="I562" s="45">
        <f t="shared" si="39"/>
        <v>6.5989999999999993E-2</v>
      </c>
    </row>
    <row r="563" spans="1:9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0">
        <f t="shared" si="40"/>
        <v>79.7</v>
      </c>
      <c r="G563" s="50">
        <f t="shared" si="38"/>
        <v>5.2594029999999998</v>
      </c>
      <c r="H563" s="8">
        <f t="shared" si="41"/>
        <v>6.5989999999999993E-2</v>
      </c>
      <c r="I563" s="45">
        <f t="shared" si="39"/>
        <v>6.5989999999999993E-2</v>
      </c>
    </row>
    <row r="564" spans="1:9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0">
        <f t="shared" si="40"/>
        <v>23.5</v>
      </c>
      <c r="G564" s="50">
        <f t="shared" si="38"/>
        <v>1.5507649999999997</v>
      </c>
      <c r="H564" s="8">
        <f t="shared" si="41"/>
        <v>6.5989999999999993E-2</v>
      </c>
      <c r="I564" s="45">
        <v>0</v>
      </c>
    </row>
    <row r="565" spans="1:9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0">
        <f t="shared" si="40"/>
        <v>29</v>
      </c>
      <c r="G565" s="50">
        <f t="shared" si="38"/>
        <v>1.9137099999999998</v>
      </c>
      <c r="H565" s="8">
        <f t="shared" si="41"/>
        <v>6.5989999999999993E-2</v>
      </c>
      <c r="I565" s="45">
        <v>0</v>
      </c>
    </row>
    <row r="566" spans="1:9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0">
        <f t="shared" si="40"/>
        <v>84.7</v>
      </c>
      <c r="G566" s="50">
        <f t="shared" si="38"/>
        <v>5.589353</v>
      </c>
      <c r="H566" s="8">
        <f t="shared" si="41"/>
        <v>6.5989999999999993E-2</v>
      </c>
      <c r="I566" s="45">
        <f t="shared" si="39"/>
        <v>6.5989999999999993E-2</v>
      </c>
    </row>
    <row r="567" spans="1:9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0">
        <f t="shared" si="40"/>
        <v>177.23</v>
      </c>
      <c r="G567" s="50">
        <f t="shared" si="38"/>
        <v>11.695407699999999</v>
      </c>
      <c r="H567" s="8">
        <f t="shared" si="41"/>
        <v>6.5989999999999993E-2</v>
      </c>
      <c r="I567" s="45">
        <v>0</v>
      </c>
    </row>
    <row r="568" spans="1:9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0">
        <f t="shared" si="40"/>
        <v>108.36</v>
      </c>
      <c r="G568" s="50">
        <f t="shared" si="38"/>
        <v>7.1506763999999992</v>
      </c>
      <c r="H568" s="8">
        <f t="shared" si="41"/>
        <v>6.5989999999999993E-2</v>
      </c>
      <c r="I568" s="45">
        <v>0</v>
      </c>
    </row>
    <row r="569" spans="1:9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0">
        <f t="shared" si="40"/>
        <v>76.2</v>
      </c>
      <c r="G569" s="50">
        <f t="shared" si="38"/>
        <v>5.0284379999999995</v>
      </c>
      <c r="H569" s="8">
        <f t="shared" si="41"/>
        <v>6.5989999999999993E-2</v>
      </c>
      <c r="I569" s="45">
        <v>0</v>
      </c>
    </row>
    <row r="570" spans="1:9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0">
        <f t="shared" si="40"/>
        <v>98.5</v>
      </c>
      <c r="G570" s="50">
        <f t="shared" si="38"/>
        <v>6.5000149999999994</v>
      </c>
      <c r="H570" s="8">
        <f t="shared" si="41"/>
        <v>6.5989999999999993E-2</v>
      </c>
      <c r="I570" s="45">
        <v>0</v>
      </c>
    </row>
    <row r="571" spans="1:9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0">
        <f t="shared" si="40"/>
        <v>93.4</v>
      </c>
      <c r="G571" s="50">
        <f t="shared" si="38"/>
        <v>6.1634659999999997</v>
      </c>
      <c r="H571" s="8">
        <f t="shared" si="41"/>
        <v>6.5989999999999993E-2</v>
      </c>
      <c r="I571" s="45">
        <v>0</v>
      </c>
    </row>
    <row r="572" spans="1:9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0">
        <f t="shared" si="40"/>
        <v>92.7</v>
      </c>
      <c r="G572" s="50">
        <f t="shared" si="38"/>
        <v>6.117273</v>
      </c>
      <c r="H572" s="8">
        <f t="shared" si="41"/>
        <v>6.5989999999999993E-2</v>
      </c>
      <c r="I572" s="45">
        <v>0</v>
      </c>
    </row>
    <row r="573" spans="1:9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0">
        <f t="shared" si="40"/>
        <v>346.6</v>
      </c>
      <c r="G573" s="50">
        <f t="shared" si="38"/>
        <v>22.872133999999999</v>
      </c>
      <c r="H573" s="8">
        <f t="shared" si="41"/>
        <v>6.5989999999999993E-2</v>
      </c>
      <c r="I573" s="45">
        <f t="shared" si="39"/>
        <v>6.5989999999999993E-2</v>
      </c>
    </row>
    <row r="574" spans="1:9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0">
        <f t="shared" si="40"/>
        <v>195</v>
      </c>
      <c r="G574" s="50">
        <f t="shared" si="38"/>
        <v>12.868049999999998</v>
      </c>
      <c r="H574" s="8">
        <f t="shared" si="41"/>
        <v>6.5989999999999993E-2</v>
      </c>
      <c r="I574" s="45">
        <f t="shared" si="39"/>
        <v>6.5989999999999993E-2</v>
      </c>
    </row>
    <row r="575" spans="1:9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0">
        <f t="shared" si="40"/>
        <v>68.099999999999994</v>
      </c>
      <c r="G575" s="50">
        <f t="shared" si="38"/>
        <v>4.4939189999999991</v>
      </c>
      <c r="H575" s="8">
        <f t="shared" si="41"/>
        <v>6.5989999999999993E-2</v>
      </c>
      <c r="I575" s="45">
        <f t="shared" si="39"/>
        <v>6.5989999999999993E-2</v>
      </c>
    </row>
    <row r="576" spans="1:9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0">
        <f t="shared" si="40"/>
        <v>293.2</v>
      </c>
      <c r="G576" s="50">
        <f t="shared" si="38"/>
        <v>19.348267999999997</v>
      </c>
      <c r="H576" s="8">
        <f t="shared" si="41"/>
        <v>6.5989999999999993E-2</v>
      </c>
      <c r="I576" s="45">
        <f t="shared" si="39"/>
        <v>6.5989999999999993E-2</v>
      </c>
    </row>
    <row r="577" spans="1:9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0">
        <f t="shared" si="40"/>
        <v>95.9</v>
      </c>
      <c r="G577" s="50">
        <f t="shared" si="38"/>
        <v>6.3284409999999998</v>
      </c>
      <c r="H577" s="8">
        <f t="shared" si="41"/>
        <v>6.5989999999999993E-2</v>
      </c>
      <c r="I577" s="45">
        <f t="shared" si="39"/>
        <v>6.5989999999999993E-2</v>
      </c>
    </row>
    <row r="578" spans="1:9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0">
        <f t="shared" si="40"/>
        <v>4501</v>
      </c>
      <c r="G578" s="50">
        <f t="shared" si="38"/>
        <v>297.02098999999998</v>
      </c>
      <c r="H578" s="8">
        <f t="shared" si="41"/>
        <v>6.5989999999999993E-2</v>
      </c>
      <c r="I578" s="45">
        <f t="shared" si="39"/>
        <v>6.5989999999999993E-2</v>
      </c>
    </row>
    <row r="579" spans="1:9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0">
        <f t="shared" si="40"/>
        <v>195.86</v>
      </c>
      <c r="G579" s="50">
        <f t="shared" si="38"/>
        <v>12.9248014</v>
      </c>
      <c r="H579" s="8">
        <f t="shared" si="41"/>
        <v>6.5989999999999993E-2</v>
      </c>
      <c r="I579" s="45">
        <f t="shared" si="39"/>
        <v>6.5989999999999993E-2</v>
      </c>
    </row>
    <row r="580" spans="1:9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0">
        <f t="shared" ref="F580:F636" si="42">C580+D580+E580</f>
        <v>148</v>
      </c>
      <c r="G580" s="50">
        <f t="shared" ref="G580:G636" si="43">SUM(F580*H580)</f>
        <v>9.7665199999999999</v>
      </c>
      <c r="H580" s="8">
        <f t="shared" si="41"/>
        <v>6.5989999999999993E-2</v>
      </c>
      <c r="I580" s="45">
        <f t="shared" si="39"/>
        <v>6.5989999999999993E-2</v>
      </c>
    </row>
    <row r="581" spans="1:9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0">
        <f t="shared" si="42"/>
        <v>74.95</v>
      </c>
      <c r="G581" s="50">
        <f t="shared" si="43"/>
        <v>4.9459504999999995</v>
      </c>
      <c r="H581" s="8">
        <f t="shared" si="41"/>
        <v>6.5989999999999993E-2</v>
      </c>
      <c r="I581" s="45">
        <v>0</v>
      </c>
    </row>
    <row r="582" spans="1:9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0">
        <f t="shared" si="42"/>
        <v>87.3</v>
      </c>
      <c r="G582" s="50">
        <f t="shared" si="43"/>
        <v>5.7609269999999988</v>
      </c>
      <c r="H582" s="8">
        <f t="shared" si="41"/>
        <v>6.5989999999999993E-2</v>
      </c>
      <c r="I582" s="45">
        <f t="shared" ref="I582:I638" si="44">SUM(G582/F582)</f>
        <v>6.5989999999999993E-2</v>
      </c>
    </row>
    <row r="583" spans="1:9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0">
        <f t="shared" si="42"/>
        <v>92.6</v>
      </c>
      <c r="G583" s="50">
        <f t="shared" si="43"/>
        <v>6.1106739999999986</v>
      </c>
      <c r="H583" s="8">
        <f t="shared" si="41"/>
        <v>6.5989999999999993E-2</v>
      </c>
      <c r="I583" s="45">
        <f t="shared" si="44"/>
        <v>6.5989999999999993E-2</v>
      </c>
    </row>
    <row r="584" spans="1:9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0">
        <f t="shared" si="42"/>
        <v>110.7</v>
      </c>
      <c r="G584" s="50">
        <f t="shared" si="43"/>
        <v>7.3050929999999994</v>
      </c>
      <c r="H584" s="8">
        <f t="shared" si="41"/>
        <v>6.5989999999999993E-2</v>
      </c>
      <c r="I584" s="45">
        <v>0</v>
      </c>
    </row>
    <row r="585" spans="1:9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0">
        <f t="shared" si="42"/>
        <v>78.7</v>
      </c>
      <c r="G585" s="50">
        <f t="shared" si="43"/>
        <v>5.1934129999999996</v>
      </c>
      <c r="H585" s="8">
        <f t="shared" si="41"/>
        <v>6.5989999999999993E-2</v>
      </c>
      <c r="I585" s="45">
        <f t="shared" si="44"/>
        <v>6.5989999999999993E-2</v>
      </c>
    </row>
    <row r="586" spans="1:9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0">
        <f t="shared" si="42"/>
        <v>114</v>
      </c>
      <c r="G586" s="50">
        <f t="shared" si="43"/>
        <v>7.5228599999999997</v>
      </c>
      <c r="H586" s="8">
        <f t="shared" si="41"/>
        <v>6.5989999999999993E-2</v>
      </c>
      <c r="I586" s="45">
        <v>0</v>
      </c>
    </row>
    <row r="587" spans="1:9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0">
        <f t="shared" si="42"/>
        <v>25.1</v>
      </c>
      <c r="G587" s="50">
        <f t="shared" si="43"/>
        <v>1.6563489999999998</v>
      </c>
      <c r="H587" s="8">
        <f t="shared" si="41"/>
        <v>6.5989999999999993E-2</v>
      </c>
      <c r="I587" s="45">
        <f t="shared" si="44"/>
        <v>6.5989999999999993E-2</v>
      </c>
    </row>
    <row r="588" spans="1:9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0">
        <f t="shared" si="42"/>
        <v>66.599999999999994</v>
      </c>
      <c r="G588" s="50">
        <f t="shared" si="43"/>
        <v>4.3949339999999992</v>
      </c>
      <c r="H588" s="8">
        <f t="shared" si="41"/>
        <v>6.5989999999999993E-2</v>
      </c>
      <c r="I588" s="45">
        <f t="shared" si="44"/>
        <v>6.5989999999999993E-2</v>
      </c>
    </row>
    <row r="589" spans="1:9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0">
        <f t="shared" si="42"/>
        <v>156.4</v>
      </c>
      <c r="G589" s="50">
        <f t="shared" si="43"/>
        <v>10.320836</v>
      </c>
      <c r="H589" s="8">
        <f t="shared" si="41"/>
        <v>6.5989999999999993E-2</v>
      </c>
      <c r="I589" s="45">
        <f t="shared" si="44"/>
        <v>6.5989999999999993E-2</v>
      </c>
    </row>
    <row r="590" spans="1:9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0">
        <f t="shared" si="42"/>
        <v>72.7</v>
      </c>
      <c r="G590" s="50">
        <f t="shared" si="43"/>
        <v>4.7974730000000001</v>
      </c>
      <c r="H590" s="8">
        <f t="shared" si="41"/>
        <v>6.5989999999999993E-2</v>
      </c>
      <c r="I590" s="45">
        <f t="shared" si="44"/>
        <v>6.5989999999999993E-2</v>
      </c>
    </row>
    <row r="591" spans="1:9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0">
        <f t="shared" si="42"/>
        <v>59.6</v>
      </c>
      <c r="G591" s="50">
        <f t="shared" si="43"/>
        <v>3.9330039999999995</v>
      </c>
      <c r="H591" s="8">
        <f t="shared" si="41"/>
        <v>6.5989999999999993E-2</v>
      </c>
      <c r="I591" s="45">
        <v>0</v>
      </c>
    </row>
    <row r="592" spans="1:9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0">
        <f t="shared" si="42"/>
        <v>176</v>
      </c>
      <c r="G592" s="50">
        <f t="shared" si="43"/>
        <v>11.614239999999999</v>
      </c>
      <c r="H592" s="8">
        <f t="shared" si="41"/>
        <v>6.5989999999999993E-2</v>
      </c>
      <c r="I592" s="45">
        <f t="shared" si="44"/>
        <v>6.5989999999999993E-2</v>
      </c>
    </row>
    <row r="593" spans="1:9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0">
        <f t="shared" si="42"/>
        <v>149</v>
      </c>
      <c r="G593" s="50">
        <f t="shared" si="43"/>
        <v>9.8325099999999992</v>
      </c>
      <c r="H593" s="8">
        <f t="shared" si="41"/>
        <v>6.5989999999999993E-2</v>
      </c>
      <c r="I593" s="45">
        <f t="shared" si="44"/>
        <v>6.5989999999999993E-2</v>
      </c>
    </row>
    <row r="594" spans="1:9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0">
        <f t="shared" si="42"/>
        <v>224.8</v>
      </c>
      <c r="G594" s="50">
        <f t="shared" si="43"/>
        <v>14.834551999999999</v>
      </c>
      <c r="H594" s="8">
        <f t="shared" si="41"/>
        <v>6.5989999999999993E-2</v>
      </c>
      <c r="I594" s="45">
        <f t="shared" si="44"/>
        <v>6.5989999999999993E-2</v>
      </c>
    </row>
    <row r="595" spans="1:9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0">
        <f t="shared" si="42"/>
        <v>243.4</v>
      </c>
      <c r="G595" s="50">
        <f t="shared" si="43"/>
        <v>16.061965999999998</v>
      </c>
      <c r="H595" s="8">
        <f t="shared" si="41"/>
        <v>6.5989999999999993E-2</v>
      </c>
      <c r="I595" s="45">
        <f t="shared" si="44"/>
        <v>6.5989999999999993E-2</v>
      </c>
    </row>
    <row r="596" spans="1:9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0">
        <f t="shared" si="42"/>
        <v>169.9</v>
      </c>
      <c r="G596" s="50">
        <f t="shared" si="43"/>
        <v>11.211701</v>
      </c>
      <c r="H596" s="8">
        <f t="shared" si="41"/>
        <v>6.5989999999999993E-2</v>
      </c>
      <c r="I596" s="45">
        <f t="shared" si="44"/>
        <v>6.5989999999999993E-2</v>
      </c>
    </row>
    <row r="597" spans="1:9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0">
        <f t="shared" si="42"/>
        <v>377.1</v>
      </c>
      <c r="G597" s="50">
        <f t="shared" si="43"/>
        <v>24.884829</v>
      </c>
      <c r="H597" s="8">
        <f t="shared" si="41"/>
        <v>6.5989999999999993E-2</v>
      </c>
      <c r="I597" s="45">
        <f t="shared" si="44"/>
        <v>6.5989999999999993E-2</v>
      </c>
    </row>
    <row r="598" spans="1:9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0">
        <f t="shared" si="42"/>
        <v>87.1</v>
      </c>
      <c r="G598" s="50">
        <f t="shared" si="43"/>
        <v>5.7477289999999988</v>
      </c>
      <c r="H598" s="8">
        <f t="shared" si="41"/>
        <v>6.5989999999999993E-2</v>
      </c>
      <c r="I598" s="45">
        <f t="shared" si="44"/>
        <v>6.5989999999999993E-2</v>
      </c>
    </row>
    <row r="599" spans="1:9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0">
        <f t="shared" si="42"/>
        <v>348.2</v>
      </c>
      <c r="G599" s="50">
        <f t="shared" si="43"/>
        <v>22.977717999999996</v>
      </c>
      <c r="H599" s="8">
        <f t="shared" si="41"/>
        <v>6.5989999999999993E-2</v>
      </c>
      <c r="I599" s="45">
        <f t="shared" si="44"/>
        <v>6.5989999999999993E-2</v>
      </c>
    </row>
    <row r="600" spans="1:9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0">
        <f t="shared" si="42"/>
        <v>227.7</v>
      </c>
      <c r="G600" s="50">
        <f t="shared" si="43"/>
        <v>15.025922999999997</v>
      </c>
      <c r="H600" s="8">
        <f t="shared" si="41"/>
        <v>6.5989999999999993E-2</v>
      </c>
      <c r="I600" s="45">
        <f t="shared" si="44"/>
        <v>6.5989999999999993E-2</v>
      </c>
    </row>
    <row r="601" spans="1:9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0">
        <f t="shared" si="42"/>
        <v>409.2</v>
      </c>
      <c r="G601" s="50">
        <f t="shared" si="43"/>
        <v>27.003107999999997</v>
      </c>
      <c r="H601" s="8">
        <f t="shared" si="41"/>
        <v>6.5989999999999993E-2</v>
      </c>
      <c r="I601" s="45">
        <f t="shared" si="44"/>
        <v>6.5989999999999993E-2</v>
      </c>
    </row>
    <row r="602" spans="1:9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0">
        <f t="shared" si="42"/>
        <v>177.6</v>
      </c>
      <c r="G602" s="50">
        <f t="shared" si="43"/>
        <v>11.719823999999999</v>
      </c>
      <c r="H602" s="8">
        <f t="shared" si="41"/>
        <v>6.5989999999999993E-2</v>
      </c>
      <c r="I602" s="45">
        <f t="shared" si="44"/>
        <v>6.5989999999999993E-2</v>
      </c>
    </row>
    <row r="603" spans="1:9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0">
        <f t="shared" si="42"/>
        <v>383.9</v>
      </c>
      <c r="G603" s="50">
        <f t="shared" si="43"/>
        <v>25.333560999999996</v>
      </c>
      <c r="H603" s="8">
        <f t="shared" si="41"/>
        <v>6.5989999999999993E-2</v>
      </c>
      <c r="I603" s="45">
        <f t="shared" si="44"/>
        <v>6.5989999999999993E-2</v>
      </c>
    </row>
    <row r="604" spans="1:9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0">
        <f t="shared" si="42"/>
        <v>123.2</v>
      </c>
      <c r="G604" s="50">
        <f t="shared" si="43"/>
        <v>8.1299679999999999</v>
      </c>
      <c r="H604" s="8">
        <f t="shared" ref="H604:H667" si="45">0.06599</f>
        <v>6.5989999999999993E-2</v>
      </c>
      <c r="I604" s="45">
        <f t="shared" si="44"/>
        <v>6.5989999999999993E-2</v>
      </c>
    </row>
    <row r="605" spans="1:9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0">
        <f t="shared" si="42"/>
        <v>423.7</v>
      </c>
      <c r="G605" s="50">
        <f t="shared" si="43"/>
        <v>27.959962999999995</v>
      </c>
      <c r="H605" s="8">
        <f t="shared" si="45"/>
        <v>6.5989999999999993E-2</v>
      </c>
      <c r="I605" s="45">
        <f t="shared" si="44"/>
        <v>6.5989999999999993E-2</v>
      </c>
    </row>
    <row r="606" spans="1:9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0">
        <f t="shared" si="42"/>
        <v>138.80000000000001</v>
      </c>
      <c r="G606" s="50">
        <f t="shared" si="43"/>
        <v>9.1594119999999997</v>
      </c>
      <c r="H606" s="8">
        <f t="shared" si="45"/>
        <v>6.5989999999999993E-2</v>
      </c>
      <c r="I606" s="45">
        <f t="shared" si="44"/>
        <v>6.5989999999999993E-2</v>
      </c>
    </row>
    <row r="607" spans="1:9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0">
        <f t="shared" si="42"/>
        <v>341.6</v>
      </c>
      <c r="G607" s="50">
        <f t="shared" si="43"/>
        <v>22.542183999999999</v>
      </c>
      <c r="H607" s="8">
        <f t="shared" si="45"/>
        <v>6.5989999999999993E-2</v>
      </c>
      <c r="I607" s="45">
        <f t="shared" si="44"/>
        <v>6.5989999999999993E-2</v>
      </c>
    </row>
    <row r="608" spans="1:9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0">
        <f t="shared" si="42"/>
        <v>353.3</v>
      </c>
      <c r="G608" s="50">
        <f t="shared" si="43"/>
        <v>23.314266999999997</v>
      </c>
      <c r="H608" s="8">
        <f t="shared" si="45"/>
        <v>6.5989999999999993E-2</v>
      </c>
      <c r="I608" s="45">
        <f t="shared" si="44"/>
        <v>6.5989999999999993E-2</v>
      </c>
    </row>
    <row r="609" spans="1:9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0">
        <f t="shared" si="42"/>
        <v>354.5</v>
      </c>
      <c r="G609" s="50">
        <f t="shared" si="43"/>
        <v>23.393454999999996</v>
      </c>
      <c r="H609" s="8">
        <f t="shared" si="45"/>
        <v>6.5989999999999993E-2</v>
      </c>
      <c r="I609" s="45">
        <f t="shared" si="44"/>
        <v>6.5989999999999993E-2</v>
      </c>
    </row>
    <row r="610" spans="1:9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0">
        <f t="shared" si="42"/>
        <v>404.4</v>
      </c>
      <c r="G610" s="50">
        <f t="shared" si="43"/>
        <v>26.686355999999996</v>
      </c>
      <c r="H610" s="8">
        <f t="shared" si="45"/>
        <v>6.5989999999999993E-2</v>
      </c>
      <c r="I610" s="45">
        <f t="shared" si="44"/>
        <v>6.5989999999999993E-2</v>
      </c>
    </row>
    <row r="611" spans="1:9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0">
        <f t="shared" si="42"/>
        <v>348.3</v>
      </c>
      <c r="G611" s="50">
        <f t="shared" si="43"/>
        <v>22.984316999999997</v>
      </c>
      <c r="H611" s="8">
        <f t="shared" si="45"/>
        <v>6.5989999999999993E-2</v>
      </c>
      <c r="I611" s="45">
        <f t="shared" si="44"/>
        <v>6.5989999999999993E-2</v>
      </c>
    </row>
    <row r="612" spans="1:9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0">
        <f t="shared" si="42"/>
        <v>73.400000000000006</v>
      </c>
      <c r="G612" s="50">
        <f t="shared" si="43"/>
        <v>4.8436659999999998</v>
      </c>
      <c r="H612" s="8">
        <f t="shared" si="45"/>
        <v>6.5989999999999993E-2</v>
      </c>
      <c r="I612" s="45">
        <f t="shared" si="44"/>
        <v>6.5989999999999993E-2</v>
      </c>
    </row>
    <row r="613" spans="1:9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0">
        <f t="shared" si="42"/>
        <v>117.2</v>
      </c>
      <c r="G613" s="50">
        <f t="shared" si="43"/>
        <v>7.7340279999999995</v>
      </c>
      <c r="H613" s="8">
        <f t="shared" si="45"/>
        <v>6.5989999999999993E-2</v>
      </c>
      <c r="I613" s="45">
        <f t="shared" si="44"/>
        <v>6.5989999999999993E-2</v>
      </c>
    </row>
    <row r="614" spans="1:9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0">
        <f t="shared" si="42"/>
        <v>65.900000000000006</v>
      </c>
      <c r="G614" s="50">
        <f t="shared" si="43"/>
        <v>4.3487409999999995</v>
      </c>
      <c r="H614" s="8">
        <f t="shared" si="45"/>
        <v>6.5989999999999993E-2</v>
      </c>
      <c r="I614" s="45">
        <f t="shared" si="44"/>
        <v>6.5989999999999993E-2</v>
      </c>
    </row>
    <row r="615" spans="1:9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0">
        <f t="shared" si="42"/>
        <v>212.3</v>
      </c>
      <c r="G615" s="50">
        <f t="shared" si="43"/>
        <v>14.009677</v>
      </c>
      <c r="H615" s="8">
        <f t="shared" si="45"/>
        <v>6.5989999999999993E-2</v>
      </c>
      <c r="I615" s="45">
        <f t="shared" si="44"/>
        <v>6.5989999999999993E-2</v>
      </c>
    </row>
    <row r="616" spans="1:9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0">
        <f t="shared" si="42"/>
        <v>200.1</v>
      </c>
      <c r="G616" s="50">
        <f t="shared" si="43"/>
        <v>13.204598999999998</v>
      </c>
      <c r="H616" s="8">
        <f t="shared" si="45"/>
        <v>6.5989999999999993E-2</v>
      </c>
      <c r="I616" s="45">
        <f t="shared" si="44"/>
        <v>6.5989999999999993E-2</v>
      </c>
    </row>
    <row r="617" spans="1:9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0">
        <f t="shared" si="42"/>
        <v>79.099999999999994</v>
      </c>
      <c r="G617" s="50">
        <f t="shared" si="43"/>
        <v>5.2198089999999988</v>
      </c>
      <c r="H617" s="8">
        <f t="shared" si="45"/>
        <v>6.5989999999999993E-2</v>
      </c>
      <c r="I617" s="45">
        <f t="shared" si="44"/>
        <v>6.5989999999999993E-2</v>
      </c>
    </row>
    <row r="618" spans="1:9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0">
        <f t="shared" si="42"/>
        <v>3257.2000000000003</v>
      </c>
      <c r="G618" s="50">
        <f t="shared" si="43"/>
        <v>214.94262799999998</v>
      </c>
      <c r="H618" s="8">
        <f t="shared" si="45"/>
        <v>6.5989999999999993E-2</v>
      </c>
      <c r="I618" s="45">
        <f t="shared" si="44"/>
        <v>6.5989999999999993E-2</v>
      </c>
    </row>
    <row r="619" spans="1:9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0">
        <f t="shared" si="42"/>
        <v>4789.17</v>
      </c>
      <c r="G619" s="50">
        <f t="shared" si="43"/>
        <v>316.03732829999996</v>
      </c>
      <c r="H619" s="8">
        <f t="shared" si="45"/>
        <v>6.5989999999999993E-2</v>
      </c>
      <c r="I619" s="45">
        <f t="shared" si="44"/>
        <v>6.5989999999999993E-2</v>
      </c>
    </row>
    <row r="620" spans="1:9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0">
        <f t="shared" si="42"/>
        <v>6316.36</v>
      </c>
      <c r="G620" s="50">
        <f t="shared" si="43"/>
        <v>416.81659639999992</v>
      </c>
      <c r="H620" s="8">
        <f t="shared" si="45"/>
        <v>6.5989999999999993E-2</v>
      </c>
      <c r="I620" s="45">
        <f t="shared" si="44"/>
        <v>6.5989999999999993E-2</v>
      </c>
    </row>
    <row r="621" spans="1:9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0">
        <f t="shared" si="42"/>
        <v>4812.1099999999997</v>
      </c>
      <c r="G621" s="50">
        <f t="shared" si="43"/>
        <v>317.55113889999996</v>
      </c>
      <c r="H621" s="8">
        <f t="shared" si="45"/>
        <v>6.5989999999999993E-2</v>
      </c>
      <c r="I621" s="45">
        <f t="shared" si="44"/>
        <v>6.5989999999999993E-2</v>
      </c>
    </row>
    <row r="622" spans="1:9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0">
        <f t="shared" si="42"/>
        <v>11145.01</v>
      </c>
      <c r="G622" s="50">
        <f t="shared" si="43"/>
        <v>735.45920989999991</v>
      </c>
      <c r="H622" s="8">
        <f t="shared" si="45"/>
        <v>6.5989999999999993E-2</v>
      </c>
      <c r="I622" s="45">
        <f t="shared" si="44"/>
        <v>6.5989999999999993E-2</v>
      </c>
    </row>
    <row r="623" spans="1:9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0">
        <f>C623+D623+E623</f>
        <v>74.5</v>
      </c>
      <c r="G623" s="50">
        <f t="shared" si="43"/>
        <v>4.9162549999999996</v>
      </c>
      <c r="H623" s="8">
        <f t="shared" si="45"/>
        <v>6.5989999999999993E-2</v>
      </c>
      <c r="I623" s="45">
        <f>SUM(G623/F623)</f>
        <v>6.5989999999999993E-2</v>
      </c>
    </row>
    <row r="624" spans="1:9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0">
        <f t="shared" si="42"/>
        <v>227.9</v>
      </c>
      <c r="G624" s="50">
        <f t="shared" si="43"/>
        <v>15.039120999999998</v>
      </c>
      <c r="H624" s="8">
        <f t="shared" si="45"/>
        <v>6.5989999999999993E-2</v>
      </c>
      <c r="I624" s="45">
        <f t="shared" si="44"/>
        <v>6.5989999999999993E-2</v>
      </c>
    </row>
    <row r="625" spans="1:9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0">
        <f t="shared" si="42"/>
        <v>374.6</v>
      </c>
      <c r="G625" s="50">
        <f t="shared" si="43"/>
        <v>24.719853999999998</v>
      </c>
      <c r="H625" s="8">
        <f t="shared" si="45"/>
        <v>6.5989999999999993E-2</v>
      </c>
      <c r="I625" s="45">
        <f t="shared" si="44"/>
        <v>6.5989999999999993E-2</v>
      </c>
    </row>
    <row r="626" spans="1:9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0">
        <f t="shared" si="42"/>
        <v>738.4</v>
      </c>
      <c r="G626" s="50">
        <f t="shared" si="43"/>
        <v>48.727015999999992</v>
      </c>
      <c r="H626" s="8">
        <f t="shared" si="45"/>
        <v>6.5989999999999993E-2</v>
      </c>
      <c r="I626" s="45">
        <f t="shared" si="44"/>
        <v>6.5989999999999993E-2</v>
      </c>
    </row>
    <row r="627" spans="1:9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0">
        <f t="shared" si="42"/>
        <v>442.3</v>
      </c>
      <c r="G627" s="50">
        <f t="shared" si="43"/>
        <v>29.187376999999998</v>
      </c>
      <c r="H627" s="8">
        <f t="shared" si="45"/>
        <v>6.5989999999999993E-2</v>
      </c>
      <c r="I627" s="45">
        <f t="shared" si="44"/>
        <v>6.5989999999999993E-2</v>
      </c>
    </row>
    <row r="628" spans="1:9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0">
        <f t="shared" si="42"/>
        <v>1043.4000000000001</v>
      </c>
      <c r="G628" s="50">
        <f t="shared" si="43"/>
        <v>68.853966</v>
      </c>
      <c r="H628" s="8">
        <f t="shared" si="45"/>
        <v>6.5989999999999993E-2</v>
      </c>
      <c r="I628" s="45">
        <f t="shared" si="44"/>
        <v>6.5989999999999993E-2</v>
      </c>
    </row>
    <row r="629" spans="1:9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0">
        <f t="shared" si="42"/>
        <v>473.6</v>
      </c>
      <c r="G629" s="50">
        <f t="shared" si="43"/>
        <v>31.252863999999999</v>
      </c>
      <c r="H629" s="8">
        <f t="shared" si="45"/>
        <v>6.5989999999999993E-2</v>
      </c>
      <c r="I629" s="45">
        <f t="shared" si="44"/>
        <v>6.5989999999999993E-2</v>
      </c>
    </row>
    <row r="630" spans="1:9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0">
        <f t="shared" si="42"/>
        <v>345.2</v>
      </c>
      <c r="G630" s="50">
        <f t="shared" si="43"/>
        <v>22.779747999999998</v>
      </c>
      <c r="H630" s="8">
        <f t="shared" si="45"/>
        <v>6.5989999999999993E-2</v>
      </c>
      <c r="I630" s="45">
        <f t="shared" si="44"/>
        <v>6.5989999999999993E-2</v>
      </c>
    </row>
    <row r="631" spans="1:9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0">
        <f t="shared" si="42"/>
        <v>864.9</v>
      </c>
      <c r="G631" s="50">
        <f t="shared" si="43"/>
        <v>57.074750999999992</v>
      </c>
      <c r="H631" s="8">
        <f t="shared" si="45"/>
        <v>6.5989999999999993E-2</v>
      </c>
      <c r="I631" s="45">
        <f t="shared" si="44"/>
        <v>6.5989999999999993E-2</v>
      </c>
    </row>
    <row r="632" spans="1:9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0">
        <f t="shared" si="42"/>
        <v>1116.9000000000001</v>
      </c>
      <c r="G632" s="50">
        <f t="shared" si="43"/>
        <v>73.704230999999993</v>
      </c>
      <c r="H632" s="8">
        <f t="shared" si="45"/>
        <v>6.5989999999999993E-2</v>
      </c>
      <c r="I632" s="45">
        <f t="shared" si="44"/>
        <v>6.5989999999999993E-2</v>
      </c>
    </row>
    <row r="633" spans="1:9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0">
        <f t="shared" si="42"/>
        <v>506.2</v>
      </c>
      <c r="G633" s="50">
        <f t="shared" si="43"/>
        <v>33.404137999999996</v>
      </c>
      <c r="H633" s="8">
        <f t="shared" si="45"/>
        <v>6.5989999999999993E-2</v>
      </c>
      <c r="I633" s="45">
        <f t="shared" si="44"/>
        <v>6.5989999999999993E-2</v>
      </c>
    </row>
    <row r="634" spans="1:9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0">
        <f t="shared" si="42"/>
        <v>369.5</v>
      </c>
      <c r="G634" s="50">
        <f t="shared" si="43"/>
        <v>24.383304999999996</v>
      </c>
      <c r="H634" s="8">
        <f t="shared" si="45"/>
        <v>6.5989999999999993E-2</v>
      </c>
      <c r="I634" s="45">
        <f t="shared" si="44"/>
        <v>6.5989999999999993E-2</v>
      </c>
    </row>
    <row r="635" spans="1:9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0">
        <f t="shared" si="42"/>
        <v>510.1</v>
      </c>
      <c r="G635" s="50">
        <f t="shared" si="43"/>
        <v>33.661498999999999</v>
      </c>
      <c r="H635" s="8">
        <f t="shared" si="45"/>
        <v>6.5989999999999993E-2</v>
      </c>
      <c r="I635" s="45">
        <f t="shared" si="44"/>
        <v>6.5989999999999993E-2</v>
      </c>
    </row>
    <row r="636" spans="1:9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0">
        <f t="shared" si="42"/>
        <v>312</v>
      </c>
      <c r="G636" s="50">
        <f t="shared" si="43"/>
        <v>20.588879999999996</v>
      </c>
      <c r="H636" s="8">
        <f t="shared" si="45"/>
        <v>6.5989999999999993E-2</v>
      </c>
      <c r="I636" s="45">
        <f t="shared" si="44"/>
        <v>6.5989999999999993E-2</v>
      </c>
    </row>
    <row r="637" spans="1:9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0">
        <f t="shared" ref="F637:F695" si="46">C637+D637+E637</f>
        <v>488.2</v>
      </c>
      <c r="G637" s="50">
        <f t="shared" ref="G637:G695" si="47">SUM(F637*H637)</f>
        <v>32.216317999999994</v>
      </c>
      <c r="H637" s="8">
        <f t="shared" si="45"/>
        <v>6.5989999999999993E-2</v>
      </c>
      <c r="I637" s="45">
        <f t="shared" si="44"/>
        <v>6.5989999999999993E-2</v>
      </c>
    </row>
    <row r="638" spans="1:9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0">
        <f t="shared" si="46"/>
        <v>223.7</v>
      </c>
      <c r="G638" s="50">
        <f t="shared" si="47"/>
        <v>14.761962999999998</v>
      </c>
      <c r="H638" s="8">
        <f t="shared" si="45"/>
        <v>6.5989999999999993E-2</v>
      </c>
      <c r="I638" s="45">
        <f t="shared" si="44"/>
        <v>6.5989999999999993E-2</v>
      </c>
    </row>
    <row r="639" spans="1:9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0">
        <f t="shared" si="46"/>
        <v>388.5</v>
      </c>
      <c r="G639" s="50">
        <f t="shared" si="47"/>
        <v>25.637114999999998</v>
      </c>
      <c r="H639" s="8">
        <f t="shared" si="45"/>
        <v>6.5989999999999993E-2</v>
      </c>
      <c r="I639" s="45">
        <f t="shared" ref="I639:I697" si="48">SUM(G639/F639)</f>
        <v>6.5989999999999993E-2</v>
      </c>
    </row>
    <row r="640" spans="1:9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0">
        <f t="shared" si="46"/>
        <v>528.32000000000005</v>
      </c>
      <c r="G640" s="50">
        <f t="shared" si="47"/>
        <v>34.863836800000001</v>
      </c>
      <c r="H640" s="8">
        <f t="shared" si="45"/>
        <v>6.5989999999999993E-2</v>
      </c>
      <c r="I640" s="45">
        <f t="shared" si="48"/>
        <v>6.5989999999999993E-2</v>
      </c>
    </row>
    <row r="641" spans="1:9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0">
        <f t="shared" si="46"/>
        <v>262.17</v>
      </c>
      <c r="G641" s="50">
        <f t="shared" si="47"/>
        <v>17.300598300000001</v>
      </c>
      <c r="H641" s="8">
        <f t="shared" si="45"/>
        <v>6.5989999999999993E-2</v>
      </c>
      <c r="I641" s="45">
        <f t="shared" si="48"/>
        <v>6.5989999999999993E-2</v>
      </c>
    </row>
    <row r="642" spans="1:9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0">
        <f t="shared" si="46"/>
        <v>513.29999999999995</v>
      </c>
      <c r="G642" s="50">
        <f t="shared" si="47"/>
        <v>33.872666999999993</v>
      </c>
      <c r="H642" s="8">
        <f t="shared" si="45"/>
        <v>6.5989999999999993E-2</v>
      </c>
      <c r="I642" s="45">
        <f t="shared" si="48"/>
        <v>6.5989999999999993E-2</v>
      </c>
    </row>
    <row r="643" spans="1:9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0">
        <f t="shared" si="46"/>
        <v>577.70000000000005</v>
      </c>
      <c r="G643" s="50">
        <f t="shared" si="47"/>
        <v>38.122422999999998</v>
      </c>
      <c r="H643" s="8">
        <f t="shared" si="45"/>
        <v>6.5989999999999993E-2</v>
      </c>
      <c r="I643" s="45">
        <f t="shared" si="48"/>
        <v>6.5989999999999993E-2</v>
      </c>
    </row>
    <row r="644" spans="1:9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0">
        <f t="shared" si="46"/>
        <v>432.4</v>
      </c>
      <c r="G644" s="50">
        <f t="shared" si="47"/>
        <v>28.534075999999995</v>
      </c>
      <c r="H644" s="8">
        <f t="shared" si="45"/>
        <v>6.5989999999999993E-2</v>
      </c>
      <c r="I644" s="45">
        <f t="shared" si="48"/>
        <v>6.5989999999999993E-2</v>
      </c>
    </row>
    <row r="645" spans="1:9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0">
        <f t="shared" si="46"/>
        <v>488.9</v>
      </c>
      <c r="G645" s="50">
        <f t="shared" si="47"/>
        <v>32.262510999999996</v>
      </c>
      <c r="H645" s="8">
        <f t="shared" si="45"/>
        <v>6.5989999999999993E-2</v>
      </c>
      <c r="I645" s="45">
        <f t="shared" si="48"/>
        <v>6.5989999999999993E-2</v>
      </c>
    </row>
    <row r="646" spans="1:9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0">
        <f t="shared" si="46"/>
        <v>540.1</v>
      </c>
      <c r="G646" s="50">
        <f t="shared" si="47"/>
        <v>35.641199</v>
      </c>
      <c r="H646" s="8">
        <f t="shared" si="45"/>
        <v>6.5989999999999993E-2</v>
      </c>
      <c r="I646" s="45">
        <f t="shared" si="48"/>
        <v>6.5989999999999993E-2</v>
      </c>
    </row>
    <row r="647" spans="1:9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0">
        <f t="shared" si="46"/>
        <v>236.8</v>
      </c>
      <c r="G647" s="50">
        <f t="shared" si="47"/>
        <v>15.626431999999999</v>
      </c>
      <c r="H647" s="8">
        <f t="shared" si="45"/>
        <v>6.5989999999999993E-2</v>
      </c>
      <c r="I647" s="45">
        <f t="shared" si="48"/>
        <v>6.5989999999999993E-2</v>
      </c>
    </row>
    <row r="648" spans="1:9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0">
        <f t="shared" si="46"/>
        <v>375.5</v>
      </c>
      <c r="G648" s="50">
        <f t="shared" si="47"/>
        <v>24.779244999999996</v>
      </c>
      <c r="H648" s="8">
        <f t="shared" si="45"/>
        <v>6.5989999999999993E-2</v>
      </c>
      <c r="I648" s="45">
        <f t="shared" si="48"/>
        <v>6.5989999999999993E-2</v>
      </c>
    </row>
    <row r="649" spans="1:9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0">
        <f t="shared" si="46"/>
        <v>618.54</v>
      </c>
      <c r="G649" s="50">
        <f t="shared" si="47"/>
        <v>40.817454599999991</v>
      </c>
      <c r="H649" s="8">
        <f t="shared" si="45"/>
        <v>6.5989999999999993E-2</v>
      </c>
      <c r="I649" s="45">
        <f t="shared" si="48"/>
        <v>6.5989999999999993E-2</v>
      </c>
    </row>
    <row r="650" spans="1:9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0">
        <f t="shared" si="46"/>
        <v>473.5</v>
      </c>
      <c r="G650" s="50">
        <f t="shared" si="47"/>
        <v>31.246264999999998</v>
      </c>
      <c r="H650" s="8">
        <f t="shared" si="45"/>
        <v>6.5989999999999993E-2</v>
      </c>
      <c r="I650" s="45">
        <f t="shared" si="48"/>
        <v>6.5989999999999993E-2</v>
      </c>
    </row>
    <row r="651" spans="1:9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0">
        <f t="shared" si="46"/>
        <v>281.8</v>
      </c>
      <c r="G651" s="50">
        <f t="shared" si="47"/>
        <v>18.595981999999999</v>
      </c>
      <c r="H651" s="8">
        <f t="shared" si="45"/>
        <v>6.5989999999999993E-2</v>
      </c>
      <c r="I651" s="45">
        <f t="shared" si="48"/>
        <v>6.5989999999999993E-2</v>
      </c>
    </row>
    <row r="652" spans="1:9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0">
        <f t="shared" si="46"/>
        <v>295.89999999999998</v>
      </c>
      <c r="G652" s="50">
        <f t="shared" si="47"/>
        <v>19.526440999999995</v>
      </c>
      <c r="H652" s="8">
        <f t="shared" si="45"/>
        <v>6.5989999999999993E-2</v>
      </c>
      <c r="I652" s="45">
        <f t="shared" si="48"/>
        <v>6.5989999999999993E-2</v>
      </c>
    </row>
    <row r="653" spans="1:9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0">
        <f t="shared" si="46"/>
        <v>346.1</v>
      </c>
      <c r="G653" s="50">
        <f t="shared" si="47"/>
        <v>22.839138999999999</v>
      </c>
      <c r="H653" s="8">
        <f t="shared" si="45"/>
        <v>6.5989999999999993E-2</v>
      </c>
      <c r="I653" s="45">
        <f t="shared" si="48"/>
        <v>6.5989999999999993E-2</v>
      </c>
    </row>
    <row r="654" spans="1:9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0">
        <f t="shared" si="46"/>
        <v>665.4</v>
      </c>
      <c r="G654" s="50">
        <f t="shared" si="47"/>
        <v>43.909745999999991</v>
      </c>
      <c r="H654" s="8">
        <f t="shared" si="45"/>
        <v>6.5989999999999993E-2</v>
      </c>
      <c r="I654" s="45">
        <f t="shared" si="48"/>
        <v>6.5989999999999993E-2</v>
      </c>
    </row>
    <row r="655" spans="1:9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0">
        <f t="shared" si="46"/>
        <v>415.51</v>
      </c>
      <c r="G655" s="50">
        <f t="shared" si="47"/>
        <v>27.419504899999996</v>
      </c>
      <c r="H655" s="8">
        <f t="shared" si="45"/>
        <v>6.5989999999999993E-2</v>
      </c>
      <c r="I655" s="45">
        <f t="shared" si="48"/>
        <v>6.5989999999999993E-2</v>
      </c>
    </row>
    <row r="656" spans="1:9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0">
        <f t="shared" si="46"/>
        <v>1654.8</v>
      </c>
      <c r="G656" s="50">
        <f t="shared" si="47"/>
        <v>109.20025199999999</v>
      </c>
      <c r="H656" s="8">
        <f t="shared" si="45"/>
        <v>6.5989999999999993E-2</v>
      </c>
      <c r="I656" s="45">
        <f t="shared" si="48"/>
        <v>6.5989999999999993E-2</v>
      </c>
    </row>
    <row r="657" spans="1:9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0">
        <f t="shared" si="46"/>
        <v>3220.9</v>
      </c>
      <c r="G657" s="50">
        <f t="shared" si="47"/>
        <v>212.547191</v>
      </c>
      <c r="H657" s="8">
        <f t="shared" si="45"/>
        <v>6.5989999999999993E-2</v>
      </c>
      <c r="I657" s="45">
        <f t="shared" si="48"/>
        <v>6.5989999999999993E-2</v>
      </c>
    </row>
    <row r="658" spans="1:9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0">
        <f t="shared" si="46"/>
        <v>3593.47</v>
      </c>
      <c r="G658" s="50">
        <f t="shared" si="47"/>
        <v>237.13308529999995</v>
      </c>
      <c r="H658" s="8">
        <f t="shared" si="45"/>
        <v>6.5989999999999993E-2</v>
      </c>
      <c r="I658" s="45">
        <f t="shared" si="48"/>
        <v>6.5989999999999993E-2</v>
      </c>
    </row>
    <row r="659" spans="1:9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0">
        <f t="shared" si="46"/>
        <v>5258.9</v>
      </c>
      <c r="G659" s="50">
        <f t="shared" si="47"/>
        <v>347.03481099999993</v>
      </c>
      <c r="H659" s="8">
        <f t="shared" si="45"/>
        <v>6.5989999999999993E-2</v>
      </c>
      <c r="I659" s="45">
        <f t="shared" si="48"/>
        <v>6.5989999999999993E-2</v>
      </c>
    </row>
    <row r="660" spans="1:9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0">
        <f t="shared" si="46"/>
        <v>3743.95</v>
      </c>
      <c r="G660" s="50">
        <f t="shared" si="47"/>
        <v>247.06326049999996</v>
      </c>
      <c r="H660" s="8">
        <f t="shared" si="45"/>
        <v>6.5989999999999993E-2</v>
      </c>
      <c r="I660" s="45">
        <f t="shared" si="48"/>
        <v>6.5989999999999993E-2</v>
      </c>
    </row>
    <row r="661" spans="1:9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0">
        <f t="shared" si="46"/>
        <v>3185.57</v>
      </c>
      <c r="G661" s="50">
        <f t="shared" si="47"/>
        <v>210.21576429999999</v>
      </c>
      <c r="H661" s="8">
        <f t="shared" si="45"/>
        <v>6.5989999999999993E-2</v>
      </c>
      <c r="I661" s="45">
        <f t="shared" si="48"/>
        <v>6.5989999999999993E-2</v>
      </c>
    </row>
    <row r="662" spans="1:9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0">
        <f t="shared" si="46"/>
        <v>272.89999999999998</v>
      </c>
      <c r="G662" s="50">
        <f t="shared" si="47"/>
        <v>18.008670999999996</v>
      </c>
      <c r="H662" s="8">
        <f t="shared" si="45"/>
        <v>6.5989999999999993E-2</v>
      </c>
      <c r="I662" s="45">
        <f t="shared" si="48"/>
        <v>6.5989999999999993E-2</v>
      </c>
    </row>
    <row r="663" spans="1:9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0">
        <f t="shared" si="46"/>
        <v>604.1</v>
      </c>
      <c r="G663" s="50">
        <f t="shared" si="47"/>
        <v>39.864559</v>
      </c>
      <c r="H663" s="8">
        <f t="shared" si="45"/>
        <v>6.5989999999999993E-2</v>
      </c>
      <c r="I663" s="45">
        <f t="shared" si="48"/>
        <v>6.5989999999999993E-2</v>
      </c>
    </row>
    <row r="664" spans="1:9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0">
        <f t="shared" si="46"/>
        <v>464.8</v>
      </c>
      <c r="G664" s="50">
        <f t="shared" si="47"/>
        <v>30.672151999999997</v>
      </c>
      <c r="H664" s="8">
        <f t="shared" si="45"/>
        <v>6.5989999999999993E-2</v>
      </c>
      <c r="I664" s="45">
        <f t="shared" si="48"/>
        <v>6.5989999999999993E-2</v>
      </c>
    </row>
    <row r="665" spans="1:9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0">
        <f t="shared" si="46"/>
        <v>83.39</v>
      </c>
      <c r="G665" s="50">
        <f t="shared" si="47"/>
        <v>5.5029060999999997</v>
      </c>
      <c r="H665" s="8">
        <f t="shared" si="45"/>
        <v>6.5989999999999993E-2</v>
      </c>
      <c r="I665" s="45">
        <f t="shared" si="48"/>
        <v>6.5989999999999993E-2</v>
      </c>
    </row>
    <row r="666" spans="1:9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0">
        <f t="shared" si="46"/>
        <v>489.6</v>
      </c>
      <c r="G666" s="50">
        <f t="shared" si="47"/>
        <v>32.308703999999999</v>
      </c>
      <c r="H666" s="8">
        <f t="shared" si="45"/>
        <v>6.5989999999999993E-2</v>
      </c>
      <c r="I666" s="45">
        <f t="shared" si="48"/>
        <v>6.5989999999999993E-2</v>
      </c>
    </row>
    <row r="667" spans="1:9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0">
        <f t="shared" si="46"/>
        <v>127.92</v>
      </c>
      <c r="G667" s="50">
        <f t="shared" si="47"/>
        <v>8.4414407999999987</v>
      </c>
      <c r="H667" s="8">
        <f t="shared" si="45"/>
        <v>6.5989999999999993E-2</v>
      </c>
      <c r="I667" s="45">
        <f t="shared" si="48"/>
        <v>6.5989999999999993E-2</v>
      </c>
    </row>
    <row r="668" spans="1:9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0">
        <f t="shared" si="46"/>
        <v>129.1</v>
      </c>
      <c r="G668" s="50">
        <f t="shared" si="47"/>
        <v>8.519308999999998</v>
      </c>
      <c r="H668" s="8">
        <f t="shared" ref="H668:H731" si="49">0.06599</f>
        <v>6.5989999999999993E-2</v>
      </c>
      <c r="I668" s="45">
        <f t="shared" si="48"/>
        <v>6.5989999999999993E-2</v>
      </c>
    </row>
    <row r="669" spans="1:9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0">
        <f t="shared" si="46"/>
        <v>136.4</v>
      </c>
      <c r="G669" s="50">
        <f t="shared" si="47"/>
        <v>9.0010359999999991</v>
      </c>
      <c r="H669" s="8">
        <f t="shared" si="49"/>
        <v>6.5989999999999993E-2</v>
      </c>
      <c r="I669" s="45">
        <f t="shared" si="48"/>
        <v>6.5989999999999993E-2</v>
      </c>
    </row>
    <row r="670" spans="1:9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0">
        <f t="shared" si="46"/>
        <v>68.2</v>
      </c>
      <c r="G670" s="50">
        <f t="shared" si="47"/>
        <v>4.5005179999999996</v>
      </c>
      <c r="H670" s="8">
        <f t="shared" si="49"/>
        <v>6.5989999999999993E-2</v>
      </c>
      <c r="I670" s="45">
        <f t="shared" si="48"/>
        <v>6.5989999999999993E-2</v>
      </c>
    </row>
    <row r="671" spans="1:9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0">
        <f t="shared" si="46"/>
        <v>117.1</v>
      </c>
      <c r="G671" s="50">
        <f t="shared" si="47"/>
        <v>7.727428999999999</v>
      </c>
      <c r="H671" s="8">
        <f t="shared" si="49"/>
        <v>6.5989999999999993E-2</v>
      </c>
      <c r="I671" s="45">
        <f t="shared" si="48"/>
        <v>6.5989999999999993E-2</v>
      </c>
    </row>
    <row r="672" spans="1:9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0">
        <f t="shared" si="46"/>
        <v>291.16000000000003</v>
      </c>
      <c r="G672" s="50">
        <f t="shared" si="47"/>
        <v>19.2136484</v>
      </c>
      <c r="H672" s="8">
        <f t="shared" si="49"/>
        <v>6.5989999999999993E-2</v>
      </c>
      <c r="I672" s="45">
        <f t="shared" si="48"/>
        <v>6.5989999999999993E-2</v>
      </c>
    </row>
    <row r="673" spans="1:9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0">
        <f t="shared" si="46"/>
        <v>455.20000000000005</v>
      </c>
      <c r="G673" s="50">
        <f t="shared" si="47"/>
        <v>30.038647999999998</v>
      </c>
      <c r="H673" s="8">
        <f t="shared" si="49"/>
        <v>6.5989999999999993E-2</v>
      </c>
      <c r="I673" s="45">
        <f t="shared" si="48"/>
        <v>6.5989999999999993E-2</v>
      </c>
    </row>
    <row r="674" spans="1:9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0">
        <f t="shared" si="46"/>
        <v>120</v>
      </c>
      <c r="G674" s="50">
        <f t="shared" si="47"/>
        <v>7.9187999999999992</v>
      </c>
      <c r="H674" s="8">
        <f t="shared" si="49"/>
        <v>6.5989999999999993E-2</v>
      </c>
      <c r="I674" s="45">
        <f t="shared" si="48"/>
        <v>6.5989999999999993E-2</v>
      </c>
    </row>
    <row r="675" spans="1:9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0">
        <f t="shared" si="46"/>
        <v>390.8</v>
      </c>
      <c r="G675" s="50">
        <f t="shared" si="47"/>
        <v>25.788891999999997</v>
      </c>
      <c r="H675" s="8">
        <f t="shared" si="49"/>
        <v>6.5989999999999993E-2</v>
      </c>
      <c r="I675" s="45">
        <f t="shared" si="48"/>
        <v>6.5989999999999993E-2</v>
      </c>
    </row>
    <row r="676" spans="1:9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0">
        <f t="shared" si="46"/>
        <v>105.1</v>
      </c>
      <c r="G676" s="50">
        <f t="shared" si="47"/>
        <v>6.9355489999999991</v>
      </c>
      <c r="H676" s="8">
        <f t="shared" si="49"/>
        <v>6.5989999999999993E-2</v>
      </c>
      <c r="I676" s="45">
        <f t="shared" si="48"/>
        <v>6.5989999999999993E-2</v>
      </c>
    </row>
    <row r="677" spans="1:9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0">
        <f t="shared" si="46"/>
        <v>168.5</v>
      </c>
      <c r="G677" s="50">
        <f t="shared" si="47"/>
        <v>11.119314999999999</v>
      </c>
      <c r="H677" s="8">
        <f t="shared" si="49"/>
        <v>6.5989999999999993E-2</v>
      </c>
      <c r="I677" s="45">
        <f t="shared" si="48"/>
        <v>6.5989999999999993E-2</v>
      </c>
    </row>
    <row r="678" spans="1:9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0">
        <f t="shared" si="46"/>
        <v>73.3</v>
      </c>
      <c r="G678" s="50">
        <f t="shared" si="47"/>
        <v>4.8370669999999993</v>
      </c>
      <c r="H678" s="8">
        <f t="shared" si="49"/>
        <v>6.5989999999999993E-2</v>
      </c>
      <c r="I678" s="45">
        <f t="shared" si="48"/>
        <v>6.5989999999999993E-2</v>
      </c>
    </row>
    <row r="679" spans="1:9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0">
        <f t="shared" si="46"/>
        <v>87.3</v>
      </c>
      <c r="G679" s="50">
        <f t="shared" si="47"/>
        <v>5.7609269999999988</v>
      </c>
      <c r="H679" s="8">
        <f t="shared" si="49"/>
        <v>6.5989999999999993E-2</v>
      </c>
      <c r="I679" s="45">
        <f t="shared" si="48"/>
        <v>6.5989999999999993E-2</v>
      </c>
    </row>
    <row r="680" spans="1:9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0">
        <f t="shared" si="46"/>
        <v>227.3</v>
      </c>
      <c r="G680" s="50">
        <f t="shared" si="47"/>
        <v>14.999526999999999</v>
      </c>
      <c r="H680" s="8">
        <f t="shared" si="49"/>
        <v>6.5989999999999993E-2</v>
      </c>
      <c r="I680" s="45">
        <f t="shared" si="48"/>
        <v>6.5989999999999993E-2</v>
      </c>
    </row>
    <row r="681" spans="1:9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0">
        <f t="shared" si="46"/>
        <v>53.5</v>
      </c>
      <c r="G681" s="50">
        <f t="shared" si="47"/>
        <v>3.5304649999999995</v>
      </c>
      <c r="H681" s="8">
        <f t="shared" si="49"/>
        <v>6.5989999999999993E-2</v>
      </c>
      <c r="I681" s="45">
        <f t="shared" si="48"/>
        <v>6.5989999999999993E-2</v>
      </c>
    </row>
    <row r="682" spans="1:9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0">
        <f t="shared" si="46"/>
        <v>1851.82</v>
      </c>
      <c r="G682" s="50">
        <f t="shared" si="47"/>
        <v>122.20160179999998</v>
      </c>
      <c r="H682" s="8">
        <f t="shared" si="49"/>
        <v>6.5989999999999993E-2</v>
      </c>
      <c r="I682" s="45">
        <f t="shared" si="48"/>
        <v>6.5989999999999993E-2</v>
      </c>
    </row>
    <row r="683" spans="1:9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0">
        <f t="shared" si="46"/>
        <v>933.25</v>
      </c>
      <c r="G683" s="50">
        <f t="shared" si="47"/>
        <v>61.58516749999999</v>
      </c>
      <c r="H683" s="8">
        <f t="shared" si="49"/>
        <v>6.5989999999999993E-2</v>
      </c>
      <c r="I683" s="45">
        <f t="shared" si="48"/>
        <v>6.5989999999999993E-2</v>
      </c>
    </row>
    <row r="684" spans="1:9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0">
        <f t="shared" si="46"/>
        <v>1158.5</v>
      </c>
      <c r="G684" s="50">
        <f t="shared" si="47"/>
        <v>76.449414999999988</v>
      </c>
      <c r="H684" s="8">
        <f t="shared" si="49"/>
        <v>6.5989999999999993E-2</v>
      </c>
      <c r="I684" s="45">
        <f t="shared" si="48"/>
        <v>6.5989999999999993E-2</v>
      </c>
    </row>
    <row r="685" spans="1:9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0">
        <f t="shared" si="46"/>
        <v>3775.6499999999996</v>
      </c>
      <c r="G685" s="50">
        <f t="shared" si="47"/>
        <v>249.15514349999995</v>
      </c>
      <c r="H685" s="8">
        <f t="shared" si="49"/>
        <v>6.5989999999999993E-2</v>
      </c>
      <c r="I685" s="45">
        <f t="shared" si="48"/>
        <v>6.5989999999999993E-2</v>
      </c>
    </row>
    <row r="686" spans="1:9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0">
        <f t="shared" si="46"/>
        <v>79.3</v>
      </c>
      <c r="G686" s="50">
        <f t="shared" si="47"/>
        <v>5.2330069999999989</v>
      </c>
      <c r="H686" s="8">
        <f t="shared" si="49"/>
        <v>6.5989999999999993E-2</v>
      </c>
      <c r="I686" s="45">
        <f t="shared" si="48"/>
        <v>6.5989999999999993E-2</v>
      </c>
    </row>
    <row r="687" spans="1:9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0">
        <f t="shared" si="46"/>
        <v>377.9</v>
      </c>
      <c r="G687" s="50">
        <f t="shared" si="47"/>
        <v>24.937620999999996</v>
      </c>
      <c r="H687" s="8">
        <f t="shared" si="49"/>
        <v>6.5989999999999993E-2</v>
      </c>
      <c r="I687" s="45">
        <f t="shared" si="48"/>
        <v>6.5989999999999993E-2</v>
      </c>
    </row>
    <row r="688" spans="1:9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0">
        <f t="shared" si="46"/>
        <v>86.1</v>
      </c>
      <c r="G688" s="50">
        <f t="shared" si="47"/>
        <v>5.6817389999999994</v>
      </c>
      <c r="H688" s="8">
        <f t="shared" si="49"/>
        <v>6.5989999999999993E-2</v>
      </c>
      <c r="I688" s="45">
        <f t="shared" si="48"/>
        <v>6.5989999999999993E-2</v>
      </c>
    </row>
    <row r="689" spans="1:9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0">
        <f t="shared" si="46"/>
        <v>59.7</v>
      </c>
      <c r="G689" s="50">
        <f t="shared" si="47"/>
        <v>3.939603</v>
      </c>
      <c r="H689" s="8">
        <f t="shared" si="49"/>
        <v>6.5989999999999993E-2</v>
      </c>
      <c r="I689" s="45">
        <v>0</v>
      </c>
    </row>
    <row r="690" spans="1:9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0">
        <f t="shared" si="46"/>
        <v>66.099999999999994</v>
      </c>
      <c r="G690" s="50">
        <f t="shared" si="47"/>
        <v>4.3619389999999996</v>
      </c>
      <c r="H690" s="8">
        <f t="shared" si="49"/>
        <v>6.5989999999999993E-2</v>
      </c>
      <c r="I690" s="45">
        <f t="shared" si="48"/>
        <v>6.5989999999999993E-2</v>
      </c>
    </row>
    <row r="691" spans="1:9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0">
        <f t="shared" si="46"/>
        <v>111.6</v>
      </c>
      <c r="G691" s="50">
        <f t="shared" si="47"/>
        <v>7.3644839999999991</v>
      </c>
      <c r="H691" s="8">
        <f t="shared" si="49"/>
        <v>6.5989999999999993E-2</v>
      </c>
      <c r="I691" s="45">
        <f t="shared" si="48"/>
        <v>6.5989999999999993E-2</v>
      </c>
    </row>
    <row r="692" spans="1:9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0">
        <f t="shared" si="46"/>
        <v>119.2</v>
      </c>
      <c r="G692" s="50">
        <f t="shared" si="47"/>
        <v>7.866007999999999</v>
      </c>
      <c r="H692" s="8">
        <f t="shared" si="49"/>
        <v>6.5989999999999993E-2</v>
      </c>
      <c r="I692" s="45">
        <f t="shared" si="48"/>
        <v>6.5989999999999993E-2</v>
      </c>
    </row>
    <row r="693" spans="1:9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0">
        <f t="shared" si="46"/>
        <v>139.6</v>
      </c>
      <c r="G693" s="50">
        <f t="shared" si="47"/>
        <v>9.2122039999999981</v>
      </c>
      <c r="H693" s="8">
        <f t="shared" si="49"/>
        <v>6.5989999999999993E-2</v>
      </c>
      <c r="I693" s="45">
        <f t="shared" si="48"/>
        <v>6.5989999999999993E-2</v>
      </c>
    </row>
    <row r="694" spans="1:9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0">
        <f t="shared" si="46"/>
        <v>66.5</v>
      </c>
      <c r="G694" s="50">
        <f t="shared" si="47"/>
        <v>4.3883349999999997</v>
      </c>
      <c r="H694" s="8">
        <f t="shared" si="49"/>
        <v>6.5989999999999993E-2</v>
      </c>
      <c r="I694" s="45">
        <f t="shared" si="48"/>
        <v>6.5989999999999993E-2</v>
      </c>
    </row>
    <row r="695" spans="1:9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0">
        <f t="shared" si="46"/>
        <v>67</v>
      </c>
      <c r="G695" s="50">
        <f t="shared" si="47"/>
        <v>4.4213299999999993</v>
      </c>
      <c r="H695" s="8">
        <f t="shared" si="49"/>
        <v>6.5989999999999993E-2</v>
      </c>
      <c r="I695" s="45">
        <f t="shared" si="48"/>
        <v>6.5989999999999993E-2</v>
      </c>
    </row>
    <row r="696" spans="1:9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0">
        <f t="shared" ref="F696:F746" si="50">C696+D696+E696</f>
        <v>212.2</v>
      </c>
      <c r="G696" s="50">
        <f t="shared" ref="G696:G745" si="51">SUM(F696*H696)</f>
        <v>14.003077999999999</v>
      </c>
      <c r="H696" s="8">
        <f t="shared" si="49"/>
        <v>6.5989999999999993E-2</v>
      </c>
      <c r="I696" s="45">
        <f t="shared" si="48"/>
        <v>6.5989999999999993E-2</v>
      </c>
    </row>
    <row r="697" spans="1:9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0">
        <f t="shared" si="50"/>
        <v>41.6</v>
      </c>
      <c r="G697" s="50">
        <f t="shared" si="51"/>
        <v>2.7451839999999996</v>
      </c>
      <c r="H697" s="8">
        <f t="shared" si="49"/>
        <v>6.5989999999999993E-2</v>
      </c>
      <c r="I697" s="45">
        <f t="shared" si="48"/>
        <v>6.5989999999999993E-2</v>
      </c>
    </row>
    <row r="698" spans="1:9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0">
        <f t="shared" si="50"/>
        <v>466.8</v>
      </c>
      <c r="G698" s="50">
        <f t="shared" si="51"/>
        <v>30.804131999999999</v>
      </c>
      <c r="H698" s="8">
        <f t="shared" si="49"/>
        <v>6.5989999999999993E-2</v>
      </c>
      <c r="I698" s="45">
        <f t="shared" ref="I698:I747" si="52">SUM(G698/F698)</f>
        <v>6.5989999999999993E-2</v>
      </c>
    </row>
    <row r="699" spans="1:9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0">
        <f t="shared" si="50"/>
        <v>681.36</v>
      </c>
      <c r="G699" s="50">
        <f t="shared" si="51"/>
        <v>44.962946399999993</v>
      </c>
      <c r="H699" s="8">
        <f t="shared" si="49"/>
        <v>6.5989999999999993E-2</v>
      </c>
      <c r="I699" s="45">
        <f t="shared" si="52"/>
        <v>6.5989999999999993E-2</v>
      </c>
    </row>
    <row r="700" spans="1:9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0">
        <f t="shared" si="50"/>
        <v>58.2</v>
      </c>
      <c r="G700" s="50">
        <f t="shared" si="51"/>
        <v>3.8406179999999996</v>
      </c>
      <c r="H700" s="8">
        <f t="shared" si="49"/>
        <v>6.5989999999999993E-2</v>
      </c>
      <c r="I700" s="45">
        <f t="shared" si="52"/>
        <v>6.5989999999999993E-2</v>
      </c>
    </row>
    <row r="701" spans="1:9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0">
        <f t="shared" si="50"/>
        <v>504.2</v>
      </c>
      <c r="G701" s="50">
        <f t="shared" si="51"/>
        <v>33.272157999999997</v>
      </c>
      <c r="H701" s="8">
        <f t="shared" si="49"/>
        <v>6.5989999999999993E-2</v>
      </c>
      <c r="I701" s="45">
        <f t="shared" si="52"/>
        <v>6.5989999999999993E-2</v>
      </c>
    </row>
    <row r="702" spans="1:9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0">
        <f t="shared" si="50"/>
        <v>166.6</v>
      </c>
      <c r="G702" s="50">
        <f t="shared" si="51"/>
        <v>10.993933999999998</v>
      </c>
      <c r="H702" s="8">
        <f t="shared" si="49"/>
        <v>6.5989999999999993E-2</v>
      </c>
      <c r="I702" s="45">
        <f t="shared" si="52"/>
        <v>6.5989999999999993E-2</v>
      </c>
    </row>
    <row r="703" spans="1:9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0">
        <f t="shared" si="50"/>
        <v>37.799999999999997</v>
      </c>
      <c r="G703" s="50">
        <f t="shared" si="51"/>
        <v>2.4944219999999997</v>
      </c>
      <c r="H703" s="8">
        <f t="shared" si="49"/>
        <v>6.5989999999999993E-2</v>
      </c>
      <c r="I703" s="45">
        <f t="shared" si="52"/>
        <v>6.5989999999999993E-2</v>
      </c>
    </row>
    <row r="704" spans="1:9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0">
        <f t="shared" si="50"/>
        <v>55.5</v>
      </c>
      <c r="G704" s="50">
        <f t="shared" si="51"/>
        <v>3.6624449999999995</v>
      </c>
      <c r="H704" s="8">
        <f t="shared" si="49"/>
        <v>6.5989999999999993E-2</v>
      </c>
      <c r="I704" s="45">
        <v>0</v>
      </c>
    </row>
    <row r="705" spans="1:9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0">
        <f t="shared" si="50"/>
        <v>146.19999999999999</v>
      </c>
      <c r="G705" s="50">
        <f t="shared" si="51"/>
        <v>9.6477379999999986</v>
      </c>
      <c r="H705" s="8">
        <f t="shared" si="49"/>
        <v>6.5989999999999993E-2</v>
      </c>
      <c r="I705" s="45">
        <v>0</v>
      </c>
    </row>
    <row r="706" spans="1:9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0">
        <f t="shared" si="50"/>
        <v>47.9</v>
      </c>
      <c r="G706" s="50">
        <f t="shared" si="51"/>
        <v>3.1609209999999996</v>
      </c>
      <c r="H706" s="8">
        <f t="shared" si="49"/>
        <v>6.5989999999999993E-2</v>
      </c>
      <c r="I706" s="45">
        <f t="shared" si="52"/>
        <v>6.5989999999999993E-2</v>
      </c>
    </row>
    <row r="707" spans="1:9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0">
        <f t="shared" si="50"/>
        <v>72.400000000000006</v>
      </c>
      <c r="G707" s="50">
        <f t="shared" si="51"/>
        <v>4.7776759999999996</v>
      </c>
      <c r="H707" s="8">
        <f t="shared" si="49"/>
        <v>6.5989999999999993E-2</v>
      </c>
      <c r="I707" s="45">
        <f t="shared" si="52"/>
        <v>6.5989999999999993E-2</v>
      </c>
    </row>
    <row r="708" spans="1:9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0">
        <f t="shared" si="50"/>
        <v>73</v>
      </c>
      <c r="G708" s="50">
        <f t="shared" si="51"/>
        <v>4.8172699999999997</v>
      </c>
      <c r="H708" s="8">
        <f t="shared" si="49"/>
        <v>6.5989999999999993E-2</v>
      </c>
      <c r="I708" s="45">
        <f t="shared" si="52"/>
        <v>6.5989999999999993E-2</v>
      </c>
    </row>
    <row r="709" spans="1:9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0">
        <f t="shared" si="50"/>
        <v>110</v>
      </c>
      <c r="G709" s="50">
        <f t="shared" si="51"/>
        <v>7.2588999999999988</v>
      </c>
      <c r="H709" s="8">
        <f t="shared" si="49"/>
        <v>6.5989999999999993E-2</v>
      </c>
      <c r="I709" s="45">
        <f t="shared" si="52"/>
        <v>6.5989999999999993E-2</v>
      </c>
    </row>
    <row r="710" spans="1:9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0">
        <f t="shared" si="50"/>
        <v>382</v>
      </c>
      <c r="G710" s="50">
        <f t="shared" si="51"/>
        <v>25.208179999999999</v>
      </c>
      <c r="H710" s="8">
        <f t="shared" si="49"/>
        <v>6.5989999999999993E-2</v>
      </c>
      <c r="I710" s="45">
        <f t="shared" si="52"/>
        <v>6.5989999999999993E-2</v>
      </c>
    </row>
    <row r="711" spans="1:9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0">
        <f t="shared" si="50"/>
        <v>226.9</v>
      </c>
      <c r="G711" s="50">
        <f t="shared" si="51"/>
        <v>14.973130999999999</v>
      </c>
      <c r="H711" s="8">
        <f t="shared" si="49"/>
        <v>6.5989999999999993E-2</v>
      </c>
      <c r="I711" s="45">
        <f t="shared" si="52"/>
        <v>6.5989999999999993E-2</v>
      </c>
    </row>
    <row r="712" spans="1:9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0">
        <f t="shared" si="50"/>
        <v>142.6</v>
      </c>
      <c r="G712" s="50">
        <f t="shared" si="51"/>
        <v>9.4101739999999978</v>
      </c>
      <c r="H712" s="8">
        <f t="shared" si="49"/>
        <v>6.5989999999999993E-2</v>
      </c>
      <c r="I712" s="45">
        <f t="shared" si="52"/>
        <v>6.5989999999999993E-2</v>
      </c>
    </row>
    <row r="713" spans="1:9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0">
        <f t="shared" si="50"/>
        <v>428.31</v>
      </c>
      <c r="G713" s="50">
        <f t="shared" si="51"/>
        <v>28.264176899999999</v>
      </c>
      <c r="H713" s="8">
        <f t="shared" si="49"/>
        <v>6.5989999999999993E-2</v>
      </c>
      <c r="I713" s="45">
        <f t="shared" si="52"/>
        <v>6.5989999999999993E-2</v>
      </c>
    </row>
    <row r="714" spans="1:9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0">
        <f t="shared" si="50"/>
        <v>744.3</v>
      </c>
      <c r="G714" s="50">
        <f t="shared" si="51"/>
        <v>49.116356999999994</v>
      </c>
      <c r="H714" s="8">
        <f t="shared" si="49"/>
        <v>6.5989999999999993E-2</v>
      </c>
      <c r="I714" s="45">
        <f t="shared" si="52"/>
        <v>6.5989999999999993E-2</v>
      </c>
    </row>
    <row r="715" spans="1:9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0">
        <f t="shared" si="50"/>
        <v>1084.5899999999999</v>
      </c>
      <c r="G715" s="50">
        <f t="shared" si="51"/>
        <v>71.572094099999987</v>
      </c>
      <c r="H715" s="8">
        <f t="shared" si="49"/>
        <v>6.5989999999999993E-2</v>
      </c>
      <c r="I715" s="45">
        <f t="shared" si="52"/>
        <v>6.5989999999999993E-2</v>
      </c>
    </row>
    <row r="716" spans="1:9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0">
        <f t="shared" si="50"/>
        <v>1069.71</v>
      </c>
      <c r="G716" s="50">
        <f t="shared" si="51"/>
        <v>70.590162899999996</v>
      </c>
      <c r="H716" s="8">
        <f t="shared" si="49"/>
        <v>6.5989999999999993E-2</v>
      </c>
      <c r="I716" s="45">
        <f t="shared" si="52"/>
        <v>6.5989999999999993E-2</v>
      </c>
    </row>
    <row r="717" spans="1:9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0">
        <f t="shared" si="50"/>
        <v>196.8</v>
      </c>
      <c r="G717" s="50">
        <f t="shared" si="51"/>
        <v>12.986832</v>
      </c>
      <c r="H717" s="8">
        <f t="shared" si="49"/>
        <v>6.5989999999999993E-2</v>
      </c>
      <c r="I717" s="45">
        <f t="shared" si="52"/>
        <v>6.5989999999999993E-2</v>
      </c>
    </row>
    <row r="718" spans="1:9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0">
        <f t="shared" si="50"/>
        <v>625.9</v>
      </c>
      <c r="G718" s="50">
        <f t="shared" si="51"/>
        <v>41.303140999999997</v>
      </c>
      <c r="H718" s="8">
        <f t="shared" si="49"/>
        <v>6.5989999999999993E-2</v>
      </c>
      <c r="I718" s="45">
        <f t="shared" si="52"/>
        <v>6.5989999999999993E-2</v>
      </c>
    </row>
    <row r="719" spans="1:9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0">
        <f t="shared" si="50"/>
        <v>127.5</v>
      </c>
      <c r="G719" s="50">
        <f t="shared" si="51"/>
        <v>8.4137249999999995</v>
      </c>
      <c r="H719" s="8">
        <f t="shared" si="49"/>
        <v>6.5989999999999993E-2</v>
      </c>
      <c r="I719" s="45">
        <f t="shared" si="52"/>
        <v>6.5989999999999993E-2</v>
      </c>
    </row>
    <row r="720" spans="1:9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0">
        <f t="shared" si="50"/>
        <v>561.25</v>
      </c>
      <c r="G720" s="50">
        <f t="shared" si="51"/>
        <v>37.036887499999999</v>
      </c>
      <c r="H720" s="8">
        <f t="shared" si="49"/>
        <v>6.5989999999999993E-2</v>
      </c>
      <c r="I720" s="45">
        <f t="shared" si="52"/>
        <v>6.5989999999999993E-2</v>
      </c>
    </row>
    <row r="721" spans="1:9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0">
        <f t="shared" si="50"/>
        <v>122.9</v>
      </c>
      <c r="G721" s="50">
        <f t="shared" si="51"/>
        <v>8.1101709999999994</v>
      </c>
      <c r="H721" s="8">
        <f t="shared" si="49"/>
        <v>6.5989999999999993E-2</v>
      </c>
      <c r="I721" s="45">
        <f t="shared" si="52"/>
        <v>6.5989999999999993E-2</v>
      </c>
    </row>
    <row r="722" spans="1:9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0">
        <f t="shared" si="50"/>
        <v>82.5</v>
      </c>
      <c r="G722" s="50">
        <f t="shared" si="51"/>
        <v>5.4441749999999995</v>
      </c>
      <c r="H722" s="8">
        <f t="shared" si="49"/>
        <v>6.5989999999999993E-2</v>
      </c>
      <c r="I722" s="45">
        <f t="shared" si="52"/>
        <v>6.5989999999999993E-2</v>
      </c>
    </row>
    <row r="723" spans="1:9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0">
        <f t="shared" si="50"/>
        <v>118.7</v>
      </c>
      <c r="G723" s="50">
        <f t="shared" si="51"/>
        <v>7.8330129999999993</v>
      </c>
      <c r="H723" s="8">
        <f t="shared" si="49"/>
        <v>6.5989999999999993E-2</v>
      </c>
      <c r="I723" s="45">
        <f t="shared" si="52"/>
        <v>6.5989999999999993E-2</v>
      </c>
    </row>
    <row r="724" spans="1:9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0">
        <f t="shared" si="50"/>
        <v>113.8</v>
      </c>
      <c r="G724" s="50">
        <f t="shared" si="51"/>
        <v>7.5096619999999987</v>
      </c>
      <c r="H724" s="8">
        <f t="shared" si="49"/>
        <v>6.5989999999999993E-2</v>
      </c>
      <c r="I724" s="45">
        <f t="shared" si="52"/>
        <v>6.5989999999999993E-2</v>
      </c>
    </row>
    <row r="725" spans="1:9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0">
        <f t="shared" si="50"/>
        <v>294</v>
      </c>
      <c r="G725" s="50">
        <f t="shared" si="51"/>
        <v>19.401059999999998</v>
      </c>
      <c r="H725" s="8">
        <f t="shared" si="49"/>
        <v>6.5989999999999993E-2</v>
      </c>
      <c r="I725" s="45">
        <f t="shared" si="52"/>
        <v>6.5989999999999993E-2</v>
      </c>
    </row>
    <row r="726" spans="1:9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0">
        <f t="shared" si="50"/>
        <v>38.6</v>
      </c>
      <c r="G726" s="50">
        <f t="shared" si="51"/>
        <v>2.5472139999999999</v>
      </c>
      <c r="H726" s="8">
        <f t="shared" si="49"/>
        <v>6.5989999999999993E-2</v>
      </c>
      <c r="I726" s="45">
        <f t="shared" si="52"/>
        <v>6.5989999999999993E-2</v>
      </c>
    </row>
    <row r="727" spans="1:9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0">
        <f t="shared" si="50"/>
        <v>295.8</v>
      </c>
      <c r="G727" s="50">
        <f t="shared" si="51"/>
        <v>19.519841999999997</v>
      </c>
      <c r="H727" s="8">
        <f t="shared" si="49"/>
        <v>6.5989999999999993E-2</v>
      </c>
      <c r="I727" s="45">
        <f t="shared" si="52"/>
        <v>6.5989999999999993E-2</v>
      </c>
    </row>
    <row r="728" spans="1:9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0">
        <f t="shared" si="50"/>
        <v>2954.3</v>
      </c>
      <c r="G728" s="50">
        <f t="shared" si="51"/>
        <v>194.95425699999998</v>
      </c>
      <c r="H728" s="8">
        <f t="shared" si="49"/>
        <v>6.5989999999999993E-2</v>
      </c>
      <c r="I728" s="45">
        <f t="shared" si="52"/>
        <v>6.5989999999999993E-2</v>
      </c>
    </row>
    <row r="729" spans="1:9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0">
        <f t="shared" si="50"/>
        <v>601.58000000000004</v>
      </c>
      <c r="G729" s="50">
        <f t="shared" si="51"/>
        <v>39.698264199999997</v>
      </c>
      <c r="H729" s="8">
        <f t="shared" si="49"/>
        <v>6.5989999999999993E-2</v>
      </c>
      <c r="I729" s="45">
        <f t="shared" si="52"/>
        <v>6.5989999999999993E-2</v>
      </c>
    </row>
    <row r="730" spans="1:9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0">
        <f t="shared" si="50"/>
        <v>392.31</v>
      </c>
      <c r="G730" s="50">
        <f t="shared" si="51"/>
        <v>25.888536899999998</v>
      </c>
      <c r="H730" s="8">
        <f t="shared" si="49"/>
        <v>6.5989999999999993E-2</v>
      </c>
      <c r="I730" s="45">
        <f t="shared" si="52"/>
        <v>6.5989999999999993E-2</v>
      </c>
    </row>
    <row r="731" spans="1:9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0">
        <f t="shared" si="50"/>
        <v>600.88</v>
      </c>
      <c r="G731" s="50">
        <f t="shared" si="51"/>
        <v>39.652071199999995</v>
      </c>
      <c r="H731" s="8">
        <f t="shared" si="49"/>
        <v>6.5989999999999993E-2</v>
      </c>
      <c r="I731" s="45">
        <f t="shared" si="52"/>
        <v>6.5989999999999993E-2</v>
      </c>
    </row>
    <row r="732" spans="1:9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0">
        <f t="shared" si="50"/>
        <v>307.3</v>
      </c>
      <c r="G732" s="50">
        <f t="shared" si="51"/>
        <v>20.278727</v>
      </c>
      <c r="H732" s="8">
        <f t="shared" ref="H732:H795" si="53">0.06599</f>
        <v>6.5989999999999993E-2</v>
      </c>
      <c r="I732" s="45">
        <f t="shared" si="52"/>
        <v>6.5989999999999993E-2</v>
      </c>
    </row>
    <row r="733" spans="1:9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0">
        <f t="shared" si="50"/>
        <v>800.1</v>
      </c>
      <c r="G733" s="50">
        <f t="shared" si="51"/>
        <v>52.798598999999996</v>
      </c>
      <c r="H733" s="8">
        <f t="shared" si="53"/>
        <v>6.5989999999999993E-2</v>
      </c>
      <c r="I733" s="45">
        <f t="shared" si="52"/>
        <v>6.5989999999999993E-2</v>
      </c>
    </row>
    <row r="734" spans="1:9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0">
        <f t="shared" si="50"/>
        <v>325.2</v>
      </c>
      <c r="G734" s="50">
        <f t="shared" si="51"/>
        <v>21.459947999999997</v>
      </c>
      <c r="H734" s="8">
        <f t="shared" si="53"/>
        <v>6.5989999999999993E-2</v>
      </c>
      <c r="I734" s="45">
        <f t="shared" si="52"/>
        <v>6.5989999999999993E-2</v>
      </c>
    </row>
    <row r="735" spans="1:9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0">
        <f t="shared" si="50"/>
        <v>420.25</v>
      </c>
      <c r="G735" s="50">
        <f t="shared" si="51"/>
        <v>27.732297499999998</v>
      </c>
      <c r="H735" s="8">
        <f t="shared" si="53"/>
        <v>6.5989999999999993E-2</v>
      </c>
      <c r="I735" s="45">
        <f t="shared" si="52"/>
        <v>6.5989999999999993E-2</v>
      </c>
    </row>
    <row r="736" spans="1:9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0">
        <f t="shared" si="50"/>
        <v>468.48</v>
      </c>
      <c r="G736" s="50">
        <f t="shared" si="51"/>
        <v>30.914995199999996</v>
      </c>
      <c r="H736" s="8">
        <f t="shared" si="53"/>
        <v>6.5989999999999993E-2</v>
      </c>
      <c r="I736" s="45">
        <f t="shared" si="52"/>
        <v>6.5989999999999993E-2</v>
      </c>
    </row>
    <row r="737" spans="1:9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0">
        <f t="shared" si="50"/>
        <v>1026.08</v>
      </c>
      <c r="G737" s="50">
        <f t="shared" si="51"/>
        <v>67.711019199999981</v>
      </c>
      <c r="H737" s="8">
        <f t="shared" si="53"/>
        <v>6.5989999999999993E-2</v>
      </c>
      <c r="I737" s="45">
        <f t="shared" si="52"/>
        <v>6.5989999999999993E-2</v>
      </c>
    </row>
    <row r="738" spans="1:9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0">
        <f t="shared" si="50"/>
        <v>1242.02</v>
      </c>
      <c r="G738" s="50">
        <f t="shared" si="51"/>
        <v>81.960899799999993</v>
      </c>
      <c r="H738" s="8">
        <f t="shared" si="53"/>
        <v>6.5989999999999993E-2</v>
      </c>
      <c r="I738" s="45">
        <f t="shared" si="52"/>
        <v>6.5989999999999993E-2</v>
      </c>
    </row>
    <row r="739" spans="1:9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0">
        <f t="shared" si="50"/>
        <v>827.02</v>
      </c>
      <c r="G739" s="50">
        <f t="shared" si="51"/>
        <v>54.575049799999995</v>
      </c>
      <c r="H739" s="8">
        <f t="shared" si="53"/>
        <v>6.5989999999999993E-2</v>
      </c>
      <c r="I739" s="45">
        <f t="shared" si="52"/>
        <v>6.5989999999999993E-2</v>
      </c>
    </row>
    <row r="740" spans="1:9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0">
        <f t="shared" si="50"/>
        <v>487.41</v>
      </c>
      <c r="G740" s="50">
        <f t="shared" si="51"/>
        <v>32.1641859</v>
      </c>
      <c r="H740" s="8">
        <f t="shared" si="53"/>
        <v>6.5989999999999993E-2</v>
      </c>
      <c r="I740" s="45">
        <f t="shared" si="52"/>
        <v>6.5989999999999993E-2</v>
      </c>
    </row>
    <row r="741" spans="1:9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0">
        <f t="shared" si="50"/>
        <v>685</v>
      </c>
      <c r="G741" s="50">
        <f t="shared" si="51"/>
        <v>45.203149999999994</v>
      </c>
      <c r="H741" s="8">
        <f t="shared" si="53"/>
        <v>6.5989999999999993E-2</v>
      </c>
      <c r="I741" s="45">
        <f t="shared" si="52"/>
        <v>6.5989999999999993E-2</v>
      </c>
    </row>
    <row r="742" spans="1:9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0">
        <f t="shared" si="50"/>
        <v>636.55999999999995</v>
      </c>
      <c r="G742" s="50">
        <f t="shared" si="51"/>
        <v>42.00659439999999</v>
      </c>
      <c r="H742" s="8">
        <f t="shared" si="53"/>
        <v>6.5989999999999993E-2</v>
      </c>
      <c r="I742" s="45">
        <f t="shared" si="52"/>
        <v>6.5989999999999993E-2</v>
      </c>
    </row>
    <row r="743" spans="1:9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0">
        <f t="shared" si="50"/>
        <v>505.1</v>
      </c>
      <c r="G743" s="50">
        <f t="shared" si="51"/>
        <v>33.331548999999995</v>
      </c>
      <c r="H743" s="8">
        <f t="shared" si="53"/>
        <v>6.5989999999999993E-2</v>
      </c>
      <c r="I743" s="45">
        <f t="shared" si="52"/>
        <v>6.5989999999999993E-2</v>
      </c>
    </row>
    <row r="744" spans="1:9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0">
        <f t="shared" si="50"/>
        <v>536.88</v>
      </c>
      <c r="G744" s="50">
        <f t="shared" si="51"/>
        <v>35.428711199999995</v>
      </c>
      <c r="H744" s="8">
        <f t="shared" si="53"/>
        <v>6.5989999999999993E-2</v>
      </c>
      <c r="I744" s="45">
        <f t="shared" si="52"/>
        <v>6.5989999999999993E-2</v>
      </c>
    </row>
    <row r="745" spans="1:9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0">
        <f t="shared" si="50"/>
        <v>132.6</v>
      </c>
      <c r="G745" s="50">
        <f t="shared" si="51"/>
        <v>8.7502739999999992</v>
      </c>
      <c r="H745" s="8">
        <f t="shared" si="53"/>
        <v>6.5989999999999993E-2</v>
      </c>
      <c r="I745" s="45">
        <f>SUM(G745/F745)</f>
        <v>6.5989999999999993E-2</v>
      </c>
    </row>
    <row r="746" spans="1:9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50"/>
        <v>380.2</v>
      </c>
      <c r="G746" s="50">
        <f>SUM(F746*H746)</f>
        <v>25.089397999999996</v>
      </c>
      <c r="H746" s="8">
        <f t="shared" si="53"/>
        <v>6.5989999999999993E-2</v>
      </c>
      <c r="I746" s="45">
        <f>SUM(G746/F746)</f>
        <v>6.5989999999999993E-2</v>
      </c>
    </row>
    <row r="747" spans="1:9" s="69" customFormat="1" ht="15.75">
      <c r="A747" s="392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153">
        <f>SUM(F537:F745)</f>
        <v>246324.39000000004</v>
      </c>
      <c r="G747" s="68">
        <f t="shared" ref="G747:G809" si="54">SUM(F747*H747)</f>
        <v>16254.946496100001</v>
      </c>
      <c r="H747" s="8">
        <f t="shared" si="53"/>
        <v>6.5989999999999993E-2</v>
      </c>
      <c r="I747" s="73">
        <f t="shared" si="52"/>
        <v>6.5989999999999993E-2</v>
      </c>
    </row>
    <row r="748" spans="1:9" s="6" customFormat="1" ht="15.75">
      <c r="A748" s="9" t="s">
        <v>622</v>
      </c>
      <c r="B748" s="8"/>
      <c r="C748" s="8"/>
      <c r="D748" s="8"/>
      <c r="E748" s="8"/>
      <c r="F748" s="40"/>
      <c r="G748" s="50"/>
      <c r="H748" s="8">
        <f t="shared" si="53"/>
        <v>6.5989999999999993E-2</v>
      </c>
      <c r="I748" s="45"/>
    </row>
    <row r="749" spans="1:9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40">
        <f t="shared" ref="F749:F811" si="55">C749+D749+E749</f>
        <v>4275.08</v>
      </c>
      <c r="G749" s="50">
        <f t="shared" si="54"/>
        <v>282.11252919999998</v>
      </c>
      <c r="H749" s="8">
        <f t="shared" si="53"/>
        <v>6.5989999999999993E-2</v>
      </c>
      <c r="I749" s="45">
        <f t="shared" ref="I749:I811" si="56">SUM(G749/F749)</f>
        <v>6.5989999999999993E-2</v>
      </c>
    </row>
    <row r="750" spans="1:9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40">
        <f t="shared" si="55"/>
        <v>4574.41</v>
      </c>
      <c r="G750" s="50">
        <f t="shared" si="54"/>
        <v>301.86531589999998</v>
      </c>
      <c r="H750" s="8">
        <f t="shared" si="53"/>
        <v>6.5989999999999993E-2</v>
      </c>
      <c r="I750" s="45">
        <f t="shared" si="56"/>
        <v>6.5989999999999993E-2</v>
      </c>
    </row>
    <row r="751" spans="1:9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40">
        <f t="shared" si="55"/>
        <v>8527.85</v>
      </c>
      <c r="G751" s="50">
        <f t="shared" si="54"/>
        <v>562.75282149999998</v>
      </c>
      <c r="H751" s="8">
        <f t="shared" si="53"/>
        <v>6.5989999999999993E-2</v>
      </c>
      <c r="I751" s="45">
        <f t="shared" si="56"/>
        <v>6.5989999999999993E-2</v>
      </c>
    </row>
    <row r="752" spans="1:9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40">
        <f t="shared" si="55"/>
        <v>5131.3999999999996</v>
      </c>
      <c r="G752" s="50">
        <f t="shared" si="54"/>
        <v>338.62108599999993</v>
      </c>
      <c r="H752" s="8">
        <f t="shared" si="53"/>
        <v>6.5989999999999993E-2</v>
      </c>
      <c r="I752" s="45">
        <f t="shared" si="56"/>
        <v>6.5989999999999993E-2</v>
      </c>
    </row>
    <row r="753" spans="1:9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40">
        <f t="shared" si="55"/>
        <v>4290.1499999999996</v>
      </c>
      <c r="G753" s="50">
        <f t="shared" si="54"/>
        <v>283.10699849999997</v>
      </c>
      <c r="H753" s="8">
        <f t="shared" si="53"/>
        <v>6.5989999999999993E-2</v>
      </c>
      <c r="I753" s="45">
        <f t="shared" si="56"/>
        <v>6.5989999999999993E-2</v>
      </c>
    </row>
    <row r="754" spans="1:9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40">
        <f t="shared" si="55"/>
        <v>5185.3900000000003</v>
      </c>
      <c r="G754" s="50">
        <f t="shared" si="54"/>
        <v>342.1838861</v>
      </c>
      <c r="H754" s="8">
        <f t="shared" si="53"/>
        <v>6.5989999999999993E-2</v>
      </c>
      <c r="I754" s="45">
        <f t="shared" si="56"/>
        <v>6.5989999999999993E-2</v>
      </c>
    </row>
    <row r="755" spans="1:9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40">
        <f t="shared" si="55"/>
        <v>4246.38</v>
      </c>
      <c r="G755" s="50">
        <f t="shared" si="54"/>
        <v>280.21861619999999</v>
      </c>
      <c r="H755" s="8">
        <f t="shared" si="53"/>
        <v>6.5989999999999993E-2</v>
      </c>
      <c r="I755" s="45">
        <f t="shared" si="56"/>
        <v>6.5989999999999993E-2</v>
      </c>
    </row>
    <row r="756" spans="1:9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40">
        <f t="shared" si="55"/>
        <v>4446.42</v>
      </c>
      <c r="G756" s="50">
        <f t="shared" si="54"/>
        <v>293.41925579999997</v>
      </c>
      <c r="H756" s="8">
        <f t="shared" si="53"/>
        <v>6.5989999999999993E-2</v>
      </c>
      <c r="I756" s="45">
        <f t="shared" si="56"/>
        <v>6.5989999999999993E-2</v>
      </c>
    </row>
    <row r="757" spans="1:9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40">
        <f t="shared" si="55"/>
        <v>2920.24</v>
      </c>
      <c r="G757" s="50">
        <f t="shared" si="54"/>
        <v>192.70663759999997</v>
      </c>
      <c r="H757" s="8">
        <f t="shared" si="53"/>
        <v>6.5989999999999993E-2</v>
      </c>
      <c r="I757" s="45">
        <f t="shared" si="56"/>
        <v>6.5989999999999993E-2</v>
      </c>
    </row>
    <row r="758" spans="1:9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40">
        <f t="shared" si="55"/>
        <v>4278.99</v>
      </c>
      <c r="G758" s="50">
        <f t="shared" si="54"/>
        <v>282.37055009999995</v>
      </c>
      <c r="H758" s="8">
        <f t="shared" si="53"/>
        <v>6.5989999999999993E-2</v>
      </c>
      <c r="I758" s="45">
        <f t="shared" si="56"/>
        <v>6.5989999999999993E-2</v>
      </c>
    </row>
    <row r="759" spans="1:9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40">
        <f t="shared" si="55"/>
        <v>8595.7800000000007</v>
      </c>
      <c r="G759" s="50">
        <f t="shared" si="54"/>
        <v>567.23552219999999</v>
      </c>
      <c r="H759" s="8">
        <f t="shared" si="53"/>
        <v>6.5989999999999993E-2</v>
      </c>
      <c r="I759" s="45">
        <f t="shared" si="56"/>
        <v>6.5989999999999993E-2</v>
      </c>
    </row>
    <row r="760" spans="1:9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40">
        <f t="shared" si="55"/>
        <v>4516.6000000000004</v>
      </c>
      <c r="G760" s="50">
        <f t="shared" si="54"/>
        <v>298.050434</v>
      </c>
      <c r="H760" s="8">
        <f t="shared" si="53"/>
        <v>6.5989999999999993E-2</v>
      </c>
      <c r="I760" s="45">
        <f t="shared" si="56"/>
        <v>6.5989999999999993E-2</v>
      </c>
    </row>
    <row r="761" spans="1:9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40">
        <f t="shared" si="55"/>
        <v>5874.29</v>
      </c>
      <c r="G761" s="50">
        <f t="shared" si="54"/>
        <v>387.64439709999994</v>
      </c>
      <c r="H761" s="8">
        <f t="shared" si="53"/>
        <v>6.5989999999999993E-2</v>
      </c>
      <c r="I761" s="45">
        <f t="shared" si="56"/>
        <v>6.5989999999999993E-2</v>
      </c>
    </row>
    <row r="762" spans="1:9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40">
        <f t="shared" si="55"/>
        <v>5810.95</v>
      </c>
      <c r="G762" s="50">
        <f t="shared" si="54"/>
        <v>383.46459049999993</v>
      </c>
      <c r="H762" s="8">
        <f t="shared" si="53"/>
        <v>6.5989999999999993E-2</v>
      </c>
      <c r="I762" s="45">
        <f t="shared" si="56"/>
        <v>6.5989999999999993E-2</v>
      </c>
    </row>
    <row r="763" spans="1:9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40">
        <f t="shared" si="55"/>
        <v>4535.62</v>
      </c>
      <c r="G763" s="50">
        <f t="shared" si="54"/>
        <v>299.30556379999996</v>
      </c>
      <c r="H763" s="8">
        <f t="shared" si="53"/>
        <v>6.5989999999999993E-2</v>
      </c>
      <c r="I763" s="45">
        <f t="shared" si="56"/>
        <v>6.5989999999999993E-2</v>
      </c>
    </row>
    <row r="764" spans="1:9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40">
        <f t="shared" si="55"/>
        <v>6970.5</v>
      </c>
      <c r="G764" s="50">
        <f t="shared" si="54"/>
        <v>459.98329499999994</v>
      </c>
      <c r="H764" s="8">
        <f t="shared" si="53"/>
        <v>6.5989999999999993E-2</v>
      </c>
      <c r="I764" s="45">
        <f t="shared" si="56"/>
        <v>6.5989999999999993E-2</v>
      </c>
    </row>
    <row r="765" spans="1:9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40">
        <f t="shared" si="55"/>
        <v>7328.65</v>
      </c>
      <c r="G765" s="50">
        <f t="shared" si="54"/>
        <v>483.61761349999995</v>
      </c>
      <c r="H765" s="8">
        <f t="shared" si="53"/>
        <v>6.5989999999999993E-2</v>
      </c>
      <c r="I765" s="45">
        <f t="shared" si="56"/>
        <v>6.5989999999999993E-2</v>
      </c>
    </row>
    <row r="766" spans="1:9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40">
        <f t="shared" si="55"/>
        <v>6535.5999999999995</v>
      </c>
      <c r="G766" s="50">
        <f t="shared" si="54"/>
        <v>431.28424399999994</v>
      </c>
      <c r="H766" s="8">
        <f t="shared" si="53"/>
        <v>6.5989999999999993E-2</v>
      </c>
      <c r="I766" s="45">
        <f t="shared" si="56"/>
        <v>6.5989999999999993E-2</v>
      </c>
    </row>
    <row r="767" spans="1:9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40">
        <f t="shared" si="55"/>
        <v>11062.33</v>
      </c>
      <c r="G767" s="50">
        <f t="shared" si="54"/>
        <v>730.00315669999986</v>
      </c>
      <c r="H767" s="8">
        <f t="shared" si="53"/>
        <v>6.5989999999999993E-2</v>
      </c>
      <c r="I767" s="45">
        <f t="shared" si="56"/>
        <v>6.5989999999999993E-2</v>
      </c>
    </row>
    <row r="768" spans="1:9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40">
        <f t="shared" si="55"/>
        <v>8492.94</v>
      </c>
      <c r="G768" s="50">
        <f t="shared" si="54"/>
        <v>560.44911059999993</v>
      </c>
      <c r="H768" s="8">
        <f t="shared" si="53"/>
        <v>6.5989999999999993E-2</v>
      </c>
      <c r="I768" s="45">
        <f t="shared" si="56"/>
        <v>6.5989999999999993E-2</v>
      </c>
    </row>
    <row r="769" spans="1:9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40">
        <f t="shared" si="55"/>
        <v>3876.37</v>
      </c>
      <c r="G769" s="50">
        <f t="shared" si="54"/>
        <v>255.80165629999996</v>
      </c>
      <c r="H769" s="8">
        <f t="shared" si="53"/>
        <v>6.5989999999999993E-2</v>
      </c>
      <c r="I769" s="45">
        <f t="shared" si="56"/>
        <v>6.5989999999999993E-2</v>
      </c>
    </row>
    <row r="770" spans="1:9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40">
        <f t="shared" si="55"/>
        <v>5695.76</v>
      </c>
      <c r="G770" s="50">
        <f t="shared" si="54"/>
        <v>375.86320239999998</v>
      </c>
      <c r="H770" s="8">
        <f t="shared" si="53"/>
        <v>6.5989999999999993E-2</v>
      </c>
      <c r="I770" s="45">
        <f t="shared" si="56"/>
        <v>6.5989999999999993E-2</v>
      </c>
    </row>
    <row r="771" spans="1:9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40">
        <f t="shared" si="55"/>
        <v>5815.2</v>
      </c>
      <c r="G771" s="50">
        <f t="shared" si="54"/>
        <v>383.74504799999994</v>
      </c>
      <c r="H771" s="8">
        <f t="shared" si="53"/>
        <v>6.5989999999999993E-2</v>
      </c>
      <c r="I771" s="45">
        <f t="shared" si="56"/>
        <v>6.5989999999999993E-2</v>
      </c>
    </row>
    <row r="772" spans="1:9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40">
        <f t="shared" si="55"/>
        <v>5690.31</v>
      </c>
      <c r="G772" s="50">
        <f t="shared" si="54"/>
        <v>375.50355689999998</v>
      </c>
      <c r="H772" s="8">
        <f t="shared" si="53"/>
        <v>6.5989999999999993E-2</v>
      </c>
      <c r="I772" s="45">
        <f t="shared" si="56"/>
        <v>6.5989999999999993E-2</v>
      </c>
    </row>
    <row r="773" spans="1:9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40">
        <f t="shared" si="55"/>
        <v>3955.02</v>
      </c>
      <c r="G773" s="50">
        <f t="shared" si="54"/>
        <v>260.99176979999999</v>
      </c>
      <c r="H773" s="8">
        <f t="shared" si="53"/>
        <v>6.5989999999999993E-2</v>
      </c>
      <c r="I773" s="45">
        <f t="shared" si="56"/>
        <v>6.5989999999999993E-2</v>
      </c>
    </row>
    <row r="774" spans="1:9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40">
        <f t="shared" si="55"/>
        <v>3905.27</v>
      </c>
      <c r="G774" s="50">
        <f t="shared" si="54"/>
        <v>257.70876729999998</v>
      </c>
      <c r="H774" s="8">
        <f t="shared" si="53"/>
        <v>6.5989999999999993E-2</v>
      </c>
      <c r="I774" s="45">
        <f t="shared" si="56"/>
        <v>6.5989999999999993E-2</v>
      </c>
    </row>
    <row r="775" spans="1:9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40">
        <f t="shared" si="55"/>
        <v>4859.2700000000004</v>
      </c>
      <c r="G775" s="50">
        <f t="shared" si="54"/>
        <v>320.66322730000002</v>
      </c>
      <c r="H775" s="8">
        <f t="shared" si="53"/>
        <v>6.5989999999999993E-2</v>
      </c>
      <c r="I775" s="45">
        <f t="shared" si="56"/>
        <v>6.5989999999999993E-2</v>
      </c>
    </row>
    <row r="776" spans="1:9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40">
        <f t="shared" si="55"/>
        <v>4953.4199999999992</v>
      </c>
      <c r="G776" s="50">
        <f t="shared" si="54"/>
        <v>326.87618579999992</v>
      </c>
      <c r="H776" s="8">
        <f t="shared" si="53"/>
        <v>6.5989999999999993E-2</v>
      </c>
      <c r="I776" s="45">
        <f t="shared" si="56"/>
        <v>6.5989999999999993E-2</v>
      </c>
    </row>
    <row r="777" spans="1:9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40">
        <f t="shared" si="55"/>
        <v>10932.24</v>
      </c>
      <c r="G777" s="50">
        <f t="shared" si="54"/>
        <v>721.41851759999986</v>
      </c>
      <c r="H777" s="8">
        <f t="shared" si="53"/>
        <v>6.5989999999999993E-2</v>
      </c>
      <c r="I777" s="45">
        <f t="shared" si="56"/>
        <v>6.5989999999999993E-2</v>
      </c>
    </row>
    <row r="778" spans="1:9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40">
        <f t="shared" si="55"/>
        <v>4713.08</v>
      </c>
      <c r="G778" s="50">
        <f t="shared" si="54"/>
        <v>311.01614919999997</v>
      </c>
      <c r="H778" s="8">
        <f t="shared" si="53"/>
        <v>6.5989999999999993E-2</v>
      </c>
      <c r="I778" s="45">
        <f t="shared" si="56"/>
        <v>6.5989999999999993E-2</v>
      </c>
    </row>
    <row r="779" spans="1:9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40">
        <f t="shared" si="55"/>
        <v>4688.58</v>
      </c>
      <c r="G779" s="50">
        <f t="shared" si="54"/>
        <v>309.39939419999996</v>
      </c>
      <c r="H779" s="8">
        <f t="shared" si="53"/>
        <v>6.5989999999999993E-2</v>
      </c>
      <c r="I779" s="45">
        <f t="shared" si="56"/>
        <v>6.5989999999999993E-2</v>
      </c>
    </row>
    <row r="780" spans="1:9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40">
        <f t="shared" si="55"/>
        <v>2330.62</v>
      </c>
      <c r="G780" s="50">
        <f t="shared" si="54"/>
        <v>153.79761379999997</v>
      </c>
      <c r="H780" s="8">
        <f t="shared" si="53"/>
        <v>6.5989999999999993E-2</v>
      </c>
      <c r="I780" s="45">
        <f t="shared" si="56"/>
        <v>6.5989999999999993E-2</v>
      </c>
    </row>
    <row r="781" spans="1:9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40">
        <f t="shared" si="55"/>
        <v>2305.7800000000002</v>
      </c>
      <c r="G781" s="50">
        <f t="shared" si="54"/>
        <v>152.15842219999999</v>
      </c>
      <c r="H781" s="8">
        <f t="shared" si="53"/>
        <v>6.5989999999999993E-2</v>
      </c>
      <c r="I781" s="45">
        <f t="shared" si="56"/>
        <v>6.5989999999999993E-2</v>
      </c>
    </row>
    <row r="782" spans="1:9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40">
        <f t="shared" si="55"/>
        <v>2216.46</v>
      </c>
      <c r="G782" s="50">
        <f t="shared" si="54"/>
        <v>146.26419539999998</v>
      </c>
      <c r="H782" s="8">
        <f t="shared" si="53"/>
        <v>6.5989999999999993E-2</v>
      </c>
      <c r="I782" s="45">
        <f t="shared" si="56"/>
        <v>6.5989999999999993E-2</v>
      </c>
    </row>
    <row r="783" spans="1:9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40">
        <f t="shared" si="55"/>
        <v>5853.7699999999995</v>
      </c>
      <c r="G783" s="50">
        <f t="shared" si="54"/>
        <v>386.29028229999994</v>
      </c>
      <c r="H783" s="8">
        <f t="shared" si="53"/>
        <v>6.5989999999999993E-2</v>
      </c>
      <c r="I783" s="45">
        <f t="shared" si="56"/>
        <v>6.5989999999999993E-2</v>
      </c>
    </row>
    <row r="784" spans="1:9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40">
        <f t="shared" si="55"/>
        <v>5132.7700000000004</v>
      </c>
      <c r="G784" s="50">
        <f t="shared" si="54"/>
        <v>338.71149229999997</v>
      </c>
      <c r="H784" s="8">
        <f t="shared" si="53"/>
        <v>6.5989999999999993E-2</v>
      </c>
      <c r="I784" s="45">
        <f t="shared" si="56"/>
        <v>6.5989999999999993E-2</v>
      </c>
    </row>
    <row r="785" spans="1:9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40">
        <f t="shared" si="55"/>
        <v>4658.3100000000004</v>
      </c>
      <c r="G785" s="50">
        <f t="shared" si="54"/>
        <v>307.40187689999999</v>
      </c>
      <c r="H785" s="8">
        <f t="shared" si="53"/>
        <v>6.5989999999999993E-2</v>
      </c>
      <c r="I785" s="45">
        <f t="shared" si="56"/>
        <v>6.5989999999999993E-2</v>
      </c>
    </row>
    <row r="786" spans="1:9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40">
        <f t="shared" si="55"/>
        <v>4519.6099999999997</v>
      </c>
      <c r="G786" s="50">
        <f t="shared" si="54"/>
        <v>298.24906389999995</v>
      </c>
      <c r="H786" s="8">
        <f t="shared" si="53"/>
        <v>6.5989999999999993E-2</v>
      </c>
      <c r="I786" s="45">
        <f t="shared" si="56"/>
        <v>6.5989999999999993E-2</v>
      </c>
    </row>
    <row r="787" spans="1:9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40">
        <f t="shared" si="55"/>
        <v>7164.75</v>
      </c>
      <c r="G787" s="50">
        <f t="shared" si="54"/>
        <v>472.80185249999994</v>
      </c>
      <c r="H787" s="8">
        <f t="shared" si="53"/>
        <v>6.5989999999999993E-2</v>
      </c>
      <c r="I787" s="45">
        <f t="shared" si="56"/>
        <v>6.5989999999999993E-2</v>
      </c>
    </row>
    <row r="788" spans="1:9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40">
        <f t="shared" si="55"/>
        <v>4422.5</v>
      </c>
      <c r="G788" s="50">
        <f t="shared" si="54"/>
        <v>291.84077499999995</v>
      </c>
      <c r="H788" s="8">
        <f t="shared" si="53"/>
        <v>6.5989999999999993E-2</v>
      </c>
      <c r="I788" s="45">
        <f t="shared" si="56"/>
        <v>6.5989999999999993E-2</v>
      </c>
    </row>
    <row r="789" spans="1:9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40">
        <f t="shared" si="55"/>
        <v>9048.7900000000009</v>
      </c>
      <c r="G789" s="50">
        <f t="shared" si="54"/>
        <v>597.12965210000004</v>
      </c>
      <c r="H789" s="8">
        <f t="shared" si="53"/>
        <v>6.5989999999999993E-2</v>
      </c>
      <c r="I789" s="45">
        <f t="shared" si="56"/>
        <v>6.5989999999999993E-2</v>
      </c>
    </row>
    <row r="790" spans="1:9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40">
        <f t="shared" si="55"/>
        <v>4583.33</v>
      </c>
      <c r="G790" s="50">
        <f t="shared" si="54"/>
        <v>302.45394669999996</v>
      </c>
      <c r="H790" s="8">
        <f t="shared" si="53"/>
        <v>6.5989999999999993E-2</v>
      </c>
      <c r="I790" s="45">
        <f t="shared" si="56"/>
        <v>6.5989999999999993E-2</v>
      </c>
    </row>
    <row r="791" spans="1:9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40">
        <f t="shared" si="55"/>
        <v>2213.66</v>
      </c>
      <c r="G791" s="50">
        <f>SUM(F791*H791)</f>
        <v>146.07942339999997</v>
      </c>
      <c r="H791" s="8">
        <f t="shared" si="53"/>
        <v>6.5989999999999993E-2</v>
      </c>
      <c r="I791" s="45">
        <f t="shared" si="56"/>
        <v>6.5989999999999993E-2</v>
      </c>
    </row>
    <row r="792" spans="1:9" s="6" customFormat="1" ht="15.75">
      <c r="A792" s="8">
        <v>44</v>
      </c>
      <c r="B792" s="8" t="s">
        <v>388</v>
      </c>
      <c r="C792" s="32">
        <v>41.2</v>
      </c>
      <c r="D792" s="55"/>
      <c r="E792" s="55"/>
      <c r="F792" s="40">
        <f t="shared" si="55"/>
        <v>41.2</v>
      </c>
      <c r="G792" s="50">
        <f>SUM(F792*H792)</f>
        <v>2.718788</v>
      </c>
      <c r="H792" s="8">
        <f t="shared" si="53"/>
        <v>6.5989999999999993E-2</v>
      </c>
      <c r="I792" s="45">
        <f t="shared" si="56"/>
        <v>6.5989999999999993E-2</v>
      </c>
    </row>
    <row r="793" spans="1:9" s="6" customFormat="1" ht="15.75">
      <c r="A793" s="8">
        <v>45</v>
      </c>
      <c r="B793" s="8" t="s">
        <v>389</v>
      </c>
      <c r="C793" s="32">
        <v>21</v>
      </c>
      <c r="D793" s="55"/>
      <c r="E793" s="55"/>
      <c r="F793" s="40">
        <f t="shared" si="55"/>
        <v>21</v>
      </c>
      <c r="G793" s="50">
        <f>SUM(F793*H793)</f>
        <v>1.3857899999999999</v>
      </c>
      <c r="H793" s="8">
        <f t="shared" si="53"/>
        <v>6.5989999999999993E-2</v>
      </c>
      <c r="I793" s="45">
        <f t="shared" si="56"/>
        <v>6.5989999999999993E-2</v>
      </c>
    </row>
    <row r="794" spans="1:9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40">
        <f t="shared" si="55"/>
        <v>113.2</v>
      </c>
      <c r="G794" s="50">
        <f t="shared" si="54"/>
        <v>7.4700679999999995</v>
      </c>
      <c r="H794" s="8">
        <f t="shared" si="53"/>
        <v>6.5989999999999993E-2</v>
      </c>
      <c r="I794" s="45">
        <f t="shared" si="56"/>
        <v>6.5989999999999993E-2</v>
      </c>
    </row>
    <row r="795" spans="1:9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40">
        <f t="shared" si="55"/>
        <v>149.19999999999999</v>
      </c>
      <c r="G795" s="50">
        <f t="shared" si="54"/>
        <v>9.8457079999999983</v>
      </c>
      <c r="H795" s="8">
        <f t="shared" si="53"/>
        <v>6.5989999999999993E-2</v>
      </c>
      <c r="I795" s="45">
        <f t="shared" si="56"/>
        <v>6.5989999999999993E-2</v>
      </c>
    </row>
    <row r="796" spans="1:9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40">
        <f t="shared" si="55"/>
        <v>685</v>
      </c>
      <c r="G796" s="50">
        <f t="shared" si="54"/>
        <v>45.203149999999994</v>
      </c>
      <c r="H796" s="8">
        <f t="shared" ref="H796:H859" si="57">0.06599</f>
        <v>6.5989999999999993E-2</v>
      </c>
      <c r="I796" s="45">
        <f t="shared" si="56"/>
        <v>6.5989999999999993E-2</v>
      </c>
    </row>
    <row r="797" spans="1:9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40">
        <f t="shared" si="55"/>
        <v>480.56</v>
      </c>
      <c r="G797" s="50">
        <f t="shared" si="54"/>
        <v>31.712154399999996</v>
      </c>
      <c r="H797" s="8">
        <f t="shared" si="57"/>
        <v>6.5989999999999993E-2</v>
      </c>
      <c r="I797" s="45">
        <f t="shared" si="56"/>
        <v>6.5989999999999993E-2</v>
      </c>
    </row>
    <row r="798" spans="1:9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40">
        <f t="shared" si="55"/>
        <v>514.09</v>
      </c>
      <c r="G798" s="50">
        <f t="shared" si="54"/>
        <v>33.924799100000001</v>
      </c>
      <c r="H798" s="8">
        <f t="shared" si="57"/>
        <v>6.5989999999999993E-2</v>
      </c>
      <c r="I798" s="45">
        <f t="shared" si="56"/>
        <v>6.5989999999999993E-2</v>
      </c>
    </row>
    <row r="799" spans="1:9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40">
        <f t="shared" si="55"/>
        <v>550.09999999999991</v>
      </c>
      <c r="G799" s="50">
        <f t="shared" si="54"/>
        <v>36.301098999999994</v>
      </c>
      <c r="H799" s="8">
        <f t="shared" si="57"/>
        <v>6.5989999999999993E-2</v>
      </c>
      <c r="I799" s="45">
        <f t="shared" si="56"/>
        <v>6.5989999999999993E-2</v>
      </c>
    </row>
    <row r="800" spans="1:9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40">
        <f t="shared" si="55"/>
        <v>1211.25</v>
      </c>
      <c r="G800" s="50">
        <f t="shared" si="54"/>
        <v>79.930387499999995</v>
      </c>
      <c r="H800" s="8">
        <f t="shared" si="57"/>
        <v>6.5989999999999993E-2</v>
      </c>
      <c r="I800" s="45">
        <f t="shared" si="56"/>
        <v>6.5989999999999993E-2</v>
      </c>
    </row>
    <row r="801" spans="1:9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40">
        <f t="shared" si="55"/>
        <v>337.37</v>
      </c>
      <c r="G801" s="50">
        <f t="shared" si="54"/>
        <v>22.263046299999999</v>
      </c>
      <c r="H801" s="8">
        <f t="shared" si="57"/>
        <v>6.5989999999999993E-2</v>
      </c>
      <c r="I801" s="45">
        <f t="shared" si="56"/>
        <v>6.5989999999999993E-2</v>
      </c>
    </row>
    <row r="802" spans="1:9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40">
        <f t="shared" si="55"/>
        <v>238.68</v>
      </c>
      <c r="G802" s="50">
        <f t="shared" si="54"/>
        <v>15.750493199999999</v>
      </c>
      <c r="H802" s="8">
        <f t="shared" si="57"/>
        <v>6.5989999999999993E-2</v>
      </c>
      <c r="I802" s="45">
        <f t="shared" si="56"/>
        <v>6.5989999999999993E-2</v>
      </c>
    </row>
    <row r="803" spans="1:9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40">
        <f t="shared" si="55"/>
        <v>741.27</v>
      </c>
      <c r="G803" s="50">
        <f t="shared" si="54"/>
        <v>48.916407299999996</v>
      </c>
      <c r="H803" s="8">
        <f t="shared" si="57"/>
        <v>6.5989999999999993E-2</v>
      </c>
      <c r="I803" s="45">
        <f t="shared" si="56"/>
        <v>6.5989999999999993E-2</v>
      </c>
    </row>
    <row r="804" spans="1:9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40">
        <f t="shared" si="55"/>
        <v>733.6</v>
      </c>
      <c r="G804" s="50">
        <f t="shared" si="54"/>
        <v>48.410263999999998</v>
      </c>
      <c r="H804" s="8">
        <f t="shared" si="57"/>
        <v>6.5989999999999993E-2</v>
      </c>
      <c r="I804" s="45">
        <f t="shared" si="56"/>
        <v>6.5989999999999993E-2</v>
      </c>
    </row>
    <row r="805" spans="1:9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40">
        <f t="shared" si="55"/>
        <v>220.5</v>
      </c>
      <c r="G805" s="50">
        <f t="shared" si="54"/>
        <v>14.550794999999999</v>
      </c>
      <c r="H805" s="8">
        <f t="shared" si="57"/>
        <v>6.5989999999999993E-2</v>
      </c>
      <c r="I805" s="45">
        <f t="shared" si="56"/>
        <v>6.5989999999999993E-2</v>
      </c>
    </row>
    <row r="806" spans="1:9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40">
        <f t="shared" si="55"/>
        <v>330.61</v>
      </c>
      <c r="G806" s="50">
        <f t="shared" si="54"/>
        <v>21.816953899999998</v>
      </c>
      <c r="H806" s="8">
        <f t="shared" si="57"/>
        <v>6.5989999999999993E-2</v>
      </c>
      <c r="I806" s="45">
        <f t="shared" si="56"/>
        <v>6.5989999999999993E-2</v>
      </c>
    </row>
    <row r="807" spans="1:9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40">
        <f t="shared" si="55"/>
        <v>1037.5</v>
      </c>
      <c r="G807" s="50">
        <f t="shared" si="54"/>
        <v>68.464624999999998</v>
      </c>
      <c r="H807" s="8">
        <f t="shared" si="57"/>
        <v>6.5989999999999993E-2</v>
      </c>
      <c r="I807" s="45">
        <f t="shared" si="56"/>
        <v>6.5989999999999993E-2</v>
      </c>
    </row>
    <row r="808" spans="1:9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40">
        <f t="shared" si="55"/>
        <v>230.10000000000002</v>
      </c>
      <c r="G808" s="50">
        <f t="shared" si="54"/>
        <v>15.184298999999999</v>
      </c>
      <c r="H808" s="8">
        <f t="shared" si="57"/>
        <v>6.5989999999999993E-2</v>
      </c>
      <c r="I808" s="45">
        <f t="shared" si="56"/>
        <v>6.5989999999999993E-2</v>
      </c>
    </row>
    <row r="809" spans="1:9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40">
        <f t="shared" si="55"/>
        <v>1331.77</v>
      </c>
      <c r="G809" s="50">
        <f t="shared" si="54"/>
        <v>87.883502299999989</v>
      </c>
      <c r="H809" s="8">
        <f t="shared" si="57"/>
        <v>6.5989999999999993E-2</v>
      </c>
      <c r="I809" s="45">
        <f t="shared" si="56"/>
        <v>6.5989999999999993E-2</v>
      </c>
    </row>
    <row r="810" spans="1:9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40">
        <f t="shared" si="55"/>
        <v>483.9</v>
      </c>
      <c r="G810" s="50">
        <f t="shared" ref="G810:G870" si="58">SUM(F810*H810)</f>
        <v>31.932560999999996</v>
      </c>
      <c r="H810" s="8">
        <f t="shared" si="57"/>
        <v>6.5989999999999993E-2</v>
      </c>
      <c r="I810" s="45">
        <f t="shared" si="56"/>
        <v>6.5989999999999993E-2</v>
      </c>
    </row>
    <row r="811" spans="1:9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40">
        <f t="shared" si="55"/>
        <v>665.8</v>
      </c>
      <c r="G811" s="50">
        <f t="shared" si="58"/>
        <v>43.93614199999999</v>
      </c>
      <c r="H811" s="8">
        <f t="shared" si="57"/>
        <v>6.5989999999999993E-2</v>
      </c>
      <c r="I811" s="45">
        <f t="shared" si="56"/>
        <v>6.5989999999999993E-2</v>
      </c>
    </row>
    <row r="812" spans="1:9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40">
        <f t="shared" ref="F812:F874" si="59">C812+D812+E812</f>
        <v>59.2</v>
      </c>
      <c r="G812" s="50">
        <f t="shared" si="58"/>
        <v>3.9066079999999999</v>
      </c>
      <c r="H812" s="8">
        <f t="shared" si="57"/>
        <v>6.5989999999999993E-2</v>
      </c>
      <c r="I812" s="45">
        <f t="shared" ref="I812:I873" si="60">SUM(G812/F812)</f>
        <v>6.5989999999999993E-2</v>
      </c>
    </row>
    <row r="813" spans="1:9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40">
        <f t="shared" si="59"/>
        <v>421.78</v>
      </c>
      <c r="G813" s="50">
        <f t="shared" si="58"/>
        <v>27.833262199999997</v>
      </c>
      <c r="H813" s="8">
        <f t="shared" si="57"/>
        <v>6.5989999999999993E-2</v>
      </c>
      <c r="I813" s="45">
        <f t="shared" si="60"/>
        <v>6.5989999999999993E-2</v>
      </c>
    </row>
    <row r="814" spans="1:9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40">
        <f t="shared" si="59"/>
        <v>212.60000000000002</v>
      </c>
      <c r="G814" s="50">
        <f t="shared" si="58"/>
        <v>14.029474</v>
      </c>
      <c r="H814" s="8">
        <f t="shared" si="57"/>
        <v>6.5989999999999993E-2</v>
      </c>
      <c r="I814" s="45">
        <f t="shared" si="60"/>
        <v>6.5989999999999993E-2</v>
      </c>
    </row>
    <row r="815" spans="1:9" s="6" customFormat="1" ht="15.75">
      <c r="A815" s="8">
        <v>68</v>
      </c>
      <c r="B815" s="8" t="s">
        <v>827</v>
      </c>
      <c r="C815" s="8">
        <v>205.2</v>
      </c>
      <c r="D815" s="55"/>
      <c r="E815" s="55"/>
      <c r="F815" s="40">
        <f t="shared" si="59"/>
        <v>205.2</v>
      </c>
      <c r="G815" s="50">
        <f t="shared" si="58"/>
        <v>13.541147999999998</v>
      </c>
      <c r="H815" s="8">
        <f t="shared" si="57"/>
        <v>6.5989999999999993E-2</v>
      </c>
      <c r="I815" s="45">
        <f t="shared" si="60"/>
        <v>6.5989999999999993E-2</v>
      </c>
    </row>
    <row r="816" spans="1:9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40">
        <f t="shared" si="59"/>
        <v>177.45</v>
      </c>
      <c r="G816" s="50">
        <f t="shared" si="58"/>
        <v>11.709925499999999</v>
      </c>
      <c r="H816" s="8">
        <f t="shared" si="57"/>
        <v>6.5989999999999993E-2</v>
      </c>
      <c r="I816" s="45">
        <f t="shared" si="60"/>
        <v>6.5989999999999993E-2</v>
      </c>
    </row>
    <row r="817" spans="1:9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40">
        <f t="shared" si="59"/>
        <v>200</v>
      </c>
      <c r="G817" s="50">
        <f t="shared" si="58"/>
        <v>13.197999999999999</v>
      </c>
      <c r="H817" s="8">
        <f t="shared" si="57"/>
        <v>6.5989999999999993E-2</v>
      </c>
      <c r="I817" s="45">
        <f t="shared" si="60"/>
        <v>6.5989999999999993E-2</v>
      </c>
    </row>
    <row r="818" spans="1:9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40">
        <f t="shared" si="59"/>
        <v>542.18000000000006</v>
      </c>
      <c r="G818" s="50">
        <f t="shared" si="58"/>
        <v>35.778458200000003</v>
      </c>
      <c r="H818" s="8">
        <f t="shared" si="57"/>
        <v>6.5989999999999993E-2</v>
      </c>
      <c r="I818" s="45">
        <f t="shared" si="60"/>
        <v>6.5989999999999993E-2</v>
      </c>
    </row>
    <row r="819" spans="1:9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40">
        <f t="shared" si="59"/>
        <v>204.3</v>
      </c>
      <c r="G819" s="50">
        <f t="shared" si="58"/>
        <v>13.481757</v>
      </c>
      <c r="H819" s="8">
        <f t="shared" si="57"/>
        <v>6.5989999999999993E-2</v>
      </c>
      <c r="I819" s="45">
        <f t="shared" si="60"/>
        <v>6.5989999999999993E-2</v>
      </c>
    </row>
    <row r="820" spans="1:9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40">
        <f t="shared" si="59"/>
        <v>306.39999999999998</v>
      </c>
      <c r="G820" s="50">
        <f t="shared" si="58"/>
        <v>20.219335999999995</v>
      </c>
      <c r="H820" s="8">
        <f t="shared" si="57"/>
        <v>6.5989999999999993E-2</v>
      </c>
      <c r="I820" s="45">
        <f t="shared" si="60"/>
        <v>6.5989999999999993E-2</v>
      </c>
    </row>
    <row r="821" spans="1:9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40">
        <f t="shared" si="59"/>
        <v>301.42</v>
      </c>
      <c r="G821" s="50">
        <f t="shared" si="58"/>
        <v>19.890705799999999</v>
      </c>
      <c r="H821" s="8">
        <f t="shared" si="57"/>
        <v>6.5989999999999993E-2</v>
      </c>
      <c r="I821" s="45">
        <f t="shared" si="60"/>
        <v>6.5989999999999993E-2</v>
      </c>
    </row>
    <row r="822" spans="1:9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40">
        <f t="shared" si="59"/>
        <v>394.72</v>
      </c>
      <c r="G822" s="50">
        <f t="shared" si="58"/>
        <v>26.047572799999998</v>
      </c>
      <c r="H822" s="8">
        <f t="shared" si="57"/>
        <v>6.5989999999999993E-2</v>
      </c>
      <c r="I822" s="45">
        <f t="shared" si="60"/>
        <v>6.5989999999999993E-2</v>
      </c>
    </row>
    <row r="823" spans="1:9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40">
        <f t="shared" si="59"/>
        <v>680.89</v>
      </c>
      <c r="G823" s="50">
        <f t="shared" si="58"/>
        <v>44.931931099999993</v>
      </c>
      <c r="H823" s="8">
        <f t="shared" si="57"/>
        <v>6.5989999999999993E-2</v>
      </c>
      <c r="I823" s="45">
        <f t="shared" si="60"/>
        <v>6.5989999999999993E-2</v>
      </c>
    </row>
    <row r="824" spans="1:9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40">
        <f t="shared" si="59"/>
        <v>581.98</v>
      </c>
      <c r="G824" s="50">
        <f t="shared" si="58"/>
        <v>38.404860199999995</v>
      </c>
      <c r="H824" s="8">
        <f t="shared" si="57"/>
        <v>6.5989999999999993E-2</v>
      </c>
      <c r="I824" s="45">
        <f t="shared" si="60"/>
        <v>6.5989999999999993E-2</v>
      </c>
    </row>
    <row r="825" spans="1:9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40">
        <f t="shared" si="59"/>
        <v>260.39999999999998</v>
      </c>
      <c r="G825" s="50">
        <f t="shared" si="58"/>
        <v>17.183795999999997</v>
      </c>
      <c r="H825" s="8">
        <f t="shared" si="57"/>
        <v>6.5989999999999993E-2</v>
      </c>
      <c r="I825" s="45">
        <f t="shared" si="60"/>
        <v>6.5989999999999993E-2</v>
      </c>
    </row>
    <row r="826" spans="1:9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40">
        <f t="shared" si="59"/>
        <v>135.71</v>
      </c>
      <c r="G826" s="50">
        <f t="shared" si="58"/>
        <v>8.955502899999999</v>
      </c>
      <c r="H826" s="8">
        <f t="shared" si="57"/>
        <v>6.5989999999999993E-2</v>
      </c>
      <c r="I826" s="45">
        <f t="shared" si="60"/>
        <v>6.5989999999999993E-2</v>
      </c>
    </row>
    <row r="827" spans="1:9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40">
        <f t="shared" si="59"/>
        <v>201.8</v>
      </c>
      <c r="G827" s="50">
        <f t="shared" si="58"/>
        <v>13.316782</v>
      </c>
      <c r="H827" s="8">
        <f t="shared" si="57"/>
        <v>6.5989999999999993E-2</v>
      </c>
      <c r="I827" s="45">
        <f t="shared" si="60"/>
        <v>6.5989999999999993E-2</v>
      </c>
    </row>
    <row r="828" spans="1:9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40">
        <f t="shared" si="59"/>
        <v>1437.1</v>
      </c>
      <c r="G828" s="50">
        <f t="shared" si="58"/>
        <v>94.834228999999979</v>
      </c>
      <c r="H828" s="8">
        <f t="shared" si="57"/>
        <v>6.5989999999999993E-2</v>
      </c>
      <c r="I828" s="45">
        <f t="shared" si="60"/>
        <v>6.5989999999999993E-2</v>
      </c>
    </row>
    <row r="829" spans="1:9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40">
        <f t="shared" si="59"/>
        <v>213.86</v>
      </c>
      <c r="G829" s="50">
        <f t="shared" si="58"/>
        <v>14.1126214</v>
      </c>
      <c r="H829" s="8">
        <f t="shared" si="57"/>
        <v>6.5989999999999993E-2</v>
      </c>
      <c r="I829" s="45">
        <f t="shared" si="60"/>
        <v>6.5989999999999993E-2</v>
      </c>
    </row>
    <row r="830" spans="1:9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40">
        <f t="shared" si="59"/>
        <v>397.89</v>
      </c>
      <c r="G830" s="50">
        <f t="shared" si="58"/>
        <v>26.256761099999995</v>
      </c>
      <c r="H830" s="8">
        <f t="shared" si="57"/>
        <v>6.5989999999999993E-2</v>
      </c>
      <c r="I830" s="45">
        <f t="shared" si="60"/>
        <v>6.5989999999999993E-2</v>
      </c>
    </row>
    <row r="831" spans="1:9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40">
        <f t="shared" si="59"/>
        <v>352.17</v>
      </c>
      <c r="G831" s="50">
        <f t="shared" si="58"/>
        <v>23.239698299999997</v>
      </c>
      <c r="H831" s="8">
        <f t="shared" si="57"/>
        <v>6.5989999999999993E-2</v>
      </c>
      <c r="I831" s="45">
        <f t="shared" si="60"/>
        <v>6.5989999999999993E-2</v>
      </c>
    </row>
    <row r="832" spans="1:9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40">
        <f t="shared" si="59"/>
        <v>653.07000000000005</v>
      </c>
      <c r="G832" s="50">
        <f t="shared" si="58"/>
        <v>43.096089299999996</v>
      </c>
      <c r="H832" s="8">
        <f t="shared" si="57"/>
        <v>6.5989999999999993E-2</v>
      </c>
      <c r="I832" s="45">
        <f t="shared" si="60"/>
        <v>6.5989999999999993E-2</v>
      </c>
    </row>
    <row r="833" spans="1:9" s="6" customFormat="1" ht="15.75">
      <c r="A833" s="8">
        <v>87</v>
      </c>
      <c r="B833" s="8" t="s">
        <v>916</v>
      </c>
      <c r="C833" s="8">
        <v>786.94</v>
      </c>
      <c r="D833" s="55"/>
      <c r="E833" s="55"/>
      <c r="F833" s="40">
        <f t="shared" si="59"/>
        <v>786.94</v>
      </c>
      <c r="G833" s="50">
        <f t="shared" si="58"/>
        <v>51.930170599999997</v>
      </c>
      <c r="H833" s="8">
        <f t="shared" si="57"/>
        <v>6.5989999999999993E-2</v>
      </c>
      <c r="I833" s="45">
        <f t="shared" si="60"/>
        <v>6.5989999999999993E-2</v>
      </c>
    </row>
    <row r="834" spans="1:9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40">
        <f t="shared" si="59"/>
        <v>3342.78</v>
      </c>
      <c r="G834" s="50">
        <f t="shared" si="58"/>
        <v>220.5900522</v>
      </c>
      <c r="H834" s="8">
        <f t="shared" si="57"/>
        <v>6.5989999999999993E-2</v>
      </c>
      <c r="I834" s="45">
        <f t="shared" si="60"/>
        <v>6.5989999999999993E-2</v>
      </c>
    </row>
    <row r="835" spans="1:9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40">
        <f t="shared" si="59"/>
        <v>139.80000000000001</v>
      </c>
      <c r="G835" s="50">
        <f t="shared" si="58"/>
        <v>9.225401999999999</v>
      </c>
      <c r="H835" s="8">
        <f t="shared" si="57"/>
        <v>6.5989999999999993E-2</v>
      </c>
      <c r="I835" s="45">
        <f t="shared" si="60"/>
        <v>6.5989999999999993E-2</v>
      </c>
    </row>
    <row r="836" spans="1:9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40">
        <f t="shared" si="59"/>
        <v>3135.2999999999997</v>
      </c>
      <c r="G836" s="50">
        <f t="shared" si="58"/>
        <v>206.89844699999995</v>
      </c>
      <c r="H836" s="8">
        <f t="shared" si="57"/>
        <v>6.5989999999999993E-2</v>
      </c>
      <c r="I836" s="45">
        <f t="shared" si="60"/>
        <v>6.5989999999999993E-2</v>
      </c>
    </row>
    <row r="837" spans="1:9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40">
        <f t="shared" si="59"/>
        <v>230.5</v>
      </c>
      <c r="G837" s="50">
        <f t="shared" si="58"/>
        <v>15.210694999999998</v>
      </c>
      <c r="H837" s="8">
        <f t="shared" si="57"/>
        <v>6.5989999999999993E-2</v>
      </c>
      <c r="I837" s="45">
        <f t="shared" si="60"/>
        <v>6.5989999999999993E-2</v>
      </c>
    </row>
    <row r="838" spans="1:9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40">
        <f t="shared" si="59"/>
        <v>65.900000000000006</v>
      </c>
      <c r="G838" s="50">
        <f t="shared" si="58"/>
        <v>4.3487409999999995</v>
      </c>
      <c r="H838" s="8">
        <f t="shared" si="57"/>
        <v>6.5989999999999993E-2</v>
      </c>
      <c r="I838" s="45">
        <f t="shared" si="60"/>
        <v>6.5989999999999993E-2</v>
      </c>
    </row>
    <row r="839" spans="1:9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40">
        <f t="shared" si="59"/>
        <v>75.900000000000006</v>
      </c>
      <c r="G839" s="50">
        <f t="shared" si="58"/>
        <v>5.0086409999999999</v>
      </c>
      <c r="H839" s="8">
        <f t="shared" si="57"/>
        <v>6.5989999999999993E-2</v>
      </c>
      <c r="I839" s="45">
        <f t="shared" si="60"/>
        <v>6.5989999999999993E-2</v>
      </c>
    </row>
    <row r="840" spans="1:9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40">
        <f t="shared" si="59"/>
        <v>115.8</v>
      </c>
      <c r="G840" s="50">
        <f t="shared" si="58"/>
        <v>7.6416419999999992</v>
      </c>
      <c r="H840" s="8">
        <f t="shared" si="57"/>
        <v>6.5989999999999993E-2</v>
      </c>
      <c r="I840" s="45">
        <f t="shared" si="60"/>
        <v>6.5989999999999993E-2</v>
      </c>
    </row>
    <row r="841" spans="1:9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40">
        <f t="shared" si="59"/>
        <v>43.6</v>
      </c>
      <c r="G841" s="50">
        <f t="shared" si="58"/>
        <v>2.8771639999999996</v>
      </c>
      <c r="H841" s="8">
        <f t="shared" si="57"/>
        <v>6.5989999999999993E-2</v>
      </c>
      <c r="I841" s="45">
        <f t="shared" si="60"/>
        <v>6.5989999999999993E-2</v>
      </c>
    </row>
    <row r="842" spans="1:9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40">
        <f t="shared" si="59"/>
        <v>229.9</v>
      </c>
      <c r="G842" s="50">
        <f t="shared" si="58"/>
        <v>15.171100999999998</v>
      </c>
      <c r="H842" s="8">
        <f t="shared" si="57"/>
        <v>6.5989999999999993E-2</v>
      </c>
      <c r="I842" s="45">
        <f t="shared" si="60"/>
        <v>6.5989999999999993E-2</v>
      </c>
    </row>
    <row r="843" spans="1:9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40">
        <f t="shared" si="59"/>
        <v>274.3</v>
      </c>
      <c r="G843" s="50">
        <f t="shared" si="58"/>
        <v>18.101056999999997</v>
      </c>
      <c r="H843" s="8">
        <f t="shared" si="57"/>
        <v>6.5989999999999993E-2</v>
      </c>
      <c r="I843" s="45">
        <f t="shared" si="60"/>
        <v>6.5989999999999993E-2</v>
      </c>
    </row>
    <row r="844" spans="1:9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40">
        <f t="shared" si="59"/>
        <v>282</v>
      </c>
      <c r="G844" s="50">
        <f t="shared" si="58"/>
        <v>18.609179999999999</v>
      </c>
      <c r="H844" s="8">
        <f t="shared" si="57"/>
        <v>6.5989999999999993E-2</v>
      </c>
      <c r="I844" s="45">
        <f t="shared" si="60"/>
        <v>6.5989999999999993E-2</v>
      </c>
    </row>
    <row r="845" spans="1:9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40">
        <f t="shared" si="59"/>
        <v>181.2</v>
      </c>
      <c r="G845" s="50">
        <f t="shared" si="58"/>
        <v>11.957387999999998</v>
      </c>
      <c r="H845" s="8">
        <f t="shared" si="57"/>
        <v>6.5989999999999993E-2</v>
      </c>
      <c r="I845" s="45">
        <f t="shared" si="60"/>
        <v>6.5989999999999993E-2</v>
      </c>
    </row>
    <row r="846" spans="1:9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40">
        <f t="shared" si="59"/>
        <v>171</v>
      </c>
      <c r="G846" s="50">
        <f t="shared" si="58"/>
        <v>11.284289999999999</v>
      </c>
      <c r="H846" s="8">
        <f t="shared" si="57"/>
        <v>6.5989999999999993E-2</v>
      </c>
      <c r="I846" s="45">
        <f t="shared" si="60"/>
        <v>6.5989999999999993E-2</v>
      </c>
    </row>
    <row r="847" spans="1:9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40">
        <f t="shared" si="59"/>
        <v>160.5</v>
      </c>
      <c r="G847" s="50">
        <f t="shared" si="58"/>
        <v>10.591394999999999</v>
      </c>
      <c r="H847" s="8">
        <f t="shared" si="57"/>
        <v>6.5989999999999993E-2</v>
      </c>
      <c r="I847" s="45">
        <f t="shared" si="60"/>
        <v>6.5989999999999993E-2</v>
      </c>
    </row>
    <row r="848" spans="1:9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40">
        <f t="shared" si="59"/>
        <v>165.6</v>
      </c>
      <c r="G848" s="50">
        <f t="shared" si="58"/>
        <v>10.927943999999998</v>
      </c>
      <c r="H848" s="8">
        <f t="shared" si="57"/>
        <v>6.5989999999999993E-2</v>
      </c>
      <c r="I848" s="45">
        <f t="shared" si="60"/>
        <v>6.5989999999999993E-2</v>
      </c>
    </row>
    <row r="849" spans="1:9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40">
        <f t="shared" si="59"/>
        <v>158.6</v>
      </c>
      <c r="G849" s="50">
        <f t="shared" si="58"/>
        <v>10.466013999999998</v>
      </c>
      <c r="H849" s="8">
        <f t="shared" si="57"/>
        <v>6.5989999999999993E-2</v>
      </c>
      <c r="I849" s="45">
        <f t="shared" si="60"/>
        <v>6.5989999999999993E-2</v>
      </c>
    </row>
    <row r="850" spans="1:9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40">
        <f t="shared" si="59"/>
        <v>414.61</v>
      </c>
      <c r="G850" s="50">
        <f t="shared" si="58"/>
        <v>27.360113899999998</v>
      </c>
      <c r="H850" s="8">
        <f t="shared" si="57"/>
        <v>6.5989999999999993E-2</v>
      </c>
      <c r="I850" s="45">
        <f t="shared" si="60"/>
        <v>6.5989999999999993E-2</v>
      </c>
    </row>
    <row r="851" spans="1:9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40">
        <f t="shared" si="59"/>
        <v>148.1</v>
      </c>
      <c r="G851" s="50">
        <f t="shared" si="58"/>
        <v>9.7731189999999994</v>
      </c>
      <c r="H851" s="8">
        <f t="shared" si="57"/>
        <v>6.5989999999999993E-2</v>
      </c>
      <c r="I851" s="45">
        <f t="shared" si="60"/>
        <v>6.5989999999999993E-2</v>
      </c>
    </row>
    <row r="852" spans="1:9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40">
        <f t="shared" si="59"/>
        <v>27.8</v>
      </c>
      <c r="G852" s="50">
        <f t="shared" si="58"/>
        <v>1.8345219999999998</v>
      </c>
      <c r="H852" s="8">
        <f t="shared" si="57"/>
        <v>6.5989999999999993E-2</v>
      </c>
      <c r="I852" s="45">
        <f t="shared" si="60"/>
        <v>6.5989999999999993E-2</v>
      </c>
    </row>
    <row r="853" spans="1:9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40">
        <f t="shared" si="59"/>
        <v>140.9</v>
      </c>
      <c r="G853" s="50">
        <f t="shared" si="58"/>
        <v>9.2979909999999997</v>
      </c>
      <c r="H853" s="8">
        <f t="shared" si="57"/>
        <v>6.5989999999999993E-2</v>
      </c>
      <c r="I853" s="45">
        <f t="shared" si="60"/>
        <v>6.5989999999999993E-2</v>
      </c>
    </row>
    <row r="854" spans="1:9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40">
        <f t="shared" si="59"/>
        <v>66.599999999999994</v>
      </c>
      <c r="G854" s="50">
        <f t="shared" si="58"/>
        <v>4.3949339999999992</v>
      </c>
      <c r="H854" s="8">
        <f t="shared" si="57"/>
        <v>6.5989999999999993E-2</v>
      </c>
      <c r="I854" s="45">
        <f t="shared" si="60"/>
        <v>6.5989999999999993E-2</v>
      </c>
    </row>
    <row r="855" spans="1:9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40">
        <f t="shared" si="59"/>
        <v>97.5</v>
      </c>
      <c r="G855" s="50">
        <f t="shared" si="58"/>
        <v>6.4340249999999992</v>
      </c>
      <c r="H855" s="8">
        <f t="shared" si="57"/>
        <v>6.5989999999999993E-2</v>
      </c>
      <c r="I855" s="45">
        <f t="shared" si="60"/>
        <v>6.5989999999999993E-2</v>
      </c>
    </row>
    <row r="856" spans="1:9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40">
        <f t="shared" si="59"/>
        <v>522.6</v>
      </c>
      <c r="G856" s="50">
        <f t="shared" si="58"/>
        <v>34.486373999999998</v>
      </c>
      <c r="H856" s="8">
        <f t="shared" si="57"/>
        <v>6.5989999999999993E-2</v>
      </c>
      <c r="I856" s="45">
        <f t="shared" si="60"/>
        <v>6.5989999999999993E-2</v>
      </c>
    </row>
    <row r="857" spans="1:9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40">
        <f t="shared" si="59"/>
        <v>71.8</v>
      </c>
      <c r="G857" s="50">
        <f t="shared" si="58"/>
        <v>4.7380819999999995</v>
      </c>
      <c r="H857" s="8">
        <f t="shared" si="57"/>
        <v>6.5989999999999993E-2</v>
      </c>
      <c r="I857" s="45">
        <f t="shared" si="60"/>
        <v>6.5989999999999993E-2</v>
      </c>
    </row>
    <row r="858" spans="1:9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40">
        <f t="shared" si="59"/>
        <v>199</v>
      </c>
      <c r="G858" s="50">
        <f t="shared" si="58"/>
        <v>13.132009999999999</v>
      </c>
      <c r="H858" s="8">
        <f t="shared" si="57"/>
        <v>6.5989999999999993E-2</v>
      </c>
      <c r="I858" s="45">
        <f t="shared" si="60"/>
        <v>6.5989999999999993E-2</v>
      </c>
    </row>
    <row r="859" spans="1:9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40">
        <f t="shared" si="59"/>
        <v>128.5</v>
      </c>
      <c r="G859" s="50">
        <f t="shared" si="58"/>
        <v>8.4797149999999988</v>
      </c>
      <c r="H859" s="8">
        <f t="shared" si="57"/>
        <v>6.5989999999999993E-2</v>
      </c>
      <c r="I859" s="45">
        <f t="shared" si="60"/>
        <v>6.5989999999999993E-2</v>
      </c>
    </row>
    <row r="860" spans="1:9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40">
        <f t="shared" si="59"/>
        <v>43.4</v>
      </c>
      <c r="G860" s="50">
        <f t="shared" si="58"/>
        <v>2.8639659999999996</v>
      </c>
      <c r="H860" s="8">
        <f t="shared" ref="H860:H923" si="61">0.06599</f>
        <v>6.5989999999999993E-2</v>
      </c>
      <c r="I860" s="45">
        <f t="shared" si="60"/>
        <v>6.5989999999999993E-2</v>
      </c>
    </row>
    <row r="861" spans="1:9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40">
        <f t="shared" si="59"/>
        <v>35.4</v>
      </c>
      <c r="G861" s="50">
        <f t="shared" si="58"/>
        <v>2.3360459999999996</v>
      </c>
      <c r="H861" s="8">
        <f t="shared" si="61"/>
        <v>6.5989999999999993E-2</v>
      </c>
      <c r="I861" s="45">
        <f t="shared" si="60"/>
        <v>6.5989999999999993E-2</v>
      </c>
    </row>
    <row r="862" spans="1:9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40">
        <f t="shared" si="59"/>
        <v>407.14</v>
      </c>
      <c r="G862" s="50">
        <f t="shared" si="58"/>
        <v>26.867168599999996</v>
      </c>
      <c r="H862" s="8">
        <f t="shared" si="61"/>
        <v>6.5989999999999993E-2</v>
      </c>
      <c r="I862" s="45">
        <f t="shared" si="60"/>
        <v>6.5989999999999993E-2</v>
      </c>
    </row>
    <row r="863" spans="1:9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40">
        <f t="shared" si="59"/>
        <v>207.4</v>
      </c>
      <c r="G863" s="50">
        <f t="shared" si="58"/>
        <v>13.686325999999999</v>
      </c>
      <c r="H863" s="8">
        <f t="shared" si="61"/>
        <v>6.5989999999999993E-2</v>
      </c>
      <c r="I863" s="45">
        <f t="shared" si="60"/>
        <v>6.5989999999999993E-2</v>
      </c>
    </row>
    <row r="864" spans="1:9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40">
        <f t="shared" si="59"/>
        <v>619.29999999999995</v>
      </c>
      <c r="G864" s="50">
        <f t="shared" si="58"/>
        <v>40.867606999999992</v>
      </c>
      <c r="H864" s="8">
        <f t="shared" si="61"/>
        <v>6.5989999999999993E-2</v>
      </c>
      <c r="I864" s="45">
        <f t="shared" si="60"/>
        <v>6.5989999999999993E-2</v>
      </c>
    </row>
    <row r="865" spans="1:9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40">
        <f t="shared" si="59"/>
        <v>326.7</v>
      </c>
      <c r="G865" s="50">
        <f t="shared" si="58"/>
        <v>21.558932999999996</v>
      </c>
      <c r="H865" s="8">
        <f t="shared" si="61"/>
        <v>6.5989999999999993E-2</v>
      </c>
      <c r="I865" s="45">
        <f t="shared" si="60"/>
        <v>6.5989999999999993E-2</v>
      </c>
    </row>
    <row r="866" spans="1:9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40">
        <f t="shared" si="59"/>
        <v>485.4</v>
      </c>
      <c r="G866" s="50">
        <f t="shared" si="58"/>
        <v>32.031545999999992</v>
      </c>
      <c r="H866" s="8">
        <f t="shared" si="61"/>
        <v>6.5989999999999993E-2</v>
      </c>
      <c r="I866" s="45">
        <f t="shared" si="60"/>
        <v>6.5989999999999979E-2</v>
      </c>
    </row>
    <row r="867" spans="1:9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40">
        <f t="shared" si="59"/>
        <v>133.6</v>
      </c>
      <c r="G867" s="50">
        <f t="shared" si="58"/>
        <v>8.8162639999999985</v>
      </c>
      <c r="H867" s="8">
        <f t="shared" si="61"/>
        <v>6.5989999999999993E-2</v>
      </c>
      <c r="I867" s="45">
        <f t="shared" si="60"/>
        <v>6.5989999999999993E-2</v>
      </c>
    </row>
    <row r="868" spans="1:9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40">
        <f t="shared" si="59"/>
        <v>562.28</v>
      </c>
      <c r="G868" s="50">
        <f t="shared" si="58"/>
        <v>37.104857199999998</v>
      </c>
      <c r="H868" s="8">
        <f t="shared" si="61"/>
        <v>6.5989999999999993E-2</v>
      </c>
      <c r="I868" s="45">
        <f t="shared" si="60"/>
        <v>6.5989999999999993E-2</v>
      </c>
    </row>
    <row r="869" spans="1:9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40">
        <f t="shared" si="59"/>
        <v>156.78</v>
      </c>
      <c r="G869" s="50">
        <f t="shared" si="58"/>
        <v>10.345912199999999</v>
      </c>
      <c r="H869" s="8">
        <f t="shared" si="61"/>
        <v>6.5989999999999993E-2</v>
      </c>
      <c r="I869" s="45">
        <f t="shared" si="60"/>
        <v>6.5989999999999993E-2</v>
      </c>
    </row>
    <row r="870" spans="1:9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40">
        <f t="shared" si="59"/>
        <v>169.82</v>
      </c>
      <c r="G870" s="50">
        <f t="shared" si="58"/>
        <v>11.206421799999998</v>
      </c>
      <c r="H870" s="8">
        <f t="shared" si="61"/>
        <v>6.5989999999999993E-2</v>
      </c>
      <c r="I870" s="45">
        <f t="shared" si="60"/>
        <v>6.5989999999999993E-2</v>
      </c>
    </row>
    <row r="871" spans="1:9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40">
        <f t="shared" si="59"/>
        <v>263.20999999999998</v>
      </c>
      <c r="G871" s="50">
        <f t="shared" ref="G871:G878" si="62">SUM(F871*H871)</f>
        <v>17.369227899999998</v>
      </c>
      <c r="H871" s="8">
        <f t="shared" si="61"/>
        <v>6.5989999999999993E-2</v>
      </c>
      <c r="I871" s="45">
        <f t="shared" si="60"/>
        <v>6.5989999999999993E-2</v>
      </c>
    </row>
    <row r="872" spans="1:9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40">
        <f t="shared" si="59"/>
        <v>83.5</v>
      </c>
      <c r="G872" s="50">
        <f t="shared" si="62"/>
        <v>5.5101649999999998</v>
      </c>
      <c r="H872" s="8">
        <f t="shared" si="61"/>
        <v>6.5989999999999993E-2</v>
      </c>
      <c r="I872" s="45">
        <f t="shared" si="60"/>
        <v>6.5989999999999993E-2</v>
      </c>
    </row>
    <row r="873" spans="1:9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40">
        <f t="shared" si="59"/>
        <v>1770.4</v>
      </c>
      <c r="G873" s="50">
        <f t="shared" si="62"/>
        <v>116.82869599999999</v>
      </c>
      <c r="H873" s="8">
        <f t="shared" si="61"/>
        <v>6.5989999999999993E-2</v>
      </c>
      <c r="I873" s="45">
        <f t="shared" si="60"/>
        <v>6.5989999999999993E-2</v>
      </c>
    </row>
    <row r="874" spans="1:9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40">
        <f t="shared" si="59"/>
        <v>4761.2</v>
      </c>
      <c r="G874" s="50">
        <f t="shared" si="62"/>
        <v>314.19158799999997</v>
      </c>
      <c r="H874" s="8">
        <f t="shared" si="61"/>
        <v>6.5989999999999993E-2</v>
      </c>
      <c r="I874" s="45">
        <f t="shared" ref="I874:I879" si="63">SUM(G874/F874)</f>
        <v>6.5989999999999993E-2</v>
      </c>
    </row>
    <row r="875" spans="1:9" s="6" customFormat="1" ht="15.75">
      <c r="A875" s="32">
        <v>130</v>
      </c>
      <c r="B875" s="195" t="s">
        <v>1382</v>
      </c>
      <c r="C875" s="550">
        <v>725.2</v>
      </c>
      <c r="D875" s="533"/>
      <c r="E875" s="533"/>
      <c r="F875" s="40">
        <f>C875+D875+E875</f>
        <v>725.2</v>
      </c>
      <c r="G875" s="50">
        <f t="shared" si="62"/>
        <v>47.855947999999998</v>
      </c>
      <c r="H875" s="8">
        <f t="shared" si="61"/>
        <v>6.5989999999999993E-2</v>
      </c>
      <c r="I875" s="45">
        <f t="shared" si="63"/>
        <v>6.5989999999999993E-2</v>
      </c>
    </row>
    <row r="876" spans="1:9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>C876+D876+E876</f>
        <v>2911.81</v>
      </c>
      <c r="G876" s="50">
        <f t="shared" si="62"/>
        <v>192.15034189999997</v>
      </c>
      <c r="H876" s="8">
        <f t="shared" si="61"/>
        <v>6.5989999999999993E-2</v>
      </c>
      <c r="I876" s="45">
        <f t="shared" si="63"/>
        <v>6.5989999999999993E-2</v>
      </c>
    </row>
    <row r="877" spans="1:9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>C877+D877+E877</f>
        <v>2933</v>
      </c>
      <c r="G877" s="50">
        <f t="shared" si="62"/>
        <v>193.54866999999999</v>
      </c>
      <c r="H877" s="8">
        <f t="shared" si="61"/>
        <v>6.5989999999999993E-2</v>
      </c>
      <c r="I877" s="45">
        <f t="shared" si="63"/>
        <v>6.5989999999999993E-2</v>
      </c>
    </row>
    <row r="878" spans="1:9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>C878+D878+E878</f>
        <v>3120.67</v>
      </c>
      <c r="G878" s="50">
        <f t="shared" si="62"/>
        <v>205.93301329999997</v>
      </c>
      <c r="H878" s="8">
        <f t="shared" si="61"/>
        <v>6.5989999999999993E-2</v>
      </c>
      <c r="I878" s="45">
        <f t="shared" si="63"/>
        <v>6.5989999999999993E-2</v>
      </c>
    </row>
    <row r="879" spans="1:9" s="69" customFormat="1" ht="15.75">
      <c r="A879" s="63"/>
      <c r="B879" s="63" t="s">
        <v>681</v>
      </c>
      <c r="C879" s="72">
        <f>SUM(C749:C875)</f>
        <v>265493.51999999984</v>
      </c>
      <c r="D879" s="64">
        <f>SUM(D749:D875)</f>
        <v>216.9</v>
      </c>
      <c r="E879" s="64">
        <f>SUM(E749:E875)</f>
        <v>5608.6</v>
      </c>
      <c r="F879" s="64">
        <f>C879+D879+E879</f>
        <v>271319.01999999984</v>
      </c>
      <c r="G879" s="64">
        <f>SUM(G749:G878)</f>
        <v>18495.974155000007</v>
      </c>
      <c r="H879" s="8">
        <f t="shared" si="61"/>
        <v>6.5989999999999993E-2</v>
      </c>
      <c r="I879" s="73">
        <f t="shared" si="63"/>
        <v>6.8170577038793728E-2</v>
      </c>
    </row>
    <row r="880" spans="1:9" s="6" customFormat="1" ht="15.75">
      <c r="A880" s="9" t="s">
        <v>392</v>
      </c>
      <c r="B880" s="8"/>
      <c r="C880" s="8"/>
      <c r="D880" s="8"/>
      <c r="E880" s="8"/>
      <c r="F880" s="40"/>
      <c r="G880" s="50"/>
      <c r="H880" s="8">
        <f t="shared" si="61"/>
        <v>6.5989999999999993E-2</v>
      </c>
      <c r="I880" s="45"/>
    </row>
    <row r="881" spans="1:9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1">
        <f>C881+D881+E881</f>
        <v>4265.91</v>
      </c>
      <c r="G881" s="62">
        <f>F881*H881</f>
        <v>281.50740089999994</v>
      </c>
      <c r="H881" s="8">
        <f t="shared" si="61"/>
        <v>6.5989999999999993E-2</v>
      </c>
      <c r="I881" s="109">
        <f>G881/F881</f>
        <v>6.5989999999999993E-2</v>
      </c>
    </row>
    <row r="882" spans="1:9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1">
        <f>C882+D882+E882</f>
        <v>9865.73</v>
      </c>
      <c r="G882" s="62">
        <f t="shared" ref="G882:G944" si="64">F882*H882</f>
        <v>651.03952269999991</v>
      </c>
      <c r="H882" s="8">
        <f t="shared" si="61"/>
        <v>6.5989999999999993E-2</v>
      </c>
      <c r="I882" s="109">
        <f t="shared" ref="I882:I944" si="65">G882/F882</f>
        <v>6.5989999999999993E-2</v>
      </c>
    </row>
    <row r="883" spans="1:9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1">
        <f>C883+D883+E883</f>
        <v>4252.49</v>
      </c>
      <c r="G883" s="62">
        <f t="shared" si="64"/>
        <v>280.62181509999994</v>
      </c>
      <c r="H883" s="8">
        <f t="shared" si="61"/>
        <v>6.5989999999999993E-2</v>
      </c>
      <c r="I883" s="109">
        <f t="shared" si="65"/>
        <v>6.5989999999999993E-2</v>
      </c>
    </row>
    <row r="884" spans="1:9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1">
        <f>C884+D884+E884</f>
        <v>5951.3</v>
      </c>
      <c r="G884" s="62">
        <f t="shared" si="64"/>
        <v>392.72628699999996</v>
      </c>
      <c r="H884" s="8">
        <f t="shared" si="61"/>
        <v>6.5989999999999993E-2</v>
      </c>
      <c r="I884" s="109">
        <f t="shared" si="65"/>
        <v>6.5989999999999993E-2</v>
      </c>
    </row>
    <row r="885" spans="1:9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1">
        <f t="shared" ref="F885:F947" si="66">C885+D885+E885</f>
        <v>4295.57</v>
      </c>
      <c r="G885" s="62">
        <f t="shared" si="64"/>
        <v>283.46466429999992</v>
      </c>
      <c r="H885" s="8">
        <f t="shared" si="61"/>
        <v>6.5989999999999993E-2</v>
      </c>
      <c r="I885" s="109">
        <f t="shared" si="65"/>
        <v>6.5989999999999993E-2</v>
      </c>
    </row>
    <row r="886" spans="1:9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1">
        <f t="shared" si="66"/>
        <v>7972.34</v>
      </c>
      <c r="G886" s="62">
        <f t="shared" si="64"/>
        <v>526.09471659999997</v>
      </c>
      <c r="H886" s="8">
        <f t="shared" si="61"/>
        <v>6.5989999999999993E-2</v>
      </c>
      <c r="I886" s="109">
        <f t="shared" si="65"/>
        <v>6.5989999999999993E-2</v>
      </c>
    </row>
    <row r="887" spans="1:9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1">
        <f t="shared" si="66"/>
        <v>3946.89</v>
      </c>
      <c r="G887" s="62">
        <f t="shared" si="64"/>
        <v>260.45527109999995</v>
      </c>
      <c r="H887" s="8">
        <f t="shared" si="61"/>
        <v>6.5989999999999993E-2</v>
      </c>
      <c r="I887" s="109">
        <f t="shared" si="65"/>
        <v>6.5989999999999993E-2</v>
      </c>
    </row>
    <row r="888" spans="1:9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1">
        <f t="shared" si="66"/>
        <v>8036.22</v>
      </c>
      <c r="G888" s="62">
        <f t="shared" si="64"/>
        <v>530.31015779999996</v>
      </c>
      <c r="H888" s="8">
        <f t="shared" si="61"/>
        <v>6.5989999999999993E-2</v>
      </c>
      <c r="I888" s="109">
        <f t="shared" si="65"/>
        <v>6.5989999999999993E-2</v>
      </c>
    </row>
    <row r="889" spans="1:9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1">
        <f t="shared" si="66"/>
        <v>3993.05</v>
      </c>
      <c r="G889" s="62">
        <f t="shared" si="64"/>
        <v>263.50136950000001</v>
      </c>
      <c r="H889" s="8">
        <f t="shared" si="61"/>
        <v>6.5989999999999993E-2</v>
      </c>
      <c r="I889" s="109">
        <f t="shared" si="65"/>
        <v>6.5989999999999993E-2</v>
      </c>
    </row>
    <row r="890" spans="1:9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1">
        <f t="shared" si="66"/>
        <v>8196.09</v>
      </c>
      <c r="G890" s="62">
        <f t="shared" si="64"/>
        <v>540.85997909999992</v>
      </c>
      <c r="H890" s="8">
        <f t="shared" si="61"/>
        <v>6.5989999999999993E-2</v>
      </c>
      <c r="I890" s="109">
        <f t="shared" si="65"/>
        <v>6.5989999999999993E-2</v>
      </c>
    </row>
    <row r="891" spans="1:9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1">
        <f t="shared" si="66"/>
        <v>3935.64</v>
      </c>
      <c r="G891" s="62">
        <f t="shared" si="64"/>
        <v>259.71288359999994</v>
      </c>
      <c r="H891" s="8">
        <f t="shared" si="61"/>
        <v>6.5989999999999993E-2</v>
      </c>
      <c r="I891" s="109">
        <f t="shared" si="65"/>
        <v>6.5989999999999993E-2</v>
      </c>
    </row>
    <row r="892" spans="1:9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1">
        <f t="shared" si="66"/>
        <v>4128.3999999999996</v>
      </c>
      <c r="G892" s="62">
        <f t="shared" si="64"/>
        <v>272.43311599999993</v>
      </c>
      <c r="H892" s="8">
        <f t="shared" si="61"/>
        <v>6.5989999999999993E-2</v>
      </c>
      <c r="I892" s="109">
        <f t="shared" si="65"/>
        <v>6.5989999999999993E-2</v>
      </c>
    </row>
    <row r="893" spans="1:9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1">
        <f t="shared" si="66"/>
        <v>18171.13</v>
      </c>
      <c r="G893" s="62">
        <f t="shared" si="64"/>
        <v>1199.1128687</v>
      </c>
      <c r="H893" s="8">
        <f t="shared" si="61"/>
        <v>6.5989999999999993E-2</v>
      </c>
      <c r="I893" s="109">
        <f t="shared" si="65"/>
        <v>6.5989999999999993E-2</v>
      </c>
    </row>
    <row r="894" spans="1:9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1">
        <f t="shared" si="66"/>
        <v>3212.3</v>
      </c>
      <c r="G894" s="62">
        <f t="shared" si="64"/>
        <v>211.97967699999998</v>
      </c>
      <c r="H894" s="8">
        <f t="shared" si="61"/>
        <v>6.5989999999999993E-2</v>
      </c>
      <c r="I894" s="109">
        <f t="shared" si="65"/>
        <v>6.5989999999999993E-2</v>
      </c>
    </row>
    <row r="895" spans="1:9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1">
        <f t="shared" si="66"/>
        <v>4181.6099999999997</v>
      </c>
      <c r="G895" s="62">
        <f t="shared" si="64"/>
        <v>275.94444389999995</v>
      </c>
      <c r="H895" s="8">
        <f t="shared" si="61"/>
        <v>6.5989999999999993E-2</v>
      </c>
      <c r="I895" s="109">
        <f t="shared" si="65"/>
        <v>6.5989999999999993E-2</v>
      </c>
    </row>
    <row r="896" spans="1:9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1">
        <f t="shared" si="66"/>
        <v>6299.01</v>
      </c>
      <c r="G896" s="62">
        <f t="shared" si="64"/>
        <v>415.67166989999998</v>
      </c>
      <c r="H896" s="8">
        <f t="shared" si="61"/>
        <v>6.5989999999999993E-2</v>
      </c>
      <c r="I896" s="109">
        <f t="shared" si="65"/>
        <v>6.5989999999999993E-2</v>
      </c>
    </row>
    <row r="897" spans="1:9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1">
        <f t="shared" si="66"/>
        <v>147.65</v>
      </c>
      <c r="G897" s="62">
        <f t="shared" si="64"/>
        <v>9.7434234999999987</v>
      </c>
      <c r="H897" s="8">
        <f t="shared" si="61"/>
        <v>6.5989999999999993E-2</v>
      </c>
      <c r="I897" s="109">
        <f t="shared" si="65"/>
        <v>6.5989999999999993E-2</v>
      </c>
    </row>
    <row r="898" spans="1:9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1">
        <f t="shared" si="66"/>
        <v>4248.3</v>
      </c>
      <c r="G898" s="62">
        <f t="shared" si="64"/>
        <v>280.34531699999997</v>
      </c>
      <c r="H898" s="8">
        <f t="shared" si="61"/>
        <v>6.5989999999999993E-2</v>
      </c>
      <c r="I898" s="109">
        <f t="shared" si="65"/>
        <v>6.5989999999999993E-2</v>
      </c>
    </row>
    <row r="899" spans="1:9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1">
        <f t="shared" si="66"/>
        <v>4085.47</v>
      </c>
      <c r="G899" s="62">
        <f t="shared" si="64"/>
        <v>269.60016529999996</v>
      </c>
      <c r="H899" s="8">
        <f t="shared" si="61"/>
        <v>6.5989999999999993E-2</v>
      </c>
      <c r="I899" s="109">
        <f t="shared" si="65"/>
        <v>6.5989999999999993E-2</v>
      </c>
    </row>
    <row r="900" spans="1:9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1">
        <f t="shared" si="66"/>
        <v>4100.95</v>
      </c>
      <c r="G900" s="62">
        <f t="shared" si="64"/>
        <v>270.62169049999994</v>
      </c>
      <c r="H900" s="8">
        <f t="shared" si="61"/>
        <v>6.5989999999999993E-2</v>
      </c>
      <c r="I900" s="109">
        <f t="shared" si="65"/>
        <v>6.5989999999999993E-2</v>
      </c>
    </row>
    <row r="901" spans="1:9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1">
        <f t="shared" si="66"/>
        <v>7076.23</v>
      </c>
      <c r="G901" s="62">
        <f t="shared" si="64"/>
        <v>466.96041769999994</v>
      </c>
      <c r="H901" s="8">
        <f t="shared" si="61"/>
        <v>6.5989999999999993E-2</v>
      </c>
      <c r="I901" s="109">
        <f t="shared" si="65"/>
        <v>6.5989999999999993E-2</v>
      </c>
    </row>
    <row r="902" spans="1:9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1">
        <f t="shared" si="66"/>
        <v>4062.74</v>
      </c>
      <c r="G902" s="62">
        <f t="shared" si="64"/>
        <v>268.10021259999996</v>
      </c>
      <c r="H902" s="8">
        <f t="shared" si="61"/>
        <v>6.5989999999999993E-2</v>
      </c>
      <c r="I902" s="109">
        <f t="shared" si="65"/>
        <v>6.5989999999999993E-2</v>
      </c>
    </row>
    <row r="903" spans="1:9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1">
        <f t="shared" si="66"/>
        <v>6379.08</v>
      </c>
      <c r="G903" s="62">
        <f t="shared" si="64"/>
        <v>420.95548919999993</v>
      </c>
      <c r="H903" s="8">
        <f t="shared" si="61"/>
        <v>6.5989999999999993E-2</v>
      </c>
      <c r="I903" s="109">
        <f t="shared" si="65"/>
        <v>6.5989999999999993E-2</v>
      </c>
    </row>
    <row r="904" spans="1:9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1">
        <f t="shared" si="66"/>
        <v>6509.3399999999992</v>
      </c>
      <c r="G904" s="62">
        <f t="shared" si="64"/>
        <v>429.55134659999993</v>
      </c>
      <c r="H904" s="8">
        <f t="shared" si="61"/>
        <v>6.5989999999999993E-2</v>
      </c>
      <c r="I904" s="109">
        <f t="shared" si="65"/>
        <v>6.5989999999999993E-2</v>
      </c>
    </row>
    <row r="905" spans="1:9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1">
        <f t="shared" si="66"/>
        <v>4249.6000000000004</v>
      </c>
      <c r="G905" s="62">
        <f t="shared" si="64"/>
        <v>280.431104</v>
      </c>
      <c r="H905" s="8">
        <f t="shared" si="61"/>
        <v>6.5989999999999993E-2</v>
      </c>
      <c r="I905" s="109">
        <f t="shared" si="65"/>
        <v>6.5989999999999993E-2</v>
      </c>
    </row>
    <row r="906" spans="1:9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1">
        <f t="shared" si="66"/>
        <v>2807.52</v>
      </c>
      <c r="G906" s="62">
        <f t="shared" si="64"/>
        <v>185.26824479999999</v>
      </c>
      <c r="H906" s="8">
        <f t="shared" si="61"/>
        <v>6.5989999999999993E-2</v>
      </c>
      <c r="I906" s="109">
        <f t="shared" si="65"/>
        <v>6.5989999999999993E-2</v>
      </c>
    </row>
    <row r="907" spans="1:9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1">
        <f t="shared" si="66"/>
        <v>4226.7</v>
      </c>
      <c r="G907" s="62">
        <f t="shared" si="64"/>
        <v>278.91993299999996</v>
      </c>
      <c r="H907" s="8">
        <f t="shared" si="61"/>
        <v>6.5989999999999993E-2</v>
      </c>
      <c r="I907" s="109">
        <f t="shared" si="65"/>
        <v>6.5989999999999993E-2</v>
      </c>
    </row>
    <row r="908" spans="1:9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1">
        <f t="shared" si="66"/>
        <v>4709.3599999999997</v>
      </c>
      <c r="G908" s="62">
        <f t="shared" si="64"/>
        <v>310.77066639999993</v>
      </c>
      <c r="H908" s="8">
        <f t="shared" si="61"/>
        <v>6.5989999999999993E-2</v>
      </c>
      <c r="I908" s="109">
        <f t="shared" si="65"/>
        <v>6.5989999999999993E-2</v>
      </c>
    </row>
    <row r="909" spans="1:9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61">
        <f t="shared" si="66"/>
        <v>5750.25</v>
      </c>
      <c r="G909" s="62">
        <f t="shared" si="64"/>
        <v>379.45899749999995</v>
      </c>
      <c r="H909" s="8">
        <f t="shared" si="61"/>
        <v>6.5989999999999993E-2</v>
      </c>
      <c r="I909" s="109">
        <f t="shared" si="65"/>
        <v>6.5989999999999993E-2</v>
      </c>
    </row>
    <row r="910" spans="1:9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1">
        <f t="shared" si="66"/>
        <v>3555.12</v>
      </c>
      <c r="G910" s="62">
        <f t="shared" si="64"/>
        <v>234.60236879999997</v>
      </c>
      <c r="H910" s="8">
        <f t="shared" si="61"/>
        <v>6.5989999999999993E-2</v>
      </c>
      <c r="I910" s="109">
        <f t="shared" si="65"/>
        <v>6.5989999999999993E-2</v>
      </c>
    </row>
    <row r="911" spans="1:9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1">
        <f t="shared" si="66"/>
        <v>342.6</v>
      </c>
      <c r="G911" s="62">
        <f t="shared" si="64"/>
        <v>22.608173999999998</v>
      </c>
      <c r="H911" s="8">
        <f t="shared" si="61"/>
        <v>6.5989999999999993E-2</v>
      </c>
      <c r="I911" s="109">
        <f t="shared" si="65"/>
        <v>6.5989999999999993E-2</v>
      </c>
    </row>
    <row r="912" spans="1:9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1">
        <f t="shared" si="66"/>
        <v>361.6</v>
      </c>
      <c r="G912" s="62">
        <f t="shared" si="64"/>
        <v>23.861984</v>
      </c>
      <c r="H912" s="8">
        <f t="shared" si="61"/>
        <v>6.5989999999999993E-2</v>
      </c>
      <c r="I912" s="109">
        <f t="shared" si="65"/>
        <v>6.5989999999999993E-2</v>
      </c>
    </row>
    <row r="913" spans="1:9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1">
        <f t="shared" si="66"/>
        <v>7926.65</v>
      </c>
      <c r="G913" s="62">
        <f t="shared" si="64"/>
        <v>523.07963349999989</v>
      </c>
      <c r="H913" s="8">
        <f t="shared" si="61"/>
        <v>6.5989999999999993E-2</v>
      </c>
      <c r="I913" s="109">
        <f t="shared" si="65"/>
        <v>6.5989999999999993E-2</v>
      </c>
    </row>
    <row r="914" spans="1:9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1">
        <f t="shared" si="66"/>
        <v>4021.5</v>
      </c>
      <c r="G914" s="62">
        <f t="shared" si="64"/>
        <v>265.37878499999999</v>
      </c>
      <c r="H914" s="8">
        <f t="shared" si="61"/>
        <v>6.5989999999999993E-2</v>
      </c>
      <c r="I914" s="109">
        <f t="shared" si="65"/>
        <v>6.5989999999999993E-2</v>
      </c>
    </row>
    <row r="915" spans="1:9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1">
        <f t="shared" si="66"/>
        <v>4138.7700000000004</v>
      </c>
      <c r="G915" s="62">
        <f t="shared" si="64"/>
        <v>273.11743230000002</v>
      </c>
      <c r="H915" s="8">
        <f t="shared" si="61"/>
        <v>6.5989999999999993E-2</v>
      </c>
      <c r="I915" s="109">
        <f t="shared" si="65"/>
        <v>6.5989999999999993E-2</v>
      </c>
    </row>
    <row r="916" spans="1:9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1">
        <f t="shared" si="66"/>
        <v>361.5</v>
      </c>
      <c r="G916" s="62">
        <f t="shared" si="64"/>
        <v>23.855384999999998</v>
      </c>
      <c r="H916" s="8">
        <f t="shared" si="61"/>
        <v>6.5989999999999993E-2</v>
      </c>
      <c r="I916" s="109">
        <f t="shared" si="65"/>
        <v>6.5989999999999993E-2</v>
      </c>
    </row>
    <row r="917" spans="1:9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1">
        <f t="shared" si="66"/>
        <v>5864.56</v>
      </c>
      <c r="G917" s="62">
        <f t="shared" si="64"/>
        <v>387.00231439999999</v>
      </c>
      <c r="H917" s="8">
        <f t="shared" si="61"/>
        <v>6.5989999999999993E-2</v>
      </c>
      <c r="I917" s="109">
        <f t="shared" si="65"/>
        <v>6.5989999999999993E-2</v>
      </c>
    </row>
    <row r="918" spans="1:9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1">
        <f t="shared" si="66"/>
        <v>135.35</v>
      </c>
      <c r="G918" s="62">
        <f t="shared" si="64"/>
        <v>8.9317464999999991</v>
      </c>
      <c r="H918" s="8">
        <f t="shared" si="61"/>
        <v>6.5989999999999993E-2</v>
      </c>
      <c r="I918" s="109">
        <f t="shared" si="65"/>
        <v>6.5989999999999993E-2</v>
      </c>
    </row>
    <row r="919" spans="1:9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1">
        <f t="shared" si="66"/>
        <v>37.4</v>
      </c>
      <c r="G919" s="62">
        <f t="shared" si="64"/>
        <v>2.4680259999999996</v>
      </c>
      <c r="H919" s="8">
        <f t="shared" si="61"/>
        <v>6.5989999999999993E-2</v>
      </c>
      <c r="I919" s="109">
        <f t="shared" si="65"/>
        <v>6.5989999999999993E-2</v>
      </c>
    </row>
    <row r="920" spans="1:9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1">
        <f t="shared" si="66"/>
        <v>236.9</v>
      </c>
      <c r="G920" s="62">
        <f t="shared" si="64"/>
        <v>15.633030999999999</v>
      </c>
      <c r="H920" s="8">
        <f t="shared" si="61"/>
        <v>6.5989999999999993E-2</v>
      </c>
      <c r="I920" s="109">
        <f t="shared" si="65"/>
        <v>6.5989999999999993E-2</v>
      </c>
    </row>
    <row r="921" spans="1:9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1">
        <f t="shared" si="66"/>
        <v>362.6</v>
      </c>
      <c r="G921" s="62">
        <f t="shared" si="64"/>
        <v>23.927973999999999</v>
      </c>
      <c r="H921" s="8">
        <f t="shared" si="61"/>
        <v>6.5989999999999993E-2</v>
      </c>
      <c r="I921" s="109">
        <f t="shared" si="65"/>
        <v>6.5989999999999993E-2</v>
      </c>
    </row>
    <row r="922" spans="1:9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1">
        <f t="shared" si="66"/>
        <v>494.9</v>
      </c>
      <c r="G922" s="62">
        <f t="shared" si="64"/>
        <v>32.658450999999992</v>
      </c>
      <c r="H922" s="8">
        <f t="shared" si="61"/>
        <v>6.5989999999999993E-2</v>
      </c>
      <c r="I922" s="109">
        <f t="shared" si="65"/>
        <v>6.5989999999999993E-2</v>
      </c>
    </row>
    <row r="923" spans="1:9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1">
        <f t="shared" si="66"/>
        <v>277.2</v>
      </c>
      <c r="G923" s="62">
        <f t="shared" si="64"/>
        <v>18.292427999999997</v>
      </c>
      <c r="H923" s="8">
        <f t="shared" si="61"/>
        <v>6.5989999999999993E-2</v>
      </c>
      <c r="I923" s="109">
        <f t="shared" si="65"/>
        <v>6.5989999999999993E-2</v>
      </c>
    </row>
    <row r="924" spans="1:9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1">
        <f t="shared" si="66"/>
        <v>7127.52</v>
      </c>
      <c r="G924" s="62">
        <f t="shared" si="64"/>
        <v>470.34504479999998</v>
      </c>
      <c r="H924" s="8">
        <f t="shared" ref="H924:H987" si="67">0.06599</f>
        <v>6.5989999999999993E-2</v>
      </c>
      <c r="I924" s="109">
        <f t="shared" si="65"/>
        <v>6.5989999999999993E-2</v>
      </c>
    </row>
    <row r="925" spans="1:9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1">
        <f t="shared" si="66"/>
        <v>52.9</v>
      </c>
      <c r="G925" s="62">
        <f t="shared" si="64"/>
        <v>3.4908709999999994</v>
      </c>
      <c r="H925" s="8">
        <f t="shared" si="67"/>
        <v>6.5989999999999993E-2</v>
      </c>
      <c r="I925" s="109">
        <f t="shared" si="65"/>
        <v>6.5989999999999993E-2</v>
      </c>
    </row>
    <row r="926" spans="1:9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1">
        <f t="shared" si="66"/>
        <v>119.9</v>
      </c>
      <c r="G926" s="62">
        <f t="shared" si="64"/>
        <v>7.9122009999999996</v>
      </c>
      <c r="H926" s="8">
        <f t="shared" si="67"/>
        <v>6.5989999999999993E-2</v>
      </c>
      <c r="I926" s="109">
        <f t="shared" si="65"/>
        <v>6.5989999999999993E-2</v>
      </c>
    </row>
    <row r="927" spans="1:9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1">
        <f t="shared" si="66"/>
        <v>75.3</v>
      </c>
      <c r="G927" s="62">
        <f t="shared" si="64"/>
        <v>4.9690469999999989</v>
      </c>
      <c r="H927" s="8">
        <f t="shared" si="67"/>
        <v>6.5989999999999993E-2</v>
      </c>
      <c r="I927" s="109">
        <f t="shared" si="65"/>
        <v>6.5989999999999993E-2</v>
      </c>
    </row>
    <row r="928" spans="1:9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1">
        <f t="shared" si="66"/>
        <v>120.8</v>
      </c>
      <c r="G928" s="62">
        <f t="shared" si="64"/>
        <v>7.9715919999999993</v>
      </c>
      <c r="H928" s="8">
        <f t="shared" si="67"/>
        <v>6.5989999999999993E-2</v>
      </c>
      <c r="I928" s="109">
        <f t="shared" si="65"/>
        <v>6.5989999999999993E-2</v>
      </c>
    </row>
    <row r="929" spans="1:9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1">
        <f t="shared" si="66"/>
        <v>429.7</v>
      </c>
      <c r="G929" s="62">
        <f t="shared" si="64"/>
        <v>28.355902999999998</v>
      </c>
      <c r="H929" s="8">
        <f t="shared" si="67"/>
        <v>6.5989999999999993E-2</v>
      </c>
      <c r="I929" s="109">
        <f t="shared" si="65"/>
        <v>6.5989999999999993E-2</v>
      </c>
    </row>
    <row r="930" spans="1:9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1">
        <f t="shared" si="66"/>
        <v>249.1</v>
      </c>
      <c r="G930" s="62">
        <f t="shared" si="64"/>
        <v>16.438108999999997</v>
      </c>
      <c r="H930" s="8">
        <f t="shared" si="67"/>
        <v>6.5989999999999993E-2</v>
      </c>
      <c r="I930" s="109">
        <f t="shared" si="65"/>
        <v>6.5989999999999993E-2</v>
      </c>
    </row>
    <row r="931" spans="1:9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1">
        <f t="shared" si="66"/>
        <v>103</v>
      </c>
      <c r="G931" s="62">
        <f t="shared" si="64"/>
        <v>6.7969699999999991</v>
      </c>
      <c r="H931" s="8">
        <f t="shared" si="67"/>
        <v>6.5989999999999993E-2</v>
      </c>
      <c r="I931" s="109">
        <f t="shared" si="65"/>
        <v>6.5989999999999993E-2</v>
      </c>
    </row>
    <row r="932" spans="1:9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1">
        <f t="shared" si="66"/>
        <v>176.5</v>
      </c>
      <c r="G932" s="62">
        <f t="shared" si="64"/>
        <v>11.647234999999998</v>
      </c>
      <c r="H932" s="8">
        <f t="shared" si="67"/>
        <v>6.5989999999999993E-2</v>
      </c>
      <c r="I932" s="109">
        <f t="shared" si="65"/>
        <v>6.5989999999999993E-2</v>
      </c>
    </row>
    <row r="933" spans="1:9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1">
        <f t="shared" si="66"/>
        <v>109.5</v>
      </c>
      <c r="G933" s="62">
        <f t="shared" si="64"/>
        <v>7.2259049999999991</v>
      </c>
      <c r="H933" s="8">
        <f t="shared" si="67"/>
        <v>6.5989999999999993E-2</v>
      </c>
      <c r="I933" s="109">
        <f t="shared" si="65"/>
        <v>6.5989999999999993E-2</v>
      </c>
    </row>
    <row r="934" spans="1:9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1">
        <f t="shared" si="66"/>
        <v>111.4</v>
      </c>
      <c r="G934" s="62">
        <f t="shared" si="64"/>
        <v>7.351286</v>
      </c>
      <c r="H934" s="8">
        <f t="shared" si="67"/>
        <v>6.5989999999999993E-2</v>
      </c>
      <c r="I934" s="109">
        <f t="shared" si="65"/>
        <v>6.5989999999999993E-2</v>
      </c>
    </row>
    <row r="935" spans="1:9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1">
        <f t="shared" si="66"/>
        <v>92.9</v>
      </c>
      <c r="G935" s="62">
        <f t="shared" si="64"/>
        <v>6.130471</v>
      </c>
      <c r="H935" s="8">
        <f t="shared" si="67"/>
        <v>6.5989999999999993E-2</v>
      </c>
      <c r="I935" s="109">
        <f t="shared" si="65"/>
        <v>6.5989999999999993E-2</v>
      </c>
    </row>
    <row r="936" spans="1:9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1">
        <f t="shared" si="66"/>
        <v>101.8</v>
      </c>
      <c r="G936" s="62">
        <f t="shared" si="64"/>
        <v>6.7177819999999988</v>
      </c>
      <c r="H936" s="8">
        <f t="shared" si="67"/>
        <v>6.5989999999999993E-2</v>
      </c>
      <c r="I936" s="109">
        <f t="shared" si="65"/>
        <v>6.5989999999999993E-2</v>
      </c>
    </row>
    <row r="937" spans="1:9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1">
        <f t="shared" si="66"/>
        <v>202</v>
      </c>
      <c r="G937" s="62">
        <f t="shared" si="64"/>
        <v>13.329979999999999</v>
      </c>
      <c r="H937" s="8">
        <f t="shared" si="67"/>
        <v>6.5989999999999993E-2</v>
      </c>
      <c r="I937" s="109">
        <f t="shared" si="65"/>
        <v>6.5989999999999993E-2</v>
      </c>
    </row>
    <row r="938" spans="1:9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1">
        <f t="shared" si="66"/>
        <v>214.1</v>
      </c>
      <c r="G938" s="62">
        <f t="shared" si="64"/>
        <v>14.128458999999998</v>
      </c>
      <c r="H938" s="8">
        <f t="shared" si="67"/>
        <v>6.5989999999999993E-2</v>
      </c>
      <c r="I938" s="109">
        <f t="shared" si="65"/>
        <v>6.5989999999999993E-2</v>
      </c>
    </row>
    <row r="939" spans="1:9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1">
        <f t="shared" si="66"/>
        <v>161.19999999999999</v>
      </c>
      <c r="G939" s="62">
        <f t="shared" si="64"/>
        <v>10.637587999999997</v>
      </c>
      <c r="H939" s="8">
        <f t="shared" si="67"/>
        <v>6.5989999999999993E-2</v>
      </c>
      <c r="I939" s="109">
        <f t="shared" si="65"/>
        <v>6.5989999999999993E-2</v>
      </c>
    </row>
    <row r="940" spans="1:9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1">
        <f t="shared" si="66"/>
        <v>134.9</v>
      </c>
      <c r="G940" s="62">
        <f t="shared" si="64"/>
        <v>8.9020510000000002</v>
      </c>
      <c r="H940" s="8">
        <f t="shared" si="67"/>
        <v>6.5989999999999993E-2</v>
      </c>
      <c r="I940" s="109">
        <f t="shared" si="65"/>
        <v>6.5989999999999993E-2</v>
      </c>
    </row>
    <row r="941" spans="1:9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1">
        <f t="shared" si="66"/>
        <v>80.599999999999994</v>
      </c>
      <c r="G941" s="62">
        <f t="shared" si="64"/>
        <v>5.3187939999999987</v>
      </c>
      <c r="H941" s="8">
        <f t="shared" si="67"/>
        <v>6.5989999999999993E-2</v>
      </c>
      <c r="I941" s="109">
        <f t="shared" si="65"/>
        <v>6.5989999999999993E-2</v>
      </c>
    </row>
    <row r="942" spans="1:9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1">
        <f t="shared" si="66"/>
        <v>249.4</v>
      </c>
      <c r="G942" s="62">
        <f t="shared" si="64"/>
        <v>16.457905999999998</v>
      </c>
      <c r="H942" s="8">
        <f t="shared" si="67"/>
        <v>6.5989999999999993E-2</v>
      </c>
      <c r="I942" s="109">
        <f t="shared" si="65"/>
        <v>6.5989999999999993E-2</v>
      </c>
    </row>
    <row r="943" spans="1:9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1">
        <f t="shared" si="66"/>
        <v>110.5</v>
      </c>
      <c r="G943" s="62">
        <f t="shared" si="64"/>
        <v>7.2918949999999993</v>
      </c>
      <c r="H943" s="8">
        <f t="shared" si="67"/>
        <v>6.5989999999999993E-2</v>
      </c>
      <c r="I943" s="109">
        <f t="shared" si="65"/>
        <v>6.5989999999999993E-2</v>
      </c>
    </row>
    <row r="944" spans="1:9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1">
        <f t="shared" si="66"/>
        <v>168.5</v>
      </c>
      <c r="G944" s="62">
        <f t="shared" si="64"/>
        <v>11.119314999999999</v>
      </c>
      <c r="H944" s="8">
        <f t="shared" si="67"/>
        <v>6.5989999999999993E-2</v>
      </c>
      <c r="I944" s="109">
        <f t="shared" si="65"/>
        <v>6.5989999999999993E-2</v>
      </c>
    </row>
    <row r="945" spans="1:9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1">
        <f t="shared" si="66"/>
        <v>130</v>
      </c>
      <c r="G945" s="62">
        <f t="shared" ref="G945:G1003" si="68">F945*H945</f>
        <v>8.5786999999999995</v>
      </c>
      <c r="H945" s="8">
        <f t="shared" si="67"/>
        <v>6.5989999999999993E-2</v>
      </c>
      <c r="I945" s="109">
        <f t="shared" ref="I945:I1003" si="69">G945/F945</f>
        <v>6.5989999999999993E-2</v>
      </c>
    </row>
    <row r="946" spans="1:9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1">
        <f t="shared" si="66"/>
        <v>175.8</v>
      </c>
      <c r="G946" s="62">
        <f t="shared" si="68"/>
        <v>11.601042</v>
      </c>
      <c r="H946" s="8">
        <f t="shared" si="67"/>
        <v>6.5989999999999993E-2</v>
      </c>
      <c r="I946" s="109">
        <f t="shared" si="69"/>
        <v>6.5989999999999993E-2</v>
      </c>
    </row>
    <row r="947" spans="1:9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1">
        <f t="shared" si="66"/>
        <v>129.80000000000001</v>
      </c>
      <c r="G947" s="62">
        <f t="shared" si="68"/>
        <v>8.5655020000000004</v>
      </c>
      <c r="H947" s="8">
        <f t="shared" si="67"/>
        <v>6.5989999999999993E-2</v>
      </c>
      <c r="I947" s="109">
        <f t="shared" si="69"/>
        <v>6.5989999999999993E-2</v>
      </c>
    </row>
    <row r="948" spans="1:9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1">
        <f t="shared" ref="F948:F1006" si="70">C948+D948+E948</f>
        <v>152.30000000000001</v>
      </c>
      <c r="G948" s="62">
        <f t="shared" si="68"/>
        <v>10.050276999999999</v>
      </c>
      <c r="H948" s="8">
        <f t="shared" si="67"/>
        <v>6.5989999999999993E-2</v>
      </c>
      <c r="I948" s="109">
        <f t="shared" si="69"/>
        <v>6.5989999999999993E-2</v>
      </c>
    </row>
    <row r="949" spans="1:9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1">
        <f t="shared" si="70"/>
        <v>239.4</v>
      </c>
      <c r="G949" s="62">
        <f t="shared" si="68"/>
        <v>15.798005999999999</v>
      </c>
      <c r="H949" s="8">
        <f t="shared" si="67"/>
        <v>6.5989999999999993E-2</v>
      </c>
      <c r="I949" s="109">
        <f t="shared" si="69"/>
        <v>6.5989999999999993E-2</v>
      </c>
    </row>
    <row r="950" spans="1:9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1">
        <f t="shared" si="70"/>
        <v>84.2</v>
      </c>
      <c r="G950" s="62">
        <f t="shared" si="68"/>
        <v>5.5563579999999995</v>
      </c>
      <c r="H950" s="8">
        <f t="shared" si="67"/>
        <v>6.5989999999999993E-2</v>
      </c>
      <c r="I950" s="109">
        <f t="shared" si="69"/>
        <v>6.5989999999999993E-2</v>
      </c>
    </row>
    <row r="951" spans="1:9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1">
        <f t="shared" si="70"/>
        <v>193.9</v>
      </c>
      <c r="G951" s="62">
        <f t="shared" si="68"/>
        <v>12.795461</v>
      </c>
      <c r="H951" s="8">
        <f t="shared" si="67"/>
        <v>6.5989999999999993E-2</v>
      </c>
      <c r="I951" s="109">
        <f t="shared" si="69"/>
        <v>6.5989999999999993E-2</v>
      </c>
    </row>
    <row r="952" spans="1:9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1">
        <f t="shared" si="70"/>
        <v>252.4</v>
      </c>
      <c r="G952" s="62">
        <f t="shared" si="68"/>
        <v>16.655875999999999</v>
      </c>
      <c r="H952" s="8">
        <f t="shared" si="67"/>
        <v>6.5989999999999993E-2</v>
      </c>
      <c r="I952" s="109">
        <f t="shared" si="69"/>
        <v>6.5989999999999993E-2</v>
      </c>
    </row>
    <row r="953" spans="1:9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1">
        <f t="shared" si="70"/>
        <v>79</v>
      </c>
      <c r="G953" s="62">
        <f t="shared" si="68"/>
        <v>5.2132099999999992</v>
      </c>
      <c r="H953" s="8">
        <f t="shared" si="67"/>
        <v>6.5989999999999993E-2</v>
      </c>
      <c r="I953" s="109">
        <f t="shared" si="69"/>
        <v>6.5989999999999993E-2</v>
      </c>
    </row>
    <row r="954" spans="1:9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1">
        <f t="shared" si="70"/>
        <v>549.69000000000005</v>
      </c>
      <c r="G954" s="62">
        <f t="shared" si="68"/>
        <v>36.2740431</v>
      </c>
      <c r="H954" s="8">
        <f t="shared" si="67"/>
        <v>6.5989999999999993E-2</v>
      </c>
      <c r="I954" s="109">
        <f t="shared" si="69"/>
        <v>6.5989999999999993E-2</v>
      </c>
    </row>
    <row r="955" spans="1:9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1">
        <f t="shared" si="70"/>
        <v>192.1</v>
      </c>
      <c r="G955" s="62">
        <f t="shared" si="68"/>
        <v>12.676678999999998</v>
      </c>
      <c r="H955" s="8">
        <f t="shared" si="67"/>
        <v>6.5989999999999993E-2</v>
      </c>
      <c r="I955" s="109">
        <f t="shared" si="69"/>
        <v>6.5989999999999993E-2</v>
      </c>
    </row>
    <row r="956" spans="1:9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1">
        <f t="shared" si="70"/>
        <v>166.8</v>
      </c>
      <c r="G956" s="62">
        <f t="shared" si="68"/>
        <v>11.007132</v>
      </c>
      <c r="H956" s="8">
        <f t="shared" si="67"/>
        <v>6.5989999999999993E-2</v>
      </c>
      <c r="I956" s="109">
        <f t="shared" si="69"/>
        <v>6.5989999999999993E-2</v>
      </c>
    </row>
    <row r="957" spans="1:9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1">
        <f t="shared" si="70"/>
        <v>119.9</v>
      </c>
      <c r="G957" s="62">
        <f t="shared" si="68"/>
        <v>7.9122009999999996</v>
      </c>
      <c r="H957" s="8">
        <f t="shared" si="67"/>
        <v>6.5989999999999993E-2</v>
      </c>
      <c r="I957" s="109">
        <f t="shared" si="69"/>
        <v>6.5989999999999993E-2</v>
      </c>
    </row>
    <row r="958" spans="1:9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1">
        <f t="shared" si="70"/>
        <v>188.7</v>
      </c>
      <c r="G958" s="62">
        <f t="shared" si="68"/>
        <v>12.452312999999998</v>
      </c>
      <c r="H958" s="8">
        <f t="shared" si="67"/>
        <v>6.5989999999999993E-2</v>
      </c>
      <c r="I958" s="109">
        <f t="shared" si="69"/>
        <v>6.5989999999999993E-2</v>
      </c>
    </row>
    <row r="959" spans="1:9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1">
        <f t="shared" si="70"/>
        <v>4734.5</v>
      </c>
      <c r="G959" s="62">
        <f t="shared" si="68"/>
        <v>312.42965499999997</v>
      </c>
      <c r="H959" s="8">
        <f t="shared" si="67"/>
        <v>6.5989999999999993E-2</v>
      </c>
      <c r="I959" s="109">
        <f t="shared" si="69"/>
        <v>6.5989999999999993E-2</v>
      </c>
    </row>
    <row r="960" spans="1:9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1">
        <f t="shared" si="70"/>
        <v>66.3</v>
      </c>
      <c r="G960" s="62">
        <f t="shared" si="68"/>
        <v>4.3751369999999996</v>
      </c>
      <c r="H960" s="8">
        <f t="shared" si="67"/>
        <v>6.5989999999999993E-2</v>
      </c>
      <c r="I960" s="109">
        <f t="shared" si="69"/>
        <v>6.5989999999999993E-2</v>
      </c>
    </row>
    <row r="961" spans="1:9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1">
        <f t="shared" si="70"/>
        <v>19.8</v>
      </c>
      <c r="G961" s="62">
        <f t="shared" si="68"/>
        <v>1.3066019999999998</v>
      </c>
      <c r="H961" s="8">
        <f t="shared" si="67"/>
        <v>6.5989999999999993E-2</v>
      </c>
      <c r="I961" s="109">
        <f t="shared" si="69"/>
        <v>6.5989999999999993E-2</v>
      </c>
    </row>
    <row r="962" spans="1:9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1">
        <f t="shared" si="70"/>
        <v>61.2</v>
      </c>
      <c r="G962" s="62">
        <f t="shared" si="68"/>
        <v>4.0385879999999998</v>
      </c>
      <c r="H962" s="8">
        <f t="shared" si="67"/>
        <v>6.5989999999999993E-2</v>
      </c>
      <c r="I962" s="109">
        <f t="shared" si="69"/>
        <v>6.5989999999999993E-2</v>
      </c>
    </row>
    <row r="963" spans="1:9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1">
        <f t="shared" si="70"/>
        <v>47.1</v>
      </c>
      <c r="G963" s="62">
        <f t="shared" si="68"/>
        <v>3.1081289999999999</v>
      </c>
      <c r="H963" s="8">
        <f t="shared" si="67"/>
        <v>6.5989999999999993E-2</v>
      </c>
      <c r="I963" s="109">
        <f t="shared" si="69"/>
        <v>6.5989999999999993E-2</v>
      </c>
    </row>
    <row r="964" spans="1:9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1">
        <f t="shared" si="70"/>
        <v>282.8</v>
      </c>
      <c r="G964" s="62">
        <f t="shared" si="68"/>
        <v>18.661971999999999</v>
      </c>
      <c r="H964" s="8">
        <f t="shared" si="67"/>
        <v>6.5989999999999993E-2</v>
      </c>
      <c r="I964" s="109">
        <f t="shared" si="69"/>
        <v>6.5989999999999993E-2</v>
      </c>
    </row>
    <row r="965" spans="1:9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1">
        <f t="shared" si="70"/>
        <v>46.6</v>
      </c>
      <c r="G965" s="62">
        <f t="shared" si="68"/>
        <v>3.0751339999999998</v>
      </c>
      <c r="H965" s="8">
        <f t="shared" si="67"/>
        <v>6.5989999999999993E-2</v>
      </c>
      <c r="I965" s="109">
        <f t="shared" si="69"/>
        <v>6.5989999999999993E-2</v>
      </c>
    </row>
    <row r="966" spans="1:9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1">
        <f t="shared" si="70"/>
        <v>3266.45</v>
      </c>
      <c r="G966" s="62">
        <f t="shared" si="68"/>
        <v>215.55303549999996</v>
      </c>
      <c r="H966" s="8">
        <f t="shared" si="67"/>
        <v>6.5989999999999993E-2</v>
      </c>
      <c r="I966" s="109">
        <f t="shared" si="69"/>
        <v>6.5989999999999993E-2</v>
      </c>
    </row>
    <row r="967" spans="1:9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1">
        <f t="shared" si="70"/>
        <v>3257.47</v>
      </c>
      <c r="G967" s="62">
        <f t="shared" si="68"/>
        <v>214.96044529999998</v>
      </c>
      <c r="H967" s="8">
        <f t="shared" si="67"/>
        <v>6.5989999999999993E-2</v>
      </c>
      <c r="I967" s="109">
        <f t="shared" si="69"/>
        <v>6.5989999999999993E-2</v>
      </c>
    </row>
    <row r="968" spans="1:9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1">
        <f t="shared" si="70"/>
        <v>24.3</v>
      </c>
      <c r="G968" s="62">
        <f t="shared" si="68"/>
        <v>1.6035569999999999</v>
      </c>
      <c r="H968" s="8">
        <f t="shared" si="67"/>
        <v>6.5989999999999993E-2</v>
      </c>
      <c r="I968" s="109">
        <f t="shared" si="69"/>
        <v>6.5989999999999993E-2</v>
      </c>
    </row>
    <row r="969" spans="1:9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1">
        <f t="shared" si="70"/>
        <v>4572.4000000000005</v>
      </c>
      <c r="G969" s="62">
        <f t="shared" si="68"/>
        <v>301.73267600000003</v>
      </c>
      <c r="H969" s="8">
        <f t="shared" si="67"/>
        <v>6.5989999999999993E-2</v>
      </c>
      <c r="I969" s="109">
        <f t="shared" si="69"/>
        <v>6.5989999999999993E-2</v>
      </c>
    </row>
    <row r="970" spans="1:9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1">
        <f t="shared" si="70"/>
        <v>140.30000000000001</v>
      </c>
      <c r="G970" s="62">
        <f t="shared" si="68"/>
        <v>9.2583970000000004</v>
      </c>
      <c r="H970" s="8">
        <f t="shared" si="67"/>
        <v>6.5989999999999993E-2</v>
      </c>
      <c r="I970" s="109">
        <f t="shared" si="69"/>
        <v>6.5989999999999993E-2</v>
      </c>
    </row>
    <row r="971" spans="1:9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1">
        <f t="shared" si="70"/>
        <v>427.4</v>
      </c>
      <c r="G971" s="62">
        <f t="shared" si="68"/>
        <v>28.204125999999995</v>
      </c>
      <c r="H971" s="8">
        <f t="shared" si="67"/>
        <v>6.5989999999999993E-2</v>
      </c>
      <c r="I971" s="109">
        <f t="shared" si="69"/>
        <v>6.5989999999999993E-2</v>
      </c>
    </row>
    <row r="972" spans="1:9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1">
        <f t="shared" si="70"/>
        <v>954</v>
      </c>
      <c r="G972" s="62">
        <f t="shared" si="68"/>
        <v>62.95445999999999</v>
      </c>
      <c r="H972" s="8">
        <f t="shared" si="67"/>
        <v>6.5989999999999993E-2</v>
      </c>
      <c r="I972" s="109">
        <f t="shared" si="69"/>
        <v>6.5989999999999993E-2</v>
      </c>
    </row>
    <row r="973" spans="1:9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1">
        <f t="shared" si="70"/>
        <v>202.5</v>
      </c>
      <c r="G973" s="62">
        <f t="shared" si="68"/>
        <v>13.362974999999999</v>
      </c>
      <c r="H973" s="8">
        <f t="shared" si="67"/>
        <v>6.5989999999999993E-2</v>
      </c>
      <c r="I973" s="109">
        <f t="shared" si="69"/>
        <v>6.5989999999999993E-2</v>
      </c>
    </row>
    <row r="974" spans="1:9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1">
        <f t="shared" si="70"/>
        <v>308.2</v>
      </c>
      <c r="G974" s="62">
        <f t="shared" si="68"/>
        <v>20.338117999999998</v>
      </c>
      <c r="H974" s="8">
        <f t="shared" si="67"/>
        <v>6.5989999999999993E-2</v>
      </c>
      <c r="I974" s="109">
        <f t="shared" si="69"/>
        <v>6.5989999999999993E-2</v>
      </c>
    </row>
    <row r="975" spans="1:9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1">
        <f t="shared" si="70"/>
        <v>44.1</v>
      </c>
      <c r="G975" s="62">
        <f t="shared" si="68"/>
        <v>2.9101589999999997</v>
      </c>
      <c r="H975" s="8">
        <f t="shared" si="67"/>
        <v>6.5989999999999993E-2</v>
      </c>
      <c r="I975" s="109">
        <f t="shared" si="69"/>
        <v>6.5989999999999993E-2</v>
      </c>
    </row>
    <row r="976" spans="1:9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1">
        <f t="shared" si="70"/>
        <v>236.79</v>
      </c>
      <c r="G976" s="62">
        <f t="shared" si="68"/>
        <v>15.625772099999997</v>
      </c>
      <c r="H976" s="8">
        <f t="shared" si="67"/>
        <v>6.5989999999999993E-2</v>
      </c>
      <c r="I976" s="109">
        <f t="shared" si="69"/>
        <v>6.5989999999999993E-2</v>
      </c>
    </row>
    <row r="977" spans="1:9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1">
        <f t="shared" si="70"/>
        <v>571.4</v>
      </c>
      <c r="G977" s="62">
        <f t="shared" si="68"/>
        <v>37.706685999999998</v>
      </c>
      <c r="H977" s="8">
        <f t="shared" si="67"/>
        <v>6.5989999999999993E-2</v>
      </c>
      <c r="I977" s="109">
        <f t="shared" si="69"/>
        <v>6.5989999999999993E-2</v>
      </c>
    </row>
    <row r="978" spans="1:9" s="6" customFormat="1" ht="13.5" customHeight="1">
      <c r="A978" s="285">
        <v>98</v>
      </c>
      <c r="B978" s="329" t="s">
        <v>933</v>
      </c>
      <c r="C978" s="803">
        <v>654.29999999999995</v>
      </c>
      <c r="D978" s="804"/>
      <c r="E978" s="804"/>
      <c r="F978" s="61">
        <f t="shared" si="70"/>
        <v>654.29999999999995</v>
      </c>
      <c r="G978" s="62">
        <f t="shared" si="68"/>
        <v>43.17725699999999</v>
      </c>
      <c r="H978" s="8">
        <f t="shared" si="67"/>
        <v>6.5989999999999993E-2</v>
      </c>
      <c r="I978" s="109">
        <f t="shared" si="69"/>
        <v>6.5989999999999993E-2</v>
      </c>
    </row>
    <row r="979" spans="1:9" s="6" customFormat="1" ht="13.5" customHeight="1">
      <c r="A979" s="285">
        <v>99</v>
      </c>
      <c r="B979" s="329" t="s">
        <v>934</v>
      </c>
      <c r="C979" s="803">
        <v>559.79999999999995</v>
      </c>
      <c r="D979" s="391"/>
      <c r="E979" s="804"/>
      <c r="F979" s="61">
        <f t="shared" si="70"/>
        <v>559.79999999999995</v>
      </c>
      <c r="G979" s="62">
        <f t="shared" si="68"/>
        <v>36.94120199999999</v>
      </c>
      <c r="H979" s="8">
        <f t="shared" si="67"/>
        <v>6.5989999999999993E-2</v>
      </c>
      <c r="I979" s="109">
        <f t="shared" si="69"/>
        <v>6.5989999999999993E-2</v>
      </c>
    </row>
    <row r="980" spans="1:9" s="6" customFormat="1" ht="13.5" customHeight="1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1">
        <f t="shared" si="70"/>
        <v>681</v>
      </c>
      <c r="G980" s="62">
        <f t="shared" si="68"/>
        <v>44.939189999999996</v>
      </c>
      <c r="H980" s="8">
        <f t="shared" si="67"/>
        <v>6.5989999999999993E-2</v>
      </c>
      <c r="I980" s="109">
        <f t="shared" si="69"/>
        <v>6.5989999999999993E-2</v>
      </c>
    </row>
    <row r="981" spans="1:9" s="6" customFormat="1" ht="13.5" customHeight="1">
      <c r="A981" s="285">
        <v>101</v>
      </c>
      <c r="B981" s="329" t="s">
        <v>936</v>
      </c>
      <c r="C981" s="803">
        <v>373.3</v>
      </c>
      <c r="D981" s="391"/>
      <c r="E981" s="804"/>
      <c r="F981" s="61">
        <f t="shared" si="70"/>
        <v>373.3</v>
      </c>
      <c r="G981" s="62">
        <f t="shared" si="68"/>
        <v>24.634066999999998</v>
      </c>
      <c r="H981" s="8">
        <f t="shared" si="67"/>
        <v>6.5989999999999993E-2</v>
      </c>
      <c r="I981" s="109">
        <f t="shared" si="69"/>
        <v>6.5989999999999993E-2</v>
      </c>
    </row>
    <row r="982" spans="1:9" s="6" customFormat="1" ht="13.5" customHeight="1">
      <c r="A982" s="285">
        <v>102</v>
      </c>
      <c r="B982" s="329" t="s">
        <v>937</v>
      </c>
      <c r="C982" s="803">
        <v>395.4</v>
      </c>
      <c r="D982" s="391"/>
      <c r="E982" s="804"/>
      <c r="F982" s="61">
        <f t="shared" si="70"/>
        <v>395.4</v>
      </c>
      <c r="G982" s="62">
        <f t="shared" si="68"/>
        <v>26.092445999999995</v>
      </c>
      <c r="H982" s="8">
        <f t="shared" si="67"/>
        <v>6.5989999999999993E-2</v>
      </c>
      <c r="I982" s="109">
        <f t="shared" si="69"/>
        <v>6.5989999999999993E-2</v>
      </c>
    </row>
    <row r="983" spans="1:9" s="6" customFormat="1" ht="13.5" customHeight="1">
      <c r="A983" s="285">
        <v>103</v>
      </c>
      <c r="B983" s="329" t="s">
        <v>938</v>
      </c>
      <c r="C983" s="803">
        <v>359.5</v>
      </c>
      <c r="D983" s="391"/>
      <c r="E983" s="804"/>
      <c r="F983" s="61">
        <f t="shared" si="70"/>
        <v>359.5</v>
      </c>
      <c r="G983" s="62">
        <f t="shared" si="68"/>
        <v>23.723404999999996</v>
      </c>
      <c r="H983" s="8">
        <f t="shared" si="67"/>
        <v>6.5989999999999993E-2</v>
      </c>
      <c r="I983" s="109">
        <f t="shared" si="69"/>
        <v>6.5989999999999993E-2</v>
      </c>
    </row>
    <row r="984" spans="1:9" s="6" customFormat="1" ht="13.5" customHeight="1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1">
        <f t="shared" si="70"/>
        <v>581.70000000000005</v>
      </c>
      <c r="G984" s="62">
        <f t="shared" si="68"/>
        <v>38.386383000000002</v>
      </c>
      <c r="H984" s="8">
        <f t="shared" si="67"/>
        <v>6.5989999999999993E-2</v>
      </c>
      <c r="I984" s="109">
        <f t="shared" si="69"/>
        <v>6.5989999999999993E-2</v>
      </c>
    </row>
    <row r="985" spans="1:9" s="6" customFormat="1" ht="13.5" customHeight="1">
      <c r="A985" s="285">
        <v>105</v>
      </c>
      <c r="B985" s="329" t="s">
        <v>940</v>
      </c>
      <c r="C985" s="803">
        <v>397</v>
      </c>
      <c r="D985" s="391"/>
      <c r="E985" s="804"/>
      <c r="F985" s="61">
        <f t="shared" si="70"/>
        <v>397</v>
      </c>
      <c r="G985" s="62">
        <f t="shared" si="68"/>
        <v>26.198029999999996</v>
      </c>
      <c r="H985" s="8">
        <f t="shared" si="67"/>
        <v>6.5989999999999993E-2</v>
      </c>
      <c r="I985" s="109">
        <f t="shared" si="69"/>
        <v>6.5989999999999993E-2</v>
      </c>
    </row>
    <row r="986" spans="1:9" s="6" customFormat="1" ht="13.5" customHeight="1">
      <c r="A986" s="285">
        <v>106</v>
      </c>
      <c r="B986" s="329" t="s">
        <v>941</v>
      </c>
      <c r="C986" s="803">
        <v>271.5</v>
      </c>
      <c r="D986" s="391"/>
      <c r="E986" s="804"/>
      <c r="F986" s="61">
        <f t="shared" si="70"/>
        <v>271.5</v>
      </c>
      <c r="G986" s="62">
        <f t="shared" si="68"/>
        <v>17.916284999999998</v>
      </c>
      <c r="H986" s="8">
        <f t="shared" si="67"/>
        <v>6.5989999999999993E-2</v>
      </c>
      <c r="I986" s="109">
        <f t="shared" si="69"/>
        <v>6.5989999999999993E-2</v>
      </c>
    </row>
    <row r="987" spans="1:9" s="6" customFormat="1" ht="13.5" customHeight="1">
      <c r="A987" s="285">
        <v>107</v>
      </c>
      <c r="B987" s="329" t="s">
        <v>942</v>
      </c>
      <c r="C987" s="803">
        <v>258.60000000000002</v>
      </c>
      <c r="D987" s="391"/>
      <c r="E987" s="804"/>
      <c r="F987" s="61">
        <f t="shared" si="70"/>
        <v>258.60000000000002</v>
      </c>
      <c r="G987" s="62">
        <f t="shared" si="68"/>
        <v>17.065014000000001</v>
      </c>
      <c r="H987" s="8">
        <f t="shared" si="67"/>
        <v>6.5989999999999993E-2</v>
      </c>
      <c r="I987" s="109">
        <f t="shared" si="69"/>
        <v>6.5989999999999993E-2</v>
      </c>
    </row>
    <row r="988" spans="1:9" s="6" customFormat="1" ht="13.5" customHeight="1">
      <c r="A988" s="285">
        <v>108</v>
      </c>
      <c r="B988" s="329" t="s">
        <v>943</v>
      </c>
      <c r="C988" s="803">
        <v>737.4</v>
      </c>
      <c r="D988" s="391"/>
      <c r="E988" s="804"/>
      <c r="F988" s="61">
        <f t="shared" si="70"/>
        <v>737.4</v>
      </c>
      <c r="G988" s="62">
        <f t="shared" si="68"/>
        <v>48.661025999999993</v>
      </c>
      <c r="H988" s="8">
        <f t="shared" ref="H988:H1051" si="71">0.06599</f>
        <v>6.5989999999999993E-2</v>
      </c>
      <c r="I988" s="109">
        <f t="shared" si="69"/>
        <v>6.5989999999999993E-2</v>
      </c>
    </row>
    <row r="989" spans="1:9" s="6" customFormat="1" ht="13.5" customHeight="1">
      <c r="A989" s="285">
        <v>109</v>
      </c>
      <c r="B989" s="329" t="s">
        <v>944</v>
      </c>
      <c r="C989" s="803">
        <v>473.4</v>
      </c>
      <c r="D989" s="391"/>
      <c r="E989" s="804"/>
      <c r="F989" s="61">
        <f t="shared" si="70"/>
        <v>473.4</v>
      </c>
      <c r="G989" s="62">
        <f t="shared" si="68"/>
        <v>31.239665999999996</v>
      </c>
      <c r="H989" s="8">
        <f t="shared" si="71"/>
        <v>6.5989999999999993E-2</v>
      </c>
      <c r="I989" s="109">
        <f t="shared" si="69"/>
        <v>6.5989999999999993E-2</v>
      </c>
    </row>
    <row r="990" spans="1:9" s="6" customFormat="1" ht="13.5" customHeight="1">
      <c r="A990" s="285">
        <v>110</v>
      </c>
      <c r="B990" s="329" t="s">
        <v>945</v>
      </c>
      <c r="C990" s="803">
        <v>320.60000000000002</v>
      </c>
      <c r="D990" s="391"/>
      <c r="E990" s="804"/>
      <c r="F990" s="61">
        <f t="shared" si="70"/>
        <v>320.60000000000002</v>
      </c>
      <c r="G990" s="62">
        <f t="shared" si="68"/>
        <v>21.156393999999999</v>
      </c>
      <c r="H990" s="8">
        <f t="shared" si="71"/>
        <v>6.5989999999999993E-2</v>
      </c>
      <c r="I990" s="109">
        <f t="shared" si="69"/>
        <v>6.5989999999999993E-2</v>
      </c>
    </row>
    <row r="991" spans="1:9" s="6" customFormat="1" ht="13.5" customHeight="1">
      <c r="A991" s="285">
        <v>111</v>
      </c>
      <c r="B991" s="329" t="s">
        <v>946</v>
      </c>
      <c r="C991" s="803">
        <v>963.8</v>
      </c>
      <c r="D991" s="391"/>
      <c r="E991" s="804"/>
      <c r="F991" s="61">
        <f t="shared" si="70"/>
        <v>963.8</v>
      </c>
      <c r="G991" s="62">
        <f t="shared" si="68"/>
        <v>63.601161999999988</v>
      </c>
      <c r="H991" s="8">
        <f t="shared" si="71"/>
        <v>6.5989999999999993E-2</v>
      </c>
      <c r="I991" s="109">
        <f t="shared" si="69"/>
        <v>6.5989999999999993E-2</v>
      </c>
    </row>
    <row r="992" spans="1:9" s="6" customFormat="1" ht="13.5" customHeight="1">
      <c r="A992" s="285">
        <v>112</v>
      </c>
      <c r="B992" s="329" t="s">
        <v>947</v>
      </c>
      <c r="C992" s="803">
        <v>143.69999999999999</v>
      </c>
      <c r="D992" s="391"/>
      <c r="E992" s="804"/>
      <c r="F992" s="61">
        <f t="shared" si="70"/>
        <v>143.69999999999999</v>
      </c>
      <c r="G992" s="62">
        <f t="shared" si="68"/>
        <v>9.4827629999999985</v>
      </c>
      <c r="H992" s="8">
        <f t="shared" si="71"/>
        <v>6.5989999999999993E-2</v>
      </c>
      <c r="I992" s="109">
        <f t="shared" si="69"/>
        <v>6.5989999999999993E-2</v>
      </c>
    </row>
    <row r="993" spans="1:9" s="6" customFormat="1" ht="13.5" customHeight="1">
      <c r="A993" s="285">
        <v>113</v>
      </c>
      <c r="B993" s="329" t="s">
        <v>948</v>
      </c>
      <c r="C993" s="803">
        <v>136.80000000000001</v>
      </c>
      <c r="D993" s="391"/>
      <c r="E993" s="804"/>
      <c r="F993" s="61">
        <f t="shared" si="70"/>
        <v>136.80000000000001</v>
      </c>
      <c r="G993" s="62">
        <f t="shared" si="68"/>
        <v>9.0274319999999992</v>
      </c>
      <c r="H993" s="8">
        <f t="shared" si="71"/>
        <v>6.5989999999999993E-2</v>
      </c>
      <c r="I993" s="109">
        <f t="shared" si="69"/>
        <v>6.5989999999999993E-2</v>
      </c>
    </row>
    <row r="994" spans="1:9" s="6" customFormat="1" ht="13.5" customHeight="1">
      <c r="A994" s="285">
        <v>114</v>
      </c>
      <c r="B994" s="329" t="s">
        <v>949</v>
      </c>
      <c r="C994" s="803">
        <v>128.1</v>
      </c>
      <c r="D994" s="391"/>
      <c r="E994" s="804"/>
      <c r="F994" s="61">
        <f t="shared" si="70"/>
        <v>128.1</v>
      </c>
      <c r="G994" s="62">
        <f t="shared" si="68"/>
        <v>8.4533189999999987</v>
      </c>
      <c r="H994" s="8">
        <f t="shared" si="71"/>
        <v>6.5989999999999993E-2</v>
      </c>
      <c r="I994" s="109">
        <f t="shared" si="69"/>
        <v>6.5989999999999993E-2</v>
      </c>
    </row>
    <row r="995" spans="1:9" s="6" customFormat="1" ht="13.5" customHeight="1">
      <c r="A995" s="285">
        <v>115</v>
      </c>
      <c r="B995" s="329" t="s">
        <v>950</v>
      </c>
      <c r="C995" s="803">
        <v>72.5</v>
      </c>
      <c r="D995" s="391"/>
      <c r="E995" s="804"/>
      <c r="F995" s="61">
        <f t="shared" si="70"/>
        <v>72.5</v>
      </c>
      <c r="G995" s="62">
        <f t="shared" si="68"/>
        <v>4.7842749999999992</v>
      </c>
      <c r="H995" s="8">
        <f t="shared" si="71"/>
        <v>6.5989999999999993E-2</v>
      </c>
      <c r="I995" s="109">
        <f t="shared" si="69"/>
        <v>6.5989999999999993E-2</v>
      </c>
    </row>
    <row r="996" spans="1:9" s="6" customFormat="1" ht="13.5" customHeight="1">
      <c r="A996" s="285">
        <v>116</v>
      </c>
      <c r="B996" s="329" t="s">
        <v>951</v>
      </c>
      <c r="C996" s="803">
        <v>237.6</v>
      </c>
      <c r="D996" s="391"/>
      <c r="E996" s="804"/>
      <c r="F996" s="61">
        <f t="shared" si="70"/>
        <v>237.6</v>
      </c>
      <c r="G996" s="62">
        <f t="shared" si="68"/>
        <v>15.679223999999998</v>
      </c>
      <c r="H996" s="8">
        <f t="shared" si="71"/>
        <v>6.5989999999999993E-2</v>
      </c>
      <c r="I996" s="109">
        <f t="shared" si="69"/>
        <v>6.5989999999999993E-2</v>
      </c>
    </row>
    <row r="997" spans="1:9" s="6" customFormat="1" ht="13.5" customHeight="1">
      <c r="A997" s="285">
        <v>117</v>
      </c>
      <c r="B997" s="329" t="s">
        <v>952</v>
      </c>
      <c r="C997" s="803">
        <v>106.4</v>
      </c>
      <c r="D997" s="391"/>
      <c r="E997" s="804"/>
      <c r="F997" s="61">
        <f t="shared" si="70"/>
        <v>106.4</v>
      </c>
      <c r="G997" s="62">
        <f t="shared" si="68"/>
        <v>7.0213359999999998</v>
      </c>
      <c r="H997" s="8">
        <f t="shared" si="71"/>
        <v>6.5989999999999993E-2</v>
      </c>
      <c r="I997" s="109">
        <f t="shared" si="69"/>
        <v>6.5989999999999993E-2</v>
      </c>
    </row>
    <row r="998" spans="1:9" s="6" customFormat="1" ht="13.5" customHeight="1">
      <c r="A998" s="285">
        <v>118</v>
      </c>
      <c r="B998" s="329" t="s">
        <v>953</v>
      </c>
      <c r="C998" s="803">
        <v>348.62</v>
      </c>
      <c r="D998" s="391"/>
      <c r="E998" s="804"/>
      <c r="F998" s="61">
        <f t="shared" si="70"/>
        <v>348.62</v>
      </c>
      <c r="G998" s="62">
        <f t="shared" si="68"/>
        <v>23.005433799999999</v>
      </c>
      <c r="H998" s="8">
        <f t="shared" si="71"/>
        <v>6.5989999999999993E-2</v>
      </c>
      <c r="I998" s="109">
        <f t="shared" si="69"/>
        <v>6.5989999999999993E-2</v>
      </c>
    </row>
    <row r="999" spans="1:9" s="6" customFormat="1" ht="13.5" customHeight="1">
      <c r="A999" s="285">
        <v>119</v>
      </c>
      <c r="B999" s="329" t="s">
        <v>954</v>
      </c>
      <c r="C999" s="803">
        <v>360.12</v>
      </c>
      <c r="D999" s="391"/>
      <c r="E999" s="804"/>
      <c r="F999" s="61">
        <f t="shared" si="70"/>
        <v>360.12</v>
      </c>
      <c r="G999" s="62">
        <f t="shared" si="68"/>
        <v>23.764318799999998</v>
      </c>
      <c r="H999" s="8">
        <f t="shared" si="71"/>
        <v>6.5989999999999993E-2</v>
      </c>
      <c r="I999" s="109">
        <f t="shared" si="69"/>
        <v>6.5989999999999993E-2</v>
      </c>
    </row>
    <row r="1000" spans="1:9" s="6" customFormat="1" ht="13.5" customHeight="1">
      <c r="A1000" s="285">
        <v>120</v>
      </c>
      <c r="B1000" s="329" t="s">
        <v>955</v>
      </c>
      <c r="C1000" s="803">
        <v>301.69</v>
      </c>
      <c r="D1000" s="391"/>
      <c r="E1000" s="804"/>
      <c r="F1000" s="61">
        <f t="shared" si="70"/>
        <v>301.69</v>
      </c>
      <c r="G1000" s="62">
        <f t="shared" si="68"/>
        <v>19.908523099999996</v>
      </c>
      <c r="H1000" s="8">
        <f t="shared" si="71"/>
        <v>6.5989999999999993E-2</v>
      </c>
      <c r="I1000" s="109">
        <f t="shared" si="69"/>
        <v>6.5989999999999993E-2</v>
      </c>
    </row>
    <row r="1001" spans="1:9" s="6" customFormat="1" ht="13.5" customHeight="1">
      <c r="A1001" s="285">
        <v>121</v>
      </c>
      <c r="B1001" s="329" t="s">
        <v>956</v>
      </c>
      <c r="C1001" s="803">
        <v>136.1</v>
      </c>
      <c r="D1001" s="391"/>
      <c r="E1001" s="804"/>
      <c r="F1001" s="61">
        <f t="shared" si="70"/>
        <v>136.1</v>
      </c>
      <c r="G1001" s="62">
        <f t="shared" si="68"/>
        <v>8.9812389999999986</v>
      </c>
      <c r="H1001" s="8">
        <f t="shared" si="71"/>
        <v>6.5989999999999993E-2</v>
      </c>
      <c r="I1001" s="109">
        <f t="shared" si="69"/>
        <v>6.5989999999999993E-2</v>
      </c>
    </row>
    <row r="1002" spans="1:9" s="6" customFormat="1" ht="13.5" customHeight="1">
      <c r="A1002" s="285">
        <v>122</v>
      </c>
      <c r="B1002" s="329" t="s">
        <v>957</v>
      </c>
      <c r="C1002" s="803">
        <v>113.9</v>
      </c>
      <c r="D1002" s="391"/>
      <c r="E1002" s="804"/>
      <c r="F1002" s="61">
        <f t="shared" si="70"/>
        <v>113.9</v>
      </c>
      <c r="G1002" s="62">
        <f t="shared" si="68"/>
        <v>7.5162609999999992</v>
      </c>
      <c r="H1002" s="8">
        <f t="shared" si="71"/>
        <v>6.5989999999999993E-2</v>
      </c>
      <c r="I1002" s="109">
        <f t="shared" si="69"/>
        <v>6.5989999999999993E-2</v>
      </c>
    </row>
    <row r="1003" spans="1:9" s="6" customFormat="1" ht="13.5" customHeight="1">
      <c r="A1003" s="285">
        <v>123</v>
      </c>
      <c r="B1003" s="329" t="s">
        <v>958</v>
      </c>
      <c r="C1003" s="803">
        <v>566.45000000000005</v>
      </c>
      <c r="D1003" s="391"/>
      <c r="E1003" s="804"/>
      <c r="F1003" s="61">
        <f t="shared" si="70"/>
        <v>566.45000000000005</v>
      </c>
      <c r="G1003" s="62">
        <f t="shared" si="68"/>
        <v>37.380035499999998</v>
      </c>
      <c r="H1003" s="8">
        <f t="shared" si="71"/>
        <v>6.5989999999999993E-2</v>
      </c>
      <c r="I1003" s="109">
        <f t="shared" si="69"/>
        <v>6.5989999999999993E-2</v>
      </c>
    </row>
    <row r="1004" spans="1:9" s="6" customFormat="1" ht="13.5" customHeight="1">
      <c r="A1004" s="285">
        <v>124</v>
      </c>
      <c r="B1004" s="329" t="s">
        <v>959</v>
      </c>
      <c r="C1004" s="803">
        <v>760.45</v>
      </c>
      <c r="D1004" s="391"/>
      <c r="E1004" s="804"/>
      <c r="F1004" s="61">
        <f t="shared" si="70"/>
        <v>760.45</v>
      </c>
      <c r="G1004" s="62">
        <f t="shared" ref="G1004:G1065" si="72">F1004*H1004</f>
        <v>50.182095499999996</v>
      </c>
      <c r="H1004" s="8">
        <f t="shared" si="71"/>
        <v>6.5989999999999993E-2</v>
      </c>
      <c r="I1004" s="109">
        <f t="shared" ref="I1004:I1065" si="73">G1004/F1004</f>
        <v>6.5989999999999993E-2</v>
      </c>
    </row>
    <row r="1005" spans="1:9" s="6" customFormat="1" ht="13.5" customHeight="1">
      <c r="A1005" s="285">
        <v>125</v>
      </c>
      <c r="B1005" s="329" t="s">
        <v>960</v>
      </c>
      <c r="C1005" s="803">
        <v>275.3</v>
      </c>
      <c r="D1005" s="391"/>
      <c r="E1005" s="804"/>
      <c r="F1005" s="61">
        <f t="shared" si="70"/>
        <v>275.3</v>
      </c>
      <c r="G1005" s="62">
        <f t="shared" si="72"/>
        <v>18.167047</v>
      </c>
      <c r="H1005" s="8">
        <f t="shared" si="71"/>
        <v>6.5989999999999993E-2</v>
      </c>
      <c r="I1005" s="109">
        <f t="shared" si="73"/>
        <v>6.5989999999999993E-2</v>
      </c>
    </row>
    <row r="1006" spans="1:9" s="6" customFormat="1" ht="13.5" customHeight="1">
      <c r="A1006" s="285">
        <v>126</v>
      </c>
      <c r="B1006" s="329" t="s">
        <v>961</v>
      </c>
      <c r="C1006" s="803">
        <v>384.4</v>
      </c>
      <c r="D1006" s="391"/>
      <c r="E1006" s="804"/>
      <c r="F1006" s="61">
        <f t="shared" si="70"/>
        <v>384.4</v>
      </c>
      <c r="G1006" s="62">
        <f t="shared" si="72"/>
        <v>25.366555999999996</v>
      </c>
      <c r="H1006" s="8">
        <f t="shared" si="71"/>
        <v>6.5989999999999993E-2</v>
      </c>
      <c r="I1006" s="109">
        <f t="shared" si="73"/>
        <v>6.5989999999999993E-2</v>
      </c>
    </row>
    <row r="1007" spans="1:9" s="6" customFormat="1" ht="13.5" customHeight="1">
      <c r="A1007" s="285">
        <v>127</v>
      </c>
      <c r="B1007" s="329" t="s">
        <v>962</v>
      </c>
      <c r="C1007" s="803">
        <v>207.2</v>
      </c>
      <c r="D1007" s="391"/>
      <c r="E1007" s="804"/>
      <c r="F1007" s="61">
        <f t="shared" ref="F1007:F1068" si="74">C1007+D1007+E1007</f>
        <v>207.2</v>
      </c>
      <c r="G1007" s="62">
        <f t="shared" si="72"/>
        <v>13.673127999999998</v>
      </c>
      <c r="H1007" s="8">
        <f t="shared" si="71"/>
        <v>6.5989999999999993E-2</v>
      </c>
      <c r="I1007" s="109">
        <f t="shared" si="73"/>
        <v>6.5989999999999993E-2</v>
      </c>
    </row>
    <row r="1008" spans="1:9" s="6" customFormat="1" ht="13.5" customHeight="1">
      <c r="A1008" s="285">
        <v>128</v>
      </c>
      <c r="B1008" s="329" t="s">
        <v>963</v>
      </c>
      <c r="C1008" s="803">
        <v>603.70000000000005</v>
      </c>
      <c r="D1008" s="391"/>
      <c r="E1008" s="804"/>
      <c r="F1008" s="61">
        <f t="shared" si="74"/>
        <v>603.70000000000005</v>
      </c>
      <c r="G1008" s="62">
        <f t="shared" si="72"/>
        <v>39.838163000000002</v>
      </c>
      <c r="H1008" s="8">
        <f t="shared" si="71"/>
        <v>6.5989999999999993E-2</v>
      </c>
      <c r="I1008" s="109">
        <f t="shared" si="73"/>
        <v>6.5989999999999993E-2</v>
      </c>
    </row>
    <row r="1009" spans="1:9" s="6" customFormat="1" ht="13.5" customHeight="1">
      <c r="A1009" s="285">
        <v>129</v>
      </c>
      <c r="B1009" s="329" t="s">
        <v>964</v>
      </c>
      <c r="C1009" s="803">
        <v>477.8</v>
      </c>
      <c r="D1009" s="391"/>
      <c r="E1009" s="804"/>
      <c r="F1009" s="61">
        <f t="shared" si="74"/>
        <v>477.8</v>
      </c>
      <c r="G1009" s="62">
        <f t="shared" si="72"/>
        <v>31.530021999999999</v>
      </c>
      <c r="H1009" s="8">
        <f t="shared" si="71"/>
        <v>6.5989999999999993E-2</v>
      </c>
      <c r="I1009" s="109">
        <f t="shared" si="73"/>
        <v>6.5989999999999993E-2</v>
      </c>
    </row>
    <row r="1010" spans="1:9" s="6" customFormat="1" ht="13.5" customHeight="1">
      <c r="A1010" s="285">
        <v>130</v>
      </c>
      <c r="B1010" s="329" t="s">
        <v>965</v>
      </c>
      <c r="C1010" s="803">
        <v>481.5</v>
      </c>
      <c r="D1010" s="391"/>
      <c r="E1010" s="804"/>
      <c r="F1010" s="61">
        <f t="shared" si="74"/>
        <v>481.5</v>
      </c>
      <c r="G1010" s="62">
        <f t="shared" si="72"/>
        <v>31.774184999999996</v>
      </c>
      <c r="H1010" s="8">
        <f t="shared" si="71"/>
        <v>6.5989999999999993E-2</v>
      </c>
      <c r="I1010" s="109">
        <f t="shared" si="73"/>
        <v>6.5989999999999993E-2</v>
      </c>
    </row>
    <row r="1011" spans="1:9" s="6" customFormat="1" ht="13.5" customHeight="1">
      <c r="A1011" s="285">
        <v>131</v>
      </c>
      <c r="B1011" s="329" t="s">
        <v>966</v>
      </c>
      <c r="C1011" s="803">
        <v>539.4</v>
      </c>
      <c r="D1011" s="391"/>
      <c r="E1011" s="804"/>
      <c r="F1011" s="61">
        <f t="shared" si="74"/>
        <v>539.4</v>
      </c>
      <c r="G1011" s="62">
        <f t="shared" si="72"/>
        <v>35.595005999999998</v>
      </c>
      <c r="H1011" s="8">
        <f t="shared" si="71"/>
        <v>6.5989999999999993E-2</v>
      </c>
      <c r="I1011" s="109">
        <f t="shared" si="73"/>
        <v>6.5989999999999993E-2</v>
      </c>
    </row>
    <row r="1012" spans="1:9" s="6" customFormat="1" ht="13.5" customHeight="1">
      <c r="A1012" s="285">
        <v>132</v>
      </c>
      <c r="B1012" s="329" t="s">
        <v>967</v>
      </c>
      <c r="C1012" s="803">
        <v>120.6</v>
      </c>
      <c r="D1012" s="391"/>
      <c r="E1012" s="804"/>
      <c r="F1012" s="61">
        <f t="shared" si="74"/>
        <v>120.6</v>
      </c>
      <c r="G1012" s="62">
        <f t="shared" si="72"/>
        <v>7.9583939999999984</v>
      </c>
      <c r="H1012" s="8">
        <f t="shared" si="71"/>
        <v>6.5989999999999993E-2</v>
      </c>
      <c r="I1012" s="109">
        <f t="shared" si="73"/>
        <v>6.5989999999999993E-2</v>
      </c>
    </row>
    <row r="1013" spans="1:9" s="6" customFormat="1" ht="13.5" customHeight="1">
      <c r="A1013" s="285">
        <v>133</v>
      </c>
      <c r="B1013" s="329" t="s">
        <v>968</v>
      </c>
      <c r="C1013" s="803">
        <v>98.1</v>
      </c>
      <c r="D1013" s="391"/>
      <c r="E1013" s="804"/>
      <c r="F1013" s="61">
        <f t="shared" si="74"/>
        <v>98.1</v>
      </c>
      <c r="G1013" s="62">
        <f t="shared" si="72"/>
        <v>6.4736189999999993</v>
      </c>
      <c r="H1013" s="8">
        <f t="shared" si="71"/>
        <v>6.5989999999999993E-2</v>
      </c>
      <c r="I1013" s="109">
        <f t="shared" si="73"/>
        <v>6.5989999999999993E-2</v>
      </c>
    </row>
    <row r="1014" spans="1:9" s="6" customFormat="1" ht="13.5" customHeight="1">
      <c r="A1014" s="285">
        <v>134</v>
      </c>
      <c r="B1014" s="329" t="s">
        <v>969</v>
      </c>
      <c r="C1014" s="803">
        <v>95.2</v>
      </c>
      <c r="D1014" s="391"/>
      <c r="E1014" s="804"/>
      <c r="F1014" s="61">
        <f t="shared" si="74"/>
        <v>95.2</v>
      </c>
      <c r="G1014" s="62">
        <f t="shared" si="72"/>
        <v>6.2822479999999992</v>
      </c>
      <c r="H1014" s="8">
        <f t="shared" si="71"/>
        <v>6.5989999999999993E-2</v>
      </c>
      <c r="I1014" s="109">
        <f t="shared" si="73"/>
        <v>6.5989999999999993E-2</v>
      </c>
    </row>
    <row r="1015" spans="1:9" s="6" customFormat="1" ht="13.5" customHeight="1">
      <c r="A1015" s="285">
        <v>135</v>
      </c>
      <c r="B1015" s="329" t="s">
        <v>970</v>
      </c>
      <c r="C1015" s="803">
        <v>2329.16</v>
      </c>
      <c r="D1015" s="391"/>
      <c r="E1015" s="804"/>
      <c r="F1015" s="61">
        <f t="shared" si="74"/>
        <v>2329.16</v>
      </c>
      <c r="G1015" s="62">
        <f t="shared" si="72"/>
        <v>153.70126839999998</v>
      </c>
      <c r="H1015" s="8">
        <f t="shared" si="71"/>
        <v>6.5989999999999993E-2</v>
      </c>
      <c r="I1015" s="109">
        <f t="shared" si="73"/>
        <v>6.5989999999999993E-2</v>
      </c>
    </row>
    <row r="1016" spans="1:9" s="6" customFormat="1" ht="13.5" customHeight="1">
      <c r="A1016" s="285">
        <v>136</v>
      </c>
      <c r="B1016" s="329" t="s">
        <v>971</v>
      </c>
      <c r="C1016" s="806">
        <v>188</v>
      </c>
      <c r="D1016" s="391"/>
      <c r="E1016" s="804"/>
      <c r="F1016" s="61">
        <f t="shared" si="74"/>
        <v>188</v>
      </c>
      <c r="G1016" s="62">
        <f t="shared" si="72"/>
        <v>12.406119999999998</v>
      </c>
      <c r="H1016" s="8">
        <f t="shared" si="71"/>
        <v>6.5989999999999993E-2</v>
      </c>
      <c r="I1016" s="109">
        <f t="shared" si="73"/>
        <v>6.5989999999999993E-2</v>
      </c>
    </row>
    <row r="1017" spans="1:9" s="6" customFormat="1" ht="13.5" customHeight="1">
      <c r="A1017" s="285">
        <v>137</v>
      </c>
      <c r="B1017" s="329" t="s">
        <v>972</v>
      </c>
      <c r="C1017" s="803">
        <v>110.1</v>
      </c>
      <c r="D1017" s="391"/>
      <c r="E1017" s="804"/>
      <c r="F1017" s="61">
        <f t="shared" si="74"/>
        <v>110.1</v>
      </c>
      <c r="G1017" s="62">
        <f t="shared" si="72"/>
        <v>7.2654989999999993</v>
      </c>
      <c r="H1017" s="8">
        <f t="shared" si="71"/>
        <v>6.5989999999999993E-2</v>
      </c>
      <c r="I1017" s="109">
        <f t="shared" si="73"/>
        <v>6.5989999999999993E-2</v>
      </c>
    </row>
    <row r="1018" spans="1:9" s="6" customFormat="1" ht="13.5" customHeight="1">
      <c r="A1018" s="285">
        <v>138</v>
      </c>
      <c r="B1018" s="329" t="s">
        <v>973</v>
      </c>
      <c r="C1018" s="803">
        <v>215.8</v>
      </c>
      <c r="D1018" s="391"/>
      <c r="E1018" s="804"/>
      <c r="F1018" s="61">
        <f t="shared" si="74"/>
        <v>215.8</v>
      </c>
      <c r="G1018" s="62">
        <f t="shared" si="72"/>
        <v>14.240641999999999</v>
      </c>
      <c r="H1018" s="8">
        <f t="shared" si="71"/>
        <v>6.5989999999999993E-2</v>
      </c>
      <c r="I1018" s="109">
        <f t="shared" si="73"/>
        <v>6.5989999999999993E-2</v>
      </c>
    </row>
    <row r="1019" spans="1:9" s="6" customFormat="1" ht="13.5" customHeight="1">
      <c r="A1019" s="285">
        <v>139</v>
      </c>
      <c r="B1019" s="329" t="s">
        <v>974</v>
      </c>
      <c r="C1019" s="803">
        <v>1481.3</v>
      </c>
      <c r="D1019" s="391"/>
      <c r="E1019" s="804"/>
      <c r="F1019" s="61">
        <f t="shared" si="74"/>
        <v>1481.3</v>
      </c>
      <c r="G1019" s="62">
        <f t="shared" si="72"/>
        <v>97.750986999999981</v>
      </c>
      <c r="H1019" s="8">
        <f t="shared" si="71"/>
        <v>6.5989999999999993E-2</v>
      </c>
      <c r="I1019" s="109">
        <f t="shared" si="73"/>
        <v>6.5989999999999993E-2</v>
      </c>
    </row>
    <row r="1020" spans="1:9" s="6" customFormat="1" ht="13.5" customHeight="1">
      <c r="A1020" s="285">
        <v>140</v>
      </c>
      <c r="B1020" s="329" t="s">
        <v>975</v>
      </c>
      <c r="C1020" s="803">
        <v>152.6</v>
      </c>
      <c r="D1020" s="391"/>
      <c r="E1020" s="804"/>
      <c r="F1020" s="61">
        <f t="shared" si="74"/>
        <v>152.6</v>
      </c>
      <c r="G1020" s="62">
        <f t="shared" si="72"/>
        <v>10.070073999999998</v>
      </c>
      <c r="H1020" s="8">
        <f t="shared" si="71"/>
        <v>6.5989999999999993E-2</v>
      </c>
      <c r="I1020" s="109">
        <f t="shared" si="73"/>
        <v>6.5989999999999993E-2</v>
      </c>
    </row>
    <row r="1021" spans="1:9" s="6" customFormat="1" ht="13.5" customHeight="1">
      <c r="A1021" s="285">
        <v>141</v>
      </c>
      <c r="B1021" s="329" t="s">
        <v>976</v>
      </c>
      <c r="C1021" s="803">
        <v>110.9</v>
      </c>
      <c r="D1021" s="391"/>
      <c r="E1021" s="804"/>
      <c r="F1021" s="61">
        <f t="shared" si="74"/>
        <v>110.9</v>
      </c>
      <c r="G1021" s="62">
        <f t="shared" si="72"/>
        <v>7.3182909999999994</v>
      </c>
      <c r="H1021" s="8">
        <f t="shared" si="71"/>
        <v>6.5989999999999993E-2</v>
      </c>
      <c r="I1021" s="109">
        <f t="shared" si="73"/>
        <v>6.5989999999999993E-2</v>
      </c>
    </row>
    <row r="1022" spans="1:9" s="6" customFormat="1" ht="13.5" customHeight="1">
      <c r="A1022" s="285">
        <v>142</v>
      </c>
      <c r="B1022" s="329" t="s">
        <v>977</v>
      </c>
      <c r="C1022" s="803">
        <v>59.5</v>
      </c>
      <c r="D1022" s="391"/>
      <c r="E1022" s="804"/>
      <c r="F1022" s="61">
        <f t="shared" si="74"/>
        <v>59.5</v>
      </c>
      <c r="G1022" s="62">
        <f t="shared" si="72"/>
        <v>3.9264049999999995</v>
      </c>
      <c r="H1022" s="8">
        <f t="shared" si="71"/>
        <v>6.5989999999999993E-2</v>
      </c>
      <c r="I1022" s="109">
        <f t="shared" si="73"/>
        <v>6.5989999999999993E-2</v>
      </c>
    </row>
    <row r="1023" spans="1:9" s="6" customFormat="1" ht="13.5" customHeight="1">
      <c r="A1023" s="285">
        <v>143</v>
      </c>
      <c r="B1023" s="329" t="s">
        <v>978</v>
      </c>
      <c r="C1023" s="803">
        <v>38.700000000000003</v>
      </c>
      <c r="D1023" s="391"/>
      <c r="E1023" s="804"/>
      <c r="F1023" s="61">
        <f t="shared" si="74"/>
        <v>38.700000000000003</v>
      </c>
      <c r="G1023" s="62">
        <f t="shared" si="72"/>
        <v>2.5538129999999999</v>
      </c>
      <c r="H1023" s="8">
        <f t="shared" si="71"/>
        <v>6.5989999999999993E-2</v>
      </c>
      <c r="I1023" s="109">
        <f t="shared" si="73"/>
        <v>6.5989999999999993E-2</v>
      </c>
    </row>
    <row r="1024" spans="1:9" s="6" customFormat="1" ht="13.5" customHeight="1">
      <c r="A1024" s="285">
        <v>144</v>
      </c>
      <c r="B1024" s="329" t="s">
        <v>979</v>
      </c>
      <c r="C1024" s="803">
        <v>72.3</v>
      </c>
      <c r="D1024" s="391"/>
      <c r="E1024" s="804"/>
      <c r="F1024" s="61">
        <f t="shared" si="74"/>
        <v>72.3</v>
      </c>
      <c r="G1024" s="62">
        <f t="shared" si="72"/>
        <v>4.7710769999999991</v>
      </c>
      <c r="H1024" s="8">
        <f t="shared" si="71"/>
        <v>6.5989999999999993E-2</v>
      </c>
      <c r="I1024" s="109">
        <f t="shared" si="73"/>
        <v>6.5989999999999993E-2</v>
      </c>
    </row>
    <row r="1025" spans="1:9" s="6" customFormat="1" ht="13.5" customHeight="1">
      <c r="A1025" s="285">
        <v>145</v>
      </c>
      <c r="B1025" s="329" t="s">
        <v>980</v>
      </c>
      <c r="C1025" s="803">
        <v>99.09</v>
      </c>
      <c r="D1025" s="391"/>
      <c r="E1025" s="804"/>
      <c r="F1025" s="61">
        <f t="shared" si="74"/>
        <v>99.09</v>
      </c>
      <c r="G1025" s="62">
        <f t="shared" si="72"/>
        <v>6.5389491</v>
      </c>
      <c r="H1025" s="8">
        <f t="shared" si="71"/>
        <v>6.5989999999999993E-2</v>
      </c>
      <c r="I1025" s="109">
        <f t="shared" si="73"/>
        <v>6.5989999999999993E-2</v>
      </c>
    </row>
    <row r="1026" spans="1:9" s="6" customFormat="1" ht="13.5" customHeight="1">
      <c r="A1026" s="285">
        <v>146</v>
      </c>
      <c r="B1026" s="329" t="s">
        <v>981</v>
      </c>
      <c r="C1026" s="803">
        <v>78.7</v>
      </c>
      <c r="D1026" s="391"/>
      <c r="E1026" s="804"/>
      <c r="F1026" s="61">
        <f t="shared" si="74"/>
        <v>78.7</v>
      </c>
      <c r="G1026" s="62">
        <f t="shared" si="72"/>
        <v>5.1934129999999996</v>
      </c>
      <c r="H1026" s="8">
        <f t="shared" si="71"/>
        <v>6.5989999999999993E-2</v>
      </c>
      <c r="I1026" s="109">
        <f t="shared" si="73"/>
        <v>6.5989999999999993E-2</v>
      </c>
    </row>
    <row r="1027" spans="1:9" s="6" customFormat="1" ht="13.5" customHeight="1">
      <c r="A1027" s="285">
        <v>147</v>
      </c>
      <c r="B1027" s="329" t="s">
        <v>982</v>
      </c>
      <c r="C1027" s="803">
        <v>557.9</v>
      </c>
      <c r="D1027" s="391"/>
      <c r="E1027" s="804"/>
      <c r="F1027" s="61">
        <f t="shared" si="74"/>
        <v>557.9</v>
      </c>
      <c r="G1027" s="62">
        <f t="shared" si="72"/>
        <v>36.815820999999993</v>
      </c>
      <c r="H1027" s="8">
        <f t="shared" si="71"/>
        <v>6.5989999999999993E-2</v>
      </c>
      <c r="I1027" s="109">
        <f t="shared" si="73"/>
        <v>6.5989999999999993E-2</v>
      </c>
    </row>
    <row r="1028" spans="1:9" s="6" customFormat="1" ht="13.5" customHeight="1">
      <c r="A1028" s="285">
        <v>148</v>
      </c>
      <c r="B1028" s="329" t="s">
        <v>983</v>
      </c>
      <c r="C1028" s="803">
        <v>122.5</v>
      </c>
      <c r="D1028" s="391"/>
      <c r="E1028" s="804"/>
      <c r="F1028" s="61">
        <f t="shared" si="74"/>
        <v>122.5</v>
      </c>
      <c r="G1028" s="62">
        <f t="shared" si="72"/>
        <v>8.0837749999999993</v>
      </c>
      <c r="H1028" s="8">
        <f t="shared" si="71"/>
        <v>6.5989999999999993E-2</v>
      </c>
      <c r="I1028" s="109">
        <f t="shared" si="73"/>
        <v>6.5989999999999993E-2</v>
      </c>
    </row>
    <row r="1029" spans="1:9" s="6" customFormat="1" ht="13.5" customHeight="1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1">
        <f t="shared" si="74"/>
        <v>275.5</v>
      </c>
      <c r="G1029" s="62">
        <f t="shared" si="72"/>
        <v>18.180244999999999</v>
      </c>
      <c r="H1029" s="8">
        <f t="shared" si="71"/>
        <v>6.5989999999999993E-2</v>
      </c>
      <c r="I1029" s="109">
        <f t="shared" si="73"/>
        <v>6.5989999999999993E-2</v>
      </c>
    </row>
    <row r="1030" spans="1:9" s="6" customFormat="1" ht="13.5" customHeight="1">
      <c r="A1030" s="285">
        <v>150</v>
      </c>
      <c r="B1030" s="329" t="s">
        <v>986</v>
      </c>
      <c r="C1030" s="803">
        <v>189.1</v>
      </c>
      <c r="D1030" s="391"/>
      <c r="E1030" s="804"/>
      <c r="F1030" s="61">
        <f t="shared" si="74"/>
        <v>189.1</v>
      </c>
      <c r="G1030" s="62">
        <f t="shared" si="72"/>
        <v>12.478708999999998</v>
      </c>
      <c r="H1030" s="8">
        <f t="shared" si="71"/>
        <v>6.5989999999999993E-2</v>
      </c>
      <c r="I1030" s="109">
        <f t="shared" si="73"/>
        <v>6.5989999999999993E-2</v>
      </c>
    </row>
    <row r="1031" spans="1:9" s="6" customFormat="1" ht="13.5" customHeight="1">
      <c r="A1031" s="285">
        <v>151</v>
      </c>
      <c r="B1031" s="329" t="s">
        <v>987</v>
      </c>
      <c r="C1031" s="803">
        <v>590.4</v>
      </c>
      <c r="D1031" s="391"/>
      <c r="E1031" s="804"/>
      <c r="F1031" s="61">
        <f t="shared" si="74"/>
        <v>590.4</v>
      </c>
      <c r="G1031" s="62">
        <f t="shared" si="72"/>
        <v>38.960495999999992</v>
      </c>
      <c r="H1031" s="8">
        <f t="shared" si="71"/>
        <v>6.5989999999999993E-2</v>
      </c>
      <c r="I1031" s="109">
        <f t="shared" si="73"/>
        <v>6.5989999999999993E-2</v>
      </c>
    </row>
    <row r="1032" spans="1:9" s="6" customFormat="1" ht="13.5" customHeight="1">
      <c r="A1032" s="285">
        <v>152</v>
      </c>
      <c r="B1032" s="329" t="s">
        <v>988</v>
      </c>
      <c r="C1032" s="803">
        <v>761.4</v>
      </c>
      <c r="D1032" s="391"/>
      <c r="E1032" s="804"/>
      <c r="F1032" s="61">
        <f t="shared" si="74"/>
        <v>761.4</v>
      </c>
      <c r="G1032" s="62">
        <f t="shared" si="72"/>
        <v>50.244785999999991</v>
      </c>
      <c r="H1032" s="8">
        <f t="shared" si="71"/>
        <v>6.5989999999999993E-2</v>
      </c>
      <c r="I1032" s="109">
        <f t="shared" si="73"/>
        <v>6.5989999999999993E-2</v>
      </c>
    </row>
    <row r="1033" spans="1:9" s="6" customFormat="1" ht="13.5" customHeight="1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1">
        <f t="shared" si="74"/>
        <v>577.12</v>
      </c>
      <c r="G1033" s="62">
        <f t="shared" si="72"/>
        <v>38.084148799999994</v>
      </c>
      <c r="H1033" s="8">
        <f t="shared" si="71"/>
        <v>6.5989999999999993E-2</v>
      </c>
      <c r="I1033" s="109">
        <f t="shared" si="73"/>
        <v>6.5989999999999993E-2</v>
      </c>
    </row>
    <row r="1034" spans="1:9" s="6" customFormat="1" ht="13.5" customHeight="1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1">
        <f t="shared" si="74"/>
        <v>136.80000000000001</v>
      </c>
      <c r="G1034" s="62">
        <f t="shared" si="72"/>
        <v>9.0274319999999992</v>
      </c>
      <c r="H1034" s="8">
        <f t="shared" si="71"/>
        <v>6.5989999999999993E-2</v>
      </c>
      <c r="I1034" s="109">
        <f t="shared" si="73"/>
        <v>6.5989999999999993E-2</v>
      </c>
    </row>
    <row r="1035" spans="1:9" s="6" customFormat="1" ht="13.5" customHeight="1">
      <c r="A1035" s="285">
        <v>155</v>
      </c>
      <c r="B1035" s="329" t="s">
        <v>991</v>
      </c>
      <c r="C1035" s="803">
        <v>578</v>
      </c>
      <c r="D1035" s="391"/>
      <c r="E1035" s="804"/>
      <c r="F1035" s="61">
        <f t="shared" si="74"/>
        <v>578</v>
      </c>
      <c r="G1035" s="62">
        <f t="shared" si="72"/>
        <v>38.142219999999995</v>
      </c>
      <c r="H1035" s="8">
        <f t="shared" si="71"/>
        <v>6.5989999999999993E-2</v>
      </c>
      <c r="I1035" s="109">
        <f t="shared" si="73"/>
        <v>6.5989999999999993E-2</v>
      </c>
    </row>
    <row r="1036" spans="1:9" s="6" customFormat="1" ht="13.5" customHeight="1">
      <c r="A1036" s="285">
        <v>156</v>
      </c>
      <c r="B1036" s="329" t="s">
        <v>992</v>
      </c>
      <c r="C1036" s="803">
        <v>150</v>
      </c>
      <c r="D1036" s="391"/>
      <c r="E1036" s="804"/>
      <c r="F1036" s="61">
        <f t="shared" si="74"/>
        <v>150</v>
      </c>
      <c r="G1036" s="62">
        <f t="shared" si="72"/>
        <v>9.8984999999999985</v>
      </c>
      <c r="H1036" s="8">
        <f t="shared" si="71"/>
        <v>6.5989999999999993E-2</v>
      </c>
      <c r="I1036" s="109">
        <f t="shared" si="73"/>
        <v>6.5989999999999993E-2</v>
      </c>
    </row>
    <row r="1037" spans="1:9" s="6" customFormat="1" ht="13.5" customHeight="1">
      <c r="A1037" s="285">
        <v>157</v>
      </c>
      <c r="B1037" s="329" t="s">
        <v>993</v>
      </c>
      <c r="C1037" s="803">
        <v>106.6</v>
      </c>
      <c r="D1037" s="391"/>
      <c r="E1037" s="804"/>
      <c r="F1037" s="61">
        <f t="shared" si="74"/>
        <v>106.6</v>
      </c>
      <c r="G1037" s="62">
        <f t="shared" si="72"/>
        <v>7.034533999999999</v>
      </c>
      <c r="H1037" s="8">
        <f t="shared" si="71"/>
        <v>6.5989999999999993E-2</v>
      </c>
      <c r="I1037" s="109">
        <f t="shared" si="73"/>
        <v>6.5989999999999993E-2</v>
      </c>
    </row>
    <row r="1038" spans="1:9" s="6" customFormat="1" ht="13.5" customHeight="1">
      <c r="A1038" s="285">
        <v>158</v>
      </c>
      <c r="B1038" s="329" t="s">
        <v>994</v>
      </c>
      <c r="C1038" s="803">
        <v>128.4</v>
      </c>
      <c r="D1038" s="391"/>
      <c r="E1038" s="804"/>
      <c r="F1038" s="61">
        <f t="shared" si="74"/>
        <v>128.4</v>
      </c>
      <c r="G1038" s="62">
        <f t="shared" si="72"/>
        <v>8.4731159999999992</v>
      </c>
      <c r="H1038" s="8">
        <f t="shared" si="71"/>
        <v>6.5989999999999993E-2</v>
      </c>
      <c r="I1038" s="109">
        <f t="shared" si="73"/>
        <v>6.5989999999999993E-2</v>
      </c>
    </row>
    <row r="1039" spans="1:9" s="6" customFormat="1" ht="13.5" customHeight="1">
      <c r="A1039" s="285">
        <v>159</v>
      </c>
      <c r="B1039" s="329" t="s">
        <v>995</v>
      </c>
      <c r="C1039" s="803">
        <v>57.7</v>
      </c>
      <c r="D1039" s="391"/>
      <c r="E1039" s="804"/>
      <c r="F1039" s="61">
        <f t="shared" si="74"/>
        <v>57.7</v>
      </c>
      <c r="G1039" s="62">
        <f t="shared" si="72"/>
        <v>3.807623</v>
      </c>
      <c r="H1039" s="8">
        <f t="shared" si="71"/>
        <v>6.5989999999999993E-2</v>
      </c>
      <c r="I1039" s="109">
        <f t="shared" si="73"/>
        <v>6.5989999999999993E-2</v>
      </c>
    </row>
    <row r="1040" spans="1:9" s="6" customFormat="1" ht="13.5" customHeight="1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1">
        <f t="shared" si="74"/>
        <v>256.5</v>
      </c>
      <c r="G1040" s="62">
        <f t="shared" si="72"/>
        <v>16.926434999999998</v>
      </c>
      <c r="H1040" s="8">
        <f t="shared" si="71"/>
        <v>6.5989999999999993E-2</v>
      </c>
      <c r="I1040" s="109">
        <f t="shared" si="73"/>
        <v>6.5989999999999993E-2</v>
      </c>
    </row>
    <row r="1041" spans="1:9" s="6" customFormat="1" ht="13.5" customHeight="1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1">
        <f t="shared" si="74"/>
        <v>118.5</v>
      </c>
      <c r="G1041" s="62">
        <f t="shared" si="72"/>
        <v>7.8198149999999993</v>
      </c>
      <c r="H1041" s="8">
        <f t="shared" si="71"/>
        <v>6.5989999999999993E-2</v>
      </c>
      <c r="I1041" s="109">
        <f t="shared" si="73"/>
        <v>6.5989999999999993E-2</v>
      </c>
    </row>
    <row r="1042" spans="1:9" s="6" customFormat="1" ht="13.5" customHeight="1">
      <c r="A1042" s="285">
        <v>162</v>
      </c>
      <c r="B1042" s="329" t="s">
        <v>998</v>
      </c>
      <c r="C1042" s="803">
        <v>142.1</v>
      </c>
      <c r="D1042" s="391"/>
      <c r="E1042" s="804"/>
      <c r="F1042" s="61">
        <f t="shared" si="74"/>
        <v>142.1</v>
      </c>
      <c r="G1042" s="62">
        <f t="shared" si="72"/>
        <v>9.3771789999999982</v>
      </c>
      <c r="H1042" s="8">
        <f t="shared" si="71"/>
        <v>6.5989999999999993E-2</v>
      </c>
      <c r="I1042" s="109">
        <f t="shared" si="73"/>
        <v>6.5989999999999993E-2</v>
      </c>
    </row>
    <row r="1043" spans="1:9" s="6" customFormat="1" ht="13.5" customHeight="1">
      <c r="A1043" s="285">
        <v>163</v>
      </c>
      <c r="B1043" s="329" t="s">
        <v>999</v>
      </c>
      <c r="C1043" s="803">
        <v>259.7</v>
      </c>
      <c r="D1043" s="391"/>
      <c r="E1043" s="804"/>
      <c r="F1043" s="61">
        <f t="shared" si="74"/>
        <v>259.7</v>
      </c>
      <c r="G1043" s="62">
        <f t="shared" si="72"/>
        <v>17.137602999999999</v>
      </c>
      <c r="H1043" s="8">
        <f t="shared" si="71"/>
        <v>6.5989999999999993E-2</v>
      </c>
      <c r="I1043" s="109">
        <f t="shared" si="73"/>
        <v>6.5989999999999993E-2</v>
      </c>
    </row>
    <row r="1044" spans="1:9" s="6" customFormat="1" ht="13.5" customHeight="1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1">
        <f t="shared" si="74"/>
        <v>309.39999999999998</v>
      </c>
      <c r="G1044" s="62">
        <f t="shared" si="72"/>
        <v>20.417305999999996</v>
      </c>
      <c r="H1044" s="8">
        <f t="shared" si="71"/>
        <v>6.5989999999999993E-2</v>
      </c>
      <c r="I1044" s="109">
        <f t="shared" si="73"/>
        <v>6.5989999999999993E-2</v>
      </c>
    </row>
    <row r="1045" spans="1:9" s="6" customFormat="1" ht="13.5" customHeight="1">
      <c r="A1045" s="285">
        <v>165</v>
      </c>
      <c r="B1045" s="329" t="s">
        <v>1001</v>
      </c>
      <c r="C1045" s="803">
        <v>432.1</v>
      </c>
      <c r="D1045" s="391"/>
      <c r="E1045" s="804"/>
      <c r="F1045" s="61">
        <f t="shared" si="74"/>
        <v>432.1</v>
      </c>
      <c r="G1045" s="62">
        <f t="shared" si="72"/>
        <v>28.514278999999998</v>
      </c>
      <c r="H1045" s="8">
        <f t="shared" si="71"/>
        <v>6.5989999999999993E-2</v>
      </c>
      <c r="I1045" s="109">
        <f t="shared" si="73"/>
        <v>6.5989999999999993E-2</v>
      </c>
    </row>
    <row r="1046" spans="1:9" s="6" customFormat="1" ht="13.5" customHeight="1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1">
        <f t="shared" si="74"/>
        <v>241.89999999999998</v>
      </c>
      <c r="G1046" s="62">
        <f t="shared" si="72"/>
        <v>15.962980999999997</v>
      </c>
      <c r="H1046" s="8">
        <f t="shared" si="71"/>
        <v>6.5989999999999993E-2</v>
      </c>
      <c r="I1046" s="109">
        <f t="shared" si="73"/>
        <v>6.5989999999999993E-2</v>
      </c>
    </row>
    <row r="1047" spans="1:9" s="6" customFormat="1" ht="13.5" customHeight="1">
      <c r="A1047" s="285">
        <v>167</v>
      </c>
      <c r="B1047" s="329" t="s">
        <v>1003</v>
      </c>
      <c r="C1047" s="803">
        <v>278.3</v>
      </c>
      <c r="D1047" s="391"/>
      <c r="E1047" s="804"/>
      <c r="F1047" s="61">
        <f t="shared" si="74"/>
        <v>278.3</v>
      </c>
      <c r="G1047" s="62">
        <f t="shared" si="72"/>
        <v>18.365016999999998</v>
      </c>
      <c r="H1047" s="8">
        <f t="shared" si="71"/>
        <v>6.5989999999999993E-2</v>
      </c>
      <c r="I1047" s="109">
        <f t="shared" si="73"/>
        <v>6.5989999999999993E-2</v>
      </c>
    </row>
    <row r="1048" spans="1:9" s="6" customFormat="1" ht="13.5" customHeight="1">
      <c r="A1048" s="285">
        <v>168</v>
      </c>
      <c r="B1048" s="329" t="s">
        <v>1004</v>
      </c>
      <c r="C1048" s="806">
        <v>150</v>
      </c>
      <c r="D1048" s="391"/>
      <c r="E1048" s="804"/>
      <c r="F1048" s="61">
        <f t="shared" si="74"/>
        <v>150</v>
      </c>
      <c r="G1048" s="62">
        <f t="shared" si="72"/>
        <v>9.8984999999999985</v>
      </c>
      <c r="H1048" s="8">
        <f t="shared" si="71"/>
        <v>6.5989999999999993E-2</v>
      </c>
      <c r="I1048" s="109">
        <f t="shared" si="73"/>
        <v>6.5989999999999993E-2</v>
      </c>
    </row>
    <row r="1049" spans="1:9" s="6" customFormat="1" ht="13.5" customHeight="1">
      <c r="A1049" s="285">
        <v>169</v>
      </c>
      <c r="B1049" s="329" t="s">
        <v>1005</v>
      </c>
      <c r="C1049" s="803">
        <v>140.6</v>
      </c>
      <c r="D1049" s="391"/>
      <c r="E1049" s="804"/>
      <c r="F1049" s="61">
        <f t="shared" si="74"/>
        <v>140.6</v>
      </c>
      <c r="G1049" s="62">
        <f t="shared" si="72"/>
        <v>9.2781939999999992</v>
      </c>
      <c r="H1049" s="8">
        <f t="shared" si="71"/>
        <v>6.5989999999999993E-2</v>
      </c>
      <c r="I1049" s="109">
        <f t="shared" si="73"/>
        <v>6.5989999999999993E-2</v>
      </c>
    </row>
    <row r="1050" spans="1:9" s="6" customFormat="1" ht="13.5" customHeight="1">
      <c r="A1050" s="285">
        <v>170</v>
      </c>
      <c r="B1050" s="329" t="s">
        <v>1006</v>
      </c>
      <c r="C1050" s="803">
        <v>209.1</v>
      </c>
      <c r="D1050" s="391"/>
      <c r="E1050" s="804"/>
      <c r="F1050" s="61">
        <f t="shared" si="74"/>
        <v>209.1</v>
      </c>
      <c r="G1050" s="62">
        <f t="shared" si="72"/>
        <v>13.798508999999997</v>
      </c>
      <c r="H1050" s="8">
        <f t="shared" si="71"/>
        <v>6.5989999999999993E-2</v>
      </c>
      <c r="I1050" s="109">
        <f t="shared" si="73"/>
        <v>6.5989999999999993E-2</v>
      </c>
    </row>
    <row r="1051" spans="1:9" s="6" customFormat="1" ht="13.5" customHeight="1">
      <c r="A1051" s="285">
        <v>171</v>
      </c>
      <c r="B1051" s="329" t="s">
        <v>1007</v>
      </c>
      <c r="C1051" s="803">
        <v>463.5</v>
      </c>
      <c r="D1051" s="391"/>
      <c r="E1051" s="804"/>
      <c r="F1051" s="61">
        <f t="shared" si="74"/>
        <v>463.5</v>
      </c>
      <c r="G1051" s="62">
        <f t="shared" si="72"/>
        <v>30.586364999999997</v>
      </c>
      <c r="H1051" s="8">
        <f t="shared" si="71"/>
        <v>6.5989999999999993E-2</v>
      </c>
      <c r="I1051" s="109">
        <f t="shared" si="73"/>
        <v>6.5989999999999993E-2</v>
      </c>
    </row>
    <row r="1052" spans="1:9" s="6" customFormat="1" ht="13.5" customHeight="1">
      <c r="A1052" s="285">
        <v>172</v>
      </c>
      <c r="B1052" s="329" t="s">
        <v>1008</v>
      </c>
      <c r="C1052" s="803">
        <v>126</v>
      </c>
      <c r="D1052" s="391"/>
      <c r="E1052" s="804"/>
      <c r="F1052" s="61">
        <f t="shared" si="74"/>
        <v>126</v>
      </c>
      <c r="G1052" s="62">
        <f t="shared" si="72"/>
        <v>8.3147399999999987</v>
      </c>
      <c r="H1052" s="8">
        <f t="shared" ref="H1052:H1115" si="75">0.06599</f>
        <v>6.5989999999999993E-2</v>
      </c>
      <c r="I1052" s="109">
        <f t="shared" si="73"/>
        <v>6.5989999999999993E-2</v>
      </c>
    </row>
    <row r="1053" spans="1:9" s="6" customFormat="1" ht="13.5" customHeight="1">
      <c r="A1053" s="285">
        <v>173</v>
      </c>
      <c r="B1053" s="329" t="s">
        <v>1009</v>
      </c>
      <c r="C1053" s="803">
        <v>725.1</v>
      </c>
      <c r="D1053" s="391"/>
      <c r="E1053" s="804"/>
      <c r="F1053" s="61">
        <f t="shared" si="74"/>
        <v>725.1</v>
      </c>
      <c r="G1053" s="62">
        <f t="shared" si="72"/>
        <v>47.849348999999997</v>
      </c>
      <c r="H1053" s="8">
        <f t="shared" si="75"/>
        <v>6.5989999999999993E-2</v>
      </c>
      <c r="I1053" s="109">
        <f t="shared" si="73"/>
        <v>6.5989999999999993E-2</v>
      </c>
    </row>
    <row r="1054" spans="1:9" s="6" customFormat="1" ht="13.5" customHeight="1">
      <c r="A1054" s="285">
        <v>174</v>
      </c>
      <c r="B1054" s="329" t="s">
        <v>1359</v>
      </c>
      <c r="C1054" s="803">
        <v>466.88</v>
      </c>
      <c r="D1054" s="391"/>
      <c r="E1054" s="804"/>
      <c r="F1054" s="733">
        <v>466.9</v>
      </c>
      <c r="G1054" s="62">
        <f t="shared" si="72"/>
        <v>30.810730999999997</v>
      </c>
      <c r="H1054" s="8">
        <f t="shared" si="75"/>
        <v>6.5989999999999993E-2</v>
      </c>
      <c r="I1054" s="109">
        <f t="shared" si="73"/>
        <v>6.5989999999999993E-2</v>
      </c>
    </row>
    <row r="1055" spans="1:9" s="6" customFormat="1" ht="13.5" customHeight="1">
      <c r="A1055" s="285">
        <v>175</v>
      </c>
      <c r="B1055" s="329" t="s">
        <v>1010</v>
      </c>
      <c r="C1055" s="803">
        <v>138.1</v>
      </c>
      <c r="D1055" s="391"/>
      <c r="E1055" s="804"/>
      <c r="F1055" s="61">
        <f t="shared" si="74"/>
        <v>138.1</v>
      </c>
      <c r="G1055" s="62">
        <f t="shared" si="72"/>
        <v>9.1132189999999991</v>
      </c>
      <c r="H1055" s="8">
        <f t="shared" si="75"/>
        <v>6.5989999999999993E-2</v>
      </c>
      <c r="I1055" s="109">
        <f t="shared" si="73"/>
        <v>6.5989999999999993E-2</v>
      </c>
    </row>
    <row r="1056" spans="1:9" s="6" customFormat="1" ht="13.5" customHeight="1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1">
        <f t="shared" si="74"/>
        <v>139.30000000000001</v>
      </c>
      <c r="G1056" s="62">
        <f t="shared" si="72"/>
        <v>9.1924069999999993</v>
      </c>
      <c r="H1056" s="8">
        <f t="shared" si="75"/>
        <v>6.5989999999999993E-2</v>
      </c>
      <c r="I1056" s="109">
        <f t="shared" si="73"/>
        <v>6.5989999999999993E-2</v>
      </c>
    </row>
    <row r="1057" spans="1:9" s="6" customFormat="1" ht="13.5" customHeight="1">
      <c r="A1057" s="285">
        <v>177</v>
      </c>
      <c r="B1057" s="329" t="s">
        <v>1012</v>
      </c>
      <c r="C1057" s="803">
        <v>807</v>
      </c>
      <c r="D1057" s="391"/>
      <c r="E1057" s="804"/>
      <c r="F1057" s="61">
        <f t="shared" si="74"/>
        <v>807</v>
      </c>
      <c r="G1057" s="62">
        <f t="shared" si="72"/>
        <v>53.253929999999997</v>
      </c>
      <c r="H1057" s="8">
        <f t="shared" si="75"/>
        <v>6.5989999999999993E-2</v>
      </c>
      <c r="I1057" s="109">
        <f t="shared" si="73"/>
        <v>6.5989999999999993E-2</v>
      </c>
    </row>
    <row r="1058" spans="1:9" s="6" customFormat="1" ht="13.5" customHeight="1">
      <c r="A1058" s="285">
        <v>178</v>
      </c>
      <c r="B1058" s="329" t="s">
        <v>1013</v>
      </c>
      <c r="C1058" s="803">
        <v>1555.2</v>
      </c>
      <c r="D1058" s="391"/>
      <c r="E1058" s="804"/>
      <c r="F1058" s="61">
        <f t="shared" si="74"/>
        <v>1555.2</v>
      </c>
      <c r="G1058" s="62">
        <f t="shared" si="72"/>
        <v>102.62764799999999</v>
      </c>
      <c r="H1058" s="8">
        <f t="shared" si="75"/>
        <v>6.5989999999999993E-2</v>
      </c>
      <c r="I1058" s="109">
        <f t="shared" si="73"/>
        <v>6.5989999999999993E-2</v>
      </c>
    </row>
    <row r="1059" spans="1:9" s="6" customFormat="1" ht="13.5" customHeight="1">
      <c r="A1059" s="285">
        <v>179</v>
      </c>
      <c r="B1059" s="329" t="s">
        <v>1014</v>
      </c>
      <c r="C1059" s="803">
        <v>1514.3</v>
      </c>
      <c r="D1059" s="391"/>
      <c r="E1059" s="804"/>
      <c r="F1059" s="61">
        <f t="shared" si="74"/>
        <v>1514.3</v>
      </c>
      <c r="G1059" s="62">
        <f t="shared" si="72"/>
        <v>99.928656999999987</v>
      </c>
      <c r="H1059" s="8">
        <f t="shared" si="75"/>
        <v>6.5989999999999993E-2</v>
      </c>
      <c r="I1059" s="109">
        <f t="shared" si="73"/>
        <v>6.5989999999999993E-2</v>
      </c>
    </row>
    <row r="1060" spans="1:9" s="6" customFormat="1" ht="13.5" customHeight="1">
      <c r="A1060" s="285">
        <v>180</v>
      </c>
      <c r="B1060" s="329" t="s">
        <v>1015</v>
      </c>
      <c r="C1060" s="806">
        <v>394</v>
      </c>
      <c r="D1060" s="391"/>
      <c r="E1060" s="804"/>
      <c r="F1060" s="61">
        <f t="shared" si="74"/>
        <v>394</v>
      </c>
      <c r="G1060" s="62">
        <f t="shared" si="72"/>
        <v>26.000059999999998</v>
      </c>
      <c r="H1060" s="8">
        <f t="shared" si="75"/>
        <v>6.5989999999999993E-2</v>
      </c>
      <c r="I1060" s="109">
        <f t="shared" si="73"/>
        <v>6.5989999999999993E-2</v>
      </c>
    </row>
    <row r="1061" spans="1:9" s="6" customFormat="1" ht="13.5" customHeight="1">
      <c r="A1061" s="285">
        <v>181</v>
      </c>
      <c r="B1061" s="329" t="s">
        <v>1360</v>
      </c>
      <c r="C1061" s="803">
        <v>572.5</v>
      </c>
      <c r="D1061" s="391"/>
      <c r="E1061" s="804"/>
      <c r="F1061" s="61">
        <f t="shared" si="74"/>
        <v>572.5</v>
      </c>
      <c r="G1061" s="62">
        <f t="shared" si="72"/>
        <v>37.779274999999998</v>
      </c>
      <c r="H1061" s="8">
        <f t="shared" si="75"/>
        <v>6.5989999999999993E-2</v>
      </c>
      <c r="I1061" s="109">
        <f t="shared" si="73"/>
        <v>6.5989999999999993E-2</v>
      </c>
    </row>
    <row r="1062" spans="1:9" s="6" customFormat="1" ht="13.5" customHeight="1">
      <c r="A1062" s="285">
        <v>182</v>
      </c>
      <c r="B1062" s="329" t="s">
        <v>1016</v>
      </c>
      <c r="C1062" s="803">
        <v>351.9</v>
      </c>
      <c r="D1062" s="391"/>
      <c r="E1062" s="804"/>
      <c r="F1062" s="61">
        <f t="shared" si="74"/>
        <v>351.9</v>
      </c>
      <c r="G1062" s="62">
        <f t="shared" si="72"/>
        <v>23.221880999999996</v>
      </c>
      <c r="H1062" s="8">
        <f t="shared" si="75"/>
        <v>6.5989999999999993E-2</v>
      </c>
      <c r="I1062" s="109">
        <f t="shared" si="73"/>
        <v>6.5989999999999993E-2</v>
      </c>
    </row>
    <row r="1063" spans="1:9" s="6" customFormat="1" ht="13.5" customHeight="1">
      <c r="A1063" s="285">
        <v>183</v>
      </c>
      <c r="B1063" s="329" t="s">
        <v>1017</v>
      </c>
      <c r="C1063" s="803">
        <v>449.4</v>
      </c>
      <c r="D1063" s="391"/>
      <c r="E1063" s="804"/>
      <c r="F1063" s="61">
        <f t="shared" si="74"/>
        <v>449.4</v>
      </c>
      <c r="G1063" s="62">
        <f t="shared" si="72"/>
        <v>29.655905999999995</v>
      </c>
      <c r="H1063" s="8">
        <f t="shared" si="75"/>
        <v>6.5989999999999993E-2</v>
      </c>
      <c r="I1063" s="109">
        <f t="shared" si="73"/>
        <v>6.5989999999999993E-2</v>
      </c>
    </row>
    <row r="1064" spans="1:9" s="6" customFormat="1" ht="13.5" customHeight="1">
      <c r="A1064" s="285">
        <v>184</v>
      </c>
      <c r="B1064" s="329" t="s">
        <v>1018</v>
      </c>
      <c r="C1064" s="803">
        <v>1394.3</v>
      </c>
      <c r="D1064" s="391"/>
      <c r="E1064" s="804"/>
      <c r="F1064" s="61">
        <f t="shared" si="74"/>
        <v>1394.3</v>
      </c>
      <c r="G1064" s="62">
        <f t="shared" si="72"/>
        <v>92.009856999999982</v>
      </c>
      <c r="H1064" s="8">
        <f t="shared" si="75"/>
        <v>6.5989999999999993E-2</v>
      </c>
      <c r="I1064" s="109">
        <f t="shared" si="73"/>
        <v>6.5989999999999993E-2</v>
      </c>
    </row>
    <row r="1065" spans="1:9" s="6" customFormat="1" ht="13.5" customHeight="1">
      <c r="A1065" s="285">
        <v>185</v>
      </c>
      <c r="B1065" s="329" t="s">
        <v>1019</v>
      </c>
      <c r="C1065" s="803">
        <v>398.7</v>
      </c>
      <c r="D1065" s="391"/>
      <c r="E1065" s="804"/>
      <c r="F1065" s="61">
        <f t="shared" si="74"/>
        <v>398.7</v>
      </c>
      <c r="G1065" s="62">
        <f t="shared" si="72"/>
        <v>26.310212999999997</v>
      </c>
      <c r="H1065" s="8">
        <f t="shared" si="75"/>
        <v>6.5989999999999993E-2</v>
      </c>
      <c r="I1065" s="109">
        <f t="shared" si="73"/>
        <v>6.5989999999999993E-2</v>
      </c>
    </row>
    <row r="1066" spans="1:9" s="6" customFormat="1" ht="13.5" customHeight="1">
      <c r="A1066" s="285">
        <v>186</v>
      </c>
      <c r="B1066" s="329" t="s">
        <v>1020</v>
      </c>
      <c r="C1066" s="803">
        <v>359.4</v>
      </c>
      <c r="D1066" s="391"/>
      <c r="E1066" s="804"/>
      <c r="F1066" s="61">
        <f t="shared" si="74"/>
        <v>359.4</v>
      </c>
      <c r="G1066" s="62">
        <f t="shared" ref="G1066:G1128" si="76">F1066*H1066</f>
        <v>23.716805999999995</v>
      </c>
      <c r="H1066" s="8">
        <f t="shared" si="75"/>
        <v>6.5989999999999993E-2</v>
      </c>
      <c r="I1066" s="109">
        <f t="shared" ref="I1066:I1128" si="77">G1066/F1066</f>
        <v>6.5989999999999993E-2</v>
      </c>
    </row>
    <row r="1067" spans="1:9" s="6" customFormat="1" ht="13.5" customHeight="1">
      <c r="A1067" s="285">
        <v>187</v>
      </c>
      <c r="B1067" s="329" t="s">
        <v>1021</v>
      </c>
      <c r="C1067" s="803">
        <v>694.9</v>
      </c>
      <c r="D1067" s="391"/>
      <c r="E1067" s="804"/>
      <c r="F1067" s="61">
        <f t="shared" si="74"/>
        <v>694.9</v>
      </c>
      <c r="G1067" s="62">
        <f t="shared" si="76"/>
        <v>45.856450999999993</v>
      </c>
      <c r="H1067" s="8">
        <f t="shared" si="75"/>
        <v>6.5989999999999993E-2</v>
      </c>
      <c r="I1067" s="109">
        <f t="shared" si="77"/>
        <v>6.5989999999999993E-2</v>
      </c>
    </row>
    <row r="1068" spans="1:9" s="6" customFormat="1" ht="13.5" customHeight="1">
      <c r="A1068" s="285">
        <v>188</v>
      </c>
      <c r="B1068" s="329" t="s">
        <v>1022</v>
      </c>
      <c r="C1068" s="803">
        <v>629.6</v>
      </c>
      <c r="D1068" s="391"/>
      <c r="E1068" s="804"/>
      <c r="F1068" s="61">
        <f t="shared" si="74"/>
        <v>629.6</v>
      </c>
      <c r="G1068" s="62">
        <f t="shared" si="76"/>
        <v>41.547303999999997</v>
      </c>
      <c r="H1068" s="8">
        <f t="shared" si="75"/>
        <v>6.5989999999999993E-2</v>
      </c>
      <c r="I1068" s="109">
        <f t="shared" si="77"/>
        <v>6.5989999999999993E-2</v>
      </c>
    </row>
    <row r="1069" spans="1:9" s="6" customFormat="1" ht="13.5" customHeight="1">
      <c r="A1069" s="285">
        <v>189</v>
      </c>
      <c r="B1069" s="329" t="s">
        <v>1023</v>
      </c>
      <c r="C1069" s="803">
        <v>969.07</v>
      </c>
      <c r="D1069" s="391"/>
      <c r="E1069" s="804"/>
      <c r="F1069" s="61">
        <f t="shared" ref="F1069:F1131" si="78">C1069+D1069+E1069</f>
        <v>969.07</v>
      </c>
      <c r="G1069" s="62">
        <f t="shared" si="76"/>
        <v>63.948929299999996</v>
      </c>
      <c r="H1069" s="8">
        <f t="shared" si="75"/>
        <v>6.5989999999999993E-2</v>
      </c>
      <c r="I1069" s="109">
        <f t="shared" si="77"/>
        <v>6.5989999999999993E-2</v>
      </c>
    </row>
    <row r="1070" spans="1:9" s="6" customFormat="1" ht="13.5" customHeight="1">
      <c r="A1070" s="285">
        <v>190</v>
      </c>
      <c r="B1070" s="329" t="s">
        <v>1024</v>
      </c>
      <c r="C1070" s="803">
        <v>315.7</v>
      </c>
      <c r="D1070" s="391"/>
      <c r="E1070" s="804"/>
      <c r="F1070" s="61">
        <f t="shared" si="78"/>
        <v>315.7</v>
      </c>
      <c r="G1070" s="62">
        <f t="shared" si="76"/>
        <v>20.833042999999996</v>
      </c>
      <c r="H1070" s="8">
        <f t="shared" si="75"/>
        <v>6.5989999999999993E-2</v>
      </c>
      <c r="I1070" s="109">
        <f t="shared" si="77"/>
        <v>6.5989999999999993E-2</v>
      </c>
    </row>
    <row r="1071" spans="1:9" s="6" customFormat="1" ht="13.5" customHeight="1">
      <c r="A1071" s="285">
        <v>191</v>
      </c>
      <c r="B1071" s="329" t="s">
        <v>1025</v>
      </c>
      <c r="C1071" s="803">
        <v>677.4</v>
      </c>
      <c r="D1071" s="391"/>
      <c r="E1071" s="804"/>
      <c r="F1071" s="61">
        <f t="shared" si="78"/>
        <v>677.4</v>
      </c>
      <c r="G1071" s="62">
        <f t="shared" si="76"/>
        <v>44.70162599999999</v>
      </c>
      <c r="H1071" s="8">
        <f t="shared" si="75"/>
        <v>6.5989999999999993E-2</v>
      </c>
      <c r="I1071" s="109">
        <f t="shared" si="77"/>
        <v>6.5989999999999993E-2</v>
      </c>
    </row>
    <row r="1072" spans="1:9" s="6" customFormat="1" ht="13.5" customHeight="1">
      <c r="A1072" s="285">
        <v>192</v>
      </c>
      <c r="B1072" s="329" t="s">
        <v>1026</v>
      </c>
      <c r="C1072" s="803">
        <v>255.8</v>
      </c>
      <c r="D1072" s="391"/>
      <c r="E1072" s="804"/>
      <c r="F1072" s="61">
        <f t="shared" si="78"/>
        <v>255.8</v>
      </c>
      <c r="G1072" s="62">
        <f t="shared" si="76"/>
        <v>16.880241999999999</v>
      </c>
      <c r="H1072" s="8">
        <f t="shared" si="75"/>
        <v>6.5989999999999993E-2</v>
      </c>
      <c r="I1072" s="109">
        <f t="shared" si="77"/>
        <v>6.5989999999999993E-2</v>
      </c>
    </row>
    <row r="1073" spans="1:9" s="6" customFormat="1" ht="13.5" customHeight="1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1">
        <f t="shared" si="78"/>
        <v>352.5</v>
      </c>
      <c r="G1073" s="62">
        <f t="shared" si="76"/>
        <v>23.261474999999997</v>
      </c>
      <c r="H1073" s="8">
        <f t="shared" si="75"/>
        <v>6.5989999999999993E-2</v>
      </c>
      <c r="I1073" s="109">
        <f t="shared" si="77"/>
        <v>6.5989999999999993E-2</v>
      </c>
    </row>
    <row r="1074" spans="1:9" s="6" customFormat="1" ht="13.5" customHeight="1">
      <c r="A1074" s="285">
        <v>194</v>
      </c>
      <c r="B1074" s="329" t="s">
        <v>1030</v>
      </c>
      <c r="C1074" s="803">
        <v>642.9</v>
      </c>
      <c r="D1074" s="391"/>
      <c r="E1074" s="804"/>
      <c r="F1074" s="61">
        <f t="shared" si="78"/>
        <v>642.9</v>
      </c>
      <c r="G1074" s="62">
        <f t="shared" si="76"/>
        <v>42.424970999999992</v>
      </c>
      <c r="H1074" s="8">
        <f t="shared" si="75"/>
        <v>6.5989999999999993E-2</v>
      </c>
      <c r="I1074" s="109">
        <f t="shared" si="77"/>
        <v>6.5989999999999993E-2</v>
      </c>
    </row>
    <row r="1075" spans="1:9" s="6" customFormat="1" ht="13.5" customHeight="1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1">
        <f t="shared" si="78"/>
        <v>324.39999999999998</v>
      </c>
      <c r="G1075" s="62">
        <f t="shared" si="76"/>
        <v>21.407155999999997</v>
      </c>
      <c r="H1075" s="8">
        <f t="shared" si="75"/>
        <v>6.5989999999999993E-2</v>
      </c>
      <c r="I1075" s="109">
        <f t="shared" si="77"/>
        <v>6.5989999999999993E-2</v>
      </c>
    </row>
    <row r="1076" spans="1:9" s="6" customFormat="1" ht="13.5" customHeight="1">
      <c r="A1076" s="285">
        <v>196</v>
      </c>
      <c r="B1076" s="329" t="s">
        <v>1032</v>
      </c>
      <c r="C1076" s="806">
        <v>505</v>
      </c>
      <c r="D1076" s="391"/>
      <c r="E1076" s="804"/>
      <c r="F1076" s="61">
        <f t="shared" si="78"/>
        <v>505</v>
      </c>
      <c r="G1076" s="62">
        <f t="shared" si="76"/>
        <v>33.324949999999994</v>
      </c>
      <c r="H1076" s="8">
        <f t="shared" si="75"/>
        <v>6.5989999999999993E-2</v>
      </c>
      <c r="I1076" s="109">
        <f t="shared" si="77"/>
        <v>6.5989999999999993E-2</v>
      </c>
    </row>
    <row r="1077" spans="1:9" s="6" customFormat="1" ht="13.5" customHeight="1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1">
        <f t="shared" si="78"/>
        <v>548.70000000000005</v>
      </c>
      <c r="G1077" s="62">
        <f t="shared" si="76"/>
        <v>36.208712999999996</v>
      </c>
      <c r="H1077" s="8">
        <f t="shared" si="75"/>
        <v>6.5989999999999993E-2</v>
      </c>
      <c r="I1077" s="109">
        <f t="shared" si="77"/>
        <v>6.5989999999999993E-2</v>
      </c>
    </row>
    <row r="1078" spans="1:9" s="6" customFormat="1" ht="13.5" customHeight="1">
      <c r="A1078" s="285">
        <v>198</v>
      </c>
      <c r="B1078" s="329" t="s">
        <v>1034</v>
      </c>
      <c r="C1078" s="803">
        <v>222.33</v>
      </c>
      <c r="D1078" s="391"/>
      <c r="E1078" s="804"/>
      <c r="F1078" s="61">
        <f t="shared" si="78"/>
        <v>222.33</v>
      </c>
      <c r="G1078" s="62">
        <f t="shared" si="76"/>
        <v>14.6715567</v>
      </c>
      <c r="H1078" s="8">
        <f t="shared" si="75"/>
        <v>6.5989999999999993E-2</v>
      </c>
      <c r="I1078" s="109">
        <f t="shared" si="77"/>
        <v>6.5989999999999993E-2</v>
      </c>
    </row>
    <row r="1079" spans="1:9" s="6" customFormat="1" ht="13.5" customHeight="1">
      <c r="A1079" s="285">
        <v>199</v>
      </c>
      <c r="B1079" s="329" t="s">
        <v>1035</v>
      </c>
      <c r="C1079" s="803">
        <v>461.2</v>
      </c>
      <c r="D1079" s="391"/>
      <c r="E1079" s="804"/>
      <c r="F1079" s="61">
        <f t="shared" si="78"/>
        <v>461.2</v>
      </c>
      <c r="G1079" s="62">
        <f t="shared" si="76"/>
        <v>30.434587999999994</v>
      </c>
      <c r="H1079" s="8">
        <f t="shared" si="75"/>
        <v>6.5989999999999993E-2</v>
      </c>
      <c r="I1079" s="109">
        <f t="shared" si="77"/>
        <v>6.5989999999999993E-2</v>
      </c>
    </row>
    <row r="1080" spans="1:9" s="6" customFormat="1" ht="13.5" customHeight="1">
      <c r="A1080" s="285">
        <v>200</v>
      </c>
      <c r="B1080" s="329" t="s">
        <v>1036</v>
      </c>
      <c r="C1080" s="803">
        <v>446.5</v>
      </c>
      <c r="D1080" s="391"/>
      <c r="E1080" s="804"/>
      <c r="F1080" s="61">
        <f t="shared" si="78"/>
        <v>446.5</v>
      </c>
      <c r="G1080" s="62">
        <f t="shared" si="76"/>
        <v>29.464534999999998</v>
      </c>
      <c r="H1080" s="8">
        <f t="shared" si="75"/>
        <v>6.5989999999999993E-2</v>
      </c>
      <c r="I1080" s="109">
        <f t="shared" si="77"/>
        <v>6.5989999999999993E-2</v>
      </c>
    </row>
    <row r="1081" spans="1:9" s="6" customFormat="1" ht="13.5" customHeight="1">
      <c r="A1081" s="285">
        <v>201</v>
      </c>
      <c r="B1081" s="329" t="s">
        <v>1037</v>
      </c>
      <c r="C1081" s="803">
        <v>291.5</v>
      </c>
      <c r="D1081" s="391"/>
      <c r="E1081" s="804"/>
      <c r="F1081" s="61">
        <f t="shared" si="78"/>
        <v>291.5</v>
      </c>
      <c r="G1081" s="62">
        <f t="shared" si="76"/>
        <v>19.236084999999999</v>
      </c>
      <c r="H1081" s="8">
        <f t="shared" si="75"/>
        <v>6.5989999999999993E-2</v>
      </c>
      <c r="I1081" s="109">
        <f t="shared" si="77"/>
        <v>6.5989999999999993E-2</v>
      </c>
    </row>
    <row r="1082" spans="1:9" s="6" customFormat="1" ht="13.5" customHeight="1">
      <c r="A1082" s="285">
        <v>202</v>
      </c>
      <c r="B1082" s="329" t="s">
        <v>1038</v>
      </c>
      <c r="C1082" s="803">
        <v>361.5</v>
      </c>
      <c r="D1082" s="391"/>
      <c r="E1082" s="804"/>
      <c r="F1082" s="61">
        <f t="shared" si="78"/>
        <v>361.5</v>
      </c>
      <c r="G1082" s="62">
        <f t="shared" si="76"/>
        <v>23.855384999999998</v>
      </c>
      <c r="H1082" s="8">
        <f t="shared" si="75"/>
        <v>6.5989999999999993E-2</v>
      </c>
      <c r="I1082" s="109">
        <f t="shared" si="77"/>
        <v>6.5989999999999993E-2</v>
      </c>
    </row>
    <row r="1083" spans="1:9" s="6" customFormat="1" ht="13.5" customHeight="1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1">
        <f t="shared" si="78"/>
        <v>485.90000000000003</v>
      </c>
      <c r="G1083" s="62">
        <f t="shared" si="76"/>
        <v>32.064540999999998</v>
      </c>
      <c r="H1083" s="8">
        <f t="shared" si="75"/>
        <v>6.5989999999999993E-2</v>
      </c>
      <c r="I1083" s="109">
        <f t="shared" si="77"/>
        <v>6.5989999999999993E-2</v>
      </c>
    </row>
    <row r="1084" spans="1:9" s="6" customFormat="1" ht="13.5" customHeight="1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1">
        <f t="shared" si="78"/>
        <v>430.5</v>
      </c>
      <c r="G1084" s="62">
        <f t="shared" si="76"/>
        <v>28.408694999999998</v>
      </c>
      <c r="H1084" s="8">
        <f t="shared" si="75"/>
        <v>6.5989999999999993E-2</v>
      </c>
      <c r="I1084" s="109">
        <f t="shared" si="77"/>
        <v>6.5989999999999993E-2</v>
      </c>
    </row>
    <row r="1085" spans="1:9" s="6" customFormat="1" ht="13.5" customHeight="1">
      <c r="A1085" s="285">
        <v>205</v>
      </c>
      <c r="B1085" s="329" t="s">
        <v>1041</v>
      </c>
      <c r="C1085" s="803">
        <v>96.4</v>
      </c>
      <c r="D1085" s="391"/>
      <c r="E1085" s="804"/>
      <c r="F1085" s="61">
        <f t="shared" si="78"/>
        <v>96.4</v>
      </c>
      <c r="G1085" s="62">
        <f t="shared" si="76"/>
        <v>6.3614359999999994</v>
      </c>
      <c r="H1085" s="8">
        <f t="shared" si="75"/>
        <v>6.5989999999999993E-2</v>
      </c>
      <c r="I1085" s="109">
        <f t="shared" si="77"/>
        <v>6.5989999999999993E-2</v>
      </c>
    </row>
    <row r="1086" spans="1:9" s="6" customFormat="1" ht="13.5" customHeight="1">
      <c r="A1086" s="285">
        <v>206</v>
      </c>
      <c r="B1086" s="329" t="s">
        <v>1042</v>
      </c>
      <c r="C1086" s="803">
        <v>76.2</v>
      </c>
      <c r="D1086" s="391"/>
      <c r="E1086" s="804"/>
      <c r="F1086" s="61">
        <f t="shared" si="78"/>
        <v>76.2</v>
      </c>
      <c r="G1086" s="62">
        <f t="shared" si="76"/>
        <v>5.0284379999999995</v>
      </c>
      <c r="H1086" s="8">
        <f t="shared" si="75"/>
        <v>6.5989999999999993E-2</v>
      </c>
      <c r="I1086" s="109">
        <f t="shared" si="77"/>
        <v>6.5989999999999993E-2</v>
      </c>
    </row>
    <row r="1087" spans="1:9" s="6" customFormat="1" ht="13.5" customHeight="1">
      <c r="A1087" s="285">
        <v>207</v>
      </c>
      <c r="B1087" s="329" t="s">
        <v>1043</v>
      </c>
      <c r="C1087" s="803">
        <v>84.3</v>
      </c>
      <c r="D1087" s="391"/>
      <c r="E1087" s="804"/>
      <c r="F1087" s="61">
        <f t="shared" si="78"/>
        <v>84.3</v>
      </c>
      <c r="G1087" s="62">
        <f t="shared" si="76"/>
        <v>5.562956999999999</v>
      </c>
      <c r="H1087" s="8">
        <f t="shared" si="75"/>
        <v>6.5989999999999993E-2</v>
      </c>
      <c r="I1087" s="109">
        <f t="shared" si="77"/>
        <v>6.5989999999999993E-2</v>
      </c>
    </row>
    <row r="1088" spans="1:9" s="6" customFormat="1" ht="13.5" customHeight="1">
      <c r="A1088" s="285">
        <v>208</v>
      </c>
      <c r="B1088" s="329" t="s">
        <v>1044</v>
      </c>
      <c r="C1088" s="803">
        <v>236.4</v>
      </c>
      <c r="D1088" s="391"/>
      <c r="E1088" s="804"/>
      <c r="F1088" s="61">
        <f t="shared" si="78"/>
        <v>236.4</v>
      </c>
      <c r="G1088" s="62">
        <f t="shared" si="76"/>
        <v>15.600035999999999</v>
      </c>
      <c r="H1088" s="8">
        <f t="shared" si="75"/>
        <v>6.5989999999999993E-2</v>
      </c>
      <c r="I1088" s="109">
        <f t="shared" si="77"/>
        <v>6.5989999999999993E-2</v>
      </c>
    </row>
    <row r="1089" spans="1:9" s="6" customFormat="1" ht="13.5" customHeight="1">
      <c r="A1089" s="285">
        <v>209</v>
      </c>
      <c r="B1089" s="329" t="s">
        <v>1045</v>
      </c>
      <c r="C1089" s="803">
        <v>84.3</v>
      </c>
      <c r="D1089" s="391"/>
      <c r="E1089" s="804"/>
      <c r="F1089" s="61">
        <f t="shared" si="78"/>
        <v>84.3</v>
      </c>
      <c r="G1089" s="62">
        <f t="shared" si="76"/>
        <v>5.562956999999999</v>
      </c>
      <c r="H1089" s="8">
        <f t="shared" si="75"/>
        <v>6.5989999999999993E-2</v>
      </c>
      <c r="I1089" s="109">
        <f t="shared" si="77"/>
        <v>6.5989999999999993E-2</v>
      </c>
    </row>
    <row r="1090" spans="1:9" s="6" customFormat="1" ht="13.5" customHeight="1">
      <c r="A1090" s="285">
        <v>210</v>
      </c>
      <c r="B1090" s="329" t="s">
        <v>1046</v>
      </c>
      <c r="C1090" s="803">
        <v>84.3</v>
      </c>
      <c r="D1090" s="391"/>
      <c r="E1090" s="804"/>
      <c r="F1090" s="61">
        <f t="shared" si="78"/>
        <v>84.3</v>
      </c>
      <c r="G1090" s="62">
        <f t="shared" si="76"/>
        <v>5.562956999999999</v>
      </c>
      <c r="H1090" s="8">
        <f t="shared" si="75"/>
        <v>6.5989999999999993E-2</v>
      </c>
      <c r="I1090" s="109">
        <f t="shared" si="77"/>
        <v>6.5989999999999993E-2</v>
      </c>
    </row>
    <row r="1091" spans="1:9" s="6" customFormat="1" ht="13.5" customHeight="1">
      <c r="A1091" s="285">
        <v>211</v>
      </c>
      <c r="B1091" s="329" t="s">
        <v>1047</v>
      </c>
      <c r="C1091" s="803">
        <v>176.6</v>
      </c>
      <c r="D1091" s="391"/>
      <c r="E1091" s="804"/>
      <c r="F1091" s="61">
        <f t="shared" si="78"/>
        <v>176.6</v>
      </c>
      <c r="G1091" s="62">
        <f t="shared" si="76"/>
        <v>11.653833999999998</v>
      </c>
      <c r="H1091" s="8">
        <f t="shared" si="75"/>
        <v>6.5989999999999993E-2</v>
      </c>
      <c r="I1091" s="109">
        <f t="shared" si="77"/>
        <v>6.5989999999999993E-2</v>
      </c>
    </row>
    <row r="1092" spans="1:9" s="6" customFormat="1" ht="13.5" customHeight="1">
      <c r="A1092" s="285">
        <v>212</v>
      </c>
      <c r="B1092" s="329" t="s">
        <v>1048</v>
      </c>
      <c r="C1092" s="803">
        <v>111.5</v>
      </c>
      <c r="D1092" s="391"/>
      <c r="E1092" s="804"/>
      <c r="F1092" s="61">
        <f t="shared" si="78"/>
        <v>111.5</v>
      </c>
      <c r="G1092" s="62">
        <f t="shared" si="76"/>
        <v>7.3578849999999996</v>
      </c>
      <c r="H1092" s="8">
        <f t="shared" si="75"/>
        <v>6.5989999999999993E-2</v>
      </c>
      <c r="I1092" s="109">
        <f t="shared" si="77"/>
        <v>6.5989999999999993E-2</v>
      </c>
    </row>
    <row r="1093" spans="1:9" s="6" customFormat="1" ht="13.5" customHeight="1">
      <c r="A1093" s="285">
        <v>213</v>
      </c>
      <c r="B1093" s="329" t="s">
        <v>1049</v>
      </c>
      <c r="C1093" s="803">
        <v>94.2</v>
      </c>
      <c r="D1093" s="391"/>
      <c r="E1093" s="804"/>
      <c r="F1093" s="61">
        <f t="shared" si="78"/>
        <v>94.2</v>
      </c>
      <c r="G1093" s="62">
        <f t="shared" si="76"/>
        <v>6.2162579999999998</v>
      </c>
      <c r="H1093" s="8">
        <f t="shared" si="75"/>
        <v>6.5989999999999993E-2</v>
      </c>
      <c r="I1093" s="109">
        <f t="shared" si="77"/>
        <v>6.5989999999999993E-2</v>
      </c>
    </row>
    <row r="1094" spans="1:9" s="6" customFormat="1" ht="13.5" customHeight="1">
      <c r="A1094" s="285">
        <v>214</v>
      </c>
      <c r="B1094" s="329" t="s">
        <v>1050</v>
      </c>
      <c r="C1094" s="803">
        <v>131.4</v>
      </c>
      <c r="D1094" s="391"/>
      <c r="E1094" s="804"/>
      <c r="F1094" s="61">
        <f t="shared" si="78"/>
        <v>131.4</v>
      </c>
      <c r="G1094" s="62">
        <f t="shared" si="76"/>
        <v>8.671085999999999</v>
      </c>
      <c r="H1094" s="8">
        <f t="shared" si="75"/>
        <v>6.5989999999999993E-2</v>
      </c>
      <c r="I1094" s="109">
        <f t="shared" si="77"/>
        <v>6.5989999999999993E-2</v>
      </c>
    </row>
    <row r="1095" spans="1:9" s="6" customFormat="1" ht="13.5" customHeight="1">
      <c r="A1095" s="285">
        <v>215</v>
      </c>
      <c r="B1095" s="329" t="s">
        <v>1051</v>
      </c>
      <c r="C1095" s="803">
        <v>87.9</v>
      </c>
      <c r="D1095" s="391"/>
      <c r="E1095" s="804"/>
      <c r="F1095" s="61">
        <f t="shared" si="78"/>
        <v>87.9</v>
      </c>
      <c r="G1095" s="62">
        <f t="shared" si="76"/>
        <v>5.8005209999999998</v>
      </c>
      <c r="H1095" s="8">
        <f t="shared" si="75"/>
        <v>6.5989999999999993E-2</v>
      </c>
      <c r="I1095" s="109">
        <f t="shared" si="77"/>
        <v>6.5989999999999993E-2</v>
      </c>
    </row>
    <row r="1096" spans="1:9" s="6" customFormat="1" ht="13.5" customHeight="1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1">
        <f t="shared" si="78"/>
        <v>69.599999999999994</v>
      </c>
      <c r="G1096" s="62">
        <f t="shared" si="76"/>
        <v>4.592903999999999</v>
      </c>
      <c r="H1096" s="8">
        <f t="shared" si="75"/>
        <v>6.5989999999999993E-2</v>
      </c>
      <c r="I1096" s="109">
        <f t="shared" si="77"/>
        <v>6.5989999999999993E-2</v>
      </c>
    </row>
    <row r="1097" spans="1:9" s="6" customFormat="1" ht="13.5" customHeight="1">
      <c r="A1097" s="285">
        <v>217</v>
      </c>
      <c r="B1097" s="329" t="s">
        <v>1053</v>
      </c>
      <c r="C1097" s="803">
        <v>101.5</v>
      </c>
      <c r="D1097" s="391"/>
      <c r="E1097" s="804"/>
      <c r="F1097" s="61">
        <f t="shared" si="78"/>
        <v>101.5</v>
      </c>
      <c r="G1097" s="62">
        <f t="shared" si="76"/>
        <v>6.6979849999999992</v>
      </c>
      <c r="H1097" s="8">
        <f t="shared" si="75"/>
        <v>6.5989999999999993E-2</v>
      </c>
      <c r="I1097" s="109">
        <f t="shared" si="77"/>
        <v>6.5989999999999993E-2</v>
      </c>
    </row>
    <row r="1098" spans="1:9" s="6" customFormat="1" ht="13.5" customHeight="1">
      <c r="A1098" s="285">
        <v>218</v>
      </c>
      <c r="B1098" s="329" t="s">
        <v>1054</v>
      </c>
      <c r="C1098" s="803">
        <v>237.8</v>
      </c>
      <c r="D1098" s="391"/>
      <c r="E1098" s="804"/>
      <c r="F1098" s="61">
        <f t="shared" si="78"/>
        <v>237.8</v>
      </c>
      <c r="G1098" s="62">
        <f t="shared" si="76"/>
        <v>15.692421999999999</v>
      </c>
      <c r="H1098" s="8">
        <f t="shared" si="75"/>
        <v>6.5989999999999993E-2</v>
      </c>
      <c r="I1098" s="109">
        <f t="shared" si="77"/>
        <v>6.5989999999999993E-2</v>
      </c>
    </row>
    <row r="1099" spans="1:9" s="6" customFormat="1" ht="13.5" customHeight="1">
      <c r="A1099" s="285">
        <v>219</v>
      </c>
      <c r="B1099" s="329" t="s">
        <v>1055</v>
      </c>
      <c r="C1099" s="803">
        <v>96.6</v>
      </c>
      <c r="D1099" s="391"/>
      <c r="E1099" s="804"/>
      <c r="F1099" s="61">
        <f t="shared" si="78"/>
        <v>96.6</v>
      </c>
      <c r="G1099" s="62">
        <f t="shared" si="76"/>
        <v>6.3746339999999986</v>
      </c>
      <c r="H1099" s="8">
        <f t="shared" si="75"/>
        <v>6.5989999999999993E-2</v>
      </c>
      <c r="I1099" s="109">
        <f t="shared" si="77"/>
        <v>6.5989999999999993E-2</v>
      </c>
    </row>
    <row r="1100" spans="1:9" s="6" customFormat="1" ht="13.5" customHeight="1">
      <c r="A1100" s="285">
        <v>220</v>
      </c>
      <c r="B1100" s="329" t="s">
        <v>1056</v>
      </c>
      <c r="C1100" s="803">
        <v>120.2</v>
      </c>
      <c r="D1100" s="391"/>
      <c r="E1100" s="804"/>
      <c r="F1100" s="61">
        <f t="shared" si="78"/>
        <v>120.2</v>
      </c>
      <c r="G1100" s="62">
        <f t="shared" si="76"/>
        <v>7.9319979999999992</v>
      </c>
      <c r="H1100" s="8">
        <f t="shared" si="75"/>
        <v>6.5989999999999993E-2</v>
      </c>
      <c r="I1100" s="109">
        <f t="shared" si="77"/>
        <v>6.5989999999999993E-2</v>
      </c>
    </row>
    <row r="1101" spans="1:9" s="6" customFormat="1" ht="13.5" customHeight="1">
      <c r="A1101" s="285">
        <v>221</v>
      </c>
      <c r="B1101" s="329" t="s">
        <v>1057</v>
      </c>
      <c r="C1101" s="803">
        <v>340.3</v>
      </c>
      <c r="D1101" s="391"/>
      <c r="E1101" s="804"/>
      <c r="F1101" s="61">
        <f t="shared" si="78"/>
        <v>340.3</v>
      </c>
      <c r="G1101" s="62">
        <f t="shared" si="76"/>
        <v>22.456396999999999</v>
      </c>
      <c r="H1101" s="8">
        <f t="shared" si="75"/>
        <v>6.5989999999999993E-2</v>
      </c>
      <c r="I1101" s="109">
        <f t="shared" si="77"/>
        <v>6.5989999999999993E-2</v>
      </c>
    </row>
    <row r="1102" spans="1:9" s="6" customFormat="1" ht="13.5" customHeight="1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1">
        <f t="shared" si="78"/>
        <v>264.89999999999998</v>
      </c>
      <c r="G1102" s="62">
        <f t="shared" si="76"/>
        <v>17.480750999999998</v>
      </c>
      <c r="H1102" s="8">
        <f t="shared" si="75"/>
        <v>6.5989999999999993E-2</v>
      </c>
      <c r="I1102" s="109">
        <f t="shared" si="77"/>
        <v>6.5989999999999993E-2</v>
      </c>
    </row>
    <row r="1103" spans="1:9" s="6" customFormat="1" ht="13.5" customHeight="1">
      <c r="A1103" s="285">
        <v>223</v>
      </c>
      <c r="B1103" s="329" t="s">
        <v>1059</v>
      </c>
      <c r="C1103" s="803">
        <v>299.7</v>
      </c>
      <c r="D1103" s="391"/>
      <c r="E1103" s="804"/>
      <c r="F1103" s="61">
        <f t="shared" si="78"/>
        <v>299.7</v>
      </c>
      <c r="G1103" s="62">
        <f t="shared" si="76"/>
        <v>19.777202999999997</v>
      </c>
      <c r="H1103" s="8">
        <f t="shared" si="75"/>
        <v>6.5989999999999993E-2</v>
      </c>
      <c r="I1103" s="109">
        <f t="shared" si="77"/>
        <v>6.5989999999999993E-2</v>
      </c>
    </row>
    <row r="1104" spans="1:9" s="6" customFormat="1" ht="13.5" customHeight="1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1">
        <f t="shared" si="78"/>
        <v>143.69999999999999</v>
      </c>
      <c r="G1104" s="62">
        <f t="shared" si="76"/>
        <v>9.4827629999999985</v>
      </c>
      <c r="H1104" s="8">
        <f t="shared" si="75"/>
        <v>6.5989999999999993E-2</v>
      </c>
      <c r="I1104" s="109">
        <f t="shared" si="77"/>
        <v>6.5989999999999993E-2</v>
      </c>
    </row>
    <row r="1105" spans="1:9" s="6" customFormat="1" ht="13.5" customHeight="1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1">
        <f t="shared" si="78"/>
        <v>295.10000000000002</v>
      </c>
      <c r="G1105" s="62">
        <f t="shared" si="76"/>
        <v>19.473648999999998</v>
      </c>
      <c r="H1105" s="8">
        <f t="shared" si="75"/>
        <v>6.5989999999999993E-2</v>
      </c>
      <c r="I1105" s="109">
        <f t="shared" si="77"/>
        <v>6.5989999999999993E-2</v>
      </c>
    </row>
    <row r="1106" spans="1:9" s="6" customFormat="1" ht="13.5" customHeight="1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1">
        <f t="shared" si="78"/>
        <v>148.69999999999999</v>
      </c>
      <c r="G1106" s="62">
        <f t="shared" si="76"/>
        <v>9.8127129999999987</v>
      </c>
      <c r="H1106" s="8">
        <f t="shared" si="75"/>
        <v>6.5989999999999993E-2</v>
      </c>
      <c r="I1106" s="109">
        <f t="shared" si="77"/>
        <v>6.5989999999999993E-2</v>
      </c>
    </row>
    <row r="1107" spans="1:9" s="6" customFormat="1" ht="13.5" customHeight="1">
      <c r="A1107" s="285">
        <v>227</v>
      </c>
      <c r="B1107" s="329" t="s">
        <v>1063</v>
      </c>
      <c r="C1107" s="803">
        <v>339.7</v>
      </c>
      <c r="D1107" s="391"/>
      <c r="E1107" s="804"/>
      <c r="F1107" s="61">
        <f t="shared" si="78"/>
        <v>339.7</v>
      </c>
      <c r="G1107" s="62">
        <f t="shared" si="76"/>
        <v>22.416802999999998</v>
      </c>
      <c r="H1107" s="8">
        <f t="shared" si="75"/>
        <v>6.5989999999999993E-2</v>
      </c>
      <c r="I1107" s="109">
        <f t="shared" si="77"/>
        <v>6.5989999999999993E-2</v>
      </c>
    </row>
    <row r="1108" spans="1:9" s="6" customFormat="1" ht="13.5" customHeight="1">
      <c r="A1108" s="285">
        <v>228</v>
      </c>
      <c r="B1108" s="329" t="s">
        <v>1064</v>
      </c>
      <c r="C1108" s="803">
        <v>197.6</v>
      </c>
      <c r="D1108" s="391"/>
      <c r="E1108" s="804"/>
      <c r="F1108" s="61">
        <f t="shared" si="78"/>
        <v>197.6</v>
      </c>
      <c r="G1108" s="62">
        <f t="shared" si="76"/>
        <v>13.039623999999998</v>
      </c>
      <c r="H1108" s="8">
        <f t="shared" si="75"/>
        <v>6.5989999999999993E-2</v>
      </c>
      <c r="I1108" s="109">
        <f t="shared" si="77"/>
        <v>6.5989999999999993E-2</v>
      </c>
    </row>
    <row r="1109" spans="1:9" s="6" customFormat="1" ht="13.5" customHeight="1">
      <c r="A1109" s="285">
        <v>229</v>
      </c>
      <c r="B1109" s="329" t="s">
        <v>1065</v>
      </c>
      <c r="C1109" s="806">
        <v>251</v>
      </c>
      <c r="D1109" s="391"/>
      <c r="E1109" s="804"/>
      <c r="F1109" s="61">
        <f t="shared" si="78"/>
        <v>251</v>
      </c>
      <c r="G1109" s="62">
        <f t="shared" si="76"/>
        <v>16.563489999999998</v>
      </c>
      <c r="H1109" s="8">
        <f t="shared" si="75"/>
        <v>6.5989999999999993E-2</v>
      </c>
      <c r="I1109" s="109">
        <f t="shared" si="77"/>
        <v>6.5989999999999993E-2</v>
      </c>
    </row>
    <row r="1110" spans="1:9" s="6" customFormat="1" ht="13.5" customHeight="1">
      <c r="A1110" s="285">
        <v>230</v>
      </c>
      <c r="B1110" s="329" t="s">
        <v>1066</v>
      </c>
      <c r="C1110" s="803">
        <v>172.7</v>
      </c>
      <c r="D1110" s="391"/>
      <c r="E1110" s="804"/>
      <c r="F1110" s="61">
        <f t="shared" si="78"/>
        <v>172.7</v>
      </c>
      <c r="G1110" s="62">
        <f t="shared" si="76"/>
        <v>11.396472999999999</v>
      </c>
      <c r="H1110" s="8">
        <f t="shared" si="75"/>
        <v>6.5989999999999993E-2</v>
      </c>
      <c r="I1110" s="109">
        <f t="shared" si="77"/>
        <v>6.5989999999999993E-2</v>
      </c>
    </row>
    <row r="1111" spans="1:9" s="6" customFormat="1" ht="13.5" customHeight="1">
      <c r="A1111" s="285">
        <v>231</v>
      </c>
      <c r="B1111" s="329" t="s">
        <v>1067</v>
      </c>
      <c r="C1111" s="803">
        <v>294.2</v>
      </c>
      <c r="D1111" s="391"/>
      <c r="E1111" s="804"/>
      <c r="F1111" s="61">
        <f t="shared" si="78"/>
        <v>294.2</v>
      </c>
      <c r="G1111" s="62">
        <f t="shared" si="76"/>
        <v>19.414257999999997</v>
      </c>
      <c r="H1111" s="8">
        <f t="shared" si="75"/>
        <v>6.5989999999999993E-2</v>
      </c>
      <c r="I1111" s="109">
        <f t="shared" si="77"/>
        <v>6.5989999999999993E-2</v>
      </c>
    </row>
    <row r="1112" spans="1:9" s="6" customFormat="1" ht="13.5" customHeight="1">
      <c r="A1112" s="285">
        <v>232</v>
      </c>
      <c r="B1112" s="329" t="s">
        <v>1068</v>
      </c>
      <c r="C1112" s="803">
        <v>200.9</v>
      </c>
      <c r="D1112" s="391"/>
      <c r="E1112" s="804"/>
      <c r="F1112" s="61">
        <f t="shared" si="78"/>
        <v>200.9</v>
      </c>
      <c r="G1112" s="62">
        <f t="shared" si="76"/>
        <v>13.257390999999998</v>
      </c>
      <c r="H1112" s="8">
        <f t="shared" si="75"/>
        <v>6.5989999999999993E-2</v>
      </c>
      <c r="I1112" s="109">
        <f t="shared" si="77"/>
        <v>6.5989999999999993E-2</v>
      </c>
    </row>
    <row r="1113" spans="1:9" s="6" customFormat="1" ht="13.5" customHeight="1">
      <c r="A1113" s="285">
        <v>233</v>
      </c>
      <c r="B1113" s="329" t="s">
        <v>1069</v>
      </c>
      <c r="C1113" s="803">
        <v>297.8</v>
      </c>
      <c r="D1113" s="391"/>
      <c r="E1113" s="804"/>
      <c r="F1113" s="61">
        <f t="shared" si="78"/>
        <v>297.8</v>
      </c>
      <c r="G1113" s="62">
        <f t="shared" si="76"/>
        <v>19.651821999999999</v>
      </c>
      <c r="H1113" s="8">
        <f t="shared" si="75"/>
        <v>6.5989999999999993E-2</v>
      </c>
      <c r="I1113" s="109">
        <f t="shared" si="77"/>
        <v>6.5989999999999993E-2</v>
      </c>
    </row>
    <row r="1114" spans="1:9" s="6" customFormat="1" ht="13.5" customHeight="1">
      <c r="A1114" s="285">
        <v>234</v>
      </c>
      <c r="B1114" s="329" t="s">
        <v>1070</v>
      </c>
      <c r="C1114" s="803">
        <v>124.6</v>
      </c>
      <c r="D1114" s="391"/>
      <c r="E1114" s="804"/>
      <c r="F1114" s="61">
        <f t="shared" si="78"/>
        <v>124.6</v>
      </c>
      <c r="G1114" s="62">
        <f t="shared" si="76"/>
        <v>8.2223539999999993</v>
      </c>
      <c r="H1114" s="8">
        <f t="shared" si="75"/>
        <v>6.5989999999999993E-2</v>
      </c>
      <c r="I1114" s="109">
        <f t="shared" si="77"/>
        <v>6.5989999999999993E-2</v>
      </c>
    </row>
    <row r="1115" spans="1:9" s="6" customFormat="1" ht="13.5" customHeight="1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1">
        <f t="shared" si="78"/>
        <v>132.19999999999999</v>
      </c>
      <c r="G1115" s="62">
        <f t="shared" si="76"/>
        <v>8.7238779999999991</v>
      </c>
      <c r="H1115" s="8">
        <f t="shared" si="75"/>
        <v>6.5989999999999993E-2</v>
      </c>
      <c r="I1115" s="109">
        <f t="shared" si="77"/>
        <v>6.5989999999999993E-2</v>
      </c>
    </row>
    <row r="1116" spans="1:9" s="6" customFormat="1" ht="13.5" customHeight="1">
      <c r="A1116" s="285">
        <v>236</v>
      </c>
      <c r="B1116" s="329" t="s">
        <v>1072</v>
      </c>
      <c r="C1116" s="803">
        <v>225.4</v>
      </c>
      <c r="D1116" s="391"/>
      <c r="E1116" s="804"/>
      <c r="F1116" s="61">
        <f t="shared" si="78"/>
        <v>225.4</v>
      </c>
      <c r="G1116" s="62">
        <f t="shared" si="76"/>
        <v>14.874146</v>
      </c>
      <c r="H1116" s="8">
        <f t="shared" ref="H1116:H1179" si="79">0.06599</f>
        <v>6.5989999999999993E-2</v>
      </c>
      <c r="I1116" s="109">
        <f t="shared" si="77"/>
        <v>6.5989999999999993E-2</v>
      </c>
    </row>
    <row r="1117" spans="1:9" s="6" customFormat="1" ht="13.5" customHeight="1">
      <c r="A1117" s="285">
        <v>237</v>
      </c>
      <c r="B1117" s="329" t="s">
        <v>1073</v>
      </c>
      <c r="C1117" s="803">
        <v>415.6</v>
      </c>
      <c r="D1117" s="391"/>
      <c r="E1117" s="804"/>
      <c r="F1117" s="61">
        <f t="shared" si="78"/>
        <v>415.6</v>
      </c>
      <c r="G1117" s="62">
        <f t="shared" si="76"/>
        <v>27.425443999999999</v>
      </c>
      <c r="H1117" s="8">
        <f t="shared" si="79"/>
        <v>6.5989999999999993E-2</v>
      </c>
      <c r="I1117" s="109">
        <f t="shared" si="77"/>
        <v>6.5989999999999993E-2</v>
      </c>
    </row>
    <row r="1118" spans="1:9" s="6" customFormat="1" ht="13.5" customHeight="1">
      <c r="A1118" s="285">
        <v>238</v>
      </c>
      <c r="B1118" s="329" t="s">
        <v>1074</v>
      </c>
      <c r="C1118" s="803">
        <v>1495</v>
      </c>
      <c r="D1118" s="391"/>
      <c r="E1118" s="804"/>
      <c r="F1118" s="61">
        <f t="shared" si="78"/>
        <v>1495</v>
      </c>
      <c r="G1118" s="62">
        <f t="shared" si="76"/>
        <v>98.655049999999989</v>
      </c>
      <c r="H1118" s="8">
        <f t="shared" si="79"/>
        <v>6.5989999999999993E-2</v>
      </c>
      <c r="I1118" s="109">
        <f t="shared" si="77"/>
        <v>6.5989999999999993E-2</v>
      </c>
    </row>
    <row r="1119" spans="1:9" s="6" customFormat="1" ht="13.5" customHeight="1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1">
        <f t="shared" si="78"/>
        <v>288.60000000000002</v>
      </c>
      <c r="G1119" s="62">
        <f t="shared" si="76"/>
        <v>19.044713999999999</v>
      </c>
      <c r="H1119" s="8">
        <f t="shared" si="79"/>
        <v>6.5989999999999993E-2</v>
      </c>
      <c r="I1119" s="109">
        <f t="shared" si="77"/>
        <v>6.5989999999999993E-2</v>
      </c>
    </row>
    <row r="1120" spans="1:9" s="6" customFormat="1" ht="13.5" customHeight="1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1">
        <f t="shared" si="78"/>
        <v>272.10000000000002</v>
      </c>
      <c r="G1120" s="62">
        <f t="shared" si="76"/>
        <v>17.955878999999999</v>
      </c>
      <c r="H1120" s="8">
        <f t="shared" si="79"/>
        <v>6.5989999999999993E-2</v>
      </c>
      <c r="I1120" s="109">
        <f t="shared" si="77"/>
        <v>6.5989999999999993E-2</v>
      </c>
    </row>
    <row r="1121" spans="1:9" s="6" customFormat="1" ht="13.5" customHeight="1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1">
        <f t="shared" si="78"/>
        <v>313.7</v>
      </c>
      <c r="G1121" s="62">
        <f t="shared" si="76"/>
        <v>20.701062999999998</v>
      </c>
      <c r="H1121" s="8">
        <f t="shared" si="79"/>
        <v>6.5989999999999993E-2</v>
      </c>
      <c r="I1121" s="109">
        <f t="shared" si="77"/>
        <v>6.5989999999999993E-2</v>
      </c>
    </row>
    <row r="1122" spans="1:9" s="6" customFormat="1" ht="13.5" customHeight="1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1">
        <f t="shared" si="78"/>
        <v>860.41000000000008</v>
      </c>
      <c r="G1122" s="62">
        <f t="shared" si="76"/>
        <v>56.778455899999997</v>
      </c>
      <c r="H1122" s="8">
        <f t="shared" si="79"/>
        <v>6.5989999999999993E-2</v>
      </c>
      <c r="I1122" s="109">
        <f t="shared" si="77"/>
        <v>6.5989999999999993E-2</v>
      </c>
    </row>
    <row r="1123" spans="1:9" s="6" customFormat="1" ht="13.5" customHeight="1">
      <c r="A1123" s="285">
        <v>243</v>
      </c>
      <c r="B1123" s="329" t="s">
        <v>1079</v>
      </c>
      <c r="C1123" s="806">
        <v>294</v>
      </c>
      <c r="D1123" s="391"/>
      <c r="E1123" s="804"/>
      <c r="F1123" s="61">
        <f t="shared" si="78"/>
        <v>294</v>
      </c>
      <c r="G1123" s="62">
        <f t="shared" si="76"/>
        <v>19.401059999999998</v>
      </c>
      <c r="H1123" s="8">
        <f t="shared" si="79"/>
        <v>6.5989999999999993E-2</v>
      </c>
      <c r="I1123" s="109">
        <f t="shared" si="77"/>
        <v>6.5989999999999993E-2</v>
      </c>
    </row>
    <row r="1124" spans="1:9" s="6" customFormat="1" ht="13.5" customHeight="1">
      <c r="A1124" s="285">
        <v>244</v>
      </c>
      <c r="B1124" s="329" t="s">
        <v>1080</v>
      </c>
      <c r="C1124" s="803">
        <v>1119.54</v>
      </c>
      <c r="D1124" s="391"/>
      <c r="E1124" s="804"/>
      <c r="F1124" s="61">
        <f t="shared" si="78"/>
        <v>1119.54</v>
      </c>
      <c r="G1124" s="62">
        <f t="shared" si="76"/>
        <v>73.878444599999995</v>
      </c>
      <c r="H1124" s="8">
        <f t="shared" si="79"/>
        <v>6.5989999999999993E-2</v>
      </c>
      <c r="I1124" s="109">
        <f t="shared" si="77"/>
        <v>6.5989999999999993E-2</v>
      </c>
    </row>
    <row r="1125" spans="1:9" s="6" customFormat="1" ht="13.5" customHeight="1">
      <c r="A1125" s="285">
        <v>245</v>
      </c>
      <c r="B1125" s="329" t="s">
        <v>1081</v>
      </c>
      <c r="C1125" s="803">
        <v>542.66</v>
      </c>
      <c r="D1125" s="391"/>
      <c r="E1125" s="804"/>
      <c r="F1125" s="61">
        <f t="shared" si="78"/>
        <v>542.66</v>
      </c>
      <c r="G1125" s="62">
        <f t="shared" si="76"/>
        <v>35.810133399999991</v>
      </c>
      <c r="H1125" s="8">
        <f t="shared" si="79"/>
        <v>6.5989999999999993E-2</v>
      </c>
      <c r="I1125" s="109">
        <f t="shared" si="77"/>
        <v>6.5989999999999993E-2</v>
      </c>
    </row>
    <row r="1126" spans="1:9" s="6" customFormat="1" ht="13.5" customHeight="1">
      <c r="A1126" s="285">
        <v>246</v>
      </c>
      <c r="B1126" s="329" t="s">
        <v>1082</v>
      </c>
      <c r="C1126" s="803">
        <v>507.72</v>
      </c>
      <c r="D1126" s="391"/>
      <c r="E1126" s="804"/>
      <c r="F1126" s="61">
        <f t="shared" si="78"/>
        <v>507.72</v>
      </c>
      <c r="G1126" s="62">
        <f t="shared" si="76"/>
        <v>33.5044428</v>
      </c>
      <c r="H1126" s="8">
        <f t="shared" si="79"/>
        <v>6.5989999999999993E-2</v>
      </c>
      <c r="I1126" s="109">
        <f t="shared" si="77"/>
        <v>6.5989999999999993E-2</v>
      </c>
    </row>
    <row r="1127" spans="1:9" s="6" customFormat="1" ht="13.5" customHeight="1">
      <c r="A1127" s="285">
        <v>247</v>
      </c>
      <c r="B1127" s="329" t="s">
        <v>1083</v>
      </c>
      <c r="C1127" s="803">
        <v>517.03</v>
      </c>
      <c r="D1127" s="391"/>
      <c r="E1127" s="804"/>
      <c r="F1127" s="61">
        <f t="shared" si="78"/>
        <v>517.03</v>
      </c>
      <c r="G1127" s="62">
        <f t="shared" si="76"/>
        <v>34.118809699999993</v>
      </c>
      <c r="H1127" s="8">
        <f t="shared" si="79"/>
        <v>6.5989999999999993E-2</v>
      </c>
      <c r="I1127" s="109">
        <f t="shared" si="77"/>
        <v>6.5989999999999993E-2</v>
      </c>
    </row>
    <row r="1128" spans="1:9" s="6" customFormat="1" ht="13.5" customHeight="1">
      <c r="A1128" s="285">
        <v>248</v>
      </c>
      <c r="B1128" s="329" t="s">
        <v>1084</v>
      </c>
      <c r="C1128" s="803">
        <v>497.81</v>
      </c>
      <c r="D1128" s="391"/>
      <c r="E1128" s="804"/>
      <c r="F1128" s="61">
        <f t="shared" si="78"/>
        <v>497.81</v>
      </c>
      <c r="G1128" s="62">
        <f t="shared" si="76"/>
        <v>32.850481899999998</v>
      </c>
      <c r="H1128" s="8">
        <f t="shared" si="79"/>
        <v>6.5989999999999993E-2</v>
      </c>
      <c r="I1128" s="109">
        <f t="shared" si="77"/>
        <v>6.5989999999999993E-2</v>
      </c>
    </row>
    <row r="1129" spans="1:9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1">
        <f t="shared" si="78"/>
        <v>301.3</v>
      </c>
      <c r="G1129" s="62">
        <f t="shared" ref="G1129:G1145" si="80">F1129*H1129</f>
        <v>19.882787</v>
      </c>
      <c r="H1129" s="8">
        <f t="shared" si="79"/>
        <v>6.5989999999999993E-2</v>
      </c>
      <c r="I1129" s="109">
        <f t="shared" ref="I1129:I1145" si="81">G1129/F1129</f>
        <v>6.5989999999999993E-2</v>
      </c>
    </row>
    <row r="1130" spans="1:9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1">
        <f t="shared" si="78"/>
        <v>493.5</v>
      </c>
      <c r="G1130" s="62">
        <f t="shared" si="80"/>
        <v>32.566064999999995</v>
      </c>
      <c r="H1130" s="8">
        <f t="shared" si="79"/>
        <v>6.5989999999999993E-2</v>
      </c>
      <c r="I1130" s="109">
        <f t="shared" si="81"/>
        <v>6.5989999999999993E-2</v>
      </c>
    </row>
    <row r="1131" spans="1:9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1">
        <f t="shared" si="78"/>
        <v>264.8</v>
      </c>
      <c r="G1131" s="62">
        <f t="shared" si="80"/>
        <v>17.474152</v>
      </c>
      <c r="H1131" s="8">
        <f t="shared" si="79"/>
        <v>6.5989999999999993E-2</v>
      </c>
      <c r="I1131" s="109">
        <f t="shared" si="81"/>
        <v>6.5989999999999993E-2</v>
      </c>
    </row>
    <row r="1132" spans="1:9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1">
        <f t="shared" ref="F1132:F1145" si="82">C1132+D1132+E1132</f>
        <v>544.79999999999995</v>
      </c>
      <c r="G1132" s="62">
        <f t="shared" si="80"/>
        <v>35.951351999999993</v>
      </c>
      <c r="H1132" s="8">
        <f t="shared" si="79"/>
        <v>6.5989999999999993E-2</v>
      </c>
      <c r="I1132" s="109">
        <f t="shared" si="81"/>
        <v>6.5989999999999993E-2</v>
      </c>
    </row>
    <row r="1133" spans="1:9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1">
        <f t="shared" si="82"/>
        <v>205</v>
      </c>
      <c r="G1133" s="62">
        <f t="shared" si="80"/>
        <v>13.527949999999999</v>
      </c>
      <c r="H1133" s="8">
        <f t="shared" si="79"/>
        <v>6.5989999999999993E-2</v>
      </c>
      <c r="I1133" s="109">
        <f t="shared" si="81"/>
        <v>6.5989999999999993E-2</v>
      </c>
    </row>
    <row r="1134" spans="1:9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1">
        <f t="shared" si="82"/>
        <v>577.32000000000005</v>
      </c>
      <c r="G1134" s="62">
        <f t="shared" si="80"/>
        <v>38.097346799999997</v>
      </c>
      <c r="H1134" s="8">
        <f t="shared" si="79"/>
        <v>6.5989999999999993E-2</v>
      </c>
      <c r="I1134" s="109">
        <f t="shared" si="81"/>
        <v>6.5989999999999993E-2</v>
      </c>
    </row>
    <row r="1135" spans="1:9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1">
        <f t="shared" si="82"/>
        <v>353</v>
      </c>
      <c r="G1135" s="62">
        <f t="shared" si="80"/>
        <v>23.294469999999997</v>
      </c>
      <c r="H1135" s="8">
        <f t="shared" si="79"/>
        <v>6.5989999999999993E-2</v>
      </c>
      <c r="I1135" s="109">
        <f t="shared" si="81"/>
        <v>6.5989999999999993E-2</v>
      </c>
    </row>
    <row r="1136" spans="1:9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1">
        <f t="shared" si="82"/>
        <v>646.29999999999995</v>
      </c>
      <c r="G1136" s="62">
        <f t="shared" si="80"/>
        <v>42.649336999999996</v>
      </c>
      <c r="H1136" s="8">
        <f t="shared" si="79"/>
        <v>6.5989999999999993E-2</v>
      </c>
      <c r="I1136" s="109">
        <f t="shared" si="81"/>
        <v>6.5989999999999993E-2</v>
      </c>
    </row>
    <row r="1137" spans="1:9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1">
        <f t="shared" si="82"/>
        <v>281.89999999999998</v>
      </c>
      <c r="G1137" s="62">
        <f t="shared" si="80"/>
        <v>18.602580999999997</v>
      </c>
      <c r="H1137" s="8">
        <f t="shared" si="79"/>
        <v>6.5989999999999993E-2</v>
      </c>
      <c r="I1137" s="109">
        <f t="shared" si="81"/>
        <v>6.5989999999999993E-2</v>
      </c>
    </row>
    <row r="1138" spans="1:9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1">
        <f t="shared" si="82"/>
        <v>305.10000000000002</v>
      </c>
      <c r="G1138" s="62">
        <f t="shared" si="80"/>
        <v>20.133548999999999</v>
      </c>
      <c r="H1138" s="8">
        <f t="shared" si="79"/>
        <v>6.5989999999999993E-2</v>
      </c>
      <c r="I1138" s="109">
        <f t="shared" si="81"/>
        <v>6.5989999999999993E-2</v>
      </c>
    </row>
    <row r="1139" spans="1:9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1">
        <f t="shared" si="82"/>
        <v>369.45</v>
      </c>
      <c r="G1139" s="62">
        <f t="shared" si="80"/>
        <v>24.380005499999996</v>
      </c>
      <c r="H1139" s="8">
        <f t="shared" si="79"/>
        <v>6.5989999999999993E-2</v>
      </c>
      <c r="I1139" s="109">
        <f t="shared" si="81"/>
        <v>6.5989999999999993E-2</v>
      </c>
    </row>
    <row r="1140" spans="1:9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1">
        <f t="shared" si="82"/>
        <v>453.11</v>
      </c>
      <c r="G1140" s="62">
        <f t="shared" si="80"/>
        <v>29.900728899999997</v>
      </c>
      <c r="H1140" s="8">
        <f t="shared" si="79"/>
        <v>6.5989999999999993E-2</v>
      </c>
      <c r="I1140" s="109">
        <f t="shared" si="81"/>
        <v>6.5989999999999993E-2</v>
      </c>
    </row>
    <row r="1141" spans="1:9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1">
        <f t="shared" si="82"/>
        <v>729</v>
      </c>
      <c r="G1141" s="62">
        <f t="shared" si="80"/>
        <v>48.106709999999993</v>
      </c>
      <c r="H1141" s="8">
        <f t="shared" si="79"/>
        <v>6.5989999999999993E-2</v>
      </c>
      <c r="I1141" s="109">
        <f t="shared" si="81"/>
        <v>6.5989999999999993E-2</v>
      </c>
    </row>
    <row r="1142" spans="1:9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1">
        <f t="shared" si="82"/>
        <v>422.76</v>
      </c>
      <c r="G1142" s="62">
        <f t="shared" si="80"/>
        <v>27.897932399999995</v>
      </c>
      <c r="H1142" s="8">
        <f t="shared" si="79"/>
        <v>6.5989999999999993E-2</v>
      </c>
      <c r="I1142" s="109">
        <f t="shared" si="81"/>
        <v>6.5989999999999993E-2</v>
      </c>
    </row>
    <row r="1143" spans="1:9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1">
        <f t="shared" si="82"/>
        <v>152.30000000000001</v>
      </c>
      <c r="G1143" s="62">
        <f t="shared" si="80"/>
        <v>10.050276999999999</v>
      </c>
      <c r="H1143" s="8">
        <f t="shared" si="79"/>
        <v>6.5989999999999993E-2</v>
      </c>
      <c r="I1143" s="109">
        <f t="shared" si="81"/>
        <v>6.5989999999999993E-2</v>
      </c>
    </row>
    <row r="1144" spans="1:9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1">
        <f t="shared" si="82"/>
        <v>252.6</v>
      </c>
      <c r="G1144" s="62">
        <f t="shared" si="80"/>
        <v>16.669073999999998</v>
      </c>
      <c r="H1144" s="8">
        <f t="shared" si="79"/>
        <v>6.5989999999999993E-2</v>
      </c>
      <c r="I1144" s="109">
        <f t="shared" si="81"/>
        <v>6.5989999999999993E-2</v>
      </c>
    </row>
    <row r="1145" spans="1:9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1">
        <f t="shared" si="82"/>
        <v>143.69999999999999</v>
      </c>
      <c r="G1145" s="62">
        <f t="shared" si="80"/>
        <v>9.4827629999999985</v>
      </c>
      <c r="H1145" s="8">
        <f t="shared" si="79"/>
        <v>6.5989999999999993E-2</v>
      </c>
      <c r="I1145" s="109">
        <f t="shared" si="81"/>
        <v>6.5989999999999993E-2</v>
      </c>
    </row>
    <row r="1146" spans="1:9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 t="shared" ref="F1146:F1201" si="83">C1146+D1146+E1146</f>
        <v>282420.12999999971</v>
      </c>
      <c r="G1146" s="68">
        <f t="shared" ref="G1146:G1201" si="84">SUM(F1146*H1146)</f>
        <v>18636.904378699979</v>
      </c>
      <c r="H1146" s="8">
        <f t="shared" si="79"/>
        <v>6.5989999999999993E-2</v>
      </c>
      <c r="I1146" s="73">
        <f>G1146/F1146</f>
        <v>6.5989999999999993E-2</v>
      </c>
    </row>
    <row r="1147" spans="1:9" s="6" customFormat="1" ht="15.75">
      <c r="A1147" s="9" t="s">
        <v>625</v>
      </c>
      <c r="B1147" s="8"/>
      <c r="C1147" s="8"/>
      <c r="D1147" s="8"/>
      <c r="E1147" s="8"/>
      <c r="F1147" s="40">
        <f t="shared" si="83"/>
        <v>0</v>
      </c>
      <c r="G1147" s="50">
        <f t="shared" si="84"/>
        <v>0</v>
      </c>
      <c r="H1147" s="8">
        <f t="shared" si="79"/>
        <v>6.5989999999999993E-2</v>
      </c>
      <c r="I1147" s="45"/>
    </row>
    <row r="1148" spans="1:9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>
        <f t="shared" si="83"/>
        <v>219.1</v>
      </c>
      <c r="G1148" s="50">
        <f t="shared" si="84"/>
        <v>14.458408999999998</v>
      </c>
      <c r="H1148" s="8">
        <f t="shared" si="79"/>
        <v>6.5989999999999993E-2</v>
      </c>
      <c r="I1148" s="45">
        <f t="shared" ref="I1148:I1201" si="85">SUM(G1148/F1148)</f>
        <v>6.5989999999999993E-2</v>
      </c>
    </row>
    <row r="1149" spans="1:9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>
        <f t="shared" si="83"/>
        <v>265.10000000000002</v>
      </c>
      <c r="G1149" s="50">
        <f t="shared" si="84"/>
        <v>17.493949000000001</v>
      </c>
      <c r="H1149" s="8">
        <f t="shared" si="79"/>
        <v>6.5989999999999993E-2</v>
      </c>
      <c r="I1149" s="45">
        <f t="shared" si="85"/>
        <v>6.5989999999999993E-2</v>
      </c>
    </row>
    <row r="1150" spans="1:9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>
        <f t="shared" si="83"/>
        <v>352.7</v>
      </c>
      <c r="G1150" s="50">
        <f t="shared" si="84"/>
        <v>23.274672999999996</v>
      </c>
      <c r="H1150" s="8">
        <f t="shared" si="79"/>
        <v>6.5989999999999993E-2</v>
      </c>
      <c r="I1150" s="45">
        <f t="shared" si="85"/>
        <v>6.5989999999999993E-2</v>
      </c>
    </row>
    <row r="1151" spans="1:9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>
        <f t="shared" si="83"/>
        <v>350.15</v>
      </c>
      <c r="G1151" s="50">
        <f t="shared" si="84"/>
        <v>23.106398499999997</v>
      </c>
      <c r="H1151" s="8">
        <f t="shared" si="79"/>
        <v>6.5989999999999993E-2</v>
      </c>
      <c r="I1151" s="45">
        <f t="shared" si="85"/>
        <v>6.5989999999999993E-2</v>
      </c>
    </row>
    <row r="1152" spans="1:9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>
        <f t="shared" si="83"/>
        <v>348.6</v>
      </c>
      <c r="G1152" s="50">
        <f t="shared" si="84"/>
        <v>23.004113999999998</v>
      </c>
      <c r="H1152" s="8">
        <f t="shared" si="79"/>
        <v>6.5989999999999993E-2</v>
      </c>
      <c r="I1152" s="45">
        <f t="shared" si="85"/>
        <v>6.5989999999999993E-2</v>
      </c>
    </row>
    <row r="1153" spans="1:9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>
        <f t="shared" si="83"/>
        <v>430.37</v>
      </c>
      <c r="G1153" s="50">
        <f t="shared" si="84"/>
        <v>28.400116299999997</v>
      </c>
      <c r="H1153" s="8">
        <f t="shared" si="79"/>
        <v>6.5989999999999993E-2</v>
      </c>
      <c r="I1153" s="45">
        <f t="shared" si="85"/>
        <v>6.5989999999999993E-2</v>
      </c>
    </row>
    <row r="1154" spans="1:9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>
        <f t="shared" si="83"/>
        <v>79.3</v>
      </c>
      <c r="G1154" s="50">
        <f t="shared" si="84"/>
        <v>5.2330069999999989</v>
      </c>
      <c r="H1154" s="8">
        <f t="shared" si="79"/>
        <v>6.5989999999999993E-2</v>
      </c>
      <c r="I1154" s="45">
        <f t="shared" si="85"/>
        <v>6.5989999999999993E-2</v>
      </c>
    </row>
    <row r="1155" spans="1:9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>
        <f t="shared" si="83"/>
        <v>70.099999999999994</v>
      </c>
      <c r="G1155" s="50">
        <f t="shared" si="84"/>
        <v>4.6258989999999995</v>
      </c>
      <c r="H1155" s="8">
        <f t="shared" si="79"/>
        <v>6.5989999999999993E-2</v>
      </c>
      <c r="I1155" s="45">
        <f t="shared" si="85"/>
        <v>6.5989999999999993E-2</v>
      </c>
    </row>
    <row r="1156" spans="1:9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>
        <f t="shared" si="83"/>
        <v>326.92</v>
      </c>
      <c r="G1156" s="50">
        <f t="shared" si="84"/>
        <v>21.5734508</v>
      </c>
      <c r="H1156" s="8">
        <f t="shared" si="79"/>
        <v>6.5989999999999993E-2</v>
      </c>
      <c r="I1156" s="45">
        <f t="shared" si="85"/>
        <v>6.5989999999999993E-2</v>
      </c>
    </row>
    <row r="1157" spans="1:9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>
        <f t="shared" si="83"/>
        <v>322.55</v>
      </c>
      <c r="G1157" s="50">
        <f t="shared" si="84"/>
        <v>21.285074499999997</v>
      </c>
      <c r="H1157" s="8">
        <f t="shared" si="79"/>
        <v>6.5989999999999993E-2</v>
      </c>
      <c r="I1157" s="45">
        <f t="shared" si="85"/>
        <v>6.5989999999999993E-2</v>
      </c>
    </row>
    <row r="1158" spans="1:9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>
        <f t="shared" si="83"/>
        <v>415.5</v>
      </c>
      <c r="G1158" s="50">
        <f t="shared" si="84"/>
        <v>27.418844999999997</v>
      </c>
      <c r="H1158" s="8">
        <f t="shared" si="79"/>
        <v>6.5989999999999993E-2</v>
      </c>
      <c r="I1158" s="45">
        <f t="shared" si="85"/>
        <v>6.5989999999999993E-2</v>
      </c>
    </row>
    <row r="1159" spans="1:9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>
        <f t="shared" si="83"/>
        <v>372.82</v>
      </c>
      <c r="G1159" s="50">
        <f t="shared" si="84"/>
        <v>24.602391799999996</v>
      </c>
      <c r="H1159" s="8">
        <f t="shared" si="79"/>
        <v>6.5989999999999993E-2</v>
      </c>
      <c r="I1159" s="45">
        <f t="shared" si="85"/>
        <v>6.5989999999999993E-2</v>
      </c>
    </row>
    <row r="1160" spans="1:9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>
        <f t="shared" si="83"/>
        <v>282.76</v>
      </c>
      <c r="G1160" s="50">
        <f t="shared" si="84"/>
        <v>18.659332399999997</v>
      </c>
      <c r="H1160" s="8">
        <f t="shared" si="79"/>
        <v>6.5989999999999993E-2</v>
      </c>
      <c r="I1160" s="45">
        <f t="shared" si="85"/>
        <v>6.5989999999999993E-2</v>
      </c>
    </row>
    <row r="1161" spans="1:9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>
        <f t="shared" si="83"/>
        <v>180.5</v>
      </c>
      <c r="G1161" s="50">
        <f t="shared" si="84"/>
        <v>11.911194999999999</v>
      </c>
      <c r="H1161" s="8">
        <f t="shared" si="79"/>
        <v>6.5989999999999993E-2</v>
      </c>
      <c r="I1161" s="45">
        <f t="shared" si="85"/>
        <v>6.5989999999999993E-2</v>
      </c>
    </row>
    <row r="1162" spans="1:9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40">
        <f t="shared" si="83"/>
        <v>5520.77</v>
      </c>
      <c r="G1162" s="50">
        <f t="shared" si="84"/>
        <v>364.3156123</v>
      </c>
      <c r="H1162" s="8">
        <f t="shared" si="79"/>
        <v>6.5989999999999993E-2</v>
      </c>
      <c r="I1162" s="45">
        <f t="shared" si="85"/>
        <v>6.5989999999999993E-2</v>
      </c>
    </row>
    <row r="1163" spans="1:9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40">
        <f t="shared" si="83"/>
        <v>5310.85</v>
      </c>
      <c r="G1163" s="50">
        <f t="shared" si="84"/>
        <v>350.46299149999999</v>
      </c>
      <c r="H1163" s="8">
        <f t="shared" si="79"/>
        <v>6.5989999999999993E-2</v>
      </c>
      <c r="I1163" s="45">
        <f t="shared" si="85"/>
        <v>6.5989999999999993E-2</v>
      </c>
    </row>
    <row r="1164" spans="1:9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40">
        <f t="shared" si="83"/>
        <v>5405.43</v>
      </c>
      <c r="G1164" s="50">
        <f t="shared" si="84"/>
        <v>356.70432569999997</v>
      </c>
      <c r="H1164" s="8">
        <f t="shared" si="79"/>
        <v>6.5989999999999993E-2</v>
      </c>
      <c r="I1164" s="45">
        <f t="shared" si="85"/>
        <v>6.5989999999999993E-2</v>
      </c>
    </row>
    <row r="1165" spans="1:9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>
        <f t="shared" si="83"/>
        <v>349.2</v>
      </c>
      <c r="G1165" s="50">
        <f t="shared" si="84"/>
        <v>23.043707999999995</v>
      </c>
      <c r="H1165" s="8">
        <f t="shared" si="79"/>
        <v>6.5989999999999993E-2</v>
      </c>
      <c r="I1165" s="45">
        <f t="shared" si="85"/>
        <v>6.5989999999999993E-2</v>
      </c>
    </row>
    <row r="1166" spans="1:9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>
        <f t="shared" si="83"/>
        <v>433.4</v>
      </c>
      <c r="G1166" s="50">
        <f t="shared" si="84"/>
        <v>28.600065999999995</v>
      </c>
      <c r="H1166" s="8">
        <f t="shared" si="79"/>
        <v>6.5989999999999993E-2</v>
      </c>
      <c r="I1166" s="45">
        <f t="shared" si="85"/>
        <v>6.5989999999999993E-2</v>
      </c>
    </row>
    <row r="1167" spans="1:9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>
        <f t="shared" si="83"/>
        <v>360.2</v>
      </c>
      <c r="G1167" s="50">
        <f t="shared" si="84"/>
        <v>23.769597999999998</v>
      </c>
      <c r="H1167" s="8">
        <f t="shared" si="79"/>
        <v>6.5989999999999993E-2</v>
      </c>
      <c r="I1167" s="45">
        <f t="shared" si="85"/>
        <v>6.5989999999999993E-2</v>
      </c>
    </row>
    <row r="1168" spans="1:9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>
        <f t="shared" si="83"/>
        <v>31.8</v>
      </c>
      <c r="G1168" s="50">
        <f t="shared" si="84"/>
        <v>2.0984819999999997</v>
      </c>
      <c r="H1168" s="8">
        <f t="shared" si="79"/>
        <v>6.5989999999999993E-2</v>
      </c>
      <c r="I1168" s="45">
        <f t="shared" si="85"/>
        <v>6.5989999999999993E-2</v>
      </c>
    </row>
    <row r="1169" spans="1:9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>
        <f t="shared" si="83"/>
        <v>357.19</v>
      </c>
      <c r="G1169" s="50">
        <f t="shared" si="84"/>
        <v>23.570968099999998</v>
      </c>
      <c r="H1169" s="8">
        <f t="shared" si="79"/>
        <v>6.5989999999999993E-2</v>
      </c>
      <c r="I1169" s="45">
        <f t="shared" si="85"/>
        <v>6.5989999999999993E-2</v>
      </c>
    </row>
    <row r="1170" spans="1:9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>
        <f t="shared" si="83"/>
        <v>306.39999999999998</v>
      </c>
      <c r="G1170" s="50">
        <f t="shared" si="84"/>
        <v>20.219335999999995</v>
      </c>
      <c r="H1170" s="8">
        <f t="shared" si="79"/>
        <v>6.5989999999999993E-2</v>
      </c>
      <c r="I1170" s="45">
        <f t="shared" si="85"/>
        <v>6.5989999999999993E-2</v>
      </c>
    </row>
    <row r="1171" spans="1:9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>
        <f t="shared" si="83"/>
        <v>407.2</v>
      </c>
      <c r="G1171" s="50">
        <f t="shared" si="84"/>
        <v>26.871127999999995</v>
      </c>
      <c r="H1171" s="8">
        <f t="shared" si="79"/>
        <v>6.5989999999999993E-2</v>
      </c>
      <c r="I1171" s="45">
        <f t="shared" si="85"/>
        <v>6.5989999999999993E-2</v>
      </c>
    </row>
    <row r="1172" spans="1:9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>
        <f t="shared" si="83"/>
        <v>52.3</v>
      </c>
      <c r="G1172" s="50">
        <f t="shared" si="84"/>
        <v>3.4512769999999993</v>
      </c>
      <c r="H1172" s="8">
        <f t="shared" si="79"/>
        <v>6.5989999999999993E-2</v>
      </c>
      <c r="I1172" s="45">
        <f t="shared" si="85"/>
        <v>6.5989999999999993E-2</v>
      </c>
    </row>
    <row r="1173" spans="1:9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>
        <f t="shared" si="83"/>
        <v>122.2</v>
      </c>
      <c r="G1173" s="50">
        <f t="shared" si="84"/>
        <v>8.0639779999999988</v>
      </c>
      <c r="H1173" s="8">
        <f t="shared" si="79"/>
        <v>6.5989999999999993E-2</v>
      </c>
      <c r="I1173" s="45">
        <f t="shared" si="85"/>
        <v>6.5989999999999993E-2</v>
      </c>
    </row>
    <row r="1174" spans="1:9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>
        <f t="shared" si="83"/>
        <v>77.900000000000006</v>
      </c>
      <c r="G1174" s="50">
        <f t="shared" si="84"/>
        <v>5.1406209999999994</v>
      </c>
      <c r="H1174" s="8">
        <f t="shared" si="79"/>
        <v>6.5989999999999993E-2</v>
      </c>
      <c r="I1174" s="45">
        <f t="shared" si="85"/>
        <v>6.5989999999999993E-2</v>
      </c>
    </row>
    <row r="1175" spans="1:9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>
        <f t="shared" si="83"/>
        <v>205.19</v>
      </c>
      <c r="G1175" s="50">
        <f t="shared" si="84"/>
        <v>13.540488099999999</v>
      </c>
      <c r="H1175" s="8">
        <f t="shared" si="79"/>
        <v>6.5989999999999993E-2</v>
      </c>
      <c r="I1175" s="45">
        <f t="shared" si="85"/>
        <v>6.5989999999999993E-2</v>
      </c>
    </row>
    <row r="1176" spans="1:9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>
        <f t="shared" si="83"/>
        <v>289.10000000000002</v>
      </c>
      <c r="G1176" s="50">
        <f t="shared" si="84"/>
        <v>19.077708999999999</v>
      </c>
      <c r="H1176" s="8">
        <f t="shared" si="79"/>
        <v>6.5989999999999993E-2</v>
      </c>
      <c r="I1176" s="45">
        <f t="shared" si="85"/>
        <v>6.5989999999999993E-2</v>
      </c>
    </row>
    <row r="1177" spans="1:9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>
        <f t="shared" si="83"/>
        <v>117.92</v>
      </c>
      <c r="G1177" s="50">
        <f t="shared" si="84"/>
        <v>7.7815407999999993</v>
      </c>
      <c r="H1177" s="8">
        <f t="shared" si="79"/>
        <v>6.5989999999999993E-2</v>
      </c>
      <c r="I1177" s="45">
        <f t="shared" si="85"/>
        <v>6.5989999999999993E-2</v>
      </c>
    </row>
    <row r="1178" spans="1:9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>
        <f t="shared" si="83"/>
        <v>242.85</v>
      </c>
      <c r="G1178" s="50">
        <f t="shared" si="84"/>
        <v>16.025671499999998</v>
      </c>
      <c r="H1178" s="8">
        <f t="shared" si="79"/>
        <v>6.5989999999999993E-2</v>
      </c>
      <c r="I1178" s="45">
        <f t="shared" si="85"/>
        <v>6.5989999999999993E-2</v>
      </c>
    </row>
    <row r="1179" spans="1:9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>
        <f t="shared" si="83"/>
        <v>415.2</v>
      </c>
      <c r="G1179" s="50">
        <f t="shared" si="84"/>
        <v>27.399047999999997</v>
      </c>
      <c r="H1179" s="8">
        <f t="shared" si="79"/>
        <v>6.5989999999999993E-2</v>
      </c>
      <c r="I1179" s="45">
        <f t="shared" si="85"/>
        <v>6.5989999999999993E-2</v>
      </c>
    </row>
    <row r="1180" spans="1:9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40">
        <f t="shared" si="83"/>
        <v>8111.75</v>
      </c>
      <c r="G1180" s="50">
        <f t="shared" si="84"/>
        <v>535.29438249999998</v>
      </c>
      <c r="H1180" s="8">
        <f t="shared" ref="H1180:H1231" si="86">0.06599</f>
        <v>6.5989999999999993E-2</v>
      </c>
      <c r="I1180" s="45">
        <f t="shared" si="85"/>
        <v>6.5989999999999993E-2</v>
      </c>
    </row>
    <row r="1181" spans="1:9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40">
        <f t="shared" si="83"/>
        <v>6280.23</v>
      </c>
      <c r="G1181" s="50">
        <f t="shared" si="84"/>
        <v>414.4323776999999</v>
      </c>
      <c r="H1181" s="8">
        <f t="shared" si="86"/>
        <v>6.5989999999999993E-2</v>
      </c>
      <c r="I1181" s="45">
        <f t="shared" si="85"/>
        <v>6.5989999999999993E-2</v>
      </c>
    </row>
    <row r="1182" spans="1:9" s="6" customFormat="1" ht="18">
      <c r="A1182" s="105">
        <v>37</v>
      </c>
      <c r="B1182" s="32" t="s">
        <v>514</v>
      </c>
      <c r="C1182" s="330">
        <v>8361.6299999999992</v>
      </c>
      <c r="D1182" s="330"/>
      <c r="E1182" s="330"/>
      <c r="F1182" s="40">
        <f t="shared" si="83"/>
        <v>8361.6299999999992</v>
      </c>
      <c r="G1182" s="50">
        <f t="shared" si="84"/>
        <v>551.78396369999984</v>
      </c>
      <c r="H1182" s="8">
        <f t="shared" si="86"/>
        <v>6.5989999999999993E-2</v>
      </c>
      <c r="I1182" s="45">
        <f t="shared" si="85"/>
        <v>6.5989999999999993E-2</v>
      </c>
    </row>
    <row r="1183" spans="1:9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40">
        <f t="shared" si="83"/>
        <v>6675.9</v>
      </c>
      <c r="G1183" s="50">
        <f t="shared" si="84"/>
        <v>440.54264099999995</v>
      </c>
      <c r="H1183" s="8">
        <f t="shared" si="86"/>
        <v>6.5989999999999993E-2</v>
      </c>
      <c r="I1183" s="45">
        <f t="shared" si="85"/>
        <v>6.5989999999999993E-2</v>
      </c>
    </row>
    <row r="1184" spans="1:9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83"/>
        <v>4537.7299999999996</v>
      </c>
      <c r="G1184" s="50">
        <f t="shared" si="84"/>
        <v>299.44480269999991</v>
      </c>
      <c r="H1184" s="8">
        <f t="shared" si="86"/>
        <v>6.5989999999999993E-2</v>
      </c>
      <c r="I1184" s="45">
        <f t="shared" si="85"/>
        <v>6.5989999999999993E-2</v>
      </c>
    </row>
    <row r="1185" spans="1:9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40">
        <f t="shared" si="83"/>
        <v>4352.13</v>
      </c>
      <c r="G1185" s="50">
        <f t="shared" si="84"/>
        <v>287.19705869999996</v>
      </c>
      <c r="H1185" s="8">
        <f t="shared" si="86"/>
        <v>6.5989999999999993E-2</v>
      </c>
      <c r="I1185" s="45">
        <f t="shared" si="85"/>
        <v>6.5989999999999993E-2</v>
      </c>
    </row>
    <row r="1186" spans="1:9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83"/>
        <v>4529.3500000000004</v>
      </c>
      <c r="G1186" s="50">
        <f t="shared" si="84"/>
        <v>298.89180649999997</v>
      </c>
      <c r="H1186" s="8">
        <f t="shared" si="86"/>
        <v>6.5989999999999993E-2</v>
      </c>
      <c r="I1186" s="45">
        <f t="shared" si="85"/>
        <v>6.5989999999999993E-2</v>
      </c>
    </row>
    <row r="1187" spans="1:9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83"/>
        <v>4151.1900000000005</v>
      </c>
      <c r="G1187" s="50">
        <f t="shared" si="84"/>
        <v>273.93702810000002</v>
      </c>
      <c r="H1187" s="8">
        <f t="shared" si="86"/>
        <v>6.5989999999999993E-2</v>
      </c>
      <c r="I1187" s="45">
        <f t="shared" si="85"/>
        <v>6.5989999999999993E-2</v>
      </c>
    </row>
    <row r="1188" spans="1:9" s="6" customFormat="1" ht="18">
      <c r="A1188" s="105">
        <v>43</v>
      </c>
      <c r="B1188" s="32" t="s">
        <v>520</v>
      </c>
      <c r="C1188" s="330">
        <v>8136.02</v>
      </c>
      <c r="D1188" s="330"/>
      <c r="E1188" s="330"/>
      <c r="F1188" s="40">
        <f t="shared" si="83"/>
        <v>8136.02</v>
      </c>
      <c r="G1188" s="50">
        <f t="shared" si="84"/>
        <v>536.89595980000001</v>
      </c>
      <c r="H1188" s="8">
        <f t="shared" si="86"/>
        <v>6.5989999999999993E-2</v>
      </c>
      <c r="I1188" s="45">
        <f t="shared" si="85"/>
        <v>6.5989999999999993E-2</v>
      </c>
    </row>
    <row r="1189" spans="1:9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83"/>
        <v>6240.13</v>
      </c>
      <c r="G1189" s="50">
        <f t="shared" si="84"/>
        <v>411.78617869999994</v>
      </c>
      <c r="H1189" s="8">
        <f t="shared" si="86"/>
        <v>6.5989999999999993E-2</v>
      </c>
      <c r="I1189" s="45">
        <f t="shared" si="85"/>
        <v>6.5989999999999993E-2</v>
      </c>
    </row>
    <row r="1190" spans="1:9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83"/>
        <v>6278.0199999999995</v>
      </c>
      <c r="G1190" s="50">
        <f t="shared" si="84"/>
        <v>414.2865397999999</v>
      </c>
      <c r="H1190" s="8">
        <f t="shared" si="86"/>
        <v>6.5989999999999993E-2</v>
      </c>
      <c r="I1190" s="45">
        <f t="shared" si="85"/>
        <v>6.5989999999999993E-2</v>
      </c>
    </row>
    <row r="1191" spans="1:9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83"/>
        <v>3988.11</v>
      </c>
      <c r="G1191" s="50">
        <f t="shared" si="84"/>
        <v>263.1753789</v>
      </c>
      <c r="H1191" s="8">
        <f t="shared" si="86"/>
        <v>6.5989999999999993E-2</v>
      </c>
      <c r="I1191" s="45">
        <f t="shared" si="85"/>
        <v>6.5989999999999993E-2</v>
      </c>
    </row>
    <row r="1192" spans="1:9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40">
        <f t="shared" si="83"/>
        <v>4150.55</v>
      </c>
      <c r="G1192" s="50">
        <f t="shared" si="84"/>
        <v>273.89479449999999</v>
      </c>
      <c r="H1192" s="8">
        <f t="shared" si="86"/>
        <v>6.5989999999999993E-2</v>
      </c>
      <c r="I1192" s="45">
        <f t="shared" si="85"/>
        <v>6.5989999999999993E-2</v>
      </c>
    </row>
    <row r="1193" spans="1:9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40">
        <f t="shared" si="83"/>
        <v>14374.02</v>
      </c>
      <c r="G1193" s="50">
        <f t="shared" si="84"/>
        <v>948.54157979999991</v>
      </c>
      <c r="H1193" s="8">
        <f t="shared" si="86"/>
        <v>6.5989999999999993E-2</v>
      </c>
      <c r="I1193" s="45">
        <f t="shared" si="85"/>
        <v>6.5989999999999993E-2</v>
      </c>
    </row>
    <row r="1194" spans="1:9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40">
        <f t="shared" si="83"/>
        <v>4120.28</v>
      </c>
      <c r="G1194" s="50">
        <f t="shared" si="84"/>
        <v>271.89727719999996</v>
      </c>
      <c r="H1194" s="8">
        <f t="shared" si="86"/>
        <v>6.5989999999999993E-2</v>
      </c>
      <c r="I1194" s="45">
        <f t="shared" si="85"/>
        <v>6.5989999999999993E-2</v>
      </c>
    </row>
    <row r="1195" spans="1:9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40">
        <f t="shared" si="83"/>
        <v>14371.39</v>
      </c>
      <c r="G1195" s="50">
        <f t="shared" si="84"/>
        <v>948.36802609999984</v>
      </c>
      <c r="H1195" s="8">
        <f t="shared" si="86"/>
        <v>6.5989999999999993E-2</v>
      </c>
      <c r="I1195" s="45">
        <f t="shared" si="85"/>
        <v>6.5989999999999993E-2</v>
      </c>
    </row>
    <row r="1196" spans="1:9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83"/>
        <v>11511.4</v>
      </c>
      <c r="G1196" s="50">
        <f t="shared" si="84"/>
        <v>759.6372859999999</v>
      </c>
      <c r="H1196" s="8">
        <f t="shared" si="86"/>
        <v>6.5989999999999993E-2</v>
      </c>
      <c r="I1196" s="45">
        <f t="shared" si="85"/>
        <v>6.5989999999999993E-2</v>
      </c>
    </row>
    <row r="1197" spans="1:9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83"/>
        <v>6924.2000000000007</v>
      </c>
      <c r="G1197" s="50">
        <f t="shared" si="84"/>
        <v>456.92795799999999</v>
      </c>
      <c r="H1197" s="8">
        <f t="shared" si="86"/>
        <v>6.5989999999999993E-2</v>
      </c>
      <c r="I1197" s="45">
        <f t="shared" si="85"/>
        <v>6.5989999999999993E-2</v>
      </c>
    </row>
    <row r="1198" spans="1:9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83"/>
        <v>10867.230000000001</v>
      </c>
      <c r="G1198" s="50">
        <f t="shared" si="84"/>
        <v>717.1285077</v>
      </c>
      <c r="H1198" s="8">
        <f t="shared" si="86"/>
        <v>6.5989999999999993E-2</v>
      </c>
      <c r="I1198" s="45">
        <f t="shared" si="85"/>
        <v>6.5989999999999993E-2</v>
      </c>
    </row>
    <row r="1199" spans="1:9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83"/>
        <v>7546</v>
      </c>
      <c r="G1199" s="50">
        <f t="shared" si="84"/>
        <v>497.96053999999992</v>
      </c>
      <c r="H1199" s="8">
        <f t="shared" si="86"/>
        <v>6.5989999999999993E-2</v>
      </c>
      <c r="I1199" s="45">
        <f t="shared" si="85"/>
        <v>6.5989999999999993E-2</v>
      </c>
    </row>
    <row r="1200" spans="1:9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83"/>
        <v>2503.4</v>
      </c>
      <c r="G1200" s="50">
        <f t="shared" si="84"/>
        <v>165.199366</v>
      </c>
      <c r="H1200" s="8">
        <f t="shared" si="86"/>
        <v>6.5989999999999993E-2</v>
      </c>
      <c r="I1200" s="45">
        <f t="shared" si="85"/>
        <v>6.5989999999999993E-2</v>
      </c>
    </row>
    <row r="1201" spans="1:9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 t="shared" si="83"/>
        <v>1175</v>
      </c>
      <c r="G1201" s="50">
        <f t="shared" si="84"/>
        <v>77.538249999999991</v>
      </c>
      <c r="H1201" s="8">
        <f t="shared" si="86"/>
        <v>6.5989999999999993E-2</v>
      </c>
      <c r="I1201" s="45">
        <f t="shared" si="85"/>
        <v>6.5989999999999993E-2</v>
      </c>
    </row>
    <row r="1202" spans="1:9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3">
        <f t="shared" ref="F1202:F1226" si="87">C1202+D1202+E1202</f>
        <v>173207.23</v>
      </c>
      <c r="G1202" s="68">
        <f t="shared" ref="G1202:G1226" si="88">SUM(F1202*H1202)</f>
        <v>11429.945107699999</v>
      </c>
      <c r="H1202" s="8">
        <f t="shared" si="86"/>
        <v>6.5989999999999993E-2</v>
      </c>
      <c r="I1202" s="73">
        <f t="shared" ref="I1202:I1232" si="89">SUM(G1202/F1202)</f>
        <v>6.5989999999999993E-2</v>
      </c>
    </row>
    <row r="1203" spans="1:9" s="6" customFormat="1" ht="15.75">
      <c r="A1203" s="9" t="s">
        <v>629</v>
      </c>
      <c r="B1203" s="8"/>
      <c r="C1203" s="8"/>
      <c r="D1203" s="8"/>
      <c r="E1203" s="8"/>
      <c r="F1203" s="40">
        <f t="shared" si="87"/>
        <v>0</v>
      </c>
      <c r="G1203" s="50">
        <f t="shared" si="88"/>
        <v>0</v>
      </c>
      <c r="H1203" s="8">
        <f t="shared" si="86"/>
        <v>6.5989999999999993E-2</v>
      </c>
      <c r="I1203" s="45"/>
    </row>
    <row r="1204" spans="1:9" s="6" customFormat="1" ht="15.75">
      <c r="A1204" s="8">
        <v>1</v>
      </c>
      <c r="B1204" s="8" t="s">
        <v>532</v>
      </c>
      <c r="C1204" s="142">
        <v>3898.29</v>
      </c>
      <c r="D1204" s="142">
        <v>123.1</v>
      </c>
      <c r="E1204" s="142">
        <v>374.5</v>
      </c>
      <c r="F1204" s="40">
        <f t="shared" si="87"/>
        <v>4395.8899999999994</v>
      </c>
      <c r="G1204" s="50">
        <f t="shared" si="88"/>
        <v>290.08478109999993</v>
      </c>
      <c r="H1204" s="8">
        <f t="shared" si="86"/>
        <v>6.5989999999999993E-2</v>
      </c>
      <c r="I1204" s="45">
        <f t="shared" si="89"/>
        <v>6.5989999999999993E-2</v>
      </c>
    </row>
    <row r="1205" spans="1:9" s="6" customFormat="1" ht="15.75">
      <c r="A1205" s="8">
        <v>2</v>
      </c>
      <c r="B1205" s="8" t="s">
        <v>533</v>
      </c>
      <c r="C1205" s="55">
        <v>3600.73</v>
      </c>
      <c r="D1205" s="55"/>
      <c r="E1205" s="55">
        <v>290.5</v>
      </c>
      <c r="F1205" s="40">
        <f t="shared" si="87"/>
        <v>3891.23</v>
      </c>
      <c r="G1205" s="50">
        <f t="shared" si="88"/>
        <v>256.78226769999998</v>
      </c>
      <c r="H1205" s="8">
        <f t="shared" si="86"/>
        <v>6.5989999999999993E-2</v>
      </c>
      <c r="I1205" s="45">
        <f t="shared" si="89"/>
        <v>6.5989999999999993E-2</v>
      </c>
    </row>
    <row r="1206" spans="1:9" s="6" customFormat="1" ht="15.75">
      <c r="A1206" s="8">
        <v>3</v>
      </c>
      <c r="B1206" s="8" t="s">
        <v>534</v>
      </c>
      <c r="C1206" s="55">
        <v>5868.42</v>
      </c>
      <c r="D1206" s="55">
        <v>489.8</v>
      </c>
      <c r="E1206" s="55"/>
      <c r="F1206" s="40">
        <f t="shared" si="87"/>
        <v>6358.22</v>
      </c>
      <c r="G1206" s="50">
        <f t="shared" si="88"/>
        <v>419.57893779999995</v>
      </c>
      <c r="H1206" s="8">
        <f t="shared" si="86"/>
        <v>6.5989999999999993E-2</v>
      </c>
      <c r="I1206" s="45">
        <f t="shared" si="89"/>
        <v>6.5989999999999993E-2</v>
      </c>
    </row>
    <row r="1207" spans="1:9" s="6" customFormat="1" ht="15.75">
      <c r="A1207" s="8">
        <v>4</v>
      </c>
      <c r="B1207" s="8" t="s">
        <v>535</v>
      </c>
      <c r="C1207" s="55">
        <v>4090.86</v>
      </c>
      <c r="D1207" s="55"/>
      <c r="E1207" s="55"/>
      <c r="F1207" s="40">
        <f t="shared" si="87"/>
        <v>4090.86</v>
      </c>
      <c r="G1207" s="50">
        <f t="shared" si="88"/>
        <v>269.95585139999997</v>
      </c>
      <c r="H1207" s="8">
        <f t="shared" si="86"/>
        <v>6.5989999999999993E-2</v>
      </c>
      <c r="I1207" s="45">
        <f t="shared" si="89"/>
        <v>6.5989999999999993E-2</v>
      </c>
    </row>
    <row r="1208" spans="1:9" s="6" customFormat="1" ht="15.75">
      <c r="A1208" s="8">
        <v>5</v>
      </c>
      <c r="B1208" s="8" t="s">
        <v>536</v>
      </c>
      <c r="C1208" s="55">
        <v>3274.15</v>
      </c>
      <c r="D1208" s="55"/>
      <c r="E1208" s="55"/>
      <c r="F1208" s="40">
        <f t="shared" si="87"/>
        <v>3274.15</v>
      </c>
      <c r="G1208" s="50">
        <f t="shared" si="88"/>
        <v>216.06115849999998</v>
      </c>
      <c r="H1208" s="8">
        <f t="shared" si="86"/>
        <v>6.5989999999999993E-2</v>
      </c>
      <c r="I1208" s="45">
        <f t="shared" si="89"/>
        <v>6.5989999999999993E-2</v>
      </c>
    </row>
    <row r="1209" spans="1:9" s="6" customFormat="1" ht="15.75">
      <c r="A1209" s="8">
        <v>6</v>
      </c>
      <c r="B1209" s="8" t="s">
        <v>537</v>
      </c>
      <c r="C1209" s="55">
        <v>6596</v>
      </c>
      <c r="D1209" s="55"/>
      <c r="E1209" s="55"/>
      <c r="F1209" s="40">
        <f t="shared" si="87"/>
        <v>6596</v>
      </c>
      <c r="G1209" s="50">
        <f t="shared" si="88"/>
        <v>435.27003999999994</v>
      </c>
      <c r="H1209" s="8">
        <f t="shared" si="86"/>
        <v>6.5989999999999993E-2</v>
      </c>
      <c r="I1209" s="45">
        <f t="shared" si="89"/>
        <v>6.5989999999999993E-2</v>
      </c>
    </row>
    <row r="1210" spans="1:9" s="6" customFormat="1" ht="15.75">
      <c r="A1210" s="8">
        <v>7</v>
      </c>
      <c r="B1210" s="8" t="s">
        <v>538</v>
      </c>
      <c r="C1210" s="55">
        <v>7101.2</v>
      </c>
      <c r="D1210" s="55"/>
      <c r="E1210" s="55"/>
      <c r="F1210" s="40">
        <f t="shared" si="87"/>
        <v>7101.2</v>
      </c>
      <c r="G1210" s="50">
        <f t="shared" si="88"/>
        <v>468.60818799999993</v>
      </c>
      <c r="H1210" s="8">
        <f t="shared" si="86"/>
        <v>6.5989999999999993E-2</v>
      </c>
      <c r="I1210" s="45">
        <f t="shared" si="89"/>
        <v>6.5989999999999993E-2</v>
      </c>
    </row>
    <row r="1211" spans="1:9" s="6" customFormat="1" ht="15.75">
      <c r="A1211" s="8">
        <v>8</v>
      </c>
      <c r="B1211" s="8" t="s">
        <v>539</v>
      </c>
      <c r="C1211" s="55">
        <v>7470.48</v>
      </c>
      <c r="D1211" s="55"/>
      <c r="E1211" s="55"/>
      <c r="F1211" s="40">
        <f t="shared" si="87"/>
        <v>7470.48</v>
      </c>
      <c r="G1211" s="50">
        <f t="shared" si="88"/>
        <v>492.97697519999991</v>
      </c>
      <c r="H1211" s="8">
        <f t="shared" si="86"/>
        <v>6.5989999999999993E-2</v>
      </c>
      <c r="I1211" s="45">
        <f t="shared" si="89"/>
        <v>6.5989999999999993E-2</v>
      </c>
    </row>
    <row r="1212" spans="1:9" s="6" customFormat="1" ht="15.75">
      <c r="A1212" s="8">
        <v>9</v>
      </c>
      <c r="B1212" s="8" t="s">
        <v>540</v>
      </c>
      <c r="C1212" s="55">
        <v>2276.6</v>
      </c>
      <c r="D1212" s="55"/>
      <c r="E1212" s="55"/>
      <c r="F1212" s="40">
        <f t="shared" si="87"/>
        <v>2276.6</v>
      </c>
      <c r="G1212" s="50">
        <f t="shared" si="88"/>
        <v>150.23283399999997</v>
      </c>
      <c r="H1212" s="8">
        <f t="shared" si="86"/>
        <v>6.5989999999999993E-2</v>
      </c>
      <c r="I1212" s="45">
        <f t="shared" si="89"/>
        <v>6.5989999999999993E-2</v>
      </c>
    </row>
    <row r="1213" spans="1:9" s="6" customFormat="1" ht="15.75">
      <c r="A1213" s="8">
        <v>10</v>
      </c>
      <c r="B1213" s="8" t="s">
        <v>541</v>
      </c>
      <c r="C1213" s="55">
        <v>4642.43</v>
      </c>
      <c r="D1213" s="55"/>
      <c r="E1213" s="55"/>
      <c r="F1213" s="40">
        <f t="shared" si="87"/>
        <v>4642.43</v>
      </c>
      <c r="G1213" s="50">
        <f t="shared" si="88"/>
        <v>306.35395569999997</v>
      </c>
      <c r="H1213" s="8">
        <f t="shared" si="86"/>
        <v>6.5989999999999993E-2</v>
      </c>
      <c r="I1213" s="45">
        <f t="shared" si="89"/>
        <v>6.5989999999999993E-2</v>
      </c>
    </row>
    <row r="1214" spans="1:9" s="6" customFormat="1" ht="15.75">
      <c r="A1214" s="8">
        <v>11</v>
      </c>
      <c r="B1214" s="8" t="s">
        <v>542</v>
      </c>
      <c r="C1214" s="55">
        <v>3634.2</v>
      </c>
      <c r="D1214" s="55"/>
      <c r="E1214" s="55"/>
      <c r="F1214" s="40">
        <f t="shared" si="87"/>
        <v>3634.2</v>
      </c>
      <c r="G1214" s="50">
        <f t="shared" si="88"/>
        <v>239.82085799999996</v>
      </c>
      <c r="H1214" s="8">
        <f t="shared" si="86"/>
        <v>6.5989999999999993E-2</v>
      </c>
      <c r="I1214" s="45">
        <f t="shared" si="89"/>
        <v>6.5989999999999993E-2</v>
      </c>
    </row>
    <row r="1215" spans="1:9" s="6" customFormat="1" ht="15.75">
      <c r="A1215" s="8">
        <v>12</v>
      </c>
      <c r="B1215" s="8" t="s">
        <v>543</v>
      </c>
      <c r="C1215" s="55">
        <v>5551.35</v>
      </c>
      <c r="D1215" s="55"/>
      <c r="E1215" s="55"/>
      <c r="F1215" s="40">
        <f t="shared" si="87"/>
        <v>5551.35</v>
      </c>
      <c r="G1215" s="50">
        <f t="shared" si="88"/>
        <v>366.33358649999997</v>
      </c>
      <c r="H1215" s="8">
        <f t="shared" si="86"/>
        <v>6.5989999999999993E-2</v>
      </c>
      <c r="I1215" s="45">
        <f t="shared" si="89"/>
        <v>6.5989999999999993E-2</v>
      </c>
    </row>
    <row r="1216" spans="1:9" s="6" customFormat="1" ht="15.75">
      <c r="A1216" s="8">
        <v>13</v>
      </c>
      <c r="B1216" s="8" t="s">
        <v>545</v>
      </c>
      <c r="C1216" s="55">
        <v>4556.37</v>
      </c>
      <c r="D1216" s="55"/>
      <c r="E1216" s="55"/>
      <c r="F1216" s="40">
        <f t="shared" si="87"/>
        <v>4556.37</v>
      </c>
      <c r="G1216" s="50">
        <f t="shared" si="88"/>
        <v>300.67485629999999</v>
      </c>
      <c r="H1216" s="8">
        <f t="shared" si="86"/>
        <v>6.5989999999999993E-2</v>
      </c>
      <c r="I1216" s="45">
        <f t="shared" si="89"/>
        <v>6.5989999999999993E-2</v>
      </c>
    </row>
    <row r="1217" spans="1:9" s="6" customFormat="1" ht="15.75">
      <c r="A1217" s="8">
        <v>14</v>
      </c>
      <c r="B1217" s="8" t="s">
        <v>546</v>
      </c>
      <c r="C1217" s="55">
        <v>4596.6099999999997</v>
      </c>
      <c r="D1217" s="55"/>
      <c r="E1217" s="55"/>
      <c r="F1217" s="40">
        <f t="shared" si="87"/>
        <v>4596.6099999999997</v>
      </c>
      <c r="G1217" s="50">
        <f t="shared" si="88"/>
        <v>303.33029389999996</v>
      </c>
      <c r="H1217" s="8">
        <f t="shared" si="86"/>
        <v>6.5989999999999993E-2</v>
      </c>
      <c r="I1217" s="45">
        <f t="shared" si="89"/>
        <v>6.5989999999999993E-2</v>
      </c>
    </row>
    <row r="1218" spans="1:9" s="6" customFormat="1" ht="15.75">
      <c r="A1218" s="8">
        <v>15</v>
      </c>
      <c r="B1218" s="8" t="s">
        <v>567</v>
      </c>
      <c r="C1218" s="55">
        <v>4490.43</v>
      </c>
      <c r="D1218" s="55"/>
      <c r="E1218" s="55"/>
      <c r="F1218" s="40">
        <f t="shared" si="87"/>
        <v>4490.43</v>
      </c>
      <c r="G1218" s="50">
        <f t="shared" si="88"/>
        <v>296.32347569999996</v>
      </c>
      <c r="H1218" s="8">
        <f t="shared" si="86"/>
        <v>6.5989999999999993E-2</v>
      </c>
      <c r="I1218" s="45">
        <f t="shared" si="89"/>
        <v>6.5989999999999993E-2</v>
      </c>
    </row>
    <row r="1219" spans="1:9" s="6" customFormat="1" ht="15.75">
      <c r="A1219" s="8">
        <v>16</v>
      </c>
      <c r="B1219" s="8" t="s">
        <v>568</v>
      </c>
      <c r="C1219" s="55">
        <v>4338.5</v>
      </c>
      <c r="D1219" s="55"/>
      <c r="E1219" s="55"/>
      <c r="F1219" s="40">
        <f t="shared" si="87"/>
        <v>4338.5</v>
      </c>
      <c r="G1219" s="50">
        <f t="shared" si="88"/>
        <v>286.29761499999995</v>
      </c>
      <c r="H1219" s="8">
        <f t="shared" si="86"/>
        <v>6.5989999999999993E-2</v>
      </c>
      <c r="I1219" s="45">
        <f t="shared" si="89"/>
        <v>6.5989999999999993E-2</v>
      </c>
    </row>
    <row r="1220" spans="1:9" s="6" customFormat="1" ht="15.75">
      <c r="A1220" s="8">
        <v>17</v>
      </c>
      <c r="B1220" s="8" t="s">
        <v>569</v>
      </c>
      <c r="C1220" s="55">
        <v>3131.06</v>
      </c>
      <c r="D1220" s="55"/>
      <c r="E1220" s="55"/>
      <c r="F1220" s="40">
        <f t="shared" si="87"/>
        <v>3131.06</v>
      </c>
      <c r="G1220" s="50">
        <f t="shared" si="88"/>
        <v>206.61864939999998</v>
      </c>
      <c r="H1220" s="8">
        <f t="shared" si="86"/>
        <v>6.5989999999999993E-2</v>
      </c>
      <c r="I1220" s="45">
        <f t="shared" si="89"/>
        <v>6.5989999999999993E-2</v>
      </c>
    </row>
    <row r="1221" spans="1:9" s="6" customFormat="1" ht="15.75">
      <c r="A1221" s="8">
        <v>18</v>
      </c>
      <c r="B1221" s="8" t="s">
        <v>570</v>
      </c>
      <c r="C1221" s="55">
        <v>3376.98</v>
      </c>
      <c r="D1221" s="55"/>
      <c r="E1221" s="55"/>
      <c r="F1221" s="40">
        <f t="shared" si="87"/>
        <v>3376.98</v>
      </c>
      <c r="G1221" s="50">
        <f t="shared" si="88"/>
        <v>222.84691019999997</v>
      </c>
      <c r="H1221" s="8">
        <f t="shared" si="86"/>
        <v>6.5989999999999993E-2</v>
      </c>
      <c r="I1221" s="45">
        <f t="shared" si="89"/>
        <v>6.5989999999999993E-2</v>
      </c>
    </row>
    <row r="1222" spans="1:9" s="6" customFormat="1" ht="15.75">
      <c r="A1222" s="8">
        <v>20</v>
      </c>
      <c r="B1222" s="8" t="s">
        <v>571</v>
      </c>
      <c r="C1222" s="55">
        <v>50.5</v>
      </c>
      <c r="D1222" s="55"/>
      <c r="E1222" s="55"/>
      <c r="F1222" s="40">
        <f t="shared" si="87"/>
        <v>50.5</v>
      </c>
      <c r="G1222" s="50">
        <f t="shared" si="88"/>
        <v>3.3324949999999998</v>
      </c>
      <c r="H1222" s="8">
        <f t="shared" si="86"/>
        <v>6.5989999999999993E-2</v>
      </c>
      <c r="I1222" s="45">
        <f t="shared" si="89"/>
        <v>6.5989999999999993E-2</v>
      </c>
    </row>
    <row r="1223" spans="1:9" s="6" customFormat="1" ht="15.75">
      <c r="A1223" s="8">
        <v>22</v>
      </c>
      <c r="B1223" s="8" t="s">
        <v>356</v>
      </c>
      <c r="C1223" s="55">
        <v>306.8</v>
      </c>
      <c r="D1223" s="55"/>
      <c r="E1223" s="55"/>
      <c r="F1223" s="40">
        <f t="shared" si="87"/>
        <v>306.8</v>
      </c>
      <c r="G1223" s="50">
        <f t="shared" si="88"/>
        <v>20.245732</v>
      </c>
      <c r="H1223" s="8">
        <f t="shared" si="86"/>
        <v>6.5989999999999993E-2</v>
      </c>
      <c r="I1223" s="45">
        <v>0</v>
      </c>
    </row>
    <row r="1224" spans="1:9" s="6" customFormat="1" ht="15.75">
      <c r="A1224" s="8">
        <v>23</v>
      </c>
      <c r="B1224" s="8" t="s">
        <v>357</v>
      </c>
      <c r="C1224" s="55">
        <v>304.18</v>
      </c>
      <c r="D1224" s="55"/>
      <c r="E1224" s="55"/>
      <c r="F1224" s="40">
        <f t="shared" si="87"/>
        <v>304.18</v>
      </c>
      <c r="G1224" s="50">
        <f t="shared" si="88"/>
        <v>20.0728382</v>
      </c>
      <c r="H1224" s="8">
        <f t="shared" si="86"/>
        <v>6.5989999999999993E-2</v>
      </c>
      <c r="I1224" s="45">
        <v>0</v>
      </c>
    </row>
    <row r="1225" spans="1:9" s="6" customFormat="1" ht="15.75">
      <c r="A1225" s="8">
        <v>24</v>
      </c>
      <c r="B1225" s="8" t="s">
        <v>358</v>
      </c>
      <c r="C1225" s="55">
        <v>823.48</v>
      </c>
      <c r="D1225" s="55"/>
      <c r="E1225" s="55"/>
      <c r="F1225" s="40">
        <f t="shared" si="87"/>
        <v>823.48</v>
      </c>
      <c r="G1225" s="50">
        <f t="shared" si="88"/>
        <v>54.341445199999995</v>
      </c>
      <c r="H1225" s="8">
        <f t="shared" si="86"/>
        <v>6.5989999999999993E-2</v>
      </c>
      <c r="I1225" s="45">
        <v>0</v>
      </c>
    </row>
    <row r="1226" spans="1:9" s="6" customFormat="1" ht="15.75">
      <c r="A1226" s="8">
        <v>25</v>
      </c>
      <c r="B1226" s="8" t="s">
        <v>359</v>
      </c>
      <c r="C1226" s="55">
        <v>733.47</v>
      </c>
      <c r="D1226" s="55"/>
      <c r="E1226" s="55">
        <v>70</v>
      </c>
      <c r="F1226" s="40">
        <f t="shared" si="87"/>
        <v>803.47</v>
      </c>
      <c r="G1226" s="50">
        <f t="shared" si="88"/>
        <v>53.0209853</v>
      </c>
      <c r="H1226" s="8">
        <f t="shared" si="86"/>
        <v>6.5989999999999993E-2</v>
      </c>
      <c r="I1226" s="45">
        <v>0</v>
      </c>
    </row>
    <row r="1227" spans="1:9" s="6" customFormat="1" ht="15.75">
      <c r="A1227" s="8">
        <v>26</v>
      </c>
      <c r="B1227" s="8" t="s">
        <v>360</v>
      </c>
      <c r="C1227" s="55">
        <v>4465.32</v>
      </c>
      <c r="D1227" s="55"/>
      <c r="E1227" s="55"/>
      <c r="F1227" s="40">
        <f t="shared" ref="F1227:F1232" si="90">C1227+D1227+E1227</f>
        <v>4465.32</v>
      </c>
      <c r="G1227" s="50">
        <f t="shared" ref="G1227:G1232" si="91">SUM(F1227*H1227)</f>
        <v>294.66646679999997</v>
      </c>
      <c r="H1227" s="8">
        <f t="shared" si="86"/>
        <v>6.5989999999999993E-2</v>
      </c>
      <c r="I1227" s="45">
        <f t="shared" si="89"/>
        <v>6.5989999999999993E-2</v>
      </c>
    </row>
    <row r="1228" spans="1:9" s="6" customFormat="1" ht="15.75">
      <c r="A1228" s="8">
        <v>27</v>
      </c>
      <c r="B1228" s="8" t="s">
        <v>361</v>
      </c>
      <c r="C1228" s="55">
        <v>2218.6799999999998</v>
      </c>
      <c r="D1228" s="55"/>
      <c r="E1228" s="55"/>
      <c r="F1228" s="40">
        <f t="shared" si="90"/>
        <v>2218.6799999999998</v>
      </c>
      <c r="G1228" s="50">
        <f t="shared" si="91"/>
        <v>146.41069319999997</v>
      </c>
      <c r="H1228" s="8">
        <f t="shared" si="86"/>
        <v>6.5989999999999993E-2</v>
      </c>
      <c r="I1228" s="45">
        <f t="shared" si="89"/>
        <v>6.5989999999999993E-2</v>
      </c>
    </row>
    <row r="1229" spans="1:9" s="6" customFormat="1" ht="15.75">
      <c r="A1229" s="8">
        <v>28</v>
      </c>
      <c r="B1229" s="8" t="s">
        <v>362</v>
      </c>
      <c r="C1229" s="55">
        <v>120.8</v>
      </c>
      <c r="D1229" s="55"/>
      <c r="E1229" s="55"/>
      <c r="F1229" s="40">
        <f t="shared" si="90"/>
        <v>120.8</v>
      </c>
      <c r="G1229" s="50">
        <f t="shared" si="91"/>
        <v>7.9715919999999993</v>
      </c>
      <c r="H1229" s="8">
        <f t="shared" si="86"/>
        <v>6.5989999999999993E-2</v>
      </c>
      <c r="I1229" s="45">
        <v>0</v>
      </c>
    </row>
    <row r="1230" spans="1:9" s="6" customFormat="1" ht="15.75">
      <c r="A1230" s="8">
        <v>30</v>
      </c>
      <c r="B1230" s="8" t="s">
        <v>363</v>
      </c>
      <c r="C1230" s="55">
        <v>174.6</v>
      </c>
      <c r="D1230" s="55"/>
      <c r="E1230" s="55"/>
      <c r="F1230" s="40">
        <f t="shared" si="90"/>
        <v>174.6</v>
      </c>
      <c r="G1230" s="50">
        <f t="shared" si="91"/>
        <v>11.521853999999998</v>
      </c>
      <c r="H1230" s="8">
        <f t="shared" si="86"/>
        <v>6.5989999999999993E-2</v>
      </c>
      <c r="I1230" s="45">
        <v>0</v>
      </c>
    </row>
    <row r="1231" spans="1:9" s="6" customFormat="1" ht="15.75">
      <c r="A1231" s="8">
        <v>31</v>
      </c>
      <c r="B1231" s="8" t="s">
        <v>364</v>
      </c>
      <c r="C1231" s="55">
        <v>139.19999999999999</v>
      </c>
      <c r="D1231" s="55"/>
      <c r="E1231" s="55"/>
      <c r="F1231" s="40">
        <f t="shared" si="90"/>
        <v>139.19999999999999</v>
      </c>
      <c r="G1231" s="50">
        <f t="shared" si="91"/>
        <v>9.185807999999998</v>
      </c>
      <c r="H1231" s="8">
        <f t="shared" si="86"/>
        <v>6.5989999999999993E-2</v>
      </c>
      <c r="I1231" s="45">
        <v>0</v>
      </c>
    </row>
    <row r="1232" spans="1:9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90"/>
        <v>93179.589999999967</v>
      </c>
      <c r="G1232" s="68">
        <f t="shared" si="91"/>
        <v>6148.921144099997</v>
      </c>
      <c r="H1232" s="8">
        <f>0.06599</f>
        <v>6.5989999999999993E-2</v>
      </c>
      <c r="I1232" s="73">
        <f t="shared" si="89"/>
        <v>6.5989999999999993E-2</v>
      </c>
    </row>
    <row r="1233" spans="2:9" s="6" customFormat="1" ht="15.75">
      <c r="F1233" s="34"/>
      <c r="G1233" s="34"/>
      <c r="H1233" s="8"/>
      <c r="I1233" s="110"/>
    </row>
    <row r="1234" spans="2:9" s="69" customFormat="1" ht="15.75">
      <c r="B1234" s="69" t="s">
        <v>596</v>
      </c>
      <c r="C1234" s="65">
        <f>C90+C384+C535+C747+C879+C1146+C1202+C1232</f>
        <v>1621899.9799999997</v>
      </c>
      <c r="D1234" s="65">
        <f>D90+D384+D535+D747+D879+D1146+D1202+D1232</f>
        <v>9361.1699999999983</v>
      </c>
      <c r="E1234" s="65">
        <f>E90+E384+E535+E747+E879+E1146+E1202+E1232</f>
        <v>24015.95</v>
      </c>
      <c r="F1234" s="65">
        <f>F1232+F1202+F1146+F879+F747+F535+F384+F90+F67</f>
        <v>1907493.9299999997</v>
      </c>
      <c r="G1234" s="65">
        <f>G90+G384+G535+G747+G879+G1146+G1202+G1232</f>
        <v>109823.36785419998</v>
      </c>
      <c r="H1234" s="65">
        <f>H90+H384+H535+H747+H879+H1146+H1202+H1232</f>
        <v>0.52791999999999994</v>
      </c>
      <c r="I1234" s="65">
        <f>I90+I384+I535+I747+I879+I1146+I1202+I1232</f>
        <v>0.46411057703879366</v>
      </c>
    </row>
    <row r="1235" spans="2:9" s="6" customFormat="1" ht="15.75">
      <c r="F1235" s="226"/>
      <c r="G1235" s="34"/>
      <c r="I1235" s="34"/>
    </row>
    <row r="1236" spans="2:9" s="6" customFormat="1" ht="15.75">
      <c r="F1236" s="226"/>
      <c r="G1236" s="34"/>
      <c r="I1236" s="34"/>
    </row>
    <row r="1237" spans="2:9" s="6" customFormat="1" ht="15.75">
      <c r="F1237" s="34"/>
      <c r="G1237" s="34"/>
      <c r="I1237" s="34"/>
    </row>
    <row r="1238" spans="2:9" s="6" customFormat="1" ht="15.75">
      <c r="F1238" s="34"/>
      <c r="G1238" s="34"/>
      <c r="I1238" s="34"/>
    </row>
    <row r="1239" spans="2:9" s="6" customFormat="1" ht="15.75">
      <c r="F1239" s="34"/>
      <c r="G1239" s="34"/>
      <c r="I1239" s="34"/>
    </row>
    <row r="1240" spans="2:9" s="6" customFormat="1" ht="15.75">
      <c r="F1240" s="34"/>
      <c r="G1240" s="34"/>
      <c r="I1240" s="34"/>
    </row>
    <row r="1241" spans="2:9" s="6" customFormat="1" ht="15.75">
      <c r="F1241" s="34"/>
      <c r="G1241" s="34"/>
      <c r="I1241" s="34"/>
    </row>
    <row r="1242" spans="2:9" s="6" customFormat="1" ht="15.75">
      <c r="F1242" s="34"/>
      <c r="G1242" s="34"/>
      <c r="I1242" s="34"/>
    </row>
    <row r="1243" spans="2:9" s="6" customFormat="1" ht="15.75">
      <c r="F1243" s="34"/>
      <c r="G1243" s="34"/>
      <c r="I1243" s="34"/>
    </row>
    <row r="1244" spans="2:9" s="6" customFormat="1" ht="15.75">
      <c r="F1244" s="34"/>
      <c r="G1244" s="34"/>
      <c r="I1244" s="34"/>
    </row>
    <row r="1245" spans="2:9" s="6" customFormat="1" ht="15.75">
      <c r="F1245" s="34"/>
      <c r="G1245" s="34"/>
      <c r="I1245" s="34"/>
    </row>
    <row r="1246" spans="2:9" s="10" customFormat="1" ht="15.75">
      <c r="F1246" s="34"/>
      <c r="G1246" s="34"/>
      <c r="I1246" s="34"/>
    </row>
    <row r="1247" spans="2:9" s="10" customFormat="1" ht="15.75">
      <c r="F1247" s="34"/>
      <c r="G1247" s="34"/>
      <c r="I1247" s="34"/>
    </row>
    <row r="1248" spans="2:9" s="10" customFormat="1" ht="15.75">
      <c r="F1248" s="34"/>
      <c r="G1248" s="34"/>
      <c r="I1248" s="34"/>
    </row>
    <row r="1249" spans="6:9" s="10" customFormat="1" ht="15.75">
      <c r="F1249" s="34"/>
      <c r="G1249" s="34"/>
      <c r="I1249" s="34"/>
    </row>
    <row r="1250" spans="6:9" s="10" customFormat="1" ht="15.75">
      <c r="F1250" s="34"/>
      <c r="G1250" s="34"/>
      <c r="I1250" s="34"/>
    </row>
    <row r="1251" spans="6:9" s="10" customFormat="1" ht="15.75">
      <c r="F1251" s="34"/>
      <c r="G1251" s="34"/>
      <c r="I1251" s="34"/>
    </row>
    <row r="1252" spans="6:9" s="10" customFormat="1" ht="15.75">
      <c r="F1252" s="34"/>
      <c r="G1252" s="34"/>
      <c r="I1252" s="34"/>
    </row>
    <row r="1253" spans="6:9" s="10" customFormat="1" ht="15.75">
      <c r="F1253" s="34"/>
      <c r="G1253" s="34"/>
      <c r="I1253" s="34"/>
    </row>
    <row r="1254" spans="6:9" s="10" customFormat="1" ht="15.75">
      <c r="F1254" s="34"/>
      <c r="G1254" s="34"/>
      <c r="I1254" s="34"/>
    </row>
    <row r="1255" spans="6:9" s="10" customFormat="1" ht="15.75">
      <c r="F1255" s="34"/>
      <c r="G1255" s="34"/>
      <c r="I1255" s="34"/>
    </row>
    <row r="1256" spans="6:9" s="10" customFormat="1" ht="15.75">
      <c r="F1256" s="34"/>
      <c r="G1256" s="34"/>
      <c r="I1256" s="34"/>
    </row>
    <row r="1257" spans="6:9" s="10" customFormat="1" ht="15.75">
      <c r="F1257" s="34"/>
      <c r="G1257" s="34"/>
      <c r="I1257" s="34"/>
    </row>
    <row r="1258" spans="6:9" s="10" customFormat="1" ht="15.75">
      <c r="F1258" s="34"/>
      <c r="G1258" s="34"/>
      <c r="I1258" s="34"/>
    </row>
    <row r="1259" spans="6:9" s="10" customFormat="1" ht="15.75">
      <c r="F1259" s="34"/>
      <c r="G1259" s="34"/>
      <c r="I1259" s="34"/>
    </row>
    <row r="1260" spans="6:9" s="10" customFormat="1" ht="15.75">
      <c r="F1260" s="34"/>
      <c r="G1260" s="34"/>
      <c r="I1260" s="34"/>
    </row>
    <row r="1261" spans="6:9" s="10" customFormat="1" ht="15.75">
      <c r="F1261" s="34"/>
      <c r="G1261" s="34"/>
      <c r="I1261" s="34"/>
    </row>
    <row r="1262" spans="6:9" s="10" customFormat="1" ht="15.75">
      <c r="F1262" s="34"/>
      <c r="G1262" s="34"/>
      <c r="I1262" s="34"/>
    </row>
    <row r="1263" spans="6:9" s="10" customFormat="1" ht="15.75">
      <c r="F1263" s="34"/>
      <c r="G1263" s="34"/>
      <c r="I1263" s="34"/>
    </row>
    <row r="1264" spans="6:9" s="10" customFormat="1" ht="15.75">
      <c r="F1264" s="34"/>
      <c r="G1264" s="34"/>
      <c r="I1264" s="34"/>
    </row>
    <row r="1265" spans="6:9" s="10" customFormat="1" ht="15.75">
      <c r="F1265" s="34"/>
      <c r="G1265" s="34"/>
      <c r="I1265" s="34"/>
    </row>
    <row r="1266" spans="6:9" s="10" customFormat="1" ht="15.75">
      <c r="F1266" s="34"/>
      <c r="G1266" s="34"/>
      <c r="I1266" s="34"/>
    </row>
    <row r="1267" spans="6:9" s="10" customFormat="1" ht="15.75">
      <c r="F1267" s="34"/>
      <c r="G1267" s="34"/>
      <c r="I1267" s="34"/>
    </row>
    <row r="1268" spans="6:9" s="10" customFormat="1" ht="15.75">
      <c r="F1268" s="34"/>
      <c r="G1268" s="34"/>
      <c r="I1268" s="34"/>
    </row>
    <row r="1269" spans="6:9" s="10" customFormat="1" ht="15.75">
      <c r="F1269" s="34"/>
      <c r="G1269" s="34"/>
      <c r="I1269" s="34"/>
    </row>
    <row r="1270" spans="6:9" s="10" customFormat="1" ht="15.75">
      <c r="F1270" s="34"/>
      <c r="G1270" s="34"/>
      <c r="I1270" s="34"/>
    </row>
    <row r="1271" spans="6:9" s="10" customFormat="1" ht="15.75">
      <c r="F1271" s="34"/>
      <c r="G1271" s="34"/>
      <c r="I1271" s="34"/>
    </row>
    <row r="1272" spans="6:9" s="10" customFormat="1" ht="15.75">
      <c r="F1272" s="34"/>
      <c r="G1272" s="34"/>
      <c r="I1272" s="34"/>
    </row>
    <row r="1273" spans="6:9" s="10" customFormat="1" ht="15.75">
      <c r="F1273" s="34"/>
      <c r="G1273" s="34"/>
      <c r="I1273" s="34"/>
    </row>
    <row r="1274" spans="6:9" s="10" customFormat="1" ht="15.75">
      <c r="F1274" s="34"/>
      <c r="G1274" s="34"/>
      <c r="I1274" s="34"/>
    </row>
    <row r="1275" spans="6:9" s="10" customFormat="1" ht="15.75">
      <c r="F1275" s="34"/>
      <c r="G1275" s="34"/>
      <c r="I1275" s="34"/>
    </row>
    <row r="1276" spans="6:9" s="10" customFormat="1" ht="15.75">
      <c r="F1276" s="34"/>
      <c r="G1276" s="34"/>
      <c r="I1276" s="34"/>
    </row>
    <row r="1277" spans="6:9" s="10" customFormat="1" ht="15.75">
      <c r="F1277" s="34"/>
      <c r="G1277" s="34"/>
      <c r="I1277" s="34"/>
    </row>
    <row r="1278" spans="6:9" s="10" customFormat="1" ht="15.75">
      <c r="F1278" s="34"/>
      <c r="G1278" s="34"/>
      <c r="I1278" s="34"/>
    </row>
    <row r="1279" spans="6:9" s="10" customFormat="1" ht="15.75">
      <c r="F1279" s="34"/>
      <c r="G1279" s="34"/>
      <c r="I1279" s="34"/>
    </row>
    <row r="1280" spans="6:9" s="10" customFormat="1" ht="15.75">
      <c r="F1280" s="34"/>
      <c r="G1280" s="34"/>
      <c r="I1280" s="34"/>
    </row>
    <row r="1281" spans="6:9" s="10" customFormat="1" ht="15.75">
      <c r="F1281" s="34"/>
      <c r="G1281" s="34"/>
      <c r="I1281" s="34"/>
    </row>
    <row r="1282" spans="6:9" s="10" customFormat="1" ht="15.75">
      <c r="F1282" s="34"/>
      <c r="G1282" s="34"/>
      <c r="I1282" s="34"/>
    </row>
    <row r="1283" spans="6:9" s="10" customFormat="1" ht="15.75">
      <c r="F1283" s="34"/>
      <c r="G1283" s="34"/>
      <c r="I1283" s="34"/>
    </row>
    <row r="1284" spans="6:9" s="10" customFormat="1" ht="15.75">
      <c r="F1284" s="34"/>
      <c r="G1284" s="34"/>
      <c r="I1284" s="34"/>
    </row>
    <row r="1285" spans="6:9" s="10" customFormat="1" ht="15.75">
      <c r="F1285" s="34"/>
      <c r="G1285" s="34"/>
      <c r="I1285" s="34"/>
    </row>
    <row r="1286" spans="6:9" s="10" customFormat="1" ht="15.75">
      <c r="F1286" s="34"/>
      <c r="G1286" s="34"/>
      <c r="I1286" s="34"/>
    </row>
    <row r="1287" spans="6:9" s="10" customFormat="1" ht="15.75">
      <c r="F1287" s="34"/>
      <c r="G1287" s="34"/>
      <c r="I1287" s="34"/>
    </row>
    <row r="1288" spans="6:9" s="10" customFormat="1" ht="15.75">
      <c r="F1288" s="34"/>
      <c r="G1288" s="34"/>
      <c r="I1288" s="34"/>
    </row>
    <row r="1289" spans="6:9" s="10" customFormat="1" ht="15.75">
      <c r="F1289" s="34"/>
      <c r="G1289" s="34"/>
      <c r="I1289" s="34"/>
    </row>
    <row r="1290" spans="6:9" s="10" customFormat="1" ht="15.75">
      <c r="F1290" s="34"/>
      <c r="G1290" s="34"/>
      <c r="I1290" s="34"/>
    </row>
    <row r="1291" spans="6:9" s="10" customFormat="1" ht="15.75">
      <c r="F1291" s="34"/>
      <c r="G1291" s="34"/>
      <c r="I1291" s="34"/>
    </row>
    <row r="1292" spans="6:9" s="10" customFormat="1" ht="15.75">
      <c r="F1292" s="34"/>
      <c r="G1292" s="34"/>
      <c r="I1292" s="34"/>
    </row>
    <row r="1293" spans="6:9" s="10" customFormat="1" ht="15.75">
      <c r="F1293" s="34"/>
      <c r="G1293" s="34"/>
      <c r="I1293" s="34"/>
    </row>
    <row r="1294" spans="6:9" s="10" customFormat="1" ht="15.75">
      <c r="F1294" s="34"/>
      <c r="G1294" s="34"/>
      <c r="I1294" s="34"/>
    </row>
    <row r="1295" spans="6:9" s="10" customFormat="1" ht="15.75">
      <c r="F1295" s="34"/>
      <c r="G1295" s="34"/>
      <c r="I1295" s="34"/>
    </row>
    <row r="1296" spans="6:9" s="10" customFormat="1" ht="15.75">
      <c r="F1296" s="34"/>
      <c r="G1296" s="34"/>
      <c r="I1296" s="34"/>
    </row>
    <row r="1297" spans="6:9" s="10" customFormat="1" ht="15.75">
      <c r="F1297" s="34"/>
      <c r="G1297" s="34"/>
      <c r="I1297" s="34"/>
    </row>
    <row r="1298" spans="6:9" s="10" customFormat="1" ht="15.75">
      <c r="F1298" s="34"/>
      <c r="G1298" s="34"/>
      <c r="I1298" s="34"/>
    </row>
    <row r="1299" spans="6:9" s="10" customFormat="1" ht="15.75">
      <c r="F1299" s="34"/>
      <c r="G1299" s="34"/>
      <c r="I1299" s="34"/>
    </row>
    <row r="1300" spans="6:9" s="10" customFormat="1" ht="15.75">
      <c r="F1300" s="34"/>
      <c r="G1300" s="34"/>
      <c r="I1300" s="34"/>
    </row>
    <row r="1301" spans="6:9" s="10" customFormat="1" ht="15.75">
      <c r="F1301" s="34"/>
      <c r="G1301" s="34"/>
      <c r="I1301" s="34"/>
    </row>
    <row r="1302" spans="6:9" s="10" customFormat="1" ht="15.75">
      <c r="F1302" s="34"/>
      <c r="G1302" s="34"/>
      <c r="I1302" s="34"/>
    </row>
    <row r="1303" spans="6:9" s="10" customFormat="1" ht="15.75">
      <c r="F1303" s="34"/>
      <c r="G1303" s="34"/>
      <c r="I1303" s="34"/>
    </row>
    <row r="1304" spans="6:9" s="10" customFormat="1" ht="15.75">
      <c r="F1304" s="34"/>
      <c r="G1304" s="34"/>
      <c r="I1304" s="34"/>
    </row>
    <row r="1305" spans="6:9" s="10" customFormat="1" ht="15.75">
      <c r="F1305" s="34"/>
      <c r="G1305" s="34"/>
      <c r="I1305" s="34"/>
    </row>
    <row r="1306" spans="6:9" s="10" customFormat="1" ht="15.75">
      <c r="F1306" s="34"/>
      <c r="G1306" s="34"/>
      <c r="I1306" s="34"/>
    </row>
    <row r="1307" spans="6:9" s="10" customFormat="1" ht="15.75">
      <c r="F1307" s="34"/>
      <c r="G1307" s="34"/>
      <c r="I1307" s="34"/>
    </row>
    <row r="1308" spans="6:9" s="10" customFormat="1" ht="15.75">
      <c r="F1308" s="34"/>
      <c r="G1308" s="34"/>
      <c r="I1308" s="34"/>
    </row>
    <row r="1309" spans="6:9" s="10" customFormat="1" ht="15.75">
      <c r="F1309" s="34"/>
      <c r="G1309" s="34"/>
      <c r="I1309" s="34"/>
    </row>
    <row r="1310" spans="6:9" s="10" customFormat="1" ht="15.75">
      <c r="F1310" s="34"/>
      <c r="G1310" s="34"/>
      <c r="I1310" s="34"/>
    </row>
    <row r="1311" spans="6:9" s="10" customFormat="1" ht="15.75">
      <c r="F1311" s="34"/>
      <c r="G1311" s="34"/>
      <c r="I1311" s="34"/>
    </row>
    <row r="1312" spans="6:9" s="10" customFormat="1" ht="15.75">
      <c r="F1312" s="34"/>
      <c r="G1312" s="34"/>
      <c r="I1312" s="34"/>
    </row>
    <row r="1313" spans="6:9" s="10" customFormat="1" ht="15.75">
      <c r="F1313" s="34"/>
      <c r="G1313" s="34"/>
      <c r="I1313" s="34"/>
    </row>
    <row r="1314" spans="6:9" s="10" customFormat="1" ht="15.75">
      <c r="F1314" s="34"/>
      <c r="G1314" s="34"/>
      <c r="I1314" s="34"/>
    </row>
  </sheetData>
  <mergeCells count="1">
    <mergeCell ref="A68:M6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12"/>
  <sheetViews>
    <sheetView view="pageBreakPreview" topLeftCell="B1" zoomScale="75" zoomScaleNormal="100" zoomScaleSheetLayoutView="100" workbookViewId="0">
      <pane ySplit="1980" topLeftCell="A1205" activePane="bottomLeft"/>
      <selection activeCell="Q1" sqref="Q1:Q65536"/>
      <selection pane="bottomLeft" activeCell="M1213" sqref="M1213"/>
    </sheetView>
  </sheetViews>
  <sheetFormatPr defaultRowHeight="12.75"/>
  <cols>
    <col min="1" max="1" width="6.5703125" style="412" customWidth="1"/>
    <col min="2" max="2" width="27" style="404" customWidth="1"/>
    <col min="3" max="3" width="12.85546875" style="404" customWidth="1"/>
    <col min="4" max="4" width="12.42578125" style="404" customWidth="1"/>
    <col min="5" max="5" width="11" style="404" customWidth="1"/>
    <col min="6" max="6" width="15" style="404" hidden="1" customWidth="1"/>
    <col min="7" max="7" width="13.85546875" style="644" customWidth="1"/>
    <col min="8" max="8" width="12.7109375" style="404" customWidth="1"/>
    <col min="9" max="9" width="11" style="404" customWidth="1"/>
    <col min="10" max="10" width="14.28515625" style="404" hidden="1" customWidth="1"/>
    <col min="11" max="11" width="11.140625" style="404" hidden="1" customWidth="1"/>
    <col min="12" max="12" width="9.7109375" style="433" customWidth="1"/>
    <col min="13" max="13" width="14" style="433" customWidth="1"/>
    <col min="14" max="14" width="13" style="433" customWidth="1"/>
    <col min="15" max="15" width="12.42578125" style="433" customWidth="1"/>
    <col min="16" max="16" width="10.7109375" style="433" customWidth="1"/>
    <col min="17" max="17" width="10.7109375" style="433" hidden="1" customWidth="1"/>
    <col min="18" max="18" width="12.85546875" style="433" customWidth="1"/>
    <col min="19" max="19" width="7.28515625" style="464" customWidth="1"/>
    <col min="20" max="25" width="9.140625" style="162"/>
  </cols>
  <sheetData>
    <row r="1" spans="1:25" s="6" customFormat="1" ht="15.75">
      <c r="A1" s="458"/>
      <c r="B1" s="407"/>
      <c r="C1" s="459" t="s">
        <v>671</v>
      </c>
      <c r="D1" s="459"/>
      <c r="E1" s="459"/>
      <c r="F1" s="459"/>
      <c r="G1" s="640"/>
      <c r="H1" s="459"/>
      <c r="I1" s="459"/>
      <c r="J1" s="459"/>
      <c r="K1" s="459"/>
      <c r="L1" s="460"/>
      <c r="M1" s="460"/>
      <c r="N1" s="461"/>
      <c r="O1" s="462"/>
      <c r="P1" s="461"/>
      <c r="Q1" s="461"/>
      <c r="R1" s="461"/>
      <c r="S1" s="463"/>
      <c r="T1" s="127"/>
      <c r="U1" s="127"/>
      <c r="V1" s="127"/>
      <c r="W1" s="127"/>
      <c r="X1" s="127"/>
      <c r="Y1" s="127"/>
    </row>
    <row r="2" spans="1:25" s="6" customFormat="1" ht="16.5" thickBot="1">
      <c r="A2" s="480"/>
      <c r="B2" s="411"/>
      <c r="C2" s="174" t="s">
        <v>1362</v>
      </c>
      <c r="D2" s="174"/>
      <c r="E2" s="174"/>
      <c r="F2" s="174"/>
      <c r="G2" s="641"/>
      <c r="H2" s="174"/>
      <c r="I2" s="174"/>
      <c r="J2" s="174"/>
      <c r="K2" s="174"/>
      <c r="L2" s="186"/>
      <c r="M2" s="186"/>
      <c r="N2" s="481"/>
      <c r="O2" s="433">
        <v>0.4</v>
      </c>
      <c r="P2" s="433"/>
      <c r="Q2" s="433"/>
      <c r="R2" s="433"/>
      <c r="S2" s="464"/>
      <c r="T2" s="127"/>
      <c r="U2" s="127"/>
      <c r="V2" s="127"/>
      <c r="W2" s="127"/>
      <c r="X2" s="127"/>
      <c r="Y2" s="127"/>
    </row>
    <row r="3" spans="1:25" s="2" customFormat="1" ht="85.5" customHeight="1">
      <c r="A3" s="482" t="s">
        <v>673</v>
      </c>
      <c r="B3" s="483" t="s">
        <v>544</v>
      </c>
      <c r="C3" s="484" t="s">
        <v>1331</v>
      </c>
      <c r="D3" s="484" t="s">
        <v>610</v>
      </c>
      <c r="E3" s="484" t="s">
        <v>611</v>
      </c>
      <c r="F3" s="484" t="s">
        <v>1344</v>
      </c>
      <c r="G3" s="642" t="s">
        <v>1332</v>
      </c>
      <c r="H3" s="485" t="s">
        <v>1379</v>
      </c>
      <c r="I3" s="485" t="s">
        <v>1380</v>
      </c>
      <c r="J3" s="484" t="s">
        <v>1345</v>
      </c>
      <c r="K3" s="484" t="s">
        <v>1343</v>
      </c>
      <c r="L3" s="486" t="s">
        <v>675</v>
      </c>
      <c r="M3" s="486" t="s">
        <v>676</v>
      </c>
      <c r="N3" s="487" t="s">
        <v>677</v>
      </c>
      <c r="O3" s="476" t="s">
        <v>678</v>
      </c>
      <c r="P3" s="422" t="s">
        <v>679</v>
      </c>
      <c r="Q3" s="422">
        <v>1.29</v>
      </c>
      <c r="R3" s="422" t="s">
        <v>680</v>
      </c>
      <c r="S3" s="465" t="s">
        <v>121</v>
      </c>
      <c r="T3" s="136"/>
      <c r="U3" s="136"/>
      <c r="V3" s="136"/>
      <c r="W3" s="136"/>
      <c r="X3" s="136"/>
      <c r="Y3" s="136"/>
    </row>
    <row r="4" spans="1:25" s="6" customFormat="1" ht="14.25" customHeight="1">
      <c r="A4" s="466">
        <v>1</v>
      </c>
      <c r="B4" s="408">
        <v>2</v>
      </c>
      <c r="C4" s="443">
        <v>3</v>
      </c>
      <c r="D4" s="443">
        <v>4</v>
      </c>
      <c r="E4" s="443">
        <v>5</v>
      </c>
      <c r="F4" s="443"/>
      <c r="G4" s="643"/>
      <c r="H4" s="443">
        <v>6</v>
      </c>
      <c r="I4" s="443">
        <v>7</v>
      </c>
      <c r="J4" s="443"/>
      <c r="K4" s="443">
        <v>8</v>
      </c>
      <c r="L4" s="444">
        <v>9</v>
      </c>
      <c r="M4" s="444">
        <v>10</v>
      </c>
      <c r="N4" s="488">
        <v>11</v>
      </c>
      <c r="O4" s="477">
        <v>12</v>
      </c>
      <c r="P4" s="444">
        <v>13</v>
      </c>
      <c r="Q4" s="444"/>
      <c r="R4" s="444">
        <v>14</v>
      </c>
      <c r="S4" s="467">
        <v>15</v>
      </c>
      <c r="T4" s="127"/>
      <c r="U4" s="127"/>
      <c r="V4" s="127"/>
      <c r="W4" s="127"/>
      <c r="X4" s="127"/>
      <c r="Y4" s="127"/>
    </row>
    <row r="5" spans="1:25" s="209" customFormat="1" ht="15.75">
      <c r="A5" s="1042" t="s">
        <v>682</v>
      </c>
      <c r="B5" s="1043"/>
      <c r="C5" s="438"/>
      <c r="D5" s="438"/>
      <c r="E5" s="438"/>
      <c r="F5" s="438"/>
      <c r="G5" s="644"/>
      <c r="H5" s="438"/>
      <c r="I5" s="438"/>
      <c r="J5" s="438"/>
      <c r="K5" s="438"/>
      <c r="L5" s="438"/>
      <c r="M5" s="427"/>
      <c r="N5" s="499"/>
      <c r="O5" s="500"/>
      <c r="P5" s="498"/>
      <c r="Q5" s="498"/>
      <c r="R5" s="501"/>
      <c r="S5" s="502"/>
      <c r="T5" s="212"/>
      <c r="U5" s="212"/>
      <c r="V5" s="212"/>
      <c r="W5" s="212"/>
      <c r="X5" s="212"/>
      <c r="Y5" s="212"/>
    </row>
    <row r="6" spans="1:25" s="6" customFormat="1" ht="15.75">
      <c r="A6" s="469">
        <v>1</v>
      </c>
      <c r="B6" s="305" t="s">
        <v>683</v>
      </c>
      <c r="C6" s="386">
        <v>9570.0499999999993</v>
      </c>
      <c r="D6" s="386"/>
      <c r="E6" s="386"/>
      <c r="F6" s="816">
        <f>[1]дератизац.!I6</f>
        <v>2.2353070255641304E-3</v>
      </c>
      <c r="G6" s="644">
        <f t="shared" ref="G6:G37" si="0">C6+D6+E6</f>
        <v>9570.0499999999993</v>
      </c>
      <c r="H6" s="405">
        <v>983.9</v>
      </c>
      <c r="I6" s="405"/>
      <c r="J6" s="404">
        <v>983.9</v>
      </c>
      <c r="K6" s="404">
        <f t="shared" ref="K6:K37" si="1">H6+I6</f>
        <v>983.9</v>
      </c>
      <c r="L6" s="425">
        <f>(H6/840)+(I6/756)</f>
        <v>1.1713095238095237</v>
      </c>
      <c r="M6" s="177">
        <f t="shared" ref="M6:M66" si="2">L6*2017.01</f>
        <v>2362.5430226190474</v>
      </c>
      <c r="N6" s="489">
        <f>M6*0.3677</f>
        <v>868.70706941702383</v>
      </c>
      <c r="O6" s="478">
        <v>912.62581547619038</v>
      </c>
      <c r="P6" s="177">
        <f>L6*49.88</f>
        <v>58.424919047619042</v>
      </c>
      <c r="Q6" s="177"/>
      <c r="R6" s="431">
        <f>(M6+N6+O6+P6)/C6</f>
        <v>0.43910959990385434</v>
      </c>
      <c r="S6" s="771">
        <v>9</v>
      </c>
      <c r="T6" s="127"/>
      <c r="U6" s="127"/>
      <c r="V6" s="127"/>
      <c r="W6" s="127"/>
      <c r="X6" s="127"/>
      <c r="Y6" s="127"/>
    </row>
    <row r="7" spans="1:25" s="6" customFormat="1" ht="15.75">
      <c r="A7" s="469">
        <v>2</v>
      </c>
      <c r="B7" s="305" t="s">
        <v>684</v>
      </c>
      <c r="C7" s="330">
        <v>4259.1400000000003</v>
      </c>
      <c r="D7" s="330"/>
      <c r="E7" s="330"/>
      <c r="F7" s="817">
        <f>[1]дератизац.!I7</f>
        <v>3.413599928624088E-3</v>
      </c>
      <c r="G7" s="644">
        <f t="shared" si="0"/>
        <v>4259.1400000000003</v>
      </c>
      <c r="H7" s="404">
        <v>558.79999999999995</v>
      </c>
      <c r="I7" s="404"/>
      <c r="J7" s="404">
        <v>558.79999999999995</v>
      </c>
      <c r="K7" s="404">
        <f t="shared" si="1"/>
        <v>558.79999999999995</v>
      </c>
      <c r="L7" s="425">
        <f t="shared" ref="L7:L66" si="3">(H7/840)+(I7/756)</f>
        <v>0.66523809523809518</v>
      </c>
      <c r="M7" s="177">
        <f t="shared" si="2"/>
        <v>1341.7918904761905</v>
      </c>
      <c r="N7" s="489">
        <f t="shared" ref="N7:N79" si="4">M7*0.3677</f>
        <v>493.37687812809526</v>
      </c>
      <c r="O7" s="478">
        <v>518.32026190476188</v>
      </c>
      <c r="P7" s="177">
        <f>L7*49.88</f>
        <v>33.182076190476188</v>
      </c>
      <c r="Q7" s="177"/>
      <c r="R7" s="431">
        <f t="shared" ref="R7:R70" si="5">(M7+N7+O7+P7)/C7</f>
        <v>0.5603645587370979</v>
      </c>
      <c r="S7" s="771">
        <v>9</v>
      </c>
      <c r="T7" s="127"/>
      <c r="U7" s="127"/>
      <c r="V7" s="127"/>
      <c r="W7" s="127"/>
      <c r="X7" s="127"/>
      <c r="Y7" s="127"/>
    </row>
    <row r="8" spans="1:25" s="6" customFormat="1" ht="15.75">
      <c r="A8" s="469">
        <v>3</v>
      </c>
      <c r="B8" s="305" t="s">
        <v>685</v>
      </c>
      <c r="C8" s="330">
        <v>8696.41</v>
      </c>
      <c r="D8" s="330"/>
      <c r="E8" s="330"/>
      <c r="F8" s="817">
        <f>[1]дератизац.!I8</f>
        <v>2.4417547010778017E-3</v>
      </c>
      <c r="G8" s="644">
        <f t="shared" si="0"/>
        <v>8696.41</v>
      </c>
      <c r="H8" s="404">
        <v>978.6</v>
      </c>
      <c r="I8" s="404"/>
      <c r="J8" s="404">
        <v>978.6</v>
      </c>
      <c r="K8" s="404">
        <f t="shared" si="1"/>
        <v>978.6</v>
      </c>
      <c r="L8" s="425">
        <f t="shared" si="3"/>
        <v>1.165</v>
      </c>
      <c r="M8" s="177">
        <f t="shared" si="2"/>
        <v>2349.8166500000002</v>
      </c>
      <c r="N8" s="489">
        <f t="shared" si="4"/>
        <v>864.02758220500016</v>
      </c>
      <c r="O8" s="478">
        <v>907.70974999999999</v>
      </c>
      <c r="P8" s="177">
        <f t="shared" ref="P8:P69" si="6">L8*49.88</f>
        <v>58.110200000000006</v>
      </c>
      <c r="Q8" s="177"/>
      <c r="R8" s="431">
        <f t="shared" si="5"/>
        <v>0.48061949496458889</v>
      </c>
      <c r="S8" s="771">
        <v>9</v>
      </c>
      <c r="T8" s="127"/>
      <c r="U8" s="127"/>
      <c r="V8" s="127"/>
      <c r="W8" s="127"/>
      <c r="X8" s="127"/>
      <c r="Y8" s="127"/>
    </row>
    <row r="9" spans="1:25" s="6" customFormat="1" ht="15.75">
      <c r="A9" s="469">
        <v>4</v>
      </c>
      <c r="B9" s="305" t="s">
        <v>686</v>
      </c>
      <c r="C9" s="330">
        <v>2719.72</v>
      </c>
      <c r="D9" s="330"/>
      <c r="E9" s="330"/>
      <c r="F9" s="817">
        <f>[1]дератизац.!I9</f>
        <v>5.8103407703734219E-3</v>
      </c>
      <c r="G9" s="644">
        <f t="shared" si="0"/>
        <v>2719.72</v>
      </c>
      <c r="H9" s="404">
        <v>412.5</v>
      </c>
      <c r="I9" s="404"/>
      <c r="J9" s="404">
        <v>412.5</v>
      </c>
      <c r="K9" s="404">
        <f t="shared" si="1"/>
        <v>412.5</v>
      </c>
      <c r="L9" s="425">
        <f t="shared" si="3"/>
        <v>0.49107142857142855</v>
      </c>
      <c r="M9" s="177">
        <f t="shared" si="2"/>
        <v>990.49598214285709</v>
      </c>
      <c r="N9" s="489">
        <f t="shared" si="4"/>
        <v>364.20537263392856</v>
      </c>
      <c r="O9" s="478">
        <v>306.09464285714284</v>
      </c>
      <c r="P9" s="177">
        <f t="shared" si="6"/>
        <v>24.494642857142857</v>
      </c>
      <c r="Q9" s="177"/>
      <c r="R9" s="431">
        <f t="shared" si="5"/>
        <v>0.61965593535035646</v>
      </c>
      <c r="S9" s="771">
        <v>5</v>
      </c>
      <c r="T9" s="127"/>
      <c r="U9" s="127"/>
      <c r="V9" s="127"/>
      <c r="W9" s="127"/>
      <c r="X9" s="127"/>
      <c r="Y9" s="127"/>
    </row>
    <row r="10" spans="1:25" s="6" customFormat="1" ht="15.75">
      <c r="A10" s="469">
        <v>5</v>
      </c>
      <c r="B10" s="305" t="s">
        <v>687</v>
      </c>
      <c r="C10" s="330">
        <v>4138.7</v>
      </c>
      <c r="D10" s="330"/>
      <c r="E10" s="330"/>
      <c r="F10" s="817">
        <f>[1]дератизац.!I10</f>
        <v>3.4884142363544113E-3</v>
      </c>
      <c r="G10" s="644">
        <f t="shared" si="0"/>
        <v>4138.7</v>
      </c>
      <c r="H10" s="404">
        <v>553.29999999999995</v>
      </c>
      <c r="I10" s="404"/>
      <c r="J10" s="404">
        <v>553.29999999999995</v>
      </c>
      <c r="K10" s="404">
        <f t="shared" si="1"/>
        <v>553.29999999999995</v>
      </c>
      <c r="L10" s="425">
        <f t="shared" si="3"/>
        <v>0.65869047619047616</v>
      </c>
      <c r="M10" s="177">
        <f t="shared" si="2"/>
        <v>1328.5852773809522</v>
      </c>
      <c r="N10" s="489">
        <f t="shared" si="4"/>
        <v>488.52080649297619</v>
      </c>
      <c r="O10" s="478">
        <v>513.21868452380943</v>
      </c>
      <c r="P10" s="177">
        <f t="shared" si="6"/>
        <v>32.855480952380951</v>
      </c>
      <c r="Q10" s="177"/>
      <c r="R10" s="431">
        <f t="shared" si="5"/>
        <v>0.57099578354317027</v>
      </c>
      <c r="S10" s="771">
        <v>9</v>
      </c>
      <c r="T10" s="127"/>
      <c r="U10" s="127"/>
      <c r="V10" s="127"/>
      <c r="W10" s="127"/>
      <c r="X10" s="127"/>
      <c r="Y10" s="127"/>
    </row>
    <row r="11" spans="1:25" s="6" customFormat="1" ht="15.75">
      <c r="A11" s="469">
        <v>6</v>
      </c>
      <c r="B11" s="305" t="s">
        <v>688</v>
      </c>
      <c r="C11" s="330">
        <v>4166.1899999999996</v>
      </c>
      <c r="D11" s="330"/>
      <c r="E11" s="330"/>
      <c r="F11" s="817">
        <f>[1]дератизац.!I11</f>
        <v>3.508241342809618E-3</v>
      </c>
      <c r="G11" s="644">
        <f t="shared" si="0"/>
        <v>4166.1899999999996</v>
      </c>
      <c r="H11" s="404">
        <v>599.70000000000005</v>
      </c>
      <c r="I11" s="404"/>
      <c r="J11" s="404">
        <v>599.70000000000005</v>
      </c>
      <c r="K11" s="404">
        <f t="shared" si="1"/>
        <v>599.70000000000005</v>
      </c>
      <c r="L11" s="425">
        <f t="shared" si="3"/>
        <v>0.71392857142857147</v>
      </c>
      <c r="M11" s="177">
        <f t="shared" si="2"/>
        <v>1440.001067857143</v>
      </c>
      <c r="N11" s="489">
        <f t="shared" si="4"/>
        <v>529.48839265107154</v>
      </c>
      <c r="O11" s="478">
        <v>556.25744642857148</v>
      </c>
      <c r="P11" s="177">
        <f t="shared" si="6"/>
        <v>35.610757142857146</v>
      </c>
      <c r="Q11" s="177"/>
      <c r="R11" s="431">
        <f t="shared" si="5"/>
        <v>0.61479617206119819</v>
      </c>
      <c r="S11" s="771">
        <v>9</v>
      </c>
      <c r="T11" s="127"/>
      <c r="U11" s="127"/>
      <c r="V11" s="127"/>
      <c r="W11" s="127"/>
      <c r="X11" s="127"/>
      <c r="Y11" s="127"/>
    </row>
    <row r="12" spans="1:25" s="6" customFormat="1" ht="15.75">
      <c r="A12" s="469">
        <v>7</v>
      </c>
      <c r="B12" s="305" t="s">
        <v>689</v>
      </c>
      <c r="C12" s="330">
        <v>3572.8</v>
      </c>
      <c r="D12" s="330"/>
      <c r="E12" s="330"/>
      <c r="F12" s="817">
        <f>[1]дератизац.!I12</f>
        <v>3.7715517241379312E-3</v>
      </c>
      <c r="G12" s="644">
        <f t="shared" si="0"/>
        <v>3572.8</v>
      </c>
      <c r="H12" s="404">
        <v>480.7</v>
      </c>
      <c r="I12" s="404"/>
      <c r="J12" s="404">
        <v>495</v>
      </c>
      <c r="K12" s="404">
        <f t="shared" si="1"/>
        <v>480.7</v>
      </c>
      <c r="L12" s="425">
        <f t="shared" si="3"/>
        <v>0.57226190476190475</v>
      </c>
      <c r="M12" s="177">
        <f t="shared" si="2"/>
        <v>1154.2579845238095</v>
      </c>
      <c r="N12" s="489">
        <f t="shared" si="4"/>
        <v>424.42066090940477</v>
      </c>
      <c r="O12" s="478">
        <v>445.87786309523807</v>
      </c>
      <c r="P12" s="177">
        <f t="shared" si="6"/>
        <v>28.54442380952381</v>
      </c>
      <c r="Q12" s="177"/>
      <c r="R12" s="431">
        <f t="shared" si="5"/>
        <v>0.5746475963776243</v>
      </c>
      <c r="S12" s="771">
        <v>9</v>
      </c>
      <c r="T12" s="127"/>
      <c r="U12" s="127"/>
      <c r="V12" s="127"/>
      <c r="W12" s="127"/>
      <c r="X12" s="127"/>
      <c r="Y12" s="127"/>
    </row>
    <row r="13" spans="1:25" s="6" customFormat="1" ht="15.75">
      <c r="A13" s="469">
        <v>8</v>
      </c>
      <c r="B13" s="305" t="s">
        <v>690</v>
      </c>
      <c r="C13" s="330">
        <v>6443.05</v>
      </c>
      <c r="D13" s="330"/>
      <c r="E13" s="330"/>
      <c r="F13" s="817">
        <f>[1]дератизац.!I13</f>
        <v>2.8801576892931147E-3</v>
      </c>
      <c r="G13" s="644">
        <f t="shared" si="0"/>
        <v>6443.05</v>
      </c>
      <c r="H13" s="404">
        <v>730.8</v>
      </c>
      <c r="I13" s="404"/>
      <c r="J13" s="404">
        <v>730.8</v>
      </c>
      <c r="K13" s="404">
        <f t="shared" si="1"/>
        <v>730.8</v>
      </c>
      <c r="L13" s="425">
        <f t="shared" si="3"/>
        <v>0.87</v>
      </c>
      <c r="M13" s="177">
        <f t="shared" si="2"/>
        <v>1754.7987000000001</v>
      </c>
      <c r="N13" s="489">
        <f t="shared" si="4"/>
        <v>645.23948199000006</v>
      </c>
      <c r="O13" s="478">
        <v>677.8605</v>
      </c>
      <c r="P13" s="177">
        <f t="shared" si="6"/>
        <v>43.395600000000002</v>
      </c>
      <c r="Q13" s="177"/>
      <c r="R13" s="431">
        <f t="shared" si="5"/>
        <v>0.4844435914652222</v>
      </c>
      <c r="S13" s="771">
        <v>9</v>
      </c>
      <c r="T13" s="127"/>
      <c r="U13" s="127"/>
      <c r="V13" s="127"/>
      <c r="W13" s="127"/>
      <c r="X13" s="127"/>
      <c r="Y13" s="127"/>
    </row>
    <row r="14" spans="1:25" s="6" customFormat="1" ht="15.75">
      <c r="A14" s="469">
        <v>9</v>
      </c>
      <c r="B14" s="305" t="s">
        <v>691</v>
      </c>
      <c r="C14" s="330">
        <v>6459.7</v>
      </c>
      <c r="D14" s="330"/>
      <c r="E14" s="330"/>
      <c r="F14" s="817">
        <f>[1]дератизац.!I14</f>
        <v>2.8022973203089933E-3</v>
      </c>
      <c r="G14" s="644">
        <f t="shared" si="0"/>
        <v>6459.7</v>
      </c>
      <c r="H14" s="404">
        <v>739.9</v>
      </c>
      <c r="I14" s="404"/>
      <c r="J14" s="404">
        <v>739.9</v>
      </c>
      <c r="K14" s="404">
        <f t="shared" si="1"/>
        <v>739.9</v>
      </c>
      <c r="L14" s="425">
        <f t="shared" si="3"/>
        <v>0.88083333333333336</v>
      </c>
      <c r="M14" s="177">
        <f t="shared" si="2"/>
        <v>1776.6496416666666</v>
      </c>
      <c r="N14" s="489">
        <f t="shared" si="4"/>
        <v>653.27407324083333</v>
      </c>
      <c r="O14" s="478">
        <v>686.30129166666666</v>
      </c>
      <c r="P14" s="177">
        <f t="shared" si="6"/>
        <v>43.935966666666673</v>
      </c>
      <c r="Q14" s="177"/>
      <c r="R14" s="431">
        <f t="shared" si="5"/>
        <v>0.48921172395634988</v>
      </c>
      <c r="S14" s="771">
        <v>9</v>
      </c>
      <c r="T14" s="127"/>
      <c r="U14" s="127"/>
      <c r="V14" s="127"/>
      <c r="W14" s="127"/>
      <c r="X14" s="127"/>
      <c r="Y14" s="127"/>
    </row>
    <row r="15" spans="1:25" s="6" customFormat="1" ht="15.75">
      <c r="A15" s="469">
        <v>10</v>
      </c>
      <c r="B15" s="305" t="s">
        <v>692</v>
      </c>
      <c r="C15" s="330">
        <v>4374.04</v>
      </c>
      <c r="D15" s="330"/>
      <c r="E15" s="330"/>
      <c r="F15" s="817">
        <f>[1]дератизац.!I15</f>
        <v>3.1510914394930092E-3</v>
      </c>
      <c r="G15" s="644">
        <f t="shared" si="0"/>
        <v>4374.04</v>
      </c>
      <c r="H15" s="404">
        <v>484.3</v>
      </c>
      <c r="I15" s="404"/>
      <c r="J15" s="404">
        <v>484.3</v>
      </c>
      <c r="K15" s="404">
        <f t="shared" si="1"/>
        <v>484.3</v>
      </c>
      <c r="L15" s="425">
        <f t="shared" si="3"/>
        <v>0.57654761904761909</v>
      </c>
      <c r="M15" s="177">
        <f t="shared" si="2"/>
        <v>1162.9023130952382</v>
      </c>
      <c r="N15" s="489">
        <f t="shared" si="4"/>
        <v>427.59918052511915</v>
      </c>
      <c r="O15" s="478">
        <v>449.21707738095239</v>
      </c>
      <c r="P15" s="177">
        <f t="shared" si="6"/>
        <v>28.75819523809524</v>
      </c>
      <c r="Q15" s="177"/>
      <c r="R15" s="431">
        <f t="shared" si="5"/>
        <v>0.47289845685896909</v>
      </c>
      <c r="S15" s="771">
        <v>9</v>
      </c>
      <c r="T15" s="127"/>
      <c r="U15" s="127"/>
      <c r="V15" s="127"/>
      <c r="W15" s="127"/>
      <c r="X15" s="127"/>
      <c r="Y15" s="127"/>
    </row>
    <row r="16" spans="1:25" s="6" customFormat="1" ht="15.75">
      <c r="A16" s="469">
        <v>11</v>
      </c>
      <c r="B16" s="305" t="s">
        <v>693</v>
      </c>
      <c r="C16" s="330">
        <v>3413.87</v>
      </c>
      <c r="D16" s="330"/>
      <c r="E16" s="330">
        <v>85.7</v>
      </c>
      <c r="F16" s="817">
        <f>[1]дератизац.!I16</f>
        <v>3.924482150664225E-3</v>
      </c>
      <c r="G16" s="644">
        <f t="shared" si="0"/>
        <v>3499.5699999999997</v>
      </c>
      <c r="H16" s="404">
        <v>534.4</v>
      </c>
      <c r="I16" s="404"/>
      <c r="J16" s="404">
        <v>534.4</v>
      </c>
      <c r="K16" s="404">
        <f t="shared" si="1"/>
        <v>534.4</v>
      </c>
      <c r="L16" s="425">
        <f t="shared" si="3"/>
        <v>0.6361904761904762</v>
      </c>
      <c r="M16" s="177">
        <f t="shared" si="2"/>
        <v>1283.2025523809523</v>
      </c>
      <c r="N16" s="489">
        <f t="shared" si="4"/>
        <v>471.83357851047617</v>
      </c>
      <c r="O16" s="478">
        <v>495.68780952380951</v>
      </c>
      <c r="P16" s="177">
        <f t="shared" si="6"/>
        <v>31.733180952380955</v>
      </c>
      <c r="Q16" s="177"/>
      <c r="R16" s="431">
        <f t="shared" si="5"/>
        <v>0.66858349069168388</v>
      </c>
      <c r="S16" s="771">
        <v>9</v>
      </c>
      <c r="T16" s="127"/>
      <c r="U16" s="127"/>
      <c r="V16" s="127"/>
      <c r="W16" s="127"/>
      <c r="X16" s="127"/>
      <c r="Y16" s="127"/>
    </row>
    <row r="17" spans="1:25" s="6" customFormat="1" ht="15.75">
      <c r="A17" s="469">
        <v>12</v>
      </c>
      <c r="B17" s="305" t="s">
        <v>694</v>
      </c>
      <c r="C17" s="330">
        <v>3466.61</v>
      </c>
      <c r="D17" s="330">
        <v>97.8</v>
      </c>
      <c r="E17" s="330"/>
      <c r="F17" s="817">
        <f>[1]дератизац.!I17</f>
        <v>3.6567061589435558E-3</v>
      </c>
      <c r="G17" s="644">
        <f t="shared" si="0"/>
        <v>3564.4100000000003</v>
      </c>
      <c r="H17" s="404">
        <v>534</v>
      </c>
      <c r="I17" s="404"/>
      <c r="J17" s="404">
        <v>534.75</v>
      </c>
      <c r="K17" s="404">
        <f t="shared" si="1"/>
        <v>534</v>
      </c>
      <c r="L17" s="425">
        <f t="shared" si="3"/>
        <v>0.63571428571428568</v>
      </c>
      <c r="M17" s="177">
        <f t="shared" si="2"/>
        <v>1282.2420714285713</v>
      </c>
      <c r="N17" s="489">
        <f t="shared" si="4"/>
        <v>471.48040966428573</v>
      </c>
      <c r="O17" s="478">
        <v>495.31678571428569</v>
      </c>
      <c r="P17" s="177">
        <f t="shared" si="6"/>
        <v>31.709428571428571</v>
      </c>
      <c r="Q17" s="177"/>
      <c r="R17" s="431">
        <f t="shared" si="5"/>
        <v>0.657919031958764</v>
      </c>
      <c r="S17" s="771">
        <v>5</v>
      </c>
      <c r="T17" s="127"/>
      <c r="U17" s="127"/>
      <c r="V17" s="127"/>
      <c r="W17" s="127"/>
      <c r="X17" s="127"/>
      <c r="Y17" s="127"/>
    </row>
    <row r="18" spans="1:25" s="6" customFormat="1" ht="15.75">
      <c r="A18" s="469">
        <v>13</v>
      </c>
      <c r="B18" s="305" t="s">
        <v>695</v>
      </c>
      <c r="C18" s="330">
        <v>5767.21</v>
      </c>
      <c r="D18" s="330">
        <v>261.60000000000002</v>
      </c>
      <c r="E18" s="330">
        <v>456.05</v>
      </c>
      <c r="F18" s="817">
        <f>[1]дератизац.!I18</f>
        <v>2.7709156404301712E-3</v>
      </c>
      <c r="G18" s="644">
        <f t="shared" si="0"/>
        <v>6484.8600000000006</v>
      </c>
      <c r="H18" s="404">
        <v>732.24</v>
      </c>
      <c r="I18" s="404"/>
      <c r="J18" s="404">
        <v>732.24</v>
      </c>
      <c r="K18" s="404">
        <f t="shared" si="1"/>
        <v>732.24</v>
      </c>
      <c r="L18" s="425">
        <f t="shared" si="3"/>
        <v>0.87171428571428577</v>
      </c>
      <c r="M18" s="177">
        <f t="shared" si="2"/>
        <v>1758.2564314285714</v>
      </c>
      <c r="N18" s="489">
        <f t="shared" si="4"/>
        <v>646.51088983628574</v>
      </c>
      <c r="O18" s="478">
        <v>679.19618571428578</v>
      </c>
      <c r="P18" s="177">
        <f t="shared" si="6"/>
        <v>43.481108571428578</v>
      </c>
      <c r="Q18" s="177"/>
      <c r="R18" s="431">
        <f t="shared" si="5"/>
        <v>0.54228034275682202</v>
      </c>
      <c r="S18" s="771">
        <v>9</v>
      </c>
      <c r="T18" s="127"/>
      <c r="U18" s="127"/>
      <c r="V18" s="127"/>
      <c r="W18" s="127"/>
      <c r="X18" s="127"/>
      <c r="Y18" s="127"/>
    </row>
    <row r="19" spans="1:25" s="6" customFormat="1" ht="15.75">
      <c r="A19" s="469">
        <v>14</v>
      </c>
      <c r="B19" s="305" t="s">
        <v>696</v>
      </c>
      <c r="C19" s="330">
        <v>5966.95</v>
      </c>
      <c r="D19" s="330"/>
      <c r="E19" s="330">
        <v>49.5</v>
      </c>
      <c r="F19" s="817">
        <f>[1]дератизац.!I19</f>
        <v>3.2030516334383241E-3</v>
      </c>
      <c r="G19" s="644">
        <f t="shared" si="0"/>
        <v>6016.45</v>
      </c>
      <c r="H19" s="404">
        <v>968.4</v>
      </c>
      <c r="I19" s="404"/>
      <c r="J19" s="404">
        <v>968.4</v>
      </c>
      <c r="K19" s="404">
        <f t="shared" si="1"/>
        <v>968.4</v>
      </c>
      <c r="L19" s="425">
        <f t="shared" si="3"/>
        <v>1.1528571428571428</v>
      </c>
      <c r="M19" s="177">
        <f t="shared" si="2"/>
        <v>2325.3243857142857</v>
      </c>
      <c r="N19" s="489">
        <f t="shared" si="4"/>
        <v>855.02177662714291</v>
      </c>
      <c r="O19" s="478">
        <v>628.77404999999999</v>
      </c>
      <c r="P19" s="177">
        <f t="shared" si="6"/>
        <v>57.504514285714286</v>
      </c>
      <c r="Q19" s="177"/>
      <c r="R19" s="431">
        <f t="shared" si="5"/>
        <v>0.64800689240351317</v>
      </c>
      <c r="S19" s="771">
        <v>9</v>
      </c>
      <c r="T19" s="127"/>
      <c r="U19" s="127"/>
      <c r="V19" s="127"/>
      <c r="W19" s="127"/>
      <c r="X19" s="127"/>
      <c r="Y19" s="127"/>
    </row>
    <row r="20" spans="1:25" s="6" customFormat="1" ht="15.75">
      <c r="A20" s="469">
        <v>15</v>
      </c>
      <c r="B20" s="305" t="s">
        <v>697</v>
      </c>
      <c r="C20" s="330">
        <v>8566.1200000000008</v>
      </c>
      <c r="D20" s="330"/>
      <c r="E20" s="330"/>
      <c r="F20" s="817">
        <f>[1]дератизац.!I20</f>
        <v>2.5618366308200213E-3</v>
      </c>
      <c r="G20" s="644">
        <f t="shared" si="0"/>
        <v>8566.1200000000008</v>
      </c>
      <c r="H20" s="404">
        <v>1088.8</v>
      </c>
      <c r="I20" s="404"/>
      <c r="J20" s="404">
        <v>1088.8</v>
      </c>
      <c r="K20" s="404">
        <f t="shared" si="1"/>
        <v>1088.8</v>
      </c>
      <c r="L20" s="425">
        <f t="shared" si="3"/>
        <v>1.2961904761904761</v>
      </c>
      <c r="M20" s="177">
        <f t="shared" si="2"/>
        <v>2614.429152380952</v>
      </c>
      <c r="N20" s="489">
        <f t="shared" si="4"/>
        <v>961.32559933047617</v>
      </c>
      <c r="O20" s="478">
        <v>1009.9268095238094</v>
      </c>
      <c r="P20" s="177">
        <f t="shared" si="6"/>
        <v>64.653980952380948</v>
      </c>
      <c r="Q20" s="177"/>
      <c r="R20" s="431">
        <f t="shared" si="5"/>
        <v>0.54287536739943154</v>
      </c>
      <c r="S20" s="771">
        <v>9</v>
      </c>
      <c r="T20" s="127"/>
      <c r="U20" s="127"/>
      <c r="V20" s="127"/>
      <c r="W20" s="127"/>
      <c r="X20" s="127"/>
      <c r="Y20" s="127"/>
    </row>
    <row r="21" spans="1:25" s="6" customFormat="1" ht="15.75">
      <c r="A21" s="469">
        <v>16</v>
      </c>
      <c r="B21" s="305" t="s">
        <v>698</v>
      </c>
      <c r="C21" s="330">
        <v>5774.55</v>
      </c>
      <c r="D21" s="330">
        <v>201.5</v>
      </c>
      <c r="E21" s="330"/>
      <c r="F21" s="817">
        <f>[1]дератизац.!I21</f>
        <v>4.4007329255946661E-3</v>
      </c>
      <c r="G21" s="644">
        <f t="shared" si="0"/>
        <v>5976.05</v>
      </c>
      <c r="H21" s="404">
        <v>792</v>
      </c>
      <c r="I21" s="404"/>
      <c r="J21" s="404">
        <v>792</v>
      </c>
      <c r="K21" s="404">
        <f t="shared" si="1"/>
        <v>792</v>
      </c>
      <c r="L21" s="425">
        <f t="shared" si="3"/>
        <v>0.94285714285714284</v>
      </c>
      <c r="M21" s="177">
        <f t="shared" si="2"/>
        <v>1901.7522857142856</v>
      </c>
      <c r="N21" s="489">
        <f t="shared" si="4"/>
        <v>699.27431545714285</v>
      </c>
      <c r="O21" s="478">
        <v>734.62714285714287</v>
      </c>
      <c r="P21" s="177">
        <f t="shared" si="6"/>
        <v>47.029714285714284</v>
      </c>
      <c r="Q21" s="177"/>
      <c r="R21" s="431">
        <f t="shared" si="5"/>
        <v>0.58579169949420917</v>
      </c>
      <c r="S21" s="771">
        <v>5</v>
      </c>
      <c r="T21" s="127"/>
      <c r="U21" s="127"/>
      <c r="V21" s="127"/>
      <c r="W21" s="127"/>
      <c r="X21" s="127"/>
      <c r="Y21" s="127"/>
    </row>
    <row r="22" spans="1:25" s="6" customFormat="1" ht="15.75">
      <c r="A22" s="469">
        <v>17</v>
      </c>
      <c r="B22" s="305" t="s">
        <v>699</v>
      </c>
      <c r="C22" s="330">
        <v>3226.62</v>
      </c>
      <c r="D22" s="330"/>
      <c r="E22" s="330"/>
      <c r="F22" s="817">
        <f>[1]дератизац.!I22</f>
        <v>4.8888620289962879E-3</v>
      </c>
      <c r="G22" s="644">
        <f t="shared" si="0"/>
        <v>3226.62</v>
      </c>
      <c r="H22" s="404">
        <v>138.4</v>
      </c>
      <c r="I22" s="404"/>
      <c r="J22" s="404">
        <v>138.4</v>
      </c>
      <c r="K22" s="404">
        <f t="shared" si="1"/>
        <v>138.4</v>
      </c>
      <c r="L22" s="425">
        <f t="shared" si="3"/>
        <v>0.16476190476190478</v>
      </c>
      <c r="M22" s="177">
        <f t="shared" si="2"/>
        <v>332.32640952380956</v>
      </c>
      <c r="N22" s="489">
        <f t="shared" si="4"/>
        <v>122.19642078190478</v>
      </c>
      <c r="O22" s="478">
        <v>128.3742380952381</v>
      </c>
      <c r="P22" s="177">
        <f t="shared" si="6"/>
        <v>8.2183238095238114</v>
      </c>
      <c r="Q22" s="177"/>
      <c r="R22" s="431">
        <f t="shared" si="5"/>
        <v>0.18319956865403308</v>
      </c>
      <c r="S22" s="771">
        <v>5</v>
      </c>
      <c r="T22" s="127"/>
      <c r="U22" s="127"/>
      <c r="V22" s="127"/>
      <c r="W22" s="127"/>
      <c r="X22" s="127"/>
      <c r="Y22" s="127"/>
    </row>
    <row r="23" spans="1:25" s="6" customFormat="1" ht="15.75">
      <c r="A23" s="469">
        <v>18</v>
      </c>
      <c r="B23" s="305" t="s">
        <v>700</v>
      </c>
      <c r="C23" s="330">
        <v>3233.9</v>
      </c>
      <c r="D23" s="330"/>
      <c r="E23" s="330"/>
      <c r="F23" s="817">
        <f>[1]дератизац.!I23</f>
        <v>5.3086057082779303E-3</v>
      </c>
      <c r="G23" s="644">
        <f t="shared" si="0"/>
        <v>3233.9</v>
      </c>
      <c r="H23" s="404">
        <v>137.30000000000001</v>
      </c>
      <c r="I23" s="404"/>
      <c r="J23" s="404">
        <v>137.30000000000001</v>
      </c>
      <c r="K23" s="404">
        <f t="shared" si="1"/>
        <v>137.30000000000001</v>
      </c>
      <c r="L23" s="425">
        <f t="shared" si="3"/>
        <v>0.16345238095238096</v>
      </c>
      <c r="M23" s="177">
        <f t="shared" si="2"/>
        <v>329.68508690476193</v>
      </c>
      <c r="N23" s="489">
        <f t="shared" si="4"/>
        <v>121.22520645488098</v>
      </c>
      <c r="O23" s="478">
        <v>127.35392261904762</v>
      </c>
      <c r="P23" s="177">
        <f t="shared" si="6"/>
        <v>8.1530047619047625</v>
      </c>
      <c r="Q23" s="177"/>
      <c r="R23" s="431">
        <f t="shared" si="5"/>
        <v>0.18133437049401502</v>
      </c>
      <c r="S23" s="771">
        <v>5</v>
      </c>
      <c r="T23" s="127"/>
      <c r="U23" s="127"/>
      <c r="V23" s="127"/>
      <c r="W23" s="127"/>
      <c r="X23" s="127"/>
      <c r="Y23" s="127"/>
    </row>
    <row r="24" spans="1:25" s="6" customFormat="1" ht="15.75">
      <c r="A24" s="469">
        <v>19</v>
      </c>
      <c r="B24" s="305" t="s">
        <v>701</v>
      </c>
      <c r="C24" s="330">
        <v>6095.4</v>
      </c>
      <c r="D24" s="330"/>
      <c r="E24" s="330"/>
      <c r="F24" s="817">
        <f>[1]дератизац.!I24</f>
        <v>4.459264363290351E-3</v>
      </c>
      <c r="G24" s="644">
        <f t="shared" si="0"/>
        <v>6095.4</v>
      </c>
      <c r="H24" s="404">
        <v>918</v>
      </c>
      <c r="I24" s="404"/>
      <c r="J24" s="404">
        <v>918</v>
      </c>
      <c r="K24" s="404">
        <f t="shared" si="1"/>
        <v>918</v>
      </c>
      <c r="L24" s="425">
        <f t="shared" si="3"/>
        <v>1.0928571428571427</v>
      </c>
      <c r="M24" s="177">
        <f t="shared" si="2"/>
        <v>2204.3037857142854</v>
      </c>
      <c r="N24" s="489">
        <f t="shared" si="4"/>
        <v>810.52250200714275</v>
      </c>
      <c r="O24" s="478">
        <v>851.4996428571427</v>
      </c>
      <c r="P24" s="177">
        <f t="shared" si="6"/>
        <v>54.511714285714284</v>
      </c>
      <c r="Q24" s="177"/>
      <c r="R24" s="431">
        <f t="shared" si="5"/>
        <v>0.64324533990620558</v>
      </c>
      <c r="S24" s="771">
        <v>5</v>
      </c>
      <c r="T24" s="127"/>
      <c r="U24" s="127"/>
      <c r="V24" s="127"/>
      <c r="W24" s="127"/>
      <c r="X24" s="127"/>
      <c r="Y24" s="127"/>
    </row>
    <row r="25" spans="1:25" s="6" customFormat="1" ht="15.75">
      <c r="A25" s="469">
        <v>20</v>
      </c>
      <c r="B25" s="305" t="s">
        <v>702</v>
      </c>
      <c r="C25" s="330">
        <v>6384.91</v>
      </c>
      <c r="D25" s="330"/>
      <c r="E25" s="330"/>
      <c r="F25" s="817">
        <f>[1]дератизац.!I25</f>
        <v>2.7814017738699527E-3</v>
      </c>
      <c r="G25" s="644">
        <f t="shared" si="0"/>
        <v>6384.91</v>
      </c>
      <c r="H25" s="404">
        <v>687.5</v>
      </c>
      <c r="I25" s="404"/>
      <c r="J25" s="404">
        <v>687.5</v>
      </c>
      <c r="K25" s="404">
        <f t="shared" si="1"/>
        <v>687.5</v>
      </c>
      <c r="L25" s="425">
        <f t="shared" si="3"/>
        <v>0.81845238095238093</v>
      </c>
      <c r="M25" s="177">
        <f t="shared" si="2"/>
        <v>1650.8266369047619</v>
      </c>
      <c r="N25" s="489">
        <f t="shared" si="4"/>
        <v>607.00895438988096</v>
      </c>
      <c r="O25" s="478">
        <v>637.69717261904759</v>
      </c>
      <c r="P25" s="177">
        <f t="shared" si="6"/>
        <v>40.824404761904766</v>
      </c>
      <c r="Q25" s="177"/>
      <c r="R25" s="431">
        <f t="shared" si="5"/>
        <v>0.45989014233177838</v>
      </c>
      <c r="S25" s="771">
        <v>9</v>
      </c>
      <c r="T25" s="127"/>
      <c r="U25" s="127"/>
      <c r="V25" s="127"/>
      <c r="W25" s="127"/>
      <c r="X25" s="127"/>
      <c r="Y25" s="127"/>
    </row>
    <row r="26" spans="1:25" s="6" customFormat="1" ht="15.75">
      <c r="A26" s="469">
        <v>21</v>
      </c>
      <c r="B26" s="305" t="s">
        <v>703</v>
      </c>
      <c r="C26" s="330">
        <v>3929.49</v>
      </c>
      <c r="D26" s="330">
        <v>464.4</v>
      </c>
      <c r="E26" s="330"/>
      <c r="F26" s="817">
        <f>[1]дератизац.!I26</f>
        <v>3.3750275951377941E-3</v>
      </c>
      <c r="G26" s="644">
        <f t="shared" si="0"/>
        <v>4393.8899999999994</v>
      </c>
      <c r="H26" s="404">
        <v>492.5</v>
      </c>
      <c r="I26" s="404"/>
      <c r="J26" s="404">
        <v>492.5</v>
      </c>
      <c r="K26" s="404">
        <f t="shared" si="1"/>
        <v>492.5</v>
      </c>
      <c r="L26" s="425">
        <f t="shared" si="3"/>
        <v>0.58630952380952384</v>
      </c>
      <c r="M26" s="177">
        <f t="shared" si="2"/>
        <v>1182.5921726190477</v>
      </c>
      <c r="N26" s="489">
        <f t="shared" si="4"/>
        <v>434.83914187202384</v>
      </c>
      <c r="O26" s="478">
        <v>456.82306547619049</v>
      </c>
      <c r="P26" s="177">
        <f t="shared" si="6"/>
        <v>29.245119047619049</v>
      </c>
      <c r="Q26" s="177"/>
      <c r="R26" s="431">
        <f t="shared" si="5"/>
        <v>0.53531107065163197</v>
      </c>
      <c r="S26" s="771">
        <v>9</v>
      </c>
      <c r="T26" s="127"/>
      <c r="U26" s="127"/>
      <c r="V26" s="127"/>
      <c r="W26" s="127"/>
      <c r="X26" s="127"/>
      <c r="Y26" s="127"/>
    </row>
    <row r="27" spans="1:25" s="6" customFormat="1" ht="15.75">
      <c r="A27" s="469">
        <v>22</v>
      </c>
      <c r="B27" s="305" t="s">
        <v>704</v>
      </c>
      <c r="C27" s="330">
        <v>7174.09</v>
      </c>
      <c r="D27" s="330"/>
      <c r="E27" s="330"/>
      <c r="F27" s="817">
        <f>[1]дератизац.!I27</f>
        <v>2.7369324889986047E-3</v>
      </c>
      <c r="G27" s="644">
        <f t="shared" si="0"/>
        <v>7174.09</v>
      </c>
      <c r="H27" s="404">
        <v>837.15</v>
      </c>
      <c r="I27" s="404"/>
      <c r="J27" s="404">
        <v>837.15</v>
      </c>
      <c r="K27" s="404">
        <f t="shared" si="1"/>
        <v>837.15</v>
      </c>
      <c r="L27" s="425">
        <f t="shared" si="3"/>
        <v>0.9966071428571428</v>
      </c>
      <c r="M27" s="177">
        <f t="shared" si="2"/>
        <v>2010.1665732142856</v>
      </c>
      <c r="N27" s="489">
        <f t="shared" si="4"/>
        <v>739.13824897089285</v>
      </c>
      <c r="O27" s="478">
        <v>776.50645535714284</v>
      </c>
      <c r="P27" s="177">
        <f t="shared" si="6"/>
        <v>49.710764285714284</v>
      </c>
      <c r="Q27" s="177"/>
      <c r="R27" s="431">
        <f t="shared" si="5"/>
        <v>0.4983938090863142</v>
      </c>
      <c r="S27" s="771">
        <v>9</v>
      </c>
      <c r="T27" s="127"/>
      <c r="U27" s="127"/>
      <c r="V27" s="127"/>
      <c r="W27" s="127"/>
      <c r="X27" s="127"/>
      <c r="Y27" s="127"/>
    </row>
    <row r="28" spans="1:25" s="6" customFormat="1" ht="15.75">
      <c r="A28" s="469">
        <v>23</v>
      </c>
      <c r="B28" s="305" t="s">
        <v>705</v>
      </c>
      <c r="C28" s="330">
        <v>3836.07</v>
      </c>
      <c r="D28" s="330"/>
      <c r="E28" s="330">
        <v>416</v>
      </c>
      <c r="F28" s="817">
        <f>[1]дератизац.!I28</f>
        <v>3.4818335540101652E-3</v>
      </c>
      <c r="G28" s="644">
        <f t="shared" si="0"/>
        <v>4252.07</v>
      </c>
      <c r="H28" s="404">
        <v>485.8</v>
      </c>
      <c r="I28" s="404"/>
      <c r="J28" s="404">
        <v>485.8</v>
      </c>
      <c r="K28" s="404">
        <f t="shared" si="1"/>
        <v>485.8</v>
      </c>
      <c r="L28" s="425">
        <f t="shared" si="3"/>
        <v>0.57833333333333337</v>
      </c>
      <c r="M28" s="177">
        <f t="shared" si="2"/>
        <v>1166.5041166666667</v>
      </c>
      <c r="N28" s="489">
        <f t="shared" si="4"/>
        <v>428.9235636983334</v>
      </c>
      <c r="O28" s="478">
        <v>450.6084166666667</v>
      </c>
      <c r="P28" s="177">
        <f t="shared" si="6"/>
        <v>28.84726666666667</v>
      </c>
      <c r="Q28" s="177"/>
      <c r="R28" s="431">
        <f t="shared" si="5"/>
        <v>0.54088777412777489</v>
      </c>
      <c r="S28" s="771">
        <v>5</v>
      </c>
      <c r="T28" s="127"/>
      <c r="U28" s="127"/>
      <c r="V28" s="127"/>
      <c r="W28" s="127"/>
      <c r="X28" s="127"/>
      <c r="Y28" s="127"/>
    </row>
    <row r="29" spans="1:25" s="6" customFormat="1" ht="15.75">
      <c r="A29" s="469">
        <v>24</v>
      </c>
      <c r="B29" s="305" t="s">
        <v>706</v>
      </c>
      <c r="C29" s="330">
        <v>2413.89</v>
      </c>
      <c r="D29" s="330"/>
      <c r="E29" s="330"/>
      <c r="F29" s="817">
        <f>[1]дератизац.!I29</f>
        <v>7.5324476260310129E-3</v>
      </c>
      <c r="G29" s="644">
        <f t="shared" si="0"/>
        <v>2413.89</v>
      </c>
      <c r="H29" s="404">
        <v>427.5</v>
      </c>
      <c r="I29" s="404"/>
      <c r="J29" s="404">
        <v>427.5</v>
      </c>
      <c r="K29" s="404">
        <f t="shared" si="1"/>
        <v>427.5</v>
      </c>
      <c r="L29" s="425">
        <f t="shared" si="3"/>
        <v>0.5089285714285714</v>
      </c>
      <c r="M29" s="177">
        <f t="shared" si="2"/>
        <v>1026.5140178571428</v>
      </c>
      <c r="N29" s="489">
        <f t="shared" si="4"/>
        <v>377.44920436607146</v>
      </c>
      <c r="O29" s="478">
        <v>277.57218749999993</v>
      </c>
      <c r="P29" s="177">
        <f t="shared" si="6"/>
        <v>25.385357142857142</v>
      </c>
      <c r="Q29" s="177"/>
      <c r="R29" s="431">
        <f t="shared" si="5"/>
        <v>0.70712450313231812</v>
      </c>
      <c r="S29" s="771">
        <v>9</v>
      </c>
      <c r="T29" s="127"/>
      <c r="U29" s="127"/>
      <c r="V29" s="127"/>
      <c r="W29" s="127"/>
      <c r="X29" s="127"/>
      <c r="Y29" s="127"/>
    </row>
    <row r="30" spans="1:25" s="6" customFormat="1" ht="15.75">
      <c r="A30" s="469">
        <v>25</v>
      </c>
      <c r="B30" s="305" t="s">
        <v>707</v>
      </c>
      <c r="C30" s="330">
        <v>6323.28</v>
      </c>
      <c r="D30" s="330"/>
      <c r="E30" s="330"/>
      <c r="F30" s="817">
        <f>[1]дератизац.!I30</f>
        <v>2.7830493035260187E-3</v>
      </c>
      <c r="G30" s="644">
        <f t="shared" si="0"/>
        <v>6323.28</v>
      </c>
      <c r="H30" s="404">
        <v>637.20000000000005</v>
      </c>
      <c r="I30" s="404"/>
      <c r="J30" s="404">
        <v>637.20000000000005</v>
      </c>
      <c r="K30" s="404">
        <f t="shared" si="1"/>
        <v>637.20000000000005</v>
      </c>
      <c r="L30" s="425">
        <f t="shared" si="3"/>
        <v>0.75857142857142867</v>
      </c>
      <c r="M30" s="177">
        <f t="shared" si="2"/>
        <v>1530.0461571428573</v>
      </c>
      <c r="N30" s="489">
        <f t="shared" si="4"/>
        <v>562.59797198142871</v>
      </c>
      <c r="O30" s="478">
        <v>591.04092857142859</v>
      </c>
      <c r="P30" s="177">
        <f t="shared" si="6"/>
        <v>37.837542857142864</v>
      </c>
      <c r="Q30" s="177"/>
      <c r="R30" s="431">
        <f t="shared" si="5"/>
        <v>0.43039729389697395</v>
      </c>
      <c r="S30" s="771">
        <v>9</v>
      </c>
      <c r="T30" s="127"/>
      <c r="U30" s="127"/>
      <c r="V30" s="127"/>
      <c r="W30" s="127"/>
      <c r="X30" s="127"/>
      <c r="Y30" s="127"/>
    </row>
    <row r="31" spans="1:25" s="6" customFormat="1" ht="15.75">
      <c r="A31" s="469">
        <v>26</v>
      </c>
      <c r="B31" s="305" t="s">
        <v>708</v>
      </c>
      <c r="C31" s="330">
        <v>4396.59</v>
      </c>
      <c r="D31" s="330"/>
      <c r="E31" s="330"/>
      <c r="F31" s="817">
        <f>[1]дератизац.!I31</f>
        <v>3.2845910125802046E-3</v>
      </c>
      <c r="G31" s="644">
        <f t="shared" si="0"/>
        <v>4396.59</v>
      </c>
      <c r="H31" s="404">
        <v>644.4</v>
      </c>
      <c r="I31" s="404"/>
      <c r="J31" s="404">
        <v>644.4</v>
      </c>
      <c r="K31" s="404">
        <f t="shared" si="1"/>
        <v>644.4</v>
      </c>
      <c r="L31" s="425">
        <f t="shared" si="3"/>
        <v>0.76714285714285713</v>
      </c>
      <c r="M31" s="177">
        <f t="shared" si="2"/>
        <v>1547.3348142857142</v>
      </c>
      <c r="N31" s="489">
        <f t="shared" si="4"/>
        <v>568.95501121285713</v>
      </c>
      <c r="O31" s="478">
        <v>597.71935714285712</v>
      </c>
      <c r="P31" s="177">
        <f t="shared" si="6"/>
        <v>38.265085714285718</v>
      </c>
      <c r="Q31" s="177"/>
      <c r="R31" s="431">
        <f t="shared" si="5"/>
        <v>0.62600203074558103</v>
      </c>
      <c r="S31" s="771">
        <v>9</v>
      </c>
      <c r="T31" s="127"/>
      <c r="U31" s="127"/>
      <c r="V31" s="127"/>
      <c r="W31" s="127"/>
      <c r="X31" s="127"/>
      <c r="Y31" s="127"/>
    </row>
    <row r="32" spans="1:25" s="6" customFormat="1" ht="15.75">
      <c r="A32" s="469">
        <v>27</v>
      </c>
      <c r="B32" s="305" t="s">
        <v>709</v>
      </c>
      <c r="C32" s="330">
        <v>6702.46</v>
      </c>
      <c r="D32" s="330"/>
      <c r="E32" s="330"/>
      <c r="F32" s="817">
        <f>[1]дератизац.!I32</f>
        <v>3.3023695777371293E-3</v>
      </c>
      <c r="G32" s="644">
        <f t="shared" si="0"/>
        <v>6702.46</v>
      </c>
      <c r="H32" s="404">
        <v>895</v>
      </c>
      <c r="I32" s="404"/>
      <c r="J32" s="404">
        <v>895</v>
      </c>
      <c r="K32" s="404">
        <f t="shared" si="1"/>
        <v>895</v>
      </c>
      <c r="L32" s="425">
        <f t="shared" si="3"/>
        <v>1.0654761904761905</v>
      </c>
      <c r="M32" s="177">
        <f t="shared" si="2"/>
        <v>2149.0761309523809</v>
      </c>
      <c r="N32" s="489">
        <f t="shared" si="4"/>
        <v>790.21529335119055</v>
      </c>
      <c r="O32" s="478">
        <v>830.16577380952378</v>
      </c>
      <c r="P32" s="177">
        <f t="shared" si="6"/>
        <v>53.14595238095238</v>
      </c>
      <c r="Q32" s="177"/>
      <c r="R32" s="431">
        <f t="shared" si="5"/>
        <v>0.57032837950454718</v>
      </c>
      <c r="S32" s="771">
        <v>9</v>
      </c>
      <c r="T32" s="127"/>
      <c r="U32" s="127"/>
      <c r="V32" s="127"/>
      <c r="W32" s="127"/>
      <c r="X32" s="127"/>
      <c r="Y32" s="127"/>
    </row>
    <row r="33" spans="1:25" s="6" customFormat="1" ht="15.75">
      <c r="A33" s="469">
        <v>28</v>
      </c>
      <c r="B33" s="305" t="s">
        <v>710</v>
      </c>
      <c r="C33" s="330">
        <v>6185.24</v>
      </c>
      <c r="D33" s="330"/>
      <c r="E33" s="330"/>
      <c r="F33" s="817">
        <f>[1]дератизац.!I33</f>
        <v>2.9888896793010462E-3</v>
      </c>
      <c r="G33" s="644">
        <f t="shared" si="0"/>
        <v>6185.24</v>
      </c>
      <c r="H33" s="404">
        <v>829.5</v>
      </c>
      <c r="I33" s="404"/>
      <c r="J33" s="404">
        <v>829.5</v>
      </c>
      <c r="K33" s="404">
        <f t="shared" si="1"/>
        <v>829.5</v>
      </c>
      <c r="L33" s="425">
        <f t="shared" si="3"/>
        <v>0.98750000000000004</v>
      </c>
      <c r="M33" s="177">
        <f t="shared" si="2"/>
        <v>1991.7973750000001</v>
      </c>
      <c r="N33" s="489">
        <f t="shared" si="4"/>
        <v>732.38389478750014</v>
      </c>
      <c r="O33" s="478">
        <v>769.41062499999998</v>
      </c>
      <c r="P33" s="177">
        <f t="shared" si="6"/>
        <v>49.256500000000003</v>
      </c>
      <c r="Q33" s="177"/>
      <c r="R33" s="431">
        <f t="shared" si="5"/>
        <v>0.57279077202946049</v>
      </c>
      <c r="S33" s="771">
        <v>9</v>
      </c>
      <c r="T33" s="127"/>
      <c r="U33" s="127"/>
      <c r="V33" s="127"/>
      <c r="W33" s="127"/>
      <c r="X33" s="127"/>
      <c r="Y33" s="127"/>
    </row>
    <row r="34" spans="1:25" s="6" customFormat="1" ht="15.75">
      <c r="A34" s="469">
        <v>29</v>
      </c>
      <c r="B34" s="305" t="s">
        <v>711</v>
      </c>
      <c r="C34" s="330">
        <v>6856.85</v>
      </c>
      <c r="D34" s="330"/>
      <c r="E34" s="330"/>
      <c r="F34" s="817">
        <f>[1]дератизац.!I34</f>
        <v>2.6889898422745133E-3</v>
      </c>
      <c r="G34" s="644">
        <f t="shared" si="0"/>
        <v>6856.85</v>
      </c>
      <c r="H34" s="404">
        <v>853</v>
      </c>
      <c r="I34" s="404"/>
      <c r="J34" s="404">
        <v>853</v>
      </c>
      <c r="K34" s="404">
        <f t="shared" si="1"/>
        <v>853</v>
      </c>
      <c r="L34" s="425">
        <f t="shared" si="3"/>
        <v>1.0154761904761904</v>
      </c>
      <c r="M34" s="177">
        <f t="shared" si="2"/>
        <v>2048.2256309523809</v>
      </c>
      <c r="N34" s="489">
        <f t="shared" si="4"/>
        <v>753.13256450119047</v>
      </c>
      <c r="O34" s="478">
        <v>791.20827380952369</v>
      </c>
      <c r="P34" s="177">
        <f t="shared" si="6"/>
        <v>50.65195238095238</v>
      </c>
      <c r="Q34" s="177"/>
      <c r="R34" s="431">
        <f t="shared" si="5"/>
        <v>0.53132537851113082</v>
      </c>
      <c r="S34" s="771">
        <v>9</v>
      </c>
      <c r="T34" s="127"/>
      <c r="U34" s="127"/>
      <c r="V34" s="127"/>
      <c r="W34" s="127"/>
      <c r="X34" s="127"/>
      <c r="Y34" s="127"/>
    </row>
    <row r="35" spans="1:25" s="6" customFormat="1" ht="15.75">
      <c r="A35" s="469">
        <v>30</v>
      </c>
      <c r="B35" s="305" t="s">
        <v>712</v>
      </c>
      <c r="C35" s="330">
        <v>6358.97</v>
      </c>
      <c r="D35" s="330"/>
      <c r="E35" s="330"/>
      <c r="F35" s="817">
        <f>[1]дератизац.!I35</f>
        <v>2.9534657342305437E-3</v>
      </c>
      <c r="G35" s="644">
        <f t="shared" si="0"/>
        <v>6358.97</v>
      </c>
      <c r="H35" s="404">
        <v>743.6</v>
      </c>
      <c r="I35" s="404"/>
      <c r="J35" s="404">
        <v>743.6</v>
      </c>
      <c r="K35" s="404">
        <f t="shared" si="1"/>
        <v>743.6</v>
      </c>
      <c r="L35" s="425">
        <f t="shared" si="3"/>
        <v>0.88523809523809527</v>
      </c>
      <c r="M35" s="177">
        <f t="shared" si="2"/>
        <v>1785.5340904761906</v>
      </c>
      <c r="N35" s="489">
        <f t="shared" si="4"/>
        <v>656.54088506809535</v>
      </c>
      <c r="O35" s="478">
        <v>689.73326190476189</v>
      </c>
      <c r="P35" s="177">
        <f t="shared" si="6"/>
        <v>44.155676190476193</v>
      </c>
      <c r="Q35" s="177"/>
      <c r="R35" s="431">
        <f t="shared" si="5"/>
        <v>0.49944628039439154</v>
      </c>
      <c r="S35" s="771">
        <v>9</v>
      </c>
      <c r="T35" s="127"/>
      <c r="U35" s="127"/>
      <c r="V35" s="127"/>
      <c r="W35" s="127"/>
      <c r="X35" s="127"/>
      <c r="Y35" s="127"/>
    </row>
    <row r="36" spans="1:25" s="6" customFormat="1" ht="15.75">
      <c r="A36" s="469">
        <v>31</v>
      </c>
      <c r="B36" s="305" t="s">
        <v>713</v>
      </c>
      <c r="C36" s="330">
        <v>4302.43</v>
      </c>
      <c r="D36" s="330"/>
      <c r="E36" s="330"/>
      <c r="F36" s="817">
        <f>[1]дератизац.!I36</f>
        <v>3.3816936010580066E-3</v>
      </c>
      <c r="G36" s="644">
        <f t="shared" si="0"/>
        <v>4302.43</v>
      </c>
      <c r="H36" s="404">
        <v>564.20000000000005</v>
      </c>
      <c r="I36" s="404"/>
      <c r="J36" s="404">
        <v>564.20000000000005</v>
      </c>
      <c r="K36" s="404">
        <f t="shared" si="1"/>
        <v>564.20000000000005</v>
      </c>
      <c r="L36" s="425">
        <f t="shared" si="3"/>
        <v>0.67166666666666675</v>
      </c>
      <c r="M36" s="177">
        <f t="shared" si="2"/>
        <v>1354.7583833333335</v>
      </c>
      <c r="N36" s="489">
        <f t="shared" si="4"/>
        <v>498.1446575516668</v>
      </c>
      <c r="O36" s="478">
        <v>523.32908333333341</v>
      </c>
      <c r="P36" s="177">
        <f t="shared" si="6"/>
        <v>33.502733333333339</v>
      </c>
      <c r="Q36" s="177"/>
      <c r="R36" s="431">
        <f t="shared" si="5"/>
        <v>0.56008694099652223</v>
      </c>
      <c r="S36" s="771">
        <v>9</v>
      </c>
      <c r="T36" s="127"/>
      <c r="U36" s="127"/>
      <c r="V36" s="127"/>
      <c r="W36" s="127"/>
      <c r="X36" s="127"/>
      <c r="Y36" s="127"/>
    </row>
    <row r="37" spans="1:25" s="6" customFormat="1" ht="15.75">
      <c r="A37" s="469">
        <v>32</v>
      </c>
      <c r="B37" s="305" t="s">
        <v>714</v>
      </c>
      <c r="C37" s="330">
        <v>4355.7</v>
      </c>
      <c r="D37" s="330"/>
      <c r="E37" s="330"/>
      <c r="F37" s="817">
        <f>[1]дератизац.!I37</f>
        <v>3.317032853502308E-3</v>
      </c>
      <c r="G37" s="644">
        <f t="shared" si="0"/>
        <v>4355.7</v>
      </c>
      <c r="H37" s="404">
        <v>646</v>
      </c>
      <c r="I37" s="404"/>
      <c r="J37" s="404">
        <v>646</v>
      </c>
      <c r="K37" s="404">
        <f t="shared" si="1"/>
        <v>646</v>
      </c>
      <c r="L37" s="425">
        <f t="shared" si="3"/>
        <v>0.76904761904761909</v>
      </c>
      <c r="M37" s="177">
        <f t="shared" si="2"/>
        <v>1551.1767380952381</v>
      </c>
      <c r="N37" s="489">
        <f t="shared" si="4"/>
        <v>570.36768659761913</v>
      </c>
      <c r="O37" s="478">
        <v>599.2034523809524</v>
      </c>
      <c r="P37" s="177">
        <f t="shared" si="6"/>
        <v>38.360095238095241</v>
      </c>
      <c r="Q37" s="177"/>
      <c r="R37" s="431">
        <f t="shared" si="5"/>
        <v>0.63344765991962371</v>
      </c>
      <c r="S37" s="771">
        <v>9</v>
      </c>
      <c r="T37" s="127"/>
      <c r="U37" s="127"/>
      <c r="V37" s="127"/>
      <c r="W37" s="127"/>
      <c r="X37" s="127"/>
      <c r="Y37" s="127"/>
    </row>
    <row r="38" spans="1:25" s="6" customFormat="1" ht="15.75">
      <c r="A38" s="469">
        <v>33</v>
      </c>
      <c r="B38" s="305" t="s">
        <v>715</v>
      </c>
      <c r="C38" s="330">
        <v>61.3</v>
      </c>
      <c r="D38" s="330"/>
      <c r="E38" s="330"/>
      <c r="F38" s="817">
        <f>[1]дератизац.!I38</f>
        <v>0</v>
      </c>
      <c r="G38" s="644">
        <f t="shared" ref="G38:G59" si="7">C38+D38+E38</f>
        <v>61.3</v>
      </c>
      <c r="H38" s="404">
        <v>0</v>
      </c>
      <c r="I38" s="404"/>
      <c r="J38" s="404">
        <v>0</v>
      </c>
      <c r="K38" s="404">
        <f t="shared" ref="K38:K53" si="8">H38+I38</f>
        <v>0</v>
      </c>
      <c r="L38" s="425">
        <f t="shared" si="3"/>
        <v>0</v>
      </c>
      <c r="M38" s="177">
        <f t="shared" si="2"/>
        <v>0</v>
      </c>
      <c r="N38" s="489">
        <f t="shared" si="4"/>
        <v>0</v>
      </c>
      <c r="O38" s="478">
        <v>0</v>
      </c>
      <c r="P38" s="177">
        <f t="shared" si="6"/>
        <v>0</v>
      </c>
      <c r="Q38" s="177"/>
      <c r="R38" s="431">
        <f t="shared" si="5"/>
        <v>0</v>
      </c>
      <c r="S38" s="771">
        <v>1</v>
      </c>
      <c r="T38" s="127"/>
      <c r="U38" s="127"/>
      <c r="V38" s="127"/>
      <c r="W38" s="127"/>
      <c r="X38" s="127"/>
      <c r="Y38" s="127"/>
    </row>
    <row r="39" spans="1:25" s="6" customFormat="1" ht="15.75">
      <c r="A39" s="469">
        <v>34</v>
      </c>
      <c r="B39" s="305" t="s">
        <v>716</v>
      </c>
      <c r="C39" s="330">
        <v>105.7</v>
      </c>
      <c r="D39" s="330"/>
      <c r="E39" s="330"/>
      <c r="F39" s="817">
        <f>[1]дератизац.!I39</f>
        <v>0</v>
      </c>
      <c r="G39" s="644">
        <f t="shared" si="7"/>
        <v>105.7</v>
      </c>
      <c r="H39" s="404">
        <v>0</v>
      </c>
      <c r="I39" s="404"/>
      <c r="J39" s="404">
        <v>0</v>
      </c>
      <c r="K39" s="404">
        <f t="shared" si="8"/>
        <v>0</v>
      </c>
      <c r="L39" s="425">
        <f t="shared" si="3"/>
        <v>0</v>
      </c>
      <c r="M39" s="177">
        <f t="shared" si="2"/>
        <v>0</v>
      </c>
      <c r="N39" s="489">
        <f t="shared" si="4"/>
        <v>0</v>
      </c>
      <c r="O39" s="478">
        <v>0</v>
      </c>
      <c r="P39" s="177">
        <f t="shared" si="6"/>
        <v>0</v>
      </c>
      <c r="Q39" s="177"/>
      <c r="R39" s="431">
        <f t="shared" si="5"/>
        <v>0</v>
      </c>
      <c r="S39" s="771">
        <v>1</v>
      </c>
      <c r="T39" s="127"/>
      <c r="U39" s="127"/>
      <c r="V39" s="127"/>
      <c r="W39" s="127"/>
      <c r="X39" s="127"/>
      <c r="Y39" s="127"/>
    </row>
    <row r="40" spans="1:25" s="6" customFormat="1" ht="15.75">
      <c r="A40" s="469">
        <v>35</v>
      </c>
      <c r="B40" s="305" t="s">
        <v>717</v>
      </c>
      <c r="C40" s="330">
        <v>124.1</v>
      </c>
      <c r="D40" s="330"/>
      <c r="E40" s="330"/>
      <c r="F40" s="817">
        <f>[1]дератизац.!I40</f>
        <v>0</v>
      </c>
      <c r="G40" s="644">
        <f t="shared" si="7"/>
        <v>124.1</v>
      </c>
      <c r="H40" s="404">
        <v>0</v>
      </c>
      <c r="I40" s="404"/>
      <c r="J40" s="404">
        <v>0</v>
      </c>
      <c r="K40" s="404">
        <f t="shared" si="8"/>
        <v>0</v>
      </c>
      <c r="L40" s="425">
        <f t="shared" si="3"/>
        <v>0</v>
      </c>
      <c r="M40" s="177">
        <f t="shared" si="2"/>
        <v>0</v>
      </c>
      <c r="N40" s="489">
        <f t="shared" si="4"/>
        <v>0</v>
      </c>
      <c r="O40" s="478">
        <v>0</v>
      </c>
      <c r="P40" s="177">
        <f t="shared" si="6"/>
        <v>0</v>
      </c>
      <c r="Q40" s="177"/>
      <c r="R40" s="431">
        <f t="shared" si="5"/>
        <v>0</v>
      </c>
      <c r="S40" s="771">
        <v>5</v>
      </c>
      <c r="T40" s="127"/>
      <c r="U40" s="127"/>
      <c r="V40" s="127"/>
      <c r="W40" s="127"/>
      <c r="X40" s="127"/>
      <c r="Y40" s="127"/>
    </row>
    <row r="41" spans="1:25" s="6" customFormat="1" ht="15.75">
      <c r="A41" s="469">
        <v>36</v>
      </c>
      <c r="B41" s="305" t="s">
        <v>718</v>
      </c>
      <c r="C41" s="330">
        <v>2349.19</v>
      </c>
      <c r="D41" s="330"/>
      <c r="E41" s="330"/>
      <c r="F41" s="817">
        <f>[1]дератизац.!I41</f>
        <v>7.7548005908419501E-3</v>
      </c>
      <c r="G41" s="644">
        <f t="shared" si="7"/>
        <v>2349.19</v>
      </c>
      <c r="H41" s="404">
        <v>427.5</v>
      </c>
      <c r="I41" s="404"/>
      <c r="J41" s="404">
        <v>427.5</v>
      </c>
      <c r="K41" s="404">
        <f t="shared" si="8"/>
        <v>427.5</v>
      </c>
      <c r="L41" s="425">
        <f t="shared" si="3"/>
        <v>0.5089285714285714</v>
      </c>
      <c r="M41" s="177">
        <f t="shared" si="2"/>
        <v>1026.5140178571428</v>
      </c>
      <c r="N41" s="489">
        <f t="shared" si="4"/>
        <v>377.44920436607146</v>
      </c>
      <c r="O41" s="478">
        <v>277.57218749999993</v>
      </c>
      <c r="P41" s="177">
        <f t="shared" si="6"/>
        <v>25.385357142857142</v>
      </c>
      <c r="Q41" s="177"/>
      <c r="R41" s="431">
        <f t="shared" si="5"/>
        <v>0.72659970750176495</v>
      </c>
      <c r="S41" s="771">
        <v>5</v>
      </c>
      <c r="T41" s="127"/>
      <c r="U41" s="127"/>
      <c r="V41" s="127"/>
      <c r="W41" s="127"/>
      <c r="X41" s="127"/>
      <c r="Y41" s="127"/>
    </row>
    <row r="42" spans="1:25" s="6" customFormat="1" ht="15.75">
      <c r="A42" s="469">
        <v>37</v>
      </c>
      <c r="B42" s="305" t="s">
        <v>719</v>
      </c>
      <c r="C42" s="330">
        <v>3321.01</v>
      </c>
      <c r="D42" s="330"/>
      <c r="E42" s="330"/>
      <c r="F42" s="817">
        <f>[1]дератизац.!I42</f>
        <v>4.8742701768437913E-3</v>
      </c>
      <c r="G42" s="644">
        <f t="shared" si="7"/>
        <v>3321.01</v>
      </c>
      <c r="H42" s="404">
        <v>127</v>
      </c>
      <c r="I42" s="404"/>
      <c r="J42" s="404">
        <v>127.4</v>
      </c>
      <c r="K42" s="404">
        <f t="shared" si="8"/>
        <v>127</v>
      </c>
      <c r="L42" s="425">
        <f t="shared" si="3"/>
        <v>0.15119047619047618</v>
      </c>
      <c r="M42" s="177">
        <f t="shared" si="2"/>
        <v>304.95270238095236</v>
      </c>
      <c r="N42" s="489">
        <f t="shared" si="4"/>
        <v>112.13110866547619</v>
      </c>
      <c r="O42" s="478">
        <v>117.80005952380951</v>
      </c>
      <c r="P42" s="177">
        <f t="shared" si="6"/>
        <v>7.5413809523809521</v>
      </c>
      <c r="Q42" s="177"/>
      <c r="R42" s="431">
        <f t="shared" si="5"/>
        <v>0.16333141168578805</v>
      </c>
      <c r="S42" s="771">
        <v>9</v>
      </c>
      <c r="T42" s="127"/>
      <c r="U42" s="127"/>
      <c r="V42" s="127"/>
      <c r="W42" s="127"/>
      <c r="X42" s="127"/>
      <c r="Y42" s="127"/>
    </row>
    <row r="43" spans="1:25" s="6" customFormat="1" ht="15.75">
      <c r="A43" s="469">
        <v>38</v>
      </c>
      <c r="B43" s="305" t="s">
        <v>720</v>
      </c>
      <c r="C43" s="330">
        <v>3969.9</v>
      </c>
      <c r="D43" s="330"/>
      <c r="E43" s="330"/>
      <c r="F43" s="817">
        <f>[1]дератизац.!I43</f>
        <v>3.7751580644348726E-3</v>
      </c>
      <c r="G43" s="644">
        <f t="shared" si="7"/>
        <v>3969.9</v>
      </c>
      <c r="H43" s="404">
        <v>703.6</v>
      </c>
      <c r="I43" s="404"/>
      <c r="J43" s="404">
        <v>703.6</v>
      </c>
      <c r="K43" s="404">
        <f t="shared" si="8"/>
        <v>703.6</v>
      </c>
      <c r="L43" s="425">
        <f t="shared" si="3"/>
        <v>0.8376190476190476</v>
      </c>
      <c r="M43" s="177">
        <f t="shared" si="2"/>
        <v>1689.4859952380953</v>
      </c>
      <c r="N43" s="489">
        <f t="shared" si="4"/>
        <v>621.22400044904771</v>
      </c>
      <c r="O43" s="478">
        <v>652.63088095238095</v>
      </c>
      <c r="P43" s="177">
        <f t="shared" si="6"/>
        <v>41.780438095238097</v>
      </c>
      <c r="Q43" s="177"/>
      <c r="R43" s="431">
        <f t="shared" si="5"/>
        <v>0.7569765774288425</v>
      </c>
      <c r="S43" s="771">
        <v>10</v>
      </c>
      <c r="T43" s="127"/>
      <c r="U43" s="127"/>
      <c r="V43" s="127"/>
      <c r="W43" s="127"/>
      <c r="X43" s="127"/>
      <c r="Y43" s="127"/>
    </row>
    <row r="44" spans="1:25" s="6" customFormat="1" ht="15.75">
      <c r="A44" s="469">
        <v>39</v>
      </c>
      <c r="B44" s="305" t="s">
        <v>721</v>
      </c>
      <c r="C44" s="330">
        <v>6582.1</v>
      </c>
      <c r="D44" s="330"/>
      <c r="E44" s="330"/>
      <c r="F44" s="817">
        <f>[1]дератизац.!I44</f>
        <v>2.9277890035095187E-3</v>
      </c>
      <c r="G44" s="644">
        <f t="shared" si="7"/>
        <v>6582.1</v>
      </c>
      <c r="H44" s="404">
        <v>1195.75</v>
      </c>
      <c r="I44" s="404"/>
      <c r="J44" s="404">
        <v>1195.75</v>
      </c>
      <c r="K44" s="404">
        <f t="shared" si="8"/>
        <v>1195.75</v>
      </c>
      <c r="L44" s="425">
        <f t="shared" si="3"/>
        <v>1.4235119047619047</v>
      </c>
      <c r="M44" s="177">
        <f t="shared" si="2"/>
        <v>2871.2377470238093</v>
      </c>
      <c r="N44" s="489">
        <f t="shared" si="4"/>
        <v>1055.7541195806548</v>
      </c>
      <c r="O44" s="478">
        <v>887.30344047619042</v>
      </c>
      <c r="P44" s="177">
        <f t="shared" si="6"/>
        <v>71.004773809523812</v>
      </c>
      <c r="Q44" s="177"/>
      <c r="R44" s="431">
        <f t="shared" si="5"/>
        <v>0.74220994528952422</v>
      </c>
      <c r="S44" s="771">
        <v>10</v>
      </c>
      <c r="T44" s="127"/>
      <c r="U44" s="127"/>
      <c r="V44" s="127"/>
      <c r="W44" s="127"/>
      <c r="X44" s="127"/>
      <c r="Y44" s="127"/>
    </row>
    <row r="45" spans="1:25" s="6" customFormat="1" ht="15.75">
      <c r="A45" s="469">
        <v>40</v>
      </c>
      <c r="B45" s="305" t="s">
        <v>722</v>
      </c>
      <c r="C45" s="330">
        <v>8461.27</v>
      </c>
      <c r="D45" s="330">
        <v>287.3</v>
      </c>
      <c r="E45" s="330"/>
      <c r="F45" s="817">
        <f>[1]дератизац.!I45</f>
        <v>3.0196935041955429E-3</v>
      </c>
      <c r="G45" s="644">
        <f t="shared" si="7"/>
        <v>8748.57</v>
      </c>
      <c r="H45" s="404">
        <v>1388</v>
      </c>
      <c r="I45" s="404"/>
      <c r="J45" s="404">
        <v>1388.01</v>
      </c>
      <c r="K45" s="404">
        <f t="shared" si="8"/>
        <v>1388</v>
      </c>
      <c r="L45" s="425">
        <f t="shared" si="3"/>
        <v>1.6523809523809523</v>
      </c>
      <c r="M45" s="177">
        <f t="shared" si="2"/>
        <v>3332.8689047619046</v>
      </c>
      <c r="N45" s="489">
        <f t="shared" si="4"/>
        <v>1225.4958962809524</v>
      </c>
      <c r="O45" s="478">
        <v>1287.452619047619</v>
      </c>
      <c r="P45" s="177">
        <f t="shared" si="6"/>
        <v>82.420761904761903</v>
      </c>
      <c r="Q45" s="177"/>
      <c r="R45" s="431">
        <f t="shared" si="5"/>
        <v>0.70063219611184113</v>
      </c>
      <c r="S45" s="771">
        <v>9</v>
      </c>
      <c r="T45" s="127"/>
      <c r="U45" s="127"/>
      <c r="V45" s="127"/>
      <c r="W45" s="127"/>
      <c r="X45" s="127"/>
      <c r="Y45" s="127"/>
    </row>
    <row r="46" spans="1:25" s="6" customFormat="1" ht="15.75">
      <c r="A46" s="469">
        <v>41</v>
      </c>
      <c r="B46" s="305" t="s">
        <v>723</v>
      </c>
      <c r="C46" s="330">
        <v>3715.24</v>
      </c>
      <c r="D46" s="330"/>
      <c r="E46" s="330">
        <v>109.3</v>
      </c>
      <c r="F46" s="817">
        <f>[1]дератизац.!I46</f>
        <v>3.9351137653155675E-3</v>
      </c>
      <c r="G46" s="644">
        <f t="shared" si="7"/>
        <v>3824.54</v>
      </c>
      <c r="H46" s="404">
        <v>486.25</v>
      </c>
      <c r="I46" s="404"/>
      <c r="J46" s="404">
        <v>486.25</v>
      </c>
      <c r="K46" s="404">
        <f t="shared" si="8"/>
        <v>486.25</v>
      </c>
      <c r="L46" s="425">
        <f t="shared" si="3"/>
        <v>0.57886904761904767</v>
      </c>
      <c r="M46" s="177">
        <f t="shared" si="2"/>
        <v>1167.5846577380953</v>
      </c>
      <c r="N46" s="489">
        <f t="shared" si="4"/>
        <v>429.32087865029769</v>
      </c>
      <c r="O46" s="478">
        <v>451.02581845238097</v>
      </c>
      <c r="P46" s="177">
        <f t="shared" si="6"/>
        <v>28.873988095238101</v>
      </c>
      <c r="Q46" s="177"/>
      <c r="R46" s="431">
        <f t="shared" si="5"/>
        <v>0.55899628097673693</v>
      </c>
      <c r="S46" s="771">
        <v>2</v>
      </c>
      <c r="T46" s="127"/>
      <c r="U46" s="127"/>
      <c r="V46" s="127"/>
      <c r="W46" s="127"/>
      <c r="X46" s="127"/>
      <c r="Y46" s="127"/>
    </row>
    <row r="47" spans="1:25" s="6" customFormat="1" ht="15.75">
      <c r="A47" s="469">
        <v>42</v>
      </c>
      <c r="B47" s="305" t="s">
        <v>724</v>
      </c>
      <c r="C47" s="330">
        <v>355.8</v>
      </c>
      <c r="D47" s="330"/>
      <c r="E47" s="330"/>
      <c r="F47" s="817">
        <f>[1]дератизац.!I47</f>
        <v>0</v>
      </c>
      <c r="G47" s="644">
        <f t="shared" si="7"/>
        <v>355.8</v>
      </c>
      <c r="H47" s="404">
        <v>0</v>
      </c>
      <c r="I47" s="404"/>
      <c r="J47" s="404">
        <v>0</v>
      </c>
      <c r="K47" s="404">
        <f t="shared" si="8"/>
        <v>0</v>
      </c>
      <c r="L47" s="425">
        <f t="shared" si="3"/>
        <v>0</v>
      </c>
      <c r="M47" s="177">
        <f t="shared" si="2"/>
        <v>0</v>
      </c>
      <c r="N47" s="489">
        <f t="shared" si="4"/>
        <v>0</v>
      </c>
      <c r="O47" s="478">
        <v>0</v>
      </c>
      <c r="P47" s="177">
        <f t="shared" si="6"/>
        <v>0</v>
      </c>
      <c r="Q47" s="177"/>
      <c r="R47" s="431">
        <f t="shared" si="5"/>
        <v>0</v>
      </c>
      <c r="S47" s="771">
        <v>2</v>
      </c>
      <c r="T47" s="127"/>
      <c r="U47" s="127"/>
      <c r="V47" s="127"/>
      <c r="W47" s="127"/>
      <c r="X47" s="127"/>
      <c r="Y47" s="127"/>
    </row>
    <row r="48" spans="1:25" s="6" customFormat="1" ht="15.75">
      <c r="A48" s="469">
        <v>43</v>
      </c>
      <c r="B48" s="305" t="s">
        <v>725</v>
      </c>
      <c r="C48" s="330">
        <v>907.4</v>
      </c>
      <c r="D48" s="330"/>
      <c r="E48" s="330"/>
      <c r="F48" s="817">
        <f>[1]дератизац.!I48</f>
        <v>0</v>
      </c>
      <c r="G48" s="644">
        <f t="shared" si="7"/>
        <v>907.4</v>
      </c>
      <c r="H48" s="404">
        <v>0</v>
      </c>
      <c r="I48" s="404"/>
      <c r="J48" s="404">
        <v>0</v>
      </c>
      <c r="K48" s="404">
        <f t="shared" si="8"/>
        <v>0</v>
      </c>
      <c r="L48" s="425">
        <f t="shared" si="3"/>
        <v>0</v>
      </c>
      <c r="M48" s="177">
        <f t="shared" si="2"/>
        <v>0</v>
      </c>
      <c r="N48" s="489">
        <f t="shared" si="4"/>
        <v>0</v>
      </c>
      <c r="O48" s="478">
        <v>0</v>
      </c>
      <c r="P48" s="177">
        <f t="shared" si="6"/>
        <v>0</v>
      </c>
      <c r="Q48" s="177"/>
      <c r="R48" s="431">
        <f t="shared" si="5"/>
        <v>0</v>
      </c>
      <c r="S48" s="771">
        <v>5</v>
      </c>
      <c r="T48" s="127"/>
      <c r="U48" s="127"/>
      <c r="V48" s="127"/>
      <c r="W48" s="127"/>
      <c r="X48" s="127"/>
      <c r="Y48" s="127"/>
    </row>
    <row r="49" spans="1:25" s="6" customFormat="1" ht="15.75">
      <c r="A49" s="469">
        <v>44</v>
      </c>
      <c r="B49" s="305" t="s">
        <v>726</v>
      </c>
      <c r="C49" s="330">
        <v>2273.6</v>
      </c>
      <c r="D49" s="330"/>
      <c r="E49" s="330"/>
      <c r="F49" s="817">
        <f>[1]дератизац.!I49</f>
        <v>6.3746921182266025E-3</v>
      </c>
      <c r="G49" s="644">
        <f t="shared" si="7"/>
        <v>2273.6</v>
      </c>
      <c r="H49" s="404">
        <v>266.8</v>
      </c>
      <c r="I49" s="404"/>
      <c r="J49" s="404">
        <v>400.2</v>
      </c>
      <c r="K49" s="404">
        <f t="shared" si="8"/>
        <v>266.8</v>
      </c>
      <c r="L49" s="425">
        <f t="shared" si="3"/>
        <v>0.31761904761904763</v>
      </c>
      <c r="M49" s="177">
        <f t="shared" si="2"/>
        <v>640.64079523809528</v>
      </c>
      <c r="N49" s="489">
        <f t="shared" si="4"/>
        <v>235.56362040904764</v>
      </c>
      <c r="O49" s="478">
        <v>247.47288095238096</v>
      </c>
      <c r="P49" s="177">
        <f t="shared" si="6"/>
        <v>15.842838095238097</v>
      </c>
      <c r="Q49" s="177"/>
      <c r="R49" s="431">
        <f t="shared" si="5"/>
        <v>0.50119639984815356</v>
      </c>
      <c r="S49" s="771">
        <v>1</v>
      </c>
      <c r="T49" s="127"/>
      <c r="U49" s="127"/>
      <c r="V49" s="127"/>
      <c r="W49" s="127"/>
      <c r="X49" s="127"/>
      <c r="Y49" s="127"/>
    </row>
    <row r="50" spans="1:25" s="6" customFormat="1" ht="15.75">
      <c r="A50" s="469">
        <v>45</v>
      </c>
      <c r="B50" s="305" t="s">
        <v>727</v>
      </c>
      <c r="C50" s="330">
        <v>154.1</v>
      </c>
      <c r="D50" s="330"/>
      <c r="E50" s="330"/>
      <c r="F50" s="817">
        <f>[1]дератизац.!I50</f>
        <v>0</v>
      </c>
      <c r="G50" s="644">
        <f t="shared" si="7"/>
        <v>154.1</v>
      </c>
      <c r="H50" s="404">
        <v>0</v>
      </c>
      <c r="I50" s="404"/>
      <c r="J50" s="404">
        <v>0</v>
      </c>
      <c r="K50" s="404">
        <f t="shared" si="8"/>
        <v>0</v>
      </c>
      <c r="L50" s="425">
        <f t="shared" si="3"/>
        <v>0</v>
      </c>
      <c r="M50" s="177">
        <f t="shared" si="2"/>
        <v>0</v>
      </c>
      <c r="N50" s="489">
        <f t="shared" si="4"/>
        <v>0</v>
      </c>
      <c r="O50" s="478">
        <v>0</v>
      </c>
      <c r="P50" s="177">
        <f t="shared" si="6"/>
        <v>0</v>
      </c>
      <c r="Q50" s="177"/>
      <c r="R50" s="431">
        <f t="shared" si="5"/>
        <v>0</v>
      </c>
      <c r="S50" s="771">
        <v>1</v>
      </c>
      <c r="T50" s="127"/>
      <c r="U50" s="127"/>
      <c r="V50" s="127"/>
      <c r="W50" s="127"/>
      <c r="X50" s="127"/>
      <c r="Y50" s="127"/>
    </row>
    <row r="51" spans="1:25" s="6" customFormat="1" ht="15.75">
      <c r="A51" s="469">
        <v>46</v>
      </c>
      <c r="B51" s="305" t="s">
        <v>728</v>
      </c>
      <c r="C51" s="330">
        <v>93.9</v>
      </c>
      <c r="D51" s="330"/>
      <c r="E51" s="330"/>
      <c r="F51" s="817">
        <f>[1]дератизац.!I51</f>
        <v>0</v>
      </c>
      <c r="G51" s="644">
        <f t="shared" si="7"/>
        <v>93.9</v>
      </c>
      <c r="H51" s="404">
        <v>0</v>
      </c>
      <c r="I51" s="404"/>
      <c r="J51" s="404">
        <v>0</v>
      </c>
      <c r="K51" s="404">
        <f t="shared" si="8"/>
        <v>0</v>
      </c>
      <c r="L51" s="425">
        <f t="shared" si="3"/>
        <v>0</v>
      </c>
      <c r="M51" s="177">
        <f t="shared" si="2"/>
        <v>0</v>
      </c>
      <c r="N51" s="489">
        <f t="shared" si="4"/>
        <v>0</v>
      </c>
      <c r="O51" s="478">
        <v>0</v>
      </c>
      <c r="P51" s="177">
        <f t="shared" si="6"/>
        <v>0</v>
      </c>
      <c r="Q51" s="177"/>
      <c r="R51" s="431">
        <f t="shared" si="5"/>
        <v>0</v>
      </c>
      <c r="S51" s="771">
        <v>2</v>
      </c>
      <c r="T51" s="127"/>
      <c r="U51" s="127"/>
      <c r="V51" s="127"/>
      <c r="W51" s="127"/>
      <c r="X51" s="127"/>
      <c r="Y51" s="127"/>
    </row>
    <row r="52" spans="1:25" s="6" customFormat="1" ht="15.75">
      <c r="A52" s="469">
        <v>47</v>
      </c>
      <c r="B52" s="305" t="s">
        <v>729</v>
      </c>
      <c r="C52" s="330">
        <v>296.10000000000002</v>
      </c>
      <c r="D52" s="330"/>
      <c r="E52" s="330"/>
      <c r="F52" s="817">
        <f>[1]дератизац.!I52</f>
        <v>0</v>
      </c>
      <c r="G52" s="644">
        <f t="shared" si="7"/>
        <v>296.10000000000002</v>
      </c>
      <c r="H52" s="404">
        <v>0</v>
      </c>
      <c r="I52" s="404"/>
      <c r="J52" s="404">
        <v>0</v>
      </c>
      <c r="K52" s="404">
        <f t="shared" si="8"/>
        <v>0</v>
      </c>
      <c r="L52" s="425">
        <f t="shared" si="3"/>
        <v>0</v>
      </c>
      <c r="M52" s="177">
        <f t="shared" si="2"/>
        <v>0</v>
      </c>
      <c r="N52" s="489">
        <f t="shared" si="4"/>
        <v>0</v>
      </c>
      <c r="O52" s="478">
        <v>0</v>
      </c>
      <c r="P52" s="177">
        <f t="shared" si="6"/>
        <v>0</v>
      </c>
      <c r="Q52" s="177"/>
      <c r="R52" s="431">
        <f t="shared" si="5"/>
        <v>0</v>
      </c>
      <c r="S52" s="771">
        <v>9</v>
      </c>
      <c r="T52" s="127"/>
      <c r="U52" s="127"/>
      <c r="V52" s="127"/>
      <c r="W52" s="127"/>
      <c r="X52" s="127"/>
      <c r="Y52" s="127"/>
    </row>
    <row r="53" spans="1:25" s="6" customFormat="1" ht="15.75">
      <c r="A53" s="469">
        <v>48</v>
      </c>
      <c r="B53" s="305" t="s">
        <v>647</v>
      </c>
      <c r="C53" s="330">
        <v>4177.21</v>
      </c>
      <c r="D53" s="330">
        <v>6.6</v>
      </c>
      <c r="E53" s="330"/>
      <c r="F53" s="817">
        <f>[1]дератизац.!I53</f>
        <v>4.5408371795086291E-3</v>
      </c>
      <c r="G53" s="644">
        <f t="shared" si="7"/>
        <v>4183.8100000000004</v>
      </c>
      <c r="H53" s="404">
        <v>366.09</v>
      </c>
      <c r="I53" s="404"/>
      <c r="J53" s="404">
        <v>366.1</v>
      </c>
      <c r="K53" s="404">
        <f t="shared" si="8"/>
        <v>366.09</v>
      </c>
      <c r="L53" s="425">
        <f t="shared" si="3"/>
        <v>0.43582142857142853</v>
      </c>
      <c r="M53" s="177">
        <f t="shared" si="2"/>
        <v>879.05617964285705</v>
      </c>
      <c r="N53" s="489">
        <f t="shared" si="4"/>
        <v>323.22895725467856</v>
      </c>
      <c r="O53" s="478">
        <v>339.57026607142853</v>
      </c>
      <c r="P53" s="177">
        <f t="shared" si="6"/>
        <v>21.738772857142855</v>
      </c>
      <c r="Q53" s="177"/>
      <c r="R53" s="431">
        <f t="shared" si="5"/>
        <v>0.37431543442300169</v>
      </c>
      <c r="S53" s="771">
        <v>9</v>
      </c>
      <c r="T53" s="127"/>
      <c r="U53" s="127"/>
      <c r="V53" s="127"/>
      <c r="W53" s="127"/>
      <c r="X53" s="127"/>
      <c r="Y53" s="127"/>
    </row>
    <row r="54" spans="1:25" s="6" customFormat="1" ht="15.75">
      <c r="A54" s="469">
        <v>49</v>
      </c>
      <c r="B54" s="305" t="s">
        <v>648</v>
      </c>
      <c r="C54" s="330">
        <v>4140.68</v>
      </c>
      <c r="D54" s="330"/>
      <c r="E54" s="330"/>
      <c r="F54" s="817">
        <f>[1]дератизац.!I54</f>
        <v>4.6963300713892403E-3</v>
      </c>
      <c r="G54" s="644">
        <f t="shared" si="7"/>
        <v>4140.68</v>
      </c>
      <c r="H54" s="404">
        <v>537.1</v>
      </c>
      <c r="I54" s="404"/>
      <c r="J54" s="404">
        <v>370.2</v>
      </c>
      <c r="K54" s="404">
        <v>370.2</v>
      </c>
      <c r="L54" s="425">
        <f t="shared" si="3"/>
        <v>0.63940476190476192</v>
      </c>
      <c r="M54" s="177">
        <f t="shared" si="2"/>
        <v>1289.6857988095239</v>
      </c>
      <c r="N54" s="489">
        <f t="shared" si="4"/>
        <v>474.21746822226197</v>
      </c>
      <c r="O54" s="478">
        <v>398.55377619047619</v>
      </c>
      <c r="P54" s="177">
        <f t="shared" si="6"/>
        <v>31.893509523809527</v>
      </c>
      <c r="Q54" s="177"/>
      <c r="R54" s="431">
        <f t="shared" si="5"/>
        <v>0.52994932058166089</v>
      </c>
      <c r="S54" s="771">
        <v>9</v>
      </c>
      <c r="T54" s="127"/>
      <c r="U54" s="127"/>
      <c r="V54" s="127"/>
      <c r="W54" s="127"/>
      <c r="X54" s="127"/>
      <c r="Y54" s="127"/>
    </row>
    <row r="55" spans="1:25" s="6" customFormat="1" ht="15.75">
      <c r="A55" s="469">
        <v>50</v>
      </c>
      <c r="B55" s="305" t="s">
        <v>1354</v>
      </c>
      <c r="C55" s="818">
        <v>7831.81</v>
      </c>
      <c r="D55" s="330"/>
      <c r="E55" s="330"/>
      <c r="F55" s="817">
        <f>[1]дератизац.!I55</f>
        <v>3.1184362235549636E-3</v>
      </c>
      <c r="G55" s="644">
        <f t="shared" si="7"/>
        <v>7831.81</v>
      </c>
      <c r="H55" s="404">
        <v>838.6</v>
      </c>
      <c r="I55" s="404"/>
      <c r="J55" s="404"/>
      <c r="K55" s="404">
        <f>H55+I55</f>
        <v>838.6</v>
      </c>
      <c r="L55" s="425">
        <f t="shared" si="3"/>
        <v>0.99833333333333341</v>
      </c>
      <c r="M55" s="177">
        <f t="shared" si="2"/>
        <v>2013.6483166666669</v>
      </c>
      <c r="N55" s="489">
        <f t="shared" si="4"/>
        <v>740.41848603833353</v>
      </c>
      <c r="O55" s="478">
        <v>777.85141666666675</v>
      </c>
      <c r="P55" s="177">
        <f t="shared" si="6"/>
        <v>49.796866666666673</v>
      </c>
      <c r="Q55" s="177"/>
      <c r="R55" s="431">
        <f t="shared" si="5"/>
        <v>0.45732915967551996</v>
      </c>
      <c r="S55" s="771">
        <v>2</v>
      </c>
      <c r="T55" s="127"/>
      <c r="U55" s="127"/>
      <c r="V55" s="127"/>
      <c r="W55" s="127"/>
      <c r="X55" s="127"/>
      <c r="Y55" s="127"/>
    </row>
    <row r="56" spans="1:25" s="6" customFormat="1" ht="15.75">
      <c r="A56" s="469">
        <v>51</v>
      </c>
      <c r="B56" s="305" t="s">
        <v>1374</v>
      </c>
      <c r="C56" s="818">
        <v>996.1</v>
      </c>
      <c r="D56" s="330"/>
      <c r="E56" s="330"/>
      <c r="F56" s="817">
        <f>[1]дератизац.!I56</f>
        <v>0</v>
      </c>
      <c r="G56" s="644">
        <f t="shared" si="7"/>
        <v>996.1</v>
      </c>
      <c r="H56" s="404"/>
      <c r="I56" s="404"/>
      <c r="J56" s="404"/>
      <c r="K56" s="404"/>
      <c r="L56" s="425">
        <f t="shared" si="3"/>
        <v>0</v>
      </c>
      <c r="M56" s="177">
        <f t="shared" si="2"/>
        <v>0</v>
      </c>
      <c r="N56" s="489">
        <f t="shared" si="4"/>
        <v>0</v>
      </c>
      <c r="O56" s="426">
        <v>0</v>
      </c>
      <c r="P56" s="177">
        <f t="shared" si="6"/>
        <v>0</v>
      </c>
      <c r="Q56" s="177"/>
      <c r="R56" s="431">
        <f t="shared" si="5"/>
        <v>0</v>
      </c>
      <c r="S56" s="771">
        <v>4</v>
      </c>
      <c r="T56" s="127"/>
      <c r="U56" s="127"/>
      <c r="V56" s="127"/>
      <c r="W56" s="127"/>
      <c r="X56" s="127"/>
      <c r="Y56" s="127"/>
    </row>
    <row r="57" spans="1:25" s="6" customFormat="1" ht="15.75">
      <c r="A57" s="469">
        <v>52</v>
      </c>
      <c r="B57" s="305" t="s">
        <v>1376</v>
      </c>
      <c r="C57" s="818">
        <v>533.79999999999995</v>
      </c>
      <c r="D57" s="330"/>
      <c r="E57" s="330"/>
      <c r="F57" s="817">
        <f>[1]дератизац.!I57</f>
        <v>0</v>
      </c>
      <c r="G57" s="644">
        <f t="shared" si="7"/>
        <v>533.79999999999995</v>
      </c>
      <c r="H57" s="404">
        <v>56.3</v>
      </c>
      <c r="I57" s="404"/>
      <c r="J57" s="404"/>
      <c r="K57" s="404">
        <v>56.3</v>
      </c>
      <c r="L57" s="425">
        <f t="shared" si="3"/>
        <v>6.7023809523809527E-2</v>
      </c>
      <c r="M57" s="177">
        <f t="shared" si="2"/>
        <v>135.18769404761906</v>
      </c>
      <c r="N57" s="489">
        <f t="shared" si="4"/>
        <v>49.70851510130953</v>
      </c>
      <c r="O57" s="426">
        <v>52.221601190476193</v>
      </c>
      <c r="P57" s="177">
        <f t="shared" si="6"/>
        <v>3.3431476190476195</v>
      </c>
      <c r="Q57" s="177"/>
      <c r="R57" s="431">
        <f t="shared" si="5"/>
        <v>0.45047013480414466</v>
      </c>
      <c r="S57" s="771">
        <v>2</v>
      </c>
      <c r="T57" s="127"/>
      <c r="U57" s="127"/>
      <c r="V57" s="127"/>
      <c r="W57" s="127"/>
      <c r="X57" s="127"/>
      <c r="Y57" s="127"/>
    </row>
    <row r="58" spans="1:25" s="6" customFormat="1" ht="15.75">
      <c r="A58" s="469">
        <v>53</v>
      </c>
      <c r="B58" s="305" t="s">
        <v>1375</v>
      </c>
      <c r="C58" s="818">
        <v>987.3</v>
      </c>
      <c r="D58" s="330"/>
      <c r="E58" s="330"/>
      <c r="F58" s="817">
        <f>[1]дератизац.!I58</f>
        <v>0</v>
      </c>
      <c r="G58" s="644">
        <f t="shared" si="7"/>
        <v>987.3</v>
      </c>
      <c r="H58" s="404"/>
      <c r="I58" s="404"/>
      <c r="J58" s="404"/>
      <c r="K58" s="404"/>
      <c r="L58" s="425">
        <f t="shared" si="3"/>
        <v>0</v>
      </c>
      <c r="M58" s="177">
        <f t="shared" si="2"/>
        <v>0</v>
      </c>
      <c r="N58" s="489">
        <f t="shared" si="4"/>
        <v>0</v>
      </c>
      <c r="O58" s="426">
        <v>0</v>
      </c>
      <c r="P58" s="177">
        <f t="shared" si="6"/>
        <v>0</v>
      </c>
      <c r="Q58" s="177"/>
      <c r="R58" s="431">
        <f t="shared" si="5"/>
        <v>0</v>
      </c>
      <c r="S58" s="771">
        <v>2</v>
      </c>
      <c r="T58" s="127"/>
      <c r="U58" s="127"/>
      <c r="V58" s="127"/>
      <c r="W58" s="127"/>
      <c r="X58" s="127"/>
      <c r="Y58" s="127"/>
    </row>
    <row r="59" spans="1:25" s="6" customFormat="1" ht="15.75">
      <c r="A59" s="469">
        <v>54</v>
      </c>
      <c r="B59" s="305" t="s">
        <v>1377</v>
      </c>
      <c r="C59" s="818">
        <v>442.6</v>
      </c>
      <c r="D59" s="330"/>
      <c r="E59" s="330"/>
      <c r="F59" s="817">
        <f>[1]дератизац.!I59</f>
        <v>0</v>
      </c>
      <c r="G59" s="644">
        <f t="shared" si="7"/>
        <v>442.6</v>
      </c>
      <c r="H59" s="404"/>
      <c r="I59" s="404"/>
      <c r="J59" s="404"/>
      <c r="K59" s="404"/>
      <c r="L59" s="425">
        <f t="shared" si="3"/>
        <v>0</v>
      </c>
      <c r="M59" s="177">
        <f t="shared" si="2"/>
        <v>0</v>
      </c>
      <c r="N59" s="489">
        <f t="shared" si="4"/>
        <v>0</v>
      </c>
      <c r="O59" s="426">
        <v>0</v>
      </c>
      <c r="P59" s="177">
        <f t="shared" si="6"/>
        <v>0</v>
      </c>
      <c r="Q59" s="177"/>
      <c r="R59" s="431">
        <f t="shared" si="5"/>
        <v>0</v>
      </c>
      <c r="S59" s="771">
        <v>9</v>
      </c>
      <c r="T59" s="127"/>
      <c r="U59" s="127"/>
      <c r="V59" s="127"/>
      <c r="W59" s="127"/>
      <c r="X59" s="127"/>
      <c r="Y59" s="127"/>
    </row>
    <row r="60" spans="1:25" s="6" customFormat="1" ht="15.75">
      <c r="A60" s="469">
        <v>55</v>
      </c>
      <c r="B60" s="305" t="s">
        <v>1407</v>
      </c>
      <c r="C60" s="404">
        <v>7013.2</v>
      </c>
      <c r="D60" s="404"/>
      <c r="E60" s="404"/>
      <c r="F60" s="404">
        <f t="shared" ref="F60:F66" si="9">C60</f>
        <v>7013.2</v>
      </c>
      <c r="G60" s="644">
        <f t="shared" ref="G60:G66" si="10">C60+D60+E60</f>
        <v>7013.2</v>
      </c>
      <c r="H60" s="404">
        <v>863.3</v>
      </c>
      <c r="I60" s="404"/>
      <c r="J60" s="404">
        <f>H60</f>
        <v>863.3</v>
      </c>
      <c r="K60" s="404">
        <f>H60+I60</f>
        <v>863.3</v>
      </c>
      <c r="L60" s="425">
        <v>1.0277380952380952</v>
      </c>
      <c r="M60" s="177">
        <f t="shared" si="2"/>
        <v>2072.9580154761907</v>
      </c>
      <c r="N60" s="489">
        <f>M60*0.3677</f>
        <v>762.22666229059541</v>
      </c>
      <c r="O60" s="478">
        <v>800.76213690476186</v>
      </c>
      <c r="P60" s="177">
        <f t="shared" si="6"/>
        <v>51.263576190476194</v>
      </c>
      <c r="Q60" s="177"/>
      <c r="R60" s="431">
        <f t="shared" si="5"/>
        <v>0.52575292175640564</v>
      </c>
      <c r="S60" s="771">
        <v>9</v>
      </c>
      <c r="T60" s="127"/>
      <c r="U60" s="127"/>
      <c r="V60" s="127"/>
      <c r="W60" s="127"/>
      <c r="X60" s="127"/>
      <c r="Y60" s="127"/>
    </row>
    <row r="61" spans="1:25" s="6" customFormat="1" ht="15.75">
      <c r="A61" s="469">
        <v>56</v>
      </c>
      <c r="B61" s="305" t="s">
        <v>1390</v>
      </c>
      <c r="C61" s="404">
        <v>8402.66</v>
      </c>
      <c r="D61" s="404"/>
      <c r="E61" s="404"/>
      <c r="F61" s="404">
        <f t="shared" si="9"/>
        <v>8402.66</v>
      </c>
      <c r="G61" s="644">
        <f t="shared" si="10"/>
        <v>8402.66</v>
      </c>
      <c r="H61" s="404">
        <v>1036.8</v>
      </c>
      <c r="I61" s="404"/>
      <c r="J61" s="404"/>
      <c r="K61" s="404">
        <v>1036.8</v>
      </c>
      <c r="L61" s="425">
        <f t="shared" si="3"/>
        <v>1.2342857142857142</v>
      </c>
      <c r="M61" s="177">
        <f t="shared" si="2"/>
        <v>2489.5666285714283</v>
      </c>
      <c r="N61" s="489">
        <f t="shared" ref="N61:N67" si="11">M61*0.3677</f>
        <v>915.41364932571423</v>
      </c>
      <c r="O61" s="478">
        <v>961.69371428571424</v>
      </c>
      <c r="P61" s="177">
        <f t="shared" si="6"/>
        <v>61.56617142857143</v>
      </c>
      <c r="Q61" s="177"/>
      <c r="R61" s="431">
        <f t="shared" si="5"/>
        <v>0.52700456327061052</v>
      </c>
      <c r="S61" s="771">
        <v>9</v>
      </c>
      <c r="T61" s="127"/>
      <c r="U61" s="127"/>
      <c r="V61" s="127"/>
      <c r="W61" s="127"/>
      <c r="X61" s="127"/>
      <c r="Y61" s="127"/>
    </row>
    <row r="62" spans="1:25" s="6" customFormat="1" ht="15.75">
      <c r="A62" s="469">
        <v>57</v>
      </c>
      <c r="B62" s="305" t="s">
        <v>1386</v>
      </c>
      <c r="C62" s="404">
        <v>2601.63</v>
      </c>
      <c r="D62" s="404"/>
      <c r="E62" s="404"/>
      <c r="F62" s="404">
        <f t="shared" si="9"/>
        <v>2601.63</v>
      </c>
      <c r="G62" s="644">
        <f t="shared" si="10"/>
        <v>2601.63</v>
      </c>
      <c r="H62" s="404">
        <v>216</v>
      </c>
      <c r="I62" s="404"/>
      <c r="J62" s="404"/>
      <c r="K62" s="404">
        <v>216</v>
      </c>
      <c r="L62" s="425">
        <f t="shared" si="3"/>
        <v>0.25714285714285712</v>
      </c>
      <c r="M62" s="177">
        <f t="shared" si="2"/>
        <v>518.65971428571424</v>
      </c>
      <c r="N62" s="489">
        <f t="shared" si="11"/>
        <v>190.71117694285715</v>
      </c>
      <c r="O62" s="478">
        <v>200.35285714285712</v>
      </c>
      <c r="P62" s="177">
        <f t="shared" si="6"/>
        <v>12.826285714285714</v>
      </c>
      <c r="Q62" s="177"/>
      <c r="R62" s="431">
        <f t="shared" si="5"/>
        <v>0.35460462636336232</v>
      </c>
      <c r="S62" s="771">
        <v>9</v>
      </c>
      <c r="T62" s="127"/>
      <c r="U62" s="127"/>
      <c r="V62" s="127"/>
      <c r="W62" s="127"/>
      <c r="X62" s="127"/>
      <c r="Y62" s="127"/>
    </row>
    <row r="63" spans="1:25" s="6" customFormat="1" ht="15.75">
      <c r="A63" s="469">
        <v>58</v>
      </c>
      <c r="B63" s="305" t="s">
        <v>1385</v>
      </c>
      <c r="C63" s="404">
        <v>2594.2600000000002</v>
      </c>
      <c r="D63" s="404"/>
      <c r="E63" s="404"/>
      <c r="F63" s="404">
        <f t="shared" si="9"/>
        <v>2594.2600000000002</v>
      </c>
      <c r="G63" s="644">
        <f t="shared" si="10"/>
        <v>2594.2600000000002</v>
      </c>
      <c r="H63" s="404">
        <v>216</v>
      </c>
      <c r="I63" s="404"/>
      <c r="J63" s="404"/>
      <c r="K63" s="404">
        <v>216</v>
      </c>
      <c r="L63" s="425">
        <f t="shared" si="3"/>
        <v>0.25714285714285712</v>
      </c>
      <c r="M63" s="177">
        <f t="shared" si="2"/>
        <v>518.65971428571424</v>
      </c>
      <c r="N63" s="489">
        <f t="shared" si="11"/>
        <v>190.71117694285715</v>
      </c>
      <c r="O63" s="478">
        <v>200.35285714285712</v>
      </c>
      <c r="P63" s="177">
        <f t="shared" si="6"/>
        <v>12.826285714285714</v>
      </c>
      <c r="Q63" s="177"/>
      <c r="R63" s="431">
        <f t="shared" si="5"/>
        <v>0.35561201810370363</v>
      </c>
      <c r="S63" s="771">
        <v>9</v>
      </c>
      <c r="T63" s="127"/>
      <c r="U63" s="127"/>
      <c r="V63" s="127"/>
      <c r="W63" s="127"/>
      <c r="X63" s="127"/>
      <c r="Y63" s="127"/>
    </row>
    <row r="64" spans="1:25" s="6" customFormat="1" ht="15.75">
      <c r="A64" s="469">
        <v>59</v>
      </c>
      <c r="B64" s="305" t="s">
        <v>1388</v>
      </c>
      <c r="C64" s="404">
        <v>2653.52</v>
      </c>
      <c r="D64" s="404"/>
      <c r="E64" s="404"/>
      <c r="F64" s="404">
        <f t="shared" si="9"/>
        <v>2653.52</v>
      </c>
      <c r="G64" s="644">
        <f t="shared" si="10"/>
        <v>2653.52</v>
      </c>
      <c r="H64" s="404">
        <v>313</v>
      </c>
      <c r="I64" s="404"/>
      <c r="J64" s="404"/>
      <c r="K64" s="404">
        <v>313</v>
      </c>
      <c r="L64" s="425">
        <f t="shared" si="3"/>
        <v>0.37261904761904763</v>
      </c>
      <c r="M64" s="177">
        <f t="shared" si="2"/>
        <v>751.5763452380952</v>
      </c>
      <c r="N64" s="489">
        <f t="shared" si="11"/>
        <v>276.35462214404765</v>
      </c>
      <c r="O64" s="478">
        <v>290.32613095238094</v>
      </c>
      <c r="P64" s="177">
        <f t="shared" si="6"/>
        <v>18.586238095238098</v>
      </c>
      <c r="Q64" s="177"/>
      <c r="R64" s="431">
        <f t="shared" si="5"/>
        <v>0.50379998508764279</v>
      </c>
      <c r="S64" s="771">
        <v>5</v>
      </c>
      <c r="T64" s="127"/>
      <c r="U64" s="127"/>
      <c r="V64" s="127"/>
      <c r="W64" s="127"/>
      <c r="X64" s="127"/>
      <c r="Y64" s="127"/>
    </row>
    <row r="65" spans="1:25" s="6" customFormat="1" ht="15.75">
      <c r="A65" s="469">
        <v>60</v>
      </c>
      <c r="B65" s="305" t="s">
        <v>1389</v>
      </c>
      <c r="C65" s="404">
        <v>2150.9</v>
      </c>
      <c r="D65" s="404"/>
      <c r="E65" s="404"/>
      <c r="F65" s="404">
        <f t="shared" si="9"/>
        <v>2150.9</v>
      </c>
      <c r="G65" s="644">
        <f t="shared" si="10"/>
        <v>2150.9</v>
      </c>
      <c r="H65" s="404">
        <v>286.3</v>
      </c>
      <c r="I65" s="404"/>
      <c r="J65" s="404"/>
      <c r="K65" s="404">
        <v>286.3</v>
      </c>
      <c r="L65" s="425">
        <f t="shared" si="3"/>
        <v>0.34083333333333332</v>
      </c>
      <c r="M65" s="177">
        <f t="shared" si="2"/>
        <v>687.46424166666668</v>
      </c>
      <c r="N65" s="489">
        <f t="shared" si="11"/>
        <v>252.78060166083336</v>
      </c>
      <c r="O65" s="478">
        <v>265.56029166666667</v>
      </c>
      <c r="P65" s="177">
        <f t="shared" si="6"/>
        <v>17.000766666666667</v>
      </c>
      <c r="Q65" s="177"/>
      <c r="R65" s="431">
        <f t="shared" si="5"/>
        <v>0.56850895051412587</v>
      </c>
      <c r="S65" s="771">
        <v>5</v>
      </c>
      <c r="T65" s="127"/>
      <c r="U65" s="127"/>
      <c r="V65" s="127"/>
      <c r="W65" s="127"/>
      <c r="X65" s="127"/>
      <c r="Y65" s="127"/>
    </row>
    <row r="66" spans="1:25" s="6" customFormat="1" ht="15" customHeight="1">
      <c r="A66" s="469">
        <v>61</v>
      </c>
      <c r="B66" s="305" t="s">
        <v>1397</v>
      </c>
      <c r="C66" s="404">
        <v>3353.7</v>
      </c>
      <c r="D66" s="404"/>
      <c r="E66" s="404"/>
      <c r="F66" s="404">
        <f t="shared" si="9"/>
        <v>3353.7</v>
      </c>
      <c r="G66" s="644">
        <f t="shared" si="10"/>
        <v>3353.7</v>
      </c>
      <c r="H66" s="404">
        <v>132.9</v>
      </c>
      <c r="I66" s="404"/>
      <c r="J66" s="404">
        <f>H66</f>
        <v>132.9</v>
      </c>
      <c r="K66" s="404">
        <v>286.3</v>
      </c>
      <c r="L66" s="425">
        <f t="shared" si="3"/>
        <v>0.15821428571428572</v>
      </c>
      <c r="M66" s="177">
        <f t="shared" si="2"/>
        <v>319.11979642857142</v>
      </c>
      <c r="N66" s="489">
        <f t="shared" si="11"/>
        <v>117.34034914678573</v>
      </c>
      <c r="O66" s="478">
        <v>123.27266071428572</v>
      </c>
      <c r="P66" s="177">
        <f t="shared" si="6"/>
        <v>7.8917285714285725</v>
      </c>
      <c r="Q66" s="177"/>
      <c r="R66" s="431">
        <f t="shared" si="5"/>
        <v>0.1692532232641773</v>
      </c>
      <c r="S66" s="771">
        <v>5</v>
      </c>
      <c r="T66" s="127"/>
      <c r="U66" s="127"/>
      <c r="V66" s="127"/>
      <c r="W66" s="127"/>
      <c r="X66" s="127"/>
      <c r="Y66" s="127"/>
    </row>
    <row r="67" spans="1:25" s="8" customFormat="1" ht="15" customHeight="1" thickBot="1">
      <c r="A67" s="490"/>
      <c r="B67" s="491" t="s">
        <v>749</v>
      </c>
      <c r="C67" s="492">
        <f t="shared" ref="C67:I67" si="12">SUM(C6:C66)</f>
        <v>249781.08</v>
      </c>
      <c r="D67" s="492">
        <f t="shared" si="12"/>
        <v>1319.2</v>
      </c>
      <c r="E67" s="492">
        <f t="shared" si="12"/>
        <v>1116.55</v>
      </c>
      <c r="F67" s="492">
        <f t="shared" si="12"/>
        <v>28770.028302058759</v>
      </c>
      <c r="G67" s="645">
        <f t="shared" si="12"/>
        <v>252216.83000000002</v>
      </c>
      <c r="H67" s="492">
        <f t="shared" si="12"/>
        <v>30566.679999999989</v>
      </c>
      <c r="I67" s="492">
        <f t="shared" si="12"/>
        <v>0</v>
      </c>
      <c r="J67" s="492" t="e">
        <f>SUM(#REF!)</f>
        <v>#REF!</v>
      </c>
      <c r="K67" s="492">
        <f>H67+I67</f>
        <v>30566.679999999989</v>
      </c>
      <c r="L67" s="493">
        <f>(H67/840)+(I67/756)</f>
        <v>36.388904761904747</v>
      </c>
      <c r="M67" s="177">
        <f>L67*2017.01</f>
        <v>73396.784793809493</v>
      </c>
      <c r="N67" s="489">
        <f t="shared" si="11"/>
        <v>26987.997768683752</v>
      </c>
      <c r="O67" s="479">
        <f>SUM(O6:O66)</f>
        <v>27447.033569642856</v>
      </c>
      <c r="P67" s="177">
        <f t="shared" si="6"/>
        <v>1815.0785695238089</v>
      </c>
      <c r="Q67" s="177"/>
      <c r="R67" s="431">
        <f t="shared" si="5"/>
        <v>0.51904209358715203</v>
      </c>
      <c r="S67" s="468"/>
      <c r="T67" s="55"/>
      <c r="U67" s="55"/>
      <c r="V67" s="55"/>
      <c r="W67" s="55"/>
      <c r="X67" s="55"/>
      <c r="Y67" s="55"/>
    </row>
    <row r="68" spans="1:25" s="209" customFormat="1" ht="21.75" customHeight="1" thickBot="1">
      <c r="A68" s="785" t="s">
        <v>984</v>
      </c>
      <c r="B68" s="786"/>
      <c r="C68" s="786"/>
      <c r="D68" s="786"/>
      <c r="E68" s="786"/>
      <c r="F68" s="786"/>
      <c r="G68" s="786"/>
      <c r="H68" s="786"/>
      <c r="I68" s="786"/>
      <c r="J68" s="786"/>
      <c r="K68" s="786"/>
      <c r="L68" s="786"/>
      <c r="M68" s="177">
        <f>L68*2077.52</f>
        <v>0</v>
      </c>
      <c r="N68" s="503"/>
      <c r="O68" s="498"/>
      <c r="P68" s="504">
        <f t="shared" si="6"/>
        <v>0</v>
      </c>
      <c r="Q68" s="504"/>
      <c r="R68" s="431" t="e">
        <f t="shared" si="5"/>
        <v>#DIV/0!</v>
      </c>
      <c r="S68" s="502"/>
      <c r="T68" s="212"/>
      <c r="U68" s="212"/>
      <c r="V68" s="212"/>
      <c r="W68" s="212"/>
      <c r="X68" s="212"/>
      <c r="Y68" s="212"/>
    </row>
    <row r="69" spans="1:25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8">
        <v>6330</v>
      </c>
      <c r="G69" s="644">
        <f t="shared" ref="G69:G87" si="13">C69+D69+E69</f>
        <v>6328.85</v>
      </c>
      <c r="H69" s="339">
        <v>855.7</v>
      </c>
      <c r="I69" s="404"/>
      <c r="J69" s="250">
        <v>855.7</v>
      </c>
      <c r="K69" s="494">
        <f t="shared" ref="K69:K87" si="14">H69+I69</f>
        <v>855.7</v>
      </c>
      <c r="L69" s="593">
        <f>(H69/840)+(I69/756)</f>
        <v>1.0186904761904763</v>
      </c>
      <c r="M69" s="177">
        <f t="shared" ref="M69:M89" si="15">L69*2017.01</f>
        <v>2054.7088773809523</v>
      </c>
      <c r="N69" s="495">
        <f t="shared" si="4"/>
        <v>755.51645421297621</v>
      </c>
      <c r="O69" s="478">
        <v>793.71268452380957</v>
      </c>
      <c r="P69" s="177">
        <f t="shared" si="6"/>
        <v>50.812280952380959</v>
      </c>
      <c r="Q69" s="177"/>
      <c r="R69" s="431">
        <f t="shared" si="5"/>
        <v>0.577474627629051</v>
      </c>
      <c r="S69" s="468">
        <v>9</v>
      </c>
      <c r="T69" s="127"/>
      <c r="U69" s="127"/>
      <c r="V69" s="127"/>
      <c r="W69" s="127"/>
      <c r="X69" s="127"/>
      <c r="Y69" s="127"/>
    </row>
    <row r="70" spans="1:25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8">
        <v>7516.6</v>
      </c>
      <c r="G70" s="644">
        <f t="shared" si="13"/>
        <v>7565.74</v>
      </c>
      <c r="H70" s="339">
        <v>625.6</v>
      </c>
      <c r="I70" s="404"/>
      <c r="J70" s="146">
        <v>625.6</v>
      </c>
      <c r="K70" s="32">
        <f t="shared" si="14"/>
        <v>625.6</v>
      </c>
      <c r="L70" s="593">
        <f t="shared" ref="L70:L88" si="16">(H70/840)+(I70/756)</f>
        <v>0.74476190476190474</v>
      </c>
      <c r="M70" s="177">
        <f t="shared" si="15"/>
        <v>1502.1922095238094</v>
      </c>
      <c r="N70" s="489">
        <f t="shared" si="4"/>
        <v>552.35607544190475</v>
      </c>
      <c r="O70" s="478">
        <v>580.28123809523811</v>
      </c>
      <c r="P70" s="177">
        <f t="shared" ref="P70:P134" si="17">L70*49.88</f>
        <v>37.148723809523808</v>
      </c>
      <c r="Q70" s="177"/>
      <c r="R70" s="431">
        <f t="shared" si="5"/>
        <v>0.35541834448065884</v>
      </c>
      <c r="S70" s="468">
        <v>9</v>
      </c>
      <c r="T70" s="127"/>
      <c r="U70" s="127"/>
      <c r="V70" s="127"/>
      <c r="W70" s="127"/>
      <c r="X70" s="127"/>
      <c r="Y70" s="127"/>
    </row>
    <row r="71" spans="1:25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8">
        <v>7215.6</v>
      </c>
      <c r="G71" s="644">
        <f t="shared" si="13"/>
        <v>7217.2</v>
      </c>
      <c r="H71" s="339">
        <v>956.7</v>
      </c>
      <c r="I71" s="404"/>
      <c r="J71" s="146">
        <v>956.7</v>
      </c>
      <c r="K71" s="32">
        <f t="shared" si="14"/>
        <v>956.7</v>
      </c>
      <c r="L71" s="593">
        <f t="shared" si="16"/>
        <v>1.1389285714285715</v>
      </c>
      <c r="M71" s="177">
        <f t="shared" si="15"/>
        <v>2297.2303178571428</v>
      </c>
      <c r="N71" s="489">
        <f t="shared" si="4"/>
        <v>844.69158787607148</v>
      </c>
      <c r="O71" s="478">
        <v>887.39619642857144</v>
      </c>
      <c r="P71" s="177">
        <f t="shared" si="17"/>
        <v>56.809757142857151</v>
      </c>
      <c r="Q71" s="177"/>
      <c r="R71" s="431">
        <f t="shared" ref="R71:R134" si="18">(M71+N71+O71+P71)/C71</f>
        <v>0.56616525235612747</v>
      </c>
      <c r="S71" s="468">
        <v>9</v>
      </c>
      <c r="T71" s="127"/>
      <c r="U71" s="127"/>
      <c r="V71" s="127"/>
      <c r="W71" s="127"/>
      <c r="X71" s="127"/>
      <c r="Y71" s="127"/>
    </row>
    <row r="72" spans="1:25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8">
        <v>6435.2</v>
      </c>
      <c r="G72" s="644">
        <f t="shared" si="13"/>
        <v>6435.2</v>
      </c>
      <c r="H72" s="339">
        <v>785.7</v>
      </c>
      <c r="I72" s="404"/>
      <c r="J72" s="146">
        <v>785.7</v>
      </c>
      <c r="K72" s="32">
        <f t="shared" si="14"/>
        <v>785.7</v>
      </c>
      <c r="L72" s="593">
        <f t="shared" si="16"/>
        <v>0.93535714285714289</v>
      </c>
      <c r="M72" s="177">
        <f t="shared" si="15"/>
        <v>1886.6247107142858</v>
      </c>
      <c r="N72" s="489">
        <f t="shared" si="4"/>
        <v>693.7119061296429</v>
      </c>
      <c r="O72" s="478">
        <v>728.7835178571429</v>
      </c>
      <c r="P72" s="177">
        <f t="shared" si="17"/>
        <v>46.655614285714293</v>
      </c>
      <c r="Q72" s="177"/>
      <c r="R72" s="431">
        <f t="shared" si="18"/>
        <v>0.52743037312169527</v>
      </c>
      <c r="S72" s="468">
        <v>9</v>
      </c>
      <c r="T72" s="127"/>
      <c r="U72" s="127"/>
      <c r="V72" s="127"/>
      <c r="W72" s="127"/>
      <c r="X72" s="127"/>
      <c r="Y72" s="127"/>
    </row>
    <row r="73" spans="1:25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8">
        <v>8878.5</v>
      </c>
      <c r="G73" s="644">
        <f t="shared" si="13"/>
        <v>8881.51</v>
      </c>
      <c r="H73" s="339">
        <v>1203.3</v>
      </c>
      <c r="I73" s="404"/>
      <c r="J73" s="146">
        <v>1203.3</v>
      </c>
      <c r="K73" s="32">
        <f t="shared" si="14"/>
        <v>1203.3</v>
      </c>
      <c r="L73" s="593">
        <f t="shared" si="16"/>
        <v>1.4324999999999999</v>
      </c>
      <c r="M73" s="177">
        <f t="shared" si="15"/>
        <v>2889.3668249999996</v>
      </c>
      <c r="N73" s="489">
        <f t="shared" si="4"/>
        <v>1062.4201815525</v>
      </c>
      <c r="O73" s="478">
        <v>1116.1323749999999</v>
      </c>
      <c r="P73" s="177">
        <f t="shared" si="17"/>
        <v>71.453099999999992</v>
      </c>
      <c r="Q73" s="177"/>
      <c r="R73" s="431">
        <f t="shared" si="18"/>
        <v>0.57865976411133913</v>
      </c>
      <c r="S73" s="468">
        <v>9</v>
      </c>
      <c r="T73" s="127"/>
      <c r="U73" s="127"/>
      <c r="V73" s="127"/>
      <c r="W73" s="127"/>
      <c r="X73" s="127"/>
      <c r="Y73" s="127"/>
    </row>
    <row r="74" spans="1:25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8">
        <v>7933</v>
      </c>
      <c r="G74" s="644">
        <f t="shared" si="13"/>
        <v>7938.92</v>
      </c>
      <c r="H74" s="339">
        <v>642.20000000000005</v>
      </c>
      <c r="I74" s="404"/>
      <c r="J74" s="146">
        <v>642.20000000000005</v>
      </c>
      <c r="K74" s="32">
        <f t="shared" si="14"/>
        <v>642.20000000000005</v>
      </c>
      <c r="L74" s="593">
        <f t="shared" si="16"/>
        <v>0.76452380952380961</v>
      </c>
      <c r="M74" s="177">
        <f t="shared" si="15"/>
        <v>1542.0521690476191</v>
      </c>
      <c r="N74" s="489">
        <f t="shared" si="4"/>
        <v>567.01258255880964</v>
      </c>
      <c r="O74" s="478">
        <v>595.67872619047625</v>
      </c>
      <c r="P74" s="177">
        <f t="shared" si="17"/>
        <v>38.134447619047627</v>
      </c>
      <c r="Q74" s="177"/>
      <c r="R74" s="431">
        <f t="shared" si="18"/>
        <v>0.34549761496726911</v>
      </c>
      <c r="S74" s="468">
        <v>9</v>
      </c>
      <c r="T74" s="127"/>
      <c r="U74" s="127"/>
      <c r="V74" s="127"/>
      <c r="W74" s="127"/>
      <c r="X74" s="127"/>
      <c r="Y74" s="127"/>
    </row>
    <row r="75" spans="1:25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8">
        <v>7114.6</v>
      </c>
      <c r="G75" s="644">
        <f t="shared" si="13"/>
        <v>7102.99</v>
      </c>
      <c r="H75" s="819">
        <v>816</v>
      </c>
      <c r="I75" s="404"/>
      <c r="J75" s="146">
        <v>816</v>
      </c>
      <c r="K75" s="32">
        <f t="shared" si="14"/>
        <v>816</v>
      </c>
      <c r="L75" s="593">
        <f t="shared" si="16"/>
        <v>0.97142857142857142</v>
      </c>
      <c r="M75" s="177">
        <f t="shared" si="15"/>
        <v>1959.3811428571428</v>
      </c>
      <c r="N75" s="489">
        <f t="shared" si="4"/>
        <v>720.46444622857143</v>
      </c>
      <c r="O75" s="478">
        <v>756.88857142857137</v>
      </c>
      <c r="P75" s="177">
        <f t="shared" si="17"/>
        <v>48.454857142857144</v>
      </c>
      <c r="Q75" s="177"/>
      <c r="R75" s="431">
        <f t="shared" si="18"/>
        <v>0.49066506044034175</v>
      </c>
      <c r="S75" s="468">
        <v>9</v>
      </c>
      <c r="T75" s="127"/>
      <c r="U75" s="127"/>
      <c r="V75" s="127"/>
      <c r="W75" s="127"/>
      <c r="X75" s="127"/>
      <c r="Y75" s="127"/>
    </row>
    <row r="76" spans="1:25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8">
        <v>2982.7</v>
      </c>
      <c r="G76" s="644">
        <f t="shared" si="13"/>
        <v>2982.2</v>
      </c>
      <c r="H76" s="339">
        <v>312</v>
      </c>
      <c r="I76" s="404"/>
      <c r="J76" s="146">
        <v>312</v>
      </c>
      <c r="K76" s="32">
        <f t="shared" si="14"/>
        <v>312</v>
      </c>
      <c r="L76" s="593">
        <f t="shared" si="16"/>
        <v>0.37142857142857144</v>
      </c>
      <c r="M76" s="177">
        <f t="shared" si="15"/>
        <v>749.17514285714287</v>
      </c>
      <c r="N76" s="489">
        <f t="shared" si="4"/>
        <v>275.47170002857143</v>
      </c>
      <c r="O76" s="478">
        <v>289.39857142857142</v>
      </c>
      <c r="P76" s="177">
        <f t="shared" si="17"/>
        <v>18.526857142857143</v>
      </c>
      <c r="Q76" s="177"/>
      <c r="R76" s="431">
        <f t="shared" si="18"/>
        <v>0.44684201980321336</v>
      </c>
      <c r="S76" s="468">
        <v>5</v>
      </c>
      <c r="T76" s="127"/>
      <c r="U76" s="127"/>
      <c r="V76" s="127"/>
      <c r="W76" s="127"/>
      <c r="X76" s="127"/>
      <c r="Y76" s="127"/>
    </row>
    <row r="77" spans="1:25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8">
        <v>2475.1999999999998</v>
      </c>
      <c r="G77" s="644">
        <f t="shared" si="13"/>
        <v>2528.85</v>
      </c>
      <c r="H77" s="339">
        <v>271.10000000000002</v>
      </c>
      <c r="I77" s="404"/>
      <c r="J77" s="146">
        <v>271.10000000000002</v>
      </c>
      <c r="K77" s="32">
        <f t="shared" si="14"/>
        <v>271.10000000000002</v>
      </c>
      <c r="L77" s="593">
        <f t="shared" si="16"/>
        <v>0.32273809523809527</v>
      </c>
      <c r="M77" s="177">
        <f t="shared" si="15"/>
        <v>650.96596547619049</v>
      </c>
      <c r="N77" s="489">
        <f t="shared" si="4"/>
        <v>239.36018550559527</v>
      </c>
      <c r="O77" s="478">
        <v>251.46138690476192</v>
      </c>
      <c r="P77" s="177">
        <f t="shared" si="17"/>
        <v>16.098176190476192</v>
      </c>
      <c r="Q77" s="177"/>
      <c r="R77" s="431">
        <f t="shared" si="18"/>
        <v>0.46790823328094389</v>
      </c>
      <c r="S77" s="468">
        <v>5</v>
      </c>
      <c r="T77" s="127"/>
      <c r="U77" s="127"/>
      <c r="V77" s="127"/>
      <c r="W77" s="127"/>
      <c r="X77" s="127"/>
      <c r="Y77" s="127"/>
    </row>
    <row r="78" spans="1:25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8">
        <v>4245.7</v>
      </c>
      <c r="G78" s="644">
        <f t="shared" si="13"/>
        <v>4250.83</v>
      </c>
      <c r="H78" s="339">
        <v>549.9</v>
      </c>
      <c r="I78" s="404"/>
      <c r="J78" s="146">
        <v>549.9</v>
      </c>
      <c r="K78" s="32">
        <f t="shared" si="14"/>
        <v>549.9</v>
      </c>
      <c r="L78" s="593">
        <f t="shared" si="16"/>
        <v>0.65464285714285708</v>
      </c>
      <c r="M78" s="177">
        <f t="shared" si="15"/>
        <v>1320.4211892857143</v>
      </c>
      <c r="N78" s="489">
        <f t="shared" si="4"/>
        <v>485.51887130035715</v>
      </c>
      <c r="O78" s="478">
        <v>510.0649821428571</v>
      </c>
      <c r="P78" s="177">
        <f t="shared" si="17"/>
        <v>32.653585714285711</v>
      </c>
      <c r="Q78" s="177"/>
      <c r="R78" s="431">
        <f t="shared" si="18"/>
        <v>0.55251765618554827</v>
      </c>
      <c r="S78" s="468">
        <v>9</v>
      </c>
      <c r="T78" s="127"/>
      <c r="U78" s="127"/>
      <c r="V78" s="127"/>
      <c r="W78" s="127"/>
      <c r="X78" s="127"/>
      <c r="Y78" s="127"/>
    </row>
    <row r="79" spans="1:25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8">
        <v>2863.5</v>
      </c>
      <c r="G79" s="644">
        <f t="shared" si="13"/>
        <v>2862.08</v>
      </c>
      <c r="H79" s="339">
        <v>383.2</v>
      </c>
      <c r="I79" s="404"/>
      <c r="J79" s="146">
        <v>383.2</v>
      </c>
      <c r="K79" s="32">
        <f t="shared" si="14"/>
        <v>383.2</v>
      </c>
      <c r="L79" s="593">
        <f t="shared" si="16"/>
        <v>0.4561904761904762</v>
      </c>
      <c r="M79" s="177">
        <f t="shared" si="15"/>
        <v>920.14075238095245</v>
      </c>
      <c r="N79" s="489">
        <f t="shared" si="4"/>
        <v>338.33575465047625</v>
      </c>
      <c r="O79" s="478">
        <v>213.26448571428571</v>
      </c>
      <c r="P79" s="177">
        <f t="shared" si="17"/>
        <v>22.754780952380955</v>
      </c>
      <c r="Q79" s="177"/>
      <c r="R79" s="431">
        <f t="shared" si="18"/>
        <v>0.52217120894527602</v>
      </c>
      <c r="S79" s="470" t="s">
        <v>642</v>
      </c>
      <c r="T79" s="127"/>
      <c r="U79" s="127"/>
      <c r="V79" s="127"/>
      <c r="W79" s="127"/>
      <c r="X79" s="127"/>
      <c r="Y79" s="127"/>
    </row>
    <row r="80" spans="1:25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8">
        <v>6379.2</v>
      </c>
      <c r="G80" s="644">
        <f t="shared" si="13"/>
        <v>6415.24</v>
      </c>
      <c r="H80" s="339">
        <v>823.5</v>
      </c>
      <c r="I80" s="404"/>
      <c r="J80" s="146">
        <v>823.5</v>
      </c>
      <c r="K80" s="32">
        <f t="shared" si="14"/>
        <v>823.5</v>
      </c>
      <c r="L80" s="593">
        <f t="shared" si="16"/>
        <v>0.98035714285714282</v>
      </c>
      <c r="M80" s="177">
        <f t="shared" si="15"/>
        <v>1977.3901607142857</v>
      </c>
      <c r="N80" s="489">
        <f t="shared" ref="N80:N145" si="19">M80*0.3677</f>
        <v>727.08636209464294</v>
      </c>
      <c r="O80" s="478">
        <v>763.84526785714286</v>
      </c>
      <c r="P80" s="177">
        <f t="shared" si="17"/>
        <v>48.900214285714284</v>
      </c>
      <c r="Q80" s="177"/>
      <c r="R80" s="431">
        <f t="shared" si="18"/>
        <v>0.55286238021575296</v>
      </c>
      <c r="S80" s="468">
        <v>9</v>
      </c>
      <c r="T80" s="127"/>
      <c r="U80" s="127"/>
      <c r="V80" s="127"/>
      <c r="W80" s="127"/>
      <c r="X80" s="127"/>
      <c r="Y80" s="127"/>
    </row>
    <row r="81" spans="1:25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8">
        <v>2523</v>
      </c>
      <c r="G81" s="644">
        <f t="shared" si="13"/>
        <v>2523.4899999999998</v>
      </c>
      <c r="H81" s="339">
        <v>308.39999999999998</v>
      </c>
      <c r="I81" s="404"/>
      <c r="J81" s="146">
        <v>308.39999999999998</v>
      </c>
      <c r="K81" s="32">
        <f t="shared" si="14"/>
        <v>308.39999999999998</v>
      </c>
      <c r="L81" s="593">
        <f t="shared" si="16"/>
        <v>0.3671428571428571</v>
      </c>
      <c r="M81" s="177">
        <f t="shared" si="15"/>
        <v>740.5308142857142</v>
      </c>
      <c r="N81" s="489">
        <f t="shared" si="19"/>
        <v>272.29318041285711</v>
      </c>
      <c r="O81" s="478">
        <v>286.0593571428571</v>
      </c>
      <c r="P81" s="177">
        <f t="shared" si="17"/>
        <v>18.313085714285712</v>
      </c>
      <c r="Q81" s="177"/>
      <c r="R81" s="431">
        <f t="shared" si="18"/>
        <v>0.52197410631930952</v>
      </c>
      <c r="S81" s="468">
        <v>5</v>
      </c>
      <c r="T81" s="127"/>
      <c r="U81" s="127"/>
      <c r="V81" s="127"/>
      <c r="W81" s="127"/>
      <c r="X81" s="127"/>
      <c r="Y81" s="127"/>
    </row>
    <row r="82" spans="1:25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8">
        <v>2727.3</v>
      </c>
      <c r="G82" s="644">
        <f t="shared" si="13"/>
        <v>2727.04</v>
      </c>
      <c r="H82" s="339">
        <v>193.4</v>
      </c>
      <c r="I82" s="404"/>
      <c r="J82" s="146">
        <v>193.4</v>
      </c>
      <c r="K82" s="32">
        <f t="shared" si="14"/>
        <v>193.4</v>
      </c>
      <c r="L82" s="593">
        <f t="shared" si="16"/>
        <v>0.23023809523809524</v>
      </c>
      <c r="M82" s="177">
        <f t="shared" si="15"/>
        <v>464.3925404761905</v>
      </c>
      <c r="N82" s="489">
        <f t="shared" si="19"/>
        <v>170.75713713309526</v>
      </c>
      <c r="O82" s="478">
        <v>179.39001190476191</v>
      </c>
      <c r="P82" s="177">
        <f t="shared" si="17"/>
        <v>11.484276190476191</v>
      </c>
      <c r="Q82" s="177"/>
      <c r="R82" s="431">
        <f t="shared" si="18"/>
        <v>0.30290130166940116</v>
      </c>
      <c r="S82" s="468">
        <v>5</v>
      </c>
      <c r="T82" s="127"/>
      <c r="U82" s="127"/>
      <c r="V82" s="127"/>
      <c r="W82" s="127"/>
      <c r="X82" s="127"/>
      <c r="Y82" s="127"/>
    </row>
    <row r="83" spans="1:25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8">
        <v>11013.5</v>
      </c>
      <c r="G83" s="644">
        <f t="shared" si="13"/>
        <v>11075.779999999999</v>
      </c>
      <c r="H83" s="339">
        <v>1308.9000000000001</v>
      </c>
      <c r="I83" s="404"/>
      <c r="J83" s="146">
        <v>1428.9</v>
      </c>
      <c r="K83" s="32">
        <f t="shared" si="14"/>
        <v>1308.9000000000001</v>
      </c>
      <c r="L83" s="593">
        <f t="shared" si="16"/>
        <v>1.5582142857142858</v>
      </c>
      <c r="M83" s="177">
        <f t="shared" si="15"/>
        <v>3142.9337964285714</v>
      </c>
      <c r="N83" s="489">
        <f t="shared" si="19"/>
        <v>1155.6567569467859</v>
      </c>
      <c r="O83" s="478">
        <v>1214.0826607142858</v>
      </c>
      <c r="P83" s="177">
        <f t="shared" si="17"/>
        <v>77.72372857142858</v>
      </c>
      <c r="Q83" s="177"/>
      <c r="R83" s="431">
        <f t="shared" si="18"/>
        <v>0.50798792389091774</v>
      </c>
      <c r="S83" s="468">
        <v>9</v>
      </c>
      <c r="T83" s="127"/>
      <c r="U83" s="127"/>
      <c r="V83" s="127"/>
      <c r="W83" s="127"/>
      <c r="X83" s="127"/>
      <c r="Y83" s="127"/>
    </row>
    <row r="84" spans="1:25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8">
        <v>6435.2</v>
      </c>
      <c r="G84" s="644">
        <f t="shared" si="13"/>
        <v>6438.12</v>
      </c>
      <c r="H84" s="339">
        <v>821.7</v>
      </c>
      <c r="I84" s="404"/>
      <c r="J84" s="146">
        <v>821.7</v>
      </c>
      <c r="K84" s="32">
        <f t="shared" si="14"/>
        <v>821.7</v>
      </c>
      <c r="L84" s="593">
        <f t="shared" si="16"/>
        <v>0.97821428571428581</v>
      </c>
      <c r="M84" s="177">
        <f t="shared" si="15"/>
        <v>1973.0679964285716</v>
      </c>
      <c r="N84" s="489">
        <f t="shared" si="19"/>
        <v>725.49710228678589</v>
      </c>
      <c r="O84" s="478">
        <v>762.17566071428575</v>
      </c>
      <c r="P84" s="177">
        <f t="shared" si="17"/>
        <v>48.793328571428582</v>
      </c>
      <c r="Q84" s="177"/>
      <c r="R84" s="431">
        <f t="shared" si="18"/>
        <v>0.54511784309721967</v>
      </c>
      <c r="S84" s="468">
        <v>9</v>
      </c>
      <c r="T84" s="127"/>
      <c r="U84" s="127"/>
      <c r="V84" s="127"/>
      <c r="W84" s="127"/>
      <c r="X84" s="127"/>
      <c r="Y84" s="127"/>
    </row>
    <row r="85" spans="1:25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8">
        <v>6320.7</v>
      </c>
      <c r="G85" s="644">
        <f t="shared" si="13"/>
        <v>6322.5</v>
      </c>
      <c r="H85" s="339">
        <v>684.4</v>
      </c>
      <c r="I85" s="404"/>
      <c r="J85" s="146">
        <v>684.4</v>
      </c>
      <c r="K85" s="32">
        <f t="shared" si="14"/>
        <v>684.4</v>
      </c>
      <c r="L85" s="593">
        <f t="shared" si="16"/>
        <v>0.81476190476190469</v>
      </c>
      <c r="M85" s="177">
        <f t="shared" si="15"/>
        <v>1643.3829095238093</v>
      </c>
      <c r="N85" s="489">
        <f t="shared" si="19"/>
        <v>604.27189583190477</v>
      </c>
      <c r="O85" s="478">
        <v>634.82173809523806</v>
      </c>
      <c r="P85" s="177">
        <f t="shared" si="17"/>
        <v>40.640323809523807</v>
      </c>
      <c r="Q85" s="177"/>
      <c r="R85" s="431">
        <f t="shared" si="18"/>
        <v>0.46233560573514831</v>
      </c>
      <c r="S85" s="468">
        <v>9</v>
      </c>
      <c r="T85" s="127"/>
      <c r="U85" s="127"/>
      <c r="V85" s="127"/>
      <c r="W85" s="127"/>
      <c r="X85" s="127"/>
      <c r="Y85" s="127"/>
    </row>
    <row r="86" spans="1:25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8">
        <v>3048.7</v>
      </c>
      <c r="G86" s="644">
        <f t="shared" si="13"/>
        <v>3207.6099999999997</v>
      </c>
      <c r="H86" s="339">
        <v>412</v>
      </c>
      <c r="I86" s="404"/>
      <c r="J86" s="146">
        <v>412</v>
      </c>
      <c r="K86" s="32">
        <f t="shared" si="14"/>
        <v>412</v>
      </c>
      <c r="L86" s="593">
        <f t="shared" si="16"/>
        <v>0.49047619047619045</v>
      </c>
      <c r="M86" s="177">
        <f t="shared" si="15"/>
        <v>989.29538095238092</v>
      </c>
      <c r="N86" s="489">
        <f t="shared" si="19"/>
        <v>363.76391157619048</v>
      </c>
      <c r="O86" s="478">
        <v>382.15452380952377</v>
      </c>
      <c r="P86" s="177">
        <f t="shared" si="17"/>
        <v>24.464952380952383</v>
      </c>
      <c r="Q86" s="177"/>
      <c r="R86" s="431">
        <f t="shared" si="18"/>
        <v>0.57451207143502336</v>
      </c>
      <c r="S86" s="468">
        <v>5</v>
      </c>
      <c r="T86" s="127"/>
      <c r="U86" s="127"/>
      <c r="V86" s="127"/>
      <c r="W86" s="127"/>
      <c r="X86" s="127"/>
      <c r="Y86" s="127"/>
    </row>
    <row r="87" spans="1:25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8">
        <v>2994.5</v>
      </c>
      <c r="G87" s="644">
        <f t="shared" si="13"/>
        <v>2997.37</v>
      </c>
      <c r="H87" s="339">
        <v>319.89999999999998</v>
      </c>
      <c r="I87" s="404"/>
      <c r="J87" s="146">
        <v>319.89999999999998</v>
      </c>
      <c r="K87" s="32">
        <f t="shared" si="14"/>
        <v>319.89999999999998</v>
      </c>
      <c r="L87" s="593">
        <f t="shared" si="16"/>
        <v>0.3808333333333333</v>
      </c>
      <c r="M87" s="177">
        <f t="shared" si="15"/>
        <v>768.14464166666664</v>
      </c>
      <c r="N87" s="489">
        <f t="shared" si="19"/>
        <v>282.44678474083332</v>
      </c>
      <c r="O87" s="478">
        <v>296.72629166666661</v>
      </c>
      <c r="P87" s="177">
        <f t="shared" si="17"/>
        <v>18.995966666666668</v>
      </c>
      <c r="Q87" s="177"/>
      <c r="R87" s="431">
        <f t="shared" si="18"/>
        <v>0.45583751246620646</v>
      </c>
      <c r="S87" s="468">
        <v>5</v>
      </c>
      <c r="T87" s="127"/>
      <c r="U87" s="127"/>
      <c r="V87" s="127"/>
      <c r="W87" s="127"/>
      <c r="X87" s="127"/>
      <c r="Y87" s="127"/>
    </row>
    <row r="88" spans="1:25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404">
        <f>C88</f>
        <v>6397.6</v>
      </c>
      <c r="G88" s="644">
        <f>C88+D88+E88</f>
        <v>6397.6</v>
      </c>
      <c r="H88" s="404">
        <v>740</v>
      </c>
      <c r="I88" s="404"/>
      <c r="J88" s="404">
        <f>H88</f>
        <v>740</v>
      </c>
      <c r="K88" s="404">
        <f>H88+I88</f>
        <v>740</v>
      </c>
      <c r="L88" s="593">
        <f t="shared" si="16"/>
        <v>0.88095238095238093</v>
      </c>
      <c r="M88" s="177">
        <f t="shared" si="15"/>
        <v>1776.8897619047618</v>
      </c>
      <c r="N88" s="489">
        <f t="shared" si="19"/>
        <v>653.36236545238103</v>
      </c>
      <c r="O88" s="478">
        <v>382.15452380952377</v>
      </c>
      <c r="P88" s="177">
        <f t="shared" si="17"/>
        <v>43.941904761904766</v>
      </c>
      <c r="Q88" s="177"/>
      <c r="R88" s="431">
        <f t="shared" si="18"/>
        <v>0.44647188882214756</v>
      </c>
      <c r="S88" s="468"/>
      <c r="T88" s="127"/>
      <c r="U88" s="127"/>
      <c r="V88" s="127"/>
      <c r="W88" s="127"/>
      <c r="X88" s="127"/>
      <c r="Y88" s="127"/>
    </row>
    <row r="89" spans="1:25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11"/>
      <c r="G89" s="628">
        <f>C89+D89+E89</f>
        <v>566.29999999999995</v>
      </c>
      <c r="H89" s="411">
        <v>55.75</v>
      </c>
      <c r="I89" s="411"/>
      <c r="J89" s="411"/>
      <c r="K89" s="411">
        <f>H89+I89</f>
        <v>55.75</v>
      </c>
      <c r="L89" s="593">
        <f t="shared" ref="L89:L142" si="20">(H89/840)+(I89/756)</f>
        <v>6.6369047619047619E-2</v>
      </c>
      <c r="M89" s="177">
        <f t="shared" si="15"/>
        <v>133.86703273809525</v>
      </c>
      <c r="N89" s="796">
        <f t="shared" si="19"/>
        <v>49.222907937797629</v>
      </c>
      <c r="O89" s="797">
        <v>10</v>
      </c>
      <c r="P89" s="185">
        <f t="shared" si="17"/>
        <v>3.3104880952380955</v>
      </c>
      <c r="Q89" s="185"/>
      <c r="R89" s="431">
        <f t="shared" si="18"/>
        <v>0.34681340062004412</v>
      </c>
      <c r="S89" s="468">
        <v>2</v>
      </c>
      <c r="T89" s="127"/>
      <c r="U89" s="127"/>
      <c r="V89" s="127"/>
      <c r="W89" s="127"/>
      <c r="X89" s="127"/>
      <c r="Y89" s="127"/>
    </row>
    <row r="90" spans="1:25" s="69" customFormat="1" ht="16.5" thickBot="1">
      <c r="A90" s="496"/>
      <c r="B90" s="491" t="s">
        <v>749</v>
      </c>
      <c r="C90" s="492">
        <f>SUM(C69:C89)</f>
        <v>112321.67</v>
      </c>
      <c r="D90" s="492">
        <f t="shared" ref="D90:P90" si="21">SUM(D69:D88)</f>
        <v>0</v>
      </c>
      <c r="E90" s="492">
        <f t="shared" si="21"/>
        <v>443.75</v>
      </c>
      <c r="F90" s="492">
        <f t="shared" si="21"/>
        <v>111830.29999999999</v>
      </c>
      <c r="G90" s="645">
        <f>SUM(G69:G89)</f>
        <v>112765.42</v>
      </c>
      <c r="H90" s="492">
        <f>SUM(H69:H89)</f>
        <v>13069.349999999999</v>
      </c>
      <c r="I90" s="492">
        <f t="shared" si="21"/>
        <v>0</v>
      </c>
      <c r="J90" s="492">
        <f t="shared" si="21"/>
        <v>13133.599999999999</v>
      </c>
      <c r="K90" s="492">
        <f>SUM(K69:K89)</f>
        <v>13069.349999999999</v>
      </c>
      <c r="L90" s="492">
        <f>SUM(L69:L89)</f>
        <v>15.558750000000002</v>
      </c>
      <c r="M90" s="177">
        <f>L90*2017.01</f>
        <v>31382.154337500004</v>
      </c>
      <c r="N90" s="492">
        <f>SUM(N69:N89)</f>
        <v>11539.218149898754</v>
      </c>
      <c r="O90" s="492">
        <f>SUM(O69:O89)</f>
        <v>11634.472771428571</v>
      </c>
      <c r="P90" s="492">
        <f t="shared" si="21"/>
        <v>772.75996190476189</v>
      </c>
      <c r="Q90" s="923"/>
      <c r="R90" s="431">
        <f t="shared" si="18"/>
        <v>0.49259065700084492</v>
      </c>
      <c r="S90" s="471"/>
      <c r="T90" s="190"/>
      <c r="U90" s="190"/>
      <c r="V90" s="190"/>
      <c r="W90" s="190"/>
      <c r="X90" s="190"/>
      <c r="Y90" s="190"/>
    </row>
    <row r="91" spans="1:25" s="209" customFormat="1" ht="16.5" thickBot="1">
      <c r="A91" s="505" t="s">
        <v>50</v>
      </c>
      <c r="B91" s="506"/>
      <c r="C91" s="437"/>
      <c r="D91" s="437"/>
      <c r="E91" s="437"/>
      <c r="F91" s="437"/>
      <c r="G91" s="608">
        <f>C91+D91+E91</f>
        <v>0</v>
      </c>
      <c r="H91" s="437"/>
      <c r="I91" s="437"/>
      <c r="J91" s="437"/>
      <c r="K91" s="437"/>
      <c r="L91" s="507"/>
      <c r="M91" s="177">
        <f>L91*2077.52</f>
        <v>0</v>
      </c>
      <c r="N91" s="508"/>
      <c r="O91" s="498"/>
      <c r="P91" s="504">
        <f t="shared" si="17"/>
        <v>0</v>
      </c>
      <c r="Q91" s="504"/>
      <c r="R91" s="431" t="e">
        <f t="shared" si="18"/>
        <v>#DIV/0!</v>
      </c>
      <c r="S91" s="502"/>
      <c r="T91" s="212"/>
      <c r="U91" s="212"/>
      <c r="V91" s="212"/>
      <c r="W91" s="212"/>
      <c r="X91" s="212"/>
      <c r="Y91" s="212"/>
    </row>
    <row r="92" spans="1:25" s="6" customFormat="1" ht="15.75">
      <c r="A92" s="275">
        <v>1</v>
      </c>
      <c r="B92" s="249" t="s">
        <v>51</v>
      </c>
      <c r="C92" s="535">
        <v>478.7</v>
      </c>
      <c r="D92" s="413">
        <v>165.3</v>
      </c>
      <c r="E92" s="413">
        <v>45.3</v>
      </c>
      <c r="F92" s="146">
        <v>478.7</v>
      </c>
      <c r="G92" s="628">
        <f>C92+D92+E92</f>
        <v>689.3</v>
      </c>
      <c r="H92" s="823"/>
      <c r="I92" s="823">
        <v>99</v>
      </c>
      <c r="J92" s="411"/>
      <c r="K92" s="400">
        <f t="shared" ref="K92:K156" si="22">H92+I92</f>
        <v>99</v>
      </c>
      <c r="L92" s="593">
        <f t="shared" si="20"/>
        <v>0.13095238095238096</v>
      </c>
      <c r="M92" s="177">
        <f t="shared" ref="M92:M155" si="23">L92*2017.01</f>
        <v>264.13226190476189</v>
      </c>
      <c r="N92" s="446">
        <f>M92*0.3677</f>
        <v>97.121432702380957</v>
      </c>
      <c r="O92" s="427">
        <v>102.03154761904761</v>
      </c>
      <c r="P92" s="177">
        <f>L92*49.88</f>
        <v>6.5319047619047623</v>
      </c>
      <c r="Q92" s="177">
        <f>P92*1.219</f>
        <v>7.9623919047619056</v>
      </c>
      <c r="R92" s="431">
        <f t="shared" si="18"/>
        <v>0.98144379984979158</v>
      </c>
      <c r="S92" s="468">
        <v>3</v>
      </c>
      <c r="T92" s="127"/>
      <c r="U92" s="127"/>
      <c r="V92" s="127"/>
      <c r="W92" s="127"/>
      <c r="X92" s="127"/>
      <c r="Y92" s="127"/>
    </row>
    <row r="93" spans="1:25" s="6" customFormat="1" ht="15.75">
      <c r="A93" s="268">
        <v>2</v>
      </c>
      <c r="B93" s="176" t="s">
        <v>52</v>
      </c>
      <c r="C93" s="535">
        <v>316.39999999999998</v>
      </c>
      <c r="D93" s="413"/>
      <c r="E93" s="413">
        <v>39.9</v>
      </c>
      <c r="F93" s="146">
        <v>316.39999999999998</v>
      </c>
      <c r="G93" s="628">
        <f t="shared" ref="G93:G156" si="24">C93+D93+E93</f>
        <v>356.29999999999995</v>
      </c>
      <c r="H93" s="824">
        <v>21</v>
      </c>
      <c r="I93" s="824">
        <v>41</v>
      </c>
      <c r="J93" s="411"/>
      <c r="K93" s="400">
        <f t="shared" si="22"/>
        <v>62</v>
      </c>
      <c r="L93" s="593">
        <f t="shared" si="20"/>
        <v>7.9232804232804238E-2</v>
      </c>
      <c r="M93" s="177">
        <f t="shared" si="23"/>
        <v>159.81335846560847</v>
      </c>
      <c r="N93" s="446">
        <f t="shared" si="19"/>
        <v>58.763371907804242</v>
      </c>
      <c r="O93" s="427">
        <v>61.734239417989421</v>
      </c>
      <c r="P93" s="177">
        <f t="shared" si="17"/>
        <v>3.9521322751322754</v>
      </c>
      <c r="Q93" s="177">
        <f t="shared" ref="Q93:Q156" si="25">P93*1.219</f>
        <v>4.8176492433862439</v>
      </c>
      <c r="R93" s="431">
        <f t="shared" si="18"/>
        <v>0.89842952612684723</v>
      </c>
      <c r="S93" s="468">
        <v>3</v>
      </c>
      <c r="T93" s="127"/>
      <c r="U93" s="127"/>
      <c r="V93" s="127"/>
      <c r="W93" s="127"/>
      <c r="X93" s="127"/>
      <c r="Y93" s="127"/>
    </row>
    <row r="94" spans="1:25" s="6" customFormat="1" ht="15.75">
      <c r="A94" s="268">
        <v>3</v>
      </c>
      <c r="B94" s="176" t="s">
        <v>53</v>
      </c>
      <c r="C94" s="535">
        <v>425.13</v>
      </c>
      <c r="D94" s="413"/>
      <c r="E94" s="413"/>
      <c r="F94" s="146">
        <v>425.13</v>
      </c>
      <c r="G94" s="628">
        <f t="shared" si="24"/>
        <v>425.13</v>
      </c>
      <c r="H94" s="824"/>
      <c r="I94" s="824">
        <v>53</v>
      </c>
      <c r="J94" s="411"/>
      <c r="K94" s="400">
        <f t="shared" si="22"/>
        <v>53</v>
      </c>
      <c r="L94" s="593">
        <f t="shared" si="20"/>
        <v>7.0105820105820102E-2</v>
      </c>
      <c r="M94" s="177">
        <f t="shared" si="23"/>
        <v>141.4041402116402</v>
      </c>
      <c r="N94" s="446">
        <f t="shared" si="19"/>
        <v>51.994302355820103</v>
      </c>
      <c r="O94" s="427">
        <v>54.62294973544973</v>
      </c>
      <c r="P94" s="177">
        <f t="shared" si="17"/>
        <v>3.4968783068783069</v>
      </c>
      <c r="Q94" s="177">
        <f t="shared" si="25"/>
        <v>4.2626946560846566</v>
      </c>
      <c r="R94" s="431">
        <f t="shared" si="18"/>
        <v>0.59162672737701016</v>
      </c>
      <c r="S94" s="468">
        <v>3</v>
      </c>
      <c r="T94" s="127"/>
      <c r="U94" s="127"/>
      <c r="V94" s="127"/>
      <c r="W94" s="127"/>
      <c r="X94" s="127"/>
      <c r="Y94" s="127"/>
    </row>
    <row r="95" spans="1:25" s="6" customFormat="1" ht="15.75">
      <c r="A95" s="268">
        <v>4</v>
      </c>
      <c r="B95" s="176" t="s">
        <v>54</v>
      </c>
      <c r="C95" s="535">
        <v>690.66</v>
      </c>
      <c r="D95" s="413"/>
      <c r="E95" s="413"/>
      <c r="F95" s="146">
        <v>690.66</v>
      </c>
      <c r="G95" s="628">
        <f t="shared" si="24"/>
        <v>690.66</v>
      </c>
      <c r="H95" s="824"/>
      <c r="I95" s="824">
        <v>52</v>
      </c>
      <c r="J95" s="411"/>
      <c r="K95" s="400">
        <f t="shared" si="22"/>
        <v>52</v>
      </c>
      <c r="L95" s="593">
        <f t="shared" si="20"/>
        <v>6.8783068783068779E-2</v>
      </c>
      <c r="M95" s="177">
        <f t="shared" si="23"/>
        <v>138.73613756613756</v>
      </c>
      <c r="N95" s="446">
        <f t="shared" si="19"/>
        <v>51.013277783068787</v>
      </c>
      <c r="O95" s="427">
        <v>53.592328042328035</v>
      </c>
      <c r="P95" s="177">
        <f t="shared" si="17"/>
        <v>3.4308994708994707</v>
      </c>
      <c r="Q95" s="177">
        <f t="shared" si="25"/>
        <v>4.182266455026455</v>
      </c>
      <c r="R95" s="431">
        <f t="shared" si="18"/>
        <v>0.35729974641999518</v>
      </c>
      <c r="S95" s="468">
        <v>3</v>
      </c>
      <c r="T95" s="127"/>
      <c r="U95" s="127"/>
      <c r="V95" s="127"/>
      <c r="W95" s="127"/>
      <c r="X95" s="127"/>
      <c r="Y95" s="127"/>
    </row>
    <row r="96" spans="1:25" s="6" customFormat="1" ht="15.75">
      <c r="A96" s="268">
        <v>5</v>
      </c>
      <c r="B96" s="176" t="s">
        <v>55</v>
      </c>
      <c r="C96" s="535">
        <v>590.26</v>
      </c>
      <c r="D96" s="413"/>
      <c r="E96" s="413">
        <v>27.8</v>
      </c>
      <c r="F96" s="146">
        <v>616.96</v>
      </c>
      <c r="G96" s="628">
        <f t="shared" si="24"/>
        <v>618.05999999999995</v>
      </c>
      <c r="H96" s="824">
        <v>40</v>
      </c>
      <c r="I96" s="824">
        <v>33</v>
      </c>
      <c r="J96" s="411"/>
      <c r="K96" s="400">
        <f t="shared" si="22"/>
        <v>73</v>
      </c>
      <c r="L96" s="593">
        <f t="shared" si="20"/>
        <v>9.1269841269841265E-2</v>
      </c>
      <c r="M96" s="177">
        <f t="shared" si="23"/>
        <v>184.09218253968254</v>
      </c>
      <c r="N96" s="446">
        <f t="shared" si="19"/>
        <v>67.69069551984127</v>
      </c>
      <c r="O96" s="427">
        <v>71.112896825396817</v>
      </c>
      <c r="P96" s="177">
        <f t="shared" si="17"/>
        <v>4.5525396825396829</v>
      </c>
      <c r="Q96" s="177">
        <f t="shared" si="25"/>
        <v>5.549545873015874</v>
      </c>
      <c r="R96" s="431">
        <f t="shared" si="18"/>
        <v>0.55475267605370571</v>
      </c>
      <c r="S96" s="468">
        <v>3</v>
      </c>
      <c r="T96" s="127"/>
      <c r="U96" s="127"/>
      <c r="V96" s="127"/>
      <c r="W96" s="127"/>
      <c r="X96" s="127"/>
      <c r="Y96" s="127"/>
    </row>
    <row r="97" spans="1:25" s="6" customFormat="1" ht="15.75">
      <c r="A97" s="268">
        <v>6</v>
      </c>
      <c r="B97" s="176" t="s">
        <v>56</v>
      </c>
      <c r="C97" s="535">
        <v>1277.7</v>
      </c>
      <c r="D97" s="413"/>
      <c r="E97" s="413">
        <v>49.7</v>
      </c>
      <c r="F97" s="146">
        <v>1279</v>
      </c>
      <c r="G97" s="628">
        <f t="shared" si="24"/>
        <v>1327.4</v>
      </c>
      <c r="H97" s="824">
        <v>141</v>
      </c>
      <c r="I97" s="824"/>
      <c r="J97" s="411"/>
      <c r="K97" s="400">
        <f t="shared" si="22"/>
        <v>141</v>
      </c>
      <c r="L97" s="593">
        <f t="shared" si="20"/>
        <v>0.16785714285714284</v>
      </c>
      <c r="M97" s="177">
        <f t="shared" si="23"/>
        <v>338.56953571428568</v>
      </c>
      <c r="N97" s="446">
        <f t="shared" si="19"/>
        <v>124.49201828214285</v>
      </c>
      <c r="O97" s="427">
        <v>130.78589285714284</v>
      </c>
      <c r="P97" s="177">
        <f t="shared" si="17"/>
        <v>8.3727142857142862</v>
      </c>
      <c r="Q97" s="177">
        <f t="shared" si="25"/>
        <v>10.206338714285716</v>
      </c>
      <c r="R97" s="431">
        <f t="shared" si="18"/>
        <v>0.4713314245435436</v>
      </c>
      <c r="S97" s="468">
        <v>4</v>
      </c>
      <c r="T97" s="127"/>
      <c r="U97" s="127"/>
      <c r="V97" s="127"/>
      <c r="W97" s="127"/>
      <c r="X97" s="127"/>
      <c r="Y97" s="127"/>
    </row>
    <row r="98" spans="1:25" s="6" customFormat="1" ht="15.75">
      <c r="A98" s="268">
        <v>7</v>
      </c>
      <c r="B98" s="176" t="s">
        <v>57</v>
      </c>
      <c r="C98" s="535">
        <v>1422.3</v>
      </c>
      <c r="D98" s="413"/>
      <c r="E98" s="413">
        <v>106</v>
      </c>
      <c r="F98" s="146">
        <v>1453.5</v>
      </c>
      <c r="G98" s="628">
        <f t="shared" si="24"/>
        <v>1528.3</v>
      </c>
      <c r="H98" s="824">
        <v>142</v>
      </c>
      <c r="I98" s="824"/>
      <c r="J98" s="411"/>
      <c r="K98" s="400">
        <f t="shared" si="22"/>
        <v>142</v>
      </c>
      <c r="L98" s="593">
        <f t="shared" si="20"/>
        <v>0.16904761904761906</v>
      </c>
      <c r="M98" s="177">
        <f t="shared" si="23"/>
        <v>340.97073809523812</v>
      </c>
      <c r="N98" s="446">
        <f t="shared" si="19"/>
        <v>125.37494039761907</v>
      </c>
      <c r="O98" s="427">
        <v>131.71345238095239</v>
      </c>
      <c r="P98" s="177">
        <f t="shared" si="17"/>
        <v>8.4320952380952399</v>
      </c>
      <c r="Q98" s="177">
        <f t="shared" si="25"/>
        <v>10.278724095238099</v>
      </c>
      <c r="R98" s="431">
        <f t="shared" si="18"/>
        <v>0.4264158237445721</v>
      </c>
      <c r="S98" s="468">
        <v>4</v>
      </c>
      <c r="T98" s="127"/>
      <c r="U98" s="127"/>
      <c r="V98" s="127"/>
      <c r="W98" s="127"/>
      <c r="X98" s="127"/>
      <c r="Y98" s="127"/>
    </row>
    <row r="99" spans="1:25" s="6" customFormat="1" ht="15.75">
      <c r="A99" s="275">
        <v>8</v>
      </c>
      <c r="B99" s="176" t="s">
        <v>58</v>
      </c>
      <c r="C99" s="535">
        <v>736.94</v>
      </c>
      <c r="D99" s="413"/>
      <c r="E99" s="413"/>
      <c r="F99" s="146">
        <v>736.94</v>
      </c>
      <c r="G99" s="628">
        <f t="shared" si="24"/>
        <v>736.94</v>
      </c>
      <c r="H99" s="824">
        <v>44</v>
      </c>
      <c r="I99" s="824">
        <v>39</v>
      </c>
      <c r="J99" s="411"/>
      <c r="K99" s="400">
        <f t="shared" si="22"/>
        <v>83</v>
      </c>
      <c r="L99" s="593">
        <f t="shared" si="20"/>
        <v>0.10396825396825396</v>
      </c>
      <c r="M99" s="177">
        <f t="shared" si="23"/>
        <v>209.70500793650791</v>
      </c>
      <c r="N99" s="446">
        <f t="shared" si="19"/>
        <v>77.108531418253961</v>
      </c>
      <c r="O99" s="427">
        <v>81.00686507936507</v>
      </c>
      <c r="P99" s="177">
        <f t="shared" si="17"/>
        <v>5.1859365079365078</v>
      </c>
      <c r="Q99" s="177">
        <f t="shared" si="25"/>
        <v>6.3216566031746035</v>
      </c>
      <c r="R99" s="431">
        <f t="shared" si="18"/>
        <v>0.50615564488569409</v>
      </c>
      <c r="S99" s="468">
        <v>4</v>
      </c>
      <c r="T99" s="127"/>
      <c r="U99" s="127"/>
      <c r="V99" s="127"/>
      <c r="W99" s="127"/>
      <c r="X99" s="127"/>
      <c r="Y99" s="127"/>
    </row>
    <row r="100" spans="1:25" s="6" customFormat="1" ht="15.75">
      <c r="A100" s="268">
        <v>9</v>
      </c>
      <c r="B100" s="176" t="s">
        <v>59</v>
      </c>
      <c r="C100" s="535">
        <v>588.29</v>
      </c>
      <c r="D100" s="413"/>
      <c r="E100" s="413"/>
      <c r="F100" s="146">
        <v>588.29</v>
      </c>
      <c r="G100" s="628">
        <f t="shared" si="24"/>
        <v>588.29</v>
      </c>
      <c r="H100" s="824"/>
      <c r="I100" s="824">
        <v>84</v>
      </c>
      <c r="J100" s="411"/>
      <c r="K100" s="400">
        <f t="shared" si="22"/>
        <v>84</v>
      </c>
      <c r="L100" s="593">
        <f t="shared" si="20"/>
        <v>0.1111111111111111</v>
      </c>
      <c r="M100" s="177">
        <f t="shared" si="23"/>
        <v>224.11222222222221</v>
      </c>
      <c r="N100" s="446">
        <f t="shared" si="19"/>
        <v>82.406064111111121</v>
      </c>
      <c r="O100" s="427">
        <v>86.572222222222209</v>
      </c>
      <c r="P100" s="177">
        <f t="shared" si="17"/>
        <v>5.5422222222222226</v>
      </c>
      <c r="Q100" s="177">
        <f t="shared" si="25"/>
        <v>6.7559688888888898</v>
      </c>
      <c r="R100" s="431">
        <f t="shared" si="18"/>
        <v>0.67761262434815783</v>
      </c>
      <c r="S100" s="468">
        <v>4</v>
      </c>
      <c r="T100" s="127"/>
      <c r="U100" s="127"/>
      <c r="V100" s="127"/>
      <c r="W100" s="127"/>
      <c r="X100" s="127"/>
      <c r="Y100" s="127"/>
    </row>
    <row r="101" spans="1:25" s="6" customFormat="1" ht="15.75">
      <c r="A101" s="268">
        <v>10</v>
      </c>
      <c r="B101" s="274" t="s">
        <v>60</v>
      </c>
      <c r="C101" s="535">
        <v>264.32</v>
      </c>
      <c r="D101" s="413"/>
      <c r="E101" s="413"/>
      <c r="F101" s="146">
        <v>259.32</v>
      </c>
      <c r="G101" s="628">
        <f t="shared" si="24"/>
        <v>264.32</v>
      </c>
      <c r="H101" s="824"/>
      <c r="I101" s="824"/>
      <c r="J101" s="411"/>
      <c r="K101" s="400">
        <f t="shared" si="22"/>
        <v>0</v>
      </c>
      <c r="L101" s="593">
        <f t="shared" si="20"/>
        <v>0</v>
      </c>
      <c r="M101" s="177">
        <f t="shared" si="23"/>
        <v>0</v>
      </c>
      <c r="N101" s="446">
        <f t="shared" si="19"/>
        <v>0</v>
      </c>
      <c r="O101" s="427">
        <v>0</v>
      </c>
      <c r="P101" s="177">
        <f t="shared" si="17"/>
        <v>0</v>
      </c>
      <c r="Q101" s="177">
        <f t="shared" si="25"/>
        <v>0</v>
      </c>
      <c r="R101" s="431">
        <f t="shared" si="18"/>
        <v>0</v>
      </c>
      <c r="S101" s="468">
        <v>2</v>
      </c>
      <c r="T101" s="127"/>
      <c r="U101" s="127"/>
      <c r="V101" s="127"/>
      <c r="W101" s="127"/>
      <c r="X101" s="127"/>
      <c r="Y101" s="127"/>
    </row>
    <row r="102" spans="1:25" s="6" customFormat="1" ht="15.75">
      <c r="A102" s="268">
        <v>11</v>
      </c>
      <c r="B102" s="176" t="s">
        <v>61</v>
      </c>
      <c r="C102" s="535">
        <v>181.4</v>
      </c>
      <c r="D102" s="413"/>
      <c r="E102" s="413">
        <v>21.3</v>
      </c>
      <c r="F102" s="146">
        <v>181.4</v>
      </c>
      <c r="G102" s="628">
        <f t="shared" si="24"/>
        <v>202.70000000000002</v>
      </c>
      <c r="H102" s="824"/>
      <c r="I102" s="824">
        <v>16</v>
      </c>
      <c r="J102" s="411"/>
      <c r="K102" s="400">
        <f t="shared" si="22"/>
        <v>16</v>
      </c>
      <c r="L102" s="593">
        <f t="shared" si="20"/>
        <v>2.1164021164021163E-2</v>
      </c>
      <c r="M102" s="177">
        <f t="shared" si="23"/>
        <v>42.688042328042329</v>
      </c>
      <c r="N102" s="446">
        <f t="shared" si="19"/>
        <v>15.696393164021165</v>
      </c>
      <c r="O102" s="427">
        <v>16.489947089947087</v>
      </c>
      <c r="P102" s="177">
        <f t="shared" si="17"/>
        <v>1.0556613756613757</v>
      </c>
      <c r="Q102" s="177">
        <f t="shared" si="25"/>
        <v>1.2868512169312172</v>
      </c>
      <c r="R102" s="431">
        <f t="shared" si="18"/>
        <v>0.41857797110072742</v>
      </c>
      <c r="S102" s="468">
        <v>2</v>
      </c>
      <c r="T102" s="127"/>
      <c r="U102" s="127"/>
      <c r="V102" s="127"/>
      <c r="W102" s="127"/>
      <c r="X102" s="127"/>
      <c r="Y102" s="127"/>
    </row>
    <row r="103" spans="1:25" s="6" customFormat="1" ht="15.75">
      <c r="A103" s="268">
        <v>12</v>
      </c>
      <c r="B103" s="176" t="s">
        <v>62</v>
      </c>
      <c r="C103" s="535">
        <v>366.9</v>
      </c>
      <c r="D103" s="413"/>
      <c r="E103" s="413"/>
      <c r="F103" s="146">
        <v>366.9</v>
      </c>
      <c r="G103" s="628">
        <f t="shared" si="24"/>
        <v>366.9</v>
      </c>
      <c r="H103" s="824"/>
      <c r="I103" s="824"/>
      <c r="J103" s="411"/>
      <c r="K103" s="400">
        <f t="shared" si="22"/>
        <v>0</v>
      </c>
      <c r="L103" s="593">
        <f t="shared" si="20"/>
        <v>0</v>
      </c>
      <c r="M103" s="177">
        <f t="shared" si="23"/>
        <v>0</v>
      </c>
      <c r="N103" s="446">
        <f t="shared" si="19"/>
        <v>0</v>
      </c>
      <c r="O103" s="427">
        <v>0</v>
      </c>
      <c r="P103" s="177">
        <f t="shared" si="17"/>
        <v>0</v>
      </c>
      <c r="Q103" s="177">
        <f t="shared" si="25"/>
        <v>0</v>
      </c>
      <c r="R103" s="431">
        <f t="shared" si="18"/>
        <v>0</v>
      </c>
      <c r="S103" s="468">
        <v>2</v>
      </c>
      <c r="T103" s="127"/>
      <c r="U103" s="127"/>
      <c r="V103" s="127"/>
      <c r="W103" s="127"/>
      <c r="X103" s="127"/>
      <c r="Y103" s="127"/>
    </row>
    <row r="104" spans="1:25" s="6" customFormat="1" ht="15.75">
      <c r="A104" s="268">
        <v>13</v>
      </c>
      <c r="B104" s="176" t="s">
        <v>63</v>
      </c>
      <c r="C104" s="535">
        <v>580.66999999999996</v>
      </c>
      <c r="D104" s="413"/>
      <c r="E104" s="413"/>
      <c r="F104" s="146">
        <v>580.66999999999996</v>
      </c>
      <c r="G104" s="628">
        <f t="shared" si="24"/>
        <v>580.66999999999996</v>
      </c>
      <c r="H104" s="824"/>
      <c r="I104" s="824">
        <v>64</v>
      </c>
      <c r="J104" s="411"/>
      <c r="K104" s="400">
        <f t="shared" si="22"/>
        <v>64</v>
      </c>
      <c r="L104" s="593">
        <f t="shared" si="20"/>
        <v>8.4656084656084651E-2</v>
      </c>
      <c r="M104" s="177">
        <f t="shared" si="23"/>
        <v>170.75216931216931</v>
      </c>
      <c r="N104" s="446">
        <f t="shared" si="19"/>
        <v>62.785572656084661</v>
      </c>
      <c r="O104" s="427">
        <v>65.959788359788348</v>
      </c>
      <c r="P104" s="177">
        <f t="shared" si="17"/>
        <v>4.222645502645503</v>
      </c>
      <c r="Q104" s="177">
        <f t="shared" si="25"/>
        <v>5.1474048677248687</v>
      </c>
      <c r="R104" s="431">
        <f t="shared" si="18"/>
        <v>0.523051261182234</v>
      </c>
      <c r="S104" s="468">
        <v>3</v>
      </c>
      <c r="T104" s="127"/>
      <c r="U104" s="127"/>
      <c r="V104" s="127"/>
      <c r="W104" s="127"/>
      <c r="X104" s="127"/>
      <c r="Y104" s="127"/>
    </row>
    <row r="105" spans="1:25" s="6" customFormat="1" ht="15.75">
      <c r="A105" s="268">
        <v>14</v>
      </c>
      <c r="B105" s="176" t="s">
        <v>64</v>
      </c>
      <c r="C105" s="535">
        <v>583.6</v>
      </c>
      <c r="D105" s="413">
        <v>29.3</v>
      </c>
      <c r="E105" s="413"/>
      <c r="F105" s="146">
        <v>612.9</v>
      </c>
      <c r="G105" s="628">
        <f t="shared" si="24"/>
        <v>612.9</v>
      </c>
      <c r="H105" s="824">
        <v>39</v>
      </c>
      <c r="I105" s="824">
        <v>33</v>
      </c>
      <c r="J105" s="411"/>
      <c r="K105" s="400">
        <f t="shared" si="22"/>
        <v>72</v>
      </c>
      <c r="L105" s="593">
        <f t="shared" si="20"/>
        <v>9.0079365079365079E-2</v>
      </c>
      <c r="M105" s="177">
        <f t="shared" si="23"/>
        <v>181.69098015873016</v>
      </c>
      <c r="N105" s="446">
        <f t="shared" si="19"/>
        <v>66.807773404365079</v>
      </c>
      <c r="O105" s="427">
        <v>70.185337301587296</v>
      </c>
      <c r="P105" s="177">
        <f t="shared" si="17"/>
        <v>4.4931587301587301</v>
      </c>
      <c r="Q105" s="177">
        <f t="shared" si="25"/>
        <v>5.4771604920634926</v>
      </c>
      <c r="R105" s="431">
        <f t="shared" si="18"/>
        <v>0.55376499245174993</v>
      </c>
      <c r="S105" s="468">
        <v>3</v>
      </c>
      <c r="T105" s="127"/>
      <c r="U105" s="127"/>
      <c r="V105" s="127"/>
      <c r="W105" s="127"/>
      <c r="X105" s="127"/>
      <c r="Y105" s="127"/>
    </row>
    <row r="106" spans="1:25" s="6" customFormat="1" ht="15.75">
      <c r="A106" s="275">
        <v>15</v>
      </c>
      <c r="B106" s="176" t="s">
        <v>67</v>
      </c>
      <c r="C106" s="535">
        <v>851.5</v>
      </c>
      <c r="D106" s="413"/>
      <c r="E106" s="413"/>
      <c r="F106" s="146">
        <v>851.5</v>
      </c>
      <c r="G106" s="628">
        <f t="shared" si="24"/>
        <v>851.5</v>
      </c>
      <c r="H106" s="824">
        <v>128</v>
      </c>
      <c r="I106" s="824"/>
      <c r="J106" s="411"/>
      <c r="K106" s="400">
        <f t="shared" si="22"/>
        <v>128</v>
      </c>
      <c r="L106" s="593">
        <f t="shared" si="20"/>
        <v>0.15238095238095239</v>
      </c>
      <c r="M106" s="177">
        <f t="shared" si="23"/>
        <v>307.3539047619048</v>
      </c>
      <c r="N106" s="446">
        <f t="shared" si="19"/>
        <v>113.01403078095241</v>
      </c>
      <c r="O106" s="427">
        <v>118.72761904761906</v>
      </c>
      <c r="P106" s="177">
        <f t="shared" si="17"/>
        <v>7.6007619047619057</v>
      </c>
      <c r="Q106" s="177">
        <f t="shared" si="25"/>
        <v>9.2653287619047635</v>
      </c>
      <c r="R106" s="431">
        <f t="shared" si="18"/>
        <v>0.64203912682940478</v>
      </c>
      <c r="S106" s="468">
        <v>4</v>
      </c>
      <c r="T106" s="127"/>
      <c r="U106" s="127"/>
      <c r="V106" s="127"/>
      <c r="W106" s="127"/>
      <c r="X106" s="127"/>
      <c r="Y106" s="127"/>
    </row>
    <row r="107" spans="1:25" s="6" customFormat="1" ht="15.75">
      <c r="A107" s="268">
        <v>16</v>
      </c>
      <c r="B107" s="176" t="s">
        <v>68</v>
      </c>
      <c r="C107" s="535">
        <v>510.4</v>
      </c>
      <c r="D107" s="413"/>
      <c r="E107" s="413">
        <v>35.200000000000003</v>
      </c>
      <c r="F107" s="146">
        <v>510.4</v>
      </c>
      <c r="G107" s="628">
        <f t="shared" si="24"/>
        <v>545.6</v>
      </c>
      <c r="H107" s="824">
        <v>72</v>
      </c>
      <c r="I107" s="824"/>
      <c r="J107" s="411"/>
      <c r="K107" s="400">
        <f t="shared" si="22"/>
        <v>72</v>
      </c>
      <c r="L107" s="593">
        <f t="shared" si="20"/>
        <v>8.5714285714285715E-2</v>
      </c>
      <c r="M107" s="177">
        <f t="shared" si="23"/>
        <v>172.88657142857144</v>
      </c>
      <c r="N107" s="446">
        <f t="shared" si="19"/>
        <v>63.570392314285726</v>
      </c>
      <c r="O107" s="427">
        <v>66.784285714285716</v>
      </c>
      <c r="P107" s="177">
        <f t="shared" si="17"/>
        <v>4.2754285714285718</v>
      </c>
      <c r="Q107" s="177">
        <f t="shared" si="25"/>
        <v>5.2117474285714298</v>
      </c>
      <c r="R107" s="431">
        <f t="shared" si="18"/>
        <v>0.60250132842588455</v>
      </c>
      <c r="S107" s="468">
        <v>4</v>
      </c>
      <c r="T107" s="127"/>
      <c r="U107" s="127"/>
      <c r="V107" s="127"/>
      <c r="W107" s="127"/>
      <c r="X107" s="127"/>
      <c r="Y107" s="127"/>
    </row>
    <row r="108" spans="1:25" s="6" customFormat="1" ht="15.75">
      <c r="A108" s="268">
        <v>17</v>
      </c>
      <c r="B108" s="176" t="s">
        <v>69</v>
      </c>
      <c r="C108" s="535">
        <v>545.21</v>
      </c>
      <c r="D108" s="413"/>
      <c r="E108" s="413">
        <v>19.600000000000001</v>
      </c>
      <c r="F108" s="146">
        <v>545.21</v>
      </c>
      <c r="G108" s="628">
        <f t="shared" si="24"/>
        <v>564.81000000000006</v>
      </c>
      <c r="H108" s="824">
        <v>66</v>
      </c>
      <c r="I108" s="824"/>
      <c r="J108" s="411"/>
      <c r="K108" s="400">
        <f t="shared" si="22"/>
        <v>66</v>
      </c>
      <c r="L108" s="593">
        <f t="shared" si="20"/>
        <v>7.857142857142857E-2</v>
      </c>
      <c r="M108" s="177">
        <f t="shared" si="23"/>
        <v>158.47935714285714</v>
      </c>
      <c r="N108" s="446">
        <f t="shared" si="19"/>
        <v>58.272859621428573</v>
      </c>
      <c r="O108" s="427">
        <v>61.21892857142857</v>
      </c>
      <c r="P108" s="177">
        <f t="shared" si="17"/>
        <v>3.9191428571428575</v>
      </c>
      <c r="Q108" s="177">
        <f t="shared" si="25"/>
        <v>4.7774351428571435</v>
      </c>
      <c r="R108" s="431">
        <f t="shared" si="18"/>
        <v>0.51703066376782736</v>
      </c>
      <c r="S108" s="468">
        <v>4</v>
      </c>
      <c r="T108" s="127"/>
      <c r="U108" s="127"/>
      <c r="V108" s="127"/>
      <c r="W108" s="127"/>
      <c r="X108" s="127"/>
      <c r="Y108" s="127"/>
    </row>
    <row r="109" spans="1:25" s="6" customFormat="1" ht="15.75">
      <c r="A109" s="268">
        <v>18</v>
      </c>
      <c r="B109" s="176" t="s">
        <v>70</v>
      </c>
      <c r="C109" s="535">
        <v>536.25</v>
      </c>
      <c r="D109" s="413"/>
      <c r="E109" s="413"/>
      <c r="F109" s="146">
        <v>536.25</v>
      </c>
      <c r="G109" s="628">
        <f t="shared" si="24"/>
        <v>536.25</v>
      </c>
      <c r="H109" s="824">
        <v>73</v>
      </c>
      <c r="I109" s="824"/>
      <c r="J109" s="411"/>
      <c r="K109" s="400">
        <f t="shared" si="22"/>
        <v>73</v>
      </c>
      <c r="L109" s="593">
        <f t="shared" si="20"/>
        <v>8.6904761904761901E-2</v>
      </c>
      <c r="M109" s="177">
        <f t="shared" si="23"/>
        <v>175.2877738095238</v>
      </c>
      <c r="N109" s="446">
        <f t="shared" si="19"/>
        <v>64.453314429761903</v>
      </c>
      <c r="O109" s="427">
        <v>67.711845238095236</v>
      </c>
      <c r="P109" s="177">
        <f t="shared" si="17"/>
        <v>4.3348095238095237</v>
      </c>
      <c r="Q109" s="177">
        <f t="shared" si="25"/>
        <v>5.2841328095238094</v>
      </c>
      <c r="R109" s="431">
        <f t="shared" si="18"/>
        <v>0.58142236457098451</v>
      </c>
      <c r="S109" s="468">
        <v>4</v>
      </c>
      <c r="T109" s="127"/>
      <c r="U109" s="127"/>
      <c r="V109" s="127"/>
      <c r="W109" s="127"/>
      <c r="X109" s="127"/>
      <c r="Y109" s="127"/>
    </row>
    <row r="110" spans="1:25" s="6" customFormat="1" ht="15.75">
      <c r="A110" s="268">
        <v>19</v>
      </c>
      <c r="B110" s="176" t="s">
        <v>71</v>
      </c>
      <c r="C110" s="535">
        <v>534.97</v>
      </c>
      <c r="D110" s="413">
        <v>68.2</v>
      </c>
      <c r="E110" s="413"/>
      <c r="F110" s="146">
        <v>533.73</v>
      </c>
      <c r="G110" s="628">
        <f t="shared" si="24"/>
        <v>603.17000000000007</v>
      </c>
      <c r="H110" s="824">
        <v>64</v>
      </c>
      <c r="I110" s="824"/>
      <c r="J110" s="411"/>
      <c r="K110" s="400">
        <f t="shared" si="22"/>
        <v>64</v>
      </c>
      <c r="L110" s="593">
        <f t="shared" si="20"/>
        <v>7.6190476190476197E-2</v>
      </c>
      <c r="M110" s="177">
        <f t="shared" si="23"/>
        <v>153.6769523809524</v>
      </c>
      <c r="N110" s="446">
        <f t="shared" si="19"/>
        <v>56.507015390476205</v>
      </c>
      <c r="O110" s="427">
        <v>59.363809523809529</v>
      </c>
      <c r="P110" s="177">
        <f t="shared" si="17"/>
        <v>3.8003809523809529</v>
      </c>
      <c r="Q110" s="177">
        <f t="shared" si="25"/>
        <v>4.6326643809523818</v>
      </c>
      <c r="R110" s="431">
        <f t="shared" si="18"/>
        <v>0.51095978886221483</v>
      </c>
      <c r="S110" s="468">
        <v>4</v>
      </c>
      <c r="T110" s="127"/>
      <c r="U110" s="127"/>
      <c r="V110" s="127"/>
      <c r="W110" s="127"/>
      <c r="X110" s="127"/>
      <c r="Y110" s="127"/>
    </row>
    <row r="111" spans="1:25" s="6" customFormat="1" ht="15.75">
      <c r="A111" s="268">
        <v>20</v>
      </c>
      <c r="B111" s="176" t="s">
        <v>72</v>
      </c>
      <c r="C111" s="535">
        <v>191.9</v>
      </c>
      <c r="D111" s="413"/>
      <c r="E111" s="413">
        <v>35</v>
      </c>
      <c r="F111" s="146">
        <v>191.9</v>
      </c>
      <c r="G111" s="628">
        <f t="shared" si="24"/>
        <v>226.9</v>
      </c>
      <c r="H111" s="824"/>
      <c r="I111" s="824"/>
      <c r="J111" s="411"/>
      <c r="K111" s="400">
        <f t="shared" si="22"/>
        <v>0</v>
      </c>
      <c r="L111" s="593">
        <f t="shared" si="20"/>
        <v>0</v>
      </c>
      <c r="M111" s="177">
        <f t="shared" si="23"/>
        <v>0</v>
      </c>
      <c r="N111" s="446">
        <f t="shared" si="19"/>
        <v>0</v>
      </c>
      <c r="O111" s="427">
        <v>0</v>
      </c>
      <c r="P111" s="177">
        <f t="shared" si="17"/>
        <v>0</v>
      </c>
      <c r="Q111" s="177">
        <f t="shared" si="25"/>
        <v>0</v>
      </c>
      <c r="R111" s="431">
        <f t="shared" si="18"/>
        <v>0</v>
      </c>
      <c r="S111" s="468">
        <v>1</v>
      </c>
      <c r="T111" s="127"/>
      <c r="U111" s="127"/>
      <c r="V111" s="127"/>
      <c r="W111" s="127"/>
      <c r="X111" s="127"/>
      <c r="Y111" s="127"/>
    </row>
    <row r="112" spans="1:25" s="6" customFormat="1" ht="15.75">
      <c r="A112" s="268">
        <v>21</v>
      </c>
      <c r="B112" s="176" t="s">
        <v>73</v>
      </c>
      <c r="C112" s="535">
        <v>368.4</v>
      </c>
      <c r="D112" s="413"/>
      <c r="E112" s="413">
        <v>17.2</v>
      </c>
      <c r="F112" s="146">
        <v>368.4</v>
      </c>
      <c r="G112" s="628">
        <f t="shared" si="24"/>
        <v>385.59999999999997</v>
      </c>
      <c r="H112" s="824">
        <v>50</v>
      </c>
      <c r="I112" s="824"/>
      <c r="J112" s="411"/>
      <c r="K112" s="400">
        <f t="shared" si="22"/>
        <v>50</v>
      </c>
      <c r="L112" s="593">
        <f t="shared" si="20"/>
        <v>5.9523809523809521E-2</v>
      </c>
      <c r="M112" s="177">
        <f t="shared" si="23"/>
        <v>120.06011904761904</v>
      </c>
      <c r="N112" s="446">
        <f t="shared" si="19"/>
        <v>44.146105773809523</v>
      </c>
      <c r="O112" s="427">
        <v>46.37797619047619</v>
      </c>
      <c r="P112" s="177">
        <f t="shared" si="17"/>
        <v>2.9690476190476192</v>
      </c>
      <c r="Q112" s="177">
        <f t="shared" si="25"/>
        <v>3.6192690476190479</v>
      </c>
      <c r="R112" s="431">
        <f t="shared" si="18"/>
        <v>0.57967765643581004</v>
      </c>
      <c r="S112" s="468">
        <v>3</v>
      </c>
      <c r="T112" s="127"/>
      <c r="U112" s="127"/>
      <c r="V112" s="127"/>
      <c r="W112" s="127"/>
      <c r="X112" s="127"/>
      <c r="Y112" s="127"/>
    </row>
    <row r="113" spans="1:25" s="6" customFormat="1" ht="15.75">
      <c r="A113" s="275">
        <v>22</v>
      </c>
      <c r="B113" s="176" t="s">
        <v>74</v>
      </c>
      <c r="C113" s="535">
        <v>298.58</v>
      </c>
      <c r="D113" s="413">
        <v>41.6</v>
      </c>
      <c r="E113" s="413"/>
      <c r="F113" s="146">
        <v>298.58</v>
      </c>
      <c r="G113" s="628">
        <f t="shared" si="24"/>
        <v>340.18</v>
      </c>
      <c r="H113" s="824">
        <v>37</v>
      </c>
      <c r="I113" s="824"/>
      <c r="J113" s="411"/>
      <c r="K113" s="400">
        <f t="shared" si="22"/>
        <v>37</v>
      </c>
      <c r="L113" s="593">
        <f t="shared" si="20"/>
        <v>4.4047619047619051E-2</v>
      </c>
      <c r="M113" s="177">
        <f t="shared" si="23"/>
        <v>88.844488095238106</v>
      </c>
      <c r="N113" s="446">
        <f t="shared" si="19"/>
        <v>32.668118272619054</v>
      </c>
      <c r="O113" s="427">
        <v>34.319702380952386</v>
      </c>
      <c r="P113" s="177">
        <f t="shared" si="17"/>
        <v>2.1970952380952382</v>
      </c>
      <c r="Q113" s="177">
        <f t="shared" si="25"/>
        <v>2.6782590952380954</v>
      </c>
      <c r="R113" s="431">
        <f t="shared" si="18"/>
        <v>0.52926989077267328</v>
      </c>
      <c r="S113" s="468">
        <v>3</v>
      </c>
      <c r="T113" s="127"/>
      <c r="U113" s="127"/>
      <c r="V113" s="127"/>
      <c r="W113" s="127"/>
      <c r="X113" s="127"/>
      <c r="Y113" s="127"/>
    </row>
    <row r="114" spans="1:25" s="6" customFormat="1" ht="15.75">
      <c r="A114" s="268">
        <v>23</v>
      </c>
      <c r="B114" s="176" t="s">
        <v>75</v>
      </c>
      <c r="C114" s="535">
        <v>304.7</v>
      </c>
      <c r="D114" s="413"/>
      <c r="E114" s="413"/>
      <c r="F114" s="146">
        <v>380.9</v>
      </c>
      <c r="G114" s="628">
        <f t="shared" si="24"/>
        <v>304.7</v>
      </c>
      <c r="H114" s="824"/>
      <c r="I114" s="824"/>
      <c r="J114" s="411"/>
      <c r="K114" s="400">
        <f t="shared" si="22"/>
        <v>0</v>
      </c>
      <c r="L114" s="593">
        <f t="shared" si="20"/>
        <v>0</v>
      </c>
      <c r="M114" s="177">
        <f t="shared" si="23"/>
        <v>0</v>
      </c>
      <c r="N114" s="446">
        <f t="shared" si="19"/>
        <v>0</v>
      </c>
      <c r="O114" s="427">
        <v>0</v>
      </c>
      <c r="P114" s="177">
        <f t="shared" si="17"/>
        <v>0</v>
      </c>
      <c r="Q114" s="177">
        <f t="shared" si="25"/>
        <v>0</v>
      </c>
      <c r="R114" s="431">
        <f t="shared" si="18"/>
        <v>0</v>
      </c>
      <c r="S114" s="468">
        <v>1</v>
      </c>
      <c r="T114" s="127"/>
      <c r="U114" s="127"/>
      <c r="V114" s="127"/>
      <c r="W114" s="127"/>
      <c r="X114" s="127"/>
      <c r="Y114" s="127"/>
    </row>
    <row r="115" spans="1:25" s="6" customFormat="1" ht="15.75">
      <c r="A115" s="268">
        <v>24</v>
      </c>
      <c r="B115" s="176" t="s">
        <v>76</v>
      </c>
      <c r="C115" s="535">
        <v>820.07</v>
      </c>
      <c r="D115" s="413"/>
      <c r="E115" s="413">
        <v>159.9</v>
      </c>
      <c r="F115" s="146">
        <v>820.07</v>
      </c>
      <c r="G115" s="628">
        <f t="shared" si="24"/>
        <v>979.97</v>
      </c>
      <c r="H115" s="824"/>
      <c r="I115" s="824">
        <v>103</v>
      </c>
      <c r="J115" s="411"/>
      <c r="K115" s="400">
        <f t="shared" si="22"/>
        <v>103</v>
      </c>
      <c r="L115" s="593">
        <f t="shared" si="20"/>
        <v>0.13624338624338625</v>
      </c>
      <c r="M115" s="177">
        <f t="shared" si="23"/>
        <v>274.8042724867725</v>
      </c>
      <c r="N115" s="446">
        <f t="shared" si="19"/>
        <v>101.04553099338625</v>
      </c>
      <c r="O115" s="427">
        <v>106.1540343915344</v>
      </c>
      <c r="P115" s="177">
        <f t="shared" si="17"/>
        <v>6.7958201058201064</v>
      </c>
      <c r="Q115" s="177">
        <f t="shared" si="25"/>
        <v>8.2841047089947111</v>
      </c>
      <c r="R115" s="431">
        <f t="shared" si="18"/>
        <v>0.59604626187705101</v>
      </c>
      <c r="S115" s="468">
        <v>4</v>
      </c>
      <c r="T115" s="127"/>
      <c r="U115" s="127"/>
      <c r="V115" s="127"/>
      <c r="W115" s="127"/>
      <c r="X115" s="127"/>
      <c r="Y115" s="127"/>
    </row>
    <row r="116" spans="1:25" s="6" customFormat="1" ht="15.75">
      <c r="A116" s="268">
        <v>25</v>
      </c>
      <c r="B116" s="176" t="s">
        <v>77</v>
      </c>
      <c r="C116" s="535">
        <v>1330.1</v>
      </c>
      <c r="D116" s="413"/>
      <c r="E116" s="413"/>
      <c r="F116" s="146">
        <v>1330.1</v>
      </c>
      <c r="G116" s="628">
        <f t="shared" si="24"/>
        <v>1330.1</v>
      </c>
      <c r="H116" s="824">
        <v>125</v>
      </c>
      <c r="I116" s="824"/>
      <c r="J116" s="411"/>
      <c r="K116" s="400">
        <f t="shared" si="22"/>
        <v>125</v>
      </c>
      <c r="L116" s="593">
        <f t="shared" si="20"/>
        <v>0.14880952380952381</v>
      </c>
      <c r="M116" s="177">
        <f t="shared" si="23"/>
        <v>300.15029761904759</v>
      </c>
      <c r="N116" s="446">
        <f t="shared" si="19"/>
        <v>110.36526443452381</v>
      </c>
      <c r="O116" s="427">
        <v>115.94494047619047</v>
      </c>
      <c r="P116" s="177">
        <f t="shared" si="17"/>
        <v>7.4226190476190483</v>
      </c>
      <c r="Q116" s="177">
        <f t="shared" si="25"/>
        <v>9.0481726190476213</v>
      </c>
      <c r="R116" s="431">
        <f t="shared" si="18"/>
        <v>0.40138570150919545</v>
      </c>
      <c r="S116" s="468">
        <v>4</v>
      </c>
      <c r="T116" s="127"/>
      <c r="U116" s="127"/>
      <c r="V116" s="127"/>
      <c r="W116" s="127"/>
      <c r="X116" s="127"/>
      <c r="Y116" s="127"/>
    </row>
    <row r="117" spans="1:25" s="6" customFormat="1" ht="15.75">
      <c r="A117" s="268">
        <v>26</v>
      </c>
      <c r="B117" s="176" t="s">
        <v>78</v>
      </c>
      <c r="C117" s="535">
        <v>788.55</v>
      </c>
      <c r="D117" s="413">
        <v>32.1</v>
      </c>
      <c r="E117" s="413"/>
      <c r="F117" s="146">
        <v>788.55</v>
      </c>
      <c r="G117" s="628">
        <f t="shared" si="24"/>
        <v>820.65</v>
      </c>
      <c r="H117" s="824"/>
      <c r="I117" s="824">
        <v>83</v>
      </c>
      <c r="J117" s="411"/>
      <c r="K117" s="400">
        <f t="shared" si="22"/>
        <v>83</v>
      </c>
      <c r="L117" s="593">
        <f t="shared" si="20"/>
        <v>0.10978835978835978</v>
      </c>
      <c r="M117" s="177">
        <f t="shared" si="23"/>
        <v>221.44421957671958</v>
      </c>
      <c r="N117" s="446">
        <f t="shared" si="19"/>
        <v>81.425039538359798</v>
      </c>
      <c r="O117" s="427">
        <v>85.541600529100521</v>
      </c>
      <c r="P117" s="177">
        <f t="shared" si="17"/>
        <v>5.4762433862433859</v>
      </c>
      <c r="Q117" s="177">
        <f t="shared" si="25"/>
        <v>6.6755406878306882</v>
      </c>
      <c r="R117" s="431">
        <f t="shared" si="18"/>
        <v>0.4995080883018494</v>
      </c>
      <c r="S117" s="468">
        <v>3</v>
      </c>
      <c r="T117" s="127"/>
      <c r="U117" s="127"/>
      <c r="V117" s="127"/>
      <c r="W117" s="127"/>
      <c r="X117" s="127"/>
      <c r="Y117" s="127"/>
    </row>
    <row r="118" spans="1:25" s="6" customFormat="1" ht="15.75">
      <c r="A118" s="268">
        <v>27</v>
      </c>
      <c r="B118" s="176" t="s">
        <v>79</v>
      </c>
      <c r="C118" s="535">
        <v>1286.57</v>
      </c>
      <c r="D118" s="413">
        <v>132.1</v>
      </c>
      <c r="E118" s="413">
        <v>45.2</v>
      </c>
      <c r="F118" s="146">
        <v>1330.64</v>
      </c>
      <c r="G118" s="628">
        <f t="shared" si="24"/>
        <v>1463.87</v>
      </c>
      <c r="H118" s="824">
        <v>176</v>
      </c>
      <c r="I118" s="824"/>
      <c r="J118" s="411"/>
      <c r="K118" s="400">
        <f t="shared" si="22"/>
        <v>176</v>
      </c>
      <c r="L118" s="593">
        <f t="shared" si="20"/>
        <v>0.20952380952380953</v>
      </c>
      <c r="M118" s="177">
        <f t="shared" si="23"/>
        <v>422.61161904761906</v>
      </c>
      <c r="N118" s="446">
        <f t="shared" si="19"/>
        <v>155.39429232380954</v>
      </c>
      <c r="O118" s="427">
        <v>163.25047619047618</v>
      </c>
      <c r="P118" s="177">
        <f t="shared" si="17"/>
        <v>10.451047619047619</v>
      </c>
      <c r="Q118" s="177">
        <f t="shared" si="25"/>
        <v>12.739827047619048</v>
      </c>
      <c r="R118" s="431">
        <f t="shared" si="18"/>
        <v>0.58427247268392113</v>
      </c>
      <c r="S118" s="468">
        <v>4</v>
      </c>
      <c r="T118" s="127"/>
      <c r="U118" s="127"/>
      <c r="V118" s="127"/>
      <c r="W118" s="127"/>
      <c r="X118" s="127"/>
      <c r="Y118" s="127"/>
    </row>
    <row r="119" spans="1:25" s="6" customFormat="1" ht="15.75">
      <c r="A119" s="268">
        <v>28</v>
      </c>
      <c r="B119" s="176" t="s">
        <v>80</v>
      </c>
      <c r="C119" s="535">
        <v>498.78</v>
      </c>
      <c r="D119" s="413">
        <v>48.7</v>
      </c>
      <c r="E119" s="413">
        <v>47.7</v>
      </c>
      <c r="F119" s="146">
        <v>498.78</v>
      </c>
      <c r="G119" s="628">
        <f t="shared" si="24"/>
        <v>595.18000000000006</v>
      </c>
      <c r="H119" s="824"/>
      <c r="I119" s="824">
        <v>72</v>
      </c>
      <c r="J119" s="411"/>
      <c r="K119" s="400">
        <f t="shared" si="22"/>
        <v>72</v>
      </c>
      <c r="L119" s="593">
        <f t="shared" si="20"/>
        <v>9.5238095238095233E-2</v>
      </c>
      <c r="M119" s="177">
        <f t="shared" si="23"/>
        <v>192.09619047619046</v>
      </c>
      <c r="N119" s="446">
        <f t="shared" si="19"/>
        <v>70.63376923809524</v>
      </c>
      <c r="O119" s="427">
        <v>74.204761904761895</v>
      </c>
      <c r="P119" s="177">
        <f t="shared" si="17"/>
        <v>4.7504761904761903</v>
      </c>
      <c r="Q119" s="177">
        <f t="shared" si="25"/>
        <v>5.7908304761904761</v>
      </c>
      <c r="R119" s="431">
        <f t="shared" si="18"/>
        <v>0.68504189784980118</v>
      </c>
      <c r="S119" s="468">
        <v>3</v>
      </c>
      <c r="T119" s="127"/>
      <c r="U119" s="127"/>
      <c r="V119" s="127"/>
      <c r="W119" s="127"/>
      <c r="X119" s="127"/>
      <c r="Y119" s="127"/>
    </row>
    <row r="120" spans="1:25" s="6" customFormat="1" ht="15.75">
      <c r="A120" s="275">
        <v>29</v>
      </c>
      <c r="B120" s="176" t="s">
        <v>81</v>
      </c>
      <c r="C120" s="535">
        <v>142</v>
      </c>
      <c r="D120" s="413"/>
      <c r="E120" s="413"/>
      <c r="F120" s="146">
        <v>142</v>
      </c>
      <c r="G120" s="628">
        <f t="shared" si="24"/>
        <v>142</v>
      </c>
      <c r="H120" s="824"/>
      <c r="I120" s="824"/>
      <c r="J120" s="411"/>
      <c r="K120" s="400">
        <f t="shared" si="22"/>
        <v>0</v>
      </c>
      <c r="L120" s="593">
        <f t="shared" si="20"/>
        <v>0</v>
      </c>
      <c r="M120" s="177">
        <f t="shared" si="23"/>
        <v>0</v>
      </c>
      <c r="N120" s="446">
        <f t="shared" si="19"/>
        <v>0</v>
      </c>
      <c r="O120" s="427">
        <v>0</v>
      </c>
      <c r="P120" s="177">
        <f t="shared" si="17"/>
        <v>0</v>
      </c>
      <c r="Q120" s="177">
        <f t="shared" si="25"/>
        <v>0</v>
      </c>
      <c r="R120" s="431">
        <f t="shared" si="18"/>
        <v>0</v>
      </c>
      <c r="S120" s="468">
        <v>1</v>
      </c>
      <c r="T120" s="127"/>
      <c r="U120" s="127"/>
      <c r="V120" s="127"/>
      <c r="W120" s="127"/>
      <c r="X120" s="127"/>
      <c r="Y120" s="127"/>
    </row>
    <row r="121" spans="1:25" s="6" customFormat="1" ht="15.75">
      <c r="A121" s="268">
        <v>30</v>
      </c>
      <c r="B121" s="176" t="s">
        <v>82</v>
      </c>
      <c r="C121" s="535">
        <v>537.64</v>
      </c>
      <c r="D121" s="413">
        <v>39.299999999999997</v>
      </c>
      <c r="E121" s="413"/>
      <c r="F121" s="146">
        <v>537.66</v>
      </c>
      <c r="G121" s="628">
        <f t="shared" si="24"/>
        <v>576.93999999999994</v>
      </c>
      <c r="H121" s="824">
        <v>83</v>
      </c>
      <c r="I121" s="824"/>
      <c r="J121" s="411"/>
      <c r="K121" s="400">
        <f t="shared" si="22"/>
        <v>83</v>
      </c>
      <c r="L121" s="593">
        <f t="shared" si="20"/>
        <v>9.8809523809523805E-2</v>
      </c>
      <c r="M121" s="177">
        <f t="shared" si="23"/>
        <v>199.29979761904761</v>
      </c>
      <c r="N121" s="446">
        <f t="shared" si="19"/>
        <v>73.282535584523814</v>
      </c>
      <c r="O121" s="427">
        <v>76.987440476190471</v>
      </c>
      <c r="P121" s="177">
        <f t="shared" si="17"/>
        <v>4.9286190476190477</v>
      </c>
      <c r="Q121" s="177">
        <f t="shared" si="25"/>
        <v>6.0079866190476192</v>
      </c>
      <c r="R121" s="431">
        <f t="shared" si="18"/>
        <v>0.65936015312733598</v>
      </c>
      <c r="S121" s="468">
        <v>4</v>
      </c>
      <c r="T121" s="127"/>
      <c r="U121" s="127"/>
      <c r="V121" s="127"/>
      <c r="W121" s="127"/>
      <c r="X121" s="127"/>
      <c r="Y121" s="127"/>
    </row>
    <row r="122" spans="1:25" s="6" customFormat="1" ht="15.75">
      <c r="A122" s="268">
        <v>31</v>
      </c>
      <c r="B122" s="176" t="s">
        <v>83</v>
      </c>
      <c r="C122" s="535">
        <v>587.76</v>
      </c>
      <c r="D122" s="413"/>
      <c r="E122" s="413"/>
      <c r="F122" s="146">
        <v>580.66</v>
      </c>
      <c r="G122" s="628">
        <f t="shared" si="24"/>
        <v>587.76</v>
      </c>
      <c r="H122" s="824">
        <v>87</v>
      </c>
      <c r="I122" s="824"/>
      <c r="J122" s="411"/>
      <c r="K122" s="400">
        <f t="shared" si="22"/>
        <v>87</v>
      </c>
      <c r="L122" s="593">
        <f t="shared" si="20"/>
        <v>0.10357142857142858</v>
      </c>
      <c r="M122" s="177">
        <f t="shared" si="23"/>
        <v>208.90460714285715</v>
      </c>
      <c r="N122" s="446">
        <f t="shared" si="19"/>
        <v>76.814224046428578</v>
      </c>
      <c r="O122" s="427">
        <v>80.697678571428568</v>
      </c>
      <c r="P122" s="177">
        <f t="shared" si="17"/>
        <v>5.1661428571428578</v>
      </c>
      <c r="Q122" s="177">
        <f t="shared" si="25"/>
        <v>6.2975281428571437</v>
      </c>
      <c r="R122" s="431">
        <f t="shared" si="18"/>
        <v>0.63220132812348095</v>
      </c>
      <c r="S122" s="468">
        <v>4</v>
      </c>
      <c r="T122" s="127"/>
      <c r="U122" s="127"/>
      <c r="V122" s="127"/>
      <c r="W122" s="127"/>
      <c r="X122" s="127"/>
      <c r="Y122" s="127"/>
    </row>
    <row r="123" spans="1:25" s="6" customFormat="1" ht="15.75">
      <c r="A123" s="268">
        <v>32</v>
      </c>
      <c r="B123" s="176" t="s">
        <v>84</v>
      </c>
      <c r="C123" s="535">
        <v>1869.7</v>
      </c>
      <c r="D123" s="413"/>
      <c r="E123" s="413">
        <v>22</v>
      </c>
      <c r="F123" s="146">
        <v>1901.9</v>
      </c>
      <c r="G123" s="628">
        <f t="shared" si="24"/>
        <v>1891.7</v>
      </c>
      <c r="H123" s="824">
        <v>120</v>
      </c>
      <c r="I123" s="824"/>
      <c r="J123" s="411"/>
      <c r="K123" s="400">
        <f t="shared" si="22"/>
        <v>120</v>
      </c>
      <c r="L123" s="593">
        <f t="shared" si="20"/>
        <v>0.14285714285714285</v>
      </c>
      <c r="M123" s="177">
        <f t="shared" si="23"/>
        <v>288.14428571428567</v>
      </c>
      <c r="N123" s="446">
        <f t="shared" si="19"/>
        <v>105.95065385714285</v>
      </c>
      <c r="O123" s="427">
        <v>111.30714285714285</v>
      </c>
      <c r="P123" s="177">
        <f t="shared" si="17"/>
        <v>7.1257142857142854</v>
      </c>
      <c r="Q123" s="177">
        <f t="shared" si="25"/>
        <v>8.6862457142857146</v>
      </c>
      <c r="R123" s="431">
        <f t="shared" si="18"/>
        <v>0.2741230126299864</v>
      </c>
      <c r="S123" s="468">
        <v>5</v>
      </c>
      <c r="T123" s="127"/>
      <c r="U123" s="127"/>
      <c r="V123" s="127"/>
      <c r="W123" s="127"/>
      <c r="X123" s="127"/>
      <c r="Y123" s="127"/>
    </row>
    <row r="124" spans="1:25" s="6" customFormat="1" ht="15.75">
      <c r="A124" s="268">
        <v>33</v>
      </c>
      <c r="B124" s="176" t="s">
        <v>85</v>
      </c>
      <c r="C124" s="535">
        <v>262.7</v>
      </c>
      <c r="D124" s="413"/>
      <c r="E124" s="413"/>
      <c r="F124" s="146">
        <v>262.7</v>
      </c>
      <c r="G124" s="628">
        <f t="shared" si="24"/>
        <v>262.7</v>
      </c>
      <c r="H124" s="824"/>
      <c r="I124" s="824"/>
      <c r="J124" s="411"/>
      <c r="K124" s="400">
        <f t="shared" si="22"/>
        <v>0</v>
      </c>
      <c r="L124" s="593">
        <f t="shared" si="20"/>
        <v>0</v>
      </c>
      <c r="M124" s="177">
        <f t="shared" si="23"/>
        <v>0</v>
      </c>
      <c r="N124" s="446">
        <f t="shared" si="19"/>
        <v>0</v>
      </c>
      <c r="O124" s="427">
        <v>0</v>
      </c>
      <c r="P124" s="177">
        <f t="shared" si="17"/>
        <v>0</v>
      </c>
      <c r="Q124" s="177">
        <f t="shared" si="25"/>
        <v>0</v>
      </c>
      <c r="R124" s="431">
        <f t="shared" si="18"/>
        <v>0</v>
      </c>
      <c r="S124" s="468">
        <v>2</v>
      </c>
      <c r="T124" s="127"/>
      <c r="U124" s="127"/>
      <c r="V124" s="127"/>
      <c r="W124" s="127"/>
      <c r="X124" s="127"/>
      <c r="Y124" s="127"/>
    </row>
    <row r="125" spans="1:25" s="6" customFormat="1" ht="15.75">
      <c r="A125" s="268">
        <v>34</v>
      </c>
      <c r="B125" s="176" t="s">
        <v>86</v>
      </c>
      <c r="C125" s="535">
        <v>1857.4</v>
      </c>
      <c r="D125" s="413"/>
      <c r="E125" s="413"/>
      <c r="F125" s="146">
        <v>1857.4</v>
      </c>
      <c r="G125" s="628">
        <f t="shared" si="24"/>
        <v>1857.4</v>
      </c>
      <c r="H125" s="824">
        <v>118</v>
      </c>
      <c r="I125" s="824"/>
      <c r="J125" s="411"/>
      <c r="K125" s="400">
        <f t="shared" si="22"/>
        <v>118</v>
      </c>
      <c r="L125" s="593">
        <f t="shared" si="20"/>
        <v>0.14047619047619048</v>
      </c>
      <c r="M125" s="177">
        <f t="shared" si="23"/>
        <v>283.34188095238096</v>
      </c>
      <c r="N125" s="446">
        <f t="shared" si="19"/>
        <v>104.18480962619049</v>
      </c>
      <c r="O125" s="427">
        <v>109.45202380952381</v>
      </c>
      <c r="P125" s="177">
        <f t="shared" si="17"/>
        <v>7.0069523809523817</v>
      </c>
      <c r="Q125" s="177">
        <f t="shared" si="25"/>
        <v>8.5414749523809537</v>
      </c>
      <c r="R125" s="431">
        <f t="shared" si="18"/>
        <v>0.27133932743030448</v>
      </c>
      <c r="S125" s="468">
        <v>5</v>
      </c>
      <c r="T125" s="127"/>
      <c r="U125" s="127"/>
      <c r="V125" s="127"/>
      <c r="W125" s="127"/>
      <c r="X125" s="127"/>
      <c r="Y125" s="127"/>
    </row>
    <row r="126" spans="1:25" s="6" customFormat="1" ht="15.75">
      <c r="A126" s="268">
        <v>35</v>
      </c>
      <c r="B126" s="176" t="s">
        <v>87</v>
      </c>
      <c r="C126" s="535">
        <v>2470.1999999999998</v>
      </c>
      <c r="D126" s="413"/>
      <c r="E126" s="413"/>
      <c r="F126" s="146">
        <v>2470.1999999999998</v>
      </c>
      <c r="G126" s="628">
        <f t="shared" si="24"/>
        <v>2470.1999999999998</v>
      </c>
      <c r="H126" s="824">
        <v>200</v>
      </c>
      <c r="I126" s="824"/>
      <c r="J126" s="411"/>
      <c r="K126" s="400">
        <f t="shared" si="22"/>
        <v>200</v>
      </c>
      <c r="L126" s="593">
        <f t="shared" si="20"/>
        <v>0.23809523809523808</v>
      </c>
      <c r="M126" s="177">
        <f t="shared" si="23"/>
        <v>480.24047619047616</v>
      </c>
      <c r="N126" s="446">
        <f t="shared" si="19"/>
        <v>176.58442309523809</v>
      </c>
      <c r="O126" s="427">
        <v>185.51190476190476</v>
      </c>
      <c r="P126" s="177">
        <f t="shared" si="17"/>
        <v>11.876190476190477</v>
      </c>
      <c r="Q126" s="177">
        <f t="shared" si="25"/>
        <v>14.477076190476192</v>
      </c>
      <c r="R126" s="431">
        <f t="shared" si="18"/>
        <v>0.34580721987037877</v>
      </c>
      <c r="S126" s="468">
        <v>5</v>
      </c>
      <c r="T126" s="127"/>
      <c r="U126" s="127"/>
      <c r="V126" s="127"/>
      <c r="W126" s="127"/>
      <c r="X126" s="127"/>
      <c r="Y126" s="127"/>
    </row>
    <row r="127" spans="1:25" s="6" customFormat="1" ht="15.75">
      <c r="A127" s="275">
        <v>36</v>
      </c>
      <c r="B127" s="176" t="s">
        <v>88</v>
      </c>
      <c r="C127" s="535">
        <v>121.8</v>
      </c>
      <c r="D127" s="413"/>
      <c r="E127" s="413"/>
      <c r="F127" s="146">
        <v>121.8</v>
      </c>
      <c r="G127" s="628">
        <f t="shared" si="24"/>
        <v>121.8</v>
      </c>
      <c r="H127" s="824"/>
      <c r="I127" s="824"/>
      <c r="J127" s="411"/>
      <c r="K127" s="400">
        <f t="shared" si="22"/>
        <v>0</v>
      </c>
      <c r="L127" s="593">
        <f t="shared" si="20"/>
        <v>0</v>
      </c>
      <c r="M127" s="177">
        <f t="shared" si="23"/>
        <v>0</v>
      </c>
      <c r="N127" s="446">
        <f t="shared" si="19"/>
        <v>0</v>
      </c>
      <c r="O127" s="427">
        <v>0</v>
      </c>
      <c r="P127" s="177">
        <f t="shared" si="17"/>
        <v>0</v>
      </c>
      <c r="Q127" s="177">
        <f t="shared" si="25"/>
        <v>0</v>
      </c>
      <c r="R127" s="431">
        <f t="shared" si="18"/>
        <v>0</v>
      </c>
      <c r="S127" s="468">
        <v>1</v>
      </c>
      <c r="T127" s="127"/>
      <c r="U127" s="127"/>
      <c r="V127" s="127"/>
      <c r="W127" s="127"/>
      <c r="X127" s="127"/>
      <c r="Y127" s="127"/>
    </row>
    <row r="128" spans="1:25" s="6" customFormat="1" ht="15.75">
      <c r="A128" s="268">
        <v>37</v>
      </c>
      <c r="B128" s="176" t="s">
        <v>89</v>
      </c>
      <c r="C128" s="535">
        <v>1831.3</v>
      </c>
      <c r="D128" s="413"/>
      <c r="E128" s="413"/>
      <c r="F128" s="146">
        <v>1831.3</v>
      </c>
      <c r="G128" s="628">
        <f t="shared" si="24"/>
        <v>1831.3</v>
      </c>
      <c r="H128" s="824">
        <v>240</v>
      </c>
      <c r="I128" s="824"/>
      <c r="J128" s="411"/>
      <c r="K128" s="400">
        <f t="shared" si="22"/>
        <v>240</v>
      </c>
      <c r="L128" s="593">
        <f t="shared" si="20"/>
        <v>0.2857142857142857</v>
      </c>
      <c r="M128" s="177">
        <f t="shared" si="23"/>
        <v>576.28857142857134</v>
      </c>
      <c r="N128" s="446">
        <f t="shared" si="19"/>
        <v>211.90130771428571</v>
      </c>
      <c r="O128" s="427">
        <v>222.6142857142857</v>
      </c>
      <c r="P128" s="177">
        <f t="shared" si="17"/>
        <v>14.251428571428571</v>
      </c>
      <c r="Q128" s="177">
        <f t="shared" si="25"/>
        <v>17.372491428571429</v>
      </c>
      <c r="R128" s="431">
        <f t="shared" si="18"/>
        <v>0.55974203758454177</v>
      </c>
      <c r="S128" s="468">
        <v>5</v>
      </c>
      <c r="T128" s="127"/>
      <c r="U128" s="127"/>
      <c r="V128" s="127"/>
      <c r="W128" s="127"/>
      <c r="X128" s="127"/>
      <c r="Y128" s="127"/>
    </row>
    <row r="129" spans="1:25" s="6" customFormat="1" ht="15.75">
      <c r="A129" s="268">
        <v>38</v>
      </c>
      <c r="B129" s="176" t="s">
        <v>90</v>
      </c>
      <c r="C129" s="535">
        <v>1844.3</v>
      </c>
      <c r="D129" s="413"/>
      <c r="E129" s="413"/>
      <c r="F129" s="146">
        <v>1843.4</v>
      </c>
      <c r="G129" s="628">
        <f t="shared" si="24"/>
        <v>1844.3</v>
      </c>
      <c r="H129" s="824">
        <v>248</v>
      </c>
      <c r="I129" s="824"/>
      <c r="J129" s="411"/>
      <c r="K129" s="400">
        <f t="shared" si="22"/>
        <v>248</v>
      </c>
      <c r="L129" s="593">
        <f t="shared" si="20"/>
        <v>0.29523809523809524</v>
      </c>
      <c r="M129" s="177">
        <f t="shared" si="23"/>
        <v>595.49819047619053</v>
      </c>
      <c r="N129" s="446">
        <f t="shared" si="19"/>
        <v>218.96468463809526</v>
      </c>
      <c r="O129" s="427">
        <v>230.03476190476189</v>
      </c>
      <c r="P129" s="177">
        <f t="shared" si="17"/>
        <v>14.726476190476191</v>
      </c>
      <c r="Q129" s="177">
        <f t="shared" si="25"/>
        <v>17.95157447619048</v>
      </c>
      <c r="R129" s="431">
        <f t="shared" si="18"/>
        <v>0.5743231107788993</v>
      </c>
      <c r="S129" s="468">
        <v>5</v>
      </c>
      <c r="T129" s="127"/>
      <c r="U129" s="127"/>
      <c r="V129" s="127"/>
      <c r="W129" s="127"/>
      <c r="X129" s="127"/>
      <c r="Y129" s="127"/>
    </row>
    <row r="130" spans="1:25" s="6" customFormat="1" ht="15.75">
      <c r="A130" s="268">
        <v>39</v>
      </c>
      <c r="B130" s="176" t="s">
        <v>91</v>
      </c>
      <c r="C130" s="535">
        <v>193.76</v>
      </c>
      <c r="D130" s="413"/>
      <c r="E130" s="413"/>
      <c r="F130" s="146">
        <v>193.76</v>
      </c>
      <c r="G130" s="628">
        <f t="shared" si="24"/>
        <v>193.76</v>
      </c>
      <c r="H130" s="824"/>
      <c r="I130" s="824"/>
      <c r="J130" s="411"/>
      <c r="K130" s="400">
        <f t="shared" si="22"/>
        <v>0</v>
      </c>
      <c r="L130" s="593">
        <f t="shared" si="20"/>
        <v>0</v>
      </c>
      <c r="M130" s="177">
        <f t="shared" si="23"/>
        <v>0</v>
      </c>
      <c r="N130" s="446">
        <f t="shared" si="19"/>
        <v>0</v>
      </c>
      <c r="O130" s="427">
        <v>0</v>
      </c>
      <c r="P130" s="177">
        <f t="shared" si="17"/>
        <v>0</v>
      </c>
      <c r="Q130" s="177">
        <f t="shared" si="25"/>
        <v>0</v>
      </c>
      <c r="R130" s="431">
        <f t="shared" si="18"/>
        <v>0</v>
      </c>
      <c r="S130" s="468">
        <v>2</v>
      </c>
      <c r="T130" s="127"/>
      <c r="U130" s="127"/>
      <c r="V130" s="127"/>
      <c r="W130" s="127"/>
      <c r="X130" s="127"/>
      <c r="Y130" s="127"/>
    </row>
    <row r="131" spans="1:25" s="6" customFormat="1" ht="15.75">
      <c r="A131" s="268">
        <v>40</v>
      </c>
      <c r="B131" s="176" t="s">
        <v>92</v>
      </c>
      <c r="C131" s="535">
        <v>1841.4</v>
      </c>
      <c r="D131" s="413"/>
      <c r="E131" s="413"/>
      <c r="F131" s="146">
        <v>1841.5</v>
      </c>
      <c r="G131" s="628">
        <f t="shared" si="24"/>
        <v>1841.4</v>
      </c>
      <c r="H131" s="824">
        <v>200</v>
      </c>
      <c r="I131" s="824"/>
      <c r="J131" s="411"/>
      <c r="K131" s="400">
        <f t="shared" si="22"/>
        <v>200</v>
      </c>
      <c r="L131" s="593">
        <f t="shared" si="20"/>
        <v>0.23809523809523808</v>
      </c>
      <c r="M131" s="177">
        <f t="shared" si="23"/>
        <v>480.24047619047616</v>
      </c>
      <c r="N131" s="446">
        <f t="shared" si="19"/>
        <v>176.58442309523809</v>
      </c>
      <c r="O131" s="427">
        <v>185.51190476190476</v>
      </c>
      <c r="P131" s="177">
        <f t="shared" si="17"/>
        <v>11.876190476190477</v>
      </c>
      <c r="Q131" s="177">
        <f t="shared" si="25"/>
        <v>14.477076190476192</v>
      </c>
      <c r="R131" s="431">
        <f t="shared" si="18"/>
        <v>0.46389323043543473</v>
      </c>
      <c r="S131" s="468">
        <v>5</v>
      </c>
      <c r="T131" s="127"/>
      <c r="U131" s="127"/>
      <c r="V131" s="127"/>
      <c r="W131" s="127"/>
      <c r="X131" s="127"/>
      <c r="Y131" s="127"/>
    </row>
    <row r="132" spans="1:25" s="6" customFormat="1" ht="15.75">
      <c r="A132" s="268">
        <v>41</v>
      </c>
      <c r="B132" s="176" t="s">
        <v>93</v>
      </c>
      <c r="C132" s="535">
        <v>262.3</v>
      </c>
      <c r="D132" s="413"/>
      <c r="E132" s="413"/>
      <c r="F132" s="146">
        <v>223.3</v>
      </c>
      <c r="G132" s="628">
        <f t="shared" si="24"/>
        <v>262.3</v>
      </c>
      <c r="H132" s="824"/>
      <c r="I132" s="824"/>
      <c r="J132" s="411"/>
      <c r="K132" s="400">
        <f t="shared" si="22"/>
        <v>0</v>
      </c>
      <c r="L132" s="593">
        <f t="shared" si="20"/>
        <v>0</v>
      </c>
      <c r="M132" s="177">
        <f t="shared" si="23"/>
        <v>0</v>
      </c>
      <c r="N132" s="446">
        <f t="shared" si="19"/>
        <v>0</v>
      </c>
      <c r="O132" s="427">
        <v>0</v>
      </c>
      <c r="P132" s="177">
        <f t="shared" si="17"/>
        <v>0</v>
      </c>
      <c r="Q132" s="177">
        <f t="shared" si="25"/>
        <v>0</v>
      </c>
      <c r="R132" s="431">
        <f t="shared" si="18"/>
        <v>0</v>
      </c>
      <c r="S132" s="468">
        <v>2</v>
      </c>
      <c r="T132" s="127"/>
      <c r="U132" s="127"/>
      <c r="V132" s="127"/>
      <c r="W132" s="127"/>
      <c r="X132" s="127"/>
      <c r="Y132" s="127"/>
    </row>
    <row r="133" spans="1:25" s="6" customFormat="1" ht="15.75">
      <c r="A133" s="268">
        <v>42</v>
      </c>
      <c r="B133" s="176" t="s">
        <v>94</v>
      </c>
      <c r="C133" s="535">
        <v>94.7</v>
      </c>
      <c r="D133" s="413"/>
      <c r="E133" s="413"/>
      <c r="F133" s="146">
        <v>94.7</v>
      </c>
      <c r="G133" s="628">
        <f t="shared" si="24"/>
        <v>94.7</v>
      </c>
      <c r="H133" s="824"/>
      <c r="I133" s="824"/>
      <c r="J133" s="411"/>
      <c r="K133" s="400">
        <f t="shared" si="22"/>
        <v>0</v>
      </c>
      <c r="L133" s="593">
        <f t="shared" si="20"/>
        <v>0</v>
      </c>
      <c r="M133" s="177">
        <f t="shared" si="23"/>
        <v>0</v>
      </c>
      <c r="N133" s="446">
        <f t="shared" si="19"/>
        <v>0</v>
      </c>
      <c r="O133" s="427">
        <v>0</v>
      </c>
      <c r="P133" s="177">
        <f t="shared" si="17"/>
        <v>0</v>
      </c>
      <c r="Q133" s="177">
        <f t="shared" si="25"/>
        <v>0</v>
      </c>
      <c r="R133" s="431">
        <f t="shared" si="18"/>
        <v>0</v>
      </c>
      <c r="S133" s="468">
        <v>1</v>
      </c>
      <c r="T133" s="127"/>
      <c r="U133" s="127"/>
      <c r="V133" s="127"/>
      <c r="W133" s="127"/>
      <c r="X133" s="127"/>
      <c r="Y133" s="127"/>
    </row>
    <row r="134" spans="1:25" s="6" customFormat="1" ht="15.75">
      <c r="A134" s="275">
        <v>43</v>
      </c>
      <c r="B134" s="176" t="s">
        <v>95</v>
      </c>
      <c r="C134" s="535">
        <v>38</v>
      </c>
      <c r="D134" s="413"/>
      <c r="E134" s="413"/>
      <c r="F134" s="146">
        <v>38</v>
      </c>
      <c r="G134" s="628">
        <f t="shared" si="24"/>
        <v>38</v>
      </c>
      <c r="H134" s="824"/>
      <c r="I134" s="824"/>
      <c r="J134" s="411"/>
      <c r="K134" s="400">
        <f t="shared" si="22"/>
        <v>0</v>
      </c>
      <c r="L134" s="593">
        <f t="shared" si="20"/>
        <v>0</v>
      </c>
      <c r="M134" s="177">
        <f t="shared" si="23"/>
        <v>0</v>
      </c>
      <c r="N134" s="446">
        <f t="shared" si="19"/>
        <v>0</v>
      </c>
      <c r="O134" s="427">
        <v>0</v>
      </c>
      <c r="P134" s="177">
        <f t="shared" si="17"/>
        <v>0</v>
      </c>
      <c r="Q134" s="177">
        <f t="shared" si="25"/>
        <v>0</v>
      </c>
      <c r="R134" s="431">
        <f t="shared" si="18"/>
        <v>0</v>
      </c>
      <c r="S134" s="468">
        <v>1</v>
      </c>
      <c r="T134" s="127"/>
      <c r="U134" s="127"/>
      <c r="V134" s="127"/>
      <c r="W134" s="127"/>
      <c r="X134" s="127"/>
      <c r="Y134" s="127"/>
    </row>
    <row r="135" spans="1:25" s="6" customFormat="1" ht="15.75">
      <c r="A135" s="268">
        <v>44</v>
      </c>
      <c r="B135" s="176" t="s">
        <v>96</v>
      </c>
      <c r="C135" s="535">
        <v>1687.6</v>
      </c>
      <c r="D135" s="413">
        <v>124.8</v>
      </c>
      <c r="E135" s="413"/>
      <c r="F135" s="146">
        <v>1687.6</v>
      </c>
      <c r="G135" s="628">
        <f t="shared" si="24"/>
        <v>1812.3999999999999</v>
      </c>
      <c r="H135" s="824">
        <v>200</v>
      </c>
      <c r="I135" s="824"/>
      <c r="J135" s="411"/>
      <c r="K135" s="400">
        <f t="shared" si="22"/>
        <v>200</v>
      </c>
      <c r="L135" s="593">
        <f t="shared" si="20"/>
        <v>0.23809523809523808</v>
      </c>
      <c r="M135" s="177">
        <f t="shared" si="23"/>
        <v>480.24047619047616</v>
      </c>
      <c r="N135" s="446">
        <f t="shared" si="19"/>
        <v>176.58442309523809</v>
      </c>
      <c r="O135" s="427">
        <v>185.51190476190476</v>
      </c>
      <c r="P135" s="177">
        <f t="shared" ref="P135:P198" si="26">L135*49.88</f>
        <v>11.876190476190477</v>
      </c>
      <c r="Q135" s="177">
        <f t="shared" si="25"/>
        <v>14.477076190476192</v>
      </c>
      <c r="R135" s="431">
        <f t="shared" ref="R135:R198" si="27">(M135+N135+O135+P135)/C135</f>
        <v>0.50617029777424127</v>
      </c>
      <c r="S135" s="468">
        <v>5</v>
      </c>
      <c r="T135" s="127"/>
      <c r="U135" s="127"/>
      <c r="V135" s="127"/>
      <c r="W135" s="127"/>
      <c r="X135" s="127"/>
      <c r="Y135" s="127"/>
    </row>
    <row r="136" spans="1:25" s="6" customFormat="1" ht="15.75">
      <c r="A136" s="268">
        <v>45</v>
      </c>
      <c r="B136" s="176" t="s">
        <v>97</v>
      </c>
      <c r="C136" s="535">
        <v>155.80000000000001</v>
      </c>
      <c r="D136" s="413"/>
      <c r="E136" s="413"/>
      <c r="F136" s="146">
        <v>155.80000000000001</v>
      </c>
      <c r="G136" s="628">
        <f t="shared" si="24"/>
        <v>155.80000000000001</v>
      </c>
      <c r="H136" s="824"/>
      <c r="I136" s="824"/>
      <c r="J136" s="411"/>
      <c r="K136" s="400">
        <f t="shared" si="22"/>
        <v>0</v>
      </c>
      <c r="L136" s="593">
        <f t="shared" si="20"/>
        <v>0</v>
      </c>
      <c r="M136" s="177">
        <f t="shared" si="23"/>
        <v>0</v>
      </c>
      <c r="N136" s="446">
        <f t="shared" si="19"/>
        <v>0</v>
      </c>
      <c r="O136" s="427">
        <v>0</v>
      </c>
      <c r="P136" s="177">
        <f t="shared" si="26"/>
        <v>0</v>
      </c>
      <c r="Q136" s="177">
        <f t="shared" si="25"/>
        <v>0</v>
      </c>
      <c r="R136" s="431">
        <f t="shared" si="27"/>
        <v>0</v>
      </c>
      <c r="S136" s="468">
        <v>2</v>
      </c>
      <c r="T136" s="127"/>
      <c r="U136" s="127"/>
      <c r="V136" s="127"/>
      <c r="W136" s="127"/>
      <c r="X136" s="127"/>
      <c r="Y136" s="127"/>
    </row>
    <row r="137" spans="1:25" s="6" customFormat="1" ht="15.75">
      <c r="A137" s="268">
        <v>46</v>
      </c>
      <c r="B137" s="176" t="s">
        <v>98</v>
      </c>
      <c r="C137" s="535">
        <v>378.1</v>
      </c>
      <c r="D137" s="413"/>
      <c r="E137" s="413"/>
      <c r="F137" s="146">
        <v>378.1</v>
      </c>
      <c r="G137" s="628">
        <f t="shared" si="24"/>
        <v>378.1</v>
      </c>
      <c r="H137" s="824">
        <v>36</v>
      </c>
      <c r="I137" s="824"/>
      <c r="J137" s="411"/>
      <c r="K137" s="400">
        <f t="shared" si="22"/>
        <v>36</v>
      </c>
      <c r="L137" s="593">
        <f t="shared" si="20"/>
        <v>4.2857142857142858E-2</v>
      </c>
      <c r="M137" s="177">
        <f t="shared" si="23"/>
        <v>86.443285714285722</v>
      </c>
      <c r="N137" s="446">
        <f t="shared" si="19"/>
        <v>31.785196157142863</v>
      </c>
      <c r="O137" s="427">
        <v>33.392142857142858</v>
      </c>
      <c r="P137" s="177">
        <f t="shared" si="26"/>
        <v>2.1377142857142859</v>
      </c>
      <c r="Q137" s="177">
        <f t="shared" si="25"/>
        <v>2.6058737142857149</v>
      </c>
      <c r="R137" s="431">
        <f t="shared" si="27"/>
        <v>0.4066605104847546</v>
      </c>
      <c r="S137" s="468">
        <v>3</v>
      </c>
      <c r="T137" s="127"/>
      <c r="U137" s="127"/>
      <c r="V137" s="127"/>
      <c r="W137" s="127"/>
      <c r="X137" s="127"/>
      <c r="Y137" s="127"/>
    </row>
    <row r="138" spans="1:25" s="6" customFormat="1" ht="15.75">
      <c r="A138" s="268">
        <v>47</v>
      </c>
      <c r="B138" s="176" t="s">
        <v>99</v>
      </c>
      <c r="C138" s="535">
        <v>120.9</v>
      </c>
      <c r="D138" s="413"/>
      <c r="E138" s="413"/>
      <c r="F138" s="146">
        <v>120.9</v>
      </c>
      <c r="G138" s="628">
        <f t="shared" si="24"/>
        <v>120.9</v>
      </c>
      <c r="H138" s="824">
        <v>0</v>
      </c>
      <c r="I138" s="824"/>
      <c r="J138" s="411"/>
      <c r="K138" s="400">
        <f t="shared" si="22"/>
        <v>0</v>
      </c>
      <c r="L138" s="593">
        <f t="shared" si="20"/>
        <v>0</v>
      </c>
      <c r="M138" s="177">
        <f t="shared" si="23"/>
        <v>0</v>
      </c>
      <c r="N138" s="446">
        <f t="shared" si="19"/>
        <v>0</v>
      </c>
      <c r="O138" s="427">
        <v>0</v>
      </c>
      <c r="P138" s="177">
        <f t="shared" si="26"/>
        <v>0</v>
      </c>
      <c r="Q138" s="177">
        <f t="shared" si="25"/>
        <v>0</v>
      </c>
      <c r="R138" s="431">
        <f t="shared" si="27"/>
        <v>0</v>
      </c>
      <c r="S138" s="468">
        <v>2</v>
      </c>
      <c r="T138" s="127"/>
      <c r="U138" s="127"/>
      <c r="V138" s="127"/>
      <c r="W138" s="127"/>
      <c r="X138" s="127"/>
      <c r="Y138" s="127"/>
    </row>
    <row r="139" spans="1:25" s="6" customFormat="1" ht="15.75">
      <c r="A139" s="268">
        <v>48</v>
      </c>
      <c r="B139" s="176" t="s">
        <v>100</v>
      </c>
      <c r="C139" s="535">
        <v>2458.6999999999998</v>
      </c>
      <c r="D139" s="413"/>
      <c r="E139" s="413">
        <v>90.3</v>
      </c>
      <c r="F139" s="146">
        <v>2458.6999999999998</v>
      </c>
      <c r="G139" s="628">
        <f t="shared" si="24"/>
        <v>2549</v>
      </c>
      <c r="H139" s="824">
        <v>177</v>
      </c>
      <c r="I139" s="824"/>
      <c r="J139" s="411"/>
      <c r="K139" s="400">
        <f t="shared" si="22"/>
        <v>177</v>
      </c>
      <c r="L139" s="593">
        <f t="shared" si="20"/>
        <v>0.21071428571428572</v>
      </c>
      <c r="M139" s="177">
        <f t="shared" si="23"/>
        <v>425.01282142857144</v>
      </c>
      <c r="N139" s="446">
        <f t="shared" si="19"/>
        <v>156.27721443928573</v>
      </c>
      <c r="O139" s="427">
        <v>164.1780357142857</v>
      </c>
      <c r="P139" s="177">
        <f t="shared" si="26"/>
        <v>10.510428571428571</v>
      </c>
      <c r="Q139" s="177">
        <f t="shared" si="25"/>
        <v>12.81221242857143</v>
      </c>
      <c r="R139" s="431">
        <f t="shared" si="27"/>
        <v>0.30747081797436504</v>
      </c>
      <c r="S139" s="468">
        <v>5</v>
      </c>
      <c r="T139" s="127"/>
      <c r="U139" s="127"/>
      <c r="V139" s="127"/>
      <c r="W139" s="127"/>
      <c r="X139" s="127"/>
      <c r="Y139" s="127"/>
    </row>
    <row r="140" spans="1:25" s="6" customFormat="1" ht="15.75">
      <c r="A140" s="268">
        <v>49</v>
      </c>
      <c r="B140" s="176" t="s">
        <v>101</v>
      </c>
      <c r="C140" s="535">
        <v>2593.29</v>
      </c>
      <c r="D140" s="413"/>
      <c r="E140" s="413"/>
      <c r="F140" s="146">
        <v>2593.29</v>
      </c>
      <c r="G140" s="628">
        <f t="shared" si="24"/>
        <v>2593.29</v>
      </c>
      <c r="H140" s="824">
        <v>179</v>
      </c>
      <c r="I140" s="824"/>
      <c r="J140" s="411"/>
      <c r="K140" s="400">
        <f t="shared" si="22"/>
        <v>179</v>
      </c>
      <c r="L140" s="593">
        <f t="shared" si="20"/>
        <v>0.21309523809523809</v>
      </c>
      <c r="M140" s="177">
        <f t="shared" si="23"/>
        <v>429.81522619047615</v>
      </c>
      <c r="N140" s="446">
        <f t="shared" si="19"/>
        <v>158.04305867023808</v>
      </c>
      <c r="O140" s="427">
        <v>166.03315476190474</v>
      </c>
      <c r="P140" s="177">
        <f t="shared" si="26"/>
        <v>10.629190476190477</v>
      </c>
      <c r="Q140" s="177">
        <f t="shared" si="25"/>
        <v>12.956983190476192</v>
      </c>
      <c r="R140" s="431">
        <f t="shared" si="27"/>
        <v>0.2948072256087092</v>
      </c>
      <c r="S140" s="468">
        <v>5</v>
      </c>
      <c r="T140" s="127"/>
      <c r="U140" s="127"/>
      <c r="V140" s="127"/>
      <c r="W140" s="127"/>
      <c r="X140" s="127"/>
      <c r="Y140" s="127"/>
    </row>
    <row r="141" spans="1:25" s="6" customFormat="1" ht="15.75">
      <c r="A141" s="275">
        <v>50</v>
      </c>
      <c r="B141" s="274" t="s">
        <v>102</v>
      </c>
      <c r="C141" s="535">
        <v>330.82</v>
      </c>
      <c r="D141" s="413">
        <v>55</v>
      </c>
      <c r="E141" s="413"/>
      <c r="F141" s="146">
        <v>330.66</v>
      </c>
      <c r="G141" s="628">
        <f t="shared" si="24"/>
        <v>385.82</v>
      </c>
      <c r="H141" s="824">
        <v>0</v>
      </c>
      <c r="I141" s="824"/>
      <c r="J141" s="411"/>
      <c r="K141" s="400">
        <f t="shared" si="22"/>
        <v>0</v>
      </c>
      <c r="L141" s="593">
        <f t="shared" si="20"/>
        <v>0</v>
      </c>
      <c r="M141" s="177">
        <f t="shared" si="23"/>
        <v>0</v>
      </c>
      <c r="N141" s="446">
        <f t="shared" si="19"/>
        <v>0</v>
      </c>
      <c r="O141" s="427">
        <v>0</v>
      </c>
      <c r="P141" s="177">
        <f t="shared" si="26"/>
        <v>0</v>
      </c>
      <c r="Q141" s="177">
        <f t="shared" si="25"/>
        <v>0</v>
      </c>
      <c r="R141" s="431">
        <f t="shared" si="27"/>
        <v>0</v>
      </c>
      <c r="S141" s="473">
        <v>3</v>
      </c>
      <c r="T141" s="127"/>
      <c r="U141" s="127"/>
      <c r="V141" s="127"/>
      <c r="W141" s="127"/>
      <c r="X141" s="127"/>
      <c r="Y141" s="127"/>
    </row>
    <row r="142" spans="1:25" s="6" customFormat="1" ht="15.75">
      <c r="A142" s="268">
        <v>51</v>
      </c>
      <c r="B142" s="176" t="s">
        <v>103</v>
      </c>
      <c r="C142" s="535">
        <v>1699.75</v>
      </c>
      <c r="D142" s="413"/>
      <c r="E142" s="413"/>
      <c r="F142" s="146">
        <v>1699.94</v>
      </c>
      <c r="G142" s="628">
        <f t="shared" si="24"/>
        <v>1699.75</v>
      </c>
      <c r="H142" s="824">
        <v>123</v>
      </c>
      <c r="I142" s="824"/>
      <c r="J142" s="411"/>
      <c r="K142" s="400">
        <f t="shared" si="22"/>
        <v>123</v>
      </c>
      <c r="L142" s="593">
        <f t="shared" si="20"/>
        <v>0.14642857142857144</v>
      </c>
      <c r="M142" s="177">
        <f t="shared" si="23"/>
        <v>295.34789285714288</v>
      </c>
      <c r="N142" s="446">
        <f t="shared" si="19"/>
        <v>108.59942020357144</v>
      </c>
      <c r="O142" s="427">
        <v>114.08982142857143</v>
      </c>
      <c r="P142" s="177">
        <f t="shared" si="26"/>
        <v>7.3038571428571437</v>
      </c>
      <c r="Q142" s="177">
        <f t="shared" si="25"/>
        <v>8.9034018571428586</v>
      </c>
      <c r="R142" s="431">
        <f t="shared" si="27"/>
        <v>0.30906956413127989</v>
      </c>
      <c r="S142" s="474" t="s">
        <v>644</v>
      </c>
      <c r="T142" s="127"/>
      <c r="U142" s="127"/>
      <c r="V142" s="127"/>
      <c r="W142" s="127"/>
      <c r="X142" s="127"/>
      <c r="Y142" s="127"/>
    </row>
    <row r="143" spans="1:25" s="6" customFormat="1" ht="15.75">
      <c r="A143" s="268">
        <v>52</v>
      </c>
      <c r="B143" s="176" t="s">
        <v>104</v>
      </c>
      <c r="C143" s="535">
        <v>211.46</v>
      </c>
      <c r="D143" s="413"/>
      <c r="E143" s="413">
        <v>12.6</v>
      </c>
      <c r="F143" s="146">
        <v>211.46</v>
      </c>
      <c r="G143" s="628">
        <f t="shared" si="24"/>
        <v>224.06</v>
      </c>
      <c r="H143" s="824"/>
      <c r="I143" s="824"/>
      <c r="J143" s="411"/>
      <c r="K143" s="400">
        <f t="shared" si="22"/>
        <v>0</v>
      </c>
      <c r="L143" s="593">
        <f t="shared" ref="L143:L206" si="28">(H143/840)+(I143/756)</f>
        <v>0</v>
      </c>
      <c r="M143" s="177">
        <f t="shared" si="23"/>
        <v>0</v>
      </c>
      <c r="N143" s="446">
        <f t="shared" si="19"/>
        <v>0</v>
      </c>
      <c r="O143" s="427">
        <v>0</v>
      </c>
      <c r="P143" s="177">
        <f t="shared" si="26"/>
        <v>0</v>
      </c>
      <c r="Q143" s="177">
        <f t="shared" si="25"/>
        <v>0</v>
      </c>
      <c r="R143" s="431">
        <f t="shared" si="27"/>
        <v>0</v>
      </c>
      <c r="S143" s="468">
        <v>3</v>
      </c>
      <c r="T143" s="127"/>
      <c r="U143" s="127"/>
      <c r="V143" s="127"/>
      <c r="W143" s="127"/>
      <c r="X143" s="127"/>
      <c r="Y143" s="127"/>
    </row>
    <row r="144" spans="1:25" s="6" customFormat="1" ht="15.75">
      <c r="A144" s="268">
        <v>53</v>
      </c>
      <c r="B144" s="176" t="s">
        <v>105</v>
      </c>
      <c r="C144" s="535">
        <v>138.9</v>
      </c>
      <c r="D144" s="413"/>
      <c r="E144" s="413"/>
      <c r="F144" s="146">
        <v>138.9</v>
      </c>
      <c r="G144" s="628">
        <f t="shared" si="24"/>
        <v>138.9</v>
      </c>
      <c r="H144" s="824"/>
      <c r="I144" s="824"/>
      <c r="J144" s="411"/>
      <c r="K144" s="400">
        <f t="shared" si="22"/>
        <v>0</v>
      </c>
      <c r="L144" s="593">
        <f t="shared" si="28"/>
        <v>0</v>
      </c>
      <c r="M144" s="177">
        <f t="shared" si="23"/>
        <v>0</v>
      </c>
      <c r="N144" s="446">
        <f t="shared" si="19"/>
        <v>0</v>
      </c>
      <c r="O144" s="427">
        <v>0</v>
      </c>
      <c r="P144" s="177">
        <f t="shared" si="26"/>
        <v>0</v>
      </c>
      <c r="Q144" s="177">
        <f t="shared" si="25"/>
        <v>0</v>
      </c>
      <c r="R144" s="431">
        <f t="shared" si="27"/>
        <v>0</v>
      </c>
      <c r="S144" s="468">
        <v>2</v>
      </c>
      <c r="T144" s="127"/>
      <c r="U144" s="127"/>
      <c r="V144" s="127"/>
      <c r="W144" s="127"/>
      <c r="X144" s="127"/>
      <c r="Y144" s="127"/>
    </row>
    <row r="145" spans="1:25" s="6" customFormat="1" ht="15.75">
      <c r="A145" s="268">
        <v>54</v>
      </c>
      <c r="B145" s="176" t="s">
        <v>106</v>
      </c>
      <c r="C145" s="535">
        <v>8219.0300000000007</v>
      </c>
      <c r="D145" s="413">
        <v>69.3</v>
      </c>
      <c r="E145" s="413">
        <v>122.5</v>
      </c>
      <c r="F145" s="146">
        <v>8225.39</v>
      </c>
      <c r="G145" s="628">
        <f t="shared" si="24"/>
        <v>8410.83</v>
      </c>
      <c r="H145" s="824">
        <v>590</v>
      </c>
      <c r="I145" s="824"/>
      <c r="J145" s="411"/>
      <c r="K145" s="400">
        <f t="shared" si="22"/>
        <v>590</v>
      </c>
      <c r="L145" s="593">
        <f t="shared" si="28"/>
        <v>0.70238095238095233</v>
      </c>
      <c r="M145" s="177">
        <f t="shared" si="23"/>
        <v>1416.7094047619046</v>
      </c>
      <c r="N145" s="446">
        <f t="shared" si="19"/>
        <v>520.92404813095231</v>
      </c>
      <c r="O145" s="427">
        <v>547.26011904761901</v>
      </c>
      <c r="P145" s="177">
        <f t="shared" si="26"/>
        <v>35.034761904761901</v>
      </c>
      <c r="Q145" s="177">
        <f t="shared" si="25"/>
        <v>42.707374761904759</v>
      </c>
      <c r="R145" s="431">
        <f t="shared" si="27"/>
        <v>0.30659680447026444</v>
      </c>
      <c r="S145" s="473">
        <v>9</v>
      </c>
      <c r="T145" s="127"/>
      <c r="U145" s="127"/>
      <c r="V145" s="127"/>
      <c r="W145" s="127"/>
      <c r="X145" s="127"/>
      <c r="Y145" s="127"/>
    </row>
    <row r="146" spans="1:25" s="6" customFormat="1" ht="15.75">
      <c r="A146" s="268">
        <v>55</v>
      </c>
      <c r="B146" s="176" t="s">
        <v>1347</v>
      </c>
      <c r="C146" s="535">
        <v>953.56</v>
      </c>
      <c r="D146" s="413"/>
      <c r="E146" s="413"/>
      <c r="F146" s="399">
        <v>953.5</v>
      </c>
      <c r="G146" s="628">
        <f t="shared" si="24"/>
        <v>953.56</v>
      </c>
      <c r="H146" s="824">
        <v>125</v>
      </c>
      <c r="I146" s="824"/>
      <c r="J146" s="411"/>
      <c r="K146" s="400">
        <f t="shared" si="22"/>
        <v>125</v>
      </c>
      <c r="L146" s="593">
        <f t="shared" si="28"/>
        <v>0.14880952380952381</v>
      </c>
      <c r="M146" s="177">
        <f t="shared" si="23"/>
        <v>300.15029761904759</v>
      </c>
      <c r="N146" s="446">
        <f t="shared" ref="N146:N208" si="29">M146*0.3677</f>
        <v>110.36526443452381</v>
      </c>
      <c r="O146" s="427">
        <v>115.94494047619047</v>
      </c>
      <c r="P146" s="177">
        <f t="shared" si="26"/>
        <v>7.4226190476190483</v>
      </c>
      <c r="Q146" s="177">
        <f t="shared" si="25"/>
        <v>9.0481726190476213</v>
      </c>
      <c r="R146" s="431">
        <f t="shared" si="27"/>
        <v>0.55988414108958107</v>
      </c>
      <c r="S146" s="473"/>
      <c r="T146" s="127"/>
      <c r="U146" s="127"/>
      <c r="V146" s="127"/>
      <c r="W146" s="127"/>
      <c r="X146" s="127"/>
      <c r="Y146" s="127"/>
    </row>
    <row r="147" spans="1:25" s="6" customFormat="1" ht="15.75">
      <c r="A147" s="268">
        <v>56</v>
      </c>
      <c r="B147" s="176" t="s">
        <v>1348</v>
      </c>
      <c r="C147" s="535">
        <v>1663</v>
      </c>
      <c r="D147" s="413"/>
      <c r="E147" s="413">
        <v>57.1</v>
      </c>
      <c r="F147" s="399">
        <v>1663</v>
      </c>
      <c r="G147" s="628">
        <f t="shared" si="24"/>
        <v>1720.1</v>
      </c>
      <c r="H147" s="414">
        <v>290</v>
      </c>
      <c r="I147" s="414"/>
      <c r="J147" s="411"/>
      <c r="K147" s="400">
        <f t="shared" si="22"/>
        <v>290</v>
      </c>
      <c r="L147" s="593">
        <f t="shared" si="28"/>
        <v>0.34523809523809523</v>
      </c>
      <c r="M147" s="177">
        <f t="shared" si="23"/>
        <v>696.34869047619043</v>
      </c>
      <c r="N147" s="446">
        <f t="shared" si="29"/>
        <v>256.04741348809523</v>
      </c>
      <c r="O147" s="427">
        <v>268.9922619047619</v>
      </c>
      <c r="P147" s="177">
        <f t="shared" si="26"/>
        <v>17.220476190476191</v>
      </c>
      <c r="Q147" s="177">
        <f t="shared" si="25"/>
        <v>20.991760476190478</v>
      </c>
      <c r="R147" s="431">
        <f t="shared" si="27"/>
        <v>0.74480387375798174</v>
      </c>
      <c r="S147" s="473" t="s">
        <v>645</v>
      </c>
      <c r="T147" s="127"/>
      <c r="U147" s="127"/>
      <c r="V147" s="127"/>
      <c r="W147" s="127"/>
      <c r="X147" s="127"/>
      <c r="Y147" s="127"/>
    </row>
    <row r="148" spans="1:25" s="6" customFormat="1" ht="15.75">
      <c r="A148" s="275">
        <v>57</v>
      </c>
      <c r="B148" s="176" t="s">
        <v>1350</v>
      </c>
      <c r="C148" s="535">
        <v>1033.02</v>
      </c>
      <c r="D148" s="413"/>
      <c r="E148" s="413"/>
      <c r="F148" s="399">
        <v>1033.02</v>
      </c>
      <c r="G148" s="628">
        <f t="shared" si="24"/>
        <v>1033.02</v>
      </c>
      <c r="H148" s="824">
        <v>109</v>
      </c>
      <c r="I148" s="414"/>
      <c r="J148" s="411"/>
      <c r="K148" s="400">
        <f t="shared" si="22"/>
        <v>109</v>
      </c>
      <c r="L148" s="593">
        <f t="shared" si="28"/>
        <v>0.12976190476190477</v>
      </c>
      <c r="M148" s="177">
        <f t="shared" si="23"/>
        <v>261.73105952380956</v>
      </c>
      <c r="N148" s="446">
        <f t="shared" si="29"/>
        <v>96.238510586904781</v>
      </c>
      <c r="O148" s="427">
        <v>101.10398809523809</v>
      </c>
      <c r="P148" s="177">
        <f t="shared" si="26"/>
        <v>6.4725238095238105</v>
      </c>
      <c r="Q148" s="177">
        <f t="shared" si="25"/>
        <v>7.8900065238095252</v>
      </c>
      <c r="R148" s="431">
        <f t="shared" si="27"/>
        <v>0.45066511976096907</v>
      </c>
      <c r="S148" s="473"/>
      <c r="T148" s="127"/>
      <c r="U148" s="127"/>
      <c r="V148" s="127"/>
      <c r="W148" s="127"/>
      <c r="X148" s="127"/>
      <c r="Y148" s="127"/>
    </row>
    <row r="149" spans="1:25" s="6" customFormat="1" ht="15.75">
      <c r="A149" s="268">
        <v>58</v>
      </c>
      <c r="B149" s="176" t="s">
        <v>1351</v>
      </c>
      <c r="C149" s="535">
        <v>220.38</v>
      </c>
      <c r="D149" s="413"/>
      <c r="E149" s="413"/>
      <c r="F149" s="399">
        <v>220.38</v>
      </c>
      <c r="G149" s="628">
        <f t="shared" si="24"/>
        <v>220.38</v>
      </c>
      <c r="H149" s="824">
        <v>0</v>
      </c>
      <c r="I149" s="414"/>
      <c r="J149" s="411"/>
      <c r="K149" s="400">
        <f t="shared" si="22"/>
        <v>0</v>
      </c>
      <c r="L149" s="593">
        <f t="shared" si="28"/>
        <v>0</v>
      </c>
      <c r="M149" s="177">
        <f t="shared" si="23"/>
        <v>0</v>
      </c>
      <c r="N149" s="446">
        <f t="shared" si="29"/>
        <v>0</v>
      </c>
      <c r="O149" s="427">
        <v>0</v>
      </c>
      <c r="P149" s="177">
        <f t="shared" si="26"/>
        <v>0</v>
      </c>
      <c r="Q149" s="177">
        <f t="shared" si="25"/>
        <v>0</v>
      </c>
      <c r="R149" s="431">
        <f t="shared" si="27"/>
        <v>0</v>
      </c>
      <c r="S149" s="468" t="s">
        <v>646</v>
      </c>
      <c r="T149" s="127"/>
      <c r="U149" s="127"/>
      <c r="V149" s="127"/>
      <c r="W149" s="127"/>
      <c r="X149" s="127"/>
      <c r="Y149" s="127"/>
    </row>
    <row r="150" spans="1:25" s="6" customFormat="1" ht="15.75">
      <c r="A150" s="268">
        <v>59</v>
      </c>
      <c r="B150" s="176" t="s">
        <v>107</v>
      </c>
      <c r="C150" s="535">
        <v>1928.15</v>
      </c>
      <c r="D150" s="413">
        <v>45.4</v>
      </c>
      <c r="E150" s="413"/>
      <c r="F150" s="146">
        <v>1928.15</v>
      </c>
      <c r="G150" s="628">
        <f t="shared" si="24"/>
        <v>1973.5500000000002</v>
      </c>
      <c r="H150" s="824">
        <v>124</v>
      </c>
      <c r="I150" s="414"/>
      <c r="J150" s="411"/>
      <c r="K150" s="400">
        <f t="shared" si="22"/>
        <v>124</v>
      </c>
      <c r="L150" s="593">
        <f t="shared" si="28"/>
        <v>0.14761904761904762</v>
      </c>
      <c r="M150" s="177">
        <f t="shared" si="23"/>
        <v>297.74909523809526</v>
      </c>
      <c r="N150" s="446">
        <f t="shared" si="29"/>
        <v>109.48234231904763</v>
      </c>
      <c r="O150" s="427">
        <v>115.01738095238095</v>
      </c>
      <c r="P150" s="177">
        <f t="shared" si="26"/>
        <v>7.3632380952380956</v>
      </c>
      <c r="Q150" s="177">
        <f t="shared" si="25"/>
        <v>8.9757872380952399</v>
      </c>
      <c r="R150" s="431">
        <f t="shared" si="27"/>
        <v>0.27467368026593469</v>
      </c>
      <c r="S150" s="468">
        <v>3</v>
      </c>
      <c r="T150" s="127"/>
      <c r="U150" s="127"/>
      <c r="V150" s="127"/>
      <c r="W150" s="127"/>
      <c r="X150" s="127"/>
      <c r="Y150" s="127"/>
    </row>
    <row r="151" spans="1:25" s="6" customFormat="1" ht="15.75">
      <c r="A151" s="268">
        <v>60</v>
      </c>
      <c r="B151" s="176" t="s">
        <v>108</v>
      </c>
      <c r="C151" s="535">
        <v>1135.5999999999999</v>
      </c>
      <c r="D151" s="413">
        <v>154.9</v>
      </c>
      <c r="E151" s="413"/>
      <c r="F151" s="146">
        <v>1135.5999999999999</v>
      </c>
      <c r="G151" s="628">
        <f t="shared" si="24"/>
        <v>1290.5</v>
      </c>
      <c r="H151" s="414">
        <v>124</v>
      </c>
      <c r="I151" s="414"/>
      <c r="J151" s="411"/>
      <c r="K151" s="400">
        <f t="shared" si="22"/>
        <v>124</v>
      </c>
      <c r="L151" s="593">
        <f t="shared" si="28"/>
        <v>0.14761904761904762</v>
      </c>
      <c r="M151" s="177">
        <f t="shared" si="23"/>
        <v>297.74909523809526</v>
      </c>
      <c r="N151" s="446">
        <f t="shared" si="29"/>
        <v>109.48234231904763</v>
      </c>
      <c r="O151" s="427">
        <v>115.01738095238095</v>
      </c>
      <c r="P151" s="177">
        <f t="shared" si="26"/>
        <v>7.3632380952380956</v>
      </c>
      <c r="Q151" s="177">
        <f t="shared" si="25"/>
        <v>8.9757872380952399</v>
      </c>
      <c r="R151" s="431">
        <f t="shared" si="27"/>
        <v>0.46637201180412291</v>
      </c>
      <c r="S151" s="468">
        <v>2</v>
      </c>
      <c r="T151" s="127"/>
      <c r="U151" s="127"/>
      <c r="V151" s="127"/>
      <c r="W151" s="127"/>
      <c r="X151" s="127"/>
      <c r="Y151" s="127"/>
    </row>
    <row r="152" spans="1:25" s="6" customFormat="1" ht="15.75">
      <c r="A152" s="268">
        <v>61</v>
      </c>
      <c r="B152" s="176" t="s">
        <v>109</v>
      </c>
      <c r="C152" s="535">
        <v>194.37</v>
      </c>
      <c r="D152" s="413">
        <v>37.4</v>
      </c>
      <c r="E152" s="413"/>
      <c r="F152" s="146">
        <v>194.37</v>
      </c>
      <c r="G152" s="628">
        <f t="shared" si="24"/>
        <v>231.77</v>
      </c>
      <c r="H152" s="414"/>
      <c r="I152" s="414">
        <v>0</v>
      </c>
      <c r="J152" s="411"/>
      <c r="K152" s="400">
        <f t="shared" si="22"/>
        <v>0</v>
      </c>
      <c r="L152" s="593">
        <f t="shared" si="28"/>
        <v>0</v>
      </c>
      <c r="M152" s="177">
        <f t="shared" si="23"/>
        <v>0</v>
      </c>
      <c r="N152" s="446">
        <f t="shared" si="29"/>
        <v>0</v>
      </c>
      <c r="O152" s="427">
        <v>0</v>
      </c>
      <c r="P152" s="177">
        <f t="shared" si="26"/>
        <v>0</v>
      </c>
      <c r="Q152" s="177">
        <f t="shared" si="25"/>
        <v>0</v>
      </c>
      <c r="R152" s="431">
        <f t="shared" si="27"/>
        <v>0</v>
      </c>
      <c r="S152" s="468">
        <v>4</v>
      </c>
      <c r="T152" s="127"/>
      <c r="U152" s="127"/>
      <c r="V152" s="127"/>
      <c r="W152" s="127"/>
      <c r="X152" s="127"/>
      <c r="Y152" s="127"/>
    </row>
    <row r="153" spans="1:25" s="6" customFormat="1" ht="15.75">
      <c r="A153" s="268">
        <v>62</v>
      </c>
      <c r="B153" s="176" t="s">
        <v>110</v>
      </c>
      <c r="C153" s="535">
        <v>1422.83</v>
      </c>
      <c r="D153" s="413"/>
      <c r="E153" s="413"/>
      <c r="F153" s="146">
        <v>1422.88</v>
      </c>
      <c r="G153" s="628">
        <f t="shared" si="24"/>
        <v>1422.83</v>
      </c>
      <c r="H153" s="414">
        <v>97</v>
      </c>
      <c r="I153" s="414"/>
      <c r="J153" s="411"/>
      <c r="K153" s="400">
        <f t="shared" si="22"/>
        <v>97</v>
      </c>
      <c r="L153" s="593">
        <f t="shared" si="28"/>
        <v>0.11547619047619048</v>
      </c>
      <c r="M153" s="177">
        <f t="shared" si="23"/>
        <v>232.91663095238096</v>
      </c>
      <c r="N153" s="446">
        <f t="shared" si="29"/>
        <v>85.643445201190488</v>
      </c>
      <c r="O153" s="427">
        <v>89.973273809523818</v>
      </c>
      <c r="P153" s="177">
        <f t="shared" si="26"/>
        <v>5.7599523809523818</v>
      </c>
      <c r="Q153" s="177">
        <f t="shared" si="25"/>
        <v>7.0213819523809535</v>
      </c>
      <c r="R153" s="431">
        <f t="shared" si="27"/>
        <v>0.29117554616085384</v>
      </c>
      <c r="S153" s="468">
        <v>2</v>
      </c>
      <c r="T153" s="127"/>
      <c r="U153" s="127"/>
      <c r="V153" s="127"/>
      <c r="W153" s="127"/>
      <c r="X153" s="127"/>
      <c r="Y153" s="127"/>
    </row>
    <row r="154" spans="1:25" s="6" customFormat="1" ht="15.75">
      <c r="A154" s="268">
        <v>63</v>
      </c>
      <c r="B154" s="176" t="s">
        <v>111</v>
      </c>
      <c r="C154" s="535">
        <v>377.6</v>
      </c>
      <c r="D154" s="413"/>
      <c r="E154" s="413"/>
      <c r="F154" s="146">
        <v>377.6</v>
      </c>
      <c r="G154" s="628">
        <f t="shared" si="24"/>
        <v>377.6</v>
      </c>
      <c r="H154" s="414"/>
      <c r="I154" s="414">
        <v>0</v>
      </c>
      <c r="J154" s="411"/>
      <c r="K154" s="400">
        <f t="shared" si="22"/>
        <v>0</v>
      </c>
      <c r="L154" s="593">
        <f t="shared" si="28"/>
        <v>0</v>
      </c>
      <c r="M154" s="177">
        <f t="shared" si="23"/>
        <v>0</v>
      </c>
      <c r="N154" s="446">
        <f t="shared" si="29"/>
        <v>0</v>
      </c>
      <c r="O154" s="427">
        <v>0</v>
      </c>
      <c r="P154" s="177">
        <f t="shared" si="26"/>
        <v>0</v>
      </c>
      <c r="Q154" s="177">
        <f t="shared" si="25"/>
        <v>0</v>
      </c>
      <c r="R154" s="431">
        <f t="shared" si="27"/>
        <v>0</v>
      </c>
      <c r="S154" s="468">
        <v>4</v>
      </c>
      <c r="T154" s="127"/>
      <c r="U154" s="127"/>
      <c r="V154" s="127"/>
      <c r="W154" s="127"/>
      <c r="X154" s="127"/>
      <c r="Y154" s="127"/>
    </row>
    <row r="155" spans="1:25" s="6" customFormat="1" ht="15.75">
      <c r="A155" s="275">
        <v>64</v>
      </c>
      <c r="B155" s="176" t="s">
        <v>112</v>
      </c>
      <c r="C155" s="535">
        <v>1527.61</v>
      </c>
      <c r="D155" s="413">
        <v>324.89999999999998</v>
      </c>
      <c r="E155" s="413"/>
      <c r="F155" s="146">
        <v>1527.63</v>
      </c>
      <c r="G155" s="628">
        <f t="shared" si="24"/>
        <v>1852.5099999999998</v>
      </c>
      <c r="H155" s="824">
        <v>160</v>
      </c>
      <c r="I155" s="824"/>
      <c r="J155" s="411"/>
      <c r="K155" s="400">
        <f t="shared" si="22"/>
        <v>160</v>
      </c>
      <c r="L155" s="593">
        <f t="shared" si="28"/>
        <v>0.19047619047619047</v>
      </c>
      <c r="M155" s="177">
        <f t="shared" si="23"/>
        <v>384.19238095238092</v>
      </c>
      <c r="N155" s="446">
        <f t="shared" si="29"/>
        <v>141.26753847619048</v>
      </c>
      <c r="O155" s="427">
        <v>148.40952380952379</v>
      </c>
      <c r="P155" s="177">
        <f t="shared" si="26"/>
        <v>9.5009523809523806</v>
      </c>
      <c r="Q155" s="177">
        <f t="shared" si="25"/>
        <v>11.581660952380952</v>
      </c>
      <c r="R155" s="431">
        <f t="shared" si="27"/>
        <v>0.44734611296014537</v>
      </c>
      <c r="S155" s="468">
        <v>4</v>
      </c>
      <c r="T155" s="127"/>
      <c r="U155" s="127"/>
      <c r="V155" s="127"/>
      <c r="W155" s="127"/>
      <c r="X155" s="127"/>
      <c r="Y155" s="127"/>
    </row>
    <row r="156" spans="1:25" s="6" customFormat="1" ht="15.75">
      <c r="A156" s="268">
        <v>65</v>
      </c>
      <c r="B156" s="176" t="s">
        <v>113</v>
      </c>
      <c r="C156" s="535">
        <v>2010.19</v>
      </c>
      <c r="D156" s="413"/>
      <c r="E156" s="413"/>
      <c r="F156" s="146">
        <v>2010.19</v>
      </c>
      <c r="G156" s="628">
        <f t="shared" si="24"/>
        <v>2010.19</v>
      </c>
      <c r="H156" s="824">
        <v>166</v>
      </c>
      <c r="I156" s="824"/>
      <c r="J156" s="411"/>
      <c r="K156" s="400">
        <f t="shared" si="22"/>
        <v>166</v>
      </c>
      <c r="L156" s="593">
        <f t="shared" si="28"/>
        <v>0.19761904761904761</v>
      </c>
      <c r="M156" s="177">
        <f t="shared" ref="M156:M219" si="30">L156*2017.01</f>
        <v>398.59959523809522</v>
      </c>
      <c r="N156" s="446">
        <f t="shared" si="29"/>
        <v>146.56507116904763</v>
      </c>
      <c r="O156" s="427">
        <v>153.97488095238094</v>
      </c>
      <c r="P156" s="177">
        <f t="shared" si="26"/>
        <v>9.8572380952380954</v>
      </c>
      <c r="Q156" s="177">
        <f t="shared" si="25"/>
        <v>12.015973238095238</v>
      </c>
      <c r="R156" s="431">
        <f t="shared" si="27"/>
        <v>0.3527013792003551</v>
      </c>
      <c r="S156" s="468">
        <v>4</v>
      </c>
      <c r="T156" s="127"/>
      <c r="U156" s="127"/>
      <c r="V156" s="127"/>
      <c r="W156" s="127"/>
      <c r="X156" s="127"/>
      <c r="Y156" s="127"/>
    </row>
    <row r="157" spans="1:25" s="6" customFormat="1" ht="15.75">
      <c r="A157" s="268">
        <v>66</v>
      </c>
      <c r="B157" s="176" t="s">
        <v>114</v>
      </c>
      <c r="C157" s="535">
        <v>1464.32</v>
      </c>
      <c r="D157" s="413"/>
      <c r="E157" s="413"/>
      <c r="F157" s="146">
        <v>1464.32</v>
      </c>
      <c r="G157" s="628">
        <f t="shared" ref="G157:G220" si="31">C157+D157+E157</f>
        <v>1464.32</v>
      </c>
      <c r="H157" s="824">
        <v>105</v>
      </c>
      <c r="I157" s="824"/>
      <c r="J157" s="411"/>
      <c r="K157" s="400">
        <f t="shared" ref="K157:K218" si="32">H157+I157</f>
        <v>105</v>
      </c>
      <c r="L157" s="593">
        <f t="shared" si="28"/>
        <v>0.125</v>
      </c>
      <c r="M157" s="177">
        <f t="shared" si="30"/>
        <v>252.12625</v>
      </c>
      <c r="N157" s="446">
        <f t="shared" si="29"/>
        <v>92.706822125000002</v>
      </c>
      <c r="O157" s="427">
        <v>97.393749999999997</v>
      </c>
      <c r="P157" s="177">
        <f t="shared" si="26"/>
        <v>6.2350000000000003</v>
      </c>
      <c r="Q157" s="177">
        <f t="shared" ref="Q157:Q220" si="33">P157*1.219</f>
        <v>7.6004650000000007</v>
      </c>
      <c r="R157" s="431">
        <f t="shared" si="27"/>
        <v>0.30625943927898275</v>
      </c>
      <c r="S157" s="468">
        <v>1</v>
      </c>
      <c r="T157" s="127"/>
      <c r="U157" s="127"/>
      <c r="V157" s="127"/>
      <c r="W157" s="127"/>
      <c r="X157" s="127"/>
      <c r="Y157" s="127"/>
    </row>
    <row r="158" spans="1:25" s="6" customFormat="1" ht="15.75">
      <c r="A158" s="268">
        <v>67</v>
      </c>
      <c r="B158" s="176" t="s">
        <v>115</v>
      </c>
      <c r="C158" s="535">
        <v>152.11000000000001</v>
      </c>
      <c r="D158" s="413"/>
      <c r="E158" s="413"/>
      <c r="F158" s="146">
        <v>124.19</v>
      </c>
      <c r="G158" s="628">
        <f t="shared" si="31"/>
        <v>152.11000000000001</v>
      </c>
      <c r="H158" s="824">
        <v>0</v>
      </c>
      <c r="I158" s="824"/>
      <c r="J158" s="411"/>
      <c r="K158" s="400">
        <f t="shared" si="32"/>
        <v>0</v>
      </c>
      <c r="L158" s="593">
        <f t="shared" si="28"/>
        <v>0</v>
      </c>
      <c r="M158" s="177">
        <f t="shared" si="30"/>
        <v>0</v>
      </c>
      <c r="N158" s="446">
        <f t="shared" si="29"/>
        <v>0</v>
      </c>
      <c r="O158" s="427">
        <v>0</v>
      </c>
      <c r="P158" s="177">
        <f t="shared" si="26"/>
        <v>0</v>
      </c>
      <c r="Q158" s="177">
        <f t="shared" si="33"/>
        <v>0</v>
      </c>
      <c r="R158" s="431">
        <f t="shared" si="27"/>
        <v>0</v>
      </c>
      <c r="S158" s="468">
        <v>5</v>
      </c>
      <c r="T158" s="127"/>
      <c r="U158" s="127"/>
      <c r="V158" s="127"/>
      <c r="W158" s="127"/>
      <c r="X158" s="127"/>
      <c r="Y158" s="127"/>
    </row>
    <row r="159" spans="1:25" s="6" customFormat="1" ht="15.75">
      <c r="A159" s="268">
        <v>68</v>
      </c>
      <c r="B159" s="176" t="s">
        <v>116</v>
      </c>
      <c r="C159" s="535">
        <v>2553.5700000000002</v>
      </c>
      <c r="D159" s="413"/>
      <c r="E159" s="413"/>
      <c r="F159" s="146">
        <v>2553.34</v>
      </c>
      <c r="G159" s="628">
        <f t="shared" si="31"/>
        <v>2553.5700000000002</v>
      </c>
      <c r="H159" s="824">
        <v>186</v>
      </c>
      <c r="I159" s="824"/>
      <c r="J159" s="411"/>
      <c r="K159" s="400">
        <f t="shared" si="32"/>
        <v>186</v>
      </c>
      <c r="L159" s="593">
        <f t="shared" si="28"/>
        <v>0.22142857142857142</v>
      </c>
      <c r="M159" s="177">
        <f t="shared" si="30"/>
        <v>446.62364285714284</v>
      </c>
      <c r="N159" s="446">
        <f t="shared" si="29"/>
        <v>164.22351347857145</v>
      </c>
      <c r="O159" s="427">
        <v>172.52607142857141</v>
      </c>
      <c r="P159" s="177">
        <f t="shared" si="26"/>
        <v>11.044857142857143</v>
      </c>
      <c r="Q159" s="177">
        <f t="shared" si="33"/>
        <v>13.463680857142858</v>
      </c>
      <c r="R159" s="431">
        <f t="shared" si="27"/>
        <v>0.31110096253760139</v>
      </c>
      <c r="S159" s="468">
        <v>2</v>
      </c>
      <c r="T159" s="127"/>
      <c r="U159" s="127"/>
      <c r="V159" s="127"/>
      <c r="W159" s="127"/>
      <c r="X159" s="127"/>
      <c r="Y159" s="127"/>
    </row>
    <row r="160" spans="1:25" s="6" customFormat="1" ht="15.75">
      <c r="A160" s="268">
        <v>69</v>
      </c>
      <c r="B160" s="176" t="s">
        <v>117</v>
      </c>
      <c r="C160" s="535">
        <v>56.69</v>
      </c>
      <c r="D160" s="413">
        <v>45.3</v>
      </c>
      <c r="E160" s="413"/>
      <c r="F160" s="146">
        <v>56.69</v>
      </c>
      <c r="G160" s="628">
        <f t="shared" si="31"/>
        <v>101.99</v>
      </c>
      <c r="H160" s="824">
        <v>0</v>
      </c>
      <c r="I160" s="824"/>
      <c r="J160" s="411"/>
      <c r="K160" s="400">
        <f t="shared" si="32"/>
        <v>0</v>
      </c>
      <c r="L160" s="593">
        <f t="shared" si="28"/>
        <v>0</v>
      </c>
      <c r="M160" s="177">
        <f t="shared" si="30"/>
        <v>0</v>
      </c>
      <c r="N160" s="446">
        <f t="shared" si="29"/>
        <v>0</v>
      </c>
      <c r="O160" s="427">
        <v>0</v>
      </c>
      <c r="P160" s="177">
        <f t="shared" si="26"/>
        <v>0</v>
      </c>
      <c r="Q160" s="177">
        <f t="shared" si="33"/>
        <v>0</v>
      </c>
      <c r="R160" s="431">
        <f t="shared" si="27"/>
        <v>0</v>
      </c>
      <c r="S160" s="468">
        <v>2</v>
      </c>
      <c r="T160" s="127"/>
      <c r="U160" s="127"/>
      <c r="V160" s="127"/>
      <c r="W160" s="127"/>
      <c r="X160" s="127"/>
      <c r="Y160" s="127"/>
    </row>
    <row r="161" spans="1:25" s="6" customFormat="1" ht="15.75">
      <c r="A161" s="268">
        <v>70</v>
      </c>
      <c r="B161" s="176" t="s">
        <v>118</v>
      </c>
      <c r="C161" s="535">
        <v>166.1</v>
      </c>
      <c r="D161" s="413"/>
      <c r="E161" s="413"/>
      <c r="F161" s="146">
        <v>166.1</v>
      </c>
      <c r="G161" s="628">
        <f t="shared" si="31"/>
        <v>166.1</v>
      </c>
      <c r="H161" s="824">
        <v>0</v>
      </c>
      <c r="I161" s="824"/>
      <c r="J161" s="411"/>
      <c r="K161" s="400">
        <f t="shared" si="32"/>
        <v>0</v>
      </c>
      <c r="L161" s="593">
        <f t="shared" si="28"/>
        <v>0</v>
      </c>
      <c r="M161" s="177">
        <f t="shared" si="30"/>
        <v>0</v>
      </c>
      <c r="N161" s="446">
        <f t="shared" si="29"/>
        <v>0</v>
      </c>
      <c r="O161" s="427">
        <v>0</v>
      </c>
      <c r="P161" s="177">
        <f t="shared" si="26"/>
        <v>0</v>
      </c>
      <c r="Q161" s="177">
        <f t="shared" si="33"/>
        <v>0</v>
      </c>
      <c r="R161" s="431">
        <f t="shared" si="27"/>
        <v>0</v>
      </c>
      <c r="S161" s="468">
        <v>2</v>
      </c>
      <c r="T161" s="127"/>
      <c r="U161" s="127"/>
      <c r="V161" s="127"/>
      <c r="W161" s="127"/>
      <c r="X161" s="127"/>
      <c r="Y161" s="127"/>
    </row>
    <row r="162" spans="1:25" s="6" customFormat="1" ht="15.75">
      <c r="A162" s="275">
        <v>71</v>
      </c>
      <c r="B162" s="176" t="s">
        <v>119</v>
      </c>
      <c r="C162" s="535">
        <v>315.39999999999998</v>
      </c>
      <c r="D162" s="413"/>
      <c r="E162" s="413"/>
      <c r="F162" s="146">
        <v>315.39999999999998</v>
      </c>
      <c r="G162" s="628">
        <f t="shared" si="31"/>
        <v>315.39999999999998</v>
      </c>
      <c r="H162" s="824">
        <v>0</v>
      </c>
      <c r="I162" s="824"/>
      <c r="J162" s="411"/>
      <c r="K162" s="400">
        <f t="shared" si="32"/>
        <v>0</v>
      </c>
      <c r="L162" s="593">
        <f t="shared" si="28"/>
        <v>0</v>
      </c>
      <c r="M162" s="177">
        <f t="shared" si="30"/>
        <v>0</v>
      </c>
      <c r="N162" s="446">
        <f t="shared" si="29"/>
        <v>0</v>
      </c>
      <c r="O162" s="427">
        <v>0</v>
      </c>
      <c r="P162" s="177">
        <f t="shared" si="26"/>
        <v>0</v>
      </c>
      <c r="Q162" s="177">
        <f t="shared" si="33"/>
        <v>0</v>
      </c>
      <c r="R162" s="431">
        <f t="shared" si="27"/>
        <v>0</v>
      </c>
      <c r="S162" s="468">
        <v>4</v>
      </c>
      <c r="T162" s="127"/>
      <c r="U162" s="127"/>
      <c r="V162" s="127"/>
      <c r="W162" s="127"/>
      <c r="X162" s="127"/>
      <c r="Y162" s="127"/>
    </row>
    <row r="163" spans="1:25" s="6" customFormat="1" ht="15.75">
      <c r="A163" s="268">
        <v>72</v>
      </c>
      <c r="B163" s="176" t="s">
        <v>120</v>
      </c>
      <c r="C163" s="535">
        <v>1364.91</v>
      </c>
      <c r="D163" s="413">
        <v>133</v>
      </c>
      <c r="E163" s="413"/>
      <c r="F163" s="146">
        <v>1364.91</v>
      </c>
      <c r="G163" s="628">
        <f t="shared" si="31"/>
        <v>1497.91</v>
      </c>
      <c r="H163" s="824">
        <v>100</v>
      </c>
      <c r="I163" s="824"/>
      <c r="J163" s="411"/>
      <c r="K163" s="400">
        <f t="shared" si="32"/>
        <v>100</v>
      </c>
      <c r="L163" s="593">
        <f t="shared" si="28"/>
        <v>0.11904761904761904</v>
      </c>
      <c r="M163" s="177">
        <f t="shared" si="30"/>
        <v>240.12023809523808</v>
      </c>
      <c r="N163" s="446">
        <f t="shared" si="29"/>
        <v>88.292211547619047</v>
      </c>
      <c r="O163" s="427">
        <v>92.75595238095238</v>
      </c>
      <c r="P163" s="177">
        <f t="shared" si="26"/>
        <v>5.9380952380952383</v>
      </c>
      <c r="Q163" s="177">
        <f t="shared" si="33"/>
        <v>7.2385380952380958</v>
      </c>
      <c r="R163" s="431">
        <f t="shared" si="27"/>
        <v>0.31291916482544985</v>
      </c>
      <c r="S163" s="468">
        <v>2</v>
      </c>
      <c r="T163" s="127"/>
      <c r="U163" s="127"/>
      <c r="V163" s="127"/>
      <c r="W163" s="127"/>
      <c r="X163" s="127"/>
      <c r="Y163" s="127"/>
    </row>
    <row r="164" spans="1:25" s="6" customFormat="1" ht="15.75">
      <c r="A164" s="268">
        <v>73</v>
      </c>
      <c r="B164" s="176" t="s">
        <v>122</v>
      </c>
      <c r="C164" s="535">
        <v>165.93</v>
      </c>
      <c r="D164" s="413"/>
      <c r="E164" s="413"/>
      <c r="F164" s="146">
        <v>165.93</v>
      </c>
      <c r="G164" s="628">
        <f t="shared" si="31"/>
        <v>165.93</v>
      </c>
      <c r="H164" s="824"/>
      <c r="I164" s="824"/>
      <c r="J164" s="411"/>
      <c r="K164" s="400">
        <f t="shared" si="32"/>
        <v>0</v>
      </c>
      <c r="L164" s="593">
        <f t="shared" si="28"/>
        <v>0</v>
      </c>
      <c r="M164" s="177">
        <f t="shared" si="30"/>
        <v>0</v>
      </c>
      <c r="N164" s="446">
        <f t="shared" si="29"/>
        <v>0</v>
      </c>
      <c r="O164" s="427">
        <v>0</v>
      </c>
      <c r="P164" s="177">
        <f t="shared" si="26"/>
        <v>0</v>
      </c>
      <c r="Q164" s="177">
        <f t="shared" si="33"/>
        <v>0</v>
      </c>
      <c r="R164" s="431">
        <f t="shared" si="27"/>
        <v>0</v>
      </c>
      <c r="S164" s="468">
        <v>3</v>
      </c>
      <c r="T164" s="127"/>
      <c r="U164" s="127"/>
      <c r="V164" s="127"/>
      <c r="W164" s="127"/>
      <c r="X164" s="127"/>
      <c r="Y164" s="127"/>
    </row>
    <row r="165" spans="1:25" s="6" customFormat="1" ht="15.75">
      <c r="A165" s="268">
        <v>74</v>
      </c>
      <c r="B165" s="176" t="s">
        <v>123</v>
      </c>
      <c r="C165" s="535">
        <v>783.19</v>
      </c>
      <c r="D165" s="413">
        <v>194.1</v>
      </c>
      <c r="E165" s="413"/>
      <c r="F165" s="146">
        <v>783.19</v>
      </c>
      <c r="G165" s="628">
        <f t="shared" si="31"/>
        <v>977.29000000000008</v>
      </c>
      <c r="H165" s="824"/>
      <c r="I165" s="824">
        <v>81</v>
      </c>
      <c r="J165" s="411"/>
      <c r="K165" s="400">
        <f t="shared" si="32"/>
        <v>81</v>
      </c>
      <c r="L165" s="593">
        <f t="shared" si="28"/>
        <v>0.10714285714285714</v>
      </c>
      <c r="M165" s="177">
        <f t="shared" si="30"/>
        <v>216.10821428571427</v>
      </c>
      <c r="N165" s="446">
        <f t="shared" si="29"/>
        <v>79.462990392857137</v>
      </c>
      <c r="O165" s="427">
        <v>83.48035714285713</v>
      </c>
      <c r="P165" s="177">
        <f t="shared" si="26"/>
        <v>5.3442857142857143</v>
      </c>
      <c r="Q165" s="177">
        <f t="shared" si="33"/>
        <v>6.5146842857142859</v>
      </c>
      <c r="R165" s="431">
        <f t="shared" si="27"/>
        <v>0.49080791064200802</v>
      </c>
      <c r="S165" s="468">
        <v>1</v>
      </c>
      <c r="T165" s="127"/>
      <c r="U165" s="127"/>
      <c r="V165" s="127"/>
      <c r="W165" s="127"/>
      <c r="X165" s="127"/>
      <c r="Y165" s="127"/>
    </row>
    <row r="166" spans="1:25" s="6" customFormat="1" ht="15.75">
      <c r="A166" s="268">
        <v>75</v>
      </c>
      <c r="B166" s="176" t="s">
        <v>124</v>
      </c>
      <c r="C166" s="535">
        <v>144.9</v>
      </c>
      <c r="D166" s="413"/>
      <c r="E166" s="413"/>
      <c r="F166" s="146">
        <v>144.9</v>
      </c>
      <c r="G166" s="628">
        <f t="shared" si="31"/>
        <v>144.9</v>
      </c>
      <c r="H166" s="414"/>
      <c r="I166" s="414">
        <v>0</v>
      </c>
      <c r="J166" s="411"/>
      <c r="K166" s="400">
        <f t="shared" si="32"/>
        <v>0</v>
      </c>
      <c r="L166" s="593">
        <f t="shared" si="28"/>
        <v>0</v>
      </c>
      <c r="M166" s="177">
        <f t="shared" si="30"/>
        <v>0</v>
      </c>
      <c r="N166" s="446">
        <f t="shared" si="29"/>
        <v>0</v>
      </c>
      <c r="O166" s="427">
        <v>0</v>
      </c>
      <c r="P166" s="177">
        <f t="shared" si="26"/>
        <v>0</v>
      </c>
      <c r="Q166" s="177">
        <f t="shared" si="33"/>
        <v>0</v>
      </c>
      <c r="R166" s="431">
        <f t="shared" si="27"/>
        <v>0</v>
      </c>
      <c r="S166" s="468">
        <v>1</v>
      </c>
      <c r="T166" s="127"/>
      <c r="U166" s="127"/>
      <c r="V166" s="127"/>
      <c r="W166" s="127"/>
      <c r="X166" s="127"/>
      <c r="Y166" s="127"/>
    </row>
    <row r="167" spans="1:25" s="6" customFormat="1" ht="15.75">
      <c r="A167" s="268">
        <v>76</v>
      </c>
      <c r="B167" s="176" t="s">
        <v>125</v>
      </c>
      <c r="C167" s="535">
        <v>213.4</v>
      </c>
      <c r="D167" s="413">
        <v>18.5</v>
      </c>
      <c r="E167" s="413"/>
      <c r="F167" s="146">
        <v>178.36</v>
      </c>
      <c r="G167" s="628">
        <f t="shared" si="31"/>
        <v>231.9</v>
      </c>
      <c r="H167" s="414"/>
      <c r="I167" s="414">
        <v>0</v>
      </c>
      <c r="J167" s="411"/>
      <c r="K167" s="400">
        <f t="shared" si="32"/>
        <v>0</v>
      </c>
      <c r="L167" s="593">
        <f t="shared" si="28"/>
        <v>0</v>
      </c>
      <c r="M167" s="177">
        <f t="shared" si="30"/>
        <v>0</v>
      </c>
      <c r="N167" s="446">
        <f t="shared" si="29"/>
        <v>0</v>
      </c>
      <c r="O167" s="427">
        <v>0</v>
      </c>
      <c r="P167" s="177">
        <f t="shared" si="26"/>
        <v>0</v>
      </c>
      <c r="Q167" s="177">
        <f t="shared" si="33"/>
        <v>0</v>
      </c>
      <c r="R167" s="431">
        <f t="shared" si="27"/>
        <v>0</v>
      </c>
      <c r="S167" s="468">
        <v>6</v>
      </c>
      <c r="T167" s="127"/>
      <c r="U167" s="127"/>
      <c r="V167" s="127"/>
      <c r="W167" s="127"/>
      <c r="X167" s="127"/>
      <c r="Y167" s="127"/>
    </row>
    <row r="168" spans="1:25" s="6" customFormat="1" ht="15.75">
      <c r="A168" s="268">
        <v>77</v>
      </c>
      <c r="B168" s="274" t="s">
        <v>126</v>
      </c>
      <c r="C168" s="535">
        <v>3146.6</v>
      </c>
      <c r="D168" s="413"/>
      <c r="E168" s="413"/>
      <c r="F168" s="146">
        <v>3146.9</v>
      </c>
      <c r="G168" s="628">
        <f t="shared" si="31"/>
        <v>3146.6</v>
      </c>
      <c r="H168" s="414"/>
      <c r="I168" s="414">
        <v>0</v>
      </c>
      <c r="J168" s="411"/>
      <c r="K168" s="400">
        <f t="shared" si="32"/>
        <v>0</v>
      </c>
      <c r="L168" s="593">
        <f t="shared" si="28"/>
        <v>0</v>
      </c>
      <c r="M168" s="177">
        <f t="shared" si="30"/>
        <v>0</v>
      </c>
      <c r="N168" s="446">
        <f t="shared" si="29"/>
        <v>0</v>
      </c>
      <c r="O168" s="427">
        <v>0</v>
      </c>
      <c r="P168" s="177">
        <f t="shared" si="26"/>
        <v>0</v>
      </c>
      <c r="Q168" s="177">
        <f t="shared" si="33"/>
        <v>0</v>
      </c>
      <c r="R168" s="431">
        <f t="shared" si="27"/>
        <v>0</v>
      </c>
      <c r="S168" s="468">
        <v>4</v>
      </c>
      <c r="T168" s="127"/>
      <c r="U168" s="127"/>
      <c r="V168" s="127"/>
      <c r="W168" s="127"/>
      <c r="X168" s="127"/>
      <c r="Y168" s="127"/>
    </row>
    <row r="169" spans="1:25" s="6" customFormat="1" ht="15.75">
      <c r="A169" s="275">
        <v>78</v>
      </c>
      <c r="B169" s="176" t="s">
        <v>127</v>
      </c>
      <c r="C169" s="535">
        <v>848.35</v>
      </c>
      <c r="D169" s="413"/>
      <c r="E169" s="413"/>
      <c r="F169" s="146">
        <v>848.35</v>
      </c>
      <c r="G169" s="628">
        <f t="shared" si="31"/>
        <v>848.35</v>
      </c>
      <c r="H169" s="824">
        <v>115</v>
      </c>
      <c r="I169" s="824"/>
      <c r="J169" s="411"/>
      <c r="K169" s="400">
        <f t="shared" si="32"/>
        <v>115</v>
      </c>
      <c r="L169" s="593">
        <f t="shared" si="28"/>
        <v>0.13690476190476192</v>
      </c>
      <c r="M169" s="177">
        <f t="shared" si="30"/>
        <v>276.13827380952381</v>
      </c>
      <c r="N169" s="446">
        <f t="shared" si="29"/>
        <v>101.53604327976191</v>
      </c>
      <c r="O169" s="427">
        <v>106.66934523809525</v>
      </c>
      <c r="P169" s="177">
        <f t="shared" si="26"/>
        <v>6.8288095238095252</v>
      </c>
      <c r="Q169" s="177">
        <f t="shared" si="33"/>
        <v>8.3243188095238114</v>
      </c>
      <c r="R169" s="431">
        <f t="shared" si="27"/>
        <v>0.57897385731265461</v>
      </c>
      <c r="S169" s="468">
        <v>4</v>
      </c>
      <c r="T169" s="127"/>
      <c r="U169" s="127"/>
      <c r="V169" s="127"/>
      <c r="W169" s="127"/>
      <c r="X169" s="127"/>
      <c r="Y169" s="127"/>
    </row>
    <row r="170" spans="1:25" s="6" customFormat="1" ht="15.75">
      <c r="A170" s="268">
        <v>79</v>
      </c>
      <c r="B170" s="176" t="s">
        <v>128</v>
      </c>
      <c r="C170" s="535">
        <v>885.4</v>
      </c>
      <c r="D170" s="413"/>
      <c r="E170" s="413"/>
      <c r="F170" s="146">
        <v>886.45</v>
      </c>
      <c r="G170" s="628">
        <f t="shared" si="31"/>
        <v>885.4</v>
      </c>
      <c r="H170" s="824">
        <v>73</v>
      </c>
      <c r="I170" s="824"/>
      <c r="J170" s="411"/>
      <c r="K170" s="400">
        <f t="shared" si="32"/>
        <v>73</v>
      </c>
      <c r="L170" s="593">
        <f t="shared" si="28"/>
        <v>8.6904761904761901E-2</v>
      </c>
      <c r="M170" s="177">
        <f t="shared" si="30"/>
        <v>175.2877738095238</v>
      </c>
      <c r="N170" s="446">
        <f t="shared" si="29"/>
        <v>64.453314429761903</v>
      </c>
      <c r="O170" s="427">
        <v>67.711845238095236</v>
      </c>
      <c r="P170" s="177">
        <f t="shared" si="26"/>
        <v>4.3348095238095237</v>
      </c>
      <c r="Q170" s="177">
        <f t="shared" si="33"/>
        <v>5.2841328095238094</v>
      </c>
      <c r="R170" s="431">
        <f t="shared" si="27"/>
        <v>0.35214337361778908</v>
      </c>
      <c r="S170" s="468">
        <v>4</v>
      </c>
      <c r="T170" s="127"/>
      <c r="U170" s="127"/>
      <c r="V170" s="127"/>
      <c r="W170" s="127"/>
      <c r="X170" s="127"/>
      <c r="Y170" s="127"/>
    </row>
    <row r="171" spans="1:25" s="6" customFormat="1" ht="15.75">
      <c r="A171" s="268">
        <v>80</v>
      </c>
      <c r="B171" s="176" t="s">
        <v>129</v>
      </c>
      <c r="C171" s="535">
        <v>877.79</v>
      </c>
      <c r="D171" s="413"/>
      <c r="E171" s="413"/>
      <c r="F171" s="146">
        <v>877.79</v>
      </c>
      <c r="G171" s="628">
        <f t="shared" si="31"/>
        <v>877.79</v>
      </c>
      <c r="H171" s="824">
        <v>82</v>
      </c>
      <c r="I171" s="824">
        <v>39</v>
      </c>
      <c r="J171" s="411"/>
      <c r="K171" s="400">
        <f t="shared" si="32"/>
        <v>121</v>
      </c>
      <c r="L171" s="593">
        <f t="shared" si="28"/>
        <v>0.1492063492063492</v>
      </c>
      <c r="M171" s="177">
        <f t="shared" si="30"/>
        <v>300.95069841269839</v>
      </c>
      <c r="N171" s="446">
        <f t="shared" si="29"/>
        <v>110.65957180634921</v>
      </c>
      <c r="O171" s="427">
        <v>116.25412698412698</v>
      </c>
      <c r="P171" s="177">
        <f t="shared" si="26"/>
        <v>7.4424126984126984</v>
      </c>
      <c r="Q171" s="177">
        <f t="shared" si="33"/>
        <v>9.0723010793650793</v>
      </c>
      <c r="R171" s="431">
        <f t="shared" si="27"/>
        <v>0.6098347097843303</v>
      </c>
      <c r="S171" s="468">
        <v>4</v>
      </c>
      <c r="T171" s="127"/>
      <c r="U171" s="127"/>
      <c r="V171" s="127"/>
      <c r="W171" s="127"/>
      <c r="X171" s="127"/>
      <c r="Y171" s="127"/>
    </row>
    <row r="172" spans="1:25" s="6" customFormat="1" ht="15.75">
      <c r="A172" s="268">
        <v>81</v>
      </c>
      <c r="B172" s="176" t="s">
        <v>130</v>
      </c>
      <c r="C172" s="535">
        <v>917.6</v>
      </c>
      <c r="D172" s="413"/>
      <c r="E172" s="413">
        <v>32.299999999999997</v>
      </c>
      <c r="F172" s="146">
        <v>917.6</v>
      </c>
      <c r="G172" s="628">
        <f t="shared" si="31"/>
        <v>949.9</v>
      </c>
      <c r="H172" s="824">
        <v>20</v>
      </c>
      <c r="I172" s="824">
        <v>89</v>
      </c>
      <c r="J172" s="411"/>
      <c r="K172" s="400">
        <f t="shared" si="32"/>
        <v>109</v>
      </c>
      <c r="L172" s="593">
        <f t="shared" si="28"/>
        <v>0.14153439153439151</v>
      </c>
      <c r="M172" s="177">
        <f t="shared" si="30"/>
        <v>285.476283068783</v>
      </c>
      <c r="N172" s="446">
        <f t="shared" si="29"/>
        <v>104.96962928439152</v>
      </c>
      <c r="O172" s="427">
        <v>110.27652116402115</v>
      </c>
      <c r="P172" s="177">
        <f t="shared" si="26"/>
        <v>7.0597354497354488</v>
      </c>
      <c r="Q172" s="177">
        <f t="shared" si="33"/>
        <v>8.6058175132275121</v>
      </c>
      <c r="R172" s="431">
        <f t="shared" si="27"/>
        <v>0.55338074211740529</v>
      </c>
      <c r="S172" s="468">
        <v>4</v>
      </c>
      <c r="T172" s="127"/>
      <c r="U172" s="127"/>
      <c r="V172" s="127"/>
      <c r="W172" s="127"/>
      <c r="X172" s="127"/>
      <c r="Y172" s="127"/>
    </row>
    <row r="173" spans="1:25" s="6" customFormat="1" ht="15.75">
      <c r="A173" s="268">
        <v>82</v>
      </c>
      <c r="B173" s="176" t="s">
        <v>131</v>
      </c>
      <c r="C173" s="535">
        <v>1018.2</v>
      </c>
      <c r="D173" s="413"/>
      <c r="E173" s="413">
        <v>37.799999999999997</v>
      </c>
      <c r="F173" s="146">
        <v>1018.2</v>
      </c>
      <c r="G173" s="628">
        <f t="shared" si="31"/>
        <v>1056</v>
      </c>
      <c r="H173" s="824">
        <v>97</v>
      </c>
      <c r="I173" s="824">
        <v>30</v>
      </c>
      <c r="J173" s="411"/>
      <c r="K173" s="400">
        <f t="shared" si="32"/>
        <v>127</v>
      </c>
      <c r="L173" s="593">
        <f t="shared" si="28"/>
        <v>0.15515873015873016</v>
      </c>
      <c r="M173" s="177">
        <f t="shared" si="30"/>
        <v>312.95671031746031</v>
      </c>
      <c r="N173" s="446">
        <f t="shared" si="29"/>
        <v>115.07418238373016</v>
      </c>
      <c r="O173" s="427">
        <v>120.8919246031746</v>
      </c>
      <c r="P173" s="177">
        <f t="shared" si="26"/>
        <v>7.7393174603174613</v>
      </c>
      <c r="Q173" s="177">
        <f t="shared" si="33"/>
        <v>9.434227984126986</v>
      </c>
      <c r="R173" s="431">
        <f t="shared" si="27"/>
        <v>0.54671197678715622</v>
      </c>
      <c r="S173" s="468">
        <v>3</v>
      </c>
      <c r="T173" s="127"/>
      <c r="U173" s="127"/>
      <c r="V173" s="127"/>
      <c r="W173" s="127"/>
      <c r="X173" s="127"/>
      <c r="Y173" s="127"/>
    </row>
    <row r="174" spans="1:25" s="6" customFormat="1" ht="15.75">
      <c r="A174" s="268">
        <v>83</v>
      </c>
      <c r="B174" s="176" t="s">
        <v>132</v>
      </c>
      <c r="C174" s="535">
        <v>837.9</v>
      </c>
      <c r="D174" s="413">
        <v>160.4</v>
      </c>
      <c r="E174" s="413"/>
      <c r="F174" s="146">
        <v>837.9</v>
      </c>
      <c r="G174" s="628">
        <f t="shared" si="31"/>
        <v>998.3</v>
      </c>
      <c r="H174" s="824">
        <v>126</v>
      </c>
      <c r="I174" s="824"/>
      <c r="J174" s="411"/>
      <c r="K174" s="400">
        <f t="shared" si="32"/>
        <v>126</v>
      </c>
      <c r="L174" s="593">
        <f t="shared" si="28"/>
        <v>0.15</v>
      </c>
      <c r="M174" s="177">
        <f t="shared" si="30"/>
        <v>302.55149999999998</v>
      </c>
      <c r="N174" s="446">
        <f t="shared" si="29"/>
        <v>111.24818655</v>
      </c>
      <c r="O174" s="427">
        <v>116.8725</v>
      </c>
      <c r="P174" s="177">
        <f t="shared" si="26"/>
        <v>7.4820000000000002</v>
      </c>
      <c r="Q174" s="177">
        <f t="shared" si="33"/>
        <v>9.1205580000000008</v>
      </c>
      <c r="R174" s="431">
        <f t="shared" si="27"/>
        <v>0.64226540941639809</v>
      </c>
      <c r="S174" s="468">
        <v>3</v>
      </c>
      <c r="T174" s="127"/>
      <c r="U174" s="127"/>
      <c r="V174" s="127"/>
      <c r="W174" s="127"/>
      <c r="X174" s="127"/>
      <c r="Y174" s="127"/>
    </row>
    <row r="175" spans="1:25" s="6" customFormat="1" ht="15.75">
      <c r="A175" s="268">
        <v>84</v>
      </c>
      <c r="B175" s="176" t="s">
        <v>133</v>
      </c>
      <c r="C175" s="535">
        <v>304</v>
      </c>
      <c r="D175" s="413"/>
      <c r="E175" s="413"/>
      <c r="F175" s="146">
        <v>283.60000000000002</v>
      </c>
      <c r="G175" s="628">
        <f t="shared" si="31"/>
        <v>304</v>
      </c>
      <c r="H175" s="824">
        <v>30</v>
      </c>
      <c r="I175" s="824"/>
      <c r="J175" s="411"/>
      <c r="K175" s="400">
        <f t="shared" si="32"/>
        <v>30</v>
      </c>
      <c r="L175" s="593">
        <f t="shared" si="28"/>
        <v>3.5714285714285712E-2</v>
      </c>
      <c r="M175" s="177">
        <f t="shared" si="30"/>
        <v>72.036071428571418</v>
      </c>
      <c r="N175" s="446">
        <f t="shared" si="29"/>
        <v>26.487663464285713</v>
      </c>
      <c r="O175" s="427">
        <v>27.826785714285712</v>
      </c>
      <c r="P175" s="177">
        <f t="shared" si="26"/>
        <v>1.7814285714285714</v>
      </c>
      <c r="Q175" s="177">
        <f t="shared" si="33"/>
        <v>2.1715614285714286</v>
      </c>
      <c r="R175" s="431">
        <f t="shared" si="27"/>
        <v>0.4214866749295112</v>
      </c>
      <c r="S175" s="468">
        <v>3</v>
      </c>
      <c r="T175" s="127"/>
      <c r="U175" s="127"/>
      <c r="V175" s="127"/>
      <c r="W175" s="127"/>
      <c r="X175" s="127"/>
      <c r="Y175" s="127"/>
    </row>
    <row r="176" spans="1:25" s="6" customFormat="1" ht="15.75">
      <c r="A176" s="275">
        <v>85</v>
      </c>
      <c r="B176" s="176" t="s">
        <v>134</v>
      </c>
      <c r="C176" s="535">
        <v>1272.1600000000001</v>
      </c>
      <c r="D176" s="413">
        <v>51.6</v>
      </c>
      <c r="E176" s="413">
        <v>23.7</v>
      </c>
      <c r="F176" s="146">
        <v>1272.1600000000001</v>
      </c>
      <c r="G176" s="628">
        <f t="shared" si="31"/>
        <v>1347.46</v>
      </c>
      <c r="H176" s="824">
        <v>90</v>
      </c>
      <c r="I176" s="824">
        <v>65</v>
      </c>
      <c r="J176" s="411"/>
      <c r="K176" s="400">
        <f t="shared" si="32"/>
        <v>155</v>
      </c>
      <c r="L176" s="593">
        <f t="shared" si="28"/>
        <v>0.19312169312169311</v>
      </c>
      <c r="M176" s="177">
        <f t="shared" si="30"/>
        <v>389.52838624338619</v>
      </c>
      <c r="N176" s="446">
        <f t="shared" si="29"/>
        <v>143.22958762169313</v>
      </c>
      <c r="O176" s="427">
        <v>150.47076719576719</v>
      </c>
      <c r="P176" s="177">
        <f t="shared" si="26"/>
        <v>9.6329100529100522</v>
      </c>
      <c r="Q176" s="177">
        <f t="shared" si="33"/>
        <v>11.742517354497354</v>
      </c>
      <c r="R176" s="431">
        <f t="shared" si="27"/>
        <v>0.54463404847955954</v>
      </c>
      <c r="S176" s="468">
        <v>4</v>
      </c>
      <c r="T176" s="127"/>
      <c r="U176" s="127"/>
      <c r="V176" s="127"/>
      <c r="W176" s="127"/>
      <c r="X176" s="127"/>
      <c r="Y176" s="127"/>
    </row>
    <row r="177" spans="1:25" s="6" customFormat="1" ht="15.75">
      <c r="A177" s="268">
        <v>86</v>
      </c>
      <c r="B177" s="176" t="s">
        <v>135</v>
      </c>
      <c r="C177" s="535">
        <v>930.9</v>
      </c>
      <c r="D177" s="413"/>
      <c r="E177" s="413"/>
      <c r="F177" s="146">
        <v>930.9</v>
      </c>
      <c r="G177" s="628">
        <f t="shared" si="31"/>
        <v>930.9</v>
      </c>
      <c r="H177" s="824"/>
      <c r="I177" s="824">
        <v>104</v>
      </c>
      <c r="J177" s="411"/>
      <c r="K177" s="400">
        <f t="shared" si="32"/>
        <v>104</v>
      </c>
      <c r="L177" s="593">
        <f t="shared" si="28"/>
        <v>0.13756613756613756</v>
      </c>
      <c r="M177" s="177">
        <f t="shared" si="30"/>
        <v>277.47227513227512</v>
      </c>
      <c r="N177" s="446">
        <f t="shared" si="29"/>
        <v>102.02655556613757</v>
      </c>
      <c r="O177" s="427">
        <v>107.18465608465607</v>
      </c>
      <c r="P177" s="177">
        <f t="shared" si="26"/>
        <v>6.8617989417989413</v>
      </c>
      <c r="Q177" s="177">
        <f t="shared" si="33"/>
        <v>8.36453291005291</v>
      </c>
      <c r="R177" s="431">
        <f t="shared" si="27"/>
        <v>0.53018077744641501</v>
      </c>
      <c r="S177" s="468">
        <v>3</v>
      </c>
      <c r="T177" s="127"/>
      <c r="U177" s="127"/>
      <c r="V177" s="127"/>
      <c r="W177" s="127"/>
      <c r="X177" s="127"/>
      <c r="Y177" s="127"/>
    </row>
    <row r="178" spans="1:25" s="6" customFormat="1" ht="15.75">
      <c r="A178" s="268">
        <v>87</v>
      </c>
      <c r="B178" s="176" t="s">
        <v>136</v>
      </c>
      <c r="C178" s="535">
        <v>791.4</v>
      </c>
      <c r="D178" s="413"/>
      <c r="E178" s="413"/>
      <c r="F178" s="146">
        <v>817.6</v>
      </c>
      <c r="G178" s="628">
        <f t="shared" si="31"/>
        <v>791.4</v>
      </c>
      <c r="H178" s="824">
        <v>29</v>
      </c>
      <c r="I178" s="824">
        <v>58</v>
      </c>
      <c r="J178" s="411"/>
      <c r="K178" s="400">
        <f t="shared" si="32"/>
        <v>87</v>
      </c>
      <c r="L178" s="593">
        <f t="shared" si="28"/>
        <v>0.11124338624338624</v>
      </c>
      <c r="M178" s="177">
        <f t="shared" si="30"/>
        <v>224.37902248677247</v>
      </c>
      <c r="N178" s="446">
        <f t="shared" si="29"/>
        <v>82.504166568386239</v>
      </c>
      <c r="O178" s="427">
        <v>86.67528439153439</v>
      </c>
      <c r="P178" s="177">
        <f t="shared" si="26"/>
        <v>5.5488201058201057</v>
      </c>
      <c r="Q178" s="177">
        <f t="shared" si="33"/>
        <v>6.7640117089947092</v>
      </c>
      <c r="R178" s="431">
        <f t="shared" si="27"/>
        <v>0.5043053999905398</v>
      </c>
      <c r="S178" s="468">
        <v>4</v>
      </c>
      <c r="T178" s="127"/>
      <c r="U178" s="127"/>
      <c r="V178" s="127"/>
      <c r="W178" s="127"/>
      <c r="X178" s="127"/>
      <c r="Y178" s="127"/>
    </row>
    <row r="179" spans="1:25" s="6" customFormat="1" ht="15.75">
      <c r="A179" s="268">
        <v>88</v>
      </c>
      <c r="B179" s="176" t="s">
        <v>137</v>
      </c>
      <c r="C179" s="535">
        <v>574.42999999999995</v>
      </c>
      <c r="D179" s="413"/>
      <c r="E179" s="413"/>
      <c r="F179" s="146">
        <v>576.73</v>
      </c>
      <c r="G179" s="628">
        <f t="shared" si="31"/>
        <v>574.42999999999995</v>
      </c>
      <c r="H179" s="824"/>
      <c r="I179" s="824">
        <v>82</v>
      </c>
      <c r="J179" s="411"/>
      <c r="K179" s="400">
        <f t="shared" si="32"/>
        <v>82</v>
      </c>
      <c r="L179" s="593">
        <f t="shared" si="28"/>
        <v>0.10846560846560846</v>
      </c>
      <c r="M179" s="177">
        <f t="shared" si="30"/>
        <v>218.77621693121691</v>
      </c>
      <c r="N179" s="446">
        <f t="shared" si="29"/>
        <v>80.44401496560846</v>
      </c>
      <c r="O179" s="427">
        <v>84.510978835978833</v>
      </c>
      <c r="P179" s="177">
        <f t="shared" si="26"/>
        <v>5.4102645502645501</v>
      </c>
      <c r="Q179" s="177">
        <f t="shared" si="33"/>
        <v>6.5951124867724866</v>
      </c>
      <c r="R179" s="431">
        <f t="shared" si="27"/>
        <v>0.67743933165584802</v>
      </c>
      <c r="S179" s="468">
        <v>3</v>
      </c>
      <c r="T179" s="127"/>
      <c r="U179" s="127"/>
      <c r="V179" s="127"/>
      <c r="W179" s="127"/>
      <c r="X179" s="127"/>
      <c r="Y179" s="127"/>
    </row>
    <row r="180" spans="1:25" s="6" customFormat="1" ht="15.75">
      <c r="A180" s="268">
        <v>89</v>
      </c>
      <c r="B180" s="176" t="s">
        <v>138</v>
      </c>
      <c r="C180" s="535">
        <v>326.89999999999998</v>
      </c>
      <c r="D180" s="413"/>
      <c r="E180" s="413"/>
      <c r="F180" s="146">
        <v>326.89999999999998</v>
      </c>
      <c r="G180" s="628">
        <f t="shared" si="31"/>
        <v>326.89999999999998</v>
      </c>
      <c r="H180" s="824"/>
      <c r="I180" s="824">
        <v>50</v>
      </c>
      <c r="J180" s="411"/>
      <c r="K180" s="400">
        <f t="shared" si="32"/>
        <v>50</v>
      </c>
      <c r="L180" s="593">
        <f t="shared" si="28"/>
        <v>6.6137566137566134E-2</v>
      </c>
      <c r="M180" s="177">
        <f t="shared" si="30"/>
        <v>133.40013227513228</v>
      </c>
      <c r="N180" s="446">
        <f t="shared" si="29"/>
        <v>49.05122863756614</v>
      </c>
      <c r="O180" s="427">
        <v>51.531084656084651</v>
      </c>
      <c r="P180" s="177">
        <f t="shared" si="26"/>
        <v>3.2989417989417991</v>
      </c>
      <c r="Q180" s="177">
        <f t="shared" si="33"/>
        <v>4.0214100529100536</v>
      </c>
      <c r="R180" s="431">
        <f t="shared" si="27"/>
        <v>0.72585312746321473</v>
      </c>
      <c r="S180" s="468">
        <v>3</v>
      </c>
      <c r="T180" s="127"/>
      <c r="U180" s="127"/>
      <c r="V180" s="127"/>
      <c r="W180" s="127"/>
      <c r="X180" s="127"/>
      <c r="Y180" s="127"/>
    </row>
    <row r="181" spans="1:25" s="6" customFormat="1" ht="15.75">
      <c r="A181" s="268">
        <v>90</v>
      </c>
      <c r="B181" s="176" t="s">
        <v>139</v>
      </c>
      <c r="C181" s="535">
        <v>323.60000000000002</v>
      </c>
      <c r="D181" s="413"/>
      <c r="E181" s="413"/>
      <c r="F181" s="146">
        <v>323.60000000000002</v>
      </c>
      <c r="G181" s="628">
        <f t="shared" si="31"/>
        <v>323.60000000000002</v>
      </c>
      <c r="H181" s="824"/>
      <c r="I181" s="824">
        <v>60</v>
      </c>
      <c r="J181" s="411"/>
      <c r="K181" s="400">
        <f t="shared" si="32"/>
        <v>60</v>
      </c>
      <c r="L181" s="593">
        <f t="shared" si="28"/>
        <v>7.9365079365079361E-2</v>
      </c>
      <c r="M181" s="177">
        <f t="shared" si="30"/>
        <v>160.08015873015873</v>
      </c>
      <c r="N181" s="446">
        <f t="shared" si="29"/>
        <v>58.861474365079367</v>
      </c>
      <c r="O181" s="427">
        <v>61.837301587301582</v>
      </c>
      <c r="P181" s="177">
        <f t="shared" si="26"/>
        <v>3.9587301587301589</v>
      </c>
      <c r="Q181" s="177">
        <f t="shared" si="33"/>
        <v>4.8256920634920641</v>
      </c>
      <c r="R181" s="431">
        <f t="shared" si="27"/>
        <v>0.87990625723507354</v>
      </c>
      <c r="S181" s="468">
        <v>1</v>
      </c>
      <c r="T181" s="127"/>
      <c r="U181" s="127"/>
      <c r="V181" s="127"/>
      <c r="W181" s="127"/>
      <c r="X181" s="127"/>
      <c r="Y181" s="127"/>
    </row>
    <row r="182" spans="1:25" s="6" customFormat="1" ht="15.75">
      <c r="A182" s="268">
        <v>91</v>
      </c>
      <c r="B182" s="176" t="s">
        <v>140</v>
      </c>
      <c r="C182" s="535">
        <v>483.2</v>
      </c>
      <c r="D182" s="413"/>
      <c r="E182" s="413"/>
      <c r="F182" s="146">
        <v>483.2</v>
      </c>
      <c r="G182" s="628">
        <f t="shared" si="31"/>
        <v>483.2</v>
      </c>
      <c r="H182" s="824"/>
      <c r="I182" s="824"/>
      <c r="J182" s="411"/>
      <c r="K182" s="400">
        <f t="shared" si="32"/>
        <v>0</v>
      </c>
      <c r="L182" s="593">
        <f t="shared" si="28"/>
        <v>0</v>
      </c>
      <c r="M182" s="177">
        <f t="shared" si="30"/>
        <v>0</v>
      </c>
      <c r="N182" s="446">
        <f t="shared" si="29"/>
        <v>0</v>
      </c>
      <c r="O182" s="427">
        <v>0</v>
      </c>
      <c r="P182" s="177">
        <f t="shared" si="26"/>
        <v>0</v>
      </c>
      <c r="Q182" s="177">
        <f t="shared" si="33"/>
        <v>0</v>
      </c>
      <c r="R182" s="431">
        <f t="shared" si="27"/>
        <v>0</v>
      </c>
      <c r="S182" s="468">
        <v>2</v>
      </c>
      <c r="T182" s="127"/>
      <c r="U182" s="127"/>
      <c r="V182" s="127"/>
      <c r="W182" s="127"/>
      <c r="X182" s="127"/>
      <c r="Y182" s="127"/>
    </row>
    <row r="183" spans="1:25" s="6" customFormat="1" ht="15.75">
      <c r="A183" s="275">
        <v>92</v>
      </c>
      <c r="B183" s="176" t="s">
        <v>141</v>
      </c>
      <c r="C183" s="535">
        <v>408.2</v>
      </c>
      <c r="D183" s="413"/>
      <c r="E183" s="413"/>
      <c r="F183" s="146">
        <v>408.2</v>
      </c>
      <c r="G183" s="628">
        <f t="shared" si="31"/>
        <v>408.2</v>
      </c>
      <c r="H183" s="824"/>
      <c r="I183" s="824"/>
      <c r="J183" s="411"/>
      <c r="K183" s="400">
        <f t="shared" si="32"/>
        <v>0</v>
      </c>
      <c r="L183" s="593">
        <f t="shared" si="28"/>
        <v>0</v>
      </c>
      <c r="M183" s="177">
        <f t="shared" si="30"/>
        <v>0</v>
      </c>
      <c r="N183" s="446">
        <f t="shared" si="29"/>
        <v>0</v>
      </c>
      <c r="O183" s="427">
        <v>0</v>
      </c>
      <c r="P183" s="177">
        <f t="shared" si="26"/>
        <v>0</v>
      </c>
      <c r="Q183" s="177">
        <f t="shared" si="33"/>
        <v>0</v>
      </c>
      <c r="R183" s="431">
        <f t="shared" si="27"/>
        <v>0</v>
      </c>
      <c r="S183" s="468">
        <v>2</v>
      </c>
      <c r="T183" s="127"/>
      <c r="U183" s="127"/>
      <c r="V183" s="127"/>
      <c r="W183" s="127"/>
      <c r="X183" s="127"/>
      <c r="Y183" s="127"/>
    </row>
    <row r="184" spans="1:25" s="6" customFormat="1" ht="15.75">
      <c r="A184" s="268">
        <v>93</v>
      </c>
      <c r="B184" s="176" t="s">
        <v>145</v>
      </c>
      <c r="C184" s="535">
        <v>482.97</v>
      </c>
      <c r="D184" s="413"/>
      <c r="E184" s="413"/>
      <c r="F184" s="146">
        <v>482.97</v>
      </c>
      <c r="G184" s="628">
        <f t="shared" si="31"/>
        <v>482.97</v>
      </c>
      <c r="H184" s="824"/>
      <c r="I184" s="824"/>
      <c r="J184" s="411"/>
      <c r="K184" s="400">
        <f t="shared" si="32"/>
        <v>0</v>
      </c>
      <c r="L184" s="593">
        <f t="shared" si="28"/>
        <v>0</v>
      </c>
      <c r="M184" s="177">
        <f t="shared" si="30"/>
        <v>0</v>
      </c>
      <c r="N184" s="446">
        <f t="shared" si="29"/>
        <v>0</v>
      </c>
      <c r="O184" s="427">
        <v>0</v>
      </c>
      <c r="P184" s="177">
        <f t="shared" si="26"/>
        <v>0</v>
      </c>
      <c r="Q184" s="177">
        <f t="shared" si="33"/>
        <v>0</v>
      </c>
      <c r="R184" s="431">
        <f t="shared" si="27"/>
        <v>0</v>
      </c>
      <c r="S184" s="468">
        <v>2</v>
      </c>
      <c r="T184" s="127"/>
      <c r="U184" s="127"/>
      <c r="V184" s="127"/>
      <c r="W184" s="127"/>
      <c r="X184" s="127"/>
      <c r="Y184" s="127"/>
    </row>
    <row r="185" spans="1:25" s="6" customFormat="1" ht="15.75">
      <c r="A185" s="268">
        <v>94</v>
      </c>
      <c r="B185" s="176" t="s">
        <v>146</v>
      </c>
      <c r="C185" s="535">
        <v>699.05</v>
      </c>
      <c r="D185" s="413"/>
      <c r="E185" s="413"/>
      <c r="F185" s="146">
        <v>699.05</v>
      </c>
      <c r="G185" s="628">
        <f t="shared" si="31"/>
        <v>699.05</v>
      </c>
      <c r="H185" s="824"/>
      <c r="I185" s="824"/>
      <c r="J185" s="411"/>
      <c r="K185" s="400">
        <f t="shared" si="32"/>
        <v>0</v>
      </c>
      <c r="L185" s="593">
        <f t="shared" si="28"/>
        <v>0</v>
      </c>
      <c r="M185" s="177">
        <f t="shared" si="30"/>
        <v>0</v>
      </c>
      <c r="N185" s="446">
        <f t="shared" si="29"/>
        <v>0</v>
      </c>
      <c r="O185" s="427">
        <v>0</v>
      </c>
      <c r="P185" s="177">
        <f t="shared" si="26"/>
        <v>0</v>
      </c>
      <c r="Q185" s="177">
        <f t="shared" si="33"/>
        <v>0</v>
      </c>
      <c r="R185" s="431">
        <f t="shared" si="27"/>
        <v>0</v>
      </c>
      <c r="S185" s="468">
        <v>9</v>
      </c>
      <c r="T185" s="127"/>
      <c r="U185" s="127"/>
      <c r="V185" s="127"/>
      <c r="W185" s="127"/>
      <c r="X185" s="127"/>
      <c r="Y185" s="127"/>
    </row>
    <row r="186" spans="1:25" s="6" customFormat="1" ht="15.75">
      <c r="A186" s="268">
        <v>95</v>
      </c>
      <c r="B186" s="176" t="s">
        <v>147</v>
      </c>
      <c r="C186" s="535">
        <v>6095.81</v>
      </c>
      <c r="D186" s="413"/>
      <c r="E186" s="413"/>
      <c r="F186" s="146">
        <v>6096.46</v>
      </c>
      <c r="G186" s="628">
        <f t="shared" si="31"/>
        <v>6095.81</v>
      </c>
      <c r="H186" s="824">
        <v>485</v>
      </c>
      <c r="I186" s="824"/>
      <c r="J186" s="411"/>
      <c r="K186" s="400">
        <f t="shared" si="32"/>
        <v>485</v>
      </c>
      <c r="L186" s="593">
        <f t="shared" si="28"/>
        <v>0.57738095238095233</v>
      </c>
      <c r="M186" s="177">
        <f t="shared" si="30"/>
        <v>1164.5831547619046</v>
      </c>
      <c r="N186" s="446">
        <f t="shared" si="29"/>
        <v>428.21722600595234</v>
      </c>
      <c r="O186" s="427">
        <v>449.866369047619</v>
      </c>
      <c r="P186" s="177">
        <f t="shared" si="26"/>
        <v>28.799761904761905</v>
      </c>
      <c r="Q186" s="177">
        <f t="shared" si="33"/>
        <v>35.106909761904767</v>
      </c>
      <c r="R186" s="431">
        <f t="shared" si="27"/>
        <v>0.33981809008486769</v>
      </c>
      <c r="S186" s="468">
        <v>1</v>
      </c>
      <c r="T186" s="127"/>
      <c r="U186" s="127"/>
      <c r="V186" s="127"/>
      <c r="W186" s="127"/>
      <c r="X186" s="127"/>
      <c r="Y186" s="127"/>
    </row>
    <row r="187" spans="1:25" s="6" customFormat="1" ht="15.75">
      <c r="A187" s="268">
        <v>96</v>
      </c>
      <c r="B187" s="176" t="s">
        <v>148</v>
      </c>
      <c r="C187" s="535">
        <v>166.2</v>
      </c>
      <c r="D187" s="413"/>
      <c r="E187" s="413"/>
      <c r="F187" s="146">
        <v>150</v>
      </c>
      <c r="G187" s="628">
        <f t="shared" si="31"/>
        <v>166.2</v>
      </c>
      <c r="H187" s="824"/>
      <c r="I187" s="824"/>
      <c r="J187" s="411"/>
      <c r="K187" s="400">
        <f t="shared" si="32"/>
        <v>0</v>
      </c>
      <c r="L187" s="593">
        <f t="shared" si="28"/>
        <v>0</v>
      </c>
      <c r="M187" s="177">
        <f t="shared" si="30"/>
        <v>0</v>
      </c>
      <c r="N187" s="446">
        <f t="shared" si="29"/>
        <v>0</v>
      </c>
      <c r="O187" s="427">
        <v>0</v>
      </c>
      <c r="P187" s="177">
        <f t="shared" si="26"/>
        <v>0</v>
      </c>
      <c r="Q187" s="177">
        <f t="shared" si="33"/>
        <v>0</v>
      </c>
      <c r="R187" s="431">
        <f t="shared" si="27"/>
        <v>0</v>
      </c>
      <c r="S187" s="468">
        <v>2</v>
      </c>
      <c r="T187" s="127"/>
      <c r="U187" s="127"/>
      <c r="V187" s="127"/>
      <c r="W187" s="127"/>
      <c r="X187" s="127"/>
      <c r="Y187" s="127"/>
    </row>
    <row r="188" spans="1:25" s="6" customFormat="1" ht="15.75">
      <c r="A188" s="268">
        <v>97</v>
      </c>
      <c r="B188" s="176" t="s">
        <v>149</v>
      </c>
      <c r="C188" s="535">
        <v>273.2</v>
      </c>
      <c r="D188" s="413"/>
      <c r="E188" s="413"/>
      <c r="F188" s="146">
        <v>274.60000000000002</v>
      </c>
      <c r="G188" s="628">
        <f t="shared" si="31"/>
        <v>273.2</v>
      </c>
      <c r="H188" s="824"/>
      <c r="I188" s="824"/>
      <c r="J188" s="411"/>
      <c r="K188" s="400">
        <f t="shared" si="32"/>
        <v>0</v>
      </c>
      <c r="L188" s="593">
        <f t="shared" si="28"/>
        <v>0</v>
      </c>
      <c r="M188" s="177">
        <f t="shared" si="30"/>
        <v>0</v>
      </c>
      <c r="N188" s="446">
        <f t="shared" si="29"/>
        <v>0</v>
      </c>
      <c r="O188" s="427">
        <v>0</v>
      </c>
      <c r="P188" s="177">
        <f t="shared" si="26"/>
        <v>0</v>
      </c>
      <c r="Q188" s="177">
        <f t="shared" si="33"/>
        <v>0</v>
      </c>
      <c r="R188" s="431">
        <f t="shared" si="27"/>
        <v>0</v>
      </c>
      <c r="S188" s="468">
        <v>9</v>
      </c>
      <c r="T188" s="127"/>
      <c r="U188" s="127"/>
      <c r="V188" s="127"/>
      <c r="W188" s="127"/>
      <c r="X188" s="127"/>
      <c r="Y188" s="127"/>
    </row>
    <row r="189" spans="1:25" s="6" customFormat="1" ht="15.75">
      <c r="A189" s="268">
        <v>98</v>
      </c>
      <c r="B189" s="176" t="s">
        <v>150</v>
      </c>
      <c r="C189" s="535">
        <v>4159.58</v>
      </c>
      <c r="D189" s="413"/>
      <c r="E189" s="413"/>
      <c r="F189" s="146">
        <v>4159.58</v>
      </c>
      <c r="G189" s="628">
        <f t="shared" si="31"/>
        <v>4159.58</v>
      </c>
      <c r="H189" s="824">
        <v>455</v>
      </c>
      <c r="I189" s="824"/>
      <c r="J189" s="411"/>
      <c r="K189" s="400">
        <f t="shared" si="32"/>
        <v>455</v>
      </c>
      <c r="L189" s="593">
        <f t="shared" si="28"/>
        <v>0.54166666666666663</v>
      </c>
      <c r="M189" s="177">
        <f t="shared" si="30"/>
        <v>1092.5470833333331</v>
      </c>
      <c r="N189" s="446">
        <f t="shared" si="29"/>
        <v>401.72956254166661</v>
      </c>
      <c r="O189" s="427">
        <v>422.03958333333327</v>
      </c>
      <c r="P189" s="177">
        <f t="shared" si="26"/>
        <v>27.018333333333334</v>
      </c>
      <c r="Q189" s="177">
        <f t="shared" si="33"/>
        <v>32.935348333333337</v>
      </c>
      <c r="R189" s="431">
        <f t="shared" si="27"/>
        <v>0.46719490009608339</v>
      </c>
      <c r="S189" s="468">
        <v>5</v>
      </c>
      <c r="T189" s="127"/>
      <c r="U189" s="127"/>
      <c r="V189" s="127"/>
      <c r="W189" s="127"/>
      <c r="X189" s="127"/>
      <c r="Y189" s="127"/>
    </row>
    <row r="190" spans="1:25" s="6" customFormat="1" ht="15.75">
      <c r="A190" s="275">
        <v>99</v>
      </c>
      <c r="B190" s="176" t="s">
        <v>151</v>
      </c>
      <c r="C190" s="535">
        <v>2107.77</v>
      </c>
      <c r="D190" s="413"/>
      <c r="E190" s="413">
        <v>133</v>
      </c>
      <c r="F190" s="146">
        <v>2107.7600000000002</v>
      </c>
      <c r="G190" s="628">
        <f t="shared" si="31"/>
        <v>2240.77</v>
      </c>
      <c r="H190" s="824">
        <v>224</v>
      </c>
      <c r="I190" s="824"/>
      <c r="J190" s="411"/>
      <c r="K190" s="400">
        <f t="shared" si="32"/>
        <v>224</v>
      </c>
      <c r="L190" s="593">
        <f t="shared" si="28"/>
        <v>0.26666666666666666</v>
      </c>
      <c r="M190" s="177">
        <f t="shared" si="30"/>
        <v>537.86933333333332</v>
      </c>
      <c r="N190" s="446">
        <f t="shared" si="29"/>
        <v>197.77455386666668</v>
      </c>
      <c r="O190" s="427">
        <v>207.77333333333331</v>
      </c>
      <c r="P190" s="177">
        <f t="shared" si="26"/>
        <v>13.301333333333334</v>
      </c>
      <c r="Q190" s="177">
        <f t="shared" si="33"/>
        <v>16.214325333333335</v>
      </c>
      <c r="R190" s="431">
        <f t="shared" si="27"/>
        <v>0.45390083067254333</v>
      </c>
      <c r="S190" s="468">
        <v>4</v>
      </c>
      <c r="T190" s="127"/>
      <c r="U190" s="127"/>
      <c r="V190" s="127"/>
      <c r="W190" s="127"/>
      <c r="X190" s="127"/>
      <c r="Y190" s="127"/>
    </row>
    <row r="191" spans="1:25" s="6" customFormat="1" ht="15.75">
      <c r="A191" s="268">
        <v>100</v>
      </c>
      <c r="B191" s="176" t="s">
        <v>152</v>
      </c>
      <c r="C191" s="535">
        <v>454.48</v>
      </c>
      <c r="D191" s="413"/>
      <c r="E191" s="413"/>
      <c r="F191" s="146">
        <v>454.48</v>
      </c>
      <c r="G191" s="628">
        <f t="shared" si="31"/>
        <v>454.48</v>
      </c>
      <c r="H191" s="824">
        <v>72</v>
      </c>
      <c r="I191" s="824"/>
      <c r="J191" s="411"/>
      <c r="K191" s="400">
        <f t="shared" si="32"/>
        <v>72</v>
      </c>
      <c r="L191" s="593">
        <f t="shared" si="28"/>
        <v>8.5714285714285715E-2</v>
      </c>
      <c r="M191" s="177">
        <f t="shared" si="30"/>
        <v>172.88657142857144</v>
      </c>
      <c r="N191" s="446">
        <f t="shared" si="29"/>
        <v>63.570392314285726</v>
      </c>
      <c r="O191" s="427">
        <v>66.784285714285716</v>
      </c>
      <c r="P191" s="177">
        <f t="shared" si="26"/>
        <v>4.2754285714285718</v>
      </c>
      <c r="Q191" s="177">
        <f t="shared" si="33"/>
        <v>5.2117474285714298</v>
      </c>
      <c r="R191" s="431">
        <f t="shared" si="27"/>
        <v>0.67663412697714187</v>
      </c>
      <c r="S191" s="468">
        <v>2</v>
      </c>
      <c r="T191" s="127"/>
      <c r="U191" s="127"/>
      <c r="V191" s="127"/>
      <c r="W191" s="127"/>
      <c r="X191" s="127"/>
      <c r="Y191" s="127"/>
    </row>
    <row r="192" spans="1:25" s="6" customFormat="1" ht="15.75">
      <c r="A192" s="268">
        <v>101</v>
      </c>
      <c r="B192" s="176" t="s">
        <v>153</v>
      </c>
      <c r="C192" s="535">
        <v>166.2</v>
      </c>
      <c r="D192" s="413"/>
      <c r="E192" s="413"/>
      <c r="F192" s="146">
        <v>122.83</v>
      </c>
      <c r="G192" s="628">
        <f t="shared" si="31"/>
        <v>166.2</v>
      </c>
      <c r="H192" s="824">
        <v>0</v>
      </c>
      <c r="I192" s="824"/>
      <c r="J192" s="411"/>
      <c r="K192" s="400">
        <f t="shared" si="32"/>
        <v>0</v>
      </c>
      <c r="L192" s="593">
        <f t="shared" si="28"/>
        <v>0</v>
      </c>
      <c r="M192" s="177">
        <f t="shared" si="30"/>
        <v>0</v>
      </c>
      <c r="N192" s="446">
        <f t="shared" si="29"/>
        <v>0</v>
      </c>
      <c r="O192" s="427">
        <v>0</v>
      </c>
      <c r="P192" s="177">
        <f t="shared" si="26"/>
        <v>0</v>
      </c>
      <c r="Q192" s="177">
        <f t="shared" si="33"/>
        <v>0</v>
      </c>
      <c r="R192" s="431">
        <f t="shared" si="27"/>
        <v>0</v>
      </c>
      <c r="S192" s="468">
        <v>3</v>
      </c>
      <c r="T192" s="127"/>
      <c r="U192" s="127"/>
      <c r="V192" s="127"/>
      <c r="W192" s="127"/>
      <c r="X192" s="127"/>
      <c r="Y192" s="127"/>
    </row>
    <row r="193" spans="1:25" s="6" customFormat="1" ht="15.75">
      <c r="A193" s="268">
        <v>102</v>
      </c>
      <c r="B193" s="176" t="s">
        <v>154</v>
      </c>
      <c r="C193" s="535">
        <v>297.3</v>
      </c>
      <c r="D193" s="413">
        <v>41.3</v>
      </c>
      <c r="E193" s="413"/>
      <c r="F193" s="146">
        <v>297.3</v>
      </c>
      <c r="G193" s="628">
        <f t="shared" si="31"/>
        <v>338.6</v>
      </c>
      <c r="H193" s="824">
        <v>0</v>
      </c>
      <c r="I193" s="824"/>
      <c r="J193" s="411"/>
      <c r="K193" s="400">
        <f t="shared" si="32"/>
        <v>0</v>
      </c>
      <c r="L193" s="593">
        <f t="shared" si="28"/>
        <v>0</v>
      </c>
      <c r="M193" s="177">
        <f t="shared" si="30"/>
        <v>0</v>
      </c>
      <c r="N193" s="446">
        <f t="shared" si="29"/>
        <v>0</v>
      </c>
      <c r="O193" s="427">
        <v>0</v>
      </c>
      <c r="P193" s="177">
        <f t="shared" si="26"/>
        <v>0</v>
      </c>
      <c r="Q193" s="177">
        <f t="shared" si="33"/>
        <v>0</v>
      </c>
      <c r="R193" s="431">
        <f t="shared" si="27"/>
        <v>0</v>
      </c>
      <c r="S193" s="468">
        <v>3</v>
      </c>
      <c r="T193" s="127"/>
      <c r="U193" s="127"/>
      <c r="V193" s="127"/>
      <c r="W193" s="127"/>
      <c r="X193" s="127"/>
      <c r="Y193" s="127"/>
    </row>
    <row r="194" spans="1:25" s="6" customFormat="1" ht="15.75">
      <c r="A194" s="268">
        <v>103</v>
      </c>
      <c r="B194" s="176" t="s">
        <v>155</v>
      </c>
      <c r="C194" s="535">
        <v>453.7</v>
      </c>
      <c r="D194" s="413"/>
      <c r="E194" s="413"/>
      <c r="F194" s="146">
        <v>453.68</v>
      </c>
      <c r="G194" s="628">
        <f t="shared" si="31"/>
        <v>453.7</v>
      </c>
      <c r="H194" s="824">
        <v>49</v>
      </c>
      <c r="I194" s="824"/>
      <c r="J194" s="411"/>
      <c r="K194" s="400">
        <f t="shared" si="32"/>
        <v>49</v>
      </c>
      <c r="L194" s="593">
        <f t="shared" si="28"/>
        <v>5.8333333333333334E-2</v>
      </c>
      <c r="M194" s="177">
        <f t="shared" si="30"/>
        <v>117.65891666666667</v>
      </c>
      <c r="N194" s="446">
        <f t="shared" si="29"/>
        <v>43.26318365833334</v>
      </c>
      <c r="O194" s="427">
        <v>45.450416666666669</v>
      </c>
      <c r="P194" s="177">
        <f t="shared" si="26"/>
        <v>2.9096666666666668</v>
      </c>
      <c r="Q194" s="177">
        <f t="shared" si="33"/>
        <v>3.546883666666667</v>
      </c>
      <c r="R194" s="431">
        <f t="shared" si="27"/>
        <v>0.46127878258393951</v>
      </c>
      <c r="S194" s="468">
        <v>2</v>
      </c>
      <c r="T194" s="127"/>
      <c r="U194" s="127"/>
      <c r="V194" s="127"/>
      <c r="W194" s="127"/>
      <c r="X194" s="127"/>
      <c r="Y194" s="127"/>
    </row>
    <row r="195" spans="1:25" s="6" customFormat="1" ht="15.75">
      <c r="A195" s="268">
        <v>104</v>
      </c>
      <c r="B195" s="176" t="s">
        <v>156</v>
      </c>
      <c r="C195" s="535">
        <v>135</v>
      </c>
      <c r="D195" s="413"/>
      <c r="E195" s="413"/>
      <c r="F195" s="146">
        <v>135</v>
      </c>
      <c r="G195" s="628">
        <f t="shared" si="31"/>
        <v>135</v>
      </c>
      <c r="H195" s="824">
        <v>0</v>
      </c>
      <c r="I195" s="824"/>
      <c r="J195" s="411"/>
      <c r="K195" s="400">
        <f t="shared" si="32"/>
        <v>0</v>
      </c>
      <c r="L195" s="593">
        <f t="shared" si="28"/>
        <v>0</v>
      </c>
      <c r="M195" s="177">
        <f t="shared" si="30"/>
        <v>0</v>
      </c>
      <c r="N195" s="446">
        <f t="shared" si="29"/>
        <v>0</v>
      </c>
      <c r="O195" s="427">
        <v>0</v>
      </c>
      <c r="P195" s="177">
        <f t="shared" si="26"/>
        <v>0</v>
      </c>
      <c r="Q195" s="177">
        <f t="shared" si="33"/>
        <v>0</v>
      </c>
      <c r="R195" s="431">
        <f t="shared" si="27"/>
        <v>0</v>
      </c>
      <c r="S195" s="468">
        <v>2</v>
      </c>
      <c r="T195" s="127"/>
      <c r="U195" s="127"/>
      <c r="V195" s="127"/>
      <c r="W195" s="127"/>
      <c r="X195" s="127"/>
      <c r="Y195" s="127"/>
    </row>
    <row r="196" spans="1:25" s="6" customFormat="1" ht="15.75">
      <c r="A196" s="268">
        <v>105</v>
      </c>
      <c r="B196" s="176" t="s">
        <v>157</v>
      </c>
      <c r="C196" s="535">
        <v>89.9</v>
      </c>
      <c r="D196" s="413"/>
      <c r="E196" s="413"/>
      <c r="F196" s="146">
        <v>89.9</v>
      </c>
      <c r="G196" s="628">
        <f t="shared" si="31"/>
        <v>89.9</v>
      </c>
      <c r="H196" s="824">
        <v>0</v>
      </c>
      <c r="I196" s="824"/>
      <c r="J196" s="411"/>
      <c r="K196" s="400">
        <f t="shared" si="32"/>
        <v>0</v>
      </c>
      <c r="L196" s="593">
        <f t="shared" si="28"/>
        <v>0</v>
      </c>
      <c r="M196" s="177">
        <f t="shared" si="30"/>
        <v>0</v>
      </c>
      <c r="N196" s="446">
        <f t="shared" si="29"/>
        <v>0</v>
      </c>
      <c r="O196" s="427">
        <v>0</v>
      </c>
      <c r="P196" s="177">
        <f t="shared" si="26"/>
        <v>0</v>
      </c>
      <c r="Q196" s="177">
        <f t="shared" si="33"/>
        <v>0</v>
      </c>
      <c r="R196" s="431">
        <f t="shared" si="27"/>
        <v>0</v>
      </c>
      <c r="S196" s="468">
        <v>2</v>
      </c>
      <c r="T196" s="127"/>
      <c r="U196" s="127"/>
      <c r="V196" s="127"/>
      <c r="W196" s="127"/>
      <c r="X196" s="127"/>
      <c r="Y196" s="127"/>
    </row>
    <row r="197" spans="1:25" s="6" customFormat="1" ht="15.75">
      <c r="A197" s="275">
        <v>106</v>
      </c>
      <c r="B197" s="176" t="s">
        <v>158</v>
      </c>
      <c r="C197" s="535">
        <v>224.08</v>
      </c>
      <c r="D197" s="413"/>
      <c r="E197" s="413"/>
      <c r="F197" s="146">
        <v>224.08</v>
      </c>
      <c r="G197" s="628">
        <f t="shared" si="31"/>
        <v>224.08</v>
      </c>
      <c r="H197" s="824">
        <v>0</v>
      </c>
      <c r="I197" s="824"/>
      <c r="J197" s="411"/>
      <c r="K197" s="400">
        <f t="shared" si="32"/>
        <v>0</v>
      </c>
      <c r="L197" s="593">
        <f t="shared" si="28"/>
        <v>0</v>
      </c>
      <c r="M197" s="177">
        <f t="shared" si="30"/>
        <v>0</v>
      </c>
      <c r="N197" s="446">
        <f t="shared" si="29"/>
        <v>0</v>
      </c>
      <c r="O197" s="427">
        <v>0</v>
      </c>
      <c r="P197" s="177">
        <f t="shared" si="26"/>
        <v>0</v>
      </c>
      <c r="Q197" s="177">
        <f t="shared" si="33"/>
        <v>0</v>
      </c>
      <c r="R197" s="431">
        <f t="shared" si="27"/>
        <v>0</v>
      </c>
      <c r="S197" s="468">
        <v>2</v>
      </c>
      <c r="T197" s="127"/>
      <c r="U197" s="127"/>
      <c r="V197" s="127"/>
      <c r="W197" s="127"/>
      <c r="X197" s="127"/>
      <c r="Y197" s="127"/>
    </row>
    <row r="198" spans="1:25" s="6" customFormat="1" ht="15.75">
      <c r="A198" s="268">
        <v>107</v>
      </c>
      <c r="B198" s="176" t="s">
        <v>159</v>
      </c>
      <c r="C198" s="535">
        <v>653.71</v>
      </c>
      <c r="D198" s="413"/>
      <c r="E198" s="413"/>
      <c r="F198" s="146">
        <v>653.72</v>
      </c>
      <c r="G198" s="628">
        <f t="shared" si="31"/>
        <v>653.71</v>
      </c>
      <c r="H198" s="824">
        <v>0</v>
      </c>
      <c r="I198" s="824"/>
      <c r="J198" s="411"/>
      <c r="K198" s="400">
        <f t="shared" si="32"/>
        <v>0</v>
      </c>
      <c r="L198" s="593">
        <f t="shared" si="28"/>
        <v>0</v>
      </c>
      <c r="M198" s="177">
        <f t="shared" si="30"/>
        <v>0</v>
      </c>
      <c r="N198" s="446">
        <f t="shared" si="29"/>
        <v>0</v>
      </c>
      <c r="O198" s="427">
        <v>0</v>
      </c>
      <c r="P198" s="177">
        <f t="shared" si="26"/>
        <v>0</v>
      </c>
      <c r="Q198" s="177">
        <f t="shared" si="33"/>
        <v>0</v>
      </c>
      <c r="R198" s="431">
        <f t="shared" si="27"/>
        <v>0</v>
      </c>
      <c r="S198" s="468">
        <v>2</v>
      </c>
      <c r="T198" s="127"/>
      <c r="U198" s="127"/>
      <c r="V198" s="127"/>
      <c r="W198" s="127"/>
      <c r="X198" s="127"/>
      <c r="Y198" s="127"/>
    </row>
    <row r="199" spans="1:25" s="6" customFormat="1" ht="15.75">
      <c r="A199" s="268">
        <v>108</v>
      </c>
      <c r="B199" s="176" t="s">
        <v>160</v>
      </c>
      <c r="C199" s="535">
        <v>182.11</v>
      </c>
      <c r="D199" s="413"/>
      <c r="E199" s="413"/>
      <c r="F199" s="146">
        <v>182.11</v>
      </c>
      <c r="G199" s="628">
        <f t="shared" si="31"/>
        <v>182.11</v>
      </c>
      <c r="H199" s="824">
        <v>0</v>
      </c>
      <c r="I199" s="824"/>
      <c r="J199" s="411"/>
      <c r="K199" s="400">
        <f t="shared" si="32"/>
        <v>0</v>
      </c>
      <c r="L199" s="593">
        <f t="shared" si="28"/>
        <v>0</v>
      </c>
      <c r="M199" s="177">
        <f t="shared" si="30"/>
        <v>0</v>
      </c>
      <c r="N199" s="446">
        <f t="shared" si="29"/>
        <v>0</v>
      </c>
      <c r="O199" s="427">
        <v>0</v>
      </c>
      <c r="P199" s="177">
        <f t="shared" ref="P199:P261" si="34">L199*49.88</f>
        <v>0</v>
      </c>
      <c r="Q199" s="177">
        <f t="shared" si="33"/>
        <v>0</v>
      </c>
      <c r="R199" s="431">
        <f t="shared" ref="R199:R262" si="35">(M199+N199+O199+P199)/C199</f>
        <v>0</v>
      </c>
      <c r="S199" s="468">
        <v>5</v>
      </c>
      <c r="T199" s="127"/>
      <c r="U199" s="127"/>
      <c r="V199" s="127"/>
      <c r="W199" s="127"/>
      <c r="X199" s="127"/>
      <c r="Y199" s="127"/>
    </row>
    <row r="200" spans="1:25" s="6" customFormat="1" ht="15.75">
      <c r="A200" s="268">
        <v>109</v>
      </c>
      <c r="B200" s="176" t="s">
        <v>161</v>
      </c>
      <c r="C200" s="535">
        <v>2379.1</v>
      </c>
      <c r="D200" s="413"/>
      <c r="E200" s="413"/>
      <c r="F200" s="146">
        <v>2381.9299999999998</v>
      </c>
      <c r="G200" s="628">
        <f t="shared" si="31"/>
        <v>2379.1</v>
      </c>
      <c r="H200" s="824">
        <v>250</v>
      </c>
      <c r="I200" s="824"/>
      <c r="J200" s="411"/>
      <c r="K200" s="400">
        <f t="shared" si="32"/>
        <v>250</v>
      </c>
      <c r="L200" s="593">
        <f t="shared" si="28"/>
        <v>0.29761904761904762</v>
      </c>
      <c r="M200" s="177">
        <f t="shared" si="30"/>
        <v>600.30059523809518</v>
      </c>
      <c r="N200" s="446">
        <f t="shared" si="29"/>
        <v>220.73052886904762</v>
      </c>
      <c r="O200" s="427">
        <v>231.88988095238093</v>
      </c>
      <c r="P200" s="177">
        <f t="shared" si="34"/>
        <v>14.845238095238097</v>
      </c>
      <c r="Q200" s="177">
        <f t="shared" si="33"/>
        <v>18.096345238095243</v>
      </c>
      <c r="R200" s="431">
        <f t="shared" si="35"/>
        <v>0.44881099708072875</v>
      </c>
      <c r="S200" s="468">
        <v>2</v>
      </c>
      <c r="T200" s="127"/>
      <c r="U200" s="127"/>
      <c r="V200" s="127"/>
      <c r="W200" s="127"/>
      <c r="X200" s="127"/>
      <c r="Y200" s="127"/>
    </row>
    <row r="201" spans="1:25" s="6" customFormat="1" ht="15.75">
      <c r="A201" s="268">
        <v>110</v>
      </c>
      <c r="B201" s="176" t="s">
        <v>162</v>
      </c>
      <c r="C201" s="535">
        <v>140.19999999999999</v>
      </c>
      <c r="D201" s="413"/>
      <c r="E201" s="413"/>
      <c r="F201" s="146">
        <v>140.19999999999999</v>
      </c>
      <c r="G201" s="628">
        <f t="shared" si="31"/>
        <v>140.19999999999999</v>
      </c>
      <c r="H201" s="824">
        <v>0</v>
      </c>
      <c r="I201" s="824"/>
      <c r="J201" s="411"/>
      <c r="K201" s="400">
        <f t="shared" si="32"/>
        <v>0</v>
      </c>
      <c r="L201" s="593">
        <f t="shared" si="28"/>
        <v>0</v>
      </c>
      <c r="M201" s="177">
        <f t="shared" si="30"/>
        <v>0</v>
      </c>
      <c r="N201" s="446">
        <f t="shared" si="29"/>
        <v>0</v>
      </c>
      <c r="O201" s="427">
        <v>0</v>
      </c>
      <c r="P201" s="177">
        <f t="shared" si="34"/>
        <v>0</v>
      </c>
      <c r="Q201" s="177">
        <f t="shared" si="33"/>
        <v>0</v>
      </c>
      <c r="R201" s="431">
        <f t="shared" si="35"/>
        <v>0</v>
      </c>
      <c r="S201" s="468">
        <v>2</v>
      </c>
      <c r="T201" s="127"/>
      <c r="U201" s="127"/>
      <c r="V201" s="127"/>
      <c r="W201" s="127"/>
      <c r="X201" s="127"/>
      <c r="Y201" s="127"/>
    </row>
    <row r="202" spans="1:25" s="6" customFormat="1" ht="15.75">
      <c r="A202" s="268">
        <v>111</v>
      </c>
      <c r="B202" s="176" t="s">
        <v>163</v>
      </c>
      <c r="C202" s="535">
        <v>116.79</v>
      </c>
      <c r="D202" s="413"/>
      <c r="E202" s="413"/>
      <c r="F202" s="146">
        <v>116.79</v>
      </c>
      <c r="G202" s="628">
        <f t="shared" si="31"/>
        <v>116.79</v>
      </c>
      <c r="H202" s="824">
        <v>0</v>
      </c>
      <c r="I202" s="824"/>
      <c r="J202" s="411"/>
      <c r="K202" s="400">
        <f t="shared" si="32"/>
        <v>0</v>
      </c>
      <c r="L202" s="593">
        <f t="shared" si="28"/>
        <v>0</v>
      </c>
      <c r="M202" s="177">
        <f t="shared" si="30"/>
        <v>0</v>
      </c>
      <c r="N202" s="446">
        <f t="shared" si="29"/>
        <v>0</v>
      </c>
      <c r="O202" s="427">
        <v>0</v>
      </c>
      <c r="P202" s="177">
        <f t="shared" si="34"/>
        <v>0</v>
      </c>
      <c r="Q202" s="177">
        <f t="shared" si="33"/>
        <v>0</v>
      </c>
      <c r="R202" s="431">
        <f t="shared" si="35"/>
        <v>0</v>
      </c>
      <c r="S202" s="468">
        <v>1</v>
      </c>
      <c r="T202" s="127"/>
      <c r="U202" s="127"/>
      <c r="V202" s="127"/>
      <c r="W202" s="127"/>
      <c r="X202" s="127"/>
      <c r="Y202" s="127"/>
    </row>
    <row r="203" spans="1:25" s="6" customFormat="1" ht="15.75">
      <c r="A203" s="268">
        <v>112</v>
      </c>
      <c r="B203" s="176" t="s">
        <v>164</v>
      </c>
      <c r="C203" s="535">
        <v>59.7</v>
      </c>
      <c r="D203" s="413"/>
      <c r="E203" s="413"/>
      <c r="F203" s="146">
        <v>59.7</v>
      </c>
      <c r="G203" s="628">
        <f t="shared" si="31"/>
        <v>59.7</v>
      </c>
      <c r="H203" s="824">
        <v>0</v>
      </c>
      <c r="I203" s="824"/>
      <c r="J203" s="411"/>
      <c r="K203" s="400">
        <f t="shared" si="32"/>
        <v>0</v>
      </c>
      <c r="L203" s="593">
        <f t="shared" si="28"/>
        <v>0</v>
      </c>
      <c r="M203" s="177">
        <f t="shared" si="30"/>
        <v>0</v>
      </c>
      <c r="N203" s="446">
        <f t="shared" si="29"/>
        <v>0</v>
      </c>
      <c r="O203" s="427">
        <v>0</v>
      </c>
      <c r="P203" s="177">
        <f t="shared" si="34"/>
        <v>0</v>
      </c>
      <c r="Q203" s="177">
        <f t="shared" si="33"/>
        <v>0</v>
      </c>
      <c r="R203" s="431">
        <f t="shared" si="35"/>
        <v>0</v>
      </c>
      <c r="S203" s="468">
        <v>2</v>
      </c>
      <c r="T203" s="127"/>
      <c r="U203" s="127"/>
      <c r="V203" s="127"/>
      <c r="W203" s="127"/>
      <c r="X203" s="127"/>
      <c r="Y203" s="127"/>
    </row>
    <row r="204" spans="1:25" s="6" customFormat="1" ht="15.75">
      <c r="A204" s="275">
        <v>113</v>
      </c>
      <c r="B204" s="176" t="s">
        <v>165</v>
      </c>
      <c r="C204" s="535">
        <v>137.5</v>
      </c>
      <c r="D204" s="413"/>
      <c r="E204" s="413"/>
      <c r="F204" s="146">
        <v>122.9</v>
      </c>
      <c r="G204" s="628">
        <f t="shared" si="31"/>
        <v>137.5</v>
      </c>
      <c r="H204" s="824">
        <v>0</v>
      </c>
      <c r="I204" s="824"/>
      <c r="J204" s="411"/>
      <c r="K204" s="400">
        <f t="shared" si="32"/>
        <v>0</v>
      </c>
      <c r="L204" s="593">
        <f t="shared" si="28"/>
        <v>0</v>
      </c>
      <c r="M204" s="177">
        <f t="shared" si="30"/>
        <v>0</v>
      </c>
      <c r="N204" s="446">
        <f t="shared" si="29"/>
        <v>0</v>
      </c>
      <c r="O204" s="427">
        <v>0</v>
      </c>
      <c r="P204" s="177">
        <f t="shared" si="34"/>
        <v>0</v>
      </c>
      <c r="Q204" s="177">
        <f t="shared" si="33"/>
        <v>0</v>
      </c>
      <c r="R204" s="431">
        <f t="shared" si="35"/>
        <v>0</v>
      </c>
      <c r="S204" s="468">
        <v>1</v>
      </c>
      <c r="T204" s="127"/>
      <c r="U204" s="127"/>
      <c r="V204" s="127"/>
      <c r="W204" s="127"/>
      <c r="X204" s="127"/>
      <c r="Y204" s="127"/>
    </row>
    <row r="205" spans="1:25" s="6" customFormat="1" ht="15.75">
      <c r="A205" s="268">
        <v>114</v>
      </c>
      <c r="B205" s="176" t="s">
        <v>166</v>
      </c>
      <c r="C205" s="535">
        <v>1812.9</v>
      </c>
      <c r="D205" s="413">
        <v>95.4</v>
      </c>
      <c r="E205" s="413"/>
      <c r="F205" s="146">
        <v>1812.88</v>
      </c>
      <c r="G205" s="628">
        <f t="shared" si="31"/>
        <v>1908.3000000000002</v>
      </c>
      <c r="H205" s="824">
        <v>151</v>
      </c>
      <c r="I205" s="824"/>
      <c r="J205" s="411"/>
      <c r="K205" s="400">
        <f t="shared" si="32"/>
        <v>151</v>
      </c>
      <c r="L205" s="593">
        <f t="shared" si="28"/>
        <v>0.17976190476190476</v>
      </c>
      <c r="M205" s="177">
        <f t="shared" si="30"/>
        <v>362.58155952380952</v>
      </c>
      <c r="N205" s="446">
        <f t="shared" si="29"/>
        <v>133.32123943690476</v>
      </c>
      <c r="O205" s="427">
        <v>140.0614880952381</v>
      </c>
      <c r="P205" s="177">
        <f t="shared" si="34"/>
        <v>8.9665238095238102</v>
      </c>
      <c r="Q205" s="177">
        <f t="shared" si="33"/>
        <v>10.930192523809525</v>
      </c>
      <c r="R205" s="431">
        <f t="shared" si="35"/>
        <v>0.35574538632328101</v>
      </c>
      <c r="S205" s="468">
        <v>2</v>
      </c>
      <c r="T205" s="127"/>
      <c r="U205" s="127"/>
      <c r="V205" s="127"/>
      <c r="W205" s="127"/>
      <c r="X205" s="127"/>
      <c r="Y205" s="127"/>
    </row>
    <row r="206" spans="1:25" s="6" customFormat="1" ht="15.75">
      <c r="A206" s="268">
        <v>115</v>
      </c>
      <c r="B206" s="176" t="s">
        <v>167</v>
      </c>
      <c r="C206" s="535">
        <v>140.4</v>
      </c>
      <c r="D206" s="413"/>
      <c r="E206" s="413"/>
      <c r="F206" s="146">
        <v>140.4</v>
      </c>
      <c r="G206" s="628">
        <f t="shared" si="31"/>
        <v>140.4</v>
      </c>
      <c r="H206" s="824"/>
      <c r="I206" s="824"/>
      <c r="J206" s="411"/>
      <c r="K206" s="400">
        <f t="shared" si="32"/>
        <v>0</v>
      </c>
      <c r="L206" s="593">
        <f t="shared" si="28"/>
        <v>0</v>
      </c>
      <c r="M206" s="177">
        <f t="shared" si="30"/>
        <v>0</v>
      </c>
      <c r="N206" s="446">
        <f t="shared" si="29"/>
        <v>0</v>
      </c>
      <c r="O206" s="427">
        <v>0</v>
      </c>
      <c r="P206" s="177">
        <f t="shared" si="34"/>
        <v>0</v>
      </c>
      <c r="Q206" s="177">
        <f t="shared" si="33"/>
        <v>0</v>
      </c>
      <c r="R206" s="431">
        <f t="shared" si="35"/>
        <v>0</v>
      </c>
      <c r="S206" s="468">
        <v>3</v>
      </c>
      <c r="T206" s="127"/>
      <c r="U206" s="127"/>
      <c r="V206" s="127"/>
      <c r="W206" s="127"/>
      <c r="X206" s="127"/>
      <c r="Y206" s="127"/>
    </row>
    <row r="207" spans="1:25" s="6" customFormat="1" ht="15.75">
      <c r="A207" s="268">
        <v>116</v>
      </c>
      <c r="B207" s="176" t="s">
        <v>168</v>
      </c>
      <c r="C207" s="535">
        <v>290.7</v>
      </c>
      <c r="D207" s="413"/>
      <c r="E207" s="413"/>
      <c r="F207" s="146">
        <v>290.7</v>
      </c>
      <c r="G207" s="628">
        <f t="shared" si="31"/>
        <v>290.7</v>
      </c>
      <c r="H207" s="824"/>
      <c r="I207" s="824"/>
      <c r="J207" s="411"/>
      <c r="K207" s="400">
        <f t="shared" si="32"/>
        <v>0</v>
      </c>
      <c r="L207" s="593">
        <f t="shared" ref="L207:L270" si="36">(H207/840)+(I207/756)</f>
        <v>0</v>
      </c>
      <c r="M207" s="177">
        <f t="shared" si="30"/>
        <v>0</v>
      </c>
      <c r="N207" s="446">
        <f t="shared" si="29"/>
        <v>0</v>
      </c>
      <c r="O207" s="427">
        <v>0</v>
      </c>
      <c r="P207" s="177">
        <f t="shared" si="34"/>
        <v>0</v>
      </c>
      <c r="Q207" s="177">
        <f t="shared" si="33"/>
        <v>0</v>
      </c>
      <c r="R207" s="431">
        <f t="shared" si="35"/>
        <v>0</v>
      </c>
      <c r="S207" s="468">
        <v>5</v>
      </c>
      <c r="T207" s="127"/>
      <c r="U207" s="127"/>
      <c r="V207" s="127"/>
      <c r="W207" s="127"/>
      <c r="X207" s="127"/>
      <c r="Y207" s="127"/>
    </row>
    <row r="208" spans="1:25" s="6" customFormat="1" ht="15.75">
      <c r="A208" s="268">
        <v>117</v>
      </c>
      <c r="B208" s="176" t="s">
        <v>169</v>
      </c>
      <c r="C208" s="535">
        <v>2427.7199999999998</v>
      </c>
      <c r="D208" s="413"/>
      <c r="E208" s="413"/>
      <c r="F208" s="146">
        <v>2427.77</v>
      </c>
      <c r="G208" s="628">
        <f t="shared" si="31"/>
        <v>2427.7199999999998</v>
      </c>
      <c r="H208" s="824">
        <v>204</v>
      </c>
      <c r="I208" s="824"/>
      <c r="J208" s="411"/>
      <c r="K208" s="400">
        <f t="shared" si="32"/>
        <v>204</v>
      </c>
      <c r="L208" s="593">
        <f t="shared" si="36"/>
        <v>0.24285714285714285</v>
      </c>
      <c r="M208" s="177">
        <f t="shared" si="30"/>
        <v>489.84528571428569</v>
      </c>
      <c r="N208" s="446">
        <f t="shared" si="29"/>
        <v>180.11611155714286</v>
      </c>
      <c r="O208" s="427">
        <v>189.22214285714284</v>
      </c>
      <c r="P208" s="177">
        <f t="shared" si="34"/>
        <v>12.113714285714286</v>
      </c>
      <c r="Q208" s="177">
        <f t="shared" si="33"/>
        <v>14.766617714285715</v>
      </c>
      <c r="R208" s="431">
        <f t="shared" si="35"/>
        <v>0.35889528216362915</v>
      </c>
      <c r="S208" s="468">
        <v>1</v>
      </c>
      <c r="T208" s="127"/>
      <c r="U208" s="127"/>
      <c r="V208" s="127"/>
      <c r="W208" s="127"/>
      <c r="X208" s="127"/>
      <c r="Y208" s="127"/>
    </row>
    <row r="209" spans="1:25" s="6" customFormat="1" ht="15.75">
      <c r="A209" s="268">
        <v>118</v>
      </c>
      <c r="B209" s="176" t="s">
        <v>170</v>
      </c>
      <c r="C209" s="535">
        <v>93</v>
      </c>
      <c r="D209" s="413"/>
      <c r="E209" s="413"/>
      <c r="F209" s="146">
        <v>93</v>
      </c>
      <c r="G209" s="628">
        <f t="shared" si="31"/>
        <v>93</v>
      </c>
      <c r="H209" s="824">
        <v>0</v>
      </c>
      <c r="I209" s="824"/>
      <c r="J209" s="411"/>
      <c r="K209" s="400">
        <f t="shared" si="32"/>
        <v>0</v>
      </c>
      <c r="L209" s="593">
        <f t="shared" si="36"/>
        <v>0</v>
      </c>
      <c r="M209" s="177">
        <f t="shared" si="30"/>
        <v>0</v>
      </c>
      <c r="N209" s="446">
        <f t="shared" ref="N209:N270" si="37">M209*0.3677</f>
        <v>0</v>
      </c>
      <c r="O209" s="427">
        <v>0</v>
      </c>
      <c r="P209" s="177">
        <f t="shared" si="34"/>
        <v>0</v>
      </c>
      <c r="Q209" s="177">
        <f t="shared" si="33"/>
        <v>0</v>
      </c>
      <c r="R209" s="431">
        <f t="shared" si="35"/>
        <v>0</v>
      </c>
      <c r="S209" s="468">
        <v>4</v>
      </c>
      <c r="T209" s="127"/>
      <c r="U209" s="127"/>
      <c r="V209" s="127"/>
      <c r="W209" s="127"/>
      <c r="X209" s="127"/>
      <c r="Y209" s="127"/>
    </row>
    <row r="210" spans="1:25" s="6" customFormat="1" ht="15.75">
      <c r="A210" s="268">
        <v>119</v>
      </c>
      <c r="B210" s="176" t="s">
        <v>171</v>
      </c>
      <c r="C210" s="535">
        <v>1387.9</v>
      </c>
      <c r="D210" s="413">
        <v>85.8</v>
      </c>
      <c r="E210" s="413"/>
      <c r="F210" s="146">
        <v>1387.9</v>
      </c>
      <c r="G210" s="628">
        <f t="shared" si="31"/>
        <v>1473.7</v>
      </c>
      <c r="H210" s="824">
        <v>160</v>
      </c>
      <c r="I210" s="824"/>
      <c r="J210" s="411"/>
      <c r="K210" s="400">
        <f t="shared" si="32"/>
        <v>160</v>
      </c>
      <c r="L210" s="593">
        <f t="shared" si="36"/>
        <v>0.19047619047619047</v>
      </c>
      <c r="M210" s="177">
        <f t="shared" si="30"/>
        <v>384.19238095238092</v>
      </c>
      <c r="N210" s="446">
        <f t="shared" si="37"/>
        <v>141.26753847619048</v>
      </c>
      <c r="O210" s="427">
        <v>148.40952380952379</v>
      </c>
      <c r="P210" s="177">
        <f t="shared" si="34"/>
        <v>9.5009523809523806</v>
      </c>
      <c r="Q210" s="177">
        <f t="shared" si="33"/>
        <v>11.581660952380952</v>
      </c>
      <c r="R210" s="431">
        <f t="shared" si="35"/>
        <v>0.4923772574530208</v>
      </c>
      <c r="S210" s="468">
        <v>5</v>
      </c>
      <c r="T210" s="127"/>
      <c r="U210" s="127"/>
      <c r="V210" s="127"/>
      <c r="W210" s="127"/>
      <c r="X210" s="127"/>
      <c r="Y210" s="127"/>
    </row>
    <row r="211" spans="1:25" s="6" customFormat="1" ht="15.75">
      <c r="A211" s="275">
        <v>120</v>
      </c>
      <c r="B211" s="176" t="s">
        <v>172</v>
      </c>
      <c r="C211" s="535">
        <v>2507</v>
      </c>
      <c r="D211" s="413"/>
      <c r="E211" s="413"/>
      <c r="F211" s="146">
        <v>2507</v>
      </c>
      <c r="G211" s="628">
        <f t="shared" si="31"/>
        <v>2507</v>
      </c>
      <c r="H211" s="824">
        <v>180</v>
      </c>
      <c r="I211" s="824"/>
      <c r="J211" s="411"/>
      <c r="K211" s="400">
        <f t="shared" si="32"/>
        <v>180</v>
      </c>
      <c r="L211" s="593">
        <f t="shared" si="36"/>
        <v>0.21428571428571427</v>
      </c>
      <c r="M211" s="177">
        <f t="shared" si="30"/>
        <v>432.21642857142854</v>
      </c>
      <c r="N211" s="446">
        <f t="shared" si="37"/>
        <v>158.92598078571427</v>
      </c>
      <c r="O211" s="427">
        <v>166.96071428571426</v>
      </c>
      <c r="P211" s="177">
        <f t="shared" si="34"/>
        <v>10.688571428571429</v>
      </c>
      <c r="Q211" s="177">
        <f t="shared" si="33"/>
        <v>13.029368571428572</v>
      </c>
      <c r="R211" s="431">
        <f t="shared" si="35"/>
        <v>0.30665803552908999</v>
      </c>
      <c r="S211" s="468">
        <v>5</v>
      </c>
      <c r="T211" s="127"/>
      <c r="U211" s="127"/>
      <c r="V211" s="127"/>
      <c r="W211" s="127"/>
      <c r="X211" s="127"/>
      <c r="Y211" s="127"/>
    </row>
    <row r="212" spans="1:25" s="6" customFormat="1" ht="15.75">
      <c r="A212" s="268">
        <v>121</v>
      </c>
      <c r="B212" s="176" t="s">
        <v>173</v>
      </c>
      <c r="C212" s="535">
        <v>3505.3</v>
      </c>
      <c r="D212" s="413"/>
      <c r="E212" s="413"/>
      <c r="F212" s="146">
        <v>3505.3</v>
      </c>
      <c r="G212" s="628">
        <f t="shared" si="31"/>
        <v>3505.3</v>
      </c>
      <c r="H212" s="824">
        <v>283</v>
      </c>
      <c r="I212" s="824"/>
      <c r="J212" s="411"/>
      <c r="K212" s="400">
        <f t="shared" si="32"/>
        <v>283</v>
      </c>
      <c r="L212" s="593">
        <f t="shared" si="36"/>
        <v>0.33690476190476193</v>
      </c>
      <c r="M212" s="177">
        <f t="shared" si="30"/>
        <v>679.54027380952391</v>
      </c>
      <c r="N212" s="446">
        <f t="shared" si="37"/>
        <v>249.86695867976195</v>
      </c>
      <c r="O212" s="427">
        <v>262.49934523809526</v>
      </c>
      <c r="P212" s="177">
        <f t="shared" si="34"/>
        <v>16.804809523809524</v>
      </c>
      <c r="Q212" s="177">
        <f t="shared" si="33"/>
        <v>20.485062809523811</v>
      </c>
      <c r="R212" s="431">
        <f t="shared" si="35"/>
        <v>0.34482394866379212</v>
      </c>
      <c r="S212" s="468">
        <v>2</v>
      </c>
      <c r="T212" s="127"/>
      <c r="U212" s="127"/>
      <c r="V212" s="127"/>
      <c r="W212" s="127"/>
      <c r="X212" s="127"/>
      <c r="Y212" s="127"/>
    </row>
    <row r="213" spans="1:25" s="6" customFormat="1" ht="15.75">
      <c r="A213" s="268">
        <v>122</v>
      </c>
      <c r="B213" s="176" t="s">
        <v>174</v>
      </c>
      <c r="C213" s="535">
        <v>191.78</v>
      </c>
      <c r="D213" s="413"/>
      <c r="E213" s="413"/>
      <c r="F213" s="146">
        <v>191.78</v>
      </c>
      <c r="G213" s="628">
        <f t="shared" si="31"/>
        <v>191.78</v>
      </c>
      <c r="H213" s="824">
        <v>0</v>
      </c>
      <c r="I213" s="824"/>
      <c r="J213" s="411"/>
      <c r="K213" s="400">
        <f t="shared" si="32"/>
        <v>0</v>
      </c>
      <c r="L213" s="593">
        <f t="shared" si="36"/>
        <v>0</v>
      </c>
      <c r="M213" s="177">
        <f t="shared" si="30"/>
        <v>0</v>
      </c>
      <c r="N213" s="446">
        <f t="shared" si="37"/>
        <v>0</v>
      </c>
      <c r="O213" s="427">
        <v>0</v>
      </c>
      <c r="P213" s="177">
        <f t="shared" si="34"/>
        <v>0</v>
      </c>
      <c r="Q213" s="177">
        <f t="shared" si="33"/>
        <v>0</v>
      </c>
      <c r="R213" s="431">
        <f t="shared" si="35"/>
        <v>0</v>
      </c>
      <c r="S213" s="468">
        <v>5</v>
      </c>
      <c r="T213" s="127"/>
      <c r="U213" s="127"/>
      <c r="V213" s="127"/>
      <c r="W213" s="127"/>
      <c r="X213" s="127"/>
      <c r="Y213" s="127"/>
    </row>
    <row r="214" spans="1:25" s="6" customFormat="1" ht="15.75">
      <c r="A214" s="268">
        <v>123</v>
      </c>
      <c r="B214" s="176" t="s">
        <v>175</v>
      </c>
      <c r="C214" s="535">
        <v>3560.1</v>
      </c>
      <c r="D214" s="413"/>
      <c r="E214" s="413"/>
      <c r="F214" s="146">
        <v>3559.1</v>
      </c>
      <c r="G214" s="628">
        <f t="shared" si="31"/>
        <v>3560.1</v>
      </c>
      <c r="H214" s="824">
        <v>292</v>
      </c>
      <c r="I214" s="824"/>
      <c r="J214" s="411"/>
      <c r="K214" s="400">
        <f t="shared" si="32"/>
        <v>292</v>
      </c>
      <c r="L214" s="593">
        <f t="shared" si="36"/>
        <v>0.34761904761904761</v>
      </c>
      <c r="M214" s="177">
        <f t="shared" si="30"/>
        <v>701.15109523809519</v>
      </c>
      <c r="N214" s="446">
        <f t="shared" si="37"/>
        <v>257.81325771904761</v>
      </c>
      <c r="O214" s="427">
        <v>270.84738095238095</v>
      </c>
      <c r="P214" s="177">
        <f t="shared" si="34"/>
        <v>17.339238095238095</v>
      </c>
      <c r="Q214" s="177">
        <f t="shared" si="33"/>
        <v>21.136531238095237</v>
      </c>
      <c r="R214" s="431">
        <f t="shared" si="35"/>
        <v>0.35031346647699835</v>
      </c>
      <c r="S214" s="468">
        <v>2</v>
      </c>
      <c r="T214" s="127"/>
      <c r="U214" s="127"/>
      <c r="V214" s="127"/>
      <c r="W214" s="127"/>
      <c r="X214" s="127"/>
      <c r="Y214" s="127"/>
    </row>
    <row r="215" spans="1:25" s="6" customFormat="1" ht="15.75">
      <c r="A215" s="268">
        <v>124</v>
      </c>
      <c r="B215" s="176" t="s">
        <v>176</v>
      </c>
      <c r="C215" s="535">
        <v>291.19</v>
      </c>
      <c r="D215" s="413"/>
      <c r="E215" s="413"/>
      <c r="F215" s="146">
        <v>284.39</v>
      </c>
      <c r="G215" s="628">
        <f t="shared" si="31"/>
        <v>291.19</v>
      </c>
      <c r="H215" s="824"/>
      <c r="I215" s="824"/>
      <c r="J215" s="411"/>
      <c r="K215" s="400">
        <f t="shared" si="32"/>
        <v>0</v>
      </c>
      <c r="L215" s="593">
        <f t="shared" si="36"/>
        <v>0</v>
      </c>
      <c r="M215" s="177">
        <f t="shared" si="30"/>
        <v>0</v>
      </c>
      <c r="N215" s="446">
        <f t="shared" si="37"/>
        <v>0</v>
      </c>
      <c r="O215" s="427">
        <v>0</v>
      </c>
      <c r="P215" s="177">
        <f t="shared" si="34"/>
        <v>0</v>
      </c>
      <c r="Q215" s="177">
        <f t="shared" si="33"/>
        <v>0</v>
      </c>
      <c r="R215" s="431">
        <f t="shared" si="35"/>
        <v>0</v>
      </c>
      <c r="S215" s="468">
        <v>2</v>
      </c>
      <c r="T215" s="127"/>
      <c r="U215" s="127"/>
      <c r="V215" s="127"/>
      <c r="W215" s="127"/>
      <c r="X215" s="127"/>
      <c r="Y215" s="127"/>
    </row>
    <row r="216" spans="1:25" s="6" customFormat="1" ht="15.75">
      <c r="A216" s="268">
        <v>125</v>
      </c>
      <c r="B216" s="176" t="s">
        <v>177</v>
      </c>
      <c r="C216" s="535">
        <v>162.44999999999999</v>
      </c>
      <c r="D216" s="413">
        <v>11</v>
      </c>
      <c r="E216" s="413"/>
      <c r="F216" s="146">
        <v>162.44</v>
      </c>
      <c r="G216" s="628">
        <f t="shared" si="31"/>
        <v>173.45</v>
      </c>
      <c r="H216" s="824">
        <v>0</v>
      </c>
      <c r="I216" s="824"/>
      <c r="J216" s="411"/>
      <c r="K216" s="400">
        <f t="shared" si="32"/>
        <v>0</v>
      </c>
      <c r="L216" s="593">
        <f t="shared" si="36"/>
        <v>0</v>
      </c>
      <c r="M216" s="177">
        <f t="shared" si="30"/>
        <v>0</v>
      </c>
      <c r="N216" s="446">
        <f t="shared" si="37"/>
        <v>0</v>
      </c>
      <c r="O216" s="427">
        <v>0</v>
      </c>
      <c r="P216" s="177">
        <f t="shared" si="34"/>
        <v>0</v>
      </c>
      <c r="Q216" s="177">
        <f t="shared" si="33"/>
        <v>0</v>
      </c>
      <c r="R216" s="431">
        <f t="shared" si="35"/>
        <v>0</v>
      </c>
      <c r="S216" s="468">
        <v>1</v>
      </c>
      <c r="T216" s="127"/>
      <c r="U216" s="127"/>
      <c r="V216" s="127"/>
      <c r="W216" s="127"/>
      <c r="X216" s="127"/>
      <c r="Y216" s="127"/>
    </row>
    <row r="217" spans="1:25" s="6" customFormat="1" ht="15.75">
      <c r="A217" s="268">
        <v>126</v>
      </c>
      <c r="B217" s="176" t="s">
        <v>178</v>
      </c>
      <c r="C217" s="535">
        <v>132.96</v>
      </c>
      <c r="D217" s="413">
        <v>37.299999999999997</v>
      </c>
      <c r="E217" s="413">
        <v>39.4</v>
      </c>
      <c r="F217" s="146">
        <v>132.96</v>
      </c>
      <c r="G217" s="628">
        <f t="shared" si="31"/>
        <v>209.66</v>
      </c>
      <c r="H217" s="824">
        <v>0</v>
      </c>
      <c r="I217" s="824"/>
      <c r="J217" s="411"/>
      <c r="K217" s="400">
        <f t="shared" si="32"/>
        <v>0</v>
      </c>
      <c r="L217" s="593">
        <f t="shared" si="36"/>
        <v>0</v>
      </c>
      <c r="M217" s="177">
        <f t="shared" si="30"/>
        <v>0</v>
      </c>
      <c r="N217" s="446">
        <f t="shared" si="37"/>
        <v>0</v>
      </c>
      <c r="O217" s="427">
        <v>0</v>
      </c>
      <c r="P217" s="177">
        <f t="shared" si="34"/>
        <v>0</v>
      </c>
      <c r="Q217" s="177">
        <f t="shared" si="33"/>
        <v>0</v>
      </c>
      <c r="R217" s="431">
        <f t="shared" si="35"/>
        <v>0</v>
      </c>
      <c r="S217" s="468">
        <v>2</v>
      </c>
      <c r="T217" s="127"/>
      <c r="U217" s="127"/>
      <c r="V217" s="127"/>
      <c r="W217" s="127"/>
      <c r="X217" s="127"/>
      <c r="Y217" s="127"/>
    </row>
    <row r="218" spans="1:25" s="6" customFormat="1" ht="15.75">
      <c r="A218" s="275">
        <v>127</v>
      </c>
      <c r="B218" s="176" t="s">
        <v>179</v>
      </c>
      <c r="C218" s="535">
        <v>408.46</v>
      </c>
      <c r="D218" s="413"/>
      <c r="E218" s="413"/>
      <c r="F218" s="146">
        <v>408.46</v>
      </c>
      <c r="G218" s="628">
        <f t="shared" si="31"/>
        <v>408.46</v>
      </c>
      <c r="H218" s="824"/>
      <c r="I218" s="824"/>
      <c r="J218" s="411"/>
      <c r="K218" s="400">
        <f t="shared" si="32"/>
        <v>0</v>
      </c>
      <c r="L218" s="593">
        <f t="shared" si="36"/>
        <v>0</v>
      </c>
      <c r="M218" s="177">
        <f t="shared" si="30"/>
        <v>0</v>
      </c>
      <c r="N218" s="446">
        <f t="shared" si="37"/>
        <v>0</v>
      </c>
      <c r="O218" s="427">
        <v>0</v>
      </c>
      <c r="P218" s="177">
        <f t="shared" si="34"/>
        <v>0</v>
      </c>
      <c r="Q218" s="177">
        <f t="shared" si="33"/>
        <v>0</v>
      </c>
      <c r="R218" s="431">
        <f t="shared" si="35"/>
        <v>0</v>
      </c>
      <c r="S218" s="468">
        <v>1</v>
      </c>
      <c r="T218" s="127"/>
      <c r="U218" s="127"/>
      <c r="V218" s="127"/>
      <c r="W218" s="127"/>
      <c r="X218" s="127"/>
      <c r="Y218" s="127"/>
    </row>
    <row r="219" spans="1:25" s="6" customFormat="1" ht="15.75">
      <c r="A219" s="268">
        <v>128</v>
      </c>
      <c r="B219" s="176" t="s">
        <v>180</v>
      </c>
      <c r="C219" s="535">
        <v>67.3</v>
      </c>
      <c r="D219" s="413"/>
      <c r="E219" s="413"/>
      <c r="F219" s="146">
        <v>67.3</v>
      </c>
      <c r="G219" s="628">
        <f t="shared" si="31"/>
        <v>67.3</v>
      </c>
      <c r="H219" s="824">
        <v>0</v>
      </c>
      <c r="I219" s="824"/>
      <c r="J219" s="411"/>
      <c r="K219" s="400">
        <f t="shared" ref="K219:K281" si="38">H219+I219</f>
        <v>0</v>
      </c>
      <c r="L219" s="593">
        <f t="shared" si="36"/>
        <v>0</v>
      </c>
      <c r="M219" s="177">
        <f t="shared" si="30"/>
        <v>0</v>
      </c>
      <c r="N219" s="446">
        <f t="shared" si="37"/>
        <v>0</v>
      </c>
      <c r="O219" s="427">
        <v>0</v>
      </c>
      <c r="P219" s="177">
        <f t="shared" si="34"/>
        <v>0</v>
      </c>
      <c r="Q219" s="177">
        <f t="shared" si="33"/>
        <v>0</v>
      </c>
      <c r="R219" s="431">
        <f t="shared" si="35"/>
        <v>0</v>
      </c>
      <c r="S219" s="468">
        <v>3</v>
      </c>
      <c r="T219" s="127"/>
      <c r="U219" s="127"/>
      <c r="V219" s="127"/>
      <c r="W219" s="127"/>
      <c r="X219" s="127"/>
      <c r="Y219" s="127"/>
    </row>
    <row r="220" spans="1:25" s="6" customFormat="1" ht="15.75">
      <c r="A220" s="268">
        <v>129</v>
      </c>
      <c r="B220" s="176" t="s">
        <v>181</v>
      </c>
      <c r="C220" s="535">
        <v>352.8</v>
      </c>
      <c r="D220" s="413"/>
      <c r="E220" s="413"/>
      <c r="F220" s="146">
        <v>352.8</v>
      </c>
      <c r="G220" s="628">
        <f t="shared" si="31"/>
        <v>352.8</v>
      </c>
      <c r="H220" s="824">
        <v>24</v>
      </c>
      <c r="I220" s="824">
        <v>34</v>
      </c>
      <c r="J220" s="411"/>
      <c r="K220" s="400">
        <f t="shared" si="38"/>
        <v>58</v>
      </c>
      <c r="L220" s="593">
        <f t="shared" si="36"/>
        <v>7.3544973544973538E-2</v>
      </c>
      <c r="M220" s="177">
        <f t="shared" ref="M220:M283" si="39">L220*2017.01</f>
        <v>148.34094708994706</v>
      </c>
      <c r="N220" s="446">
        <f t="shared" si="37"/>
        <v>54.544966244973537</v>
      </c>
      <c r="O220" s="427">
        <v>57.302566137566131</v>
      </c>
      <c r="P220" s="177">
        <f t="shared" si="34"/>
        <v>3.6684232804232804</v>
      </c>
      <c r="Q220" s="177">
        <f t="shared" si="33"/>
        <v>4.4718079788359795</v>
      </c>
      <c r="R220" s="431">
        <f t="shared" si="35"/>
        <v>0.74789371528602611</v>
      </c>
      <c r="S220" s="468">
        <v>2</v>
      </c>
      <c r="T220" s="127"/>
      <c r="U220" s="127"/>
      <c r="V220" s="127"/>
      <c r="W220" s="127"/>
      <c r="X220" s="127"/>
      <c r="Y220" s="127"/>
    </row>
    <row r="221" spans="1:25" s="6" customFormat="1" ht="15.75">
      <c r="A221" s="268">
        <v>130</v>
      </c>
      <c r="B221" s="176" t="s">
        <v>182</v>
      </c>
      <c r="C221" s="535">
        <v>111.58</v>
      </c>
      <c r="D221" s="413"/>
      <c r="E221" s="413"/>
      <c r="F221" s="146">
        <v>111.58</v>
      </c>
      <c r="G221" s="628">
        <f t="shared" ref="G221:G284" si="40">C221+D221+E221</f>
        <v>111.58</v>
      </c>
      <c r="H221" s="824">
        <v>0</v>
      </c>
      <c r="I221" s="824"/>
      <c r="J221" s="411"/>
      <c r="K221" s="400">
        <f t="shared" si="38"/>
        <v>0</v>
      </c>
      <c r="L221" s="593">
        <f t="shared" si="36"/>
        <v>0</v>
      </c>
      <c r="M221" s="177">
        <f t="shared" si="39"/>
        <v>0</v>
      </c>
      <c r="N221" s="446">
        <f t="shared" si="37"/>
        <v>0</v>
      </c>
      <c r="O221" s="427">
        <v>0</v>
      </c>
      <c r="P221" s="177">
        <f t="shared" si="34"/>
        <v>0</v>
      </c>
      <c r="Q221" s="177">
        <f t="shared" ref="Q221:Q284" si="41">P221*1.219</f>
        <v>0</v>
      </c>
      <c r="R221" s="431">
        <f t="shared" si="35"/>
        <v>0</v>
      </c>
      <c r="S221" s="468">
        <v>1</v>
      </c>
      <c r="T221" s="127"/>
      <c r="U221" s="127"/>
      <c r="V221" s="127"/>
      <c r="W221" s="127"/>
      <c r="X221" s="127"/>
      <c r="Y221" s="127"/>
    </row>
    <row r="222" spans="1:25" s="6" customFormat="1" ht="15.75">
      <c r="A222" s="268">
        <v>131</v>
      </c>
      <c r="B222" s="176" t="s">
        <v>183</v>
      </c>
      <c r="C222" s="535">
        <v>115.8</v>
      </c>
      <c r="D222" s="413"/>
      <c r="E222" s="413"/>
      <c r="F222" s="146">
        <v>115.8</v>
      </c>
      <c r="G222" s="628">
        <f t="shared" si="40"/>
        <v>115.8</v>
      </c>
      <c r="H222" s="824">
        <v>0</v>
      </c>
      <c r="I222" s="824"/>
      <c r="J222" s="411"/>
      <c r="K222" s="400">
        <f t="shared" si="38"/>
        <v>0</v>
      </c>
      <c r="L222" s="593">
        <f t="shared" si="36"/>
        <v>0</v>
      </c>
      <c r="M222" s="177">
        <f t="shared" si="39"/>
        <v>0</v>
      </c>
      <c r="N222" s="446">
        <f t="shared" si="37"/>
        <v>0</v>
      </c>
      <c r="O222" s="427">
        <v>0</v>
      </c>
      <c r="P222" s="177">
        <f t="shared" si="34"/>
        <v>0</v>
      </c>
      <c r="Q222" s="177">
        <f t="shared" si="41"/>
        <v>0</v>
      </c>
      <c r="R222" s="431">
        <f t="shared" si="35"/>
        <v>0</v>
      </c>
      <c r="S222" s="468">
        <v>1</v>
      </c>
      <c r="T222" s="127"/>
      <c r="U222" s="127"/>
      <c r="V222" s="127"/>
      <c r="W222" s="127"/>
      <c r="X222" s="127"/>
      <c r="Y222" s="127"/>
    </row>
    <row r="223" spans="1:25" s="6" customFormat="1" ht="15.75">
      <c r="A223" s="268">
        <v>132</v>
      </c>
      <c r="B223" s="176" t="s">
        <v>184</v>
      </c>
      <c r="C223" s="535">
        <v>74.2</v>
      </c>
      <c r="D223" s="413">
        <v>67.099999999999994</v>
      </c>
      <c r="E223" s="413"/>
      <c r="F223" s="146">
        <v>74.2</v>
      </c>
      <c r="G223" s="628">
        <f t="shared" si="40"/>
        <v>141.30000000000001</v>
      </c>
      <c r="H223" s="824">
        <v>0</v>
      </c>
      <c r="I223" s="824"/>
      <c r="J223" s="411"/>
      <c r="K223" s="400">
        <f t="shared" si="38"/>
        <v>0</v>
      </c>
      <c r="L223" s="593">
        <f t="shared" si="36"/>
        <v>0</v>
      </c>
      <c r="M223" s="177">
        <f t="shared" si="39"/>
        <v>0</v>
      </c>
      <c r="N223" s="446">
        <f t="shared" si="37"/>
        <v>0</v>
      </c>
      <c r="O223" s="427">
        <v>0</v>
      </c>
      <c r="P223" s="177">
        <f t="shared" si="34"/>
        <v>0</v>
      </c>
      <c r="Q223" s="177">
        <f t="shared" si="41"/>
        <v>0</v>
      </c>
      <c r="R223" s="431">
        <f t="shared" si="35"/>
        <v>0</v>
      </c>
      <c r="S223" s="468">
        <v>2</v>
      </c>
      <c r="T223" s="127"/>
      <c r="U223" s="127"/>
      <c r="V223" s="127"/>
      <c r="W223" s="127"/>
      <c r="X223" s="127"/>
      <c r="Y223" s="127"/>
    </row>
    <row r="224" spans="1:25" s="6" customFormat="1" ht="15.75">
      <c r="A224" s="268">
        <v>133</v>
      </c>
      <c r="B224" s="176" t="s">
        <v>185</v>
      </c>
      <c r="C224" s="535">
        <v>130.9</v>
      </c>
      <c r="D224" s="413"/>
      <c r="E224" s="413">
        <v>30.2</v>
      </c>
      <c r="F224" s="146">
        <v>130.9</v>
      </c>
      <c r="G224" s="628">
        <f t="shared" si="40"/>
        <v>161.1</v>
      </c>
      <c r="H224" s="824">
        <v>0</v>
      </c>
      <c r="I224" s="824"/>
      <c r="J224" s="411"/>
      <c r="K224" s="400">
        <f t="shared" si="38"/>
        <v>0</v>
      </c>
      <c r="L224" s="593">
        <f t="shared" si="36"/>
        <v>0</v>
      </c>
      <c r="M224" s="177">
        <f t="shared" si="39"/>
        <v>0</v>
      </c>
      <c r="N224" s="446">
        <f t="shared" si="37"/>
        <v>0</v>
      </c>
      <c r="O224" s="427">
        <v>0</v>
      </c>
      <c r="P224" s="177">
        <f t="shared" si="34"/>
        <v>0</v>
      </c>
      <c r="Q224" s="177">
        <f t="shared" si="41"/>
        <v>0</v>
      </c>
      <c r="R224" s="431">
        <f t="shared" si="35"/>
        <v>0</v>
      </c>
      <c r="S224" s="468">
        <v>2</v>
      </c>
      <c r="T224" s="127"/>
      <c r="U224" s="127"/>
      <c r="V224" s="127"/>
      <c r="W224" s="127"/>
      <c r="X224" s="127"/>
      <c r="Y224" s="127"/>
    </row>
    <row r="225" spans="1:25" s="6" customFormat="1" ht="15.75">
      <c r="A225" s="275">
        <v>134</v>
      </c>
      <c r="B225" s="176" t="s">
        <v>186</v>
      </c>
      <c r="C225" s="535">
        <v>308.8</v>
      </c>
      <c r="D225" s="413"/>
      <c r="E225" s="413"/>
      <c r="F225" s="146">
        <v>308.8</v>
      </c>
      <c r="G225" s="628">
        <f t="shared" si="40"/>
        <v>308.8</v>
      </c>
      <c r="H225" s="824">
        <v>0</v>
      </c>
      <c r="I225" s="824"/>
      <c r="J225" s="411"/>
      <c r="K225" s="400">
        <f t="shared" si="38"/>
        <v>0</v>
      </c>
      <c r="L225" s="593">
        <f t="shared" si="36"/>
        <v>0</v>
      </c>
      <c r="M225" s="177">
        <f t="shared" si="39"/>
        <v>0</v>
      </c>
      <c r="N225" s="446">
        <f t="shared" si="37"/>
        <v>0</v>
      </c>
      <c r="O225" s="427">
        <v>0</v>
      </c>
      <c r="P225" s="177">
        <f t="shared" si="34"/>
        <v>0</v>
      </c>
      <c r="Q225" s="177">
        <f t="shared" si="41"/>
        <v>0</v>
      </c>
      <c r="R225" s="431">
        <f t="shared" si="35"/>
        <v>0</v>
      </c>
      <c r="S225" s="468">
        <v>2</v>
      </c>
      <c r="T225" s="127"/>
      <c r="U225" s="127"/>
      <c r="V225" s="127"/>
      <c r="W225" s="127"/>
      <c r="X225" s="127"/>
      <c r="Y225" s="127"/>
    </row>
    <row r="226" spans="1:25" s="6" customFormat="1" ht="15.75">
      <c r="A226" s="268">
        <v>135</v>
      </c>
      <c r="B226" s="176" t="s">
        <v>187</v>
      </c>
      <c r="C226" s="535">
        <v>343.31</v>
      </c>
      <c r="D226" s="413"/>
      <c r="E226" s="413"/>
      <c r="F226" s="146">
        <v>343.34</v>
      </c>
      <c r="G226" s="628">
        <f t="shared" si="40"/>
        <v>343.31</v>
      </c>
      <c r="H226" s="824"/>
      <c r="I226" s="824"/>
      <c r="J226" s="411"/>
      <c r="K226" s="400">
        <f t="shared" si="38"/>
        <v>0</v>
      </c>
      <c r="L226" s="593">
        <f t="shared" si="36"/>
        <v>0</v>
      </c>
      <c r="M226" s="177">
        <f t="shared" si="39"/>
        <v>0</v>
      </c>
      <c r="N226" s="446">
        <f t="shared" si="37"/>
        <v>0</v>
      </c>
      <c r="O226" s="427">
        <v>0</v>
      </c>
      <c r="P226" s="177">
        <f t="shared" si="34"/>
        <v>0</v>
      </c>
      <c r="Q226" s="177">
        <f t="shared" si="41"/>
        <v>0</v>
      </c>
      <c r="R226" s="431">
        <f t="shared" si="35"/>
        <v>0</v>
      </c>
      <c r="S226" s="468">
        <v>2</v>
      </c>
      <c r="T226" s="127"/>
      <c r="U226" s="127"/>
      <c r="V226" s="127"/>
      <c r="W226" s="127"/>
      <c r="X226" s="127"/>
      <c r="Y226" s="127"/>
    </row>
    <row r="227" spans="1:25" s="6" customFormat="1" ht="15.75">
      <c r="A227" s="268">
        <v>136</v>
      </c>
      <c r="B227" s="176" t="s">
        <v>188</v>
      </c>
      <c r="C227" s="535">
        <v>146.82</v>
      </c>
      <c r="D227" s="413"/>
      <c r="E227" s="413"/>
      <c r="F227" s="146">
        <v>146.82</v>
      </c>
      <c r="G227" s="628">
        <f t="shared" si="40"/>
        <v>146.82</v>
      </c>
      <c r="H227" s="824">
        <v>0</v>
      </c>
      <c r="I227" s="824"/>
      <c r="J227" s="411"/>
      <c r="K227" s="400">
        <f t="shared" si="38"/>
        <v>0</v>
      </c>
      <c r="L227" s="593">
        <f t="shared" si="36"/>
        <v>0</v>
      </c>
      <c r="M227" s="177">
        <f t="shared" si="39"/>
        <v>0</v>
      </c>
      <c r="N227" s="446">
        <f t="shared" si="37"/>
        <v>0</v>
      </c>
      <c r="O227" s="427">
        <v>0</v>
      </c>
      <c r="P227" s="177">
        <f t="shared" si="34"/>
        <v>0</v>
      </c>
      <c r="Q227" s="177">
        <f t="shared" si="41"/>
        <v>0</v>
      </c>
      <c r="R227" s="431">
        <f t="shared" si="35"/>
        <v>0</v>
      </c>
      <c r="S227" s="468">
        <v>2</v>
      </c>
      <c r="T227" s="127"/>
      <c r="U227" s="127"/>
      <c r="V227" s="127"/>
      <c r="W227" s="127"/>
      <c r="X227" s="127"/>
      <c r="Y227" s="127"/>
    </row>
    <row r="228" spans="1:25" s="6" customFormat="1" ht="15.75">
      <c r="A228" s="268">
        <v>137</v>
      </c>
      <c r="B228" s="176" t="s">
        <v>189</v>
      </c>
      <c r="C228" s="535">
        <v>218.19</v>
      </c>
      <c r="D228" s="413"/>
      <c r="E228" s="413"/>
      <c r="F228" s="146">
        <v>218.19</v>
      </c>
      <c r="G228" s="628">
        <f t="shared" si="40"/>
        <v>218.19</v>
      </c>
      <c r="H228" s="824">
        <v>0</v>
      </c>
      <c r="I228" s="824"/>
      <c r="J228" s="411"/>
      <c r="K228" s="400">
        <f t="shared" si="38"/>
        <v>0</v>
      </c>
      <c r="L228" s="593">
        <f t="shared" si="36"/>
        <v>0</v>
      </c>
      <c r="M228" s="177">
        <f t="shared" si="39"/>
        <v>0</v>
      </c>
      <c r="N228" s="446">
        <f t="shared" si="37"/>
        <v>0</v>
      </c>
      <c r="O228" s="427">
        <v>0</v>
      </c>
      <c r="P228" s="177">
        <f t="shared" si="34"/>
        <v>0</v>
      </c>
      <c r="Q228" s="177">
        <f t="shared" si="41"/>
        <v>0</v>
      </c>
      <c r="R228" s="431">
        <f t="shared" si="35"/>
        <v>0</v>
      </c>
      <c r="S228" s="468">
        <v>1</v>
      </c>
      <c r="T228" s="127"/>
      <c r="U228" s="127"/>
      <c r="V228" s="127"/>
      <c r="W228" s="127"/>
      <c r="X228" s="127"/>
      <c r="Y228" s="127"/>
    </row>
    <row r="229" spans="1:25" s="6" customFormat="1" ht="15.75">
      <c r="A229" s="268">
        <v>138</v>
      </c>
      <c r="B229" s="176" t="s">
        <v>190</v>
      </c>
      <c r="C229" s="535">
        <v>109.6</v>
      </c>
      <c r="D229" s="413"/>
      <c r="E229" s="413"/>
      <c r="F229" s="146">
        <v>109.6</v>
      </c>
      <c r="G229" s="628">
        <f t="shared" si="40"/>
        <v>109.6</v>
      </c>
      <c r="H229" s="414"/>
      <c r="I229" s="414">
        <v>0</v>
      </c>
      <c r="J229" s="411"/>
      <c r="K229" s="400">
        <f t="shared" si="38"/>
        <v>0</v>
      </c>
      <c r="L229" s="593">
        <f t="shared" si="36"/>
        <v>0</v>
      </c>
      <c r="M229" s="177">
        <f t="shared" si="39"/>
        <v>0</v>
      </c>
      <c r="N229" s="446">
        <f t="shared" si="37"/>
        <v>0</v>
      </c>
      <c r="O229" s="427">
        <v>0</v>
      </c>
      <c r="P229" s="177">
        <f t="shared" si="34"/>
        <v>0</v>
      </c>
      <c r="Q229" s="177">
        <f t="shared" si="41"/>
        <v>0</v>
      </c>
      <c r="R229" s="431">
        <f t="shared" si="35"/>
        <v>0</v>
      </c>
      <c r="S229" s="468">
        <v>1</v>
      </c>
      <c r="T229" s="127"/>
      <c r="U229" s="127"/>
      <c r="V229" s="127"/>
      <c r="W229" s="127"/>
      <c r="X229" s="127"/>
      <c r="Y229" s="127"/>
    </row>
    <row r="230" spans="1:25" s="6" customFormat="1" ht="15.75">
      <c r="A230" s="268">
        <v>139</v>
      </c>
      <c r="B230" s="176" t="s">
        <v>191</v>
      </c>
      <c r="C230" s="535">
        <v>41.4</v>
      </c>
      <c r="D230" s="413"/>
      <c r="E230" s="413"/>
      <c r="F230" s="146">
        <v>41.4</v>
      </c>
      <c r="G230" s="628">
        <f t="shared" si="40"/>
        <v>41.4</v>
      </c>
      <c r="H230" s="414"/>
      <c r="I230" s="414">
        <v>0</v>
      </c>
      <c r="J230" s="411"/>
      <c r="K230" s="400">
        <f t="shared" si="38"/>
        <v>0</v>
      </c>
      <c r="L230" s="593">
        <f t="shared" si="36"/>
        <v>0</v>
      </c>
      <c r="M230" s="177">
        <f t="shared" si="39"/>
        <v>0</v>
      </c>
      <c r="N230" s="446">
        <f t="shared" si="37"/>
        <v>0</v>
      </c>
      <c r="O230" s="427">
        <v>0</v>
      </c>
      <c r="P230" s="177">
        <f t="shared" si="34"/>
        <v>0</v>
      </c>
      <c r="Q230" s="177">
        <f t="shared" si="41"/>
        <v>0</v>
      </c>
      <c r="R230" s="431">
        <f t="shared" si="35"/>
        <v>0</v>
      </c>
      <c r="S230" s="468">
        <v>1</v>
      </c>
      <c r="T230" s="127"/>
      <c r="U230" s="127"/>
      <c r="V230" s="127"/>
      <c r="W230" s="127"/>
      <c r="X230" s="127"/>
      <c r="Y230" s="127"/>
    </row>
    <row r="231" spans="1:25" s="6" customFormat="1" ht="15.75">
      <c r="A231" s="268">
        <v>140</v>
      </c>
      <c r="B231" s="176" t="s">
        <v>192</v>
      </c>
      <c r="C231" s="535">
        <v>143.4</v>
      </c>
      <c r="D231" s="413"/>
      <c r="E231" s="413"/>
      <c r="F231" s="146">
        <v>143.4</v>
      </c>
      <c r="G231" s="628">
        <f t="shared" si="40"/>
        <v>143.4</v>
      </c>
      <c r="H231" s="414"/>
      <c r="I231" s="414">
        <v>0</v>
      </c>
      <c r="J231" s="411"/>
      <c r="K231" s="400">
        <f t="shared" si="38"/>
        <v>0</v>
      </c>
      <c r="L231" s="593">
        <f t="shared" si="36"/>
        <v>0</v>
      </c>
      <c r="M231" s="177">
        <f t="shared" si="39"/>
        <v>0</v>
      </c>
      <c r="N231" s="446">
        <f t="shared" si="37"/>
        <v>0</v>
      </c>
      <c r="O231" s="427">
        <v>0</v>
      </c>
      <c r="P231" s="177">
        <f t="shared" si="34"/>
        <v>0</v>
      </c>
      <c r="Q231" s="177">
        <f t="shared" si="41"/>
        <v>0</v>
      </c>
      <c r="R231" s="431">
        <f t="shared" si="35"/>
        <v>0</v>
      </c>
      <c r="S231" s="468">
        <v>1</v>
      </c>
      <c r="T231" s="127"/>
      <c r="U231" s="127"/>
      <c r="V231" s="127"/>
      <c r="W231" s="127"/>
      <c r="X231" s="127"/>
      <c r="Y231" s="127"/>
    </row>
    <row r="232" spans="1:25" s="6" customFormat="1" ht="15.75">
      <c r="A232" s="275">
        <v>141</v>
      </c>
      <c r="B232" s="274" t="s">
        <v>193</v>
      </c>
      <c r="C232" s="535">
        <v>473.2</v>
      </c>
      <c r="D232" s="413"/>
      <c r="E232" s="413"/>
      <c r="F232" s="146">
        <v>473.2</v>
      </c>
      <c r="G232" s="628">
        <f t="shared" si="40"/>
        <v>473.2</v>
      </c>
      <c r="H232" s="414"/>
      <c r="I232" s="414">
        <v>0</v>
      </c>
      <c r="J232" s="411"/>
      <c r="K232" s="400">
        <f t="shared" si="38"/>
        <v>0</v>
      </c>
      <c r="L232" s="593">
        <f t="shared" si="36"/>
        <v>0</v>
      </c>
      <c r="M232" s="177">
        <f t="shared" si="39"/>
        <v>0</v>
      </c>
      <c r="N232" s="446">
        <f t="shared" si="37"/>
        <v>0</v>
      </c>
      <c r="O232" s="427">
        <v>0</v>
      </c>
      <c r="P232" s="177">
        <f t="shared" si="34"/>
        <v>0</v>
      </c>
      <c r="Q232" s="177">
        <f t="shared" si="41"/>
        <v>0</v>
      </c>
      <c r="R232" s="431">
        <f t="shared" si="35"/>
        <v>0</v>
      </c>
      <c r="S232" s="468">
        <v>2</v>
      </c>
      <c r="T232" s="127"/>
      <c r="U232" s="127"/>
      <c r="V232" s="127"/>
      <c r="W232" s="127"/>
      <c r="X232" s="127"/>
      <c r="Y232" s="127"/>
    </row>
    <row r="233" spans="1:25" s="6" customFormat="1" ht="15.75">
      <c r="A233" s="268">
        <v>142</v>
      </c>
      <c r="B233" s="176" t="s">
        <v>194</v>
      </c>
      <c r="C233" s="535">
        <v>306.10000000000002</v>
      </c>
      <c r="D233" s="413"/>
      <c r="E233" s="413"/>
      <c r="F233" s="146">
        <v>306.10000000000002</v>
      </c>
      <c r="G233" s="628">
        <f t="shared" si="40"/>
        <v>306.10000000000002</v>
      </c>
      <c r="H233" s="414"/>
      <c r="I233" s="414">
        <v>0</v>
      </c>
      <c r="J233" s="411"/>
      <c r="K233" s="400">
        <f t="shared" si="38"/>
        <v>0</v>
      </c>
      <c r="L233" s="593">
        <f t="shared" si="36"/>
        <v>0</v>
      </c>
      <c r="M233" s="177">
        <f t="shared" si="39"/>
        <v>0</v>
      </c>
      <c r="N233" s="446">
        <f t="shared" si="37"/>
        <v>0</v>
      </c>
      <c r="O233" s="427">
        <v>0</v>
      </c>
      <c r="P233" s="177">
        <f t="shared" si="34"/>
        <v>0</v>
      </c>
      <c r="Q233" s="177">
        <f t="shared" si="41"/>
        <v>0</v>
      </c>
      <c r="R233" s="431">
        <f t="shared" si="35"/>
        <v>0</v>
      </c>
      <c r="S233" s="468">
        <v>2</v>
      </c>
      <c r="T233" s="127"/>
      <c r="U233" s="127"/>
      <c r="V233" s="127"/>
      <c r="W233" s="127"/>
      <c r="X233" s="127"/>
      <c r="Y233" s="127"/>
    </row>
    <row r="234" spans="1:25" s="6" customFormat="1" ht="15.75">
      <c r="A234" s="268">
        <v>143</v>
      </c>
      <c r="B234" s="176" t="s">
        <v>195</v>
      </c>
      <c r="C234" s="535">
        <v>239.7</v>
      </c>
      <c r="D234" s="413"/>
      <c r="E234" s="413"/>
      <c r="F234" s="146">
        <v>239.7</v>
      </c>
      <c r="G234" s="628">
        <f t="shared" si="40"/>
        <v>239.7</v>
      </c>
      <c r="H234" s="414"/>
      <c r="I234" s="825">
        <v>0</v>
      </c>
      <c r="J234" s="411"/>
      <c r="K234" s="400">
        <f t="shared" si="38"/>
        <v>0</v>
      </c>
      <c r="L234" s="593">
        <f t="shared" si="36"/>
        <v>0</v>
      </c>
      <c r="M234" s="177">
        <f t="shared" si="39"/>
        <v>0</v>
      </c>
      <c r="N234" s="446">
        <f t="shared" si="37"/>
        <v>0</v>
      </c>
      <c r="O234" s="427">
        <v>0</v>
      </c>
      <c r="P234" s="177">
        <f t="shared" si="34"/>
        <v>0</v>
      </c>
      <c r="Q234" s="177">
        <f t="shared" si="41"/>
        <v>0</v>
      </c>
      <c r="R234" s="431">
        <f t="shared" si="35"/>
        <v>0</v>
      </c>
      <c r="S234" s="468">
        <v>1</v>
      </c>
      <c r="T234" s="127"/>
      <c r="U234" s="127"/>
      <c r="V234" s="127"/>
      <c r="W234" s="127"/>
      <c r="X234" s="127"/>
      <c r="Y234" s="127"/>
    </row>
    <row r="235" spans="1:25" s="6" customFormat="1" ht="15.75">
      <c r="A235" s="268">
        <v>144</v>
      </c>
      <c r="B235" s="176" t="s">
        <v>196</v>
      </c>
      <c r="C235" s="535">
        <v>193.7</v>
      </c>
      <c r="D235" s="413"/>
      <c r="E235" s="413"/>
      <c r="F235" s="146">
        <v>193.7</v>
      </c>
      <c r="G235" s="628">
        <f t="shared" si="40"/>
        <v>193.7</v>
      </c>
      <c r="H235" s="414"/>
      <c r="I235" s="414">
        <v>0</v>
      </c>
      <c r="J235" s="411"/>
      <c r="K235" s="400">
        <f t="shared" si="38"/>
        <v>0</v>
      </c>
      <c r="L235" s="593">
        <f t="shared" si="36"/>
        <v>0</v>
      </c>
      <c r="M235" s="177">
        <f t="shared" si="39"/>
        <v>0</v>
      </c>
      <c r="N235" s="446">
        <f t="shared" si="37"/>
        <v>0</v>
      </c>
      <c r="O235" s="427">
        <v>0</v>
      </c>
      <c r="P235" s="177">
        <f t="shared" si="34"/>
        <v>0</v>
      </c>
      <c r="Q235" s="177">
        <f t="shared" si="41"/>
        <v>0</v>
      </c>
      <c r="R235" s="431">
        <f t="shared" si="35"/>
        <v>0</v>
      </c>
      <c r="S235" s="468">
        <v>1</v>
      </c>
      <c r="T235" s="127"/>
      <c r="U235" s="127"/>
      <c r="V235" s="127"/>
      <c r="W235" s="127"/>
      <c r="X235" s="127"/>
      <c r="Y235" s="127"/>
    </row>
    <row r="236" spans="1:25" s="6" customFormat="1" ht="15.75">
      <c r="A236" s="268">
        <v>145</v>
      </c>
      <c r="B236" s="176" t="s">
        <v>197</v>
      </c>
      <c r="C236" s="535">
        <v>83.9</v>
      </c>
      <c r="D236" s="413"/>
      <c r="E236" s="413"/>
      <c r="F236" s="146">
        <v>83.9</v>
      </c>
      <c r="G236" s="628">
        <f t="shared" si="40"/>
        <v>83.9</v>
      </c>
      <c r="H236" s="414"/>
      <c r="I236" s="414">
        <v>0</v>
      </c>
      <c r="J236" s="411"/>
      <c r="K236" s="400">
        <f t="shared" si="38"/>
        <v>0</v>
      </c>
      <c r="L236" s="593">
        <f t="shared" si="36"/>
        <v>0</v>
      </c>
      <c r="M236" s="177">
        <f t="shared" si="39"/>
        <v>0</v>
      </c>
      <c r="N236" s="446">
        <f t="shared" si="37"/>
        <v>0</v>
      </c>
      <c r="O236" s="427">
        <v>0</v>
      </c>
      <c r="P236" s="177">
        <f t="shared" si="34"/>
        <v>0</v>
      </c>
      <c r="Q236" s="177">
        <f t="shared" si="41"/>
        <v>0</v>
      </c>
      <c r="R236" s="431">
        <f t="shared" si="35"/>
        <v>0</v>
      </c>
      <c r="S236" s="468">
        <v>5</v>
      </c>
      <c r="T236" s="127"/>
      <c r="U236" s="127"/>
      <c r="V236" s="127"/>
      <c r="W236" s="127"/>
      <c r="X236" s="127"/>
      <c r="Y236" s="127"/>
    </row>
    <row r="237" spans="1:25" s="6" customFormat="1" ht="15.75">
      <c r="A237" s="268">
        <v>146</v>
      </c>
      <c r="B237" s="176" t="s">
        <v>198</v>
      </c>
      <c r="C237" s="535">
        <v>2111.66</v>
      </c>
      <c r="D237" s="413"/>
      <c r="E237" s="413"/>
      <c r="F237" s="146">
        <v>2111.66</v>
      </c>
      <c r="G237" s="628">
        <f t="shared" si="40"/>
        <v>2111.66</v>
      </c>
      <c r="H237" s="824">
        <v>206</v>
      </c>
      <c r="I237" s="824"/>
      <c r="J237" s="411"/>
      <c r="K237" s="400">
        <f t="shared" si="38"/>
        <v>206</v>
      </c>
      <c r="L237" s="593">
        <f t="shared" si="36"/>
        <v>0.24523809523809523</v>
      </c>
      <c r="M237" s="177">
        <f t="shared" si="39"/>
        <v>494.64769047619046</v>
      </c>
      <c r="N237" s="446">
        <f t="shared" si="37"/>
        <v>181.88195578809524</v>
      </c>
      <c r="O237" s="427">
        <v>191.07726190476188</v>
      </c>
      <c r="P237" s="177">
        <f t="shared" si="34"/>
        <v>12.232476190476191</v>
      </c>
      <c r="Q237" s="177">
        <f t="shared" si="41"/>
        <v>14.911388476190478</v>
      </c>
      <c r="R237" s="431">
        <f t="shared" si="35"/>
        <v>0.4166576931700765</v>
      </c>
      <c r="S237" s="468">
        <v>2</v>
      </c>
      <c r="T237" s="127"/>
      <c r="U237" s="127"/>
      <c r="V237" s="127"/>
      <c r="W237" s="127"/>
      <c r="X237" s="127"/>
      <c r="Y237" s="127"/>
    </row>
    <row r="238" spans="1:25" s="6" customFormat="1" ht="15.75">
      <c r="A238" s="268">
        <v>147</v>
      </c>
      <c r="B238" s="176" t="s">
        <v>199</v>
      </c>
      <c r="C238" s="535">
        <v>424.8</v>
      </c>
      <c r="D238" s="413"/>
      <c r="E238" s="413"/>
      <c r="F238" s="146">
        <v>424.8</v>
      </c>
      <c r="G238" s="628">
        <f t="shared" si="40"/>
        <v>424.8</v>
      </c>
      <c r="H238" s="824">
        <v>0</v>
      </c>
      <c r="I238" s="824"/>
      <c r="J238" s="411"/>
      <c r="K238" s="400">
        <f t="shared" si="38"/>
        <v>0</v>
      </c>
      <c r="L238" s="593">
        <f t="shared" si="36"/>
        <v>0</v>
      </c>
      <c r="M238" s="177">
        <f t="shared" si="39"/>
        <v>0</v>
      </c>
      <c r="N238" s="446">
        <f t="shared" si="37"/>
        <v>0</v>
      </c>
      <c r="O238" s="427">
        <v>0</v>
      </c>
      <c r="P238" s="177">
        <f t="shared" si="34"/>
        <v>0</v>
      </c>
      <c r="Q238" s="177">
        <f t="shared" si="41"/>
        <v>0</v>
      </c>
      <c r="R238" s="431">
        <f t="shared" si="35"/>
        <v>0</v>
      </c>
      <c r="S238" s="468">
        <v>1</v>
      </c>
      <c r="T238" s="127"/>
      <c r="U238" s="127"/>
      <c r="V238" s="127"/>
      <c r="W238" s="127"/>
      <c r="X238" s="127"/>
      <c r="Y238" s="127"/>
    </row>
    <row r="239" spans="1:25" s="6" customFormat="1" ht="15.75">
      <c r="A239" s="275">
        <v>148</v>
      </c>
      <c r="B239" s="176" t="s">
        <v>200</v>
      </c>
      <c r="C239" s="535">
        <v>105.5</v>
      </c>
      <c r="D239" s="413"/>
      <c r="E239" s="413"/>
      <c r="F239" s="146">
        <v>105.5</v>
      </c>
      <c r="G239" s="628">
        <f t="shared" si="40"/>
        <v>105.5</v>
      </c>
      <c r="H239" s="824">
        <v>0</v>
      </c>
      <c r="I239" s="824"/>
      <c r="J239" s="411"/>
      <c r="K239" s="400">
        <f t="shared" si="38"/>
        <v>0</v>
      </c>
      <c r="L239" s="593">
        <f t="shared" si="36"/>
        <v>0</v>
      </c>
      <c r="M239" s="177">
        <f t="shared" si="39"/>
        <v>0</v>
      </c>
      <c r="N239" s="446">
        <f t="shared" si="37"/>
        <v>0</v>
      </c>
      <c r="O239" s="427">
        <v>0</v>
      </c>
      <c r="P239" s="177">
        <f t="shared" si="34"/>
        <v>0</v>
      </c>
      <c r="Q239" s="177">
        <f t="shared" si="41"/>
        <v>0</v>
      </c>
      <c r="R239" s="431">
        <f t="shared" si="35"/>
        <v>0</v>
      </c>
      <c r="S239" s="468">
        <v>1</v>
      </c>
      <c r="T239" s="127"/>
      <c r="U239" s="127"/>
      <c r="V239" s="127"/>
      <c r="W239" s="127"/>
      <c r="X239" s="127"/>
      <c r="Y239" s="127"/>
    </row>
    <row r="240" spans="1:25" s="6" customFormat="1" ht="15.75">
      <c r="A240" s="268">
        <v>149</v>
      </c>
      <c r="B240" s="176" t="s">
        <v>201</v>
      </c>
      <c r="C240" s="535">
        <v>158.6</v>
      </c>
      <c r="D240" s="413"/>
      <c r="E240" s="413"/>
      <c r="F240" s="146">
        <v>158.6</v>
      </c>
      <c r="G240" s="628">
        <f t="shared" si="40"/>
        <v>158.6</v>
      </c>
      <c r="H240" s="824">
        <v>0</v>
      </c>
      <c r="I240" s="824"/>
      <c r="J240" s="411"/>
      <c r="K240" s="400">
        <f t="shared" si="38"/>
        <v>0</v>
      </c>
      <c r="L240" s="593">
        <f t="shared" si="36"/>
        <v>0</v>
      </c>
      <c r="M240" s="177">
        <f t="shared" si="39"/>
        <v>0</v>
      </c>
      <c r="N240" s="446">
        <f t="shared" si="37"/>
        <v>0</v>
      </c>
      <c r="O240" s="427">
        <v>0</v>
      </c>
      <c r="P240" s="177">
        <f t="shared" si="34"/>
        <v>0</v>
      </c>
      <c r="Q240" s="177">
        <f t="shared" si="41"/>
        <v>0</v>
      </c>
      <c r="R240" s="431">
        <f t="shared" si="35"/>
        <v>0</v>
      </c>
      <c r="S240" s="468">
        <v>1</v>
      </c>
      <c r="T240" s="127"/>
      <c r="U240" s="127"/>
      <c r="V240" s="127"/>
      <c r="W240" s="127"/>
      <c r="X240" s="127"/>
      <c r="Y240" s="127"/>
    </row>
    <row r="241" spans="1:25" s="6" customFormat="1" ht="15.75">
      <c r="A241" s="268">
        <v>150</v>
      </c>
      <c r="B241" s="176" t="s">
        <v>202</v>
      </c>
      <c r="C241" s="535">
        <v>84.9</v>
      </c>
      <c r="D241" s="413"/>
      <c r="E241" s="413"/>
      <c r="F241" s="146">
        <v>84.9</v>
      </c>
      <c r="G241" s="628">
        <f t="shared" si="40"/>
        <v>84.9</v>
      </c>
      <c r="H241" s="824">
        <v>0</v>
      </c>
      <c r="I241" s="824"/>
      <c r="J241" s="411"/>
      <c r="K241" s="400">
        <f t="shared" si="38"/>
        <v>0</v>
      </c>
      <c r="L241" s="593">
        <f t="shared" si="36"/>
        <v>0</v>
      </c>
      <c r="M241" s="177">
        <f t="shared" si="39"/>
        <v>0</v>
      </c>
      <c r="N241" s="446">
        <f t="shared" si="37"/>
        <v>0</v>
      </c>
      <c r="O241" s="427">
        <v>0</v>
      </c>
      <c r="P241" s="177">
        <f t="shared" si="34"/>
        <v>0</v>
      </c>
      <c r="Q241" s="177">
        <f t="shared" si="41"/>
        <v>0</v>
      </c>
      <c r="R241" s="431">
        <f t="shared" si="35"/>
        <v>0</v>
      </c>
      <c r="S241" s="468">
        <v>1</v>
      </c>
      <c r="T241" s="127"/>
      <c r="U241" s="127"/>
      <c r="V241" s="127"/>
      <c r="W241" s="127"/>
      <c r="X241" s="127"/>
      <c r="Y241" s="127"/>
    </row>
    <row r="242" spans="1:25" s="6" customFormat="1" ht="15.75">
      <c r="A242" s="268">
        <v>151</v>
      </c>
      <c r="B242" s="176" t="s">
        <v>203</v>
      </c>
      <c r="C242" s="535">
        <v>191.6</v>
      </c>
      <c r="D242" s="413"/>
      <c r="E242" s="413"/>
      <c r="F242" s="146">
        <v>190.8</v>
      </c>
      <c r="G242" s="628">
        <f t="shared" si="40"/>
        <v>191.6</v>
      </c>
      <c r="H242" s="824">
        <v>0</v>
      </c>
      <c r="I242" s="824"/>
      <c r="J242" s="411"/>
      <c r="K242" s="400">
        <f t="shared" si="38"/>
        <v>0</v>
      </c>
      <c r="L242" s="593">
        <f t="shared" si="36"/>
        <v>0</v>
      </c>
      <c r="M242" s="177">
        <f t="shared" si="39"/>
        <v>0</v>
      </c>
      <c r="N242" s="446">
        <f t="shared" si="37"/>
        <v>0</v>
      </c>
      <c r="O242" s="427">
        <v>0</v>
      </c>
      <c r="P242" s="177">
        <f t="shared" si="34"/>
        <v>0</v>
      </c>
      <c r="Q242" s="177">
        <f t="shared" si="41"/>
        <v>0</v>
      </c>
      <c r="R242" s="431">
        <f t="shared" si="35"/>
        <v>0</v>
      </c>
      <c r="S242" s="468">
        <v>1</v>
      </c>
      <c r="T242" s="127"/>
      <c r="U242" s="127"/>
      <c r="V242" s="127"/>
      <c r="W242" s="127"/>
      <c r="X242" s="127"/>
      <c r="Y242" s="127"/>
    </row>
    <row r="243" spans="1:25" s="6" customFormat="1" ht="15.75">
      <c r="A243" s="268">
        <v>152</v>
      </c>
      <c r="B243" s="176" t="s">
        <v>204</v>
      </c>
      <c r="C243" s="535">
        <v>220.11</v>
      </c>
      <c r="D243" s="413"/>
      <c r="E243" s="413"/>
      <c r="F243" s="146">
        <v>220.11</v>
      </c>
      <c r="G243" s="628">
        <f t="shared" si="40"/>
        <v>220.11</v>
      </c>
      <c r="H243" s="824">
        <v>0</v>
      </c>
      <c r="I243" s="824"/>
      <c r="J243" s="411"/>
      <c r="K243" s="400">
        <f t="shared" si="38"/>
        <v>0</v>
      </c>
      <c r="L243" s="593">
        <f t="shared" si="36"/>
        <v>0</v>
      </c>
      <c r="M243" s="177">
        <f t="shared" si="39"/>
        <v>0</v>
      </c>
      <c r="N243" s="446">
        <f t="shared" si="37"/>
        <v>0</v>
      </c>
      <c r="O243" s="427">
        <v>0</v>
      </c>
      <c r="P243" s="177">
        <f t="shared" si="34"/>
        <v>0</v>
      </c>
      <c r="Q243" s="177">
        <f t="shared" si="41"/>
        <v>0</v>
      </c>
      <c r="R243" s="431">
        <f t="shared" si="35"/>
        <v>0</v>
      </c>
      <c r="S243" s="468">
        <v>1</v>
      </c>
      <c r="T243" s="127"/>
      <c r="U243" s="127"/>
      <c r="V243" s="127"/>
      <c r="W243" s="127"/>
      <c r="X243" s="127"/>
      <c r="Y243" s="127"/>
    </row>
    <row r="244" spans="1:25" s="6" customFormat="1" ht="15.75">
      <c r="A244" s="268">
        <v>153</v>
      </c>
      <c r="B244" s="176" t="s">
        <v>205</v>
      </c>
      <c r="C244" s="535">
        <v>154.1</v>
      </c>
      <c r="D244" s="413"/>
      <c r="E244" s="413"/>
      <c r="F244" s="146">
        <v>154.1</v>
      </c>
      <c r="G244" s="628">
        <f t="shared" si="40"/>
        <v>154.1</v>
      </c>
      <c r="H244" s="824">
        <v>0</v>
      </c>
      <c r="I244" s="824"/>
      <c r="J244" s="411"/>
      <c r="K244" s="400">
        <f t="shared" si="38"/>
        <v>0</v>
      </c>
      <c r="L244" s="593">
        <f t="shared" si="36"/>
        <v>0</v>
      </c>
      <c r="M244" s="177">
        <f t="shared" si="39"/>
        <v>0</v>
      </c>
      <c r="N244" s="446">
        <f t="shared" si="37"/>
        <v>0</v>
      </c>
      <c r="O244" s="427">
        <v>0</v>
      </c>
      <c r="P244" s="177">
        <f t="shared" si="34"/>
        <v>0</v>
      </c>
      <c r="Q244" s="177">
        <f t="shared" si="41"/>
        <v>0</v>
      </c>
      <c r="R244" s="431">
        <f t="shared" si="35"/>
        <v>0</v>
      </c>
      <c r="S244" s="468">
        <v>1</v>
      </c>
      <c r="T244" s="127"/>
      <c r="U244" s="127"/>
      <c r="V244" s="127"/>
      <c r="W244" s="127"/>
      <c r="X244" s="127"/>
      <c r="Y244" s="127"/>
    </row>
    <row r="245" spans="1:25" s="6" customFormat="1" ht="15.75">
      <c r="A245" s="268">
        <v>154</v>
      </c>
      <c r="B245" s="176" t="s">
        <v>206</v>
      </c>
      <c r="C245" s="535">
        <v>219.1</v>
      </c>
      <c r="D245" s="413"/>
      <c r="E245" s="413"/>
      <c r="F245" s="146">
        <v>151</v>
      </c>
      <c r="G245" s="628">
        <f t="shared" si="40"/>
        <v>219.1</v>
      </c>
      <c r="H245" s="824">
        <v>0</v>
      </c>
      <c r="I245" s="824"/>
      <c r="J245" s="411"/>
      <c r="K245" s="400">
        <f t="shared" si="38"/>
        <v>0</v>
      </c>
      <c r="L245" s="593">
        <f t="shared" si="36"/>
        <v>0</v>
      </c>
      <c r="M245" s="177">
        <f t="shared" si="39"/>
        <v>0</v>
      </c>
      <c r="N245" s="446">
        <f t="shared" si="37"/>
        <v>0</v>
      </c>
      <c r="O245" s="427">
        <v>0</v>
      </c>
      <c r="P245" s="177">
        <f t="shared" si="34"/>
        <v>0</v>
      </c>
      <c r="Q245" s="177">
        <f t="shared" si="41"/>
        <v>0</v>
      </c>
      <c r="R245" s="431">
        <f t="shared" si="35"/>
        <v>0</v>
      </c>
      <c r="S245" s="468">
        <v>1</v>
      </c>
      <c r="T245" s="127"/>
      <c r="U245" s="127"/>
      <c r="V245" s="127"/>
      <c r="W245" s="127"/>
      <c r="X245" s="127"/>
      <c r="Y245" s="127"/>
    </row>
    <row r="246" spans="1:25" s="6" customFormat="1" ht="15.75">
      <c r="A246" s="275">
        <v>155</v>
      </c>
      <c r="B246" s="176" t="s">
        <v>207</v>
      </c>
      <c r="C246" s="535">
        <v>255.8</v>
      </c>
      <c r="D246" s="413"/>
      <c r="E246" s="413"/>
      <c r="F246" s="146">
        <v>262.86</v>
      </c>
      <c r="G246" s="628">
        <f t="shared" si="40"/>
        <v>255.8</v>
      </c>
      <c r="H246" s="824">
        <v>0</v>
      </c>
      <c r="I246" s="824"/>
      <c r="J246" s="411"/>
      <c r="K246" s="400">
        <f t="shared" si="38"/>
        <v>0</v>
      </c>
      <c r="L246" s="593">
        <f t="shared" si="36"/>
        <v>0</v>
      </c>
      <c r="M246" s="177">
        <f t="shared" si="39"/>
        <v>0</v>
      </c>
      <c r="N246" s="446">
        <f t="shared" si="37"/>
        <v>0</v>
      </c>
      <c r="O246" s="427">
        <v>0</v>
      </c>
      <c r="P246" s="177">
        <f t="shared" si="34"/>
        <v>0</v>
      </c>
      <c r="Q246" s="177">
        <f t="shared" si="41"/>
        <v>0</v>
      </c>
      <c r="R246" s="431">
        <f t="shared" si="35"/>
        <v>0</v>
      </c>
      <c r="S246" s="468">
        <v>1</v>
      </c>
      <c r="T246" s="127"/>
      <c r="U246" s="127"/>
      <c r="V246" s="127"/>
      <c r="W246" s="127"/>
      <c r="X246" s="127"/>
      <c r="Y246" s="127"/>
    </row>
    <row r="247" spans="1:25" s="6" customFormat="1" ht="15.75">
      <c r="A247" s="268">
        <v>156</v>
      </c>
      <c r="B247" s="176" t="s">
        <v>208</v>
      </c>
      <c r="C247" s="535">
        <v>58.3</v>
      </c>
      <c r="D247" s="413"/>
      <c r="E247" s="413"/>
      <c r="F247" s="146">
        <v>58.5</v>
      </c>
      <c r="G247" s="628">
        <f t="shared" si="40"/>
        <v>58.3</v>
      </c>
      <c r="H247" s="824">
        <v>0</v>
      </c>
      <c r="I247" s="824"/>
      <c r="J247" s="411"/>
      <c r="K247" s="400">
        <f t="shared" si="38"/>
        <v>0</v>
      </c>
      <c r="L247" s="593">
        <f t="shared" si="36"/>
        <v>0</v>
      </c>
      <c r="M247" s="177">
        <f t="shared" si="39"/>
        <v>0</v>
      </c>
      <c r="N247" s="446">
        <f t="shared" si="37"/>
        <v>0</v>
      </c>
      <c r="O247" s="427">
        <v>0</v>
      </c>
      <c r="P247" s="177">
        <f t="shared" si="34"/>
        <v>0</v>
      </c>
      <c r="Q247" s="177">
        <f t="shared" si="41"/>
        <v>0</v>
      </c>
      <c r="R247" s="431">
        <f t="shared" si="35"/>
        <v>0</v>
      </c>
      <c r="S247" s="468">
        <v>1</v>
      </c>
      <c r="T247" s="127"/>
      <c r="U247" s="127"/>
      <c r="V247" s="127"/>
      <c r="W247" s="127"/>
      <c r="X247" s="127"/>
      <c r="Y247" s="127"/>
    </row>
    <row r="248" spans="1:25" s="6" customFormat="1" ht="15.75">
      <c r="A248" s="268">
        <v>157</v>
      </c>
      <c r="B248" s="176" t="s">
        <v>209</v>
      </c>
      <c r="C248" s="535">
        <v>47.2</v>
      </c>
      <c r="D248" s="413"/>
      <c r="E248" s="413"/>
      <c r="F248" s="146">
        <v>47.2</v>
      </c>
      <c r="G248" s="628">
        <f t="shared" si="40"/>
        <v>47.2</v>
      </c>
      <c r="H248" s="824">
        <v>0</v>
      </c>
      <c r="I248" s="824"/>
      <c r="J248" s="411"/>
      <c r="K248" s="400">
        <f t="shared" si="38"/>
        <v>0</v>
      </c>
      <c r="L248" s="593">
        <f t="shared" si="36"/>
        <v>0</v>
      </c>
      <c r="M248" s="177">
        <f t="shared" si="39"/>
        <v>0</v>
      </c>
      <c r="N248" s="446">
        <f t="shared" si="37"/>
        <v>0</v>
      </c>
      <c r="O248" s="427">
        <v>0</v>
      </c>
      <c r="P248" s="177">
        <f t="shared" si="34"/>
        <v>0</v>
      </c>
      <c r="Q248" s="177">
        <f t="shared" si="41"/>
        <v>0</v>
      </c>
      <c r="R248" s="431">
        <f t="shared" si="35"/>
        <v>0</v>
      </c>
      <c r="S248" s="468">
        <v>1</v>
      </c>
      <c r="T248" s="127"/>
      <c r="U248" s="127"/>
      <c r="V248" s="127"/>
      <c r="W248" s="127"/>
      <c r="X248" s="127"/>
      <c r="Y248" s="127"/>
    </row>
    <row r="249" spans="1:25" s="6" customFormat="1" ht="15.75">
      <c r="A249" s="268">
        <v>158</v>
      </c>
      <c r="B249" s="176" t="s">
        <v>210</v>
      </c>
      <c r="C249" s="535">
        <v>101.5</v>
      </c>
      <c r="D249" s="413"/>
      <c r="E249" s="413"/>
      <c r="F249" s="146">
        <v>101.5</v>
      </c>
      <c r="G249" s="628">
        <f t="shared" si="40"/>
        <v>101.5</v>
      </c>
      <c r="H249" s="824">
        <v>0</v>
      </c>
      <c r="I249" s="824"/>
      <c r="J249" s="411"/>
      <c r="K249" s="400">
        <f t="shared" si="38"/>
        <v>0</v>
      </c>
      <c r="L249" s="593">
        <f t="shared" si="36"/>
        <v>0</v>
      </c>
      <c r="M249" s="177">
        <f t="shared" si="39"/>
        <v>0</v>
      </c>
      <c r="N249" s="446">
        <f t="shared" si="37"/>
        <v>0</v>
      </c>
      <c r="O249" s="427">
        <v>0</v>
      </c>
      <c r="P249" s="177">
        <f t="shared" si="34"/>
        <v>0</v>
      </c>
      <c r="Q249" s="177">
        <f t="shared" si="41"/>
        <v>0</v>
      </c>
      <c r="R249" s="431">
        <f t="shared" si="35"/>
        <v>0</v>
      </c>
      <c r="S249" s="468">
        <v>1</v>
      </c>
      <c r="T249" s="127"/>
      <c r="U249" s="127"/>
      <c r="V249" s="127"/>
      <c r="W249" s="127"/>
      <c r="X249" s="127"/>
      <c r="Y249" s="127"/>
    </row>
    <row r="250" spans="1:25" s="6" customFormat="1" ht="13.5" customHeight="1">
      <c r="A250" s="268">
        <v>159</v>
      </c>
      <c r="B250" s="176" t="s">
        <v>211</v>
      </c>
      <c r="C250" s="535">
        <v>57.8</v>
      </c>
      <c r="D250" s="413"/>
      <c r="E250" s="413"/>
      <c r="F250" s="146">
        <v>59.5</v>
      </c>
      <c r="G250" s="628">
        <f t="shared" si="40"/>
        <v>57.8</v>
      </c>
      <c r="H250" s="824">
        <v>0</v>
      </c>
      <c r="I250" s="824"/>
      <c r="J250" s="411"/>
      <c r="K250" s="400">
        <f t="shared" si="38"/>
        <v>0</v>
      </c>
      <c r="L250" s="593">
        <f t="shared" si="36"/>
        <v>0</v>
      </c>
      <c r="M250" s="177">
        <f t="shared" si="39"/>
        <v>0</v>
      </c>
      <c r="N250" s="446">
        <f t="shared" si="37"/>
        <v>0</v>
      </c>
      <c r="O250" s="427">
        <v>0</v>
      </c>
      <c r="P250" s="177">
        <f t="shared" si="34"/>
        <v>0</v>
      </c>
      <c r="Q250" s="177">
        <f t="shared" si="41"/>
        <v>0</v>
      </c>
      <c r="R250" s="431">
        <f t="shared" si="35"/>
        <v>0</v>
      </c>
      <c r="S250" s="468">
        <v>1</v>
      </c>
      <c r="T250" s="127"/>
      <c r="U250" s="127"/>
      <c r="V250" s="127"/>
      <c r="W250" s="127"/>
      <c r="X250" s="127"/>
      <c r="Y250" s="127"/>
    </row>
    <row r="251" spans="1:25" s="6" customFormat="1" ht="13.5" customHeight="1">
      <c r="A251" s="268">
        <v>160</v>
      </c>
      <c r="B251" s="122" t="s">
        <v>1203</v>
      </c>
      <c r="C251" s="330">
        <v>569.54999999999995</v>
      </c>
      <c r="D251" s="801">
        <v>76.3</v>
      </c>
      <c r="E251" s="801">
        <v>25</v>
      </c>
      <c r="F251" s="146">
        <v>628.25</v>
      </c>
      <c r="G251" s="628">
        <f t="shared" si="40"/>
        <v>670.84999999999991</v>
      </c>
      <c r="H251" s="824"/>
      <c r="I251" s="824">
        <v>88</v>
      </c>
      <c r="J251" s="411"/>
      <c r="K251" s="400">
        <f t="shared" si="38"/>
        <v>88</v>
      </c>
      <c r="L251" s="593">
        <f t="shared" si="36"/>
        <v>0.1164021164021164</v>
      </c>
      <c r="M251" s="177">
        <f t="shared" si="39"/>
        <v>234.7842328042328</v>
      </c>
      <c r="N251" s="446">
        <f t="shared" si="37"/>
        <v>86.3301624021164</v>
      </c>
      <c r="O251" s="427">
        <v>90.694708994708989</v>
      </c>
      <c r="P251" s="177">
        <f t="shared" si="34"/>
        <v>5.8061375661375658</v>
      </c>
      <c r="Q251" s="177">
        <f t="shared" si="41"/>
        <v>7.0776816931216935</v>
      </c>
      <c r="R251" s="431">
        <f t="shared" si="35"/>
        <v>0.73323719035588764</v>
      </c>
      <c r="S251" s="468">
        <v>3</v>
      </c>
      <c r="T251" s="127"/>
      <c r="U251" s="127"/>
      <c r="V251" s="127"/>
      <c r="W251" s="127"/>
      <c r="X251" s="127"/>
      <c r="Y251" s="127"/>
    </row>
    <row r="252" spans="1:25" s="6" customFormat="1" ht="13.5" customHeight="1">
      <c r="A252" s="268">
        <v>161</v>
      </c>
      <c r="B252" s="122" t="s">
        <v>1204</v>
      </c>
      <c r="C252" s="330">
        <v>648.9</v>
      </c>
      <c r="D252" s="801"/>
      <c r="E252" s="801"/>
      <c r="F252" s="146">
        <v>648.9</v>
      </c>
      <c r="G252" s="628">
        <f t="shared" si="40"/>
        <v>648.9</v>
      </c>
      <c r="H252" s="824"/>
      <c r="I252" s="824">
        <v>108</v>
      </c>
      <c r="J252" s="411"/>
      <c r="K252" s="400">
        <f t="shared" si="38"/>
        <v>108</v>
      </c>
      <c r="L252" s="593">
        <f t="shared" si="36"/>
        <v>0.14285714285714285</v>
      </c>
      <c r="M252" s="177">
        <f t="shared" si="39"/>
        <v>288.14428571428567</v>
      </c>
      <c r="N252" s="446">
        <f t="shared" si="37"/>
        <v>105.95065385714285</v>
      </c>
      <c r="O252" s="427">
        <v>111.30714285714285</v>
      </c>
      <c r="P252" s="177">
        <f t="shared" si="34"/>
        <v>7.1257142857142854</v>
      </c>
      <c r="Q252" s="177">
        <f t="shared" si="41"/>
        <v>8.6862457142857146</v>
      </c>
      <c r="R252" s="431">
        <f t="shared" si="35"/>
        <v>0.78984095656385522</v>
      </c>
      <c r="S252" s="468">
        <v>3</v>
      </c>
      <c r="T252" s="127"/>
      <c r="U252" s="127"/>
      <c r="V252" s="127"/>
      <c r="W252" s="127"/>
      <c r="X252" s="127"/>
      <c r="Y252" s="127"/>
    </row>
    <row r="253" spans="1:25" s="6" customFormat="1" ht="13.5" customHeight="1">
      <c r="A253" s="275">
        <v>162</v>
      </c>
      <c r="B253" s="122" t="s">
        <v>1205</v>
      </c>
      <c r="C253" s="330">
        <v>527.70000000000005</v>
      </c>
      <c r="D253" s="801">
        <v>115.4</v>
      </c>
      <c r="E253" s="801">
        <v>110</v>
      </c>
      <c r="F253" s="146">
        <v>753.1</v>
      </c>
      <c r="G253" s="628">
        <f t="shared" si="40"/>
        <v>753.1</v>
      </c>
      <c r="H253" s="824"/>
      <c r="I253" s="824">
        <v>104</v>
      </c>
      <c r="J253" s="411"/>
      <c r="K253" s="400">
        <f t="shared" si="38"/>
        <v>104</v>
      </c>
      <c r="L253" s="593">
        <f t="shared" si="36"/>
        <v>0.13756613756613756</v>
      </c>
      <c r="M253" s="177">
        <f t="shared" si="39"/>
        <v>277.47227513227512</v>
      </c>
      <c r="N253" s="446">
        <f t="shared" si="37"/>
        <v>102.02655556613757</v>
      </c>
      <c r="O253" s="427">
        <v>107.18465608465607</v>
      </c>
      <c r="P253" s="177">
        <f t="shared" si="34"/>
        <v>6.8617989417989413</v>
      </c>
      <c r="Q253" s="177">
        <f t="shared" si="41"/>
        <v>8.36453291005291</v>
      </c>
      <c r="R253" s="431">
        <f t="shared" si="35"/>
        <v>0.93527626629688776</v>
      </c>
      <c r="S253" s="468">
        <v>3</v>
      </c>
      <c r="T253" s="127"/>
      <c r="U253" s="127"/>
      <c r="V253" s="127"/>
      <c r="W253" s="127"/>
      <c r="X253" s="127"/>
      <c r="Y253" s="127"/>
    </row>
    <row r="254" spans="1:25" s="6" customFormat="1" ht="13.5" customHeight="1">
      <c r="A254" s="268">
        <v>163</v>
      </c>
      <c r="B254" s="122" t="s">
        <v>1206</v>
      </c>
      <c r="C254" s="330">
        <v>276.60000000000002</v>
      </c>
      <c r="D254" s="801"/>
      <c r="E254" s="801"/>
      <c r="F254" s="146">
        <v>276.7</v>
      </c>
      <c r="G254" s="628">
        <f t="shared" si="40"/>
        <v>276.60000000000002</v>
      </c>
      <c r="H254" s="824"/>
      <c r="I254" s="824"/>
      <c r="J254" s="411"/>
      <c r="K254" s="400">
        <f t="shared" si="38"/>
        <v>0</v>
      </c>
      <c r="L254" s="593">
        <f t="shared" si="36"/>
        <v>0</v>
      </c>
      <c r="M254" s="177">
        <f t="shared" si="39"/>
        <v>0</v>
      </c>
      <c r="N254" s="446">
        <f t="shared" si="37"/>
        <v>0</v>
      </c>
      <c r="O254" s="427">
        <v>0</v>
      </c>
      <c r="P254" s="177">
        <f t="shared" si="34"/>
        <v>0</v>
      </c>
      <c r="Q254" s="177">
        <f t="shared" si="41"/>
        <v>0</v>
      </c>
      <c r="R254" s="431">
        <f t="shared" si="35"/>
        <v>0</v>
      </c>
      <c r="S254" s="468">
        <v>2</v>
      </c>
      <c r="T254" s="127"/>
      <c r="U254" s="127"/>
      <c r="V254" s="127"/>
      <c r="W254" s="127"/>
      <c r="X254" s="127"/>
      <c r="Y254" s="127"/>
    </row>
    <row r="255" spans="1:25" s="6" customFormat="1" ht="13.5" customHeight="1">
      <c r="A255" s="268">
        <v>164</v>
      </c>
      <c r="B255" s="122" t="s">
        <v>1207</v>
      </c>
      <c r="C255" s="330">
        <v>238.8</v>
      </c>
      <c r="D255" s="801"/>
      <c r="E255" s="801"/>
      <c r="F255" s="146">
        <v>238.8</v>
      </c>
      <c r="G255" s="628">
        <f t="shared" si="40"/>
        <v>238.8</v>
      </c>
      <c r="H255" s="824"/>
      <c r="I255" s="824"/>
      <c r="J255" s="411"/>
      <c r="K255" s="400">
        <f t="shared" si="38"/>
        <v>0</v>
      </c>
      <c r="L255" s="593">
        <f t="shared" si="36"/>
        <v>0</v>
      </c>
      <c r="M255" s="177">
        <f t="shared" si="39"/>
        <v>0</v>
      </c>
      <c r="N255" s="446">
        <f t="shared" si="37"/>
        <v>0</v>
      </c>
      <c r="O255" s="427">
        <v>0</v>
      </c>
      <c r="P255" s="177">
        <f t="shared" si="34"/>
        <v>0</v>
      </c>
      <c r="Q255" s="177">
        <f t="shared" si="41"/>
        <v>0</v>
      </c>
      <c r="R255" s="431">
        <f t="shared" si="35"/>
        <v>0</v>
      </c>
      <c r="S255" s="468">
        <v>2</v>
      </c>
      <c r="T255" s="127"/>
      <c r="U255" s="127"/>
      <c r="V255" s="127"/>
      <c r="W255" s="127"/>
      <c r="X255" s="127"/>
      <c r="Y255" s="127"/>
    </row>
    <row r="256" spans="1:25" s="6" customFormat="1" ht="13.5" customHeight="1">
      <c r="A256" s="268">
        <v>165</v>
      </c>
      <c r="B256" s="122" t="s">
        <v>1208</v>
      </c>
      <c r="C256" s="330">
        <v>754.13</v>
      </c>
      <c r="D256" s="801"/>
      <c r="E256" s="801"/>
      <c r="F256" s="146">
        <v>754.13</v>
      </c>
      <c r="G256" s="628">
        <f t="shared" si="40"/>
        <v>754.13</v>
      </c>
      <c r="H256" s="824">
        <v>20</v>
      </c>
      <c r="I256" s="824">
        <v>20</v>
      </c>
      <c r="J256" s="411"/>
      <c r="K256" s="400">
        <f t="shared" si="38"/>
        <v>40</v>
      </c>
      <c r="L256" s="593">
        <f t="shared" si="36"/>
        <v>5.0264550264550262E-2</v>
      </c>
      <c r="M256" s="177">
        <f t="shared" si="39"/>
        <v>101.38410052910052</v>
      </c>
      <c r="N256" s="446">
        <f t="shared" si="37"/>
        <v>37.278933764550267</v>
      </c>
      <c r="O256" s="427">
        <v>39.163624338624338</v>
      </c>
      <c r="P256" s="177">
        <f t="shared" si="34"/>
        <v>2.5071957671957672</v>
      </c>
      <c r="Q256" s="177">
        <f t="shared" si="41"/>
        <v>3.0562716402116403</v>
      </c>
      <c r="R256" s="431">
        <f t="shared" si="35"/>
        <v>0.23912833914506901</v>
      </c>
      <c r="S256" s="468">
        <v>4</v>
      </c>
      <c r="T256" s="127"/>
      <c r="U256" s="127"/>
      <c r="V256" s="127"/>
      <c r="W256" s="127"/>
      <c r="X256" s="127"/>
      <c r="Y256" s="127"/>
    </row>
    <row r="257" spans="1:25" s="6" customFormat="1" ht="13.5" customHeight="1">
      <c r="A257" s="268">
        <v>166</v>
      </c>
      <c r="B257" s="122" t="s">
        <v>1209</v>
      </c>
      <c r="C257" s="330">
        <v>838.38</v>
      </c>
      <c r="D257" s="801">
        <v>72.7</v>
      </c>
      <c r="E257" s="801"/>
      <c r="F257" s="146">
        <v>838.38</v>
      </c>
      <c r="G257" s="628">
        <f t="shared" si="40"/>
        <v>911.08</v>
      </c>
      <c r="H257" s="824">
        <v>86</v>
      </c>
      <c r="I257" s="824">
        <v>84</v>
      </c>
      <c r="J257" s="411"/>
      <c r="K257" s="400">
        <f t="shared" si="38"/>
        <v>170</v>
      </c>
      <c r="L257" s="593">
        <f t="shared" si="36"/>
        <v>0.21349206349206348</v>
      </c>
      <c r="M257" s="177">
        <f t="shared" si="39"/>
        <v>430.61562698412695</v>
      </c>
      <c r="N257" s="446">
        <f t="shared" si="37"/>
        <v>158.33736604206348</v>
      </c>
      <c r="O257" s="427">
        <v>166.34234126984126</v>
      </c>
      <c r="P257" s="177">
        <f t="shared" si="34"/>
        <v>10.648984126984127</v>
      </c>
      <c r="Q257" s="177">
        <f t="shared" si="41"/>
        <v>12.981111650793652</v>
      </c>
      <c r="R257" s="431">
        <f t="shared" si="35"/>
        <v>0.91360041797635405</v>
      </c>
      <c r="S257" s="468">
        <v>4</v>
      </c>
      <c r="T257" s="127"/>
      <c r="U257" s="127"/>
      <c r="V257" s="127"/>
      <c r="W257" s="127"/>
      <c r="X257" s="127"/>
      <c r="Y257" s="127"/>
    </row>
    <row r="258" spans="1:25" s="6" customFormat="1" ht="13.5" customHeight="1">
      <c r="A258" s="268">
        <v>167</v>
      </c>
      <c r="B258" s="122" t="s">
        <v>1210</v>
      </c>
      <c r="C258" s="330">
        <v>676.2</v>
      </c>
      <c r="D258" s="801"/>
      <c r="E258" s="801">
        <v>31.7</v>
      </c>
      <c r="F258" s="146">
        <v>676.2</v>
      </c>
      <c r="G258" s="628">
        <f t="shared" si="40"/>
        <v>707.90000000000009</v>
      </c>
      <c r="H258" s="824">
        <v>104</v>
      </c>
      <c r="I258" s="824"/>
      <c r="J258" s="411"/>
      <c r="K258" s="400">
        <f t="shared" si="38"/>
        <v>104</v>
      </c>
      <c r="L258" s="593">
        <f t="shared" si="36"/>
        <v>0.12380952380952381</v>
      </c>
      <c r="M258" s="177">
        <f t="shared" si="39"/>
        <v>249.72504761904761</v>
      </c>
      <c r="N258" s="446">
        <f t="shared" si="37"/>
        <v>91.823900009523811</v>
      </c>
      <c r="O258" s="427">
        <v>96.466190476190476</v>
      </c>
      <c r="P258" s="177">
        <f t="shared" si="34"/>
        <v>6.1756190476190485</v>
      </c>
      <c r="Q258" s="177">
        <f t="shared" si="41"/>
        <v>7.5280796190476202</v>
      </c>
      <c r="R258" s="431">
        <f t="shared" si="35"/>
        <v>0.65689257194969086</v>
      </c>
      <c r="S258" s="468">
        <v>4</v>
      </c>
      <c r="T258" s="127"/>
      <c r="U258" s="127"/>
      <c r="V258" s="127"/>
      <c r="W258" s="127"/>
      <c r="X258" s="127"/>
      <c r="Y258" s="127"/>
    </row>
    <row r="259" spans="1:25" s="6" customFormat="1" ht="13.5" customHeight="1">
      <c r="A259" s="268">
        <v>168</v>
      </c>
      <c r="B259" s="273" t="s">
        <v>1211</v>
      </c>
      <c r="C259" s="330">
        <v>814.34</v>
      </c>
      <c r="D259" s="801"/>
      <c r="E259" s="801"/>
      <c r="F259" s="146">
        <v>814.34</v>
      </c>
      <c r="G259" s="628">
        <f t="shared" si="40"/>
        <v>814.34</v>
      </c>
      <c r="H259" s="824"/>
      <c r="I259" s="824">
        <v>0</v>
      </c>
      <c r="J259" s="411"/>
      <c r="K259" s="400">
        <f t="shared" si="38"/>
        <v>0</v>
      </c>
      <c r="L259" s="593">
        <f t="shared" si="36"/>
        <v>0</v>
      </c>
      <c r="M259" s="177">
        <f t="shared" si="39"/>
        <v>0</v>
      </c>
      <c r="N259" s="446">
        <f t="shared" si="37"/>
        <v>0</v>
      </c>
      <c r="O259" s="427">
        <v>0</v>
      </c>
      <c r="P259" s="177">
        <f t="shared" si="34"/>
        <v>0</v>
      </c>
      <c r="Q259" s="177">
        <f t="shared" si="41"/>
        <v>0</v>
      </c>
      <c r="R259" s="431">
        <f t="shared" si="35"/>
        <v>0</v>
      </c>
      <c r="S259" s="468">
        <v>3</v>
      </c>
      <c r="T259" s="127"/>
      <c r="U259" s="127"/>
      <c r="V259" s="127"/>
      <c r="W259" s="127"/>
      <c r="X259" s="127"/>
      <c r="Y259" s="127"/>
    </row>
    <row r="260" spans="1:25" s="6" customFormat="1" ht="13.5" customHeight="1">
      <c r="A260" s="275">
        <v>169</v>
      </c>
      <c r="B260" s="273" t="s">
        <v>1212</v>
      </c>
      <c r="C260" s="330">
        <v>562.29999999999995</v>
      </c>
      <c r="D260" s="801"/>
      <c r="E260" s="801"/>
      <c r="F260" s="146">
        <v>562.29999999999995</v>
      </c>
      <c r="G260" s="628">
        <f t="shared" si="40"/>
        <v>562.29999999999995</v>
      </c>
      <c r="H260" s="824">
        <v>0</v>
      </c>
      <c r="I260" s="824"/>
      <c r="J260" s="411"/>
      <c r="K260" s="400">
        <f t="shared" si="38"/>
        <v>0</v>
      </c>
      <c r="L260" s="593">
        <f t="shared" si="36"/>
        <v>0</v>
      </c>
      <c r="M260" s="177">
        <f t="shared" si="39"/>
        <v>0</v>
      </c>
      <c r="N260" s="446">
        <f t="shared" si="37"/>
        <v>0</v>
      </c>
      <c r="O260" s="427">
        <v>0</v>
      </c>
      <c r="P260" s="177">
        <f t="shared" si="34"/>
        <v>0</v>
      </c>
      <c r="Q260" s="177">
        <f t="shared" si="41"/>
        <v>0</v>
      </c>
      <c r="R260" s="431">
        <f t="shared" si="35"/>
        <v>0</v>
      </c>
      <c r="S260" s="468">
        <v>3</v>
      </c>
      <c r="T260" s="127"/>
      <c r="U260" s="127"/>
      <c r="V260" s="127"/>
      <c r="W260" s="127"/>
      <c r="X260" s="127"/>
      <c r="Y260" s="127"/>
    </row>
    <row r="261" spans="1:25" s="6" customFormat="1" ht="13.5" customHeight="1">
      <c r="A261" s="268">
        <v>170</v>
      </c>
      <c r="B261" s="122" t="s">
        <v>1213</v>
      </c>
      <c r="C261" s="330">
        <v>410.5</v>
      </c>
      <c r="D261" s="801"/>
      <c r="E261" s="801"/>
      <c r="F261" s="146">
        <v>410.5</v>
      </c>
      <c r="G261" s="628">
        <f t="shared" si="40"/>
        <v>410.5</v>
      </c>
      <c r="H261" s="824"/>
      <c r="I261" s="824">
        <v>57</v>
      </c>
      <c r="J261" s="411"/>
      <c r="K261" s="400">
        <f t="shared" si="38"/>
        <v>57</v>
      </c>
      <c r="L261" s="593">
        <f t="shared" si="36"/>
        <v>7.5396825396825393E-2</v>
      </c>
      <c r="M261" s="177">
        <f t="shared" si="39"/>
        <v>152.07615079365078</v>
      </c>
      <c r="N261" s="446">
        <f t="shared" si="37"/>
        <v>55.918400646825397</v>
      </c>
      <c r="O261" s="427">
        <v>58.745436507936503</v>
      </c>
      <c r="P261" s="177">
        <f t="shared" si="34"/>
        <v>3.7607936507936506</v>
      </c>
      <c r="Q261" s="177">
        <f t="shared" si="41"/>
        <v>4.5844074603174603</v>
      </c>
      <c r="R261" s="431">
        <f t="shared" si="35"/>
        <v>0.65895440097248803</v>
      </c>
      <c r="S261" s="468">
        <v>3</v>
      </c>
      <c r="T261" s="127"/>
      <c r="U261" s="127"/>
      <c r="V261" s="127"/>
      <c r="W261" s="127"/>
      <c r="X261" s="127"/>
      <c r="Y261" s="127"/>
    </row>
    <row r="262" spans="1:25" s="6" customFormat="1" ht="13.5" customHeight="1">
      <c r="A262" s="268">
        <v>171</v>
      </c>
      <c r="B262" s="122" t="s">
        <v>1214</v>
      </c>
      <c r="C262" s="330">
        <v>504.87</v>
      </c>
      <c r="D262" s="801"/>
      <c r="E262" s="801">
        <v>18.399999999999999</v>
      </c>
      <c r="F262" s="146">
        <v>504.87</v>
      </c>
      <c r="G262" s="628">
        <f t="shared" si="40"/>
        <v>523.27</v>
      </c>
      <c r="H262" s="824"/>
      <c r="I262" s="824">
        <v>65</v>
      </c>
      <c r="J262" s="411"/>
      <c r="K262" s="400">
        <f t="shared" si="38"/>
        <v>65</v>
      </c>
      <c r="L262" s="593">
        <f t="shared" si="36"/>
        <v>8.5978835978835974E-2</v>
      </c>
      <c r="M262" s="177">
        <f t="shared" si="39"/>
        <v>173.42017195767195</v>
      </c>
      <c r="N262" s="446">
        <f t="shared" si="37"/>
        <v>63.766597228835984</v>
      </c>
      <c r="O262" s="427">
        <v>66.99041005291005</v>
      </c>
      <c r="P262" s="177">
        <f t="shared" ref="P262:P325" si="42">L262*49.88</f>
        <v>4.2886243386243388</v>
      </c>
      <c r="Q262" s="177">
        <f t="shared" si="41"/>
        <v>5.2278330687830694</v>
      </c>
      <c r="R262" s="431">
        <f t="shared" si="35"/>
        <v>0.61098065557082493</v>
      </c>
      <c r="S262" s="468">
        <v>3</v>
      </c>
      <c r="T262" s="127"/>
      <c r="U262" s="127"/>
      <c r="V262" s="127"/>
      <c r="W262" s="127"/>
      <c r="X262" s="127"/>
      <c r="Y262" s="127"/>
    </row>
    <row r="263" spans="1:25" s="6" customFormat="1" ht="13.5" customHeight="1">
      <c r="A263" s="268">
        <v>172</v>
      </c>
      <c r="B263" s="273" t="s">
        <v>1215</v>
      </c>
      <c r="C263" s="330">
        <v>684.1</v>
      </c>
      <c r="D263" s="801"/>
      <c r="E263" s="801"/>
      <c r="F263" s="146">
        <v>702.2</v>
      </c>
      <c r="G263" s="628">
        <f t="shared" si="40"/>
        <v>684.1</v>
      </c>
      <c r="H263" s="824"/>
      <c r="I263" s="824"/>
      <c r="J263" s="411"/>
      <c r="K263" s="400">
        <f t="shared" si="38"/>
        <v>0</v>
      </c>
      <c r="L263" s="593">
        <f t="shared" si="36"/>
        <v>0</v>
      </c>
      <c r="M263" s="177">
        <f t="shared" si="39"/>
        <v>0</v>
      </c>
      <c r="N263" s="446">
        <f t="shared" si="37"/>
        <v>0</v>
      </c>
      <c r="O263" s="427">
        <v>0</v>
      </c>
      <c r="P263" s="177">
        <f t="shared" si="42"/>
        <v>0</v>
      </c>
      <c r="Q263" s="177">
        <f t="shared" si="41"/>
        <v>0</v>
      </c>
      <c r="R263" s="431">
        <f t="shared" ref="R263:R326" si="43">(M263+N263+O263+P263)/C263</f>
        <v>0</v>
      </c>
      <c r="S263" s="468">
        <v>3</v>
      </c>
      <c r="T263" s="127"/>
      <c r="U263" s="127"/>
      <c r="V263" s="127"/>
      <c r="W263" s="127"/>
      <c r="X263" s="127"/>
      <c r="Y263" s="127"/>
    </row>
    <row r="264" spans="1:25" s="6" customFormat="1" ht="13.5" customHeight="1">
      <c r="A264" s="268">
        <v>173</v>
      </c>
      <c r="B264" s="122" t="s">
        <v>1216</v>
      </c>
      <c r="C264" s="330">
        <v>525.58000000000004</v>
      </c>
      <c r="D264" s="801">
        <v>133.5</v>
      </c>
      <c r="E264" s="801"/>
      <c r="F264" s="146">
        <v>641</v>
      </c>
      <c r="G264" s="628">
        <f t="shared" si="40"/>
        <v>659.08</v>
      </c>
      <c r="H264" s="824"/>
      <c r="I264" s="824">
        <v>145</v>
      </c>
      <c r="J264" s="411"/>
      <c r="K264" s="400">
        <f t="shared" si="38"/>
        <v>145</v>
      </c>
      <c r="L264" s="593">
        <f t="shared" si="36"/>
        <v>0.1917989417989418</v>
      </c>
      <c r="M264" s="177">
        <f t="shared" si="39"/>
        <v>386.86038359788358</v>
      </c>
      <c r="N264" s="446">
        <f t="shared" si="37"/>
        <v>142.2485630489418</v>
      </c>
      <c r="O264" s="427">
        <v>29.888029100529099</v>
      </c>
      <c r="P264" s="177">
        <f t="shared" si="42"/>
        <v>9.5669312169312182</v>
      </c>
      <c r="Q264" s="177">
        <f t="shared" si="41"/>
        <v>11.662089153439156</v>
      </c>
      <c r="R264" s="431">
        <f t="shared" si="43"/>
        <v>1.0817837569243232</v>
      </c>
      <c r="S264" s="468">
        <v>3</v>
      </c>
      <c r="T264" s="127"/>
      <c r="U264" s="127"/>
      <c r="V264" s="127"/>
      <c r="W264" s="127"/>
      <c r="X264" s="127"/>
      <c r="Y264" s="127"/>
    </row>
    <row r="265" spans="1:25" s="6" customFormat="1" ht="13.5" customHeight="1">
      <c r="A265" s="268">
        <v>174</v>
      </c>
      <c r="B265" s="122" t="s">
        <v>1217</v>
      </c>
      <c r="C265" s="330">
        <v>418.1</v>
      </c>
      <c r="D265" s="801"/>
      <c r="E265" s="801">
        <v>48.4</v>
      </c>
      <c r="F265" s="146">
        <v>467</v>
      </c>
      <c r="G265" s="628">
        <f t="shared" si="40"/>
        <v>466.5</v>
      </c>
      <c r="H265" s="824"/>
      <c r="I265" s="824">
        <v>72</v>
      </c>
      <c r="J265" s="411"/>
      <c r="K265" s="400">
        <f t="shared" si="38"/>
        <v>72</v>
      </c>
      <c r="L265" s="593">
        <f t="shared" si="36"/>
        <v>9.5238095238095233E-2</v>
      </c>
      <c r="M265" s="177">
        <f t="shared" si="39"/>
        <v>192.09619047619046</v>
      </c>
      <c r="N265" s="446">
        <f t="shared" si="37"/>
        <v>70.63376923809524</v>
      </c>
      <c r="O265" s="427">
        <v>74.204761904761895</v>
      </c>
      <c r="P265" s="177">
        <f t="shared" si="42"/>
        <v>4.7504761904761903</v>
      </c>
      <c r="Q265" s="177">
        <f t="shared" si="41"/>
        <v>5.7908304761904761</v>
      </c>
      <c r="R265" s="431">
        <f t="shared" si="43"/>
        <v>0.81723319256044913</v>
      </c>
      <c r="S265" s="468">
        <v>3</v>
      </c>
      <c r="T265" s="127"/>
      <c r="U265" s="127"/>
      <c r="V265" s="127"/>
      <c r="W265" s="127"/>
      <c r="X265" s="127"/>
      <c r="Y265" s="127"/>
    </row>
    <row r="266" spans="1:25" s="6" customFormat="1" ht="13.5" customHeight="1">
      <c r="A266" s="268">
        <v>175</v>
      </c>
      <c r="B266" s="122" t="s">
        <v>1218</v>
      </c>
      <c r="C266" s="330">
        <v>399.54</v>
      </c>
      <c r="D266" s="801"/>
      <c r="E266" s="801">
        <v>12.5</v>
      </c>
      <c r="F266" s="146">
        <v>412.04</v>
      </c>
      <c r="G266" s="628">
        <f t="shared" si="40"/>
        <v>412.04</v>
      </c>
      <c r="H266" s="824"/>
      <c r="I266" s="824">
        <v>60</v>
      </c>
      <c r="J266" s="411"/>
      <c r="K266" s="400">
        <f t="shared" si="38"/>
        <v>60</v>
      </c>
      <c r="L266" s="593">
        <f t="shared" si="36"/>
        <v>7.9365079365079361E-2</v>
      </c>
      <c r="M266" s="177">
        <f t="shared" si="39"/>
        <v>160.08015873015873</v>
      </c>
      <c r="N266" s="446">
        <f t="shared" si="37"/>
        <v>58.861474365079367</v>
      </c>
      <c r="O266" s="427">
        <v>61.837301587301582</v>
      </c>
      <c r="P266" s="177">
        <f t="shared" si="42"/>
        <v>3.9587301587301589</v>
      </c>
      <c r="Q266" s="177">
        <f t="shared" si="41"/>
        <v>4.8256920634920641</v>
      </c>
      <c r="R266" s="431">
        <f t="shared" si="43"/>
        <v>0.71266372538737</v>
      </c>
      <c r="S266" s="468">
        <v>3</v>
      </c>
      <c r="T266" s="127"/>
      <c r="U266" s="127"/>
      <c r="V266" s="127"/>
      <c r="W266" s="127"/>
      <c r="X266" s="127"/>
      <c r="Y266" s="127"/>
    </row>
    <row r="267" spans="1:25" s="6" customFormat="1" ht="13.5" customHeight="1">
      <c r="A267" s="275">
        <v>176</v>
      </c>
      <c r="B267" s="122" t="s">
        <v>1219</v>
      </c>
      <c r="C267" s="330">
        <v>303.5</v>
      </c>
      <c r="D267" s="801"/>
      <c r="E267" s="801"/>
      <c r="F267" s="146">
        <v>303.5</v>
      </c>
      <c r="G267" s="628">
        <f t="shared" si="40"/>
        <v>303.5</v>
      </c>
      <c r="H267" s="824"/>
      <c r="I267" s="824">
        <v>50</v>
      </c>
      <c r="J267" s="411"/>
      <c r="K267" s="400">
        <f t="shared" si="38"/>
        <v>50</v>
      </c>
      <c r="L267" s="593">
        <f t="shared" si="36"/>
        <v>6.6137566137566134E-2</v>
      </c>
      <c r="M267" s="177">
        <f t="shared" si="39"/>
        <v>133.40013227513228</v>
      </c>
      <c r="N267" s="446">
        <f t="shared" si="37"/>
        <v>49.05122863756614</v>
      </c>
      <c r="O267" s="427">
        <v>51.531084656084651</v>
      </c>
      <c r="P267" s="177">
        <f t="shared" si="42"/>
        <v>3.2989417989417991</v>
      </c>
      <c r="Q267" s="177">
        <f t="shared" si="41"/>
        <v>4.0214100529100536</v>
      </c>
      <c r="R267" s="431">
        <f t="shared" si="43"/>
        <v>0.78181676233187769</v>
      </c>
      <c r="S267" s="468">
        <v>3</v>
      </c>
      <c r="T267" s="127"/>
      <c r="U267" s="127"/>
      <c r="V267" s="127"/>
      <c r="W267" s="127"/>
      <c r="X267" s="127"/>
      <c r="Y267" s="127"/>
    </row>
    <row r="268" spans="1:25" s="6" customFormat="1" ht="13.5" customHeight="1">
      <c r="A268" s="268">
        <v>177</v>
      </c>
      <c r="B268" s="122" t="s">
        <v>1220</v>
      </c>
      <c r="C268" s="330">
        <v>654.13</v>
      </c>
      <c r="D268" s="801"/>
      <c r="E268" s="801"/>
      <c r="F268" s="146">
        <v>651.47</v>
      </c>
      <c r="G268" s="628">
        <f t="shared" si="40"/>
        <v>654.13</v>
      </c>
      <c r="H268" s="824">
        <v>60</v>
      </c>
      <c r="I268" s="824"/>
      <c r="J268" s="411"/>
      <c r="K268" s="400">
        <f t="shared" si="38"/>
        <v>60</v>
      </c>
      <c r="L268" s="593">
        <f t="shared" si="36"/>
        <v>7.1428571428571425E-2</v>
      </c>
      <c r="M268" s="177">
        <f t="shared" si="39"/>
        <v>144.07214285714284</v>
      </c>
      <c r="N268" s="446">
        <f t="shared" si="37"/>
        <v>52.975326928571427</v>
      </c>
      <c r="O268" s="427">
        <v>55.653571428571425</v>
      </c>
      <c r="P268" s="177">
        <f t="shared" si="42"/>
        <v>3.5628571428571427</v>
      </c>
      <c r="Q268" s="177">
        <f t="shared" si="41"/>
        <v>4.3431228571428573</v>
      </c>
      <c r="R268" s="431">
        <f t="shared" si="43"/>
        <v>0.39176294980683168</v>
      </c>
      <c r="S268" s="468">
        <v>4</v>
      </c>
      <c r="T268" s="127"/>
      <c r="U268" s="127"/>
      <c r="V268" s="127"/>
      <c r="W268" s="127"/>
      <c r="X268" s="127"/>
      <c r="Y268" s="127"/>
    </row>
    <row r="269" spans="1:25" s="6" customFormat="1" ht="13.5" customHeight="1">
      <c r="A269" s="268">
        <v>178</v>
      </c>
      <c r="B269" s="122" t="s">
        <v>1221</v>
      </c>
      <c r="C269" s="330">
        <v>598.02</v>
      </c>
      <c r="D269" s="801"/>
      <c r="E269" s="801">
        <v>44.6</v>
      </c>
      <c r="F269" s="146">
        <v>667.32</v>
      </c>
      <c r="G269" s="628">
        <f t="shared" si="40"/>
        <v>642.62</v>
      </c>
      <c r="H269" s="824">
        <v>100</v>
      </c>
      <c r="I269" s="824"/>
      <c r="J269" s="411"/>
      <c r="K269" s="400">
        <f t="shared" si="38"/>
        <v>100</v>
      </c>
      <c r="L269" s="593">
        <f t="shared" si="36"/>
        <v>0.11904761904761904</v>
      </c>
      <c r="M269" s="177">
        <f t="shared" si="39"/>
        <v>240.12023809523808</v>
      </c>
      <c r="N269" s="446">
        <f t="shared" si="37"/>
        <v>88.292211547619047</v>
      </c>
      <c r="O269" s="427">
        <v>92.75595238095238</v>
      </c>
      <c r="P269" s="177">
        <f t="shared" si="42"/>
        <v>5.9380952380952383</v>
      </c>
      <c r="Q269" s="177">
        <f t="shared" si="41"/>
        <v>7.2385380952380958</v>
      </c>
      <c r="R269" s="431">
        <f t="shared" si="43"/>
        <v>0.7142010254872827</v>
      </c>
      <c r="S269" s="468">
        <v>3</v>
      </c>
      <c r="T269" s="127"/>
      <c r="U269" s="127"/>
      <c r="V269" s="127"/>
      <c r="W269" s="127"/>
      <c r="X269" s="127"/>
      <c r="Y269" s="127"/>
    </row>
    <row r="270" spans="1:25" s="6" customFormat="1" ht="13.5" customHeight="1">
      <c r="A270" s="268">
        <v>179</v>
      </c>
      <c r="B270" s="122" t="s">
        <v>1222</v>
      </c>
      <c r="C270" s="330">
        <v>278.7</v>
      </c>
      <c r="D270" s="801"/>
      <c r="E270" s="801"/>
      <c r="F270" s="146">
        <v>278.7</v>
      </c>
      <c r="G270" s="628">
        <f t="shared" si="40"/>
        <v>278.7</v>
      </c>
      <c r="H270" s="824"/>
      <c r="I270" s="824"/>
      <c r="J270" s="411"/>
      <c r="K270" s="400">
        <f t="shared" si="38"/>
        <v>0</v>
      </c>
      <c r="L270" s="593">
        <f t="shared" si="36"/>
        <v>0</v>
      </c>
      <c r="M270" s="177">
        <f t="shared" si="39"/>
        <v>0</v>
      </c>
      <c r="N270" s="446">
        <f t="shared" si="37"/>
        <v>0</v>
      </c>
      <c r="O270" s="427">
        <v>0</v>
      </c>
      <c r="P270" s="177">
        <f t="shared" si="42"/>
        <v>0</v>
      </c>
      <c r="Q270" s="177">
        <f t="shared" si="41"/>
        <v>0</v>
      </c>
      <c r="R270" s="431">
        <f t="shared" si="43"/>
        <v>0</v>
      </c>
      <c r="S270" s="468">
        <v>3</v>
      </c>
      <c r="T270" s="127"/>
      <c r="U270" s="127"/>
      <c r="V270" s="127"/>
      <c r="W270" s="127"/>
      <c r="X270" s="127"/>
      <c r="Y270" s="127"/>
    </row>
    <row r="271" spans="1:25" s="6" customFormat="1" ht="13.5" customHeight="1">
      <c r="A271" s="268">
        <v>180</v>
      </c>
      <c r="B271" s="122" t="s">
        <v>1223</v>
      </c>
      <c r="C271" s="330">
        <v>3583.55</v>
      </c>
      <c r="D271" s="801"/>
      <c r="E271" s="801"/>
      <c r="F271" s="146">
        <v>3589.55</v>
      </c>
      <c r="G271" s="628">
        <f t="shared" si="40"/>
        <v>3583.55</v>
      </c>
      <c r="H271" s="824">
        <v>403</v>
      </c>
      <c r="I271" s="824"/>
      <c r="J271" s="411"/>
      <c r="K271" s="400">
        <f t="shared" si="38"/>
        <v>403</v>
      </c>
      <c r="L271" s="593">
        <f t="shared" ref="L271:L334" si="44">(H271/840)+(I271/756)</f>
        <v>0.47976190476190478</v>
      </c>
      <c r="M271" s="177">
        <f t="shared" si="39"/>
        <v>967.68455952380953</v>
      </c>
      <c r="N271" s="446">
        <f t="shared" ref="N271:N334" si="45">M271*0.3677</f>
        <v>355.81761253690479</v>
      </c>
      <c r="O271" s="427">
        <v>373.80648809523808</v>
      </c>
      <c r="P271" s="177">
        <f t="shared" si="42"/>
        <v>23.930523809523812</v>
      </c>
      <c r="Q271" s="177">
        <f t="shared" si="41"/>
        <v>29.171308523809529</v>
      </c>
      <c r="R271" s="431">
        <f t="shared" si="43"/>
        <v>0.48031677637132897</v>
      </c>
      <c r="S271" s="468">
        <v>5</v>
      </c>
      <c r="T271" s="127"/>
      <c r="U271" s="127"/>
      <c r="V271" s="127"/>
      <c r="W271" s="127"/>
      <c r="X271" s="127"/>
      <c r="Y271" s="127"/>
    </row>
    <row r="272" spans="1:25" s="6" customFormat="1" ht="13.5" customHeight="1">
      <c r="A272" s="268">
        <v>181</v>
      </c>
      <c r="B272" s="122" t="s">
        <v>1224</v>
      </c>
      <c r="C272" s="330">
        <v>486.9</v>
      </c>
      <c r="D272" s="801"/>
      <c r="E272" s="801">
        <v>26.6</v>
      </c>
      <c r="F272" s="146">
        <v>486.9</v>
      </c>
      <c r="G272" s="628">
        <f t="shared" si="40"/>
        <v>513.5</v>
      </c>
      <c r="H272" s="824">
        <v>41</v>
      </c>
      <c r="I272" s="824">
        <v>30</v>
      </c>
      <c r="J272" s="411"/>
      <c r="K272" s="400">
        <f t="shared" si="38"/>
        <v>71</v>
      </c>
      <c r="L272" s="593">
        <f t="shared" si="44"/>
        <v>8.8492063492063483E-2</v>
      </c>
      <c r="M272" s="177">
        <f t="shared" si="39"/>
        <v>178.48937698412698</v>
      </c>
      <c r="N272" s="446">
        <f t="shared" si="45"/>
        <v>65.630543917063491</v>
      </c>
      <c r="O272" s="427">
        <v>68.948591269841259</v>
      </c>
      <c r="P272" s="177">
        <f t="shared" si="42"/>
        <v>4.4139841269841265</v>
      </c>
      <c r="Q272" s="177">
        <f t="shared" si="41"/>
        <v>5.3806466507936506</v>
      </c>
      <c r="R272" s="431">
        <f t="shared" si="43"/>
        <v>0.65204866768949654</v>
      </c>
      <c r="S272" s="468">
        <v>3</v>
      </c>
      <c r="T272" s="127"/>
      <c r="U272" s="127"/>
      <c r="V272" s="127"/>
      <c r="W272" s="127"/>
      <c r="X272" s="127"/>
      <c r="Y272" s="127"/>
    </row>
    <row r="273" spans="1:25" s="6" customFormat="1" ht="13.5" customHeight="1">
      <c r="A273" s="268">
        <v>182</v>
      </c>
      <c r="B273" s="122" t="s">
        <v>1225</v>
      </c>
      <c r="C273" s="330">
        <v>420.4</v>
      </c>
      <c r="D273" s="801"/>
      <c r="E273" s="801"/>
      <c r="F273" s="146">
        <v>420.1</v>
      </c>
      <c r="G273" s="628">
        <f t="shared" si="40"/>
        <v>420.4</v>
      </c>
      <c r="H273" s="824"/>
      <c r="I273" s="824"/>
      <c r="J273" s="411"/>
      <c r="K273" s="400">
        <f t="shared" si="38"/>
        <v>0</v>
      </c>
      <c r="L273" s="593">
        <f t="shared" si="44"/>
        <v>0</v>
      </c>
      <c r="M273" s="177">
        <f t="shared" si="39"/>
        <v>0</v>
      </c>
      <c r="N273" s="446">
        <f t="shared" si="45"/>
        <v>0</v>
      </c>
      <c r="O273" s="427">
        <v>0</v>
      </c>
      <c r="P273" s="177">
        <f t="shared" si="42"/>
        <v>0</v>
      </c>
      <c r="Q273" s="177">
        <f t="shared" si="41"/>
        <v>0</v>
      </c>
      <c r="R273" s="431">
        <f t="shared" si="43"/>
        <v>0</v>
      </c>
      <c r="S273" s="468">
        <v>2</v>
      </c>
      <c r="T273" s="127"/>
      <c r="U273" s="127"/>
      <c r="V273" s="127"/>
      <c r="W273" s="127"/>
      <c r="X273" s="127"/>
      <c r="Y273" s="127"/>
    </row>
    <row r="274" spans="1:25" s="6" customFormat="1" ht="13.5" customHeight="1">
      <c r="A274" s="275">
        <v>183</v>
      </c>
      <c r="B274" s="122" t="s">
        <v>1226</v>
      </c>
      <c r="C274" s="330">
        <v>313.2</v>
      </c>
      <c r="D274" s="801"/>
      <c r="E274" s="801">
        <v>31</v>
      </c>
      <c r="F274" s="146">
        <v>344</v>
      </c>
      <c r="G274" s="628">
        <f t="shared" si="40"/>
        <v>344.2</v>
      </c>
      <c r="H274" s="824"/>
      <c r="I274" s="824"/>
      <c r="J274" s="411"/>
      <c r="K274" s="400">
        <f t="shared" si="38"/>
        <v>0</v>
      </c>
      <c r="L274" s="593">
        <f t="shared" si="44"/>
        <v>0</v>
      </c>
      <c r="M274" s="177">
        <f t="shared" si="39"/>
        <v>0</v>
      </c>
      <c r="N274" s="446">
        <f t="shared" si="45"/>
        <v>0</v>
      </c>
      <c r="O274" s="427">
        <v>0</v>
      </c>
      <c r="P274" s="177">
        <f t="shared" si="42"/>
        <v>0</v>
      </c>
      <c r="Q274" s="177">
        <f t="shared" si="41"/>
        <v>0</v>
      </c>
      <c r="R274" s="431">
        <f t="shared" si="43"/>
        <v>0</v>
      </c>
      <c r="S274" s="468">
        <v>2</v>
      </c>
      <c r="T274" s="127"/>
      <c r="U274" s="127"/>
      <c r="V274" s="127"/>
      <c r="W274" s="127"/>
      <c r="X274" s="127"/>
      <c r="Y274" s="127"/>
    </row>
    <row r="275" spans="1:25" s="6" customFormat="1" ht="13.5" customHeight="1">
      <c r="A275" s="268">
        <v>184</v>
      </c>
      <c r="B275" s="122" t="s">
        <v>1227</v>
      </c>
      <c r="C275" s="330">
        <v>349.5</v>
      </c>
      <c r="D275" s="801"/>
      <c r="E275" s="801"/>
      <c r="F275" s="146">
        <v>344.9</v>
      </c>
      <c r="G275" s="628">
        <f t="shared" si="40"/>
        <v>349.5</v>
      </c>
      <c r="H275" s="824"/>
      <c r="I275" s="824"/>
      <c r="J275" s="411"/>
      <c r="K275" s="400">
        <f t="shared" si="38"/>
        <v>0</v>
      </c>
      <c r="L275" s="593">
        <f t="shared" si="44"/>
        <v>0</v>
      </c>
      <c r="M275" s="177">
        <f t="shared" si="39"/>
        <v>0</v>
      </c>
      <c r="N275" s="446">
        <f t="shared" si="45"/>
        <v>0</v>
      </c>
      <c r="O275" s="427">
        <v>0</v>
      </c>
      <c r="P275" s="177">
        <f t="shared" si="42"/>
        <v>0</v>
      </c>
      <c r="Q275" s="177">
        <f t="shared" si="41"/>
        <v>0</v>
      </c>
      <c r="R275" s="431">
        <f t="shared" si="43"/>
        <v>0</v>
      </c>
      <c r="S275" s="468">
        <v>2</v>
      </c>
      <c r="T275" s="127"/>
      <c r="U275" s="127"/>
      <c r="V275" s="127"/>
      <c r="W275" s="127"/>
      <c r="X275" s="127"/>
      <c r="Y275" s="127"/>
    </row>
    <row r="276" spans="1:25" s="6" customFormat="1" ht="13.5" customHeight="1">
      <c r="A276" s="268">
        <v>185</v>
      </c>
      <c r="B276" s="122" t="s">
        <v>1228</v>
      </c>
      <c r="C276" s="330">
        <v>350</v>
      </c>
      <c r="D276" s="801">
        <v>24.5</v>
      </c>
      <c r="E276" s="801">
        <v>63.2</v>
      </c>
      <c r="F276" s="146">
        <v>426.7</v>
      </c>
      <c r="G276" s="628">
        <f t="shared" si="40"/>
        <v>437.7</v>
      </c>
      <c r="H276" s="824"/>
      <c r="I276" s="824">
        <v>0</v>
      </c>
      <c r="J276" s="411"/>
      <c r="K276" s="400">
        <f t="shared" si="38"/>
        <v>0</v>
      </c>
      <c r="L276" s="593">
        <f t="shared" si="44"/>
        <v>0</v>
      </c>
      <c r="M276" s="177">
        <f t="shared" si="39"/>
        <v>0</v>
      </c>
      <c r="N276" s="446">
        <f t="shared" si="45"/>
        <v>0</v>
      </c>
      <c r="O276" s="427">
        <v>0</v>
      </c>
      <c r="P276" s="177">
        <f t="shared" si="42"/>
        <v>0</v>
      </c>
      <c r="Q276" s="177">
        <f t="shared" si="41"/>
        <v>0</v>
      </c>
      <c r="R276" s="431">
        <f t="shared" si="43"/>
        <v>0</v>
      </c>
      <c r="S276" s="468">
        <v>2</v>
      </c>
      <c r="T276" s="127"/>
      <c r="U276" s="127"/>
      <c r="V276" s="127"/>
      <c r="W276" s="127"/>
      <c r="X276" s="127"/>
      <c r="Y276" s="127"/>
    </row>
    <row r="277" spans="1:25" s="6" customFormat="1" ht="13.5" customHeight="1">
      <c r="A277" s="268">
        <v>186</v>
      </c>
      <c r="B277" s="273" t="s">
        <v>1229</v>
      </c>
      <c r="C277" s="330">
        <v>483.54</v>
      </c>
      <c r="D277" s="801">
        <v>72.2</v>
      </c>
      <c r="E277" s="801"/>
      <c r="F277" s="146">
        <v>483.54</v>
      </c>
      <c r="G277" s="628">
        <f t="shared" si="40"/>
        <v>555.74</v>
      </c>
      <c r="H277" s="824"/>
      <c r="I277" s="824">
        <v>0</v>
      </c>
      <c r="J277" s="411"/>
      <c r="K277" s="400">
        <f t="shared" si="38"/>
        <v>0</v>
      </c>
      <c r="L277" s="593">
        <f t="shared" si="44"/>
        <v>0</v>
      </c>
      <c r="M277" s="177">
        <f t="shared" si="39"/>
        <v>0</v>
      </c>
      <c r="N277" s="446">
        <f t="shared" si="45"/>
        <v>0</v>
      </c>
      <c r="O277" s="427">
        <v>0</v>
      </c>
      <c r="P277" s="177">
        <f t="shared" si="42"/>
        <v>0</v>
      </c>
      <c r="Q277" s="177">
        <f t="shared" si="41"/>
        <v>0</v>
      </c>
      <c r="R277" s="431">
        <f t="shared" si="43"/>
        <v>0</v>
      </c>
      <c r="S277" s="468">
        <v>3</v>
      </c>
      <c r="T277" s="127"/>
      <c r="U277" s="127"/>
      <c r="V277" s="127"/>
      <c r="W277" s="127"/>
      <c r="X277" s="127"/>
      <c r="Y277" s="127"/>
    </row>
    <row r="278" spans="1:25" s="6" customFormat="1" ht="13.5" customHeight="1">
      <c r="A278" s="268">
        <v>187</v>
      </c>
      <c r="B278" s="122" t="s">
        <v>1230</v>
      </c>
      <c r="C278" s="330">
        <v>381.8</v>
      </c>
      <c r="D278" s="801"/>
      <c r="E278" s="801">
        <v>14.8</v>
      </c>
      <c r="F278" s="146">
        <v>396.6</v>
      </c>
      <c r="G278" s="628">
        <f t="shared" si="40"/>
        <v>396.6</v>
      </c>
      <c r="H278" s="824"/>
      <c r="I278" s="824"/>
      <c r="J278" s="411"/>
      <c r="K278" s="400">
        <f t="shared" si="38"/>
        <v>0</v>
      </c>
      <c r="L278" s="593">
        <f t="shared" si="44"/>
        <v>0</v>
      </c>
      <c r="M278" s="177">
        <f t="shared" si="39"/>
        <v>0</v>
      </c>
      <c r="N278" s="446">
        <f t="shared" si="45"/>
        <v>0</v>
      </c>
      <c r="O278" s="427">
        <v>0</v>
      </c>
      <c r="P278" s="177">
        <f t="shared" si="42"/>
        <v>0</v>
      </c>
      <c r="Q278" s="177">
        <f t="shared" si="41"/>
        <v>0</v>
      </c>
      <c r="R278" s="431">
        <f t="shared" si="43"/>
        <v>0</v>
      </c>
      <c r="S278" s="468">
        <v>2</v>
      </c>
      <c r="T278" s="127"/>
      <c r="U278" s="127"/>
      <c r="V278" s="127"/>
      <c r="W278" s="127"/>
      <c r="X278" s="127"/>
      <c r="Y278" s="127"/>
    </row>
    <row r="279" spans="1:25" s="6" customFormat="1" ht="13.5" customHeight="1">
      <c r="A279" s="268">
        <v>188</v>
      </c>
      <c r="B279" s="122" t="s">
        <v>1231</v>
      </c>
      <c r="C279" s="330">
        <v>1654.3</v>
      </c>
      <c r="D279" s="801">
        <v>62.7</v>
      </c>
      <c r="E279" s="801">
        <v>61.9</v>
      </c>
      <c r="F279" s="146">
        <v>1716.2</v>
      </c>
      <c r="G279" s="628">
        <f t="shared" si="40"/>
        <v>1778.9</v>
      </c>
      <c r="H279" s="824">
        <v>200</v>
      </c>
      <c r="I279" s="824"/>
      <c r="J279" s="411"/>
      <c r="K279" s="400">
        <f t="shared" si="38"/>
        <v>200</v>
      </c>
      <c r="L279" s="593">
        <f t="shared" si="44"/>
        <v>0.23809523809523808</v>
      </c>
      <c r="M279" s="177">
        <f t="shared" si="39"/>
        <v>480.24047619047616</v>
      </c>
      <c r="N279" s="446">
        <f t="shared" si="45"/>
        <v>176.58442309523809</v>
      </c>
      <c r="O279" s="427">
        <v>185.51190476190476</v>
      </c>
      <c r="P279" s="177">
        <f t="shared" si="42"/>
        <v>11.876190476190477</v>
      </c>
      <c r="Q279" s="177">
        <f t="shared" si="41"/>
        <v>14.477076190476192</v>
      </c>
      <c r="R279" s="431">
        <f t="shared" si="43"/>
        <v>0.516359181843565</v>
      </c>
      <c r="S279" s="468">
        <v>5</v>
      </c>
      <c r="T279" s="127"/>
      <c r="U279" s="127"/>
      <c r="V279" s="127"/>
      <c r="W279" s="127"/>
      <c r="X279" s="127"/>
      <c r="Y279" s="127"/>
    </row>
    <row r="280" spans="1:25" s="6" customFormat="1" ht="13.5" customHeight="1">
      <c r="A280" s="268">
        <v>189</v>
      </c>
      <c r="B280" s="122" t="s">
        <v>1232</v>
      </c>
      <c r="C280" s="330">
        <v>709.28</v>
      </c>
      <c r="D280" s="801"/>
      <c r="E280" s="801">
        <v>22.5</v>
      </c>
      <c r="F280" s="146">
        <v>723.38</v>
      </c>
      <c r="G280" s="628">
        <f t="shared" si="40"/>
        <v>731.78</v>
      </c>
      <c r="H280" s="824"/>
      <c r="I280" s="824"/>
      <c r="J280" s="411"/>
      <c r="K280" s="400">
        <f t="shared" si="38"/>
        <v>0</v>
      </c>
      <c r="L280" s="593">
        <f t="shared" si="44"/>
        <v>0</v>
      </c>
      <c r="M280" s="177">
        <f t="shared" si="39"/>
        <v>0</v>
      </c>
      <c r="N280" s="446">
        <f t="shared" si="45"/>
        <v>0</v>
      </c>
      <c r="O280" s="427">
        <v>0</v>
      </c>
      <c r="P280" s="177">
        <f t="shared" si="42"/>
        <v>0</v>
      </c>
      <c r="Q280" s="177">
        <f t="shared" si="41"/>
        <v>0</v>
      </c>
      <c r="R280" s="431">
        <f t="shared" si="43"/>
        <v>0</v>
      </c>
      <c r="S280" s="468">
        <v>2</v>
      </c>
      <c r="T280" s="127"/>
      <c r="U280" s="127"/>
      <c r="V280" s="127"/>
      <c r="W280" s="127"/>
      <c r="X280" s="127"/>
      <c r="Y280" s="127"/>
    </row>
    <row r="281" spans="1:25" s="6" customFormat="1" ht="13.5" customHeight="1">
      <c r="A281" s="275">
        <v>190</v>
      </c>
      <c r="B281" s="122" t="s">
        <v>1233</v>
      </c>
      <c r="C281" s="330">
        <v>185.4</v>
      </c>
      <c r="D281" s="801"/>
      <c r="E281" s="801"/>
      <c r="F281" s="146">
        <v>185.4</v>
      </c>
      <c r="G281" s="628">
        <f t="shared" si="40"/>
        <v>185.4</v>
      </c>
      <c r="H281" s="824"/>
      <c r="I281" s="824"/>
      <c r="J281" s="411"/>
      <c r="K281" s="400">
        <f t="shared" si="38"/>
        <v>0</v>
      </c>
      <c r="L281" s="593">
        <f t="shared" si="44"/>
        <v>0</v>
      </c>
      <c r="M281" s="177">
        <f t="shared" si="39"/>
        <v>0</v>
      </c>
      <c r="N281" s="446">
        <f t="shared" si="45"/>
        <v>0</v>
      </c>
      <c r="O281" s="427">
        <v>0</v>
      </c>
      <c r="P281" s="177">
        <f t="shared" si="42"/>
        <v>0</v>
      </c>
      <c r="Q281" s="177">
        <f t="shared" si="41"/>
        <v>0</v>
      </c>
      <c r="R281" s="431">
        <f t="shared" si="43"/>
        <v>0</v>
      </c>
      <c r="S281" s="468">
        <v>2</v>
      </c>
      <c r="T281" s="127"/>
      <c r="U281" s="127"/>
      <c r="V281" s="127"/>
      <c r="W281" s="127"/>
      <c r="X281" s="127"/>
      <c r="Y281" s="127"/>
    </row>
    <row r="282" spans="1:25" s="6" customFormat="1" ht="13.5" customHeight="1">
      <c r="A282" s="268">
        <v>191</v>
      </c>
      <c r="B282" s="122" t="s">
        <v>1234</v>
      </c>
      <c r="C282" s="330">
        <v>478.6</v>
      </c>
      <c r="D282" s="801"/>
      <c r="E282" s="801"/>
      <c r="F282" s="146">
        <v>478.6</v>
      </c>
      <c r="G282" s="628">
        <f t="shared" si="40"/>
        <v>478.6</v>
      </c>
      <c r="H282" s="824"/>
      <c r="I282" s="824">
        <v>77</v>
      </c>
      <c r="J282" s="411"/>
      <c r="K282" s="400">
        <f t="shared" ref="K282:K345" si="46">H282+I282</f>
        <v>77</v>
      </c>
      <c r="L282" s="593">
        <f t="shared" si="44"/>
        <v>0.10185185185185185</v>
      </c>
      <c r="M282" s="177">
        <f t="shared" si="39"/>
        <v>205.43620370370368</v>
      </c>
      <c r="N282" s="446">
        <f t="shared" si="45"/>
        <v>75.538892101851843</v>
      </c>
      <c r="O282" s="427">
        <v>79.357870370370364</v>
      </c>
      <c r="P282" s="177">
        <f t="shared" si="42"/>
        <v>5.0803703703703702</v>
      </c>
      <c r="Q282" s="177">
        <f t="shared" si="41"/>
        <v>6.1929714814814814</v>
      </c>
      <c r="R282" s="431">
        <f t="shared" si="43"/>
        <v>0.76350467310132941</v>
      </c>
      <c r="S282" s="468">
        <v>3</v>
      </c>
      <c r="T282" s="127"/>
      <c r="U282" s="127"/>
      <c r="V282" s="127"/>
      <c r="W282" s="127"/>
      <c r="X282" s="127"/>
      <c r="Y282" s="127"/>
    </row>
    <row r="283" spans="1:25" s="6" customFormat="1" ht="13.5" customHeight="1">
      <c r="A283" s="268">
        <v>192</v>
      </c>
      <c r="B283" s="122" t="s">
        <v>1235</v>
      </c>
      <c r="C283" s="330">
        <v>496.38</v>
      </c>
      <c r="D283" s="801"/>
      <c r="E283" s="801"/>
      <c r="F283" s="146">
        <v>496.38</v>
      </c>
      <c r="G283" s="628">
        <f t="shared" si="40"/>
        <v>496.38</v>
      </c>
      <c r="H283" s="826"/>
      <c r="I283" s="826">
        <v>80</v>
      </c>
      <c r="J283" s="411"/>
      <c r="K283" s="400">
        <f t="shared" si="46"/>
        <v>80</v>
      </c>
      <c r="L283" s="593">
        <f t="shared" si="44"/>
        <v>0.10582010582010581</v>
      </c>
      <c r="M283" s="177">
        <f t="shared" si="39"/>
        <v>213.44021164021163</v>
      </c>
      <c r="N283" s="446">
        <f t="shared" si="45"/>
        <v>78.481965820105827</v>
      </c>
      <c r="O283" s="427">
        <v>82.449735449735442</v>
      </c>
      <c r="P283" s="177">
        <f t="shared" si="42"/>
        <v>5.2783068783068785</v>
      </c>
      <c r="Q283" s="177">
        <f t="shared" si="41"/>
        <v>6.4342560846560852</v>
      </c>
      <c r="R283" s="431">
        <f t="shared" si="43"/>
        <v>0.76483786572456547</v>
      </c>
      <c r="S283" s="468">
        <v>3</v>
      </c>
      <c r="T283" s="127"/>
      <c r="U283" s="127"/>
      <c r="V283" s="127"/>
      <c r="W283" s="127"/>
      <c r="X283" s="127"/>
      <c r="Y283" s="127"/>
    </row>
    <row r="284" spans="1:25" s="6" customFormat="1" ht="13.5" customHeight="1">
      <c r="A284" s="268">
        <v>193</v>
      </c>
      <c r="B284" s="122" t="s">
        <v>1236</v>
      </c>
      <c r="C284" s="330">
        <v>182.3</v>
      </c>
      <c r="D284" s="801"/>
      <c r="E284" s="801">
        <v>78.5</v>
      </c>
      <c r="F284" s="146">
        <v>238.8</v>
      </c>
      <c r="G284" s="628">
        <f t="shared" si="40"/>
        <v>260.8</v>
      </c>
      <c r="H284" s="826"/>
      <c r="I284" s="826"/>
      <c r="J284" s="411"/>
      <c r="K284" s="400">
        <f t="shared" si="46"/>
        <v>0</v>
      </c>
      <c r="L284" s="593">
        <f t="shared" si="44"/>
        <v>0</v>
      </c>
      <c r="M284" s="177">
        <f t="shared" ref="M284:M347" si="47">L284*2017.01</f>
        <v>0</v>
      </c>
      <c r="N284" s="446">
        <f t="shared" si="45"/>
        <v>0</v>
      </c>
      <c r="O284" s="427">
        <v>0</v>
      </c>
      <c r="P284" s="177">
        <f t="shared" si="42"/>
        <v>0</v>
      </c>
      <c r="Q284" s="177">
        <f t="shared" si="41"/>
        <v>0</v>
      </c>
      <c r="R284" s="431">
        <f t="shared" si="43"/>
        <v>0</v>
      </c>
      <c r="S284" s="468">
        <v>2</v>
      </c>
      <c r="T284" s="127"/>
      <c r="U284" s="127"/>
      <c r="V284" s="127"/>
      <c r="W284" s="127"/>
      <c r="X284" s="127"/>
      <c r="Y284" s="127"/>
    </row>
    <row r="285" spans="1:25" s="6" customFormat="1" ht="13.5" customHeight="1">
      <c r="A285" s="268">
        <v>194</v>
      </c>
      <c r="B285" s="122" t="s">
        <v>1237</v>
      </c>
      <c r="C285" s="330">
        <v>282.8</v>
      </c>
      <c r="D285" s="801"/>
      <c r="E285" s="801"/>
      <c r="F285" s="146">
        <v>282.8</v>
      </c>
      <c r="G285" s="628">
        <f t="shared" ref="G285:G348" si="48">C285+D285+E285</f>
        <v>282.8</v>
      </c>
      <c r="H285" s="826"/>
      <c r="I285" s="826"/>
      <c r="J285" s="411"/>
      <c r="K285" s="400">
        <f t="shared" si="46"/>
        <v>0</v>
      </c>
      <c r="L285" s="593">
        <f t="shared" si="44"/>
        <v>0</v>
      </c>
      <c r="M285" s="177">
        <f t="shared" si="47"/>
        <v>0</v>
      </c>
      <c r="N285" s="446">
        <f t="shared" si="45"/>
        <v>0</v>
      </c>
      <c r="O285" s="427">
        <v>0</v>
      </c>
      <c r="P285" s="177">
        <f t="shared" si="42"/>
        <v>0</v>
      </c>
      <c r="Q285" s="177">
        <f t="shared" ref="Q285:Q348" si="49">P285*1.219</f>
        <v>0</v>
      </c>
      <c r="R285" s="431">
        <f t="shared" si="43"/>
        <v>0</v>
      </c>
      <c r="S285" s="468">
        <v>2</v>
      </c>
      <c r="T285" s="127"/>
      <c r="U285" s="127"/>
      <c r="V285" s="127"/>
      <c r="W285" s="127"/>
      <c r="X285" s="127"/>
      <c r="Y285" s="127"/>
    </row>
    <row r="286" spans="1:25" s="6" customFormat="1" ht="13.5" customHeight="1">
      <c r="A286" s="268">
        <v>195</v>
      </c>
      <c r="B286" s="122" t="s">
        <v>1238</v>
      </c>
      <c r="C286" s="330">
        <v>227.3</v>
      </c>
      <c r="D286" s="801"/>
      <c r="E286" s="801"/>
      <c r="F286" s="146">
        <v>227.3</v>
      </c>
      <c r="G286" s="628">
        <f t="shared" si="48"/>
        <v>227.3</v>
      </c>
      <c r="H286" s="826"/>
      <c r="I286" s="826"/>
      <c r="J286" s="411"/>
      <c r="K286" s="400">
        <f t="shared" si="46"/>
        <v>0</v>
      </c>
      <c r="L286" s="593">
        <f t="shared" si="44"/>
        <v>0</v>
      </c>
      <c r="M286" s="177">
        <f t="shared" si="47"/>
        <v>0</v>
      </c>
      <c r="N286" s="446">
        <f t="shared" si="45"/>
        <v>0</v>
      </c>
      <c r="O286" s="427">
        <v>0</v>
      </c>
      <c r="P286" s="177">
        <f t="shared" si="42"/>
        <v>0</v>
      </c>
      <c r="Q286" s="177">
        <f t="shared" si="49"/>
        <v>0</v>
      </c>
      <c r="R286" s="431">
        <f t="shared" si="43"/>
        <v>0</v>
      </c>
      <c r="S286" s="468">
        <v>2</v>
      </c>
      <c r="T286" s="127"/>
      <c r="U286" s="127"/>
      <c r="V286" s="127"/>
      <c r="W286" s="127"/>
      <c r="X286" s="127"/>
      <c r="Y286" s="127"/>
    </row>
    <row r="287" spans="1:25" s="6" customFormat="1" ht="13.5" customHeight="1">
      <c r="A287" s="268">
        <v>196</v>
      </c>
      <c r="B287" s="122" t="s">
        <v>1239</v>
      </c>
      <c r="C287" s="330">
        <v>7849.73</v>
      </c>
      <c r="D287" s="801"/>
      <c r="E287" s="801"/>
      <c r="F287" s="146">
        <v>7849.73</v>
      </c>
      <c r="G287" s="628">
        <f t="shared" si="48"/>
        <v>7849.73</v>
      </c>
      <c r="H287" s="826">
        <v>997</v>
      </c>
      <c r="I287" s="826"/>
      <c r="J287" s="411"/>
      <c r="K287" s="400">
        <f t="shared" si="46"/>
        <v>997</v>
      </c>
      <c r="L287" s="593">
        <f t="shared" si="44"/>
        <v>1.1869047619047619</v>
      </c>
      <c r="M287" s="177">
        <f t="shared" si="47"/>
        <v>2393.9987738095238</v>
      </c>
      <c r="N287" s="446">
        <f t="shared" si="45"/>
        <v>880.27334912976198</v>
      </c>
      <c r="O287" s="427">
        <v>924.77684523809523</v>
      </c>
      <c r="P287" s="177">
        <f t="shared" si="42"/>
        <v>59.202809523809528</v>
      </c>
      <c r="Q287" s="177">
        <f t="shared" si="49"/>
        <v>72.168224809523821</v>
      </c>
      <c r="R287" s="431">
        <f t="shared" si="43"/>
        <v>0.54247111400025094</v>
      </c>
      <c r="S287" s="468">
        <v>4</v>
      </c>
      <c r="T287" s="127"/>
      <c r="U287" s="127"/>
      <c r="V287" s="127"/>
      <c r="W287" s="127"/>
      <c r="X287" s="127"/>
      <c r="Y287" s="127"/>
    </row>
    <row r="288" spans="1:25" s="6" customFormat="1" ht="13.5" customHeight="1">
      <c r="A288" s="275">
        <v>197</v>
      </c>
      <c r="B288" s="122" t="s">
        <v>1240</v>
      </c>
      <c r="C288" s="330">
        <v>388.5</v>
      </c>
      <c r="D288" s="801">
        <v>24.1</v>
      </c>
      <c r="E288" s="801">
        <v>41.6</v>
      </c>
      <c r="F288" s="146">
        <v>539.6</v>
      </c>
      <c r="G288" s="628">
        <f t="shared" si="48"/>
        <v>454.20000000000005</v>
      </c>
      <c r="H288" s="826"/>
      <c r="I288" s="826"/>
      <c r="J288" s="411"/>
      <c r="K288" s="400">
        <f t="shared" si="46"/>
        <v>0</v>
      </c>
      <c r="L288" s="593">
        <f t="shared" si="44"/>
        <v>0</v>
      </c>
      <c r="M288" s="177">
        <f t="shared" si="47"/>
        <v>0</v>
      </c>
      <c r="N288" s="446">
        <f t="shared" si="45"/>
        <v>0</v>
      </c>
      <c r="O288" s="427">
        <v>0</v>
      </c>
      <c r="P288" s="177">
        <f t="shared" si="42"/>
        <v>0</v>
      </c>
      <c r="Q288" s="177">
        <f t="shared" si="49"/>
        <v>0</v>
      </c>
      <c r="R288" s="431">
        <f t="shared" si="43"/>
        <v>0</v>
      </c>
      <c r="S288" s="468">
        <v>2</v>
      </c>
      <c r="T288" s="127"/>
      <c r="U288" s="127"/>
      <c r="V288" s="127"/>
      <c r="W288" s="127"/>
      <c r="X288" s="127"/>
      <c r="Y288" s="127"/>
    </row>
    <row r="289" spans="1:25" s="6" customFormat="1" ht="13.5" customHeight="1">
      <c r="A289" s="268">
        <v>198</v>
      </c>
      <c r="B289" s="122" t="s">
        <v>1241</v>
      </c>
      <c r="C289" s="330">
        <v>380</v>
      </c>
      <c r="D289" s="801">
        <v>28.6</v>
      </c>
      <c r="E289" s="801">
        <v>85.3</v>
      </c>
      <c r="F289" s="146">
        <v>527.4</v>
      </c>
      <c r="G289" s="628">
        <f t="shared" si="48"/>
        <v>493.90000000000003</v>
      </c>
      <c r="H289" s="826"/>
      <c r="I289" s="826">
        <v>84</v>
      </c>
      <c r="J289" s="411"/>
      <c r="K289" s="400">
        <f t="shared" si="46"/>
        <v>84</v>
      </c>
      <c r="L289" s="593">
        <f t="shared" si="44"/>
        <v>0.1111111111111111</v>
      </c>
      <c r="M289" s="177">
        <f t="shared" si="47"/>
        <v>224.11222222222221</v>
      </c>
      <c r="N289" s="446">
        <f t="shared" si="45"/>
        <v>82.406064111111121</v>
      </c>
      <c r="O289" s="427">
        <v>25.97166666666666</v>
      </c>
      <c r="P289" s="177">
        <f t="shared" si="42"/>
        <v>5.5422222222222226</v>
      </c>
      <c r="Q289" s="177">
        <f t="shared" si="49"/>
        <v>6.7559688888888898</v>
      </c>
      <c r="R289" s="431">
        <f t="shared" si="43"/>
        <v>0.88955835584795306</v>
      </c>
      <c r="S289" s="468">
        <v>3</v>
      </c>
      <c r="T289" s="127"/>
      <c r="U289" s="127"/>
      <c r="V289" s="127"/>
      <c r="W289" s="127"/>
      <c r="X289" s="127"/>
      <c r="Y289" s="127"/>
    </row>
    <row r="290" spans="1:25" s="6" customFormat="1" ht="13.5" customHeight="1">
      <c r="A290" s="268">
        <v>199</v>
      </c>
      <c r="B290" s="122" t="s">
        <v>1242</v>
      </c>
      <c r="C290" s="330">
        <v>580.32000000000005</v>
      </c>
      <c r="D290" s="801"/>
      <c r="E290" s="801">
        <v>118.5</v>
      </c>
      <c r="F290" s="146">
        <v>760.92</v>
      </c>
      <c r="G290" s="628">
        <f t="shared" si="48"/>
        <v>698.82</v>
      </c>
      <c r="H290" s="826"/>
      <c r="I290" s="826">
        <v>100</v>
      </c>
      <c r="J290" s="411"/>
      <c r="K290" s="400">
        <f t="shared" si="46"/>
        <v>100</v>
      </c>
      <c r="L290" s="593">
        <f t="shared" si="44"/>
        <v>0.13227513227513227</v>
      </c>
      <c r="M290" s="177">
        <f t="shared" si="47"/>
        <v>266.80026455026456</v>
      </c>
      <c r="N290" s="446">
        <f t="shared" si="45"/>
        <v>98.102457275132281</v>
      </c>
      <c r="O290" s="427">
        <v>103.0621693121693</v>
      </c>
      <c r="P290" s="177">
        <f t="shared" si="42"/>
        <v>6.5978835978835981</v>
      </c>
      <c r="Q290" s="177">
        <f t="shared" si="49"/>
        <v>8.0428201058201072</v>
      </c>
      <c r="R290" s="431">
        <f t="shared" si="43"/>
        <v>0.81776050237015729</v>
      </c>
      <c r="S290" s="468">
        <v>3</v>
      </c>
      <c r="T290" s="127"/>
      <c r="U290" s="127"/>
      <c r="V290" s="127"/>
      <c r="W290" s="127"/>
      <c r="X290" s="127"/>
      <c r="Y290" s="127"/>
    </row>
    <row r="291" spans="1:25" s="6" customFormat="1" ht="13.5" customHeight="1">
      <c r="A291" s="268">
        <v>200</v>
      </c>
      <c r="B291" s="122" t="s">
        <v>1243</v>
      </c>
      <c r="C291" s="330">
        <v>478.62</v>
      </c>
      <c r="D291" s="801">
        <v>27.8</v>
      </c>
      <c r="E291" s="801">
        <v>53.1</v>
      </c>
      <c r="F291" s="146">
        <v>478.62</v>
      </c>
      <c r="G291" s="628">
        <f t="shared" si="48"/>
        <v>559.52</v>
      </c>
      <c r="H291" s="826"/>
      <c r="I291" s="826">
        <v>80</v>
      </c>
      <c r="J291" s="411"/>
      <c r="K291" s="400">
        <f t="shared" si="46"/>
        <v>80</v>
      </c>
      <c r="L291" s="593">
        <f t="shared" si="44"/>
        <v>0.10582010582010581</v>
      </c>
      <c r="M291" s="177">
        <f t="shared" si="47"/>
        <v>213.44021164021163</v>
      </c>
      <c r="N291" s="446">
        <f t="shared" si="45"/>
        <v>78.481965820105827</v>
      </c>
      <c r="O291" s="427">
        <v>82.449735449735442</v>
      </c>
      <c r="P291" s="177">
        <f t="shared" si="42"/>
        <v>5.2783068783068785</v>
      </c>
      <c r="Q291" s="177">
        <f t="shared" si="49"/>
        <v>6.4342560846560852</v>
      </c>
      <c r="R291" s="431">
        <f t="shared" si="43"/>
        <v>0.79321846096769832</v>
      </c>
      <c r="S291" s="468">
        <v>3</v>
      </c>
      <c r="T291" s="127"/>
      <c r="U291" s="127"/>
      <c r="V291" s="127"/>
      <c r="W291" s="127"/>
      <c r="X291" s="127"/>
      <c r="Y291" s="127"/>
    </row>
    <row r="292" spans="1:25" s="6" customFormat="1" ht="13.5" customHeight="1">
      <c r="A292" s="268">
        <v>201</v>
      </c>
      <c r="B292" s="122" t="s">
        <v>1244</v>
      </c>
      <c r="C292" s="330">
        <v>781.2</v>
      </c>
      <c r="D292" s="801">
        <v>176.8</v>
      </c>
      <c r="E292" s="801"/>
      <c r="F292" s="146">
        <v>972.4</v>
      </c>
      <c r="G292" s="628">
        <f t="shared" si="48"/>
        <v>958</v>
      </c>
      <c r="H292" s="826">
        <v>50</v>
      </c>
      <c r="I292" s="826">
        <v>110</v>
      </c>
      <c r="J292" s="411"/>
      <c r="K292" s="400">
        <f t="shared" si="46"/>
        <v>160</v>
      </c>
      <c r="L292" s="593">
        <f t="shared" si="44"/>
        <v>0.205026455026455</v>
      </c>
      <c r="M292" s="177">
        <f t="shared" si="47"/>
        <v>413.54041005290998</v>
      </c>
      <c r="N292" s="446">
        <f t="shared" si="45"/>
        <v>152.05880877645501</v>
      </c>
      <c r="O292" s="427">
        <v>159.7463624338624</v>
      </c>
      <c r="P292" s="177">
        <f t="shared" si="42"/>
        <v>10.226719576719576</v>
      </c>
      <c r="Q292" s="177">
        <f t="shared" si="49"/>
        <v>12.466371164021163</v>
      </c>
      <c r="R292" s="431">
        <f t="shared" si="43"/>
        <v>0.94159280701478099</v>
      </c>
      <c r="S292" s="468">
        <v>3</v>
      </c>
      <c r="T292" s="127"/>
      <c r="U292" s="127"/>
      <c r="V292" s="127"/>
      <c r="W292" s="127"/>
      <c r="X292" s="127"/>
      <c r="Y292" s="127"/>
    </row>
    <row r="293" spans="1:25" s="6" customFormat="1" ht="13.5" customHeight="1">
      <c r="A293" s="268">
        <v>202</v>
      </c>
      <c r="B293" s="122" t="s">
        <v>1245</v>
      </c>
      <c r="C293" s="330">
        <v>676.2</v>
      </c>
      <c r="D293" s="801">
        <v>23.8</v>
      </c>
      <c r="E293" s="801"/>
      <c r="F293" s="146">
        <v>670.6</v>
      </c>
      <c r="G293" s="628">
        <f t="shared" si="48"/>
        <v>700</v>
      </c>
      <c r="H293" s="826"/>
      <c r="I293" s="826">
        <v>100</v>
      </c>
      <c r="J293" s="411"/>
      <c r="K293" s="400">
        <f t="shared" si="46"/>
        <v>100</v>
      </c>
      <c r="L293" s="593">
        <f t="shared" si="44"/>
        <v>0.13227513227513227</v>
      </c>
      <c r="M293" s="177">
        <f t="shared" si="47"/>
        <v>266.80026455026456</v>
      </c>
      <c r="N293" s="446">
        <f t="shared" si="45"/>
        <v>98.102457275132281</v>
      </c>
      <c r="O293" s="427">
        <v>103.0621693121693</v>
      </c>
      <c r="P293" s="177">
        <f t="shared" si="42"/>
        <v>6.5978835978835981</v>
      </c>
      <c r="Q293" s="177">
        <f t="shared" si="49"/>
        <v>8.0428201058201072</v>
      </c>
      <c r="R293" s="431">
        <f t="shared" si="43"/>
        <v>0.70180830336505429</v>
      </c>
      <c r="S293" s="468">
        <v>3</v>
      </c>
      <c r="T293" s="127"/>
      <c r="U293" s="127"/>
      <c r="V293" s="127"/>
      <c r="W293" s="127"/>
      <c r="X293" s="127"/>
      <c r="Y293" s="127"/>
    </row>
    <row r="294" spans="1:25" s="6" customFormat="1" ht="13.5" customHeight="1">
      <c r="A294" s="268">
        <v>203</v>
      </c>
      <c r="B294" s="122" t="s">
        <v>1246</v>
      </c>
      <c r="C294" s="330">
        <v>209.86</v>
      </c>
      <c r="D294" s="801"/>
      <c r="E294" s="801"/>
      <c r="F294" s="146">
        <v>209.86</v>
      </c>
      <c r="G294" s="628">
        <f t="shared" si="48"/>
        <v>209.86</v>
      </c>
      <c r="H294" s="826"/>
      <c r="I294" s="826"/>
      <c r="J294" s="411"/>
      <c r="K294" s="400">
        <f t="shared" si="46"/>
        <v>0</v>
      </c>
      <c r="L294" s="593">
        <f t="shared" si="44"/>
        <v>0</v>
      </c>
      <c r="M294" s="177">
        <f t="shared" si="47"/>
        <v>0</v>
      </c>
      <c r="N294" s="446">
        <f t="shared" si="45"/>
        <v>0</v>
      </c>
      <c r="O294" s="427">
        <v>0</v>
      </c>
      <c r="P294" s="177">
        <f t="shared" si="42"/>
        <v>0</v>
      </c>
      <c r="Q294" s="177">
        <f t="shared" si="49"/>
        <v>0</v>
      </c>
      <c r="R294" s="431">
        <f t="shared" si="43"/>
        <v>0</v>
      </c>
      <c r="S294" s="468">
        <v>2</v>
      </c>
      <c r="T294" s="127"/>
      <c r="U294" s="127"/>
      <c r="V294" s="127"/>
      <c r="W294" s="127"/>
      <c r="X294" s="127"/>
      <c r="Y294" s="127"/>
    </row>
    <row r="295" spans="1:25" s="6" customFormat="1" ht="13.5" customHeight="1">
      <c r="A295" s="275">
        <v>204</v>
      </c>
      <c r="B295" s="122" t="s">
        <v>1247</v>
      </c>
      <c r="C295" s="330">
        <v>577.53</v>
      </c>
      <c r="D295" s="801"/>
      <c r="E295" s="801"/>
      <c r="F295" s="146">
        <v>577.53</v>
      </c>
      <c r="G295" s="628">
        <f t="shared" si="48"/>
        <v>577.53</v>
      </c>
      <c r="H295" s="826"/>
      <c r="I295" s="826">
        <v>69</v>
      </c>
      <c r="J295" s="411"/>
      <c r="K295" s="400">
        <f t="shared" si="46"/>
        <v>69</v>
      </c>
      <c r="L295" s="593">
        <f t="shared" si="44"/>
        <v>9.1269841269841265E-2</v>
      </c>
      <c r="M295" s="177">
        <f t="shared" si="47"/>
        <v>184.09218253968254</v>
      </c>
      <c r="N295" s="446">
        <f t="shared" si="45"/>
        <v>67.69069551984127</v>
      </c>
      <c r="O295" s="427">
        <v>71.112896825396817</v>
      </c>
      <c r="P295" s="177">
        <f t="shared" si="42"/>
        <v>4.5525396825396829</v>
      </c>
      <c r="Q295" s="177">
        <f t="shared" si="49"/>
        <v>5.549545873015874</v>
      </c>
      <c r="R295" s="431">
        <f t="shared" si="43"/>
        <v>0.56698061497664254</v>
      </c>
      <c r="S295" s="468">
        <v>3</v>
      </c>
      <c r="T295" s="127"/>
      <c r="U295" s="127"/>
      <c r="V295" s="127"/>
      <c r="W295" s="127"/>
      <c r="X295" s="127"/>
      <c r="Y295" s="127"/>
    </row>
    <row r="296" spans="1:25" s="6" customFormat="1" ht="13.5" customHeight="1">
      <c r="A296" s="268">
        <v>205</v>
      </c>
      <c r="B296" s="122" t="s">
        <v>1248</v>
      </c>
      <c r="C296" s="330">
        <v>265.16000000000003</v>
      </c>
      <c r="D296" s="801"/>
      <c r="E296" s="801"/>
      <c r="F296" s="146">
        <v>265.16000000000003</v>
      </c>
      <c r="G296" s="628">
        <f t="shared" si="48"/>
        <v>265.16000000000003</v>
      </c>
      <c r="H296" s="826"/>
      <c r="I296" s="826">
        <v>34</v>
      </c>
      <c r="J296" s="411"/>
      <c r="K296" s="400">
        <f t="shared" si="46"/>
        <v>34</v>
      </c>
      <c r="L296" s="593">
        <f t="shared" si="44"/>
        <v>4.4973544973544971E-2</v>
      </c>
      <c r="M296" s="177">
        <f t="shared" si="47"/>
        <v>90.712089947089936</v>
      </c>
      <c r="N296" s="446">
        <f t="shared" si="45"/>
        <v>33.354835473544973</v>
      </c>
      <c r="O296" s="427">
        <v>35.041137566137564</v>
      </c>
      <c r="P296" s="177">
        <f t="shared" si="42"/>
        <v>2.2432804232804231</v>
      </c>
      <c r="Q296" s="177">
        <f t="shared" si="49"/>
        <v>2.7345588359788358</v>
      </c>
      <c r="R296" s="431">
        <f t="shared" si="43"/>
        <v>0.60850559439603591</v>
      </c>
      <c r="S296" s="468">
        <v>3</v>
      </c>
      <c r="T296" s="127"/>
      <c r="U296" s="127"/>
      <c r="V296" s="127"/>
      <c r="W296" s="127"/>
      <c r="X296" s="127"/>
      <c r="Y296" s="127"/>
    </row>
    <row r="297" spans="1:25" s="6" customFormat="1" ht="13.5" customHeight="1">
      <c r="A297" s="268">
        <v>206</v>
      </c>
      <c r="B297" s="122" t="s">
        <v>1249</v>
      </c>
      <c r="C297" s="330">
        <v>134.88</v>
      </c>
      <c r="D297" s="801"/>
      <c r="E297" s="801"/>
      <c r="F297" s="146">
        <v>134.88</v>
      </c>
      <c r="G297" s="628">
        <f t="shared" si="48"/>
        <v>134.88</v>
      </c>
      <c r="H297" s="826"/>
      <c r="I297" s="826"/>
      <c r="J297" s="411"/>
      <c r="K297" s="400">
        <f t="shared" si="46"/>
        <v>0</v>
      </c>
      <c r="L297" s="593">
        <f t="shared" si="44"/>
        <v>0</v>
      </c>
      <c r="M297" s="177">
        <f t="shared" si="47"/>
        <v>0</v>
      </c>
      <c r="N297" s="446">
        <f t="shared" si="45"/>
        <v>0</v>
      </c>
      <c r="O297" s="427">
        <v>0</v>
      </c>
      <c r="P297" s="177">
        <f t="shared" si="42"/>
        <v>0</v>
      </c>
      <c r="Q297" s="177">
        <f t="shared" si="49"/>
        <v>0</v>
      </c>
      <c r="R297" s="431">
        <f t="shared" si="43"/>
        <v>0</v>
      </c>
      <c r="S297" s="468">
        <v>2</v>
      </c>
      <c r="T297" s="127"/>
      <c r="U297" s="127"/>
      <c r="V297" s="127"/>
      <c r="W297" s="127"/>
      <c r="X297" s="127"/>
      <c r="Y297" s="127"/>
    </row>
    <row r="298" spans="1:25" s="6" customFormat="1" ht="13.5" customHeight="1">
      <c r="A298" s="268">
        <v>207</v>
      </c>
      <c r="B298" s="122" t="s">
        <v>1250</v>
      </c>
      <c r="C298" s="330">
        <v>383.74</v>
      </c>
      <c r="D298" s="801"/>
      <c r="E298" s="801">
        <v>43.6</v>
      </c>
      <c r="F298" s="146">
        <v>427.34</v>
      </c>
      <c r="G298" s="628">
        <f t="shared" si="48"/>
        <v>427.34000000000003</v>
      </c>
      <c r="H298" s="826"/>
      <c r="I298" s="826">
        <v>51</v>
      </c>
      <c r="J298" s="411"/>
      <c r="K298" s="400">
        <f t="shared" si="46"/>
        <v>51</v>
      </c>
      <c r="L298" s="593">
        <f t="shared" si="44"/>
        <v>6.7460317460317457E-2</v>
      </c>
      <c r="M298" s="177">
        <f t="shared" si="47"/>
        <v>136.06813492063492</v>
      </c>
      <c r="N298" s="446">
        <f t="shared" si="45"/>
        <v>50.032253210317464</v>
      </c>
      <c r="O298" s="427">
        <v>52.561706349206347</v>
      </c>
      <c r="P298" s="177">
        <f t="shared" si="42"/>
        <v>3.3649206349206349</v>
      </c>
      <c r="Q298" s="177">
        <f t="shared" si="49"/>
        <v>4.1018382539682543</v>
      </c>
      <c r="R298" s="431">
        <f t="shared" si="43"/>
        <v>0.63070572553051374</v>
      </c>
      <c r="S298" s="468">
        <v>3</v>
      </c>
      <c r="T298" s="127"/>
      <c r="U298" s="127"/>
      <c r="V298" s="127"/>
      <c r="W298" s="127"/>
      <c r="X298" s="127"/>
      <c r="Y298" s="127"/>
    </row>
    <row r="299" spans="1:25" s="6" customFormat="1" ht="13.5" customHeight="1">
      <c r="A299" s="268">
        <v>208</v>
      </c>
      <c r="B299" s="122" t="s">
        <v>1251</v>
      </c>
      <c r="C299" s="330">
        <v>569.4</v>
      </c>
      <c r="D299" s="801"/>
      <c r="E299" s="801">
        <v>33.6</v>
      </c>
      <c r="F299" s="146">
        <v>549</v>
      </c>
      <c r="G299" s="628">
        <f t="shared" si="48"/>
        <v>603</v>
      </c>
      <c r="H299" s="826"/>
      <c r="I299" s="826">
        <v>71</v>
      </c>
      <c r="J299" s="411"/>
      <c r="K299" s="400">
        <f t="shared" si="46"/>
        <v>71</v>
      </c>
      <c r="L299" s="593">
        <f t="shared" si="44"/>
        <v>9.391534391534391E-2</v>
      </c>
      <c r="M299" s="177">
        <f t="shared" si="47"/>
        <v>189.42818783068782</v>
      </c>
      <c r="N299" s="446">
        <f t="shared" si="45"/>
        <v>69.652744665343917</v>
      </c>
      <c r="O299" s="427">
        <v>73.174140211640207</v>
      </c>
      <c r="P299" s="177">
        <f t="shared" si="42"/>
        <v>4.6844973544973545</v>
      </c>
      <c r="Q299" s="177">
        <f t="shared" si="49"/>
        <v>5.7104022751322754</v>
      </c>
      <c r="R299" s="431">
        <f t="shared" si="43"/>
        <v>0.59174494215344098</v>
      </c>
      <c r="S299" s="468">
        <v>3</v>
      </c>
      <c r="T299" s="127"/>
      <c r="U299" s="127"/>
      <c r="V299" s="127"/>
      <c r="W299" s="127"/>
      <c r="X299" s="127"/>
      <c r="Y299" s="127"/>
    </row>
    <row r="300" spans="1:25" s="6" customFormat="1" ht="13.5" customHeight="1">
      <c r="A300" s="268">
        <v>209</v>
      </c>
      <c r="B300" s="122" t="s">
        <v>1252</v>
      </c>
      <c r="C300" s="330">
        <v>340.6</v>
      </c>
      <c r="D300" s="801">
        <v>35.1</v>
      </c>
      <c r="E300" s="801"/>
      <c r="F300" s="146">
        <v>375.7</v>
      </c>
      <c r="G300" s="628">
        <f t="shared" si="48"/>
        <v>375.70000000000005</v>
      </c>
      <c r="H300" s="826"/>
      <c r="I300" s="826">
        <v>47</v>
      </c>
      <c r="J300" s="411"/>
      <c r="K300" s="400">
        <f t="shared" si="46"/>
        <v>47</v>
      </c>
      <c r="L300" s="593">
        <f t="shared" si="44"/>
        <v>6.2169312169312166E-2</v>
      </c>
      <c r="M300" s="177">
        <f t="shared" si="47"/>
        <v>125.39612433862433</v>
      </c>
      <c r="N300" s="446">
        <f t="shared" si="45"/>
        <v>46.10815491931217</v>
      </c>
      <c r="O300" s="427">
        <v>48.439219576719573</v>
      </c>
      <c r="P300" s="177">
        <f t="shared" si="42"/>
        <v>3.1010052910052912</v>
      </c>
      <c r="Q300" s="177">
        <f t="shared" si="49"/>
        <v>3.7801254497354502</v>
      </c>
      <c r="R300" s="431">
        <f t="shared" si="43"/>
        <v>0.65485761634075557</v>
      </c>
      <c r="S300" s="468">
        <v>3</v>
      </c>
      <c r="T300" s="127"/>
      <c r="U300" s="127"/>
      <c r="V300" s="127"/>
      <c r="W300" s="127"/>
      <c r="X300" s="127"/>
      <c r="Y300" s="127"/>
    </row>
    <row r="301" spans="1:25" s="6" customFormat="1" ht="13.5" customHeight="1">
      <c r="A301" s="268">
        <v>210</v>
      </c>
      <c r="B301" s="122" t="s">
        <v>1253</v>
      </c>
      <c r="C301" s="330">
        <v>587.91999999999996</v>
      </c>
      <c r="D301" s="801"/>
      <c r="E301" s="801">
        <v>19.7</v>
      </c>
      <c r="F301" s="146">
        <v>587.91999999999996</v>
      </c>
      <c r="G301" s="628">
        <f t="shared" si="48"/>
        <v>607.62</v>
      </c>
      <c r="H301" s="826"/>
      <c r="I301" s="826">
        <v>85</v>
      </c>
      <c r="J301" s="411"/>
      <c r="K301" s="400">
        <f t="shared" si="46"/>
        <v>85</v>
      </c>
      <c r="L301" s="593">
        <f t="shared" si="44"/>
        <v>0.11243386243386243</v>
      </c>
      <c r="M301" s="177">
        <f t="shared" si="47"/>
        <v>226.78022486772485</v>
      </c>
      <c r="N301" s="446">
        <f t="shared" si="45"/>
        <v>83.38708868386243</v>
      </c>
      <c r="O301" s="427">
        <v>87.602843915343911</v>
      </c>
      <c r="P301" s="177">
        <f t="shared" si="42"/>
        <v>5.6082010582010584</v>
      </c>
      <c r="Q301" s="177">
        <f t="shared" si="49"/>
        <v>6.8363970899470905</v>
      </c>
      <c r="R301" s="431">
        <f t="shared" si="43"/>
        <v>0.68611096496994883</v>
      </c>
      <c r="S301" s="468">
        <v>3</v>
      </c>
      <c r="T301" s="127"/>
      <c r="U301" s="127"/>
      <c r="V301" s="127"/>
      <c r="W301" s="127"/>
      <c r="X301" s="127"/>
      <c r="Y301" s="127"/>
    </row>
    <row r="302" spans="1:25" s="6" customFormat="1" ht="13.5" customHeight="1">
      <c r="A302" s="275">
        <v>211</v>
      </c>
      <c r="B302" s="122" t="s">
        <v>1254</v>
      </c>
      <c r="C302" s="330">
        <v>368.22</v>
      </c>
      <c r="D302" s="801"/>
      <c r="E302" s="801">
        <v>32.1</v>
      </c>
      <c r="F302" s="146">
        <v>520.41999999999996</v>
      </c>
      <c r="G302" s="628">
        <f t="shared" si="48"/>
        <v>400.32000000000005</v>
      </c>
      <c r="H302" s="826"/>
      <c r="I302" s="826">
        <v>55</v>
      </c>
      <c r="J302" s="411"/>
      <c r="K302" s="400">
        <f t="shared" si="46"/>
        <v>55</v>
      </c>
      <c r="L302" s="593">
        <f t="shared" si="44"/>
        <v>7.2751322751322747E-2</v>
      </c>
      <c r="M302" s="177">
        <f t="shared" si="47"/>
        <v>146.7401455026455</v>
      </c>
      <c r="N302" s="446">
        <f t="shared" si="45"/>
        <v>53.956351501322757</v>
      </c>
      <c r="O302" s="427">
        <v>34.010515873015869</v>
      </c>
      <c r="P302" s="177">
        <f t="shared" si="42"/>
        <v>3.628835978835979</v>
      </c>
      <c r="Q302" s="177">
        <f t="shared" si="49"/>
        <v>4.4235510582010589</v>
      </c>
      <c r="R302" s="431">
        <f t="shared" si="43"/>
        <v>0.64726481140573588</v>
      </c>
      <c r="S302" s="468">
        <v>3</v>
      </c>
      <c r="T302" s="127"/>
      <c r="U302" s="127"/>
      <c r="V302" s="127"/>
      <c r="W302" s="127"/>
      <c r="X302" s="127"/>
      <c r="Y302" s="127"/>
    </row>
    <row r="303" spans="1:25" s="6" customFormat="1" ht="13.5" customHeight="1">
      <c r="A303" s="268">
        <v>212</v>
      </c>
      <c r="B303" s="122" t="s">
        <v>1255</v>
      </c>
      <c r="C303" s="330">
        <v>267.72000000000003</v>
      </c>
      <c r="D303" s="801"/>
      <c r="E303" s="801">
        <v>43.8</v>
      </c>
      <c r="F303" s="146">
        <v>311.52</v>
      </c>
      <c r="G303" s="628">
        <f t="shared" si="48"/>
        <v>311.52000000000004</v>
      </c>
      <c r="H303" s="826"/>
      <c r="I303" s="826">
        <v>55</v>
      </c>
      <c r="J303" s="411"/>
      <c r="K303" s="400">
        <f t="shared" si="46"/>
        <v>55</v>
      </c>
      <c r="L303" s="593">
        <f t="shared" si="44"/>
        <v>7.2751322751322747E-2</v>
      </c>
      <c r="M303" s="177">
        <f t="shared" si="47"/>
        <v>146.7401455026455</v>
      </c>
      <c r="N303" s="446">
        <f t="shared" si="45"/>
        <v>53.956351501322757</v>
      </c>
      <c r="O303" s="427">
        <v>45.347354497354502</v>
      </c>
      <c r="P303" s="177">
        <f t="shared" si="42"/>
        <v>3.628835978835979</v>
      </c>
      <c r="Q303" s="177">
        <f t="shared" si="49"/>
        <v>4.4235510582010589</v>
      </c>
      <c r="R303" s="431">
        <f t="shared" si="43"/>
        <v>0.93258885208485998</v>
      </c>
      <c r="S303" s="468">
        <v>3</v>
      </c>
      <c r="T303" s="127"/>
      <c r="U303" s="127"/>
      <c r="V303" s="127"/>
      <c r="W303" s="127"/>
      <c r="X303" s="127"/>
      <c r="Y303" s="127"/>
    </row>
    <row r="304" spans="1:25" s="6" customFormat="1" ht="13.5" customHeight="1">
      <c r="A304" s="268">
        <v>213</v>
      </c>
      <c r="B304" s="122" t="s">
        <v>1256</v>
      </c>
      <c r="C304" s="330">
        <v>410.1</v>
      </c>
      <c r="D304" s="801">
        <v>41.6</v>
      </c>
      <c r="E304" s="801"/>
      <c r="F304" s="146">
        <v>542.20000000000005</v>
      </c>
      <c r="G304" s="628">
        <f t="shared" si="48"/>
        <v>451.70000000000005</v>
      </c>
      <c r="H304" s="826"/>
      <c r="I304" s="826">
        <v>70</v>
      </c>
      <c r="J304" s="411"/>
      <c r="K304" s="400">
        <f t="shared" si="46"/>
        <v>70</v>
      </c>
      <c r="L304" s="593">
        <f t="shared" si="44"/>
        <v>9.2592592592592587E-2</v>
      </c>
      <c r="M304" s="177">
        <f t="shared" si="47"/>
        <v>186.76018518518518</v>
      </c>
      <c r="N304" s="446">
        <f t="shared" si="45"/>
        <v>68.671720092592594</v>
      </c>
      <c r="O304" s="427">
        <v>72.143518518518519</v>
      </c>
      <c r="P304" s="177">
        <f t="shared" si="42"/>
        <v>4.6185185185185187</v>
      </c>
      <c r="Q304" s="177">
        <f t="shared" si="49"/>
        <v>5.6299740740740747</v>
      </c>
      <c r="R304" s="431">
        <f t="shared" si="43"/>
        <v>0.81003155892420098</v>
      </c>
      <c r="S304" s="468">
        <v>3</v>
      </c>
      <c r="T304" s="127"/>
      <c r="U304" s="127"/>
      <c r="V304" s="127"/>
      <c r="W304" s="127"/>
      <c r="X304" s="127"/>
      <c r="Y304" s="127"/>
    </row>
    <row r="305" spans="1:25" s="6" customFormat="1" ht="13.5" customHeight="1">
      <c r="A305" s="268">
        <v>214</v>
      </c>
      <c r="B305" s="122" t="s">
        <v>1257</v>
      </c>
      <c r="C305" s="330">
        <v>468.6</v>
      </c>
      <c r="D305" s="801">
        <v>32.299999999999997</v>
      </c>
      <c r="E305" s="801">
        <v>28.8</v>
      </c>
      <c r="F305" s="146">
        <v>469.89</v>
      </c>
      <c r="G305" s="628">
        <f t="shared" si="48"/>
        <v>529.70000000000005</v>
      </c>
      <c r="H305" s="826"/>
      <c r="I305" s="826"/>
      <c r="J305" s="411"/>
      <c r="K305" s="400">
        <f t="shared" si="46"/>
        <v>0</v>
      </c>
      <c r="L305" s="593">
        <f t="shared" si="44"/>
        <v>0</v>
      </c>
      <c r="M305" s="177">
        <f t="shared" si="47"/>
        <v>0</v>
      </c>
      <c r="N305" s="446">
        <f t="shared" si="45"/>
        <v>0</v>
      </c>
      <c r="O305" s="427">
        <v>0</v>
      </c>
      <c r="P305" s="177">
        <f t="shared" si="42"/>
        <v>0</v>
      </c>
      <c r="Q305" s="177">
        <f t="shared" si="49"/>
        <v>0</v>
      </c>
      <c r="R305" s="431">
        <f t="shared" si="43"/>
        <v>0</v>
      </c>
      <c r="S305" s="468">
        <v>2</v>
      </c>
      <c r="T305" s="127"/>
      <c r="U305" s="127"/>
      <c r="V305" s="127"/>
      <c r="W305" s="127"/>
      <c r="X305" s="127"/>
      <c r="Y305" s="127"/>
    </row>
    <row r="306" spans="1:25" s="6" customFormat="1" ht="13.5" customHeight="1">
      <c r="A306" s="268">
        <v>215</v>
      </c>
      <c r="B306" s="122" t="s">
        <v>1258</v>
      </c>
      <c r="C306" s="330">
        <v>267.60000000000002</v>
      </c>
      <c r="D306" s="801"/>
      <c r="E306" s="801">
        <v>38.5</v>
      </c>
      <c r="F306" s="146">
        <v>296</v>
      </c>
      <c r="G306" s="628">
        <f t="shared" si="48"/>
        <v>306.10000000000002</v>
      </c>
      <c r="H306" s="826"/>
      <c r="I306" s="826"/>
      <c r="J306" s="411"/>
      <c r="K306" s="400">
        <f t="shared" si="46"/>
        <v>0</v>
      </c>
      <c r="L306" s="593">
        <f t="shared" si="44"/>
        <v>0</v>
      </c>
      <c r="M306" s="177">
        <f t="shared" si="47"/>
        <v>0</v>
      </c>
      <c r="N306" s="446">
        <f t="shared" si="45"/>
        <v>0</v>
      </c>
      <c r="O306" s="427">
        <v>0</v>
      </c>
      <c r="P306" s="177">
        <f t="shared" si="42"/>
        <v>0</v>
      </c>
      <c r="Q306" s="177">
        <f t="shared" si="49"/>
        <v>0</v>
      </c>
      <c r="R306" s="431">
        <f t="shared" si="43"/>
        <v>0</v>
      </c>
      <c r="S306" s="468">
        <v>2</v>
      </c>
      <c r="T306" s="127"/>
      <c r="U306" s="127"/>
      <c r="V306" s="127"/>
      <c r="W306" s="127"/>
      <c r="X306" s="127"/>
      <c r="Y306" s="127"/>
    </row>
    <row r="307" spans="1:25" s="6" customFormat="1" ht="13.5" customHeight="1">
      <c r="A307" s="268">
        <v>216</v>
      </c>
      <c r="B307" s="122" t="s">
        <v>1259</v>
      </c>
      <c r="C307" s="330">
        <v>551.6</v>
      </c>
      <c r="D307" s="801"/>
      <c r="E307" s="801"/>
      <c r="F307" s="146">
        <v>551.6</v>
      </c>
      <c r="G307" s="628">
        <f t="shared" si="48"/>
        <v>551.6</v>
      </c>
      <c r="H307" s="826"/>
      <c r="I307" s="826">
        <v>82</v>
      </c>
      <c r="J307" s="411"/>
      <c r="K307" s="400">
        <f t="shared" si="46"/>
        <v>82</v>
      </c>
      <c r="L307" s="593">
        <f t="shared" si="44"/>
        <v>0.10846560846560846</v>
      </c>
      <c r="M307" s="177">
        <f t="shared" si="47"/>
        <v>218.77621693121691</v>
      </c>
      <c r="N307" s="446">
        <f t="shared" si="45"/>
        <v>80.44401496560846</v>
      </c>
      <c r="O307" s="427">
        <v>84.510978835978833</v>
      </c>
      <c r="P307" s="177">
        <f t="shared" si="42"/>
        <v>5.4102645502645501</v>
      </c>
      <c r="Q307" s="177">
        <f t="shared" si="49"/>
        <v>6.5951124867724866</v>
      </c>
      <c r="R307" s="431">
        <f t="shared" si="43"/>
        <v>0.70547765642325733</v>
      </c>
      <c r="S307" s="468">
        <v>3</v>
      </c>
      <c r="T307" s="127"/>
      <c r="U307" s="127"/>
      <c r="V307" s="127"/>
      <c r="W307" s="127"/>
      <c r="X307" s="127"/>
      <c r="Y307" s="127"/>
    </row>
    <row r="308" spans="1:25" s="6" customFormat="1" ht="13.5" customHeight="1">
      <c r="A308" s="268">
        <v>217</v>
      </c>
      <c r="B308" s="122" t="s">
        <v>1260</v>
      </c>
      <c r="C308" s="330">
        <v>291.2</v>
      </c>
      <c r="D308" s="801"/>
      <c r="E308" s="801">
        <v>38</v>
      </c>
      <c r="F308" s="146">
        <v>291.2</v>
      </c>
      <c r="G308" s="628">
        <f t="shared" si="48"/>
        <v>329.2</v>
      </c>
      <c r="H308" s="826"/>
      <c r="I308" s="826">
        <v>50</v>
      </c>
      <c r="J308" s="411"/>
      <c r="K308" s="400">
        <f t="shared" si="46"/>
        <v>50</v>
      </c>
      <c r="L308" s="593">
        <f t="shared" si="44"/>
        <v>6.6137566137566134E-2</v>
      </c>
      <c r="M308" s="177">
        <f t="shared" si="47"/>
        <v>133.40013227513228</v>
      </c>
      <c r="N308" s="446">
        <f t="shared" si="45"/>
        <v>49.05122863756614</v>
      </c>
      <c r="O308" s="427">
        <v>51.531084656084651</v>
      </c>
      <c r="P308" s="177">
        <f t="shared" si="42"/>
        <v>3.2989417989417991</v>
      </c>
      <c r="Q308" s="177">
        <f t="shared" si="49"/>
        <v>4.0214100529100536</v>
      </c>
      <c r="R308" s="431">
        <f t="shared" si="43"/>
        <v>0.81483992914740688</v>
      </c>
      <c r="S308" s="468">
        <v>3</v>
      </c>
      <c r="T308" s="127"/>
      <c r="U308" s="127"/>
      <c r="V308" s="127"/>
      <c r="W308" s="127"/>
      <c r="X308" s="127"/>
      <c r="Y308" s="127"/>
    </row>
    <row r="309" spans="1:25" s="6" customFormat="1" ht="13.5" customHeight="1">
      <c r="A309" s="275">
        <v>218</v>
      </c>
      <c r="B309" s="122" t="s">
        <v>1261</v>
      </c>
      <c r="C309" s="330">
        <v>620.70000000000005</v>
      </c>
      <c r="D309" s="801">
        <v>10.7</v>
      </c>
      <c r="E309" s="801"/>
      <c r="F309" s="146">
        <v>668.4</v>
      </c>
      <c r="G309" s="628">
        <f t="shared" si="48"/>
        <v>631.40000000000009</v>
      </c>
      <c r="H309" s="826"/>
      <c r="I309" s="826">
        <v>125</v>
      </c>
      <c r="J309" s="411"/>
      <c r="K309" s="400">
        <f t="shared" si="46"/>
        <v>125</v>
      </c>
      <c r="L309" s="593">
        <f t="shared" si="44"/>
        <v>0.16534391534391535</v>
      </c>
      <c r="M309" s="177">
        <f t="shared" si="47"/>
        <v>333.50033068783068</v>
      </c>
      <c r="N309" s="446">
        <f t="shared" si="45"/>
        <v>122.62807159391535</v>
      </c>
      <c r="O309" s="427">
        <v>128.82771164021165</v>
      </c>
      <c r="P309" s="177">
        <f t="shared" si="42"/>
        <v>8.2473544973544985</v>
      </c>
      <c r="Q309" s="177">
        <f t="shared" si="49"/>
        <v>10.053525132275134</v>
      </c>
      <c r="R309" s="431">
        <f t="shared" si="43"/>
        <v>0.95570077077382343</v>
      </c>
      <c r="S309" s="468">
        <v>3</v>
      </c>
      <c r="T309" s="127"/>
      <c r="U309" s="127"/>
      <c r="V309" s="127"/>
      <c r="W309" s="127"/>
      <c r="X309" s="127"/>
      <c r="Y309" s="127"/>
    </row>
    <row r="310" spans="1:25" s="6" customFormat="1" ht="13.5" customHeight="1">
      <c r="A310" s="268">
        <v>219</v>
      </c>
      <c r="B310" s="122" t="s">
        <v>1262</v>
      </c>
      <c r="C310" s="330">
        <v>373.3</v>
      </c>
      <c r="D310" s="801"/>
      <c r="E310" s="801"/>
      <c r="F310" s="146">
        <v>390.8</v>
      </c>
      <c r="G310" s="628">
        <f t="shared" si="48"/>
        <v>373.3</v>
      </c>
      <c r="H310" s="826"/>
      <c r="I310" s="826">
        <v>50</v>
      </c>
      <c r="J310" s="411"/>
      <c r="K310" s="400">
        <f t="shared" si="46"/>
        <v>50</v>
      </c>
      <c r="L310" s="593">
        <f t="shared" si="44"/>
        <v>6.6137566137566134E-2</v>
      </c>
      <c r="M310" s="177">
        <f t="shared" si="47"/>
        <v>133.40013227513228</v>
      </c>
      <c r="N310" s="446">
        <f t="shared" si="45"/>
        <v>49.05122863756614</v>
      </c>
      <c r="O310" s="427">
        <v>51.531084656084651</v>
      </c>
      <c r="P310" s="177">
        <f t="shared" si="42"/>
        <v>3.2989417989417991</v>
      </c>
      <c r="Q310" s="177">
        <f t="shared" si="49"/>
        <v>4.0214100529100536</v>
      </c>
      <c r="R310" s="431">
        <f t="shared" si="43"/>
        <v>0.63563189758297578</v>
      </c>
      <c r="S310" s="468">
        <v>3</v>
      </c>
      <c r="T310" s="127"/>
      <c r="U310" s="127"/>
      <c r="V310" s="127"/>
      <c r="W310" s="127"/>
      <c r="X310" s="127"/>
      <c r="Y310" s="127"/>
    </row>
    <row r="311" spans="1:25" s="6" customFormat="1" ht="13.5" customHeight="1">
      <c r="A311" s="268">
        <v>220</v>
      </c>
      <c r="B311" s="122" t="s">
        <v>1263</v>
      </c>
      <c r="C311" s="330">
        <v>851.4</v>
      </c>
      <c r="D311" s="801"/>
      <c r="E311" s="801">
        <v>67</v>
      </c>
      <c r="F311" s="146">
        <v>912.4</v>
      </c>
      <c r="G311" s="628">
        <f t="shared" si="48"/>
        <v>918.4</v>
      </c>
      <c r="H311" s="826"/>
      <c r="I311" s="826">
        <v>100</v>
      </c>
      <c r="J311" s="411"/>
      <c r="K311" s="400">
        <f t="shared" si="46"/>
        <v>100</v>
      </c>
      <c r="L311" s="593">
        <f t="shared" si="44"/>
        <v>0.13227513227513227</v>
      </c>
      <c r="M311" s="177">
        <f t="shared" si="47"/>
        <v>266.80026455026456</v>
      </c>
      <c r="N311" s="446">
        <f t="shared" si="45"/>
        <v>98.102457275132281</v>
      </c>
      <c r="O311" s="427">
        <v>103.0621693121693</v>
      </c>
      <c r="P311" s="177">
        <f t="shared" si="42"/>
        <v>6.5978835978835981</v>
      </c>
      <c r="Q311" s="177">
        <f t="shared" si="49"/>
        <v>8.0428201058201072</v>
      </c>
      <c r="R311" s="431">
        <f t="shared" si="43"/>
        <v>0.55739109083327432</v>
      </c>
      <c r="S311" s="468">
        <v>3</v>
      </c>
      <c r="T311" s="127"/>
      <c r="U311" s="127"/>
      <c r="V311" s="127"/>
      <c r="W311" s="127"/>
      <c r="X311" s="127"/>
      <c r="Y311" s="127"/>
    </row>
    <row r="312" spans="1:25" s="6" customFormat="1" ht="13.5" customHeight="1">
      <c r="A312" s="268">
        <v>221</v>
      </c>
      <c r="B312" s="122" t="s">
        <v>1264</v>
      </c>
      <c r="C312" s="330">
        <v>756.6</v>
      </c>
      <c r="D312" s="801"/>
      <c r="E312" s="801">
        <v>22.2</v>
      </c>
      <c r="F312" s="146">
        <v>756.6</v>
      </c>
      <c r="G312" s="628">
        <f t="shared" si="48"/>
        <v>778.80000000000007</v>
      </c>
      <c r="H312" s="826"/>
      <c r="I312" s="826">
        <v>94</v>
      </c>
      <c r="J312" s="411"/>
      <c r="K312" s="400">
        <f t="shared" si="46"/>
        <v>94</v>
      </c>
      <c r="L312" s="593">
        <f t="shared" si="44"/>
        <v>0.12433862433862433</v>
      </c>
      <c r="M312" s="177">
        <f t="shared" si="47"/>
        <v>250.79224867724866</v>
      </c>
      <c r="N312" s="446">
        <f t="shared" si="45"/>
        <v>92.216309838624341</v>
      </c>
      <c r="O312" s="427">
        <v>96.878439153439146</v>
      </c>
      <c r="P312" s="177">
        <f t="shared" si="42"/>
        <v>6.2020105820105824</v>
      </c>
      <c r="Q312" s="177">
        <f t="shared" si="49"/>
        <v>7.5602508994709003</v>
      </c>
      <c r="R312" s="431">
        <f t="shared" si="43"/>
        <v>0.58959689168824048</v>
      </c>
      <c r="S312" s="468">
        <v>4</v>
      </c>
      <c r="T312" s="127"/>
      <c r="U312" s="127"/>
      <c r="V312" s="127"/>
      <c r="W312" s="127"/>
      <c r="X312" s="127"/>
      <c r="Y312" s="127"/>
    </row>
    <row r="313" spans="1:25" s="6" customFormat="1" ht="13.5" customHeight="1">
      <c r="A313" s="268">
        <v>222</v>
      </c>
      <c r="B313" s="122" t="s">
        <v>1265</v>
      </c>
      <c r="C313" s="330">
        <v>806.91</v>
      </c>
      <c r="D313" s="801"/>
      <c r="E313" s="801"/>
      <c r="F313" s="146">
        <v>806.79</v>
      </c>
      <c r="G313" s="628">
        <f t="shared" si="48"/>
        <v>806.91</v>
      </c>
      <c r="H313" s="826"/>
      <c r="I313" s="826">
        <v>111</v>
      </c>
      <c r="J313" s="411"/>
      <c r="K313" s="400">
        <f t="shared" si="46"/>
        <v>111</v>
      </c>
      <c r="L313" s="593">
        <f t="shared" si="44"/>
        <v>0.14682539682539683</v>
      </c>
      <c r="M313" s="177">
        <f t="shared" si="47"/>
        <v>296.14829365079368</v>
      </c>
      <c r="N313" s="446">
        <f t="shared" si="45"/>
        <v>108.89372757539684</v>
      </c>
      <c r="O313" s="427">
        <v>114.39900793650794</v>
      </c>
      <c r="P313" s="177">
        <f t="shared" si="42"/>
        <v>7.3236507936507946</v>
      </c>
      <c r="Q313" s="177">
        <f t="shared" si="49"/>
        <v>8.9275303174603184</v>
      </c>
      <c r="R313" s="431">
        <f t="shared" si="43"/>
        <v>0.65281714188242712</v>
      </c>
      <c r="S313" s="468">
        <v>4</v>
      </c>
      <c r="T313" s="127"/>
      <c r="U313" s="127"/>
      <c r="V313" s="127"/>
      <c r="W313" s="127"/>
      <c r="X313" s="127"/>
      <c r="Y313" s="127"/>
    </row>
    <row r="314" spans="1:25" s="6" customFormat="1" ht="13.5" customHeight="1">
      <c r="A314" s="268">
        <v>223</v>
      </c>
      <c r="B314" s="122" t="s">
        <v>1266</v>
      </c>
      <c r="C314" s="330">
        <v>751.2</v>
      </c>
      <c r="D314" s="801"/>
      <c r="E314" s="801">
        <v>53.8</v>
      </c>
      <c r="F314" s="146">
        <v>884.9</v>
      </c>
      <c r="G314" s="628">
        <f t="shared" si="48"/>
        <v>805</v>
      </c>
      <c r="H314" s="826"/>
      <c r="I314" s="826">
        <v>126</v>
      </c>
      <c r="J314" s="411"/>
      <c r="K314" s="400">
        <f t="shared" si="46"/>
        <v>126</v>
      </c>
      <c r="L314" s="593">
        <f t="shared" si="44"/>
        <v>0.16666666666666666</v>
      </c>
      <c r="M314" s="177">
        <f t="shared" si="47"/>
        <v>336.16833333333329</v>
      </c>
      <c r="N314" s="446">
        <f t="shared" si="45"/>
        <v>123.60909616666666</v>
      </c>
      <c r="O314" s="427">
        <v>129.85833333333332</v>
      </c>
      <c r="P314" s="177">
        <f t="shared" si="42"/>
        <v>8.3133333333333326</v>
      </c>
      <c r="Q314" s="177">
        <f t="shared" si="49"/>
        <v>10.133953333333332</v>
      </c>
      <c r="R314" s="431">
        <f t="shared" si="43"/>
        <v>0.7959918745562653</v>
      </c>
      <c r="S314" s="468">
        <v>4</v>
      </c>
      <c r="T314" s="127"/>
      <c r="U314" s="127"/>
      <c r="V314" s="127"/>
      <c r="W314" s="127"/>
      <c r="X314" s="127"/>
      <c r="Y314" s="127"/>
    </row>
    <row r="315" spans="1:25" s="6" customFormat="1" ht="13.5" customHeight="1">
      <c r="A315" s="268">
        <v>224</v>
      </c>
      <c r="B315" s="122" t="s">
        <v>1267</v>
      </c>
      <c r="C315" s="330">
        <v>426.8</v>
      </c>
      <c r="D315" s="801"/>
      <c r="E315" s="801">
        <v>65.099999999999994</v>
      </c>
      <c r="F315" s="146">
        <v>551.29999999999995</v>
      </c>
      <c r="G315" s="628">
        <f t="shared" si="48"/>
        <v>491.9</v>
      </c>
      <c r="H315" s="826">
        <v>17</v>
      </c>
      <c r="I315" s="826">
        <v>27</v>
      </c>
      <c r="J315" s="411"/>
      <c r="K315" s="400">
        <f t="shared" si="46"/>
        <v>44</v>
      </c>
      <c r="L315" s="593">
        <f t="shared" si="44"/>
        <v>5.5952380952380948E-2</v>
      </c>
      <c r="M315" s="177">
        <f t="shared" si="47"/>
        <v>112.8565119047619</v>
      </c>
      <c r="N315" s="446">
        <f t="shared" si="45"/>
        <v>41.497339427380957</v>
      </c>
      <c r="O315" s="427">
        <v>43.595297619047614</v>
      </c>
      <c r="P315" s="177">
        <f t="shared" si="42"/>
        <v>2.7909047619047618</v>
      </c>
      <c r="Q315" s="177">
        <f t="shared" si="49"/>
        <v>3.4021129047619048</v>
      </c>
      <c r="R315" s="431">
        <f t="shared" si="43"/>
        <v>0.47033752041493726</v>
      </c>
      <c r="S315" s="468">
        <v>3</v>
      </c>
      <c r="T315" s="127"/>
      <c r="U315" s="127"/>
      <c r="V315" s="127"/>
      <c r="W315" s="127"/>
      <c r="X315" s="127"/>
      <c r="Y315" s="127"/>
    </row>
    <row r="316" spans="1:25" s="6" customFormat="1" ht="13.5" customHeight="1">
      <c r="A316" s="275">
        <v>225</v>
      </c>
      <c r="B316" s="122" t="s">
        <v>1268</v>
      </c>
      <c r="C316" s="330">
        <v>640.20000000000005</v>
      </c>
      <c r="D316" s="801"/>
      <c r="E316" s="801"/>
      <c r="F316" s="146">
        <v>643.29999999999995</v>
      </c>
      <c r="G316" s="628">
        <f t="shared" si="48"/>
        <v>640.20000000000005</v>
      </c>
      <c r="H316" s="826">
        <v>22</v>
      </c>
      <c r="I316" s="826">
        <v>68</v>
      </c>
      <c r="J316" s="411"/>
      <c r="K316" s="400">
        <f t="shared" si="46"/>
        <v>90</v>
      </c>
      <c r="L316" s="593">
        <f t="shared" si="44"/>
        <v>0.11613756613756614</v>
      </c>
      <c r="M316" s="177">
        <f t="shared" si="47"/>
        <v>234.25063227513226</v>
      </c>
      <c r="N316" s="446">
        <f t="shared" si="45"/>
        <v>86.133957487566136</v>
      </c>
      <c r="O316" s="427">
        <v>90.488584656084655</v>
      </c>
      <c r="P316" s="177">
        <f t="shared" si="42"/>
        <v>5.7929417989417988</v>
      </c>
      <c r="Q316" s="177">
        <f t="shared" si="49"/>
        <v>7.061596052910053</v>
      </c>
      <c r="R316" s="431">
        <f t="shared" si="43"/>
        <v>0.65083741989647736</v>
      </c>
      <c r="S316" s="468">
        <v>3</v>
      </c>
      <c r="T316" s="127"/>
      <c r="U316" s="127"/>
      <c r="V316" s="127"/>
      <c r="W316" s="127"/>
      <c r="X316" s="127"/>
      <c r="Y316" s="127"/>
    </row>
    <row r="317" spans="1:25" s="6" customFormat="1" ht="13.5" customHeight="1">
      <c r="A317" s="268">
        <v>226</v>
      </c>
      <c r="B317" s="122" t="s">
        <v>1269</v>
      </c>
      <c r="C317" s="330">
        <v>537.94000000000005</v>
      </c>
      <c r="D317" s="801"/>
      <c r="E317" s="801"/>
      <c r="F317" s="146">
        <v>537.94000000000005</v>
      </c>
      <c r="G317" s="628">
        <f t="shared" si="48"/>
        <v>537.94000000000005</v>
      </c>
      <c r="H317" s="826">
        <v>63</v>
      </c>
      <c r="I317" s="826"/>
      <c r="J317" s="411"/>
      <c r="K317" s="400">
        <f t="shared" si="46"/>
        <v>63</v>
      </c>
      <c r="L317" s="593">
        <f t="shared" si="44"/>
        <v>7.4999999999999997E-2</v>
      </c>
      <c r="M317" s="177">
        <f t="shared" si="47"/>
        <v>151.27574999999999</v>
      </c>
      <c r="N317" s="446">
        <f t="shared" si="45"/>
        <v>55.624093275</v>
      </c>
      <c r="O317" s="427">
        <v>58.436250000000001</v>
      </c>
      <c r="P317" s="177">
        <f t="shared" si="42"/>
        <v>3.7410000000000001</v>
      </c>
      <c r="Q317" s="177">
        <f t="shared" si="49"/>
        <v>4.5602790000000004</v>
      </c>
      <c r="R317" s="431">
        <f t="shared" si="43"/>
        <v>0.50019908033423799</v>
      </c>
      <c r="S317" s="468">
        <v>4</v>
      </c>
      <c r="T317" s="127"/>
      <c r="U317" s="127"/>
      <c r="V317" s="127"/>
      <c r="W317" s="127"/>
      <c r="X317" s="127"/>
      <c r="Y317" s="127"/>
    </row>
    <row r="318" spans="1:25" s="6" customFormat="1" ht="13.5" customHeight="1">
      <c r="A318" s="268">
        <v>227</v>
      </c>
      <c r="B318" s="122" t="s">
        <v>1270</v>
      </c>
      <c r="C318" s="330">
        <v>905.4</v>
      </c>
      <c r="D318" s="801"/>
      <c r="E318" s="801">
        <v>24.5</v>
      </c>
      <c r="F318" s="146">
        <v>964.5</v>
      </c>
      <c r="G318" s="628">
        <f t="shared" si="48"/>
        <v>929.9</v>
      </c>
      <c r="H318" s="826">
        <v>130</v>
      </c>
      <c r="I318" s="826">
        <v>20</v>
      </c>
      <c r="J318" s="411"/>
      <c r="K318" s="400">
        <f t="shared" si="46"/>
        <v>150</v>
      </c>
      <c r="L318" s="593">
        <f t="shared" si="44"/>
        <v>0.18121693121693122</v>
      </c>
      <c r="M318" s="177">
        <f t="shared" si="47"/>
        <v>365.51636243386241</v>
      </c>
      <c r="N318" s="446">
        <f t="shared" si="45"/>
        <v>134.40036646693122</v>
      </c>
      <c r="O318" s="427">
        <v>141.19517195767196</v>
      </c>
      <c r="P318" s="177">
        <f t="shared" si="42"/>
        <v>9.03910052910053</v>
      </c>
      <c r="Q318" s="177">
        <f t="shared" si="49"/>
        <v>11.018663544973547</v>
      </c>
      <c r="R318" s="431">
        <f t="shared" si="43"/>
        <v>0.71808151246693852</v>
      </c>
      <c r="S318" s="468">
        <v>4</v>
      </c>
      <c r="T318" s="127"/>
      <c r="U318" s="127"/>
      <c r="V318" s="127"/>
      <c r="W318" s="127"/>
      <c r="X318" s="127"/>
      <c r="Y318" s="127"/>
    </row>
    <row r="319" spans="1:25" s="6" customFormat="1" ht="13.5" customHeight="1">
      <c r="A319" s="268">
        <v>228</v>
      </c>
      <c r="B319" s="122" t="s">
        <v>1271</v>
      </c>
      <c r="C319" s="330">
        <v>1352.86</v>
      </c>
      <c r="D319" s="801">
        <v>33</v>
      </c>
      <c r="E319" s="801">
        <v>31.5</v>
      </c>
      <c r="F319" s="146">
        <v>1418.5</v>
      </c>
      <c r="G319" s="628">
        <f t="shared" si="48"/>
        <v>1417.36</v>
      </c>
      <c r="H319" s="826">
        <v>143</v>
      </c>
      <c r="I319" s="826"/>
      <c r="J319" s="411"/>
      <c r="K319" s="400">
        <f t="shared" si="46"/>
        <v>143</v>
      </c>
      <c r="L319" s="593">
        <f t="shared" si="44"/>
        <v>0.17023809523809524</v>
      </c>
      <c r="M319" s="177">
        <f t="shared" si="47"/>
        <v>343.3719404761905</v>
      </c>
      <c r="N319" s="446">
        <f t="shared" si="45"/>
        <v>126.25786251309526</v>
      </c>
      <c r="O319" s="427">
        <v>132.64101190476191</v>
      </c>
      <c r="P319" s="177">
        <f t="shared" si="42"/>
        <v>8.4914761904761917</v>
      </c>
      <c r="Q319" s="177">
        <f t="shared" si="49"/>
        <v>10.351109476190478</v>
      </c>
      <c r="R319" s="431">
        <f t="shared" si="43"/>
        <v>0.45146008536324811</v>
      </c>
      <c r="S319" s="468">
        <v>5</v>
      </c>
      <c r="T319" s="127"/>
      <c r="U319" s="127"/>
      <c r="V319" s="127"/>
      <c r="W319" s="127"/>
      <c r="X319" s="127"/>
      <c r="Y319" s="127"/>
    </row>
    <row r="320" spans="1:25" s="6" customFormat="1" ht="13.5" customHeight="1">
      <c r="A320" s="268">
        <v>229</v>
      </c>
      <c r="B320" s="122" t="s">
        <v>1272</v>
      </c>
      <c r="C320" s="330">
        <v>725.18</v>
      </c>
      <c r="D320" s="801"/>
      <c r="E320" s="801">
        <v>60.8</v>
      </c>
      <c r="F320" s="146">
        <v>757.88</v>
      </c>
      <c r="G320" s="628">
        <f t="shared" si="48"/>
        <v>785.9799999999999</v>
      </c>
      <c r="H320" s="826">
        <v>35</v>
      </c>
      <c r="I320" s="826">
        <v>60</v>
      </c>
      <c r="J320" s="411"/>
      <c r="K320" s="400">
        <f t="shared" si="46"/>
        <v>95</v>
      </c>
      <c r="L320" s="593">
        <f t="shared" si="44"/>
        <v>0.12103174603174602</v>
      </c>
      <c r="M320" s="177">
        <f t="shared" si="47"/>
        <v>244.12224206349202</v>
      </c>
      <c r="N320" s="446">
        <f t="shared" si="45"/>
        <v>89.763748406746018</v>
      </c>
      <c r="O320" s="427">
        <v>94.301884920634905</v>
      </c>
      <c r="P320" s="177">
        <f t="shared" si="42"/>
        <v>6.037063492063492</v>
      </c>
      <c r="Q320" s="177">
        <f t="shared" si="49"/>
        <v>7.3591803968253977</v>
      </c>
      <c r="R320" s="431">
        <f t="shared" si="43"/>
        <v>0.59878228699486535</v>
      </c>
      <c r="S320" s="468">
        <v>3</v>
      </c>
      <c r="T320" s="127"/>
      <c r="U320" s="127"/>
      <c r="V320" s="127"/>
      <c r="W320" s="127"/>
      <c r="X320" s="127"/>
      <c r="Y320" s="127"/>
    </row>
    <row r="321" spans="1:25" s="6" customFormat="1" ht="13.5" customHeight="1">
      <c r="A321" s="268">
        <v>230</v>
      </c>
      <c r="B321" s="122" t="s">
        <v>1273</v>
      </c>
      <c r="C321" s="330">
        <v>426.28</v>
      </c>
      <c r="D321" s="801">
        <v>59.4</v>
      </c>
      <c r="E321" s="801"/>
      <c r="F321" s="146">
        <v>479.48</v>
      </c>
      <c r="G321" s="628">
        <f t="shared" si="48"/>
        <v>485.67999999999995</v>
      </c>
      <c r="H321" s="826"/>
      <c r="I321" s="826">
        <v>80</v>
      </c>
      <c r="J321" s="411"/>
      <c r="K321" s="400">
        <f t="shared" si="46"/>
        <v>80</v>
      </c>
      <c r="L321" s="593">
        <f t="shared" si="44"/>
        <v>0.10582010582010581</v>
      </c>
      <c r="M321" s="177">
        <f t="shared" si="47"/>
        <v>213.44021164021163</v>
      </c>
      <c r="N321" s="446">
        <f t="shared" si="45"/>
        <v>78.481965820105827</v>
      </c>
      <c r="O321" s="427">
        <v>82.449735449735442</v>
      </c>
      <c r="P321" s="177">
        <f t="shared" si="42"/>
        <v>5.2783068783068785</v>
      </c>
      <c r="Q321" s="177">
        <f t="shared" si="49"/>
        <v>6.4342560846560852</v>
      </c>
      <c r="R321" s="431">
        <f t="shared" si="43"/>
        <v>0.89061232004400814</v>
      </c>
      <c r="S321" s="468">
        <v>3</v>
      </c>
      <c r="T321" s="127"/>
      <c r="U321" s="127"/>
      <c r="V321" s="127"/>
      <c r="W321" s="127"/>
      <c r="X321" s="127"/>
      <c r="Y321" s="127"/>
    </row>
    <row r="322" spans="1:25" s="6" customFormat="1" ht="13.5" customHeight="1">
      <c r="A322" s="268">
        <v>231</v>
      </c>
      <c r="B322" s="122" t="s">
        <v>1274</v>
      </c>
      <c r="C322" s="330">
        <v>402.07</v>
      </c>
      <c r="D322" s="801">
        <v>59.1</v>
      </c>
      <c r="E322" s="801"/>
      <c r="F322" s="146">
        <v>461.17</v>
      </c>
      <c r="G322" s="628">
        <f t="shared" si="48"/>
        <v>461.17</v>
      </c>
      <c r="H322" s="826">
        <v>38</v>
      </c>
      <c r="I322" s="826">
        <v>19</v>
      </c>
      <c r="J322" s="411"/>
      <c r="K322" s="400">
        <f t="shared" si="46"/>
        <v>57</v>
      </c>
      <c r="L322" s="593">
        <f t="shared" si="44"/>
        <v>7.0370370370370361E-2</v>
      </c>
      <c r="M322" s="177">
        <f t="shared" si="47"/>
        <v>141.93774074074071</v>
      </c>
      <c r="N322" s="446">
        <f t="shared" si="45"/>
        <v>52.190507270370361</v>
      </c>
      <c r="O322" s="427">
        <v>54.829074074074065</v>
      </c>
      <c r="P322" s="177">
        <f t="shared" si="42"/>
        <v>3.5100740740740739</v>
      </c>
      <c r="Q322" s="177">
        <f t="shared" si="49"/>
        <v>4.2787802962962962</v>
      </c>
      <c r="R322" s="431">
        <f t="shared" si="43"/>
        <v>0.62791900952386204</v>
      </c>
      <c r="S322" s="468">
        <v>3</v>
      </c>
      <c r="T322" s="127"/>
      <c r="U322" s="127"/>
      <c r="V322" s="127"/>
      <c r="W322" s="127"/>
      <c r="X322" s="127"/>
      <c r="Y322" s="127"/>
    </row>
    <row r="323" spans="1:25" s="6" customFormat="1" ht="13.5" customHeight="1">
      <c r="A323" s="275">
        <v>232</v>
      </c>
      <c r="B323" s="122" t="s">
        <v>1275</v>
      </c>
      <c r="C323" s="330">
        <v>305.37</v>
      </c>
      <c r="D323" s="801"/>
      <c r="E323" s="801"/>
      <c r="F323" s="146">
        <v>305.37</v>
      </c>
      <c r="G323" s="628">
        <f t="shared" si="48"/>
        <v>305.37</v>
      </c>
      <c r="H323" s="826">
        <v>0</v>
      </c>
      <c r="I323" s="826"/>
      <c r="J323" s="411"/>
      <c r="K323" s="400">
        <f t="shared" si="46"/>
        <v>0</v>
      </c>
      <c r="L323" s="593">
        <f t="shared" si="44"/>
        <v>0</v>
      </c>
      <c r="M323" s="177">
        <f t="shared" si="47"/>
        <v>0</v>
      </c>
      <c r="N323" s="446">
        <f t="shared" si="45"/>
        <v>0</v>
      </c>
      <c r="O323" s="427">
        <v>0</v>
      </c>
      <c r="P323" s="177">
        <f t="shared" si="42"/>
        <v>0</v>
      </c>
      <c r="Q323" s="177">
        <f t="shared" si="49"/>
        <v>0</v>
      </c>
      <c r="R323" s="431">
        <f t="shared" si="43"/>
        <v>0</v>
      </c>
      <c r="S323" s="468">
        <v>1</v>
      </c>
      <c r="T323" s="127"/>
      <c r="U323" s="127"/>
      <c r="V323" s="127"/>
      <c r="W323" s="127"/>
      <c r="X323" s="127"/>
      <c r="Y323" s="127"/>
    </row>
    <row r="324" spans="1:25" s="6" customFormat="1" ht="13.5" customHeight="1">
      <c r="A324" s="268">
        <v>233</v>
      </c>
      <c r="B324" s="122" t="s">
        <v>1276</v>
      </c>
      <c r="C324" s="330">
        <v>170.8</v>
      </c>
      <c r="D324" s="801"/>
      <c r="E324" s="801"/>
      <c r="F324" s="146">
        <v>170.8</v>
      </c>
      <c r="G324" s="628">
        <f t="shared" si="48"/>
        <v>170.8</v>
      </c>
      <c r="H324" s="826"/>
      <c r="I324" s="826"/>
      <c r="J324" s="411"/>
      <c r="K324" s="400">
        <f t="shared" si="46"/>
        <v>0</v>
      </c>
      <c r="L324" s="593">
        <f t="shared" si="44"/>
        <v>0</v>
      </c>
      <c r="M324" s="177">
        <f t="shared" si="47"/>
        <v>0</v>
      </c>
      <c r="N324" s="446">
        <f t="shared" si="45"/>
        <v>0</v>
      </c>
      <c r="O324" s="427">
        <v>0</v>
      </c>
      <c r="P324" s="177">
        <f t="shared" si="42"/>
        <v>0</v>
      </c>
      <c r="Q324" s="177">
        <f t="shared" si="49"/>
        <v>0</v>
      </c>
      <c r="R324" s="431">
        <f t="shared" si="43"/>
        <v>0</v>
      </c>
      <c r="S324" s="468">
        <v>2</v>
      </c>
      <c r="T324" s="127"/>
      <c r="U324" s="127"/>
      <c r="V324" s="127"/>
      <c r="W324" s="127"/>
      <c r="X324" s="127"/>
      <c r="Y324" s="127"/>
    </row>
    <row r="325" spans="1:25" s="6" customFormat="1" ht="13.5" customHeight="1">
      <c r="A325" s="268">
        <v>234</v>
      </c>
      <c r="B325" s="122" t="s">
        <v>1277</v>
      </c>
      <c r="C325" s="330">
        <v>678.2</v>
      </c>
      <c r="D325" s="801"/>
      <c r="E325" s="801"/>
      <c r="F325" s="146">
        <v>678.2</v>
      </c>
      <c r="G325" s="628">
        <f t="shared" si="48"/>
        <v>678.2</v>
      </c>
      <c r="H325" s="826"/>
      <c r="I325" s="826">
        <v>84</v>
      </c>
      <c r="J325" s="411"/>
      <c r="K325" s="400">
        <f t="shared" si="46"/>
        <v>84</v>
      </c>
      <c r="L325" s="593">
        <f t="shared" si="44"/>
        <v>0.1111111111111111</v>
      </c>
      <c r="M325" s="177">
        <f t="shared" si="47"/>
        <v>224.11222222222221</v>
      </c>
      <c r="N325" s="446">
        <f t="shared" si="45"/>
        <v>82.406064111111121</v>
      </c>
      <c r="O325" s="427">
        <v>86.572222222222209</v>
      </c>
      <c r="P325" s="177">
        <f t="shared" si="42"/>
        <v>5.5422222222222226</v>
      </c>
      <c r="Q325" s="177">
        <f t="shared" si="49"/>
        <v>6.7559688888888898</v>
      </c>
      <c r="R325" s="431">
        <f t="shared" si="43"/>
        <v>0.58778049362692086</v>
      </c>
      <c r="S325" s="468">
        <v>3</v>
      </c>
      <c r="T325" s="127"/>
      <c r="U325" s="127"/>
      <c r="V325" s="127"/>
      <c r="W325" s="127"/>
      <c r="X325" s="127"/>
      <c r="Y325" s="127"/>
    </row>
    <row r="326" spans="1:25" s="6" customFormat="1" ht="13.5" customHeight="1">
      <c r="A326" s="268">
        <v>235</v>
      </c>
      <c r="B326" s="122" t="s">
        <v>1278</v>
      </c>
      <c r="C326" s="330">
        <v>2613.27</v>
      </c>
      <c r="D326" s="801"/>
      <c r="E326" s="801"/>
      <c r="F326" s="146">
        <v>2515.5700000000002</v>
      </c>
      <c r="G326" s="628">
        <f t="shared" si="48"/>
        <v>2613.27</v>
      </c>
      <c r="H326" s="826"/>
      <c r="I326" s="826">
        <v>233</v>
      </c>
      <c r="J326" s="411"/>
      <c r="K326" s="400">
        <f t="shared" si="46"/>
        <v>233</v>
      </c>
      <c r="L326" s="593">
        <f t="shared" si="44"/>
        <v>0.3082010582010582</v>
      </c>
      <c r="M326" s="177">
        <f t="shared" si="47"/>
        <v>621.64461640211641</v>
      </c>
      <c r="N326" s="446">
        <f t="shared" si="45"/>
        <v>228.57872545105823</v>
      </c>
      <c r="O326" s="427">
        <v>240.1348544973545</v>
      </c>
      <c r="P326" s="177">
        <f t="shared" ref="P326:P385" si="50">L326*49.88</f>
        <v>15.373068783068783</v>
      </c>
      <c r="Q326" s="177">
        <f t="shared" si="49"/>
        <v>18.739770846560848</v>
      </c>
      <c r="R326" s="431">
        <f t="shared" si="43"/>
        <v>0.42312170772005869</v>
      </c>
      <c r="S326" s="468">
        <v>4</v>
      </c>
      <c r="T326" s="127"/>
      <c r="U326" s="127"/>
      <c r="V326" s="127"/>
      <c r="W326" s="127"/>
      <c r="X326" s="127"/>
      <c r="Y326" s="127"/>
    </row>
    <row r="327" spans="1:25" s="6" customFormat="1" ht="13.5" customHeight="1">
      <c r="A327" s="268">
        <v>236</v>
      </c>
      <c r="B327" s="122" t="s">
        <v>1279</v>
      </c>
      <c r="C327" s="330">
        <v>2055.4499999999998</v>
      </c>
      <c r="D327" s="801"/>
      <c r="E327" s="801"/>
      <c r="F327" s="146">
        <v>2053.1999999999998</v>
      </c>
      <c r="G327" s="628">
        <f t="shared" si="48"/>
        <v>2055.4499999999998</v>
      </c>
      <c r="H327" s="826">
        <v>128</v>
      </c>
      <c r="I327" s="826"/>
      <c r="J327" s="411"/>
      <c r="K327" s="400">
        <f t="shared" si="46"/>
        <v>128</v>
      </c>
      <c r="L327" s="593">
        <f t="shared" si="44"/>
        <v>0.15238095238095239</v>
      </c>
      <c r="M327" s="177">
        <f t="shared" si="47"/>
        <v>307.3539047619048</v>
      </c>
      <c r="N327" s="446">
        <f t="shared" si="45"/>
        <v>113.01403078095241</v>
      </c>
      <c r="O327" s="427">
        <v>118.72761904761906</v>
      </c>
      <c r="P327" s="177">
        <f t="shared" si="50"/>
        <v>7.6007619047619057</v>
      </c>
      <c r="Q327" s="177">
        <f t="shared" si="49"/>
        <v>9.2653287619047635</v>
      </c>
      <c r="R327" s="431">
        <f t="shared" ref="R327:R390" si="51">(M327+N327+O327+P327)/C327</f>
        <v>0.26597402831265088</v>
      </c>
      <c r="S327" s="468">
        <v>4</v>
      </c>
      <c r="T327" s="127"/>
      <c r="U327" s="127"/>
      <c r="V327" s="127"/>
      <c r="W327" s="127"/>
      <c r="X327" s="127"/>
      <c r="Y327" s="127"/>
    </row>
    <row r="328" spans="1:25" s="6" customFormat="1" ht="13.5" customHeight="1">
      <c r="A328" s="268">
        <v>237</v>
      </c>
      <c r="B328" s="122" t="s">
        <v>1280</v>
      </c>
      <c r="C328" s="330">
        <v>3486.96</v>
      </c>
      <c r="D328" s="801"/>
      <c r="E328" s="801"/>
      <c r="F328" s="146">
        <v>3567.06</v>
      </c>
      <c r="G328" s="628">
        <f t="shared" si="48"/>
        <v>3486.96</v>
      </c>
      <c r="H328" s="826">
        <v>355</v>
      </c>
      <c r="I328" s="826"/>
      <c r="J328" s="411"/>
      <c r="K328" s="400">
        <f t="shared" si="46"/>
        <v>355</v>
      </c>
      <c r="L328" s="593">
        <f t="shared" si="44"/>
        <v>0.42261904761904762</v>
      </c>
      <c r="M328" s="177">
        <f t="shared" si="47"/>
        <v>852.42684523809521</v>
      </c>
      <c r="N328" s="446">
        <f t="shared" si="45"/>
        <v>313.43735099404762</v>
      </c>
      <c r="O328" s="427">
        <v>329.28363095238092</v>
      </c>
      <c r="P328" s="177">
        <f t="shared" si="50"/>
        <v>21.080238095238098</v>
      </c>
      <c r="Q328" s="177">
        <f t="shared" si="49"/>
        <v>25.696810238095242</v>
      </c>
      <c r="R328" s="431">
        <f t="shared" si="51"/>
        <v>0.43482806378041672</v>
      </c>
      <c r="S328" s="468">
        <v>5</v>
      </c>
      <c r="T328" s="127"/>
      <c r="U328" s="127"/>
      <c r="V328" s="127"/>
      <c r="W328" s="127"/>
      <c r="X328" s="127"/>
      <c r="Y328" s="127"/>
    </row>
    <row r="329" spans="1:25" s="6" customFormat="1" ht="13.5" customHeight="1">
      <c r="A329" s="268">
        <v>238</v>
      </c>
      <c r="B329" s="122" t="s">
        <v>1281</v>
      </c>
      <c r="C329" s="330">
        <v>394.94</v>
      </c>
      <c r="D329" s="801"/>
      <c r="E329" s="801"/>
      <c r="F329" s="146">
        <v>394.94</v>
      </c>
      <c r="G329" s="628">
        <f t="shared" si="48"/>
        <v>394.94</v>
      </c>
      <c r="H329" s="826"/>
      <c r="I329" s="826">
        <v>44</v>
      </c>
      <c r="J329" s="411"/>
      <c r="K329" s="400">
        <f t="shared" si="46"/>
        <v>44</v>
      </c>
      <c r="L329" s="593">
        <f t="shared" si="44"/>
        <v>5.8201058201058198E-2</v>
      </c>
      <c r="M329" s="177">
        <f t="shared" si="47"/>
        <v>117.3921164021164</v>
      </c>
      <c r="N329" s="446">
        <f t="shared" si="45"/>
        <v>43.1650812010582</v>
      </c>
      <c r="O329" s="427">
        <v>45.347354497354495</v>
      </c>
      <c r="P329" s="177">
        <f t="shared" si="50"/>
        <v>2.9030687830687829</v>
      </c>
      <c r="Q329" s="177">
        <f t="shared" si="49"/>
        <v>3.5388408465608467</v>
      </c>
      <c r="R329" s="431">
        <f t="shared" si="51"/>
        <v>0.52870719826707313</v>
      </c>
      <c r="S329" s="468">
        <v>3</v>
      </c>
      <c r="T329" s="127"/>
      <c r="U329" s="127"/>
      <c r="V329" s="127"/>
      <c r="W329" s="127"/>
      <c r="X329" s="127"/>
      <c r="Y329" s="127"/>
    </row>
    <row r="330" spans="1:25" s="6" customFormat="1" ht="13.5" customHeight="1">
      <c r="A330" s="275">
        <v>239</v>
      </c>
      <c r="B330" s="122" t="s">
        <v>1282</v>
      </c>
      <c r="C330" s="330">
        <v>333.47</v>
      </c>
      <c r="D330" s="801"/>
      <c r="E330" s="801">
        <v>18.2</v>
      </c>
      <c r="F330" s="146">
        <v>351.67</v>
      </c>
      <c r="G330" s="628">
        <f t="shared" si="48"/>
        <v>351.67</v>
      </c>
      <c r="H330" s="826"/>
      <c r="I330" s="826">
        <v>51</v>
      </c>
      <c r="J330" s="411"/>
      <c r="K330" s="400">
        <f t="shared" si="46"/>
        <v>51</v>
      </c>
      <c r="L330" s="593">
        <f t="shared" si="44"/>
        <v>6.7460317460317457E-2</v>
      </c>
      <c r="M330" s="177">
        <f t="shared" si="47"/>
        <v>136.06813492063492</v>
      </c>
      <c r="N330" s="446">
        <f t="shared" si="45"/>
        <v>50.032253210317464</v>
      </c>
      <c r="O330" s="427">
        <v>52.561706349206347</v>
      </c>
      <c r="P330" s="177">
        <f t="shared" si="50"/>
        <v>3.3649206349206349</v>
      </c>
      <c r="Q330" s="177">
        <f t="shared" si="49"/>
        <v>4.1018382539682543</v>
      </c>
      <c r="R330" s="431">
        <f t="shared" si="51"/>
        <v>0.72578347412084843</v>
      </c>
      <c r="S330" s="468">
        <v>3</v>
      </c>
      <c r="T330" s="127"/>
      <c r="U330" s="127"/>
      <c r="V330" s="127"/>
      <c r="W330" s="127"/>
      <c r="X330" s="127"/>
      <c r="Y330" s="127"/>
    </row>
    <row r="331" spans="1:25" s="6" customFormat="1" ht="13.5" customHeight="1">
      <c r="A331" s="268">
        <v>240</v>
      </c>
      <c r="B331" s="122" t="s">
        <v>1283</v>
      </c>
      <c r="C331" s="330">
        <v>615.6</v>
      </c>
      <c r="D331" s="801"/>
      <c r="E331" s="801"/>
      <c r="F331" s="146">
        <v>615.6</v>
      </c>
      <c r="G331" s="628">
        <f t="shared" si="48"/>
        <v>615.6</v>
      </c>
      <c r="H331" s="826"/>
      <c r="I331" s="826">
        <v>90</v>
      </c>
      <c r="J331" s="411"/>
      <c r="K331" s="400">
        <f t="shared" si="46"/>
        <v>90</v>
      </c>
      <c r="L331" s="593">
        <f t="shared" si="44"/>
        <v>0.11904761904761904</v>
      </c>
      <c r="M331" s="177">
        <f t="shared" si="47"/>
        <v>240.12023809523808</v>
      </c>
      <c r="N331" s="446">
        <f t="shared" si="45"/>
        <v>88.292211547619047</v>
      </c>
      <c r="O331" s="427">
        <v>92.75595238095238</v>
      </c>
      <c r="P331" s="177">
        <f t="shared" si="50"/>
        <v>5.9380952380952383</v>
      </c>
      <c r="Q331" s="177">
        <f t="shared" si="49"/>
        <v>7.2385380952380958</v>
      </c>
      <c r="R331" s="431">
        <f t="shared" si="51"/>
        <v>0.69380522622141771</v>
      </c>
      <c r="S331" s="468">
        <v>3</v>
      </c>
      <c r="T331" s="127"/>
      <c r="U331" s="127"/>
      <c r="V331" s="127"/>
      <c r="W331" s="127"/>
      <c r="X331" s="127"/>
      <c r="Y331" s="127"/>
    </row>
    <row r="332" spans="1:25" s="6" customFormat="1" ht="13.5" customHeight="1">
      <c r="A332" s="268">
        <v>241</v>
      </c>
      <c r="B332" s="122" t="s">
        <v>1284</v>
      </c>
      <c r="C332" s="330">
        <v>571.49</v>
      </c>
      <c r="D332" s="801"/>
      <c r="E332" s="801"/>
      <c r="F332" s="146">
        <v>571.49</v>
      </c>
      <c r="G332" s="628">
        <f t="shared" si="48"/>
        <v>571.49</v>
      </c>
      <c r="H332" s="826"/>
      <c r="I332" s="826">
        <v>90</v>
      </c>
      <c r="J332" s="411"/>
      <c r="K332" s="400">
        <f t="shared" si="46"/>
        <v>90</v>
      </c>
      <c r="L332" s="593">
        <f t="shared" si="44"/>
        <v>0.11904761904761904</v>
      </c>
      <c r="M332" s="177">
        <f t="shared" si="47"/>
        <v>240.12023809523808</v>
      </c>
      <c r="N332" s="446">
        <f t="shared" si="45"/>
        <v>88.292211547619047</v>
      </c>
      <c r="O332" s="427">
        <v>92.75595238095238</v>
      </c>
      <c r="P332" s="177">
        <f t="shared" si="50"/>
        <v>5.9380952380952383</v>
      </c>
      <c r="Q332" s="177">
        <f t="shared" si="49"/>
        <v>7.2385380952380958</v>
      </c>
      <c r="R332" s="431">
        <f t="shared" si="51"/>
        <v>0.7473560294351691</v>
      </c>
      <c r="S332" s="468">
        <v>3</v>
      </c>
      <c r="T332" s="127"/>
      <c r="U332" s="127"/>
      <c r="V332" s="127"/>
      <c r="W332" s="127"/>
      <c r="X332" s="127"/>
      <c r="Y332" s="127"/>
    </row>
    <row r="333" spans="1:25" s="6" customFormat="1" ht="13.5" customHeight="1">
      <c r="A333" s="268">
        <v>242</v>
      </c>
      <c r="B333" s="122" t="s">
        <v>1285</v>
      </c>
      <c r="C333" s="330">
        <v>316.76</v>
      </c>
      <c r="D333" s="801">
        <v>22.5</v>
      </c>
      <c r="E333" s="801"/>
      <c r="F333" s="146">
        <v>316.76</v>
      </c>
      <c r="G333" s="628">
        <f t="shared" si="48"/>
        <v>339.26</v>
      </c>
      <c r="H333" s="826"/>
      <c r="I333" s="826"/>
      <c r="J333" s="411"/>
      <c r="K333" s="400">
        <f t="shared" si="46"/>
        <v>0</v>
      </c>
      <c r="L333" s="593">
        <f t="shared" si="44"/>
        <v>0</v>
      </c>
      <c r="M333" s="177">
        <f t="shared" si="47"/>
        <v>0</v>
      </c>
      <c r="N333" s="446">
        <f t="shared" si="45"/>
        <v>0</v>
      </c>
      <c r="O333" s="427">
        <v>0</v>
      </c>
      <c r="P333" s="177">
        <f t="shared" si="50"/>
        <v>0</v>
      </c>
      <c r="Q333" s="177">
        <f t="shared" si="49"/>
        <v>0</v>
      </c>
      <c r="R333" s="431">
        <f t="shared" si="51"/>
        <v>0</v>
      </c>
      <c r="S333" s="468">
        <v>2</v>
      </c>
      <c r="T333" s="127"/>
      <c r="U333" s="127"/>
      <c r="V333" s="127"/>
      <c r="W333" s="127"/>
      <c r="X333" s="127"/>
      <c r="Y333" s="127"/>
    </row>
    <row r="334" spans="1:25" s="6" customFormat="1" ht="13.5" customHeight="1">
      <c r="A334" s="268">
        <v>243</v>
      </c>
      <c r="B334" s="122" t="s">
        <v>1286</v>
      </c>
      <c r="C334" s="330">
        <v>364.76</v>
      </c>
      <c r="D334" s="801"/>
      <c r="E334" s="801"/>
      <c r="F334" s="146">
        <v>364.76</v>
      </c>
      <c r="G334" s="628">
        <f t="shared" si="48"/>
        <v>364.76</v>
      </c>
      <c r="H334" s="826"/>
      <c r="I334" s="826">
        <v>42</v>
      </c>
      <c r="J334" s="411"/>
      <c r="K334" s="400">
        <f t="shared" si="46"/>
        <v>42</v>
      </c>
      <c r="L334" s="593">
        <f t="shared" si="44"/>
        <v>5.5555555555555552E-2</v>
      </c>
      <c r="M334" s="177">
        <f t="shared" si="47"/>
        <v>112.05611111111111</v>
      </c>
      <c r="N334" s="446">
        <f t="shared" si="45"/>
        <v>41.20303205555556</v>
      </c>
      <c r="O334" s="427">
        <v>43.286111111111104</v>
      </c>
      <c r="P334" s="177">
        <f t="shared" si="50"/>
        <v>2.7711111111111113</v>
      </c>
      <c r="Q334" s="177">
        <f t="shared" si="49"/>
        <v>3.3779844444444449</v>
      </c>
      <c r="R334" s="431">
        <f t="shared" si="51"/>
        <v>0.54643153138745715</v>
      </c>
      <c r="S334" s="468">
        <v>3</v>
      </c>
      <c r="T334" s="127"/>
      <c r="U334" s="127"/>
      <c r="V334" s="127"/>
      <c r="W334" s="127"/>
      <c r="X334" s="127"/>
      <c r="Y334" s="127"/>
    </row>
    <row r="335" spans="1:25" s="6" customFormat="1" ht="13.5" customHeight="1">
      <c r="A335" s="268">
        <v>244</v>
      </c>
      <c r="B335" s="122" t="s">
        <v>1287</v>
      </c>
      <c r="C335" s="330">
        <v>303</v>
      </c>
      <c r="D335" s="801"/>
      <c r="E335" s="801">
        <v>26.3</v>
      </c>
      <c r="F335" s="146">
        <v>328.5</v>
      </c>
      <c r="G335" s="628">
        <f t="shared" si="48"/>
        <v>329.3</v>
      </c>
      <c r="H335" s="826"/>
      <c r="I335" s="826">
        <v>62</v>
      </c>
      <c r="J335" s="411"/>
      <c r="K335" s="400">
        <f t="shared" si="46"/>
        <v>62</v>
      </c>
      <c r="L335" s="593">
        <f t="shared" ref="L335:L384" si="52">(H335/840)+(I335/756)</f>
        <v>8.2010582010582006E-2</v>
      </c>
      <c r="M335" s="177">
        <f t="shared" si="47"/>
        <v>165.41616402116401</v>
      </c>
      <c r="N335" s="446">
        <f t="shared" ref="N335:N383" si="53">M335*0.3677</f>
        <v>60.823523510582007</v>
      </c>
      <c r="O335" s="427">
        <v>51.118835978835975</v>
      </c>
      <c r="P335" s="177">
        <f t="shared" si="50"/>
        <v>4.0906878306878305</v>
      </c>
      <c r="Q335" s="177">
        <f t="shared" si="49"/>
        <v>4.9865484656084655</v>
      </c>
      <c r="R335" s="431">
        <f t="shared" si="51"/>
        <v>0.92887528495468596</v>
      </c>
      <c r="S335" s="468">
        <v>3</v>
      </c>
      <c r="T335" s="127"/>
      <c r="U335" s="127"/>
      <c r="V335" s="127"/>
      <c r="W335" s="127"/>
      <c r="X335" s="127"/>
      <c r="Y335" s="127"/>
    </row>
    <row r="336" spans="1:25" s="6" customFormat="1" ht="13.5" customHeight="1">
      <c r="A336" s="268">
        <v>245</v>
      </c>
      <c r="B336" s="122" t="s">
        <v>1288</v>
      </c>
      <c r="C336" s="330">
        <v>406.15</v>
      </c>
      <c r="D336" s="801"/>
      <c r="E336" s="801">
        <v>39.5</v>
      </c>
      <c r="F336" s="146">
        <v>532.15</v>
      </c>
      <c r="G336" s="628">
        <f t="shared" si="48"/>
        <v>445.65</v>
      </c>
      <c r="H336" s="826"/>
      <c r="I336" s="826">
        <v>85</v>
      </c>
      <c r="J336" s="411"/>
      <c r="K336" s="400">
        <f t="shared" si="46"/>
        <v>85</v>
      </c>
      <c r="L336" s="593">
        <f t="shared" si="52"/>
        <v>0.11243386243386243</v>
      </c>
      <c r="M336" s="177">
        <f t="shared" si="47"/>
        <v>226.78022486772485</v>
      </c>
      <c r="N336" s="446">
        <f t="shared" si="53"/>
        <v>83.38708868386243</v>
      </c>
      <c r="O336" s="427">
        <v>70.082275132275129</v>
      </c>
      <c r="P336" s="177">
        <f t="shared" si="50"/>
        <v>5.6082010582010584</v>
      </c>
      <c r="Q336" s="177">
        <f t="shared" si="49"/>
        <v>6.8363970899470905</v>
      </c>
      <c r="R336" s="431">
        <f t="shared" si="51"/>
        <v>0.95003764555475445</v>
      </c>
      <c r="S336" s="468">
        <v>3</v>
      </c>
      <c r="T336" s="127"/>
      <c r="U336" s="127"/>
      <c r="V336" s="127"/>
      <c r="W336" s="127"/>
      <c r="X336" s="127"/>
      <c r="Y336" s="127"/>
    </row>
    <row r="337" spans="1:25" s="6" customFormat="1" ht="13.5" customHeight="1">
      <c r="A337" s="275">
        <v>246</v>
      </c>
      <c r="B337" s="122" t="s">
        <v>1289</v>
      </c>
      <c r="C337" s="330">
        <v>515.54999999999995</v>
      </c>
      <c r="D337" s="801"/>
      <c r="E337" s="801"/>
      <c r="F337" s="146">
        <v>515.54999999999995</v>
      </c>
      <c r="G337" s="628">
        <f t="shared" si="48"/>
        <v>515.54999999999995</v>
      </c>
      <c r="H337" s="826"/>
      <c r="I337" s="826">
        <v>63</v>
      </c>
      <c r="J337" s="411"/>
      <c r="K337" s="400">
        <f t="shared" si="46"/>
        <v>63</v>
      </c>
      <c r="L337" s="593">
        <f t="shared" si="52"/>
        <v>8.3333333333333329E-2</v>
      </c>
      <c r="M337" s="177">
        <f t="shared" si="47"/>
        <v>168.08416666666665</v>
      </c>
      <c r="N337" s="446">
        <f t="shared" si="53"/>
        <v>61.80454808333333</v>
      </c>
      <c r="O337" s="427">
        <v>64.92916666666666</v>
      </c>
      <c r="P337" s="177">
        <f t="shared" si="50"/>
        <v>4.1566666666666663</v>
      </c>
      <c r="Q337" s="177">
        <f t="shared" si="49"/>
        <v>5.0669766666666662</v>
      </c>
      <c r="R337" s="431">
        <f t="shared" si="51"/>
        <v>0.57991377768079388</v>
      </c>
      <c r="S337" s="468">
        <v>3</v>
      </c>
      <c r="T337" s="127"/>
      <c r="U337" s="127"/>
      <c r="V337" s="127"/>
      <c r="W337" s="127"/>
      <c r="X337" s="127"/>
      <c r="Y337" s="127"/>
    </row>
    <row r="338" spans="1:25" s="6" customFormat="1" ht="13.5" customHeight="1">
      <c r="A338" s="268">
        <v>247</v>
      </c>
      <c r="B338" s="122" t="s">
        <v>1290</v>
      </c>
      <c r="C338" s="330">
        <v>938.04</v>
      </c>
      <c r="D338" s="801">
        <v>31.8</v>
      </c>
      <c r="E338" s="801"/>
      <c r="F338" s="146">
        <v>969.84</v>
      </c>
      <c r="G338" s="628">
        <f t="shared" si="48"/>
        <v>969.83999999999992</v>
      </c>
      <c r="H338" s="826"/>
      <c r="I338" s="826">
        <v>108</v>
      </c>
      <c r="J338" s="411"/>
      <c r="K338" s="400">
        <f t="shared" si="46"/>
        <v>108</v>
      </c>
      <c r="L338" s="593">
        <f t="shared" si="52"/>
        <v>0.14285714285714285</v>
      </c>
      <c r="M338" s="177">
        <f t="shared" si="47"/>
        <v>288.14428571428567</v>
      </c>
      <c r="N338" s="446">
        <f t="shared" si="53"/>
        <v>105.95065385714285</v>
      </c>
      <c r="O338" s="427">
        <v>111.30714285714285</v>
      </c>
      <c r="P338" s="177">
        <f t="shared" si="50"/>
        <v>7.1257142857142854</v>
      </c>
      <c r="Q338" s="177">
        <f t="shared" si="49"/>
        <v>8.6862457142857146</v>
      </c>
      <c r="R338" s="431">
        <f t="shared" si="51"/>
        <v>0.54638160069323871</v>
      </c>
      <c r="S338" s="468">
        <v>3</v>
      </c>
      <c r="T338" s="127"/>
      <c r="U338" s="127"/>
      <c r="V338" s="127"/>
      <c r="W338" s="127"/>
      <c r="X338" s="127"/>
      <c r="Y338" s="127"/>
    </row>
    <row r="339" spans="1:25" s="6" customFormat="1" ht="13.5" customHeight="1">
      <c r="A339" s="268">
        <v>248</v>
      </c>
      <c r="B339" s="122" t="s">
        <v>1291</v>
      </c>
      <c r="C339" s="330">
        <v>476.24</v>
      </c>
      <c r="D339" s="801"/>
      <c r="E339" s="801">
        <v>29</v>
      </c>
      <c r="F339" s="146">
        <v>430.6</v>
      </c>
      <c r="G339" s="628">
        <f t="shared" si="48"/>
        <v>505.24</v>
      </c>
      <c r="H339" s="826"/>
      <c r="I339" s="826">
        <v>76</v>
      </c>
      <c r="J339" s="411"/>
      <c r="K339" s="400">
        <f t="shared" si="46"/>
        <v>76</v>
      </c>
      <c r="L339" s="593">
        <f t="shared" si="52"/>
        <v>0.10052910052910052</v>
      </c>
      <c r="M339" s="177">
        <f t="shared" si="47"/>
        <v>202.76820105820104</v>
      </c>
      <c r="N339" s="446">
        <f t="shared" si="53"/>
        <v>74.557867529100534</v>
      </c>
      <c r="O339" s="427">
        <v>78.327248677248676</v>
      </c>
      <c r="P339" s="177">
        <f t="shared" si="50"/>
        <v>5.0143915343915344</v>
      </c>
      <c r="Q339" s="177">
        <f t="shared" si="49"/>
        <v>6.1125432804232807</v>
      </c>
      <c r="R339" s="431">
        <f t="shared" si="51"/>
        <v>0.7573234268413862</v>
      </c>
      <c r="S339" s="468">
        <v>3</v>
      </c>
      <c r="T339" s="127"/>
      <c r="U339" s="127"/>
      <c r="V339" s="127"/>
      <c r="W339" s="127"/>
      <c r="X339" s="127"/>
      <c r="Y339" s="127"/>
    </row>
    <row r="340" spans="1:25" s="6" customFormat="1" ht="13.5" customHeight="1">
      <c r="A340" s="268">
        <v>249</v>
      </c>
      <c r="B340" s="122" t="s">
        <v>1292</v>
      </c>
      <c r="C340" s="330">
        <v>473.28</v>
      </c>
      <c r="D340" s="801"/>
      <c r="E340" s="801">
        <v>24.4</v>
      </c>
      <c r="F340" s="146">
        <v>473.28</v>
      </c>
      <c r="G340" s="628">
        <f t="shared" si="48"/>
        <v>497.67999999999995</v>
      </c>
      <c r="H340" s="826"/>
      <c r="I340" s="826">
        <v>70</v>
      </c>
      <c r="J340" s="411"/>
      <c r="K340" s="400">
        <f t="shared" si="46"/>
        <v>70</v>
      </c>
      <c r="L340" s="593">
        <f t="shared" si="52"/>
        <v>9.2592592592592587E-2</v>
      </c>
      <c r="M340" s="177">
        <f t="shared" si="47"/>
        <v>186.76018518518518</v>
      </c>
      <c r="N340" s="446">
        <f t="shared" si="53"/>
        <v>68.671720092592594</v>
      </c>
      <c r="O340" s="427">
        <v>72.143518518518519</v>
      </c>
      <c r="P340" s="177">
        <f t="shared" si="50"/>
        <v>4.6185185185185187</v>
      </c>
      <c r="Q340" s="177">
        <f t="shared" si="49"/>
        <v>5.6299740740740747</v>
      </c>
      <c r="R340" s="431">
        <f t="shared" si="51"/>
        <v>0.70189727500594756</v>
      </c>
      <c r="S340" s="468">
        <v>3</v>
      </c>
      <c r="T340" s="127"/>
      <c r="U340" s="127"/>
      <c r="V340" s="127"/>
      <c r="W340" s="127"/>
      <c r="X340" s="127"/>
      <c r="Y340" s="127"/>
    </row>
    <row r="341" spans="1:25" s="6" customFormat="1" ht="13.5" customHeight="1">
      <c r="A341" s="268">
        <v>250</v>
      </c>
      <c r="B341" s="122" t="s">
        <v>1293</v>
      </c>
      <c r="C341" s="330">
        <v>232.2</v>
      </c>
      <c r="D341" s="801"/>
      <c r="E341" s="801">
        <v>12.6</v>
      </c>
      <c r="F341" s="146">
        <v>244.8</v>
      </c>
      <c r="G341" s="628">
        <f t="shared" si="48"/>
        <v>244.79999999999998</v>
      </c>
      <c r="H341" s="826"/>
      <c r="I341" s="826">
        <v>30</v>
      </c>
      <c r="J341" s="411"/>
      <c r="K341" s="400">
        <f t="shared" si="46"/>
        <v>30</v>
      </c>
      <c r="L341" s="593">
        <f t="shared" si="52"/>
        <v>3.968253968253968E-2</v>
      </c>
      <c r="M341" s="177">
        <f t="shared" si="47"/>
        <v>80.040079365079364</v>
      </c>
      <c r="N341" s="446">
        <f t="shared" si="53"/>
        <v>29.430737182539684</v>
      </c>
      <c r="O341" s="427">
        <v>30.918650793650791</v>
      </c>
      <c r="P341" s="177">
        <f t="shared" si="50"/>
        <v>1.9793650793650794</v>
      </c>
      <c r="Q341" s="177">
        <f t="shared" si="49"/>
        <v>2.4128460317460321</v>
      </c>
      <c r="R341" s="431">
        <f t="shared" si="51"/>
        <v>0.61313019991660167</v>
      </c>
      <c r="S341" s="468">
        <v>3</v>
      </c>
      <c r="T341" s="127"/>
      <c r="U341" s="127"/>
      <c r="V341" s="127"/>
      <c r="W341" s="127"/>
      <c r="X341" s="127"/>
      <c r="Y341" s="127"/>
    </row>
    <row r="342" spans="1:25" s="6" customFormat="1" ht="13.5" customHeight="1">
      <c r="A342" s="268">
        <v>251</v>
      </c>
      <c r="B342" s="122" t="s">
        <v>1294</v>
      </c>
      <c r="C342" s="330">
        <v>553.98</v>
      </c>
      <c r="D342" s="801">
        <v>42.3</v>
      </c>
      <c r="E342" s="801">
        <v>11.2</v>
      </c>
      <c r="F342" s="146">
        <v>596.28</v>
      </c>
      <c r="G342" s="628">
        <f t="shared" si="48"/>
        <v>607.48</v>
      </c>
      <c r="H342" s="826"/>
      <c r="I342" s="826">
        <v>93</v>
      </c>
      <c r="J342" s="411"/>
      <c r="K342" s="400">
        <f t="shared" si="46"/>
        <v>93</v>
      </c>
      <c r="L342" s="593">
        <f t="shared" si="52"/>
        <v>0.12301587301587301</v>
      </c>
      <c r="M342" s="177">
        <f t="shared" si="47"/>
        <v>248.12424603174603</v>
      </c>
      <c r="N342" s="446">
        <f t="shared" si="53"/>
        <v>91.235285265873017</v>
      </c>
      <c r="O342" s="427">
        <v>95.847817460317458</v>
      </c>
      <c r="P342" s="177">
        <f t="shared" si="50"/>
        <v>6.1360317460317457</v>
      </c>
      <c r="Q342" s="177">
        <f t="shared" si="49"/>
        <v>7.4798226984126988</v>
      </c>
      <c r="R342" s="431">
        <f t="shared" si="51"/>
        <v>0.79667746218991331</v>
      </c>
      <c r="S342" s="468">
        <v>4</v>
      </c>
      <c r="T342" s="127"/>
      <c r="U342" s="127"/>
      <c r="V342" s="127"/>
      <c r="W342" s="127"/>
      <c r="X342" s="127"/>
      <c r="Y342" s="127"/>
    </row>
    <row r="343" spans="1:25" s="6" customFormat="1" ht="13.5" customHeight="1">
      <c r="A343" s="268">
        <v>252</v>
      </c>
      <c r="B343" s="122" t="s">
        <v>1295</v>
      </c>
      <c r="C343" s="330">
        <v>419.75</v>
      </c>
      <c r="D343" s="801">
        <v>47.9</v>
      </c>
      <c r="E343" s="801">
        <v>12.7</v>
      </c>
      <c r="F343" s="146">
        <v>509.25</v>
      </c>
      <c r="G343" s="628">
        <f t="shared" si="48"/>
        <v>480.34999999999997</v>
      </c>
      <c r="H343" s="826"/>
      <c r="I343" s="826">
        <v>88</v>
      </c>
      <c r="J343" s="411"/>
      <c r="K343" s="400">
        <f t="shared" si="46"/>
        <v>88</v>
      </c>
      <c r="L343" s="593">
        <f t="shared" si="52"/>
        <v>0.1164021164021164</v>
      </c>
      <c r="M343" s="177">
        <f t="shared" si="47"/>
        <v>234.7842328042328</v>
      </c>
      <c r="N343" s="446">
        <f t="shared" si="53"/>
        <v>86.3301624021164</v>
      </c>
      <c r="O343" s="427">
        <v>90.694708994708989</v>
      </c>
      <c r="P343" s="177">
        <f t="shared" si="50"/>
        <v>5.8061375661375658</v>
      </c>
      <c r="Q343" s="177">
        <f t="shared" si="49"/>
        <v>7.0776816931216935</v>
      </c>
      <c r="R343" s="431">
        <f t="shared" si="51"/>
        <v>0.99491421504990052</v>
      </c>
      <c r="S343" s="468">
        <v>4</v>
      </c>
      <c r="T343" s="127"/>
      <c r="U343" s="127"/>
      <c r="V343" s="127"/>
      <c r="W343" s="127"/>
      <c r="X343" s="127"/>
      <c r="Y343" s="127"/>
    </row>
    <row r="344" spans="1:25" s="6" customFormat="1" ht="13.5" customHeight="1">
      <c r="A344" s="275">
        <v>253</v>
      </c>
      <c r="B344" s="122" t="s">
        <v>1296</v>
      </c>
      <c r="C344" s="330">
        <v>970.33</v>
      </c>
      <c r="D344" s="801">
        <v>195</v>
      </c>
      <c r="E344" s="801"/>
      <c r="F344" s="146">
        <v>1172.8</v>
      </c>
      <c r="G344" s="628">
        <f t="shared" si="48"/>
        <v>1165.33</v>
      </c>
      <c r="H344" s="826">
        <v>62</v>
      </c>
      <c r="I344" s="826">
        <v>84</v>
      </c>
      <c r="J344" s="411"/>
      <c r="K344" s="400">
        <f t="shared" si="46"/>
        <v>146</v>
      </c>
      <c r="L344" s="593">
        <f t="shared" si="52"/>
        <v>0.18492063492063493</v>
      </c>
      <c r="M344" s="177">
        <f t="shared" si="47"/>
        <v>372.98676984126985</v>
      </c>
      <c r="N344" s="446">
        <f t="shared" si="53"/>
        <v>137.14723527063492</v>
      </c>
      <c r="O344" s="427">
        <v>144.0809126984127</v>
      </c>
      <c r="P344" s="177">
        <f t="shared" si="50"/>
        <v>9.2238412698412713</v>
      </c>
      <c r="Q344" s="177">
        <f t="shared" si="49"/>
        <v>11.243862507936511</v>
      </c>
      <c r="R344" s="431">
        <f t="shared" si="51"/>
        <v>0.68372487615569832</v>
      </c>
      <c r="S344" s="468">
        <v>4</v>
      </c>
      <c r="T344" s="127"/>
      <c r="U344" s="127"/>
      <c r="V344" s="127"/>
      <c r="W344" s="127"/>
      <c r="X344" s="127"/>
      <c r="Y344" s="127"/>
    </row>
    <row r="345" spans="1:25" s="6" customFormat="1" ht="13.5" customHeight="1">
      <c r="A345" s="268">
        <v>254</v>
      </c>
      <c r="B345" s="122" t="s">
        <v>1297</v>
      </c>
      <c r="C345" s="330">
        <v>1351.02</v>
      </c>
      <c r="D345" s="801"/>
      <c r="E345" s="801">
        <v>65</v>
      </c>
      <c r="F345" s="146">
        <v>1350.52</v>
      </c>
      <c r="G345" s="628">
        <f t="shared" si="48"/>
        <v>1416.02</v>
      </c>
      <c r="H345" s="826">
        <v>62</v>
      </c>
      <c r="I345" s="826">
        <v>138</v>
      </c>
      <c r="J345" s="411"/>
      <c r="K345" s="400">
        <f t="shared" si="46"/>
        <v>200</v>
      </c>
      <c r="L345" s="593">
        <f t="shared" si="52"/>
        <v>0.25634920634920633</v>
      </c>
      <c r="M345" s="177">
        <f t="shared" si="47"/>
        <v>517.05891269841266</v>
      </c>
      <c r="N345" s="446">
        <f t="shared" si="53"/>
        <v>190.12256219920636</v>
      </c>
      <c r="O345" s="427">
        <v>199.73448412698411</v>
      </c>
      <c r="P345" s="177">
        <f t="shared" si="50"/>
        <v>12.786698412698412</v>
      </c>
      <c r="Q345" s="177">
        <f t="shared" si="49"/>
        <v>15.586985365079364</v>
      </c>
      <c r="R345" s="431">
        <f t="shared" si="51"/>
        <v>0.68074688563996211</v>
      </c>
      <c r="S345" s="468">
        <v>4</v>
      </c>
      <c r="T345" s="127"/>
      <c r="U345" s="127"/>
      <c r="V345" s="127"/>
      <c r="W345" s="127"/>
      <c r="X345" s="127"/>
      <c r="Y345" s="127"/>
    </row>
    <row r="346" spans="1:25" s="6" customFormat="1" ht="13.5" customHeight="1">
      <c r="A346" s="268">
        <v>255</v>
      </c>
      <c r="B346" s="122" t="s">
        <v>1298</v>
      </c>
      <c r="C346" s="330">
        <v>1448.01</v>
      </c>
      <c r="D346" s="801">
        <v>53.8</v>
      </c>
      <c r="E346" s="801"/>
      <c r="F346" s="146">
        <v>1448.01</v>
      </c>
      <c r="G346" s="628">
        <f t="shared" si="48"/>
        <v>1501.81</v>
      </c>
      <c r="H346" s="826"/>
      <c r="I346" s="826">
        <v>174</v>
      </c>
      <c r="J346" s="411"/>
      <c r="K346" s="400">
        <f t="shared" ref="K346:K383" si="54">H346+I346</f>
        <v>174</v>
      </c>
      <c r="L346" s="593">
        <f t="shared" si="52"/>
        <v>0.23015873015873015</v>
      </c>
      <c r="M346" s="177">
        <f t="shared" si="47"/>
        <v>464.23246031746027</v>
      </c>
      <c r="N346" s="446">
        <f t="shared" si="53"/>
        <v>170.69827565873015</v>
      </c>
      <c r="O346" s="427">
        <v>179.32817460317457</v>
      </c>
      <c r="P346" s="177">
        <f t="shared" si="50"/>
        <v>11.48031746031746</v>
      </c>
      <c r="Q346" s="177">
        <f t="shared" si="49"/>
        <v>13.994506984126986</v>
      </c>
      <c r="R346" s="431">
        <f t="shared" si="51"/>
        <v>0.57025795957188308</v>
      </c>
      <c r="S346" s="468">
        <v>4</v>
      </c>
      <c r="T346" s="127"/>
      <c r="U346" s="127"/>
      <c r="V346" s="127"/>
      <c r="W346" s="127"/>
      <c r="X346" s="127"/>
      <c r="Y346" s="127"/>
    </row>
    <row r="347" spans="1:25" s="6" customFormat="1" ht="13.5" customHeight="1">
      <c r="A347" s="268">
        <v>256</v>
      </c>
      <c r="B347" s="122" t="s">
        <v>1299</v>
      </c>
      <c r="C347" s="330">
        <v>938.2</v>
      </c>
      <c r="D347" s="801"/>
      <c r="E347" s="801">
        <v>31.8</v>
      </c>
      <c r="F347" s="146">
        <v>938.2</v>
      </c>
      <c r="G347" s="628">
        <f t="shared" si="48"/>
        <v>970</v>
      </c>
      <c r="H347" s="826">
        <v>54</v>
      </c>
      <c r="I347" s="826">
        <v>71</v>
      </c>
      <c r="J347" s="411"/>
      <c r="K347" s="400">
        <f t="shared" si="54"/>
        <v>125</v>
      </c>
      <c r="L347" s="593">
        <f t="shared" si="52"/>
        <v>0.15820105820105818</v>
      </c>
      <c r="M347" s="177">
        <f t="shared" si="47"/>
        <v>319.09311640211632</v>
      </c>
      <c r="N347" s="446">
        <f t="shared" si="53"/>
        <v>117.33053890105818</v>
      </c>
      <c r="O347" s="427">
        <v>123.26235449735448</v>
      </c>
      <c r="P347" s="177">
        <f t="shared" si="50"/>
        <v>7.891068783068782</v>
      </c>
      <c r="Q347" s="177">
        <f t="shared" si="49"/>
        <v>9.6192128465608455</v>
      </c>
      <c r="R347" s="431">
        <f t="shared" si="51"/>
        <v>0.60496384415220394</v>
      </c>
      <c r="S347" s="468">
        <v>4</v>
      </c>
      <c r="T347" s="127"/>
      <c r="U347" s="127"/>
      <c r="V347" s="127"/>
      <c r="W347" s="127"/>
      <c r="X347" s="127"/>
      <c r="Y347" s="127"/>
    </row>
    <row r="348" spans="1:25" s="6" customFormat="1" ht="13.5" customHeight="1">
      <c r="A348" s="268">
        <v>257</v>
      </c>
      <c r="B348" s="122" t="s">
        <v>1300</v>
      </c>
      <c r="C348" s="330">
        <v>2158</v>
      </c>
      <c r="D348" s="801"/>
      <c r="E348" s="801"/>
      <c r="F348" s="146">
        <v>2162</v>
      </c>
      <c r="G348" s="628">
        <f t="shared" si="48"/>
        <v>2158</v>
      </c>
      <c r="H348" s="826">
        <v>337</v>
      </c>
      <c r="I348" s="826"/>
      <c r="J348" s="411"/>
      <c r="K348" s="400">
        <f t="shared" si="54"/>
        <v>337</v>
      </c>
      <c r="L348" s="593">
        <f t="shared" si="52"/>
        <v>0.40119047619047621</v>
      </c>
      <c r="M348" s="177">
        <f t="shared" ref="M348:M383" si="55">L348*2017.01</f>
        <v>809.20520238095241</v>
      </c>
      <c r="N348" s="446">
        <f t="shared" si="53"/>
        <v>297.54475291547624</v>
      </c>
      <c r="O348" s="427">
        <v>312.58755952380955</v>
      </c>
      <c r="P348" s="177">
        <f t="shared" si="50"/>
        <v>20.011380952380954</v>
      </c>
      <c r="Q348" s="177">
        <f t="shared" si="49"/>
        <v>24.393873380952385</v>
      </c>
      <c r="R348" s="431">
        <f t="shared" si="51"/>
        <v>0.66698280619676509</v>
      </c>
      <c r="S348" s="468">
        <v>4</v>
      </c>
      <c r="T348" s="127"/>
      <c r="U348" s="127"/>
      <c r="V348" s="127"/>
      <c r="W348" s="127"/>
      <c r="X348" s="127"/>
      <c r="Y348" s="127"/>
    </row>
    <row r="349" spans="1:25" s="6" customFormat="1" ht="13.5" customHeight="1">
      <c r="A349" s="268">
        <v>258</v>
      </c>
      <c r="B349" s="122" t="s">
        <v>1301</v>
      </c>
      <c r="C349" s="330">
        <v>700</v>
      </c>
      <c r="D349" s="801"/>
      <c r="E349" s="801">
        <v>29.1</v>
      </c>
      <c r="F349" s="146">
        <v>753</v>
      </c>
      <c r="G349" s="628">
        <f t="shared" ref="G349:G383" si="56">C349+D349+E349</f>
        <v>729.1</v>
      </c>
      <c r="H349" s="826"/>
      <c r="I349" s="826">
        <v>106</v>
      </c>
      <c r="J349" s="411"/>
      <c r="K349" s="400">
        <f t="shared" si="54"/>
        <v>106</v>
      </c>
      <c r="L349" s="593">
        <f t="shared" si="52"/>
        <v>0.1402116402116402</v>
      </c>
      <c r="M349" s="177">
        <f t="shared" si="55"/>
        <v>282.80828042328039</v>
      </c>
      <c r="N349" s="446">
        <f t="shared" si="53"/>
        <v>103.98860471164021</v>
      </c>
      <c r="O349" s="427">
        <v>109.24589947089946</v>
      </c>
      <c r="P349" s="177">
        <f t="shared" si="50"/>
        <v>6.9937566137566138</v>
      </c>
      <c r="Q349" s="177">
        <f t="shared" ref="Q349:Q412" si="57">P349*1.219</f>
        <v>8.5253893121693132</v>
      </c>
      <c r="R349" s="431">
        <f t="shared" si="51"/>
        <v>0.71862363031368104</v>
      </c>
      <c r="S349" s="468">
        <v>3</v>
      </c>
      <c r="T349" s="127"/>
      <c r="U349" s="127"/>
      <c r="V349" s="127"/>
      <c r="W349" s="127"/>
      <c r="X349" s="127"/>
      <c r="Y349" s="127"/>
    </row>
    <row r="350" spans="1:25" s="6" customFormat="1" ht="13.5" customHeight="1">
      <c r="A350" s="268">
        <v>259</v>
      </c>
      <c r="B350" s="122" t="s">
        <v>1302</v>
      </c>
      <c r="C350" s="330">
        <v>913.54</v>
      </c>
      <c r="D350" s="801">
        <v>123.3</v>
      </c>
      <c r="E350" s="801">
        <v>15.2</v>
      </c>
      <c r="F350" s="146">
        <v>891.54</v>
      </c>
      <c r="G350" s="628">
        <f t="shared" si="56"/>
        <v>1052.04</v>
      </c>
      <c r="H350" s="826"/>
      <c r="I350" s="826">
        <v>170</v>
      </c>
      <c r="J350" s="411"/>
      <c r="K350" s="400">
        <f t="shared" si="54"/>
        <v>170</v>
      </c>
      <c r="L350" s="593">
        <f t="shared" si="52"/>
        <v>0.22486772486772486</v>
      </c>
      <c r="M350" s="177">
        <f t="shared" si="55"/>
        <v>453.56044973544971</v>
      </c>
      <c r="N350" s="446">
        <f t="shared" si="53"/>
        <v>166.77417736772486</v>
      </c>
      <c r="O350" s="427">
        <v>175.20568783068782</v>
      </c>
      <c r="P350" s="177">
        <f t="shared" si="50"/>
        <v>11.216402116402117</v>
      </c>
      <c r="Q350" s="177">
        <f t="shared" si="57"/>
        <v>13.672794179894181</v>
      </c>
      <c r="R350" s="431">
        <f t="shared" si="51"/>
        <v>0.88311044623143442</v>
      </c>
      <c r="S350" s="468">
        <v>4</v>
      </c>
      <c r="T350" s="127"/>
      <c r="U350" s="127"/>
      <c r="V350" s="127"/>
      <c r="W350" s="127"/>
      <c r="X350" s="127"/>
      <c r="Y350" s="127"/>
    </row>
    <row r="351" spans="1:25" s="6" customFormat="1" ht="13.5" customHeight="1">
      <c r="A351" s="275">
        <v>260</v>
      </c>
      <c r="B351" s="122" t="s">
        <v>1303</v>
      </c>
      <c r="C351" s="330">
        <v>608.6</v>
      </c>
      <c r="D351" s="801"/>
      <c r="E351" s="801"/>
      <c r="F351" s="146">
        <v>608.6</v>
      </c>
      <c r="G351" s="628">
        <f t="shared" si="56"/>
        <v>608.6</v>
      </c>
      <c r="H351" s="826"/>
      <c r="I351" s="826">
        <v>101</v>
      </c>
      <c r="J351" s="411"/>
      <c r="K351" s="400">
        <f t="shared" si="54"/>
        <v>101</v>
      </c>
      <c r="L351" s="593">
        <f t="shared" si="52"/>
        <v>0.1335978835978836</v>
      </c>
      <c r="M351" s="177">
        <f t="shared" si="55"/>
        <v>269.46826719576723</v>
      </c>
      <c r="N351" s="446">
        <f t="shared" si="53"/>
        <v>99.083481847883618</v>
      </c>
      <c r="O351" s="427">
        <v>104.09279100529101</v>
      </c>
      <c r="P351" s="177">
        <f t="shared" si="50"/>
        <v>6.6638624338624348</v>
      </c>
      <c r="Q351" s="177">
        <f t="shared" si="57"/>
        <v>8.1232483068783079</v>
      </c>
      <c r="R351" s="431">
        <f t="shared" si="51"/>
        <v>0.78755899192048029</v>
      </c>
      <c r="S351" s="468">
        <v>3</v>
      </c>
      <c r="T351" s="127"/>
      <c r="U351" s="127"/>
      <c r="V351" s="127"/>
      <c r="W351" s="127"/>
      <c r="X351" s="127"/>
      <c r="Y351" s="127"/>
    </row>
    <row r="352" spans="1:25" s="6" customFormat="1" ht="13.5" customHeight="1">
      <c r="A352" s="268">
        <v>261</v>
      </c>
      <c r="B352" s="122" t="s">
        <v>1304</v>
      </c>
      <c r="C352" s="330">
        <v>415.8</v>
      </c>
      <c r="D352" s="801"/>
      <c r="E352" s="801"/>
      <c r="F352" s="146">
        <v>415.8</v>
      </c>
      <c r="G352" s="628">
        <f t="shared" si="56"/>
        <v>415.8</v>
      </c>
      <c r="H352" s="826"/>
      <c r="I352" s="826">
        <v>63</v>
      </c>
      <c r="J352" s="411"/>
      <c r="K352" s="400">
        <f t="shared" si="54"/>
        <v>63</v>
      </c>
      <c r="L352" s="593">
        <f t="shared" si="52"/>
        <v>8.3333333333333329E-2</v>
      </c>
      <c r="M352" s="177">
        <f t="shared" si="55"/>
        <v>168.08416666666665</v>
      </c>
      <c r="N352" s="446">
        <f t="shared" si="53"/>
        <v>61.80454808333333</v>
      </c>
      <c r="O352" s="427">
        <v>64.92916666666666</v>
      </c>
      <c r="P352" s="177">
        <f t="shared" si="50"/>
        <v>4.1566666666666663</v>
      </c>
      <c r="Q352" s="177">
        <f t="shared" si="57"/>
        <v>5.0669766666666662</v>
      </c>
      <c r="R352" s="431">
        <f t="shared" si="51"/>
        <v>0.71903450717492368</v>
      </c>
      <c r="S352" s="468">
        <v>3</v>
      </c>
      <c r="T352" s="127"/>
      <c r="U352" s="127"/>
      <c r="V352" s="127"/>
      <c r="W352" s="127"/>
      <c r="X352" s="127"/>
      <c r="Y352" s="127"/>
    </row>
    <row r="353" spans="1:25" s="6" customFormat="1" ht="13.5" customHeight="1">
      <c r="A353" s="268">
        <v>262</v>
      </c>
      <c r="B353" s="122" t="s">
        <v>1305</v>
      </c>
      <c r="C353" s="330">
        <v>460.4</v>
      </c>
      <c r="D353" s="801"/>
      <c r="E353" s="801"/>
      <c r="F353" s="146">
        <v>460.4</v>
      </c>
      <c r="G353" s="628">
        <f t="shared" si="56"/>
        <v>460.4</v>
      </c>
      <c r="H353" s="826"/>
      <c r="I353" s="826">
        <v>70</v>
      </c>
      <c r="J353" s="411"/>
      <c r="K353" s="400">
        <f t="shared" si="54"/>
        <v>70</v>
      </c>
      <c r="L353" s="593">
        <f t="shared" si="52"/>
        <v>9.2592592592592587E-2</v>
      </c>
      <c r="M353" s="177">
        <f t="shared" si="55"/>
        <v>186.76018518518518</v>
      </c>
      <c r="N353" s="446">
        <f t="shared" si="53"/>
        <v>68.671720092592594</v>
      </c>
      <c r="O353" s="427">
        <v>72.143518518518519</v>
      </c>
      <c r="P353" s="177">
        <f t="shared" si="50"/>
        <v>4.6185185185185187</v>
      </c>
      <c r="Q353" s="177">
        <f t="shared" si="57"/>
        <v>5.6299740740740747</v>
      </c>
      <c r="R353" s="431">
        <f t="shared" si="51"/>
        <v>0.72153332388100533</v>
      </c>
      <c r="S353" s="468">
        <v>3</v>
      </c>
      <c r="T353" s="127"/>
      <c r="U353" s="127"/>
      <c r="V353" s="127"/>
      <c r="W353" s="127"/>
      <c r="X353" s="127"/>
      <c r="Y353" s="127"/>
    </row>
    <row r="354" spans="1:25" s="6" customFormat="1" ht="13.5" customHeight="1">
      <c r="A354" s="268">
        <v>263</v>
      </c>
      <c r="B354" s="122" t="s">
        <v>1306</v>
      </c>
      <c r="C354" s="330">
        <v>485</v>
      </c>
      <c r="D354" s="801">
        <v>37.9</v>
      </c>
      <c r="E354" s="801">
        <v>50.1</v>
      </c>
      <c r="F354" s="146">
        <v>627.79999999999995</v>
      </c>
      <c r="G354" s="628">
        <f t="shared" si="56"/>
        <v>573</v>
      </c>
      <c r="H354" s="826"/>
      <c r="I354" s="826">
        <v>115</v>
      </c>
      <c r="J354" s="411"/>
      <c r="K354" s="400">
        <f t="shared" si="54"/>
        <v>115</v>
      </c>
      <c r="L354" s="593">
        <f t="shared" si="52"/>
        <v>0.15211640211640212</v>
      </c>
      <c r="M354" s="177">
        <f t="shared" si="55"/>
        <v>306.82030423280423</v>
      </c>
      <c r="N354" s="446">
        <f t="shared" si="53"/>
        <v>112.81782586640213</v>
      </c>
      <c r="O354" s="427">
        <v>82.965046296296293</v>
      </c>
      <c r="P354" s="177">
        <f t="shared" si="50"/>
        <v>7.5875661375661378</v>
      </c>
      <c r="Q354" s="177">
        <f t="shared" si="57"/>
        <v>9.249243121693123</v>
      </c>
      <c r="R354" s="431">
        <f t="shared" si="51"/>
        <v>1.0519396753259149</v>
      </c>
      <c r="S354" s="468">
        <v>3</v>
      </c>
      <c r="T354" s="127"/>
      <c r="U354" s="127"/>
      <c r="V354" s="127"/>
      <c r="W354" s="127"/>
      <c r="X354" s="127"/>
      <c r="Y354" s="127"/>
    </row>
    <row r="355" spans="1:25" s="6" customFormat="1" ht="13.5" customHeight="1">
      <c r="A355" s="268">
        <v>264</v>
      </c>
      <c r="B355" s="122" t="s">
        <v>1307</v>
      </c>
      <c r="C355" s="330">
        <v>791.22</v>
      </c>
      <c r="D355" s="801"/>
      <c r="E355" s="801"/>
      <c r="F355" s="146">
        <v>791.22</v>
      </c>
      <c r="G355" s="628">
        <f t="shared" si="56"/>
        <v>791.22</v>
      </c>
      <c r="H355" s="826"/>
      <c r="I355" s="826">
        <v>112</v>
      </c>
      <c r="J355" s="411"/>
      <c r="K355" s="400">
        <f t="shared" si="54"/>
        <v>112</v>
      </c>
      <c r="L355" s="593">
        <f t="shared" si="52"/>
        <v>0.14814814814814814</v>
      </c>
      <c r="M355" s="177">
        <f t="shared" si="55"/>
        <v>298.81629629629629</v>
      </c>
      <c r="N355" s="446">
        <f t="shared" si="53"/>
        <v>109.87475214814815</v>
      </c>
      <c r="O355" s="427">
        <v>115.42962962962962</v>
      </c>
      <c r="P355" s="177">
        <f t="shared" si="50"/>
        <v>7.3896296296296295</v>
      </c>
      <c r="Q355" s="177">
        <f t="shared" si="57"/>
        <v>9.0079585185185191</v>
      </c>
      <c r="R355" s="431">
        <f t="shared" si="51"/>
        <v>0.67176045563017073</v>
      </c>
      <c r="S355" s="468">
        <v>4</v>
      </c>
      <c r="T355" s="127"/>
      <c r="U355" s="127"/>
      <c r="V355" s="127"/>
      <c r="W355" s="127"/>
      <c r="X355" s="127"/>
      <c r="Y355" s="127"/>
    </row>
    <row r="356" spans="1:25" s="6" customFormat="1" ht="13.5" customHeight="1">
      <c r="A356" s="268">
        <v>265</v>
      </c>
      <c r="B356" s="122" t="s">
        <v>1308</v>
      </c>
      <c r="C356" s="330">
        <v>765.5</v>
      </c>
      <c r="D356" s="801"/>
      <c r="E356" s="801"/>
      <c r="F356" s="146">
        <v>765.9</v>
      </c>
      <c r="G356" s="628">
        <f t="shared" si="56"/>
        <v>765.5</v>
      </c>
      <c r="H356" s="826"/>
      <c r="I356" s="826">
        <v>140</v>
      </c>
      <c r="J356" s="411"/>
      <c r="K356" s="400">
        <f t="shared" si="54"/>
        <v>140</v>
      </c>
      <c r="L356" s="593">
        <f t="shared" si="52"/>
        <v>0.18518518518518517</v>
      </c>
      <c r="M356" s="177">
        <f t="shared" si="55"/>
        <v>373.52037037037036</v>
      </c>
      <c r="N356" s="446">
        <f t="shared" si="53"/>
        <v>137.34344018518519</v>
      </c>
      <c r="O356" s="427">
        <v>144.28703703703704</v>
      </c>
      <c r="P356" s="177">
        <f t="shared" si="50"/>
        <v>9.2370370370370374</v>
      </c>
      <c r="Q356" s="177">
        <f t="shared" si="57"/>
        <v>11.259948148148149</v>
      </c>
      <c r="R356" s="431">
        <f t="shared" si="51"/>
        <v>0.8679136311294966</v>
      </c>
      <c r="S356" s="468">
        <v>3</v>
      </c>
      <c r="T356" s="127"/>
      <c r="U356" s="127"/>
      <c r="V356" s="127"/>
      <c r="W356" s="127"/>
      <c r="X356" s="127"/>
      <c r="Y356" s="127"/>
    </row>
    <row r="357" spans="1:25" s="6" customFormat="1" ht="13.5" customHeight="1">
      <c r="A357" s="268">
        <v>266</v>
      </c>
      <c r="B357" s="122" t="s">
        <v>1309</v>
      </c>
      <c r="C357" s="330">
        <v>777.3</v>
      </c>
      <c r="D357" s="801"/>
      <c r="E357" s="801">
        <v>28.9</v>
      </c>
      <c r="F357" s="146">
        <v>777.3</v>
      </c>
      <c r="G357" s="628">
        <f t="shared" si="56"/>
        <v>806.19999999999993</v>
      </c>
      <c r="H357" s="826"/>
      <c r="I357" s="826">
        <v>140</v>
      </c>
      <c r="J357" s="411"/>
      <c r="K357" s="400">
        <f t="shared" si="54"/>
        <v>140</v>
      </c>
      <c r="L357" s="593">
        <f t="shared" si="52"/>
        <v>0.18518518518518517</v>
      </c>
      <c r="M357" s="177">
        <f t="shared" si="55"/>
        <v>373.52037037037036</v>
      </c>
      <c r="N357" s="446">
        <f t="shared" si="53"/>
        <v>137.34344018518519</v>
      </c>
      <c r="O357" s="427">
        <v>144.28703703703704</v>
      </c>
      <c r="P357" s="177">
        <f t="shared" si="50"/>
        <v>9.2370370370370374</v>
      </c>
      <c r="Q357" s="177">
        <f t="shared" si="57"/>
        <v>11.259948148148149</v>
      </c>
      <c r="R357" s="431">
        <f t="shared" si="51"/>
        <v>0.85473804789608865</v>
      </c>
      <c r="S357" s="468">
        <v>3</v>
      </c>
      <c r="T357" s="127"/>
      <c r="U357" s="127"/>
      <c r="V357" s="127"/>
      <c r="W357" s="127"/>
      <c r="X357" s="127"/>
      <c r="Y357" s="127"/>
    </row>
    <row r="358" spans="1:25" s="6" customFormat="1" ht="13.5" customHeight="1">
      <c r="A358" s="275">
        <v>267</v>
      </c>
      <c r="B358" s="122" t="s">
        <v>1310</v>
      </c>
      <c r="C358" s="330">
        <v>723.6</v>
      </c>
      <c r="D358" s="801"/>
      <c r="E358" s="801">
        <v>29.4</v>
      </c>
      <c r="F358" s="146">
        <v>723.6</v>
      </c>
      <c r="G358" s="628">
        <f t="shared" si="56"/>
        <v>753</v>
      </c>
      <c r="H358" s="826"/>
      <c r="I358" s="826">
        <v>100</v>
      </c>
      <c r="J358" s="411"/>
      <c r="K358" s="400">
        <f t="shared" si="54"/>
        <v>100</v>
      </c>
      <c r="L358" s="593">
        <f t="shared" si="52"/>
        <v>0.13227513227513227</v>
      </c>
      <c r="M358" s="177">
        <f t="shared" si="55"/>
        <v>266.80026455026456</v>
      </c>
      <c r="N358" s="446">
        <f t="shared" si="53"/>
        <v>98.102457275132281</v>
      </c>
      <c r="O358" s="427">
        <v>103.0621693121693</v>
      </c>
      <c r="P358" s="177">
        <f t="shared" si="50"/>
        <v>6.5978835978835981</v>
      </c>
      <c r="Q358" s="177">
        <f t="shared" si="57"/>
        <v>8.0428201058201072</v>
      </c>
      <c r="R358" s="431">
        <f t="shared" si="51"/>
        <v>0.65583578598044467</v>
      </c>
      <c r="S358" s="468">
        <v>3</v>
      </c>
      <c r="T358" s="127"/>
      <c r="U358" s="127"/>
      <c r="V358" s="127"/>
      <c r="W358" s="127"/>
      <c r="X358" s="127"/>
      <c r="Y358" s="127"/>
    </row>
    <row r="359" spans="1:25" s="6" customFormat="1" ht="13.5" customHeight="1">
      <c r="A359" s="268">
        <v>268</v>
      </c>
      <c r="B359" s="122" t="s">
        <v>1311</v>
      </c>
      <c r="C359" s="330">
        <v>579.6</v>
      </c>
      <c r="D359" s="801"/>
      <c r="E359" s="801">
        <v>32.6</v>
      </c>
      <c r="F359" s="146">
        <v>580.1</v>
      </c>
      <c r="G359" s="628">
        <f t="shared" si="56"/>
        <v>612.20000000000005</v>
      </c>
      <c r="H359" s="826"/>
      <c r="I359" s="826">
        <v>95</v>
      </c>
      <c r="J359" s="411"/>
      <c r="K359" s="400">
        <f t="shared" si="54"/>
        <v>95</v>
      </c>
      <c r="L359" s="593">
        <f t="shared" si="52"/>
        <v>0.12566137566137567</v>
      </c>
      <c r="M359" s="177">
        <f t="shared" si="55"/>
        <v>253.46025132275133</v>
      </c>
      <c r="N359" s="446">
        <f t="shared" si="53"/>
        <v>93.197334411375678</v>
      </c>
      <c r="O359" s="427">
        <v>97.909060846560848</v>
      </c>
      <c r="P359" s="177">
        <f t="shared" si="50"/>
        <v>6.2679894179894182</v>
      </c>
      <c r="Q359" s="177">
        <f t="shared" si="57"/>
        <v>7.640679100529101</v>
      </c>
      <c r="R359" s="431">
        <f t="shared" si="51"/>
        <v>0.77783753622960194</v>
      </c>
      <c r="S359" s="468">
        <v>4</v>
      </c>
      <c r="T359" s="127"/>
      <c r="U359" s="127"/>
      <c r="V359" s="127"/>
      <c r="W359" s="127"/>
      <c r="X359" s="127"/>
      <c r="Y359" s="127"/>
    </row>
    <row r="360" spans="1:25" s="6" customFormat="1" ht="13.5" customHeight="1">
      <c r="A360" s="268">
        <v>269</v>
      </c>
      <c r="B360" s="122" t="s">
        <v>1312</v>
      </c>
      <c r="C360" s="330">
        <v>611.79999999999995</v>
      </c>
      <c r="D360" s="801"/>
      <c r="E360" s="801"/>
      <c r="F360" s="146">
        <v>611.79999999999995</v>
      </c>
      <c r="G360" s="628">
        <f t="shared" si="56"/>
        <v>611.79999999999995</v>
      </c>
      <c r="H360" s="826"/>
      <c r="I360" s="826">
        <v>125</v>
      </c>
      <c r="J360" s="411"/>
      <c r="K360" s="400">
        <f t="shared" si="54"/>
        <v>125</v>
      </c>
      <c r="L360" s="593">
        <f t="shared" si="52"/>
        <v>0.16534391534391535</v>
      </c>
      <c r="M360" s="177">
        <f t="shared" si="55"/>
        <v>333.50033068783068</v>
      </c>
      <c r="N360" s="446">
        <f t="shared" si="53"/>
        <v>122.62807159391535</v>
      </c>
      <c r="O360" s="427">
        <v>128.82771164021165</v>
      </c>
      <c r="P360" s="177">
        <f t="shared" si="50"/>
        <v>8.2473544973544985</v>
      </c>
      <c r="Q360" s="177">
        <f t="shared" si="57"/>
        <v>10.053525132275134</v>
      </c>
      <c r="R360" s="431">
        <f t="shared" si="51"/>
        <v>0.96960357701750943</v>
      </c>
      <c r="S360" s="468">
        <v>4</v>
      </c>
      <c r="T360" s="127"/>
      <c r="U360" s="127"/>
      <c r="V360" s="127"/>
      <c r="W360" s="127"/>
      <c r="X360" s="127"/>
      <c r="Y360" s="127"/>
    </row>
    <row r="361" spans="1:25" s="6" customFormat="1" ht="13.5" customHeight="1">
      <c r="A361" s="268">
        <v>270</v>
      </c>
      <c r="B361" s="122" t="s">
        <v>1313</v>
      </c>
      <c r="C361" s="330">
        <v>510.4</v>
      </c>
      <c r="D361" s="801"/>
      <c r="E361" s="801"/>
      <c r="F361" s="146">
        <v>510.4</v>
      </c>
      <c r="G361" s="628">
        <f t="shared" si="56"/>
        <v>510.4</v>
      </c>
      <c r="H361" s="826">
        <v>70</v>
      </c>
      <c r="I361" s="826"/>
      <c r="J361" s="411"/>
      <c r="K361" s="400">
        <f t="shared" si="54"/>
        <v>70</v>
      </c>
      <c r="L361" s="593">
        <f t="shared" si="52"/>
        <v>8.3333333333333329E-2</v>
      </c>
      <c r="M361" s="177">
        <f t="shared" si="55"/>
        <v>168.08416666666665</v>
      </c>
      <c r="N361" s="446">
        <f t="shared" si="53"/>
        <v>61.80454808333333</v>
      </c>
      <c r="O361" s="427">
        <v>64.92916666666666</v>
      </c>
      <c r="P361" s="177">
        <f t="shared" si="50"/>
        <v>4.1566666666666663</v>
      </c>
      <c r="Q361" s="177">
        <f t="shared" si="57"/>
        <v>5.0669766666666662</v>
      </c>
      <c r="R361" s="431">
        <f t="shared" si="51"/>
        <v>0.58576518041405423</v>
      </c>
      <c r="S361" s="468">
        <v>3</v>
      </c>
      <c r="T361" s="127"/>
      <c r="U361" s="127"/>
      <c r="V361" s="127"/>
      <c r="W361" s="127"/>
      <c r="X361" s="127"/>
      <c r="Y361" s="127"/>
    </row>
    <row r="362" spans="1:25" s="6" customFormat="1" ht="13.5" customHeight="1">
      <c r="A362" s="268">
        <v>271</v>
      </c>
      <c r="B362" s="122" t="s">
        <v>1314</v>
      </c>
      <c r="C362" s="330">
        <v>564</v>
      </c>
      <c r="D362" s="260">
        <v>87.5</v>
      </c>
      <c r="E362" s="801"/>
      <c r="F362" s="146">
        <v>564</v>
      </c>
      <c r="G362" s="628">
        <f t="shared" si="56"/>
        <v>651.5</v>
      </c>
      <c r="H362" s="826">
        <v>90</v>
      </c>
      <c r="I362" s="826"/>
      <c r="J362" s="411"/>
      <c r="K362" s="400">
        <f t="shared" si="54"/>
        <v>90</v>
      </c>
      <c r="L362" s="593">
        <f t="shared" si="52"/>
        <v>0.10714285714285714</v>
      </c>
      <c r="M362" s="177">
        <f t="shared" si="55"/>
        <v>216.10821428571427</v>
      </c>
      <c r="N362" s="446">
        <f t="shared" si="53"/>
        <v>79.462990392857137</v>
      </c>
      <c r="O362" s="427">
        <v>83.48035714285713</v>
      </c>
      <c r="P362" s="177">
        <f t="shared" si="50"/>
        <v>5.3442857142857143</v>
      </c>
      <c r="Q362" s="177">
        <f t="shared" si="57"/>
        <v>6.5146842857142859</v>
      </c>
      <c r="R362" s="431">
        <f t="shared" si="51"/>
        <v>0.6815529211626139</v>
      </c>
      <c r="S362" s="468">
        <v>3</v>
      </c>
      <c r="T362" s="127"/>
      <c r="U362" s="127"/>
      <c r="V362" s="127"/>
      <c r="W362" s="127"/>
      <c r="X362" s="127"/>
      <c r="Y362" s="127"/>
    </row>
    <row r="363" spans="1:25" s="6" customFormat="1" ht="13.5" customHeight="1">
      <c r="A363" s="268">
        <v>272</v>
      </c>
      <c r="B363" s="273" t="s">
        <v>1315</v>
      </c>
      <c r="C363" s="330">
        <v>699.7</v>
      </c>
      <c r="D363" s="801">
        <v>90.2</v>
      </c>
      <c r="E363" s="801"/>
      <c r="F363" s="146">
        <v>880.1</v>
      </c>
      <c r="G363" s="628">
        <f t="shared" si="56"/>
        <v>789.90000000000009</v>
      </c>
      <c r="H363" s="826">
        <v>0</v>
      </c>
      <c r="I363" s="826">
        <v>0</v>
      </c>
      <c r="J363" s="411"/>
      <c r="K363" s="400">
        <f t="shared" si="54"/>
        <v>0</v>
      </c>
      <c r="L363" s="593">
        <f t="shared" si="52"/>
        <v>0</v>
      </c>
      <c r="M363" s="177">
        <f t="shared" si="55"/>
        <v>0</v>
      </c>
      <c r="N363" s="446">
        <f t="shared" si="53"/>
        <v>0</v>
      </c>
      <c r="O363" s="427">
        <v>0</v>
      </c>
      <c r="P363" s="177">
        <f t="shared" si="50"/>
        <v>0</v>
      </c>
      <c r="Q363" s="177">
        <f t="shared" si="57"/>
        <v>0</v>
      </c>
      <c r="R363" s="431">
        <f t="shared" si="51"/>
        <v>0</v>
      </c>
      <c r="S363" s="468">
        <v>3</v>
      </c>
      <c r="T363" s="127"/>
      <c r="U363" s="127"/>
      <c r="V363" s="127"/>
      <c r="W363" s="127"/>
      <c r="X363" s="127"/>
      <c r="Y363" s="127"/>
    </row>
    <row r="364" spans="1:25" s="6" customFormat="1" ht="13.5" customHeight="1">
      <c r="A364" s="268">
        <v>273</v>
      </c>
      <c r="B364" s="122" t="s">
        <v>1316</v>
      </c>
      <c r="C364" s="330">
        <v>770.6</v>
      </c>
      <c r="D364" s="801"/>
      <c r="E364" s="801"/>
      <c r="F364" s="146">
        <v>770.6</v>
      </c>
      <c r="G364" s="628">
        <f t="shared" si="56"/>
        <v>770.6</v>
      </c>
      <c r="H364" s="826">
        <v>68</v>
      </c>
      <c r="I364" s="826">
        <v>62</v>
      </c>
      <c r="J364" s="411"/>
      <c r="K364" s="400">
        <f t="shared" si="54"/>
        <v>130</v>
      </c>
      <c r="L364" s="593">
        <f t="shared" si="52"/>
        <v>0.16296296296296298</v>
      </c>
      <c r="M364" s="177">
        <f t="shared" si="55"/>
        <v>328.69792592592597</v>
      </c>
      <c r="N364" s="446">
        <f t="shared" si="53"/>
        <v>120.86222736296298</v>
      </c>
      <c r="O364" s="427">
        <v>126.9725925925926</v>
      </c>
      <c r="P364" s="177">
        <f t="shared" si="50"/>
        <v>8.128592592592593</v>
      </c>
      <c r="Q364" s="177">
        <f t="shared" si="57"/>
        <v>9.9087543703703709</v>
      </c>
      <c r="R364" s="431">
        <f t="shared" si="51"/>
        <v>0.75870923757341568</v>
      </c>
      <c r="S364" s="468">
        <v>3</v>
      </c>
      <c r="T364" s="127"/>
      <c r="U364" s="127"/>
      <c r="V364" s="127"/>
      <c r="W364" s="127"/>
      <c r="X364" s="127"/>
      <c r="Y364" s="127"/>
    </row>
    <row r="365" spans="1:25" s="6" customFormat="1" ht="13.5" customHeight="1">
      <c r="A365" s="275">
        <v>274</v>
      </c>
      <c r="B365" s="122" t="s">
        <v>1317</v>
      </c>
      <c r="C365" s="330">
        <v>958.2</v>
      </c>
      <c r="D365" s="801"/>
      <c r="E365" s="801"/>
      <c r="F365" s="146">
        <v>958.2</v>
      </c>
      <c r="G365" s="628">
        <f t="shared" si="56"/>
        <v>958.2</v>
      </c>
      <c r="H365" s="826">
        <v>60</v>
      </c>
      <c r="I365" s="826">
        <v>56</v>
      </c>
      <c r="J365" s="411"/>
      <c r="K365" s="400">
        <f t="shared" si="54"/>
        <v>116</v>
      </c>
      <c r="L365" s="593">
        <f t="shared" si="52"/>
        <v>0.14550264550264549</v>
      </c>
      <c r="M365" s="177">
        <f t="shared" si="55"/>
        <v>293.48029100529101</v>
      </c>
      <c r="N365" s="446">
        <f t="shared" si="53"/>
        <v>107.91270300264551</v>
      </c>
      <c r="O365" s="427">
        <v>113.36838624338624</v>
      </c>
      <c r="P365" s="177">
        <f t="shared" si="50"/>
        <v>7.2576719576719579</v>
      </c>
      <c r="Q365" s="177">
        <f t="shared" si="57"/>
        <v>8.8471021164021177</v>
      </c>
      <c r="R365" s="431">
        <f t="shared" si="51"/>
        <v>0.54479132979440059</v>
      </c>
      <c r="S365" s="468">
        <v>3</v>
      </c>
      <c r="T365" s="127"/>
      <c r="U365" s="127"/>
      <c r="V365" s="127"/>
      <c r="W365" s="127"/>
      <c r="X365" s="127"/>
      <c r="Y365" s="127"/>
    </row>
    <row r="366" spans="1:25" s="6" customFormat="1" ht="13.5" customHeight="1">
      <c r="A366" s="268">
        <v>275</v>
      </c>
      <c r="B366" s="122" t="s">
        <v>1318</v>
      </c>
      <c r="C366" s="330">
        <v>950.92</v>
      </c>
      <c r="D366" s="801">
        <v>124.7</v>
      </c>
      <c r="E366" s="801">
        <v>118.8</v>
      </c>
      <c r="F366" s="146">
        <v>1238.9000000000001</v>
      </c>
      <c r="G366" s="628">
        <f t="shared" si="56"/>
        <v>1194.4199999999998</v>
      </c>
      <c r="H366" s="826">
        <v>182</v>
      </c>
      <c r="I366" s="826"/>
      <c r="J366" s="411"/>
      <c r="K366" s="400">
        <f t="shared" si="54"/>
        <v>182</v>
      </c>
      <c r="L366" s="593">
        <f t="shared" si="52"/>
        <v>0.21666666666666667</v>
      </c>
      <c r="M366" s="177">
        <f t="shared" si="55"/>
        <v>437.01883333333336</v>
      </c>
      <c r="N366" s="446">
        <f t="shared" si="53"/>
        <v>160.69182501666668</v>
      </c>
      <c r="O366" s="427">
        <v>168.81583333333333</v>
      </c>
      <c r="P366" s="177">
        <f t="shared" si="50"/>
        <v>10.807333333333334</v>
      </c>
      <c r="Q366" s="177">
        <f t="shared" si="57"/>
        <v>13.174139333333335</v>
      </c>
      <c r="R366" s="431">
        <f t="shared" si="51"/>
        <v>0.81745449145739568</v>
      </c>
      <c r="S366" s="468">
        <v>4</v>
      </c>
      <c r="T366" s="127"/>
      <c r="U366" s="127"/>
      <c r="V366" s="127"/>
      <c r="W366" s="127"/>
      <c r="X366" s="127"/>
      <c r="Y366" s="127"/>
    </row>
    <row r="367" spans="1:25" s="6" customFormat="1" ht="13.5" customHeight="1">
      <c r="A367" s="268">
        <v>276</v>
      </c>
      <c r="B367" s="122" t="s">
        <v>1319</v>
      </c>
      <c r="C367" s="330">
        <v>290.51</v>
      </c>
      <c r="D367" s="801">
        <v>32.65</v>
      </c>
      <c r="E367" s="801">
        <v>114.7</v>
      </c>
      <c r="F367" s="146">
        <v>512.79999999999995</v>
      </c>
      <c r="G367" s="628">
        <f t="shared" si="56"/>
        <v>437.85999999999996</v>
      </c>
      <c r="H367" s="826"/>
      <c r="I367" s="826">
        <v>30</v>
      </c>
      <c r="J367" s="411"/>
      <c r="K367" s="400">
        <f t="shared" si="54"/>
        <v>30</v>
      </c>
      <c r="L367" s="593">
        <f t="shared" si="52"/>
        <v>3.968253968253968E-2</v>
      </c>
      <c r="M367" s="177">
        <f t="shared" si="55"/>
        <v>80.040079365079364</v>
      </c>
      <c r="N367" s="446">
        <f t="shared" si="53"/>
        <v>29.430737182539684</v>
      </c>
      <c r="O367" s="427">
        <v>30.918650793650791</v>
      </c>
      <c r="P367" s="177">
        <f t="shared" si="50"/>
        <v>1.9793650793650794</v>
      </c>
      <c r="Q367" s="177">
        <f t="shared" si="57"/>
        <v>2.4128460317460321</v>
      </c>
      <c r="R367" s="431">
        <f t="shared" si="51"/>
        <v>0.49006516960047813</v>
      </c>
      <c r="S367" s="468">
        <v>3</v>
      </c>
      <c r="T367" s="127"/>
      <c r="U367" s="127"/>
      <c r="V367" s="127"/>
      <c r="W367" s="127"/>
      <c r="X367" s="127"/>
      <c r="Y367" s="127"/>
    </row>
    <row r="368" spans="1:25" s="6" customFormat="1" ht="13.5" customHeight="1">
      <c r="A368" s="268">
        <v>277</v>
      </c>
      <c r="B368" s="122" t="s">
        <v>1320</v>
      </c>
      <c r="C368" s="330">
        <v>612.5</v>
      </c>
      <c r="D368" s="801">
        <v>100</v>
      </c>
      <c r="E368" s="801"/>
      <c r="F368" s="146">
        <v>779.5</v>
      </c>
      <c r="G368" s="628">
        <f t="shared" si="56"/>
        <v>712.5</v>
      </c>
      <c r="H368" s="826">
        <v>30</v>
      </c>
      <c r="I368" s="826">
        <v>48</v>
      </c>
      <c r="J368" s="411"/>
      <c r="K368" s="400">
        <f t="shared" si="54"/>
        <v>78</v>
      </c>
      <c r="L368" s="593">
        <f t="shared" si="52"/>
        <v>9.9206349206349201E-2</v>
      </c>
      <c r="M368" s="177">
        <f t="shared" si="55"/>
        <v>200.1001984126984</v>
      </c>
      <c r="N368" s="446">
        <f t="shared" si="53"/>
        <v>73.576842956349211</v>
      </c>
      <c r="O368" s="427">
        <v>77.296626984126974</v>
      </c>
      <c r="P368" s="177">
        <f t="shared" si="50"/>
        <v>4.9484126984126986</v>
      </c>
      <c r="Q368" s="177">
        <f t="shared" si="57"/>
        <v>6.03211507936508</v>
      </c>
      <c r="R368" s="431">
        <f t="shared" si="51"/>
        <v>0.58109727518626497</v>
      </c>
      <c r="S368" s="468">
        <v>3</v>
      </c>
      <c r="T368" s="127"/>
      <c r="U368" s="127"/>
      <c r="V368" s="127"/>
      <c r="W368" s="127"/>
      <c r="X368" s="127"/>
      <c r="Y368" s="127"/>
    </row>
    <row r="369" spans="1:25" s="6" customFormat="1" ht="13.5" customHeight="1">
      <c r="A369" s="268">
        <v>278</v>
      </c>
      <c r="B369" s="122" t="s">
        <v>1321</v>
      </c>
      <c r="C369" s="330">
        <v>1001.86</v>
      </c>
      <c r="D369" s="801">
        <v>33.200000000000003</v>
      </c>
      <c r="E369" s="801"/>
      <c r="F369" s="146">
        <v>1440.86</v>
      </c>
      <c r="G369" s="628">
        <f t="shared" si="56"/>
        <v>1035.06</v>
      </c>
      <c r="H369" s="826"/>
      <c r="I369" s="826">
        <v>127</v>
      </c>
      <c r="J369" s="411"/>
      <c r="K369" s="400">
        <f t="shared" si="54"/>
        <v>127</v>
      </c>
      <c r="L369" s="593">
        <f t="shared" si="52"/>
        <v>0.16798941798941799</v>
      </c>
      <c r="M369" s="177">
        <f t="shared" si="55"/>
        <v>338.83633597883596</v>
      </c>
      <c r="N369" s="446">
        <f t="shared" si="53"/>
        <v>124.590120739418</v>
      </c>
      <c r="O369" s="427">
        <v>130.88895502645502</v>
      </c>
      <c r="P369" s="177">
        <f t="shared" si="50"/>
        <v>8.3793121693121702</v>
      </c>
      <c r="Q369" s="177">
        <f t="shared" si="57"/>
        <v>10.214381534391537</v>
      </c>
      <c r="R369" s="431">
        <f t="shared" si="51"/>
        <v>0.60157579293915431</v>
      </c>
      <c r="S369" s="468">
        <v>3</v>
      </c>
      <c r="T369" s="127"/>
      <c r="U369" s="127"/>
      <c r="V369" s="127"/>
      <c r="W369" s="127"/>
      <c r="X369" s="127"/>
      <c r="Y369" s="127"/>
    </row>
    <row r="370" spans="1:25" s="6" customFormat="1" ht="13.5" customHeight="1">
      <c r="A370" s="268">
        <v>279</v>
      </c>
      <c r="B370" s="122" t="s">
        <v>1322</v>
      </c>
      <c r="C370" s="330">
        <v>592</v>
      </c>
      <c r="D370" s="801"/>
      <c r="E370" s="801">
        <v>92.4</v>
      </c>
      <c r="F370" s="146">
        <v>658.6</v>
      </c>
      <c r="G370" s="628">
        <f t="shared" si="56"/>
        <v>684.4</v>
      </c>
      <c r="H370" s="826">
        <v>69</v>
      </c>
      <c r="I370" s="826">
        <v>41</v>
      </c>
      <c r="J370" s="411"/>
      <c r="K370" s="400">
        <f t="shared" si="54"/>
        <v>110</v>
      </c>
      <c r="L370" s="593">
        <f t="shared" si="52"/>
        <v>0.13637566137566137</v>
      </c>
      <c r="M370" s="177">
        <f t="shared" si="55"/>
        <v>275.07107275132273</v>
      </c>
      <c r="N370" s="446">
        <f t="shared" si="53"/>
        <v>101.14363345066137</v>
      </c>
      <c r="O370" s="427">
        <v>106.25709656084655</v>
      </c>
      <c r="P370" s="177">
        <f t="shared" si="50"/>
        <v>6.8024179894179895</v>
      </c>
      <c r="Q370" s="177">
        <f t="shared" si="57"/>
        <v>8.2921475291005304</v>
      </c>
      <c r="R370" s="431">
        <f t="shared" si="51"/>
        <v>0.82647672424366325</v>
      </c>
      <c r="S370" s="468">
        <v>3</v>
      </c>
      <c r="T370" s="127"/>
      <c r="U370" s="127"/>
      <c r="V370" s="127"/>
      <c r="W370" s="127"/>
      <c r="X370" s="127"/>
      <c r="Y370" s="127"/>
    </row>
    <row r="371" spans="1:25" s="6" customFormat="1" ht="13.5" customHeight="1">
      <c r="A371" s="268">
        <v>280</v>
      </c>
      <c r="B371" s="122" t="s">
        <v>1323</v>
      </c>
      <c r="C371" s="330">
        <v>796.45</v>
      </c>
      <c r="D371" s="801">
        <v>32.4</v>
      </c>
      <c r="E371" s="801">
        <v>30</v>
      </c>
      <c r="F371" s="146">
        <v>796.05</v>
      </c>
      <c r="G371" s="628">
        <f t="shared" si="56"/>
        <v>858.85</v>
      </c>
      <c r="H371" s="826">
        <v>40</v>
      </c>
      <c r="I371" s="826">
        <v>97</v>
      </c>
      <c r="J371" s="411"/>
      <c r="K371" s="400">
        <f t="shared" si="54"/>
        <v>137</v>
      </c>
      <c r="L371" s="593">
        <f t="shared" si="52"/>
        <v>0.17592592592592593</v>
      </c>
      <c r="M371" s="177">
        <f t="shared" si="55"/>
        <v>354.84435185185185</v>
      </c>
      <c r="N371" s="446">
        <f t="shared" si="53"/>
        <v>130.47626817592592</v>
      </c>
      <c r="O371" s="427">
        <v>137.07268518518518</v>
      </c>
      <c r="P371" s="177">
        <f t="shared" si="50"/>
        <v>8.775185185185185</v>
      </c>
      <c r="Q371" s="177">
        <f t="shared" si="57"/>
        <v>10.696950740740741</v>
      </c>
      <c r="R371" s="431">
        <f t="shared" si="51"/>
        <v>0.79247723070895604</v>
      </c>
      <c r="S371" s="468">
        <v>3</v>
      </c>
      <c r="T371" s="127"/>
      <c r="U371" s="127"/>
      <c r="V371" s="127"/>
      <c r="W371" s="127"/>
      <c r="X371" s="127"/>
      <c r="Y371" s="127"/>
    </row>
    <row r="372" spans="1:25" s="6" customFormat="1" ht="13.5" customHeight="1">
      <c r="A372" s="275">
        <v>281</v>
      </c>
      <c r="B372" s="122" t="s">
        <v>1324</v>
      </c>
      <c r="C372" s="330">
        <v>711</v>
      </c>
      <c r="D372" s="801"/>
      <c r="E372" s="801">
        <v>116.7</v>
      </c>
      <c r="F372" s="146">
        <v>873</v>
      </c>
      <c r="G372" s="628">
        <f t="shared" si="56"/>
        <v>827.7</v>
      </c>
      <c r="H372" s="826">
        <v>73</v>
      </c>
      <c r="I372" s="826">
        <v>47</v>
      </c>
      <c r="J372" s="411"/>
      <c r="K372" s="400">
        <f t="shared" si="54"/>
        <v>120</v>
      </c>
      <c r="L372" s="593">
        <f t="shared" si="52"/>
        <v>0.14907407407407408</v>
      </c>
      <c r="M372" s="177">
        <f t="shared" si="55"/>
        <v>300.68389814814816</v>
      </c>
      <c r="N372" s="446">
        <f t="shared" si="53"/>
        <v>110.56146934907409</v>
      </c>
      <c r="O372" s="427">
        <v>116.15106481481482</v>
      </c>
      <c r="P372" s="177">
        <f t="shared" si="50"/>
        <v>7.4358148148148153</v>
      </c>
      <c r="Q372" s="177">
        <f t="shared" si="57"/>
        <v>9.06425825925926</v>
      </c>
      <c r="R372" s="431">
        <f t="shared" si="51"/>
        <v>0.75222538273818818</v>
      </c>
      <c r="S372" s="468">
        <v>3</v>
      </c>
      <c r="T372" s="127"/>
      <c r="U372" s="127"/>
      <c r="V372" s="127"/>
      <c r="W372" s="127"/>
      <c r="X372" s="127"/>
      <c r="Y372" s="127"/>
    </row>
    <row r="373" spans="1:25" s="6" customFormat="1" ht="13.5" customHeight="1">
      <c r="A373" s="268">
        <v>282</v>
      </c>
      <c r="B373" s="273" t="s">
        <v>1325</v>
      </c>
      <c r="C373" s="330">
        <v>837.19</v>
      </c>
      <c r="D373" s="801"/>
      <c r="E373" s="801"/>
      <c r="F373" s="146">
        <v>837.19</v>
      </c>
      <c r="G373" s="628">
        <f t="shared" si="56"/>
        <v>837.19</v>
      </c>
      <c r="H373" s="826"/>
      <c r="I373" s="826"/>
      <c r="J373" s="411"/>
      <c r="K373" s="400">
        <f t="shared" si="54"/>
        <v>0</v>
      </c>
      <c r="L373" s="593">
        <f t="shared" si="52"/>
        <v>0</v>
      </c>
      <c r="M373" s="177">
        <f t="shared" si="55"/>
        <v>0</v>
      </c>
      <c r="N373" s="446">
        <f t="shared" si="53"/>
        <v>0</v>
      </c>
      <c r="O373" s="427">
        <v>0</v>
      </c>
      <c r="P373" s="177">
        <f t="shared" si="50"/>
        <v>0</v>
      </c>
      <c r="Q373" s="177">
        <f t="shared" si="57"/>
        <v>0</v>
      </c>
      <c r="R373" s="431">
        <f t="shared" si="51"/>
        <v>0</v>
      </c>
      <c r="S373" s="468">
        <v>3</v>
      </c>
      <c r="T373" s="127"/>
      <c r="U373" s="127"/>
      <c r="V373" s="127"/>
      <c r="W373" s="127"/>
      <c r="X373" s="127"/>
      <c r="Y373" s="127"/>
    </row>
    <row r="374" spans="1:25" s="6" customFormat="1" ht="13.5" customHeight="1">
      <c r="A374" s="268">
        <v>283</v>
      </c>
      <c r="B374" s="122" t="s">
        <v>1326</v>
      </c>
      <c r="C374" s="330">
        <v>325.10000000000002</v>
      </c>
      <c r="D374" s="801"/>
      <c r="E374" s="801"/>
      <c r="F374" s="146">
        <v>325.10000000000002</v>
      </c>
      <c r="G374" s="628">
        <f t="shared" si="56"/>
        <v>325.10000000000002</v>
      </c>
      <c r="H374" s="826">
        <v>27</v>
      </c>
      <c r="I374" s="826">
        <v>19</v>
      </c>
      <c r="J374" s="411"/>
      <c r="K374" s="400">
        <f t="shared" si="54"/>
        <v>46</v>
      </c>
      <c r="L374" s="593">
        <f t="shared" si="52"/>
        <v>5.7275132275132271E-2</v>
      </c>
      <c r="M374" s="177">
        <f t="shared" si="55"/>
        <v>115.52451455026454</v>
      </c>
      <c r="N374" s="446">
        <f t="shared" si="53"/>
        <v>42.478364000132274</v>
      </c>
      <c r="O374" s="427">
        <v>44.625919312169309</v>
      </c>
      <c r="P374" s="177">
        <f t="shared" si="50"/>
        <v>2.8568835978835976</v>
      </c>
      <c r="Q374" s="177">
        <f t="shared" si="57"/>
        <v>3.4825411058201059</v>
      </c>
      <c r="R374" s="431">
        <f t="shared" si="51"/>
        <v>0.63206915244678474</v>
      </c>
      <c r="S374" s="468">
        <v>3</v>
      </c>
      <c r="T374" s="127"/>
      <c r="U374" s="127"/>
      <c r="V374" s="127"/>
      <c r="W374" s="127"/>
      <c r="X374" s="127"/>
      <c r="Y374" s="127"/>
    </row>
    <row r="375" spans="1:25" s="6" customFormat="1" ht="13.5" customHeight="1">
      <c r="A375" s="268">
        <v>284</v>
      </c>
      <c r="B375" s="122" t="s">
        <v>1327</v>
      </c>
      <c r="C375" s="330">
        <v>456.1</v>
      </c>
      <c r="D375" s="801"/>
      <c r="E375" s="801">
        <v>56.9</v>
      </c>
      <c r="F375" s="146">
        <v>514.79999999999995</v>
      </c>
      <c r="G375" s="628">
        <f t="shared" si="56"/>
        <v>513</v>
      </c>
      <c r="H375" s="826">
        <v>32</v>
      </c>
      <c r="I375" s="826">
        <v>28</v>
      </c>
      <c r="J375" s="411"/>
      <c r="K375" s="400">
        <f t="shared" si="54"/>
        <v>60</v>
      </c>
      <c r="L375" s="593">
        <f t="shared" si="52"/>
        <v>7.5132275132275134E-2</v>
      </c>
      <c r="M375" s="177">
        <f t="shared" si="55"/>
        <v>151.54255026455027</v>
      </c>
      <c r="N375" s="446">
        <f t="shared" si="53"/>
        <v>55.722195732275139</v>
      </c>
      <c r="O375" s="427">
        <v>58.539312169312169</v>
      </c>
      <c r="P375" s="177">
        <f t="shared" si="50"/>
        <v>3.747597883597884</v>
      </c>
      <c r="Q375" s="177">
        <f t="shared" si="57"/>
        <v>4.5683218201058207</v>
      </c>
      <c r="R375" s="431">
        <f t="shared" si="51"/>
        <v>0.59099244913338189</v>
      </c>
      <c r="S375" s="468">
        <v>3</v>
      </c>
      <c r="T375" s="127"/>
      <c r="U375" s="127"/>
      <c r="V375" s="127"/>
      <c r="W375" s="127"/>
      <c r="X375" s="127"/>
      <c r="Y375" s="127"/>
    </row>
    <row r="376" spans="1:25" s="6" customFormat="1" ht="13.5" customHeight="1">
      <c r="A376" s="268">
        <v>285</v>
      </c>
      <c r="B376" s="122" t="s">
        <v>1328</v>
      </c>
      <c r="C376" s="330">
        <v>1004.92</v>
      </c>
      <c r="D376" s="801"/>
      <c r="E376" s="801">
        <v>18.5</v>
      </c>
      <c r="F376" s="146">
        <v>1221.82</v>
      </c>
      <c r="G376" s="628">
        <f t="shared" si="56"/>
        <v>1023.42</v>
      </c>
      <c r="H376" s="826">
        <v>73</v>
      </c>
      <c r="I376" s="826">
        <v>62</v>
      </c>
      <c r="J376" s="411"/>
      <c r="K376" s="400">
        <f t="shared" si="54"/>
        <v>135</v>
      </c>
      <c r="L376" s="593">
        <f t="shared" si="52"/>
        <v>0.16891534391534391</v>
      </c>
      <c r="M376" s="177">
        <f t="shared" si="55"/>
        <v>340.70393783068783</v>
      </c>
      <c r="N376" s="446">
        <f t="shared" si="53"/>
        <v>125.27683794034392</v>
      </c>
      <c r="O376" s="427">
        <v>131.61039021164021</v>
      </c>
      <c r="P376" s="177">
        <f t="shared" si="50"/>
        <v>8.4254973544973542</v>
      </c>
      <c r="Q376" s="177">
        <f t="shared" si="57"/>
        <v>10.270681275132276</v>
      </c>
      <c r="R376" s="431">
        <f t="shared" si="51"/>
        <v>0.60304965901481644</v>
      </c>
      <c r="S376" s="468">
        <v>4</v>
      </c>
      <c r="T376" s="127"/>
      <c r="U376" s="127"/>
      <c r="V376" s="127"/>
      <c r="W376" s="127"/>
      <c r="X376" s="127"/>
      <c r="Y376" s="127"/>
    </row>
    <row r="377" spans="1:25" s="6" customFormat="1" ht="15.75">
      <c r="A377" s="268">
        <v>286</v>
      </c>
      <c r="B377" s="122" t="s">
        <v>1355</v>
      </c>
      <c r="C377" s="535">
        <v>74.599999999999994</v>
      </c>
      <c r="D377" s="413"/>
      <c r="E377" s="413"/>
      <c r="F377" s="146">
        <v>74.599999999999994</v>
      </c>
      <c r="G377" s="628">
        <f t="shared" si="56"/>
        <v>74.599999999999994</v>
      </c>
      <c r="H377" s="414"/>
      <c r="I377" s="414">
        <v>0</v>
      </c>
      <c r="J377" s="411"/>
      <c r="K377" s="400">
        <f t="shared" si="54"/>
        <v>0</v>
      </c>
      <c r="L377" s="593">
        <f t="shared" si="52"/>
        <v>0</v>
      </c>
      <c r="M377" s="177">
        <f t="shared" si="55"/>
        <v>0</v>
      </c>
      <c r="N377" s="446">
        <f t="shared" si="53"/>
        <v>0</v>
      </c>
      <c r="O377" s="427">
        <v>0</v>
      </c>
      <c r="P377" s="177">
        <f t="shared" si="50"/>
        <v>0</v>
      </c>
      <c r="Q377" s="177">
        <f t="shared" si="57"/>
        <v>0</v>
      </c>
      <c r="R377" s="431">
        <f t="shared" si="51"/>
        <v>0</v>
      </c>
      <c r="S377" s="468">
        <v>1</v>
      </c>
      <c r="T377" s="127"/>
      <c r="U377" s="127"/>
      <c r="V377" s="127"/>
      <c r="W377" s="127"/>
      <c r="X377" s="127"/>
      <c r="Y377" s="127"/>
    </row>
    <row r="378" spans="1:25" s="6" customFormat="1" ht="15.75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404">
        <v>576.9</v>
      </c>
      <c r="G378" s="628">
        <f t="shared" si="56"/>
        <v>577.79999999999995</v>
      </c>
      <c r="H378" s="414"/>
      <c r="I378" s="414">
        <v>120</v>
      </c>
      <c r="J378" s="411"/>
      <c r="K378" s="415">
        <f t="shared" si="54"/>
        <v>120</v>
      </c>
      <c r="L378" s="593">
        <f t="shared" si="52"/>
        <v>0.15873015873015872</v>
      </c>
      <c r="M378" s="177">
        <f t="shared" si="55"/>
        <v>320.16031746031746</v>
      </c>
      <c r="N378" s="447">
        <f t="shared" si="53"/>
        <v>117.72294873015873</v>
      </c>
      <c r="O378" s="427">
        <v>123.67460317460316</v>
      </c>
      <c r="P378" s="177">
        <f t="shared" si="50"/>
        <v>7.9174603174603178</v>
      </c>
      <c r="Q378" s="177">
        <f t="shared" si="57"/>
        <v>9.6513841269841283</v>
      </c>
      <c r="R378" s="431">
        <f t="shared" si="51"/>
        <v>1.0565405003386634</v>
      </c>
      <c r="S378" s="468">
        <v>3</v>
      </c>
      <c r="T378" s="127"/>
      <c r="U378" s="127"/>
      <c r="V378" s="127"/>
      <c r="W378" s="127"/>
      <c r="X378" s="127"/>
      <c r="Y378" s="127"/>
    </row>
    <row r="379" spans="1:25" s="6" customFormat="1" ht="15.75">
      <c r="A379" s="275">
        <v>288</v>
      </c>
      <c r="B379" s="122" t="s">
        <v>1357</v>
      </c>
      <c r="C379" s="535">
        <v>379.4</v>
      </c>
      <c r="D379" s="413"/>
      <c r="E379" s="413"/>
      <c r="F379" s="404">
        <v>379.4</v>
      </c>
      <c r="G379" s="628">
        <f t="shared" si="56"/>
        <v>379.4</v>
      </c>
      <c r="H379" s="414"/>
      <c r="I379" s="414">
        <v>50</v>
      </c>
      <c r="J379" s="411"/>
      <c r="K379" s="415">
        <f t="shared" si="54"/>
        <v>50</v>
      </c>
      <c r="L379" s="593">
        <f t="shared" si="52"/>
        <v>6.6137566137566134E-2</v>
      </c>
      <c r="M379" s="177">
        <f t="shared" si="55"/>
        <v>133.40013227513228</v>
      </c>
      <c r="N379" s="447">
        <f t="shared" si="53"/>
        <v>49.05122863756614</v>
      </c>
      <c r="O379" s="427">
        <v>51.531084656084651</v>
      </c>
      <c r="P379" s="177">
        <f t="shared" si="50"/>
        <v>3.2989417989417991</v>
      </c>
      <c r="Q379" s="177">
        <f t="shared" si="57"/>
        <v>4.0214100529100536</v>
      </c>
      <c r="R379" s="431">
        <f t="shared" si="51"/>
        <v>0.62541219654118319</v>
      </c>
      <c r="S379" s="468">
        <v>3</v>
      </c>
      <c r="T379" s="127"/>
      <c r="U379" s="127"/>
      <c r="V379" s="127"/>
      <c r="W379" s="127"/>
      <c r="X379" s="127"/>
      <c r="Y379" s="127"/>
    </row>
    <row r="380" spans="1:25" s="6" customFormat="1" ht="15.75">
      <c r="A380" s="268">
        <v>289</v>
      </c>
      <c r="B380" s="291" t="s">
        <v>1395</v>
      </c>
      <c r="C380" s="449">
        <f>1893+1096.4</f>
        <v>2989.4</v>
      </c>
      <c r="D380" s="255"/>
      <c r="E380" s="255"/>
      <c r="F380" s="450">
        <f>C380</f>
        <v>2989.4</v>
      </c>
      <c r="G380" s="628">
        <f t="shared" si="56"/>
        <v>2989.4</v>
      </c>
      <c r="H380" s="845">
        <v>126</v>
      </c>
      <c r="I380" s="414"/>
      <c r="J380" s="411"/>
      <c r="K380" s="400">
        <f t="shared" si="54"/>
        <v>126</v>
      </c>
      <c r="L380" s="593">
        <f t="shared" si="52"/>
        <v>0.15</v>
      </c>
      <c r="M380" s="177">
        <f t="shared" si="55"/>
        <v>302.55149999999998</v>
      </c>
      <c r="N380" s="446">
        <f t="shared" si="53"/>
        <v>111.24818655</v>
      </c>
      <c r="O380" s="427">
        <v>51.531084656084651</v>
      </c>
      <c r="P380" s="177">
        <f t="shared" si="50"/>
        <v>7.4820000000000002</v>
      </c>
      <c r="Q380" s="177">
        <f t="shared" si="57"/>
        <v>9.1205580000000008</v>
      </c>
      <c r="R380" s="431">
        <f t="shared" si="51"/>
        <v>0.15816310002210632</v>
      </c>
      <c r="S380" s="468"/>
      <c r="T380" s="127"/>
      <c r="U380" s="127"/>
      <c r="V380" s="127"/>
      <c r="W380" s="127"/>
      <c r="X380" s="127"/>
      <c r="Y380" s="127"/>
    </row>
    <row r="381" spans="1:25" s="6" customFormat="1" ht="15.75">
      <c r="A381" s="268">
        <v>290</v>
      </c>
      <c r="B381" s="292" t="s">
        <v>1396</v>
      </c>
      <c r="C381" s="416">
        <v>527.29999999999995</v>
      </c>
      <c r="D381" s="255"/>
      <c r="E381" s="255"/>
      <c r="F381" s="451">
        <f>C381</f>
        <v>527.29999999999995</v>
      </c>
      <c r="G381" s="628">
        <f t="shared" si="56"/>
        <v>527.29999999999995</v>
      </c>
      <c r="H381" s="845"/>
      <c r="I381" s="414"/>
      <c r="J381" s="411"/>
      <c r="K381" s="400">
        <f>H381+I381</f>
        <v>0</v>
      </c>
      <c r="L381" s="593">
        <f t="shared" si="52"/>
        <v>0</v>
      </c>
      <c r="M381" s="177">
        <f t="shared" si="55"/>
        <v>0</v>
      </c>
      <c r="N381" s="446">
        <f t="shared" si="53"/>
        <v>0</v>
      </c>
      <c r="O381" s="427">
        <v>0</v>
      </c>
      <c r="P381" s="177">
        <f t="shared" si="50"/>
        <v>0</v>
      </c>
      <c r="Q381" s="177">
        <f t="shared" si="57"/>
        <v>0</v>
      </c>
      <c r="R381" s="431">
        <f t="shared" si="51"/>
        <v>0</v>
      </c>
      <c r="S381" s="468"/>
      <c r="T381" s="127"/>
      <c r="U381" s="127"/>
      <c r="V381" s="127"/>
      <c r="W381" s="127"/>
      <c r="X381" s="127"/>
      <c r="Y381" s="127"/>
    </row>
    <row r="382" spans="1:25" s="6" customFormat="1" ht="15.75">
      <c r="A382" s="268">
        <v>291</v>
      </c>
      <c r="B382" s="301" t="s">
        <v>1400</v>
      </c>
      <c r="C382" s="449">
        <v>2299.1999999999998</v>
      </c>
      <c r="D382" s="255"/>
      <c r="E382" s="255"/>
      <c r="F382" s="450">
        <v>2299.1999999999998</v>
      </c>
      <c r="G382" s="628">
        <f t="shared" si="56"/>
        <v>2299.1999999999998</v>
      </c>
      <c r="H382" s="845">
        <v>108.9</v>
      </c>
      <c r="I382" s="845"/>
      <c r="J382" s="411"/>
      <c r="K382" s="400">
        <f t="shared" si="54"/>
        <v>108.9</v>
      </c>
      <c r="L382" s="593">
        <f t="shared" si="52"/>
        <v>0.12964285714285714</v>
      </c>
      <c r="M382" s="177">
        <f t="shared" si="55"/>
        <v>261.49093928571426</v>
      </c>
      <c r="N382" s="446">
        <f t="shared" si="53"/>
        <v>96.150218375357142</v>
      </c>
      <c r="O382" s="427">
        <v>101.01123214285714</v>
      </c>
      <c r="P382" s="177">
        <f t="shared" si="50"/>
        <v>6.4665857142857144</v>
      </c>
      <c r="Q382" s="177">
        <f t="shared" si="57"/>
        <v>7.8827679857142865</v>
      </c>
      <c r="R382" s="431">
        <f t="shared" si="51"/>
        <v>0.20229600535760886</v>
      </c>
      <c r="S382" s="468">
        <v>8</v>
      </c>
      <c r="T382" s="127"/>
      <c r="U382" s="127"/>
      <c r="V382" s="127"/>
      <c r="W382" s="127"/>
      <c r="X382" s="127"/>
      <c r="Y382" s="127"/>
    </row>
    <row r="383" spans="1:25" s="6" customFormat="1" ht="15.75">
      <c r="A383" s="268">
        <v>292</v>
      </c>
      <c r="B383" s="302" t="s">
        <v>1401</v>
      </c>
      <c r="C383" s="417">
        <v>292.60000000000002</v>
      </c>
      <c r="D383" s="418"/>
      <c r="E383" s="418"/>
      <c r="F383" s="418">
        <v>292.60000000000002</v>
      </c>
      <c r="G383" s="628">
        <f t="shared" si="56"/>
        <v>292.60000000000002</v>
      </c>
      <c r="H383" s="418"/>
      <c r="I383" s="418">
        <v>38.4</v>
      </c>
      <c r="J383" s="411"/>
      <c r="K383" s="415">
        <f t="shared" si="54"/>
        <v>38.4</v>
      </c>
      <c r="L383" s="593">
        <f t="shared" si="52"/>
        <v>5.0793650793650794E-2</v>
      </c>
      <c r="M383" s="177">
        <f t="shared" si="55"/>
        <v>102.45130158730159</v>
      </c>
      <c r="N383" s="447">
        <f t="shared" si="53"/>
        <v>37.671343593650796</v>
      </c>
      <c r="O383" s="427">
        <v>47.923908730158729</v>
      </c>
      <c r="P383" s="177">
        <f t="shared" si="50"/>
        <v>2.5335873015873016</v>
      </c>
      <c r="Q383" s="177">
        <f t="shared" si="57"/>
        <v>3.0884429206349209</v>
      </c>
      <c r="R383" s="431">
        <f t="shared" si="51"/>
        <v>0.65133336026212707</v>
      </c>
      <c r="S383" s="468">
        <v>3</v>
      </c>
      <c r="T383" s="127"/>
      <c r="U383" s="127"/>
      <c r="V383" s="127"/>
      <c r="W383" s="127"/>
      <c r="X383" s="127"/>
      <c r="Y383" s="127"/>
    </row>
    <row r="384" spans="1:25" s="67" customFormat="1" ht="13.5" customHeight="1">
      <c r="A384" s="412"/>
      <c r="B384" s="173" t="s">
        <v>681</v>
      </c>
      <c r="C384" s="401">
        <f>SUM(C92:C383)</f>
        <v>223930.76000000007</v>
      </c>
      <c r="D384" s="173">
        <f>SUM(D92:D383)</f>
        <v>4473.8499999999995</v>
      </c>
      <c r="E384" s="173">
        <f>SUM(E92:E383)</f>
        <v>3784.1</v>
      </c>
      <c r="F384" s="173">
        <f>SUM(F92:F381)</f>
        <v>226381.49000000002</v>
      </c>
      <c r="G384" s="844">
        <f>C384+D384+E384</f>
        <v>232188.71000000008</v>
      </c>
      <c r="H384" s="173">
        <f>SUM(H92:H383)</f>
        <v>13657.9</v>
      </c>
      <c r="I384" s="173">
        <f>SUM(I92:I383)</f>
        <v>8465.4</v>
      </c>
      <c r="J384" s="173">
        <f>SUM(J92:J383)</f>
        <v>0</v>
      </c>
      <c r="K384" s="173">
        <f>SUM(K92:K383)</f>
        <v>22123.300000000003</v>
      </c>
      <c r="L384" s="593">
        <f t="shared" si="52"/>
        <v>27.457023809523811</v>
      </c>
      <c r="M384" s="177">
        <f>L384*2017.01</f>
        <v>55381.091594047619</v>
      </c>
      <c r="N384" s="427">
        <f>M384*0.3677</f>
        <v>20363.627379131311</v>
      </c>
      <c r="O384" s="427">
        <f>SUM(O92:O383)</f>
        <v>21056.126807539673</v>
      </c>
      <c r="P384" s="177">
        <f>L384*49.88</f>
        <v>1369.5563476190478</v>
      </c>
      <c r="Q384" s="177">
        <f t="shared" si="57"/>
        <v>1669.4891877476193</v>
      </c>
      <c r="R384" s="431">
        <f t="shared" si="51"/>
        <v>0.43839623519492193</v>
      </c>
      <c r="S384" s="468"/>
      <c r="T384" s="152"/>
      <c r="U384" s="152"/>
      <c r="V384" s="152"/>
      <c r="W384" s="152"/>
      <c r="X384" s="152"/>
      <c r="Y384" s="152"/>
    </row>
    <row r="385" spans="1:25" s="209" customFormat="1" ht="13.5" customHeight="1">
      <c r="A385" s="497" t="s">
        <v>668</v>
      </c>
      <c r="B385" s="257"/>
      <c r="C385" s="438"/>
      <c r="D385" s="438"/>
      <c r="E385" s="438"/>
      <c r="F385" s="438"/>
      <c r="G385" s="644">
        <f>C385+D385+E385</f>
        <v>0</v>
      </c>
      <c r="H385" s="438"/>
      <c r="I385" s="438"/>
      <c r="J385" s="438"/>
      <c r="K385" s="438"/>
      <c r="L385" s="501">
        <f t="shared" ref="L385:L401" si="58">(H385/840)+(I385/756)</f>
        <v>0</v>
      </c>
      <c r="M385" s="177">
        <f>L385*2077.52</f>
        <v>0</v>
      </c>
      <c r="N385" s="498"/>
      <c r="O385" s="427">
        <v>0</v>
      </c>
      <c r="P385" s="504">
        <f t="shared" si="50"/>
        <v>0</v>
      </c>
      <c r="Q385" s="177">
        <f t="shared" si="57"/>
        <v>0</v>
      </c>
      <c r="R385" s="431" t="e">
        <f t="shared" si="51"/>
        <v>#DIV/0!</v>
      </c>
      <c r="S385" s="502"/>
      <c r="T385" s="212"/>
      <c r="U385" s="212"/>
      <c r="V385" s="212"/>
      <c r="W385" s="212"/>
      <c r="X385" s="212"/>
      <c r="Y385" s="212"/>
    </row>
    <row r="386" spans="1:25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32">
        <f t="shared" ref="F386:F449" si="59">C386+D386+E386</f>
        <v>4235</v>
      </c>
      <c r="G386" s="646">
        <f>C386+D386+E386</f>
        <v>4235</v>
      </c>
      <c r="H386" s="146">
        <v>645</v>
      </c>
      <c r="I386" s="146"/>
      <c r="J386" s="146">
        <v>645</v>
      </c>
      <c r="K386" s="146">
        <f>H386+I386</f>
        <v>645</v>
      </c>
      <c r="L386" s="191">
        <f t="shared" si="58"/>
        <v>0.7678571428571429</v>
      </c>
      <c r="M386" s="177">
        <f t="shared" ref="M386:M449" si="60">L386*2017.01</f>
        <v>1548.7755357142858</v>
      </c>
      <c r="N386" s="148">
        <f t="shared" ref="N386:N449" si="61">M386*0.3677</f>
        <v>569.48476448214296</v>
      </c>
      <c r="O386" s="427">
        <v>598.27589285714282</v>
      </c>
      <c r="P386" s="177">
        <f>L386*49.88*1.08</f>
        <v>41.364771428571437</v>
      </c>
      <c r="Q386" s="177">
        <f t="shared" si="57"/>
        <v>50.423656371428585</v>
      </c>
      <c r="R386" s="431">
        <f t="shared" si="51"/>
        <v>0.65121628441136803</v>
      </c>
      <c r="S386" s="468">
        <v>5</v>
      </c>
      <c r="T386" s="127"/>
      <c r="U386" s="127"/>
      <c r="V386" s="127"/>
      <c r="W386" s="127"/>
      <c r="X386" s="127"/>
      <c r="Y386" s="127"/>
    </row>
    <row r="387" spans="1:25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32">
        <f t="shared" si="59"/>
        <v>12601</v>
      </c>
      <c r="G387" s="646">
        <f t="shared" ref="G387:G450" si="62">C387+D387+E387</f>
        <v>12601</v>
      </c>
      <c r="H387" s="146">
        <v>1959</v>
      </c>
      <c r="I387" s="146"/>
      <c r="J387" s="146">
        <v>1959</v>
      </c>
      <c r="K387" s="146">
        <v>1959</v>
      </c>
      <c r="L387" s="191">
        <f t="shared" si="58"/>
        <v>2.3321428571428573</v>
      </c>
      <c r="M387" s="177">
        <f t="shared" si="60"/>
        <v>4703.9554642857147</v>
      </c>
      <c r="N387" s="148">
        <f t="shared" si="61"/>
        <v>1729.6444242178575</v>
      </c>
      <c r="O387" s="427">
        <v>2180.5069285714285</v>
      </c>
      <c r="P387" s="177">
        <f t="shared" ref="P387:P450" si="63">L387*49.88*1.08</f>
        <v>125.63346857142859</v>
      </c>
      <c r="Q387" s="177">
        <f t="shared" si="57"/>
        <v>153.14719818857148</v>
      </c>
      <c r="R387" s="431">
        <f t="shared" si="51"/>
        <v>0.69357513575481533</v>
      </c>
      <c r="S387" s="468">
        <v>9</v>
      </c>
      <c r="T387" s="127"/>
      <c r="U387" s="127"/>
      <c r="V387" s="127"/>
      <c r="W387" s="127"/>
      <c r="X387" s="127"/>
      <c r="Y387" s="127"/>
    </row>
    <row r="388" spans="1:25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32">
        <f t="shared" si="59"/>
        <v>12482</v>
      </c>
      <c r="G388" s="646">
        <f t="shared" si="62"/>
        <v>12482</v>
      </c>
      <c r="H388" s="146"/>
      <c r="I388" s="146"/>
      <c r="J388" s="146">
        <v>1306</v>
      </c>
      <c r="K388" s="146">
        <v>1959</v>
      </c>
      <c r="L388" s="191">
        <f t="shared" si="58"/>
        <v>0</v>
      </c>
      <c r="M388" s="177">
        <f t="shared" si="60"/>
        <v>0</v>
      </c>
      <c r="N388" s="148">
        <f t="shared" si="61"/>
        <v>0</v>
      </c>
      <c r="O388" s="427">
        <v>0</v>
      </c>
      <c r="P388" s="177">
        <f t="shared" si="63"/>
        <v>0</v>
      </c>
      <c r="Q388" s="177">
        <f t="shared" si="57"/>
        <v>0</v>
      </c>
      <c r="R388" s="431">
        <f t="shared" si="51"/>
        <v>0</v>
      </c>
      <c r="S388" s="468"/>
      <c r="T388" s="127"/>
      <c r="U388" s="127"/>
      <c r="V388" s="127"/>
      <c r="W388" s="127"/>
      <c r="X388" s="127"/>
      <c r="Y388" s="127"/>
    </row>
    <row r="389" spans="1:25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32">
        <f t="shared" si="59"/>
        <v>6092</v>
      </c>
      <c r="G389" s="646">
        <f t="shared" si="62"/>
        <v>6092</v>
      </c>
      <c r="H389" s="146">
        <v>943</v>
      </c>
      <c r="I389" s="146"/>
      <c r="J389" s="146">
        <v>943</v>
      </c>
      <c r="K389" s="146">
        <v>943</v>
      </c>
      <c r="L389" s="191">
        <f t="shared" si="58"/>
        <v>1.1226190476190476</v>
      </c>
      <c r="M389" s="177">
        <f t="shared" si="60"/>
        <v>2264.3338452380954</v>
      </c>
      <c r="N389" s="148">
        <f t="shared" si="61"/>
        <v>832.59555489404772</v>
      </c>
      <c r="O389" s="427">
        <v>962.15749404761902</v>
      </c>
      <c r="P389" s="177">
        <f t="shared" si="63"/>
        <v>60.475937142857148</v>
      </c>
      <c r="Q389" s="177">
        <f t="shared" si="57"/>
        <v>73.720167377142872</v>
      </c>
      <c r="R389" s="431">
        <f t="shared" si="51"/>
        <v>0.67622502155656905</v>
      </c>
      <c r="S389" s="468">
        <v>9</v>
      </c>
      <c r="T389" s="127"/>
      <c r="U389" s="127"/>
      <c r="V389" s="127"/>
      <c r="W389" s="127"/>
      <c r="X389" s="127"/>
      <c r="Y389" s="127"/>
    </row>
    <row r="390" spans="1:25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32">
        <f t="shared" si="59"/>
        <v>12853.2</v>
      </c>
      <c r="G390" s="646">
        <f t="shared" si="62"/>
        <v>12853.2</v>
      </c>
      <c r="H390" s="146">
        <v>1959</v>
      </c>
      <c r="I390" s="146"/>
      <c r="J390" s="146">
        <v>1959</v>
      </c>
      <c r="K390" s="146">
        <v>1959</v>
      </c>
      <c r="L390" s="191">
        <f t="shared" si="58"/>
        <v>2.3321428571428573</v>
      </c>
      <c r="M390" s="177">
        <f t="shared" si="60"/>
        <v>4703.9554642857147</v>
      </c>
      <c r="N390" s="148">
        <f t="shared" si="61"/>
        <v>1729.6444242178575</v>
      </c>
      <c r="O390" s="427">
        <v>1998.7980178571431</v>
      </c>
      <c r="P390" s="177">
        <f t="shared" si="63"/>
        <v>125.63346857142859</v>
      </c>
      <c r="Q390" s="177">
        <f t="shared" si="57"/>
        <v>153.14719818857148</v>
      </c>
      <c r="R390" s="431">
        <f t="shared" si="51"/>
        <v>0.66582885000872483</v>
      </c>
      <c r="S390" s="468">
        <v>9</v>
      </c>
      <c r="T390" s="127"/>
      <c r="U390" s="127"/>
      <c r="V390" s="127"/>
      <c r="W390" s="127"/>
      <c r="X390" s="127"/>
      <c r="Y390" s="127"/>
    </row>
    <row r="391" spans="1:25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32">
        <f t="shared" si="59"/>
        <v>6317.1</v>
      </c>
      <c r="G391" s="646">
        <f t="shared" si="62"/>
        <v>6317.1</v>
      </c>
      <c r="H391" s="146">
        <v>943</v>
      </c>
      <c r="I391" s="146"/>
      <c r="J391" s="146">
        <v>943</v>
      </c>
      <c r="K391" s="146">
        <f t="shared" ref="K391:K450" si="64">H391+I391</f>
        <v>943</v>
      </c>
      <c r="L391" s="191">
        <f t="shared" si="58"/>
        <v>1.1226190476190476</v>
      </c>
      <c r="M391" s="177">
        <f t="shared" si="60"/>
        <v>2264.3338452380954</v>
      </c>
      <c r="N391" s="148">
        <f t="shared" si="61"/>
        <v>832.59555489404772</v>
      </c>
      <c r="O391" s="427">
        <v>962.15749404761902</v>
      </c>
      <c r="P391" s="177">
        <f t="shared" si="63"/>
        <v>60.475937142857148</v>
      </c>
      <c r="Q391" s="177">
        <f t="shared" si="57"/>
        <v>73.720167377142872</v>
      </c>
      <c r="R391" s="431">
        <f t="shared" ref="R391:R454" si="65">(M391+N391+O391+P391)/C391</f>
        <v>0.6674599532279033</v>
      </c>
      <c r="S391" s="468">
        <v>9</v>
      </c>
      <c r="T391" s="127"/>
      <c r="U391" s="127"/>
      <c r="V391" s="127"/>
      <c r="W391" s="127"/>
      <c r="X391" s="127"/>
      <c r="Y391" s="127"/>
    </row>
    <row r="392" spans="1:25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32">
        <f t="shared" si="59"/>
        <v>6243.1</v>
      </c>
      <c r="G392" s="646">
        <f t="shared" si="62"/>
        <v>6243.1</v>
      </c>
      <c r="H392" s="146"/>
      <c r="I392" s="146"/>
      <c r="J392" s="146">
        <v>902</v>
      </c>
      <c r="K392" s="146">
        <v>943</v>
      </c>
      <c r="L392" s="191">
        <f t="shared" si="58"/>
        <v>0</v>
      </c>
      <c r="M392" s="177">
        <f t="shared" si="60"/>
        <v>0</v>
      </c>
      <c r="N392" s="148">
        <f t="shared" si="61"/>
        <v>0</v>
      </c>
      <c r="O392" s="427">
        <v>0</v>
      </c>
      <c r="P392" s="177">
        <f t="shared" si="63"/>
        <v>0</v>
      </c>
      <c r="Q392" s="177">
        <f t="shared" si="57"/>
        <v>0</v>
      </c>
      <c r="R392" s="431">
        <f t="shared" si="65"/>
        <v>0</v>
      </c>
      <c r="S392" s="468">
        <v>9</v>
      </c>
      <c r="T392" s="127"/>
      <c r="U392" s="127"/>
      <c r="V392" s="127"/>
      <c r="W392" s="127"/>
      <c r="X392" s="127"/>
      <c r="Y392" s="127"/>
    </row>
    <row r="393" spans="1:25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32">
        <f t="shared" si="59"/>
        <v>3918</v>
      </c>
      <c r="G393" s="646">
        <f t="shared" si="62"/>
        <v>3918</v>
      </c>
      <c r="H393" s="146">
        <v>0</v>
      </c>
      <c r="I393" s="146"/>
      <c r="J393" s="146">
        <v>211</v>
      </c>
      <c r="K393" s="146">
        <v>0</v>
      </c>
      <c r="L393" s="191">
        <f t="shared" si="58"/>
        <v>0</v>
      </c>
      <c r="M393" s="177">
        <f t="shared" si="60"/>
        <v>0</v>
      </c>
      <c r="N393" s="148">
        <f t="shared" si="61"/>
        <v>0</v>
      </c>
      <c r="O393" s="427">
        <v>0</v>
      </c>
      <c r="P393" s="177">
        <f t="shared" si="63"/>
        <v>0</v>
      </c>
      <c r="Q393" s="177">
        <f t="shared" si="57"/>
        <v>0</v>
      </c>
      <c r="R393" s="431">
        <f t="shared" si="65"/>
        <v>0</v>
      </c>
      <c r="S393" s="468">
        <v>5</v>
      </c>
      <c r="T393" s="127"/>
      <c r="U393" s="127"/>
      <c r="V393" s="127"/>
      <c r="W393" s="127"/>
      <c r="X393" s="127"/>
      <c r="Y393" s="127"/>
    </row>
    <row r="394" spans="1:25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32">
        <f t="shared" si="59"/>
        <v>4332</v>
      </c>
      <c r="G394" s="646">
        <f t="shared" si="62"/>
        <v>4332</v>
      </c>
      <c r="H394" s="146">
        <v>0</v>
      </c>
      <c r="I394" s="146"/>
      <c r="J394" s="146">
        <v>107</v>
      </c>
      <c r="K394" s="146">
        <v>0</v>
      </c>
      <c r="L394" s="191">
        <f t="shared" si="58"/>
        <v>0</v>
      </c>
      <c r="M394" s="177">
        <f t="shared" si="60"/>
        <v>0</v>
      </c>
      <c r="N394" s="148">
        <f t="shared" si="61"/>
        <v>0</v>
      </c>
      <c r="O394" s="427">
        <v>0</v>
      </c>
      <c r="P394" s="177">
        <f t="shared" si="63"/>
        <v>0</v>
      </c>
      <c r="Q394" s="177">
        <f t="shared" si="57"/>
        <v>0</v>
      </c>
      <c r="R394" s="431">
        <f t="shared" si="65"/>
        <v>0</v>
      </c>
      <c r="S394" s="468">
        <v>5</v>
      </c>
      <c r="T394" s="127"/>
      <c r="U394" s="127"/>
      <c r="V394" s="127"/>
      <c r="W394" s="127"/>
      <c r="X394" s="127"/>
      <c r="Y394" s="127"/>
    </row>
    <row r="395" spans="1:25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32">
        <f t="shared" si="59"/>
        <v>3911</v>
      </c>
      <c r="G395" s="646">
        <f t="shared" si="62"/>
        <v>3911</v>
      </c>
      <c r="H395" s="146">
        <v>641</v>
      </c>
      <c r="I395" s="146"/>
      <c r="J395" s="146">
        <v>647</v>
      </c>
      <c r="K395" s="146">
        <v>641</v>
      </c>
      <c r="L395" s="191">
        <f t="shared" si="58"/>
        <v>0.76309523809523805</v>
      </c>
      <c r="M395" s="177">
        <f t="shared" si="60"/>
        <v>1539.170726190476</v>
      </c>
      <c r="N395" s="148">
        <f t="shared" si="61"/>
        <v>565.95307602023809</v>
      </c>
      <c r="O395" s="427">
        <v>594.56565476190474</v>
      </c>
      <c r="P395" s="177">
        <f t="shared" si="63"/>
        <v>41.108245714285722</v>
      </c>
      <c r="Q395" s="177">
        <f t="shared" si="57"/>
        <v>50.110951525714299</v>
      </c>
      <c r="R395" s="431">
        <f t="shared" si="65"/>
        <v>0.70079204875655954</v>
      </c>
      <c r="S395" s="468">
        <v>5</v>
      </c>
      <c r="T395" s="127"/>
      <c r="U395" s="127"/>
      <c r="V395" s="127"/>
      <c r="W395" s="127"/>
      <c r="X395" s="127"/>
      <c r="Y395" s="127"/>
    </row>
    <row r="396" spans="1:25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32">
        <f t="shared" si="59"/>
        <v>3338</v>
      </c>
      <c r="G396" s="646">
        <f t="shared" si="62"/>
        <v>3338</v>
      </c>
      <c r="H396" s="146">
        <v>204</v>
      </c>
      <c r="I396" s="146"/>
      <c r="J396" s="146">
        <v>204</v>
      </c>
      <c r="K396" s="146">
        <f t="shared" si="64"/>
        <v>204</v>
      </c>
      <c r="L396" s="191">
        <f t="shared" si="58"/>
        <v>0.24285714285714285</v>
      </c>
      <c r="M396" s="177">
        <f t="shared" si="60"/>
        <v>489.84528571428569</v>
      </c>
      <c r="N396" s="148">
        <f t="shared" si="61"/>
        <v>180.11611155714286</v>
      </c>
      <c r="O396" s="427">
        <v>208.14435714285713</v>
      </c>
      <c r="P396" s="177">
        <f t="shared" si="63"/>
        <v>13.08281142857143</v>
      </c>
      <c r="Q396" s="177">
        <f t="shared" si="57"/>
        <v>15.947947131428574</v>
      </c>
      <c r="R396" s="431">
        <f t="shared" si="65"/>
        <v>0.26698279384147905</v>
      </c>
      <c r="S396" s="468">
        <v>5</v>
      </c>
      <c r="T396" s="127"/>
      <c r="U396" s="127"/>
      <c r="V396" s="127"/>
      <c r="W396" s="127"/>
      <c r="X396" s="127"/>
      <c r="Y396" s="127"/>
    </row>
    <row r="397" spans="1:25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32">
        <f t="shared" si="59"/>
        <v>3353</v>
      </c>
      <c r="G397" s="646">
        <f t="shared" si="62"/>
        <v>3353</v>
      </c>
      <c r="H397" s="146">
        <v>204</v>
      </c>
      <c r="I397" s="146"/>
      <c r="J397" s="146">
        <v>204</v>
      </c>
      <c r="K397" s="146">
        <f t="shared" si="64"/>
        <v>204</v>
      </c>
      <c r="L397" s="191">
        <f t="shared" si="58"/>
        <v>0.24285714285714285</v>
      </c>
      <c r="M397" s="177">
        <f t="shared" si="60"/>
        <v>489.84528571428569</v>
      </c>
      <c r="N397" s="148">
        <f t="shared" si="61"/>
        <v>180.11611155714286</v>
      </c>
      <c r="O397" s="427">
        <v>208.14435714285713</v>
      </c>
      <c r="P397" s="177">
        <f t="shared" si="63"/>
        <v>13.08281142857143</v>
      </c>
      <c r="Q397" s="177">
        <f t="shared" si="57"/>
        <v>15.947947131428574</v>
      </c>
      <c r="R397" s="431">
        <f t="shared" si="65"/>
        <v>0.26578841808614884</v>
      </c>
      <c r="S397" s="468">
        <v>5</v>
      </c>
      <c r="T397" s="127"/>
      <c r="U397" s="127"/>
      <c r="V397" s="127"/>
      <c r="W397" s="127"/>
      <c r="X397" s="127"/>
      <c r="Y397" s="127"/>
    </row>
    <row r="398" spans="1:25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32">
        <f t="shared" si="59"/>
        <v>4050</v>
      </c>
      <c r="G398" s="646">
        <f t="shared" si="62"/>
        <v>4050</v>
      </c>
      <c r="H398" s="146">
        <v>543</v>
      </c>
      <c r="I398" s="146"/>
      <c r="J398" s="146">
        <v>543</v>
      </c>
      <c r="K398" s="146">
        <f t="shared" si="64"/>
        <v>543</v>
      </c>
      <c r="L398" s="191">
        <f t="shared" si="58"/>
        <v>0.64642857142857146</v>
      </c>
      <c r="M398" s="177">
        <f t="shared" si="60"/>
        <v>1303.8528928571429</v>
      </c>
      <c r="N398" s="148">
        <f t="shared" si="61"/>
        <v>479.42670870357148</v>
      </c>
      <c r="O398" s="427">
        <v>503.66482142857143</v>
      </c>
      <c r="P398" s="177">
        <f t="shared" si="63"/>
        <v>34.823365714285721</v>
      </c>
      <c r="Q398" s="177">
        <f t="shared" si="57"/>
        <v>42.449682805714296</v>
      </c>
      <c r="R398" s="431">
        <f t="shared" si="65"/>
        <v>0.57327599721075828</v>
      </c>
      <c r="S398" s="468">
        <v>5</v>
      </c>
      <c r="T398" s="127"/>
      <c r="U398" s="127"/>
      <c r="V398" s="127"/>
      <c r="W398" s="127"/>
      <c r="X398" s="127"/>
      <c r="Y398" s="127"/>
    </row>
    <row r="399" spans="1:25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32">
        <f t="shared" si="59"/>
        <v>4035</v>
      </c>
      <c r="G399" s="646">
        <f t="shared" si="62"/>
        <v>4035</v>
      </c>
      <c r="H399" s="146">
        <v>542</v>
      </c>
      <c r="I399" s="146"/>
      <c r="J399" s="146">
        <v>542</v>
      </c>
      <c r="K399" s="146">
        <f t="shared" si="64"/>
        <v>542</v>
      </c>
      <c r="L399" s="191">
        <f t="shared" si="58"/>
        <v>0.64523809523809528</v>
      </c>
      <c r="M399" s="177">
        <f t="shared" si="60"/>
        <v>1301.4516904761906</v>
      </c>
      <c r="N399" s="148">
        <f t="shared" si="61"/>
        <v>478.54378658809532</v>
      </c>
      <c r="O399" s="427">
        <v>452.46353571428574</v>
      </c>
      <c r="P399" s="177">
        <f t="shared" si="63"/>
        <v>34.759234285714292</v>
      </c>
      <c r="Q399" s="177">
        <f t="shared" si="57"/>
        <v>42.371506594285727</v>
      </c>
      <c r="R399" s="431">
        <f t="shared" si="65"/>
        <v>0.56188804140378834</v>
      </c>
      <c r="S399" s="468">
        <v>5</v>
      </c>
      <c r="T399" s="127"/>
      <c r="U399" s="127"/>
      <c r="V399" s="127"/>
      <c r="W399" s="127"/>
      <c r="X399" s="127"/>
      <c r="Y399" s="127"/>
    </row>
    <row r="400" spans="1:25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32">
        <f t="shared" si="59"/>
        <v>4018</v>
      </c>
      <c r="G400" s="646">
        <f t="shared" si="62"/>
        <v>4018</v>
      </c>
      <c r="H400" s="146">
        <v>543</v>
      </c>
      <c r="I400" s="146"/>
      <c r="J400" s="146">
        <v>543</v>
      </c>
      <c r="K400" s="146">
        <f t="shared" si="64"/>
        <v>543</v>
      </c>
      <c r="L400" s="191">
        <f t="shared" si="58"/>
        <v>0.64642857142857146</v>
      </c>
      <c r="M400" s="177">
        <f t="shared" si="60"/>
        <v>1303.8528928571429</v>
      </c>
      <c r="N400" s="148">
        <f t="shared" si="61"/>
        <v>479.42670870357148</v>
      </c>
      <c r="O400" s="427">
        <v>503.66482142857143</v>
      </c>
      <c r="P400" s="177">
        <f t="shared" si="63"/>
        <v>34.823365714285721</v>
      </c>
      <c r="Q400" s="177">
        <f t="shared" si="57"/>
        <v>42.449682805714296</v>
      </c>
      <c r="R400" s="431">
        <f t="shared" si="65"/>
        <v>0.57784165970721035</v>
      </c>
      <c r="S400" s="468">
        <v>5</v>
      </c>
      <c r="T400" s="127"/>
      <c r="U400" s="127"/>
      <c r="V400" s="127"/>
      <c r="W400" s="127"/>
      <c r="X400" s="127"/>
      <c r="Y400" s="127"/>
    </row>
    <row r="401" spans="1:25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32">
        <f t="shared" si="59"/>
        <v>4031</v>
      </c>
      <c r="G401" s="646">
        <f t="shared" si="62"/>
        <v>4031</v>
      </c>
      <c r="H401" s="146"/>
      <c r="I401" s="146"/>
      <c r="J401" s="146">
        <v>453</v>
      </c>
      <c r="K401" s="146">
        <v>543</v>
      </c>
      <c r="L401" s="191">
        <f t="shared" si="58"/>
        <v>0</v>
      </c>
      <c r="M401" s="177">
        <f t="shared" si="60"/>
        <v>0</v>
      </c>
      <c r="N401" s="148">
        <f t="shared" si="61"/>
        <v>0</v>
      </c>
      <c r="O401" s="427">
        <v>0</v>
      </c>
      <c r="P401" s="177">
        <f t="shared" si="63"/>
        <v>0</v>
      </c>
      <c r="Q401" s="177">
        <f t="shared" si="57"/>
        <v>0</v>
      </c>
      <c r="R401" s="431">
        <f t="shared" si="65"/>
        <v>0</v>
      </c>
      <c r="S401" s="468">
        <v>5</v>
      </c>
      <c r="T401" s="127"/>
      <c r="U401" s="127"/>
      <c r="V401" s="127"/>
      <c r="W401" s="127"/>
      <c r="X401" s="127"/>
      <c r="Y401" s="127"/>
    </row>
    <row r="402" spans="1:25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32">
        <f t="shared" si="59"/>
        <v>4302</v>
      </c>
      <c r="G402" s="646">
        <f t="shared" si="62"/>
        <v>4302</v>
      </c>
      <c r="H402" s="146"/>
      <c r="I402" s="146"/>
      <c r="J402" s="146">
        <v>421</v>
      </c>
      <c r="K402" s="146">
        <v>506</v>
      </c>
      <c r="L402" s="191">
        <f t="shared" ref="L402:L465" si="66">(H402/840)+(I402/756)</f>
        <v>0</v>
      </c>
      <c r="M402" s="177">
        <f t="shared" si="60"/>
        <v>0</v>
      </c>
      <c r="N402" s="148">
        <f t="shared" si="61"/>
        <v>0</v>
      </c>
      <c r="O402" s="427">
        <v>0</v>
      </c>
      <c r="P402" s="177">
        <f t="shared" si="63"/>
        <v>0</v>
      </c>
      <c r="Q402" s="177">
        <f t="shared" si="57"/>
        <v>0</v>
      </c>
      <c r="R402" s="431">
        <f t="shared" si="65"/>
        <v>0</v>
      </c>
      <c r="S402" s="468">
        <v>5</v>
      </c>
      <c r="T402" s="127"/>
      <c r="U402" s="127"/>
      <c r="V402" s="127"/>
      <c r="W402" s="127"/>
      <c r="X402" s="127"/>
      <c r="Y402" s="127"/>
    </row>
    <row r="403" spans="1:25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32">
        <f t="shared" si="59"/>
        <v>4275</v>
      </c>
      <c r="G403" s="646">
        <f t="shared" si="62"/>
        <v>4275</v>
      </c>
      <c r="H403" s="146"/>
      <c r="I403" s="146"/>
      <c r="J403" s="146">
        <v>337</v>
      </c>
      <c r="K403" s="146">
        <v>506</v>
      </c>
      <c r="L403" s="191">
        <f>(H403/840)+(I403/756)</f>
        <v>0</v>
      </c>
      <c r="M403" s="177">
        <f t="shared" si="60"/>
        <v>0</v>
      </c>
      <c r="N403" s="148">
        <f t="shared" si="61"/>
        <v>0</v>
      </c>
      <c r="O403" s="427">
        <v>0</v>
      </c>
      <c r="P403" s="177">
        <f t="shared" si="63"/>
        <v>0</v>
      </c>
      <c r="Q403" s="177">
        <f t="shared" si="57"/>
        <v>0</v>
      </c>
      <c r="R403" s="431">
        <f t="shared" si="65"/>
        <v>0</v>
      </c>
      <c r="S403" s="468">
        <v>5</v>
      </c>
      <c r="T403" s="127"/>
      <c r="U403" s="127"/>
      <c r="V403" s="127"/>
      <c r="W403" s="127"/>
      <c r="X403" s="127"/>
      <c r="Y403" s="127"/>
    </row>
    <row r="404" spans="1:25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32">
        <f t="shared" si="59"/>
        <v>4125</v>
      </c>
      <c r="G404" s="646">
        <f t="shared" si="62"/>
        <v>4125</v>
      </c>
      <c r="H404" s="146">
        <v>562</v>
      </c>
      <c r="I404" s="146"/>
      <c r="J404" s="146">
        <v>562</v>
      </c>
      <c r="K404" s="146">
        <f t="shared" si="64"/>
        <v>562</v>
      </c>
      <c r="L404" s="191">
        <f t="shared" si="66"/>
        <v>0.669047619047619</v>
      </c>
      <c r="M404" s="177">
        <f t="shared" si="60"/>
        <v>1349.4757380952381</v>
      </c>
      <c r="N404" s="148">
        <f t="shared" si="61"/>
        <v>496.20222889761908</v>
      </c>
      <c r="O404" s="427">
        <v>573.41729761904764</v>
      </c>
      <c r="P404" s="177">
        <f t="shared" si="63"/>
        <v>36.041862857142853</v>
      </c>
      <c r="Q404" s="177">
        <f t="shared" si="57"/>
        <v>43.935030822857144</v>
      </c>
      <c r="R404" s="431">
        <f t="shared" si="65"/>
        <v>0.5951847581743146</v>
      </c>
      <c r="S404" s="468">
        <v>9</v>
      </c>
      <c r="T404" s="127"/>
      <c r="U404" s="127"/>
      <c r="V404" s="127"/>
      <c r="W404" s="127"/>
      <c r="X404" s="127"/>
      <c r="Y404" s="127"/>
    </row>
    <row r="405" spans="1:25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32">
        <f t="shared" si="59"/>
        <v>3975</v>
      </c>
      <c r="G405" s="646">
        <f t="shared" si="62"/>
        <v>3975</v>
      </c>
      <c r="H405" s="146">
        <v>543</v>
      </c>
      <c r="I405" s="146"/>
      <c r="J405" s="146">
        <v>543</v>
      </c>
      <c r="K405" s="146">
        <f t="shared" si="64"/>
        <v>543</v>
      </c>
      <c r="L405" s="191">
        <f t="shared" si="66"/>
        <v>0.64642857142857146</v>
      </c>
      <c r="M405" s="177">
        <f t="shared" si="60"/>
        <v>1303.8528928571429</v>
      </c>
      <c r="N405" s="148">
        <f t="shared" si="61"/>
        <v>479.42670870357148</v>
      </c>
      <c r="O405" s="427">
        <v>503.66482142857143</v>
      </c>
      <c r="P405" s="177">
        <f t="shared" si="63"/>
        <v>34.823365714285721</v>
      </c>
      <c r="Q405" s="177">
        <f t="shared" si="57"/>
        <v>42.449682805714296</v>
      </c>
      <c r="R405" s="431">
        <f t="shared" si="65"/>
        <v>0.58409252546001789</v>
      </c>
      <c r="S405" s="468">
        <v>5</v>
      </c>
      <c r="T405" s="127"/>
      <c r="U405" s="127"/>
      <c r="V405" s="127"/>
      <c r="W405" s="127"/>
      <c r="X405" s="127"/>
      <c r="Y405" s="127"/>
    </row>
    <row r="406" spans="1:25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32">
        <f t="shared" si="59"/>
        <v>3357</v>
      </c>
      <c r="G406" s="646">
        <f t="shared" si="62"/>
        <v>3357</v>
      </c>
      <c r="H406" s="146">
        <v>204</v>
      </c>
      <c r="I406" s="146"/>
      <c r="J406" s="146">
        <v>204</v>
      </c>
      <c r="K406" s="146">
        <f t="shared" si="64"/>
        <v>204</v>
      </c>
      <c r="L406" s="191">
        <f t="shared" si="66"/>
        <v>0.24285714285714285</v>
      </c>
      <c r="M406" s="177">
        <f t="shared" si="60"/>
        <v>489.84528571428569</v>
      </c>
      <c r="N406" s="148">
        <f t="shared" si="61"/>
        <v>180.11611155714286</v>
      </c>
      <c r="O406" s="427">
        <v>208.14435714285713</v>
      </c>
      <c r="P406" s="177">
        <f t="shared" si="63"/>
        <v>13.08281142857143</v>
      </c>
      <c r="Q406" s="177">
        <f t="shared" si="57"/>
        <v>15.947947131428574</v>
      </c>
      <c r="R406" s="431">
        <f t="shared" si="65"/>
        <v>0.2654717205370441</v>
      </c>
      <c r="S406" s="468">
        <v>5</v>
      </c>
      <c r="T406" s="127"/>
      <c r="U406" s="127"/>
      <c r="V406" s="127"/>
      <c r="W406" s="127"/>
      <c r="X406" s="127"/>
      <c r="Y406" s="127"/>
    </row>
    <row r="407" spans="1:25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32">
        <f t="shared" si="59"/>
        <v>6146</v>
      </c>
      <c r="G407" s="646">
        <f t="shared" si="62"/>
        <v>6146</v>
      </c>
      <c r="H407" s="146"/>
      <c r="I407" s="146"/>
      <c r="J407" s="146">
        <v>1020</v>
      </c>
      <c r="K407" s="146">
        <v>1130</v>
      </c>
      <c r="L407" s="191">
        <f t="shared" si="66"/>
        <v>0</v>
      </c>
      <c r="M407" s="177">
        <f t="shared" si="60"/>
        <v>0</v>
      </c>
      <c r="N407" s="148">
        <f t="shared" si="61"/>
        <v>0</v>
      </c>
      <c r="O407" s="427">
        <v>0</v>
      </c>
      <c r="P407" s="177">
        <f t="shared" si="63"/>
        <v>0</v>
      </c>
      <c r="Q407" s="177">
        <f t="shared" si="57"/>
        <v>0</v>
      </c>
      <c r="R407" s="431">
        <f t="shared" si="65"/>
        <v>0</v>
      </c>
      <c r="S407" s="468">
        <v>5</v>
      </c>
      <c r="T407" s="127"/>
      <c r="U407" s="127"/>
      <c r="V407" s="127"/>
      <c r="W407" s="127"/>
      <c r="X407" s="127"/>
      <c r="Y407" s="127"/>
    </row>
    <row r="408" spans="1:25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32">
        <f t="shared" si="59"/>
        <v>983</v>
      </c>
      <c r="G408" s="646">
        <f t="shared" si="62"/>
        <v>983</v>
      </c>
      <c r="H408" s="146">
        <v>86</v>
      </c>
      <c r="I408" s="146"/>
      <c r="J408" s="146">
        <v>86</v>
      </c>
      <c r="K408" s="146">
        <f t="shared" si="64"/>
        <v>86</v>
      </c>
      <c r="L408" s="191">
        <f t="shared" si="66"/>
        <v>0.10238095238095238</v>
      </c>
      <c r="M408" s="177">
        <f t="shared" si="60"/>
        <v>206.50340476190476</v>
      </c>
      <c r="N408" s="148">
        <f t="shared" si="61"/>
        <v>75.931301930952387</v>
      </c>
      <c r="O408" s="427">
        <v>79.770119047619048</v>
      </c>
      <c r="P408" s="177">
        <f t="shared" si="63"/>
        <v>5.5153028571428582</v>
      </c>
      <c r="Q408" s="177">
        <f t="shared" si="57"/>
        <v>6.7231541828571446</v>
      </c>
      <c r="R408" s="431">
        <f t="shared" si="65"/>
        <v>0.37407947975342731</v>
      </c>
      <c r="S408" s="468">
        <v>5</v>
      </c>
      <c r="T408" s="127"/>
      <c r="U408" s="127"/>
      <c r="V408" s="127"/>
      <c r="W408" s="127"/>
      <c r="X408" s="127"/>
      <c r="Y408" s="127"/>
    </row>
    <row r="409" spans="1:25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32">
        <f t="shared" si="59"/>
        <v>3815</v>
      </c>
      <c r="G409" s="646">
        <f t="shared" si="62"/>
        <v>3815</v>
      </c>
      <c r="H409" s="146"/>
      <c r="I409" s="146"/>
      <c r="J409" s="146">
        <v>747</v>
      </c>
      <c r="K409" s="146">
        <v>747</v>
      </c>
      <c r="L409" s="191">
        <f t="shared" si="66"/>
        <v>0</v>
      </c>
      <c r="M409" s="177">
        <f t="shared" si="60"/>
        <v>0</v>
      </c>
      <c r="N409" s="148">
        <f t="shared" si="61"/>
        <v>0</v>
      </c>
      <c r="O409" s="427">
        <v>0</v>
      </c>
      <c r="P409" s="177">
        <f t="shared" si="63"/>
        <v>0</v>
      </c>
      <c r="Q409" s="177">
        <f t="shared" si="57"/>
        <v>0</v>
      </c>
      <c r="R409" s="431">
        <f t="shared" si="65"/>
        <v>0</v>
      </c>
      <c r="S409" s="468">
        <v>5</v>
      </c>
      <c r="T409" s="127"/>
      <c r="U409" s="127"/>
      <c r="V409" s="127"/>
      <c r="W409" s="127"/>
      <c r="X409" s="127"/>
      <c r="Y409" s="127"/>
    </row>
    <row r="410" spans="1:25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32">
        <f t="shared" si="59"/>
        <v>4215</v>
      </c>
      <c r="G410" s="646">
        <f t="shared" si="62"/>
        <v>4215</v>
      </c>
      <c r="H410" s="146">
        <v>545</v>
      </c>
      <c r="I410" s="146"/>
      <c r="J410" s="146">
        <v>545</v>
      </c>
      <c r="K410" s="146">
        <f t="shared" si="64"/>
        <v>545</v>
      </c>
      <c r="L410" s="191">
        <f t="shared" si="66"/>
        <v>0.64880952380952384</v>
      </c>
      <c r="M410" s="177">
        <f t="shared" si="60"/>
        <v>1308.6552976190476</v>
      </c>
      <c r="N410" s="148">
        <f t="shared" si="61"/>
        <v>481.19255293452386</v>
      </c>
      <c r="O410" s="427">
        <v>556.07193452380955</v>
      </c>
      <c r="P410" s="177">
        <f t="shared" si="63"/>
        <v>34.951628571428571</v>
      </c>
      <c r="Q410" s="177">
        <f t="shared" si="57"/>
        <v>42.606035228571429</v>
      </c>
      <c r="R410" s="431">
        <f t="shared" si="65"/>
        <v>0.56485680039117658</v>
      </c>
      <c r="S410" s="468">
        <v>9</v>
      </c>
      <c r="T410" s="127"/>
      <c r="U410" s="127"/>
      <c r="V410" s="127"/>
      <c r="W410" s="127"/>
      <c r="X410" s="127"/>
      <c r="Y410" s="127"/>
    </row>
    <row r="411" spans="1:25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32">
        <f t="shared" si="59"/>
        <v>12662</v>
      </c>
      <c r="G411" s="646">
        <f t="shared" si="62"/>
        <v>12662</v>
      </c>
      <c r="H411" s="146">
        <v>2258</v>
      </c>
      <c r="I411" s="146"/>
      <c r="J411" s="146">
        <v>2258</v>
      </c>
      <c r="K411" s="146">
        <f t="shared" si="64"/>
        <v>2258</v>
      </c>
      <c r="L411" s="191">
        <f t="shared" si="66"/>
        <v>2.6880952380952383</v>
      </c>
      <c r="M411" s="177">
        <f t="shared" si="60"/>
        <v>5421.9149761904764</v>
      </c>
      <c r="N411" s="148">
        <f t="shared" si="61"/>
        <v>1993.6381367452384</v>
      </c>
      <c r="O411" s="427">
        <v>2094.4294047619051</v>
      </c>
      <c r="P411" s="177">
        <f t="shared" si="63"/>
        <v>144.80876571428576</v>
      </c>
      <c r="Q411" s="177">
        <f t="shared" si="57"/>
        <v>176.52188540571436</v>
      </c>
      <c r="R411" s="431">
        <f t="shared" si="65"/>
        <v>0.76250128600631062</v>
      </c>
      <c r="S411" s="468">
        <v>9</v>
      </c>
      <c r="T411" s="127"/>
      <c r="U411" s="127"/>
      <c r="V411" s="127"/>
      <c r="W411" s="127"/>
      <c r="X411" s="127"/>
      <c r="Y411" s="127"/>
    </row>
    <row r="412" spans="1:25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32">
        <f t="shared" si="59"/>
        <v>3976</v>
      </c>
      <c r="G412" s="646">
        <f t="shared" si="62"/>
        <v>3976</v>
      </c>
      <c r="H412" s="146">
        <v>698</v>
      </c>
      <c r="I412" s="146"/>
      <c r="J412" s="146">
        <v>698</v>
      </c>
      <c r="K412" s="146">
        <f t="shared" si="64"/>
        <v>698</v>
      </c>
      <c r="L412" s="191">
        <f t="shared" si="66"/>
        <v>0.830952380952381</v>
      </c>
      <c r="M412" s="177">
        <f t="shared" si="60"/>
        <v>1676.039261904762</v>
      </c>
      <c r="N412" s="148">
        <f t="shared" si="61"/>
        <v>616.27963660238106</v>
      </c>
      <c r="O412" s="427">
        <v>647.43654761904759</v>
      </c>
      <c r="P412" s="177">
        <f t="shared" si="63"/>
        <v>44.763737142857153</v>
      </c>
      <c r="Q412" s="177">
        <f t="shared" si="57"/>
        <v>54.566995577142876</v>
      </c>
      <c r="R412" s="431">
        <f t="shared" si="65"/>
        <v>0.75063359740167201</v>
      </c>
      <c r="S412" s="468">
        <v>9</v>
      </c>
      <c r="T412" s="127"/>
      <c r="U412" s="127"/>
      <c r="V412" s="127"/>
      <c r="W412" s="127"/>
      <c r="X412" s="127"/>
      <c r="Y412" s="127"/>
    </row>
    <row r="413" spans="1:25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32">
        <f t="shared" si="59"/>
        <v>12839</v>
      </c>
      <c r="G413" s="646">
        <f t="shared" si="62"/>
        <v>12839</v>
      </c>
      <c r="H413" s="146">
        <v>1794</v>
      </c>
      <c r="I413" s="146"/>
      <c r="J413" s="146">
        <v>1794</v>
      </c>
      <c r="K413" s="146">
        <f t="shared" si="64"/>
        <v>1794</v>
      </c>
      <c r="L413" s="191">
        <f t="shared" si="66"/>
        <v>2.1357142857142857</v>
      </c>
      <c r="M413" s="177">
        <f t="shared" si="60"/>
        <v>4307.7570714285712</v>
      </c>
      <c r="N413" s="148">
        <f t="shared" si="61"/>
        <v>1583.9622751642858</v>
      </c>
      <c r="O413" s="427">
        <v>1830.4459642857144</v>
      </c>
      <c r="P413" s="177">
        <f t="shared" si="63"/>
        <v>115.05178285714288</v>
      </c>
      <c r="Q413" s="177">
        <f t="shared" ref="Q413:Q476" si="67">P413*1.219</f>
        <v>140.24812330285718</v>
      </c>
      <c r="R413" s="431">
        <f t="shared" si="65"/>
        <v>0.61042270377254571</v>
      </c>
      <c r="S413" s="468">
        <v>9</v>
      </c>
      <c r="T413" s="127"/>
      <c r="U413" s="127"/>
      <c r="V413" s="127"/>
      <c r="W413" s="127"/>
      <c r="X413" s="127"/>
      <c r="Y413" s="127"/>
    </row>
    <row r="414" spans="1:25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32">
        <f t="shared" si="59"/>
        <v>10313</v>
      </c>
      <c r="G414" s="646">
        <f t="shared" si="62"/>
        <v>10313</v>
      </c>
      <c r="H414" s="146">
        <v>1487</v>
      </c>
      <c r="I414" s="146"/>
      <c r="J414" s="146">
        <v>1463</v>
      </c>
      <c r="K414" s="146">
        <v>1487</v>
      </c>
      <c r="L414" s="191">
        <f t="shared" si="66"/>
        <v>1.7702380952380952</v>
      </c>
      <c r="M414" s="177">
        <f t="shared" si="60"/>
        <v>3570.5879404761904</v>
      </c>
      <c r="N414" s="148">
        <f t="shared" si="61"/>
        <v>1312.9051857130953</v>
      </c>
      <c r="O414" s="427">
        <v>1517.2091130952381</v>
      </c>
      <c r="P414" s="177">
        <f t="shared" si="63"/>
        <v>95.363434285714291</v>
      </c>
      <c r="Q414" s="177">
        <f t="shared" si="67"/>
        <v>116.24802639428573</v>
      </c>
      <c r="R414" s="431">
        <f t="shared" si="65"/>
        <v>0.62989097969264396</v>
      </c>
      <c r="S414" s="468">
        <v>9</v>
      </c>
      <c r="T414" s="127"/>
      <c r="U414" s="127"/>
      <c r="V414" s="127"/>
      <c r="W414" s="127"/>
      <c r="X414" s="127"/>
      <c r="Y414" s="127"/>
    </row>
    <row r="415" spans="1:25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32">
        <f t="shared" si="59"/>
        <v>6385</v>
      </c>
      <c r="G415" s="646">
        <f t="shared" si="62"/>
        <v>6385</v>
      </c>
      <c r="H415" s="146">
        <v>583</v>
      </c>
      <c r="I415" s="146"/>
      <c r="J415" s="146">
        <v>583</v>
      </c>
      <c r="K415" s="146">
        <f t="shared" si="64"/>
        <v>583</v>
      </c>
      <c r="L415" s="191">
        <f t="shared" si="66"/>
        <v>0.69404761904761902</v>
      </c>
      <c r="M415" s="177">
        <f t="shared" si="60"/>
        <v>1399.9009880952381</v>
      </c>
      <c r="N415" s="148">
        <f t="shared" si="61"/>
        <v>514.74359332261906</v>
      </c>
      <c r="O415" s="427">
        <v>594.84392261904759</v>
      </c>
      <c r="P415" s="177">
        <f t="shared" si="63"/>
        <v>37.388622857142863</v>
      </c>
      <c r="Q415" s="177">
        <f t="shared" si="67"/>
        <v>45.576731262857152</v>
      </c>
      <c r="R415" s="431">
        <f t="shared" si="65"/>
        <v>0.39888443647518357</v>
      </c>
      <c r="S415" s="468">
        <v>9</v>
      </c>
      <c r="T415" s="127"/>
      <c r="U415" s="127"/>
      <c r="V415" s="127"/>
      <c r="W415" s="127"/>
      <c r="X415" s="127"/>
      <c r="Y415" s="127"/>
    </row>
    <row r="416" spans="1:25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32">
        <f t="shared" si="59"/>
        <v>3041.2</v>
      </c>
      <c r="G416" s="646">
        <f t="shared" si="62"/>
        <v>3041.2</v>
      </c>
      <c r="H416" s="146">
        <v>615</v>
      </c>
      <c r="I416" s="146"/>
      <c r="J416" s="146">
        <v>615</v>
      </c>
      <c r="K416" s="146">
        <v>615</v>
      </c>
      <c r="L416" s="191">
        <f t="shared" si="66"/>
        <v>0.7321428571428571</v>
      </c>
      <c r="M416" s="177">
        <f t="shared" si="60"/>
        <v>1476.7394642857141</v>
      </c>
      <c r="N416" s="148">
        <f t="shared" si="61"/>
        <v>542.99710101785718</v>
      </c>
      <c r="O416" s="427">
        <v>570.44910714285709</v>
      </c>
      <c r="P416" s="177">
        <f t="shared" si="63"/>
        <v>39.440828571428575</v>
      </c>
      <c r="Q416" s="177">
        <f t="shared" si="67"/>
        <v>48.078370028571435</v>
      </c>
      <c r="R416" s="431">
        <f t="shared" si="65"/>
        <v>0.86757720257929949</v>
      </c>
      <c r="S416" s="468">
        <v>5</v>
      </c>
      <c r="T416" s="127"/>
      <c r="U416" s="127"/>
      <c r="V416" s="127"/>
      <c r="W416" s="127"/>
      <c r="X416" s="127"/>
      <c r="Y416" s="127"/>
    </row>
    <row r="417" spans="1:25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32">
        <f t="shared" si="59"/>
        <v>3886</v>
      </c>
      <c r="G417" s="646">
        <f t="shared" si="62"/>
        <v>3886</v>
      </c>
      <c r="H417" s="146">
        <v>756</v>
      </c>
      <c r="I417" s="146"/>
      <c r="J417" s="146">
        <v>756</v>
      </c>
      <c r="K417" s="146">
        <f t="shared" si="64"/>
        <v>756</v>
      </c>
      <c r="L417" s="191">
        <f t="shared" si="66"/>
        <v>0.9</v>
      </c>
      <c r="M417" s="177">
        <f t="shared" si="60"/>
        <v>1815.309</v>
      </c>
      <c r="N417" s="148">
        <f t="shared" si="61"/>
        <v>667.48911930000008</v>
      </c>
      <c r="O417" s="427">
        <v>771.35850000000005</v>
      </c>
      <c r="P417" s="177">
        <f t="shared" si="63"/>
        <v>48.483360000000005</v>
      </c>
      <c r="Q417" s="177">
        <f t="shared" si="67"/>
        <v>59.101215840000009</v>
      </c>
      <c r="R417" s="431">
        <f t="shared" si="65"/>
        <v>0.8498816210241894</v>
      </c>
      <c r="S417" s="468">
        <v>14</v>
      </c>
      <c r="T417" s="127"/>
      <c r="U417" s="127"/>
      <c r="V417" s="127"/>
      <c r="W417" s="127"/>
      <c r="X417" s="127"/>
      <c r="Y417" s="127"/>
    </row>
    <row r="418" spans="1:25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32">
        <f t="shared" si="59"/>
        <v>4071</v>
      </c>
      <c r="G418" s="646">
        <f t="shared" si="62"/>
        <v>4071</v>
      </c>
      <c r="H418" s="146">
        <v>522</v>
      </c>
      <c r="I418" s="146"/>
      <c r="J418" s="146">
        <v>522</v>
      </c>
      <c r="K418" s="146">
        <f t="shared" si="64"/>
        <v>522</v>
      </c>
      <c r="L418" s="191">
        <f t="shared" si="66"/>
        <v>0.62142857142857144</v>
      </c>
      <c r="M418" s="177">
        <f t="shared" si="60"/>
        <v>1253.4276428571429</v>
      </c>
      <c r="N418" s="148">
        <f t="shared" si="61"/>
        <v>460.88534427857149</v>
      </c>
      <c r="O418" s="427">
        <v>532.60467857142862</v>
      </c>
      <c r="P418" s="177">
        <f t="shared" si="63"/>
        <v>33.476605714285718</v>
      </c>
      <c r="Q418" s="177">
        <f t="shared" si="67"/>
        <v>40.807982365714295</v>
      </c>
      <c r="R418" s="431">
        <f t="shared" si="65"/>
        <v>0.56015580236340667</v>
      </c>
      <c r="S418" s="468">
        <v>9</v>
      </c>
      <c r="T418" s="127"/>
      <c r="U418" s="127"/>
      <c r="V418" s="127"/>
      <c r="W418" s="127"/>
      <c r="X418" s="127"/>
      <c r="Y418" s="127"/>
    </row>
    <row r="419" spans="1:25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32">
        <f t="shared" si="59"/>
        <v>352.6</v>
      </c>
      <c r="G419" s="646">
        <f t="shared" si="62"/>
        <v>352.6</v>
      </c>
      <c r="H419" s="146">
        <v>0</v>
      </c>
      <c r="I419" s="146"/>
      <c r="J419" s="146">
        <v>0</v>
      </c>
      <c r="K419" s="146">
        <f t="shared" si="64"/>
        <v>0</v>
      </c>
      <c r="L419" s="191">
        <f t="shared" si="66"/>
        <v>0</v>
      </c>
      <c r="M419" s="177">
        <f t="shared" si="60"/>
        <v>0</v>
      </c>
      <c r="N419" s="148">
        <f t="shared" si="61"/>
        <v>0</v>
      </c>
      <c r="O419" s="427">
        <v>0</v>
      </c>
      <c r="P419" s="177">
        <f t="shared" si="63"/>
        <v>0</v>
      </c>
      <c r="Q419" s="177">
        <f t="shared" si="67"/>
        <v>0</v>
      </c>
      <c r="R419" s="431">
        <f t="shared" si="65"/>
        <v>0</v>
      </c>
      <c r="S419" s="468">
        <v>2</v>
      </c>
      <c r="T419" s="127"/>
      <c r="U419" s="127"/>
      <c r="V419" s="127"/>
      <c r="W419" s="127"/>
      <c r="X419" s="127"/>
      <c r="Y419" s="127"/>
    </row>
    <row r="420" spans="1:25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32">
        <f t="shared" si="59"/>
        <v>656.95</v>
      </c>
      <c r="G420" s="646">
        <f t="shared" si="62"/>
        <v>656.95</v>
      </c>
      <c r="H420" s="146"/>
      <c r="I420" s="146"/>
      <c r="J420" s="146"/>
      <c r="K420" s="146">
        <f t="shared" si="64"/>
        <v>0</v>
      </c>
      <c r="L420" s="191">
        <f t="shared" si="66"/>
        <v>0</v>
      </c>
      <c r="M420" s="177">
        <f t="shared" si="60"/>
        <v>0</v>
      </c>
      <c r="N420" s="148">
        <f t="shared" si="61"/>
        <v>0</v>
      </c>
      <c r="O420" s="427">
        <v>0</v>
      </c>
      <c r="P420" s="177">
        <f t="shared" si="63"/>
        <v>0</v>
      </c>
      <c r="Q420" s="177">
        <f t="shared" si="67"/>
        <v>0</v>
      </c>
      <c r="R420" s="431">
        <f t="shared" si="65"/>
        <v>0</v>
      </c>
      <c r="S420" s="468"/>
      <c r="T420" s="127"/>
      <c r="U420" s="127"/>
      <c r="V420" s="127"/>
      <c r="W420" s="127"/>
      <c r="X420" s="127"/>
      <c r="Y420" s="127"/>
    </row>
    <row r="421" spans="1:25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32">
        <f t="shared" si="59"/>
        <v>485.16</v>
      </c>
      <c r="G421" s="646">
        <f t="shared" si="62"/>
        <v>485.16</v>
      </c>
      <c r="H421" s="146"/>
      <c r="I421" s="146">
        <v>50</v>
      </c>
      <c r="J421" s="146">
        <v>50</v>
      </c>
      <c r="K421" s="146">
        <f t="shared" si="64"/>
        <v>50</v>
      </c>
      <c r="L421" s="191">
        <f t="shared" si="66"/>
        <v>6.6137566137566134E-2</v>
      </c>
      <c r="M421" s="177">
        <f t="shared" si="60"/>
        <v>133.40013227513228</v>
      </c>
      <c r="N421" s="148">
        <f t="shared" si="61"/>
        <v>49.05122863756614</v>
      </c>
      <c r="O421" s="427">
        <v>51.531084656084651</v>
      </c>
      <c r="P421" s="177">
        <f t="shared" si="63"/>
        <v>3.5628571428571432</v>
      </c>
      <c r="Q421" s="177">
        <f t="shared" si="67"/>
        <v>4.3431228571428582</v>
      </c>
      <c r="R421" s="431">
        <f t="shared" si="65"/>
        <v>0.48962260431948268</v>
      </c>
      <c r="S421" s="468">
        <v>3</v>
      </c>
      <c r="T421" s="127"/>
      <c r="U421" s="127"/>
      <c r="V421" s="127"/>
      <c r="W421" s="127"/>
      <c r="X421" s="127"/>
      <c r="Y421" s="127"/>
    </row>
    <row r="422" spans="1:25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32">
        <f t="shared" si="59"/>
        <v>286.92</v>
      </c>
      <c r="G422" s="646">
        <f t="shared" si="62"/>
        <v>286.92</v>
      </c>
      <c r="H422" s="146"/>
      <c r="I422" s="146">
        <v>0</v>
      </c>
      <c r="J422" s="146">
        <v>0</v>
      </c>
      <c r="K422" s="146">
        <f t="shared" si="64"/>
        <v>0</v>
      </c>
      <c r="L422" s="191">
        <f t="shared" si="66"/>
        <v>0</v>
      </c>
      <c r="M422" s="177">
        <f t="shared" si="60"/>
        <v>0</v>
      </c>
      <c r="N422" s="148">
        <f t="shared" si="61"/>
        <v>0</v>
      </c>
      <c r="O422" s="427">
        <v>0</v>
      </c>
      <c r="P422" s="177">
        <f t="shared" si="63"/>
        <v>0</v>
      </c>
      <c r="Q422" s="177">
        <f t="shared" si="67"/>
        <v>0</v>
      </c>
      <c r="R422" s="431">
        <f t="shared" si="65"/>
        <v>0</v>
      </c>
      <c r="S422" s="468">
        <v>2</v>
      </c>
      <c r="T422" s="127"/>
      <c r="U422" s="127"/>
      <c r="V422" s="127"/>
      <c r="W422" s="127"/>
      <c r="X422" s="127"/>
      <c r="Y422" s="127"/>
    </row>
    <row r="423" spans="1:25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32">
        <f t="shared" si="59"/>
        <v>226.94</v>
      </c>
      <c r="G423" s="646">
        <f t="shared" si="62"/>
        <v>226.94</v>
      </c>
      <c r="H423" s="146"/>
      <c r="I423" s="146">
        <v>0</v>
      </c>
      <c r="J423" s="146">
        <v>0</v>
      </c>
      <c r="K423" s="146">
        <f t="shared" si="64"/>
        <v>0</v>
      </c>
      <c r="L423" s="191">
        <f t="shared" si="66"/>
        <v>0</v>
      </c>
      <c r="M423" s="177">
        <f t="shared" si="60"/>
        <v>0</v>
      </c>
      <c r="N423" s="148">
        <f t="shared" si="61"/>
        <v>0</v>
      </c>
      <c r="O423" s="427">
        <v>0</v>
      </c>
      <c r="P423" s="177">
        <f t="shared" si="63"/>
        <v>0</v>
      </c>
      <c r="Q423" s="177">
        <f t="shared" si="67"/>
        <v>0</v>
      </c>
      <c r="R423" s="431">
        <f t="shared" si="65"/>
        <v>0</v>
      </c>
      <c r="S423" s="468">
        <v>2</v>
      </c>
      <c r="T423" s="127"/>
      <c r="U423" s="127"/>
      <c r="V423" s="127"/>
      <c r="W423" s="127"/>
      <c r="X423" s="127"/>
      <c r="Y423" s="127"/>
    </row>
    <row r="424" spans="1:25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32">
        <f t="shared" si="59"/>
        <v>307.14999999999998</v>
      </c>
      <c r="G424" s="646">
        <f t="shared" si="62"/>
        <v>307.14999999999998</v>
      </c>
      <c r="H424" s="146"/>
      <c r="I424" s="146">
        <v>0</v>
      </c>
      <c r="J424" s="146">
        <v>0</v>
      </c>
      <c r="K424" s="146">
        <f t="shared" si="64"/>
        <v>0</v>
      </c>
      <c r="L424" s="191">
        <f t="shared" si="66"/>
        <v>0</v>
      </c>
      <c r="M424" s="177">
        <f t="shared" si="60"/>
        <v>0</v>
      </c>
      <c r="N424" s="148">
        <f t="shared" si="61"/>
        <v>0</v>
      </c>
      <c r="O424" s="427">
        <v>0</v>
      </c>
      <c r="P424" s="177">
        <f t="shared" si="63"/>
        <v>0</v>
      </c>
      <c r="Q424" s="177">
        <f t="shared" si="67"/>
        <v>0</v>
      </c>
      <c r="R424" s="431">
        <f t="shared" si="65"/>
        <v>0</v>
      </c>
      <c r="S424" s="468">
        <v>2</v>
      </c>
      <c r="T424" s="127"/>
      <c r="U424" s="127"/>
      <c r="V424" s="127"/>
      <c r="W424" s="127"/>
      <c r="X424" s="127"/>
      <c r="Y424" s="127"/>
    </row>
    <row r="425" spans="1:25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32">
        <f t="shared" si="59"/>
        <v>329.65</v>
      </c>
      <c r="G425" s="646">
        <f t="shared" si="62"/>
        <v>329.65</v>
      </c>
      <c r="H425" s="146"/>
      <c r="I425" s="146">
        <v>0</v>
      </c>
      <c r="J425" s="146">
        <v>0</v>
      </c>
      <c r="K425" s="146">
        <f t="shared" si="64"/>
        <v>0</v>
      </c>
      <c r="L425" s="191">
        <f t="shared" si="66"/>
        <v>0</v>
      </c>
      <c r="M425" s="177">
        <f t="shared" si="60"/>
        <v>0</v>
      </c>
      <c r="N425" s="148">
        <f t="shared" si="61"/>
        <v>0</v>
      </c>
      <c r="O425" s="427">
        <v>0</v>
      </c>
      <c r="P425" s="177">
        <f t="shared" si="63"/>
        <v>0</v>
      </c>
      <c r="Q425" s="177">
        <f t="shared" si="67"/>
        <v>0</v>
      </c>
      <c r="R425" s="431">
        <f t="shared" si="65"/>
        <v>0</v>
      </c>
      <c r="S425" s="468">
        <v>2</v>
      </c>
      <c r="T425" s="127"/>
      <c r="U425" s="127"/>
      <c r="V425" s="127"/>
      <c r="W425" s="127"/>
      <c r="X425" s="127"/>
      <c r="Y425" s="127"/>
    </row>
    <row r="426" spans="1:25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32">
        <f t="shared" si="59"/>
        <v>255.16</v>
      </c>
      <c r="G426" s="646">
        <f t="shared" si="62"/>
        <v>255.16</v>
      </c>
      <c r="H426" s="146"/>
      <c r="I426" s="146">
        <v>0</v>
      </c>
      <c r="J426" s="146">
        <v>0</v>
      </c>
      <c r="K426" s="146">
        <f t="shared" si="64"/>
        <v>0</v>
      </c>
      <c r="L426" s="191">
        <f t="shared" si="66"/>
        <v>0</v>
      </c>
      <c r="M426" s="177">
        <f t="shared" si="60"/>
        <v>0</v>
      </c>
      <c r="N426" s="148">
        <f t="shared" si="61"/>
        <v>0</v>
      </c>
      <c r="O426" s="427">
        <v>0</v>
      </c>
      <c r="P426" s="177">
        <f t="shared" si="63"/>
        <v>0</v>
      </c>
      <c r="Q426" s="177">
        <f t="shared" si="67"/>
        <v>0</v>
      </c>
      <c r="R426" s="431">
        <f t="shared" si="65"/>
        <v>0</v>
      </c>
      <c r="S426" s="468">
        <v>2</v>
      </c>
      <c r="T426" s="127"/>
      <c r="U426" s="127"/>
      <c r="V426" s="127"/>
      <c r="W426" s="127"/>
      <c r="X426" s="127"/>
      <c r="Y426" s="127"/>
    </row>
    <row r="427" spans="1:25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32">
        <f t="shared" si="59"/>
        <v>509.32</v>
      </c>
      <c r="G427" s="646">
        <f t="shared" si="62"/>
        <v>509.32</v>
      </c>
      <c r="H427" s="146"/>
      <c r="I427" s="146">
        <v>52</v>
      </c>
      <c r="J427" s="146">
        <v>52</v>
      </c>
      <c r="K427" s="146">
        <f t="shared" si="64"/>
        <v>52</v>
      </c>
      <c r="L427" s="191">
        <f t="shared" si="66"/>
        <v>6.8783068783068779E-2</v>
      </c>
      <c r="M427" s="177">
        <f t="shared" si="60"/>
        <v>138.73613756613756</v>
      </c>
      <c r="N427" s="148">
        <f t="shared" si="61"/>
        <v>51.013277783068787</v>
      </c>
      <c r="O427" s="427">
        <v>53.592328042328035</v>
      </c>
      <c r="P427" s="177">
        <f t="shared" si="63"/>
        <v>3.7053714285714285</v>
      </c>
      <c r="Q427" s="177">
        <f t="shared" si="67"/>
        <v>4.516847771428572</v>
      </c>
      <c r="R427" s="431">
        <f t="shared" si="65"/>
        <v>0.48505284461655895</v>
      </c>
      <c r="S427" s="468">
        <v>3</v>
      </c>
      <c r="T427" s="127"/>
      <c r="U427" s="127"/>
      <c r="V427" s="127"/>
      <c r="W427" s="127"/>
      <c r="X427" s="127"/>
      <c r="Y427" s="127"/>
    </row>
    <row r="428" spans="1:25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32">
        <f t="shared" si="59"/>
        <v>509.19</v>
      </c>
      <c r="G428" s="646">
        <f t="shared" si="62"/>
        <v>509.19</v>
      </c>
      <c r="H428" s="146"/>
      <c r="I428" s="146">
        <v>60</v>
      </c>
      <c r="J428" s="146">
        <v>60</v>
      </c>
      <c r="K428" s="146">
        <f t="shared" si="64"/>
        <v>60</v>
      </c>
      <c r="L428" s="191">
        <f t="shared" si="66"/>
        <v>7.9365079365079361E-2</v>
      </c>
      <c r="M428" s="177">
        <f t="shared" si="60"/>
        <v>160.08015873015873</v>
      </c>
      <c r="N428" s="148">
        <f t="shared" si="61"/>
        <v>58.861474365079367</v>
      </c>
      <c r="O428" s="427">
        <v>49.469841269841268</v>
      </c>
      <c r="P428" s="177">
        <f t="shared" si="63"/>
        <v>4.2754285714285718</v>
      </c>
      <c r="Q428" s="177">
        <f t="shared" si="67"/>
        <v>5.2117474285714298</v>
      </c>
      <c r="R428" s="431">
        <f t="shared" si="65"/>
        <v>0.5355307506755983</v>
      </c>
      <c r="S428" s="468">
        <v>3</v>
      </c>
      <c r="T428" s="127"/>
      <c r="U428" s="127"/>
      <c r="V428" s="127"/>
      <c r="W428" s="127"/>
      <c r="X428" s="127"/>
      <c r="Y428" s="127"/>
    </row>
    <row r="429" spans="1:25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32">
        <f t="shared" si="59"/>
        <v>291.43</v>
      </c>
      <c r="G429" s="646">
        <f t="shared" si="62"/>
        <v>291.43</v>
      </c>
      <c r="H429" s="146"/>
      <c r="I429" s="146">
        <v>0</v>
      </c>
      <c r="J429" s="146">
        <v>0</v>
      </c>
      <c r="K429" s="146">
        <f t="shared" si="64"/>
        <v>0</v>
      </c>
      <c r="L429" s="191">
        <f t="shared" si="66"/>
        <v>0</v>
      </c>
      <c r="M429" s="177">
        <f t="shared" si="60"/>
        <v>0</v>
      </c>
      <c r="N429" s="148">
        <f t="shared" si="61"/>
        <v>0</v>
      </c>
      <c r="O429" s="427">
        <v>0</v>
      </c>
      <c r="P429" s="177">
        <f t="shared" si="63"/>
        <v>0</v>
      </c>
      <c r="Q429" s="177">
        <f t="shared" si="67"/>
        <v>0</v>
      </c>
      <c r="R429" s="431">
        <f t="shared" si="65"/>
        <v>0</v>
      </c>
      <c r="S429" s="468">
        <v>2</v>
      </c>
      <c r="T429" s="127"/>
      <c r="U429" s="127"/>
      <c r="V429" s="127"/>
      <c r="W429" s="127"/>
      <c r="X429" s="127"/>
      <c r="Y429" s="127"/>
    </row>
    <row r="430" spans="1:25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32">
        <f t="shared" si="59"/>
        <v>449.48</v>
      </c>
      <c r="G430" s="646">
        <f t="shared" si="62"/>
        <v>449.48</v>
      </c>
      <c r="H430" s="146"/>
      <c r="I430" s="146">
        <v>62</v>
      </c>
      <c r="J430" s="146">
        <v>62</v>
      </c>
      <c r="K430" s="146">
        <f t="shared" si="64"/>
        <v>62</v>
      </c>
      <c r="L430" s="191">
        <f t="shared" si="66"/>
        <v>8.2010582010582006E-2</v>
      </c>
      <c r="M430" s="177">
        <f t="shared" si="60"/>
        <v>165.41616402116401</v>
      </c>
      <c r="N430" s="148">
        <f t="shared" si="61"/>
        <v>60.823523510582007</v>
      </c>
      <c r="O430" s="427">
        <v>63.898544973544965</v>
      </c>
      <c r="P430" s="177">
        <f t="shared" si="63"/>
        <v>4.4179428571428572</v>
      </c>
      <c r="Q430" s="177">
        <f t="shared" si="67"/>
        <v>5.3854723428571436</v>
      </c>
      <c r="R430" s="431">
        <f t="shared" si="65"/>
        <v>0.65532654481274777</v>
      </c>
      <c r="S430" s="468">
        <v>3</v>
      </c>
      <c r="T430" s="127"/>
      <c r="U430" s="127"/>
      <c r="V430" s="127"/>
      <c r="W430" s="127"/>
      <c r="X430" s="127"/>
      <c r="Y430" s="127"/>
    </row>
    <row r="431" spans="1:25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32">
        <f t="shared" si="59"/>
        <v>467.46</v>
      </c>
      <c r="G431" s="646">
        <f t="shared" si="62"/>
        <v>467.46</v>
      </c>
      <c r="H431" s="146"/>
      <c r="I431" s="146">
        <v>74</v>
      </c>
      <c r="J431" s="146">
        <v>74</v>
      </c>
      <c r="K431" s="146">
        <f t="shared" si="64"/>
        <v>74</v>
      </c>
      <c r="L431" s="191">
        <f t="shared" si="66"/>
        <v>9.7883597883597878E-2</v>
      </c>
      <c r="M431" s="177">
        <f t="shared" si="60"/>
        <v>197.43219576719576</v>
      </c>
      <c r="N431" s="148">
        <f t="shared" si="61"/>
        <v>72.595818383597887</v>
      </c>
      <c r="O431" s="427">
        <v>61.012804232804228</v>
      </c>
      <c r="P431" s="177">
        <f t="shared" si="63"/>
        <v>5.2730285714285721</v>
      </c>
      <c r="Q431" s="177">
        <f t="shared" si="67"/>
        <v>6.4278218285714299</v>
      </c>
      <c r="R431" s="431">
        <f t="shared" si="65"/>
        <v>0.71944946509867469</v>
      </c>
      <c r="S431" s="468">
        <v>3</v>
      </c>
      <c r="T431" s="127"/>
      <c r="U431" s="127"/>
      <c r="V431" s="127"/>
      <c r="W431" s="127"/>
      <c r="X431" s="127"/>
      <c r="Y431" s="127"/>
    </row>
    <row r="432" spans="1:25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32">
        <f t="shared" si="59"/>
        <v>558.4</v>
      </c>
      <c r="G432" s="646">
        <f t="shared" si="62"/>
        <v>558.4</v>
      </c>
      <c r="H432" s="146"/>
      <c r="I432" s="146">
        <v>0</v>
      </c>
      <c r="J432" s="146">
        <v>0</v>
      </c>
      <c r="K432" s="146">
        <f t="shared" si="64"/>
        <v>0</v>
      </c>
      <c r="L432" s="191">
        <f t="shared" si="66"/>
        <v>0</v>
      </c>
      <c r="M432" s="177">
        <f t="shared" si="60"/>
        <v>0</v>
      </c>
      <c r="N432" s="148">
        <f t="shared" si="61"/>
        <v>0</v>
      </c>
      <c r="O432" s="427">
        <v>0</v>
      </c>
      <c r="P432" s="177">
        <f t="shared" si="63"/>
        <v>0</v>
      </c>
      <c r="Q432" s="177">
        <f t="shared" si="67"/>
        <v>0</v>
      </c>
      <c r="R432" s="431">
        <f t="shared" si="65"/>
        <v>0</v>
      </c>
      <c r="S432" s="468">
        <v>3</v>
      </c>
      <c r="T432" s="127"/>
      <c r="U432" s="127"/>
      <c r="V432" s="127"/>
      <c r="W432" s="127"/>
      <c r="X432" s="127"/>
      <c r="Y432" s="127"/>
    </row>
    <row r="433" spans="1:25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32">
        <f t="shared" si="59"/>
        <v>331.42</v>
      </c>
      <c r="G433" s="646">
        <f t="shared" si="62"/>
        <v>331.42</v>
      </c>
      <c r="H433" s="146"/>
      <c r="I433" s="146">
        <v>0</v>
      </c>
      <c r="J433" s="146">
        <v>0</v>
      </c>
      <c r="K433" s="146">
        <f t="shared" si="64"/>
        <v>0</v>
      </c>
      <c r="L433" s="191">
        <f t="shared" si="66"/>
        <v>0</v>
      </c>
      <c r="M433" s="177">
        <f t="shared" si="60"/>
        <v>0</v>
      </c>
      <c r="N433" s="148">
        <f t="shared" si="61"/>
        <v>0</v>
      </c>
      <c r="O433" s="427">
        <v>0</v>
      </c>
      <c r="P433" s="177">
        <f t="shared" si="63"/>
        <v>0</v>
      </c>
      <c r="Q433" s="177">
        <f t="shared" si="67"/>
        <v>0</v>
      </c>
      <c r="R433" s="431">
        <f t="shared" si="65"/>
        <v>0</v>
      </c>
      <c r="S433" s="468">
        <v>2</v>
      </c>
      <c r="T433" s="127"/>
      <c r="U433" s="127"/>
      <c r="V433" s="127"/>
      <c r="W433" s="127"/>
      <c r="X433" s="127"/>
      <c r="Y433" s="127"/>
    </row>
    <row r="434" spans="1:25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32">
        <f t="shared" si="59"/>
        <v>154.9</v>
      </c>
      <c r="G434" s="646">
        <f t="shared" si="62"/>
        <v>154.9</v>
      </c>
      <c r="H434" s="146"/>
      <c r="I434" s="146">
        <v>0</v>
      </c>
      <c r="J434" s="146">
        <v>0</v>
      </c>
      <c r="K434" s="146">
        <f t="shared" si="64"/>
        <v>0</v>
      </c>
      <c r="L434" s="191">
        <f t="shared" si="66"/>
        <v>0</v>
      </c>
      <c r="M434" s="177">
        <f t="shared" si="60"/>
        <v>0</v>
      </c>
      <c r="N434" s="148">
        <f t="shared" si="61"/>
        <v>0</v>
      </c>
      <c r="O434" s="427">
        <v>0</v>
      </c>
      <c r="P434" s="177">
        <f t="shared" si="63"/>
        <v>0</v>
      </c>
      <c r="Q434" s="177">
        <f t="shared" si="67"/>
        <v>0</v>
      </c>
      <c r="R434" s="431">
        <f t="shared" si="65"/>
        <v>0</v>
      </c>
      <c r="S434" s="468">
        <v>2</v>
      </c>
      <c r="T434" s="127"/>
      <c r="U434" s="127"/>
      <c r="V434" s="127"/>
      <c r="W434" s="127"/>
      <c r="X434" s="127"/>
      <c r="Y434" s="127"/>
    </row>
    <row r="435" spans="1:25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32">
        <f t="shared" si="59"/>
        <v>119.9</v>
      </c>
      <c r="G435" s="646">
        <f t="shared" si="62"/>
        <v>119.9</v>
      </c>
      <c r="H435" s="146"/>
      <c r="I435" s="146">
        <v>0</v>
      </c>
      <c r="J435" s="146">
        <v>0</v>
      </c>
      <c r="K435" s="146">
        <f t="shared" si="64"/>
        <v>0</v>
      </c>
      <c r="L435" s="191">
        <f t="shared" si="66"/>
        <v>0</v>
      </c>
      <c r="M435" s="177">
        <f t="shared" si="60"/>
        <v>0</v>
      </c>
      <c r="N435" s="148">
        <f t="shared" si="61"/>
        <v>0</v>
      </c>
      <c r="O435" s="427">
        <v>0</v>
      </c>
      <c r="P435" s="177">
        <f t="shared" si="63"/>
        <v>0</v>
      </c>
      <c r="Q435" s="177">
        <f t="shared" si="67"/>
        <v>0</v>
      </c>
      <c r="R435" s="431">
        <f t="shared" si="65"/>
        <v>0</v>
      </c>
      <c r="S435" s="468">
        <v>2</v>
      </c>
      <c r="T435" s="127"/>
      <c r="U435" s="127"/>
      <c r="V435" s="127"/>
      <c r="W435" s="127"/>
      <c r="X435" s="127"/>
      <c r="Y435" s="127"/>
    </row>
    <row r="436" spans="1:25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32">
        <f t="shared" si="59"/>
        <v>300.3</v>
      </c>
      <c r="G436" s="646">
        <f t="shared" si="62"/>
        <v>300.3</v>
      </c>
      <c r="H436" s="146"/>
      <c r="I436" s="146">
        <v>0</v>
      </c>
      <c r="J436" s="146">
        <v>0</v>
      </c>
      <c r="K436" s="146">
        <f t="shared" si="64"/>
        <v>0</v>
      </c>
      <c r="L436" s="191">
        <f t="shared" si="66"/>
        <v>0</v>
      </c>
      <c r="M436" s="177">
        <f t="shared" si="60"/>
        <v>0</v>
      </c>
      <c r="N436" s="148">
        <f t="shared" si="61"/>
        <v>0</v>
      </c>
      <c r="O436" s="427">
        <v>0</v>
      </c>
      <c r="P436" s="177">
        <f t="shared" si="63"/>
        <v>0</v>
      </c>
      <c r="Q436" s="177">
        <f t="shared" si="67"/>
        <v>0</v>
      </c>
      <c r="R436" s="431">
        <f t="shared" si="65"/>
        <v>0</v>
      </c>
      <c r="S436" s="468">
        <v>2</v>
      </c>
      <c r="T436" s="127"/>
      <c r="U436" s="127"/>
      <c r="V436" s="127"/>
      <c r="W436" s="127"/>
      <c r="X436" s="127"/>
      <c r="Y436" s="127"/>
    </row>
    <row r="437" spans="1:25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32">
        <f t="shared" si="59"/>
        <v>226.84</v>
      </c>
      <c r="G437" s="646">
        <f t="shared" si="62"/>
        <v>226.84</v>
      </c>
      <c r="H437" s="146"/>
      <c r="I437" s="146">
        <v>0</v>
      </c>
      <c r="J437" s="146">
        <v>0</v>
      </c>
      <c r="K437" s="146">
        <f t="shared" si="64"/>
        <v>0</v>
      </c>
      <c r="L437" s="191">
        <f t="shared" si="66"/>
        <v>0</v>
      </c>
      <c r="M437" s="177">
        <f t="shared" si="60"/>
        <v>0</v>
      </c>
      <c r="N437" s="148">
        <f t="shared" si="61"/>
        <v>0</v>
      </c>
      <c r="O437" s="427">
        <v>0</v>
      </c>
      <c r="P437" s="177">
        <f t="shared" si="63"/>
        <v>0</v>
      </c>
      <c r="Q437" s="177">
        <f t="shared" si="67"/>
        <v>0</v>
      </c>
      <c r="R437" s="431">
        <f t="shared" si="65"/>
        <v>0</v>
      </c>
      <c r="S437" s="468">
        <v>2</v>
      </c>
      <c r="T437" s="127"/>
      <c r="U437" s="127"/>
      <c r="V437" s="127"/>
      <c r="W437" s="127"/>
      <c r="X437" s="127"/>
      <c r="Y437" s="127"/>
    </row>
    <row r="438" spans="1:25" s="67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32">
        <f t="shared" si="59"/>
        <v>216.3</v>
      </c>
      <c r="G438" s="646">
        <f t="shared" si="62"/>
        <v>216.3</v>
      </c>
      <c r="H438" s="146"/>
      <c r="I438" s="146">
        <v>0</v>
      </c>
      <c r="J438" s="146">
        <v>0</v>
      </c>
      <c r="K438" s="146">
        <f t="shared" si="64"/>
        <v>0</v>
      </c>
      <c r="L438" s="191">
        <f t="shared" si="66"/>
        <v>0</v>
      </c>
      <c r="M438" s="177">
        <f t="shared" si="60"/>
        <v>0</v>
      </c>
      <c r="N438" s="148">
        <f t="shared" si="61"/>
        <v>0</v>
      </c>
      <c r="O438" s="427">
        <v>0</v>
      </c>
      <c r="P438" s="177">
        <f t="shared" si="63"/>
        <v>0</v>
      </c>
      <c r="Q438" s="177">
        <f t="shared" si="67"/>
        <v>0</v>
      </c>
      <c r="R438" s="431">
        <f t="shared" si="65"/>
        <v>0</v>
      </c>
      <c r="S438" s="468">
        <v>2</v>
      </c>
      <c r="T438" s="152"/>
      <c r="U438" s="152"/>
      <c r="V438" s="152"/>
      <c r="W438" s="152"/>
      <c r="X438" s="152"/>
      <c r="Y438" s="152"/>
    </row>
    <row r="439" spans="1:25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32">
        <f t="shared" si="59"/>
        <v>307.64999999999998</v>
      </c>
      <c r="G439" s="646">
        <f t="shared" si="62"/>
        <v>307.64999999999998</v>
      </c>
      <c r="H439" s="146"/>
      <c r="I439" s="146">
        <v>0</v>
      </c>
      <c r="J439" s="146">
        <v>0</v>
      </c>
      <c r="K439" s="146">
        <f t="shared" si="64"/>
        <v>0</v>
      </c>
      <c r="L439" s="191">
        <f t="shared" si="66"/>
        <v>0</v>
      </c>
      <c r="M439" s="177">
        <f t="shared" si="60"/>
        <v>0</v>
      </c>
      <c r="N439" s="148">
        <f t="shared" si="61"/>
        <v>0</v>
      </c>
      <c r="O439" s="427">
        <v>0</v>
      </c>
      <c r="P439" s="177">
        <f t="shared" si="63"/>
        <v>0</v>
      </c>
      <c r="Q439" s="177">
        <f t="shared" si="67"/>
        <v>0</v>
      </c>
      <c r="R439" s="431">
        <f t="shared" si="65"/>
        <v>0</v>
      </c>
      <c r="S439" s="468">
        <v>2</v>
      </c>
      <c r="T439" s="127"/>
      <c r="U439" s="127"/>
      <c r="V439" s="127"/>
      <c r="W439" s="127"/>
      <c r="X439" s="127"/>
      <c r="Y439" s="127"/>
    </row>
    <row r="440" spans="1:25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32">
        <f t="shared" si="59"/>
        <v>350.66</v>
      </c>
      <c r="G440" s="646">
        <f t="shared" si="62"/>
        <v>350.66</v>
      </c>
      <c r="H440" s="146"/>
      <c r="I440" s="146">
        <v>0</v>
      </c>
      <c r="J440" s="146">
        <v>0</v>
      </c>
      <c r="K440" s="146">
        <f t="shared" si="64"/>
        <v>0</v>
      </c>
      <c r="L440" s="191">
        <f t="shared" si="66"/>
        <v>0</v>
      </c>
      <c r="M440" s="177">
        <f t="shared" si="60"/>
        <v>0</v>
      </c>
      <c r="N440" s="148">
        <f t="shared" si="61"/>
        <v>0</v>
      </c>
      <c r="O440" s="427">
        <v>0</v>
      </c>
      <c r="P440" s="177">
        <f t="shared" si="63"/>
        <v>0</v>
      </c>
      <c r="Q440" s="177">
        <f t="shared" si="67"/>
        <v>0</v>
      </c>
      <c r="R440" s="431">
        <f t="shared" si="65"/>
        <v>0</v>
      </c>
      <c r="S440" s="468">
        <v>2</v>
      </c>
      <c r="T440" s="127"/>
      <c r="U440" s="127"/>
      <c r="V440" s="127"/>
      <c r="W440" s="127"/>
      <c r="X440" s="127"/>
      <c r="Y440" s="127"/>
    </row>
    <row r="441" spans="1:25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32">
        <f t="shared" si="59"/>
        <v>485.8</v>
      </c>
      <c r="G441" s="646">
        <f t="shared" si="62"/>
        <v>485.8</v>
      </c>
      <c r="H441" s="146"/>
      <c r="I441" s="146">
        <v>0</v>
      </c>
      <c r="J441" s="146">
        <v>0</v>
      </c>
      <c r="K441" s="146">
        <f t="shared" si="64"/>
        <v>0</v>
      </c>
      <c r="L441" s="191">
        <f t="shared" si="66"/>
        <v>0</v>
      </c>
      <c r="M441" s="177">
        <f t="shared" si="60"/>
        <v>0</v>
      </c>
      <c r="N441" s="148">
        <f t="shared" si="61"/>
        <v>0</v>
      </c>
      <c r="O441" s="427">
        <v>0</v>
      </c>
      <c r="P441" s="177">
        <f t="shared" si="63"/>
        <v>0</v>
      </c>
      <c r="Q441" s="177">
        <f t="shared" si="67"/>
        <v>0</v>
      </c>
      <c r="R441" s="431">
        <f t="shared" si="65"/>
        <v>0</v>
      </c>
      <c r="S441" s="468">
        <v>2</v>
      </c>
      <c r="T441" s="127"/>
      <c r="U441" s="127"/>
      <c r="V441" s="127"/>
      <c r="W441" s="127"/>
      <c r="X441" s="127"/>
      <c r="Y441" s="127"/>
    </row>
    <row r="442" spans="1:25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32">
        <f t="shared" si="59"/>
        <v>402.96</v>
      </c>
      <c r="G442" s="646">
        <f t="shared" si="62"/>
        <v>402.96</v>
      </c>
      <c r="H442" s="146"/>
      <c r="I442" s="146"/>
      <c r="J442" s="146"/>
      <c r="K442" s="146">
        <f t="shared" si="64"/>
        <v>0</v>
      </c>
      <c r="L442" s="191">
        <f t="shared" si="66"/>
        <v>0</v>
      </c>
      <c r="M442" s="177">
        <f t="shared" si="60"/>
        <v>0</v>
      </c>
      <c r="N442" s="148">
        <f t="shared" si="61"/>
        <v>0</v>
      </c>
      <c r="O442" s="427">
        <v>0</v>
      </c>
      <c r="P442" s="177">
        <f t="shared" si="63"/>
        <v>0</v>
      </c>
      <c r="Q442" s="177">
        <f t="shared" si="67"/>
        <v>0</v>
      </c>
      <c r="R442" s="431">
        <f t="shared" si="65"/>
        <v>0</v>
      </c>
      <c r="S442" s="468">
        <v>2</v>
      </c>
      <c r="T442" s="127"/>
      <c r="U442" s="127"/>
      <c r="V442" s="127"/>
      <c r="W442" s="127"/>
      <c r="X442" s="127"/>
      <c r="Y442" s="127"/>
    </row>
    <row r="443" spans="1:25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32">
        <f t="shared" si="59"/>
        <v>526.67999999999995</v>
      </c>
      <c r="G443" s="646">
        <f t="shared" si="62"/>
        <v>526.67999999999995</v>
      </c>
      <c r="H443" s="146"/>
      <c r="I443" s="146">
        <v>62</v>
      </c>
      <c r="J443" s="146">
        <v>62</v>
      </c>
      <c r="K443" s="146">
        <f t="shared" si="64"/>
        <v>62</v>
      </c>
      <c r="L443" s="191">
        <f t="shared" si="66"/>
        <v>8.2010582010582006E-2</v>
      </c>
      <c r="M443" s="177">
        <f t="shared" si="60"/>
        <v>165.41616402116401</v>
      </c>
      <c r="N443" s="148">
        <f t="shared" si="61"/>
        <v>60.823523510582007</v>
      </c>
      <c r="O443" s="427">
        <v>63.898544973544965</v>
      </c>
      <c r="P443" s="177">
        <f t="shared" si="63"/>
        <v>4.4179428571428572</v>
      </c>
      <c r="Q443" s="177">
        <f t="shared" si="67"/>
        <v>5.3854723428571436</v>
      </c>
      <c r="R443" s="431">
        <f t="shared" si="65"/>
        <v>0.55926971854339236</v>
      </c>
      <c r="S443" s="468">
        <v>3</v>
      </c>
      <c r="T443" s="127"/>
      <c r="U443" s="127"/>
      <c r="V443" s="127"/>
      <c r="W443" s="127"/>
      <c r="X443" s="127"/>
      <c r="Y443" s="127"/>
    </row>
    <row r="444" spans="1:25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32">
        <f t="shared" si="59"/>
        <v>198.5</v>
      </c>
      <c r="G444" s="646">
        <f t="shared" si="62"/>
        <v>198.5</v>
      </c>
      <c r="H444" s="146"/>
      <c r="I444" s="146"/>
      <c r="J444" s="146"/>
      <c r="K444" s="146">
        <f t="shared" si="64"/>
        <v>0</v>
      </c>
      <c r="L444" s="191">
        <f t="shared" si="66"/>
        <v>0</v>
      </c>
      <c r="M444" s="177">
        <f t="shared" si="60"/>
        <v>0</v>
      </c>
      <c r="N444" s="148">
        <f t="shared" si="61"/>
        <v>0</v>
      </c>
      <c r="O444" s="427">
        <v>0</v>
      </c>
      <c r="P444" s="177">
        <f t="shared" si="63"/>
        <v>0</v>
      </c>
      <c r="Q444" s="177">
        <f t="shared" si="67"/>
        <v>0</v>
      </c>
      <c r="R444" s="431">
        <f t="shared" si="65"/>
        <v>0</v>
      </c>
      <c r="S444" s="468">
        <v>3</v>
      </c>
      <c r="T444" s="127"/>
      <c r="U444" s="127"/>
      <c r="V444" s="127"/>
      <c r="W444" s="127"/>
      <c r="X444" s="127"/>
      <c r="Y444" s="127"/>
    </row>
    <row r="445" spans="1:25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32">
        <f t="shared" si="59"/>
        <v>879.8</v>
      </c>
      <c r="G445" s="646">
        <f t="shared" si="62"/>
        <v>879.8</v>
      </c>
      <c r="H445" s="146"/>
      <c r="I445" s="146">
        <v>52</v>
      </c>
      <c r="J445" s="146">
        <v>52</v>
      </c>
      <c r="K445" s="146">
        <f t="shared" si="64"/>
        <v>52</v>
      </c>
      <c r="L445" s="191">
        <f t="shared" si="66"/>
        <v>6.8783068783068779E-2</v>
      </c>
      <c r="M445" s="177">
        <f t="shared" si="60"/>
        <v>138.73613756613756</v>
      </c>
      <c r="N445" s="148">
        <f t="shared" si="61"/>
        <v>51.013277783068787</v>
      </c>
      <c r="O445" s="427">
        <v>64.310793650793642</v>
      </c>
      <c r="P445" s="177">
        <f t="shared" si="63"/>
        <v>3.7053714285714285</v>
      </c>
      <c r="Q445" s="177">
        <f t="shared" si="67"/>
        <v>4.516847771428572</v>
      </c>
      <c r="R445" s="431">
        <f t="shared" si="65"/>
        <v>0.38593439201762453</v>
      </c>
      <c r="S445" s="468">
        <v>3</v>
      </c>
      <c r="T445" s="127"/>
      <c r="U445" s="127"/>
      <c r="V445" s="127"/>
      <c r="W445" s="127"/>
      <c r="X445" s="127"/>
      <c r="Y445" s="127"/>
    </row>
    <row r="446" spans="1:25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32">
        <f t="shared" si="59"/>
        <v>1786.8</v>
      </c>
      <c r="G446" s="646">
        <f t="shared" si="62"/>
        <v>1786.8</v>
      </c>
      <c r="H446" s="146"/>
      <c r="I446" s="146">
        <v>150</v>
      </c>
      <c r="J446" s="146">
        <v>160</v>
      </c>
      <c r="K446" s="146">
        <v>150</v>
      </c>
      <c r="L446" s="191">
        <f t="shared" si="66"/>
        <v>0.1984126984126984</v>
      </c>
      <c r="M446" s="177">
        <f t="shared" si="60"/>
        <v>400.20039682539681</v>
      </c>
      <c r="N446" s="148">
        <f t="shared" si="61"/>
        <v>147.15368591269842</v>
      </c>
      <c r="O446" s="427">
        <v>185.51190476190473</v>
      </c>
      <c r="P446" s="177">
        <f t="shared" si="63"/>
        <v>10.68857142857143</v>
      </c>
      <c r="Q446" s="177">
        <f t="shared" si="67"/>
        <v>13.029368571428575</v>
      </c>
      <c r="R446" s="431">
        <f t="shared" si="65"/>
        <v>0.48285899014778322</v>
      </c>
      <c r="S446" s="468">
        <v>3</v>
      </c>
      <c r="T446" s="127"/>
      <c r="U446" s="127"/>
      <c r="V446" s="127"/>
      <c r="W446" s="127"/>
      <c r="X446" s="127"/>
      <c r="Y446" s="127"/>
    </row>
    <row r="447" spans="1:25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32">
        <f t="shared" si="59"/>
        <v>776.28</v>
      </c>
      <c r="G447" s="646">
        <f t="shared" si="62"/>
        <v>776.28</v>
      </c>
      <c r="H447" s="146"/>
      <c r="I447" s="146">
        <v>70</v>
      </c>
      <c r="J447" s="146">
        <v>70</v>
      </c>
      <c r="K447" s="146">
        <f t="shared" si="64"/>
        <v>70</v>
      </c>
      <c r="L447" s="191">
        <f t="shared" si="66"/>
        <v>9.2592592592592587E-2</v>
      </c>
      <c r="M447" s="177">
        <f t="shared" si="60"/>
        <v>186.76018518518518</v>
      </c>
      <c r="N447" s="148">
        <f t="shared" si="61"/>
        <v>68.671720092592594</v>
      </c>
      <c r="O447" s="427">
        <v>72.143518518518519</v>
      </c>
      <c r="P447" s="177">
        <f t="shared" si="63"/>
        <v>4.9880000000000004</v>
      </c>
      <c r="Q447" s="177">
        <f t="shared" si="67"/>
        <v>6.0803720000000006</v>
      </c>
      <c r="R447" s="431">
        <f t="shared" si="65"/>
        <v>0.61508364244339786</v>
      </c>
      <c r="S447" s="468">
        <v>3</v>
      </c>
      <c r="T447" s="127"/>
      <c r="U447" s="127"/>
      <c r="V447" s="127"/>
      <c r="W447" s="127"/>
      <c r="X447" s="127"/>
      <c r="Y447" s="127"/>
    </row>
    <row r="448" spans="1:25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32">
        <f t="shared" si="59"/>
        <v>475.29</v>
      </c>
      <c r="G448" s="646">
        <f t="shared" si="62"/>
        <v>475.29</v>
      </c>
      <c r="H448" s="146"/>
      <c r="I448" s="146">
        <v>0</v>
      </c>
      <c r="J448" s="146">
        <v>0</v>
      </c>
      <c r="K448" s="146">
        <f t="shared" si="64"/>
        <v>0</v>
      </c>
      <c r="L448" s="191">
        <f t="shared" si="66"/>
        <v>0</v>
      </c>
      <c r="M448" s="177">
        <f t="shared" si="60"/>
        <v>0</v>
      </c>
      <c r="N448" s="148">
        <f t="shared" si="61"/>
        <v>0</v>
      </c>
      <c r="O448" s="427">
        <v>0</v>
      </c>
      <c r="P448" s="177">
        <f t="shared" si="63"/>
        <v>0</v>
      </c>
      <c r="Q448" s="177">
        <f t="shared" si="67"/>
        <v>0</v>
      </c>
      <c r="R448" s="431">
        <f t="shared" si="65"/>
        <v>0</v>
      </c>
      <c r="S448" s="468">
        <v>2</v>
      </c>
      <c r="T448" s="127"/>
      <c r="U448" s="127"/>
      <c r="V448" s="127"/>
      <c r="W448" s="127"/>
      <c r="X448" s="127"/>
      <c r="Y448" s="127"/>
    </row>
    <row r="449" spans="1:25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32">
        <f t="shared" si="59"/>
        <v>487.96</v>
      </c>
      <c r="G449" s="646">
        <f t="shared" si="62"/>
        <v>487.96</v>
      </c>
      <c r="H449" s="146"/>
      <c r="I449" s="146">
        <v>0</v>
      </c>
      <c r="J449" s="146">
        <v>0</v>
      </c>
      <c r="K449" s="146">
        <f t="shared" si="64"/>
        <v>0</v>
      </c>
      <c r="L449" s="191">
        <f t="shared" si="66"/>
        <v>0</v>
      </c>
      <c r="M449" s="177">
        <f t="shared" si="60"/>
        <v>0</v>
      </c>
      <c r="N449" s="148">
        <f t="shared" si="61"/>
        <v>0</v>
      </c>
      <c r="O449" s="427">
        <v>0</v>
      </c>
      <c r="P449" s="177">
        <f t="shared" si="63"/>
        <v>0</v>
      </c>
      <c r="Q449" s="177">
        <f t="shared" si="67"/>
        <v>0</v>
      </c>
      <c r="R449" s="431">
        <f t="shared" si="65"/>
        <v>0</v>
      </c>
      <c r="S449" s="468">
        <v>2</v>
      </c>
      <c r="T449" s="127"/>
      <c r="U449" s="127"/>
      <c r="V449" s="127"/>
      <c r="W449" s="127"/>
      <c r="X449" s="127"/>
      <c r="Y449" s="127"/>
    </row>
    <row r="450" spans="1:25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32">
        <f t="shared" ref="F450:F512" si="68">C450+D450+E450</f>
        <v>1058.94</v>
      </c>
      <c r="G450" s="646">
        <f t="shared" si="62"/>
        <v>1058.94</v>
      </c>
      <c r="H450" s="146"/>
      <c r="I450" s="146">
        <v>100</v>
      </c>
      <c r="J450" s="146">
        <v>100</v>
      </c>
      <c r="K450" s="146">
        <f t="shared" si="64"/>
        <v>100</v>
      </c>
      <c r="L450" s="191">
        <f t="shared" si="66"/>
        <v>0.13227513227513227</v>
      </c>
      <c r="M450" s="177">
        <f t="shared" ref="M450:M513" si="69">L450*2017.01</f>
        <v>266.80026455026456</v>
      </c>
      <c r="N450" s="148">
        <f t="shared" ref="N450:N511" si="70">M450*0.3677</f>
        <v>98.102457275132281</v>
      </c>
      <c r="O450" s="427">
        <v>103.0621693121693</v>
      </c>
      <c r="P450" s="177">
        <f t="shared" si="63"/>
        <v>7.1257142857142863</v>
      </c>
      <c r="Q450" s="177">
        <f t="shared" si="67"/>
        <v>8.6862457142857163</v>
      </c>
      <c r="R450" s="431">
        <f t="shared" si="65"/>
        <v>0.67327618250564092</v>
      </c>
      <c r="S450" s="468">
        <v>3</v>
      </c>
      <c r="T450" s="127"/>
      <c r="U450" s="127"/>
      <c r="V450" s="127"/>
      <c r="W450" s="127"/>
      <c r="X450" s="127"/>
      <c r="Y450" s="127"/>
    </row>
    <row r="451" spans="1:25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32">
        <f t="shared" si="68"/>
        <v>435.39</v>
      </c>
      <c r="G451" s="646">
        <f t="shared" ref="G451:G512" si="71">C451+D451+E451</f>
        <v>435.39</v>
      </c>
      <c r="H451" s="146"/>
      <c r="I451" s="146">
        <v>40</v>
      </c>
      <c r="J451" s="146">
        <v>84</v>
      </c>
      <c r="K451" s="146">
        <f t="shared" ref="K451:K512" si="72">H451+I451</f>
        <v>40</v>
      </c>
      <c r="L451" s="191">
        <f t="shared" si="66"/>
        <v>5.2910052910052907E-2</v>
      </c>
      <c r="M451" s="177">
        <f t="shared" si="69"/>
        <v>106.72010582010581</v>
      </c>
      <c r="N451" s="148">
        <f t="shared" si="70"/>
        <v>39.240982910052914</v>
      </c>
      <c r="O451" s="427">
        <v>41.224867724867721</v>
      </c>
      <c r="P451" s="177">
        <f t="shared" ref="P451:P514" si="73">L451*49.88*1.08</f>
        <v>2.8502857142857145</v>
      </c>
      <c r="Q451" s="177">
        <f t="shared" si="67"/>
        <v>3.4744982857142861</v>
      </c>
      <c r="R451" s="431">
        <f t="shared" si="65"/>
        <v>0.43647360336551638</v>
      </c>
      <c r="S451" s="468">
        <v>3</v>
      </c>
      <c r="T451" s="127"/>
      <c r="U451" s="127"/>
      <c r="V451" s="127"/>
      <c r="W451" s="127"/>
      <c r="X451" s="127"/>
      <c r="Y451" s="127"/>
    </row>
    <row r="452" spans="1:25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32">
        <f t="shared" si="68"/>
        <v>539.61</v>
      </c>
      <c r="G452" s="646">
        <f t="shared" si="71"/>
        <v>539.61</v>
      </c>
      <c r="H452" s="146"/>
      <c r="I452" s="146">
        <v>35</v>
      </c>
      <c r="J452" s="146">
        <v>85</v>
      </c>
      <c r="K452" s="146">
        <f t="shared" si="72"/>
        <v>35</v>
      </c>
      <c r="L452" s="191">
        <f t="shared" si="66"/>
        <v>4.6296296296296294E-2</v>
      </c>
      <c r="M452" s="177">
        <f t="shared" si="69"/>
        <v>93.38009259259259</v>
      </c>
      <c r="N452" s="148">
        <f t="shared" si="70"/>
        <v>34.335860046296297</v>
      </c>
      <c r="O452" s="427">
        <v>36.07175925925926</v>
      </c>
      <c r="P452" s="177">
        <f t="shared" si="73"/>
        <v>2.4940000000000002</v>
      </c>
      <c r="Q452" s="177">
        <f t="shared" si="67"/>
        <v>3.0401860000000003</v>
      </c>
      <c r="R452" s="431">
        <f t="shared" si="65"/>
        <v>0.33402645968973738</v>
      </c>
      <c r="S452" s="468">
        <v>3</v>
      </c>
      <c r="T452" s="127"/>
      <c r="U452" s="127"/>
      <c r="V452" s="127"/>
      <c r="W452" s="127"/>
      <c r="X452" s="127"/>
      <c r="Y452" s="127"/>
    </row>
    <row r="453" spans="1:25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32">
        <f t="shared" si="68"/>
        <v>466.35</v>
      </c>
      <c r="G453" s="646">
        <f t="shared" si="71"/>
        <v>466.35</v>
      </c>
      <c r="H453" s="146"/>
      <c r="I453" s="146">
        <v>0</v>
      </c>
      <c r="J453" s="146">
        <v>0</v>
      </c>
      <c r="K453" s="146">
        <f t="shared" si="72"/>
        <v>0</v>
      </c>
      <c r="L453" s="191">
        <f t="shared" si="66"/>
        <v>0</v>
      </c>
      <c r="M453" s="177">
        <f t="shared" si="69"/>
        <v>0</v>
      </c>
      <c r="N453" s="148">
        <f t="shared" si="70"/>
        <v>0</v>
      </c>
      <c r="O453" s="427">
        <v>0</v>
      </c>
      <c r="P453" s="177">
        <f t="shared" si="73"/>
        <v>0</v>
      </c>
      <c r="Q453" s="177">
        <f t="shared" si="67"/>
        <v>0</v>
      </c>
      <c r="R453" s="431">
        <f t="shared" si="65"/>
        <v>0</v>
      </c>
      <c r="S453" s="468">
        <v>2</v>
      </c>
      <c r="T453" s="127"/>
      <c r="U453" s="127"/>
      <c r="V453" s="127"/>
      <c r="W453" s="127"/>
      <c r="X453" s="127"/>
      <c r="Y453" s="127"/>
    </row>
    <row r="454" spans="1:25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32">
        <f t="shared" si="68"/>
        <v>270.3</v>
      </c>
      <c r="G454" s="646">
        <f t="shared" si="71"/>
        <v>270.3</v>
      </c>
      <c r="H454" s="146"/>
      <c r="I454" s="146">
        <v>0</v>
      </c>
      <c r="J454" s="146">
        <v>0</v>
      </c>
      <c r="K454" s="146">
        <f t="shared" si="72"/>
        <v>0</v>
      </c>
      <c r="L454" s="191">
        <f t="shared" si="66"/>
        <v>0</v>
      </c>
      <c r="M454" s="177">
        <f t="shared" si="69"/>
        <v>0</v>
      </c>
      <c r="N454" s="148">
        <f t="shared" si="70"/>
        <v>0</v>
      </c>
      <c r="O454" s="427">
        <v>0</v>
      </c>
      <c r="P454" s="177">
        <f t="shared" si="73"/>
        <v>0</v>
      </c>
      <c r="Q454" s="177">
        <f t="shared" si="67"/>
        <v>0</v>
      </c>
      <c r="R454" s="431">
        <f t="shared" si="65"/>
        <v>0</v>
      </c>
      <c r="S454" s="468">
        <v>2</v>
      </c>
      <c r="T454" s="127"/>
      <c r="U454" s="127"/>
      <c r="V454" s="127"/>
      <c r="W454" s="127"/>
      <c r="X454" s="127"/>
      <c r="Y454" s="127"/>
    </row>
    <row r="455" spans="1:25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32">
        <f t="shared" si="68"/>
        <v>1056.99</v>
      </c>
      <c r="G455" s="646">
        <f t="shared" si="71"/>
        <v>1056.99</v>
      </c>
      <c r="H455" s="146">
        <v>205</v>
      </c>
      <c r="I455" s="146"/>
      <c r="J455" s="146">
        <v>205</v>
      </c>
      <c r="K455" s="146">
        <f t="shared" si="72"/>
        <v>205</v>
      </c>
      <c r="L455" s="191">
        <f t="shared" si="66"/>
        <v>0.24404761904761904</v>
      </c>
      <c r="M455" s="177">
        <f t="shared" si="69"/>
        <v>492.24648809523808</v>
      </c>
      <c r="N455" s="148">
        <f t="shared" si="70"/>
        <v>180.99903367261905</v>
      </c>
      <c r="O455" s="427">
        <v>190.14970238095236</v>
      </c>
      <c r="P455" s="177">
        <f t="shared" si="73"/>
        <v>13.146942857142857</v>
      </c>
      <c r="Q455" s="177">
        <f t="shared" si="67"/>
        <v>16.026123342857144</v>
      </c>
      <c r="R455" s="431">
        <f t="shared" ref="R455:R518" si="74">(M455+N455+O455+P455)/C455</f>
        <v>0.82928141894053142</v>
      </c>
      <c r="S455" s="468">
        <v>4</v>
      </c>
      <c r="T455" s="127"/>
      <c r="U455" s="127"/>
      <c r="V455" s="127"/>
      <c r="W455" s="127"/>
      <c r="X455" s="127"/>
      <c r="Y455" s="127"/>
    </row>
    <row r="456" spans="1:25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32">
        <f t="shared" si="68"/>
        <v>353.79999999999995</v>
      </c>
      <c r="G456" s="646">
        <f t="shared" si="71"/>
        <v>353.79999999999995</v>
      </c>
      <c r="H456" s="146"/>
      <c r="I456" s="146">
        <v>0</v>
      </c>
      <c r="J456" s="146">
        <v>0</v>
      </c>
      <c r="K456" s="146">
        <f t="shared" si="72"/>
        <v>0</v>
      </c>
      <c r="L456" s="191">
        <f t="shared" si="66"/>
        <v>0</v>
      </c>
      <c r="M456" s="177">
        <f t="shared" si="69"/>
        <v>0</v>
      </c>
      <c r="N456" s="148">
        <f t="shared" si="70"/>
        <v>0</v>
      </c>
      <c r="O456" s="427">
        <v>0</v>
      </c>
      <c r="P456" s="177">
        <f t="shared" si="73"/>
        <v>0</v>
      </c>
      <c r="Q456" s="177">
        <f t="shared" si="67"/>
        <v>0</v>
      </c>
      <c r="R456" s="431">
        <f t="shared" si="74"/>
        <v>0</v>
      </c>
      <c r="S456" s="468">
        <v>2</v>
      </c>
      <c r="T456" s="127"/>
      <c r="U456" s="127"/>
      <c r="V456" s="127"/>
      <c r="W456" s="127"/>
      <c r="X456" s="127"/>
      <c r="Y456" s="127"/>
    </row>
    <row r="457" spans="1:25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32">
        <f t="shared" si="68"/>
        <v>239.3</v>
      </c>
      <c r="G457" s="646">
        <f t="shared" si="71"/>
        <v>239.3</v>
      </c>
      <c r="H457" s="146"/>
      <c r="I457" s="146"/>
      <c r="J457" s="146"/>
      <c r="K457" s="146">
        <f t="shared" si="72"/>
        <v>0</v>
      </c>
      <c r="L457" s="191">
        <f t="shared" si="66"/>
        <v>0</v>
      </c>
      <c r="M457" s="177">
        <f t="shared" si="69"/>
        <v>0</v>
      </c>
      <c r="N457" s="148">
        <f t="shared" si="70"/>
        <v>0</v>
      </c>
      <c r="O457" s="427">
        <v>0</v>
      </c>
      <c r="P457" s="177">
        <f t="shared" si="73"/>
        <v>0</v>
      </c>
      <c r="Q457" s="177">
        <f t="shared" si="67"/>
        <v>0</v>
      </c>
      <c r="R457" s="431">
        <f t="shared" si="74"/>
        <v>0</v>
      </c>
      <c r="S457" s="468">
        <v>2</v>
      </c>
      <c r="T457" s="127"/>
      <c r="U457" s="127"/>
      <c r="V457" s="127"/>
      <c r="W457" s="127"/>
      <c r="X457" s="127"/>
      <c r="Y457" s="127"/>
    </row>
    <row r="458" spans="1:25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32">
        <f t="shared" si="68"/>
        <v>144.6</v>
      </c>
      <c r="G458" s="646">
        <f t="shared" si="71"/>
        <v>144.6</v>
      </c>
      <c r="H458" s="146"/>
      <c r="I458" s="146"/>
      <c r="J458" s="146"/>
      <c r="K458" s="146">
        <f t="shared" si="72"/>
        <v>0</v>
      </c>
      <c r="L458" s="191">
        <f t="shared" si="66"/>
        <v>0</v>
      </c>
      <c r="M458" s="177">
        <f t="shared" si="69"/>
        <v>0</v>
      </c>
      <c r="N458" s="148">
        <f t="shared" si="70"/>
        <v>0</v>
      </c>
      <c r="O458" s="427">
        <v>0</v>
      </c>
      <c r="P458" s="177">
        <f t="shared" si="73"/>
        <v>0</v>
      </c>
      <c r="Q458" s="177">
        <f t="shared" si="67"/>
        <v>0</v>
      </c>
      <c r="R458" s="431">
        <f t="shared" si="74"/>
        <v>0</v>
      </c>
      <c r="S458" s="468">
        <v>2</v>
      </c>
      <c r="T458" s="127"/>
      <c r="U458" s="127"/>
      <c r="V458" s="127"/>
      <c r="W458" s="127"/>
      <c r="X458" s="127"/>
      <c r="Y458" s="127"/>
    </row>
    <row r="459" spans="1:25" s="67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32">
        <f t="shared" si="68"/>
        <v>375.5</v>
      </c>
      <c r="G459" s="646">
        <f t="shared" si="71"/>
        <v>375.5</v>
      </c>
      <c r="H459" s="146"/>
      <c r="I459" s="146">
        <v>0</v>
      </c>
      <c r="J459" s="146">
        <v>0</v>
      </c>
      <c r="K459" s="146">
        <f t="shared" si="72"/>
        <v>0</v>
      </c>
      <c r="L459" s="191">
        <f t="shared" si="66"/>
        <v>0</v>
      </c>
      <c r="M459" s="177">
        <f t="shared" si="69"/>
        <v>0</v>
      </c>
      <c r="N459" s="148">
        <f t="shared" si="70"/>
        <v>0</v>
      </c>
      <c r="O459" s="427">
        <v>0</v>
      </c>
      <c r="P459" s="177">
        <f t="shared" si="73"/>
        <v>0</v>
      </c>
      <c r="Q459" s="177">
        <f t="shared" si="67"/>
        <v>0</v>
      </c>
      <c r="R459" s="431">
        <f t="shared" si="74"/>
        <v>0</v>
      </c>
      <c r="S459" s="468">
        <v>2</v>
      </c>
      <c r="T459" s="152"/>
      <c r="U459" s="152"/>
      <c r="V459" s="152"/>
      <c r="W459" s="152"/>
      <c r="X459" s="152"/>
      <c r="Y459" s="152"/>
    </row>
    <row r="460" spans="1:25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32">
        <f t="shared" si="68"/>
        <v>993.91</v>
      </c>
      <c r="G460" s="646">
        <f t="shared" si="71"/>
        <v>993.91</v>
      </c>
      <c r="H460" s="146"/>
      <c r="I460" s="146">
        <v>105</v>
      </c>
      <c r="J460" s="146">
        <v>117</v>
      </c>
      <c r="K460" s="146">
        <f t="shared" si="72"/>
        <v>105</v>
      </c>
      <c r="L460" s="191">
        <f t="shared" si="66"/>
        <v>0.1388888888888889</v>
      </c>
      <c r="M460" s="177">
        <f t="shared" si="69"/>
        <v>280.14027777777778</v>
      </c>
      <c r="N460" s="148">
        <f t="shared" si="70"/>
        <v>103.0075801388889</v>
      </c>
      <c r="O460" s="427">
        <v>108.21527777777779</v>
      </c>
      <c r="P460" s="177">
        <f t="shared" si="73"/>
        <v>7.4820000000000011</v>
      </c>
      <c r="Q460" s="177">
        <f t="shared" si="67"/>
        <v>9.1205580000000026</v>
      </c>
      <c r="R460" s="431">
        <f t="shared" si="74"/>
        <v>0.51463941947823144</v>
      </c>
      <c r="S460" s="468">
        <v>3</v>
      </c>
      <c r="T460" s="127"/>
      <c r="U460" s="127"/>
      <c r="V460" s="127"/>
      <c r="W460" s="127"/>
      <c r="X460" s="127"/>
      <c r="Y460" s="127"/>
    </row>
    <row r="461" spans="1:25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32">
        <f t="shared" si="68"/>
        <v>716.19999999999993</v>
      </c>
      <c r="G461" s="646">
        <f t="shared" si="71"/>
        <v>716.19999999999993</v>
      </c>
      <c r="H461" s="146"/>
      <c r="I461" s="146">
        <v>56</v>
      </c>
      <c r="J461" s="146">
        <v>110</v>
      </c>
      <c r="K461" s="146">
        <f t="shared" si="72"/>
        <v>56</v>
      </c>
      <c r="L461" s="191">
        <f t="shared" si="66"/>
        <v>7.407407407407407E-2</v>
      </c>
      <c r="M461" s="177">
        <f t="shared" si="69"/>
        <v>149.40814814814814</v>
      </c>
      <c r="N461" s="148">
        <f t="shared" si="70"/>
        <v>54.937376074074074</v>
      </c>
      <c r="O461" s="427">
        <v>57.714814814814808</v>
      </c>
      <c r="P461" s="177">
        <f t="shared" si="73"/>
        <v>3.9904000000000002</v>
      </c>
      <c r="Q461" s="177">
        <f t="shared" si="67"/>
        <v>4.8642976000000004</v>
      </c>
      <c r="R461" s="431">
        <f t="shared" si="74"/>
        <v>0.45533243032181592</v>
      </c>
      <c r="S461" s="468">
        <v>3</v>
      </c>
      <c r="T461" s="127"/>
      <c r="U461" s="127"/>
      <c r="V461" s="127"/>
      <c r="W461" s="127"/>
      <c r="X461" s="127"/>
      <c r="Y461" s="127"/>
    </row>
    <row r="462" spans="1:25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32">
        <f t="shared" si="68"/>
        <v>472.2</v>
      </c>
      <c r="G462" s="646">
        <f t="shared" si="71"/>
        <v>472.2</v>
      </c>
      <c r="H462" s="146"/>
      <c r="I462" s="146">
        <v>0</v>
      </c>
      <c r="J462" s="146">
        <v>0</v>
      </c>
      <c r="K462" s="146">
        <f t="shared" si="72"/>
        <v>0</v>
      </c>
      <c r="L462" s="191">
        <f t="shared" si="66"/>
        <v>0</v>
      </c>
      <c r="M462" s="177">
        <f t="shared" si="69"/>
        <v>0</v>
      </c>
      <c r="N462" s="148">
        <f t="shared" si="70"/>
        <v>0</v>
      </c>
      <c r="O462" s="427">
        <v>0</v>
      </c>
      <c r="P462" s="177">
        <f t="shared" si="73"/>
        <v>0</v>
      </c>
      <c r="Q462" s="177">
        <f t="shared" si="67"/>
        <v>0</v>
      </c>
      <c r="R462" s="431">
        <f t="shared" si="74"/>
        <v>0</v>
      </c>
      <c r="S462" s="468">
        <v>2</v>
      </c>
      <c r="T462" s="127"/>
      <c r="U462" s="127"/>
      <c r="V462" s="127"/>
      <c r="W462" s="127"/>
      <c r="X462" s="127"/>
      <c r="Y462" s="127"/>
    </row>
    <row r="463" spans="1:25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32">
        <f t="shared" si="68"/>
        <v>337.29999999999995</v>
      </c>
      <c r="G463" s="646">
        <f t="shared" si="71"/>
        <v>337.29999999999995</v>
      </c>
      <c r="H463" s="146"/>
      <c r="I463" s="146">
        <v>25</v>
      </c>
      <c r="J463" s="146">
        <v>58</v>
      </c>
      <c r="K463" s="146">
        <f t="shared" si="72"/>
        <v>25</v>
      </c>
      <c r="L463" s="191">
        <f t="shared" si="66"/>
        <v>3.3068783068783067E-2</v>
      </c>
      <c r="M463" s="177">
        <f t="shared" si="69"/>
        <v>66.700066137566139</v>
      </c>
      <c r="N463" s="148">
        <f t="shared" si="70"/>
        <v>24.52561431878307</v>
      </c>
      <c r="O463" s="427">
        <v>25.765542328042326</v>
      </c>
      <c r="P463" s="177">
        <f t="shared" si="73"/>
        <v>1.7814285714285716</v>
      </c>
      <c r="Q463" s="177">
        <f t="shared" si="67"/>
        <v>2.1715614285714291</v>
      </c>
      <c r="R463" s="431">
        <f t="shared" si="74"/>
        <v>0.45385040640359237</v>
      </c>
      <c r="S463" s="468">
        <v>3</v>
      </c>
      <c r="T463" s="127"/>
      <c r="U463" s="127"/>
      <c r="V463" s="127"/>
      <c r="W463" s="127"/>
      <c r="X463" s="127"/>
      <c r="Y463" s="127"/>
    </row>
    <row r="464" spans="1:25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32">
        <f t="shared" si="68"/>
        <v>395.5</v>
      </c>
      <c r="G464" s="646">
        <f t="shared" si="71"/>
        <v>395.5</v>
      </c>
      <c r="H464" s="146"/>
      <c r="I464" s="146">
        <v>50</v>
      </c>
      <c r="J464" s="146">
        <v>62</v>
      </c>
      <c r="K464" s="146">
        <f t="shared" si="72"/>
        <v>50</v>
      </c>
      <c r="L464" s="191">
        <f t="shared" si="66"/>
        <v>6.6137566137566134E-2</v>
      </c>
      <c r="M464" s="177">
        <f t="shared" si="69"/>
        <v>133.40013227513228</v>
      </c>
      <c r="N464" s="148">
        <f t="shared" si="70"/>
        <v>49.05122863756614</v>
      </c>
      <c r="O464" s="427">
        <v>51.531084656084651</v>
      </c>
      <c r="P464" s="177">
        <f t="shared" si="73"/>
        <v>3.5628571428571432</v>
      </c>
      <c r="Q464" s="177">
        <f t="shared" si="67"/>
        <v>4.3431228571428582</v>
      </c>
      <c r="R464" s="431">
        <f t="shared" si="74"/>
        <v>0.60062023441628376</v>
      </c>
      <c r="S464" s="468">
        <v>3</v>
      </c>
      <c r="T464" s="127"/>
      <c r="U464" s="127"/>
      <c r="V464" s="127"/>
      <c r="W464" s="127"/>
      <c r="X464" s="127"/>
      <c r="Y464" s="127"/>
    </row>
    <row r="465" spans="1:25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32">
        <f t="shared" si="68"/>
        <v>464.09999999999997</v>
      </c>
      <c r="G465" s="646">
        <f t="shared" si="71"/>
        <v>464.09999999999997</v>
      </c>
      <c r="H465" s="146"/>
      <c r="I465" s="146">
        <v>61</v>
      </c>
      <c r="J465" s="146">
        <v>65</v>
      </c>
      <c r="K465" s="146">
        <f t="shared" si="72"/>
        <v>61</v>
      </c>
      <c r="L465" s="191">
        <f t="shared" si="66"/>
        <v>8.0687830687830683E-2</v>
      </c>
      <c r="M465" s="177">
        <f t="shared" si="69"/>
        <v>162.74816137566137</v>
      </c>
      <c r="N465" s="148">
        <f t="shared" si="70"/>
        <v>59.84249893783069</v>
      </c>
      <c r="O465" s="427">
        <v>62.867923280423277</v>
      </c>
      <c r="P465" s="177">
        <f t="shared" si="73"/>
        <v>4.3466857142857149</v>
      </c>
      <c r="Q465" s="177">
        <f t="shared" si="67"/>
        <v>5.2986098857142867</v>
      </c>
      <c r="R465" s="431">
        <f t="shared" si="74"/>
        <v>0.76688348586451738</v>
      </c>
      <c r="S465" s="468">
        <v>3</v>
      </c>
      <c r="T465" s="127"/>
      <c r="U465" s="127"/>
      <c r="V465" s="127"/>
      <c r="W465" s="127"/>
      <c r="X465" s="127"/>
      <c r="Y465" s="127"/>
    </row>
    <row r="466" spans="1:25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32">
        <f t="shared" si="68"/>
        <v>350.27000000000004</v>
      </c>
      <c r="G466" s="646">
        <f t="shared" si="71"/>
        <v>350.27000000000004</v>
      </c>
      <c r="H466" s="146"/>
      <c r="I466" s="146">
        <v>0</v>
      </c>
      <c r="J466" s="146">
        <v>0</v>
      </c>
      <c r="K466" s="146">
        <f t="shared" si="72"/>
        <v>0</v>
      </c>
      <c r="L466" s="191">
        <f t="shared" ref="L466:L527" si="75">(H466/840)+(I466/756)</f>
        <v>0</v>
      </c>
      <c r="M466" s="177">
        <f t="shared" si="69"/>
        <v>0</v>
      </c>
      <c r="N466" s="148">
        <f t="shared" si="70"/>
        <v>0</v>
      </c>
      <c r="O466" s="427">
        <v>0</v>
      </c>
      <c r="P466" s="177">
        <f t="shared" si="73"/>
        <v>0</v>
      </c>
      <c r="Q466" s="177">
        <f t="shared" si="67"/>
        <v>0</v>
      </c>
      <c r="R466" s="431">
        <f t="shared" si="74"/>
        <v>0</v>
      </c>
      <c r="S466" s="468">
        <v>2</v>
      </c>
      <c r="T466" s="127"/>
      <c r="U466" s="127"/>
      <c r="V466" s="127"/>
      <c r="W466" s="127"/>
      <c r="X466" s="127"/>
      <c r="Y466" s="127"/>
    </row>
    <row r="467" spans="1:25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32">
        <f t="shared" si="68"/>
        <v>396.61</v>
      </c>
      <c r="G467" s="646">
        <f t="shared" si="71"/>
        <v>396.61</v>
      </c>
      <c r="H467" s="146"/>
      <c r="I467" s="146">
        <v>46</v>
      </c>
      <c r="J467" s="146">
        <v>46</v>
      </c>
      <c r="K467" s="146">
        <f t="shared" si="72"/>
        <v>46</v>
      </c>
      <c r="L467" s="191">
        <f t="shared" si="75"/>
        <v>6.0846560846560843E-2</v>
      </c>
      <c r="M467" s="177">
        <f t="shared" si="69"/>
        <v>122.72812169312168</v>
      </c>
      <c r="N467" s="148">
        <f t="shared" si="70"/>
        <v>45.127130346560847</v>
      </c>
      <c r="O467" s="427">
        <v>47.408597883597878</v>
      </c>
      <c r="P467" s="177">
        <f t="shared" si="73"/>
        <v>3.2778285714285715</v>
      </c>
      <c r="Q467" s="177">
        <f t="shared" si="67"/>
        <v>3.9956730285714288</v>
      </c>
      <c r="R467" s="431">
        <f t="shared" si="74"/>
        <v>0.55102412570209758</v>
      </c>
      <c r="S467" s="468">
        <v>3</v>
      </c>
      <c r="T467" s="127"/>
      <c r="U467" s="127"/>
      <c r="V467" s="127"/>
      <c r="W467" s="127"/>
      <c r="X467" s="127"/>
      <c r="Y467" s="127"/>
    </row>
    <row r="468" spans="1:25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32">
        <f t="shared" si="68"/>
        <v>380.01000000000005</v>
      </c>
      <c r="G468" s="646">
        <f t="shared" si="71"/>
        <v>380.01000000000005</v>
      </c>
      <c r="H468" s="146"/>
      <c r="I468" s="146">
        <v>44</v>
      </c>
      <c r="J468" s="146">
        <v>57</v>
      </c>
      <c r="K468" s="146">
        <f t="shared" si="72"/>
        <v>44</v>
      </c>
      <c r="L468" s="191">
        <f t="shared" si="75"/>
        <v>5.8201058201058198E-2</v>
      </c>
      <c r="M468" s="177">
        <f t="shared" si="69"/>
        <v>117.3921164021164</v>
      </c>
      <c r="N468" s="148">
        <f t="shared" si="70"/>
        <v>43.1650812010582</v>
      </c>
      <c r="O468" s="427">
        <v>45.347354497354495</v>
      </c>
      <c r="P468" s="177">
        <f t="shared" si="73"/>
        <v>3.1353142857142857</v>
      </c>
      <c r="Q468" s="177">
        <f t="shared" si="67"/>
        <v>3.8219481142857146</v>
      </c>
      <c r="R468" s="431">
        <f t="shared" si="74"/>
        <v>0.60431865625811154</v>
      </c>
      <c r="S468" s="468">
        <v>3</v>
      </c>
      <c r="T468" s="127"/>
      <c r="U468" s="127"/>
      <c r="V468" s="127"/>
      <c r="W468" s="127"/>
      <c r="X468" s="127"/>
      <c r="Y468" s="127"/>
    </row>
    <row r="469" spans="1:25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32">
        <f t="shared" si="68"/>
        <v>501.9</v>
      </c>
      <c r="G469" s="646">
        <f t="shared" si="71"/>
        <v>501.9</v>
      </c>
      <c r="H469" s="146"/>
      <c r="I469" s="146">
        <v>67</v>
      </c>
      <c r="J469" s="146">
        <v>67</v>
      </c>
      <c r="K469" s="146">
        <f t="shared" si="72"/>
        <v>67</v>
      </c>
      <c r="L469" s="191">
        <f t="shared" si="75"/>
        <v>8.8624338624338619E-2</v>
      </c>
      <c r="M469" s="177">
        <f t="shared" si="69"/>
        <v>178.75617724867723</v>
      </c>
      <c r="N469" s="148">
        <f t="shared" si="70"/>
        <v>65.728646374338624</v>
      </c>
      <c r="O469" s="427">
        <v>69.051653439153426</v>
      </c>
      <c r="P469" s="177">
        <f t="shared" si="73"/>
        <v>4.7742285714285719</v>
      </c>
      <c r="Q469" s="177">
        <f t="shared" si="67"/>
        <v>5.8197846285714299</v>
      </c>
      <c r="R469" s="431">
        <f t="shared" si="74"/>
        <v>0.63421140791711073</v>
      </c>
      <c r="S469" s="468">
        <v>3</v>
      </c>
      <c r="T469" s="127"/>
      <c r="U469" s="127"/>
      <c r="V469" s="127"/>
      <c r="W469" s="127"/>
      <c r="X469" s="127"/>
      <c r="Y469" s="127"/>
    </row>
    <row r="470" spans="1:25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32">
        <f t="shared" si="68"/>
        <v>406.9</v>
      </c>
      <c r="G470" s="646">
        <f t="shared" si="71"/>
        <v>406.9</v>
      </c>
      <c r="H470" s="146"/>
      <c r="I470" s="146">
        <v>35</v>
      </c>
      <c r="J470" s="146">
        <v>60</v>
      </c>
      <c r="K470" s="146">
        <f t="shared" si="72"/>
        <v>35</v>
      </c>
      <c r="L470" s="191">
        <f t="shared" si="75"/>
        <v>4.6296296296296294E-2</v>
      </c>
      <c r="M470" s="177">
        <f t="shared" si="69"/>
        <v>93.38009259259259</v>
      </c>
      <c r="N470" s="148">
        <f t="shared" si="70"/>
        <v>34.335860046296297</v>
      </c>
      <c r="O470" s="427">
        <v>36.07175925925926</v>
      </c>
      <c r="P470" s="177">
        <f t="shared" si="73"/>
        <v>2.4940000000000002</v>
      </c>
      <c r="Q470" s="177">
        <f t="shared" si="67"/>
        <v>3.0401860000000003</v>
      </c>
      <c r="R470" s="431">
        <f t="shared" si="74"/>
        <v>0.40865498131764111</v>
      </c>
      <c r="S470" s="468">
        <v>3</v>
      </c>
      <c r="T470" s="127"/>
      <c r="U470" s="127"/>
      <c r="V470" s="127"/>
      <c r="W470" s="127"/>
      <c r="X470" s="127"/>
      <c r="Y470" s="127"/>
    </row>
    <row r="471" spans="1:25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32">
        <f t="shared" si="68"/>
        <v>583.66999999999996</v>
      </c>
      <c r="G471" s="646">
        <f t="shared" si="71"/>
        <v>583.66999999999996</v>
      </c>
      <c r="H471" s="146"/>
      <c r="I471" s="146">
        <v>63</v>
      </c>
      <c r="J471" s="146">
        <v>63</v>
      </c>
      <c r="K471" s="146">
        <f t="shared" si="72"/>
        <v>63</v>
      </c>
      <c r="L471" s="191">
        <f t="shared" si="75"/>
        <v>8.3333333333333329E-2</v>
      </c>
      <c r="M471" s="177">
        <f t="shared" si="69"/>
        <v>168.08416666666665</v>
      </c>
      <c r="N471" s="148">
        <f t="shared" si="70"/>
        <v>61.80454808333333</v>
      </c>
      <c r="O471" s="427">
        <v>64.92916666666666</v>
      </c>
      <c r="P471" s="177">
        <f t="shared" si="73"/>
        <v>4.4892000000000003</v>
      </c>
      <c r="Q471" s="177">
        <f t="shared" si="67"/>
        <v>5.4723348000000005</v>
      </c>
      <c r="R471" s="431">
        <f t="shared" si="74"/>
        <v>0.51280189390694508</v>
      </c>
      <c r="S471" s="468">
        <v>3</v>
      </c>
      <c r="T471" s="127"/>
      <c r="U471" s="127"/>
      <c r="V471" s="127"/>
      <c r="W471" s="127"/>
      <c r="X471" s="127"/>
      <c r="Y471" s="127"/>
    </row>
    <row r="472" spans="1:25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32">
        <f t="shared" si="68"/>
        <v>634.80999999999995</v>
      </c>
      <c r="G472" s="646">
        <f t="shared" si="71"/>
        <v>634.80999999999995</v>
      </c>
      <c r="H472" s="146"/>
      <c r="I472" s="146">
        <v>0</v>
      </c>
      <c r="J472" s="146">
        <v>0</v>
      </c>
      <c r="K472" s="146">
        <v>71</v>
      </c>
      <c r="L472" s="191">
        <f t="shared" si="75"/>
        <v>0</v>
      </c>
      <c r="M472" s="177">
        <f t="shared" si="69"/>
        <v>0</v>
      </c>
      <c r="N472" s="148">
        <f t="shared" si="70"/>
        <v>0</v>
      </c>
      <c r="O472" s="427">
        <v>0</v>
      </c>
      <c r="P472" s="177">
        <f t="shared" si="73"/>
        <v>0</v>
      </c>
      <c r="Q472" s="177">
        <f t="shared" si="67"/>
        <v>0</v>
      </c>
      <c r="R472" s="431">
        <f t="shared" si="74"/>
        <v>0</v>
      </c>
      <c r="S472" s="468">
        <v>3</v>
      </c>
      <c r="T472" s="127"/>
      <c r="U472" s="127"/>
      <c r="V472" s="127"/>
      <c r="W472" s="127"/>
      <c r="X472" s="127"/>
      <c r="Y472" s="127"/>
    </row>
    <row r="473" spans="1:25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32">
        <f t="shared" si="68"/>
        <v>312.74</v>
      </c>
      <c r="G473" s="646">
        <f t="shared" si="71"/>
        <v>312.74</v>
      </c>
      <c r="H473" s="146"/>
      <c r="I473" s="146">
        <v>0</v>
      </c>
      <c r="J473" s="146">
        <v>0</v>
      </c>
      <c r="K473" s="146">
        <f t="shared" si="72"/>
        <v>0</v>
      </c>
      <c r="L473" s="191">
        <f t="shared" si="75"/>
        <v>0</v>
      </c>
      <c r="M473" s="177">
        <f t="shared" si="69"/>
        <v>0</v>
      </c>
      <c r="N473" s="148">
        <f t="shared" si="70"/>
        <v>0</v>
      </c>
      <c r="O473" s="427">
        <v>0</v>
      </c>
      <c r="P473" s="177">
        <f t="shared" si="73"/>
        <v>0</v>
      </c>
      <c r="Q473" s="177">
        <f t="shared" si="67"/>
        <v>0</v>
      </c>
      <c r="R473" s="431">
        <f t="shared" si="74"/>
        <v>0</v>
      </c>
      <c r="S473" s="468">
        <v>2</v>
      </c>
      <c r="T473" s="127"/>
      <c r="U473" s="127"/>
      <c r="V473" s="127"/>
      <c r="W473" s="127"/>
      <c r="X473" s="127"/>
      <c r="Y473" s="127"/>
    </row>
    <row r="474" spans="1:25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32">
        <f t="shared" si="68"/>
        <v>359.3</v>
      </c>
      <c r="G474" s="646">
        <f t="shared" si="71"/>
        <v>359.3</v>
      </c>
      <c r="H474" s="146"/>
      <c r="I474" s="146">
        <v>0</v>
      </c>
      <c r="J474" s="146">
        <v>0</v>
      </c>
      <c r="K474" s="146">
        <f t="shared" si="72"/>
        <v>0</v>
      </c>
      <c r="L474" s="191">
        <f t="shared" si="75"/>
        <v>0</v>
      </c>
      <c r="M474" s="177">
        <f t="shared" si="69"/>
        <v>0</v>
      </c>
      <c r="N474" s="148">
        <f t="shared" si="70"/>
        <v>0</v>
      </c>
      <c r="O474" s="427">
        <v>0</v>
      </c>
      <c r="P474" s="177">
        <f t="shared" si="73"/>
        <v>0</v>
      </c>
      <c r="Q474" s="177">
        <f t="shared" si="67"/>
        <v>0</v>
      </c>
      <c r="R474" s="431">
        <f t="shared" si="74"/>
        <v>0</v>
      </c>
      <c r="S474" s="468">
        <v>2</v>
      </c>
      <c r="T474" s="127"/>
      <c r="U474" s="127"/>
      <c r="V474" s="127"/>
      <c r="W474" s="127"/>
      <c r="X474" s="127"/>
      <c r="Y474" s="127"/>
    </row>
    <row r="475" spans="1:25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32">
        <f t="shared" si="68"/>
        <v>417.17</v>
      </c>
      <c r="G475" s="646">
        <f t="shared" si="71"/>
        <v>417.17</v>
      </c>
      <c r="H475" s="146"/>
      <c r="I475" s="146">
        <v>0</v>
      </c>
      <c r="J475" s="146">
        <v>0</v>
      </c>
      <c r="K475" s="146">
        <f t="shared" si="72"/>
        <v>0</v>
      </c>
      <c r="L475" s="191">
        <f t="shared" si="75"/>
        <v>0</v>
      </c>
      <c r="M475" s="177">
        <f t="shared" si="69"/>
        <v>0</v>
      </c>
      <c r="N475" s="148">
        <f t="shared" si="70"/>
        <v>0</v>
      </c>
      <c r="O475" s="427">
        <v>0</v>
      </c>
      <c r="P475" s="177">
        <f t="shared" si="73"/>
        <v>0</v>
      </c>
      <c r="Q475" s="177">
        <f t="shared" si="67"/>
        <v>0</v>
      </c>
      <c r="R475" s="431">
        <f t="shared" si="74"/>
        <v>0</v>
      </c>
      <c r="S475" s="468">
        <v>2</v>
      </c>
      <c r="T475" s="127"/>
      <c r="U475" s="127"/>
      <c r="V475" s="127"/>
      <c r="W475" s="127"/>
      <c r="X475" s="127"/>
      <c r="Y475" s="127"/>
    </row>
    <row r="476" spans="1:25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32">
        <f t="shared" si="68"/>
        <v>249.3</v>
      </c>
      <c r="G476" s="646">
        <f t="shared" si="71"/>
        <v>249.3</v>
      </c>
      <c r="H476" s="146"/>
      <c r="I476" s="146">
        <v>0</v>
      </c>
      <c r="J476" s="146">
        <v>0</v>
      </c>
      <c r="K476" s="146">
        <f t="shared" si="72"/>
        <v>0</v>
      </c>
      <c r="L476" s="191">
        <f t="shared" si="75"/>
        <v>0</v>
      </c>
      <c r="M476" s="177">
        <f t="shared" si="69"/>
        <v>0</v>
      </c>
      <c r="N476" s="148">
        <f t="shared" si="70"/>
        <v>0</v>
      </c>
      <c r="O476" s="427">
        <v>0</v>
      </c>
      <c r="P476" s="177">
        <f t="shared" si="73"/>
        <v>0</v>
      </c>
      <c r="Q476" s="177">
        <f t="shared" si="67"/>
        <v>0</v>
      </c>
      <c r="R476" s="431">
        <f t="shared" si="74"/>
        <v>0</v>
      </c>
      <c r="S476" s="468">
        <v>2</v>
      </c>
      <c r="T476" s="127"/>
      <c r="U476" s="127"/>
      <c r="V476" s="127"/>
      <c r="W476" s="127"/>
      <c r="X476" s="127"/>
      <c r="Y476" s="127"/>
    </row>
    <row r="477" spans="1:25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32">
        <f t="shared" si="68"/>
        <v>534.94000000000005</v>
      </c>
      <c r="G477" s="646">
        <f t="shared" si="71"/>
        <v>534.94000000000005</v>
      </c>
      <c r="H477" s="146"/>
      <c r="I477" s="146">
        <v>0</v>
      </c>
      <c r="J477" s="146">
        <v>0</v>
      </c>
      <c r="K477" s="146">
        <f t="shared" si="72"/>
        <v>0</v>
      </c>
      <c r="L477" s="191">
        <f t="shared" si="75"/>
        <v>0</v>
      </c>
      <c r="M477" s="177">
        <f t="shared" si="69"/>
        <v>0</v>
      </c>
      <c r="N477" s="148">
        <f t="shared" si="70"/>
        <v>0</v>
      </c>
      <c r="O477" s="427">
        <v>0</v>
      </c>
      <c r="P477" s="177">
        <f t="shared" si="73"/>
        <v>0</v>
      </c>
      <c r="Q477" s="177">
        <f t="shared" ref="Q477:Q540" si="76">P477*1.219</f>
        <v>0</v>
      </c>
      <c r="R477" s="431">
        <f t="shared" si="74"/>
        <v>0</v>
      </c>
      <c r="S477" s="468">
        <v>3</v>
      </c>
      <c r="T477" s="127"/>
      <c r="U477" s="127"/>
      <c r="V477" s="127"/>
      <c r="W477" s="127"/>
      <c r="X477" s="127"/>
      <c r="Y477" s="127"/>
    </row>
    <row r="478" spans="1:25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32">
        <f t="shared" si="68"/>
        <v>382.94</v>
      </c>
      <c r="G478" s="646">
        <f t="shared" si="71"/>
        <v>382.94</v>
      </c>
      <c r="H478" s="146"/>
      <c r="I478" s="146">
        <v>54</v>
      </c>
      <c r="J478" s="146">
        <v>70</v>
      </c>
      <c r="K478" s="146">
        <f t="shared" si="72"/>
        <v>54</v>
      </c>
      <c r="L478" s="191">
        <f t="shared" si="75"/>
        <v>7.1428571428571425E-2</v>
      </c>
      <c r="M478" s="177">
        <f t="shared" si="69"/>
        <v>144.07214285714284</v>
      </c>
      <c r="N478" s="148">
        <f t="shared" si="70"/>
        <v>52.975326928571427</v>
      </c>
      <c r="O478" s="427">
        <v>55.653571428571425</v>
      </c>
      <c r="P478" s="177">
        <f t="shared" si="73"/>
        <v>3.8478857142857144</v>
      </c>
      <c r="Q478" s="177">
        <f t="shared" si="76"/>
        <v>4.6905726857142858</v>
      </c>
      <c r="R478" s="431">
        <f t="shared" si="74"/>
        <v>0.83176282884376673</v>
      </c>
      <c r="S478" s="468">
        <v>3</v>
      </c>
      <c r="T478" s="127"/>
      <c r="U478" s="127"/>
      <c r="V478" s="127"/>
      <c r="W478" s="127"/>
      <c r="X478" s="127"/>
      <c r="Y478" s="127"/>
    </row>
    <row r="479" spans="1:25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32">
        <f t="shared" si="68"/>
        <v>367.5</v>
      </c>
      <c r="G479" s="646">
        <f t="shared" si="71"/>
        <v>367.5</v>
      </c>
      <c r="H479" s="146"/>
      <c r="I479" s="146">
        <v>0</v>
      </c>
      <c r="J479" s="146">
        <v>0</v>
      </c>
      <c r="K479" s="146">
        <f t="shared" si="72"/>
        <v>0</v>
      </c>
      <c r="L479" s="191">
        <f t="shared" si="75"/>
        <v>0</v>
      </c>
      <c r="M479" s="177">
        <f t="shared" si="69"/>
        <v>0</v>
      </c>
      <c r="N479" s="148">
        <f t="shared" si="70"/>
        <v>0</v>
      </c>
      <c r="O479" s="427">
        <v>0</v>
      </c>
      <c r="P479" s="177">
        <f t="shared" si="73"/>
        <v>0</v>
      </c>
      <c r="Q479" s="177">
        <f t="shared" si="76"/>
        <v>0</v>
      </c>
      <c r="R479" s="431">
        <f t="shared" si="74"/>
        <v>0</v>
      </c>
      <c r="S479" s="468">
        <v>2</v>
      </c>
      <c r="T479" s="127"/>
      <c r="U479" s="127"/>
      <c r="V479" s="127"/>
      <c r="W479" s="127"/>
      <c r="X479" s="127"/>
      <c r="Y479" s="127"/>
    </row>
    <row r="480" spans="1:25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32">
        <f t="shared" si="68"/>
        <v>131.4</v>
      </c>
      <c r="G480" s="646">
        <f t="shared" si="71"/>
        <v>131.4</v>
      </c>
      <c r="H480" s="146"/>
      <c r="I480" s="146">
        <v>0</v>
      </c>
      <c r="J480" s="146">
        <v>0</v>
      </c>
      <c r="K480" s="146">
        <f t="shared" si="72"/>
        <v>0</v>
      </c>
      <c r="L480" s="191">
        <f t="shared" si="75"/>
        <v>0</v>
      </c>
      <c r="M480" s="177">
        <f t="shared" si="69"/>
        <v>0</v>
      </c>
      <c r="N480" s="148">
        <f t="shared" si="70"/>
        <v>0</v>
      </c>
      <c r="O480" s="427">
        <v>0</v>
      </c>
      <c r="P480" s="177">
        <f t="shared" si="73"/>
        <v>0</v>
      </c>
      <c r="Q480" s="177">
        <f t="shared" si="76"/>
        <v>0</v>
      </c>
      <c r="R480" s="431">
        <f t="shared" si="74"/>
        <v>0</v>
      </c>
      <c r="S480" s="468">
        <v>1</v>
      </c>
      <c r="T480" s="127"/>
      <c r="U480" s="127"/>
      <c r="V480" s="127"/>
      <c r="W480" s="127"/>
      <c r="X480" s="127"/>
      <c r="Y480" s="127"/>
    </row>
    <row r="481" spans="1:25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32">
        <f t="shared" si="68"/>
        <v>471.36</v>
      </c>
      <c r="G481" s="646">
        <f t="shared" si="71"/>
        <v>471.36</v>
      </c>
      <c r="H481" s="146"/>
      <c r="I481" s="146">
        <v>44</v>
      </c>
      <c r="J481" s="146">
        <v>44</v>
      </c>
      <c r="K481" s="146">
        <f t="shared" si="72"/>
        <v>44</v>
      </c>
      <c r="L481" s="191">
        <f t="shared" si="75"/>
        <v>5.8201058201058198E-2</v>
      </c>
      <c r="M481" s="177">
        <f t="shared" si="69"/>
        <v>117.3921164021164</v>
      </c>
      <c r="N481" s="148">
        <f t="shared" si="70"/>
        <v>43.1650812010582</v>
      </c>
      <c r="O481" s="427">
        <v>45.347354497354495</v>
      </c>
      <c r="P481" s="177">
        <f t="shared" si="73"/>
        <v>3.1353142857142857</v>
      </c>
      <c r="Q481" s="177">
        <f t="shared" si="76"/>
        <v>3.8219481142857146</v>
      </c>
      <c r="R481" s="431">
        <f t="shared" si="74"/>
        <v>0.44348240492668739</v>
      </c>
      <c r="S481" s="468">
        <v>3</v>
      </c>
      <c r="T481" s="127"/>
      <c r="U481" s="127"/>
      <c r="V481" s="127"/>
      <c r="W481" s="127"/>
      <c r="X481" s="127"/>
      <c r="Y481" s="127"/>
    </row>
    <row r="482" spans="1:25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32">
        <f t="shared" si="68"/>
        <v>530.79999999999995</v>
      </c>
      <c r="G482" s="646">
        <f t="shared" si="71"/>
        <v>530.79999999999995</v>
      </c>
      <c r="H482" s="146"/>
      <c r="I482" s="146">
        <v>60</v>
      </c>
      <c r="J482" s="146">
        <v>73</v>
      </c>
      <c r="K482" s="146">
        <f t="shared" si="72"/>
        <v>60</v>
      </c>
      <c r="L482" s="191">
        <f t="shared" si="75"/>
        <v>7.9365079365079361E-2</v>
      </c>
      <c r="M482" s="177">
        <f t="shared" si="69"/>
        <v>160.08015873015873</v>
      </c>
      <c r="N482" s="148">
        <f t="shared" si="70"/>
        <v>58.861474365079367</v>
      </c>
      <c r="O482" s="427">
        <v>61.837301587301582</v>
      </c>
      <c r="P482" s="177">
        <f t="shared" si="73"/>
        <v>4.2754285714285718</v>
      </c>
      <c r="Q482" s="177">
        <f t="shared" si="76"/>
        <v>5.2117474285714298</v>
      </c>
      <c r="R482" s="431">
        <f t="shared" si="74"/>
        <v>0.53702781321395676</v>
      </c>
      <c r="S482" s="468">
        <v>3</v>
      </c>
      <c r="T482" s="127"/>
      <c r="U482" s="127"/>
      <c r="V482" s="127"/>
      <c r="W482" s="127"/>
      <c r="X482" s="127"/>
      <c r="Y482" s="127"/>
    </row>
    <row r="483" spans="1:25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32">
        <f t="shared" si="68"/>
        <v>330.15</v>
      </c>
      <c r="G483" s="646">
        <f t="shared" si="71"/>
        <v>330.15</v>
      </c>
      <c r="H483" s="146"/>
      <c r="I483" s="146">
        <v>0</v>
      </c>
      <c r="J483" s="146">
        <v>0</v>
      </c>
      <c r="K483" s="146">
        <f t="shared" si="72"/>
        <v>0</v>
      </c>
      <c r="L483" s="191">
        <f t="shared" si="75"/>
        <v>0</v>
      </c>
      <c r="M483" s="177">
        <f t="shared" si="69"/>
        <v>0</v>
      </c>
      <c r="N483" s="148">
        <f t="shared" si="70"/>
        <v>0</v>
      </c>
      <c r="O483" s="427">
        <v>0</v>
      </c>
      <c r="P483" s="177">
        <f t="shared" si="73"/>
        <v>0</v>
      </c>
      <c r="Q483" s="177">
        <f t="shared" si="76"/>
        <v>0</v>
      </c>
      <c r="R483" s="431">
        <f t="shared" si="74"/>
        <v>0</v>
      </c>
      <c r="S483" s="468">
        <v>2</v>
      </c>
      <c r="T483" s="127"/>
      <c r="U483" s="127"/>
      <c r="V483" s="127"/>
      <c r="W483" s="127"/>
      <c r="X483" s="127"/>
      <c r="Y483" s="127"/>
    </row>
    <row r="484" spans="1:25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32">
        <f t="shared" si="68"/>
        <v>242.1</v>
      </c>
      <c r="G484" s="646">
        <f t="shared" si="71"/>
        <v>242.1</v>
      </c>
      <c r="H484" s="146"/>
      <c r="I484" s="146">
        <v>0</v>
      </c>
      <c r="J484" s="146">
        <v>0</v>
      </c>
      <c r="K484" s="146">
        <f t="shared" si="72"/>
        <v>0</v>
      </c>
      <c r="L484" s="191">
        <f t="shared" si="75"/>
        <v>0</v>
      </c>
      <c r="M484" s="177">
        <f t="shared" si="69"/>
        <v>0</v>
      </c>
      <c r="N484" s="148">
        <f t="shared" si="70"/>
        <v>0</v>
      </c>
      <c r="O484" s="427">
        <v>0</v>
      </c>
      <c r="P484" s="177">
        <f t="shared" si="73"/>
        <v>0</v>
      </c>
      <c r="Q484" s="177">
        <f t="shared" si="76"/>
        <v>0</v>
      </c>
      <c r="R484" s="431">
        <f t="shared" si="74"/>
        <v>0</v>
      </c>
      <c r="S484" s="468">
        <v>1</v>
      </c>
      <c r="T484" s="127"/>
      <c r="U484" s="127"/>
      <c r="V484" s="127"/>
      <c r="W484" s="127"/>
      <c r="X484" s="127"/>
      <c r="Y484" s="127"/>
    </row>
    <row r="485" spans="1:25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32">
        <f t="shared" si="68"/>
        <v>528.74</v>
      </c>
      <c r="G485" s="646">
        <f t="shared" si="71"/>
        <v>528.74</v>
      </c>
      <c r="H485" s="146"/>
      <c r="I485" s="146">
        <v>63</v>
      </c>
      <c r="J485" s="146">
        <v>63</v>
      </c>
      <c r="K485" s="146">
        <f t="shared" si="72"/>
        <v>63</v>
      </c>
      <c r="L485" s="191">
        <f t="shared" si="75"/>
        <v>8.3333333333333329E-2</v>
      </c>
      <c r="M485" s="177">
        <f t="shared" si="69"/>
        <v>168.08416666666665</v>
      </c>
      <c r="N485" s="148">
        <f t="shared" si="70"/>
        <v>61.80454808333333</v>
      </c>
      <c r="O485" s="427">
        <v>64.92916666666666</v>
      </c>
      <c r="P485" s="177">
        <f t="shared" si="73"/>
        <v>4.4892000000000003</v>
      </c>
      <c r="Q485" s="177">
        <f t="shared" si="76"/>
        <v>5.4723348000000005</v>
      </c>
      <c r="R485" s="431">
        <f t="shared" si="74"/>
        <v>0.5660761081375848</v>
      </c>
      <c r="S485" s="468">
        <v>3</v>
      </c>
      <c r="T485" s="127"/>
      <c r="U485" s="127"/>
      <c r="V485" s="127"/>
      <c r="W485" s="127"/>
      <c r="X485" s="127"/>
      <c r="Y485" s="127"/>
    </row>
    <row r="486" spans="1:25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32">
        <f t="shared" si="68"/>
        <v>140.6</v>
      </c>
      <c r="G486" s="646">
        <f t="shared" si="71"/>
        <v>140.6</v>
      </c>
      <c r="H486" s="146"/>
      <c r="I486" s="146">
        <v>0</v>
      </c>
      <c r="J486" s="146">
        <v>0</v>
      </c>
      <c r="K486" s="146">
        <f t="shared" si="72"/>
        <v>0</v>
      </c>
      <c r="L486" s="191">
        <f t="shared" si="75"/>
        <v>0</v>
      </c>
      <c r="M486" s="177">
        <f t="shared" si="69"/>
        <v>0</v>
      </c>
      <c r="N486" s="148">
        <f t="shared" si="70"/>
        <v>0</v>
      </c>
      <c r="O486" s="427">
        <v>0</v>
      </c>
      <c r="P486" s="177">
        <f t="shared" si="73"/>
        <v>0</v>
      </c>
      <c r="Q486" s="177">
        <f t="shared" si="76"/>
        <v>0</v>
      </c>
      <c r="R486" s="431">
        <f t="shared" si="74"/>
        <v>0</v>
      </c>
      <c r="S486" s="468">
        <v>1</v>
      </c>
      <c r="T486" s="127"/>
      <c r="U486" s="127"/>
      <c r="V486" s="127"/>
      <c r="W486" s="127"/>
      <c r="X486" s="127"/>
      <c r="Y486" s="127"/>
    </row>
    <row r="487" spans="1:25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32">
        <f t="shared" si="68"/>
        <v>183.6</v>
      </c>
      <c r="G487" s="646">
        <f t="shared" si="71"/>
        <v>183.6</v>
      </c>
      <c r="H487" s="146"/>
      <c r="I487" s="146">
        <v>0</v>
      </c>
      <c r="J487" s="146">
        <v>0</v>
      </c>
      <c r="K487" s="146">
        <f t="shared" si="72"/>
        <v>0</v>
      </c>
      <c r="L487" s="191">
        <f t="shared" si="75"/>
        <v>0</v>
      </c>
      <c r="M487" s="177">
        <f t="shared" si="69"/>
        <v>0</v>
      </c>
      <c r="N487" s="148">
        <f t="shared" si="70"/>
        <v>0</v>
      </c>
      <c r="O487" s="427">
        <v>0</v>
      </c>
      <c r="P487" s="177">
        <f t="shared" si="73"/>
        <v>0</v>
      </c>
      <c r="Q487" s="177">
        <f t="shared" si="76"/>
        <v>0</v>
      </c>
      <c r="R487" s="431">
        <f t="shared" si="74"/>
        <v>0</v>
      </c>
      <c r="S487" s="468">
        <v>1</v>
      </c>
      <c r="T487" s="127"/>
      <c r="U487" s="127"/>
      <c r="V487" s="127"/>
      <c r="W487" s="127"/>
      <c r="X487" s="127"/>
      <c r="Y487" s="127"/>
    </row>
    <row r="488" spans="1:25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32">
        <f t="shared" si="68"/>
        <v>384.7</v>
      </c>
      <c r="G488" s="646">
        <f t="shared" si="71"/>
        <v>384.7</v>
      </c>
      <c r="H488" s="146"/>
      <c r="I488" s="146">
        <v>0</v>
      </c>
      <c r="J488" s="146">
        <v>0</v>
      </c>
      <c r="K488" s="146">
        <f t="shared" si="72"/>
        <v>0</v>
      </c>
      <c r="L488" s="191">
        <f t="shared" si="75"/>
        <v>0</v>
      </c>
      <c r="M488" s="177">
        <f t="shared" si="69"/>
        <v>0</v>
      </c>
      <c r="N488" s="148">
        <f t="shared" si="70"/>
        <v>0</v>
      </c>
      <c r="O488" s="427">
        <v>0</v>
      </c>
      <c r="P488" s="177">
        <f t="shared" si="73"/>
        <v>0</v>
      </c>
      <c r="Q488" s="177">
        <f t="shared" si="76"/>
        <v>0</v>
      </c>
      <c r="R488" s="431">
        <f t="shared" si="74"/>
        <v>0</v>
      </c>
      <c r="S488" s="468">
        <v>2</v>
      </c>
      <c r="T488" s="127"/>
      <c r="U488" s="127"/>
      <c r="V488" s="127"/>
      <c r="W488" s="127"/>
      <c r="X488" s="127"/>
      <c r="Y488" s="127"/>
    </row>
    <row r="489" spans="1:25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32">
        <f>C489+E489</f>
        <v>1900.8700000000001</v>
      </c>
      <c r="G489" s="646">
        <f t="shared" si="71"/>
        <v>1900.8700000000001</v>
      </c>
      <c r="H489" s="146">
        <v>130</v>
      </c>
      <c r="I489" s="146"/>
      <c r="J489" s="146">
        <v>188</v>
      </c>
      <c r="K489" s="146">
        <f t="shared" si="72"/>
        <v>130</v>
      </c>
      <c r="L489" s="191">
        <f t="shared" si="75"/>
        <v>0.15476190476190477</v>
      </c>
      <c r="M489" s="177">
        <f t="shared" si="69"/>
        <v>312.15630952380951</v>
      </c>
      <c r="N489" s="148">
        <f t="shared" si="70"/>
        <v>114.77987501190476</v>
      </c>
      <c r="O489" s="427">
        <v>120.5827380952381</v>
      </c>
      <c r="P489" s="177">
        <f t="shared" si="73"/>
        <v>8.3370857142857151</v>
      </c>
      <c r="Q489" s="177">
        <f t="shared" si="76"/>
        <v>10.162907485714287</v>
      </c>
      <c r="R489" s="431">
        <f t="shared" si="74"/>
        <v>0.33152379916455721</v>
      </c>
      <c r="S489" s="468">
        <v>4</v>
      </c>
      <c r="T489" s="127"/>
      <c r="U489" s="127"/>
      <c r="V489" s="127"/>
      <c r="W489" s="127"/>
      <c r="X489" s="127"/>
      <c r="Y489" s="127"/>
    </row>
    <row r="490" spans="1:25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32">
        <f>C490+D490+E490</f>
        <v>362.4</v>
      </c>
      <c r="G490" s="646">
        <f t="shared" si="71"/>
        <v>362.4</v>
      </c>
      <c r="H490" s="146"/>
      <c r="I490" s="146">
        <v>0</v>
      </c>
      <c r="J490" s="146">
        <v>0</v>
      </c>
      <c r="K490" s="146">
        <f t="shared" si="72"/>
        <v>0</v>
      </c>
      <c r="L490" s="191">
        <f t="shared" si="75"/>
        <v>0</v>
      </c>
      <c r="M490" s="177">
        <f t="shared" si="69"/>
        <v>0</v>
      </c>
      <c r="N490" s="148">
        <f t="shared" si="70"/>
        <v>0</v>
      </c>
      <c r="O490" s="427">
        <v>0</v>
      </c>
      <c r="P490" s="177">
        <f t="shared" si="73"/>
        <v>0</v>
      </c>
      <c r="Q490" s="177">
        <f t="shared" si="76"/>
        <v>0</v>
      </c>
      <c r="R490" s="431">
        <f t="shared" si="74"/>
        <v>0</v>
      </c>
      <c r="S490" s="468">
        <v>2</v>
      </c>
      <c r="T490" s="127"/>
      <c r="U490" s="127"/>
      <c r="V490" s="127"/>
      <c r="W490" s="127"/>
      <c r="X490" s="127"/>
      <c r="Y490" s="127"/>
    </row>
    <row r="491" spans="1:25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32">
        <f t="shared" si="68"/>
        <v>196.1</v>
      </c>
      <c r="G491" s="646">
        <f t="shared" si="71"/>
        <v>196.1</v>
      </c>
      <c r="H491" s="146"/>
      <c r="I491" s="146">
        <v>0</v>
      </c>
      <c r="J491" s="146">
        <v>0</v>
      </c>
      <c r="K491" s="146">
        <f t="shared" si="72"/>
        <v>0</v>
      </c>
      <c r="L491" s="191">
        <f t="shared" si="75"/>
        <v>0</v>
      </c>
      <c r="M491" s="177">
        <f t="shared" si="69"/>
        <v>0</v>
      </c>
      <c r="N491" s="148">
        <f t="shared" si="70"/>
        <v>0</v>
      </c>
      <c r="O491" s="427">
        <v>0</v>
      </c>
      <c r="P491" s="177">
        <f t="shared" si="73"/>
        <v>0</v>
      </c>
      <c r="Q491" s="177">
        <f t="shared" si="76"/>
        <v>0</v>
      </c>
      <c r="R491" s="431">
        <f t="shared" si="74"/>
        <v>0</v>
      </c>
      <c r="S491" s="468">
        <v>2</v>
      </c>
      <c r="T491" s="127"/>
      <c r="U491" s="127"/>
      <c r="V491" s="127"/>
      <c r="W491" s="127"/>
      <c r="X491" s="127"/>
      <c r="Y491" s="127"/>
    </row>
    <row r="492" spans="1:25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32">
        <f t="shared" si="68"/>
        <v>98.48</v>
      </c>
      <c r="G492" s="646">
        <f t="shared" si="71"/>
        <v>98.48</v>
      </c>
      <c r="H492" s="146"/>
      <c r="I492" s="146">
        <v>0</v>
      </c>
      <c r="J492" s="146">
        <v>0</v>
      </c>
      <c r="K492" s="146">
        <f t="shared" si="72"/>
        <v>0</v>
      </c>
      <c r="L492" s="191">
        <f t="shared" si="75"/>
        <v>0</v>
      </c>
      <c r="M492" s="177">
        <f t="shared" si="69"/>
        <v>0</v>
      </c>
      <c r="N492" s="148">
        <f t="shared" si="70"/>
        <v>0</v>
      </c>
      <c r="O492" s="427">
        <v>0</v>
      </c>
      <c r="P492" s="177">
        <f t="shared" si="73"/>
        <v>0</v>
      </c>
      <c r="Q492" s="177">
        <f t="shared" si="76"/>
        <v>0</v>
      </c>
      <c r="R492" s="431">
        <f t="shared" si="74"/>
        <v>0</v>
      </c>
      <c r="S492" s="468">
        <v>1</v>
      </c>
      <c r="T492" s="127"/>
      <c r="U492" s="127"/>
      <c r="V492" s="127"/>
      <c r="W492" s="127"/>
      <c r="X492" s="127"/>
      <c r="Y492" s="127"/>
    </row>
    <row r="493" spans="1:25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32">
        <f t="shared" si="68"/>
        <v>2328.6</v>
      </c>
      <c r="G493" s="646">
        <f t="shared" si="71"/>
        <v>2328.6</v>
      </c>
      <c r="H493" s="146">
        <v>248</v>
      </c>
      <c r="I493" s="146"/>
      <c r="J493" s="146">
        <v>248</v>
      </c>
      <c r="K493" s="146">
        <f t="shared" si="72"/>
        <v>248</v>
      </c>
      <c r="L493" s="191">
        <f t="shared" si="75"/>
        <v>0.29523809523809524</v>
      </c>
      <c r="M493" s="177">
        <f t="shared" si="69"/>
        <v>595.49819047619053</v>
      </c>
      <c r="N493" s="148">
        <f t="shared" si="70"/>
        <v>218.96468463809526</v>
      </c>
      <c r="O493" s="427">
        <v>230.03476190476189</v>
      </c>
      <c r="P493" s="177">
        <f t="shared" si="73"/>
        <v>15.904594285714287</v>
      </c>
      <c r="Q493" s="177">
        <f t="shared" si="76"/>
        <v>19.387700434285719</v>
      </c>
      <c r="R493" s="431">
        <f t="shared" si="74"/>
        <v>0.45538187378886968</v>
      </c>
      <c r="S493" s="468">
        <v>4</v>
      </c>
      <c r="T493" s="127"/>
      <c r="U493" s="127"/>
      <c r="V493" s="127"/>
      <c r="W493" s="127"/>
      <c r="X493" s="127"/>
      <c r="Y493" s="127"/>
    </row>
    <row r="494" spans="1:25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32">
        <f t="shared" si="68"/>
        <v>479.01</v>
      </c>
      <c r="G494" s="646">
        <f t="shared" si="71"/>
        <v>479.01</v>
      </c>
      <c r="H494" s="146"/>
      <c r="I494" s="146">
        <v>45</v>
      </c>
      <c r="J494" s="146">
        <v>59</v>
      </c>
      <c r="K494" s="146">
        <f t="shared" si="72"/>
        <v>45</v>
      </c>
      <c r="L494" s="191">
        <f t="shared" si="75"/>
        <v>5.9523809523809521E-2</v>
      </c>
      <c r="M494" s="177">
        <f t="shared" si="69"/>
        <v>120.06011904761904</v>
      </c>
      <c r="N494" s="148">
        <f t="shared" si="70"/>
        <v>44.146105773809523</v>
      </c>
      <c r="O494" s="427">
        <v>46.37797619047619</v>
      </c>
      <c r="P494" s="177">
        <f t="shared" si="73"/>
        <v>3.2065714285714289</v>
      </c>
      <c r="Q494" s="177">
        <f t="shared" si="76"/>
        <v>3.9088105714285719</v>
      </c>
      <c r="R494" s="431">
        <f t="shared" si="74"/>
        <v>0.44631797340447221</v>
      </c>
      <c r="S494" s="468">
        <v>3</v>
      </c>
      <c r="T494" s="127"/>
      <c r="U494" s="127"/>
      <c r="V494" s="127"/>
      <c r="W494" s="127"/>
      <c r="X494" s="127"/>
      <c r="Y494" s="127"/>
    </row>
    <row r="495" spans="1:25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32">
        <f t="shared" si="68"/>
        <v>479.14</v>
      </c>
      <c r="G495" s="646">
        <f t="shared" si="71"/>
        <v>479.14</v>
      </c>
      <c r="H495" s="146"/>
      <c r="I495" s="146">
        <v>32</v>
      </c>
      <c r="J495" s="146">
        <v>44</v>
      </c>
      <c r="K495" s="146">
        <f t="shared" si="72"/>
        <v>32</v>
      </c>
      <c r="L495" s="191">
        <f t="shared" si="75"/>
        <v>4.2328042328042326E-2</v>
      </c>
      <c r="M495" s="177">
        <f t="shared" si="69"/>
        <v>85.376084656084657</v>
      </c>
      <c r="N495" s="148">
        <f t="shared" si="70"/>
        <v>31.39278632804233</v>
      </c>
      <c r="O495" s="427">
        <v>39.575873015873007</v>
      </c>
      <c r="P495" s="177">
        <f t="shared" si="73"/>
        <v>2.2802285714285717</v>
      </c>
      <c r="Q495" s="177">
        <f t="shared" si="76"/>
        <v>2.7795986285714291</v>
      </c>
      <c r="R495" s="431">
        <f t="shared" si="74"/>
        <v>0.33106184533002581</v>
      </c>
      <c r="S495" s="468">
        <v>3</v>
      </c>
      <c r="T495" s="127"/>
      <c r="U495" s="127"/>
      <c r="V495" s="127"/>
      <c r="W495" s="127"/>
      <c r="X495" s="127"/>
      <c r="Y495" s="127"/>
    </row>
    <row r="496" spans="1:25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32">
        <f t="shared" si="68"/>
        <v>1158.5899999999999</v>
      </c>
      <c r="G496" s="646">
        <f t="shared" si="71"/>
        <v>1158.5899999999999</v>
      </c>
      <c r="H496" s="146"/>
      <c r="I496" s="146">
        <v>124</v>
      </c>
      <c r="J496" s="146">
        <v>124</v>
      </c>
      <c r="K496" s="146">
        <f t="shared" si="72"/>
        <v>124</v>
      </c>
      <c r="L496" s="191">
        <f t="shared" si="75"/>
        <v>0.16402116402116401</v>
      </c>
      <c r="M496" s="177">
        <f t="shared" si="69"/>
        <v>330.83232804232802</v>
      </c>
      <c r="N496" s="148">
        <f t="shared" si="70"/>
        <v>121.64704702116401</v>
      </c>
      <c r="O496" s="427">
        <v>127.79708994708993</v>
      </c>
      <c r="P496" s="177">
        <f t="shared" si="73"/>
        <v>8.8358857142857143</v>
      </c>
      <c r="Q496" s="177">
        <f t="shared" si="76"/>
        <v>10.770944685714287</v>
      </c>
      <c r="R496" s="431">
        <f t="shared" si="74"/>
        <v>0.50847353310909615</v>
      </c>
      <c r="S496" s="468">
        <v>3</v>
      </c>
      <c r="T496" s="127"/>
      <c r="U496" s="127"/>
      <c r="V496" s="127"/>
      <c r="W496" s="127"/>
      <c r="X496" s="127"/>
      <c r="Y496" s="127"/>
    </row>
    <row r="497" spans="1:25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32">
        <f t="shared" si="68"/>
        <v>368.99</v>
      </c>
      <c r="G497" s="646">
        <f t="shared" si="71"/>
        <v>368.99</v>
      </c>
      <c r="H497" s="146"/>
      <c r="I497" s="146"/>
      <c r="J497" s="146">
        <v>25</v>
      </c>
      <c r="K497" s="146">
        <f t="shared" si="72"/>
        <v>0</v>
      </c>
      <c r="L497" s="191">
        <f t="shared" si="75"/>
        <v>0</v>
      </c>
      <c r="M497" s="177">
        <f t="shared" si="69"/>
        <v>0</v>
      </c>
      <c r="N497" s="148">
        <f t="shared" si="70"/>
        <v>0</v>
      </c>
      <c r="O497" s="427">
        <v>0</v>
      </c>
      <c r="P497" s="177">
        <f t="shared" si="73"/>
        <v>0</v>
      </c>
      <c r="Q497" s="177">
        <f t="shared" si="76"/>
        <v>0</v>
      </c>
      <c r="R497" s="431">
        <f t="shared" si="74"/>
        <v>0</v>
      </c>
      <c r="S497" s="468">
        <v>2</v>
      </c>
      <c r="T497" s="127"/>
      <c r="U497" s="127"/>
      <c r="V497" s="127"/>
      <c r="W497" s="127"/>
      <c r="X497" s="127"/>
      <c r="Y497" s="127"/>
    </row>
    <row r="498" spans="1:25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32">
        <f t="shared" si="68"/>
        <v>346.24</v>
      </c>
      <c r="G498" s="646">
        <f t="shared" si="71"/>
        <v>346.24</v>
      </c>
      <c r="H498" s="146"/>
      <c r="I498" s="146">
        <v>0</v>
      </c>
      <c r="J498" s="146">
        <v>0</v>
      </c>
      <c r="K498" s="146">
        <f t="shared" si="72"/>
        <v>0</v>
      </c>
      <c r="L498" s="191">
        <f t="shared" si="75"/>
        <v>0</v>
      </c>
      <c r="M498" s="177">
        <f t="shared" si="69"/>
        <v>0</v>
      </c>
      <c r="N498" s="148">
        <f t="shared" si="70"/>
        <v>0</v>
      </c>
      <c r="O498" s="427">
        <v>0</v>
      </c>
      <c r="P498" s="177">
        <f t="shared" si="73"/>
        <v>0</v>
      </c>
      <c r="Q498" s="177">
        <f t="shared" si="76"/>
        <v>0</v>
      </c>
      <c r="R498" s="431">
        <f t="shared" si="74"/>
        <v>0</v>
      </c>
      <c r="S498" s="468">
        <v>2</v>
      </c>
      <c r="T498" s="127"/>
      <c r="U498" s="127"/>
      <c r="V498" s="127"/>
      <c r="W498" s="127"/>
      <c r="X498" s="127"/>
      <c r="Y498" s="127"/>
    </row>
    <row r="499" spans="1:25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32">
        <f t="shared" si="68"/>
        <v>151.5</v>
      </c>
      <c r="G499" s="646">
        <f t="shared" si="71"/>
        <v>151.5</v>
      </c>
      <c r="H499" s="146"/>
      <c r="I499" s="146">
        <v>0</v>
      </c>
      <c r="J499" s="146">
        <v>0</v>
      </c>
      <c r="K499" s="146">
        <f t="shared" si="72"/>
        <v>0</v>
      </c>
      <c r="L499" s="191">
        <f t="shared" si="75"/>
        <v>0</v>
      </c>
      <c r="M499" s="177">
        <f t="shared" si="69"/>
        <v>0</v>
      </c>
      <c r="N499" s="148">
        <f t="shared" si="70"/>
        <v>0</v>
      </c>
      <c r="O499" s="427">
        <v>0</v>
      </c>
      <c r="P499" s="177">
        <f t="shared" si="73"/>
        <v>0</v>
      </c>
      <c r="Q499" s="177">
        <f t="shared" si="76"/>
        <v>0</v>
      </c>
      <c r="R499" s="431">
        <f t="shared" si="74"/>
        <v>0</v>
      </c>
      <c r="S499" s="468">
        <v>1</v>
      </c>
      <c r="T499" s="127"/>
      <c r="U499" s="127"/>
      <c r="V499" s="127"/>
      <c r="W499" s="127"/>
      <c r="X499" s="127"/>
      <c r="Y499" s="127"/>
    </row>
    <row r="500" spans="1:25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32">
        <f t="shared" si="68"/>
        <v>123.6</v>
      </c>
      <c r="G500" s="646">
        <f t="shared" si="71"/>
        <v>123.6</v>
      </c>
      <c r="H500" s="146"/>
      <c r="I500" s="146"/>
      <c r="J500" s="146"/>
      <c r="K500" s="146">
        <f t="shared" si="72"/>
        <v>0</v>
      </c>
      <c r="L500" s="191">
        <f t="shared" si="75"/>
        <v>0</v>
      </c>
      <c r="M500" s="177">
        <f t="shared" si="69"/>
        <v>0</v>
      </c>
      <c r="N500" s="148">
        <f t="shared" si="70"/>
        <v>0</v>
      </c>
      <c r="O500" s="427">
        <v>0</v>
      </c>
      <c r="P500" s="177">
        <f t="shared" si="73"/>
        <v>0</v>
      </c>
      <c r="Q500" s="177">
        <f t="shared" si="76"/>
        <v>0</v>
      </c>
      <c r="R500" s="431">
        <f t="shared" si="74"/>
        <v>0</v>
      </c>
      <c r="S500" s="468">
        <v>1</v>
      </c>
      <c r="T500" s="127"/>
      <c r="U500" s="127"/>
      <c r="V500" s="127"/>
      <c r="W500" s="127"/>
      <c r="X500" s="127"/>
      <c r="Y500" s="127"/>
    </row>
    <row r="501" spans="1:25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32">
        <f t="shared" si="68"/>
        <v>624.51</v>
      </c>
      <c r="G501" s="646">
        <f t="shared" si="71"/>
        <v>624.51</v>
      </c>
      <c r="H501" s="146"/>
      <c r="I501" s="146">
        <v>46</v>
      </c>
      <c r="J501" s="146">
        <v>67</v>
      </c>
      <c r="K501" s="146">
        <f>H501+I501</f>
        <v>46</v>
      </c>
      <c r="L501" s="191">
        <f t="shared" si="75"/>
        <v>6.0846560846560843E-2</v>
      </c>
      <c r="M501" s="177">
        <f t="shared" si="69"/>
        <v>122.72812169312168</v>
      </c>
      <c r="N501" s="148">
        <f t="shared" si="70"/>
        <v>45.127130346560847</v>
      </c>
      <c r="O501" s="427">
        <v>47.408597883597878</v>
      </c>
      <c r="P501" s="177">
        <f t="shared" si="73"/>
        <v>3.2778285714285715</v>
      </c>
      <c r="Q501" s="177">
        <f t="shared" si="76"/>
        <v>3.9956730285714288</v>
      </c>
      <c r="R501" s="431">
        <f t="shared" si="74"/>
        <v>0.34994103936639759</v>
      </c>
      <c r="S501" s="468">
        <v>3</v>
      </c>
      <c r="T501" s="127"/>
      <c r="U501" s="127"/>
      <c r="V501" s="127"/>
      <c r="W501" s="127"/>
      <c r="X501" s="127"/>
      <c r="Y501" s="127"/>
    </row>
    <row r="502" spans="1:25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32">
        <f t="shared" si="68"/>
        <v>202.5</v>
      </c>
      <c r="G502" s="646">
        <f t="shared" si="71"/>
        <v>202.5</v>
      </c>
      <c r="H502" s="146"/>
      <c r="I502" s="146">
        <v>0</v>
      </c>
      <c r="J502" s="146">
        <v>0</v>
      </c>
      <c r="K502" s="146">
        <f t="shared" si="72"/>
        <v>0</v>
      </c>
      <c r="L502" s="191">
        <f t="shared" si="75"/>
        <v>0</v>
      </c>
      <c r="M502" s="177">
        <f t="shared" si="69"/>
        <v>0</v>
      </c>
      <c r="N502" s="148">
        <f t="shared" si="70"/>
        <v>0</v>
      </c>
      <c r="O502" s="427">
        <v>0</v>
      </c>
      <c r="P502" s="177">
        <f t="shared" si="73"/>
        <v>0</v>
      </c>
      <c r="Q502" s="177">
        <f t="shared" si="76"/>
        <v>0</v>
      </c>
      <c r="R502" s="431">
        <f t="shared" si="74"/>
        <v>0</v>
      </c>
      <c r="S502" s="468">
        <v>1</v>
      </c>
      <c r="T502" s="127"/>
      <c r="U502" s="127"/>
      <c r="V502" s="127"/>
      <c r="W502" s="127"/>
      <c r="X502" s="127"/>
      <c r="Y502" s="127"/>
    </row>
    <row r="503" spans="1:25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32">
        <f t="shared" si="68"/>
        <v>132.5</v>
      </c>
      <c r="G503" s="646">
        <f t="shared" si="71"/>
        <v>132.5</v>
      </c>
      <c r="H503" s="146"/>
      <c r="I503" s="146">
        <v>0</v>
      </c>
      <c r="J503" s="146">
        <v>0</v>
      </c>
      <c r="K503" s="146">
        <f t="shared" si="72"/>
        <v>0</v>
      </c>
      <c r="L503" s="191">
        <f t="shared" si="75"/>
        <v>0</v>
      </c>
      <c r="M503" s="177">
        <f t="shared" si="69"/>
        <v>0</v>
      </c>
      <c r="N503" s="148">
        <f t="shared" si="70"/>
        <v>0</v>
      </c>
      <c r="O503" s="427">
        <v>0</v>
      </c>
      <c r="P503" s="177">
        <f t="shared" si="73"/>
        <v>0</v>
      </c>
      <c r="Q503" s="177">
        <f t="shared" si="76"/>
        <v>0</v>
      </c>
      <c r="R503" s="431">
        <f t="shared" si="74"/>
        <v>0</v>
      </c>
      <c r="S503" s="468">
        <v>1</v>
      </c>
      <c r="T503" s="127"/>
      <c r="U503" s="127"/>
      <c r="V503" s="127"/>
      <c r="W503" s="127"/>
      <c r="X503" s="127"/>
      <c r="Y503" s="127"/>
    </row>
    <row r="504" spans="1:25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32">
        <f t="shared" si="68"/>
        <v>156.1</v>
      </c>
      <c r="G504" s="646">
        <f t="shared" si="71"/>
        <v>156.1</v>
      </c>
      <c r="H504" s="146"/>
      <c r="I504" s="146">
        <v>0</v>
      </c>
      <c r="J504" s="146">
        <v>0</v>
      </c>
      <c r="K504" s="146">
        <f t="shared" si="72"/>
        <v>0</v>
      </c>
      <c r="L504" s="191">
        <f t="shared" si="75"/>
        <v>0</v>
      </c>
      <c r="M504" s="177">
        <f t="shared" si="69"/>
        <v>0</v>
      </c>
      <c r="N504" s="148">
        <f t="shared" si="70"/>
        <v>0</v>
      </c>
      <c r="O504" s="427">
        <v>0</v>
      </c>
      <c r="P504" s="177">
        <f t="shared" si="73"/>
        <v>0</v>
      </c>
      <c r="Q504" s="177">
        <f t="shared" si="76"/>
        <v>0</v>
      </c>
      <c r="R504" s="431">
        <f t="shared" si="74"/>
        <v>0</v>
      </c>
      <c r="S504" s="468">
        <v>1</v>
      </c>
      <c r="T504" s="127"/>
      <c r="U504" s="127"/>
      <c r="V504" s="127"/>
      <c r="W504" s="127"/>
      <c r="X504" s="127"/>
      <c r="Y504" s="127"/>
    </row>
    <row r="505" spans="1:25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32">
        <f t="shared" si="68"/>
        <v>138</v>
      </c>
      <c r="G505" s="646">
        <f t="shared" si="71"/>
        <v>138</v>
      </c>
      <c r="H505" s="146"/>
      <c r="I505" s="146">
        <v>0</v>
      </c>
      <c r="J505" s="146">
        <v>0</v>
      </c>
      <c r="K505" s="146">
        <f t="shared" si="72"/>
        <v>0</v>
      </c>
      <c r="L505" s="191">
        <f t="shared" si="75"/>
        <v>0</v>
      </c>
      <c r="M505" s="177">
        <f t="shared" si="69"/>
        <v>0</v>
      </c>
      <c r="N505" s="148">
        <f t="shared" si="70"/>
        <v>0</v>
      </c>
      <c r="O505" s="427">
        <v>0</v>
      </c>
      <c r="P505" s="177">
        <f t="shared" si="73"/>
        <v>0</v>
      </c>
      <c r="Q505" s="177">
        <f t="shared" si="76"/>
        <v>0</v>
      </c>
      <c r="R505" s="431">
        <f t="shared" si="74"/>
        <v>0</v>
      </c>
      <c r="S505" s="468">
        <v>2</v>
      </c>
      <c r="T505" s="127"/>
      <c r="U505" s="127"/>
      <c r="V505" s="127"/>
      <c r="W505" s="127"/>
      <c r="X505" s="127"/>
      <c r="Y505" s="127"/>
    </row>
    <row r="506" spans="1:25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32">
        <f t="shared" si="68"/>
        <v>137.69999999999999</v>
      </c>
      <c r="G506" s="646">
        <f t="shared" si="71"/>
        <v>137.69999999999999</v>
      </c>
      <c r="H506" s="146"/>
      <c r="I506" s="146">
        <v>0</v>
      </c>
      <c r="J506" s="146">
        <v>0</v>
      </c>
      <c r="K506" s="146">
        <f t="shared" si="72"/>
        <v>0</v>
      </c>
      <c r="L506" s="191">
        <f t="shared" si="75"/>
        <v>0</v>
      </c>
      <c r="M506" s="177">
        <f t="shared" si="69"/>
        <v>0</v>
      </c>
      <c r="N506" s="148">
        <f t="shared" si="70"/>
        <v>0</v>
      </c>
      <c r="O506" s="427">
        <v>0</v>
      </c>
      <c r="P506" s="177">
        <f t="shared" si="73"/>
        <v>0</v>
      </c>
      <c r="Q506" s="177">
        <f t="shared" si="76"/>
        <v>0</v>
      </c>
      <c r="R506" s="431">
        <f t="shared" si="74"/>
        <v>0</v>
      </c>
      <c r="S506" s="468">
        <v>2</v>
      </c>
      <c r="T506" s="127"/>
      <c r="U506" s="127"/>
      <c r="V506" s="127"/>
      <c r="W506" s="127"/>
      <c r="X506" s="127"/>
      <c r="Y506" s="127"/>
    </row>
    <row r="507" spans="1:25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32">
        <f t="shared" si="68"/>
        <v>184.88</v>
      </c>
      <c r="G507" s="646">
        <f t="shared" si="71"/>
        <v>184.88</v>
      </c>
      <c r="H507" s="146"/>
      <c r="I507" s="146">
        <v>0</v>
      </c>
      <c r="J507" s="146">
        <v>0</v>
      </c>
      <c r="K507" s="146">
        <f t="shared" si="72"/>
        <v>0</v>
      </c>
      <c r="L507" s="191">
        <f t="shared" si="75"/>
        <v>0</v>
      </c>
      <c r="M507" s="177">
        <f t="shared" si="69"/>
        <v>0</v>
      </c>
      <c r="N507" s="148">
        <f t="shared" si="70"/>
        <v>0</v>
      </c>
      <c r="O507" s="427">
        <v>0</v>
      </c>
      <c r="P507" s="177">
        <f t="shared" si="73"/>
        <v>0</v>
      </c>
      <c r="Q507" s="177">
        <f t="shared" si="76"/>
        <v>0</v>
      </c>
      <c r="R507" s="431">
        <f t="shared" si="74"/>
        <v>0</v>
      </c>
      <c r="S507" s="468">
        <v>2</v>
      </c>
      <c r="T507" s="127"/>
      <c r="U507" s="127"/>
      <c r="V507" s="127"/>
      <c r="W507" s="127"/>
      <c r="X507" s="127"/>
      <c r="Y507" s="127"/>
    </row>
    <row r="508" spans="1:25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32">
        <f t="shared" si="68"/>
        <v>657.19</v>
      </c>
      <c r="G508" s="646">
        <f t="shared" si="71"/>
        <v>657.19</v>
      </c>
      <c r="H508" s="146"/>
      <c r="I508" s="146">
        <v>0</v>
      </c>
      <c r="J508" s="146">
        <v>0</v>
      </c>
      <c r="K508" s="146">
        <f t="shared" si="72"/>
        <v>0</v>
      </c>
      <c r="L508" s="191">
        <f t="shared" si="75"/>
        <v>0</v>
      </c>
      <c r="M508" s="177">
        <f t="shared" si="69"/>
        <v>0</v>
      </c>
      <c r="N508" s="148">
        <f t="shared" si="70"/>
        <v>0</v>
      </c>
      <c r="O508" s="427">
        <v>0</v>
      </c>
      <c r="P508" s="177">
        <f t="shared" si="73"/>
        <v>0</v>
      </c>
      <c r="Q508" s="177">
        <f t="shared" si="76"/>
        <v>0</v>
      </c>
      <c r="R508" s="431">
        <f t="shared" si="74"/>
        <v>0</v>
      </c>
      <c r="S508" s="468">
        <v>2</v>
      </c>
      <c r="T508" s="127"/>
      <c r="U508" s="127"/>
      <c r="V508" s="127"/>
      <c r="W508" s="127"/>
      <c r="X508" s="127"/>
      <c r="Y508" s="127"/>
    </row>
    <row r="509" spans="1:25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32">
        <f t="shared" si="68"/>
        <v>815.3</v>
      </c>
      <c r="G509" s="646">
        <f t="shared" si="71"/>
        <v>815.3</v>
      </c>
      <c r="H509" s="146"/>
      <c r="I509" s="146">
        <v>140</v>
      </c>
      <c r="J509" s="146">
        <v>140</v>
      </c>
      <c r="K509" s="146">
        <f t="shared" si="72"/>
        <v>140</v>
      </c>
      <c r="L509" s="191">
        <f t="shared" si="75"/>
        <v>0.18518518518518517</v>
      </c>
      <c r="M509" s="177">
        <f t="shared" si="69"/>
        <v>373.52037037037036</v>
      </c>
      <c r="N509" s="148">
        <f t="shared" si="70"/>
        <v>137.34344018518519</v>
      </c>
      <c r="O509" s="427">
        <v>144.28703703703704</v>
      </c>
      <c r="P509" s="177">
        <f t="shared" si="73"/>
        <v>9.9760000000000009</v>
      </c>
      <c r="Q509" s="177">
        <f t="shared" si="76"/>
        <v>12.160744000000001</v>
      </c>
      <c r="R509" s="431">
        <f t="shared" si="74"/>
        <v>0.81580626467875961</v>
      </c>
      <c r="S509" s="468">
        <v>3</v>
      </c>
      <c r="T509" s="127"/>
      <c r="U509" s="127"/>
      <c r="V509" s="127"/>
      <c r="W509" s="127"/>
      <c r="X509" s="127"/>
      <c r="Y509" s="127"/>
    </row>
    <row r="510" spans="1:25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32">
        <f t="shared" si="68"/>
        <v>800.4</v>
      </c>
      <c r="G510" s="646">
        <f t="shared" si="71"/>
        <v>800.4</v>
      </c>
      <c r="H510" s="146"/>
      <c r="I510" s="146">
        <v>105</v>
      </c>
      <c r="J510" s="146">
        <v>125</v>
      </c>
      <c r="K510" s="146">
        <f t="shared" si="72"/>
        <v>105</v>
      </c>
      <c r="L510" s="191">
        <f t="shared" si="75"/>
        <v>0.1388888888888889</v>
      </c>
      <c r="M510" s="177">
        <f t="shared" si="69"/>
        <v>280.14027777777778</v>
      </c>
      <c r="N510" s="148">
        <f t="shared" si="70"/>
        <v>103.0075801388889</v>
      </c>
      <c r="O510" s="427">
        <v>108.21527777777779</v>
      </c>
      <c r="P510" s="177">
        <f t="shared" si="73"/>
        <v>7.4820000000000011</v>
      </c>
      <c r="Q510" s="177">
        <f t="shared" si="76"/>
        <v>9.1205580000000026</v>
      </c>
      <c r="R510" s="431">
        <f t="shared" si="74"/>
        <v>0.62324479721944592</v>
      </c>
      <c r="S510" s="468">
        <v>3</v>
      </c>
      <c r="T510" s="127"/>
      <c r="U510" s="127"/>
      <c r="V510" s="127"/>
      <c r="W510" s="127"/>
      <c r="X510" s="127"/>
      <c r="Y510" s="127"/>
    </row>
    <row r="511" spans="1:25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32">
        <f t="shared" si="68"/>
        <v>285.10000000000002</v>
      </c>
      <c r="G511" s="646">
        <f t="shared" si="71"/>
        <v>285.10000000000002</v>
      </c>
      <c r="H511" s="146"/>
      <c r="I511" s="146">
        <v>0</v>
      </c>
      <c r="J511" s="146">
        <v>0</v>
      </c>
      <c r="K511" s="146">
        <f t="shared" si="72"/>
        <v>0</v>
      </c>
      <c r="L511" s="191">
        <f t="shared" si="75"/>
        <v>0</v>
      </c>
      <c r="M511" s="177">
        <f t="shared" si="69"/>
        <v>0</v>
      </c>
      <c r="N511" s="148">
        <f t="shared" si="70"/>
        <v>0</v>
      </c>
      <c r="O511" s="427">
        <v>0</v>
      </c>
      <c r="P511" s="177">
        <f t="shared" si="73"/>
        <v>0</v>
      </c>
      <c r="Q511" s="177">
        <f t="shared" si="76"/>
        <v>0</v>
      </c>
      <c r="R511" s="431">
        <f t="shared" si="74"/>
        <v>0</v>
      </c>
      <c r="S511" s="468">
        <v>2</v>
      </c>
      <c r="T511" s="127"/>
      <c r="U511" s="127"/>
      <c r="V511" s="127"/>
      <c r="W511" s="127"/>
      <c r="X511" s="127"/>
      <c r="Y511" s="127"/>
    </row>
    <row r="512" spans="1:25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32">
        <f t="shared" si="68"/>
        <v>415.84</v>
      </c>
      <c r="G512" s="646">
        <f t="shared" si="71"/>
        <v>415.84</v>
      </c>
      <c r="H512" s="146"/>
      <c r="I512" s="146">
        <v>67</v>
      </c>
      <c r="J512" s="146">
        <v>67</v>
      </c>
      <c r="K512" s="146">
        <f t="shared" si="72"/>
        <v>67</v>
      </c>
      <c r="L512" s="191">
        <f t="shared" si="75"/>
        <v>8.8624338624338619E-2</v>
      </c>
      <c r="M512" s="177">
        <f t="shared" si="69"/>
        <v>178.75617724867723</v>
      </c>
      <c r="N512" s="148">
        <f t="shared" ref="N512:N533" si="77">M512*0.3677</f>
        <v>65.728646374338624</v>
      </c>
      <c r="O512" s="427">
        <v>69.051653439153426</v>
      </c>
      <c r="P512" s="177">
        <f t="shared" si="73"/>
        <v>4.7742285714285719</v>
      </c>
      <c r="Q512" s="177">
        <f t="shared" si="76"/>
        <v>5.8197846285714299</v>
      </c>
      <c r="R512" s="431">
        <f t="shared" si="74"/>
        <v>0.76546437484031815</v>
      </c>
      <c r="S512" s="468">
        <v>3</v>
      </c>
      <c r="T512" s="127"/>
      <c r="U512" s="127"/>
      <c r="V512" s="127"/>
      <c r="W512" s="127"/>
      <c r="X512" s="127"/>
      <c r="Y512" s="127"/>
    </row>
    <row r="513" spans="1:25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32">
        <f t="shared" ref="F513:F535" si="78">C513+D513+E513</f>
        <v>516.34</v>
      </c>
      <c r="G513" s="646">
        <f t="shared" ref="G513:G575" si="79">C513+D513+E513</f>
        <v>516.34</v>
      </c>
      <c r="H513" s="146"/>
      <c r="I513" s="146">
        <v>71</v>
      </c>
      <c r="J513" s="146">
        <v>71</v>
      </c>
      <c r="K513" s="146">
        <f t="shared" ref="K513:K530" si="80">H513+I513</f>
        <v>71</v>
      </c>
      <c r="L513" s="191">
        <f t="shared" si="75"/>
        <v>9.391534391534391E-2</v>
      </c>
      <c r="M513" s="177">
        <f t="shared" si="69"/>
        <v>189.42818783068782</v>
      </c>
      <c r="N513" s="148">
        <f t="shared" si="77"/>
        <v>69.652744665343917</v>
      </c>
      <c r="O513" s="427">
        <v>73.174140211640207</v>
      </c>
      <c r="P513" s="177">
        <f t="shared" si="73"/>
        <v>5.0592571428571436</v>
      </c>
      <c r="Q513" s="177">
        <f t="shared" si="76"/>
        <v>6.1672344571428583</v>
      </c>
      <c r="R513" s="431">
        <f t="shared" si="74"/>
        <v>0.65327948609545849</v>
      </c>
      <c r="S513" s="468">
        <v>3</v>
      </c>
      <c r="T513" s="127"/>
      <c r="U513" s="127"/>
      <c r="V513" s="127"/>
      <c r="W513" s="127"/>
      <c r="X513" s="127"/>
      <c r="Y513" s="127"/>
    </row>
    <row r="514" spans="1:25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32">
        <f t="shared" si="78"/>
        <v>605.14</v>
      </c>
      <c r="G514" s="646">
        <f t="shared" si="79"/>
        <v>605.14</v>
      </c>
      <c r="H514" s="146"/>
      <c r="I514" s="146">
        <v>52</v>
      </c>
      <c r="J514" s="146">
        <v>52</v>
      </c>
      <c r="K514" s="146">
        <f t="shared" si="80"/>
        <v>52</v>
      </c>
      <c r="L514" s="191">
        <f t="shared" si="75"/>
        <v>6.8783068783068779E-2</v>
      </c>
      <c r="M514" s="177">
        <f t="shared" ref="M514:M534" si="81">L514*2017.01</f>
        <v>138.73613756613756</v>
      </c>
      <c r="N514" s="148">
        <f t="shared" si="77"/>
        <v>51.013277783068787</v>
      </c>
      <c r="O514" s="427">
        <v>53.592328042328035</v>
      </c>
      <c r="P514" s="177">
        <f t="shared" si="73"/>
        <v>3.7053714285714285</v>
      </c>
      <c r="Q514" s="177">
        <f t="shared" si="76"/>
        <v>4.516847771428572</v>
      </c>
      <c r="R514" s="431">
        <f t="shared" si="74"/>
        <v>0.40824786796461282</v>
      </c>
      <c r="S514" s="468">
        <v>3</v>
      </c>
      <c r="T514" s="127"/>
      <c r="U514" s="127"/>
      <c r="V514" s="127"/>
      <c r="W514" s="127"/>
      <c r="X514" s="127"/>
      <c r="Y514" s="127"/>
    </row>
    <row r="515" spans="1:25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32">
        <f t="shared" si="78"/>
        <v>476.1</v>
      </c>
      <c r="G515" s="646">
        <f t="shared" si="79"/>
        <v>476.1</v>
      </c>
      <c r="H515" s="146"/>
      <c r="I515" s="146">
        <v>66</v>
      </c>
      <c r="J515" s="146">
        <v>72</v>
      </c>
      <c r="K515" s="146">
        <f t="shared" si="80"/>
        <v>66</v>
      </c>
      <c r="L515" s="191">
        <f t="shared" si="75"/>
        <v>8.7301587301587297E-2</v>
      </c>
      <c r="M515" s="177">
        <f t="shared" si="81"/>
        <v>176.08817460317459</v>
      </c>
      <c r="N515" s="148">
        <f t="shared" si="77"/>
        <v>64.7476218015873</v>
      </c>
      <c r="O515" s="427">
        <v>68.021031746031738</v>
      </c>
      <c r="P515" s="177">
        <f t="shared" ref="P515:P535" si="82">L515*49.88*1.08</f>
        <v>4.7029714285714288</v>
      </c>
      <c r="Q515" s="177">
        <f t="shared" si="76"/>
        <v>5.7329221714285721</v>
      </c>
      <c r="R515" s="431">
        <f t="shared" si="74"/>
        <v>0.65860071325218439</v>
      </c>
      <c r="S515" s="468">
        <v>3</v>
      </c>
      <c r="T515" s="127"/>
      <c r="U515" s="127"/>
      <c r="V515" s="127"/>
      <c r="W515" s="127"/>
      <c r="X515" s="127"/>
      <c r="Y515" s="127"/>
    </row>
    <row r="516" spans="1:25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32">
        <f t="shared" si="78"/>
        <v>417.52</v>
      </c>
      <c r="G516" s="646">
        <f t="shared" si="79"/>
        <v>417.52</v>
      </c>
      <c r="H516" s="146"/>
      <c r="I516" s="146"/>
      <c r="J516" s="146"/>
      <c r="K516" s="146">
        <f t="shared" si="80"/>
        <v>0</v>
      </c>
      <c r="L516" s="191">
        <f t="shared" si="75"/>
        <v>0</v>
      </c>
      <c r="M516" s="177">
        <f t="shared" si="81"/>
        <v>0</v>
      </c>
      <c r="N516" s="148">
        <f t="shared" si="77"/>
        <v>0</v>
      </c>
      <c r="O516" s="427">
        <v>0</v>
      </c>
      <c r="P516" s="177">
        <f t="shared" si="82"/>
        <v>0</v>
      </c>
      <c r="Q516" s="177">
        <f t="shared" si="76"/>
        <v>0</v>
      </c>
      <c r="R516" s="431">
        <f t="shared" si="74"/>
        <v>0</v>
      </c>
      <c r="S516" s="468">
        <v>2</v>
      </c>
      <c r="T516" s="127"/>
      <c r="U516" s="127"/>
      <c r="V516" s="127"/>
      <c r="W516" s="127"/>
      <c r="X516" s="127"/>
      <c r="Y516" s="127"/>
    </row>
    <row r="517" spans="1:25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32">
        <f t="shared" si="78"/>
        <v>273.56</v>
      </c>
      <c r="G517" s="646">
        <f t="shared" si="79"/>
        <v>273.56</v>
      </c>
      <c r="H517" s="146"/>
      <c r="I517" s="146"/>
      <c r="J517" s="146"/>
      <c r="K517" s="146">
        <f t="shared" si="80"/>
        <v>0</v>
      </c>
      <c r="L517" s="191">
        <f t="shared" si="75"/>
        <v>0</v>
      </c>
      <c r="M517" s="177">
        <f t="shared" si="81"/>
        <v>0</v>
      </c>
      <c r="N517" s="148">
        <f t="shared" si="77"/>
        <v>0</v>
      </c>
      <c r="O517" s="427">
        <v>0</v>
      </c>
      <c r="P517" s="177">
        <f t="shared" si="82"/>
        <v>0</v>
      </c>
      <c r="Q517" s="177">
        <f t="shared" si="76"/>
        <v>0</v>
      </c>
      <c r="R517" s="431">
        <f t="shared" si="74"/>
        <v>0</v>
      </c>
      <c r="S517" s="468">
        <v>2</v>
      </c>
      <c r="T517" s="127"/>
      <c r="U517" s="127"/>
      <c r="V517" s="127"/>
      <c r="W517" s="127"/>
      <c r="X517" s="127"/>
      <c r="Y517" s="127"/>
    </row>
    <row r="518" spans="1:25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32">
        <f t="shared" si="78"/>
        <v>645.95000000000005</v>
      </c>
      <c r="G518" s="646">
        <f t="shared" si="79"/>
        <v>645.95000000000005</v>
      </c>
      <c r="H518" s="146"/>
      <c r="I518" s="146">
        <v>55</v>
      </c>
      <c r="J518" s="146">
        <v>55</v>
      </c>
      <c r="K518" s="146">
        <f t="shared" si="80"/>
        <v>55</v>
      </c>
      <c r="L518" s="191">
        <f t="shared" si="75"/>
        <v>7.2751322751322747E-2</v>
      </c>
      <c r="M518" s="177">
        <f t="shared" si="81"/>
        <v>146.7401455026455</v>
      </c>
      <c r="N518" s="148">
        <f t="shared" si="77"/>
        <v>53.956351501322757</v>
      </c>
      <c r="O518" s="427">
        <v>56.68419312169312</v>
      </c>
      <c r="P518" s="177">
        <f t="shared" si="82"/>
        <v>3.9191428571428575</v>
      </c>
      <c r="Q518" s="177">
        <f t="shared" si="76"/>
        <v>4.7774351428571435</v>
      </c>
      <c r="R518" s="431">
        <f t="shared" si="74"/>
        <v>0.404520215160313</v>
      </c>
      <c r="S518" s="468">
        <v>3</v>
      </c>
      <c r="T518" s="127"/>
      <c r="U518" s="127"/>
      <c r="V518" s="127"/>
      <c r="W518" s="127"/>
      <c r="X518" s="127"/>
      <c r="Y518" s="127"/>
    </row>
    <row r="519" spans="1:25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32">
        <f t="shared" si="78"/>
        <v>867.68</v>
      </c>
      <c r="G519" s="646">
        <f t="shared" si="79"/>
        <v>867.68</v>
      </c>
      <c r="H519" s="146"/>
      <c r="I519" s="146">
        <v>133</v>
      </c>
      <c r="J519" s="146">
        <v>133</v>
      </c>
      <c r="K519" s="146">
        <f t="shared" si="80"/>
        <v>133</v>
      </c>
      <c r="L519" s="191">
        <f t="shared" si="75"/>
        <v>0.17592592592592593</v>
      </c>
      <c r="M519" s="177">
        <f t="shared" si="81"/>
        <v>354.84435185185185</v>
      </c>
      <c r="N519" s="148">
        <f t="shared" si="77"/>
        <v>130.47626817592592</v>
      </c>
      <c r="O519" s="427">
        <v>137.07268518518518</v>
      </c>
      <c r="P519" s="177">
        <f t="shared" si="82"/>
        <v>9.4771999999999998</v>
      </c>
      <c r="Q519" s="177">
        <f t="shared" si="76"/>
        <v>11.552706800000001</v>
      </c>
      <c r="R519" s="431">
        <f t="shared" ref="R519:R582" si="83">(M519+N519+O519+P519)/C519</f>
        <v>0.72822988338207972</v>
      </c>
      <c r="S519" s="468">
        <v>3</v>
      </c>
      <c r="T519" s="127"/>
      <c r="U519" s="127"/>
      <c r="V519" s="127"/>
      <c r="W519" s="127"/>
      <c r="X519" s="127"/>
      <c r="Y519" s="127"/>
    </row>
    <row r="520" spans="1:25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32">
        <f t="shared" si="78"/>
        <v>556.85</v>
      </c>
      <c r="G520" s="646">
        <f t="shared" si="79"/>
        <v>556.85</v>
      </c>
      <c r="H520" s="146"/>
      <c r="I520" s="146">
        <v>44</v>
      </c>
      <c r="J520" s="146">
        <v>44</v>
      </c>
      <c r="K520" s="146">
        <f t="shared" si="80"/>
        <v>44</v>
      </c>
      <c r="L520" s="191">
        <f t="shared" si="75"/>
        <v>5.8201058201058198E-2</v>
      </c>
      <c r="M520" s="177">
        <f t="shared" si="81"/>
        <v>117.3921164021164</v>
      </c>
      <c r="N520" s="148">
        <f t="shared" si="77"/>
        <v>43.1650812010582</v>
      </c>
      <c r="O520" s="427">
        <v>45.347354497354495</v>
      </c>
      <c r="P520" s="177">
        <f t="shared" si="82"/>
        <v>3.1353142857142857</v>
      </c>
      <c r="Q520" s="177">
        <f t="shared" si="76"/>
        <v>3.8219481142857146</v>
      </c>
      <c r="R520" s="431">
        <f t="shared" si="83"/>
        <v>0.39408024580307921</v>
      </c>
      <c r="S520" s="468">
        <v>3</v>
      </c>
      <c r="T520" s="127"/>
      <c r="U520" s="127"/>
      <c r="V520" s="127"/>
      <c r="W520" s="127"/>
      <c r="X520" s="127"/>
      <c r="Y520" s="127"/>
    </row>
    <row r="521" spans="1:25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32">
        <f t="shared" si="78"/>
        <v>335.18</v>
      </c>
      <c r="G521" s="646">
        <f t="shared" si="79"/>
        <v>335.18</v>
      </c>
      <c r="H521" s="146"/>
      <c r="I521" s="146">
        <v>0</v>
      </c>
      <c r="J521" s="146">
        <v>0</v>
      </c>
      <c r="K521" s="146">
        <f t="shared" si="80"/>
        <v>0</v>
      </c>
      <c r="L521" s="191">
        <f t="shared" si="75"/>
        <v>0</v>
      </c>
      <c r="M521" s="177">
        <f t="shared" si="81"/>
        <v>0</v>
      </c>
      <c r="N521" s="148">
        <f t="shared" si="77"/>
        <v>0</v>
      </c>
      <c r="O521" s="427">
        <v>0</v>
      </c>
      <c r="P521" s="177">
        <f t="shared" si="82"/>
        <v>0</v>
      </c>
      <c r="Q521" s="177">
        <f t="shared" si="76"/>
        <v>0</v>
      </c>
      <c r="R521" s="431">
        <f t="shared" si="83"/>
        <v>0</v>
      </c>
      <c r="S521" s="468">
        <v>2</v>
      </c>
      <c r="T521" s="127"/>
      <c r="U521" s="127"/>
      <c r="V521" s="127"/>
      <c r="W521" s="127"/>
      <c r="X521" s="127"/>
      <c r="Y521" s="127"/>
    </row>
    <row r="522" spans="1:25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32">
        <f t="shared" si="78"/>
        <v>274.58999999999997</v>
      </c>
      <c r="G522" s="646">
        <f t="shared" si="79"/>
        <v>274.58999999999997</v>
      </c>
      <c r="H522" s="146"/>
      <c r="I522" s="146">
        <v>0</v>
      </c>
      <c r="J522" s="146">
        <v>0</v>
      </c>
      <c r="K522" s="146">
        <f t="shared" si="80"/>
        <v>0</v>
      </c>
      <c r="L522" s="191">
        <f t="shared" si="75"/>
        <v>0</v>
      </c>
      <c r="M522" s="177">
        <f t="shared" si="81"/>
        <v>0</v>
      </c>
      <c r="N522" s="148">
        <f t="shared" si="77"/>
        <v>0</v>
      </c>
      <c r="O522" s="427">
        <v>0</v>
      </c>
      <c r="P522" s="177">
        <f t="shared" si="82"/>
        <v>0</v>
      </c>
      <c r="Q522" s="177">
        <f t="shared" si="76"/>
        <v>0</v>
      </c>
      <c r="R522" s="431">
        <f t="shared" si="83"/>
        <v>0</v>
      </c>
      <c r="S522" s="468">
        <v>2</v>
      </c>
      <c r="T522" s="127"/>
      <c r="U522" s="127"/>
      <c r="V522" s="127"/>
      <c r="W522" s="127"/>
      <c r="X522" s="127"/>
      <c r="Y522" s="127"/>
    </row>
    <row r="523" spans="1:25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32">
        <f t="shared" si="78"/>
        <v>345.54</v>
      </c>
      <c r="G523" s="646">
        <f t="shared" si="79"/>
        <v>345.54</v>
      </c>
      <c r="H523" s="146"/>
      <c r="I523" s="146">
        <v>0</v>
      </c>
      <c r="J523" s="146">
        <v>0</v>
      </c>
      <c r="K523" s="146">
        <f t="shared" si="80"/>
        <v>0</v>
      </c>
      <c r="L523" s="191">
        <f t="shared" si="75"/>
        <v>0</v>
      </c>
      <c r="M523" s="177">
        <f t="shared" si="81"/>
        <v>0</v>
      </c>
      <c r="N523" s="148">
        <f t="shared" si="77"/>
        <v>0</v>
      </c>
      <c r="O523" s="427">
        <v>0</v>
      </c>
      <c r="P523" s="177">
        <f t="shared" si="82"/>
        <v>0</v>
      </c>
      <c r="Q523" s="177">
        <f t="shared" si="76"/>
        <v>0</v>
      </c>
      <c r="R523" s="431">
        <f t="shared" si="83"/>
        <v>0</v>
      </c>
      <c r="S523" s="468">
        <v>2</v>
      </c>
      <c r="T523" s="127"/>
      <c r="U523" s="127"/>
      <c r="V523" s="127"/>
      <c r="W523" s="127"/>
      <c r="X523" s="127"/>
      <c r="Y523" s="127"/>
    </row>
    <row r="524" spans="1:25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32">
        <f t="shared" si="78"/>
        <v>212.4</v>
      </c>
      <c r="G524" s="646">
        <f t="shared" si="79"/>
        <v>212.4</v>
      </c>
      <c r="H524" s="146"/>
      <c r="I524" s="146">
        <v>0</v>
      </c>
      <c r="J524" s="146">
        <v>0</v>
      </c>
      <c r="K524" s="146">
        <f t="shared" si="80"/>
        <v>0</v>
      </c>
      <c r="L524" s="191">
        <f t="shared" si="75"/>
        <v>0</v>
      </c>
      <c r="M524" s="177">
        <f t="shared" si="81"/>
        <v>0</v>
      </c>
      <c r="N524" s="148">
        <f t="shared" si="77"/>
        <v>0</v>
      </c>
      <c r="O524" s="427">
        <v>0</v>
      </c>
      <c r="P524" s="177">
        <f t="shared" si="82"/>
        <v>0</v>
      </c>
      <c r="Q524" s="177">
        <f t="shared" si="76"/>
        <v>0</v>
      </c>
      <c r="R524" s="431">
        <f t="shared" si="83"/>
        <v>0</v>
      </c>
      <c r="S524" s="468">
        <v>2</v>
      </c>
      <c r="T524" s="127"/>
      <c r="U524" s="127"/>
      <c r="V524" s="127"/>
      <c r="W524" s="127"/>
      <c r="X524" s="127"/>
      <c r="Y524" s="127"/>
    </row>
    <row r="525" spans="1:25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32">
        <f t="shared" si="78"/>
        <v>257.2</v>
      </c>
      <c r="G525" s="646">
        <f t="shared" si="79"/>
        <v>257.2</v>
      </c>
      <c r="H525" s="146"/>
      <c r="I525" s="146">
        <v>0</v>
      </c>
      <c r="J525" s="146">
        <v>0</v>
      </c>
      <c r="K525" s="146">
        <f t="shared" si="80"/>
        <v>0</v>
      </c>
      <c r="L525" s="191">
        <f t="shared" si="75"/>
        <v>0</v>
      </c>
      <c r="M525" s="177">
        <f t="shared" si="81"/>
        <v>0</v>
      </c>
      <c r="N525" s="148">
        <f t="shared" si="77"/>
        <v>0</v>
      </c>
      <c r="O525" s="427">
        <v>0</v>
      </c>
      <c r="P525" s="177">
        <f t="shared" si="82"/>
        <v>0</v>
      </c>
      <c r="Q525" s="177">
        <f t="shared" si="76"/>
        <v>0</v>
      </c>
      <c r="R525" s="431">
        <f t="shared" si="83"/>
        <v>0</v>
      </c>
      <c r="S525" s="468">
        <v>2</v>
      </c>
      <c r="T525" s="127"/>
      <c r="U525" s="127"/>
      <c r="V525" s="127"/>
      <c r="W525" s="127"/>
      <c r="X525" s="127"/>
      <c r="Y525" s="127"/>
    </row>
    <row r="526" spans="1:25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32">
        <f t="shared" si="78"/>
        <v>406.14</v>
      </c>
      <c r="G526" s="646">
        <f t="shared" si="79"/>
        <v>406.14</v>
      </c>
      <c r="H526" s="146"/>
      <c r="I526" s="146">
        <v>0</v>
      </c>
      <c r="J526" s="146">
        <v>0</v>
      </c>
      <c r="K526" s="146">
        <f t="shared" si="80"/>
        <v>0</v>
      </c>
      <c r="L526" s="191">
        <f t="shared" si="75"/>
        <v>0</v>
      </c>
      <c r="M526" s="177">
        <f t="shared" si="81"/>
        <v>0</v>
      </c>
      <c r="N526" s="148">
        <f t="shared" si="77"/>
        <v>0</v>
      </c>
      <c r="O526" s="427">
        <v>0</v>
      </c>
      <c r="P526" s="177">
        <f t="shared" si="82"/>
        <v>0</v>
      </c>
      <c r="Q526" s="177">
        <f t="shared" si="76"/>
        <v>0</v>
      </c>
      <c r="R526" s="431">
        <f t="shared" si="83"/>
        <v>0</v>
      </c>
      <c r="S526" s="468">
        <v>2</v>
      </c>
      <c r="T526" s="127"/>
      <c r="U526" s="127"/>
      <c r="V526" s="127"/>
      <c r="W526" s="127"/>
      <c r="X526" s="127"/>
      <c r="Y526" s="127"/>
    </row>
    <row r="527" spans="1:25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32">
        <f t="shared" si="78"/>
        <v>253.51</v>
      </c>
      <c r="G527" s="646">
        <f t="shared" si="79"/>
        <v>253.51</v>
      </c>
      <c r="H527" s="146"/>
      <c r="I527" s="146">
        <v>0</v>
      </c>
      <c r="J527" s="146">
        <v>0</v>
      </c>
      <c r="K527" s="146">
        <f t="shared" si="80"/>
        <v>0</v>
      </c>
      <c r="L527" s="191">
        <f t="shared" si="75"/>
        <v>0</v>
      </c>
      <c r="M527" s="177">
        <f t="shared" si="81"/>
        <v>0</v>
      </c>
      <c r="N527" s="148">
        <f t="shared" si="77"/>
        <v>0</v>
      </c>
      <c r="O527" s="427">
        <v>0</v>
      </c>
      <c r="P527" s="177">
        <f t="shared" si="82"/>
        <v>0</v>
      </c>
      <c r="Q527" s="177">
        <f t="shared" si="76"/>
        <v>0</v>
      </c>
      <c r="R527" s="431">
        <f t="shared" si="83"/>
        <v>0</v>
      </c>
      <c r="S527" s="468">
        <v>2</v>
      </c>
      <c r="T527" s="127"/>
      <c r="U527" s="127"/>
      <c r="V527" s="127"/>
      <c r="W527" s="127"/>
      <c r="X527" s="127"/>
      <c r="Y527" s="127"/>
    </row>
    <row r="528" spans="1:25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32">
        <f t="shared" si="78"/>
        <v>354.64</v>
      </c>
      <c r="G528" s="646">
        <f t="shared" si="79"/>
        <v>354.64</v>
      </c>
      <c r="H528" s="146"/>
      <c r="I528" s="146">
        <v>0</v>
      </c>
      <c r="J528" s="146">
        <v>0</v>
      </c>
      <c r="K528" s="146">
        <f t="shared" si="80"/>
        <v>0</v>
      </c>
      <c r="L528" s="191">
        <f t="shared" ref="L528:L588" si="84">(H528/840)+(I528/756)</f>
        <v>0</v>
      </c>
      <c r="M528" s="177">
        <f t="shared" si="81"/>
        <v>0</v>
      </c>
      <c r="N528" s="148">
        <f t="shared" si="77"/>
        <v>0</v>
      </c>
      <c r="O528" s="427">
        <v>0</v>
      </c>
      <c r="P528" s="177">
        <f t="shared" si="82"/>
        <v>0</v>
      </c>
      <c r="Q528" s="177">
        <f t="shared" si="76"/>
        <v>0</v>
      </c>
      <c r="R528" s="431">
        <f t="shared" si="83"/>
        <v>0</v>
      </c>
      <c r="S528" s="468">
        <v>2</v>
      </c>
      <c r="T528" s="127"/>
      <c r="U528" s="127"/>
      <c r="V528" s="127"/>
      <c r="W528" s="127"/>
      <c r="X528" s="127"/>
      <c r="Y528" s="127"/>
    </row>
    <row r="529" spans="1:25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32">
        <f t="shared" si="78"/>
        <v>286.98</v>
      </c>
      <c r="G529" s="646">
        <f t="shared" si="79"/>
        <v>286.98</v>
      </c>
      <c r="H529" s="146"/>
      <c r="I529" s="146">
        <v>0</v>
      </c>
      <c r="J529" s="146">
        <v>0</v>
      </c>
      <c r="K529" s="146">
        <f t="shared" si="80"/>
        <v>0</v>
      </c>
      <c r="L529" s="191">
        <f t="shared" si="84"/>
        <v>0</v>
      </c>
      <c r="M529" s="177">
        <f t="shared" si="81"/>
        <v>0</v>
      </c>
      <c r="N529" s="148">
        <f t="shared" si="77"/>
        <v>0</v>
      </c>
      <c r="O529" s="427">
        <v>0</v>
      </c>
      <c r="P529" s="177">
        <f t="shared" si="82"/>
        <v>0</v>
      </c>
      <c r="Q529" s="177">
        <f t="shared" si="76"/>
        <v>0</v>
      </c>
      <c r="R529" s="431">
        <f t="shared" si="83"/>
        <v>0</v>
      </c>
      <c r="S529" s="468">
        <v>2</v>
      </c>
      <c r="T529" s="127"/>
      <c r="U529" s="127"/>
      <c r="V529" s="127"/>
      <c r="W529" s="127"/>
      <c r="X529" s="127"/>
      <c r="Y529" s="127"/>
    </row>
    <row r="530" spans="1:25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32">
        <f t="shared" si="78"/>
        <v>128.9</v>
      </c>
      <c r="G530" s="646">
        <f t="shared" si="79"/>
        <v>128.9</v>
      </c>
      <c r="H530" s="146"/>
      <c r="I530" s="146">
        <v>0</v>
      </c>
      <c r="J530" s="146">
        <v>0</v>
      </c>
      <c r="K530" s="146">
        <f t="shared" si="80"/>
        <v>0</v>
      </c>
      <c r="L530" s="191">
        <f t="shared" si="84"/>
        <v>0</v>
      </c>
      <c r="M530" s="177">
        <f t="shared" si="81"/>
        <v>0</v>
      </c>
      <c r="N530" s="148">
        <f t="shared" si="77"/>
        <v>0</v>
      </c>
      <c r="O530" s="427">
        <v>0</v>
      </c>
      <c r="P530" s="177">
        <f t="shared" si="82"/>
        <v>0</v>
      </c>
      <c r="Q530" s="177">
        <f t="shared" si="76"/>
        <v>0</v>
      </c>
      <c r="R530" s="431">
        <f t="shared" si="83"/>
        <v>0</v>
      </c>
      <c r="S530" s="468">
        <v>1</v>
      </c>
      <c r="T530" s="127"/>
      <c r="U530" s="127"/>
      <c r="V530" s="127"/>
      <c r="W530" s="127"/>
      <c r="X530" s="127"/>
      <c r="Y530" s="127"/>
    </row>
    <row r="531" spans="1:25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32">
        <f t="shared" si="78"/>
        <v>2048.73</v>
      </c>
      <c r="G531" s="646">
        <f t="shared" si="79"/>
        <v>2048.73</v>
      </c>
      <c r="H531" s="146"/>
      <c r="I531" s="146">
        <v>179</v>
      </c>
      <c r="J531" s="146">
        <v>179</v>
      </c>
      <c r="K531" s="402">
        <v>179</v>
      </c>
      <c r="L531" s="191">
        <f t="shared" si="84"/>
        <v>0.23677248677248677</v>
      </c>
      <c r="M531" s="177">
        <f t="shared" si="81"/>
        <v>477.57247354497355</v>
      </c>
      <c r="N531" s="148">
        <f t="shared" si="77"/>
        <v>175.6033985224868</v>
      </c>
      <c r="O531" s="427">
        <v>184.48128306878306</v>
      </c>
      <c r="P531" s="177">
        <f t="shared" si="82"/>
        <v>12.755028571428573</v>
      </c>
      <c r="Q531" s="177">
        <f t="shared" si="76"/>
        <v>15.548379828571433</v>
      </c>
      <c r="R531" s="431">
        <f t="shared" si="83"/>
        <v>0.41509236634777247</v>
      </c>
      <c r="S531" s="468">
        <v>4</v>
      </c>
      <c r="T531" s="127"/>
      <c r="U531" s="127"/>
      <c r="V531" s="127"/>
      <c r="W531" s="127"/>
      <c r="X531" s="127"/>
      <c r="Y531" s="127"/>
    </row>
    <row r="532" spans="1:25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32">
        <f t="shared" si="78"/>
        <v>2056.27</v>
      </c>
      <c r="G532" s="646">
        <f t="shared" si="79"/>
        <v>2056.27</v>
      </c>
      <c r="H532" s="146"/>
      <c r="I532" s="146">
        <v>179</v>
      </c>
      <c r="J532" s="146">
        <v>179</v>
      </c>
      <c r="K532" s="146">
        <v>179</v>
      </c>
      <c r="L532" s="191">
        <f t="shared" si="84"/>
        <v>0.23677248677248677</v>
      </c>
      <c r="M532" s="177">
        <f t="shared" si="81"/>
        <v>477.57247354497355</v>
      </c>
      <c r="N532" s="148">
        <f t="shared" si="77"/>
        <v>175.6033985224868</v>
      </c>
      <c r="O532" s="427">
        <v>184.48128306878306</v>
      </c>
      <c r="P532" s="177">
        <f t="shared" si="82"/>
        <v>12.755028571428573</v>
      </c>
      <c r="Q532" s="177">
        <f t="shared" si="76"/>
        <v>15.548379828571433</v>
      </c>
      <c r="R532" s="431">
        <f t="shared" si="83"/>
        <v>0.41357029169694248</v>
      </c>
      <c r="S532" s="468">
        <v>4</v>
      </c>
      <c r="T532" s="127"/>
      <c r="U532" s="127"/>
      <c r="V532" s="127"/>
      <c r="W532" s="127"/>
      <c r="X532" s="127"/>
      <c r="Y532" s="127"/>
    </row>
    <row r="533" spans="1:25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32">
        <f t="shared" si="78"/>
        <v>75.900000000000006</v>
      </c>
      <c r="G533" s="646">
        <f t="shared" si="79"/>
        <v>75.900000000000006</v>
      </c>
      <c r="H533" s="146"/>
      <c r="I533" s="146">
        <v>0</v>
      </c>
      <c r="J533" s="146">
        <v>0</v>
      </c>
      <c r="K533" s="146">
        <f>H533+I533</f>
        <v>0</v>
      </c>
      <c r="L533" s="191">
        <f t="shared" si="84"/>
        <v>0</v>
      </c>
      <c r="M533" s="177">
        <f t="shared" si="81"/>
        <v>0</v>
      </c>
      <c r="N533" s="148">
        <f t="shared" si="77"/>
        <v>0</v>
      </c>
      <c r="O533" s="427">
        <v>0</v>
      </c>
      <c r="P533" s="177">
        <f t="shared" si="82"/>
        <v>0</v>
      </c>
      <c r="Q533" s="177">
        <f t="shared" si="76"/>
        <v>0</v>
      </c>
      <c r="R533" s="431">
        <f t="shared" si="83"/>
        <v>0</v>
      </c>
      <c r="S533" s="468"/>
      <c r="T533" s="127"/>
      <c r="U533" s="127"/>
      <c r="V533" s="127"/>
      <c r="W533" s="127"/>
      <c r="X533" s="127"/>
      <c r="Y533" s="127"/>
    </row>
    <row r="534" spans="1:25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32">
        <f t="shared" si="78"/>
        <v>903</v>
      </c>
      <c r="G534" s="646">
        <f t="shared" si="79"/>
        <v>903</v>
      </c>
      <c r="H534" s="146"/>
      <c r="I534" s="146"/>
      <c r="J534" s="146"/>
      <c r="K534" s="146"/>
      <c r="L534" s="191">
        <f t="shared" si="84"/>
        <v>0</v>
      </c>
      <c r="M534" s="177">
        <f t="shared" si="81"/>
        <v>0</v>
      </c>
      <c r="N534" s="148"/>
      <c r="O534" s="427">
        <v>0</v>
      </c>
      <c r="P534" s="177">
        <f t="shared" si="82"/>
        <v>0</v>
      </c>
      <c r="Q534" s="177">
        <f t="shared" si="76"/>
        <v>0</v>
      </c>
      <c r="R534" s="431">
        <f t="shared" si="83"/>
        <v>0</v>
      </c>
      <c r="S534" s="468">
        <v>2</v>
      </c>
      <c r="T534" s="127"/>
      <c r="U534" s="127"/>
      <c r="V534" s="127"/>
      <c r="W534" s="127"/>
      <c r="X534" s="127"/>
      <c r="Y534" s="127"/>
    </row>
    <row r="535" spans="1:25" s="69" customFormat="1" ht="13.5" customHeight="1">
      <c r="A535" s="472"/>
      <c r="B535" s="173" t="s">
        <v>244</v>
      </c>
      <c r="C535" s="376">
        <f>SUM(C386:C534)</f>
        <v>241054.44000000006</v>
      </c>
      <c r="D535" s="376">
        <f>SUM(D386:D534)</f>
        <v>668.30000000000007</v>
      </c>
      <c r="E535" s="376">
        <f>SUM(E386:E534)</f>
        <v>2149.8700000000003</v>
      </c>
      <c r="F535" s="376">
        <f t="shared" si="78"/>
        <v>243872.61000000004</v>
      </c>
      <c r="G535" s="647">
        <f>C535+D535+E535</f>
        <v>243872.61000000004</v>
      </c>
      <c r="H535" s="173">
        <f>SUM(H386:H533)</f>
        <v>20362</v>
      </c>
      <c r="I535" s="173">
        <f>SUM(I386:I533)</f>
        <v>2918</v>
      </c>
      <c r="J535" s="173">
        <f>SUM(J386:J533)</f>
        <v>29208</v>
      </c>
      <c r="K535" s="173">
        <f>SUM(K386:K533)</f>
        <v>29685</v>
      </c>
      <c r="L535" s="445">
        <f t="shared" si="84"/>
        <v>28.100264550264551</v>
      </c>
      <c r="M535" s="177">
        <f>L535*2017.01</f>
        <v>56678.514600529103</v>
      </c>
      <c r="N535" s="177">
        <f>M535*0.3677</f>
        <v>20840.689818614552</v>
      </c>
      <c r="O535" s="427">
        <f>SUM(O385:O534)</f>
        <v>23221.12287962962</v>
      </c>
      <c r="P535" s="177">
        <f t="shared" si="82"/>
        <v>1513.7724914285718</v>
      </c>
      <c r="Q535" s="177">
        <f t="shared" si="76"/>
        <v>1845.2886670514292</v>
      </c>
      <c r="R535" s="431">
        <f t="shared" si="83"/>
        <v>0.42419504818165482</v>
      </c>
      <c r="S535" s="468"/>
      <c r="T535" s="190"/>
      <c r="U535" s="190"/>
      <c r="V535" s="190"/>
      <c r="W535" s="190"/>
      <c r="X535" s="190"/>
      <c r="Y535" s="190"/>
    </row>
    <row r="536" spans="1:25" s="209" customFormat="1" ht="13.5" customHeight="1">
      <c r="A536" s="497" t="s">
        <v>245</v>
      </c>
      <c r="B536" s="257"/>
      <c r="C536" s="438"/>
      <c r="D536" s="438"/>
      <c r="E536" s="438"/>
      <c r="F536" s="438"/>
      <c r="G536" s="644">
        <f t="shared" si="79"/>
        <v>0</v>
      </c>
      <c r="H536" s="438"/>
      <c r="I536" s="438"/>
      <c r="J536" s="438"/>
      <c r="K536" s="438"/>
      <c r="L536" s="501"/>
      <c r="M536" s="177">
        <f>L536*2077.52</f>
        <v>0</v>
      </c>
      <c r="N536" s="498"/>
      <c r="O536" s="427"/>
      <c r="P536" s="504"/>
      <c r="Q536" s="177">
        <f t="shared" si="76"/>
        <v>0</v>
      </c>
      <c r="R536" s="431" t="e">
        <f t="shared" si="83"/>
        <v>#DIV/0!</v>
      </c>
      <c r="S536" s="502"/>
      <c r="T536" s="212"/>
      <c r="U536" s="212"/>
      <c r="V536" s="212"/>
      <c r="W536" s="212"/>
      <c r="X536" s="212"/>
      <c r="Y536" s="212"/>
    </row>
    <row r="537" spans="1:25" s="6" customFormat="1" ht="13.5" customHeight="1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18">
        <v>4325.1000000000004</v>
      </c>
      <c r="G537" s="644">
        <f t="shared" si="79"/>
        <v>4713.8</v>
      </c>
      <c r="H537" s="857">
        <v>224.3</v>
      </c>
      <c r="I537" s="857"/>
      <c r="J537" s="418">
        <v>224.3</v>
      </c>
      <c r="K537" s="454">
        <f t="shared" ref="K537:K596" si="85">H537+I537</f>
        <v>224.3</v>
      </c>
      <c r="L537" s="455">
        <f t="shared" si="84"/>
        <v>0.26702380952380955</v>
      </c>
      <c r="M537" s="177">
        <f t="shared" ref="M537:M600" si="86">L537*2017.01</f>
        <v>538.5896940476191</v>
      </c>
      <c r="N537" s="456">
        <f t="shared" ref="N537:N596" si="87">M537*0.3677</f>
        <v>198.03943050130957</v>
      </c>
      <c r="O537" s="427">
        <v>208.05160119047622</v>
      </c>
      <c r="P537" s="177">
        <f>L537*49.88*1.08</f>
        <v>14.384679428571431</v>
      </c>
      <c r="Q537" s="177">
        <f t="shared" si="76"/>
        <v>17.534924223428575</v>
      </c>
      <c r="R537" s="431">
        <f t="shared" si="83"/>
        <v>0.22164673103026952</v>
      </c>
      <c r="S537" s="468">
        <v>9</v>
      </c>
      <c r="T537" s="248"/>
      <c r="U537" s="248"/>
      <c r="V537" s="248"/>
      <c r="W537" s="248"/>
      <c r="X537" s="248"/>
      <c r="Y537" s="248"/>
    </row>
    <row r="538" spans="1:25" s="6" customFormat="1" ht="13.5" customHeight="1">
      <c r="A538" s="275">
        <v>2</v>
      </c>
      <c r="B538" s="122" t="s">
        <v>247</v>
      </c>
      <c r="C538" s="790">
        <v>14312.59</v>
      </c>
      <c r="D538" s="790"/>
      <c r="E538" s="790"/>
      <c r="F538" s="418">
        <v>14308.72</v>
      </c>
      <c r="G538" s="644">
        <f t="shared" si="79"/>
        <v>14312.59</v>
      </c>
      <c r="H538" s="858">
        <v>2010</v>
      </c>
      <c r="I538" s="858"/>
      <c r="J538" s="418">
        <v>2010</v>
      </c>
      <c r="K538" s="454">
        <f t="shared" si="85"/>
        <v>2010</v>
      </c>
      <c r="L538" s="455">
        <f t="shared" si="84"/>
        <v>2.3928571428571428</v>
      </c>
      <c r="M538" s="177">
        <f t="shared" si="86"/>
        <v>4826.4167857142857</v>
      </c>
      <c r="N538" s="456">
        <f t="shared" si="87"/>
        <v>1774.673452107143</v>
      </c>
      <c r="O538" s="427">
        <v>1864.3946428571428</v>
      </c>
      <c r="P538" s="177">
        <f t="shared" ref="P538:P601" si="88">L538*49.88*1.08</f>
        <v>128.90417142857143</v>
      </c>
      <c r="Q538" s="177">
        <f t="shared" si="76"/>
        <v>157.1341849714286</v>
      </c>
      <c r="R538" s="431">
        <f t="shared" si="83"/>
        <v>0.60047755522285928</v>
      </c>
      <c r="S538" s="468">
        <v>9</v>
      </c>
      <c r="T538" s="248"/>
      <c r="U538" s="248"/>
      <c r="V538" s="248"/>
      <c r="W538" s="248"/>
      <c r="X538" s="248"/>
      <c r="Y538" s="248"/>
    </row>
    <row r="539" spans="1:25" s="6" customFormat="1" ht="13.5" customHeight="1">
      <c r="A539" s="275">
        <v>3</v>
      </c>
      <c r="B539" s="122" t="s">
        <v>248</v>
      </c>
      <c r="C539" s="790">
        <v>4226.7</v>
      </c>
      <c r="D539" s="790"/>
      <c r="E539" s="790"/>
      <c r="F539" s="418">
        <v>4235.43</v>
      </c>
      <c r="G539" s="644">
        <f t="shared" si="79"/>
        <v>4226.7</v>
      </c>
      <c r="H539" s="858">
        <v>445.9</v>
      </c>
      <c r="I539" s="858"/>
      <c r="J539" s="418">
        <v>445.9</v>
      </c>
      <c r="K539" s="454">
        <f t="shared" si="85"/>
        <v>445.9</v>
      </c>
      <c r="L539" s="455">
        <f t="shared" si="84"/>
        <v>0.53083333333333327</v>
      </c>
      <c r="M539" s="177">
        <f t="shared" si="86"/>
        <v>1070.6961416666666</v>
      </c>
      <c r="N539" s="456">
        <f t="shared" si="87"/>
        <v>393.69497129083334</v>
      </c>
      <c r="O539" s="427">
        <v>496.3185499999999</v>
      </c>
      <c r="P539" s="177">
        <f t="shared" si="88"/>
        <v>28.596204</v>
      </c>
      <c r="Q539" s="177">
        <f t="shared" si="76"/>
        <v>34.858772676000001</v>
      </c>
      <c r="R539" s="431">
        <f t="shared" si="83"/>
        <v>0.47065225044538289</v>
      </c>
      <c r="S539" s="468">
        <v>14</v>
      </c>
      <c r="T539" s="248"/>
      <c r="U539" s="248"/>
      <c r="V539" s="248"/>
      <c r="W539" s="248"/>
      <c r="X539" s="248"/>
      <c r="Y539" s="248"/>
    </row>
    <row r="540" spans="1:25" s="6" customFormat="1" ht="13.5" customHeight="1">
      <c r="A540" s="275">
        <v>4</v>
      </c>
      <c r="B540" s="122" t="s">
        <v>249</v>
      </c>
      <c r="C540" s="790">
        <v>4136.82</v>
      </c>
      <c r="D540" s="790"/>
      <c r="E540" s="790"/>
      <c r="F540" s="418">
        <v>4137.78</v>
      </c>
      <c r="G540" s="644">
        <f t="shared" si="79"/>
        <v>4136.82</v>
      </c>
      <c r="H540" s="858">
        <v>456.6</v>
      </c>
      <c r="I540" s="858"/>
      <c r="J540" s="418">
        <v>456.6</v>
      </c>
      <c r="K540" s="454">
        <f t="shared" si="85"/>
        <v>456.6</v>
      </c>
      <c r="L540" s="455">
        <f t="shared" si="84"/>
        <v>0.54357142857142859</v>
      </c>
      <c r="M540" s="177">
        <f t="shared" si="86"/>
        <v>1096.3890071428573</v>
      </c>
      <c r="N540" s="456">
        <f t="shared" si="87"/>
        <v>403.14223792642866</v>
      </c>
      <c r="O540" s="427">
        <v>423.5236785714286</v>
      </c>
      <c r="P540" s="177">
        <f t="shared" si="88"/>
        <v>29.282410285714292</v>
      </c>
      <c r="Q540" s="177">
        <f t="shared" si="76"/>
        <v>35.695258138285723</v>
      </c>
      <c r="R540" s="431">
        <f t="shared" si="83"/>
        <v>0.47194157201097198</v>
      </c>
      <c r="S540" s="468">
        <v>14</v>
      </c>
      <c r="T540" s="248"/>
      <c r="U540" s="248"/>
      <c r="V540" s="248"/>
      <c r="W540" s="248"/>
      <c r="X540" s="248"/>
      <c r="Y540" s="248"/>
    </row>
    <row r="541" spans="1:25" s="6" customFormat="1" ht="13.5" customHeight="1">
      <c r="A541" s="275">
        <v>5</v>
      </c>
      <c r="B541" s="122" t="s">
        <v>250</v>
      </c>
      <c r="C541" s="790">
        <v>7984.78</v>
      </c>
      <c r="D541" s="790"/>
      <c r="E541" s="790"/>
      <c r="F541" s="418">
        <v>7984.15</v>
      </c>
      <c r="G541" s="644">
        <f t="shared" si="79"/>
        <v>7984.78</v>
      </c>
      <c r="H541" s="858">
        <v>1091</v>
      </c>
      <c r="I541" s="858"/>
      <c r="J541" s="418">
        <v>1091</v>
      </c>
      <c r="K541" s="454">
        <f t="shared" si="85"/>
        <v>1091</v>
      </c>
      <c r="L541" s="455">
        <f t="shared" si="84"/>
        <v>1.2988095238095239</v>
      </c>
      <c r="M541" s="177">
        <f t="shared" si="86"/>
        <v>2619.7117976190475</v>
      </c>
      <c r="N541" s="456">
        <f t="shared" si="87"/>
        <v>963.26802798452388</v>
      </c>
      <c r="O541" s="427">
        <v>1011.9674404761905</v>
      </c>
      <c r="P541" s="177">
        <f t="shared" si="88"/>
        <v>69.967388571428586</v>
      </c>
      <c r="Q541" s="177">
        <f t="shared" ref="Q541:Q604" si="89">P541*1.219</f>
        <v>85.290246668571456</v>
      </c>
      <c r="R541" s="431">
        <f t="shared" si="83"/>
        <v>0.5842258214567202</v>
      </c>
      <c r="S541" s="468">
        <v>9</v>
      </c>
      <c r="T541" s="248"/>
      <c r="U541" s="248"/>
      <c r="V541" s="248"/>
      <c r="W541" s="248"/>
      <c r="X541" s="248"/>
      <c r="Y541" s="248"/>
    </row>
    <row r="542" spans="1:25" s="6" customFormat="1" ht="13.5" customHeight="1">
      <c r="A542" s="275">
        <v>6</v>
      </c>
      <c r="B542" s="122" t="s">
        <v>251</v>
      </c>
      <c r="C542" s="790">
        <v>4209.92</v>
      </c>
      <c r="D542" s="790"/>
      <c r="E542" s="790"/>
      <c r="F542" s="418">
        <v>4210.79</v>
      </c>
      <c r="G542" s="644">
        <f t="shared" si="79"/>
        <v>4209.92</v>
      </c>
      <c r="H542" s="858">
        <v>443.3</v>
      </c>
      <c r="I542" s="858"/>
      <c r="J542" s="418">
        <v>443.3</v>
      </c>
      <c r="K542" s="454">
        <f t="shared" si="85"/>
        <v>443.3</v>
      </c>
      <c r="L542" s="455">
        <f t="shared" si="84"/>
        <v>0.52773809523809523</v>
      </c>
      <c r="M542" s="177">
        <f t="shared" si="86"/>
        <v>1064.4530154761906</v>
      </c>
      <c r="N542" s="456">
        <f t="shared" si="87"/>
        <v>391.39937379059529</v>
      </c>
      <c r="O542" s="427">
        <v>493.42456428571421</v>
      </c>
      <c r="P542" s="177">
        <f t="shared" si="88"/>
        <v>28.42946228571429</v>
      </c>
      <c r="Q542" s="177">
        <f t="shared" si="89"/>
        <v>34.655514526285721</v>
      </c>
      <c r="R542" s="431">
        <f t="shared" si="83"/>
        <v>0.46977292106220886</v>
      </c>
      <c r="S542" s="468">
        <v>14</v>
      </c>
      <c r="T542" s="248"/>
      <c r="U542" s="248"/>
      <c r="V542" s="248"/>
      <c r="W542" s="248"/>
      <c r="X542" s="248"/>
      <c r="Y542" s="248"/>
    </row>
    <row r="543" spans="1:25" s="6" customFormat="1" ht="13.5" customHeight="1">
      <c r="A543" s="275">
        <v>7</v>
      </c>
      <c r="B543" s="122" t="s">
        <v>252</v>
      </c>
      <c r="C543" s="790">
        <v>8071.9</v>
      </c>
      <c r="D543" s="790"/>
      <c r="E543" s="790"/>
      <c r="F543" s="418">
        <v>8075.01</v>
      </c>
      <c r="G543" s="644">
        <f t="shared" si="79"/>
        <v>8071.9</v>
      </c>
      <c r="H543" s="858">
        <v>1050</v>
      </c>
      <c r="I543" s="858"/>
      <c r="J543" s="418">
        <v>1050</v>
      </c>
      <c r="K543" s="454">
        <f t="shared" si="85"/>
        <v>1050</v>
      </c>
      <c r="L543" s="455">
        <f t="shared" si="84"/>
        <v>1.25</v>
      </c>
      <c r="M543" s="177">
        <f t="shared" si="86"/>
        <v>2521.2624999999998</v>
      </c>
      <c r="N543" s="456">
        <f t="shared" si="87"/>
        <v>927.06822124999997</v>
      </c>
      <c r="O543" s="427">
        <v>973.9375</v>
      </c>
      <c r="P543" s="177">
        <f t="shared" si="88"/>
        <v>67.338000000000008</v>
      </c>
      <c r="Q543" s="177">
        <f t="shared" si="89"/>
        <v>82.085022000000009</v>
      </c>
      <c r="R543" s="431">
        <f t="shared" si="83"/>
        <v>0.55620191296349064</v>
      </c>
      <c r="S543" s="468">
        <v>9</v>
      </c>
      <c r="T543" s="248"/>
      <c r="U543" s="248"/>
      <c r="V543" s="248"/>
      <c r="W543" s="248"/>
      <c r="X543" s="248"/>
      <c r="Y543" s="248"/>
    </row>
    <row r="544" spans="1:25" s="6" customFormat="1" ht="13.5" customHeight="1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18">
        <v>4206.8</v>
      </c>
      <c r="G544" s="644">
        <f t="shared" si="79"/>
        <v>4461.2</v>
      </c>
      <c r="H544" s="858">
        <v>232.5</v>
      </c>
      <c r="I544" s="858"/>
      <c r="J544" s="418">
        <v>232.5</v>
      </c>
      <c r="K544" s="454">
        <f t="shared" si="85"/>
        <v>232.5</v>
      </c>
      <c r="L544" s="455">
        <f t="shared" si="84"/>
        <v>0.2767857142857143</v>
      </c>
      <c r="M544" s="177">
        <f t="shared" si="86"/>
        <v>558.27955357142855</v>
      </c>
      <c r="N544" s="456">
        <f t="shared" si="87"/>
        <v>205.27939184821429</v>
      </c>
      <c r="O544" s="427">
        <v>215.65758928571429</v>
      </c>
      <c r="P544" s="177">
        <f t="shared" si="88"/>
        <v>14.910557142857146</v>
      </c>
      <c r="Q544" s="177">
        <f t="shared" si="89"/>
        <v>18.175969157142863</v>
      </c>
      <c r="R544" s="431">
        <f t="shared" si="83"/>
        <v>0.23633117600100184</v>
      </c>
      <c r="S544" s="468">
        <v>9</v>
      </c>
      <c r="T544" s="248"/>
      <c r="U544" s="248"/>
      <c r="V544" s="248"/>
      <c r="W544" s="248"/>
      <c r="X544" s="248"/>
      <c r="Y544" s="248"/>
    </row>
    <row r="545" spans="1:25" s="6" customFormat="1" ht="13.5" customHeight="1">
      <c r="A545" s="275">
        <v>9</v>
      </c>
      <c r="B545" s="122" t="s">
        <v>254</v>
      </c>
      <c r="C545" s="790">
        <v>10161.57</v>
      </c>
      <c r="D545" s="790"/>
      <c r="E545" s="790"/>
      <c r="F545" s="418">
        <v>10148.15</v>
      </c>
      <c r="G545" s="644">
        <f t="shared" si="79"/>
        <v>10161.57</v>
      </c>
      <c r="H545" s="858">
        <v>1375</v>
      </c>
      <c r="I545" s="858"/>
      <c r="J545" s="418">
        <v>1375</v>
      </c>
      <c r="K545" s="454">
        <f t="shared" si="85"/>
        <v>1375</v>
      </c>
      <c r="L545" s="455">
        <f t="shared" si="84"/>
        <v>1.6369047619047619</v>
      </c>
      <c r="M545" s="177">
        <f t="shared" si="86"/>
        <v>3301.6532738095239</v>
      </c>
      <c r="N545" s="456">
        <f t="shared" si="87"/>
        <v>1214.0179087797619</v>
      </c>
      <c r="O545" s="427">
        <v>1530.4732142857142</v>
      </c>
      <c r="P545" s="177">
        <f t="shared" si="88"/>
        <v>88.180714285714302</v>
      </c>
      <c r="Q545" s="177">
        <f t="shared" si="89"/>
        <v>107.49229071428574</v>
      </c>
      <c r="R545" s="431">
        <f t="shared" si="83"/>
        <v>0.60367887158782685</v>
      </c>
      <c r="S545" s="468">
        <v>9</v>
      </c>
      <c r="T545" s="248"/>
      <c r="U545" s="248"/>
      <c r="V545" s="248"/>
      <c r="W545" s="248"/>
      <c r="X545" s="248"/>
      <c r="Y545" s="248"/>
    </row>
    <row r="546" spans="1:25" s="6" customFormat="1" ht="13.5" customHeight="1">
      <c r="A546" s="275">
        <v>10</v>
      </c>
      <c r="B546" s="122" t="s">
        <v>255</v>
      </c>
      <c r="C546" s="790">
        <v>7889.76</v>
      </c>
      <c r="D546" s="790"/>
      <c r="E546" s="790"/>
      <c r="F546" s="418">
        <v>7890.25</v>
      </c>
      <c r="G546" s="644">
        <f t="shared" si="79"/>
        <v>7889.76</v>
      </c>
      <c r="H546" s="858">
        <v>1050</v>
      </c>
      <c r="I546" s="858"/>
      <c r="J546" s="418">
        <v>1050</v>
      </c>
      <c r="K546" s="454">
        <f t="shared" si="85"/>
        <v>1050</v>
      </c>
      <c r="L546" s="455">
        <f t="shared" si="84"/>
        <v>1.25</v>
      </c>
      <c r="M546" s="177">
        <f t="shared" si="86"/>
        <v>2521.2624999999998</v>
      </c>
      <c r="N546" s="456">
        <f t="shared" si="87"/>
        <v>927.06822124999997</v>
      </c>
      <c r="O546" s="427">
        <v>973.9375</v>
      </c>
      <c r="P546" s="177">
        <f t="shared" si="88"/>
        <v>67.338000000000008</v>
      </c>
      <c r="Q546" s="177">
        <f t="shared" si="89"/>
        <v>82.085022000000009</v>
      </c>
      <c r="R546" s="431">
        <f t="shared" si="83"/>
        <v>0.56904217888123343</v>
      </c>
      <c r="S546" s="468">
        <v>9</v>
      </c>
      <c r="T546" s="248"/>
      <c r="U546" s="248"/>
      <c r="V546" s="248"/>
      <c r="W546" s="248"/>
      <c r="X546" s="248"/>
      <c r="Y546" s="248"/>
    </row>
    <row r="547" spans="1:25" s="6" customFormat="1" ht="13.5" customHeight="1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18">
        <v>7111.7</v>
      </c>
      <c r="G547" s="644">
        <f t="shared" si="79"/>
        <v>7084.55</v>
      </c>
      <c r="H547" s="858">
        <v>790</v>
      </c>
      <c r="I547" s="858"/>
      <c r="J547" s="418">
        <v>790</v>
      </c>
      <c r="K547" s="454">
        <f t="shared" si="85"/>
        <v>790</v>
      </c>
      <c r="L547" s="455">
        <f t="shared" si="84"/>
        <v>0.94047619047619047</v>
      </c>
      <c r="M547" s="177">
        <f t="shared" si="86"/>
        <v>1896.9498809523809</v>
      </c>
      <c r="N547" s="456">
        <f t="shared" si="87"/>
        <v>697.50847122619052</v>
      </c>
      <c r="O547" s="427">
        <v>732.77202380952383</v>
      </c>
      <c r="P547" s="177">
        <f t="shared" si="88"/>
        <v>50.663828571428574</v>
      </c>
      <c r="Q547" s="177">
        <f t="shared" si="89"/>
        <v>61.759207028571439</v>
      </c>
      <c r="R547" s="431">
        <f t="shared" si="83"/>
        <v>0.47831638186638781</v>
      </c>
      <c r="S547" s="468">
        <v>10</v>
      </c>
      <c r="T547" s="248"/>
      <c r="U547" s="248"/>
      <c r="V547" s="248"/>
      <c r="W547" s="248"/>
      <c r="X547" s="248"/>
      <c r="Y547" s="248"/>
    </row>
    <row r="548" spans="1:25" s="6" customFormat="1" ht="13.5" customHeight="1">
      <c r="A548" s="275">
        <v>12</v>
      </c>
      <c r="B548" s="122" t="s">
        <v>257</v>
      </c>
      <c r="C548" s="790">
        <v>4792.88</v>
      </c>
      <c r="D548" s="790"/>
      <c r="E548" s="790"/>
      <c r="F548" s="418">
        <v>4791.46</v>
      </c>
      <c r="G548" s="644">
        <f t="shared" si="79"/>
        <v>4792.88</v>
      </c>
      <c r="H548" s="858">
        <v>580</v>
      </c>
      <c r="I548" s="858"/>
      <c r="J548" s="418">
        <v>580</v>
      </c>
      <c r="K548" s="454">
        <f t="shared" si="85"/>
        <v>580</v>
      </c>
      <c r="L548" s="455">
        <f t="shared" si="84"/>
        <v>0.69047619047619047</v>
      </c>
      <c r="M548" s="177">
        <f t="shared" si="86"/>
        <v>1392.6973809523809</v>
      </c>
      <c r="N548" s="456">
        <f t="shared" si="87"/>
        <v>512.09482697619046</v>
      </c>
      <c r="O548" s="427">
        <v>537.98452380952381</v>
      </c>
      <c r="P548" s="177">
        <f t="shared" si="88"/>
        <v>37.196228571428577</v>
      </c>
      <c r="Q548" s="177">
        <f t="shared" si="89"/>
        <v>45.342202628571435</v>
      </c>
      <c r="R548" s="431">
        <f t="shared" si="83"/>
        <v>0.51742855241723629</v>
      </c>
      <c r="S548" s="468">
        <v>10</v>
      </c>
      <c r="T548" s="248"/>
      <c r="U548" s="248"/>
      <c r="V548" s="248"/>
      <c r="W548" s="248"/>
      <c r="X548" s="248"/>
      <c r="Y548" s="248"/>
    </row>
    <row r="549" spans="1:25" s="6" customFormat="1" ht="13.5" customHeight="1">
      <c r="A549" s="275">
        <v>13</v>
      </c>
      <c r="B549" s="122" t="s">
        <v>258</v>
      </c>
      <c r="C549" s="790">
        <v>4816.47</v>
      </c>
      <c r="D549" s="790"/>
      <c r="E549" s="790"/>
      <c r="F549" s="418">
        <v>4797.6899999999996</v>
      </c>
      <c r="G549" s="644">
        <f t="shared" si="79"/>
        <v>4816.47</v>
      </c>
      <c r="H549" s="858">
        <v>580</v>
      </c>
      <c r="I549" s="858"/>
      <c r="J549" s="418">
        <v>580</v>
      </c>
      <c r="K549" s="454">
        <f t="shared" si="85"/>
        <v>580</v>
      </c>
      <c r="L549" s="455">
        <f t="shared" si="84"/>
        <v>0.69047619047619047</v>
      </c>
      <c r="M549" s="177">
        <f t="shared" si="86"/>
        <v>1392.6973809523809</v>
      </c>
      <c r="N549" s="456">
        <f t="shared" si="87"/>
        <v>512.09482697619046</v>
      </c>
      <c r="O549" s="427">
        <v>537.98452380952381</v>
      </c>
      <c r="P549" s="177">
        <f t="shared" si="88"/>
        <v>37.196228571428577</v>
      </c>
      <c r="Q549" s="177">
        <f t="shared" si="89"/>
        <v>45.342202628571435</v>
      </c>
      <c r="R549" s="431">
        <f t="shared" si="83"/>
        <v>0.51489430232297162</v>
      </c>
      <c r="S549" s="468">
        <v>10</v>
      </c>
      <c r="T549" s="248"/>
      <c r="U549" s="248"/>
      <c r="V549" s="248"/>
      <c r="W549" s="248"/>
      <c r="X549" s="248"/>
      <c r="Y549" s="248"/>
    </row>
    <row r="550" spans="1:25" s="6" customFormat="1" ht="13.5" customHeight="1">
      <c r="A550" s="275">
        <v>14</v>
      </c>
      <c r="B550" s="122" t="s">
        <v>259</v>
      </c>
      <c r="C550" s="790">
        <v>5818.22</v>
      </c>
      <c r="D550" s="790"/>
      <c r="E550" s="790"/>
      <c r="F550" s="418">
        <v>5886.93</v>
      </c>
      <c r="G550" s="644">
        <f>C550+D550+E550</f>
        <v>5818.22</v>
      </c>
      <c r="H550" s="858">
        <v>720</v>
      </c>
      <c r="I550" s="858"/>
      <c r="J550" s="418">
        <v>720</v>
      </c>
      <c r="K550" s="454">
        <f t="shared" si="85"/>
        <v>720</v>
      </c>
      <c r="L550" s="455">
        <f t="shared" si="84"/>
        <v>0.8571428571428571</v>
      </c>
      <c r="M550" s="177">
        <f t="shared" si="86"/>
        <v>1728.8657142857141</v>
      </c>
      <c r="N550" s="456">
        <f t="shared" si="87"/>
        <v>635.70392314285709</v>
      </c>
      <c r="O550" s="427">
        <v>667.84285714285704</v>
      </c>
      <c r="P550" s="177">
        <f t="shared" si="88"/>
        <v>46.174628571428578</v>
      </c>
      <c r="Q550" s="177">
        <f t="shared" si="89"/>
        <v>56.28687222857144</v>
      </c>
      <c r="R550" s="431">
        <f t="shared" si="83"/>
        <v>0.52912868938315438</v>
      </c>
      <c r="S550" s="468">
        <v>5</v>
      </c>
      <c r="T550" s="248"/>
      <c r="U550" s="248"/>
      <c r="V550" s="248"/>
      <c r="W550" s="248"/>
      <c r="X550" s="248"/>
      <c r="Y550" s="248"/>
    </row>
    <row r="551" spans="1:25" s="6" customFormat="1" ht="13.5" customHeight="1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18">
        <v>14739.3</v>
      </c>
      <c r="G551" s="644">
        <f t="shared" si="79"/>
        <v>16414.989999999998</v>
      </c>
      <c r="H551" s="858">
        <v>2200</v>
      </c>
      <c r="I551" s="858"/>
      <c r="J551" s="418">
        <v>2200</v>
      </c>
      <c r="K551" s="454">
        <f t="shared" si="85"/>
        <v>2200</v>
      </c>
      <c r="L551" s="455">
        <f t="shared" si="84"/>
        <v>2.6190476190476191</v>
      </c>
      <c r="M551" s="177">
        <f t="shared" si="86"/>
        <v>5282.6452380952378</v>
      </c>
      <c r="N551" s="456">
        <f t="shared" si="87"/>
        <v>1942.4286540476191</v>
      </c>
      <c r="O551" s="427">
        <v>2448.7571428571432</v>
      </c>
      <c r="P551" s="177">
        <f t="shared" si="88"/>
        <v>141.08914285714289</v>
      </c>
      <c r="Q551" s="177">
        <f t="shared" si="89"/>
        <v>171.9876651428572</v>
      </c>
      <c r="R551" s="431">
        <f t="shared" si="83"/>
        <v>0.66601931491109212</v>
      </c>
      <c r="S551" s="468">
        <v>9</v>
      </c>
      <c r="T551" s="248"/>
      <c r="U551" s="248"/>
      <c r="V551" s="248"/>
      <c r="W551" s="248"/>
      <c r="X551" s="248"/>
      <c r="Y551" s="248"/>
    </row>
    <row r="552" spans="1:25" s="6" customFormat="1" ht="13.5" customHeight="1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18">
        <v>14386.13</v>
      </c>
      <c r="G552" s="644">
        <f>C552+D552+E552</f>
        <v>14876.619999999999</v>
      </c>
      <c r="H552" s="858">
        <v>2408</v>
      </c>
      <c r="I552" s="858"/>
      <c r="J552" s="418">
        <v>2408</v>
      </c>
      <c r="K552" s="454">
        <f t="shared" si="85"/>
        <v>2408</v>
      </c>
      <c r="L552" s="455">
        <f t="shared" si="84"/>
        <v>2.8666666666666667</v>
      </c>
      <c r="M552" s="177">
        <f t="shared" si="86"/>
        <v>5782.0953333333337</v>
      </c>
      <c r="N552" s="456">
        <f t="shared" si="87"/>
        <v>2126.0764540666669</v>
      </c>
      <c r="O552" s="427">
        <v>2233.5633333333335</v>
      </c>
      <c r="P552" s="177">
        <f t="shared" si="88"/>
        <v>154.42848000000004</v>
      </c>
      <c r="Q552" s="177">
        <f t="shared" si="89"/>
        <v>188.24831712000005</v>
      </c>
      <c r="R552" s="431">
        <f t="shared" si="83"/>
        <v>0.715060024969292</v>
      </c>
      <c r="S552" s="468">
        <v>9</v>
      </c>
      <c r="T552" s="248"/>
      <c r="U552" s="248"/>
      <c r="V552" s="248"/>
      <c r="W552" s="248"/>
      <c r="X552" s="248"/>
      <c r="Y552" s="248"/>
    </row>
    <row r="553" spans="1:25" s="6" customFormat="1" ht="13.5" customHeight="1">
      <c r="A553" s="275">
        <v>17</v>
      </c>
      <c r="B553" s="122" t="s">
        <v>262</v>
      </c>
      <c r="C553" s="790">
        <v>351.06</v>
      </c>
      <c r="D553" s="790"/>
      <c r="E553" s="790"/>
      <c r="F553" s="418">
        <v>350.21</v>
      </c>
      <c r="G553" s="644">
        <f t="shared" si="79"/>
        <v>351.06</v>
      </c>
      <c r="H553" s="858"/>
      <c r="I553" s="858">
        <v>0</v>
      </c>
      <c r="J553" s="418">
        <v>0</v>
      </c>
      <c r="K553" s="454">
        <f t="shared" si="85"/>
        <v>0</v>
      </c>
      <c r="L553" s="455">
        <f t="shared" si="84"/>
        <v>0</v>
      </c>
      <c r="M553" s="177">
        <f t="shared" si="86"/>
        <v>0</v>
      </c>
      <c r="N553" s="456">
        <f t="shared" si="87"/>
        <v>0</v>
      </c>
      <c r="O553" s="427">
        <v>0</v>
      </c>
      <c r="P553" s="177">
        <f t="shared" si="88"/>
        <v>0</v>
      </c>
      <c r="Q553" s="177">
        <f t="shared" si="89"/>
        <v>0</v>
      </c>
      <c r="R553" s="431">
        <f t="shared" si="83"/>
        <v>0</v>
      </c>
      <c r="S553" s="468">
        <v>3</v>
      </c>
      <c r="T553" s="248"/>
      <c r="U553" s="248"/>
      <c r="V553" s="248"/>
      <c r="W553" s="248"/>
      <c r="X553" s="248"/>
      <c r="Y553" s="248"/>
    </row>
    <row r="554" spans="1:25" s="6" customFormat="1" ht="13.5" customHeight="1">
      <c r="A554" s="275">
        <v>18</v>
      </c>
      <c r="B554" s="122" t="s">
        <v>263</v>
      </c>
      <c r="C554" s="790">
        <v>377.1</v>
      </c>
      <c r="D554" s="790"/>
      <c r="E554" s="790"/>
      <c r="F554" s="418">
        <v>357.6</v>
      </c>
      <c r="G554" s="644">
        <f t="shared" si="79"/>
        <v>377.1</v>
      </c>
      <c r="H554" s="858"/>
      <c r="I554" s="858">
        <v>0</v>
      </c>
      <c r="J554" s="418">
        <v>0</v>
      </c>
      <c r="K554" s="454">
        <f t="shared" si="85"/>
        <v>0</v>
      </c>
      <c r="L554" s="455">
        <f t="shared" si="84"/>
        <v>0</v>
      </c>
      <c r="M554" s="177">
        <f t="shared" si="86"/>
        <v>0</v>
      </c>
      <c r="N554" s="456">
        <f t="shared" si="87"/>
        <v>0</v>
      </c>
      <c r="O554" s="427">
        <v>0</v>
      </c>
      <c r="P554" s="177">
        <f t="shared" si="88"/>
        <v>0</v>
      </c>
      <c r="Q554" s="177">
        <f t="shared" si="89"/>
        <v>0</v>
      </c>
      <c r="R554" s="431">
        <f t="shared" si="83"/>
        <v>0</v>
      </c>
      <c r="S554" s="468">
        <v>2</v>
      </c>
      <c r="T554" s="248"/>
      <c r="U554" s="248"/>
      <c r="V554" s="248"/>
      <c r="W554" s="248"/>
      <c r="X554" s="248"/>
      <c r="Y554" s="248"/>
    </row>
    <row r="555" spans="1:25" s="6" customFormat="1" ht="13.5" customHeight="1">
      <c r="A555" s="275">
        <v>19</v>
      </c>
      <c r="B555" s="122" t="s">
        <v>264</v>
      </c>
      <c r="C555" s="790">
        <v>82.9</v>
      </c>
      <c r="D555" s="790"/>
      <c r="E555" s="790"/>
      <c r="F555" s="418">
        <v>82.9</v>
      </c>
      <c r="G555" s="644">
        <f t="shared" si="79"/>
        <v>82.9</v>
      </c>
      <c r="H555" s="858"/>
      <c r="I555" s="858">
        <v>0</v>
      </c>
      <c r="J555" s="418">
        <v>0</v>
      </c>
      <c r="K555" s="454">
        <f t="shared" si="85"/>
        <v>0</v>
      </c>
      <c r="L555" s="455">
        <f t="shared" si="84"/>
        <v>0</v>
      </c>
      <c r="M555" s="177">
        <f t="shared" si="86"/>
        <v>0</v>
      </c>
      <c r="N555" s="456">
        <f t="shared" si="87"/>
        <v>0</v>
      </c>
      <c r="O555" s="427">
        <v>0</v>
      </c>
      <c r="P555" s="177">
        <f t="shared" si="88"/>
        <v>0</v>
      </c>
      <c r="Q555" s="177">
        <f t="shared" si="89"/>
        <v>0</v>
      </c>
      <c r="R555" s="431">
        <f t="shared" si="83"/>
        <v>0</v>
      </c>
      <c r="S555" s="468">
        <v>1</v>
      </c>
      <c r="T555" s="248"/>
      <c r="U555" s="248"/>
      <c r="V555" s="248"/>
      <c r="W555" s="248"/>
      <c r="X555" s="248"/>
      <c r="Y555" s="248"/>
    </row>
    <row r="556" spans="1:25" s="6" customFormat="1" ht="13.5" customHeight="1">
      <c r="A556" s="275">
        <v>20</v>
      </c>
      <c r="B556" s="122" t="s">
        <v>265</v>
      </c>
      <c r="C556" s="790">
        <v>56.1</v>
      </c>
      <c r="D556" s="790"/>
      <c r="E556" s="790"/>
      <c r="F556" s="418">
        <v>56.1</v>
      </c>
      <c r="G556" s="644">
        <f t="shared" si="79"/>
        <v>56.1</v>
      </c>
      <c r="H556" s="858"/>
      <c r="I556" s="858">
        <v>0</v>
      </c>
      <c r="J556" s="418">
        <v>0</v>
      </c>
      <c r="K556" s="454">
        <f t="shared" si="85"/>
        <v>0</v>
      </c>
      <c r="L556" s="455">
        <f t="shared" si="84"/>
        <v>0</v>
      </c>
      <c r="M556" s="177">
        <f t="shared" si="86"/>
        <v>0</v>
      </c>
      <c r="N556" s="456">
        <f t="shared" si="87"/>
        <v>0</v>
      </c>
      <c r="O556" s="427">
        <v>0</v>
      </c>
      <c r="P556" s="177">
        <f t="shared" si="88"/>
        <v>0</v>
      </c>
      <c r="Q556" s="177">
        <f t="shared" si="89"/>
        <v>0</v>
      </c>
      <c r="R556" s="431">
        <f t="shared" si="83"/>
        <v>0</v>
      </c>
      <c r="S556" s="468">
        <v>1</v>
      </c>
      <c r="T556" s="248"/>
      <c r="U556" s="248"/>
      <c r="V556" s="248"/>
      <c r="W556" s="248"/>
      <c r="X556" s="248"/>
      <c r="Y556" s="248"/>
    </row>
    <row r="557" spans="1:25" s="6" customFormat="1" ht="13.5" customHeight="1">
      <c r="A557" s="275">
        <v>21</v>
      </c>
      <c r="B557" s="122" t="s">
        <v>266</v>
      </c>
      <c r="C557" s="790">
        <v>87</v>
      </c>
      <c r="D557" s="790"/>
      <c r="E557" s="790"/>
      <c r="F557" s="418">
        <v>87</v>
      </c>
      <c r="G557" s="644">
        <f t="shared" si="79"/>
        <v>87</v>
      </c>
      <c r="H557" s="858"/>
      <c r="I557" s="858">
        <v>0</v>
      </c>
      <c r="J557" s="418">
        <v>0</v>
      </c>
      <c r="K557" s="454">
        <f t="shared" si="85"/>
        <v>0</v>
      </c>
      <c r="L557" s="455">
        <f t="shared" si="84"/>
        <v>0</v>
      </c>
      <c r="M557" s="177">
        <f t="shared" si="86"/>
        <v>0</v>
      </c>
      <c r="N557" s="456">
        <f t="shared" si="87"/>
        <v>0</v>
      </c>
      <c r="O557" s="427">
        <v>0</v>
      </c>
      <c r="P557" s="177">
        <f t="shared" si="88"/>
        <v>0</v>
      </c>
      <c r="Q557" s="177">
        <f t="shared" si="89"/>
        <v>0</v>
      </c>
      <c r="R557" s="431">
        <f t="shared" si="83"/>
        <v>0</v>
      </c>
      <c r="S557" s="468">
        <v>1</v>
      </c>
      <c r="T557" s="248"/>
      <c r="U557" s="248"/>
      <c r="V557" s="248"/>
      <c r="W557" s="248"/>
      <c r="X557" s="248"/>
      <c r="Y557" s="248"/>
    </row>
    <row r="558" spans="1:25" s="6" customFormat="1" ht="13.5" customHeight="1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18">
        <v>4321.6000000000004</v>
      </c>
      <c r="G558" s="644">
        <f t="shared" si="79"/>
        <v>4409.5</v>
      </c>
      <c r="H558" s="858">
        <v>216.2</v>
      </c>
      <c r="I558" s="858"/>
      <c r="J558" s="418">
        <v>216.2</v>
      </c>
      <c r="K558" s="454">
        <f t="shared" si="85"/>
        <v>216.2</v>
      </c>
      <c r="L558" s="455">
        <f t="shared" si="84"/>
        <v>0.25738095238095238</v>
      </c>
      <c r="M558" s="177">
        <f t="shared" si="86"/>
        <v>519.13995476190473</v>
      </c>
      <c r="N558" s="456">
        <f t="shared" si="87"/>
        <v>190.88776136595237</v>
      </c>
      <c r="O558" s="427">
        <v>240.64604285714287</v>
      </c>
      <c r="P558" s="177">
        <f t="shared" si="88"/>
        <v>13.86521485714286</v>
      </c>
      <c r="Q558" s="177">
        <f t="shared" si="89"/>
        <v>16.901696910857147</v>
      </c>
      <c r="R558" s="431">
        <f t="shared" si="83"/>
        <v>0.2235368082324371</v>
      </c>
      <c r="S558" s="468">
        <v>1</v>
      </c>
      <c r="T558" s="248"/>
      <c r="U558" s="248"/>
      <c r="V558" s="248"/>
      <c r="W558" s="248"/>
      <c r="X558" s="248"/>
      <c r="Y558" s="248"/>
    </row>
    <row r="559" spans="1:25" s="6" customFormat="1" ht="13.5" customHeight="1">
      <c r="A559" s="275">
        <v>23</v>
      </c>
      <c r="B559" s="122" t="s">
        <v>268</v>
      </c>
      <c r="C559" s="790">
        <v>354.7</v>
      </c>
      <c r="D559" s="790"/>
      <c r="E559" s="790"/>
      <c r="F559" s="418">
        <v>352.6</v>
      </c>
      <c r="G559" s="644">
        <f t="shared" si="79"/>
        <v>354.7</v>
      </c>
      <c r="H559" s="858"/>
      <c r="I559" s="858">
        <v>0</v>
      </c>
      <c r="J559" s="418">
        <v>0</v>
      </c>
      <c r="K559" s="454">
        <f t="shared" si="85"/>
        <v>0</v>
      </c>
      <c r="L559" s="455">
        <f t="shared" si="84"/>
        <v>0</v>
      </c>
      <c r="M559" s="177">
        <f t="shared" si="86"/>
        <v>0</v>
      </c>
      <c r="N559" s="456">
        <f t="shared" si="87"/>
        <v>0</v>
      </c>
      <c r="O559" s="427">
        <v>0</v>
      </c>
      <c r="P559" s="177">
        <f t="shared" si="88"/>
        <v>0</v>
      </c>
      <c r="Q559" s="177">
        <f t="shared" si="89"/>
        <v>0</v>
      </c>
      <c r="R559" s="431">
        <f t="shared" si="83"/>
        <v>0</v>
      </c>
      <c r="S559" s="468">
        <v>1</v>
      </c>
      <c r="T559" s="248"/>
      <c r="U559" s="248"/>
      <c r="V559" s="248"/>
      <c r="W559" s="248"/>
      <c r="X559" s="248"/>
      <c r="Y559" s="248"/>
    </row>
    <row r="560" spans="1:25" s="6" customFormat="1" ht="13.5" customHeight="1">
      <c r="A560" s="275">
        <v>24</v>
      </c>
      <c r="B560" s="122" t="s">
        <v>269</v>
      </c>
      <c r="C560" s="790">
        <v>352.4</v>
      </c>
      <c r="D560" s="790"/>
      <c r="E560" s="790"/>
      <c r="F560" s="418">
        <v>353.02</v>
      </c>
      <c r="G560" s="644">
        <f t="shared" si="79"/>
        <v>352.4</v>
      </c>
      <c r="H560" s="858"/>
      <c r="I560" s="858">
        <v>0</v>
      </c>
      <c r="J560" s="418">
        <v>0</v>
      </c>
      <c r="K560" s="454">
        <f t="shared" si="85"/>
        <v>0</v>
      </c>
      <c r="L560" s="455">
        <f t="shared" si="84"/>
        <v>0</v>
      </c>
      <c r="M560" s="177">
        <f t="shared" si="86"/>
        <v>0</v>
      </c>
      <c r="N560" s="456">
        <f t="shared" si="87"/>
        <v>0</v>
      </c>
      <c r="O560" s="427">
        <v>0</v>
      </c>
      <c r="P560" s="177">
        <f t="shared" si="88"/>
        <v>0</v>
      </c>
      <c r="Q560" s="177">
        <f t="shared" si="89"/>
        <v>0</v>
      </c>
      <c r="R560" s="431">
        <f t="shared" si="83"/>
        <v>0</v>
      </c>
      <c r="S560" s="468">
        <v>1</v>
      </c>
      <c r="T560" s="248"/>
      <c r="U560" s="248"/>
      <c r="V560" s="248"/>
      <c r="W560" s="248"/>
      <c r="X560" s="248"/>
      <c r="Y560" s="248"/>
    </row>
    <row r="561" spans="1:25" s="6" customFormat="1" ht="13.5" customHeight="1">
      <c r="A561" s="275">
        <v>25</v>
      </c>
      <c r="B561" s="122" t="s">
        <v>270</v>
      </c>
      <c r="C561" s="790">
        <v>216.7</v>
      </c>
      <c r="D561" s="790"/>
      <c r="E561" s="790"/>
      <c r="F561" s="418">
        <v>216.7</v>
      </c>
      <c r="G561" s="644">
        <f t="shared" si="79"/>
        <v>216.7</v>
      </c>
      <c r="H561" s="858"/>
      <c r="I561" s="858">
        <v>0</v>
      </c>
      <c r="J561" s="418">
        <v>0</v>
      </c>
      <c r="K561" s="454">
        <f t="shared" si="85"/>
        <v>0</v>
      </c>
      <c r="L561" s="455">
        <f t="shared" si="84"/>
        <v>0</v>
      </c>
      <c r="M561" s="177">
        <f t="shared" si="86"/>
        <v>0</v>
      </c>
      <c r="N561" s="456">
        <f t="shared" si="87"/>
        <v>0</v>
      </c>
      <c r="O561" s="427">
        <v>0</v>
      </c>
      <c r="P561" s="177">
        <f t="shared" si="88"/>
        <v>0</v>
      </c>
      <c r="Q561" s="177">
        <f t="shared" si="89"/>
        <v>0</v>
      </c>
      <c r="R561" s="431">
        <f t="shared" si="83"/>
        <v>0</v>
      </c>
      <c r="S561" s="468">
        <v>9</v>
      </c>
      <c r="T561" s="248"/>
      <c r="U561" s="248"/>
      <c r="V561" s="248"/>
      <c r="W561" s="248"/>
      <c r="X561" s="248"/>
      <c r="Y561" s="248"/>
    </row>
    <row r="562" spans="1:25" s="6" customFormat="1" ht="13.5" customHeight="1">
      <c r="A562" s="275">
        <v>26</v>
      </c>
      <c r="B562" s="122" t="s">
        <v>271</v>
      </c>
      <c r="C562" s="790">
        <v>42.7</v>
      </c>
      <c r="D562" s="790"/>
      <c r="E562" s="790"/>
      <c r="F562" s="418">
        <v>42.7</v>
      </c>
      <c r="G562" s="644">
        <f t="shared" si="79"/>
        <v>42.7</v>
      </c>
      <c r="H562" s="858"/>
      <c r="I562" s="858">
        <v>0</v>
      </c>
      <c r="J562" s="418">
        <v>0</v>
      </c>
      <c r="K562" s="454">
        <f t="shared" si="85"/>
        <v>0</v>
      </c>
      <c r="L562" s="455">
        <f t="shared" si="84"/>
        <v>0</v>
      </c>
      <c r="M562" s="177">
        <f t="shared" si="86"/>
        <v>0</v>
      </c>
      <c r="N562" s="456">
        <f t="shared" si="87"/>
        <v>0</v>
      </c>
      <c r="O562" s="427">
        <v>0</v>
      </c>
      <c r="P562" s="177">
        <f t="shared" si="88"/>
        <v>0</v>
      </c>
      <c r="Q562" s="177">
        <f t="shared" si="89"/>
        <v>0</v>
      </c>
      <c r="R562" s="431">
        <f t="shared" si="83"/>
        <v>0</v>
      </c>
      <c r="S562" s="468">
        <v>2</v>
      </c>
      <c r="T562" s="248"/>
      <c r="U562" s="248"/>
      <c r="V562" s="248"/>
      <c r="W562" s="248"/>
      <c r="X562" s="248"/>
      <c r="Y562" s="248"/>
    </row>
    <row r="563" spans="1:25" s="6" customFormat="1" ht="13.5" customHeight="1">
      <c r="A563" s="275">
        <v>27</v>
      </c>
      <c r="B563" s="122" t="s">
        <v>272</v>
      </c>
      <c r="C563" s="790">
        <v>79.7</v>
      </c>
      <c r="D563" s="790"/>
      <c r="E563" s="790"/>
      <c r="F563" s="418">
        <v>79.7</v>
      </c>
      <c r="G563" s="644">
        <f t="shared" si="79"/>
        <v>79.7</v>
      </c>
      <c r="H563" s="858"/>
      <c r="I563" s="858">
        <v>0</v>
      </c>
      <c r="J563" s="418">
        <v>0</v>
      </c>
      <c r="K563" s="454">
        <f t="shared" si="85"/>
        <v>0</v>
      </c>
      <c r="L563" s="455">
        <f t="shared" si="84"/>
        <v>0</v>
      </c>
      <c r="M563" s="177">
        <f t="shared" si="86"/>
        <v>0</v>
      </c>
      <c r="N563" s="456">
        <f t="shared" si="87"/>
        <v>0</v>
      </c>
      <c r="O563" s="427">
        <v>0</v>
      </c>
      <c r="P563" s="177">
        <f t="shared" si="88"/>
        <v>0</v>
      </c>
      <c r="Q563" s="177">
        <f t="shared" si="89"/>
        <v>0</v>
      </c>
      <c r="R563" s="431">
        <f t="shared" si="83"/>
        <v>0</v>
      </c>
      <c r="S563" s="468">
        <v>2</v>
      </c>
      <c r="T563" s="248"/>
      <c r="U563" s="248"/>
      <c r="V563" s="248"/>
      <c r="W563" s="248"/>
      <c r="X563" s="248"/>
      <c r="Y563" s="248"/>
    </row>
    <row r="564" spans="1:25" s="6" customFormat="1" ht="13.5" customHeight="1">
      <c r="A564" s="275">
        <v>28</v>
      </c>
      <c r="B564" s="122" t="s">
        <v>273</v>
      </c>
      <c r="C564" s="790">
        <v>23.5</v>
      </c>
      <c r="D564" s="790"/>
      <c r="E564" s="790"/>
      <c r="F564" s="418">
        <v>23.5</v>
      </c>
      <c r="G564" s="644">
        <f t="shared" si="79"/>
        <v>23.5</v>
      </c>
      <c r="H564" s="858"/>
      <c r="I564" s="858">
        <v>0</v>
      </c>
      <c r="J564" s="418">
        <v>0</v>
      </c>
      <c r="K564" s="454">
        <f t="shared" si="85"/>
        <v>0</v>
      </c>
      <c r="L564" s="455">
        <f t="shared" si="84"/>
        <v>0</v>
      </c>
      <c r="M564" s="177">
        <f t="shared" si="86"/>
        <v>0</v>
      </c>
      <c r="N564" s="456">
        <f t="shared" si="87"/>
        <v>0</v>
      </c>
      <c r="O564" s="427">
        <v>0</v>
      </c>
      <c r="P564" s="177">
        <f t="shared" si="88"/>
        <v>0</v>
      </c>
      <c r="Q564" s="177">
        <f t="shared" si="89"/>
        <v>0</v>
      </c>
      <c r="R564" s="431">
        <f t="shared" si="83"/>
        <v>0</v>
      </c>
      <c r="S564" s="468">
        <v>1</v>
      </c>
      <c r="T564" s="248"/>
      <c r="U564" s="248"/>
      <c r="V564" s="248"/>
      <c r="W564" s="248"/>
      <c r="X564" s="248"/>
      <c r="Y564" s="248"/>
    </row>
    <row r="565" spans="1:25" s="6" customFormat="1" ht="13.5" customHeight="1">
      <c r="A565" s="275">
        <v>29</v>
      </c>
      <c r="B565" s="122" t="s">
        <v>274</v>
      </c>
      <c r="C565" s="790">
        <v>29</v>
      </c>
      <c r="D565" s="790"/>
      <c r="E565" s="790"/>
      <c r="F565" s="418">
        <v>29</v>
      </c>
      <c r="G565" s="644">
        <f t="shared" si="79"/>
        <v>29</v>
      </c>
      <c r="H565" s="858"/>
      <c r="I565" s="858">
        <v>0</v>
      </c>
      <c r="J565" s="418">
        <v>0</v>
      </c>
      <c r="K565" s="454">
        <f t="shared" si="85"/>
        <v>0</v>
      </c>
      <c r="L565" s="455">
        <f t="shared" si="84"/>
        <v>0</v>
      </c>
      <c r="M565" s="177">
        <f t="shared" si="86"/>
        <v>0</v>
      </c>
      <c r="N565" s="456">
        <f t="shared" si="87"/>
        <v>0</v>
      </c>
      <c r="O565" s="427">
        <v>0</v>
      </c>
      <c r="P565" s="177">
        <f t="shared" si="88"/>
        <v>0</v>
      </c>
      <c r="Q565" s="177">
        <f t="shared" si="89"/>
        <v>0</v>
      </c>
      <c r="R565" s="431">
        <f t="shared" si="83"/>
        <v>0</v>
      </c>
      <c r="S565" s="468">
        <v>1</v>
      </c>
      <c r="T565" s="248"/>
      <c r="U565" s="248"/>
      <c r="V565" s="248"/>
      <c r="W565" s="248"/>
      <c r="X565" s="248"/>
      <c r="Y565" s="248"/>
    </row>
    <row r="566" spans="1:25" s="6" customFormat="1" ht="13.5" customHeight="1">
      <c r="A566" s="275">
        <v>30</v>
      </c>
      <c r="B566" s="122" t="s">
        <v>275</v>
      </c>
      <c r="C566" s="790">
        <v>84.7</v>
      </c>
      <c r="D566" s="790"/>
      <c r="E566" s="790"/>
      <c r="F566" s="418">
        <v>84.7</v>
      </c>
      <c r="G566" s="644">
        <f t="shared" si="79"/>
        <v>84.7</v>
      </c>
      <c r="H566" s="858"/>
      <c r="I566" s="858">
        <v>0</v>
      </c>
      <c r="J566" s="418">
        <v>0</v>
      </c>
      <c r="K566" s="454">
        <f t="shared" si="85"/>
        <v>0</v>
      </c>
      <c r="L566" s="455">
        <f t="shared" si="84"/>
        <v>0</v>
      </c>
      <c r="M566" s="177">
        <f t="shared" si="86"/>
        <v>0</v>
      </c>
      <c r="N566" s="456">
        <f t="shared" si="87"/>
        <v>0</v>
      </c>
      <c r="O566" s="427">
        <v>0</v>
      </c>
      <c r="P566" s="177">
        <f t="shared" si="88"/>
        <v>0</v>
      </c>
      <c r="Q566" s="177">
        <f t="shared" si="89"/>
        <v>0</v>
      </c>
      <c r="R566" s="431">
        <f t="shared" si="83"/>
        <v>0</v>
      </c>
      <c r="S566" s="468">
        <v>2</v>
      </c>
      <c r="T566" s="248"/>
      <c r="U566" s="248"/>
      <c r="V566" s="248"/>
      <c r="W566" s="248"/>
      <c r="X566" s="248"/>
      <c r="Y566" s="248"/>
    </row>
    <row r="567" spans="1:25" s="6" customFormat="1" ht="13.5" customHeight="1">
      <c r="A567" s="275">
        <v>31</v>
      </c>
      <c r="B567" s="122" t="s">
        <v>276</v>
      </c>
      <c r="C567" s="790">
        <v>177.23</v>
      </c>
      <c r="D567" s="790"/>
      <c r="E567" s="790"/>
      <c r="F567" s="418">
        <v>177.23</v>
      </c>
      <c r="G567" s="644">
        <f t="shared" si="79"/>
        <v>177.23</v>
      </c>
      <c r="H567" s="858"/>
      <c r="I567" s="858">
        <v>0</v>
      </c>
      <c r="J567" s="418">
        <v>0</v>
      </c>
      <c r="K567" s="454">
        <f t="shared" si="85"/>
        <v>0</v>
      </c>
      <c r="L567" s="455">
        <f t="shared" si="84"/>
        <v>0</v>
      </c>
      <c r="M567" s="177">
        <f t="shared" si="86"/>
        <v>0</v>
      </c>
      <c r="N567" s="456">
        <f t="shared" si="87"/>
        <v>0</v>
      </c>
      <c r="O567" s="427">
        <v>0</v>
      </c>
      <c r="P567" s="177">
        <f t="shared" si="88"/>
        <v>0</v>
      </c>
      <c r="Q567" s="177">
        <f t="shared" si="89"/>
        <v>0</v>
      </c>
      <c r="R567" s="431">
        <f t="shared" si="83"/>
        <v>0</v>
      </c>
      <c r="S567" s="468">
        <v>1</v>
      </c>
      <c r="T567" s="248"/>
      <c r="U567" s="248"/>
      <c r="V567" s="248"/>
      <c r="W567" s="248"/>
      <c r="X567" s="248"/>
      <c r="Y567" s="248"/>
    </row>
    <row r="568" spans="1:25" s="6" customFormat="1" ht="13.5" customHeight="1">
      <c r="A568" s="275">
        <v>32</v>
      </c>
      <c r="B568" s="122" t="s">
        <v>277</v>
      </c>
      <c r="C568" s="790">
        <v>108.36</v>
      </c>
      <c r="D568" s="790"/>
      <c r="E568" s="790"/>
      <c r="F568" s="418">
        <v>108.36</v>
      </c>
      <c r="G568" s="644">
        <f t="shared" si="79"/>
        <v>108.36</v>
      </c>
      <c r="H568" s="858"/>
      <c r="I568" s="858">
        <v>0</v>
      </c>
      <c r="J568" s="418">
        <v>0</v>
      </c>
      <c r="K568" s="454">
        <f t="shared" si="85"/>
        <v>0</v>
      </c>
      <c r="L568" s="455">
        <f t="shared" si="84"/>
        <v>0</v>
      </c>
      <c r="M568" s="177">
        <f t="shared" si="86"/>
        <v>0</v>
      </c>
      <c r="N568" s="456">
        <f t="shared" si="87"/>
        <v>0</v>
      </c>
      <c r="O568" s="427">
        <v>0</v>
      </c>
      <c r="P568" s="177">
        <f t="shared" si="88"/>
        <v>0</v>
      </c>
      <c r="Q568" s="177">
        <f t="shared" si="89"/>
        <v>0</v>
      </c>
      <c r="R568" s="431">
        <f t="shared" si="83"/>
        <v>0</v>
      </c>
      <c r="S568" s="468">
        <v>1</v>
      </c>
      <c r="T568" s="248"/>
      <c r="U568" s="248"/>
      <c r="V568" s="248"/>
      <c r="W568" s="248"/>
      <c r="X568" s="248"/>
      <c r="Y568" s="248"/>
    </row>
    <row r="569" spans="1:25" s="6" customFormat="1" ht="13.5" customHeight="1">
      <c r="A569" s="275">
        <v>33</v>
      </c>
      <c r="B569" s="122" t="s">
        <v>278</v>
      </c>
      <c r="C569" s="790">
        <v>76.2</v>
      </c>
      <c r="D569" s="790"/>
      <c r="E569" s="790"/>
      <c r="F569" s="418">
        <v>76.2</v>
      </c>
      <c r="G569" s="644">
        <f t="shared" si="79"/>
        <v>76.2</v>
      </c>
      <c r="H569" s="858"/>
      <c r="I569" s="858">
        <v>0</v>
      </c>
      <c r="J569" s="418">
        <v>0</v>
      </c>
      <c r="K569" s="454">
        <f t="shared" si="85"/>
        <v>0</v>
      </c>
      <c r="L569" s="455">
        <f t="shared" si="84"/>
        <v>0</v>
      </c>
      <c r="M569" s="177">
        <f t="shared" si="86"/>
        <v>0</v>
      </c>
      <c r="N569" s="456">
        <f t="shared" si="87"/>
        <v>0</v>
      </c>
      <c r="O569" s="427">
        <v>0</v>
      </c>
      <c r="P569" s="177">
        <f t="shared" si="88"/>
        <v>0</v>
      </c>
      <c r="Q569" s="177">
        <f t="shared" si="89"/>
        <v>0</v>
      </c>
      <c r="R569" s="431">
        <f t="shared" si="83"/>
        <v>0</v>
      </c>
      <c r="S569" s="468">
        <v>1</v>
      </c>
      <c r="T569" s="248"/>
      <c r="U569" s="248"/>
      <c r="V569" s="248"/>
      <c r="W569" s="248"/>
      <c r="X569" s="248"/>
      <c r="Y569" s="248"/>
    </row>
    <row r="570" spans="1:25" s="6" customFormat="1" ht="13.5" customHeight="1">
      <c r="A570" s="275">
        <v>34</v>
      </c>
      <c r="B570" s="122" t="s">
        <v>279</v>
      </c>
      <c r="C570" s="790">
        <v>98.5</v>
      </c>
      <c r="D570" s="790"/>
      <c r="E570" s="790"/>
      <c r="F570" s="418">
        <v>98.5</v>
      </c>
      <c r="G570" s="644">
        <f t="shared" si="79"/>
        <v>98.5</v>
      </c>
      <c r="H570" s="858"/>
      <c r="I570" s="858">
        <v>0</v>
      </c>
      <c r="J570" s="418">
        <v>0</v>
      </c>
      <c r="K570" s="454">
        <f t="shared" si="85"/>
        <v>0</v>
      </c>
      <c r="L570" s="455">
        <f t="shared" si="84"/>
        <v>0</v>
      </c>
      <c r="M570" s="177">
        <f t="shared" si="86"/>
        <v>0</v>
      </c>
      <c r="N570" s="456">
        <f t="shared" si="87"/>
        <v>0</v>
      </c>
      <c r="O570" s="427">
        <v>0</v>
      </c>
      <c r="P570" s="177">
        <f t="shared" si="88"/>
        <v>0</v>
      </c>
      <c r="Q570" s="177">
        <f t="shared" si="89"/>
        <v>0</v>
      </c>
      <c r="R570" s="431">
        <f t="shared" si="83"/>
        <v>0</v>
      </c>
      <c r="S570" s="468">
        <v>1</v>
      </c>
      <c r="T570" s="248"/>
      <c r="U570" s="248"/>
      <c r="V570" s="248"/>
      <c r="W570" s="248"/>
      <c r="X570" s="248"/>
      <c r="Y570" s="248"/>
    </row>
    <row r="571" spans="1:25" s="6" customFormat="1" ht="13.5" customHeight="1">
      <c r="A571" s="275">
        <v>35</v>
      </c>
      <c r="B571" s="122" t="s">
        <v>280</v>
      </c>
      <c r="C571" s="790">
        <v>93.4</v>
      </c>
      <c r="D571" s="790"/>
      <c r="E571" s="790"/>
      <c r="F571" s="418">
        <v>93.4</v>
      </c>
      <c r="G571" s="644">
        <f t="shared" si="79"/>
        <v>93.4</v>
      </c>
      <c r="H571" s="858"/>
      <c r="I571" s="858">
        <v>0</v>
      </c>
      <c r="J571" s="418">
        <v>0</v>
      </c>
      <c r="K571" s="454">
        <f t="shared" si="85"/>
        <v>0</v>
      </c>
      <c r="L571" s="455">
        <f t="shared" si="84"/>
        <v>0</v>
      </c>
      <c r="M571" s="177">
        <f t="shared" si="86"/>
        <v>0</v>
      </c>
      <c r="N571" s="456">
        <f t="shared" si="87"/>
        <v>0</v>
      </c>
      <c r="O571" s="427">
        <v>0</v>
      </c>
      <c r="P571" s="177">
        <f t="shared" si="88"/>
        <v>0</v>
      </c>
      <c r="Q571" s="177">
        <f t="shared" si="89"/>
        <v>0</v>
      </c>
      <c r="R571" s="431">
        <f t="shared" si="83"/>
        <v>0</v>
      </c>
      <c r="S571" s="468">
        <v>2</v>
      </c>
      <c r="T571" s="248"/>
      <c r="U571" s="248"/>
      <c r="V571" s="248"/>
      <c r="W571" s="248"/>
      <c r="X571" s="248"/>
      <c r="Y571" s="248"/>
    </row>
    <row r="572" spans="1:25" s="6" customFormat="1" ht="13.5" customHeight="1">
      <c r="A572" s="275">
        <v>36</v>
      </c>
      <c r="B572" s="122" t="s">
        <v>281</v>
      </c>
      <c r="C572" s="790">
        <v>92.7</v>
      </c>
      <c r="D572" s="790"/>
      <c r="E572" s="790"/>
      <c r="F572" s="418">
        <v>92.7</v>
      </c>
      <c r="G572" s="644">
        <f t="shared" si="79"/>
        <v>92.7</v>
      </c>
      <c r="H572" s="858"/>
      <c r="I572" s="858">
        <v>0</v>
      </c>
      <c r="J572" s="418">
        <v>0</v>
      </c>
      <c r="K572" s="454">
        <f t="shared" si="85"/>
        <v>0</v>
      </c>
      <c r="L572" s="455">
        <f t="shared" si="84"/>
        <v>0</v>
      </c>
      <c r="M572" s="177">
        <f t="shared" si="86"/>
        <v>0</v>
      </c>
      <c r="N572" s="456">
        <f t="shared" si="87"/>
        <v>0</v>
      </c>
      <c r="O572" s="427">
        <v>0</v>
      </c>
      <c r="P572" s="177">
        <f t="shared" si="88"/>
        <v>0</v>
      </c>
      <c r="Q572" s="177">
        <f t="shared" si="89"/>
        <v>0</v>
      </c>
      <c r="R572" s="431">
        <f t="shared" si="83"/>
        <v>0</v>
      </c>
      <c r="S572" s="468">
        <v>1</v>
      </c>
      <c r="T572" s="248"/>
      <c r="U572" s="248"/>
      <c r="V572" s="248"/>
      <c r="W572" s="248"/>
      <c r="X572" s="248"/>
      <c r="Y572" s="248"/>
    </row>
    <row r="573" spans="1:25" s="6" customFormat="1" ht="13.5" customHeight="1">
      <c r="A573" s="275">
        <v>37</v>
      </c>
      <c r="B573" s="122" t="s">
        <v>282</v>
      </c>
      <c r="C573" s="404">
        <v>346.6</v>
      </c>
      <c r="D573" s="404"/>
      <c r="E573" s="404"/>
      <c r="F573" s="418">
        <v>345.7</v>
      </c>
      <c r="G573" s="644">
        <f t="shared" si="79"/>
        <v>346.6</v>
      </c>
      <c r="H573" s="858"/>
      <c r="I573" s="858">
        <v>0</v>
      </c>
      <c r="J573" s="418">
        <v>0</v>
      </c>
      <c r="K573" s="454">
        <f t="shared" si="85"/>
        <v>0</v>
      </c>
      <c r="L573" s="455">
        <f t="shared" si="84"/>
        <v>0</v>
      </c>
      <c r="M573" s="177">
        <f t="shared" si="86"/>
        <v>0</v>
      </c>
      <c r="N573" s="456">
        <f t="shared" si="87"/>
        <v>0</v>
      </c>
      <c r="O573" s="427">
        <v>0</v>
      </c>
      <c r="P573" s="177">
        <f t="shared" si="88"/>
        <v>0</v>
      </c>
      <c r="Q573" s="177">
        <f t="shared" si="89"/>
        <v>0</v>
      </c>
      <c r="R573" s="431">
        <f t="shared" si="83"/>
        <v>0</v>
      </c>
      <c r="S573" s="468">
        <v>1</v>
      </c>
      <c r="T573" s="248"/>
      <c r="U573" s="248"/>
      <c r="V573" s="248"/>
      <c r="W573" s="248"/>
      <c r="X573" s="248"/>
      <c r="Y573" s="248"/>
    </row>
    <row r="574" spans="1:25" s="6" customFormat="1" ht="13.5" customHeight="1">
      <c r="A574" s="275">
        <v>38</v>
      </c>
      <c r="B574" s="122" t="s">
        <v>283</v>
      </c>
      <c r="C574" s="790">
        <v>195</v>
      </c>
      <c r="D574" s="790"/>
      <c r="E574" s="790"/>
      <c r="F574" s="418">
        <v>195</v>
      </c>
      <c r="G574" s="644">
        <f t="shared" si="79"/>
        <v>195</v>
      </c>
      <c r="H574" s="858"/>
      <c r="I574" s="858">
        <v>0</v>
      </c>
      <c r="J574" s="418">
        <v>0</v>
      </c>
      <c r="K574" s="454">
        <f t="shared" si="85"/>
        <v>0</v>
      </c>
      <c r="L574" s="455">
        <f t="shared" si="84"/>
        <v>0</v>
      </c>
      <c r="M574" s="177">
        <f t="shared" si="86"/>
        <v>0</v>
      </c>
      <c r="N574" s="456">
        <f t="shared" si="87"/>
        <v>0</v>
      </c>
      <c r="O574" s="859">
        <v>0</v>
      </c>
      <c r="P574" s="177">
        <f t="shared" si="88"/>
        <v>0</v>
      </c>
      <c r="Q574" s="177">
        <f t="shared" si="89"/>
        <v>0</v>
      </c>
      <c r="R574" s="431">
        <f t="shared" si="83"/>
        <v>0</v>
      </c>
      <c r="S574" s="468">
        <v>1</v>
      </c>
      <c r="T574" s="248"/>
      <c r="U574" s="248"/>
      <c r="V574" s="248"/>
      <c r="W574" s="248"/>
      <c r="X574" s="248"/>
      <c r="Y574" s="248"/>
    </row>
    <row r="575" spans="1:25" s="6" customFormat="1" ht="13.5" customHeight="1">
      <c r="A575" s="275">
        <v>39</v>
      </c>
      <c r="B575" s="122" t="s">
        <v>284</v>
      </c>
      <c r="C575" s="790">
        <v>68.099999999999994</v>
      </c>
      <c r="D575" s="790"/>
      <c r="E575" s="790"/>
      <c r="F575" s="418">
        <v>63.1</v>
      </c>
      <c r="G575" s="644">
        <f t="shared" si="79"/>
        <v>68.099999999999994</v>
      </c>
      <c r="H575" s="858"/>
      <c r="I575" s="858">
        <v>0</v>
      </c>
      <c r="J575" s="418">
        <v>0</v>
      </c>
      <c r="K575" s="454">
        <f t="shared" si="85"/>
        <v>0</v>
      </c>
      <c r="L575" s="455">
        <f t="shared" si="84"/>
        <v>0</v>
      </c>
      <c r="M575" s="177">
        <f t="shared" si="86"/>
        <v>0</v>
      </c>
      <c r="N575" s="456">
        <f t="shared" si="87"/>
        <v>0</v>
      </c>
      <c r="O575" s="859">
        <v>0</v>
      </c>
      <c r="P575" s="177">
        <f t="shared" si="88"/>
        <v>0</v>
      </c>
      <c r="Q575" s="177">
        <f t="shared" si="89"/>
        <v>0</v>
      </c>
      <c r="R575" s="431">
        <f t="shared" si="83"/>
        <v>0</v>
      </c>
      <c r="S575" s="468">
        <v>2</v>
      </c>
      <c r="T575" s="248"/>
      <c r="U575" s="248"/>
      <c r="V575" s="248"/>
      <c r="W575" s="248"/>
      <c r="X575" s="248"/>
      <c r="Y575" s="248"/>
    </row>
    <row r="576" spans="1:25" s="6" customFormat="1" ht="13.5" customHeight="1">
      <c r="A576" s="275">
        <v>40</v>
      </c>
      <c r="B576" s="122" t="s">
        <v>285</v>
      </c>
      <c r="C576" s="790">
        <v>293.2</v>
      </c>
      <c r="D576" s="790"/>
      <c r="E576" s="790"/>
      <c r="F576" s="418">
        <v>293.2</v>
      </c>
      <c r="G576" s="644">
        <f t="shared" ref="G576:G633" si="90">C576+D576+E576</f>
        <v>293.2</v>
      </c>
      <c r="H576" s="858"/>
      <c r="I576" s="858">
        <v>0</v>
      </c>
      <c r="J576" s="418">
        <v>0</v>
      </c>
      <c r="K576" s="454">
        <f t="shared" si="85"/>
        <v>0</v>
      </c>
      <c r="L576" s="455">
        <f t="shared" si="84"/>
        <v>0</v>
      </c>
      <c r="M576" s="177">
        <f t="shared" si="86"/>
        <v>0</v>
      </c>
      <c r="N576" s="456">
        <f t="shared" si="87"/>
        <v>0</v>
      </c>
      <c r="O576" s="859">
        <v>0</v>
      </c>
      <c r="P576" s="177">
        <f t="shared" si="88"/>
        <v>0</v>
      </c>
      <c r="Q576" s="177">
        <f t="shared" si="89"/>
        <v>0</v>
      </c>
      <c r="R576" s="431">
        <f t="shared" si="83"/>
        <v>0</v>
      </c>
      <c r="S576" s="468">
        <v>1</v>
      </c>
      <c r="T576" s="248"/>
      <c r="U576" s="248"/>
      <c r="V576" s="248"/>
      <c r="W576" s="248"/>
      <c r="X576" s="248"/>
      <c r="Y576" s="248"/>
    </row>
    <row r="577" spans="1:25" s="6" customFormat="1" ht="13.5" customHeight="1">
      <c r="A577" s="275">
        <v>41</v>
      </c>
      <c r="B577" s="122" t="s">
        <v>286</v>
      </c>
      <c r="C577" s="790">
        <v>95.9</v>
      </c>
      <c r="D577" s="790"/>
      <c r="E577" s="790"/>
      <c r="F577" s="418">
        <v>95.9</v>
      </c>
      <c r="G577" s="644">
        <f t="shared" si="90"/>
        <v>95.9</v>
      </c>
      <c r="H577" s="858"/>
      <c r="I577" s="858">
        <v>0</v>
      </c>
      <c r="J577" s="418">
        <v>0</v>
      </c>
      <c r="K577" s="454">
        <f t="shared" si="85"/>
        <v>0</v>
      </c>
      <c r="L577" s="455">
        <f t="shared" si="84"/>
        <v>0</v>
      </c>
      <c r="M577" s="177">
        <f t="shared" si="86"/>
        <v>0</v>
      </c>
      <c r="N577" s="456">
        <f t="shared" si="87"/>
        <v>0</v>
      </c>
      <c r="O577" s="859">
        <v>0</v>
      </c>
      <c r="P577" s="177">
        <f t="shared" si="88"/>
        <v>0</v>
      </c>
      <c r="Q577" s="177">
        <f t="shared" si="89"/>
        <v>0</v>
      </c>
      <c r="R577" s="431">
        <f t="shared" si="83"/>
        <v>0</v>
      </c>
      <c r="S577" s="468">
        <v>1</v>
      </c>
      <c r="T577" s="248"/>
      <c r="U577" s="248"/>
      <c r="V577" s="248"/>
      <c r="W577" s="248"/>
      <c r="X577" s="248"/>
      <c r="Y577" s="248"/>
    </row>
    <row r="578" spans="1:25" s="6" customFormat="1" ht="13.5" customHeight="1">
      <c r="A578" s="275">
        <v>42</v>
      </c>
      <c r="B578" s="122" t="s">
        <v>287</v>
      </c>
      <c r="C578" s="790">
        <v>4501</v>
      </c>
      <c r="D578" s="790"/>
      <c r="E578" s="790"/>
      <c r="F578" s="418">
        <v>4500.07</v>
      </c>
      <c r="G578" s="644">
        <f t="shared" si="90"/>
        <v>4501</v>
      </c>
      <c r="H578" s="858">
        <v>584</v>
      </c>
      <c r="I578" s="858">
        <v>0</v>
      </c>
      <c r="J578" s="418">
        <v>584</v>
      </c>
      <c r="K578" s="454">
        <f t="shared" si="85"/>
        <v>584</v>
      </c>
      <c r="L578" s="455">
        <f t="shared" si="84"/>
        <v>0.69523809523809521</v>
      </c>
      <c r="M578" s="177">
        <f t="shared" si="86"/>
        <v>1402.3021904761904</v>
      </c>
      <c r="N578" s="456">
        <f t="shared" si="87"/>
        <v>515.62651543809523</v>
      </c>
      <c r="O578" s="859">
        <v>650.03371428571438</v>
      </c>
      <c r="P578" s="177">
        <f t="shared" si="88"/>
        <v>37.452754285714285</v>
      </c>
      <c r="Q578" s="177">
        <f t="shared" si="89"/>
        <v>45.654907474285714</v>
      </c>
      <c r="R578" s="431">
        <f t="shared" si="83"/>
        <v>0.57885251599327137</v>
      </c>
      <c r="S578" s="468">
        <v>1</v>
      </c>
      <c r="T578" s="248"/>
      <c r="U578" s="248"/>
      <c r="V578" s="248"/>
      <c r="W578" s="248"/>
      <c r="X578" s="248"/>
      <c r="Y578" s="248"/>
    </row>
    <row r="579" spans="1:25" s="6" customFormat="1" ht="13.5" customHeight="1">
      <c r="A579" s="275">
        <v>43</v>
      </c>
      <c r="B579" s="122" t="s">
        <v>288</v>
      </c>
      <c r="C579" s="790">
        <v>195.86</v>
      </c>
      <c r="D579" s="790"/>
      <c r="E579" s="790"/>
      <c r="F579" s="418">
        <v>195.86</v>
      </c>
      <c r="G579" s="644">
        <f t="shared" si="90"/>
        <v>195.86</v>
      </c>
      <c r="H579" s="858"/>
      <c r="I579" s="858">
        <v>0</v>
      </c>
      <c r="J579" s="418"/>
      <c r="K579" s="454">
        <f t="shared" si="85"/>
        <v>0</v>
      </c>
      <c r="L579" s="455">
        <f t="shared" si="84"/>
        <v>0</v>
      </c>
      <c r="M579" s="177">
        <f t="shared" si="86"/>
        <v>0</v>
      </c>
      <c r="N579" s="456">
        <f t="shared" si="87"/>
        <v>0</v>
      </c>
      <c r="O579" s="859">
        <v>0</v>
      </c>
      <c r="P579" s="177">
        <f t="shared" si="88"/>
        <v>0</v>
      </c>
      <c r="Q579" s="177">
        <f t="shared" si="89"/>
        <v>0</v>
      </c>
      <c r="R579" s="431">
        <f t="shared" si="83"/>
        <v>0</v>
      </c>
      <c r="S579" s="468">
        <v>1</v>
      </c>
      <c r="T579" s="248"/>
      <c r="U579" s="248"/>
      <c r="V579" s="248"/>
      <c r="W579" s="248"/>
      <c r="X579" s="248"/>
      <c r="Y579" s="248"/>
    </row>
    <row r="580" spans="1:25" s="6" customFormat="1" ht="13.5" customHeight="1">
      <c r="A580" s="275">
        <v>44</v>
      </c>
      <c r="B580" s="122" t="s">
        <v>289</v>
      </c>
      <c r="C580" s="790">
        <v>148</v>
      </c>
      <c r="D580" s="790"/>
      <c r="E580" s="790"/>
      <c r="F580" s="418">
        <v>148</v>
      </c>
      <c r="G580" s="644">
        <f t="shared" si="90"/>
        <v>148</v>
      </c>
      <c r="H580" s="858"/>
      <c r="I580" s="858">
        <v>0</v>
      </c>
      <c r="J580" s="418"/>
      <c r="K580" s="454">
        <f t="shared" si="85"/>
        <v>0</v>
      </c>
      <c r="L580" s="455">
        <f t="shared" si="84"/>
        <v>0</v>
      </c>
      <c r="M580" s="177">
        <f t="shared" si="86"/>
        <v>0</v>
      </c>
      <c r="N580" s="456">
        <f t="shared" si="87"/>
        <v>0</v>
      </c>
      <c r="O580" s="859">
        <v>0</v>
      </c>
      <c r="P580" s="177">
        <f t="shared" si="88"/>
        <v>0</v>
      </c>
      <c r="Q580" s="177">
        <f t="shared" si="89"/>
        <v>0</v>
      </c>
      <c r="R580" s="431">
        <f t="shared" si="83"/>
        <v>0</v>
      </c>
      <c r="S580" s="468">
        <v>1</v>
      </c>
      <c r="T580" s="248"/>
      <c r="U580" s="248"/>
      <c r="V580" s="248"/>
      <c r="W580" s="248"/>
      <c r="X580" s="248"/>
      <c r="Y580" s="248"/>
    </row>
    <row r="581" spans="1:25" s="6" customFormat="1" ht="13.5" customHeight="1">
      <c r="A581" s="275">
        <v>45</v>
      </c>
      <c r="B581" s="122" t="s">
        <v>290</v>
      </c>
      <c r="C581" s="790">
        <v>74.95</v>
      </c>
      <c r="D581" s="790"/>
      <c r="E581" s="790"/>
      <c r="F581" s="418">
        <v>81.75</v>
      </c>
      <c r="G581" s="644">
        <f t="shared" si="90"/>
        <v>74.95</v>
      </c>
      <c r="H581" s="858"/>
      <c r="I581" s="858">
        <v>0</v>
      </c>
      <c r="J581" s="418"/>
      <c r="K581" s="454">
        <f t="shared" si="85"/>
        <v>0</v>
      </c>
      <c r="L581" s="455">
        <f t="shared" si="84"/>
        <v>0</v>
      </c>
      <c r="M581" s="177">
        <f t="shared" si="86"/>
        <v>0</v>
      </c>
      <c r="N581" s="456">
        <f t="shared" si="87"/>
        <v>0</v>
      </c>
      <c r="O581" s="859">
        <v>0</v>
      </c>
      <c r="P581" s="177">
        <f t="shared" si="88"/>
        <v>0</v>
      </c>
      <c r="Q581" s="177">
        <f t="shared" si="89"/>
        <v>0</v>
      </c>
      <c r="R581" s="431">
        <f t="shared" si="83"/>
        <v>0</v>
      </c>
      <c r="S581" s="468">
        <v>2</v>
      </c>
      <c r="T581" s="248"/>
      <c r="U581" s="248"/>
      <c r="V581" s="248"/>
      <c r="W581" s="248"/>
      <c r="X581" s="248"/>
      <c r="Y581" s="248"/>
    </row>
    <row r="582" spans="1:25" s="6" customFormat="1" ht="13.5" customHeight="1">
      <c r="A582" s="275">
        <v>46</v>
      </c>
      <c r="B582" s="122" t="s">
        <v>291</v>
      </c>
      <c r="C582" s="790">
        <v>87.3</v>
      </c>
      <c r="D582" s="790"/>
      <c r="E582" s="790"/>
      <c r="F582" s="418">
        <v>87.3</v>
      </c>
      <c r="G582" s="644">
        <f t="shared" si="90"/>
        <v>87.3</v>
      </c>
      <c r="H582" s="858"/>
      <c r="I582" s="858">
        <v>0</v>
      </c>
      <c r="J582" s="418"/>
      <c r="K582" s="454">
        <f t="shared" si="85"/>
        <v>0</v>
      </c>
      <c r="L582" s="455">
        <f t="shared" si="84"/>
        <v>0</v>
      </c>
      <c r="M582" s="177">
        <f t="shared" si="86"/>
        <v>0</v>
      </c>
      <c r="N582" s="456">
        <f t="shared" si="87"/>
        <v>0</v>
      </c>
      <c r="O582" s="859">
        <v>0</v>
      </c>
      <c r="P582" s="177">
        <f t="shared" si="88"/>
        <v>0</v>
      </c>
      <c r="Q582" s="177">
        <f t="shared" si="89"/>
        <v>0</v>
      </c>
      <c r="R582" s="431">
        <f t="shared" si="83"/>
        <v>0</v>
      </c>
      <c r="S582" s="468">
        <v>1</v>
      </c>
      <c r="T582" s="248"/>
      <c r="U582" s="248"/>
      <c r="V582" s="248"/>
      <c r="W582" s="248"/>
      <c r="X582" s="248"/>
      <c r="Y582" s="248"/>
    </row>
    <row r="583" spans="1:25" s="6" customFormat="1" ht="13.5" customHeight="1">
      <c r="A583" s="275">
        <v>47</v>
      </c>
      <c r="B583" s="122" t="s">
        <v>292</v>
      </c>
      <c r="C583" s="790">
        <v>92.6</v>
      </c>
      <c r="D583" s="790"/>
      <c r="E583" s="790"/>
      <c r="F583" s="418">
        <v>92.6</v>
      </c>
      <c r="G583" s="644">
        <f t="shared" si="90"/>
        <v>92.6</v>
      </c>
      <c r="H583" s="858"/>
      <c r="I583" s="858">
        <v>0</v>
      </c>
      <c r="J583" s="418"/>
      <c r="K583" s="454">
        <f t="shared" si="85"/>
        <v>0</v>
      </c>
      <c r="L583" s="455">
        <f t="shared" si="84"/>
        <v>0</v>
      </c>
      <c r="M583" s="177">
        <f t="shared" si="86"/>
        <v>0</v>
      </c>
      <c r="N583" s="456">
        <f t="shared" si="87"/>
        <v>0</v>
      </c>
      <c r="O583" s="859">
        <v>0</v>
      </c>
      <c r="P583" s="177">
        <f t="shared" si="88"/>
        <v>0</v>
      </c>
      <c r="Q583" s="177">
        <f t="shared" si="89"/>
        <v>0</v>
      </c>
      <c r="R583" s="431">
        <f t="shared" ref="R583:R646" si="91">(M583+N583+O583+P583)/C583</f>
        <v>0</v>
      </c>
      <c r="S583" s="468">
        <v>1</v>
      </c>
      <c r="T583" s="248"/>
      <c r="U583" s="248"/>
      <c r="V583" s="248"/>
      <c r="W583" s="248"/>
      <c r="X583" s="248"/>
      <c r="Y583" s="248"/>
    </row>
    <row r="584" spans="1:25" s="6" customFormat="1" ht="13.5" customHeight="1">
      <c r="A584" s="275">
        <v>48</v>
      </c>
      <c r="B584" s="122" t="s">
        <v>293</v>
      </c>
      <c r="C584" s="790">
        <v>110.7</v>
      </c>
      <c r="D584" s="790"/>
      <c r="E584" s="790"/>
      <c r="F584" s="418">
        <v>110.7</v>
      </c>
      <c r="G584" s="644">
        <f t="shared" si="90"/>
        <v>110.7</v>
      </c>
      <c r="H584" s="858"/>
      <c r="I584" s="858">
        <v>0</v>
      </c>
      <c r="J584" s="418"/>
      <c r="K584" s="454">
        <f t="shared" si="85"/>
        <v>0</v>
      </c>
      <c r="L584" s="455">
        <f t="shared" si="84"/>
        <v>0</v>
      </c>
      <c r="M584" s="177">
        <f t="shared" si="86"/>
        <v>0</v>
      </c>
      <c r="N584" s="456">
        <f t="shared" si="87"/>
        <v>0</v>
      </c>
      <c r="O584" s="427">
        <v>0</v>
      </c>
      <c r="P584" s="177">
        <f t="shared" si="88"/>
        <v>0</v>
      </c>
      <c r="Q584" s="177">
        <f t="shared" si="89"/>
        <v>0</v>
      </c>
      <c r="R584" s="431">
        <f t="shared" si="91"/>
        <v>0</v>
      </c>
      <c r="S584" s="468">
        <v>1</v>
      </c>
      <c r="T584" s="248"/>
      <c r="U584" s="248"/>
      <c r="V584" s="248"/>
      <c r="W584" s="248"/>
      <c r="X584" s="248"/>
      <c r="Y584" s="248"/>
    </row>
    <row r="585" spans="1:25" s="6" customFormat="1" ht="13.5" customHeight="1">
      <c r="A585" s="275">
        <v>49</v>
      </c>
      <c r="B585" s="122" t="s">
        <v>294</v>
      </c>
      <c r="C585" s="790">
        <v>78.7</v>
      </c>
      <c r="D585" s="790"/>
      <c r="E585" s="790"/>
      <c r="F585" s="418">
        <v>78.7</v>
      </c>
      <c r="G585" s="644">
        <f t="shared" si="90"/>
        <v>78.7</v>
      </c>
      <c r="H585" s="858"/>
      <c r="I585" s="858">
        <v>0</v>
      </c>
      <c r="J585" s="418"/>
      <c r="K585" s="454">
        <f t="shared" si="85"/>
        <v>0</v>
      </c>
      <c r="L585" s="455">
        <f t="shared" si="84"/>
        <v>0</v>
      </c>
      <c r="M585" s="177">
        <f t="shared" si="86"/>
        <v>0</v>
      </c>
      <c r="N585" s="456">
        <f t="shared" si="87"/>
        <v>0</v>
      </c>
      <c r="O585" s="427">
        <v>0</v>
      </c>
      <c r="P585" s="177">
        <f t="shared" si="88"/>
        <v>0</v>
      </c>
      <c r="Q585" s="177">
        <f t="shared" si="89"/>
        <v>0</v>
      </c>
      <c r="R585" s="431">
        <f t="shared" si="91"/>
        <v>0</v>
      </c>
      <c r="S585" s="468">
        <v>1</v>
      </c>
      <c r="T585" s="248"/>
      <c r="U585" s="248"/>
      <c r="V585" s="248"/>
      <c r="W585" s="248"/>
      <c r="X585" s="248"/>
      <c r="Y585" s="248"/>
    </row>
    <row r="586" spans="1:25" s="6" customFormat="1" ht="13.5" customHeight="1">
      <c r="A586" s="275">
        <v>50</v>
      </c>
      <c r="B586" s="122" t="s">
        <v>295</v>
      </c>
      <c r="C586" s="790">
        <v>114</v>
      </c>
      <c r="D586" s="790"/>
      <c r="E586" s="790"/>
      <c r="F586" s="418">
        <v>114</v>
      </c>
      <c r="G586" s="644">
        <f t="shared" si="90"/>
        <v>114</v>
      </c>
      <c r="H586" s="858"/>
      <c r="I586" s="858">
        <v>0</v>
      </c>
      <c r="J586" s="418"/>
      <c r="K586" s="454">
        <f t="shared" si="85"/>
        <v>0</v>
      </c>
      <c r="L586" s="455">
        <f t="shared" si="84"/>
        <v>0</v>
      </c>
      <c r="M586" s="177">
        <f t="shared" si="86"/>
        <v>0</v>
      </c>
      <c r="N586" s="456">
        <f t="shared" si="87"/>
        <v>0</v>
      </c>
      <c r="O586" s="427">
        <v>0</v>
      </c>
      <c r="P586" s="177">
        <f t="shared" si="88"/>
        <v>0</v>
      </c>
      <c r="Q586" s="177">
        <f t="shared" si="89"/>
        <v>0</v>
      </c>
      <c r="R586" s="431">
        <f t="shared" si="91"/>
        <v>0</v>
      </c>
      <c r="S586" s="468">
        <v>2</v>
      </c>
      <c r="T586" s="248"/>
      <c r="U586" s="248"/>
      <c r="V586" s="248"/>
      <c r="W586" s="248"/>
      <c r="X586" s="248"/>
      <c r="Y586" s="248"/>
    </row>
    <row r="587" spans="1:25" s="6" customFormat="1" ht="13.5" customHeight="1">
      <c r="A587" s="275">
        <v>51</v>
      </c>
      <c r="B587" s="122" t="s">
        <v>296</v>
      </c>
      <c r="C587" s="790">
        <v>25.1</v>
      </c>
      <c r="D587" s="790"/>
      <c r="E587" s="790"/>
      <c r="F587" s="418">
        <v>25.1</v>
      </c>
      <c r="G587" s="644">
        <f t="shared" si="90"/>
        <v>25.1</v>
      </c>
      <c r="H587" s="858"/>
      <c r="I587" s="858">
        <v>0</v>
      </c>
      <c r="J587" s="418"/>
      <c r="K587" s="454">
        <f t="shared" si="85"/>
        <v>0</v>
      </c>
      <c r="L587" s="455">
        <f t="shared" si="84"/>
        <v>0</v>
      </c>
      <c r="M587" s="177">
        <f t="shared" si="86"/>
        <v>0</v>
      </c>
      <c r="N587" s="456">
        <f t="shared" si="87"/>
        <v>0</v>
      </c>
      <c r="O587" s="427">
        <v>0</v>
      </c>
      <c r="P587" s="177">
        <f t="shared" si="88"/>
        <v>0</v>
      </c>
      <c r="Q587" s="177">
        <f t="shared" si="89"/>
        <v>0</v>
      </c>
      <c r="R587" s="431">
        <f t="shared" si="91"/>
        <v>0</v>
      </c>
      <c r="S587" s="468">
        <v>1</v>
      </c>
      <c r="T587" s="248"/>
      <c r="U587" s="248"/>
      <c r="V587" s="248"/>
      <c r="W587" s="248"/>
      <c r="X587" s="248"/>
      <c r="Y587" s="248"/>
    </row>
    <row r="588" spans="1:25" s="6" customFormat="1" ht="13.5" customHeight="1">
      <c r="A588" s="275">
        <v>52</v>
      </c>
      <c r="B588" s="122" t="s">
        <v>297</v>
      </c>
      <c r="C588" s="790">
        <v>66.599999999999994</v>
      </c>
      <c r="D588" s="790"/>
      <c r="E588" s="790"/>
      <c r="F588" s="418">
        <v>66.599999999999994</v>
      </c>
      <c r="G588" s="644">
        <f t="shared" si="90"/>
        <v>66.599999999999994</v>
      </c>
      <c r="H588" s="858"/>
      <c r="I588" s="858">
        <v>0</v>
      </c>
      <c r="J588" s="418"/>
      <c r="K588" s="454">
        <f t="shared" si="85"/>
        <v>0</v>
      </c>
      <c r="L588" s="455">
        <f t="shared" si="84"/>
        <v>0</v>
      </c>
      <c r="M588" s="177">
        <f t="shared" si="86"/>
        <v>0</v>
      </c>
      <c r="N588" s="456">
        <f t="shared" si="87"/>
        <v>0</v>
      </c>
      <c r="O588" s="427">
        <v>0</v>
      </c>
      <c r="P588" s="177">
        <f t="shared" si="88"/>
        <v>0</v>
      </c>
      <c r="Q588" s="177">
        <f t="shared" si="89"/>
        <v>0</v>
      </c>
      <c r="R588" s="431">
        <f t="shared" si="91"/>
        <v>0</v>
      </c>
      <c r="S588" s="468">
        <v>1</v>
      </c>
      <c r="T588" s="248"/>
      <c r="U588" s="248"/>
      <c r="V588" s="248"/>
      <c r="W588" s="248"/>
      <c r="X588" s="248"/>
      <c r="Y588" s="248"/>
    </row>
    <row r="589" spans="1:25" s="6" customFormat="1" ht="13.5" customHeight="1">
      <c r="A589" s="275">
        <v>53</v>
      </c>
      <c r="B589" s="122" t="s">
        <v>298</v>
      </c>
      <c r="C589" s="790">
        <v>156.4</v>
      </c>
      <c r="D589" s="790"/>
      <c r="E589" s="790"/>
      <c r="F589" s="418">
        <v>156.4</v>
      </c>
      <c r="G589" s="644">
        <f t="shared" si="90"/>
        <v>156.4</v>
      </c>
      <c r="H589" s="858"/>
      <c r="I589" s="858">
        <v>0</v>
      </c>
      <c r="J589" s="418"/>
      <c r="K589" s="454">
        <f t="shared" si="85"/>
        <v>0</v>
      </c>
      <c r="L589" s="455">
        <f t="shared" ref="L589:L647" si="92">(H589/840)+(I589/756)</f>
        <v>0</v>
      </c>
      <c r="M589" s="177">
        <f t="shared" si="86"/>
        <v>0</v>
      </c>
      <c r="N589" s="456">
        <f t="shared" si="87"/>
        <v>0</v>
      </c>
      <c r="O589" s="427">
        <v>0</v>
      </c>
      <c r="P589" s="177">
        <f t="shared" si="88"/>
        <v>0</v>
      </c>
      <c r="Q589" s="177">
        <f t="shared" si="89"/>
        <v>0</v>
      </c>
      <c r="R589" s="431">
        <f t="shared" si="91"/>
        <v>0</v>
      </c>
      <c r="S589" s="468">
        <v>1</v>
      </c>
      <c r="T589" s="248"/>
      <c r="U589" s="248"/>
      <c r="V589" s="248"/>
      <c r="W589" s="248"/>
      <c r="X589" s="248"/>
      <c r="Y589" s="248"/>
    </row>
    <row r="590" spans="1:25" s="6" customFormat="1" ht="13.5" customHeight="1">
      <c r="A590" s="275">
        <v>54</v>
      </c>
      <c r="B590" s="122" t="s">
        <v>299</v>
      </c>
      <c r="C590" s="790">
        <v>72.7</v>
      </c>
      <c r="D590" s="790"/>
      <c r="E590" s="790"/>
      <c r="F590" s="418">
        <v>72.7</v>
      </c>
      <c r="G590" s="644">
        <f t="shared" si="90"/>
        <v>72.7</v>
      </c>
      <c r="H590" s="858"/>
      <c r="I590" s="858">
        <v>0</v>
      </c>
      <c r="J590" s="418"/>
      <c r="K590" s="454">
        <f t="shared" si="85"/>
        <v>0</v>
      </c>
      <c r="L590" s="455">
        <f t="shared" si="92"/>
        <v>0</v>
      </c>
      <c r="M590" s="177">
        <f t="shared" si="86"/>
        <v>0</v>
      </c>
      <c r="N590" s="456">
        <f t="shared" si="87"/>
        <v>0</v>
      </c>
      <c r="O590" s="427">
        <v>0</v>
      </c>
      <c r="P590" s="177">
        <f t="shared" si="88"/>
        <v>0</v>
      </c>
      <c r="Q590" s="177">
        <f t="shared" si="89"/>
        <v>0</v>
      </c>
      <c r="R590" s="431">
        <f t="shared" si="91"/>
        <v>0</v>
      </c>
      <c r="S590" s="468">
        <v>1</v>
      </c>
      <c r="T590" s="248"/>
      <c r="U590" s="248"/>
      <c r="V590" s="248"/>
      <c r="W590" s="248"/>
      <c r="X590" s="248"/>
      <c r="Y590" s="248"/>
    </row>
    <row r="591" spans="1:25" s="6" customFormat="1" ht="13.5" customHeight="1">
      <c r="A591" s="275">
        <v>55</v>
      </c>
      <c r="B591" s="122" t="s">
        <v>300</v>
      </c>
      <c r="C591" s="790">
        <v>59.6</v>
      </c>
      <c r="D591" s="790"/>
      <c r="E591" s="790"/>
      <c r="F591" s="418">
        <v>59.6</v>
      </c>
      <c r="G591" s="644">
        <f t="shared" si="90"/>
        <v>59.6</v>
      </c>
      <c r="H591" s="858"/>
      <c r="I591" s="858">
        <v>0</v>
      </c>
      <c r="J591" s="418"/>
      <c r="K591" s="454">
        <f t="shared" si="85"/>
        <v>0</v>
      </c>
      <c r="L591" s="455">
        <f t="shared" si="92"/>
        <v>0</v>
      </c>
      <c r="M591" s="177">
        <f t="shared" si="86"/>
        <v>0</v>
      </c>
      <c r="N591" s="456">
        <f t="shared" si="87"/>
        <v>0</v>
      </c>
      <c r="O591" s="427">
        <v>0</v>
      </c>
      <c r="P591" s="177">
        <f t="shared" si="88"/>
        <v>0</v>
      </c>
      <c r="Q591" s="177">
        <f t="shared" si="89"/>
        <v>0</v>
      </c>
      <c r="R591" s="431">
        <f t="shared" si="91"/>
        <v>0</v>
      </c>
      <c r="S591" s="468">
        <v>1</v>
      </c>
      <c r="T591" s="248"/>
      <c r="U591" s="248"/>
      <c r="V591" s="248"/>
      <c r="W591" s="248"/>
      <c r="X591" s="248"/>
      <c r="Y591" s="248"/>
    </row>
    <row r="592" spans="1:25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18">
        <v>176</v>
      </c>
      <c r="G592" s="644">
        <f t="shared" si="90"/>
        <v>176</v>
      </c>
      <c r="H592" s="858"/>
      <c r="I592" s="858">
        <v>0</v>
      </c>
      <c r="J592" s="418"/>
      <c r="K592" s="454">
        <f t="shared" si="85"/>
        <v>0</v>
      </c>
      <c r="L592" s="455">
        <f t="shared" si="92"/>
        <v>0</v>
      </c>
      <c r="M592" s="177">
        <f t="shared" si="86"/>
        <v>0</v>
      </c>
      <c r="N592" s="456">
        <f t="shared" si="87"/>
        <v>0</v>
      </c>
      <c r="O592" s="427">
        <v>0</v>
      </c>
      <c r="P592" s="177">
        <f t="shared" si="88"/>
        <v>0</v>
      </c>
      <c r="Q592" s="177">
        <f t="shared" si="89"/>
        <v>0</v>
      </c>
      <c r="R592" s="431">
        <f t="shared" si="91"/>
        <v>0</v>
      </c>
      <c r="S592" s="468">
        <v>1</v>
      </c>
      <c r="T592" s="248"/>
      <c r="U592" s="248"/>
      <c r="V592" s="248"/>
      <c r="W592" s="248"/>
      <c r="X592" s="248"/>
      <c r="Y592" s="248"/>
    </row>
    <row r="593" spans="1:25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18">
        <v>129</v>
      </c>
      <c r="G593" s="644">
        <f t="shared" si="90"/>
        <v>149</v>
      </c>
      <c r="H593" s="858"/>
      <c r="I593" s="858">
        <v>0</v>
      </c>
      <c r="J593" s="418"/>
      <c r="K593" s="454">
        <f t="shared" si="85"/>
        <v>0</v>
      </c>
      <c r="L593" s="455">
        <f t="shared" si="92"/>
        <v>0</v>
      </c>
      <c r="M593" s="177">
        <f t="shared" si="86"/>
        <v>0</v>
      </c>
      <c r="N593" s="456">
        <f t="shared" si="87"/>
        <v>0</v>
      </c>
      <c r="O593" s="427">
        <v>0</v>
      </c>
      <c r="P593" s="177">
        <f t="shared" si="88"/>
        <v>0</v>
      </c>
      <c r="Q593" s="177">
        <f t="shared" si="89"/>
        <v>0</v>
      </c>
      <c r="R593" s="431">
        <f t="shared" si="91"/>
        <v>0</v>
      </c>
      <c r="S593" s="468">
        <v>1</v>
      </c>
      <c r="T593" s="248"/>
      <c r="U593" s="248"/>
      <c r="V593" s="248"/>
      <c r="W593" s="248"/>
      <c r="X593" s="248"/>
      <c r="Y593" s="248"/>
    </row>
    <row r="594" spans="1:25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18">
        <v>224.8</v>
      </c>
      <c r="G594" s="644">
        <f t="shared" si="90"/>
        <v>224.8</v>
      </c>
      <c r="H594" s="858"/>
      <c r="I594" s="858">
        <v>0</v>
      </c>
      <c r="J594" s="418"/>
      <c r="K594" s="454">
        <f t="shared" si="85"/>
        <v>0</v>
      </c>
      <c r="L594" s="455">
        <f t="shared" si="92"/>
        <v>0</v>
      </c>
      <c r="M594" s="177">
        <f t="shared" si="86"/>
        <v>0</v>
      </c>
      <c r="N594" s="456">
        <f t="shared" si="87"/>
        <v>0</v>
      </c>
      <c r="O594" s="427">
        <v>0</v>
      </c>
      <c r="P594" s="177">
        <f t="shared" si="88"/>
        <v>0</v>
      </c>
      <c r="Q594" s="177">
        <f t="shared" si="89"/>
        <v>0</v>
      </c>
      <c r="R594" s="431">
        <f t="shared" si="91"/>
        <v>0</v>
      </c>
      <c r="S594" s="468">
        <v>2</v>
      </c>
      <c r="T594" s="248"/>
      <c r="U594" s="248"/>
      <c r="V594" s="248"/>
      <c r="W594" s="248"/>
      <c r="X594" s="248"/>
      <c r="Y594" s="248"/>
    </row>
    <row r="595" spans="1:25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18">
        <v>238.7</v>
      </c>
      <c r="G595" s="644">
        <f t="shared" si="90"/>
        <v>243.4</v>
      </c>
      <c r="H595" s="858"/>
      <c r="I595" s="858">
        <v>0</v>
      </c>
      <c r="J595" s="418"/>
      <c r="K595" s="454">
        <f t="shared" si="85"/>
        <v>0</v>
      </c>
      <c r="L595" s="455">
        <f t="shared" si="92"/>
        <v>0</v>
      </c>
      <c r="M595" s="177">
        <f t="shared" si="86"/>
        <v>0</v>
      </c>
      <c r="N595" s="456">
        <f t="shared" si="87"/>
        <v>0</v>
      </c>
      <c r="O595" s="427">
        <v>0</v>
      </c>
      <c r="P595" s="177">
        <f t="shared" si="88"/>
        <v>0</v>
      </c>
      <c r="Q595" s="177">
        <f t="shared" si="89"/>
        <v>0</v>
      </c>
      <c r="R595" s="431">
        <f t="shared" si="91"/>
        <v>0</v>
      </c>
      <c r="S595" s="468">
        <v>2</v>
      </c>
      <c r="T595" s="248"/>
      <c r="U595" s="248"/>
      <c r="V595" s="248"/>
      <c r="W595" s="248"/>
      <c r="X595" s="248"/>
      <c r="Y595" s="248"/>
    </row>
    <row r="596" spans="1:25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18">
        <v>170</v>
      </c>
      <c r="G596" s="644">
        <f t="shared" si="90"/>
        <v>169.9</v>
      </c>
      <c r="H596" s="858"/>
      <c r="I596" s="858">
        <v>0</v>
      </c>
      <c r="J596" s="418"/>
      <c r="K596" s="454">
        <f t="shared" si="85"/>
        <v>0</v>
      </c>
      <c r="L596" s="455">
        <f t="shared" si="92"/>
        <v>0</v>
      </c>
      <c r="M596" s="177">
        <f t="shared" si="86"/>
        <v>0</v>
      </c>
      <c r="N596" s="456">
        <f t="shared" si="87"/>
        <v>0</v>
      </c>
      <c r="O596" s="427">
        <v>0</v>
      </c>
      <c r="P596" s="177">
        <f t="shared" si="88"/>
        <v>0</v>
      </c>
      <c r="Q596" s="177">
        <f t="shared" si="89"/>
        <v>0</v>
      </c>
      <c r="R596" s="431">
        <f t="shared" si="91"/>
        <v>0</v>
      </c>
      <c r="S596" s="468">
        <v>1</v>
      </c>
      <c r="T596" s="248"/>
      <c r="U596" s="248"/>
      <c r="V596" s="248"/>
      <c r="W596" s="248"/>
      <c r="X596" s="248"/>
      <c r="Y596" s="248"/>
    </row>
    <row r="597" spans="1:25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18">
        <v>377.1</v>
      </c>
      <c r="G597" s="644">
        <f t="shared" si="90"/>
        <v>377.1</v>
      </c>
      <c r="H597" s="858"/>
      <c r="I597" s="858">
        <v>0</v>
      </c>
      <c r="J597" s="418"/>
      <c r="K597" s="454">
        <f t="shared" ref="K597:K655" si="93">H597+I597</f>
        <v>0</v>
      </c>
      <c r="L597" s="455">
        <f t="shared" si="92"/>
        <v>0</v>
      </c>
      <c r="M597" s="177">
        <f t="shared" si="86"/>
        <v>0</v>
      </c>
      <c r="N597" s="456">
        <f t="shared" ref="N597:N655" si="94">M597*0.3677</f>
        <v>0</v>
      </c>
      <c r="O597" s="427">
        <v>0</v>
      </c>
      <c r="P597" s="177">
        <f t="shared" si="88"/>
        <v>0</v>
      </c>
      <c r="Q597" s="177">
        <f t="shared" si="89"/>
        <v>0</v>
      </c>
      <c r="R597" s="431">
        <f t="shared" si="91"/>
        <v>0</v>
      </c>
      <c r="S597" s="468">
        <v>1</v>
      </c>
      <c r="T597" s="248"/>
      <c r="U597" s="248"/>
      <c r="V597" s="248"/>
      <c r="W597" s="248"/>
      <c r="X597" s="248"/>
      <c r="Y597" s="248"/>
    </row>
    <row r="598" spans="1:25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18">
        <v>86.2</v>
      </c>
      <c r="G598" s="644">
        <f t="shared" si="90"/>
        <v>87.1</v>
      </c>
      <c r="H598" s="858"/>
      <c r="I598" s="858">
        <v>0</v>
      </c>
      <c r="J598" s="418"/>
      <c r="K598" s="454">
        <f t="shared" si="93"/>
        <v>0</v>
      </c>
      <c r="L598" s="455">
        <f t="shared" si="92"/>
        <v>0</v>
      </c>
      <c r="M598" s="177">
        <f t="shared" si="86"/>
        <v>0</v>
      </c>
      <c r="N598" s="456">
        <f t="shared" si="94"/>
        <v>0</v>
      </c>
      <c r="O598" s="427">
        <v>0</v>
      </c>
      <c r="P598" s="177">
        <f t="shared" si="88"/>
        <v>0</v>
      </c>
      <c r="Q598" s="177">
        <f t="shared" si="89"/>
        <v>0</v>
      </c>
      <c r="R598" s="431">
        <f t="shared" si="91"/>
        <v>0</v>
      </c>
      <c r="S598" s="468">
        <v>2</v>
      </c>
      <c r="T598" s="248"/>
      <c r="U598" s="248"/>
      <c r="V598" s="248"/>
      <c r="W598" s="248"/>
      <c r="X598" s="248"/>
      <c r="Y598" s="248"/>
    </row>
    <row r="599" spans="1:25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18">
        <v>348.2</v>
      </c>
      <c r="G599" s="644">
        <f t="shared" si="90"/>
        <v>348.2</v>
      </c>
      <c r="H599" s="858"/>
      <c r="I599" s="858">
        <v>0</v>
      </c>
      <c r="J599" s="418"/>
      <c r="K599" s="454">
        <f t="shared" si="93"/>
        <v>0</v>
      </c>
      <c r="L599" s="455">
        <f t="shared" si="92"/>
        <v>0</v>
      </c>
      <c r="M599" s="177">
        <f t="shared" si="86"/>
        <v>0</v>
      </c>
      <c r="N599" s="456">
        <f t="shared" si="94"/>
        <v>0</v>
      </c>
      <c r="O599" s="427">
        <v>0</v>
      </c>
      <c r="P599" s="177">
        <f t="shared" si="88"/>
        <v>0</v>
      </c>
      <c r="Q599" s="177">
        <f t="shared" si="89"/>
        <v>0</v>
      </c>
      <c r="R599" s="431">
        <f t="shared" si="91"/>
        <v>0</v>
      </c>
      <c r="S599" s="468">
        <v>3</v>
      </c>
      <c r="T599" s="248"/>
      <c r="U599" s="248"/>
      <c r="V599" s="248"/>
      <c r="W599" s="248"/>
      <c r="X599" s="248"/>
      <c r="Y599" s="248"/>
    </row>
    <row r="600" spans="1:25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18">
        <v>228.24</v>
      </c>
      <c r="G600" s="644">
        <f t="shared" si="90"/>
        <v>227.7</v>
      </c>
      <c r="H600" s="858"/>
      <c r="I600" s="858">
        <v>0</v>
      </c>
      <c r="J600" s="418"/>
      <c r="K600" s="454">
        <f t="shared" si="93"/>
        <v>0</v>
      </c>
      <c r="L600" s="455">
        <f t="shared" si="92"/>
        <v>0</v>
      </c>
      <c r="M600" s="177">
        <f t="shared" si="86"/>
        <v>0</v>
      </c>
      <c r="N600" s="456">
        <f t="shared" si="94"/>
        <v>0</v>
      </c>
      <c r="O600" s="427">
        <v>0</v>
      </c>
      <c r="P600" s="177">
        <f t="shared" si="88"/>
        <v>0</v>
      </c>
      <c r="Q600" s="177">
        <f t="shared" si="89"/>
        <v>0</v>
      </c>
      <c r="R600" s="431">
        <f t="shared" si="91"/>
        <v>0</v>
      </c>
      <c r="S600" s="468">
        <v>2</v>
      </c>
      <c r="T600" s="248"/>
      <c r="U600" s="248"/>
      <c r="V600" s="248"/>
      <c r="W600" s="248"/>
      <c r="X600" s="248"/>
      <c r="Y600" s="248"/>
    </row>
    <row r="601" spans="1:25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18">
        <v>409.2</v>
      </c>
      <c r="G601" s="644">
        <f t="shared" si="90"/>
        <v>409.2</v>
      </c>
      <c r="H601" s="858"/>
      <c r="I601" s="858">
        <v>0</v>
      </c>
      <c r="J601" s="418"/>
      <c r="K601" s="454">
        <f t="shared" si="93"/>
        <v>0</v>
      </c>
      <c r="L601" s="455">
        <f t="shared" si="92"/>
        <v>0</v>
      </c>
      <c r="M601" s="177">
        <f t="shared" ref="M601:M664" si="95">L601*2017.01</f>
        <v>0</v>
      </c>
      <c r="N601" s="456">
        <f t="shared" si="94"/>
        <v>0</v>
      </c>
      <c r="O601" s="427">
        <v>0</v>
      </c>
      <c r="P601" s="177">
        <f t="shared" si="88"/>
        <v>0</v>
      </c>
      <c r="Q601" s="177">
        <f t="shared" si="89"/>
        <v>0</v>
      </c>
      <c r="R601" s="431">
        <f t="shared" si="91"/>
        <v>0</v>
      </c>
      <c r="S601" s="468">
        <v>1</v>
      </c>
      <c r="T601" s="248"/>
      <c r="U601" s="248"/>
      <c r="V601" s="248"/>
      <c r="W601" s="248"/>
      <c r="X601" s="248"/>
      <c r="Y601" s="248"/>
    </row>
    <row r="602" spans="1:25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18">
        <v>176.7</v>
      </c>
      <c r="G602" s="644">
        <f t="shared" si="90"/>
        <v>177.6</v>
      </c>
      <c r="H602" s="858"/>
      <c r="I602" s="858">
        <v>0</v>
      </c>
      <c r="J602" s="418"/>
      <c r="K602" s="454">
        <f t="shared" si="93"/>
        <v>0</v>
      </c>
      <c r="L602" s="455">
        <f t="shared" si="92"/>
        <v>0</v>
      </c>
      <c r="M602" s="177">
        <f t="shared" si="95"/>
        <v>0</v>
      </c>
      <c r="N602" s="456">
        <f t="shared" si="94"/>
        <v>0</v>
      </c>
      <c r="O602" s="427">
        <v>0</v>
      </c>
      <c r="P602" s="177">
        <f t="shared" ref="P602:P665" si="96">L602*49.88*1.08</f>
        <v>0</v>
      </c>
      <c r="Q602" s="177">
        <f t="shared" si="89"/>
        <v>0</v>
      </c>
      <c r="R602" s="431">
        <f t="shared" si="91"/>
        <v>0</v>
      </c>
      <c r="S602" s="468">
        <v>1</v>
      </c>
      <c r="T602" s="248"/>
      <c r="U602" s="248"/>
      <c r="V602" s="248"/>
      <c r="W602" s="248"/>
      <c r="X602" s="248"/>
      <c r="Y602" s="248"/>
    </row>
    <row r="603" spans="1:25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18">
        <v>383.9</v>
      </c>
      <c r="G603" s="644">
        <f t="shared" si="90"/>
        <v>383.9</v>
      </c>
      <c r="H603" s="858"/>
      <c r="I603" s="858">
        <v>0</v>
      </c>
      <c r="J603" s="418"/>
      <c r="K603" s="454">
        <f t="shared" si="93"/>
        <v>0</v>
      </c>
      <c r="L603" s="455">
        <f t="shared" si="92"/>
        <v>0</v>
      </c>
      <c r="M603" s="177">
        <f t="shared" si="95"/>
        <v>0</v>
      </c>
      <c r="N603" s="456">
        <f t="shared" si="94"/>
        <v>0</v>
      </c>
      <c r="O603" s="427">
        <v>0</v>
      </c>
      <c r="P603" s="177">
        <f t="shared" si="96"/>
        <v>0</v>
      </c>
      <c r="Q603" s="177">
        <f t="shared" si="89"/>
        <v>0</v>
      </c>
      <c r="R603" s="431">
        <f t="shared" si="91"/>
        <v>0</v>
      </c>
      <c r="S603" s="468">
        <v>2</v>
      </c>
      <c r="T603" s="248"/>
      <c r="U603" s="248"/>
      <c r="V603" s="248"/>
      <c r="W603" s="248"/>
      <c r="X603" s="248"/>
      <c r="Y603" s="248"/>
    </row>
    <row r="604" spans="1:25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18">
        <v>123.2</v>
      </c>
      <c r="G604" s="644">
        <f t="shared" si="90"/>
        <v>123.2</v>
      </c>
      <c r="H604" s="858"/>
      <c r="I604" s="858">
        <v>0</v>
      </c>
      <c r="J604" s="418"/>
      <c r="K604" s="454">
        <f t="shared" si="93"/>
        <v>0</v>
      </c>
      <c r="L604" s="455">
        <f t="shared" si="92"/>
        <v>0</v>
      </c>
      <c r="M604" s="177">
        <f t="shared" si="95"/>
        <v>0</v>
      </c>
      <c r="N604" s="456">
        <f t="shared" si="94"/>
        <v>0</v>
      </c>
      <c r="O604" s="427">
        <v>0</v>
      </c>
      <c r="P604" s="177">
        <f t="shared" si="96"/>
        <v>0</v>
      </c>
      <c r="Q604" s="177">
        <f t="shared" si="89"/>
        <v>0</v>
      </c>
      <c r="R604" s="431">
        <f t="shared" si="91"/>
        <v>0</v>
      </c>
      <c r="S604" s="468">
        <v>2</v>
      </c>
      <c r="T604" s="248"/>
      <c r="U604" s="248"/>
      <c r="V604" s="248"/>
      <c r="W604" s="248"/>
      <c r="X604" s="248"/>
      <c r="Y604" s="248"/>
    </row>
    <row r="605" spans="1:25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18">
        <v>414.6</v>
      </c>
      <c r="G605" s="644">
        <f t="shared" si="90"/>
        <v>423.7</v>
      </c>
      <c r="H605" s="858"/>
      <c r="I605" s="858">
        <v>0</v>
      </c>
      <c r="J605" s="418"/>
      <c r="K605" s="454">
        <f t="shared" si="93"/>
        <v>0</v>
      </c>
      <c r="L605" s="455">
        <f t="shared" si="92"/>
        <v>0</v>
      </c>
      <c r="M605" s="177">
        <f t="shared" si="95"/>
        <v>0</v>
      </c>
      <c r="N605" s="456">
        <f t="shared" si="94"/>
        <v>0</v>
      </c>
      <c r="O605" s="427">
        <v>0</v>
      </c>
      <c r="P605" s="177">
        <f t="shared" si="96"/>
        <v>0</v>
      </c>
      <c r="Q605" s="177">
        <f t="shared" ref="Q605:Q668" si="97">P605*1.219</f>
        <v>0</v>
      </c>
      <c r="R605" s="431">
        <f t="shared" si="91"/>
        <v>0</v>
      </c>
      <c r="S605" s="468">
        <v>2</v>
      </c>
      <c r="T605" s="248"/>
      <c r="U605" s="248"/>
      <c r="V605" s="248"/>
      <c r="W605" s="248"/>
      <c r="X605" s="248"/>
      <c r="Y605" s="248"/>
    </row>
    <row r="606" spans="1:25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18">
        <v>140.69999999999999</v>
      </c>
      <c r="G606" s="644">
        <f t="shared" si="90"/>
        <v>138.80000000000001</v>
      </c>
      <c r="H606" s="858"/>
      <c r="I606" s="858">
        <v>0</v>
      </c>
      <c r="J606" s="418"/>
      <c r="K606" s="454">
        <f t="shared" si="93"/>
        <v>0</v>
      </c>
      <c r="L606" s="455">
        <f t="shared" si="92"/>
        <v>0</v>
      </c>
      <c r="M606" s="177">
        <f t="shared" si="95"/>
        <v>0</v>
      </c>
      <c r="N606" s="456">
        <f t="shared" si="94"/>
        <v>0</v>
      </c>
      <c r="O606" s="427">
        <v>0</v>
      </c>
      <c r="P606" s="177">
        <f t="shared" si="96"/>
        <v>0</v>
      </c>
      <c r="Q606" s="177">
        <f t="shared" si="97"/>
        <v>0</v>
      </c>
      <c r="R606" s="431">
        <f t="shared" si="91"/>
        <v>0</v>
      </c>
      <c r="S606" s="468">
        <v>2</v>
      </c>
      <c r="T606" s="248"/>
      <c r="U606" s="248"/>
      <c r="V606" s="248"/>
      <c r="W606" s="248"/>
      <c r="X606" s="248"/>
      <c r="Y606" s="248"/>
    </row>
    <row r="607" spans="1:25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18">
        <v>67.900000000000006</v>
      </c>
      <c r="G607" s="644">
        <f t="shared" si="90"/>
        <v>341.6</v>
      </c>
      <c r="H607" s="858"/>
      <c r="I607" s="858">
        <v>0</v>
      </c>
      <c r="J607" s="418"/>
      <c r="K607" s="454">
        <f t="shared" si="93"/>
        <v>0</v>
      </c>
      <c r="L607" s="455">
        <f t="shared" si="92"/>
        <v>0</v>
      </c>
      <c r="M607" s="177">
        <f t="shared" si="95"/>
        <v>0</v>
      </c>
      <c r="N607" s="456">
        <f t="shared" si="94"/>
        <v>0</v>
      </c>
      <c r="O607" s="427">
        <v>0</v>
      </c>
      <c r="P607" s="177">
        <f t="shared" si="96"/>
        <v>0</v>
      </c>
      <c r="Q607" s="177">
        <f t="shared" si="97"/>
        <v>0</v>
      </c>
      <c r="R607" s="431">
        <f t="shared" si="91"/>
        <v>0</v>
      </c>
      <c r="S607" s="468">
        <v>2</v>
      </c>
      <c r="T607" s="248"/>
      <c r="U607" s="248"/>
      <c r="V607" s="248"/>
      <c r="W607" s="248"/>
      <c r="X607" s="248"/>
      <c r="Y607" s="248"/>
    </row>
    <row r="608" spans="1:25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18">
        <v>351.2</v>
      </c>
      <c r="G608" s="644">
        <f t="shared" si="90"/>
        <v>353.3</v>
      </c>
      <c r="H608" s="858"/>
      <c r="I608" s="858">
        <v>0</v>
      </c>
      <c r="J608" s="418"/>
      <c r="K608" s="454">
        <f t="shared" si="93"/>
        <v>0</v>
      </c>
      <c r="L608" s="455">
        <f t="shared" si="92"/>
        <v>0</v>
      </c>
      <c r="M608" s="177">
        <f t="shared" si="95"/>
        <v>0</v>
      </c>
      <c r="N608" s="456">
        <f t="shared" si="94"/>
        <v>0</v>
      </c>
      <c r="O608" s="427">
        <v>0</v>
      </c>
      <c r="P608" s="177">
        <f t="shared" si="96"/>
        <v>0</v>
      </c>
      <c r="Q608" s="177">
        <f t="shared" si="97"/>
        <v>0</v>
      </c>
      <c r="R608" s="431">
        <f t="shared" si="91"/>
        <v>0</v>
      </c>
      <c r="S608" s="468">
        <v>2</v>
      </c>
      <c r="T608" s="248"/>
      <c r="U608" s="248"/>
      <c r="V608" s="248"/>
      <c r="W608" s="248"/>
      <c r="X608" s="248"/>
      <c r="Y608" s="248"/>
    </row>
    <row r="609" spans="1:25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18">
        <v>354.5</v>
      </c>
      <c r="G609" s="644">
        <f t="shared" si="90"/>
        <v>354.5</v>
      </c>
      <c r="H609" s="858"/>
      <c r="I609" s="858">
        <v>0</v>
      </c>
      <c r="J609" s="418"/>
      <c r="K609" s="454">
        <f t="shared" si="93"/>
        <v>0</v>
      </c>
      <c r="L609" s="455">
        <f t="shared" si="92"/>
        <v>0</v>
      </c>
      <c r="M609" s="177">
        <f t="shared" si="95"/>
        <v>0</v>
      </c>
      <c r="N609" s="456">
        <f t="shared" si="94"/>
        <v>0</v>
      </c>
      <c r="O609" s="427">
        <v>0</v>
      </c>
      <c r="P609" s="177">
        <f t="shared" si="96"/>
        <v>0</v>
      </c>
      <c r="Q609" s="177">
        <f t="shared" si="97"/>
        <v>0</v>
      </c>
      <c r="R609" s="431">
        <f t="shared" si="91"/>
        <v>0</v>
      </c>
      <c r="S609" s="468">
        <v>2</v>
      </c>
      <c r="T609" s="248"/>
      <c r="U609" s="248"/>
      <c r="V609" s="248"/>
      <c r="W609" s="248"/>
      <c r="X609" s="248"/>
      <c r="Y609" s="248"/>
    </row>
    <row r="610" spans="1:25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18">
        <v>403</v>
      </c>
      <c r="G610" s="644">
        <f t="shared" si="90"/>
        <v>404.4</v>
      </c>
      <c r="H610" s="858"/>
      <c r="I610" s="858">
        <v>0</v>
      </c>
      <c r="J610" s="418"/>
      <c r="K610" s="454">
        <f t="shared" si="93"/>
        <v>0</v>
      </c>
      <c r="L610" s="455">
        <f t="shared" si="92"/>
        <v>0</v>
      </c>
      <c r="M610" s="177">
        <f t="shared" si="95"/>
        <v>0</v>
      </c>
      <c r="N610" s="456">
        <f t="shared" si="94"/>
        <v>0</v>
      </c>
      <c r="O610" s="427">
        <v>0</v>
      </c>
      <c r="P610" s="177">
        <f t="shared" si="96"/>
        <v>0</v>
      </c>
      <c r="Q610" s="177">
        <f t="shared" si="97"/>
        <v>0</v>
      </c>
      <c r="R610" s="431">
        <f t="shared" si="91"/>
        <v>0</v>
      </c>
      <c r="S610" s="468">
        <v>1</v>
      </c>
      <c r="T610" s="248"/>
      <c r="U610" s="248"/>
      <c r="V610" s="248"/>
      <c r="W610" s="248"/>
      <c r="X610" s="248"/>
      <c r="Y610" s="248"/>
    </row>
    <row r="611" spans="1:25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18">
        <v>352.8</v>
      </c>
      <c r="G611" s="644">
        <f t="shared" si="90"/>
        <v>348.3</v>
      </c>
      <c r="H611" s="858"/>
      <c r="I611" s="858">
        <v>0</v>
      </c>
      <c r="J611" s="418"/>
      <c r="K611" s="454">
        <f t="shared" si="93"/>
        <v>0</v>
      </c>
      <c r="L611" s="455">
        <f t="shared" si="92"/>
        <v>0</v>
      </c>
      <c r="M611" s="177">
        <f t="shared" si="95"/>
        <v>0</v>
      </c>
      <c r="N611" s="456">
        <f t="shared" si="94"/>
        <v>0</v>
      </c>
      <c r="O611" s="427">
        <v>0</v>
      </c>
      <c r="P611" s="177">
        <f t="shared" si="96"/>
        <v>0</v>
      </c>
      <c r="Q611" s="177">
        <f t="shared" si="97"/>
        <v>0</v>
      </c>
      <c r="R611" s="431">
        <f t="shared" si="91"/>
        <v>0</v>
      </c>
      <c r="S611" s="468">
        <v>2</v>
      </c>
      <c r="T611" s="248"/>
      <c r="U611" s="248"/>
      <c r="V611" s="248"/>
      <c r="W611" s="248"/>
      <c r="X611" s="248"/>
      <c r="Y611" s="248"/>
    </row>
    <row r="612" spans="1:25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18">
        <v>73.5</v>
      </c>
      <c r="G612" s="644">
        <f t="shared" si="90"/>
        <v>73.400000000000006</v>
      </c>
      <c r="H612" s="858"/>
      <c r="I612" s="858">
        <v>0</v>
      </c>
      <c r="J612" s="418"/>
      <c r="K612" s="454">
        <f t="shared" si="93"/>
        <v>0</v>
      </c>
      <c r="L612" s="455">
        <f t="shared" si="92"/>
        <v>0</v>
      </c>
      <c r="M612" s="177">
        <f t="shared" si="95"/>
        <v>0</v>
      </c>
      <c r="N612" s="456">
        <f t="shared" si="94"/>
        <v>0</v>
      </c>
      <c r="O612" s="427">
        <v>0</v>
      </c>
      <c r="P612" s="177">
        <f t="shared" si="96"/>
        <v>0</v>
      </c>
      <c r="Q612" s="177">
        <f t="shared" si="97"/>
        <v>0</v>
      </c>
      <c r="R612" s="431">
        <f t="shared" si="91"/>
        <v>0</v>
      </c>
      <c r="S612" s="468">
        <v>2</v>
      </c>
      <c r="T612" s="248"/>
      <c r="U612" s="248"/>
      <c r="V612" s="248"/>
      <c r="W612" s="248"/>
      <c r="X612" s="248"/>
      <c r="Y612" s="248"/>
    </row>
    <row r="613" spans="1:25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18">
        <v>114.7</v>
      </c>
      <c r="G613" s="644">
        <f t="shared" si="90"/>
        <v>117.2</v>
      </c>
      <c r="H613" s="858"/>
      <c r="I613" s="858">
        <v>0</v>
      </c>
      <c r="J613" s="418"/>
      <c r="K613" s="454">
        <f t="shared" si="93"/>
        <v>0</v>
      </c>
      <c r="L613" s="455">
        <f t="shared" si="92"/>
        <v>0</v>
      </c>
      <c r="M613" s="177">
        <f t="shared" si="95"/>
        <v>0</v>
      </c>
      <c r="N613" s="456">
        <f t="shared" si="94"/>
        <v>0</v>
      </c>
      <c r="O613" s="427">
        <v>0</v>
      </c>
      <c r="P613" s="177">
        <f t="shared" si="96"/>
        <v>0</v>
      </c>
      <c r="Q613" s="177">
        <f t="shared" si="97"/>
        <v>0</v>
      </c>
      <c r="R613" s="431">
        <f t="shared" si="91"/>
        <v>0</v>
      </c>
      <c r="S613" s="468">
        <v>2</v>
      </c>
      <c r="T613" s="248"/>
      <c r="U613" s="248"/>
      <c r="V613" s="248"/>
      <c r="W613" s="248"/>
      <c r="X613" s="248"/>
      <c r="Y613" s="248"/>
    </row>
    <row r="614" spans="1:25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18">
        <v>75.3</v>
      </c>
      <c r="G614" s="644">
        <f t="shared" si="90"/>
        <v>65.900000000000006</v>
      </c>
      <c r="H614" s="858"/>
      <c r="I614" s="858">
        <v>0</v>
      </c>
      <c r="J614" s="418"/>
      <c r="K614" s="454">
        <f t="shared" si="93"/>
        <v>0</v>
      </c>
      <c r="L614" s="455">
        <f t="shared" si="92"/>
        <v>0</v>
      </c>
      <c r="M614" s="177">
        <f t="shared" si="95"/>
        <v>0</v>
      </c>
      <c r="N614" s="456">
        <f t="shared" si="94"/>
        <v>0</v>
      </c>
      <c r="O614" s="427">
        <v>0</v>
      </c>
      <c r="P614" s="177">
        <f t="shared" si="96"/>
        <v>0</v>
      </c>
      <c r="Q614" s="177">
        <f t="shared" si="97"/>
        <v>0</v>
      </c>
      <c r="R614" s="431">
        <f t="shared" si="91"/>
        <v>0</v>
      </c>
      <c r="S614" s="468">
        <v>2</v>
      </c>
      <c r="T614" s="248"/>
      <c r="U614" s="248"/>
      <c r="V614" s="248"/>
      <c r="W614" s="248"/>
      <c r="X614" s="248"/>
      <c r="Y614" s="248"/>
    </row>
    <row r="615" spans="1:25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18">
        <v>90.4</v>
      </c>
      <c r="G615" s="644">
        <f t="shared" si="90"/>
        <v>212.3</v>
      </c>
      <c r="H615" s="858"/>
      <c r="I615" s="858">
        <v>0</v>
      </c>
      <c r="J615" s="418"/>
      <c r="K615" s="454">
        <f t="shared" si="93"/>
        <v>0</v>
      </c>
      <c r="L615" s="455">
        <f t="shared" si="92"/>
        <v>0</v>
      </c>
      <c r="M615" s="177">
        <f t="shared" si="95"/>
        <v>0</v>
      </c>
      <c r="N615" s="456">
        <f t="shared" si="94"/>
        <v>0</v>
      </c>
      <c r="O615" s="427">
        <v>0</v>
      </c>
      <c r="P615" s="177">
        <f t="shared" si="96"/>
        <v>0</v>
      </c>
      <c r="Q615" s="177">
        <f t="shared" si="97"/>
        <v>0</v>
      </c>
      <c r="R615" s="431">
        <f t="shared" si="91"/>
        <v>0</v>
      </c>
      <c r="S615" s="468">
        <v>2</v>
      </c>
      <c r="T615" s="248"/>
      <c r="U615" s="248"/>
      <c r="V615" s="248"/>
      <c r="W615" s="248"/>
      <c r="X615" s="248"/>
      <c r="Y615" s="248"/>
    </row>
    <row r="616" spans="1:25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18">
        <v>200.8</v>
      </c>
      <c r="G616" s="644">
        <f t="shared" si="90"/>
        <v>200.1</v>
      </c>
      <c r="H616" s="858"/>
      <c r="I616" s="858"/>
      <c r="J616" s="418"/>
      <c r="K616" s="454">
        <f t="shared" si="93"/>
        <v>0</v>
      </c>
      <c r="L616" s="455">
        <f t="shared" si="92"/>
        <v>0</v>
      </c>
      <c r="M616" s="177">
        <f t="shared" si="95"/>
        <v>0</v>
      </c>
      <c r="N616" s="456">
        <f t="shared" si="94"/>
        <v>0</v>
      </c>
      <c r="O616" s="427">
        <v>0</v>
      </c>
      <c r="P616" s="177">
        <f t="shared" si="96"/>
        <v>0</v>
      </c>
      <c r="Q616" s="177">
        <f t="shared" si="97"/>
        <v>0</v>
      </c>
      <c r="R616" s="431">
        <f t="shared" si="91"/>
        <v>0</v>
      </c>
      <c r="S616" s="468">
        <v>1</v>
      </c>
      <c r="T616" s="248"/>
      <c r="U616" s="248"/>
      <c r="V616" s="248"/>
      <c r="W616" s="248"/>
      <c r="X616" s="248"/>
      <c r="Y616" s="248"/>
    </row>
    <row r="617" spans="1:25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18">
        <v>79.099999999999994</v>
      </c>
      <c r="G617" s="644">
        <f t="shared" si="90"/>
        <v>79.099999999999994</v>
      </c>
      <c r="H617" s="858"/>
      <c r="I617" s="858">
        <v>0</v>
      </c>
      <c r="J617" s="418"/>
      <c r="K617" s="454">
        <f t="shared" si="93"/>
        <v>0</v>
      </c>
      <c r="L617" s="455">
        <f t="shared" si="92"/>
        <v>0</v>
      </c>
      <c r="M617" s="177">
        <f t="shared" si="95"/>
        <v>0</v>
      </c>
      <c r="N617" s="456">
        <f t="shared" si="94"/>
        <v>0</v>
      </c>
      <c r="O617" s="427">
        <v>0</v>
      </c>
      <c r="P617" s="177">
        <f t="shared" si="96"/>
        <v>0</v>
      </c>
      <c r="Q617" s="177">
        <f t="shared" si="97"/>
        <v>0</v>
      </c>
      <c r="R617" s="431">
        <f t="shared" si="91"/>
        <v>0</v>
      </c>
      <c r="S617" s="468">
        <v>2</v>
      </c>
      <c r="T617" s="248"/>
      <c r="U617" s="248"/>
      <c r="V617" s="248"/>
      <c r="W617" s="248"/>
      <c r="X617" s="248"/>
      <c r="Y617" s="248"/>
    </row>
    <row r="618" spans="1:25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18">
        <v>2893.23</v>
      </c>
      <c r="G618" s="644">
        <f t="shared" si="90"/>
        <v>3257.2000000000003</v>
      </c>
      <c r="H618" s="858">
        <v>276</v>
      </c>
      <c r="I618" s="858"/>
      <c r="J618" s="418">
        <v>276</v>
      </c>
      <c r="K618" s="454">
        <f t="shared" si="93"/>
        <v>276</v>
      </c>
      <c r="L618" s="455">
        <f t="shared" si="92"/>
        <v>0.32857142857142857</v>
      </c>
      <c r="M618" s="177">
        <f t="shared" si="95"/>
        <v>662.73185714285717</v>
      </c>
      <c r="N618" s="456">
        <f t="shared" si="94"/>
        <v>243.68650387142858</v>
      </c>
      <c r="O618" s="427">
        <v>307.2077142857143</v>
      </c>
      <c r="P618" s="177">
        <f t="shared" si="96"/>
        <v>17.700274285714286</v>
      </c>
      <c r="Q618" s="177">
        <f t="shared" si="97"/>
        <v>21.576634354285716</v>
      </c>
      <c r="R618" s="431">
        <f t="shared" si="91"/>
        <v>0.41615734405357391</v>
      </c>
      <c r="S618" s="468">
        <v>1</v>
      </c>
      <c r="T618" s="248"/>
      <c r="U618" s="248"/>
      <c r="V618" s="248"/>
      <c r="W618" s="248"/>
      <c r="X618" s="248"/>
      <c r="Y618" s="248"/>
    </row>
    <row r="619" spans="1:25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18">
        <v>4814.42</v>
      </c>
      <c r="G619" s="644">
        <f t="shared" si="90"/>
        <v>4789.17</v>
      </c>
      <c r="H619" s="858">
        <v>580</v>
      </c>
      <c r="I619" s="858"/>
      <c r="J619" s="418">
        <v>580</v>
      </c>
      <c r="K619" s="454">
        <f t="shared" si="93"/>
        <v>580</v>
      </c>
      <c r="L619" s="455">
        <f t="shared" si="92"/>
        <v>0.69047619047619047</v>
      </c>
      <c r="M619" s="177">
        <f t="shared" si="95"/>
        <v>1392.6973809523809</v>
      </c>
      <c r="N619" s="456">
        <f t="shared" si="94"/>
        <v>512.09482697619046</v>
      </c>
      <c r="O619" s="427">
        <v>753.17833333333328</v>
      </c>
      <c r="P619" s="177">
        <f t="shared" si="96"/>
        <v>37.196228571428577</v>
      </c>
      <c r="Q619" s="177">
        <f t="shared" si="97"/>
        <v>45.342202628571435</v>
      </c>
      <c r="R619" s="431">
        <f t="shared" si="91"/>
        <v>0.56276281064011779</v>
      </c>
      <c r="S619" s="468">
        <v>1</v>
      </c>
      <c r="T619" s="248"/>
      <c r="U619" s="248"/>
      <c r="V619" s="248"/>
      <c r="W619" s="248"/>
      <c r="X619" s="248"/>
      <c r="Y619" s="248"/>
    </row>
    <row r="620" spans="1:25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18">
        <v>6276.2</v>
      </c>
      <c r="G620" s="644">
        <f t="shared" si="90"/>
        <v>6316.36</v>
      </c>
      <c r="H620" s="858">
        <v>870</v>
      </c>
      <c r="I620" s="858"/>
      <c r="J620" s="418">
        <v>870</v>
      </c>
      <c r="K620" s="454">
        <f t="shared" si="93"/>
        <v>870</v>
      </c>
      <c r="L620" s="455">
        <f t="shared" si="92"/>
        <v>1.0357142857142858</v>
      </c>
      <c r="M620" s="177">
        <f t="shared" si="95"/>
        <v>2089.0460714285714</v>
      </c>
      <c r="N620" s="456">
        <f t="shared" si="94"/>
        <v>768.14224046428581</v>
      </c>
      <c r="O620" s="427">
        <v>968.37214285714299</v>
      </c>
      <c r="P620" s="177">
        <f t="shared" si="96"/>
        <v>55.794342857142873</v>
      </c>
      <c r="Q620" s="177">
        <f t="shared" si="97"/>
        <v>68.013303942857164</v>
      </c>
      <c r="R620" s="431">
        <f t="shared" si="91"/>
        <v>0.61614283136392178</v>
      </c>
      <c r="S620" s="468">
        <v>2</v>
      </c>
      <c r="T620" s="248"/>
      <c r="U620" s="248"/>
      <c r="V620" s="248"/>
      <c r="W620" s="248"/>
      <c r="X620" s="248"/>
      <c r="Y620" s="248"/>
    </row>
    <row r="621" spans="1:25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18">
        <v>4809.49</v>
      </c>
      <c r="G621" s="644">
        <f t="shared" si="90"/>
        <v>4812.1099999999997</v>
      </c>
      <c r="H621" s="858">
        <v>580</v>
      </c>
      <c r="I621" s="858"/>
      <c r="J621" s="418">
        <v>580</v>
      </c>
      <c r="K621" s="454">
        <f t="shared" si="93"/>
        <v>580</v>
      </c>
      <c r="L621" s="455">
        <f t="shared" si="92"/>
        <v>0.69047619047619047</v>
      </c>
      <c r="M621" s="177">
        <f t="shared" si="95"/>
        <v>1392.6973809523809</v>
      </c>
      <c r="N621" s="456">
        <f t="shared" si="94"/>
        <v>512.09482697619046</v>
      </c>
      <c r="O621" s="427">
        <v>645.58142857142866</v>
      </c>
      <c r="P621" s="177">
        <f t="shared" si="96"/>
        <v>37.196228571428577</v>
      </c>
      <c r="Q621" s="177">
        <f t="shared" si="97"/>
        <v>45.342202628571435</v>
      </c>
      <c r="R621" s="431">
        <f t="shared" si="91"/>
        <v>0.53772043138486625</v>
      </c>
      <c r="S621" s="468">
        <v>2</v>
      </c>
      <c r="T621" s="248"/>
      <c r="U621" s="248"/>
      <c r="V621" s="248"/>
      <c r="W621" s="248"/>
      <c r="X621" s="248"/>
      <c r="Y621" s="248"/>
    </row>
    <row r="622" spans="1:25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18">
        <v>11172.05</v>
      </c>
      <c r="G622" s="644">
        <f>C622+D622+E622</f>
        <v>11145.01</v>
      </c>
      <c r="H622" s="858">
        <v>1520</v>
      </c>
      <c r="I622" s="858"/>
      <c r="J622" s="418">
        <v>1520</v>
      </c>
      <c r="K622" s="454">
        <f t="shared" si="93"/>
        <v>1520</v>
      </c>
      <c r="L622" s="455">
        <f t="shared" si="92"/>
        <v>1.8095238095238095</v>
      </c>
      <c r="M622" s="177">
        <f t="shared" si="95"/>
        <v>3649.827619047619</v>
      </c>
      <c r="N622" s="456">
        <f t="shared" si="94"/>
        <v>1342.0416155238097</v>
      </c>
      <c r="O622" s="427">
        <v>1691.8685714285716</v>
      </c>
      <c r="P622" s="177">
        <f t="shared" si="96"/>
        <v>97.479771428571439</v>
      </c>
      <c r="Q622" s="177">
        <f t="shared" si="97"/>
        <v>118.82784137142859</v>
      </c>
      <c r="R622" s="431">
        <f t="shared" si="91"/>
        <v>0.608453251942221</v>
      </c>
      <c r="S622" s="468">
        <v>2</v>
      </c>
      <c r="T622" s="248"/>
      <c r="U622" s="248"/>
      <c r="V622" s="248"/>
      <c r="W622" s="248"/>
      <c r="X622" s="248"/>
      <c r="Y622" s="248"/>
    </row>
    <row r="623" spans="1:25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18">
        <v>74.5</v>
      </c>
      <c r="G623" s="644">
        <f t="shared" si="90"/>
        <v>74.5</v>
      </c>
      <c r="H623" s="858"/>
      <c r="I623" s="858">
        <v>0</v>
      </c>
      <c r="J623" s="418">
        <v>0</v>
      </c>
      <c r="K623" s="454">
        <f t="shared" si="93"/>
        <v>0</v>
      </c>
      <c r="L623" s="455">
        <f t="shared" si="92"/>
        <v>0</v>
      </c>
      <c r="M623" s="177">
        <f t="shared" si="95"/>
        <v>0</v>
      </c>
      <c r="N623" s="456">
        <f t="shared" si="94"/>
        <v>0</v>
      </c>
      <c r="O623" s="427">
        <v>0</v>
      </c>
      <c r="P623" s="177">
        <f t="shared" si="96"/>
        <v>0</v>
      </c>
      <c r="Q623" s="177">
        <f t="shared" si="97"/>
        <v>0</v>
      </c>
      <c r="R623" s="431">
        <f t="shared" si="91"/>
        <v>0</v>
      </c>
      <c r="S623" s="468">
        <v>1</v>
      </c>
      <c r="T623" s="248"/>
      <c r="U623" s="248"/>
      <c r="V623" s="248"/>
      <c r="W623" s="248"/>
      <c r="X623" s="248"/>
      <c r="Y623" s="248"/>
    </row>
    <row r="624" spans="1:25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18">
        <v>222.6</v>
      </c>
      <c r="G624" s="644">
        <f t="shared" si="90"/>
        <v>227.9</v>
      </c>
      <c r="H624" s="858"/>
      <c r="I624" s="858">
        <v>0</v>
      </c>
      <c r="J624" s="418">
        <v>0</v>
      </c>
      <c r="K624" s="454">
        <f t="shared" si="93"/>
        <v>0</v>
      </c>
      <c r="L624" s="455">
        <f t="shared" si="92"/>
        <v>0</v>
      </c>
      <c r="M624" s="177">
        <f t="shared" si="95"/>
        <v>0</v>
      </c>
      <c r="N624" s="456">
        <f t="shared" si="94"/>
        <v>0</v>
      </c>
      <c r="O624" s="427">
        <v>0</v>
      </c>
      <c r="P624" s="177">
        <f t="shared" si="96"/>
        <v>0</v>
      </c>
      <c r="Q624" s="177">
        <f t="shared" si="97"/>
        <v>0</v>
      </c>
      <c r="R624" s="431">
        <f t="shared" si="91"/>
        <v>0</v>
      </c>
      <c r="S624" s="468">
        <v>2</v>
      </c>
      <c r="T624" s="248"/>
      <c r="U624" s="248"/>
      <c r="V624" s="248"/>
      <c r="W624" s="248"/>
      <c r="X624" s="248"/>
      <c r="Y624" s="248"/>
    </row>
    <row r="625" spans="1:25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18">
        <v>338.1</v>
      </c>
      <c r="G625" s="644">
        <f t="shared" si="90"/>
        <v>374.6</v>
      </c>
      <c r="H625" s="858"/>
      <c r="I625" s="858">
        <v>0</v>
      </c>
      <c r="J625" s="418">
        <v>0</v>
      </c>
      <c r="K625" s="454">
        <f t="shared" si="93"/>
        <v>0</v>
      </c>
      <c r="L625" s="455">
        <f t="shared" si="92"/>
        <v>0</v>
      </c>
      <c r="M625" s="177">
        <f t="shared" si="95"/>
        <v>0</v>
      </c>
      <c r="N625" s="456">
        <f t="shared" si="94"/>
        <v>0</v>
      </c>
      <c r="O625" s="427">
        <v>0</v>
      </c>
      <c r="P625" s="177">
        <f t="shared" si="96"/>
        <v>0</v>
      </c>
      <c r="Q625" s="177">
        <f t="shared" si="97"/>
        <v>0</v>
      </c>
      <c r="R625" s="431">
        <f t="shared" si="91"/>
        <v>0</v>
      </c>
      <c r="S625" s="468">
        <v>1</v>
      </c>
      <c r="T625" s="248"/>
      <c r="U625" s="248"/>
      <c r="V625" s="248"/>
      <c r="W625" s="248"/>
      <c r="X625" s="248"/>
      <c r="Y625" s="248"/>
    </row>
    <row r="626" spans="1:25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18">
        <v>707.9</v>
      </c>
      <c r="G626" s="644">
        <f t="shared" si="90"/>
        <v>738.4</v>
      </c>
      <c r="H626" s="858"/>
      <c r="I626" s="858">
        <v>110</v>
      </c>
      <c r="J626" s="418">
        <v>110</v>
      </c>
      <c r="K626" s="454">
        <f t="shared" si="93"/>
        <v>110</v>
      </c>
      <c r="L626" s="455">
        <f t="shared" si="92"/>
        <v>0.14550264550264549</v>
      </c>
      <c r="M626" s="177">
        <f t="shared" si="95"/>
        <v>293.48029100529101</v>
      </c>
      <c r="N626" s="456">
        <f t="shared" si="94"/>
        <v>107.91270300264551</v>
      </c>
      <c r="O626" s="427">
        <v>113.36838624338624</v>
      </c>
      <c r="P626" s="177">
        <f t="shared" si="96"/>
        <v>7.838285714285715</v>
      </c>
      <c r="Q626" s="177">
        <f t="shared" si="97"/>
        <v>9.5548702857142871</v>
      </c>
      <c r="R626" s="431">
        <f t="shared" si="91"/>
        <v>0.73823939252098947</v>
      </c>
      <c r="S626" s="468">
        <v>2</v>
      </c>
      <c r="T626" s="248"/>
      <c r="U626" s="248"/>
      <c r="V626" s="248"/>
      <c r="W626" s="248"/>
      <c r="X626" s="248"/>
      <c r="Y626" s="248"/>
    </row>
    <row r="627" spans="1:25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18">
        <v>372.8</v>
      </c>
      <c r="G627" s="644">
        <f t="shared" si="90"/>
        <v>442.3</v>
      </c>
      <c r="H627" s="858"/>
      <c r="I627" s="858">
        <v>24</v>
      </c>
      <c r="J627" s="418">
        <v>24</v>
      </c>
      <c r="K627" s="454">
        <f t="shared" si="93"/>
        <v>24</v>
      </c>
      <c r="L627" s="455">
        <f t="shared" si="92"/>
        <v>3.1746031746031744E-2</v>
      </c>
      <c r="M627" s="177">
        <f t="shared" si="95"/>
        <v>64.032063492063486</v>
      </c>
      <c r="N627" s="456">
        <f t="shared" si="94"/>
        <v>23.544589746031747</v>
      </c>
      <c r="O627" s="427">
        <v>29.681904761904764</v>
      </c>
      <c r="P627" s="177">
        <f t="shared" si="96"/>
        <v>1.7101714285714287</v>
      </c>
      <c r="Q627" s="177">
        <f t="shared" si="97"/>
        <v>2.0846989714285717</v>
      </c>
      <c r="R627" s="431">
        <f t="shared" si="91"/>
        <v>0.35888002844214606</v>
      </c>
      <c r="S627" s="468">
        <v>1</v>
      </c>
      <c r="T627" s="248"/>
      <c r="U627" s="248"/>
      <c r="V627" s="248"/>
      <c r="W627" s="248"/>
      <c r="X627" s="248"/>
      <c r="Y627" s="248"/>
    </row>
    <row r="628" spans="1:25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18">
        <v>936.9</v>
      </c>
      <c r="G628" s="644">
        <f t="shared" si="90"/>
        <v>1043.4000000000001</v>
      </c>
      <c r="H628" s="858"/>
      <c r="I628" s="858">
        <v>105</v>
      </c>
      <c r="J628" s="418">
        <v>105</v>
      </c>
      <c r="K628" s="454">
        <f t="shared" si="93"/>
        <v>105</v>
      </c>
      <c r="L628" s="455">
        <f t="shared" si="92"/>
        <v>0.1388888888888889</v>
      </c>
      <c r="M628" s="177">
        <f t="shared" si="95"/>
        <v>280.14027777777778</v>
      </c>
      <c r="N628" s="456">
        <f t="shared" si="94"/>
        <v>103.0075801388889</v>
      </c>
      <c r="O628" s="427">
        <v>129.85833333333335</v>
      </c>
      <c r="P628" s="177">
        <f t="shared" si="96"/>
        <v>7.4820000000000011</v>
      </c>
      <c r="Q628" s="177">
        <f t="shared" si="97"/>
        <v>9.1205580000000026</v>
      </c>
      <c r="R628" s="431">
        <f t="shared" si="91"/>
        <v>0.55430052316293932</v>
      </c>
      <c r="S628" s="468">
        <v>2</v>
      </c>
      <c r="T628" s="248"/>
      <c r="U628" s="248"/>
      <c r="V628" s="248"/>
      <c r="W628" s="248"/>
      <c r="X628" s="248"/>
      <c r="Y628" s="248"/>
    </row>
    <row r="629" spans="1:25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18">
        <v>434.3</v>
      </c>
      <c r="G629" s="644">
        <f t="shared" si="90"/>
        <v>473.6</v>
      </c>
      <c r="H629" s="858"/>
      <c r="I629" s="858">
        <v>45</v>
      </c>
      <c r="J629" s="418">
        <v>45</v>
      </c>
      <c r="K629" s="454">
        <f t="shared" si="93"/>
        <v>45</v>
      </c>
      <c r="L629" s="455">
        <f t="shared" si="92"/>
        <v>5.9523809523809521E-2</v>
      </c>
      <c r="M629" s="177">
        <f t="shared" si="95"/>
        <v>120.06011904761904</v>
      </c>
      <c r="N629" s="456">
        <f t="shared" si="94"/>
        <v>44.146105773809523</v>
      </c>
      <c r="O629" s="427">
        <v>55.653571428571439</v>
      </c>
      <c r="P629" s="177">
        <f t="shared" si="96"/>
        <v>3.2065714285714289</v>
      </c>
      <c r="Q629" s="177">
        <f t="shared" si="97"/>
        <v>3.9088105714285719</v>
      </c>
      <c r="R629" s="431">
        <f t="shared" si="91"/>
        <v>0.51362276693200881</v>
      </c>
      <c r="S629" s="468">
        <v>2</v>
      </c>
      <c r="T629" s="248"/>
      <c r="U629" s="248"/>
      <c r="V629" s="248"/>
      <c r="W629" s="248"/>
      <c r="X629" s="248"/>
      <c r="Y629" s="248"/>
    </row>
    <row r="630" spans="1:25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18">
        <v>344.2</v>
      </c>
      <c r="G630" s="644">
        <f t="shared" si="90"/>
        <v>345.2</v>
      </c>
      <c r="H630" s="858"/>
      <c r="I630" s="858">
        <v>35</v>
      </c>
      <c r="J630" s="418">
        <v>35</v>
      </c>
      <c r="K630" s="454">
        <f t="shared" si="93"/>
        <v>35</v>
      </c>
      <c r="L630" s="455">
        <f t="shared" si="92"/>
        <v>4.6296296296296294E-2</v>
      </c>
      <c r="M630" s="177">
        <f t="shared" si="95"/>
        <v>93.38009259259259</v>
      </c>
      <c r="N630" s="456">
        <f t="shared" si="94"/>
        <v>34.335860046296297</v>
      </c>
      <c r="O630" s="427">
        <v>43.286111111111119</v>
      </c>
      <c r="P630" s="177">
        <f t="shared" si="96"/>
        <v>2.4940000000000002</v>
      </c>
      <c r="Q630" s="177">
        <f t="shared" si="97"/>
        <v>3.0401860000000003</v>
      </c>
      <c r="R630" s="431">
        <f t="shared" si="91"/>
        <v>0.50259578143105454</v>
      </c>
      <c r="S630" s="468">
        <v>6</v>
      </c>
      <c r="T630" s="248"/>
      <c r="U630" s="248"/>
      <c r="V630" s="248"/>
      <c r="W630" s="248"/>
      <c r="X630" s="248"/>
      <c r="Y630" s="248"/>
    </row>
    <row r="631" spans="1:25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18">
        <v>863.7</v>
      </c>
      <c r="G631" s="644">
        <f t="shared" si="90"/>
        <v>864.9</v>
      </c>
      <c r="H631" s="858"/>
      <c r="I631" s="858">
        <v>95</v>
      </c>
      <c r="J631" s="418">
        <v>95</v>
      </c>
      <c r="K631" s="454">
        <f t="shared" si="93"/>
        <v>95</v>
      </c>
      <c r="L631" s="455">
        <f t="shared" si="92"/>
        <v>0.12566137566137567</v>
      </c>
      <c r="M631" s="177">
        <f t="shared" si="95"/>
        <v>253.46025132275133</v>
      </c>
      <c r="N631" s="456">
        <f t="shared" si="94"/>
        <v>93.197334411375678</v>
      </c>
      <c r="O631" s="427">
        <v>117.49087301587304</v>
      </c>
      <c r="P631" s="177">
        <f t="shared" si="96"/>
        <v>6.7694285714285725</v>
      </c>
      <c r="Q631" s="177">
        <f t="shared" si="97"/>
        <v>8.2519334285714301</v>
      </c>
      <c r="R631" s="431">
        <f t="shared" si="91"/>
        <v>0.54447668784995795</v>
      </c>
      <c r="S631" s="468">
        <v>10</v>
      </c>
      <c r="T631" s="248"/>
      <c r="U631" s="248"/>
      <c r="V631" s="248"/>
      <c r="W631" s="248"/>
      <c r="X631" s="248"/>
      <c r="Y631" s="248"/>
    </row>
    <row r="632" spans="1:25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18">
        <v>1116.5</v>
      </c>
      <c r="G632" s="644">
        <f t="shared" si="90"/>
        <v>1116.9000000000001</v>
      </c>
      <c r="H632" s="858"/>
      <c r="I632" s="858">
        <v>180</v>
      </c>
      <c r="J632" s="418">
        <v>180</v>
      </c>
      <c r="K632" s="454">
        <f t="shared" si="93"/>
        <v>180</v>
      </c>
      <c r="L632" s="455">
        <f t="shared" si="92"/>
        <v>0.23809523809523808</v>
      </c>
      <c r="M632" s="177">
        <f t="shared" si="95"/>
        <v>480.24047619047616</v>
      </c>
      <c r="N632" s="456">
        <f t="shared" si="94"/>
        <v>176.58442309523809</v>
      </c>
      <c r="O632" s="427">
        <v>222.61428571428576</v>
      </c>
      <c r="P632" s="177">
        <f t="shared" si="96"/>
        <v>12.826285714285715</v>
      </c>
      <c r="Q632" s="177">
        <f t="shared" si="97"/>
        <v>15.635242285714288</v>
      </c>
      <c r="R632" s="431">
        <f t="shared" si="91"/>
        <v>0.79887677564176363</v>
      </c>
      <c r="S632" s="468">
        <v>9</v>
      </c>
      <c r="T632" s="248"/>
      <c r="U632" s="248"/>
      <c r="V632" s="248"/>
      <c r="W632" s="248"/>
      <c r="X632" s="248"/>
      <c r="Y632" s="248"/>
    </row>
    <row r="633" spans="1:25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18">
        <v>473</v>
      </c>
      <c r="G633" s="644">
        <f t="shared" si="90"/>
        <v>506.2</v>
      </c>
      <c r="H633" s="858"/>
      <c r="I633" s="858">
        <v>48</v>
      </c>
      <c r="J633" s="418">
        <v>48</v>
      </c>
      <c r="K633" s="454">
        <f t="shared" si="93"/>
        <v>48</v>
      </c>
      <c r="L633" s="455">
        <f t="shared" si="92"/>
        <v>6.3492063492063489E-2</v>
      </c>
      <c r="M633" s="177">
        <f t="shared" si="95"/>
        <v>128.06412698412697</v>
      </c>
      <c r="N633" s="456">
        <f t="shared" si="94"/>
        <v>47.089179492063494</v>
      </c>
      <c r="O633" s="427">
        <v>59.363809523809529</v>
      </c>
      <c r="P633" s="177">
        <f t="shared" si="96"/>
        <v>3.4203428571428574</v>
      </c>
      <c r="Q633" s="177">
        <f t="shared" si="97"/>
        <v>4.1693979428571435</v>
      </c>
      <c r="R633" s="431">
        <f t="shared" si="91"/>
        <v>0.50303902506795528</v>
      </c>
      <c r="S633" s="468">
        <v>10</v>
      </c>
      <c r="T633" s="248"/>
      <c r="U633" s="248"/>
      <c r="V633" s="248"/>
      <c r="W633" s="248"/>
      <c r="X633" s="248"/>
      <c r="Y633" s="248"/>
    </row>
    <row r="634" spans="1:25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18">
        <v>369.5</v>
      </c>
      <c r="G634" s="644">
        <f t="shared" ref="G634:G696" si="98">C634+D634+E634</f>
        <v>369.5</v>
      </c>
      <c r="H634" s="858"/>
      <c r="I634" s="858">
        <v>0</v>
      </c>
      <c r="J634" s="418"/>
      <c r="K634" s="454">
        <f t="shared" si="93"/>
        <v>0</v>
      </c>
      <c r="L634" s="455">
        <f t="shared" si="92"/>
        <v>0</v>
      </c>
      <c r="M634" s="177">
        <f t="shared" si="95"/>
        <v>0</v>
      </c>
      <c r="N634" s="456">
        <f t="shared" si="94"/>
        <v>0</v>
      </c>
      <c r="O634" s="427">
        <v>0</v>
      </c>
      <c r="P634" s="177">
        <f t="shared" si="96"/>
        <v>0</v>
      </c>
      <c r="Q634" s="177">
        <f t="shared" si="97"/>
        <v>0</v>
      </c>
      <c r="R634" s="431">
        <f t="shared" si="91"/>
        <v>0</v>
      </c>
      <c r="S634" s="468">
        <v>1</v>
      </c>
      <c r="T634" s="248"/>
      <c r="U634" s="248"/>
      <c r="V634" s="248"/>
      <c r="W634" s="248"/>
      <c r="X634" s="248"/>
      <c r="Y634" s="248"/>
    </row>
    <row r="635" spans="1:25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18">
        <v>510.2</v>
      </c>
      <c r="G635" s="644">
        <f t="shared" si="98"/>
        <v>510.1</v>
      </c>
      <c r="H635" s="858"/>
      <c r="I635" s="858">
        <v>65</v>
      </c>
      <c r="J635" s="418">
        <v>65</v>
      </c>
      <c r="K635" s="454">
        <f t="shared" si="93"/>
        <v>65</v>
      </c>
      <c r="L635" s="455">
        <f t="shared" si="92"/>
        <v>8.5978835978835974E-2</v>
      </c>
      <c r="M635" s="177">
        <f t="shared" si="95"/>
        <v>173.42017195767195</v>
      </c>
      <c r="N635" s="456">
        <f t="shared" si="94"/>
        <v>63.766597228835984</v>
      </c>
      <c r="O635" s="427">
        <v>80.388492063492066</v>
      </c>
      <c r="P635" s="177">
        <f t="shared" si="96"/>
        <v>4.6317142857142866</v>
      </c>
      <c r="Q635" s="177">
        <f t="shared" si="97"/>
        <v>5.6460597142857161</v>
      </c>
      <c r="R635" s="431">
        <f t="shared" si="91"/>
        <v>0.63165452957403312</v>
      </c>
      <c r="S635" s="468">
        <v>2</v>
      </c>
      <c r="T635" s="248"/>
      <c r="U635" s="248"/>
      <c r="V635" s="248"/>
      <c r="W635" s="248"/>
      <c r="X635" s="248"/>
      <c r="Y635" s="248"/>
    </row>
    <row r="636" spans="1:25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18">
        <v>312</v>
      </c>
      <c r="G636" s="644">
        <f t="shared" si="98"/>
        <v>312</v>
      </c>
      <c r="H636" s="858"/>
      <c r="I636" s="858">
        <v>0</v>
      </c>
      <c r="J636" s="418"/>
      <c r="K636" s="454">
        <f t="shared" si="93"/>
        <v>0</v>
      </c>
      <c r="L636" s="455">
        <f t="shared" si="92"/>
        <v>0</v>
      </c>
      <c r="M636" s="177">
        <f t="shared" si="95"/>
        <v>0</v>
      </c>
      <c r="N636" s="456">
        <f t="shared" si="94"/>
        <v>0</v>
      </c>
      <c r="O636" s="427">
        <v>0</v>
      </c>
      <c r="P636" s="177">
        <f t="shared" si="96"/>
        <v>0</v>
      </c>
      <c r="Q636" s="177">
        <f t="shared" si="97"/>
        <v>0</v>
      </c>
      <c r="R636" s="431">
        <f t="shared" si="91"/>
        <v>0</v>
      </c>
      <c r="S636" s="468">
        <v>2</v>
      </c>
      <c r="T636" s="248"/>
      <c r="U636" s="248"/>
      <c r="V636" s="248"/>
      <c r="W636" s="248"/>
      <c r="X636" s="248"/>
      <c r="Y636" s="248"/>
    </row>
    <row r="637" spans="1:25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18">
        <v>475.4</v>
      </c>
      <c r="G637" s="644">
        <f t="shared" si="98"/>
        <v>488.2</v>
      </c>
      <c r="H637" s="858"/>
      <c r="I637" s="858">
        <v>55</v>
      </c>
      <c r="J637" s="418">
        <v>55</v>
      </c>
      <c r="K637" s="454">
        <f t="shared" si="93"/>
        <v>55</v>
      </c>
      <c r="L637" s="455">
        <f t="shared" si="92"/>
        <v>7.2751322751322747E-2</v>
      </c>
      <c r="M637" s="177">
        <f t="shared" si="95"/>
        <v>146.7401455026455</v>
      </c>
      <c r="N637" s="456">
        <f t="shared" si="94"/>
        <v>53.956351501322757</v>
      </c>
      <c r="O637" s="427">
        <v>68.021031746031753</v>
      </c>
      <c r="P637" s="177">
        <f t="shared" si="96"/>
        <v>3.9191428571428575</v>
      </c>
      <c r="Q637" s="177">
        <f t="shared" si="97"/>
        <v>4.7774351428571435</v>
      </c>
      <c r="R637" s="431">
        <f t="shared" si="91"/>
        <v>0.55845283000234103</v>
      </c>
      <c r="S637" s="468"/>
      <c r="T637" s="248"/>
      <c r="U637" s="248"/>
      <c r="V637" s="248"/>
      <c r="W637" s="248"/>
      <c r="X637" s="248"/>
      <c r="Y637" s="248"/>
    </row>
    <row r="638" spans="1:25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18">
        <v>223.7</v>
      </c>
      <c r="G638" s="644">
        <f t="shared" si="98"/>
        <v>223.7</v>
      </c>
      <c r="H638" s="858"/>
      <c r="I638" s="858">
        <v>23</v>
      </c>
      <c r="J638" s="418">
        <v>23</v>
      </c>
      <c r="K638" s="454">
        <f t="shared" si="93"/>
        <v>23</v>
      </c>
      <c r="L638" s="455">
        <f t="shared" si="92"/>
        <v>3.0423280423280422E-2</v>
      </c>
      <c r="M638" s="177">
        <f t="shared" si="95"/>
        <v>61.364060846560839</v>
      </c>
      <c r="N638" s="456">
        <f t="shared" si="94"/>
        <v>22.563565173280423</v>
      </c>
      <c r="O638" s="427">
        <v>28.445158730158731</v>
      </c>
      <c r="P638" s="177">
        <f t="shared" si="96"/>
        <v>1.6389142857142858</v>
      </c>
      <c r="Q638" s="177">
        <f t="shared" si="97"/>
        <v>1.9978365142857144</v>
      </c>
      <c r="R638" s="431">
        <f t="shared" si="91"/>
        <v>0.50966338415607637</v>
      </c>
      <c r="S638" s="468"/>
      <c r="T638" s="248"/>
      <c r="U638" s="248"/>
      <c r="V638" s="248"/>
      <c r="W638" s="248"/>
      <c r="X638" s="248"/>
      <c r="Y638" s="248"/>
    </row>
    <row r="639" spans="1:25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18">
        <v>387.8</v>
      </c>
      <c r="G639" s="644">
        <f t="shared" si="98"/>
        <v>388.5</v>
      </c>
      <c r="H639" s="858"/>
      <c r="I639" s="858">
        <v>30</v>
      </c>
      <c r="J639" s="418">
        <v>30</v>
      </c>
      <c r="K639" s="454">
        <f t="shared" si="93"/>
        <v>30</v>
      </c>
      <c r="L639" s="455">
        <f t="shared" si="92"/>
        <v>3.968253968253968E-2</v>
      </c>
      <c r="M639" s="177">
        <f t="shared" si="95"/>
        <v>80.040079365079364</v>
      </c>
      <c r="N639" s="456">
        <f t="shared" si="94"/>
        <v>29.430737182539684</v>
      </c>
      <c r="O639" s="427">
        <v>37.102380952380955</v>
      </c>
      <c r="P639" s="177">
        <f t="shared" si="96"/>
        <v>2.1377142857142859</v>
      </c>
      <c r="Q639" s="177">
        <f t="shared" si="97"/>
        <v>2.6058737142857149</v>
      </c>
      <c r="R639" s="431">
        <f t="shared" si="91"/>
        <v>0.38278226971869828</v>
      </c>
      <c r="S639" s="468"/>
      <c r="T639" s="248"/>
      <c r="U639" s="248"/>
      <c r="V639" s="248"/>
      <c r="W639" s="248"/>
      <c r="X639" s="248"/>
      <c r="Y639" s="248"/>
    </row>
    <row r="640" spans="1:25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18">
        <v>519.12</v>
      </c>
      <c r="G640" s="644">
        <f t="shared" si="98"/>
        <v>528.32000000000005</v>
      </c>
      <c r="H640" s="858"/>
      <c r="I640" s="858">
        <v>60</v>
      </c>
      <c r="J640" s="418">
        <v>60</v>
      </c>
      <c r="K640" s="454">
        <f t="shared" si="93"/>
        <v>60</v>
      </c>
      <c r="L640" s="455">
        <f t="shared" si="92"/>
        <v>7.9365079365079361E-2</v>
      </c>
      <c r="M640" s="177">
        <f t="shared" si="95"/>
        <v>160.08015873015873</v>
      </c>
      <c r="N640" s="456">
        <f t="shared" si="94"/>
        <v>58.861474365079367</v>
      </c>
      <c r="O640" s="427">
        <v>74.204761904761909</v>
      </c>
      <c r="P640" s="177">
        <f t="shared" si="96"/>
        <v>4.2754285714285718</v>
      </c>
      <c r="Q640" s="177">
        <f t="shared" si="97"/>
        <v>5.2117474285714298</v>
      </c>
      <c r="R640" s="431">
        <f t="shared" si="91"/>
        <v>0.56295772178117154</v>
      </c>
      <c r="S640" s="468"/>
      <c r="T640" s="248"/>
      <c r="U640" s="248"/>
      <c r="V640" s="248"/>
      <c r="W640" s="248"/>
      <c r="X640" s="248"/>
      <c r="Y640" s="248"/>
    </row>
    <row r="641" spans="1:25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18">
        <v>262.17</v>
      </c>
      <c r="G641" s="644">
        <f t="shared" si="98"/>
        <v>262.17</v>
      </c>
      <c r="H641" s="858"/>
      <c r="I641" s="858">
        <v>20</v>
      </c>
      <c r="J641" s="418">
        <v>20</v>
      </c>
      <c r="K641" s="454">
        <f t="shared" si="93"/>
        <v>20</v>
      </c>
      <c r="L641" s="455">
        <f t="shared" si="92"/>
        <v>2.6455026455026454E-2</v>
      </c>
      <c r="M641" s="177">
        <f t="shared" si="95"/>
        <v>53.360052910052907</v>
      </c>
      <c r="N641" s="456">
        <f t="shared" si="94"/>
        <v>19.620491455026457</v>
      </c>
      <c r="O641" s="427">
        <v>24.734920634920638</v>
      </c>
      <c r="P641" s="177">
        <f t="shared" si="96"/>
        <v>1.4251428571428573</v>
      </c>
      <c r="Q641" s="177">
        <f t="shared" si="97"/>
        <v>1.737249142857143</v>
      </c>
      <c r="R641" s="431">
        <f t="shared" si="91"/>
        <v>0.37815389959622714</v>
      </c>
      <c r="S641" s="468"/>
      <c r="T641" s="248"/>
      <c r="U641" s="248"/>
      <c r="V641" s="248"/>
      <c r="W641" s="248"/>
      <c r="X641" s="248"/>
      <c r="Y641" s="248"/>
    </row>
    <row r="642" spans="1:25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18">
        <v>513.29999999999995</v>
      </c>
      <c r="G642" s="644">
        <f t="shared" si="98"/>
        <v>513.29999999999995</v>
      </c>
      <c r="H642" s="858"/>
      <c r="I642" s="858">
        <v>58</v>
      </c>
      <c r="J642" s="418">
        <v>58</v>
      </c>
      <c r="K642" s="454">
        <f t="shared" si="93"/>
        <v>58</v>
      </c>
      <c r="L642" s="455">
        <f t="shared" si="92"/>
        <v>7.6719576719576715E-2</v>
      </c>
      <c r="M642" s="177">
        <f t="shared" si="95"/>
        <v>154.74415343915342</v>
      </c>
      <c r="N642" s="456">
        <f t="shared" si="94"/>
        <v>56.89942521957672</v>
      </c>
      <c r="O642" s="427">
        <v>71.73126984126985</v>
      </c>
      <c r="P642" s="177">
        <f t="shared" si="96"/>
        <v>4.1329142857142864</v>
      </c>
      <c r="Q642" s="177">
        <f t="shared" si="97"/>
        <v>5.0380225142857151</v>
      </c>
      <c r="R642" s="431">
        <f t="shared" si="91"/>
        <v>0.56011642857142852</v>
      </c>
      <c r="S642" s="468"/>
      <c r="T642" s="248"/>
      <c r="U642" s="248"/>
      <c r="V642" s="248"/>
      <c r="W642" s="248"/>
      <c r="X642" s="248"/>
      <c r="Y642" s="248"/>
    </row>
    <row r="643" spans="1:25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18">
        <v>578.9</v>
      </c>
      <c r="G643" s="644">
        <f t="shared" si="98"/>
        <v>577.70000000000005</v>
      </c>
      <c r="H643" s="858"/>
      <c r="I643" s="858">
        <v>35</v>
      </c>
      <c r="J643" s="418">
        <v>35</v>
      </c>
      <c r="K643" s="454">
        <f t="shared" si="93"/>
        <v>35</v>
      </c>
      <c r="L643" s="455">
        <f t="shared" si="92"/>
        <v>4.6296296296296294E-2</v>
      </c>
      <c r="M643" s="177">
        <f t="shared" si="95"/>
        <v>93.38009259259259</v>
      </c>
      <c r="N643" s="456">
        <f t="shared" si="94"/>
        <v>34.335860046296297</v>
      </c>
      <c r="O643" s="427">
        <v>43.286111111111119</v>
      </c>
      <c r="P643" s="177">
        <f t="shared" si="96"/>
        <v>2.4940000000000002</v>
      </c>
      <c r="Q643" s="177">
        <f t="shared" si="97"/>
        <v>3.0401860000000003</v>
      </c>
      <c r="R643" s="431">
        <f t="shared" si="91"/>
        <v>0.30032207676994982</v>
      </c>
      <c r="S643" s="468"/>
      <c r="T643" s="248"/>
      <c r="U643" s="248"/>
      <c r="V643" s="248"/>
      <c r="W643" s="248"/>
      <c r="X643" s="248"/>
      <c r="Y643" s="248"/>
    </row>
    <row r="644" spans="1:25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18">
        <v>432.4</v>
      </c>
      <c r="G644" s="644">
        <f t="shared" si="98"/>
        <v>432.4</v>
      </c>
      <c r="H644" s="858"/>
      <c r="I644" s="858">
        <v>42</v>
      </c>
      <c r="J644" s="418">
        <v>42</v>
      </c>
      <c r="K644" s="454">
        <f t="shared" si="93"/>
        <v>42</v>
      </c>
      <c r="L644" s="455">
        <f t="shared" si="92"/>
        <v>5.5555555555555552E-2</v>
      </c>
      <c r="M644" s="177">
        <f t="shared" si="95"/>
        <v>112.05611111111111</v>
      </c>
      <c r="N644" s="456">
        <f t="shared" si="94"/>
        <v>41.20303205555556</v>
      </c>
      <c r="O644" s="427">
        <v>51.943333333333335</v>
      </c>
      <c r="P644" s="177">
        <f t="shared" si="96"/>
        <v>2.9928000000000003</v>
      </c>
      <c r="Q644" s="177">
        <f t="shared" si="97"/>
        <v>3.6482232000000008</v>
      </c>
      <c r="R644" s="431">
        <f t="shared" si="91"/>
        <v>0.4814876884828862</v>
      </c>
      <c r="S644" s="468"/>
      <c r="T644" s="248"/>
      <c r="U644" s="248"/>
      <c r="V644" s="248"/>
      <c r="W644" s="248"/>
      <c r="X644" s="248"/>
      <c r="Y644" s="248"/>
    </row>
    <row r="645" spans="1:25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18">
        <v>488.9</v>
      </c>
      <c r="G645" s="644">
        <f t="shared" si="98"/>
        <v>488.9</v>
      </c>
      <c r="H645" s="858"/>
      <c r="I645" s="858">
        <v>50</v>
      </c>
      <c r="J645" s="418">
        <v>50</v>
      </c>
      <c r="K645" s="454">
        <f t="shared" si="93"/>
        <v>50</v>
      </c>
      <c r="L645" s="455">
        <f t="shared" si="92"/>
        <v>6.6137566137566134E-2</v>
      </c>
      <c r="M645" s="177">
        <f t="shared" si="95"/>
        <v>133.40013227513228</v>
      </c>
      <c r="N645" s="456">
        <f t="shared" si="94"/>
        <v>49.05122863756614</v>
      </c>
      <c r="O645" s="427">
        <v>61.837301587301589</v>
      </c>
      <c r="P645" s="177">
        <f t="shared" si="96"/>
        <v>3.5628571428571432</v>
      </c>
      <c r="Q645" s="177">
        <f t="shared" si="97"/>
        <v>4.3431228571428582</v>
      </c>
      <c r="R645" s="431">
        <f t="shared" si="91"/>
        <v>0.50695749569003312</v>
      </c>
      <c r="S645" s="468"/>
      <c r="T645" s="248"/>
      <c r="U645" s="248"/>
      <c r="V645" s="248"/>
      <c r="W645" s="248"/>
      <c r="X645" s="248"/>
      <c r="Y645" s="248"/>
    </row>
    <row r="646" spans="1:25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18">
        <v>540.1</v>
      </c>
      <c r="G646" s="644">
        <f t="shared" si="98"/>
        <v>540.1</v>
      </c>
      <c r="H646" s="858"/>
      <c r="I646" s="858">
        <v>45</v>
      </c>
      <c r="J646" s="418">
        <v>45</v>
      </c>
      <c r="K646" s="454">
        <f t="shared" si="93"/>
        <v>45</v>
      </c>
      <c r="L646" s="455">
        <f t="shared" si="92"/>
        <v>5.9523809523809521E-2</v>
      </c>
      <c r="M646" s="177">
        <f t="shared" si="95"/>
        <v>120.06011904761904</v>
      </c>
      <c r="N646" s="456">
        <f t="shared" si="94"/>
        <v>44.146105773809523</v>
      </c>
      <c r="O646" s="427">
        <v>55.653571428571439</v>
      </c>
      <c r="P646" s="177">
        <f t="shared" si="96"/>
        <v>3.2065714285714289</v>
      </c>
      <c r="Q646" s="177">
        <f t="shared" si="97"/>
        <v>3.9088105714285719</v>
      </c>
      <c r="R646" s="431">
        <f t="shared" si="91"/>
        <v>0.41300938285238187</v>
      </c>
      <c r="S646" s="468"/>
      <c r="T646" s="248"/>
      <c r="U646" s="248"/>
      <c r="V646" s="248"/>
      <c r="W646" s="248"/>
      <c r="X646" s="248"/>
      <c r="Y646" s="248"/>
    </row>
    <row r="647" spans="1:25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18">
        <v>237.82</v>
      </c>
      <c r="G647" s="644">
        <f t="shared" si="98"/>
        <v>236.8</v>
      </c>
      <c r="H647" s="858"/>
      <c r="I647" s="858">
        <v>0</v>
      </c>
      <c r="J647" s="418"/>
      <c r="K647" s="454">
        <f t="shared" si="93"/>
        <v>0</v>
      </c>
      <c r="L647" s="455">
        <f t="shared" si="92"/>
        <v>0</v>
      </c>
      <c r="M647" s="177">
        <f t="shared" si="95"/>
        <v>0</v>
      </c>
      <c r="N647" s="456">
        <f t="shared" si="94"/>
        <v>0</v>
      </c>
      <c r="O647" s="427">
        <v>0</v>
      </c>
      <c r="P647" s="177">
        <f t="shared" si="96"/>
        <v>0</v>
      </c>
      <c r="Q647" s="177">
        <f t="shared" si="97"/>
        <v>0</v>
      </c>
      <c r="R647" s="431">
        <f t="shared" ref="R647:R710" si="99">(M647+N647+O647+P647)/C647</f>
        <v>0</v>
      </c>
      <c r="S647" s="468"/>
      <c r="T647" s="248"/>
      <c r="U647" s="248"/>
      <c r="V647" s="248"/>
      <c r="W647" s="248"/>
      <c r="X647" s="248"/>
      <c r="Y647" s="248"/>
    </row>
    <row r="648" spans="1:25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18">
        <v>375.5</v>
      </c>
      <c r="G648" s="644">
        <f t="shared" si="98"/>
        <v>375.5</v>
      </c>
      <c r="H648" s="858"/>
      <c r="I648" s="858">
        <v>20</v>
      </c>
      <c r="J648" s="418">
        <v>20</v>
      </c>
      <c r="K648" s="454">
        <f t="shared" si="93"/>
        <v>20</v>
      </c>
      <c r="L648" s="455">
        <f t="shared" ref="L648:L709" si="100">(H648/840)+(I648/756)</f>
        <v>2.6455026455026454E-2</v>
      </c>
      <c r="M648" s="177">
        <f t="shared" si="95"/>
        <v>53.360052910052907</v>
      </c>
      <c r="N648" s="456">
        <f t="shared" si="94"/>
        <v>19.620491455026457</v>
      </c>
      <c r="O648" s="427">
        <v>24.734920634920638</v>
      </c>
      <c r="P648" s="177">
        <f t="shared" si="96"/>
        <v>1.4251428571428573</v>
      </c>
      <c r="Q648" s="177">
        <f t="shared" si="97"/>
        <v>1.737249142857143</v>
      </c>
      <c r="R648" s="431">
        <f t="shared" si="99"/>
        <v>0.26402292372075331</v>
      </c>
      <c r="S648" s="468"/>
      <c r="T648" s="248"/>
      <c r="U648" s="248"/>
      <c r="V648" s="248"/>
      <c r="W648" s="248"/>
      <c r="X648" s="248"/>
      <c r="Y648" s="248"/>
    </row>
    <row r="649" spans="1:25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18">
        <v>562.98</v>
      </c>
      <c r="G649" s="644">
        <f t="shared" si="98"/>
        <v>618.54</v>
      </c>
      <c r="H649" s="858"/>
      <c r="I649" s="858">
        <v>65</v>
      </c>
      <c r="J649" s="418">
        <v>65</v>
      </c>
      <c r="K649" s="454">
        <f t="shared" si="93"/>
        <v>65</v>
      </c>
      <c r="L649" s="455">
        <f t="shared" si="100"/>
        <v>8.5978835978835974E-2</v>
      </c>
      <c r="M649" s="177">
        <f t="shared" si="95"/>
        <v>173.42017195767195</v>
      </c>
      <c r="N649" s="456">
        <f t="shared" si="94"/>
        <v>63.766597228835984</v>
      </c>
      <c r="O649" s="427">
        <v>80.388492063492066</v>
      </c>
      <c r="P649" s="177">
        <f t="shared" si="96"/>
        <v>4.6317142857142866</v>
      </c>
      <c r="Q649" s="177">
        <f t="shared" si="97"/>
        <v>5.6460597142857161</v>
      </c>
      <c r="R649" s="431">
        <f t="shared" si="99"/>
        <v>0.58303230952467122</v>
      </c>
      <c r="S649" s="468"/>
      <c r="T649" s="248"/>
      <c r="U649" s="248"/>
      <c r="V649" s="248"/>
      <c r="W649" s="248"/>
      <c r="X649" s="248"/>
      <c r="Y649" s="248"/>
    </row>
    <row r="650" spans="1:25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18">
        <v>473.5</v>
      </c>
      <c r="G650" s="644">
        <f t="shared" si="98"/>
        <v>473.5</v>
      </c>
      <c r="H650" s="858"/>
      <c r="I650" s="858">
        <v>26</v>
      </c>
      <c r="J650" s="418">
        <v>26</v>
      </c>
      <c r="K650" s="454">
        <f t="shared" si="93"/>
        <v>26</v>
      </c>
      <c r="L650" s="455">
        <f t="shared" si="100"/>
        <v>3.439153439153439E-2</v>
      </c>
      <c r="M650" s="177">
        <f t="shared" si="95"/>
        <v>69.368068783068779</v>
      </c>
      <c r="N650" s="456">
        <f t="shared" si="94"/>
        <v>25.506638891534394</v>
      </c>
      <c r="O650" s="427">
        <v>32.155396825396828</v>
      </c>
      <c r="P650" s="177">
        <f t="shared" si="96"/>
        <v>1.8526857142857143</v>
      </c>
      <c r="Q650" s="177">
        <f t="shared" si="97"/>
        <v>2.258423885714286</v>
      </c>
      <c r="R650" s="431">
        <f t="shared" si="99"/>
        <v>0.27219174279680192</v>
      </c>
      <c r="S650" s="468"/>
      <c r="T650" s="248"/>
      <c r="U650" s="248"/>
      <c r="V650" s="248"/>
      <c r="W650" s="248"/>
      <c r="X650" s="248"/>
      <c r="Y650" s="248"/>
    </row>
    <row r="651" spans="1:25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18">
        <v>280.39999999999998</v>
      </c>
      <c r="G651" s="644">
        <f t="shared" si="98"/>
        <v>281.8</v>
      </c>
      <c r="H651" s="858"/>
      <c r="I651" s="858">
        <v>0</v>
      </c>
      <c r="J651" s="418"/>
      <c r="K651" s="454">
        <f t="shared" si="93"/>
        <v>0</v>
      </c>
      <c r="L651" s="455">
        <f t="shared" si="100"/>
        <v>0</v>
      </c>
      <c r="M651" s="177">
        <f t="shared" si="95"/>
        <v>0</v>
      </c>
      <c r="N651" s="456">
        <f t="shared" si="94"/>
        <v>0</v>
      </c>
      <c r="O651" s="427">
        <v>0</v>
      </c>
      <c r="P651" s="177">
        <f t="shared" si="96"/>
        <v>0</v>
      </c>
      <c r="Q651" s="177">
        <f t="shared" si="97"/>
        <v>0</v>
      </c>
      <c r="R651" s="431">
        <f t="shared" si="99"/>
        <v>0</v>
      </c>
      <c r="S651" s="468"/>
      <c r="T651" s="248"/>
      <c r="U651" s="248"/>
      <c r="V651" s="248"/>
      <c r="W651" s="248"/>
      <c r="X651" s="248"/>
      <c r="Y651" s="248"/>
    </row>
    <row r="652" spans="1:25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18">
        <v>264.3</v>
      </c>
      <c r="G652" s="644">
        <f t="shared" si="98"/>
        <v>295.89999999999998</v>
      </c>
      <c r="H652" s="858"/>
      <c r="I652" s="858">
        <v>0</v>
      </c>
      <c r="J652" s="418"/>
      <c r="K652" s="454">
        <f t="shared" si="93"/>
        <v>0</v>
      </c>
      <c r="L652" s="455">
        <f t="shared" si="100"/>
        <v>0</v>
      </c>
      <c r="M652" s="177">
        <f t="shared" si="95"/>
        <v>0</v>
      </c>
      <c r="N652" s="456">
        <f t="shared" si="94"/>
        <v>0</v>
      </c>
      <c r="O652" s="427">
        <v>0</v>
      </c>
      <c r="P652" s="177">
        <f t="shared" si="96"/>
        <v>0</v>
      </c>
      <c r="Q652" s="177">
        <f t="shared" si="97"/>
        <v>0</v>
      </c>
      <c r="R652" s="431">
        <f t="shared" si="99"/>
        <v>0</v>
      </c>
      <c r="S652" s="468"/>
      <c r="T652" s="248"/>
      <c r="U652" s="248"/>
      <c r="V652" s="248"/>
      <c r="W652" s="248"/>
      <c r="X652" s="248"/>
      <c r="Y652" s="248"/>
    </row>
    <row r="653" spans="1:25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18">
        <v>345</v>
      </c>
      <c r="G653" s="644">
        <f t="shared" si="98"/>
        <v>346.1</v>
      </c>
      <c r="H653" s="858"/>
      <c r="I653" s="858">
        <v>28</v>
      </c>
      <c r="J653" s="418">
        <v>28</v>
      </c>
      <c r="K653" s="454">
        <f t="shared" si="93"/>
        <v>28</v>
      </c>
      <c r="L653" s="455">
        <f t="shared" si="100"/>
        <v>3.7037037037037035E-2</v>
      </c>
      <c r="M653" s="177">
        <f t="shared" si="95"/>
        <v>74.704074074074072</v>
      </c>
      <c r="N653" s="456">
        <f t="shared" si="94"/>
        <v>27.468688037037037</v>
      </c>
      <c r="O653" s="427">
        <v>34.628888888888888</v>
      </c>
      <c r="P653" s="177">
        <f t="shared" si="96"/>
        <v>1.9952000000000001</v>
      </c>
      <c r="Q653" s="177">
        <f t="shared" si="97"/>
        <v>2.4321488000000002</v>
      </c>
      <c r="R653" s="431">
        <f t="shared" si="99"/>
        <v>0.40103106327650967</v>
      </c>
      <c r="S653" s="468"/>
      <c r="T653" s="248"/>
      <c r="U653" s="248"/>
      <c r="V653" s="248"/>
      <c r="W653" s="248"/>
      <c r="X653" s="248"/>
      <c r="Y653" s="248"/>
    </row>
    <row r="654" spans="1:25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18">
        <v>665.4</v>
      </c>
      <c r="G654" s="644">
        <f t="shared" si="98"/>
        <v>665.4</v>
      </c>
      <c r="H654" s="858"/>
      <c r="I654" s="858">
        <v>95</v>
      </c>
      <c r="J654" s="418">
        <v>95</v>
      </c>
      <c r="K654" s="454">
        <f t="shared" si="93"/>
        <v>95</v>
      </c>
      <c r="L654" s="455">
        <f t="shared" si="100"/>
        <v>0.12566137566137567</v>
      </c>
      <c r="M654" s="177">
        <f t="shared" si="95"/>
        <v>253.46025132275133</v>
      </c>
      <c r="N654" s="456">
        <f t="shared" si="94"/>
        <v>93.197334411375678</v>
      </c>
      <c r="O654" s="427">
        <v>97.909060846560848</v>
      </c>
      <c r="P654" s="177">
        <f t="shared" si="96"/>
        <v>6.7694285714285725</v>
      </c>
      <c r="Q654" s="177">
        <f t="shared" si="97"/>
        <v>8.2519334285714301</v>
      </c>
      <c r="R654" s="431">
        <f t="shared" si="99"/>
        <v>0.71368765836830561</v>
      </c>
      <c r="S654" s="468"/>
      <c r="T654" s="248"/>
      <c r="U654" s="248"/>
      <c r="V654" s="248"/>
      <c r="W654" s="248"/>
      <c r="X654" s="248"/>
      <c r="Y654" s="248"/>
    </row>
    <row r="655" spans="1:25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18">
        <v>415.51</v>
      </c>
      <c r="G655" s="644">
        <f t="shared" si="98"/>
        <v>415.51</v>
      </c>
      <c r="H655" s="858"/>
      <c r="I655" s="858">
        <v>60</v>
      </c>
      <c r="J655" s="418">
        <v>60</v>
      </c>
      <c r="K655" s="454">
        <f t="shared" si="93"/>
        <v>60</v>
      </c>
      <c r="L655" s="455">
        <f t="shared" si="100"/>
        <v>7.9365079365079361E-2</v>
      </c>
      <c r="M655" s="177">
        <f t="shared" si="95"/>
        <v>160.08015873015873</v>
      </c>
      <c r="N655" s="456">
        <f t="shared" si="94"/>
        <v>58.861474365079367</v>
      </c>
      <c r="O655" s="427">
        <v>74.204761904761909</v>
      </c>
      <c r="P655" s="177">
        <f t="shared" si="96"/>
        <v>4.2754285714285718</v>
      </c>
      <c r="Q655" s="177">
        <f t="shared" si="97"/>
        <v>5.2117474285714298</v>
      </c>
      <c r="R655" s="431">
        <f t="shared" si="99"/>
        <v>0.71579943580522387</v>
      </c>
      <c r="S655" s="468"/>
      <c r="T655" s="248"/>
      <c r="U655" s="248"/>
      <c r="V655" s="248"/>
      <c r="W655" s="248"/>
      <c r="X655" s="248"/>
      <c r="Y655" s="248"/>
    </row>
    <row r="656" spans="1:25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18">
        <v>1571.3</v>
      </c>
      <c r="G656" s="644">
        <f t="shared" si="98"/>
        <v>1654.8</v>
      </c>
      <c r="H656" s="858">
        <v>198</v>
      </c>
      <c r="I656" s="858"/>
      <c r="J656" s="418">
        <v>198</v>
      </c>
      <c r="K656" s="454">
        <f t="shared" ref="K656:K664" si="101">H656+I656</f>
        <v>198</v>
      </c>
      <c r="L656" s="455">
        <f t="shared" si="100"/>
        <v>0.23571428571428571</v>
      </c>
      <c r="M656" s="177">
        <f t="shared" si="95"/>
        <v>475.43807142857139</v>
      </c>
      <c r="N656" s="456">
        <f t="shared" ref="N656:N717" si="102">M656*0.3677</f>
        <v>174.81857886428571</v>
      </c>
      <c r="O656" s="427">
        <v>183.65678571428572</v>
      </c>
      <c r="P656" s="177">
        <f t="shared" si="96"/>
        <v>12.698022857142858</v>
      </c>
      <c r="Q656" s="177">
        <f t="shared" si="97"/>
        <v>15.478889862857145</v>
      </c>
      <c r="R656" s="431">
        <f t="shared" si="99"/>
        <v>0.5620843572329608</v>
      </c>
      <c r="S656" s="468"/>
      <c r="T656" s="248"/>
      <c r="U656" s="248"/>
      <c r="V656" s="248"/>
      <c r="W656" s="248"/>
      <c r="X656" s="248"/>
      <c r="Y656" s="248"/>
    </row>
    <row r="657" spans="1:25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18">
        <v>3218.2</v>
      </c>
      <c r="G657" s="644">
        <f t="shared" si="98"/>
        <v>3220.9</v>
      </c>
      <c r="H657" s="858">
        <v>282</v>
      </c>
      <c r="I657" s="858"/>
      <c r="J657" s="418">
        <v>282</v>
      </c>
      <c r="K657" s="454">
        <f t="shared" si="101"/>
        <v>282</v>
      </c>
      <c r="L657" s="455">
        <f t="shared" si="100"/>
        <v>0.33571428571428569</v>
      </c>
      <c r="M657" s="177">
        <f t="shared" si="95"/>
        <v>677.13907142857136</v>
      </c>
      <c r="N657" s="456">
        <f t="shared" si="102"/>
        <v>248.9840365642857</v>
      </c>
      <c r="O657" s="427">
        <v>261.57178571428568</v>
      </c>
      <c r="P657" s="177">
        <f t="shared" si="96"/>
        <v>18.085062857142859</v>
      </c>
      <c r="Q657" s="177">
        <f t="shared" si="97"/>
        <v>22.045691622857145</v>
      </c>
      <c r="R657" s="431">
        <f t="shared" si="99"/>
        <v>0.37436118990477368</v>
      </c>
      <c r="S657" s="468"/>
      <c r="T657" s="248"/>
      <c r="U657" s="248"/>
      <c r="V657" s="248"/>
      <c r="W657" s="248"/>
      <c r="X657" s="248"/>
      <c r="Y657" s="248"/>
    </row>
    <row r="658" spans="1:25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18">
        <v>3590.97</v>
      </c>
      <c r="G658" s="644">
        <f t="shared" si="98"/>
        <v>3593.47</v>
      </c>
      <c r="H658" s="858">
        <v>280</v>
      </c>
      <c r="I658" s="858"/>
      <c r="J658" s="418">
        <v>280</v>
      </c>
      <c r="K658" s="454">
        <f t="shared" si="101"/>
        <v>280</v>
      </c>
      <c r="L658" s="455">
        <f t="shared" si="100"/>
        <v>0.33333333333333331</v>
      </c>
      <c r="M658" s="177">
        <f t="shared" si="95"/>
        <v>672.33666666666659</v>
      </c>
      <c r="N658" s="456">
        <f t="shared" si="102"/>
        <v>247.21819233333332</v>
      </c>
      <c r="O658" s="427">
        <v>259.71666666666664</v>
      </c>
      <c r="P658" s="177">
        <f t="shared" si="96"/>
        <v>17.956800000000001</v>
      </c>
      <c r="Q658" s="177">
        <f t="shared" si="97"/>
        <v>21.889339200000002</v>
      </c>
      <c r="R658" s="431">
        <f t="shared" si="99"/>
        <v>0.33316775308174734</v>
      </c>
      <c r="S658" s="468"/>
      <c r="T658" s="248"/>
      <c r="U658" s="248"/>
      <c r="V658" s="248"/>
      <c r="W658" s="248"/>
      <c r="X658" s="248"/>
      <c r="Y658" s="248"/>
    </row>
    <row r="659" spans="1:25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18">
        <v>5247.78</v>
      </c>
      <c r="G659" s="644">
        <f t="shared" si="98"/>
        <v>5258.9</v>
      </c>
      <c r="H659" s="858">
        <v>422</v>
      </c>
      <c r="I659" s="858"/>
      <c r="J659" s="418">
        <v>422</v>
      </c>
      <c r="K659" s="454">
        <f t="shared" si="101"/>
        <v>422</v>
      </c>
      <c r="L659" s="455">
        <f t="shared" si="100"/>
        <v>0.50238095238095237</v>
      </c>
      <c r="M659" s="177">
        <f t="shared" si="95"/>
        <v>1013.3074047619048</v>
      </c>
      <c r="N659" s="456">
        <f t="shared" si="102"/>
        <v>372.59313273095239</v>
      </c>
      <c r="O659" s="427">
        <v>469.71614285714293</v>
      </c>
      <c r="P659" s="177">
        <f t="shared" si="96"/>
        <v>27.063462857142859</v>
      </c>
      <c r="Q659" s="177">
        <f t="shared" si="97"/>
        <v>32.990361222857146</v>
      </c>
      <c r="R659" s="431">
        <f t="shared" si="99"/>
        <v>0.35799884827761375</v>
      </c>
      <c r="S659" s="468"/>
      <c r="T659" s="248"/>
      <c r="U659" s="248"/>
      <c r="V659" s="248"/>
      <c r="W659" s="248"/>
      <c r="X659" s="248"/>
      <c r="Y659" s="248"/>
    </row>
    <row r="660" spans="1:25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18">
        <v>3727.91</v>
      </c>
      <c r="G660" s="644">
        <f t="shared" si="98"/>
        <v>3743.95</v>
      </c>
      <c r="H660" s="858">
        <v>315</v>
      </c>
      <c r="I660" s="858"/>
      <c r="J660" s="418">
        <v>315</v>
      </c>
      <c r="K660" s="454">
        <f t="shared" si="101"/>
        <v>315</v>
      </c>
      <c r="L660" s="455">
        <f t="shared" si="100"/>
        <v>0.375</v>
      </c>
      <c r="M660" s="177">
        <f t="shared" si="95"/>
        <v>756.37874999999997</v>
      </c>
      <c r="N660" s="456">
        <f t="shared" si="102"/>
        <v>278.12046637500003</v>
      </c>
      <c r="O660" s="427">
        <v>292.18124999999998</v>
      </c>
      <c r="P660" s="177">
        <f t="shared" si="96"/>
        <v>20.201400000000003</v>
      </c>
      <c r="Q660" s="177">
        <f t="shared" si="97"/>
        <v>24.625506600000005</v>
      </c>
      <c r="R660" s="431">
        <f t="shared" si="99"/>
        <v>0.35974889258002907</v>
      </c>
      <c r="S660" s="468"/>
      <c r="T660" s="248"/>
      <c r="U660" s="248"/>
      <c r="V660" s="248"/>
      <c r="W660" s="248"/>
      <c r="X660" s="248"/>
      <c r="Y660" s="248"/>
    </row>
    <row r="661" spans="1:25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18">
        <v>3192.47</v>
      </c>
      <c r="G661" s="644">
        <f t="shared" si="98"/>
        <v>3185.57</v>
      </c>
      <c r="H661" s="858">
        <v>293</v>
      </c>
      <c r="I661" s="858"/>
      <c r="J661" s="418">
        <v>293</v>
      </c>
      <c r="K661" s="454">
        <f t="shared" si="101"/>
        <v>293</v>
      </c>
      <c r="L661" s="455">
        <f t="shared" si="100"/>
        <v>0.34880952380952379</v>
      </c>
      <c r="M661" s="177">
        <f t="shared" si="95"/>
        <v>703.55229761904764</v>
      </c>
      <c r="N661" s="456">
        <f t="shared" si="102"/>
        <v>258.69617983452383</v>
      </c>
      <c r="O661" s="427">
        <v>326.12992857142859</v>
      </c>
      <c r="P661" s="177">
        <f t="shared" si="96"/>
        <v>18.790508571428571</v>
      </c>
      <c r="Q661" s="177">
        <f t="shared" si="97"/>
        <v>22.905629948571431</v>
      </c>
      <c r="R661" s="431">
        <f t="shared" si="99"/>
        <v>0.41815087781029486</v>
      </c>
      <c r="S661" s="468"/>
      <c r="T661" s="248"/>
      <c r="U661" s="248"/>
      <c r="V661" s="248"/>
      <c r="W661" s="248"/>
      <c r="X661" s="248"/>
      <c r="Y661" s="248"/>
    </row>
    <row r="662" spans="1:25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18">
        <v>272.89999999999998</v>
      </c>
      <c r="G662" s="644">
        <f t="shared" si="98"/>
        <v>272.89999999999998</v>
      </c>
      <c r="H662" s="858"/>
      <c r="I662" s="858">
        <v>18</v>
      </c>
      <c r="J662" s="418">
        <v>18</v>
      </c>
      <c r="K662" s="454">
        <f t="shared" si="101"/>
        <v>18</v>
      </c>
      <c r="L662" s="455">
        <f t="shared" si="100"/>
        <v>2.3809523809523808E-2</v>
      </c>
      <c r="M662" s="177">
        <f t="shared" si="95"/>
        <v>48.024047619047614</v>
      </c>
      <c r="N662" s="456">
        <f t="shared" si="102"/>
        <v>17.65844230952381</v>
      </c>
      <c r="O662" s="427">
        <v>22.261428571428571</v>
      </c>
      <c r="P662" s="177">
        <f t="shared" si="96"/>
        <v>1.2826285714285715</v>
      </c>
      <c r="Q662" s="177">
        <f t="shared" si="97"/>
        <v>1.5635242285714288</v>
      </c>
      <c r="R662" s="431">
        <f t="shared" si="99"/>
        <v>0.32695693320420877</v>
      </c>
      <c r="S662" s="468"/>
      <c r="T662" s="248"/>
      <c r="U662" s="248"/>
      <c r="V662" s="248"/>
      <c r="W662" s="248"/>
      <c r="X662" s="248"/>
      <c r="Y662" s="248"/>
    </row>
    <row r="663" spans="1:25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18">
        <v>600.5</v>
      </c>
      <c r="G663" s="644">
        <f t="shared" si="98"/>
        <v>604.1</v>
      </c>
      <c r="H663" s="858"/>
      <c r="I663" s="858">
        <v>42</v>
      </c>
      <c r="J663" s="418">
        <v>42</v>
      </c>
      <c r="K663" s="454">
        <f t="shared" si="101"/>
        <v>42</v>
      </c>
      <c r="L663" s="455">
        <f t="shared" si="100"/>
        <v>5.5555555555555552E-2</v>
      </c>
      <c r="M663" s="177">
        <f t="shared" si="95"/>
        <v>112.05611111111111</v>
      </c>
      <c r="N663" s="456">
        <f t="shared" si="102"/>
        <v>41.20303205555556</v>
      </c>
      <c r="O663" s="427">
        <v>51.943333333333335</v>
      </c>
      <c r="P663" s="177">
        <f t="shared" si="96"/>
        <v>2.9928000000000003</v>
      </c>
      <c r="Q663" s="177">
        <f t="shared" si="97"/>
        <v>3.6482232000000008</v>
      </c>
      <c r="R663" s="431">
        <f t="shared" si="99"/>
        <v>0.34463710726700875</v>
      </c>
      <c r="S663" s="468"/>
      <c r="T663" s="248"/>
      <c r="U663" s="248"/>
      <c r="V663" s="248"/>
      <c r="W663" s="248"/>
      <c r="X663" s="248"/>
      <c r="Y663" s="248"/>
    </row>
    <row r="664" spans="1:25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18">
        <v>460.1</v>
      </c>
      <c r="G664" s="644">
        <f t="shared" si="98"/>
        <v>464.8</v>
      </c>
      <c r="H664" s="858"/>
      <c r="I664" s="858">
        <v>30</v>
      </c>
      <c r="J664" s="418">
        <v>30</v>
      </c>
      <c r="K664" s="454">
        <f t="shared" si="101"/>
        <v>30</v>
      </c>
      <c r="L664" s="455">
        <f t="shared" si="100"/>
        <v>3.968253968253968E-2</v>
      </c>
      <c r="M664" s="177">
        <f t="shared" si="95"/>
        <v>80.040079365079364</v>
      </c>
      <c r="N664" s="456">
        <f t="shared" si="102"/>
        <v>29.430737182539684</v>
      </c>
      <c r="O664" s="427">
        <v>37.102380952380955</v>
      </c>
      <c r="P664" s="177">
        <f t="shared" si="96"/>
        <v>2.1377142857142859</v>
      </c>
      <c r="Q664" s="177">
        <f t="shared" si="97"/>
        <v>2.6058737142857149</v>
      </c>
      <c r="R664" s="431">
        <f t="shared" si="99"/>
        <v>0.31994602363535773</v>
      </c>
      <c r="S664" s="468"/>
      <c r="T664" s="248"/>
      <c r="U664" s="248"/>
      <c r="V664" s="248"/>
      <c r="W664" s="248"/>
      <c r="X664" s="248"/>
      <c r="Y664" s="248"/>
    </row>
    <row r="665" spans="1:25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18">
        <v>83.39</v>
      </c>
      <c r="G665" s="644">
        <f t="shared" si="98"/>
        <v>83.39</v>
      </c>
      <c r="H665" s="858"/>
      <c r="I665" s="858">
        <v>0</v>
      </c>
      <c r="J665" s="418">
        <v>58</v>
      </c>
      <c r="K665" s="454">
        <v>0</v>
      </c>
      <c r="L665" s="455">
        <f t="shared" si="100"/>
        <v>0</v>
      </c>
      <c r="M665" s="177">
        <f t="shared" ref="M665:M728" si="103">L665*2017.01</f>
        <v>0</v>
      </c>
      <c r="N665" s="456">
        <f t="shared" si="102"/>
        <v>0</v>
      </c>
      <c r="O665" s="427">
        <v>0</v>
      </c>
      <c r="P665" s="177">
        <f t="shared" si="96"/>
        <v>0</v>
      </c>
      <c r="Q665" s="177">
        <f t="shared" si="97"/>
        <v>0</v>
      </c>
      <c r="R665" s="431">
        <f t="shared" si="99"/>
        <v>0</v>
      </c>
      <c r="S665" s="468"/>
      <c r="T665" s="248"/>
      <c r="U665" s="248"/>
      <c r="V665" s="248"/>
      <c r="W665" s="248"/>
      <c r="X665" s="248"/>
      <c r="Y665" s="248"/>
    </row>
    <row r="666" spans="1:25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18">
        <v>478.5</v>
      </c>
      <c r="G666" s="644">
        <f t="shared" si="98"/>
        <v>489.6</v>
      </c>
      <c r="H666" s="858"/>
      <c r="I666" s="858">
        <v>32</v>
      </c>
      <c r="J666" s="418">
        <v>32</v>
      </c>
      <c r="K666" s="454">
        <f t="shared" ref="K666:K717" si="104">H666+I666</f>
        <v>32</v>
      </c>
      <c r="L666" s="455">
        <f t="shared" si="100"/>
        <v>4.2328042328042326E-2</v>
      </c>
      <c r="M666" s="177">
        <f t="shared" si="103"/>
        <v>85.376084656084657</v>
      </c>
      <c r="N666" s="456">
        <f t="shared" si="102"/>
        <v>31.39278632804233</v>
      </c>
      <c r="O666" s="427">
        <v>39.575873015873015</v>
      </c>
      <c r="P666" s="177">
        <f t="shared" ref="P666:P729" si="105">L666*49.88*1.08</f>
        <v>2.2802285714285717</v>
      </c>
      <c r="Q666" s="177">
        <f t="shared" si="97"/>
        <v>2.7795986285714291</v>
      </c>
      <c r="R666" s="431">
        <f t="shared" si="99"/>
        <v>0.32398891456582629</v>
      </c>
      <c r="S666" s="468"/>
      <c r="T666" s="248"/>
      <c r="U666" s="248"/>
      <c r="V666" s="248"/>
      <c r="W666" s="248"/>
      <c r="X666" s="248"/>
      <c r="Y666" s="248"/>
    </row>
    <row r="667" spans="1:25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18">
        <v>127.92</v>
      </c>
      <c r="G667" s="644">
        <f t="shared" si="98"/>
        <v>127.92</v>
      </c>
      <c r="H667" s="858"/>
      <c r="I667" s="858">
        <v>0</v>
      </c>
      <c r="J667" s="418"/>
      <c r="K667" s="454">
        <f t="shared" si="104"/>
        <v>0</v>
      </c>
      <c r="L667" s="455">
        <f t="shared" si="100"/>
        <v>0</v>
      </c>
      <c r="M667" s="177">
        <f t="shared" si="103"/>
        <v>0</v>
      </c>
      <c r="N667" s="456">
        <f t="shared" si="102"/>
        <v>0</v>
      </c>
      <c r="O667" s="427">
        <v>0</v>
      </c>
      <c r="P667" s="177">
        <f t="shared" si="105"/>
        <v>0</v>
      </c>
      <c r="Q667" s="177">
        <f t="shared" si="97"/>
        <v>0</v>
      </c>
      <c r="R667" s="431">
        <f t="shared" si="99"/>
        <v>0</v>
      </c>
      <c r="S667" s="468"/>
      <c r="T667" s="248"/>
      <c r="U667" s="248"/>
      <c r="V667" s="248"/>
      <c r="W667" s="248"/>
      <c r="X667" s="248"/>
      <c r="Y667" s="248"/>
    </row>
    <row r="668" spans="1:25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18">
        <v>122.2</v>
      </c>
      <c r="G668" s="644">
        <f t="shared" si="98"/>
        <v>129.1</v>
      </c>
      <c r="H668" s="858"/>
      <c r="I668" s="858">
        <v>0</v>
      </c>
      <c r="J668" s="418"/>
      <c r="K668" s="454">
        <f t="shared" si="104"/>
        <v>0</v>
      </c>
      <c r="L668" s="455">
        <f t="shared" si="100"/>
        <v>0</v>
      </c>
      <c r="M668" s="177">
        <f t="shared" si="103"/>
        <v>0</v>
      </c>
      <c r="N668" s="456">
        <f t="shared" si="102"/>
        <v>0</v>
      </c>
      <c r="O668" s="427">
        <v>0</v>
      </c>
      <c r="P668" s="177">
        <f t="shared" si="105"/>
        <v>0</v>
      </c>
      <c r="Q668" s="177">
        <f t="shared" si="97"/>
        <v>0</v>
      </c>
      <c r="R668" s="431">
        <f t="shared" si="99"/>
        <v>0</v>
      </c>
      <c r="S668" s="468"/>
      <c r="T668" s="248"/>
      <c r="U668" s="248"/>
      <c r="V668" s="248"/>
      <c r="W668" s="248"/>
      <c r="X668" s="248"/>
      <c r="Y668" s="248"/>
    </row>
    <row r="669" spans="1:25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18">
        <v>136.1</v>
      </c>
      <c r="G669" s="644">
        <f t="shared" si="98"/>
        <v>136.4</v>
      </c>
      <c r="H669" s="858"/>
      <c r="I669" s="858">
        <v>0</v>
      </c>
      <c r="J669" s="418"/>
      <c r="K669" s="454">
        <f t="shared" si="104"/>
        <v>0</v>
      </c>
      <c r="L669" s="455">
        <f t="shared" si="100"/>
        <v>0</v>
      </c>
      <c r="M669" s="177">
        <f t="shared" si="103"/>
        <v>0</v>
      </c>
      <c r="N669" s="456">
        <f t="shared" si="102"/>
        <v>0</v>
      </c>
      <c r="O669" s="427">
        <v>0</v>
      </c>
      <c r="P669" s="177">
        <f t="shared" si="105"/>
        <v>0</v>
      </c>
      <c r="Q669" s="177">
        <f t="shared" ref="Q669:Q732" si="106">P669*1.219</f>
        <v>0</v>
      </c>
      <c r="R669" s="431">
        <f t="shared" si="99"/>
        <v>0</v>
      </c>
      <c r="S669" s="468"/>
      <c r="T669" s="248"/>
      <c r="U669" s="248"/>
      <c r="V669" s="248"/>
      <c r="W669" s="248"/>
      <c r="X669" s="248"/>
      <c r="Y669" s="248"/>
    </row>
    <row r="670" spans="1:25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18">
        <v>68.2</v>
      </c>
      <c r="G670" s="644">
        <f t="shared" si="98"/>
        <v>68.2</v>
      </c>
      <c r="H670" s="858"/>
      <c r="I670" s="858">
        <v>0</v>
      </c>
      <c r="J670" s="418"/>
      <c r="K670" s="454">
        <f t="shared" si="104"/>
        <v>0</v>
      </c>
      <c r="L670" s="455">
        <f t="shared" si="100"/>
        <v>0</v>
      </c>
      <c r="M670" s="177">
        <f t="shared" si="103"/>
        <v>0</v>
      </c>
      <c r="N670" s="456">
        <f t="shared" si="102"/>
        <v>0</v>
      </c>
      <c r="O670" s="427">
        <v>0</v>
      </c>
      <c r="P670" s="177">
        <f t="shared" si="105"/>
        <v>0</v>
      </c>
      <c r="Q670" s="177">
        <f t="shared" si="106"/>
        <v>0</v>
      </c>
      <c r="R670" s="431">
        <f t="shared" si="99"/>
        <v>0</v>
      </c>
      <c r="S670" s="468"/>
      <c r="T670" s="248"/>
      <c r="U670" s="248"/>
      <c r="V670" s="248"/>
      <c r="W670" s="248"/>
      <c r="X670" s="248"/>
      <c r="Y670" s="248"/>
    </row>
    <row r="671" spans="1:25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18">
        <v>117.1</v>
      </c>
      <c r="G671" s="644">
        <f t="shared" si="98"/>
        <v>117.1</v>
      </c>
      <c r="H671" s="858"/>
      <c r="I671" s="858">
        <v>0</v>
      </c>
      <c r="J671" s="418"/>
      <c r="K671" s="454">
        <f t="shared" si="104"/>
        <v>0</v>
      </c>
      <c r="L671" s="455">
        <f t="shared" si="100"/>
        <v>0</v>
      </c>
      <c r="M671" s="177">
        <f t="shared" si="103"/>
        <v>0</v>
      </c>
      <c r="N671" s="456">
        <f t="shared" si="102"/>
        <v>0</v>
      </c>
      <c r="O671" s="427">
        <v>0</v>
      </c>
      <c r="P671" s="177">
        <f t="shared" si="105"/>
        <v>0</v>
      </c>
      <c r="Q671" s="177">
        <f t="shared" si="106"/>
        <v>0</v>
      </c>
      <c r="R671" s="431">
        <f t="shared" si="99"/>
        <v>0</v>
      </c>
      <c r="S671" s="468"/>
      <c r="T671" s="248"/>
      <c r="U671" s="248"/>
      <c r="V671" s="248"/>
      <c r="W671" s="248"/>
      <c r="X671" s="248"/>
      <c r="Y671" s="248"/>
    </row>
    <row r="672" spans="1:25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18">
        <v>287.76</v>
      </c>
      <c r="G672" s="644">
        <f t="shared" si="98"/>
        <v>291.16000000000003</v>
      </c>
      <c r="H672" s="858"/>
      <c r="I672" s="858">
        <v>34.1</v>
      </c>
      <c r="J672" s="418">
        <v>34.1</v>
      </c>
      <c r="K672" s="454">
        <f t="shared" si="104"/>
        <v>34.1</v>
      </c>
      <c r="L672" s="455">
        <f t="shared" si="100"/>
        <v>4.5105820105820107E-2</v>
      </c>
      <c r="M672" s="177">
        <f t="shared" si="103"/>
        <v>90.97889021164022</v>
      </c>
      <c r="N672" s="456">
        <f t="shared" si="102"/>
        <v>33.452937930820113</v>
      </c>
      <c r="O672" s="427">
        <v>42.173039682539695</v>
      </c>
      <c r="P672" s="177">
        <f t="shared" si="105"/>
        <v>2.4298685714285719</v>
      </c>
      <c r="Q672" s="177">
        <f t="shared" si="106"/>
        <v>2.9620097885714296</v>
      </c>
      <c r="R672" s="431">
        <f t="shared" si="99"/>
        <v>0.58055617666035375</v>
      </c>
      <c r="S672" s="468"/>
      <c r="T672" s="248"/>
      <c r="U672" s="248"/>
      <c r="V672" s="248"/>
      <c r="W672" s="248"/>
      <c r="X672" s="248"/>
      <c r="Y672" s="248"/>
    </row>
    <row r="673" spans="1:25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18">
        <v>368.9</v>
      </c>
      <c r="G673" s="644">
        <f t="shared" si="98"/>
        <v>455.20000000000005</v>
      </c>
      <c r="H673" s="858"/>
      <c r="I673" s="858">
        <v>56</v>
      </c>
      <c r="J673" s="418">
        <v>56</v>
      </c>
      <c r="K673" s="454">
        <f t="shared" si="104"/>
        <v>56</v>
      </c>
      <c r="L673" s="455">
        <f t="shared" si="100"/>
        <v>7.407407407407407E-2</v>
      </c>
      <c r="M673" s="177">
        <f t="shared" si="103"/>
        <v>149.40814814814814</v>
      </c>
      <c r="N673" s="456">
        <f t="shared" si="102"/>
        <v>54.937376074074074</v>
      </c>
      <c r="O673" s="427">
        <v>69.257777777777775</v>
      </c>
      <c r="P673" s="177">
        <f t="shared" si="105"/>
        <v>3.9904000000000002</v>
      </c>
      <c r="Q673" s="177">
        <f t="shared" si="106"/>
        <v>4.8642976000000004</v>
      </c>
      <c r="R673" s="431">
        <f t="shared" si="99"/>
        <v>0.70259099468488984</v>
      </c>
      <c r="S673" s="468"/>
      <c r="T673" s="248"/>
      <c r="U673" s="248"/>
      <c r="V673" s="248"/>
      <c r="W673" s="248"/>
      <c r="X673" s="248"/>
      <c r="Y673" s="248"/>
    </row>
    <row r="674" spans="1:25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18">
        <v>120</v>
      </c>
      <c r="G674" s="644">
        <f t="shared" si="98"/>
        <v>120</v>
      </c>
      <c r="H674" s="858"/>
      <c r="I674" s="858">
        <v>0</v>
      </c>
      <c r="J674" s="418"/>
      <c r="K674" s="454">
        <f t="shared" si="104"/>
        <v>0</v>
      </c>
      <c r="L674" s="455">
        <f t="shared" si="100"/>
        <v>0</v>
      </c>
      <c r="M674" s="177">
        <f t="shared" si="103"/>
        <v>0</v>
      </c>
      <c r="N674" s="456">
        <f t="shared" si="102"/>
        <v>0</v>
      </c>
      <c r="O674" s="427">
        <v>0</v>
      </c>
      <c r="P674" s="177">
        <f t="shared" si="105"/>
        <v>0</v>
      </c>
      <c r="Q674" s="177">
        <f t="shared" si="106"/>
        <v>0</v>
      </c>
      <c r="R674" s="431">
        <f t="shared" si="99"/>
        <v>0</v>
      </c>
      <c r="S674" s="468"/>
      <c r="T674" s="248"/>
      <c r="U674" s="248"/>
      <c r="V674" s="248"/>
      <c r="W674" s="248"/>
      <c r="X674" s="248"/>
      <c r="Y674" s="248"/>
    </row>
    <row r="675" spans="1:25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18">
        <v>389.7</v>
      </c>
      <c r="G675" s="644">
        <f t="shared" si="98"/>
        <v>390.8</v>
      </c>
      <c r="H675" s="858"/>
      <c r="I675" s="858">
        <v>0</v>
      </c>
      <c r="J675" s="418"/>
      <c r="K675" s="454">
        <f t="shared" si="104"/>
        <v>0</v>
      </c>
      <c r="L675" s="455">
        <f t="shared" si="100"/>
        <v>0</v>
      </c>
      <c r="M675" s="177">
        <f t="shared" si="103"/>
        <v>0</v>
      </c>
      <c r="N675" s="456">
        <f t="shared" si="102"/>
        <v>0</v>
      </c>
      <c r="O675" s="427">
        <v>0</v>
      </c>
      <c r="P675" s="177">
        <f t="shared" si="105"/>
        <v>0</v>
      </c>
      <c r="Q675" s="177">
        <f t="shared" si="106"/>
        <v>0</v>
      </c>
      <c r="R675" s="431">
        <f t="shared" si="99"/>
        <v>0</v>
      </c>
      <c r="S675" s="468"/>
      <c r="T675" s="248"/>
      <c r="U675" s="248"/>
      <c r="V675" s="248"/>
      <c r="W675" s="248"/>
      <c r="X675" s="248"/>
      <c r="Y675" s="248"/>
    </row>
    <row r="676" spans="1:25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18">
        <v>105.1</v>
      </c>
      <c r="G676" s="644">
        <f t="shared" si="98"/>
        <v>105.1</v>
      </c>
      <c r="H676" s="858"/>
      <c r="I676" s="858">
        <v>0</v>
      </c>
      <c r="J676" s="418"/>
      <c r="K676" s="454">
        <f t="shared" si="104"/>
        <v>0</v>
      </c>
      <c r="L676" s="455">
        <f t="shared" si="100"/>
        <v>0</v>
      </c>
      <c r="M676" s="177">
        <f t="shared" si="103"/>
        <v>0</v>
      </c>
      <c r="N676" s="456">
        <f t="shared" si="102"/>
        <v>0</v>
      </c>
      <c r="O676" s="427">
        <v>0</v>
      </c>
      <c r="P676" s="177">
        <f t="shared" si="105"/>
        <v>0</v>
      </c>
      <c r="Q676" s="177">
        <f t="shared" si="106"/>
        <v>0</v>
      </c>
      <c r="R676" s="431">
        <f t="shared" si="99"/>
        <v>0</v>
      </c>
      <c r="S676" s="468"/>
      <c r="T676" s="248"/>
      <c r="U676" s="248"/>
      <c r="V676" s="248"/>
      <c r="W676" s="248"/>
      <c r="X676" s="248"/>
      <c r="Y676" s="248"/>
    </row>
    <row r="677" spans="1:25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18">
        <v>165.5</v>
      </c>
      <c r="G677" s="644">
        <f t="shared" si="98"/>
        <v>168.5</v>
      </c>
      <c r="H677" s="858"/>
      <c r="I677" s="858">
        <v>0</v>
      </c>
      <c r="J677" s="418"/>
      <c r="K677" s="454">
        <f t="shared" si="104"/>
        <v>0</v>
      </c>
      <c r="L677" s="455">
        <f t="shared" si="100"/>
        <v>0</v>
      </c>
      <c r="M677" s="177">
        <f t="shared" si="103"/>
        <v>0</v>
      </c>
      <c r="N677" s="456">
        <f t="shared" si="102"/>
        <v>0</v>
      </c>
      <c r="O677" s="427">
        <v>0</v>
      </c>
      <c r="P677" s="177">
        <f t="shared" si="105"/>
        <v>0</v>
      </c>
      <c r="Q677" s="177">
        <f t="shared" si="106"/>
        <v>0</v>
      </c>
      <c r="R677" s="431">
        <f t="shared" si="99"/>
        <v>0</v>
      </c>
      <c r="S677" s="468"/>
      <c r="T677" s="248"/>
      <c r="U677" s="248"/>
      <c r="V677" s="248"/>
      <c r="W677" s="248"/>
      <c r="X677" s="248"/>
      <c r="Y677" s="248"/>
    </row>
    <row r="678" spans="1:25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18">
        <v>73.3</v>
      </c>
      <c r="G678" s="644">
        <f t="shared" si="98"/>
        <v>73.3</v>
      </c>
      <c r="H678" s="858"/>
      <c r="I678" s="858">
        <v>0</v>
      </c>
      <c r="J678" s="418"/>
      <c r="K678" s="454">
        <f t="shared" si="104"/>
        <v>0</v>
      </c>
      <c r="L678" s="455">
        <f t="shared" si="100"/>
        <v>0</v>
      </c>
      <c r="M678" s="177">
        <f t="shared" si="103"/>
        <v>0</v>
      </c>
      <c r="N678" s="456">
        <f t="shared" si="102"/>
        <v>0</v>
      </c>
      <c r="O678" s="427">
        <v>0</v>
      </c>
      <c r="P678" s="177">
        <f t="shared" si="105"/>
        <v>0</v>
      </c>
      <c r="Q678" s="177">
        <f t="shared" si="106"/>
        <v>0</v>
      </c>
      <c r="R678" s="431">
        <f t="shared" si="99"/>
        <v>0</v>
      </c>
      <c r="S678" s="468"/>
      <c r="T678" s="248"/>
      <c r="U678" s="248"/>
      <c r="V678" s="248"/>
      <c r="W678" s="248"/>
      <c r="X678" s="248"/>
      <c r="Y678" s="248"/>
    </row>
    <row r="679" spans="1:25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18">
        <v>87.3</v>
      </c>
      <c r="G679" s="644">
        <f t="shared" si="98"/>
        <v>87.3</v>
      </c>
      <c r="H679" s="858"/>
      <c r="I679" s="858">
        <v>0</v>
      </c>
      <c r="J679" s="418"/>
      <c r="K679" s="454">
        <f t="shared" si="104"/>
        <v>0</v>
      </c>
      <c r="L679" s="455">
        <f t="shared" si="100"/>
        <v>0</v>
      </c>
      <c r="M679" s="177">
        <f t="shared" si="103"/>
        <v>0</v>
      </c>
      <c r="N679" s="456">
        <f t="shared" si="102"/>
        <v>0</v>
      </c>
      <c r="O679" s="427">
        <v>0</v>
      </c>
      <c r="P679" s="177">
        <f t="shared" si="105"/>
        <v>0</v>
      </c>
      <c r="Q679" s="177">
        <f t="shared" si="106"/>
        <v>0</v>
      </c>
      <c r="R679" s="431">
        <f t="shared" si="99"/>
        <v>0</v>
      </c>
      <c r="S679" s="468"/>
      <c r="T679" s="248"/>
      <c r="U679" s="248"/>
      <c r="V679" s="248"/>
      <c r="W679" s="248"/>
      <c r="X679" s="248"/>
      <c r="Y679" s="248"/>
    </row>
    <row r="680" spans="1:25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18">
        <v>227.3</v>
      </c>
      <c r="G680" s="644">
        <f t="shared" si="98"/>
        <v>227.3</v>
      </c>
      <c r="H680" s="858"/>
      <c r="I680" s="858">
        <v>0</v>
      </c>
      <c r="J680" s="418"/>
      <c r="K680" s="454">
        <f t="shared" si="104"/>
        <v>0</v>
      </c>
      <c r="L680" s="455">
        <f t="shared" si="100"/>
        <v>0</v>
      </c>
      <c r="M680" s="177">
        <f t="shared" si="103"/>
        <v>0</v>
      </c>
      <c r="N680" s="456">
        <f t="shared" si="102"/>
        <v>0</v>
      </c>
      <c r="O680" s="427">
        <v>0</v>
      </c>
      <c r="P680" s="177">
        <f t="shared" si="105"/>
        <v>0</v>
      </c>
      <c r="Q680" s="177">
        <f t="shared" si="106"/>
        <v>0</v>
      </c>
      <c r="R680" s="431">
        <f t="shared" si="99"/>
        <v>0</v>
      </c>
      <c r="S680" s="468"/>
      <c r="T680" s="248"/>
      <c r="U680" s="248"/>
      <c r="V680" s="248"/>
      <c r="W680" s="248"/>
      <c r="X680" s="248"/>
      <c r="Y680" s="248"/>
    </row>
    <row r="681" spans="1:25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18">
        <v>52.7</v>
      </c>
      <c r="G681" s="644">
        <f t="shared" si="98"/>
        <v>53.5</v>
      </c>
      <c r="H681" s="858"/>
      <c r="I681" s="858">
        <v>0</v>
      </c>
      <c r="J681" s="418"/>
      <c r="K681" s="454">
        <f t="shared" si="104"/>
        <v>0</v>
      </c>
      <c r="L681" s="455">
        <f t="shared" si="100"/>
        <v>0</v>
      </c>
      <c r="M681" s="177">
        <f t="shared" si="103"/>
        <v>0</v>
      </c>
      <c r="N681" s="456">
        <f t="shared" si="102"/>
        <v>0</v>
      </c>
      <c r="O681" s="427">
        <v>0</v>
      </c>
      <c r="P681" s="177">
        <f t="shared" si="105"/>
        <v>0</v>
      </c>
      <c r="Q681" s="177">
        <f t="shared" si="106"/>
        <v>0</v>
      </c>
      <c r="R681" s="431">
        <f t="shared" si="99"/>
        <v>0</v>
      </c>
      <c r="S681" s="468"/>
      <c r="T681" s="248"/>
      <c r="U681" s="248"/>
      <c r="V681" s="248"/>
      <c r="W681" s="248"/>
      <c r="X681" s="248"/>
      <c r="Y681" s="248"/>
    </row>
    <row r="682" spans="1:25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18">
        <v>1852.82</v>
      </c>
      <c r="G682" s="644">
        <f t="shared" si="98"/>
        <v>1851.82</v>
      </c>
      <c r="H682" s="858">
        <v>121</v>
      </c>
      <c r="I682" s="858"/>
      <c r="J682" s="418">
        <v>50</v>
      </c>
      <c r="K682" s="454">
        <f t="shared" si="104"/>
        <v>121</v>
      </c>
      <c r="L682" s="455">
        <f t="shared" si="100"/>
        <v>0.14404761904761904</v>
      </c>
      <c r="M682" s="177">
        <f t="shared" si="103"/>
        <v>290.54548809523806</v>
      </c>
      <c r="N682" s="456">
        <f t="shared" si="102"/>
        <v>106.83357597261904</v>
      </c>
      <c r="O682" s="427">
        <v>134.68164285714286</v>
      </c>
      <c r="P682" s="177">
        <f t="shared" si="105"/>
        <v>7.7599028571428574</v>
      </c>
      <c r="Q682" s="177">
        <f t="shared" si="106"/>
        <v>9.4593215828571431</v>
      </c>
      <c r="R682" s="431">
        <f t="shared" si="99"/>
        <v>0.29150814322242058</v>
      </c>
      <c r="S682" s="468"/>
      <c r="T682" s="248"/>
      <c r="U682" s="248"/>
      <c r="V682" s="248"/>
      <c r="W682" s="248"/>
      <c r="X682" s="248"/>
      <c r="Y682" s="248"/>
    </row>
    <row r="683" spans="1:25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18">
        <v>934.75</v>
      </c>
      <c r="G683" s="644">
        <f t="shared" si="98"/>
        <v>933.25</v>
      </c>
      <c r="H683" s="858">
        <v>75</v>
      </c>
      <c r="I683" s="858"/>
      <c r="J683" s="418">
        <v>75</v>
      </c>
      <c r="K683" s="454">
        <f t="shared" si="104"/>
        <v>75</v>
      </c>
      <c r="L683" s="455">
        <f t="shared" si="100"/>
        <v>8.9285714285714288E-2</v>
      </c>
      <c r="M683" s="177">
        <f t="shared" si="103"/>
        <v>180.09017857142857</v>
      </c>
      <c r="N683" s="456">
        <f t="shared" si="102"/>
        <v>66.219158660714285</v>
      </c>
      <c r="O683" s="427">
        <v>83.480357142857159</v>
      </c>
      <c r="P683" s="177">
        <f t="shared" si="105"/>
        <v>4.8098571428571439</v>
      </c>
      <c r="Q683" s="177">
        <f t="shared" si="106"/>
        <v>5.8632158571428592</v>
      </c>
      <c r="R683" s="431">
        <f t="shared" si="99"/>
        <v>0.35853153122727793</v>
      </c>
      <c r="S683" s="468"/>
      <c r="T683" s="248"/>
      <c r="U683" s="248"/>
      <c r="V683" s="248"/>
      <c r="W683" s="248"/>
      <c r="X683" s="248"/>
      <c r="Y683" s="248"/>
    </row>
    <row r="684" spans="1:25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18">
        <v>1162.8</v>
      </c>
      <c r="G684" s="644">
        <f t="shared" si="98"/>
        <v>1158.5</v>
      </c>
      <c r="H684" s="858">
        <v>90</v>
      </c>
      <c r="I684" s="858"/>
      <c r="J684" s="418">
        <v>150</v>
      </c>
      <c r="K684" s="454">
        <f t="shared" si="104"/>
        <v>90</v>
      </c>
      <c r="L684" s="455">
        <f t="shared" si="100"/>
        <v>0.10714285714285714</v>
      </c>
      <c r="M684" s="177">
        <f t="shared" si="103"/>
        <v>216.10821428571427</v>
      </c>
      <c r="N684" s="456">
        <f t="shared" si="102"/>
        <v>79.462990392857137</v>
      </c>
      <c r="O684" s="427">
        <v>100.17642857142857</v>
      </c>
      <c r="P684" s="177">
        <f t="shared" si="105"/>
        <v>5.7718285714285722</v>
      </c>
      <c r="Q684" s="177">
        <f t="shared" si="106"/>
        <v>7.03585902857143</v>
      </c>
      <c r="R684" s="431">
        <f t="shared" si="99"/>
        <v>0.34658563817128057</v>
      </c>
      <c r="S684" s="468"/>
      <c r="T684" s="248"/>
      <c r="U684" s="248"/>
      <c r="V684" s="248"/>
      <c r="W684" s="248"/>
      <c r="X684" s="248"/>
      <c r="Y684" s="248"/>
    </row>
    <row r="685" spans="1:25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18">
        <v>3668.75</v>
      </c>
      <c r="G685" s="644">
        <f t="shared" si="98"/>
        <v>3775.6499999999996</v>
      </c>
      <c r="H685" s="858">
        <v>580</v>
      </c>
      <c r="I685" s="858"/>
      <c r="J685" s="418">
        <v>580</v>
      </c>
      <c r="K685" s="454">
        <f t="shared" si="104"/>
        <v>580</v>
      </c>
      <c r="L685" s="455">
        <f t="shared" si="100"/>
        <v>0.69047619047619047</v>
      </c>
      <c r="M685" s="177">
        <f t="shared" si="103"/>
        <v>1392.6973809523809</v>
      </c>
      <c r="N685" s="456">
        <f t="shared" si="102"/>
        <v>512.09482697619046</v>
      </c>
      <c r="O685" s="427">
        <v>322.79071428571427</v>
      </c>
      <c r="P685" s="177">
        <f t="shared" si="105"/>
        <v>37.196228571428577</v>
      </c>
      <c r="Q685" s="177">
        <f t="shared" si="106"/>
        <v>45.342202628571435</v>
      </c>
      <c r="R685" s="431">
        <f t="shared" si="99"/>
        <v>0.61812501556672828</v>
      </c>
      <c r="S685" s="468"/>
      <c r="T685" s="248"/>
      <c r="U685" s="248"/>
      <c r="V685" s="248"/>
      <c r="W685" s="248"/>
      <c r="X685" s="248"/>
      <c r="Y685" s="248"/>
    </row>
    <row r="686" spans="1:25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18">
        <v>79.3</v>
      </c>
      <c r="G686" s="644">
        <f t="shared" si="98"/>
        <v>79.3</v>
      </c>
      <c r="H686" s="858"/>
      <c r="I686" s="858">
        <v>0</v>
      </c>
      <c r="J686" s="418"/>
      <c r="K686" s="454">
        <f t="shared" si="104"/>
        <v>0</v>
      </c>
      <c r="L686" s="455">
        <f t="shared" si="100"/>
        <v>0</v>
      </c>
      <c r="M686" s="177">
        <f t="shared" si="103"/>
        <v>0</v>
      </c>
      <c r="N686" s="456">
        <f t="shared" si="102"/>
        <v>0</v>
      </c>
      <c r="O686" s="427">
        <v>0</v>
      </c>
      <c r="P686" s="177">
        <f t="shared" si="105"/>
        <v>0</v>
      </c>
      <c r="Q686" s="177">
        <f t="shared" si="106"/>
        <v>0</v>
      </c>
      <c r="R686" s="431">
        <f t="shared" si="99"/>
        <v>0</v>
      </c>
      <c r="S686" s="468"/>
      <c r="T686" s="248"/>
      <c r="U686" s="248"/>
      <c r="V686" s="248"/>
      <c r="W686" s="248"/>
      <c r="X686" s="248"/>
      <c r="Y686" s="248"/>
    </row>
    <row r="687" spans="1:25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18">
        <v>377.2</v>
      </c>
      <c r="G687" s="644">
        <f t="shared" si="98"/>
        <v>377.9</v>
      </c>
      <c r="H687" s="858"/>
      <c r="I687" s="858">
        <v>0</v>
      </c>
      <c r="J687" s="418"/>
      <c r="K687" s="454">
        <f t="shared" si="104"/>
        <v>0</v>
      </c>
      <c r="L687" s="455">
        <f t="shared" si="100"/>
        <v>0</v>
      </c>
      <c r="M687" s="177">
        <f t="shared" si="103"/>
        <v>0</v>
      </c>
      <c r="N687" s="456">
        <f t="shared" si="102"/>
        <v>0</v>
      </c>
      <c r="O687" s="427">
        <v>0</v>
      </c>
      <c r="P687" s="177">
        <f t="shared" si="105"/>
        <v>0</v>
      </c>
      <c r="Q687" s="177">
        <f t="shared" si="106"/>
        <v>0</v>
      </c>
      <c r="R687" s="431">
        <f t="shared" si="99"/>
        <v>0</v>
      </c>
      <c r="S687" s="468"/>
      <c r="T687" s="248"/>
      <c r="U687" s="248"/>
      <c r="V687" s="248"/>
      <c r="W687" s="248"/>
      <c r="X687" s="248"/>
      <c r="Y687" s="248"/>
    </row>
    <row r="688" spans="1:25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18">
        <v>86.1</v>
      </c>
      <c r="G688" s="644">
        <f t="shared" si="98"/>
        <v>86.1</v>
      </c>
      <c r="H688" s="858"/>
      <c r="I688" s="858">
        <v>0</v>
      </c>
      <c r="J688" s="418"/>
      <c r="K688" s="454">
        <f t="shared" si="104"/>
        <v>0</v>
      </c>
      <c r="L688" s="455">
        <f t="shared" si="100"/>
        <v>0</v>
      </c>
      <c r="M688" s="177">
        <f t="shared" si="103"/>
        <v>0</v>
      </c>
      <c r="N688" s="456">
        <f t="shared" si="102"/>
        <v>0</v>
      </c>
      <c r="O688" s="427">
        <v>0</v>
      </c>
      <c r="P688" s="177">
        <f t="shared" si="105"/>
        <v>0</v>
      </c>
      <c r="Q688" s="177">
        <f t="shared" si="106"/>
        <v>0</v>
      </c>
      <c r="R688" s="431">
        <f t="shared" si="99"/>
        <v>0</v>
      </c>
      <c r="S688" s="468"/>
      <c r="T688" s="248"/>
      <c r="U688" s="248"/>
      <c r="V688" s="248"/>
      <c r="W688" s="248"/>
      <c r="X688" s="248"/>
      <c r="Y688" s="248"/>
    </row>
    <row r="689" spans="1:25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18">
        <v>59.7</v>
      </c>
      <c r="G689" s="644">
        <f t="shared" si="98"/>
        <v>59.7</v>
      </c>
      <c r="H689" s="858"/>
      <c r="I689" s="858">
        <v>0</v>
      </c>
      <c r="J689" s="418"/>
      <c r="K689" s="454">
        <f t="shared" si="104"/>
        <v>0</v>
      </c>
      <c r="L689" s="455">
        <f t="shared" si="100"/>
        <v>0</v>
      </c>
      <c r="M689" s="177">
        <f t="shared" si="103"/>
        <v>0</v>
      </c>
      <c r="N689" s="456">
        <f t="shared" si="102"/>
        <v>0</v>
      </c>
      <c r="O689" s="427">
        <v>0</v>
      </c>
      <c r="P689" s="177">
        <f t="shared" si="105"/>
        <v>0</v>
      </c>
      <c r="Q689" s="177">
        <f t="shared" si="106"/>
        <v>0</v>
      </c>
      <c r="R689" s="431">
        <f t="shared" si="99"/>
        <v>0</v>
      </c>
      <c r="S689" s="468"/>
      <c r="T689" s="248"/>
      <c r="U689" s="248"/>
      <c r="V689" s="248"/>
      <c r="W689" s="248"/>
      <c r="X689" s="248"/>
      <c r="Y689" s="248"/>
    </row>
    <row r="690" spans="1:25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18">
        <v>66.099999999999994</v>
      </c>
      <c r="G690" s="644">
        <f t="shared" si="98"/>
        <v>66.099999999999994</v>
      </c>
      <c r="H690" s="858"/>
      <c r="I690" s="858">
        <v>0</v>
      </c>
      <c r="J690" s="418"/>
      <c r="K690" s="454">
        <f t="shared" si="104"/>
        <v>0</v>
      </c>
      <c r="L690" s="455">
        <f t="shared" si="100"/>
        <v>0</v>
      </c>
      <c r="M690" s="177">
        <f t="shared" si="103"/>
        <v>0</v>
      </c>
      <c r="N690" s="456">
        <f t="shared" si="102"/>
        <v>0</v>
      </c>
      <c r="O690" s="427">
        <v>0</v>
      </c>
      <c r="P690" s="177">
        <f t="shared" si="105"/>
        <v>0</v>
      </c>
      <c r="Q690" s="177">
        <f t="shared" si="106"/>
        <v>0</v>
      </c>
      <c r="R690" s="431">
        <f t="shared" si="99"/>
        <v>0</v>
      </c>
      <c r="S690" s="468"/>
      <c r="T690" s="248"/>
      <c r="U690" s="248"/>
      <c r="V690" s="248"/>
      <c r="W690" s="248"/>
      <c r="X690" s="248"/>
      <c r="Y690" s="248"/>
    </row>
    <row r="691" spans="1:25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18">
        <v>84.4</v>
      </c>
      <c r="G691" s="644">
        <f t="shared" si="98"/>
        <v>111.6</v>
      </c>
      <c r="H691" s="858"/>
      <c r="I691" s="858">
        <v>0</v>
      </c>
      <c r="J691" s="418"/>
      <c r="K691" s="454">
        <f t="shared" si="104"/>
        <v>0</v>
      </c>
      <c r="L691" s="455">
        <f t="shared" si="100"/>
        <v>0</v>
      </c>
      <c r="M691" s="177">
        <f t="shared" si="103"/>
        <v>0</v>
      </c>
      <c r="N691" s="456">
        <f t="shared" si="102"/>
        <v>0</v>
      </c>
      <c r="O691" s="427">
        <v>0</v>
      </c>
      <c r="P691" s="177">
        <f t="shared" si="105"/>
        <v>0</v>
      </c>
      <c r="Q691" s="177">
        <f t="shared" si="106"/>
        <v>0</v>
      </c>
      <c r="R691" s="431">
        <f t="shared" si="99"/>
        <v>0</v>
      </c>
      <c r="S691" s="468"/>
      <c r="T691" s="248"/>
      <c r="U691" s="248"/>
      <c r="V691" s="248"/>
      <c r="W691" s="248"/>
      <c r="X691" s="248"/>
      <c r="Y691" s="248"/>
    </row>
    <row r="692" spans="1:25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18">
        <v>119.2</v>
      </c>
      <c r="G692" s="644">
        <f t="shared" si="98"/>
        <v>119.2</v>
      </c>
      <c r="H692" s="858"/>
      <c r="I692" s="858">
        <v>0</v>
      </c>
      <c r="J692" s="418"/>
      <c r="K692" s="454">
        <f t="shared" si="104"/>
        <v>0</v>
      </c>
      <c r="L692" s="455">
        <f t="shared" si="100"/>
        <v>0</v>
      </c>
      <c r="M692" s="177">
        <f t="shared" si="103"/>
        <v>0</v>
      </c>
      <c r="N692" s="456">
        <f t="shared" si="102"/>
        <v>0</v>
      </c>
      <c r="O692" s="427">
        <v>0</v>
      </c>
      <c r="P692" s="177">
        <f t="shared" si="105"/>
        <v>0</v>
      </c>
      <c r="Q692" s="177">
        <f t="shared" si="106"/>
        <v>0</v>
      </c>
      <c r="R692" s="431">
        <f t="shared" si="99"/>
        <v>0</v>
      </c>
      <c r="S692" s="468"/>
      <c r="T692" s="248"/>
      <c r="U692" s="248"/>
      <c r="V692" s="248"/>
      <c r="W692" s="248"/>
      <c r="X692" s="248"/>
      <c r="Y692" s="248"/>
    </row>
    <row r="693" spans="1:25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18">
        <v>139.6</v>
      </c>
      <c r="G693" s="644">
        <f t="shared" si="98"/>
        <v>139.6</v>
      </c>
      <c r="H693" s="858"/>
      <c r="I693" s="858">
        <v>0</v>
      </c>
      <c r="J693" s="418"/>
      <c r="K693" s="454">
        <f t="shared" si="104"/>
        <v>0</v>
      </c>
      <c r="L693" s="455">
        <f t="shared" si="100"/>
        <v>0</v>
      </c>
      <c r="M693" s="177">
        <f t="shared" si="103"/>
        <v>0</v>
      </c>
      <c r="N693" s="456">
        <f t="shared" si="102"/>
        <v>0</v>
      </c>
      <c r="O693" s="427">
        <v>0</v>
      </c>
      <c r="P693" s="177">
        <f t="shared" si="105"/>
        <v>0</v>
      </c>
      <c r="Q693" s="177">
        <f t="shared" si="106"/>
        <v>0</v>
      </c>
      <c r="R693" s="431">
        <f t="shared" si="99"/>
        <v>0</v>
      </c>
      <c r="S693" s="468"/>
      <c r="T693" s="248"/>
      <c r="U693" s="248"/>
      <c r="V693" s="248"/>
      <c r="W693" s="248"/>
      <c r="X693" s="248"/>
      <c r="Y693" s="248"/>
    </row>
    <row r="694" spans="1:25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18">
        <v>66.5</v>
      </c>
      <c r="G694" s="644">
        <f t="shared" si="98"/>
        <v>66.5</v>
      </c>
      <c r="H694" s="858"/>
      <c r="I694" s="858">
        <v>0</v>
      </c>
      <c r="J694" s="418"/>
      <c r="K694" s="454">
        <f t="shared" si="104"/>
        <v>0</v>
      </c>
      <c r="L694" s="455">
        <f t="shared" si="100"/>
        <v>0</v>
      </c>
      <c r="M694" s="177">
        <f t="shared" si="103"/>
        <v>0</v>
      </c>
      <c r="N694" s="456">
        <f t="shared" si="102"/>
        <v>0</v>
      </c>
      <c r="O694" s="427">
        <v>0</v>
      </c>
      <c r="P694" s="177">
        <f t="shared" si="105"/>
        <v>0</v>
      </c>
      <c r="Q694" s="177">
        <f t="shared" si="106"/>
        <v>0</v>
      </c>
      <c r="R694" s="431">
        <f t="shared" si="99"/>
        <v>0</v>
      </c>
      <c r="S694" s="468"/>
      <c r="T694" s="248"/>
      <c r="U694" s="248"/>
      <c r="V694" s="248"/>
      <c r="W694" s="248"/>
      <c r="X694" s="248"/>
      <c r="Y694" s="248"/>
    </row>
    <row r="695" spans="1:25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18">
        <v>67</v>
      </c>
      <c r="G695" s="644">
        <f t="shared" si="98"/>
        <v>67</v>
      </c>
      <c r="H695" s="858"/>
      <c r="I695" s="858">
        <v>0</v>
      </c>
      <c r="J695" s="418"/>
      <c r="K695" s="454">
        <f t="shared" si="104"/>
        <v>0</v>
      </c>
      <c r="L695" s="455">
        <f t="shared" si="100"/>
        <v>0</v>
      </c>
      <c r="M695" s="177">
        <f t="shared" si="103"/>
        <v>0</v>
      </c>
      <c r="N695" s="456">
        <f t="shared" si="102"/>
        <v>0</v>
      </c>
      <c r="O695" s="427">
        <v>0</v>
      </c>
      <c r="P695" s="177">
        <f t="shared" si="105"/>
        <v>0</v>
      </c>
      <c r="Q695" s="177">
        <f t="shared" si="106"/>
        <v>0</v>
      </c>
      <c r="R695" s="431">
        <f t="shared" si="99"/>
        <v>0</v>
      </c>
      <c r="S695" s="468"/>
      <c r="T695" s="248"/>
      <c r="U695" s="248"/>
      <c r="V695" s="248"/>
      <c r="W695" s="248"/>
      <c r="X695" s="248"/>
      <c r="Y695" s="248"/>
    </row>
    <row r="696" spans="1:25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18">
        <v>212.2</v>
      </c>
      <c r="G696" s="644">
        <f t="shared" si="98"/>
        <v>212.2</v>
      </c>
      <c r="H696" s="858"/>
      <c r="I696" s="858">
        <v>0</v>
      </c>
      <c r="J696" s="418"/>
      <c r="K696" s="454">
        <f t="shared" si="104"/>
        <v>0</v>
      </c>
      <c r="L696" s="455">
        <f t="shared" si="100"/>
        <v>0</v>
      </c>
      <c r="M696" s="177">
        <f t="shared" si="103"/>
        <v>0</v>
      </c>
      <c r="N696" s="456">
        <f t="shared" si="102"/>
        <v>0</v>
      </c>
      <c r="O696" s="427">
        <v>0</v>
      </c>
      <c r="P696" s="177">
        <f t="shared" si="105"/>
        <v>0</v>
      </c>
      <c r="Q696" s="177">
        <f t="shared" si="106"/>
        <v>0</v>
      </c>
      <c r="R696" s="431">
        <f t="shared" si="99"/>
        <v>0</v>
      </c>
      <c r="S696" s="468"/>
      <c r="T696" s="248"/>
      <c r="U696" s="248"/>
      <c r="V696" s="248"/>
      <c r="W696" s="248"/>
      <c r="X696" s="248"/>
      <c r="Y696" s="248"/>
    </row>
    <row r="697" spans="1:25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18">
        <v>37.700000000000003</v>
      </c>
      <c r="G697" s="644">
        <f t="shared" ref="G697:G761" si="107">C697+D697+E697</f>
        <v>41.6</v>
      </c>
      <c r="H697" s="858"/>
      <c r="I697" s="858">
        <v>0</v>
      </c>
      <c r="J697" s="418">
        <v>0</v>
      </c>
      <c r="K697" s="454">
        <f t="shared" si="104"/>
        <v>0</v>
      </c>
      <c r="L697" s="455">
        <f t="shared" si="100"/>
        <v>0</v>
      </c>
      <c r="M697" s="177">
        <f t="shared" si="103"/>
        <v>0</v>
      </c>
      <c r="N697" s="456">
        <f t="shared" si="102"/>
        <v>0</v>
      </c>
      <c r="O697" s="427">
        <v>0</v>
      </c>
      <c r="P697" s="177">
        <f t="shared" si="105"/>
        <v>0</v>
      </c>
      <c r="Q697" s="177">
        <f t="shared" si="106"/>
        <v>0</v>
      </c>
      <c r="R697" s="431">
        <f t="shared" si="99"/>
        <v>0</v>
      </c>
      <c r="S697" s="468"/>
      <c r="T697" s="248"/>
      <c r="U697" s="248"/>
      <c r="V697" s="248"/>
      <c r="W697" s="248"/>
      <c r="X697" s="248"/>
      <c r="Y697" s="248"/>
    </row>
    <row r="698" spans="1:25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18">
        <v>460</v>
      </c>
      <c r="G698" s="644">
        <f t="shared" si="107"/>
        <v>466.8</v>
      </c>
      <c r="H698" s="858"/>
      <c r="I698" s="858">
        <v>70</v>
      </c>
      <c r="J698" s="418">
        <v>70</v>
      </c>
      <c r="K698" s="454">
        <f t="shared" si="104"/>
        <v>70</v>
      </c>
      <c r="L698" s="455">
        <f t="shared" si="100"/>
        <v>9.2592592592592587E-2</v>
      </c>
      <c r="M698" s="177">
        <f t="shared" si="103"/>
        <v>186.76018518518518</v>
      </c>
      <c r="N698" s="456">
        <f t="shared" si="102"/>
        <v>68.671720092592594</v>
      </c>
      <c r="O698" s="427">
        <v>86.572222222222237</v>
      </c>
      <c r="P698" s="177">
        <f t="shared" si="105"/>
        <v>4.9880000000000004</v>
      </c>
      <c r="Q698" s="177">
        <f t="shared" si="106"/>
        <v>6.0803720000000006</v>
      </c>
      <c r="R698" s="431">
        <f t="shared" si="99"/>
        <v>0.74334217544987158</v>
      </c>
      <c r="S698" s="468"/>
      <c r="T698" s="248"/>
      <c r="U698" s="248"/>
      <c r="V698" s="248"/>
      <c r="W698" s="248"/>
      <c r="X698" s="248"/>
      <c r="Y698" s="248"/>
    </row>
    <row r="699" spans="1:25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18">
        <v>680.16</v>
      </c>
      <c r="G699" s="644">
        <f t="shared" si="107"/>
        <v>681.36</v>
      </c>
      <c r="H699" s="858"/>
      <c r="I699" s="858">
        <v>90</v>
      </c>
      <c r="J699" s="418">
        <v>90</v>
      </c>
      <c r="K699" s="454">
        <f t="shared" si="104"/>
        <v>90</v>
      </c>
      <c r="L699" s="455">
        <f t="shared" si="100"/>
        <v>0.11904761904761904</v>
      </c>
      <c r="M699" s="177">
        <f t="shared" si="103"/>
        <v>240.12023809523808</v>
      </c>
      <c r="N699" s="456">
        <f t="shared" si="102"/>
        <v>88.292211547619047</v>
      </c>
      <c r="O699" s="427">
        <v>111.30714285714288</v>
      </c>
      <c r="P699" s="177">
        <f t="shared" si="105"/>
        <v>6.4131428571428577</v>
      </c>
      <c r="Q699" s="177">
        <f t="shared" si="106"/>
        <v>7.8176211428571438</v>
      </c>
      <c r="R699" s="431">
        <f t="shared" si="99"/>
        <v>0.65476801596387069</v>
      </c>
      <c r="S699" s="468"/>
      <c r="T699" s="248"/>
      <c r="U699" s="248"/>
      <c r="V699" s="248"/>
      <c r="W699" s="248"/>
      <c r="X699" s="248"/>
      <c r="Y699" s="248"/>
    </row>
    <row r="700" spans="1:25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18">
        <v>58.2</v>
      </c>
      <c r="G700" s="644">
        <f t="shared" si="107"/>
        <v>58.2</v>
      </c>
      <c r="H700" s="858"/>
      <c r="I700" s="858">
        <v>0</v>
      </c>
      <c r="J700" s="418">
        <v>0</v>
      </c>
      <c r="K700" s="454">
        <f t="shared" si="104"/>
        <v>0</v>
      </c>
      <c r="L700" s="455">
        <f t="shared" si="100"/>
        <v>0</v>
      </c>
      <c r="M700" s="177">
        <f t="shared" si="103"/>
        <v>0</v>
      </c>
      <c r="N700" s="456">
        <f t="shared" si="102"/>
        <v>0</v>
      </c>
      <c r="O700" s="427">
        <v>0</v>
      </c>
      <c r="P700" s="177">
        <f t="shared" si="105"/>
        <v>0</v>
      </c>
      <c r="Q700" s="177">
        <f t="shared" si="106"/>
        <v>0</v>
      </c>
      <c r="R700" s="431">
        <f t="shared" si="99"/>
        <v>0</v>
      </c>
      <c r="S700" s="468"/>
      <c r="T700" s="248"/>
      <c r="U700" s="248"/>
      <c r="V700" s="248"/>
      <c r="W700" s="248"/>
      <c r="X700" s="248"/>
      <c r="Y700" s="248"/>
    </row>
    <row r="701" spans="1:25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18">
        <v>504.2</v>
      </c>
      <c r="G701" s="644">
        <f t="shared" si="107"/>
        <v>504.2</v>
      </c>
      <c r="H701" s="858"/>
      <c r="I701" s="858">
        <v>90</v>
      </c>
      <c r="J701" s="418">
        <v>90</v>
      </c>
      <c r="K701" s="454">
        <f t="shared" si="104"/>
        <v>90</v>
      </c>
      <c r="L701" s="455">
        <f t="shared" si="100"/>
        <v>0.11904761904761904</v>
      </c>
      <c r="M701" s="177">
        <f t="shared" si="103"/>
        <v>240.12023809523808</v>
      </c>
      <c r="N701" s="456">
        <f t="shared" si="102"/>
        <v>88.292211547619047</v>
      </c>
      <c r="O701" s="427">
        <v>111.30714285714288</v>
      </c>
      <c r="P701" s="177">
        <f t="shared" si="105"/>
        <v>6.4131428571428577</v>
      </c>
      <c r="Q701" s="177">
        <f t="shared" si="106"/>
        <v>7.8176211428571438</v>
      </c>
      <c r="R701" s="431">
        <f t="shared" si="99"/>
        <v>0.88483287456791537</v>
      </c>
      <c r="S701" s="468"/>
      <c r="T701" s="248"/>
      <c r="U701" s="248"/>
      <c r="V701" s="248"/>
      <c r="W701" s="248"/>
      <c r="X701" s="248"/>
      <c r="Y701" s="248"/>
    </row>
    <row r="702" spans="1:25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18">
        <v>166.6</v>
      </c>
      <c r="G702" s="644">
        <f t="shared" si="107"/>
        <v>166.6</v>
      </c>
      <c r="H702" s="858"/>
      <c r="I702" s="858">
        <v>0</v>
      </c>
      <c r="J702" s="418"/>
      <c r="K702" s="454">
        <f t="shared" si="104"/>
        <v>0</v>
      </c>
      <c r="L702" s="455">
        <f t="shared" si="100"/>
        <v>0</v>
      </c>
      <c r="M702" s="177">
        <f t="shared" si="103"/>
        <v>0</v>
      </c>
      <c r="N702" s="456">
        <f t="shared" si="102"/>
        <v>0</v>
      </c>
      <c r="O702" s="427">
        <v>0</v>
      </c>
      <c r="P702" s="177">
        <f t="shared" si="105"/>
        <v>0</v>
      </c>
      <c r="Q702" s="177">
        <f t="shared" si="106"/>
        <v>0</v>
      </c>
      <c r="R702" s="431">
        <f t="shared" si="99"/>
        <v>0</v>
      </c>
      <c r="S702" s="468"/>
      <c r="T702" s="248"/>
      <c r="U702" s="248"/>
      <c r="V702" s="248"/>
      <c r="W702" s="248"/>
      <c r="X702" s="248"/>
      <c r="Y702" s="248"/>
    </row>
    <row r="703" spans="1:25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18">
        <v>37.799999999999997</v>
      </c>
      <c r="G703" s="644">
        <f t="shared" si="107"/>
        <v>37.799999999999997</v>
      </c>
      <c r="H703" s="858"/>
      <c r="I703" s="858">
        <v>0</v>
      </c>
      <c r="J703" s="418"/>
      <c r="K703" s="454">
        <f t="shared" si="104"/>
        <v>0</v>
      </c>
      <c r="L703" s="455">
        <f t="shared" si="100"/>
        <v>0</v>
      </c>
      <c r="M703" s="177">
        <f t="shared" si="103"/>
        <v>0</v>
      </c>
      <c r="N703" s="456">
        <f t="shared" si="102"/>
        <v>0</v>
      </c>
      <c r="O703" s="427">
        <v>0</v>
      </c>
      <c r="P703" s="177">
        <f t="shared" si="105"/>
        <v>0</v>
      </c>
      <c r="Q703" s="177">
        <f t="shared" si="106"/>
        <v>0</v>
      </c>
      <c r="R703" s="431">
        <f t="shared" si="99"/>
        <v>0</v>
      </c>
      <c r="S703" s="468"/>
      <c r="T703" s="248"/>
      <c r="U703" s="248"/>
      <c r="V703" s="248"/>
      <c r="W703" s="248"/>
      <c r="X703" s="248"/>
      <c r="Y703" s="248"/>
    </row>
    <row r="704" spans="1:25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18">
        <v>55.5</v>
      </c>
      <c r="G704" s="644">
        <f t="shared" si="107"/>
        <v>55.5</v>
      </c>
      <c r="H704" s="858"/>
      <c r="I704" s="858">
        <v>0</v>
      </c>
      <c r="J704" s="418"/>
      <c r="K704" s="454">
        <f t="shared" si="104"/>
        <v>0</v>
      </c>
      <c r="L704" s="455">
        <f t="shared" si="100"/>
        <v>0</v>
      </c>
      <c r="M704" s="177">
        <f t="shared" si="103"/>
        <v>0</v>
      </c>
      <c r="N704" s="456">
        <f t="shared" si="102"/>
        <v>0</v>
      </c>
      <c r="O704" s="427">
        <v>0</v>
      </c>
      <c r="P704" s="177">
        <f t="shared" si="105"/>
        <v>0</v>
      </c>
      <c r="Q704" s="177">
        <f t="shared" si="106"/>
        <v>0</v>
      </c>
      <c r="R704" s="431">
        <f t="shared" si="99"/>
        <v>0</v>
      </c>
      <c r="S704" s="468"/>
      <c r="T704" s="248"/>
      <c r="U704" s="248"/>
      <c r="V704" s="248"/>
      <c r="W704" s="248"/>
      <c r="X704" s="248"/>
      <c r="Y704" s="248"/>
    </row>
    <row r="705" spans="1:25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18">
        <v>146.19999999999999</v>
      </c>
      <c r="G705" s="644">
        <f t="shared" si="107"/>
        <v>146.19999999999999</v>
      </c>
      <c r="H705" s="858"/>
      <c r="I705" s="858">
        <v>0</v>
      </c>
      <c r="J705" s="418"/>
      <c r="K705" s="454">
        <f t="shared" si="104"/>
        <v>0</v>
      </c>
      <c r="L705" s="455">
        <f t="shared" si="100"/>
        <v>0</v>
      </c>
      <c r="M705" s="177">
        <f t="shared" si="103"/>
        <v>0</v>
      </c>
      <c r="N705" s="456">
        <f t="shared" si="102"/>
        <v>0</v>
      </c>
      <c r="O705" s="427">
        <v>0</v>
      </c>
      <c r="P705" s="177">
        <f t="shared" si="105"/>
        <v>0</v>
      </c>
      <c r="Q705" s="177">
        <f t="shared" si="106"/>
        <v>0</v>
      </c>
      <c r="R705" s="431">
        <f t="shared" si="99"/>
        <v>0</v>
      </c>
      <c r="S705" s="468"/>
      <c r="T705" s="248"/>
      <c r="U705" s="248"/>
      <c r="V705" s="248"/>
      <c r="W705" s="248"/>
      <c r="X705" s="248"/>
      <c r="Y705" s="248"/>
    </row>
    <row r="706" spans="1:25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18">
        <v>47.9</v>
      </c>
      <c r="G706" s="644">
        <f t="shared" si="107"/>
        <v>47.9</v>
      </c>
      <c r="H706" s="858"/>
      <c r="I706" s="858">
        <v>0</v>
      </c>
      <c r="J706" s="418"/>
      <c r="K706" s="454">
        <f t="shared" si="104"/>
        <v>0</v>
      </c>
      <c r="L706" s="455">
        <f t="shared" si="100"/>
        <v>0</v>
      </c>
      <c r="M706" s="177">
        <f t="shared" si="103"/>
        <v>0</v>
      </c>
      <c r="N706" s="456">
        <f t="shared" si="102"/>
        <v>0</v>
      </c>
      <c r="O706" s="427">
        <v>0</v>
      </c>
      <c r="P706" s="177">
        <f t="shared" si="105"/>
        <v>0</v>
      </c>
      <c r="Q706" s="177">
        <f t="shared" si="106"/>
        <v>0</v>
      </c>
      <c r="R706" s="431">
        <f t="shared" si="99"/>
        <v>0</v>
      </c>
      <c r="S706" s="468"/>
      <c r="T706" s="248"/>
      <c r="U706" s="248"/>
      <c r="V706" s="248"/>
      <c r="W706" s="248"/>
      <c r="X706" s="248"/>
      <c r="Y706" s="248"/>
    </row>
    <row r="707" spans="1:25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18">
        <v>72.400000000000006</v>
      </c>
      <c r="G707" s="644">
        <f t="shared" si="107"/>
        <v>72.400000000000006</v>
      </c>
      <c r="H707" s="858"/>
      <c r="I707" s="858">
        <v>0</v>
      </c>
      <c r="J707" s="418"/>
      <c r="K707" s="454">
        <f t="shared" si="104"/>
        <v>0</v>
      </c>
      <c r="L707" s="455">
        <f t="shared" si="100"/>
        <v>0</v>
      </c>
      <c r="M707" s="177">
        <f t="shared" si="103"/>
        <v>0</v>
      </c>
      <c r="N707" s="456">
        <f t="shared" si="102"/>
        <v>0</v>
      </c>
      <c r="O707" s="427">
        <v>0</v>
      </c>
      <c r="P707" s="177">
        <f t="shared" si="105"/>
        <v>0</v>
      </c>
      <c r="Q707" s="177">
        <f t="shared" si="106"/>
        <v>0</v>
      </c>
      <c r="R707" s="431">
        <f t="shared" si="99"/>
        <v>0</v>
      </c>
      <c r="S707" s="468"/>
      <c r="T707" s="248"/>
      <c r="U707" s="248"/>
      <c r="V707" s="248"/>
      <c r="W707" s="248"/>
      <c r="X707" s="248"/>
      <c r="Y707" s="248"/>
    </row>
    <row r="708" spans="1:25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18">
        <v>73.5</v>
      </c>
      <c r="G708" s="644">
        <f t="shared" si="107"/>
        <v>73</v>
      </c>
      <c r="H708" s="858"/>
      <c r="I708" s="858">
        <v>0</v>
      </c>
      <c r="J708" s="418"/>
      <c r="K708" s="454">
        <f t="shared" si="104"/>
        <v>0</v>
      </c>
      <c r="L708" s="455">
        <f t="shared" si="100"/>
        <v>0</v>
      </c>
      <c r="M708" s="177">
        <f t="shared" si="103"/>
        <v>0</v>
      </c>
      <c r="N708" s="456">
        <f t="shared" si="102"/>
        <v>0</v>
      </c>
      <c r="O708" s="427">
        <v>0</v>
      </c>
      <c r="P708" s="177">
        <f t="shared" si="105"/>
        <v>0</v>
      </c>
      <c r="Q708" s="177">
        <f t="shared" si="106"/>
        <v>0</v>
      </c>
      <c r="R708" s="431">
        <f t="shared" si="99"/>
        <v>0</v>
      </c>
      <c r="S708" s="468"/>
      <c r="T708" s="248"/>
      <c r="U708" s="248"/>
      <c r="V708" s="248"/>
      <c r="W708" s="248"/>
      <c r="X708" s="248"/>
      <c r="Y708" s="248"/>
    </row>
    <row r="709" spans="1:25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18">
        <v>116</v>
      </c>
      <c r="G709" s="644">
        <f t="shared" si="107"/>
        <v>110</v>
      </c>
      <c r="H709" s="858"/>
      <c r="I709" s="858">
        <v>0</v>
      </c>
      <c r="J709" s="418"/>
      <c r="K709" s="454">
        <f t="shared" si="104"/>
        <v>0</v>
      </c>
      <c r="L709" s="455">
        <f t="shared" si="100"/>
        <v>0</v>
      </c>
      <c r="M709" s="177">
        <f t="shared" si="103"/>
        <v>0</v>
      </c>
      <c r="N709" s="456">
        <f t="shared" si="102"/>
        <v>0</v>
      </c>
      <c r="O709" s="427">
        <v>0</v>
      </c>
      <c r="P709" s="177">
        <f t="shared" si="105"/>
        <v>0</v>
      </c>
      <c r="Q709" s="177">
        <f t="shared" si="106"/>
        <v>0</v>
      </c>
      <c r="R709" s="431">
        <f t="shared" si="99"/>
        <v>0</v>
      </c>
      <c r="S709" s="468"/>
      <c r="T709" s="248"/>
      <c r="U709" s="248"/>
      <c r="V709" s="248"/>
      <c r="W709" s="248"/>
      <c r="X709" s="248"/>
      <c r="Y709" s="248"/>
    </row>
    <row r="710" spans="1:25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18">
        <v>338.2</v>
      </c>
      <c r="G710" s="644">
        <f t="shared" si="107"/>
        <v>382</v>
      </c>
      <c r="H710" s="858"/>
      <c r="I710" s="858">
        <v>0</v>
      </c>
      <c r="J710" s="418"/>
      <c r="K710" s="454">
        <f t="shared" si="104"/>
        <v>0</v>
      </c>
      <c r="L710" s="455">
        <f t="shared" ref="L710:L744" si="108">(H710/840)+(I710/756)</f>
        <v>0</v>
      </c>
      <c r="M710" s="177">
        <f t="shared" si="103"/>
        <v>0</v>
      </c>
      <c r="N710" s="456">
        <f t="shared" si="102"/>
        <v>0</v>
      </c>
      <c r="O710" s="427">
        <v>0</v>
      </c>
      <c r="P710" s="177">
        <f t="shared" si="105"/>
        <v>0</v>
      </c>
      <c r="Q710" s="177">
        <f t="shared" si="106"/>
        <v>0</v>
      </c>
      <c r="R710" s="431">
        <f t="shared" si="99"/>
        <v>0</v>
      </c>
      <c r="S710" s="468"/>
      <c r="T710" s="248"/>
      <c r="U710" s="248"/>
      <c r="V710" s="248"/>
      <c r="W710" s="248"/>
      <c r="X710" s="248"/>
      <c r="Y710" s="248"/>
    </row>
    <row r="711" spans="1:25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18">
        <v>226.9</v>
      </c>
      <c r="G711" s="644">
        <f t="shared" si="107"/>
        <v>226.9</v>
      </c>
      <c r="H711" s="858"/>
      <c r="I711" s="858">
        <v>0</v>
      </c>
      <c r="J711" s="418"/>
      <c r="K711" s="454">
        <f t="shared" si="104"/>
        <v>0</v>
      </c>
      <c r="L711" s="455">
        <f t="shared" si="108"/>
        <v>0</v>
      </c>
      <c r="M711" s="177">
        <f t="shared" si="103"/>
        <v>0</v>
      </c>
      <c r="N711" s="456">
        <f t="shared" si="102"/>
        <v>0</v>
      </c>
      <c r="O711" s="427">
        <v>0</v>
      </c>
      <c r="P711" s="177">
        <f t="shared" si="105"/>
        <v>0</v>
      </c>
      <c r="Q711" s="177">
        <f t="shared" si="106"/>
        <v>0</v>
      </c>
      <c r="R711" s="431">
        <f t="shared" ref="R711:R774" si="109">(M711+N711+O711+P711)/C711</f>
        <v>0</v>
      </c>
      <c r="S711" s="468"/>
      <c r="T711" s="248"/>
      <c r="U711" s="248"/>
      <c r="V711" s="248"/>
      <c r="W711" s="248"/>
      <c r="X711" s="248"/>
      <c r="Y711" s="248"/>
    </row>
    <row r="712" spans="1:25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18">
        <v>142.6</v>
      </c>
      <c r="G712" s="644">
        <f t="shared" si="107"/>
        <v>142.6</v>
      </c>
      <c r="H712" s="858"/>
      <c r="I712" s="858">
        <v>0</v>
      </c>
      <c r="J712" s="418"/>
      <c r="K712" s="454">
        <f t="shared" si="104"/>
        <v>0</v>
      </c>
      <c r="L712" s="455">
        <f t="shared" si="108"/>
        <v>0</v>
      </c>
      <c r="M712" s="177">
        <f t="shared" si="103"/>
        <v>0</v>
      </c>
      <c r="N712" s="456">
        <f t="shared" si="102"/>
        <v>0</v>
      </c>
      <c r="O712" s="427">
        <v>0</v>
      </c>
      <c r="P712" s="177">
        <f t="shared" si="105"/>
        <v>0</v>
      </c>
      <c r="Q712" s="177">
        <f t="shared" si="106"/>
        <v>0</v>
      </c>
      <c r="R712" s="431">
        <f t="shared" si="109"/>
        <v>0</v>
      </c>
      <c r="S712" s="468"/>
      <c r="T712" s="248"/>
      <c r="U712" s="248"/>
      <c r="V712" s="248"/>
      <c r="W712" s="248"/>
      <c r="X712" s="248"/>
      <c r="Y712" s="248"/>
    </row>
    <row r="713" spans="1:25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18">
        <v>407.3</v>
      </c>
      <c r="G713" s="644">
        <f t="shared" si="107"/>
        <v>428.31</v>
      </c>
      <c r="H713" s="858">
        <v>0</v>
      </c>
      <c r="I713" s="858"/>
      <c r="J713" s="418"/>
      <c r="K713" s="454">
        <f t="shared" si="104"/>
        <v>0</v>
      </c>
      <c r="L713" s="455">
        <f t="shared" si="108"/>
        <v>0</v>
      </c>
      <c r="M713" s="177">
        <f t="shared" si="103"/>
        <v>0</v>
      </c>
      <c r="N713" s="456">
        <f t="shared" si="102"/>
        <v>0</v>
      </c>
      <c r="O713" s="427">
        <v>0</v>
      </c>
      <c r="P713" s="177">
        <f t="shared" si="105"/>
        <v>0</v>
      </c>
      <c r="Q713" s="177">
        <f t="shared" si="106"/>
        <v>0</v>
      </c>
      <c r="R713" s="431">
        <f t="shared" si="109"/>
        <v>0</v>
      </c>
      <c r="S713" s="468"/>
      <c r="T713" s="248"/>
      <c r="U713" s="248"/>
      <c r="V713" s="248"/>
      <c r="W713" s="248"/>
      <c r="X713" s="248"/>
      <c r="Y713" s="248"/>
    </row>
    <row r="714" spans="1:25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18">
        <v>710.2</v>
      </c>
      <c r="G714" s="644">
        <f t="shared" si="107"/>
        <v>744.3</v>
      </c>
      <c r="H714" s="858">
        <v>0</v>
      </c>
      <c r="I714" s="858"/>
      <c r="J714" s="418"/>
      <c r="K714" s="454">
        <f t="shared" si="104"/>
        <v>0</v>
      </c>
      <c r="L714" s="455">
        <f t="shared" si="108"/>
        <v>0</v>
      </c>
      <c r="M714" s="177">
        <f t="shared" si="103"/>
        <v>0</v>
      </c>
      <c r="N714" s="456">
        <f t="shared" si="102"/>
        <v>0</v>
      </c>
      <c r="O714" s="427">
        <v>0</v>
      </c>
      <c r="P714" s="177">
        <f t="shared" si="105"/>
        <v>0</v>
      </c>
      <c r="Q714" s="177">
        <f t="shared" si="106"/>
        <v>0</v>
      </c>
      <c r="R714" s="431">
        <f t="shared" si="109"/>
        <v>0</v>
      </c>
      <c r="S714" s="468"/>
      <c r="T714" s="248"/>
      <c r="U714" s="248"/>
      <c r="V714" s="248"/>
      <c r="W714" s="248"/>
      <c r="X714" s="248"/>
      <c r="Y714" s="248"/>
    </row>
    <row r="715" spans="1:25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18">
        <v>1023.8</v>
      </c>
      <c r="G715" s="644">
        <f t="shared" si="107"/>
        <v>1084.5899999999999</v>
      </c>
      <c r="H715" s="858">
        <v>90</v>
      </c>
      <c r="I715" s="858"/>
      <c r="J715" s="418">
        <v>150</v>
      </c>
      <c r="K715" s="454">
        <f t="shared" si="104"/>
        <v>90</v>
      </c>
      <c r="L715" s="455">
        <f t="shared" si="108"/>
        <v>0.10714285714285714</v>
      </c>
      <c r="M715" s="177">
        <f t="shared" si="103"/>
        <v>216.10821428571427</v>
      </c>
      <c r="N715" s="456">
        <f t="shared" si="102"/>
        <v>79.462990392857137</v>
      </c>
      <c r="O715" s="427">
        <v>100.17642857142857</v>
      </c>
      <c r="P715" s="177">
        <f t="shared" si="105"/>
        <v>5.7718285714285722</v>
      </c>
      <c r="Q715" s="177">
        <f t="shared" si="106"/>
        <v>7.03585902857143</v>
      </c>
      <c r="R715" s="431">
        <f t="shared" si="109"/>
        <v>0.37020391283473808</v>
      </c>
      <c r="S715" s="468"/>
      <c r="T715" s="248"/>
      <c r="U715" s="248"/>
      <c r="V715" s="248"/>
      <c r="W715" s="248"/>
      <c r="X715" s="248"/>
      <c r="Y715" s="248"/>
    </row>
    <row r="716" spans="1:25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18">
        <v>1012.41</v>
      </c>
      <c r="G716" s="644">
        <f t="shared" si="107"/>
        <v>1069.71</v>
      </c>
      <c r="H716" s="858">
        <v>90</v>
      </c>
      <c r="I716" s="858"/>
      <c r="J716" s="418">
        <v>150</v>
      </c>
      <c r="K716" s="454">
        <f t="shared" si="104"/>
        <v>90</v>
      </c>
      <c r="L716" s="455">
        <f t="shared" si="108"/>
        <v>0.10714285714285714</v>
      </c>
      <c r="M716" s="177">
        <f t="shared" si="103"/>
        <v>216.10821428571427</v>
      </c>
      <c r="N716" s="456">
        <f t="shared" si="102"/>
        <v>79.462990392857137</v>
      </c>
      <c r="O716" s="427">
        <v>100.17642857142857</v>
      </c>
      <c r="P716" s="177">
        <f t="shared" si="105"/>
        <v>5.7718285714285722</v>
      </c>
      <c r="Q716" s="177">
        <f t="shared" si="106"/>
        <v>7.03585902857143</v>
      </c>
      <c r="R716" s="431">
        <f t="shared" si="109"/>
        <v>0.375353564817968</v>
      </c>
      <c r="S716" s="468"/>
      <c r="T716" s="248"/>
      <c r="U716" s="248"/>
      <c r="V716" s="248"/>
      <c r="W716" s="248"/>
      <c r="X716" s="248"/>
      <c r="Y716" s="248"/>
    </row>
    <row r="717" spans="1:25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18">
        <v>196.8</v>
      </c>
      <c r="G717" s="644">
        <f t="shared" si="107"/>
        <v>196.8</v>
      </c>
      <c r="H717" s="858"/>
      <c r="I717" s="858"/>
      <c r="J717" s="420"/>
      <c r="K717" s="454">
        <f t="shared" si="104"/>
        <v>0</v>
      </c>
      <c r="L717" s="455">
        <f t="shared" si="108"/>
        <v>0</v>
      </c>
      <c r="M717" s="177">
        <f t="shared" si="103"/>
        <v>0</v>
      </c>
      <c r="N717" s="456">
        <f t="shared" si="102"/>
        <v>0</v>
      </c>
      <c r="O717" s="427">
        <v>0</v>
      </c>
      <c r="P717" s="177">
        <f t="shared" si="105"/>
        <v>0</v>
      </c>
      <c r="Q717" s="177">
        <f t="shared" si="106"/>
        <v>0</v>
      </c>
      <c r="R717" s="431">
        <f t="shared" si="109"/>
        <v>0</v>
      </c>
      <c r="S717" s="468"/>
      <c r="T717" s="248"/>
      <c r="U717" s="248"/>
      <c r="V717" s="248"/>
      <c r="W717" s="248"/>
      <c r="X717" s="248"/>
      <c r="Y717" s="248"/>
    </row>
    <row r="718" spans="1:25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18">
        <v>802.1</v>
      </c>
      <c r="G718" s="644">
        <f t="shared" si="107"/>
        <v>625.9</v>
      </c>
      <c r="H718" s="858"/>
      <c r="I718" s="858"/>
      <c r="J718" s="418"/>
      <c r="K718" s="454">
        <v>0</v>
      </c>
      <c r="L718" s="455">
        <f t="shared" si="108"/>
        <v>0</v>
      </c>
      <c r="M718" s="177">
        <f t="shared" si="103"/>
        <v>0</v>
      </c>
      <c r="N718" s="456">
        <f t="shared" ref="N718:N746" si="110">M718*0.3677</f>
        <v>0</v>
      </c>
      <c r="O718" s="427">
        <v>0</v>
      </c>
      <c r="P718" s="177">
        <f t="shared" si="105"/>
        <v>0</v>
      </c>
      <c r="Q718" s="177">
        <f t="shared" si="106"/>
        <v>0</v>
      </c>
      <c r="R718" s="431">
        <f t="shared" si="109"/>
        <v>0</v>
      </c>
      <c r="S718" s="468"/>
      <c r="T718" s="248"/>
      <c r="U718" s="248"/>
      <c r="V718" s="248"/>
      <c r="W718" s="248"/>
      <c r="X718" s="248"/>
      <c r="Y718" s="248"/>
    </row>
    <row r="719" spans="1:25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18">
        <v>127.5</v>
      </c>
      <c r="G719" s="644">
        <f t="shared" si="107"/>
        <v>127.5</v>
      </c>
      <c r="H719" s="858"/>
      <c r="I719" s="858">
        <v>0</v>
      </c>
      <c r="J719" s="418"/>
      <c r="K719" s="454">
        <f t="shared" ref="K719:K745" si="111">H719+I719</f>
        <v>0</v>
      </c>
      <c r="L719" s="455">
        <f t="shared" si="108"/>
        <v>0</v>
      </c>
      <c r="M719" s="177">
        <f t="shared" si="103"/>
        <v>0</v>
      </c>
      <c r="N719" s="456">
        <f t="shared" si="110"/>
        <v>0</v>
      </c>
      <c r="O719" s="427">
        <v>0</v>
      </c>
      <c r="P719" s="177">
        <f t="shared" si="105"/>
        <v>0</v>
      </c>
      <c r="Q719" s="177">
        <f t="shared" si="106"/>
        <v>0</v>
      </c>
      <c r="R719" s="431">
        <f t="shared" si="109"/>
        <v>0</v>
      </c>
      <c r="S719" s="468"/>
      <c r="T719" s="248"/>
      <c r="U719" s="248"/>
      <c r="V719" s="248"/>
      <c r="W719" s="248"/>
      <c r="X719" s="248"/>
      <c r="Y719" s="248"/>
    </row>
    <row r="720" spans="1:25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18">
        <v>510.45</v>
      </c>
      <c r="G720" s="644">
        <f t="shared" si="107"/>
        <v>561.25</v>
      </c>
      <c r="H720" s="858"/>
      <c r="I720" s="858">
        <v>0</v>
      </c>
      <c r="J720" s="418"/>
      <c r="K720" s="454">
        <f t="shared" si="111"/>
        <v>0</v>
      </c>
      <c r="L720" s="455">
        <f t="shared" si="108"/>
        <v>0</v>
      </c>
      <c r="M720" s="177">
        <f t="shared" si="103"/>
        <v>0</v>
      </c>
      <c r="N720" s="456">
        <f t="shared" si="110"/>
        <v>0</v>
      </c>
      <c r="O720" s="427">
        <v>0</v>
      </c>
      <c r="P720" s="177">
        <f t="shared" si="105"/>
        <v>0</v>
      </c>
      <c r="Q720" s="177">
        <f t="shared" si="106"/>
        <v>0</v>
      </c>
      <c r="R720" s="431">
        <f t="shared" si="109"/>
        <v>0</v>
      </c>
      <c r="S720" s="468"/>
      <c r="T720" s="248"/>
      <c r="U720" s="248"/>
      <c r="V720" s="248"/>
      <c r="W720" s="248"/>
      <c r="X720" s="248"/>
      <c r="Y720" s="248"/>
    </row>
    <row r="721" spans="1:25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18">
        <v>122.9</v>
      </c>
      <c r="G721" s="644">
        <f t="shared" si="107"/>
        <v>122.9</v>
      </c>
      <c r="H721" s="858"/>
      <c r="I721" s="858">
        <v>0</v>
      </c>
      <c r="J721" s="418"/>
      <c r="K721" s="454">
        <f t="shared" si="111"/>
        <v>0</v>
      </c>
      <c r="L721" s="455">
        <f t="shared" si="108"/>
        <v>0</v>
      </c>
      <c r="M721" s="177">
        <f t="shared" si="103"/>
        <v>0</v>
      </c>
      <c r="N721" s="456">
        <f t="shared" si="110"/>
        <v>0</v>
      </c>
      <c r="O721" s="427">
        <v>0</v>
      </c>
      <c r="P721" s="177">
        <f t="shared" si="105"/>
        <v>0</v>
      </c>
      <c r="Q721" s="177">
        <f t="shared" si="106"/>
        <v>0</v>
      </c>
      <c r="R721" s="431">
        <f t="shared" si="109"/>
        <v>0</v>
      </c>
      <c r="S721" s="468"/>
      <c r="T721" s="248"/>
      <c r="U721" s="248"/>
      <c r="V721" s="248"/>
      <c r="W721" s="248"/>
      <c r="X721" s="248"/>
      <c r="Y721" s="248"/>
    </row>
    <row r="722" spans="1:25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18">
        <v>82.5</v>
      </c>
      <c r="G722" s="644">
        <f t="shared" si="107"/>
        <v>82.5</v>
      </c>
      <c r="H722" s="858"/>
      <c r="I722" s="858">
        <v>0</v>
      </c>
      <c r="J722" s="418"/>
      <c r="K722" s="454">
        <f t="shared" si="111"/>
        <v>0</v>
      </c>
      <c r="L722" s="455">
        <f t="shared" si="108"/>
        <v>0</v>
      </c>
      <c r="M722" s="177">
        <f t="shared" si="103"/>
        <v>0</v>
      </c>
      <c r="N722" s="456">
        <f t="shared" si="110"/>
        <v>0</v>
      </c>
      <c r="O722" s="427">
        <v>0</v>
      </c>
      <c r="P722" s="177">
        <f t="shared" si="105"/>
        <v>0</v>
      </c>
      <c r="Q722" s="177">
        <f t="shared" si="106"/>
        <v>0</v>
      </c>
      <c r="R722" s="431">
        <f t="shared" si="109"/>
        <v>0</v>
      </c>
      <c r="S722" s="468"/>
      <c r="T722" s="248"/>
      <c r="U722" s="248"/>
      <c r="V722" s="248"/>
      <c r="W722" s="248"/>
      <c r="X722" s="248"/>
      <c r="Y722" s="248"/>
    </row>
    <row r="723" spans="1:25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18">
        <v>118.7</v>
      </c>
      <c r="G723" s="644">
        <f t="shared" si="107"/>
        <v>118.7</v>
      </c>
      <c r="H723" s="858"/>
      <c r="I723" s="858">
        <v>0</v>
      </c>
      <c r="J723" s="418"/>
      <c r="K723" s="454">
        <f t="shared" si="111"/>
        <v>0</v>
      </c>
      <c r="L723" s="455">
        <f t="shared" si="108"/>
        <v>0</v>
      </c>
      <c r="M723" s="177">
        <f t="shared" si="103"/>
        <v>0</v>
      </c>
      <c r="N723" s="456">
        <f t="shared" si="110"/>
        <v>0</v>
      </c>
      <c r="O723" s="427">
        <v>0</v>
      </c>
      <c r="P723" s="177">
        <f t="shared" si="105"/>
        <v>0</v>
      </c>
      <c r="Q723" s="177">
        <f t="shared" si="106"/>
        <v>0</v>
      </c>
      <c r="R723" s="431">
        <f t="shared" si="109"/>
        <v>0</v>
      </c>
      <c r="S723" s="468"/>
      <c r="T723" s="248"/>
      <c r="U723" s="248"/>
      <c r="V723" s="248"/>
      <c r="W723" s="248"/>
      <c r="X723" s="248"/>
      <c r="Y723" s="248"/>
    </row>
    <row r="724" spans="1:25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18">
        <v>113.8</v>
      </c>
      <c r="G724" s="644">
        <f t="shared" si="107"/>
        <v>113.8</v>
      </c>
      <c r="H724" s="858"/>
      <c r="I724" s="858">
        <v>0</v>
      </c>
      <c r="J724" s="418"/>
      <c r="K724" s="454">
        <f t="shared" si="111"/>
        <v>0</v>
      </c>
      <c r="L724" s="455">
        <f t="shared" si="108"/>
        <v>0</v>
      </c>
      <c r="M724" s="177">
        <f t="shared" si="103"/>
        <v>0</v>
      </c>
      <c r="N724" s="456">
        <f t="shared" si="110"/>
        <v>0</v>
      </c>
      <c r="O724" s="427">
        <v>0</v>
      </c>
      <c r="P724" s="177">
        <f t="shared" si="105"/>
        <v>0</v>
      </c>
      <c r="Q724" s="177">
        <f t="shared" si="106"/>
        <v>0</v>
      </c>
      <c r="R724" s="431">
        <f t="shared" si="109"/>
        <v>0</v>
      </c>
      <c r="S724" s="468"/>
      <c r="T724" s="248"/>
      <c r="U724" s="248"/>
      <c r="V724" s="248"/>
      <c r="W724" s="248"/>
      <c r="X724" s="248"/>
      <c r="Y724" s="248"/>
    </row>
    <row r="725" spans="1:25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18">
        <v>294</v>
      </c>
      <c r="G725" s="644">
        <f t="shared" si="107"/>
        <v>294</v>
      </c>
      <c r="H725" s="858"/>
      <c r="I725" s="858">
        <v>0</v>
      </c>
      <c r="J725" s="418"/>
      <c r="K725" s="454">
        <f t="shared" si="111"/>
        <v>0</v>
      </c>
      <c r="L725" s="455">
        <f t="shared" si="108"/>
        <v>0</v>
      </c>
      <c r="M725" s="177">
        <f t="shared" si="103"/>
        <v>0</v>
      </c>
      <c r="N725" s="456">
        <f t="shared" si="110"/>
        <v>0</v>
      </c>
      <c r="O725" s="427">
        <v>0</v>
      </c>
      <c r="P725" s="177">
        <f t="shared" si="105"/>
        <v>0</v>
      </c>
      <c r="Q725" s="177">
        <f t="shared" si="106"/>
        <v>0</v>
      </c>
      <c r="R725" s="431">
        <f t="shared" si="109"/>
        <v>0</v>
      </c>
      <c r="S725" s="468"/>
      <c r="T725" s="248"/>
      <c r="U725" s="248"/>
      <c r="V725" s="248"/>
      <c r="W725" s="248"/>
      <c r="X725" s="248"/>
      <c r="Y725" s="248"/>
    </row>
    <row r="726" spans="1:25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18">
        <v>84.1</v>
      </c>
      <c r="G726" s="644">
        <f t="shared" si="107"/>
        <v>38.6</v>
      </c>
      <c r="H726" s="858"/>
      <c r="I726" s="858">
        <v>0</v>
      </c>
      <c r="J726" s="418"/>
      <c r="K726" s="454">
        <f t="shared" si="111"/>
        <v>0</v>
      </c>
      <c r="L726" s="455">
        <f t="shared" si="108"/>
        <v>0</v>
      </c>
      <c r="M726" s="177">
        <f t="shared" si="103"/>
        <v>0</v>
      </c>
      <c r="N726" s="456">
        <f t="shared" si="110"/>
        <v>0</v>
      </c>
      <c r="O726" s="427">
        <v>0</v>
      </c>
      <c r="P726" s="177">
        <f t="shared" si="105"/>
        <v>0</v>
      </c>
      <c r="Q726" s="177">
        <f t="shared" si="106"/>
        <v>0</v>
      </c>
      <c r="R726" s="431">
        <f t="shared" si="109"/>
        <v>0</v>
      </c>
      <c r="S726" s="468"/>
      <c r="T726" s="248"/>
      <c r="U726" s="248"/>
      <c r="V726" s="248"/>
      <c r="W726" s="248"/>
      <c r="X726" s="248"/>
      <c r="Y726" s="248"/>
    </row>
    <row r="727" spans="1:25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18">
        <v>295.8</v>
      </c>
      <c r="G727" s="644">
        <f t="shared" si="107"/>
        <v>295.8</v>
      </c>
      <c r="H727" s="858"/>
      <c r="I727" s="858">
        <v>0</v>
      </c>
      <c r="J727" s="418"/>
      <c r="K727" s="454">
        <f t="shared" si="111"/>
        <v>0</v>
      </c>
      <c r="L727" s="455">
        <f t="shared" si="108"/>
        <v>0</v>
      </c>
      <c r="M727" s="177">
        <f t="shared" si="103"/>
        <v>0</v>
      </c>
      <c r="N727" s="456">
        <f t="shared" si="110"/>
        <v>0</v>
      </c>
      <c r="O727" s="427">
        <v>0</v>
      </c>
      <c r="P727" s="177">
        <f t="shared" si="105"/>
        <v>0</v>
      </c>
      <c r="Q727" s="177">
        <f t="shared" si="106"/>
        <v>0</v>
      </c>
      <c r="R727" s="431">
        <f t="shared" si="109"/>
        <v>0</v>
      </c>
      <c r="S727" s="468"/>
      <c r="T727" s="248"/>
      <c r="U727" s="248"/>
      <c r="V727" s="248"/>
      <c r="W727" s="248"/>
      <c r="X727" s="248"/>
      <c r="Y727" s="248"/>
    </row>
    <row r="728" spans="1:25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18">
        <v>2741.6</v>
      </c>
      <c r="G728" s="644">
        <f t="shared" si="107"/>
        <v>2954.3</v>
      </c>
      <c r="H728" s="858">
        <v>230.5</v>
      </c>
      <c r="I728" s="858">
        <v>0</v>
      </c>
      <c r="J728" s="418">
        <v>230.5</v>
      </c>
      <c r="K728" s="454">
        <f t="shared" si="111"/>
        <v>230.5</v>
      </c>
      <c r="L728" s="455">
        <f t="shared" si="108"/>
        <v>0.27440476190476193</v>
      </c>
      <c r="M728" s="177">
        <f t="shared" si="103"/>
        <v>553.4771488095239</v>
      </c>
      <c r="N728" s="456">
        <f t="shared" si="110"/>
        <v>203.51354761726196</v>
      </c>
      <c r="O728" s="427">
        <v>256.56296428571432</v>
      </c>
      <c r="P728" s="177">
        <f t="shared" si="105"/>
        <v>14.78229428571429</v>
      </c>
      <c r="Q728" s="177">
        <f t="shared" si="106"/>
        <v>18.019616734285719</v>
      </c>
      <c r="R728" s="431">
        <f t="shared" si="109"/>
        <v>0.37458053946680303</v>
      </c>
      <c r="S728" s="468"/>
      <c r="T728" s="248"/>
      <c r="U728" s="248"/>
      <c r="V728" s="248"/>
      <c r="W728" s="248"/>
      <c r="X728" s="248"/>
      <c r="Y728" s="248"/>
    </row>
    <row r="729" spans="1:25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18">
        <v>603.21</v>
      </c>
      <c r="G729" s="644">
        <f t="shared" si="107"/>
        <v>601.58000000000004</v>
      </c>
      <c r="H729" s="858"/>
      <c r="I729" s="858">
        <v>0</v>
      </c>
      <c r="J729" s="418">
        <v>0</v>
      </c>
      <c r="K729" s="454">
        <f t="shared" si="111"/>
        <v>0</v>
      </c>
      <c r="L729" s="455">
        <f t="shared" si="108"/>
        <v>0</v>
      </c>
      <c r="M729" s="177">
        <f t="shared" ref="M729:M746" si="112">L729*2017.01</f>
        <v>0</v>
      </c>
      <c r="N729" s="456">
        <f t="shared" si="110"/>
        <v>0</v>
      </c>
      <c r="O729" s="427">
        <v>0</v>
      </c>
      <c r="P729" s="177">
        <f t="shared" si="105"/>
        <v>0</v>
      </c>
      <c r="Q729" s="177">
        <f t="shared" si="106"/>
        <v>0</v>
      </c>
      <c r="R729" s="431">
        <f t="shared" si="109"/>
        <v>0</v>
      </c>
      <c r="S729" s="468"/>
      <c r="T729" s="248"/>
      <c r="U729" s="248"/>
      <c r="V729" s="248"/>
      <c r="W729" s="248"/>
      <c r="X729" s="248"/>
      <c r="Y729" s="248"/>
    </row>
    <row r="730" spans="1:25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18">
        <v>392.31</v>
      </c>
      <c r="G730" s="644">
        <f t="shared" si="107"/>
        <v>392.31</v>
      </c>
      <c r="H730" s="858"/>
      <c r="I730" s="858">
        <v>0</v>
      </c>
      <c r="J730" s="418">
        <v>0</v>
      </c>
      <c r="K730" s="454">
        <f t="shared" si="111"/>
        <v>0</v>
      </c>
      <c r="L730" s="455">
        <f t="shared" si="108"/>
        <v>0</v>
      </c>
      <c r="M730" s="177">
        <f t="shared" si="112"/>
        <v>0</v>
      </c>
      <c r="N730" s="456">
        <f t="shared" si="110"/>
        <v>0</v>
      </c>
      <c r="O730" s="427">
        <v>0</v>
      </c>
      <c r="P730" s="177">
        <f t="shared" ref="P730:P794" si="113">L730*49.88*1.08</f>
        <v>0</v>
      </c>
      <c r="Q730" s="177">
        <f t="shared" si="106"/>
        <v>0</v>
      </c>
      <c r="R730" s="431">
        <f t="shared" si="109"/>
        <v>0</v>
      </c>
      <c r="S730" s="468"/>
      <c r="T730" s="248"/>
      <c r="U730" s="248"/>
      <c r="V730" s="248"/>
      <c r="W730" s="248"/>
      <c r="X730" s="248"/>
      <c r="Y730" s="248"/>
    </row>
    <row r="731" spans="1:25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18">
        <v>599.28</v>
      </c>
      <c r="G731" s="644">
        <f t="shared" si="107"/>
        <v>600.88</v>
      </c>
      <c r="H731" s="858"/>
      <c r="I731" s="858">
        <v>62</v>
      </c>
      <c r="J731" s="418">
        <v>62</v>
      </c>
      <c r="K731" s="454">
        <f t="shared" si="111"/>
        <v>62</v>
      </c>
      <c r="L731" s="455">
        <f t="shared" si="108"/>
        <v>8.2010582010582006E-2</v>
      </c>
      <c r="M731" s="177">
        <f t="shared" si="112"/>
        <v>165.41616402116401</v>
      </c>
      <c r="N731" s="456">
        <f t="shared" si="110"/>
        <v>60.823523510582007</v>
      </c>
      <c r="O731" s="427">
        <v>76.678253968253969</v>
      </c>
      <c r="P731" s="177">
        <f t="shared" si="113"/>
        <v>4.4179428571428572</v>
      </c>
      <c r="Q731" s="177">
        <f t="shared" si="106"/>
        <v>5.3854723428571436</v>
      </c>
      <c r="R731" s="431">
        <f t="shared" si="109"/>
        <v>0.51147630867584681</v>
      </c>
      <c r="S731" s="468"/>
      <c r="T731" s="248"/>
      <c r="U731" s="248"/>
      <c r="V731" s="248"/>
      <c r="W731" s="248"/>
      <c r="X731" s="248"/>
      <c r="Y731" s="248"/>
    </row>
    <row r="732" spans="1:25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18">
        <v>307.3</v>
      </c>
      <c r="G732" s="644">
        <f t="shared" si="107"/>
        <v>307.3</v>
      </c>
      <c r="H732" s="858"/>
      <c r="I732" s="858">
        <v>0</v>
      </c>
      <c r="J732" s="418">
        <v>0</v>
      </c>
      <c r="K732" s="454">
        <f t="shared" si="111"/>
        <v>0</v>
      </c>
      <c r="L732" s="455">
        <f t="shared" si="108"/>
        <v>0</v>
      </c>
      <c r="M732" s="177">
        <f t="shared" si="112"/>
        <v>0</v>
      </c>
      <c r="N732" s="456">
        <f t="shared" si="110"/>
        <v>0</v>
      </c>
      <c r="O732" s="427">
        <v>0</v>
      </c>
      <c r="P732" s="177">
        <f t="shared" si="113"/>
        <v>0</v>
      </c>
      <c r="Q732" s="177">
        <f t="shared" si="106"/>
        <v>0</v>
      </c>
      <c r="R732" s="431">
        <f t="shared" si="109"/>
        <v>0</v>
      </c>
      <c r="S732" s="468"/>
      <c r="T732" s="248"/>
      <c r="U732" s="248"/>
      <c r="V732" s="248"/>
      <c r="W732" s="248"/>
      <c r="X732" s="248"/>
      <c r="Y732" s="248"/>
    </row>
    <row r="733" spans="1:25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18">
        <v>797.9</v>
      </c>
      <c r="G733" s="644">
        <f t="shared" si="107"/>
        <v>800.1</v>
      </c>
      <c r="H733" s="858"/>
      <c r="I733" s="858">
        <v>100</v>
      </c>
      <c r="J733" s="418">
        <v>100</v>
      </c>
      <c r="K733" s="454">
        <f t="shared" si="111"/>
        <v>100</v>
      </c>
      <c r="L733" s="455">
        <f t="shared" si="108"/>
        <v>0.13227513227513227</v>
      </c>
      <c r="M733" s="177">
        <f t="shared" si="112"/>
        <v>266.80026455026456</v>
      </c>
      <c r="N733" s="456">
        <f t="shared" si="110"/>
        <v>98.102457275132281</v>
      </c>
      <c r="O733" s="427">
        <v>123.67460317460318</v>
      </c>
      <c r="P733" s="177">
        <f t="shared" si="113"/>
        <v>7.1257142857142863</v>
      </c>
      <c r="Q733" s="177">
        <f t="shared" ref="Q733:Q747" si="114">P733*1.219</f>
        <v>8.6862457142857163</v>
      </c>
      <c r="R733" s="431">
        <f t="shared" si="109"/>
        <v>0.64967632933907515</v>
      </c>
      <c r="S733" s="468"/>
      <c r="T733" s="248"/>
      <c r="U733" s="248"/>
      <c r="V733" s="248"/>
      <c r="W733" s="248"/>
      <c r="X733" s="248"/>
      <c r="Y733" s="248"/>
    </row>
    <row r="734" spans="1:25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18">
        <v>326.39999999999998</v>
      </c>
      <c r="G734" s="644">
        <f t="shared" si="107"/>
        <v>325.2</v>
      </c>
      <c r="H734" s="858"/>
      <c r="I734" s="858">
        <v>0</v>
      </c>
      <c r="J734" s="418"/>
      <c r="K734" s="454">
        <f t="shared" si="111"/>
        <v>0</v>
      </c>
      <c r="L734" s="455">
        <f t="shared" si="108"/>
        <v>0</v>
      </c>
      <c r="M734" s="177">
        <f t="shared" si="112"/>
        <v>0</v>
      </c>
      <c r="N734" s="456">
        <f t="shared" si="110"/>
        <v>0</v>
      </c>
      <c r="O734" s="427">
        <v>0</v>
      </c>
      <c r="P734" s="177">
        <f t="shared" si="113"/>
        <v>0</v>
      </c>
      <c r="Q734" s="177">
        <f t="shared" si="114"/>
        <v>0</v>
      </c>
      <c r="R734" s="431">
        <f t="shared" si="109"/>
        <v>0</v>
      </c>
      <c r="S734" s="468"/>
      <c r="T734" s="248"/>
      <c r="U734" s="248"/>
      <c r="V734" s="248"/>
      <c r="W734" s="248"/>
      <c r="X734" s="248"/>
      <c r="Y734" s="248"/>
    </row>
    <row r="735" spans="1:25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18">
        <v>366.35</v>
      </c>
      <c r="G735" s="644">
        <f t="shared" si="107"/>
        <v>420.25</v>
      </c>
      <c r="H735" s="858"/>
      <c r="I735" s="858">
        <v>0</v>
      </c>
      <c r="J735" s="418"/>
      <c r="K735" s="454">
        <f t="shared" si="111"/>
        <v>0</v>
      </c>
      <c r="L735" s="455">
        <f t="shared" si="108"/>
        <v>0</v>
      </c>
      <c r="M735" s="177">
        <f t="shared" si="112"/>
        <v>0</v>
      </c>
      <c r="N735" s="456">
        <f t="shared" si="110"/>
        <v>0</v>
      </c>
      <c r="O735" s="427">
        <v>0</v>
      </c>
      <c r="P735" s="177">
        <f t="shared" si="113"/>
        <v>0</v>
      </c>
      <c r="Q735" s="177">
        <f t="shared" si="114"/>
        <v>0</v>
      </c>
      <c r="R735" s="431">
        <f t="shared" si="109"/>
        <v>0</v>
      </c>
      <c r="S735" s="468"/>
      <c r="T735" s="248"/>
      <c r="U735" s="248"/>
      <c r="V735" s="248"/>
      <c r="W735" s="248"/>
      <c r="X735" s="248"/>
      <c r="Y735" s="248"/>
    </row>
    <row r="736" spans="1:25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18">
        <v>468.48</v>
      </c>
      <c r="G736" s="644">
        <f t="shared" si="107"/>
        <v>468.48</v>
      </c>
      <c r="H736" s="858"/>
      <c r="I736" s="858">
        <v>48</v>
      </c>
      <c r="J736" s="418">
        <v>48</v>
      </c>
      <c r="K736" s="454">
        <f t="shared" si="111"/>
        <v>48</v>
      </c>
      <c r="L736" s="455">
        <f t="shared" si="108"/>
        <v>6.3492063492063489E-2</v>
      </c>
      <c r="M736" s="177">
        <f t="shared" si="112"/>
        <v>128.06412698412697</v>
      </c>
      <c r="N736" s="456">
        <f t="shared" si="110"/>
        <v>47.089179492063494</v>
      </c>
      <c r="O736" s="427">
        <v>59.363809523809529</v>
      </c>
      <c r="P736" s="177">
        <f t="shared" si="113"/>
        <v>3.4203428571428574</v>
      </c>
      <c r="Q736" s="177">
        <f t="shared" si="114"/>
        <v>4.1693979428571435</v>
      </c>
      <c r="R736" s="431">
        <f t="shared" si="109"/>
        <v>0.50789245828454332</v>
      </c>
      <c r="S736" s="468"/>
      <c r="T736" s="248"/>
      <c r="U736" s="248"/>
      <c r="V736" s="248"/>
      <c r="W736" s="248"/>
      <c r="X736" s="248"/>
      <c r="Y736" s="248"/>
    </row>
    <row r="737" spans="1:25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18">
        <v>956.78</v>
      </c>
      <c r="G737" s="644">
        <f t="shared" si="107"/>
        <v>1026.08</v>
      </c>
      <c r="H737" s="858"/>
      <c r="I737" s="858">
        <v>105</v>
      </c>
      <c r="J737" s="418">
        <v>105</v>
      </c>
      <c r="K737" s="454">
        <f t="shared" si="111"/>
        <v>105</v>
      </c>
      <c r="L737" s="455">
        <f t="shared" si="108"/>
        <v>0.1388888888888889</v>
      </c>
      <c r="M737" s="177">
        <f t="shared" si="112"/>
        <v>280.14027777777778</v>
      </c>
      <c r="N737" s="456">
        <f t="shared" si="110"/>
        <v>103.0075801388889</v>
      </c>
      <c r="O737" s="427">
        <v>129.85833333333335</v>
      </c>
      <c r="P737" s="177">
        <f t="shared" si="113"/>
        <v>7.4820000000000011</v>
      </c>
      <c r="Q737" s="177">
        <f t="shared" si="114"/>
        <v>9.1205580000000026</v>
      </c>
      <c r="R737" s="431">
        <f t="shared" si="109"/>
        <v>0.52206482702762347</v>
      </c>
      <c r="S737" s="468"/>
      <c r="T737" s="248"/>
      <c r="U737" s="248"/>
      <c r="V737" s="248"/>
      <c r="W737" s="248"/>
      <c r="X737" s="248"/>
      <c r="Y737" s="248"/>
    </row>
    <row r="738" spans="1:25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18">
        <v>1115.1199999999999</v>
      </c>
      <c r="G738" s="644">
        <f t="shared" si="107"/>
        <v>1242.02</v>
      </c>
      <c r="H738" s="858"/>
      <c r="I738" s="858">
        <v>110</v>
      </c>
      <c r="J738" s="418">
        <v>110</v>
      </c>
      <c r="K738" s="454">
        <f t="shared" si="111"/>
        <v>110</v>
      </c>
      <c r="L738" s="455">
        <f t="shared" si="108"/>
        <v>0.14550264550264549</v>
      </c>
      <c r="M738" s="177">
        <f t="shared" si="112"/>
        <v>293.48029100529101</v>
      </c>
      <c r="N738" s="456">
        <f t="shared" si="110"/>
        <v>107.91270300264551</v>
      </c>
      <c r="O738" s="427">
        <v>136.04206349206351</v>
      </c>
      <c r="P738" s="177">
        <f t="shared" si="113"/>
        <v>7.838285714285715</v>
      </c>
      <c r="Q738" s="177">
        <f t="shared" si="114"/>
        <v>9.5548702857142871</v>
      </c>
      <c r="R738" s="431">
        <f t="shared" si="109"/>
        <v>0.48898176269306071</v>
      </c>
      <c r="S738" s="468"/>
      <c r="T738" s="248"/>
      <c r="U738" s="248"/>
      <c r="V738" s="248"/>
      <c r="W738" s="248"/>
      <c r="X738" s="248"/>
      <c r="Y738" s="248"/>
    </row>
    <row r="739" spans="1:25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18">
        <v>725.02</v>
      </c>
      <c r="G739" s="644">
        <f t="shared" si="107"/>
        <v>827.02</v>
      </c>
      <c r="H739" s="858"/>
      <c r="I739" s="858">
        <v>83</v>
      </c>
      <c r="J739" s="418">
        <v>83</v>
      </c>
      <c r="K739" s="454">
        <f t="shared" si="111"/>
        <v>83</v>
      </c>
      <c r="L739" s="455">
        <f t="shared" si="108"/>
        <v>0.10978835978835978</v>
      </c>
      <c r="M739" s="177">
        <f t="shared" si="112"/>
        <v>221.44421957671958</v>
      </c>
      <c r="N739" s="456">
        <f t="shared" si="110"/>
        <v>81.425039538359798</v>
      </c>
      <c r="O739" s="427">
        <v>102.64992063492063</v>
      </c>
      <c r="P739" s="177">
        <f t="shared" si="113"/>
        <v>5.9143428571428576</v>
      </c>
      <c r="Q739" s="177">
        <f t="shared" si="114"/>
        <v>7.2095839428571438</v>
      </c>
      <c r="R739" s="431">
        <f t="shared" si="109"/>
        <v>0.60610106155850274</v>
      </c>
      <c r="S739" s="468"/>
      <c r="T739" s="248"/>
      <c r="U739" s="248"/>
      <c r="V739" s="248"/>
      <c r="W739" s="248"/>
      <c r="X739" s="248"/>
      <c r="Y739" s="248"/>
    </row>
    <row r="740" spans="1:25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18">
        <v>487.41</v>
      </c>
      <c r="G740" s="644">
        <f t="shared" si="107"/>
        <v>487.41</v>
      </c>
      <c r="H740" s="858"/>
      <c r="I740" s="858">
        <v>0</v>
      </c>
      <c r="J740" s="418"/>
      <c r="K740" s="454">
        <f t="shared" si="111"/>
        <v>0</v>
      </c>
      <c r="L740" s="455">
        <f t="shared" si="108"/>
        <v>0</v>
      </c>
      <c r="M740" s="177">
        <f t="shared" si="112"/>
        <v>0</v>
      </c>
      <c r="N740" s="456">
        <f t="shared" si="110"/>
        <v>0</v>
      </c>
      <c r="O740" s="427">
        <v>0</v>
      </c>
      <c r="P740" s="177">
        <f t="shared" si="113"/>
        <v>0</v>
      </c>
      <c r="Q740" s="177">
        <f t="shared" si="114"/>
        <v>0</v>
      </c>
      <c r="R740" s="431">
        <f t="shared" si="109"/>
        <v>0</v>
      </c>
      <c r="S740" s="468"/>
      <c r="T740" s="248"/>
      <c r="U740" s="248"/>
      <c r="V740" s="248"/>
      <c r="W740" s="248"/>
      <c r="X740" s="248"/>
      <c r="Y740" s="248"/>
    </row>
    <row r="741" spans="1:25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18">
        <v>436.5</v>
      </c>
      <c r="G741" s="644">
        <f t="shared" si="107"/>
        <v>685</v>
      </c>
      <c r="H741" s="858"/>
      <c r="I741" s="858">
        <v>0</v>
      </c>
      <c r="J741" s="418">
        <v>0</v>
      </c>
      <c r="K741" s="454">
        <f t="shared" si="111"/>
        <v>0</v>
      </c>
      <c r="L741" s="455">
        <f t="shared" si="108"/>
        <v>0</v>
      </c>
      <c r="M741" s="177">
        <f t="shared" si="112"/>
        <v>0</v>
      </c>
      <c r="N741" s="456">
        <f t="shared" si="110"/>
        <v>0</v>
      </c>
      <c r="O741" s="427">
        <v>0</v>
      </c>
      <c r="P741" s="177">
        <f t="shared" si="113"/>
        <v>0</v>
      </c>
      <c r="Q741" s="177">
        <f t="shared" si="114"/>
        <v>0</v>
      </c>
      <c r="R741" s="431">
        <f t="shared" si="109"/>
        <v>0</v>
      </c>
      <c r="S741" s="468"/>
      <c r="T741" s="248"/>
      <c r="U741" s="248"/>
      <c r="V741" s="248"/>
      <c r="W741" s="248"/>
      <c r="X741" s="248"/>
      <c r="Y741" s="248"/>
    </row>
    <row r="742" spans="1:25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18">
        <v>637.55999999999995</v>
      </c>
      <c r="G742" s="644">
        <f t="shared" si="107"/>
        <v>636.55999999999995</v>
      </c>
      <c r="H742" s="858"/>
      <c r="I742" s="858">
        <v>81</v>
      </c>
      <c r="J742" s="418">
        <v>81</v>
      </c>
      <c r="K742" s="454">
        <f t="shared" si="111"/>
        <v>81</v>
      </c>
      <c r="L742" s="455">
        <f t="shared" si="108"/>
        <v>0.10714285714285714</v>
      </c>
      <c r="M742" s="177">
        <f t="shared" si="112"/>
        <v>216.10821428571427</v>
      </c>
      <c r="N742" s="456">
        <f t="shared" si="110"/>
        <v>79.462990392857137</v>
      </c>
      <c r="O742" s="427">
        <v>100.17642857142857</v>
      </c>
      <c r="P742" s="177">
        <f t="shared" si="113"/>
        <v>5.7718285714285722</v>
      </c>
      <c r="Q742" s="177">
        <f t="shared" si="114"/>
        <v>7.03585902857143</v>
      </c>
      <c r="R742" s="431">
        <f t="shared" si="109"/>
        <v>0.63076451838228698</v>
      </c>
      <c r="S742" s="468"/>
      <c r="T742" s="248"/>
      <c r="U742" s="248"/>
      <c r="V742" s="248"/>
      <c r="W742" s="248"/>
      <c r="X742" s="248"/>
      <c r="Y742" s="248"/>
    </row>
    <row r="743" spans="1:25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18">
        <v>494.35</v>
      </c>
      <c r="G743" s="644">
        <f t="shared" si="107"/>
        <v>505.1</v>
      </c>
      <c r="H743" s="858"/>
      <c r="I743" s="858">
        <v>50</v>
      </c>
      <c r="J743" s="418">
        <v>50</v>
      </c>
      <c r="K743" s="454">
        <f t="shared" si="111"/>
        <v>50</v>
      </c>
      <c r="L743" s="455">
        <f t="shared" si="108"/>
        <v>6.6137566137566134E-2</v>
      </c>
      <c r="M743" s="177">
        <f t="shared" si="112"/>
        <v>133.40013227513228</v>
      </c>
      <c r="N743" s="456">
        <f t="shared" si="110"/>
        <v>49.05122863756614</v>
      </c>
      <c r="O743" s="427">
        <v>61.837301587301589</v>
      </c>
      <c r="P743" s="177">
        <f t="shared" si="113"/>
        <v>3.5628571428571432</v>
      </c>
      <c r="Q743" s="177">
        <f t="shared" si="114"/>
        <v>4.3431228571428582</v>
      </c>
      <c r="R743" s="431">
        <f t="shared" si="109"/>
        <v>0.50071014069264075</v>
      </c>
      <c r="S743" s="468"/>
      <c r="T743" s="248"/>
      <c r="U743" s="248"/>
      <c r="V743" s="248"/>
      <c r="W743" s="248"/>
      <c r="X743" s="248"/>
      <c r="Y743" s="248"/>
    </row>
    <row r="744" spans="1:25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18">
        <v>536.88</v>
      </c>
      <c r="G744" s="644">
        <f t="shared" si="107"/>
        <v>536.88</v>
      </c>
      <c r="H744" s="858"/>
      <c r="I744" s="858">
        <v>90</v>
      </c>
      <c r="J744" s="418">
        <v>90</v>
      </c>
      <c r="K744" s="454">
        <f t="shared" si="111"/>
        <v>90</v>
      </c>
      <c r="L744" s="455">
        <f t="shared" si="108"/>
        <v>0.11904761904761904</v>
      </c>
      <c r="M744" s="177">
        <f t="shared" si="112"/>
        <v>240.12023809523808</v>
      </c>
      <c r="N744" s="456">
        <f t="shared" si="110"/>
        <v>88.292211547619047</v>
      </c>
      <c r="O744" s="427">
        <v>92.75595238095238</v>
      </c>
      <c r="P744" s="177">
        <f t="shared" si="113"/>
        <v>6.4131428571428577</v>
      </c>
      <c r="Q744" s="177">
        <f t="shared" si="114"/>
        <v>7.8176211428571438</v>
      </c>
      <c r="R744" s="431">
        <f t="shared" si="109"/>
        <v>0.79641920891251761</v>
      </c>
      <c r="S744" s="468"/>
      <c r="T744" s="248"/>
      <c r="U744" s="248"/>
      <c r="V744" s="248"/>
      <c r="W744" s="248"/>
      <c r="X744" s="248"/>
      <c r="Y744" s="248"/>
    </row>
    <row r="745" spans="1:25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418"/>
      <c r="G745" s="644">
        <f t="shared" si="107"/>
        <v>132.6</v>
      </c>
      <c r="H745" s="453"/>
      <c r="I745" s="453"/>
      <c r="J745" s="418"/>
      <c r="K745" s="454">
        <f t="shared" si="111"/>
        <v>0</v>
      </c>
      <c r="L745" s="455">
        <f>(H745/840)+(I745/756)</f>
        <v>0</v>
      </c>
      <c r="M745" s="177">
        <f t="shared" si="112"/>
        <v>0</v>
      </c>
      <c r="N745" s="456">
        <f t="shared" si="110"/>
        <v>0</v>
      </c>
      <c r="O745" s="427">
        <v>0</v>
      </c>
      <c r="P745" s="177">
        <f t="shared" si="113"/>
        <v>0</v>
      </c>
      <c r="Q745" s="177">
        <f t="shared" si="114"/>
        <v>0</v>
      </c>
      <c r="R745" s="431">
        <v>0</v>
      </c>
      <c r="S745" s="468"/>
      <c r="T745" s="248"/>
      <c r="U745" s="248"/>
      <c r="V745" s="248"/>
      <c r="W745" s="248"/>
      <c r="X745" s="248"/>
      <c r="Y745" s="248"/>
    </row>
    <row r="746" spans="1:25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418"/>
      <c r="G746" s="644">
        <f t="shared" si="107"/>
        <v>380.2</v>
      </c>
      <c r="H746" s="453"/>
      <c r="I746" s="453"/>
      <c r="J746" s="418"/>
      <c r="K746" s="454"/>
      <c r="L746" s="455">
        <f>(H746/840)+(I746/756)</f>
        <v>0</v>
      </c>
      <c r="M746" s="177">
        <f t="shared" si="112"/>
        <v>0</v>
      </c>
      <c r="N746" s="456">
        <f t="shared" si="110"/>
        <v>0</v>
      </c>
      <c r="O746" s="427"/>
      <c r="P746" s="177">
        <f>L746*49.88*1.08</f>
        <v>0</v>
      </c>
      <c r="Q746" s="177">
        <f t="shared" si="114"/>
        <v>0</v>
      </c>
      <c r="R746" s="431">
        <f t="shared" si="109"/>
        <v>0</v>
      </c>
      <c r="S746" s="468"/>
      <c r="T746" s="248"/>
      <c r="U746" s="248"/>
      <c r="V746" s="248"/>
      <c r="W746" s="248"/>
      <c r="X746" s="248"/>
      <c r="Y746" s="248"/>
    </row>
    <row r="747" spans="1:25" s="67" customFormat="1" ht="15.75">
      <c r="A747" s="475">
        <v>1</v>
      </c>
      <c r="B747" s="173" t="s">
        <v>681</v>
      </c>
      <c r="C747" s="173">
        <f>SUM(C537:C746)</f>
        <v>241408.67000000007</v>
      </c>
      <c r="D747" s="173">
        <f>SUM(D537:D745)</f>
        <v>1953.5199999999998</v>
      </c>
      <c r="E747" s="173">
        <f>SUM(E537:E745)</f>
        <v>3342.3999999999992</v>
      </c>
      <c r="F747" s="173">
        <f>SUM(F537:F745)</f>
        <v>240903.11000000022</v>
      </c>
      <c r="G747" s="644">
        <f>C747+D747+E747</f>
        <v>246704.59000000005</v>
      </c>
      <c r="H747" s="173">
        <f>SUM(H537:H745)</f>
        <v>23349.300000000003</v>
      </c>
      <c r="I747" s="173">
        <f>SUM(I537:I745)</f>
        <v>2610.1</v>
      </c>
      <c r="J747" s="173">
        <f>SUM(J537:J745)</f>
        <v>26126.400000000001</v>
      </c>
      <c r="K747" s="173">
        <f>SUM(K537:K744)</f>
        <v>25959.4</v>
      </c>
      <c r="L747" s="425">
        <f t="shared" ref="L747:L775" si="115">(H747/840)+(I747/756)</f>
        <v>31.249298941798948</v>
      </c>
      <c r="M747" s="177">
        <f>L747*2017.01</f>
        <v>63030.148458597898</v>
      </c>
      <c r="N747" s="427">
        <f>M747*0.3677</f>
        <v>23176.18558822645</v>
      </c>
      <c r="O747" s="427">
        <f>SUM(O537:O745)</f>
        <v>26665.720294708997</v>
      </c>
      <c r="P747" s="177">
        <f t="shared" si="113"/>
        <v>1683.4122337142862</v>
      </c>
      <c r="Q747" s="177">
        <f t="shared" si="114"/>
        <v>2052.0795128977152</v>
      </c>
      <c r="R747" s="431">
        <f t="shared" si="109"/>
        <v>0.47452921461042635</v>
      </c>
      <c r="S747" s="468"/>
      <c r="T747" s="152"/>
      <c r="U747" s="152"/>
      <c r="V747" s="152"/>
      <c r="W747" s="152"/>
      <c r="X747" s="152"/>
      <c r="Y747" s="152"/>
    </row>
    <row r="748" spans="1:25" s="209" customFormat="1" ht="15.75">
      <c r="A748" s="497" t="s">
        <v>335</v>
      </c>
      <c r="B748" s="257"/>
      <c r="C748" s="438"/>
      <c r="D748" s="438"/>
      <c r="E748" s="438"/>
      <c r="F748" s="438"/>
      <c r="G748" s="644"/>
      <c r="H748" s="438"/>
      <c r="I748" s="438"/>
      <c r="J748" s="438"/>
      <c r="K748" s="438"/>
      <c r="L748" s="501"/>
      <c r="M748" s="177"/>
      <c r="N748" s="498"/>
      <c r="O748" s="427">
        <v>0</v>
      </c>
      <c r="P748" s="177">
        <f t="shared" si="113"/>
        <v>0</v>
      </c>
      <c r="Q748" s="177"/>
      <c r="R748" s="431" t="e">
        <f t="shared" si="109"/>
        <v>#DIV/0!</v>
      </c>
      <c r="S748" s="502"/>
      <c r="T748" s="212"/>
      <c r="U748" s="212"/>
      <c r="V748" s="212"/>
      <c r="W748" s="212"/>
      <c r="X748" s="212"/>
      <c r="Y748" s="212"/>
    </row>
    <row r="749" spans="1:25" s="6" customFormat="1" ht="15" customHeight="1">
      <c r="A749" s="412">
        <v>1</v>
      </c>
      <c r="B749" s="404" t="s">
        <v>336</v>
      </c>
      <c r="C749" s="8">
        <v>4275.08</v>
      </c>
      <c r="D749" s="386"/>
      <c r="E749" s="386"/>
      <c r="F749" s="32">
        <v>4363.82</v>
      </c>
      <c r="G749" s="646">
        <f t="shared" si="107"/>
        <v>4275.08</v>
      </c>
      <c r="H749" s="386">
        <v>690</v>
      </c>
      <c r="I749" s="386"/>
      <c r="J749" s="146">
        <v>690</v>
      </c>
      <c r="K749" s="146">
        <f>H749+I749</f>
        <v>690</v>
      </c>
      <c r="L749" s="191">
        <f t="shared" si="115"/>
        <v>0.8214285714285714</v>
      </c>
      <c r="M749" s="177">
        <f t="shared" ref="M749:M812" si="116">L749*2017.01</f>
        <v>1656.8296428571427</v>
      </c>
      <c r="N749" s="148">
        <f t="shared" ref="N749:N811" si="117">M749*0.3677</f>
        <v>609.21625967857142</v>
      </c>
      <c r="O749" s="427">
        <v>371.2093214285714</v>
      </c>
      <c r="P749" s="177">
        <f t="shared" si="113"/>
        <v>44.250685714285716</v>
      </c>
      <c r="Q749" s="177"/>
      <c r="R749" s="431">
        <f t="shared" si="109"/>
        <v>0.62724110652398812</v>
      </c>
      <c r="S749" s="468">
        <v>9</v>
      </c>
      <c r="T749" s="127"/>
      <c r="U749" s="127"/>
      <c r="V749" s="127"/>
      <c r="W749" s="127"/>
      <c r="X749" s="127"/>
      <c r="Y749" s="127"/>
    </row>
    <row r="750" spans="1:25" s="6" customFormat="1" ht="15.75">
      <c r="A750" s="412">
        <v>2</v>
      </c>
      <c r="B750" s="404" t="s">
        <v>337</v>
      </c>
      <c r="C750" s="8">
        <v>4574.41</v>
      </c>
      <c r="D750" s="330"/>
      <c r="E750" s="330"/>
      <c r="F750" s="32">
        <v>4663.29</v>
      </c>
      <c r="G750" s="646">
        <f t="shared" si="107"/>
        <v>4574.41</v>
      </c>
      <c r="H750" s="330">
        <v>680</v>
      </c>
      <c r="I750" s="330"/>
      <c r="J750" s="146">
        <v>680</v>
      </c>
      <c r="K750" s="146">
        <f t="shared" ref="K750:K812" si="118">H750+I750</f>
        <v>680</v>
      </c>
      <c r="L750" s="191">
        <f t="shared" si="115"/>
        <v>0.80952380952380953</v>
      </c>
      <c r="M750" s="177">
        <f t="shared" si="116"/>
        <v>1632.817619047619</v>
      </c>
      <c r="N750" s="148">
        <f t="shared" si="117"/>
        <v>600.38703852380957</v>
      </c>
      <c r="O750" s="427">
        <v>126.14809523809525</v>
      </c>
      <c r="P750" s="177">
        <f t="shared" si="113"/>
        <v>43.609371428571428</v>
      </c>
      <c r="Q750" s="177"/>
      <c r="R750" s="431">
        <f t="shared" si="109"/>
        <v>0.52530536708298892</v>
      </c>
      <c r="S750" s="468">
        <v>5</v>
      </c>
      <c r="T750" s="127"/>
      <c r="U750" s="127"/>
      <c r="V750" s="127"/>
      <c r="W750" s="127"/>
      <c r="X750" s="127"/>
      <c r="Y750" s="127"/>
    </row>
    <row r="751" spans="1:25" s="6" customFormat="1" ht="15.75">
      <c r="A751" s="412">
        <v>3</v>
      </c>
      <c r="B751" s="404" t="s">
        <v>338</v>
      </c>
      <c r="C751" s="8">
        <v>8527.85</v>
      </c>
      <c r="D751" s="330"/>
      <c r="E751" s="330"/>
      <c r="F751" s="32">
        <v>8698.7000000000007</v>
      </c>
      <c r="G751" s="646">
        <f t="shared" si="107"/>
        <v>8527.85</v>
      </c>
      <c r="H751" s="330">
        <v>1380</v>
      </c>
      <c r="I751" s="330"/>
      <c r="J751" s="146">
        <v>1380</v>
      </c>
      <c r="K751" s="146">
        <f t="shared" si="118"/>
        <v>1380</v>
      </c>
      <c r="L751" s="191">
        <f t="shared" si="115"/>
        <v>1.6428571428571428</v>
      </c>
      <c r="M751" s="177">
        <f t="shared" si="116"/>
        <v>3313.6592857142855</v>
      </c>
      <c r="N751" s="148">
        <f t="shared" si="117"/>
        <v>1218.4325193571428</v>
      </c>
      <c r="O751" s="427">
        <v>1049.6263571428572</v>
      </c>
      <c r="P751" s="177">
        <f t="shared" si="113"/>
        <v>88.501371428571431</v>
      </c>
      <c r="Q751" s="177"/>
      <c r="R751" s="431">
        <f t="shared" si="109"/>
        <v>0.66490610571748521</v>
      </c>
      <c r="S751" s="468">
        <v>9</v>
      </c>
      <c r="T751" s="127"/>
      <c r="U751" s="127"/>
      <c r="V751" s="127"/>
      <c r="W751" s="127"/>
      <c r="X751" s="127"/>
      <c r="Y751" s="127"/>
    </row>
    <row r="752" spans="1:25" s="6" customFormat="1" ht="15.75">
      <c r="A752" s="412">
        <v>4</v>
      </c>
      <c r="B752" s="404" t="s">
        <v>339</v>
      </c>
      <c r="C752" s="8">
        <v>5131.3999999999996</v>
      </c>
      <c r="D752" s="330"/>
      <c r="E752" s="330"/>
      <c r="F752" s="32">
        <v>5235.8599999999997</v>
      </c>
      <c r="G752" s="646">
        <f t="shared" si="107"/>
        <v>5131.3999999999996</v>
      </c>
      <c r="H752" s="330">
        <v>776</v>
      </c>
      <c r="I752" s="330"/>
      <c r="J752" s="146">
        <v>776</v>
      </c>
      <c r="K752" s="146">
        <f t="shared" si="118"/>
        <v>776</v>
      </c>
      <c r="L752" s="191">
        <f t="shared" si="115"/>
        <v>0.92380952380952386</v>
      </c>
      <c r="M752" s="177">
        <f t="shared" si="116"/>
        <v>1863.3330476190476</v>
      </c>
      <c r="N752" s="148">
        <f t="shared" si="117"/>
        <v>685.1475616095239</v>
      </c>
      <c r="O752" s="427">
        <v>215.93585714285715</v>
      </c>
      <c r="P752" s="177">
        <f t="shared" si="113"/>
        <v>49.765988571428579</v>
      </c>
      <c r="Q752" s="177"/>
      <c r="R752" s="431">
        <f t="shared" si="109"/>
        <v>0.54842391061754248</v>
      </c>
      <c r="S752" s="468">
        <v>5</v>
      </c>
      <c r="T752" s="127"/>
      <c r="U752" s="127"/>
      <c r="V752" s="127"/>
      <c r="W752" s="127"/>
      <c r="X752" s="127"/>
      <c r="Y752" s="127"/>
    </row>
    <row r="753" spans="1:25" s="6" customFormat="1" ht="15.75">
      <c r="A753" s="412">
        <v>5</v>
      </c>
      <c r="B753" s="404" t="s">
        <v>340</v>
      </c>
      <c r="C753" s="8">
        <v>4290.1499999999996</v>
      </c>
      <c r="D753" s="330"/>
      <c r="E753" s="330"/>
      <c r="F753" s="32">
        <v>4373.47</v>
      </c>
      <c r="G753" s="646">
        <f t="shared" si="107"/>
        <v>4290.1499999999996</v>
      </c>
      <c r="H753" s="330">
        <v>690</v>
      </c>
      <c r="I753" s="330"/>
      <c r="J753" s="146">
        <v>690</v>
      </c>
      <c r="K753" s="146">
        <f t="shared" si="118"/>
        <v>690</v>
      </c>
      <c r="L753" s="191">
        <f t="shared" si="115"/>
        <v>0.8214285714285714</v>
      </c>
      <c r="M753" s="177">
        <f t="shared" si="116"/>
        <v>1656.8296428571427</v>
      </c>
      <c r="N753" s="148">
        <f t="shared" si="117"/>
        <v>609.21625967857142</v>
      </c>
      <c r="O753" s="427">
        <v>640.01607142857142</v>
      </c>
      <c r="P753" s="177">
        <f t="shared" si="113"/>
        <v>44.250685714285716</v>
      </c>
      <c r="Q753" s="177"/>
      <c r="R753" s="431">
        <f t="shared" si="109"/>
        <v>0.68769452342658677</v>
      </c>
      <c r="S753" s="468">
        <v>9</v>
      </c>
      <c r="T753" s="127"/>
      <c r="U753" s="127"/>
      <c r="V753" s="127"/>
      <c r="W753" s="127"/>
      <c r="X753" s="127"/>
      <c r="Y753" s="127"/>
    </row>
    <row r="754" spans="1:25" s="6" customFormat="1" ht="15.75">
      <c r="A754" s="412">
        <v>6</v>
      </c>
      <c r="B754" s="404" t="s">
        <v>341</v>
      </c>
      <c r="C754" s="8">
        <v>5185.3900000000003</v>
      </c>
      <c r="D754" s="330"/>
      <c r="E754" s="330"/>
      <c r="F754" s="32">
        <v>5257.63</v>
      </c>
      <c r="G754" s="646">
        <f t="shared" si="107"/>
        <v>5185.3900000000003</v>
      </c>
      <c r="H754" s="330">
        <v>776</v>
      </c>
      <c r="I754" s="330"/>
      <c r="J754" s="146">
        <v>776</v>
      </c>
      <c r="K754" s="146">
        <f t="shared" si="118"/>
        <v>776</v>
      </c>
      <c r="L754" s="191">
        <f t="shared" si="115"/>
        <v>0.92380952380952386</v>
      </c>
      <c r="M754" s="177">
        <f t="shared" si="116"/>
        <v>1863.3330476190476</v>
      </c>
      <c r="N754" s="148">
        <f t="shared" si="117"/>
        <v>685.1475616095239</v>
      </c>
      <c r="O754" s="427">
        <v>143.95723809523813</v>
      </c>
      <c r="P754" s="177">
        <f t="shared" si="113"/>
        <v>49.765988571428579</v>
      </c>
      <c r="Q754" s="177"/>
      <c r="R754" s="431">
        <f t="shared" si="109"/>
        <v>0.52883270803068594</v>
      </c>
      <c r="S754" s="468">
        <v>5</v>
      </c>
      <c r="T754" s="127"/>
      <c r="U754" s="127"/>
      <c r="V754" s="127"/>
      <c r="W754" s="127"/>
      <c r="X754" s="127"/>
      <c r="Y754" s="127"/>
    </row>
    <row r="755" spans="1:25" s="6" customFormat="1" ht="15.75">
      <c r="A755" s="412">
        <v>7</v>
      </c>
      <c r="B755" s="404" t="s">
        <v>342</v>
      </c>
      <c r="C755" s="8">
        <v>4246.38</v>
      </c>
      <c r="D755" s="330"/>
      <c r="E755" s="330"/>
      <c r="F755" s="32">
        <v>4334.66</v>
      </c>
      <c r="G755" s="646">
        <f t="shared" si="107"/>
        <v>4246.38</v>
      </c>
      <c r="H755" s="330">
        <v>686</v>
      </c>
      <c r="I755" s="330"/>
      <c r="J755" s="146">
        <v>686</v>
      </c>
      <c r="K755" s="146">
        <f t="shared" si="118"/>
        <v>686</v>
      </c>
      <c r="L755" s="191">
        <f t="shared" si="115"/>
        <v>0.81666666666666665</v>
      </c>
      <c r="M755" s="177">
        <f t="shared" si="116"/>
        <v>1647.2248333333332</v>
      </c>
      <c r="N755" s="148">
        <f t="shared" si="117"/>
        <v>605.68457121666665</v>
      </c>
      <c r="O755" s="427">
        <v>330.87903333333333</v>
      </c>
      <c r="P755" s="177">
        <f t="shared" si="113"/>
        <v>43.994160000000008</v>
      </c>
      <c r="Q755" s="177"/>
      <c r="R755" s="431">
        <f t="shared" si="109"/>
        <v>0.61882888433991612</v>
      </c>
      <c r="S755" s="468">
        <v>9</v>
      </c>
      <c r="T755" s="127"/>
      <c r="U755" s="127"/>
      <c r="V755" s="127"/>
      <c r="W755" s="127"/>
      <c r="X755" s="127"/>
      <c r="Y755" s="127"/>
    </row>
    <row r="756" spans="1:25" s="6" customFormat="1" ht="15.75">
      <c r="A756" s="412">
        <v>8</v>
      </c>
      <c r="B756" s="404" t="s">
        <v>343</v>
      </c>
      <c r="C756" s="8">
        <v>4446.42</v>
      </c>
      <c r="D756" s="330"/>
      <c r="E756" s="330"/>
      <c r="F756" s="32">
        <v>4490.2299999999996</v>
      </c>
      <c r="G756" s="646">
        <f t="shared" si="107"/>
        <v>4446.42</v>
      </c>
      <c r="H756" s="330">
        <v>934</v>
      </c>
      <c r="I756" s="330"/>
      <c r="J756" s="146">
        <v>934</v>
      </c>
      <c r="K756" s="146">
        <f t="shared" si="118"/>
        <v>934</v>
      </c>
      <c r="L756" s="191">
        <f t="shared" si="115"/>
        <v>1.111904761904762</v>
      </c>
      <c r="M756" s="177">
        <f t="shared" si="116"/>
        <v>2242.723023809524</v>
      </c>
      <c r="N756" s="148">
        <f t="shared" si="117"/>
        <v>824.64925585476203</v>
      </c>
      <c r="O756" s="427">
        <v>155.94130714285714</v>
      </c>
      <c r="P756" s="177">
        <f t="shared" si="113"/>
        <v>59.898754285714297</v>
      </c>
      <c r="Q756" s="177"/>
      <c r="R756" s="431">
        <f t="shared" si="109"/>
        <v>0.73839456036381124</v>
      </c>
      <c r="S756" s="468">
        <v>14</v>
      </c>
      <c r="T756" s="127"/>
      <c r="U756" s="127"/>
      <c r="V756" s="127"/>
      <c r="W756" s="127"/>
      <c r="X756" s="127"/>
      <c r="Y756" s="127"/>
    </row>
    <row r="757" spans="1:25" s="6" customFormat="1" ht="15.75">
      <c r="A757" s="412">
        <v>9</v>
      </c>
      <c r="B757" s="404" t="s">
        <v>344</v>
      </c>
      <c r="C757" s="8">
        <v>2920.24</v>
      </c>
      <c r="D757" s="330"/>
      <c r="E757" s="330"/>
      <c r="F757" s="32">
        <v>2943.4</v>
      </c>
      <c r="G757" s="646">
        <f t="shared" si="107"/>
        <v>2920.24</v>
      </c>
      <c r="H757" s="330">
        <v>637</v>
      </c>
      <c r="I757" s="330"/>
      <c r="J757" s="146">
        <v>637</v>
      </c>
      <c r="K757" s="146">
        <f t="shared" si="118"/>
        <v>637</v>
      </c>
      <c r="L757" s="191">
        <f t="shared" si="115"/>
        <v>0.7583333333333333</v>
      </c>
      <c r="M757" s="177">
        <f t="shared" si="116"/>
        <v>1529.5659166666667</v>
      </c>
      <c r="N757" s="148">
        <f t="shared" si="117"/>
        <v>562.42138755833344</v>
      </c>
      <c r="O757" s="427">
        <v>342.69614166666662</v>
      </c>
      <c r="P757" s="177">
        <f t="shared" si="113"/>
        <v>40.851720000000007</v>
      </c>
      <c r="Q757" s="177"/>
      <c r="R757" s="431">
        <f t="shared" si="109"/>
        <v>0.84771634040067501</v>
      </c>
      <c r="S757" s="468">
        <v>10</v>
      </c>
      <c r="T757" s="127"/>
      <c r="U757" s="127"/>
      <c r="V757" s="127"/>
      <c r="W757" s="127"/>
      <c r="X757" s="127"/>
      <c r="Y757" s="127"/>
    </row>
    <row r="758" spans="1:25" s="6" customFormat="1" ht="15.75">
      <c r="A758" s="412">
        <v>10</v>
      </c>
      <c r="B758" s="404" t="s">
        <v>345</v>
      </c>
      <c r="C758" s="8">
        <v>4278.99</v>
      </c>
      <c r="D758" s="330"/>
      <c r="E758" s="330"/>
      <c r="F758" s="32">
        <v>4352.66</v>
      </c>
      <c r="G758" s="646">
        <f t="shared" si="107"/>
        <v>4278.99</v>
      </c>
      <c r="H758" s="330">
        <v>674</v>
      </c>
      <c r="I758" s="330"/>
      <c r="J758" s="146">
        <v>674</v>
      </c>
      <c r="K758" s="146">
        <f t="shared" si="118"/>
        <v>674</v>
      </c>
      <c r="L758" s="191">
        <f t="shared" si="115"/>
        <v>0.80238095238095242</v>
      </c>
      <c r="M758" s="177">
        <f t="shared" si="116"/>
        <v>1618.4104047619048</v>
      </c>
      <c r="N758" s="148">
        <f t="shared" si="117"/>
        <v>595.08950583095248</v>
      </c>
      <c r="O758" s="427">
        <v>375.10507142857142</v>
      </c>
      <c r="P758" s="177">
        <f t="shared" si="113"/>
        <v>43.224582857142863</v>
      </c>
      <c r="Q758" s="177"/>
      <c r="R758" s="431">
        <f t="shared" si="109"/>
        <v>0.61505859206929014</v>
      </c>
      <c r="S758" s="468">
        <v>10</v>
      </c>
      <c r="T758" s="127"/>
      <c r="U758" s="127"/>
      <c r="V758" s="127"/>
      <c r="W758" s="127"/>
      <c r="X758" s="127"/>
      <c r="Y758" s="127"/>
    </row>
    <row r="759" spans="1:25" s="6" customFormat="1" ht="15.75">
      <c r="A759" s="412">
        <v>11</v>
      </c>
      <c r="B759" s="404" t="s">
        <v>346</v>
      </c>
      <c r="C759" s="8">
        <v>8595.7800000000007</v>
      </c>
      <c r="D759" s="330"/>
      <c r="E759" s="330"/>
      <c r="F759" s="32">
        <v>8735.2000000000007</v>
      </c>
      <c r="G759" s="646">
        <f t="shared" si="107"/>
        <v>8595.7800000000007</v>
      </c>
      <c r="H759" s="330">
        <v>1337</v>
      </c>
      <c r="I759" s="330"/>
      <c r="J759" s="146">
        <v>1337</v>
      </c>
      <c r="K759" s="146">
        <f t="shared" si="118"/>
        <v>1337</v>
      </c>
      <c r="L759" s="191">
        <f t="shared" si="115"/>
        <v>1.5916666666666666</v>
      </c>
      <c r="M759" s="177">
        <f t="shared" si="116"/>
        <v>3210.4075833333332</v>
      </c>
      <c r="N759" s="148">
        <f t="shared" si="117"/>
        <v>1180.4668683916666</v>
      </c>
      <c r="O759" s="427">
        <v>1116.1323749999999</v>
      </c>
      <c r="P759" s="177">
        <f t="shared" si="113"/>
        <v>85.743719999999996</v>
      </c>
      <c r="Q759" s="177"/>
      <c r="R759" s="431">
        <f t="shared" si="109"/>
        <v>0.65063909810686171</v>
      </c>
      <c r="S759" s="468">
        <v>10</v>
      </c>
      <c r="T759" s="127"/>
      <c r="U759" s="127"/>
      <c r="V759" s="127"/>
      <c r="W759" s="127"/>
      <c r="X759" s="127"/>
      <c r="Y759" s="127"/>
    </row>
    <row r="760" spans="1:25" s="6" customFormat="1" ht="15.75">
      <c r="A760" s="412">
        <v>12</v>
      </c>
      <c r="B760" s="404" t="s">
        <v>347</v>
      </c>
      <c r="C760" s="8">
        <v>4516.6000000000004</v>
      </c>
      <c r="D760" s="330"/>
      <c r="E760" s="330"/>
      <c r="F760" s="32">
        <v>4602.13</v>
      </c>
      <c r="G760" s="646">
        <f t="shared" si="107"/>
        <v>4516.6000000000004</v>
      </c>
      <c r="H760" s="330">
        <v>614</v>
      </c>
      <c r="I760" s="330"/>
      <c r="J760" s="146">
        <v>614</v>
      </c>
      <c r="K760" s="146">
        <f t="shared" si="118"/>
        <v>614</v>
      </c>
      <c r="L760" s="191">
        <f t="shared" si="115"/>
        <v>0.73095238095238091</v>
      </c>
      <c r="M760" s="177">
        <f t="shared" si="116"/>
        <v>1474.3382619047618</v>
      </c>
      <c r="N760" s="148">
        <f t="shared" si="117"/>
        <v>542.1141789023809</v>
      </c>
      <c r="O760" s="427">
        <v>569.52154761904762</v>
      </c>
      <c r="P760" s="177">
        <f t="shared" si="113"/>
        <v>39.37669714285714</v>
      </c>
      <c r="Q760" s="177"/>
      <c r="R760" s="431">
        <f t="shared" si="109"/>
        <v>0.58126703395674784</v>
      </c>
      <c r="S760" s="468">
        <v>10</v>
      </c>
      <c r="T760" s="127"/>
      <c r="U760" s="127"/>
      <c r="V760" s="127"/>
      <c r="W760" s="127"/>
      <c r="X760" s="127"/>
      <c r="Y760" s="127"/>
    </row>
    <row r="761" spans="1:25" s="6" customFormat="1" ht="15.75">
      <c r="A761" s="412">
        <v>13</v>
      </c>
      <c r="B761" s="404" t="s">
        <v>348</v>
      </c>
      <c r="C761" s="8">
        <v>5874.29</v>
      </c>
      <c r="D761" s="330"/>
      <c r="E761" s="330"/>
      <c r="F761" s="32">
        <v>5873.52</v>
      </c>
      <c r="G761" s="646">
        <f t="shared" si="107"/>
        <v>5874.29</v>
      </c>
      <c r="H761" s="330">
        <v>560</v>
      </c>
      <c r="I761" s="330"/>
      <c r="J761" s="146">
        <v>560</v>
      </c>
      <c r="K761" s="146">
        <f t="shared" si="118"/>
        <v>560</v>
      </c>
      <c r="L761" s="191">
        <f t="shared" si="115"/>
        <v>0.66666666666666663</v>
      </c>
      <c r="M761" s="177">
        <f t="shared" si="116"/>
        <v>1344.6733333333332</v>
      </c>
      <c r="N761" s="148">
        <f t="shared" si="117"/>
        <v>494.43638466666664</v>
      </c>
      <c r="O761" s="427">
        <v>519.43333333333328</v>
      </c>
      <c r="P761" s="177">
        <f t="shared" si="113"/>
        <v>35.913600000000002</v>
      </c>
      <c r="Q761" s="177"/>
      <c r="R761" s="431">
        <f t="shared" si="109"/>
        <v>0.40761635045823974</v>
      </c>
      <c r="S761" s="468">
        <v>5</v>
      </c>
      <c r="T761" s="127"/>
      <c r="U761" s="127"/>
      <c r="V761" s="127"/>
      <c r="W761" s="127"/>
      <c r="X761" s="127"/>
      <c r="Y761" s="127"/>
    </row>
    <row r="762" spans="1:25" s="6" customFormat="1" ht="15.75">
      <c r="A762" s="412">
        <v>14</v>
      </c>
      <c r="B762" s="404" t="s">
        <v>349</v>
      </c>
      <c r="C762" s="8">
        <v>5810.95</v>
      </c>
      <c r="D762" s="330"/>
      <c r="E762" s="330"/>
      <c r="F762" s="32">
        <v>5811.2</v>
      </c>
      <c r="G762" s="646">
        <f t="shared" ref="G762:G824" si="119">C762+D762+E762</f>
        <v>5810.95</v>
      </c>
      <c r="H762" s="330">
        <v>560</v>
      </c>
      <c r="I762" s="330"/>
      <c r="J762" s="146">
        <v>560</v>
      </c>
      <c r="K762" s="146">
        <f t="shared" si="118"/>
        <v>560</v>
      </c>
      <c r="L762" s="191">
        <f t="shared" si="115"/>
        <v>0.66666666666666663</v>
      </c>
      <c r="M762" s="177">
        <f t="shared" si="116"/>
        <v>1344.6733333333332</v>
      </c>
      <c r="N762" s="148">
        <f t="shared" si="117"/>
        <v>494.43638466666664</v>
      </c>
      <c r="O762" s="427">
        <v>519.43333333333328</v>
      </c>
      <c r="P762" s="177">
        <f t="shared" si="113"/>
        <v>35.913600000000002</v>
      </c>
      <c r="Q762" s="177"/>
      <c r="R762" s="431">
        <f t="shared" si="109"/>
        <v>0.41205941392256568</v>
      </c>
      <c r="S762" s="468">
        <v>5</v>
      </c>
      <c r="T762" s="127"/>
      <c r="U762" s="127"/>
      <c r="V762" s="127"/>
      <c r="W762" s="127"/>
      <c r="X762" s="127"/>
      <c r="Y762" s="127"/>
    </row>
    <row r="763" spans="1:25" s="6" customFormat="1" ht="15.75">
      <c r="A763" s="412">
        <v>15</v>
      </c>
      <c r="B763" s="404" t="s">
        <v>350</v>
      </c>
      <c r="C763" s="8">
        <v>4315.22</v>
      </c>
      <c r="D763" s="330"/>
      <c r="E763" s="330">
        <v>220.4</v>
      </c>
      <c r="F763" s="32">
        <v>4471.7</v>
      </c>
      <c r="G763" s="646">
        <f t="shared" si="119"/>
        <v>4535.62</v>
      </c>
      <c r="H763" s="330">
        <v>585</v>
      </c>
      <c r="I763" s="330"/>
      <c r="J763" s="146">
        <v>585</v>
      </c>
      <c r="K763" s="146">
        <f t="shared" si="118"/>
        <v>585</v>
      </c>
      <c r="L763" s="191">
        <f t="shared" si="115"/>
        <v>0.6964285714285714</v>
      </c>
      <c r="M763" s="177">
        <f t="shared" si="116"/>
        <v>1404.7033928571427</v>
      </c>
      <c r="N763" s="148">
        <f t="shared" si="117"/>
        <v>516.50943755357139</v>
      </c>
      <c r="O763" s="427">
        <v>271.31116071428568</v>
      </c>
      <c r="P763" s="177">
        <f t="shared" si="113"/>
        <v>37.516885714285721</v>
      </c>
      <c r="Q763" s="177"/>
      <c r="R763" s="431">
        <f t="shared" si="109"/>
        <v>0.51678497894412923</v>
      </c>
      <c r="S763" s="468">
        <v>12</v>
      </c>
      <c r="T763" s="127"/>
      <c r="U763" s="127"/>
      <c r="V763" s="127"/>
      <c r="W763" s="127"/>
      <c r="X763" s="127"/>
      <c r="Y763" s="127"/>
    </row>
    <row r="764" spans="1:25" s="6" customFormat="1" ht="15.75">
      <c r="A764" s="412">
        <v>16</v>
      </c>
      <c r="B764" s="404" t="s">
        <v>351</v>
      </c>
      <c r="C764" s="8">
        <v>6019.4</v>
      </c>
      <c r="D764" s="330"/>
      <c r="E764" s="330">
        <v>951.1</v>
      </c>
      <c r="F764" s="32">
        <v>6076.05</v>
      </c>
      <c r="G764" s="646">
        <f t="shared" si="119"/>
        <v>6970.5</v>
      </c>
      <c r="H764" s="330">
        <v>525</v>
      </c>
      <c r="I764" s="330"/>
      <c r="J764" s="146">
        <v>525</v>
      </c>
      <c r="K764" s="146">
        <f t="shared" si="118"/>
        <v>525</v>
      </c>
      <c r="L764" s="191">
        <f t="shared" si="115"/>
        <v>0.625</v>
      </c>
      <c r="M764" s="177">
        <f t="shared" si="116"/>
        <v>1260.6312499999999</v>
      </c>
      <c r="N764" s="148">
        <f t="shared" si="117"/>
        <v>463.53411062499998</v>
      </c>
      <c r="O764" s="427">
        <v>486.96875</v>
      </c>
      <c r="P764" s="177">
        <f t="shared" si="113"/>
        <v>33.669000000000004</v>
      </c>
      <c r="Q764" s="177"/>
      <c r="R764" s="431">
        <f t="shared" si="109"/>
        <v>0.37292805107236604</v>
      </c>
      <c r="S764" s="468">
        <v>5</v>
      </c>
      <c r="T764" s="127"/>
      <c r="U764" s="127"/>
      <c r="V764" s="127"/>
      <c r="W764" s="127"/>
      <c r="X764" s="127"/>
      <c r="Y764" s="127"/>
    </row>
    <row r="765" spans="1:25" s="6" customFormat="1" ht="15.75">
      <c r="A765" s="412">
        <v>17</v>
      </c>
      <c r="B765" s="404" t="s">
        <v>352</v>
      </c>
      <c r="C765" s="8">
        <v>7260.15</v>
      </c>
      <c r="D765" s="330"/>
      <c r="E765" s="330">
        <v>68.5</v>
      </c>
      <c r="F765" s="32">
        <v>7481.29</v>
      </c>
      <c r="G765" s="646">
        <f t="shared" si="119"/>
        <v>7328.65</v>
      </c>
      <c r="H765" s="330">
        <v>810</v>
      </c>
      <c r="I765" s="330"/>
      <c r="J765" s="146">
        <v>810</v>
      </c>
      <c r="K765" s="146">
        <f t="shared" si="118"/>
        <v>810</v>
      </c>
      <c r="L765" s="191">
        <f t="shared" si="115"/>
        <v>0.9642857142857143</v>
      </c>
      <c r="M765" s="177">
        <f t="shared" si="116"/>
        <v>1944.9739285714286</v>
      </c>
      <c r="N765" s="148">
        <f t="shared" si="117"/>
        <v>715.16691353571434</v>
      </c>
      <c r="O765" s="427">
        <v>751.32321428571424</v>
      </c>
      <c r="P765" s="177">
        <f t="shared" si="113"/>
        <v>51.946457142857149</v>
      </c>
      <c r="Q765" s="177"/>
      <c r="R765" s="431">
        <f t="shared" si="109"/>
        <v>0.47704393346359431</v>
      </c>
      <c r="S765" s="468">
        <v>10</v>
      </c>
      <c r="T765" s="127"/>
      <c r="U765" s="127"/>
      <c r="V765" s="127"/>
      <c r="W765" s="127"/>
      <c r="X765" s="127"/>
      <c r="Y765" s="127"/>
    </row>
    <row r="766" spans="1:25" s="6" customFormat="1" ht="15.75">
      <c r="A766" s="412">
        <v>18</v>
      </c>
      <c r="B766" s="404" t="s">
        <v>353</v>
      </c>
      <c r="C766" s="8">
        <v>6364.4</v>
      </c>
      <c r="D766" s="330"/>
      <c r="E766" s="330">
        <v>171.2</v>
      </c>
      <c r="F766" s="32">
        <v>6584.5</v>
      </c>
      <c r="G766" s="646">
        <f t="shared" si="119"/>
        <v>6535.5999999999995</v>
      </c>
      <c r="H766" s="330">
        <v>627</v>
      </c>
      <c r="I766" s="330"/>
      <c r="J766" s="146">
        <v>627</v>
      </c>
      <c r="K766" s="146">
        <f t="shared" si="118"/>
        <v>627</v>
      </c>
      <c r="L766" s="191">
        <f t="shared" si="115"/>
        <v>0.74642857142857144</v>
      </c>
      <c r="M766" s="177">
        <f t="shared" si="116"/>
        <v>1505.553892857143</v>
      </c>
      <c r="N766" s="148">
        <f t="shared" si="117"/>
        <v>553.59216640357147</v>
      </c>
      <c r="O766" s="427">
        <v>581.57982142857145</v>
      </c>
      <c r="P766" s="177">
        <f t="shared" si="113"/>
        <v>40.21040571428572</v>
      </c>
      <c r="Q766" s="177"/>
      <c r="R766" s="431">
        <f t="shared" si="109"/>
        <v>0.4212394391307227</v>
      </c>
      <c r="S766" s="468">
        <v>9</v>
      </c>
      <c r="T766" s="127"/>
      <c r="U766" s="127"/>
      <c r="V766" s="127"/>
      <c r="W766" s="127"/>
      <c r="X766" s="127"/>
      <c r="Y766" s="127"/>
    </row>
    <row r="767" spans="1:25" s="6" customFormat="1" ht="15.75">
      <c r="A767" s="412">
        <v>19</v>
      </c>
      <c r="B767" s="404" t="s">
        <v>354</v>
      </c>
      <c r="C767" s="8">
        <v>11062.33</v>
      </c>
      <c r="D767" s="330"/>
      <c r="E767" s="330"/>
      <c r="F767" s="32">
        <v>11079.02</v>
      </c>
      <c r="G767" s="646">
        <f t="shared" si="119"/>
        <v>11062.33</v>
      </c>
      <c r="H767" s="330">
        <v>900</v>
      </c>
      <c r="I767" s="330"/>
      <c r="J767" s="146">
        <v>900</v>
      </c>
      <c r="K767" s="146">
        <f t="shared" si="118"/>
        <v>900</v>
      </c>
      <c r="L767" s="191">
        <f t="shared" si="115"/>
        <v>1.0714285714285714</v>
      </c>
      <c r="M767" s="177">
        <f t="shared" si="116"/>
        <v>2161.0821428571426</v>
      </c>
      <c r="N767" s="148">
        <f t="shared" si="117"/>
        <v>794.62990392857137</v>
      </c>
      <c r="O767" s="427">
        <v>834.80357142857133</v>
      </c>
      <c r="P767" s="177">
        <f t="shared" si="113"/>
        <v>57.71828571428572</v>
      </c>
      <c r="Q767" s="177"/>
      <c r="R767" s="431">
        <f t="shared" si="109"/>
        <v>0.34786829754026244</v>
      </c>
      <c r="S767" s="468">
        <v>9</v>
      </c>
      <c r="T767" s="127"/>
      <c r="U767" s="127"/>
      <c r="V767" s="127"/>
      <c r="W767" s="127"/>
      <c r="X767" s="127"/>
      <c r="Y767" s="127"/>
    </row>
    <row r="768" spans="1:25" s="6" customFormat="1" ht="15.75">
      <c r="A768" s="412">
        <v>20</v>
      </c>
      <c r="B768" s="404" t="s">
        <v>355</v>
      </c>
      <c r="C768" s="8">
        <v>8492.94</v>
      </c>
      <c r="D768" s="330"/>
      <c r="E768" s="330"/>
      <c r="F768" s="32">
        <v>8627.9</v>
      </c>
      <c r="G768" s="646">
        <f t="shared" si="119"/>
        <v>8492.94</v>
      </c>
      <c r="H768" s="330">
        <v>1130</v>
      </c>
      <c r="I768" s="330"/>
      <c r="J768" s="146">
        <v>1130</v>
      </c>
      <c r="K768" s="146">
        <f t="shared" si="118"/>
        <v>1130</v>
      </c>
      <c r="L768" s="191">
        <f t="shared" si="115"/>
        <v>1.3452380952380953</v>
      </c>
      <c r="M768" s="177">
        <f t="shared" si="116"/>
        <v>2713.3586904761905</v>
      </c>
      <c r="N768" s="148">
        <f t="shared" si="117"/>
        <v>997.70199048809536</v>
      </c>
      <c r="O768" s="427">
        <v>1048.1422619047619</v>
      </c>
      <c r="P768" s="177">
        <f t="shared" si="113"/>
        <v>72.468514285714306</v>
      </c>
      <c r="Q768" s="177"/>
      <c r="R768" s="431">
        <f t="shared" si="109"/>
        <v>0.56890446148857299</v>
      </c>
      <c r="S768" s="468">
        <v>9</v>
      </c>
      <c r="T768" s="127"/>
      <c r="U768" s="127"/>
      <c r="V768" s="127"/>
      <c r="W768" s="127"/>
      <c r="X768" s="127"/>
      <c r="Y768" s="127"/>
    </row>
    <row r="769" spans="1:25" s="6" customFormat="1" ht="15.75">
      <c r="A769" s="412">
        <v>21</v>
      </c>
      <c r="B769" s="404" t="s">
        <v>365</v>
      </c>
      <c r="C769" s="8">
        <v>3876.37</v>
      </c>
      <c r="D769" s="330"/>
      <c r="E769" s="330"/>
      <c r="F769" s="32">
        <v>3944.51</v>
      </c>
      <c r="G769" s="646">
        <f t="shared" si="119"/>
        <v>3876.37</v>
      </c>
      <c r="H769" s="330">
        <v>311</v>
      </c>
      <c r="I769" s="330"/>
      <c r="J769" s="146">
        <v>311</v>
      </c>
      <c r="K769" s="146">
        <f t="shared" si="118"/>
        <v>311</v>
      </c>
      <c r="L769" s="191">
        <f t="shared" si="115"/>
        <v>0.37023809523809526</v>
      </c>
      <c r="M769" s="177">
        <f t="shared" si="116"/>
        <v>746.77394047619055</v>
      </c>
      <c r="N769" s="148">
        <f t="shared" si="117"/>
        <v>274.58877791309527</v>
      </c>
      <c r="O769" s="427">
        <v>230.77680952380953</v>
      </c>
      <c r="P769" s="177">
        <f t="shared" si="113"/>
        <v>19.944874285714288</v>
      </c>
      <c r="Q769" s="177"/>
      <c r="R769" s="431">
        <f t="shared" si="109"/>
        <v>0.32816382393806831</v>
      </c>
      <c r="S769" s="468">
        <v>5</v>
      </c>
      <c r="T769" s="127"/>
      <c r="U769" s="127"/>
      <c r="V769" s="127"/>
      <c r="W769" s="127"/>
      <c r="X769" s="127"/>
      <c r="Y769" s="127"/>
    </row>
    <row r="770" spans="1:25" s="6" customFormat="1" ht="15.75">
      <c r="A770" s="412">
        <v>22</v>
      </c>
      <c r="B770" s="404" t="s">
        <v>366</v>
      </c>
      <c r="C770" s="8">
        <v>5649.66</v>
      </c>
      <c r="D770" s="330"/>
      <c r="E770" s="330">
        <v>46.1</v>
      </c>
      <c r="F770" s="32">
        <v>5646.99</v>
      </c>
      <c r="G770" s="646">
        <f t="shared" si="119"/>
        <v>5695.76</v>
      </c>
      <c r="H770" s="330">
        <v>556</v>
      </c>
      <c r="I770" s="330"/>
      <c r="J770" s="146">
        <v>556</v>
      </c>
      <c r="K770" s="146">
        <f t="shared" si="118"/>
        <v>556</v>
      </c>
      <c r="L770" s="191">
        <f t="shared" si="115"/>
        <v>0.66190476190476188</v>
      </c>
      <c r="M770" s="177">
        <f t="shared" si="116"/>
        <v>1335.0685238095239</v>
      </c>
      <c r="N770" s="148">
        <f t="shared" si="117"/>
        <v>490.90469620476199</v>
      </c>
      <c r="O770" s="427">
        <v>412.57847619047618</v>
      </c>
      <c r="P770" s="177">
        <f t="shared" si="113"/>
        <v>35.657074285714287</v>
      </c>
      <c r="Q770" s="177"/>
      <c r="R770" s="431">
        <f t="shared" si="109"/>
        <v>0.40253905022434555</v>
      </c>
      <c r="S770" s="468">
        <v>5</v>
      </c>
      <c r="T770" s="127"/>
      <c r="U770" s="127"/>
      <c r="V770" s="127"/>
      <c r="W770" s="127"/>
      <c r="X770" s="127"/>
      <c r="Y770" s="127"/>
    </row>
    <row r="771" spans="1:25" s="6" customFormat="1" ht="15.75">
      <c r="A771" s="412">
        <v>23</v>
      </c>
      <c r="B771" s="404" t="s">
        <v>367</v>
      </c>
      <c r="C771" s="8">
        <v>5815.2</v>
      </c>
      <c r="D771" s="330"/>
      <c r="E771" s="330"/>
      <c r="F771" s="32">
        <v>5810.8</v>
      </c>
      <c r="G771" s="646">
        <f t="shared" si="119"/>
        <v>5815.2</v>
      </c>
      <c r="H771" s="330">
        <v>554</v>
      </c>
      <c r="I771" s="330"/>
      <c r="J771" s="146">
        <v>554</v>
      </c>
      <c r="K771" s="146">
        <f t="shared" si="118"/>
        <v>554</v>
      </c>
      <c r="L771" s="191">
        <f t="shared" si="115"/>
        <v>0.65952380952380951</v>
      </c>
      <c r="M771" s="177">
        <f t="shared" si="116"/>
        <v>1330.266119047619</v>
      </c>
      <c r="N771" s="148">
        <f t="shared" si="117"/>
        <v>489.13885197380955</v>
      </c>
      <c r="O771" s="427">
        <v>411.09438095238096</v>
      </c>
      <c r="P771" s="177">
        <f t="shared" si="113"/>
        <v>35.52881142857143</v>
      </c>
      <c r="Q771" s="177"/>
      <c r="R771" s="431">
        <f t="shared" si="109"/>
        <v>0.38967329815008617</v>
      </c>
      <c r="S771" s="468">
        <v>5</v>
      </c>
      <c r="T771" s="127"/>
      <c r="U771" s="127"/>
      <c r="V771" s="127"/>
      <c r="W771" s="127"/>
      <c r="X771" s="127"/>
      <c r="Y771" s="127"/>
    </row>
    <row r="772" spans="1:25" s="6" customFormat="1" ht="15.75">
      <c r="A772" s="412">
        <v>24</v>
      </c>
      <c r="B772" s="404" t="s">
        <v>368</v>
      </c>
      <c r="C772" s="8">
        <v>5690.31</v>
      </c>
      <c r="D772" s="330"/>
      <c r="E772" s="330"/>
      <c r="F772" s="32">
        <v>5686.91</v>
      </c>
      <c r="G772" s="646">
        <f t="shared" si="119"/>
        <v>5690.31</v>
      </c>
      <c r="H772" s="330">
        <v>486</v>
      </c>
      <c r="I772" s="330"/>
      <c r="J772" s="146">
        <v>486</v>
      </c>
      <c r="K772" s="146">
        <f t="shared" si="118"/>
        <v>486</v>
      </c>
      <c r="L772" s="191">
        <f t="shared" si="115"/>
        <v>0.57857142857142863</v>
      </c>
      <c r="M772" s="177">
        <f t="shared" si="116"/>
        <v>1166.9843571428573</v>
      </c>
      <c r="N772" s="148">
        <f t="shared" si="117"/>
        <v>429.10014812142867</v>
      </c>
      <c r="O772" s="427">
        <v>360.63514285714291</v>
      </c>
      <c r="P772" s="177">
        <f t="shared" si="113"/>
        <v>31.167874285714291</v>
      </c>
      <c r="Q772" s="177"/>
      <c r="R772" s="431">
        <f t="shared" si="109"/>
        <v>0.34934608525847327</v>
      </c>
      <c r="S772" s="468">
        <v>5</v>
      </c>
      <c r="T772" s="127"/>
      <c r="U772" s="127"/>
      <c r="V772" s="127"/>
      <c r="W772" s="127"/>
      <c r="X772" s="127"/>
      <c r="Y772" s="127"/>
    </row>
    <row r="773" spans="1:25" s="6" customFormat="1" ht="15.75">
      <c r="A773" s="412">
        <v>25</v>
      </c>
      <c r="B773" s="404" t="s">
        <v>369</v>
      </c>
      <c r="C773" s="8">
        <v>3955.02</v>
      </c>
      <c r="D773" s="330"/>
      <c r="E773" s="330"/>
      <c r="F773" s="32">
        <v>4025.64</v>
      </c>
      <c r="G773" s="646">
        <f t="shared" si="119"/>
        <v>3955.02</v>
      </c>
      <c r="H773" s="330">
        <v>311</v>
      </c>
      <c r="I773" s="330"/>
      <c r="J773" s="146">
        <v>311</v>
      </c>
      <c r="K773" s="146">
        <f t="shared" si="118"/>
        <v>311</v>
      </c>
      <c r="L773" s="191">
        <f t="shared" si="115"/>
        <v>0.37023809523809526</v>
      </c>
      <c r="M773" s="177">
        <f t="shared" si="116"/>
        <v>746.77394047619055</v>
      </c>
      <c r="N773" s="148">
        <f t="shared" si="117"/>
        <v>274.58877791309527</v>
      </c>
      <c r="O773" s="427">
        <v>230.77680952380953</v>
      </c>
      <c r="P773" s="177">
        <f t="shared" si="113"/>
        <v>19.944874285714288</v>
      </c>
      <c r="Q773" s="177"/>
      <c r="R773" s="431">
        <f t="shared" si="109"/>
        <v>0.32163791894827581</v>
      </c>
      <c r="S773" s="468">
        <v>5</v>
      </c>
      <c r="T773" s="127"/>
      <c r="U773" s="127"/>
      <c r="V773" s="127"/>
      <c r="W773" s="127"/>
      <c r="X773" s="127"/>
      <c r="Y773" s="127"/>
    </row>
    <row r="774" spans="1:25" s="6" customFormat="1" ht="15.75">
      <c r="A774" s="412">
        <v>26</v>
      </c>
      <c r="B774" s="404" t="s">
        <v>370</v>
      </c>
      <c r="C774" s="8">
        <v>3905.27</v>
      </c>
      <c r="D774" s="330"/>
      <c r="E774" s="330"/>
      <c r="F774" s="32">
        <v>3969.71</v>
      </c>
      <c r="G774" s="646">
        <f t="shared" si="119"/>
        <v>3905.27</v>
      </c>
      <c r="H774" s="330">
        <v>331</v>
      </c>
      <c r="I774" s="330"/>
      <c r="J774" s="146">
        <v>331</v>
      </c>
      <c r="K774" s="146">
        <f t="shared" si="118"/>
        <v>331</v>
      </c>
      <c r="L774" s="191">
        <f t="shared" si="115"/>
        <v>0.39404761904761904</v>
      </c>
      <c r="M774" s="177">
        <f t="shared" si="116"/>
        <v>794.79798809523811</v>
      </c>
      <c r="N774" s="148">
        <f t="shared" si="117"/>
        <v>292.24722022261909</v>
      </c>
      <c r="O774" s="427">
        <v>245.61776190476189</v>
      </c>
      <c r="P774" s="177">
        <f t="shared" si="113"/>
        <v>21.227502857142859</v>
      </c>
      <c r="Q774" s="177"/>
      <c r="R774" s="431">
        <f t="shared" si="109"/>
        <v>0.34668293692363444</v>
      </c>
      <c r="S774" s="468">
        <v>5</v>
      </c>
      <c r="T774" s="127"/>
      <c r="U774" s="127"/>
      <c r="V774" s="127"/>
      <c r="W774" s="127"/>
      <c r="X774" s="127"/>
      <c r="Y774" s="127"/>
    </row>
    <row r="775" spans="1:25" s="6" customFormat="1" ht="15.75">
      <c r="A775" s="412">
        <v>27</v>
      </c>
      <c r="B775" s="404" t="s">
        <v>371</v>
      </c>
      <c r="C775" s="8">
        <v>4170.17</v>
      </c>
      <c r="D775" s="330"/>
      <c r="E775" s="330">
        <v>689.1</v>
      </c>
      <c r="F775" s="32">
        <v>4206.54</v>
      </c>
      <c r="G775" s="646">
        <f t="shared" si="119"/>
        <v>4859.2700000000004</v>
      </c>
      <c r="H775" s="330">
        <v>390</v>
      </c>
      <c r="I775" s="330"/>
      <c r="J775" s="146">
        <v>390</v>
      </c>
      <c r="K775" s="146">
        <f t="shared" si="118"/>
        <v>390</v>
      </c>
      <c r="L775" s="191">
        <f t="shared" si="115"/>
        <v>0.4642857142857143</v>
      </c>
      <c r="M775" s="177">
        <f t="shared" si="116"/>
        <v>936.46892857142859</v>
      </c>
      <c r="N775" s="148">
        <f t="shared" si="117"/>
        <v>344.33962503571433</v>
      </c>
      <c r="O775" s="427">
        <v>361.74821428571431</v>
      </c>
      <c r="P775" s="177">
        <f t="shared" si="113"/>
        <v>25.011257142857147</v>
      </c>
      <c r="Q775" s="177"/>
      <c r="R775" s="431">
        <f t="shared" ref="R775:R838" si="120">(M775+N775+O775+P775)/C775</f>
        <v>0.3998801068147616</v>
      </c>
      <c r="S775" s="468">
        <v>9</v>
      </c>
      <c r="T775" s="127"/>
      <c r="U775" s="127"/>
      <c r="V775" s="127"/>
      <c r="W775" s="127"/>
      <c r="X775" s="127"/>
      <c r="Y775" s="127"/>
    </row>
    <row r="776" spans="1:25" s="6" customFormat="1" ht="15.75">
      <c r="A776" s="412">
        <v>28</v>
      </c>
      <c r="B776" s="404" t="s">
        <v>372</v>
      </c>
      <c r="C776" s="8">
        <v>4268.12</v>
      </c>
      <c r="D776" s="330">
        <v>216.9</v>
      </c>
      <c r="E776" s="330">
        <v>468.4</v>
      </c>
      <c r="F776" s="32">
        <v>4314.37</v>
      </c>
      <c r="G776" s="646">
        <f t="shared" si="119"/>
        <v>4953.4199999999992</v>
      </c>
      <c r="H776" s="330">
        <v>390</v>
      </c>
      <c r="I776" s="330"/>
      <c r="J776" s="146">
        <v>390</v>
      </c>
      <c r="K776" s="146">
        <f t="shared" si="118"/>
        <v>390</v>
      </c>
      <c r="L776" s="191">
        <f t="shared" ref="L776:L836" si="121">(H776/840)+(I776/756)</f>
        <v>0.4642857142857143</v>
      </c>
      <c r="M776" s="177">
        <f t="shared" si="116"/>
        <v>936.46892857142859</v>
      </c>
      <c r="N776" s="148">
        <f t="shared" si="117"/>
        <v>344.33962503571433</v>
      </c>
      <c r="O776" s="427">
        <v>361.74821428571431</v>
      </c>
      <c r="P776" s="177">
        <f t="shared" si="113"/>
        <v>25.011257142857147</v>
      </c>
      <c r="Q776" s="177"/>
      <c r="R776" s="431">
        <f t="shared" si="120"/>
        <v>0.39070317259957887</v>
      </c>
      <c r="S776" s="468">
        <v>9</v>
      </c>
      <c r="T776" s="127"/>
      <c r="U776" s="127"/>
      <c r="V776" s="127"/>
      <c r="W776" s="127"/>
      <c r="X776" s="127"/>
      <c r="Y776" s="127"/>
    </row>
    <row r="777" spans="1:25" s="6" customFormat="1" ht="15.75">
      <c r="A777" s="412">
        <v>29</v>
      </c>
      <c r="B777" s="404" t="s">
        <v>373</v>
      </c>
      <c r="C777" s="8">
        <v>10932.24</v>
      </c>
      <c r="D777" s="330"/>
      <c r="E777" s="330"/>
      <c r="F777" s="32">
        <v>10932.08</v>
      </c>
      <c r="G777" s="646">
        <f t="shared" si="119"/>
        <v>10932.24</v>
      </c>
      <c r="H777" s="330">
        <v>930</v>
      </c>
      <c r="I777" s="330"/>
      <c r="J777" s="146">
        <v>930</v>
      </c>
      <c r="K777" s="146">
        <f t="shared" si="118"/>
        <v>930</v>
      </c>
      <c r="L777" s="191">
        <f t="shared" si="121"/>
        <v>1.1071428571428572</v>
      </c>
      <c r="M777" s="177">
        <f t="shared" si="116"/>
        <v>2233.1182142857142</v>
      </c>
      <c r="N777" s="148">
        <f t="shared" si="117"/>
        <v>821.11756739285715</v>
      </c>
      <c r="O777" s="427">
        <v>862.63035714285718</v>
      </c>
      <c r="P777" s="177">
        <f t="shared" si="113"/>
        <v>59.642228571428582</v>
      </c>
      <c r="Q777" s="177"/>
      <c r="R777" s="431">
        <f t="shared" si="120"/>
        <v>0.36374140774377961</v>
      </c>
      <c r="S777" s="468">
        <v>9</v>
      </c>
      <c r="T777" s="127"/>
      <c r="U777" s="127"/>
      <c r="V777" s="127"/>
      <c r="W777" s="127"/>
      <c r="X777" s="127"/>
      <c r="Y777" s="127"/>
    </row>
    <row r="778" spans="1:25" s="6" customFormat="1" ht="15.75">
      <c r="A778" s="412">
        <v>30</v>
      </c>
      <c r="B778" s="404" t="s">
        <v>374</v>
      </c>
      <c r="C778" s="8">
        <v>4713.08</v>
      </c>
      <c r="D778" s="330"/>
      <c r="E778" s="330"/>
      <c r="F778" s="32">
        <v>4726.32</v>
      </c>
      <c r="G778" s="646">
        <f t="shared" si="119"/>
        <v>4713.08</v>
      </c>
      <c r="H778" s="330">
        <v>517</v>
      </c>
      <c r="I778" s="330"/>
      <c r="J778" s="146">
        <v>517</v>
      </c>
      <c r="K778" s="146">
        <f t="shared" si="118"/>
        <v>517</v>
      </c>
      <c r="L778" s="191">
        <f t="shared" si="121"/>
        <v>0.61547619047619051</v>
      </c>
      <c r="M778" s="177">
        <f t="shared" si="116"/>
        <v>1241.4216309523811</v>
      </c>
      <c r="N778" s="148">
        <f t="shared" si="117"/>
        <v>456.47073370119057</v>
      </c>
      <c r="O778" s="427">
        <v>479.54827380952383</v>
      </c>
      <c r="P778" s="177">
        <f t="shared" si="113"/>
        <v>33.155948571428581</v>
      </c>
      <c r="Q778" s="177"/>
      <c r="R778" s="431">
        <f t="shared" si="120"/>
        <v>0.46903438665045455</v>
      </c>
      <c r="S778" s="468">
        <v>10</v>
      </c>
      <c r="T778" s="127"/>
      <c r="U778" s="127"/>
      <c r="V778" s="127"/>
      <c r="W778" s="127"/>
      <c r="X778" s="127"/>
      <c r="Y778" s="127"/>
    </row>
    <row r="779" spans="1:25" s="6" customFormat="1" ht="15.75">
      <c r="A779" s="412">
        <v>31</v>
      </c>
      <c r="B779" s="404" t="s">
        <v>375</v>
      </c>
      <c r="C779" s="8">
        <v>4688.58</v>
      </c>
      <c r="D779" s="330"/>
      <c r="E779" s="330"/>
      <c r="F779" s="32">
        <v>4737.75</v>
      </c>
      <c r="G779" s="646">
        <f t="shared" si="119"/>
        <v>4688.58</v>
      </c>
      <c r="H779" s="330">
        <v>614</v>
      </c>
      <c r="I779" s="330"/>
      <c r="J779" s="146">
        <v>614</v>
      </c>
      <c r="K779" s="146">
        <f t="shared" si="118"/>
        <v>614</v>
      </c>
      <c r="L779" s="191">
        <f t="shared" si="121"/>
        <v>0.73095238095238091</v>
      </c>
      <c r="M779" s="177">
        <f t="shared" si="116"/>
        <v>1474.3382619047618</v>
      </c>
      <c r="N779" s="148">
        <f t="shared" si="117"/>
        <v>542.1141789023809</v>
      </c>
      <c r="O779" s="427">
        <v>569.52154761904762</v>
      </c>
      <c r="P779" s="177">
        <f t="shared" si="113"/>
        <v>39.37669714285714</v>
      </c>
      <c r="Q779" s="177"/>
      <c r="R779" s="431">
        <f t="shared" si="120"/>
        <v>0.55994580140875228</v>
      </c>
      <c r="S779" s="468">
        <v>10</v>
      </c>
      <c r="T779" s="127"/>
      <c r="U779" s="127"/>
      <c r="V779" s="127"/>
      <c r="W779" s="127"/>
      <c r="X779" s="127"/>
      <c r="Y779" s="127"/>
    </row>
    <row r="780" spans="1:25" s="6" customFormat="1" ht="15.75">
      <c r="A780" s="412">
        <v>32</v>
      </c>
      <c r="B780" s="404" t="s">
        <v>376</v>
      </c>
      <c r="C780" s="8">
        <v>2330.62</v>
      </c>
      <c r="D780" s="330"/>
      <c r="E780" s="330"/>
      <c r="F780" s="32">
        <v>2356.4499999999998</v>
      </c>
      <c r="G780" s="646">
        <f t="shared" si="119"/>
        <v>2330.62</v>
      </c>
      <c r="H780" s="330">
        <v>346</v>
      </c>
      <c r="I780" s="330"/>
      <c r="J780" s="146">
        <v>346</v>
      </c>
      <c r="K780" s="146">
        <f t="shared" si="118"/>
        <v>346</v>
      </c>
      <c r="L780" s="191">
        <f t="shared" si="121"/>
        <v>0.41190476190476188</v>
      </c>
      <c r="M780" s="177">
        <f t="shared" si="116"/>
        <v>830.81602380952381</v>
      </c>
      <c r="N780" s="148">
        <f t="shared" si="117"/>
        <v>305.49105195476193</v>
      </c>
      <c r="O780" s="427">
        <v>320.93559523809523</v>
      </c>
      <c r="P780" s="177">
        <f t="shared" si="113"/>
        <v>22.189474285714287</v>
      </c>
      <c r="Q780" s="177"/>
      <c r="R780" s="431">
        <f t="shared" si="120"/>
        <v>0.63478050702735556</v>
      </c>
      <c r="S780" s="468">
        <v>10</v>
      </c>
      <c r="T780" s="127"/>
      <c r="U780" s="127"/>
      <c r="V780" s="127"/>
      <c r="W780" s="127"/>
      <c r="X780" s="127"/>
      <c r="Y780" s="127"/>
    </row>
    <row r="781" spans="1:25" s="6" customFormat="1" ht="15.75">
      <c r="A781" s="412">
        <v>33</v>
      </c>
      <c r="B781" s="404" t="s">
        <v>377</v>
      </c>
      <c r="C781" s="8">
        <v>2305.7800000000002</v>
      </c>
      <c r="D781" s="330"/>
      <c r="E781" s="330"/>
      <c r="F781" s="32">
        <v>2326.85</v>
      </c>
      <c r="G781" s="646">
        <f t="shared" si="119"/>
        <v>2305.7800000000002</v>
      </c>
      <c r="H781" s="330">
        <v>346</v>
      </c>
      <c r="I781" s="330"/>
      <c r="J781" s="146">
        <v>346</v>
      </c>
      <c r="K781" s="146">
        <f t="shared" si="118"/>
        <v>346</v>
      </c>
      <c r="L781" s="191">
        <f t="shared" si="121"/>
        <v>0.41190476190476188</v>
      </c>
      <c r="M781" s="177">
        <f t="shared" si="116"/>
        <v>830.81602380952381</v>
      </c>
      <c r="N781" s="148">
        <f t="shared" si="117"/>
        <v>305.49105195476193</v>
      </c>
      <c r="O781" s="427">
        <v>288.84203571428571</v>
      </c>
      <c r="P781" s="177">
        <f t="shared" si="113"/>
        <v>22.189474285714287</v>
      </c>
      <c r="Q781" s="177"/>
      <c r="R781" s="431">
        <f t="shared" si="120"/>
        <v>0.62770020807027804</v>
      </c>
      <c r="S781" s="468">
        <v>10</v>
      </c>
      <c r="T781" s="127"/>
      <c r="U781" s="127"/>
      <c r="V781" s="127"/>
      <c r="W781" s="127"/>
      <c r="X781" s="127"/>
      <c r="Y781" s="127"/>
    </row>
    <row r="782" spans="1:25" s="6" customFormat="1" ht="15.75">
      <c r="A782" s="412">
        <v>34</v>
      </c>
      <c r="B782" s="404" t="s">
        <v>378</v>
      </c>
      <c r="C782" s="8">
        <v>2216.46</v>
      </c>
      <c r="D782" s="330"/>
      <c r="E782" s="330"/>
      <c r="F782" s="32">
        <v>2110.25</v>
      </c>
      <c r="G782" s="646">
        <f t="shared" si="119"/>
        <v>2216.46</v>
      </c>
      <c r="H782" s="330">
        <v>356</v>
      </c>
      <c r="I782" s="330"/>
      <c r="J782" s="146">
        <v>356</v>
      </c>
      <c r="K782" s="146">
        <f t="shared" si="118"/>
        <v>356</v>
      </c>
      <c r="L782" s="191">
        <f t="shared" si="121"/>
        <v>0.4238095238095238</v>
      </c>
      <c r="M782" s="177">
        <f t="shared" si="116"/>
        <v>854.82804761904765</v>
      </c>
      <c r="N782" s="148">
        <f t="shared" si="117"/>
        <v>314.32027310952384</v>
      </c>
      <c r="O782" s="427">
        <v>330.21119047619044</v>
      </c>
      <c r="P782" s="177">
        <f t="shared" si="113"/>
        <v>22.830788571428574</v>
      </c>
      <c r="Q782" s="177"/>
      <c r="R782" s="431">
        <f t="shared" si="120"/>
        <v>0.68676642022693424</v>
      </c>
      <c r="S782" s="468">
        <v>10</v>
      </c>
      <c r="T782" s="127"/>
      <c r="U782" s="127"/>
      <c r="V782" s="127"/>
      <c r="W782" s="127"/>
      <c r="X782" s="127"/>
      <c r="Y782" s="127"/>
    </row>
    <row r="783" spans="1:25" s="6" customFormat="1" ht="15.75">
      <c r="A783" s="412">
        <v>35</v>
      </c>
      <c r="B783" s="404" t="s">
        <v>379</v>
      </c>
      <c r="C783" s="8">
        <v>5733.87</v>
      </c>
      <c r="D783" s="330"/>
      <c r="E783" s="330">
        <v>119.9</v>
      </c>
      <c r="F783" s="32">
        <v>5736.16</v>
      </c>
      <c r="G783" s="646">
        <f t="shared" si="119"/>
        <v>5853.7699999999995</v>
      </c>
      <c r="H783" s="330">
        <v>560</v>
      </c>
      <c r="I783" s="330"/>
      <c r="J783" s="146">
        <v>560</v>
      </c>
      <c r="K783" s="146">
        <f t="shared" si="118"/>
        <v>560</v>
      </c>
      <c r="L783" s="191">
        <f t="shared" si="121"/>
        <v>0.66666666666666663</v>
      </c>
      <c r="M783" s="177">
        <f t="shared" si="116"/>
        <v>1344.6733333333332</v>
      </c>
      <c r="N783" s="148">
        <f t="shared" si="117"/>
        <v>494.43638466666664</v>
      </c>
      <c r="O783" s="427">
        <v>197.38466666666665</v>
      </c>
      <c r="P783" s="177">
        <f t="shared" si="113"/>
        <v>35.913600000000002</v>
      </c>
      <c r="Q783" s="177"/>
      <c r="R783" s="431">
        <f t="shared" si="120"/>
        <v>0.36143267717382266</v>
      </c>
      <c r="S783" s="468">
        <v>5</v>
      </c>
      <c r="T783" s="127"/>
      <c r="U783" s="127"/>
      <c r="V783" s="127"/>
      <c r="W783" s="127"/>
      <c r="X783" s="127"/>
      <c r="Y783" s="127"/>
    </row>
    <row r="784" spans="1:25" s="6" customFormat="1" ht="15.75">
      <c r="A784" s="412">
        <v>36</v>
      </c>
      <c r="B784" s="404" t="s">
        <v>380</v>
      </c>
      <c r="C784" s="8">
        <v>4616.67</v>
      </c>
      <c r="D784" s="330"/>
      <c r="E784" s="330">
        <v>516.1</v>
      </c>
      <c r="F784" s="32">
        <v>4807.33</v>
      </c>
      <c r="G784" s="646">
        <f t="shared" si="119"/>
        <v>5132.7700000000004</v>
      </c>
      <c r="H784" s="330">
        <v>610</v>
      </c>
      <c r="I784" s="330"/>
      <c r="J784" s="146">
        <v>610</v>
      </c>
      <c r="K784" s="146">
        <f t="shared" si="118"/>
        <v>610</v>
      </c>
      <c r="L784" s="191">
        <f t="shared" si="121"/>
        <v>0.72619047619047616</v>
      </c>
      <c r="M784" s="177">
        <f t="shared" si="116"/>
        <v>1464.7334523809523</v>
      </c>
      <c r="N784" s="148">
        <f t="shared" si="117"/>
        <v>538.58249044047614</v>
      </c>
      <c r="O784" s="427">
        <v>509.23017857142861</v>
      </c>
      <c r="P784" s="177">
        <f t="shared" si="113"/>
        <v>39.120171428571432</v>
      </c>
      <c r="Q784" s="177"/>
      <c r="R784" s="431">
        <f t="shared" si="120"/>
        <v>0.55270710118362976</v>
      </c>
      <c r="S784" s="468">
        <v>5</v>
      </c>
      <c r="T784" s="127"/>
      <c r="U784" s="127"/>
      <c r="V784" s="127"/>
      <c r="W784" s="127"/>
      <c r="X784" s="127"/>
      <c r="Y784" s="127"/>
    </row>
    <row r="785" spans="1:25" s="6" customFormat="1" ht="15.75">
      <c r="A785" s="412">
        <v>37</v>
      </c>
      <c r="B785" s="404" t="s">
        <v>381</v>
      </c>
      <c r="C785" s="8">
        <v>4459.21</v>
      </c>
      <c r="D785" s="330"/>
      <c r="E785" s="330">
        <v>199.1</v>
      </c>
      <c r="F785" s="32">
        <v>4613.1899999999996</v>
      </c>
      <c r="G785" s="646">
        <f t="shared" si="119"/>
        <v>4658.3100000000004</v>
      </c>
      <c r="H785" s="330">
        <v>585</v>
      </c>
      <c r="I785" s="330"/>
      <c r="J785" s="146">
        <v>585</v>
      </c>
      <c r="K785" s="146">
        <f t="shared" si="118"/>
        <v>585</v>
      </c>
      <c r="L785" s="191">
        <f t="shared" si="121"/>
        <v>0.6964285714285714</v>
      </c>
      <c r="M785" s="177">
        <f t="shared" si="116"/>
        <v>1404.7033928571427</v>
      </c>
      <c r="N785" s="148">
        <f t="shared" si="117"/>
        <v>516.50943755357139</v>
      </c>
      <c r="O785" s="427">
        <v>542.62232142857135</v>
      </c>
      <c r="P785" s="177">
        <f t="shared" si="113"/>
        <v>37.516885714285721</v>
      </c>
      <c r="Q785" s="177"/>
      <c r="R785" s="431">
        <f t="shared" si="120"/>
        <v>0.5609406234632528</v>
      </c>
      <c r="S785" s="468">
        <v>12</v>
      </c>
      <c r="T785" s="127"/>
      <c r="U785" s="127"/>
      <c r="V785" s="127"/>
      <c r="W785" s="127"/>
      <c r="X785" s="127"/>
      <c r="Y785" s="127"/>
    </row>
    <row r="786" spans="1:25" s="6" customFormat="1" ht="15.75">
      <c r="A786" s="412">
        <v>38</v>
      </c>
      <c r="B786" s="404" t="s">
        <v>382</v>
      </c>
      <c r="C786" s="8">
        <v>4519.6099999999997</v>
      </c>
      <c r="D786" s="330"/>
      <c r="E786" s="330"/>
      <c r="F786" s="32">
        <v>4561.28</v>
      </c>
      <c r="G786" s="646">
        <f t="shared" si="119"/>
        <v>4519.6099999999997</v>
      </c>
      <c r="H786" s="330">
        <v>616</v>
      </c>
      <c r="I786" s="330"/>
      <c r="J786" s="146">
        <v>616</v>
      </c>
      <c r="K786" s="146">
        <f t="shared" si="118"/>
        <v>616</v>
      </c>
      <c r="L786" s="191">
        <f t="shared" si="121"/>
        <v>0.73333333333333328</v>
      </c>
      <c r="M786" s="177">
        <f t="shared" si="116"/>
        <v>1479.1406666666664</v>
      </c>
      <c r="N786" s="148">
        <f t="shared" si="117"/>
        <v>543.88002313333334</v>
      </c>
      <c r="O786" s="427">
        <v>571.37666666666667</v>
      </c>
      <c r="P786" s="177">
        <f t="shared" si="113"/>
        <v>39.504959999999997</v>
      </c>
      <c r="Q786" s="177"/>
      <c r="R786" s="431">
        <f t="shared" si="120"/>
        <v>0.58277203485846496</v>
      </c>
      <c r="S786" s="468">
        <v>10</v>
      </c>
      <c r="T786" s="127"/>
      <c r="U786" s="127"/>
      <c r="V786" s="127"/>
      <c r="W786" s="127"/>
      <c r="X786" s="127"/>
      <c r="Y786" s="127"/>
    </row>
    <row r="787" spans="1:25" s="6" customFormat="1" ht="15.75">
      <c r="A787" s="412">
        <v>39</v>
      </c>
      <c r="B787" s="404" t="s">
        <v>383</v>
      </c>
      <c r="C787" s="8">
        <v>7164.75</v>
      </c>
      <c r="D787" s="330"/>
      <c r="E787" s="330"/>
      <c r="F787" s="32">
        <v>7226.87</v>
      </c>
      <c r="G787" s="646">
        <f t="shared" si="119"/>
        <v>7164.75</v>
      </c>
      <c r="H787" s="330">
        <v>924</v>
      </c>
      <c r="I787" s="330"/>
      <c r="J787" s="146">
        <v>924</v>
      </c>
      <c r="K787" s="146">
        <f t="shared" si="118"/>
        <v>924</v>
      </c>
      <c r="L787" s="191">
        <f t="shared" si="121"/>
        <v>1.1000000000000001</v>
      </c>
      <c r="M787" s="177">
        <f t="shared" si="116"/>
        <v>2218.7110000000002</v>
      </c>
      <c r="N787" s="148">
        <f t="shared" si="117"/>
        <v>815.82003470000018</v>
      </c>
      <c r="O787" s="427">
        <v>857.06500000000005</v>
      </c>
      <c r="P787" s="177">
        <f t="shared" si="113"/>
        <v>59.257440000000017</v>
      </c>
      <c r="Q787" s="177"/>
      <c r="R787" s="431">
        <f t="shared" si="120"/>
        <v>0.5514293554834433</v>
      </c>
      <c r="S787" s="468">
        <v>10</v>
      </c>
      <c r="T787" s="127"/>
      <c r="U787" s="127"/>
      <c r="V787" s="127"/>
      <c r="W787" s="127"/>
      <c r="X787" s="127"/>
      <c r="Y787" s="127"/>
    </row>
    <row r="788" spans="1:25" s="6" customFormat="1" ht="15.75">
      <c r="A788" s="412">
        <v>40</v>
      </c>
      <c r="B788" s="404" t="s">
        <v>384</v>
      </c>
      <c r="C788" s="8">
        <v>4422.5</v>
      </c>
      <c r="D788" s="330"/>
      <c r="E788" s="330"/>
      <c r="F788" s="32">
        <v>4466.51</v>
      </c>
      <c r="G788" s="646">
        <f t="shared" si="119"/>
        <v>4422.5</v>
      </c>
      <c r="H788" s="330">
        <v>616</v>
      </c>
      <c r="I788" s="330"/>
      <c r="J788" s="146">
        <v>616</v>
      </c>
      <c r="K788" s="146">
        <f t="shared" si="118"/>
        <v>616</v>
      </c>
      <c r="L788" s="191">
        <f t="shared" si="121"/>
        <v>0.73333333333333328</v>
      </c>
      <c r="M788" s="177">
        <f t="shared" si="116"/>
        <v>1479.1406666666664</v>
      </c>
      <c r="N788" s="148">
        <f t="shared" si="117"/>
        <v>543.88002313333334</v>
      </c>
      <c r="O788" s="427">
        <v>571.37666666666667</v>
      </c>
      <c r="P788" s="177">
        <f t="shared" si="113"/>
        <v>39.504959999999997</v>
      </c>
      <c r="Q788" s="177"/>
      <c r="R788" s="431">
        <f t="shared" si="120"/>
        <v>0.59556864137177312</v>
      </c>
      <c r="S788" s="468">
        <v>10</v>
      </c>
      <c r="T788" s="127"/>
      <c r="U788" s="127"/>
      <c r="V788" s="127"/>
      <c r="W788" s="127"/>
      <c r="X788" s="127"/>
      <c r="Y788" s="127"/>
    </row>
    <row r="789" spans="1:25" s="6" customFormat="1" ht="15.75">
      <c r="A789" s="412">
        <v>41</v>
      </c>
      <c r="B789" s="404" t="s">
        <v>385</v>
      </c>
      <c r="C789" s="8">
        <v>9048.7900000000009</v>
      </c>
      <c r="D789" s="330"/>
      <c r="E789" s="330"/>
      <c r="F789" s="32">
        <v>9022.9599999999991</v>
      </c>
      <c r="G789" s="646">
        <f t="shared" si="119"/>
        <v>9048.7900000000009</v>
      </c>
      <c r="H789" s="330">
        <v>1232</v>
      </c>
      <c r="I789" s="330"/>
      <c r="J789" s="146">
        <v>1232</v>
      </c>
      <c r="K789" s="146">
        <f t="shared" si="118"/>
        <v>1232</v>
      </c>
      <c r="L789" s="191">
        <f t="shared" si="121"/>
        <v>1.4666666666666666</v>
      </c>
      <c r="M789" s="177">
        <f t="shared" si="116"/>
        <v>2958.2813333333329</v>
      </c>
      <c r="N789" s="148">
        <f t="shared" si="117"/>
        <v>1087.7600462666667</v>
      </c>
      <c r="O789" s="427">
        <v>1142.7533333333333</v>
      </c>
      <c r="P789" s="177">
        <f t="shared" si="113"/>
        <v>79.009919999999994</v>
      </c>
      <c r="Q789" s="177"/>
      <c r="R789" s="431">
        <f t="shared" si="120"/>
        <v>0.58215569517397714</v>
      </c>
      <c r="S789" s="468">
        <v>10</v>
      </c>
      <c r="T789" s="127"/>
      <c r="U789" s="127"/>
      <c r="V789" s="127"/>
      <c r="W789" s="127"/>
      <c r="X789" s="127"/>
      <c r="Y789" s="127"/>
    </row>
    <row r="790" spans="1:25" s="6" customFormat="1" ht="15.75">
      <c r="A790" s="412">
        <v>42</v>
      </c>
      <c r="B790" s="404" t="s">
        <v>386</v>
      </c>
      <c r="C790" s="32">
        <v>4583.33</v>
      </c>
      <c r="D790" s="330"/>
      <c r="E790" s="330"/>
      <c r="F790" s="32">
        <v>4624.8500000000004</v>
      </c>
      <c r="G790" s="646">
        <f t="shared" si="119"/>
        <v>4583.33</v>
      </c>
      <c r="H790" s="330">
        <v>603</v>
      </c>
      <c r="I790" s="330"/>
      <c r="J790" s="146">
        <v>603</v>
      </c>
      <c r="K790" s="146">
        <f t="shared" si="118"/>
        <v>603</v>
      </c>
      <c r="L790" s="191">
        <f t="shared" si="121"/>
        <v>0.71785714285714286</v>
      </c>
      <c r="M790" s="177">
        <f t="shared" si="116"/>
        <v>1447.9250357142857</v>
      </c>
      <c r="N790" s="148">
        <f t="shared" si="117"/>
        <v>532.40203563214288</v>
      </c>
      <c r="O790" s="427">
        <v>559.31839285714284</v>
      </c>
      <c r="P790" s="177">
        <f t="shared" si="113"/>
        <v>38.671251428571431</v>
      </c>
      <c r="Q790" s="177"/>
      <c r="R790" s="431">
        <f t="shared" si="120"/>
        <v>0.56254223798682246</v>
      </c>
      <c r="S790" s="468">
        <v>10</v>
      </c>
      <c r="T790" s="127"/>
      <c r="U790" s="127"/>
      <c r="V790" s="127"/>
      <c r="W790" s="127"/>
      <c r="X790" s="127"/>
      <c r="Y790" s="127"/>
    </row>
    <row r="791" spans="1:25" s="6" customFormat="1" ht="15.75">
      <c r="A791" s="412">
        <v>43</v>
      </c>
      <c r="B791" s="404" t="s">
        <v>387</v>
      </c>
      <c r="C791" s="32">
        <v>2091.96</v>
      </c>
      <c r="D791" s="330"/>
      <c r="E791" s="330">
        <v>121.7</v>
      </c>
      <c r="F791" s="32">
        <v>2112.11</v>
      </c>
      <c r="G791" s="646">
        <f t="shared" si="119"/>
        <v>2213.66</v>
      </c>
      <c r="H791" s="330">
        <v>232</v>
      </c>
      <c r="I791" s="330"/>
      <c r="J791" s="146">
        <v>232</v>
      </c>
      <c r="K791" s="146">
        <f t="shared" si="118"/>
        <v>232</v>
      </c>
      <c r="L791" s="191">
        <f t="shared" si="121"/>
        <v>0.27619047619047621</v>
      </c>
      <c r="M791" s="177">
        <f t="shared" si="116"/>
        <v>557.07895238095239</v>
      </c>
      <c r="N791" s="148">
        <f t="shared" si="117"/>
        <v>204.83793079047621</v>
      </c>
      <c r="O791" s="427">
        <v>150.63566666666665</v>
      </c>
      <c r="P791" s="177">
        <f t="shared" si="113"/>
        <v>14.878491428571431</v>
      </c>
      <c r="Q791" s="177"/>
      <c r="R791" s="431">
        <f t="shared" si="120"/>
        <v>0.44333115416483426</v>
      </c>
      <c r="S791" s="468">
        <v>5</v>
      </c>
      <c r="T791" s="127"/>
      <c r="U791" s="127"/>
      <c r="V791" s="127"/>
      <c r="W791" s="127"/>
      <c r="X791" s="127"/>
      <c r="Y791" s="127"/>
    </row>
    <row r="792" spans="1:25" s="6" customFormat="1" ht="15.75">
      <c r="A792" s="412">
        <v>44</v>
      </c>
      <c r="B792" s="404" t="s">
        <v>388</v>
      </c>
      <c r="C792" s="32">
        <v>41.2</v>
      </c>
      <c r="D792" s="330"/>
      <c r="E792" s="330"/>
      <c r="F792" s="32">
        <v>41.2</v>
      </c>
      <c r="G792" s="646">
        <f t="shared" si="119"/>
        <v>41.2</v>
      </c>
      <c r="H792" s="330">
        <v>0</v>
      </c>
      <c r="I792" s="330"/>
      <c r="J792" s="146"/>
      <c r="K792" s="146">
        <f t="shared" si="118"/>
        <v>0</v>
      </c>
      <c r="L792" s="191">
        <f t="shared" si="121"/>
        <v>0</v>
      </c>
      <c r="M792" s="177">
        <f t="shared" si="116"/>
        <v>0</v>
      </c>
      <c r="N792" s="148">
        <f t="shared" si="117"/>
        <v>0</v>
      </c>
      <c r="O792" s="427">
        <v>0</v>
      </c>
      <c r="P792" s="177">
        <f t="shared" si="113"/>
        <v>0</v>
      </c>
      <c r="Q792" s="177"/>
      <c r="R792" s="431">
        <f t="shared" si="120"/>
        <v>0</v>
      </c>
      <c r="S792" s="468">
        <v>1</v>
      </c>
      <c r="T792" s="127"/>
      <c r="U792" s="127"/>
      <c r="V792" s="127"/>
      <c r="W792" s="127"/>
      <c r="X792" s="127"/>
      <c r="Y792" s="127"/>
    </row>
    <row r="793" spans="1:25" s="6" customFormat="1" ht="15.75">
      <c r="A793" s="412">
        <v>45</v>
      </c>
      <c r="B793" s="404" t="s">
        <v>389</v>
      </c>
      <c r="C793" s="32">
        <v>21</v>
      </c>
      <c r="D793" s="330"/>
      <c r="E793" s="330"/>
      <c r="F793" s="32">
        <v>21</v>
      </c>
      <c r="G793" s="646">
        <f t="shared" si="119"/>
        <v>21</v>
      </c>
      <c r="H793" s="330">
        <v>0</v>
      </c>
      <c r="I793" s="330"/>
      <c r="J793" s="146"/>
      <c r="K793" s="146">
        <f t="shared" si="118"/>
        <v>0</v>
      </c>
      <c r="L793" s="191">
        <f t="shared" si="121"/>
        <v>0</v>
      </c>
      <c r="M793" s="177">
        <f t="shared" si="116"/>
        <v>0</v>
      </c>
      <c r="N793" s="148">
        <f t="shared" si="117"/>
        <v>0</v>
      </c>
      <c r="O793" s="427">
        <v>0</v>
      </c>
      <c r="P793" s="177">
        <f t="shared" si="113"/>
        <v>0</v>
      </c>
      <c r="Q793" s="177"/>
      <c r="R793" s="431">
        <f t="shared" si="120"/>
        <v>0</v>
      </c>
      <c r="S793" s="468">
        <v>1</v>
      </c>
      <c r="T793" s="127"/>
      <c r="U793" s="127"/>
      <c r="V793" s="127"/>
      <c r="W793" s="127"/>
      <c r="X793" s="127"/>
      <c r="Y793" s="127"/>
    </row>
    <row r="794" spans="1:25" s="6" customFormat="1" ht="18" customHeight="1">
      <c r="A794" s="412">
        <v>46</v>
      </c>
      <c r="B794" s="404" t="s">
        <v>390</v>
      </c>
      <c r="C794" s="32">
        <v>113.2</v>
      </c>
      <c r="D794" s="330"/>
      <c r="E794" s="330"/>
      <c r="F794" s="32">
        <v>113.2</v>
      </c>
      <c r="G794" s="646">
        <f t="shared" si="119"/>
        <v>113.2</v>
      </c>
      <c r="H794" s="330">
        <v>0</v>
      </c>
      <c r="I794" s="330"/>
      <c r="J794" s="146"/>
      <c r="K794" s="146">
        <f t="shared" si="118"/>
        <v>0</v>
      </c>
      <c r="L794" s="191">
        <f t="shared" si="121"/>
        <v>0</v>
      </c>
      <c r="M794" s="177">
        <f t="shared" si="116"/>
        <v>0</v>
      </c>
      <c r="N794" s="148">
        <f t="shared" si="117"/>
        <v>0</v>
      </c>
      <c r="O794" s="427">
        <v>0</v>
      </c>
      <c r="P794" s="177">
        <f t="shared" si="113"/>
        <v>0</v>
      </c>
      <c r="Q794" s="177"/>
      <c r="R794" s="431">
        <f t="shared" si="120"/>
        <v>0</v>
      </c>
      <c r="S794" s="468">
        <v>2</v>
      </c>
      <c r="T794" s="127"/>
      <c r="U794" s="127"/>
      <c r="V794" s="127"/>
      <c r="W794" s="127"/>
      <c r="X794" s="127"/>
      <c r="Y794" s="127"/>
    </row>
    <row r="795" spans="1:25" s="6" customFormat="1" ht="15.75">
      <c r="A795" s="412">
        <v>47</v>
      </c>
      <c r="B795" s="404" t="s">
        <v>391</v>
      </c>
      <c r="C795" s="32">
        <v>149.19999999999999</v>
      </c>
      <c r="D795" s="330"/>
      <c r="E795" s="330"/>
      <c r="F795" s="32">
        <v>152.19999999999999</v>
      </c>
      <c r="G795" s="646">
        <f t="shared" si="119"/>
        <v>149.19999999999999</v>
      </c>
      <c r="H795" s="330">
        <v>0</v>
      </c>
      <c r="I795" s="330"/>
      <c r="J795" s="146"/>
      <c r="K795" s="146">
        <f t="shared" si="118"/>
        <v>0</v>
      </c>
      <c r="L795" s="191">
        <f t="shared" si="121"/>
        <v>0</v>
      </c>
      <c r="M795" s="177">
        <f t="shared" si="116"/>
        <v>0</v>
      </c>
      <c r="N795" s="148">
        <f t="shared" si="117"/>
        <v>0</v>
      </c>
      <c r="O795" s="427">
        <v>0</v>
      </c>
      <c r="P795" s="177">
        <f t="shared" ref="P795:P858" si="122">L795*49.88*1.08</f>
        <v>0</v>
      </c>
      <c r="Q795" s="177"/>
      <c r="R795" s="431">
        <f t="shared" si="120"/>
        <v>0</v>
      </c>
      <c r="S795" s="468">
        <v>2</v>
      </c>
      <c r="T795" s="127"/>
      <c r="U795" s="127"/>
      <c r="V795" s="127"/>
      <c r="W795" s="127"/>
      <c r="X795" s="127"/>
      <c r="Y795" s="127"/>
    </row>
    <row r="796" spans="1:25" s="6" customFormat="1" ht="15.75">
      <c r="A796" s="412">
        <v>48</v>
      </c>
      <c r="B796" s="404" t="s">
        <v>808</v>
      </c>
      <c r="C796" s="32">
        <v>613.9</v>
      </c>
      <c r="D796" s="330"/>
      <c r="E796" s="330">
        <v>71.099999999999994</v>
      </c>
      <c r="F796" s="32">
        <v>613.79999999999995</v>
      </c>
      <c r="G796" s="646">
        <f t="shared" si="119"/>
        <v>685</v>
      </c>
      <c r="H796" s="330"/>
      <c r="I796" s="330">
        <v>0</v>
      </c>
      <c r="J796" s="146"/>
      <c r="K796" s="146">
        <f t="shared" si="118"/>
        <v>0</v>
      </c>
      <c r="L796" s="191">
        <f t="shared" si="121"/>
        <v>0</v>
      </c>
      <c r="M796" s="177">
        <f t="shared" si="116"/>
        <v>0</v>
      </c>
      <c r="N796" s="148">
        <f t="shared" si="117"/>
        <v>0</v>
      </c>
      <c r="O796" s="427">
        <v>0</v>
      </c>
      <c r="P796" s="177">
        <f t="shared" si="122"/>
        <v>0</v>
      </c>
      <c r="Q796" s="177"/>
      <c r="R796" s="431">
        <f t="shared" si="120"/>
        <v>0</v>
      </c>
      <c r="S796" s="468">
        <v>3</v>
      </c>
      <c r="T796" s="127"/>
      <c r="U796" s="127"/>
      <c r="V796" s="127"/>
      <c r="W796" s="127"/>
      <c r="X796" s="127"/>
      <c r="Y796" s="127"/>
    </row>
    <row r="797" spans="1:25" s="6" customFormat="1" ht="15.75">
      <c r="A797" s="412">
        <v>49</v>
      </c>
      <c r="B797" s="404" t="s">
        <v>809</v>
      </c>
      <c r="C797" s="32">
        <v>451.16</v>
      </c>
      <c r="D797" s="330"/>
      <c r="E797" s="330">
        <v>29.4</v>
      </c>
      <c r="F797" s="32">
        <v>451.16</v>
      </c>
      <c r="G797" s="646">
        <f t="shared" si="119"/>
        <v>480.56</v>
      </c>
      <c r="H797" s="330">
        <v>80</v>
      </c>
      <c r="I797" s="330"/>
      <c r="J797" s="146">
        <v>80</v>
      </c>
      <c r="K797" s="146">
        <f t="shared" si="118"/>
        <v>80</v>
      </c>
      <c r="L797" s="191">
        <f t="shared" si="121"/>
        <v>9.5238095238095233E-2</v>
      </c>
      <c r="M797" s="177">
        <f t="shared" si="116"/>
        <v>192.09619047619046</v>
      </c>
      <c r="N797" s="148">
        <f t="shared" si="117"/>
        <v>70.63376923809524</v>
      </c>
      <c r="O797" s="427">
        <v>74.204761904761895</v>
      </c>
      <c r="P797" s="177">
        <f t="shared" si="122"/>
        <v>5.1305142857142858</v>
      </c>
      <c r="Q797" s="177"/>
      <c r="R797" s="431">
        <f t="shared" si="120"/>
        <v>0.7581905219983196</v>
      </c>
      <c r="S797" s="468">
        <v>3</v>
      </c>
      <c r="T797" s="127"/>
      <c r="U797" s="127"/>
      <c r="V797" s="127"/>
      <c r="W797" s="127"/>
      <c r="X797" s="127"/>
      <c r="Y797" s="127"/>
    </row>
    <row r="798" spans="1:25" s="6" customFormat="1" ht="15.75">
      <c r="A798" s="412">
        <v>50</v>
      </c>
      <c r="B798" s="404" t="s">
        <v>810</v>
      </c>
      <c r="C798" s="32">
        <v>514.09</v>
      </c>
      <c r="D798" s="330"/>
      <c r="E798" s="330"/>
      <c r="F798" s="32">
        <v>571.59</v>
      </c>
      <c r="G798" s="646">
        <f t="shared" si="119"/>
        <v>514.09</v>
      </c>
      <c r="H798" s="330"/>
      <c r="I798" s="330">
        <v>71</v>
      </c>
      <c r="J798" s="146">
        <v>71</v>
      </c>
      <c r="K798" s="146">
        <f t="shared" si="118"/>
        <v>71</v>
      </c>
      <c r="L798" s="191">
        <f t="shared" si="121"/>
        <v>9.391534391534391E-2</v>
      </c>
      <c r="M798" s="177">
        <f t="shared" si="116"/>
        <v>189.42818783068782</v>
      </c>
      <c r="N798" s="148">
        <f t="shared" si="117"/>
        <v>69.652744665343917</v>
      </c>
      <c r="O798" s="427">
        <v>73.174140211640207</v>
      </c>
      <c r="P798" s="177">
        <f t="shared" si="122"/>
        <v>5.0592571428571436</v>
      </c>
      <c r="Q798" s="177"/>
      <c r="R798" s="431">
        <f t="shared" si="120"/>
        <v>0.65613867192617836</v>
      </c>
      <c r="S798" s="468">
        <v>3</v>
      </c>
      <c r="T798" s="127"/>
      <c r="U798" s="127"/>
      <c r="V798" s="127"/>
      <c r="W798" s="127"/>
      <c r="X798" s="127"/>
      <c r="Y798" s="127"/>
    </row>
    <row r="799" spans="1:25" s="6" customFormat="1" ht="15.75">
      <c r="A799" s="412">
        <v>51</v>
      </c>
      <c r="B799" s="404" t="s">
        <v>811</v>
      </c>
      <c r="C799" s="32">
        <v>522.29999999999995</v>
      </c>
      <c r="D799" s="330"/>
      <c r="E799" s="330">
        <v>27.8</v>
      </c>
      <c r="F799" s="32">
        <v>522.01</v>
      </c>
      <c r="G799" s="646">
        <f t="shared" si="119"/>
        <v>550.09999999999991</v>
      </c>
      <c r="H799" s="330"/>
      <c r="I799" s="330">
        <v>40</v>
      </c>
      <c r="J799" s="146">
        <v>40</v>
      </c>
      <c r="K799" s="146">
        <f t="shared" si="118"/>
        <v>40</v>
      </c>
      <c r="L799" s="191">
        <f t="shared" si="121"/>
        <v>5.2910052910052907E-2</v>
      </c>
      <c r="M799" s="177">
        <f t="shared" si="116"/>
        <v>106.72010582010581</v>
      </c>
      <c r="N799" s="148">
        <f t="shared" si="117"/>
        <v>39.240982910052914</v>
      </c>
      <c r="O799" s="427">
        <v>28.857407407407404</v>
      </c>
      <c r="P799" s="177">
        <f t="shared" si="122"/>
        <v>2.8502857142857145</v>
      </c>
      <c r="Q799" s="177"/>
      <c r="R799" s="431">
        <f t="shared" si="120"/>
        <v>0.34016615326795302</v>
      </c>
      <c r="S799" s="468">
        <v>3</v>
      </c>
      <c r="T799" s="127"/>
      <c r="U799" s="127"/>
      <c r="V799" s="127"/>
      <c r="W799" s="127"/>
      <c r="X799" s="127"/>
      <c r="Y799" s="127"/>
    </row>
    <row r="800" spans="1:25" s="6" customFormat="1" ht="15.75">
      <c r="A800" s="412">
        <v>52</v>
      </c>
      <c r="B800" s="404" t="s">
        <v>812</v>
      </c>
      <c r="C800" s="32">
        <v>1211.25</v>
      </c>
      <c r="D800" s="330"/>
      <c r="E800" s="330"/>
      <c r="F800" s="32">
        <v>1211.25</v>
      </c>
      <c r="G800" s="646">
        <f t="shared" si="119"/>
        <v>1211.25</v>
      </c>
      <c r="H800" s="330"/>
      <c r="I800" s="330">
        <v>90</v>
      </c>
      <c r="J800" s="146">
        <v>90</v>
      </c>
      <c r="K800" s="146">
        <f t="shared" si="118"/>
        <v>90</v>
      </c>
      <c r="L800" s="191">
        <f t="shared" si="121"/>
        <v>0.11904761904761904</v>
      </c>
      <c r="M800" s="177">
        <f t="shared" si="116"/>
        <v>240.12023809523808</v>
      </c>
      <c r="N800" s="148">
        <f t="shared" si="117"/>
        <v>88.292211547619047</v>
      </c>
      <c r="O800" s="427">
        <v>55.653571428571425</v>
      </c>
      <c r="P800" s="177">
        <f t="shared" si="122"/>
        <v>6.4131428571428577</v>
      </c>
      <c r="Q800" s="177"/>
      <c r="R800" s="431">
        <f t="shared" si="120"/>
        <v>0.32237701872327879</v>
      </c>
      <c r="S800" s="468">
        <v>3</v>
      </c>
      <c r="T800" s="127"/>
      <c r="U800" s="127"/>
      <c r="V800" s="127"/>
      <c r="W800" s="127"/>
      <c r="X800" s="127"/>
      <c r="Y800" s="127"/>
    </row>
    <row r="801" spans="1:25" s="6" customFormat="1" ht="15.75">
      <c r="A801" s="412">
        <v>53</v>
      </c>
      <c r="B801" s="404" t="s">
        <v>813</v>
      </c>
      <c r="C801" s="32">
        <v>306.17</v>
      </c>
      <c r="D801" s="330"/>
      <c r="E801" s="330">
        <v>31.2</v>
      </c>
      <c r="F801" s="32">
        <v>306.17</v>
      </c>
      <c r="G801" s="646">
        <f t="shared" si="119"/>
        <v>337.37</v>
      </c>
      <c r="H801" s="330"/>
      <c r="I801" s="330">
        <v>34</v>
      </c>
      <c r="J801" s="146">
        <v>34</v>
      </c>
      <c r="K801" s="146">
        <f t="shared" si="118"/>
        <v>34</v>
      </c>
      <c r="L801" s="191">
        <f t="shared" si="121"/>
        <v>4.4973544973544971E-2</v>
      </c>
      <c r="M801" s="177">
        <f t="shared" si="116"/>
        <v>90.712089947089936</v>
      </c>
      <c r="N801" s="148">
        <f t="shared" si="117"/>
        <v>33.354835473544973</v>
      </c>
      <c r="O801" s="427">
        <v>35.041137566137564</v>
      </c>
      <c r="P801" s="177">
        <f t="shared" si="122"/>
        <v>2.4227428571428571</v>
      </c>
      <c r="Q801" s="177"/>
      <c r="R801" s="431">
        <f t="shared" si="120"/>
        <v>0.52758534749947839</v>
      </c>
      <c r="S801" s="468">
        <v>3</v>
      </c>
      <c r="T801" s="127"/>
      <c r="U801" s="127"/>
      <c r="V801" s="127"/>
      <c r="W801" s="127"/>
      <c r="X801" s="127"/>
      <c r="Y801" s="127"/>
    </row>
    <row r="802" spans="1:25" s="6" customFormat="1" ht="15.75">
      <c r="A802" s="412">
        <v>54</v>
      </c>
      <c r="B802" s="404" t="s">
        <v>814</v>
      </c>
      <c r="C802" s="32">
        <v>209.58</v>
      </c>
      <c r="D802" s="330"/>
      <c r="E802" s="330">
        <v>29.1</v>
      </c>
      <c r="F802" s="32">
        <v>209.58</v>
      </c>
      <c r="G802" s="646">
        <f t="shared" si="119"/>
        <v>238.68</v>
      </c>
      <c r="H802" s="56"/>
      <c r="I802" s="330">
        <v>31</v>
      </c>
      <c r="J802" s="146">
        <v>31</v>
      </c>
      <c r="K802" s="146">
        <f t="shared" si="118"/>
        <v>31</v>
      </c>
      <c r="L802" s="191">
        <f t="shared" si="121"/>
        <v>4.1005291005291003E-2</v>
      </c>
      <c r="M802" s="177">
        <f t="shared" si="116"/>
        <v>82.708082010582004</v>
      </c>
      <c r="N802" s="148">
        <f t="shared" si="117"/>
        <v>30.411761755291003</v>
      </c>
      <c r="O802" s="427">
        <v>31.949272486772482</v>
      </c>
      <c r="P802" s="177">
        <f t="shared" si="122"/>
        <v>2.2089714285714286</v>
      </c>
      <c r="Q802" s="177"/>
      <c r="R802" s="431">
        <f t="shared" si="120"/>
        <v>0.70272968642626643</v>
      </c>
      <c r="S802" s="468">
        <v>3</v>
      </c>
      <c r="T802" s="127"/>
      <c r="U802" s="127"/>
      <c r="V802" s="127"/>
      <c r="W802" s="127"/>
      <c r="X802" s="127"/>
      <c r="Y802" s="127"/>
    </row>
    <row r="803" spans="1:25" s="6" customFormat="1" ht="15.75">
      <c r="A803" s="412">
        <v>55</v>
      </c>
      <c r="B803" s="404" t="s">
        <v>815</v>
      </c>
      <c r="C803" s="32">
        <v>468.77</v>
      </c>
      <c r="D803" s="330"/>
      <c r="E803" s="330">
        <v>272.5</v>
      </c>
      <c r="F803" s="32">
        <v>468.77</v>
      </c>
      <c r="G803" s="646">
        <f t="shared" si="119"/>
        <v>741.27</v>
      </c>
      <c r="H803" s="330"/>
      <c r="I803" s="330">
        <v>0</v>
      </c>
      <c r="J803" s="146">
        <v>0</v>
      </c>
      <c r="K803" s="146">
        <f t="shared" si="118"/>
        <v>0</v>
      </c>
      <c r="L803" s="191">
        <f t="shared" si="121"/>
        <v>0</v>
      </c>
      <c r="M803" s="177">
        <f t="shared" si="116"/>
        <v>0</v>
      </c>
      <c r="N803" s="148">
        <f t="shared" si="117"/>
        <v>0</v>
      </c>
      <c r="O803" s="427">
        <v>0</v>
      </c>
      <c r="P803" s="177">
        <f t="shared" si="122"/>
        <v>0</v>
      </c>
      <c r="Q803" s="177"/>
      <c r="R803" s="431">
        <f t="shared" si="120"/>
        <v>0</v>
      </c>
      <c r="S803" s="468">
        <v>2</v>
      </c>
      <c r="T803" s="127"/>
      <c r="U803" s="127"/>
      <c r="V803" s="127"/>
      <c r="W803" s="127"/>
      <c r="X803" s="127"/>
      <c r="Y803" s="127"/>
    </row>
    <row r="804" spans="1:25" s="6" customFormat="1" ht="15.75">
      <c r="A804" s="412">
        <v>56</v>
      </c>
      <c r="B804" s="404" t="s">
        <v>816</v>
      </c>
      <c r="C804" s="32">
        <v>599.20000000000005</v>
      </c>
      <c r="D804" s="330"/>
      <c r="E804" s="330">
        <v>134.4</v>
      </c>
      <c r="F804" s="32">
        <v>635.4</v>
      </c>
      <c r="G804" s="646">
        <f t="shared" si="119"/>
        <v>733.6</v>
      </c>
      <c r="H804" s="330"/>
      <c r="I804" s="330">
        <v>60</v>
      </c>
      <c r="J804" s="146">
        <v>60</v>
      </c>
      <c r="K804" s="146">
        <f t="shared" si="118"/>
        <v>60</v>
      </c>
      <c r="L804" s="191">
        <f t="shared" si="121"/>
        <v>7.9365079365079361E-2</v>
      </c>
      <c r="M804" s="177">
        <f t="shared" si="116"/>
        <v>160.08015873015873</v>
      </c>
      <c r="N804" s="148">
        <f t="shared" si="117"/>
        <v>58.861474365079367</v>
      </c>
      <c r="O804" s="427">
        <v>61.837301587301582</v>
      </c>
      <c r="P804" s="177">
        <f t="shared" si="122"/>
        <v>4.2754285714285718</v>
      </c>
      <c r="Q804" s="177"/>
      <c r="R804" s="431">
        <f t="shared" si="120"/>
        <v>0.47572490529700973</v>
      </c>
      <c r="S804" s="468">
        <v>3</v>
      </c>
      <c r="T804" s="127"/>
      <c r="U804" s="127"/>
      <c r="V804" s="127"/>
      <c r="W804" s="127"/>
      <c r="X804" s="127"/>
      <c r="Y804" s="127"/>
    </row>
    <row r="805" spans="1:25" s="6" customFormat="1" ht="15.75">
      <c r="A805" s="412">
        <v>57</v>
      </c>
      <c r="B805" s="404" t="s">
        <v>817</v>
      </c>
      <c r="C805" s="32">
        <v>220.5</v>
      </c>
      <c r="D805" s="330"/>
      <c r="E805" s="330"/>
      <c r="F805" s="32">
        <v>220.5</v>
      </c>
      <c r="G805" s="646">
        <f t="shared" si="119"/>
        <v>220.5</v>
      </c>
      <c r="H805" s="330"/>
      <c r="I805" s="330">
        <v>25</v>
      </c>
      <c r="J805" s="146">
        <v>25</v>
      </c>
      <c r="K805" s="146">
        <f t="shared" si="118"/>
        <v>25</v>
      </c>
      <c r="L805" s="191">
        <f t="shared" si="121"/>
        <v>3.3068783068783067E-2</v>
      </c>
      <c r="M805" s="177">
        <f t="shared" si="116"/>
        <v>66.700066137566139</v>
      </c>
      <c r="N805" s="148">
        <f t="shared" si="117"/>
        <v>24.52561431878307</v>
      </c>
      <c r="O805" s="427">
        <v>25.765542328042326</v>
      </c>
      <c r="P805" s="177">
        <f t="shared" si="122"/>
        <v>1.7814285714285716</v>
      </c>
      <c r="Q805" s="177"/>
      <c r="R805" s="431">
        <f t="shared" si="120"/>
        <v>0.53865148007174657</v>
      </c>
      <c r="S805" s="468">
        <v>3</v>
      </c>
      <c r="T805" s="127"/>
      <c r="U805" s="127"/>
      <c r="V805" s="127"/>
      <c r="W805" s="127"/>
      <c r="X805" s="127"/>
      <c r="Y805" s="127"/>
    </row>
    <row r="806" spans="1:25" s="6" customFormat="1" ht="15.75">
      <c r="A806" s="412">
        <v>58</v>
      </c>
      <c r="B806" s="404" t="s">
        <v>818</v>
      </c>
      <c r="C806" s="32">
        <v>330.61</v>
      </c>
      <c r="D806" s="330"/>
      <c r="E806" s="330"/>
      <c r="F806" s="32">
        <v>330.61</v>
      </c>
      <c r="G806" s="646">
        <f t="shared" si="119"/>
        <v>330.61</v>
      </c>
      <c r="H806" s="330"/>
      <c r="I806" s="330">
        <v>19</v>
      </c>
      <c r="J806" s="146">
        <v>19</v>
      </c>
      <c r="K806" s="146">
        <f t="shared" si="118"/>
        <v>19</v>
      </c>
      <c r="L806" s="191">
        <f t="shared" si="121"/>
        <v>2.5132275132275131E-2</v>
      </c>
      <c r="M806" s="177">
        <f t="shared" si="116"/>
        <v>50.692050264550261</v>
      </c>
      <c r="N806" s="148">
        <f t="shared" si="117"/>
        <v>18.639466882275133</v>
      </c>
      <c r="O806" s="427">
        <v>19.581812169312169</v>
      </c>
      <c r="P806" s="177">
        <f t="shared" si="122"/>
        <v>1.3538857142857144</v>
      </c>
      <c r="Q806" s="177"/>
      <c r="R806" s="431">
        <f t="shared" si="120"/>
        <v>0.27303231913863246</v>
      </c>
      <c r="S806" s="468">
        <v>3</v>
      </c>
      <c r="T806" s="127"/>
      <c r="U806" s="127"/>
      <c r="V806" s="127"/>
      <c r="W806" s="127"/>
      <c r="X806" s="127"/>
      <c r="Y806" s="127"/>
    </row>
    <row r="807" spans="1:25" s="6" customFormat="1" ht="15.75">
      <c r="A807" s="412">
        <v>59</v>
      </c>
      <c r="B807" s="404" t="s">
        <v>819</v>
      </c>
      <c r="C807" s="32">
        <v>949</v>
      </c>
      <c r="D807" s="330"/>
      <c r="E807" s="330">
        <v>88.5</v>
      </c>
      <c r="F807" s="32">
        <v>949</v>
      </c>
      <c r="G807" s="646">
        <f t="shared" si="119"/>
        <v>1037.5</v>
      </c>
      <c r="H807" s="330"/>
      <c r="I807" s="330">
        <v>0</v>
      </c>
      <c r="J807" s="146">
        <v>0</v>
      </c>
      <c r="K807" s="146">
        <f t="shared" si="118"/>
        <v>0</v>
      </c>
      <c r="L807" s="191">
        <f t="shared" si="121"/>
        <v>0</v>
      </c>
      <c r="M807" s="177">
        <f t="shared" si="116"/>
        <v>0</v>
      </c>
      <c r="N807" s="148">
        <f t="shared" si="117"/>
        <v>0</v>
      </c>
      <c r="O807" s="427">
        <v>0</v>
      </c>
      <c r="P807" s="177">
        <f t="shared" si="122"/>
        <v>0</v>
      </c>
      <c r="Q807" s="177"/>
      <c r="R807" s="431">
        <f t="shared" si="120"/>
        <v>0</v>
      </c>
      <c r="S807" s="468">
        <v>2</v>
      </c>
      <c r="T807" s="127"/>
      <c r="U807" s="127"/>
      <c r="V807" s="127"/>
      <c r="W807" s="127"/>
      <c r="X807" s="127"/>
      <c r="Y807" s="127"/>
    </row>
    <row r="808" spans="1:25" s="6" customFormat="1" ht="15.75">
      <c r="A808" s="412">
        <v>60</v>
      </c>
      <c r="B808" s="404" t="s">
        <v>820</v>
      </c>
      <c r="C808" s="8">
        <v>211.8</v>
      </c>
      <c r="D808" s="330"/>
      <c r="E808" s="330">
        <v>18.3</v>
      </c>
      <c r="F808" s="32">
        <v>211.8</v>
      </c>
      <c r="G808" s="646">
        <f t="shared" si="119"/>
        <v>230.10000000000002</v>
      </c>
      <c r="H808" s="330"/>
      <c r="I808" s="330">
        <v>0</v>
      </c>
      <c r="J808" s="146">
        <v>0</v>
      </c>
      <c r="K808" s="146">
        <f t="shared" si="118"/>
        <v>0</v>
      </c>
      <c r="L808" s="191">
        <f t="shared" si="121"/>
        <v>0</v>
      </c>
      <c r="M808" s="177">
        <f t="shared" si="116"/>
        <v>0</v>
      </c>
      <c r="N808" s="148">
        <f t="shared" si="117"/>
        <v>0</v>
      </c>
      <c r="O808" s="427">
        <v>0</v>
      </c>
      <c r="P808" s="177">
        <f t="shared" si="122"/>
        <v>0</v>
      </c>
      <c r="Q808" s="177"/>
      <c r="R808" s="431">
        <f t="shared" si="120"/>
        <v>0</v>
      </c>
      <c r="S808" s="468">
        <v>2</v>
      </c>
      <c r="T808" s="127"/>
      <c r="U808" s="127"/>
      <c r="V808" s="127"/>
      <c r="W808" s="127"/>
      <c r="X808" s="127"/>
      <c r="Y808" s="127"/>
    </row>
    <row r="809" spans="1:25" s="6" customFormat="1" ht="15.75">
      <c r="A809" s="412">
        <v>61</v>
      </c>
      <c r="B809" s="404" t="s">
        <v>821</v>
      </c>
      <c r="C809" s="8">
        <v>1331.77</v>
      </c>
      <c r="D809" s="330"/>
      <c r="E809" s="330"/>
      <c r="F809" s="32">
        <v>1331.77</v>
      </c>
      <c r="G809" s="646">
        <f t="shared" si="119"/>
        <v>1331.77</v>
      </c>
      <c r="H809" s="330"/>
      <c r="I809" s="330">
        <v>0</v>
      </c>
      <c r="J809" s="146">
        <v>0</v>
      </c>
      <c r="K809" s="146">
        <f t="shared" si="118"/>
        <v>0</v>
      </c>
      <c r="L809" s="191">
        <f t="shared" si="121"/>
        <v>0</v>
      </c>
      <c r="M809" s="177">
        <f t="shared" si="116"/>
        <v>0</v>
      </c>
      <c r="N809" s="148">
        <f t="shared" si="117"/>
        <v>0</v>
      </c>
      <c r="O809" s="427">
        <v>0</v>
      </c>
      <c r="P809" s="177">
        <f t="shared" si="122"/>
        <v>0</v>
      </c>
      <c r="Q809" s="177"/>
      <c r="R809" s="431">
        <f t="shared" si="120"/>
        <v>0</v>
      </c>
      <c r="S809" s="468">
        <v>2</v>
      </c>
      <c r="T809" s="127"/>
      <c r="U809" s="127"/>
      <c r="V809" s="127"/>
      <c r="W809" s="127"/>
      <c r="X809" s="127"/>
      <c r="Y809" s="127"/>
    </row>
    <row r="810" spans="1:25" s="6" customFormat="1" ht="15.75">
      <c r="A810" s="412">
        <v>62</v>
      </c>
      <c r="B810" s="404" t="s">
        <v>822</v>
      </c>
      <c r="C810" s="8">
        <v>483.9</v>
      </c>
      <c r="D810" s="330"/>
      <c r="E810" s="330"/>
      <c r="F810" s="32">
        <v>473.3</v>
      </c>
      <c r="G810" s="646">
        <f t="shared" si="119"/>
        <v>483.9</v>
      </c>
      <c r="H810" s="330"/>
      <c r="I810" s="330">
        <v>57</v>
      </c>
      <c r="J810" s="146">
        <v>57</v>
      </c>
      <c r="K810" s="146">
        <f t="shared" si="118"/>
        <v>57</v>
      </c>
      <c r="L810" s="191">
        <f t="shared" si="121"/>
        <v>7.5396825396825393E-2</v>
      </c>
      <c r="M810" s="177">
        <f t="shared" si="116"/>
        <v>152.07615079365078</v>
      </c>
      <c r="N810" s="148">
        <f t="shared" si="117"/>
        <v>55.918400646825397</v>
      </c>
      <c r="O810" s="427">
        <v>58.745436507936503</v>
      </c>
      <c r="P810" s="177">
        <f t="shared" si="122"/>
        <v>4.0616571428571433</v>
      </c>
      <c r="Q810" s="177"/>
      <c r="R810" s="431">
        <f t="shared" si="120"/>
        <v>0.55962315579927646</v>
      </c>
      <c r="S810" s="468">
        <v>3</v>
      </c>
      <c r="T810" s="127"/>
      <c r="U810" s="127"/>
      <c r="V810" s="127"/>
      <c r="W810" s="127"/>
      <c r="X810" s="127"/>
      <c r="Y810" s="127"/>
    </row>
    <row r="811" spans="1:25" s="6" customFormat="1" ht="15.75">
      <c r="A811" s="412">
        <v>63</v>
      </c>
      <c r="B811" s="404" t="s">
        <v>823</v>
      </c>
      <c r="C811" s="8">
        <v>665.8</v>
      </c>
      <c r="D811" s="330"/>
      <c r="E811" s="330"/>
      <c r="F811" s="32">
        <v>663.4</v>
      </c>
      <c r="G811" s="646">
        <f t="shared" si="119"/>
        <v>665.8</v>
      </c>
      <c r="H811" s="330"/>
      <c r="I811" s="330">
        <v>0</v>
      </c>
      <c r="J811" s="146">
        <v>0</v>
      </c>
      <c r="K811" s="146">
        <f t="shared" si="118"/>
        <v>0</v>
      </c>
      <c r="L811" s="191">
        <f t="shared" si="121"/>
        <v>0</v>
      </c>
      <c r="M811" s="177">
        <f t="shared" si="116"/>
        <v>0</v>
      </c>
      <c r="N811" s="148">
        <f t="shared" si="117"/>
        <v>0</v>
      </c>
      <c r="O811" s="427">
        <v>0</v>
      </c>
      <c r="P811" s="177">
        <f t="shared" si="122"/>
        <v>0</v>
      </c>
      <c r="Q811" s="177"/>
      <c r="R811" s="431">
        <f t="shared" si="120"/>
        <v>0</v>
      </c>
      <c r="S811" s="468">
        <v>2</v>
      </c>
      <c r="T811" s="127"/>
      <c r="U811" s="127"/>
      <c r="V811" s="127"/>
      <c r="W811" s="127"/>
      <c r="X811" s="127"/>
      <c r="Y811" s="127"/>
    </row>
    <row r="812" spans="1:25" s="6" customFormat="1" ht="15.75">
      <c r="A812" s="412">
        <v>64</v>
      </c>
      <c r="B812" s="404" t="s">
        <v>824</v>
      </c>
      <c r="C812" s="8">
        <v>59.2</v>
      </c>
      <c r="D812" s="330"/>
      <c r="E812" s="330"/>
      <c r="F812" s="32">
        <v>59.2</v>
      </c>
      <c r="G812" s="646">
        <f t="shared" si="119"/>
        <v>59.2</v>
      </c>
      <c r="H812" s="330"/>
      <c r="I812" s="330"/>
      <c r="J812" s="146"/>
      <c r="K812" s="146">
        <f t="shared" si="118"/>
        <v>0</v>
      </c>
      <c r="L812" s="191">
        <f t="shared" si="121"/>
        <v>0</v>
      </c>
      <c r="M812" s="177">
        <f t="shared" si="116"/>
        <v>0</v>
      </c>
      <c r="N812" s="148">
        <f t="shared" ref="N812:N872" si="123">M812*0.3677</f>
        <v>0</v>
      </c>
      <c r="O812" s="427">
        <v>0</v>
      </c>
      <c r="P812" s="177">
        <f t="shared" si="122"/>
        <v>0</v>
      </c>
      <c r="Q812" s="177"/>
      <c r="R812" s="431">
        <f t="shared" si="120"/>
        <v>0</v>
      </c>
      <c r="S812" s="468">
        <v>1</v>
      </c>
      <c r="T812" s="127"/>
      <c r="U812" s="127"/>
      <c r="V812" s="127"/>
      <c r="W812" s="127"/>
      <c r="X812" s="127"/>
      <c r="Y812" s="127"/>
    </row>
    <row r="813" spans="1:25" s="6" customFormat="1" ht="15.75">
      <c r="A813" s="412">
        <v>65</v>
      </c>
      <c r="B813" s="404" t="s">
        <v>825</v>
      </c>
      <c r="C813" s="8">
        <v>363.78</v>
      </c>
      <c r="D813" s="330"/>
      <c r="E813" s="330">
        <v>58</v>
      </c>
      <c r="F813" s="32">
        <v>364.4</v>
      </c>
      <c r="G813" s="646">
        <f t="shared" si="119"/>
        <v>421.78</v>
      </c>
      <c r="H813" s="330"/>
      <c r="I813" s="330">
        <v>0</v>
      </c>
      <c r="J813" s="146">
        <v>0</v>
      </c>
      <c r="K813" s="146">
        <f t="shared" ref="K813:K875" si="124">H813+I813</f>
        <v>0</v>
      </c>
      <c r="L813" s="191">
        <f t="shared" si="121"/>
        <v>0</v>
      </c>
      <c r="M813" s="177">
        <f t="shared" ref="M813:M876" si="125">L813*2017.01</f>
        <v>0</v>
      </c>
      <c r="N813" s="148">
        <f t="shared" si="123"/>
        <v>0</v>
      </c>
      <c r="O813" s="427">
        <v>0</v>
      </c>
      <c r="P813" s="177">
        <f t="shared" si="122"/>
        <v>0</v>
      </c>
      <c r="Q813" s="177"/>
      <c r="R813" s="431">
        <f t="shared" si="120"/>
        <v>0</v>
      </c>
      <c r="S813" s="468">
        <v>3</v>
      </c>
      <c r="T813" s="127"/>
      <c r="U813" s="127"/>
      <c r="V813" s="127"/>
      <c r="W813" s="127"/>
      <c r="X813" s="127"/>
      <c r="Y813" s="127"/>
    </row>
    <row r="814" spans="1:25" s="6" customFormat="1" ht="15.75">
      <c r="A814" s="412">
        <v>66</v>
      </c>
      <c r="B814" s="404" t="s">
        <v>826</v>
      </c>
      <c r="C814" s="8">
        <v>185.8</v>
      </c>
      <c r="D814" s="330"/>
      <c r="E814" s="330">
        <v>26.8</v>
      </c>
      <c r="F814" s="32">
        <v>185.8</v>
      </c>
      <c r="G814" s="646">
        <f t="shared" si="119"/>
        <v>212.60000000000002</v>
      </c>
      <c r="H814" s="330"/>
      <c r="I814" s="330">
        <v>0</v>
      </c>
      <c r="J814" s="146">
        <v>0</v>
      </c>
      <c r="K814" s="146">
        <f t="shared" si="124"/>
        <v>0</v>
      </c>
      <c r="L814" s="191">
        <f t="shared" si="121"/>
        <v>0</v>
      </c>
      <c r="M814" s="177">
        <f t="shared" si="125"/>
        <v>0</v>
      </c>
      <c r="N814" s="148">
        <f t="shared" si="123"/>
        <v>0</v>
      </c>
      <c r="O814" s="427">
        <v>0</v>
      </c>
      <c r="P814" s="177">
        <f t="shared" si="122"/>
        <v>0</v>
      </c>
      <c r="Q814" s="177"/>
      <c r="R814" s="431">
        <f t="shared" si="120"/>
        <v>0</v>
      </c>
      <c r="S814" s="468">
        <v>2</v>
      </c>
      <c r="T814" s="127"/>
      <c r="U814" s="127"/>
      <c r="V814" s="127"/>
      <c r="W814" s="127"/>
      <c r="X814" s="127"/>
      <c r="Y814" s="127"/>
    </row>
    <row r="815" spans="1:25" s="6" customFormat="1" ht="15.75">
      <c r="A815" s="412">
        <v>67</v>
      </c>
      <c r="B815" s="404" t="s">
        <v>827</v>
      </c>
      <c r="C815" s="8">
        <v>205.2</v>
      </c>
      <c r="D815" s="330"/>
      <c r="E815" s="56"/>
      <c r="F815" s="32">
        <v>205.2</v>
      </c>
      <c r="G815" s="646">
        <f t="shared" si="119"/>
        <v>205.2</v>
      </c>
      <c r="H815" s="330"/>
      <c r="I815" s="330">
        <v>0</v>
      </c>
      <c r="J815" s="146">
        <v>0</v>
      </c>
      <c r="K815" s="146">
        <f t="shared" si="124"/>
        <v>0</v>
      </c>
      <c r="L815" s="191">
        <f t="shared" si="121"/>
        <v>0</v>
      </c>
      <c r="M815" s="177">
        <f t="shared" si="125"/>
        <v>0</v>
      </c>
      <c r="N815" s="148">
        <f t="shared" si="123"/>
        <v>0</v>
      </c>
      <c r="O815" s="427">
        <v>0</v>
      </c>
      <c r="P815" s="177">
        <f t="shared" si="122"/>
        <v>0</v>
      </c>
      <c r="Q815" s="177"/>
      <c r="R815" s="431">
        <f t="shared" si="120"/>
        <v>0</v>
      </c>
      <c r="S815" s="468">
        <v>2</v>
      </c>
      <c r="T815" s="127"/>
      <c r="U815" s="127"/>
      <c r="V815" s="127"/>
      <c r="W815" s="127"/>
      <c r="X815" s="127"/>
      <c r="Y815" s="127"/>
    </row>
    <row r="816" spans="1:25" s="6" customFormat="1" ht="15.75">
      <c r="A816" s="412">
        <v>68</v>
      </c>
      <c r="B816" s="404" t="s">
        <v>828</v>
      </c>
      <c r="C816" s="8">
        <v>177.45</v>
      </c>
      <c r="D816" s="330"/>
      <c r="E816" s="330"/>
      <c r="F816" s="32">
        <v>175.35</v>
      </c>
      <c r="G816" s="646">
        <f t="shared" si="119"/>
        <v>177.45</v>
      </c>
      <c r="H816" s="330"/>
      <c r="I816" s="330">
        <v>0</v>
      </c>
      <c r="J816" s="146">
        <v>0</v>
      </c>
      <c r="K816" s="146">
        <f t="shared" si="124"/>
        <v>0</v>
      </c>
      <c r="L816" s="191">
        <f t="shared" si="121"/>
        <v>0</v>
      </c>
      <c r="M816" s="177">
        <f t="shared" si="125"/>
        <v>0</v>
      </c>
      <c r="N816" s="148">
        <f t="shared" si="123"/>
        <v>0</v>
      </c>
      <c r="O816" s="427">
        <v>0</v>
      </c>
      <c r="P816" s="177">
        <f t="shared" si="122"/>
        <v>0</v>
      </c>
      <c r="Q816" s="177"/>
      <c r="R816" s="431">
        <f t="shared" si="120"/>
        <v>0</v>
      </c>
      <c r="S816" s="468">
        <v>2</v>
      </c>
      <c r="T816" s="127"/>
      <c r="U816" s="127"/>
      <c r="V816" s="127"/>
      <c r="W816" s="127"/>
      <c r="X816" s="127"/>
      <c r="Y816" s="127"/>
    </row>
    <row r="817" spans="1:25" s="6" customFormat="1" ht="15.75">
      <c r="A817" s="412">
        <v>69</v>
      </c>
      <c r="B817" s="404" t="s">
        <v>829</v>
      </c>
      <c r="C817" s="8">
        <v>200</v>
      </c>
      <c r="D817" s="330"/>
      <c r="E817" s="330"/>
      <c r="F817" s="32">
        <v>175.7</v>
      </c>
      <c r="G817" s="646">
        <f t="shared" si="119"/>
        <v>200</v>
      </c>
      <c r="H817" s="330"/>
      <c r="I817" s="330">
        <v>0</v>
      </c>
      <c r="J817" s="146">
        <v>0</v>
      </c>
      <c r="K817" s="146">
        <f t="shared" si="124"/>
        <v>0</v>
      </c>
      <c r="L817" s="191">
        <f t="shared" si="121"/>
        <v>0</v>
      </c>
      <c r="M817" s="177">
        <f t="shared" si="125"/>
        <v>0</v>
      </c>
      <c r="N817" s="148">
        <f t="shared" si="123"/>
        <v>0</v>
      </c>
      <c r="O817" s="427">
        <v>0</v>
      </c>
      <c r="P817" s="177">
        <f t="shared" si="122"/>
        <v>0</v>
      </c>
      <c r="Q817" s="177"/>
      <c r="R817" s="431">
        <f t="shared" si="120"/>
        <v>0</v>
      </c>
      <c r="S817" s="468">
        <v>2</v>
      </c>
      <c r="T817" s="127"/>
      <c r="U817" s="127"/>
      <c r="V817" s="127"/>
      <c r="W817" s="127"/>
      <c r="X817" s="127"/>
      <c r="Y817" s="127"/>
    </row>
    <row r="818" spans="1:25" s="6" customFormat="1" ht="15.75">
      <c r="A818" s="412">
        <v>70</v>
      </c>
      <c r="B818" s="404" t="s">
        <v>830</v>
      </c>
      <c r="C818" s="8">
        <v>401.38</v>
      </c>
      <c r="D818" s="330"/>
      <c r="E818" s="330">
        <v>140.80000000000001</v>
      </c>
      <c r="F818" s="32">
        <v>375.46</v>
      </c>
      <c r="G818" s="646">
        <f t="shared" si="119"/>
        <v>542.18000000000006</v>
      </c>
      <c r="H818" s="330"/>
      <c r="I818" s="330">
        <v>15</v>
      </c>
      <c r="J818" s="146">
        <v>15</v>
      </c>
      <c r="K818" s="146">
        <f t="shared" si="124"/>
        <v>15</v>
      </c>
      <c r="L818" s="191">
        <f t="shared" si="121"/>
        <v>1.984126984126984E-2</v>
      </c>
      <c r="M818" s="177">
        <f t="shared" si="125"/>
        <v>40.020039682539682</v>
      </c>
      <c r="N818" s="148">
        <f t="shared" si="123"/>
        <v>14.715368591269842</v>
      </c>
      <c r="O818" s="427">
        <v>12.367460317460317</v>
      </c>
      <c r="P818" s="177">
        <f t="shared" si="122"/>
        <v>1.068857142857143</v>
      </c>
      <c r="Q818" s="177"/>
      <c r="R818" s="431">
        <f t="shared" si="120"/>
        <v>0.16984335476139065</v>
      </c>
      <c r="S818" s="468">
        <v>3</v>
      </c>
      <c r="T818" s="127"/>
      <c r="U818" s="127"/>
      <c r="V818" s="127"/>
      <c r="W818" s="127"/>
      <c r="X818" s="127"/>
      <c r="Y818" s="127"/>
    </row>
    <row r="819" spans="1:25" s="6" customFormat="1" ht="15.75">
      <c r="A819" s="412">
        <v>71</v>
      </c>
      <c r="B819" s="404" t="s">
        <v>831</v>
      </c>
      <c r="C819" s="8">
        <v>204.3</v>
      </c>
      <c r="D819" s="330"/>
      <c r="E819" s="330"/>
      <c r="F819" s="32">
        <v>204.3</v>
      </c>
      <c r="G819" s="646">
        <f t="shared" si="119"/>
        <v>204.3</v>
      </c>
      <c r="H819" s="330"/>
      <c r="I819" s="330">
        <v>0</v>
      </c>
      <c r="J819" s="146">
        <v>0</v>
      </c>
      <c r="K819" s="146">
        <f t="shared" si="124"/>
        <v>0</v>
      </c>
      <c r="L819" s="191">
        <f t="shared" si="121"/>
        <v>0</v>
      </c>
      <c r="M819" s="177">
        <f t="shared" si="125"/>
        <v>0</v>
      </c>
      <c r="N819" s="148">
        <f t="shared" si="123"/>
        <v>0</v>
      </c>
      <c r="O819" s="427">
        <v>0</v>
      </c>
      <c r="P819" s="177">
        <f t="shared" si="122"/>
        <v>0</v>
      </c>
      <c r="Q819" s="177"/>
      <c r="R819" s="431">
        <f t="shared" si="120"/>
        <v>0</v>
      </c>
      <c r="S819" s="468">
        <v>2</v>
      </c>
      <c r="T819" s="127"/>
      <c r="U819" s="127"/>
      <c r="V819" s="127"/>
      <c r="W819" s="127"/>
      <c r="X819" s="127"/>
      <c r="Y819" s="127"/>
    </row>
    <row r="820" spans="1:25" s="6" customFormat="1" ht="15.75">
      <c r="A820" s="412">
        <v>72</v>
      </c>
      <c r="B820" s="404" t="s">
        <v>832</v>
      </c>
      <c r="C820" s="8">
        <v>306.39999999999998</v>
      </c>
      <c r="D820" s="330"/>
      <c r="E820" s="330"/>
      <c r="F820" s="32">
        <v>298.86</v>
      </c>
      <c r="G820" s="646">
        <f t="shared" si="119"/>
        <v>306.39999999999998</v>
      </c>
      <c r="H820" s="330"/>
      <c r="I820" s="330">
        <v>0</v>
      </c>
      <c r="J820" s="146">
        <v>0</v>
      </c>
      <c r="K820" s="146">
        <f t="shared" si="124"/>
        <v>0</v>
      </c>
      <c r="L820" s="191">
        <f t="shared" si="121"/>
        <v>0</v>
      </c>
      <c r="M820" s="177">
        <f t="shared" si="125"/>
        <v>0</v>
      </c>
      <c r="N820" s="148">
        <f t="shared" si="123"/>
        <v>0</v>
      </c>
      <c r="O820" s="427">
        <v>0</v>
      </c>
      <c r="P820" s="177">
        <f t="shared" si="122"/>
        <v>0</v>
      </c>
      <c r="Q820" s="177"/>
      <c r="R820" s="431">
        <f t="shared" si="120"/>
        <v>0</v>
      </c>
      <c r="S820" s="468">
        <v>2</v>
      </c>
      <c r="T820" s="127"/>
      <c r="U820" s="127"/>
      <c r="V820" s="127"/>
      <c r="W820" s="127"/>
      <c r="X820" s="127"/>
      <c r="Y820" s="127"/>
    </row>
    <row r="821" spans="1:25" s="6" customFormat="1" ht="15.75">
      <c r="A821" s="412">
        <v>73</v>
      </c>
      <c r="B821" s="404" t="s">
        <v>878</v>
      </c>
      <c r="C821" s="8">
        <v>301.42</v>
      </c>
      <c r="D821" s="330"/>
      <c r="E821" s="330"/>
      <c r="F821" s="32">
        <v>296.77999999999997</v>
      </c>
      <c r="G821" s="646">
        <f t="shared" si="119"/>
        <v>301.42</v>
      </c>
      <c r="H821" s="330"/>
      <c r="I821" s="330">
        <v>60</v>
      </c>
      <c r="J821" s="146">
        <v>60</v>
      </c>
      <c r="K821" s="146">
        <f t="shared" si="124"/>
        <v>60</v>
      </c>
      <c r="L821" s="191">
        <f t="shared" si="121"/>
        <v>7.9365079365079361E-2</v>
      </c>
      <c r="M821" s="177">
        <f t="shared" si="125"/>
        <v>160.08015873015873</v>
      </c>
      <c r="N821" s="148">
        <f t="shared" si="123"/>
        <v>58.861474365079367</v>
      </c>
      <c r="O821" s="427">
        <v>43.286111111111104</v>
      </c>
      <c r="P821" s="177">
        <f t="shared" si="122"/>
        <v>4.2754285714285718</v>
      </c>
      <c r="Q821" s="177"/>
      <c r="R821" s="431">
        <f t="shared" si="120"/>
        <v>0.88415889051084118</v>
      </c>
      <c r="S821" s="468">
        <v>3</v>
      </c>
      <c r="T821" s="127"/>
      <c r="U821" s="127"/>
      <c r="V821" s="127"/>
      <c r="W821" s="127"/>
      <c r="X821" s="127"/>
      <c r="Y821" s="127"/>
    </row>
    <row r="822" spans="1:25" s="6" customFormat="1" ht="15.75">
      <c r="A822" s="412">
        <v>74</v>
      </c>
      <c r="B822" s="404" t="s">
        <v>879</v>
      </c>
      <c r="C822" s="8">
        <v>394.72</v>
      </c>
      <c r="D822" s="330"/>
      <c r="E822" s="330"/>
      <c r="F822" s="32">
        <v>394.72</v>
      </c>
      <c r="G822" s="646">
        <f t="shared" si="119"/>
        <v>394.72</v>
      </c>
      <c r="H822" s="330"/>
      <c r="I822" s="330">
        <v>50</v>
      </c>
      <c r="J822" s="146">
        <v>50</v>
      </c>
      <c r="K822" s="146">
        <f t="shared" si="124"/>
        <v>50</v>
      </c>
      <c r="L822" s="191">
        <f t="shared" si="121"/>
        <v>6.6137566137566134E-2</v>
      </c>
      <c r="M822" s="177">
        <f t="shared" si="125"/>
        <v>133.40013227513228</v>
      </c>
      <c r="N822" s="148">
        <f t="shared" si="123"/>
        <v>49.05122863756614</v>
      </c>
      <c r="O822" s="427">
        <v>51.531084656084651</v>
      </c>
      <c r="P822" s="177">
        <f t="shared" si="122"/>
        <v>3.5628571428571432</v>
      </c>
      <c r="Q822" s="177"/>
      <c r="R822" s="431">
        <f t="shared" si="120"/>
        <v>0.60180711063954251</v>
      </c>
      <c r="S822" s="468">
        <v>3</v>
      </c>
      <c r="T822" s="127"/>
      <c r="U822" s="127"/>
      <c r="V822" s="127"/>
      <c r="W822" s="127"/>
      <c r="X822" s="127"/>
      <c r="Y822" s="127"/>
    </row>
    <row r="823" spans="1:25" s="6" customFormat="1" ht="15.75">
      <c r="A823" s="412">
        <v>75</v>
      </c>
      <c r="B823" s="404" t="s">
        <v>880</v>
      </c>
      <c r="C823" s="8">
        <v>680.89</v>
      </c>
      <c r="D823" s="330"/>
      <c r="E823" s="330"/>
      <c r="F823" s="32">
        <v>679.19</v>
      </c>
      <c r="G823" s="646">
        <f t="shared" si="119"/>
        <v>680.89</v>
      </c>
      <c r="H823" s="330"/>
      <c r="I823" s="330">
        <v>80</v>
      </c>
      <c r="J823" s="146">
        <v>80</v>
      </c>
      <c r="K823" s="146">
        <f t="shared" si="124"/>
        <v>80</v>
      </c>
      <c r="L823" s="191">
        <f t="shared" si="121"/>
        <v>0.10582010582010581</v>
      </c>
      <c r="M823" s="177">
        <f t="shared" si="125"/>
        <v>213.44021164021163</v>
      </c>
      <c r="N823" s="148">
        <f t="shared" si="123"/>
        <v>78.481965820105827</v>
      </c>
      <c r="O823" s="427">
        <v>82.449735449735442</v>
      </c>
      <c r="P823" s="177">
        <f t="shared" si="122"/>
        <v>5.7005714285714291</v>
      </c>
      <c r="Q823" s="177"/>
      <c r="R823" s="431">
        <f t="shared" si="120"/>
        <v>0.5581995393361987</v>
      </c>
      <c r="S823" s="468">
        <v>3</v>
      </c>
      <c r="T823" s="127"/>
      <c r="U823" s="127"/>
      <c r="V823" s="127"/>
      <c r="W823" s="127"/>
      <c r="X823" s="127"/>
      <c r="Y823" s="127"/>
    </row>
    <row r="824" spans="1:25" s="6" customFormat="1" ht="15.75">
      <c r="A824" s="412">
        <v>76</v>
      </c>
      <c r="B824" s="404" t="s">
        <v>881</v>
      </c>
      <c r="C824" s="8">
        <v>581.98</v>
      </c>
      <c r="D824" s="330"/>
      <c r="E824" s="330"/>
      <c r="F824" s="32">
        <v>581.98</v>
      </c>
      <c r="G824" s="646">
        <f t="shared" si="119"/>
        <v>581.98</v>
      </c>
      <c r="H824" s="330"/>
      <c r="I824" s="330">
        <v>55</v>
      </c>
      <c r="J824" s="146">
        <v>55</v>
      </c>
      <c r="K824" s="146">
        <f t="shared" si="124"/>
        <v>55</v>
      </c>
      <c r="L824" s="191">
        <f t="shared" si="121"/>
        <v>7.2751322751322747E-2</v>
      </c>
      <c r="M824" s="177">
        <f t="shared" si="125"/>
        <v>146.7401455026455</v>
      </c>
      <c r="N824" s="148">
        <f t="shared" si="123"/>
        <v>53.956351501322757</v>
      </c>
      <c r="O824" s="427">
        <v>56.68419312169312</v>
      </c>
      <c r="P824" s="177">
        <f t="shared" si="122"/>
        <v>3.9191428571428575</v>
      </c>
      <c r="Q824" s="177"/>
      <c r="R824" s="431">
        <f t="shared" si="120"/>
        <v>0.44898421420461909</v>
      </c>
      <c r="S824" s="468">
        <v>3</v>
      </c>
      <c r="T824" s="127"/>
      <c r="U824" s="127"/>
      <c r="V824" s="127"/>
      <c r="W824" s="127"/>
      <c r="X824" s="127"/>
      <c r="Y824" s="127"/>
    </row>
    <row r="825" spans="1:25" s="6" customFormat="1" ht="15.75">
      <c r="A825" s="412">
        <v>77</v>
      </c>
      <c r="B825" s="404" t="s">
        <v>882</v>
      </c>
      <c r="C825" s="8">
        <v>260.39999999999998</v>
      </c>
      <c r="D825" s="330"/>
      <c r="E825" s="330"/>
      <c r="F825" s="32">
        <v>260.39999999999998</v>
      </c>
      <c r="G825" s="646">
        <f t="shared" ref="G825:G889" si="126">C825+D825+E825</f>
        <v>260.39999999999998</v>
      </c>
      <c r="H825" s="330"/>
      <c r="I825" s="330">
        <v>20</v>
      </c>
      <c r="J825" s="146">
        <v>20</v>
      </c>
      <c r="K825" s="146">
        <f t="shared" si="124"/>
        <v>20</v>
      </c>
      <c r="L825" s="191">
        <f t="shared" si="121"/>
        <v>2.6455026455026454E-2</v>
      </c>
      <c r="M825" s="177">
        <f t="shared" si="125"/>
        <v>53.360052910052907</v>
      </c>
      <c r="N825" s="148">
        <f t="shared" si="123"/>
        <v>19.620491455026457</v>
      </c>
      <c r="O825" s="427">
        <v>4.5347354497354493</v>
      </c>
      <c r="P825" s="177">
        <f t="shared" si="122"/>
        <v>1.4251428571428573</v>
      </c>
      <c r="Q825" s="177"/>
      <c r="R825" s="431">
        <f t="shared" si="120"/>
        <v>0.3031506247002983</v>
      </c>
      <c r="S825" s="468">
        <v>3</v>
      </c>
      <c r="T825" s="127"/>
      <c r="U825" s="127"/>
      <c r="V825" s="127"/>
      <c r="W825" s="127"/>
      <c r="X825" s="127"/>
      <c r="Y825" s="127"/>
    </row>
    <row r="826" spans="1:25" s="6" customFormat="1" ht="15.75">
      <c r="A826" s="412">
        <v>78</v>
      </c>
      <c r="B826" s="404" t="s">
        <v>883</v>
      </c>
      <c r="C826" s="8">
        <v>135.71</v>
      </c>
      <c r="D826" s="330"/>
      <c r="E826" s="330"/>
      <c r="F826" s="32">
        <v>135.71</v>
      </c>
      <c r="G826" s="646">
        <f t="shared" si="126"/>
        <v>135.71</v>
      </c>
      <c r="H826" s="330"/>
      <c r="I826" s="330">
        <v>0</v>
      </c>
      <c r="J826" s="146">
        <v>0</v>
      </c>
      <c r="K826" s="146">
        <f t="shared" si="124"/>
        <v>0</v>
      </c>
      <c r="L826" s="191">
        <f t="shared" si="121"/>
        <v>0</v>
      </c>
      <c r="M826" s="177">
        <f t="shared" si="125"/>
        <v>0</v>
      </c>
      <c r="N826" s="148">
        <f t="shared" si="123"/>
        <v>0</v>
      </c>
      <c r="O826" s="427">
        <v>0</v>
      </c>
      <c r="P826" s="177">
        <f t="shared" si="122"/>
        <v>0</v>
      </c>
      <c r="Q826" s="177"/>
      <c r="R826" s="431">
        <f t="shared" si="120"/>
        <v>0</v>
      </c>
      <c r="S826" s="468">
        <v>2</v>
      </c>
      <c r="T826" s="127"/>
      <c r="U826" s="127"/>
      <c r="V826" s="127"/>
      <c r="W826" s="127"/>
      <c r="X826" s="127"/>
      <c r="Y826" s="127"/>
    </row>
    <row r="827" spans="1:25" s="6" customFormat="1" ht="15.75">
      <c r="A827" s="412">
        <v>79</v>
      </c>
      <c r="B827" s="404" t="s">
        <v>884</v>
      </c>
      <c r="C827" s="8">
        <v>201.8</v>
      </c>
      <c r="D827" s="330"/>
      <c r="E827" s="330"/>
      <c r="F827" s="32">
        <v>185.1</v>
      </c>
      <c r="G827" s="646">
        <f t="shared" si="126"/>
        <v>201.8</v>
      </c>
      <c r="H827" s="330"/>
      <c r="I827" s="330">
        <v>0</v>
      </c>
      <c r="J827" s="146">
        <v>0</v>
      </c>
      <c r="K827" s="146">
        <f t="shared" si="124"/>
        <v>0</v>
      </c>
      <c r="L827" s="191">
        <f t="shared" si="121"/>
        <v>0</v>
      </c>
      <c r="M827" s="177">
        <f t="shared" si="125"/>
        <v>0</v>
      </c>
      <c r="N827" s="148">
        <f t="shared" si="123"/>
        <v>0</v>
      </c>
      <c r="O827" s="427">
        <v>0</v>
      </c>
      <c r="P827" s="177">
        <f t="shared" si="122"/>
        <v>0</v>
      </c>
      <c r="Q827" s="177"/>
      <c r="R827" s="431">
        <f t="shared" si="120"/>
        <v>0</v>
      </c>
      <c r="S827" s="468">
        <v>2</v>
      </c>
      <c r="T827" s="127"/>
      <c r="U827" s="127"/>
      <c r="V827" s="127"/>
      <c r="W827" s="127"/>
      <c r="X827" s="127"/>
      <c r="Y827" s="127"/>
    </row>
    <row r="828" spans="1:25" s="6" customFormat="1" ht="15.75">
      <c r="A828" s="412">
        <v>80</v>
      </c>
      <c r="B828" s="404" t="s">
        <v>885</v>
      </c>
      <c r="C828" s="8">
        <v>1437.1</v>
      </c>
      <c r="D828" s="330"/>
      <c r="E828" s="330"/>
      <c r="F828" s="32">
        <v>1436.9</v>
      </c>
      <c r="G828" s="646">
        <f t="shared" si="126"/>
        <v>1437.1</v>
      </c>
      <c r="H828" s="330">
        <v>93</v>
      </c>
      <c r="I828" s="330"/>
      <c r="J828" s="146">
        <v>93</v>
      </c>
      <c r="K828" s="146">
        <f t="shared" si="124"/>
        <v>93</v>
      </c>
      <c r="L828" s="191">
        <f t="shared" si="121"/>
        <v>0.11071428571428571</v>
      </c>
      <c r="M828" s="177">
        <f t="shared" si="125"/>
        <v>223.31182142857142</v>
      </c>
      <c r="N828" s="148">
        <f t="shared" si="123"/>
        <v>82.111756739285724</v>
      </c>
      <c r="O828" s="427">
        <v>86.263035714285706</v>
      </c>
      <c r="P828" s="177">
        <f t="shared" si="122"/>
        <v>5.9642228571428575</v>
      </c>
      <c r="Q828" s="177"/>
      <c r="R828" s="431">
        <f t="shared" si="120"/>
        <v>0.27670366483841469</v>
      </c>
      <c r="S828" s="468">
        <v>4</v>
      </c>
      <c r="T828" s="127"/>
      <c r="U828" s="127"/>
      <c r="V828" s="127"/>
      <c r="W828" s="127"/>
      <c r="X828" s="127"/>
      <c r="Y828" s="127"/>
    </row>
    <row r="829" spans="1:25" s="6" customFormat="1" ht="15.75">
      <c r="A829" s="412">
        <v>81</v>
      </c>
      <c r="B829" s="404" t="s">
        <v>886</v>
      </c>
      <c r="C829" s="8">
        <v>197.86</v>
      </c>
      <c r="D829" s="330"/>
      <c r="E829" s="330">
        <v>16</v>
      </c>
      <c r="F829" s="32">
        <v>197.86</v>
      </c>
      <c r="G829" s="646">
        <f t="shared" si="126"/>
        <v>213.86</v>
      </c>
      <c r="H829" s="330"/>
      <c r="I829" s="330">
        <v>0</v>
      </c>
      <c r="J829" s="146">
        <v>0</v>
      </c>
      <c r="K829" s="146">
        <f t="shared" si="124"/>
        <v>0</v>
      </c>
      <c r="L829" s="191">
        <f t="shared" si="121"/>
        <v>0</v>
      </c>
      <c r="M829" s="177">
        <f t="shared" si="125"/>
        <v>0</v>
      </c>
      <c r="N829" s="148">
        <f t="shared" si="123"/>
        <v>0</v>
      </c>
      <c r="O829" s="427">
        <v>0</v>
      </c>
      <c r="P829" s="177">
        <f t="shared" si="122"/>
        <v>0</v>
      </c>
      <c r="Q829" s="177"/>
      <c r="R829" s="431">
        <f t="shared" si="120"/>
        <v>0</v>
      </c>
      <c r="S829" s="468">
        <v>2</v>
      </c>
      <c r="T829" s="127"/>
      <c r="U829" s="127"/>
      <c r="V829" s="127"/>
      <c r="W829" s="127"/>
      <c r="X829" s="127"/>
      <c r="Y829" s="127"/>
    </row>
    <row r="830" spans="1:25" s="6" customFormat="1" ht="15.75">
      <c r="A830" s="412">
        <v>82</v>
      </c>
      <c r="B830" s="404" t="s">
        <v>887</v>
      </c>
      <c r="C830" s="8">
        <v>397.89</v>
      </c>
      <c r="D830" s="330"/>
      <c r="E830" s="330"/>
      <c r="F830" s="32">
        <v>397.89</v>
      </c>
      <c r="G830" s="646">
        <f t="shared" si="126"/>
        <v>397.89</v>
      </c>
      <c r="H830" s="330"/>
      <c r="I830" s="330">
        <v>32</v>
      </c>
      <c r="J830" s="146">
        <v>32</v>
      </c>
      <c r="K830" s="146">
        <f t="shared" si="124"/>
        <v>32</v>
      </c>
      <c r="L830" s="191">
        <f t="shared" si="121"/>
        <v>4.2328042328042326E-2</v>
      </c>
      <c r="M830" s="177">
        <f t="shared" si="125"/>
        <v>85.376084656084657</v>
      </c>
      <c r="N830" s="148">
        <f t="shared" si="123"/>
        <v>31.39278632804233</v>
      </c>
      <c r="O830" s="427">
        <v>32.979894179894174</v>
      </c>
      <c r="P830" s="177">
        <f t="shared" si="122"/>
        <v>2.2802285714285717</v>
      </c>
      <c r="Q830" s="177"/>
      <c r="R830" s="431">
        <f t="shared" si="120"/>
        <v>0.38208799853087472</v>
      </c>
      <c r="S830" s="468">
        <v>3</v>
      </c>
      <c r="T830" s="127"/>
      <c r="U830" s="127"/>
      <c r="V830" s="127"/>
      <c r="W830" s="127"/>
      <c r="X830" s="127"/>
      <c r="Y830" s="127"/>
    </row>
    <row r="831" spans="1:25" s="6" customFormat="1" ht="15.75">
      <c r="A831" s="412">
        <v>83</v>
      </c>
      <c r="B831" s="404" t="s">
        <v>888</v>
      </c>
      <c r="C831" s="8">
        <v>352.17</v>
      </c>
      <c r="D831" s="330"/>
      <c r="E831" s="330"/>
      <c r="F831" s="32">
        <v>352.17</v>
      </c>
      <c r="G831" s="646">
        <f t="shared" si="126"/>
        <v>352.17</v>
      </c>
      <c r="H831" s="330"/>
      <c r="I831" s="330">
        <v>50</v>
      </c>
      <c r="J831" s="146">
        <v>50</v>
      </c>
      <c r="K831" s="146">
        <f t="shared" si="124"/>
        <v>50</v>
      </c>
      <c r="L831" s="191">
        <f t="shared" si="121"/>
        <v>6.6137566137566134E-2</v>
      </c>
      <c r="M831" s="177">
        <f t="shared" si="125"/>
        <v>133.40013227513228</v>
      </c>
      <c r="N831" s="148">
        <f t="shared" si="123"/>
        <v>49.05122863756614</v>
      </c>
      <c r="O831" s="427">
        <v>30.918650793650791</v>
      </c>
      <c r="P831" s="177">
        <f t="shared" si="122"/>
        <v>3.5628571428571432</v>
      </c>
      <c r="Q831" s="177"/>
      <c r="R831" s="431">
        <f t="shared" si="120"/>
        <v>0.61598906451204349</v>
      </c>
      <c r="S831" s="468">
        <v>3</v>
      </c>
      <c r="T831" s="127"/>
      <c r="U831" s="127"/>
      <c r="V831" s="127"/>
      <c r="W831" s="127"/>
      <c r="X831" s="127"/>
      <c r="Y831" s="127"/>
    </row>
    <row r="832" spans="1:25" s="6" customFormat="1" ht="15.75">
      <c r="A832" s="412">
        <v>84</v>
      </c>
      <c r="B832" s="404" t="s">
        <v>889</v>
      </c>
      <c r="C832" s="8">
        <v>653.07000000000005</v>
      </c>
      <c r="D832" s="330"/>
      <c r="E832" s="330"/>
      <c r="F832" s="32">
        <v>653.01</v>
      </c>
      <c r="G832" s="646">
        <f t="shared" si="126"/>
        <v>653.07000000000005</v>
      </c>
      <c r="H832" s="330"/>
      <c r="I832" s="330">
        <v>75</v>
      </c>
      <c r="J832" s="146">
        <v>75</v>
      </c>
      <c r="K832" s="146">
        <f t="shared" si="124"/>
        <v>75</v>
      </c>
      <c r="L832" s="191">
        <f t="shared" si="121"/>
        <v>9.9206349206349201E-2</v>
      </c>
      <c r="M832" s="177">
        <f t="shared" si="125"/>
        <v>200.1001984126984</v>
      </c>
      <c r="N832" s="148">
        <f t="shared" si="123"/>
        <v>73.576842956349211</v>
      </c>
      <c r="O832" s="427">
        <v>77.296626984126974</v>
      </c>
      <c r="P832" s="177">
        <f t="shared" si="122"/>
        <v>5.3442857142857152</v>
      </c>
      <c r="Q832" s="177"/>
      <c r="R832" s="431">
        <f t="shared" si="120"/>
        <v>0.54560453560485145</v>
      </c>
      <c r="S832" s="468">
        <v>3</v>
      </c>
      <c r="T832" s="127"/>
      <c r="U832" s="127"/>
      <c r="V832" s="127"/>
      <c r="W832" s="127"/>
      <c r="X832" s="127"/>
      <c r="Y832" s="127"/>
    </row>
    <row r="833" spans="1:25" s="6" customFormat="1" ht="15.75">
      <c r="A833" s="412">
        <v>85</v>
      </c>
      <c r="B833" s="404" t="s">
        <v>916</v>
      </c>
      <c r="C833" s="17">
        <v>786.94</v>
      </c>
      <c r="D833" s="330"/>
      <c r="E833" s="330"/>
      <c r="F833" s="32">
        <v>774.1</v>
      </c>
      <c r="G833" s="646">
        <f t="shared" si="126"/>
        <v>786.94</v>
      </c>
      <c r="H833" s="330">
        <v>52</v>
      </c>
      <c r="I833" s="330"/>
      <c r="J833" s="146">
        <v>52</v>
      </c>
      <c r="K833" s="146">
        <f t="shared" si="124"/>
        <v>52</v>
      </c>
      <c r="L833" s="191">
        <f t="shared" si="121"/>
        <v>6.1904761904761907E-2</v>
      </c>
      <c r="M833" s="177">
        <f t="shared" si="125"/>
        <v>124.86252380952381</v>
      </c>
      <c r="N833" s="148">
        <f t="shared" si="123"/>
        <v>45.911950004761906</v>
      </c>
      <c r="O833" s="427">
        <v>48.233095238095238</v>
      </c>
      <c r="P833" s="177">
        <f t="shared" si="122"/>
        <v>3.3348342857142863</v>
      </c>
      <c r="Q833" s="177"/>
      <c r="R833" s="431">
        <f t="shared" si="120"/>
        <v>0.28254047746727229</v>
      </c>
      <c r="S833" s="468">
        <v>3</v>
      </c>
      <c r="T833" s="127"/>
      <c r="U833" s="127"/>
      <c r="V833" s="127"/>
      <c r="W833" s="127"/>
      <c r="X833" s="127"/>
      <c r="Y833" s="127"/>
    </row>
    <row r="834" spans="1:25" s="6" customFormat="1" ht="15.75">
      <c r="A834" s="412">
        <v>87</v>
      </c>
      <c r="B834" s="404" t="s">
        <v>918</v>
      </c>
      <c r="C834" s="8">
        <v>3273.28</v>
      </c>
      <c r="D834" s="330"/>
      <c r="E834" s="330">
        <v>69.5</v>
      </c>
      <c r="F834" s="32">
        <v>3284.76</v>
      </c>
      <c r="G834" s="646">
        <f t="shared" si="126"/>
        <v>3342.78</v>
      </c>
      <c r="H834" s="330">
        <v>308</v>
      </c>
      <c r="I834" s="330"/>
      <c r="J834" s="146">
        <v>308</v>
      </c>
      <c r="K834" s="146">
        <f t="shared" si="124"/>
        <v>308</v>
      </c>
      <c r="L834" s="191">
        <f t="shared" si="121"/>
        <v>0.36666666666666664</v>
      </c>
      <c r="M834" s="177">
        <f t="shared" si="125"/>
        <v>739.57033333333322</v>
      </c>
      <c r="N834" s="148">
        <f t="shared" si="123"/>
        <v>271.94001156666667</v>
      </c>
      <c r="O834" s="427">
        <v>285.68833333333333</v>
      </c>
      <c r="P834" s="177">
        <f t="shared" si="122"/>
        <v>19.752479999999998</v>
      </c>
      <c r="Q834" s="177"/>
      <c r="R834" s="431">
        <f t="shared" si="120"/>
        <v>0.40233379308624168</v>
      </c>
      <c r="S834" s="468">
        <v>5</v>
      </c>
      <c r="T834" s="127"/>
      <c r="U834" s="127"/>
      <c r="V834" s="127"/>
      <c r="W834" s="127"/>
      <c r="X834" s="127"/>
      <c r="Y834" s="127"/>
    </row>
    <row r="835" spans="1:25" s="6" customFormat="1" ht="15.75">
      <c r="A835" s="412">
        <v>88</v>
      </c>
      <c r="B835" s="404" t="s">
        <v>921</v>
      </c>
      <c r="C835" s="8">
        <v>139.80000000000001</v>
      </c>
      <c r="D835" s="330"/>
      <c r="E835" s="330"/>
      <c r="F835" s="32">
        <v>139.80000000000001</v>
      </c>
      <c r="G835" s="646">
        <f t="shared" si="126"/>
        <v>139.80000000000001</v>
      </c>
      <c r="H835" s="330"/>
      <c r="I835" s="330">
        <v>0</v>
      </c>
      <c r="J835" s="146"/>
      <c r="K835" s="146">
        <f t="shared" si="124"/>
        <v>0</v>
      </c>
      <c r="L835" s="191">
        <f t="shared" si="121"/>
        <v>0</v>
      </c>
      <c r="M835" s="177">
        <f t="shared" si="125"/>
        <v>0</v>
      </c>
      <c r="N835" s="148">
        <f t="shared" si="123"/>
        <v>0</v>
      </c>
      <c r="O835" s="427">
        <v>0</v>
      </c>
      <c r="P835" s="177">
        <f t="shared" si="122"/>
        <v>0</v>
      </c>
      <c r="Q835" s="177"/>
      <c r="R835" s="431">
        <f t="shared" si="120"/>
        <v>0</v>
      </c>
      <c r="S835" s="468">
        <v>1</v>
      </c>
      <c r="T835" s="127"/>
      <c r="U835" s="127"/>
      <c r="V835" s="127"/>
      <c r="W835" s="127"/>
      <c r="X835" s="127"/>
      <c r="Y835" s="127"/>
    </row>
    <row r="836" spans="1:25" s="6" customFormat="1" ht="15.75">
      <c r="A836" s="412">
        <v>89</v>
      </c>
      <c r="B836" s="404" t="s">
        <v>922</v>
      </c>
      <c r="C836" s="8">
        <v>2876.7</v>
      </c>
      <c r="D836" s="330"/>
      <c r="E836" s="330">
        <v>258.60000000000002</v>
      </c>
      <c r="F836" s="32">
        <v>2877.43</v>
      </c>
      <c r="G836" s="646">
        <f t="shared" si="126"/>
        <v>3135.2999999999997</v>
      </c>
      <c r="H836" s="330">
        <v>289</v>
      </c>
      <c r="I836" s="330"/>
      <c r="J836" s="146">
        <v>289</v>
      </c>
      <c r="K836" s="146">
        <f t="shared" si="124"/>
        <v>289</v>
      </c>
      <c r="L836" s="191">
        <f t="shared" si="121"/>
        <v>0.34404761904761905</v>
      </c>
      <c r="M836" s="177">
        <f t="shared" si="125"/>
        <v>693.9474880952381</v>
      </c>
      <c r="N836" s="148">
        <f t="shared" si="123"/>
        <v>255.16449137261907</v>
      </c>
      <c r="O836" s="427">
        <v>268.06470238095238</v>
      </c>
      <c r="P836" s="177">
        <f t="shared" si="122"/>
        <v>18.53398285714286</v>
      </c>
      <c r="Q836" s="177"/>
      <c r="R836" s="431">
        <f t="shared" si="120"/>
        <v>0.42955840536237783</v>
      </c>
      <c r="S836" s="468">
        <v>5</v>
      </c>
      <c r="T836" s="127"/>
      <c r="U836" s="127"/>
      <c r="V836" s="127"/>
      <c r="W836" s="127"/>
      <c r="X836" s="127"/>
      <c r="Y836" s="127"/>
    </row>
    <row r="837" spans="1:25" s="6" customFormat="1" ht="15.75">
      <c r="A837" s="412">
        <v>90</v>
      </c>
      <c r="B837" s="404" t="s">
        <v>923</v>
      </c>
      <c r="C837" s="8">
        <v>230.5</v>
      </c>
      <c r="D837" s="330"/>
      <c r="E837" s="330"/>
      <c r="F837" s="32">
        <v>230.5</v>
      </c>
      <c r="G837" s="646">
        <f t="shared" si="126"/>
        <v>230.5</v>
      </c>
      <c r="H837" s="330"/>
      <c r="I837" s="330">
        <v>0</v>
      </c>
      <c r="J837" s="146">
        <v>0</v>
      </c>
      <c r="K837" s="146">
        <f t="shared" si="124"/>
        <v>0</v>
      </c>
      <c r="L837" s="191">
        <f t="shared" ref="L837:L878" si="127">(H837/840)+(I837/756)</f>
        <v>0</v>
      </c>
      <c r="M837" s="177">
        <f t="shared" si="125"/>
        <v>0</v>
      </c>
      <c r="N837" s="148">
        <f t="shared" si="123"/>
        <v>0</v>
      </c>
      <c r="O837" s="427">
        <v>0</v>
      </c>
      <c r="P837" s="177">
        <f t="shared" si="122"/>
        <v>0</v>
      </c>
      <c r="Q837" s="177"/>
      <c r="R837" s="431">
        <f t="shared" si="120"/>
        <v>0</v>
      </c>
      <c r="S837" s="468">
        <v>2</v>
      </c>
      <c r="T837" s="127"/>
      <c r="U837" s="127"/>
      <c r="V837" s="127"/>
      <c r="W837" s="127"/>
      <c r="X837" s="127"/>
      <c r="Y837" s="127"/>
    </row>
    <row r="838" spans="1:25" s="6" customFormat="1" ht="15.75">
      <c r="A838" s="412">
        <v>91</v>
      </c>
      <c r="B838" s="404" t="s">
        <v>924</v>
      </c>
      <c r="C838" s="8">
        <v>65.900000000000006</v>
      </c>
      <c r="D838" s="330"/>
      <c r="E838" s="330"/>
      <c r="F838" s="32">
        <v>65.900000000000006</v>
      </c>
      <c r="G838" s="646">
        <f t="shared" si="126"/>
        <v>65.900000000000006</v>
      </c>
      <c r="H838" s="330"/>
      <c r="I838" s="330">
        <v>0</v>
      </c>
      <c r="J838" s="146">
        <v>0</v>
      </c>
      <c r="K838" s="146">
        <f t="shared" si="124"/>
        <v>0</v>
      </c>
      <c r="L838" s="191">
        <f t="shared" si="127"/>
        <v>0</v>
      </c>
      <c r="M838" s="177">
        <f t="shared" si="125"/>
        <v>0</v>
      </c>
      <c r="N838" s="148">
        <f t="shared" si="123"/>
        <v>0</v>
      </c>
      <c r="O838" s="427">
        <v>0</v>
      </c>
      <c r="P838" s="177">
        <f t="shared" si="122"/>
        <v>0</v>
      </c>
      <c r="Q838" s="177"/>
      <c r="R838" s="431">
        <f t="shared" si="120"/>
        <v>0</v>
      </c>
      <c r="S838" s="468">
        <v>1</v>
      </c>
      <c r="T838" s="127"/>
      <c r="U838" s="127"/>
      <c r="V838" s="127"/>
      <c r="W838" s="127"/>
      <c r="X838" s="127"/>
      <c r="Y838" s="127"/>
    </row>
    <row r="839" spans="1:25" s="6" customFormat="1" ht="15.75">
      <c r="A839" s="412">
        <v>92</v>
      </c>
      <c r="B839" s="404" t="s">
        <v>16</v>
      </c>
      <c r="C839" s="8">
        <v>75.900000000000006</v>
      </c>
      <c r="D839" s="330"/>
      <c r="E839" s="330"/>
      <c r="F839" s="32">
        <v>75.900000000000006</v>
      </c>
      <c r="G839" s="646">
        <f t="shared" si="126"/>
        <v>75.900000000000006</v>
      </c>
      <c r="H839" s="330"/>
      <c r="I839" s="330">
        <v>0</v>
      </c>
      <c r="J839" s="146">
        <v>0</v>
      </c>
      <c r="K839" s="146">
        <f t="shared" si="124"/>
        <v>0</v>
      </c>
      <c r="L839" s="191">
        <f t="shared" si="127"/>
        <v>0</v>
      </c>
      <c r="M839" s="177">
        <f t="shared" si="125"/>
        <v>0</v>
      </c>
      <c r="N839" s="148">
        <f t="shared" si="123"/>
        <v>0</v>
      </c>
      <c r="O839" s="427">
        <v>0</v>
      </c>
      <c r="P839" s="177">
        <f t="shared" si="122"/>
        <v>0</v>
      </c>
      <c r="Q839" s="177"/>
      <c r="R839" s="431">
        <f t="shared" ref="R839:R902" si="128">(M839+N839+O839+P839)/C839</f>
        <v>0</v>
      </c>
      <c r="S839" s="468">
        <v>2</v>
      </c>
      <c r="T839" s="127"/>
      <c r="U839" s="127"/>
      <c r="V839" s="127"/>
      <c r="W839" s="127"/>
      <c r="X839" s="127"/>
      <c r="Y839" s="127"/>
    </row>
    <row r="840" spans="1:25" s="6" customFormat="1" ht="15.75">
      <c r="A840" s="412">
        <v>93</v>
      </c>
      <c r="B840" s="404" t="s">
        <v>17</v>
      </c>
      <c r="C840" s="8">
        <v>115.8</v>
      </c>
      <c r="D840" s="330"/>
      <c r="E840" s="330"/>
      <c r="F840" s="32">
        <v>115.8</v>
      </c>
      <c r="G840" s="646">
        <f t="shared" si="126"/>
        <v>115.8</v>
      </c>
      <c r="H840" s="330"/>
      <c r="I840" s="330">
        <v>0</v>
      </c>
      <c r="J840" s="146">
        <v>0</v>
      </c>
      <c r="K840" s="146">
        <f t="shared" si="124"/>
        <v>0</v>
      </c>
      <c r="L840" s="191">
        <f t="shared" si="127"/>
        <v>0</v>
      </c>
      <c r="M840" s="177">
        <f t="shared" si="125"/>
        <v>0</v>
      </c>
      <c r="N840" s="148">
        <f t="shared" si="123"/>
        <v>0</v>
      </c>
      <c r="O840" s="427">
        <v>0</v>
      </c>
      <c r="P840" s="177">
        <f t="shared" si="122"/>
        <v>0</v>
      </c>
      <c r="Q840" s="177"/>
      <c r="R840" s="431">
        <f t="shared" si="128"/>
        <v>0</v>
      </c>
      <c r="S840" s="468">
        <v>2</v>
      </c>
      <c r="T840" s="127"/>
      <c r="U840" s="127"/>
      <c r="V840" s="127"/>
      <c r="W840" s="127"/>
      <c r="X840" s="127"/>
      <c r="Y840" s="127"/>
    </row>
    <row r="841" spans="1:25" s="6" customFormat="1" ht="15.75">
      <c r="A841" s="412">
        <v>94</v>
      </c>
      <c r="B841" s="404" t="s">
        <v>18</v>
      </c>
      <c r="C841" s="8">
        <v>43.6</v>
      </c>
      <c r="D841" s="330"/>
      <c r="E841" s="330"/>
      <c r="F841" s="32">
        <v>34.799999999999997</v>
      </c>
      <c r="G841" s="646">
        <f t="shared" si="126"/>
        <v>43.6</v>
      </c>
      <c r="H841" s="330"/>
      <c r="I841" s="330"/>
      <c r="J841" s="146"/>
      <c r="K841" s="146">
        <f t="shared" si="124"/>
        <v>0</v>
      </c>
      <c r="L841" s="191">
        <f t="shared" si="127"/>
        <v>0</v>
      </c>
      <c r="M841" s="177">
        <f t="shared" si="125"/>
        <v>0</v>
      </c>
      <c r="N841" s="148">
        <f t="shared" si="123"/>
        <v>0</v>
      </c>
      <c r="O841" s="427">
        <v>0</v>
      </c>
      <c r="P841" s="177">
        <f t="shared" si="122"/>
        <v>0</v>
      </c>
      <c r="Q841" s="177"/>
      <c r="R841" s="431">
        <f t="shared" si="128"/>
        <v>0</v>
      </c>
      <c r="S841" s="468">
        <v>1</v>
      </c>
      <c r="T841" s="127"/>
      <c r="U841" s="127"/>
      <c r="V841" s="127"/>
      <c r="W841" s="127"/>
      <c r="X841" s="127"/>
      <c r="Y841" s="127"/>
    </row>
    <row r="842" spans="1:25" s="6" customFormat="1" ht="15.75">
      <c r="A842" s="412">
        <v>95</v>
      </c>
      <c r="B842" s="404" t="s">
        <v>19</v>
      </c>
      <c r="C842" s="8">
        <v>229.9</v>
      </c>
      <c r="D842" s="330"/>
      <c r="E842" s="330"/>
      <c r="F842" s="32">
        <v>229.2</v>
      </c>
      <c r="G842" s="646">
        <f t="shared" si="126"/>
        <v>229.9</v>
      </c>
      <c r="H842" s="330"/>
      <c r="I842" s="330">
        <v>0</v>
      </c>
      <c r="J842" s="146">
        <v>0</v>
      </c>
      <c r="K842" s="146">
        <f t="shared" si="124"/>
        <v>0</v>
      </c>
      <c r="L842" s="191">
        <f t="shared" si="127"/>
        <v>0</v>
      </c>
      <c r="M842" s="177">
        <f t="shared" si="125"/>
        <v>0</v>
      </c>
      <c r="N842" s="148">
        <f t="shared" si="123"/>
        <v>0</v>
      </c>
      <c r="O842" s="427">
        <v>0</v>
      </c>
      <c r="P842" s="177">
        <f t="shared" si="122"/>
        <v>0</v>
      </c>
      <c r="Q842" s="177"/>
      <c r="R842" s="431">
        <f t="shared" si="128"/>
        <v>0</v>
      </c>
      <c r="S842" s="468">
        <v>2</v>
      </c>
      <c r="T842" s="127"/>
      <c r="U842" s="127"/>
      <c r="V842" s="127"/>
      <c r="W842" s="127"/>
      <c r="X842" s="127"/>
      <c r="Y842" s="127"/>
    </row>
    <row r="843" spans="1:25" s="6" customFormat="1" ht="15.75">
      <c r="A843" s="412">
        <v>96</v>
      </c>
      <c r="B843" s="404" t="s">
        <v>20</v>
      </c>
      <c r="C843" s="8">
        <v>274.3</v>
      </c>
      <c r="D843" s="330"/>
      <c r="E843" s="330"/>
      <c r="F843" s="32">
        <v>183.6</v>
      </c>
      <c r="G843" s="646">
        <f t="shared" si="126"/>
        <v>274.3</v>
      </c>
      <c r="H843" s="330"/>
      <c r="I843" s="330">
        <v>0</v>
      </c>
      <c r="J843" s="146"/>
      <c r="K843" s="146">
        <f t="shared" si="124"/>
        <v>0</v>
      </c>
      <c r="L843" s="191">
        <f t="shared" si="127"/>
        <v>0</v>
      </c>
      <c r="M843" s="177">
        <f t="shared" si="125"/>
        <v>0</v>
      </c>
      <c r="N843" s="148">
        <f t="shared" si="123"/>
        <v>0</v>
      </c>
      <c r="O843" s="427">
        <v>0</v>
      </c>
      <c r="P843" s="177">
        <f t="shared" si="122"/>
        <v>0</v>
      </c>
      <c r="Q843" s="177"/>
      <c r="R843" s="431">
        <f t="shared" si="128"/>
        <v>0</v>
      </c>
      <c r="S843" s="468">
        <v>1</v>
      </c>
      <c r="T843" s="127"/>
      <c r="U843" s="127"/>
      <c r="V843" s="127"/>
      <c r="W843" s="127"/>
      <c r="X843" s="127"/>
      <c r="Y843" s="127"/>
    </row>
    <row r="844" spans="1:25" s="6" customFormat="1" ht="15.75">
      <c r="A844" s="412">
        <v>97</v>
      </c>
      <c r="B844" s="404" t="s">
        <v>21</v>
      </c>
      <c r="C844" s="8">
        <v>282</v>
      </c>
      <c r="D844" s="330"/>
      <c r="E844" s="330"/>
      <c r="F844" s="32">
        <v>262.10000000000002</v>
      </c>
      <c r="G844" s="646">
        <f t="shared" si="126"/>
        <v>282</v>
      </c>
      <c r="H844" s="330"/>
      <c r="I844" s="330">
        <v>0</v>
      </c>
      <c r="J844" s="146"/>
      <c r="K844" s="146">
        <f t="shared" si="124"/>
        <v>0</v>
      </c>
      <c r="L844" s="191">
        <f t="shared" si="127"/>
        <v>0</v>
      </c>
      <c r="M844" s="177">
        <f t="shared" si="125"/>
        <v>0</v>
      </c>
      <c r="N844" s="148">
        <f t="shared" si="123"/>
        <v>0</v>
      </c>
      <c r="O844" s="427">
        <v>0</v>
      </c>
      <c r="P844" s="177">
        <f t="shared" si="122"/>
        <v>0</v>
      </c>
      <c r="Q844" s="177"/>
      <c r="R844" s="431">
        <f t="shared" si="128"/>
        <v>0</v>
      </c>
      <c r="S844" s="468">
        <v>2</v>
      </c>
      <c r="T844" s="127"/>
      <c r="U844" s="127"/>
      <c r="V844" s="127"/>
      <c r="W844" s="127"/>
      <c r="X844" s="127"/>
      <c r="Y844" s="127"/>
    </row>
    <row r="845" spans="1:25" s="6" customFormat="1" ht="15.75">
      <c r="A845" s="412">
        <v>98</v>
      </c>
      <c r="B845" s="404" t="s">
        <v>22</v>
      </c>
      <c r="C845" s="8">
        <v>181.2</v>
      </c>
      <c r="D845" s="330"/>
      <c r="E845" s="330"/>
      <c r="F845" s="32">
        <v>181.2</v>
      </c>
      <c r="G845" s="646">
        <f t="shared" si="126"/>
        <v>181.2</v>
      </c>
      <c r="H845" s="330"/>
      <c r="I845" s="330">
        <v>0</v>
      </c>
      <c r="J845" s="146"/>
      <c r="K845" s="146">
        <f t="shared" si="124"/>
        <v>0</v>
      </c>
      <c r="L845" s="191">
        <f t="shared" si="127"/>
        <v>0</v>
      </c>
      <c r="M845" s="177">
        <f t="shared" si="125"/>
        <v>0</v>
      </c>
      <c r="N845" s="148">
        <f t="shared" si="123"/>
        <v>0</v>
      </c>
      <c r="O845" s="427">
        <v>0</v>
      </c>
      <c r="P845" s="177">
        <f t="shared" si="122"/>
        <v>0</v>
      </c>
      <c r="Q845" s="177"/>
      <c r="R845" s="431">
        <f t="shared" si="128"/>
        <v>0</v>
      </c>
      <c r="S845" s="468">
        <v>2</v>
      </c>
      <c r="T845" s="127"/>
      <c r="U845" s="127"/>
      <c r="V845" s="127"/>
      <c r="W845" s="127"/>
      <c r="X845" s="127"/>
      <c r="Y845" s="127"/>
    </row>
    <row r="846" spans="1:25" s="6" customFormat="1" ht="15.75">
      <c r="A846" s="412">
        <v>99</v>
      </c>
      <c r="B846" s="404" t="s">
        <v>23</v>
      </c>
      <c r="C846" s="8">
        <v>171</v>
      </c>
      <c r="D846" s="330"/>
      <c r="E846" s="330"/>
      <c r="F846" s="32">
        <v>168.8</v>
      </c>
      <c r="G846" s="646">
        <f t="shared" si="126"/>
        <v>171</v>
      </c>
      <c r="H846" s="330"/>
      <c r="I846" s="330">
        <v>0</v>
      </c>
      <c r="J846" s="146"/>
      <c r="K846" s="146">
        <f t="shared" si="124"/>
        <v>0</v>
      </c>
      <c r="L846" s="191">
        <f t="shared" si="127"/>
        <v>0</v>
      </c>
      <c r="M846" s="177">
        <f t="shared" si="125"/>
        <v>0</v>
      </c>
      <c r="N846" s="148">
        <f t="shared" si="123"/>
        <v>0</v>
      </c>
      <c r="O846" s="427">
        <v>0</v>
      </c>
      <c r="P846" s="177">
        <f t="shared" si="122"/>
        <v>0</v>
      </c>
      <c r="Q846" s="177"/>
      <c r="R846" s="431">
        <f t="shared" si="128"/>
        <v>0</v>
      </c>
      <c r="S846" s="468">
        <v>2</v>
      </c>
      <c r="T846" s="127"/>
      <c r="U846" s="127"/>
      <c r="V846" s="127"/>
      <c r="W846" s="127"/>
      <c r="X846" s="127"/>
      <c r="Y846" s="127"/>
    </row>
    <row r="847" spans="1:25" s="6" customFormat="1" ht="15.75">
      <c r="A847" s="412">
        <v>100</v>
      </c>
      <c r="B847" s="404" t="s">
        <v>24</v>
      </c>
      <c r="C847" s="8">
        <v>160.5</v>
      </c>
      <c r="D847" s="330"/>
      <c r="E847" s="330"/>
      <c r="F847" s="32">
        <v>160.5</v>
      </c>
      <c r="G847" s="646">
        <f t="shared" si="126"/>
        <v>160.5</v>
      </c>
      <c r="H847" s="330"/>
      <c r="I847" s="330">
        <v>0</v>
      </c>
      <c r="J847" s="146"/>
      <c r="K847" s="146">
        <f t="shared" si="124"/>
        <v>0</v>
      </c>
      <c r="L847" s="191">
        <f t="shared" si="127"/>
        <v>0</v>
      </c>
      <c r="M847" s="177">
        <f t="shared" si="125"/>
        <v>0</v>
      </c>
      <c r="N847" s="148">
        <f t="shared" si="123"/>
        <v>0</v>
      </c>
      <c r="O847" s="427">
        <v>0</v>
      </c>
      <c r="P847" s="177">
        <f t="shared" si="122"/>
        <v>0</v>
      </c>
      <c r="Q847" s="177"/>
      <c r="R847" s="431">
        <f t="shared" si="128"/>
        <v>0</v>
      </c>
      <c r="S847" s="468">
        <v>2</v>
      </c>
      <c r="T847" s="127"/>
      <c r="U847" s="127"/>
      <c r="V847" s="127"/>
      <c r="W847" s="127"/>
      <c r="X847" s="127"/>
      <c r="Y847" s="127"/>
    </row>
    <row r="848" spans="1:25" s="6" customFormat="1" ht="15.75">
      <c r="A848" s="412">
        <v>101</v>
      </c>
      <c r="B848" s="404" t="s">
        <v>25</v>
      </c>
      <c r="C848" s="8">
        <v>165.6</v>
      </c>
      <c r="D848" s="330"/>
      <c r="E848" s="330"/>
      <c r="F848" s="32">
        <v>165.6</v>
      </c>
      <c r="G848" s="646">
        <f t="shared" si="126"/>
        <v>165.6</v>
      </c>
      <c r="H848" s="330"/>
      <c r="I848" s="330">
        <v>0</v>
      </c>
      <c r="J848" s="146"/>
      <c r="K848" s="146">
        <f t="shared" si="124"/>
        <v>0</v>
      </c>
      <c r="L848" s="191">
        <f t="shared" si="127"/>
        <v>0</v>
      </c>
      <c r="M848" s="177">
        <f t="shared" si="125"/>
        <v>0</v>
      </c>
      <c r="N848" s="148">
        <f t="shared" si="123"/>
        <v>0</v>
      </c>
      <c r="O848" s="427">
        <v>0</v>
      </c>
      <c r="P848" s="177">
        <f t="shared" si="122"/>
        <v>0</v>
      </c>
      <c r="Q848" s="177"/>
      <c r="R848" s="431">
        <f t="shared" si="128"/>
        <v>0</v>
      </c>
      <c r="S848" s="468">
        <v>2</v>
      </c>
      <c r="T848" s="127"/>
      <c r="U848" s="127"/>
      <c r="V848" s="127"/>
      <c r="W848" s="127"/>
      <c r="X848" s="127"/>
      <c r="Y848" s="127"/>
    </row>
    <row r="849" spans="1:25" s="6" customFormat="1" ht="15.75">
      <c r="A849" s="412">
        <v>102</v>
      </c>
      <c r="B849" s="404" t="s">
        <v>26</v>
      </c>
      <c r="C849" s="8">
        <v>158.6</v>
      </c>
      <c r="D849" s="330"/>
      <c r="E849" s="330"/>
      <c r="F849" s="32">
        <v>158.6</v>
      </c>
      <c r="G849" s="646">
        <f t="shared" si="126"/>
        <v>158.6</v>
      </c>
      <c r="H849" s="330"/>
      <c r="I849" s="330">
        <v>0</v>
      </c>
      <c r="J849" s="146"/>
      <c r="K849" s="146">
        <f t="shared" si="124"/>
        <v>0</v>
      </c>
      <c r="L849" s="191">
        <f t="shared" si="127"/>
        <v>0</v>
      </c>
      <c r="M849" s="177">
        <f t="shared" si="125"/>
        <v>0</v>
      </c>
      <c r="N849" s="148">
        <f t="shared" si="123"/>
        <v>0</v>
      </c>
      <c r="O849" s="427">
        <v>0</v>
      </c>
      <c r="P849" s="177">
        <f t="shared" si="122"/>
        <v>0</v>
      </c>
      <c r="Q849" s="177"/>
      <c r="R849" s="431">
        <f t="shared" si="128"/>
        <v>0</v>
      </c>
      <c r="S849" s="468">
        <v>2</v>
      </c>
      <c r="T849" s="127"/>
      <c r="U849" s="127"/>
      <c r="V849" s="127"/>
      <c r="W849" s="127"/>
      <c r="X849" s="127"/>
      <c r="Y849" s="127"/>
    </row>
    <row r="850" spans="1:25" s="6" customFormat="1" ht="15.75">
      <c r="A850" s="412">
        <v>103</v>
      </c>
      <c r="B850" s="404" t="s">
        <v>27</v>
      </c>
      <c r="C850" s="8">
        <v>414.61</v>
      </c>
      <c r="D850" s="330"/>
      <c r="E850" s="330"/>
      <c r="F850" s="32">
        <v>414.61</v>
      </c>
      <c r="G850" s="646">
        <f t="shared" si="126"/>
        <v>414.61</v>
      </c>
      <c r="H850" s="330"/>
      <c r="I850" s="330">
        <v>40</v>
      </c>
      <c r="J850" s="146">
        <v>40</v>
      </c>
      <c r="K850" s="146">
        <f t="shared" si="124"/>
        <v>40</v>
      </c>
      <c r="L850" s="191">
        <f t="shared" si="127"/>
        <v>5.2910052910052907E-2</v>
      </c>
      <c r="M850" s="177">
        <f t="shared" si="125"/>
        <v>106.72010582010581</v>
      </c>
      <c r="N850" s="148">
        <f t="shared" si="123"/>
        <v>39.240982910052914</v>
      </c>
      <c r="O850" s="427">
        <v>41.224867724867721</v>
      </c>
      <c r="P850" s="177">
        <f t="shared" si="122"/>
        <v>2.8502857142857145</v>
      </c>
      <c r="Q850" s="177"/>
      <c r="R850" s="431">
        <f t="shared" si="128"/>
        <v>0.45834939381421619</v>
      </c>
      <c r="S850" s="468">
        <v>3</v>
      </c>
      <c r="T850" s="127"/>
      <c r="U850" s="127"/>
      <c r="V850" s="127"/>
      <c r="W850" s="127"/>
      <c r="X850" s="127"/>
      <c r="Y850" s="127"/>
    </row>
    <row r="851" spans="1:25" s="6" customFormat="1" ht="15.75">
      <c r="A851" s="412">
        <v>104</v>
      </c>
      <c r="B851" s="404" t="s">
        <v>28</v>
      </c>
      <c r="C851" s="8">
        <v>148.1</v>
      </c>
      <c r="D851" s="330"/>
      <c r="E851" s="330"/>
      <c r="F851" s="32">
        <v>148.1</v>
      </c>
      <c r="G851" s="646">
        <f t="shared" si="126"/>
        <v>148.1</v>
      </c>
      <c r="H851" s="330"/>
      <c r="I851" s="330">
        <v>0</v>
      </c>
      <c r="J851" s="146"/>
      <c r="K851" s="146">
        <f t="shared" si="124"/>
        <v>0</v>
      </c>
      <c r="L851" s="191">
        <f t="shared" si="127"/>
        <v>0</v>
      </c>
      <c r="M851" s="177">
        <f t="shared" si="125"/>
        <v>0</v>
      </c>
      <c r="N851" s="148">
        <f t="shared" si="123"/>
        <v>0</v>
      </c>
      <c r="O851" s="427">
        <v>0</v>
      </c>
      <c r="P851" s="177">
        <f t="shared" si="122"/>
        <v>0</v>
      </c>
      <c r="Q851" s="177"/>
      <c r="R851" s="431">
        <f t="shared" si="128"/>
        <v>0</v>
      </c>
      <c r="S851" s="468">
        <v>2</v>
      </c>
      <c r="T851" s="127"/>
      <c r="U851" s="127"/>
      <c r="V851" s="127"/>
      <c r="W851" s="127"/>
      <c r="X851" s="127"/>
      <c r="Y851" s="127"/>
    </row>
    <row r="852" spans="1:25" s="6" customFormat="1" ht="15.75">
      <c r="A852" s="412">
        <v>105</v>
      </c>
      <c r="B852" s="404" t="s">
        <v>29</v>
      </c>
      <c r="C852" s="8">
        <v>27.8</v>
      </c>
      <c r="D852" s="330"/>
      <c r="E852" s="330"/>
      <c r="F852" s="32">
        <v>50.2</v>
      </c>
      <c r="G852" s="646">
        <f t="shared" si="126"/>
        <v>27.8</v>
      </c>
      <c r="H852" s="330"/>
      <c r="I852" s="330"/>
      <c r="J852" s="146"/>
      <c r="K852" s="146">
        <f t="shared" si="124"/>
        <v>0</v>
      </c>
      <c r="L852" s="191">
        <f t="shared" si="127"/>
        <v>0</v>
      </c>
      <c r="M852" s="177">
        <f t="shared" si="125"/>
        <v>0</v>
      </c>
      <c r="N852" s="148">
        <f t="shared" si="123"/>
        <v>0</v>
      </c>
      <c r="O852" s="427">
        <v>0</v>
      </c>
      <c r="P852" s="177">
        <f t="shared" si="122"/>
        <v>0</v>
      </c>
      <c r="Q852" s="177"/>
      <c r="R852" s="431">
        <f t="shared" si="128"/>
        <v>0</v>
      </c>
      <c r="S852" s="468">
        <v>1</v>
      </c>
      <c r="T852" s="127"/>
      <c r="U852" s="127"/>
      <c r="V852" s="127"/>
      <c r="W852" s="127"/>
      <c r="X852" s="127"/>
      <c r="Y852" s="127"/>
    </row>
    <row r="853" spans="1:25" s="6" customFormat="1" ht="15.75">
      <c r="A853" s="412">
        <v>106</v>
      </c>
      <c r="B853" s="404" t="s">
        <v>30</v>
      </c>
      <c r="C853" s="8">
        <v>140.9</v>
      </c>
      <c r="D853" s="330"/>
      <c r="E853" s="330"/>
      <c r="F853" s="32">
        <v>140.9</v>
      </c>
      <c r="G853" s="646">
        <f t="shared" si="126"/>
        <v>140.9</v>
      </c>
      <c r="H853" s="330"/>
      <c r="I853" s="330"/>
      <c r="J853" s="146"/>
      <c r="K853" s="146">
        <f t="shared" si="124"/>
        <v>0</v>
      </c>
      <c r="L853" s="191">
        <f t="shared" si="127"/>
        <v>0</v>
      </c>
      <c r="M853" s="177">
        <f t="shared" si="125"/>
        <v>0</v>
      </c>
      <c r="N853" s="148">
        <f t="shared" si="123"/>
        <v>0</v>
      </c>
      <c r="O853" s="427">
        <v>0</v>
      </c>
      <c r="P853" s="177">
        <f t="shared" si="122"/>
        <v>0</v>
      </c>
      <c r="Q853" s="177"/>
      <c r="R853" s="431">
        <f t="shared" si="128"/>
        <v>0</v>
      </c>
      <c r="S853" s="468">
        <v>1</v>
      </c>
      <c r="T853" s="127"/>
      <c r="U853" s="127"/>
      <c r="V853" s="127"/>
      <c r="W853" s="127"/>
      <c r="X853" s="127"/>
      <c r="Y853" s="127"/>
    </row>
    <row r="854" spans="1:25" s="6" customFormat="1" ht="15.75">
      <c r="A854" s="412">
        <v>107</v>
      </c>
      <c r="B854" s="404" t="s">
        <v>31</v>
      </c>
      <c r="C854" s="8">
        <v>66.599999999999994</v>
      </c>
      <c r="D854" s="330"/>
      <c r="E854" s="330"/>
      <c r="F854" s="32">
        <v>66.599999999999994</v>
      </c>
      <c r="G854" s="646">
        <f t="shared" si="126"/>
        <v>66.599999999999994</v>
      </c>
      <c r="H854" s="330"/>
      <c r="I854" s="330">
        <v>0</v>
      </c>
      <c r="J854" s="146"/>
      <c r="K854" s="146">
        <f t="shared" si="124"/>
        <v>0</v>
      </c>
      <c r="L854" s="191">
        <f t="shared" si="127"/>
        <v>0</v>
      </c>
      <c r="M854" s="177">
        <f t="shared" si="125"/>
        <v>0</v>
      </c>
      <c r="N854" s="148">
        <f t="shared" si="123"/>
        <v>0</v>
      </c>
      <c r="O854" s="427">
        <v>0</v>
      </c>
      <c r="P854" s="177">
        <f t="shared" si="122"/>
        <v>0</v>
      </c>
      <c r="Q854" s="177"/>
      <c r="R854" s="431">
        <f t="shared" si="128"/>
        <v>0</v>
      </c>
      <c r="S854" s="468">
        <v>2</v>
      </c>
      <c r="T854" s="127"/>
      <c r="U854" s="127"/>
      <c r="V854" s="127"/>
      <c r="W854" s="127"/>
      <c r="X854" s="127"/>
      <c r="Y854" s="127"/>
    </row>
    <row r="855" spans="1:25" s="6" customFormat="1" ht="15.75">
      <c r="A855" s="412">
        <v>108</v>
      </c>
      <c r="B855" s="404" t="s">
        <v>32</v>
      </c>
      <c r="C855" s="8">
        <v>97.5</v>
      </c>
      <c r="D855" s="330"/>
      <c r="E855" s="330"/>
      <c r="F855" s="32">
        <v>97.5</v>
      </c>
      <c r="G855" s="646">
        <f t="shared" si="126"/>
        <v>97.5</v>
      </c>
      <c r="H855" s="330"/>
      <c r="I855" s="330">
        <v>0</v>
      </c>
      <c r="J855" s="146"/>
      <c r="K855" s="146">
        <f t="shared" si="124"/>
        <v>0</v>
      </c>
      <c r="L855" s="191">
        <f t="shared" si="127"/>
        <v>0</v>
      </c>
      <c r="M855" s="177">
        <f t="shared" si="125"/>
        <v>0</v>
      </c>
      <c r="N855" s="148">
        <f t="shared" si="123"/>
        <v>0</v>
      </c>
      <c r="O855" s="427">
        <v>0</v>
      </c>
      <c r="P855" s="177">
        <f t="shared" si="122"/>
        <v>0</v>
      </c>
      <c r="Q855" s="177"/>
      <c r="R855" s="431">
        <f t="shared" si="128"/>
        <v>0</v>
      </c>
      <c r="S855" s="468">
        <v>2</v>
      </c>
      <c r="T855" s="127"/>
      <c r="U855" s="127"/>
      <c r="V855" s="127"/>
      <c r="W855" s="127"/>
      <c r="X855" s="127"/>
      <c r="Y855" s="127"/>
    </row>
    <row r="856" spans="1:25" s="6" customFormat="1" ht="15.75">
      <c r="A856" s="412">
        <v>109</v>
      </c>
      <c r="B856" s="404" t="s">
        <v>33</v>
      </c>
      <c r="C856" s="8">
        <v>522.6</v>
      </c>
      <c r="D856" s="330"/>
      <c r="E856" s="330"/>
      <c r="F856" s="32">
        <v>522.6</v>
      </c>
      <c r="G856" s="646">
        <f t="shared" si="126"/>
        <v>522.6</v>
      </c>
      <c r="H856" s="330"/>
      <c r="I856" s="330">
        <v>0</v>
      </c>
      <c r="J856" s="146">
        <v>0</v>
      </c>
      <c r="K856" s="146">
        <f t="shared" si="124"/>
        <v>0</v>
      </c>
      <c r="L856" s="191">
        <f t="shared" si="127"/>
        <v>0</v>
      </c>
      <c r="M856" s="177">
        <f t="shared" si="125"/>
        <v>0</v>
      </c>
      <c r="N856" s="148">
        <f t="shared" si="123"/>
        <v>0</v>
      </c>
      <c r="O856" s="427">
        <v>0</v>
      </c>
      <c r="P856" s="177">
        <f t="shared" si="122"/>
        <v>0</v>
      </c>
      <c r="Q856" s="177"/>
      <c r="R856" s="431">
        <f t="shared" si="128"/>
        <v>0</v>
      </c>
      <c r="S856" s="468">
        <v>2</v>
      </c>
      <c r="T856" s="127"/>
      <c r="U856" s="127"/>
      <c r="V856" s="127"/>
      <c r="W856" s="127"/>
      <c r="X856" s="127"/>
      <c r="Y856" s="127"/>
    </row>
    <row r="857" spans="1:25" s="6" customFormat="1" ht="15.75">
      <c r="A857" s="412">
        <v>110</v>
      </c>
      <c r="B857" s="404" t="s">
        <v>34</v>
      </c>
      <c r="C857" s="8">
        <v>71.8</v>
      </c>
      <c r="D857" s="330"/>
      <c r="E857" s="330"/>
      <c r="F857" s="32">
        <v>71.8</v>
      </c>
      <c r="G857" s="646">
        <f t="shared" si="126"/>
        <v>71.8</v>
      </c>
      <c r="H857" s="330"/>
      <c r="I857" s="330"/>
      <c r="J857" s="146"/>
      <c r="K857" s="146">
        <f t="shared" si="124"/>
        <v>0</v>
      </c>
      <c r="L857" s="191">
        <f t="shared" si="127"/>
        <v>0</v>
      </c>
      <c r="M857" s="177">
        <f t="shared" si="125"/>
        <v>0</v>
      </c>
      <c r="N857" s="148">
        <f t="shared" si="123"/>
        <v>0</v>
      </c>
      <c r="O857" s="427">
        <v>0</v>
      </c>
      <c r="P857" s="177">
        <f t="shared" si="122"/>
        <v>0</v>
      </c>
      <c r="Q857" s="177"/>
      <c r="R857" s="431">
        <f t="shared" si="128"/>
        <v>0</v>
      </c>
      <c r="S857" s="468">
        <v>1</v>
      </c>
      <c r="T857" s="127"/>
      <c r="U857" s="127"/>
      <c r="V857" s="127"/>
      <c r="W857" s="127"/>
      <c r="X857" s="127"/>
      <c r="Y857" s="127"/>
    </row>
    <row r="858" spans="1:25" s="6" customFormat="1" ht="15.75">
      <c r="A858" s="412">
        <v>111</v>
      </c>
      <c r="B858" s="404" t="s">
        <v>35</v>
      </c>
      <c r="C858" s="8">
        <v>199</v>
      </c>
      <c r="D858" s="330"/>
      <c r="E858" s="330"/>
      <c r="F858" s="32">
        <v>199</v>
      </c>
      <c r="G858" s="646">
        <f t="shared" si="126"/>
        <v>199</v>
      </c>
      <c r="H858" s="330"/>
      <c r="I858" s="330">
        <v>0</v>
      </c>
      <c r="J858" s="146">
        <v>0</v>
      </c>
      <c r="K858" s="146">
        <f t="shared" si="124"/>
        <v>0</v>
      </c>
      <c r="L858" s="191">
        <f t="shared" si="127"/>
        <v>0</v>
      </c>
      <c r="M858" s="177">
        <f t="shared" si="125"/>
        <v>0</v>
      </c>
      <c r="N858" s="148">
        <f t="shared" si="123"/>
        <v>0</v>
      </c>
      <c r="O858" s="427">
        <v>0</v>
      </c>
      <c r="P858" s="177">
        <f t="shared" si="122"/>
        <v>0</v>
      </c>
      <c r="Q858" s="177"/>
      <c r="R858" s="431">
        <f t="shared" si="128"/>
        <v>0</v>
      </c>
      <c r="S858" s="468">
        <v>2</v>
      </c>
      <c r="T858" s="127"/>
      <c r="U858" s="127"/>
      <c r="V858" s="127"/>
      <c r="W858" s="127"/>
      <c r="X858" s="127"/>
      <c r="Y858" s="127"/>
    </row>
    <row r="859" spans="1:25" s="6" customFormat="1" ht="15.75">
      <c r="A859" s="412">
        <v>112</v>
      </c>
      <c r="B859" s="404" t="s">
        <v>36</v>
      </c>
      <c r="C859" s="8">
        <v>128.5</v>
      </c>
      <c r="D859" s="330"/>
      <c r="E859" s="330"/>
      <c r="F859" s="32">
        <v>128.5</v>
      </c>
      <c r="G859" s="646">
        <f t="shared" si="126"/>
        <v>128.5</v>
      </c>
      <c r="H859" s="330"/>
      <c r="I859" s="330"/>
      <c r="J859" s="146"/>
      <c r="K859" s="146">
        <f t="shared" si="124"/>
        <v>0</v>
      </c>
      <c r="L859" s="191">
        <f t="shared" si="127"/>
        <v>0</v>
      </c>
      <c r="M859" s="177">
        <f t="shared" si="125"/>
        <v>0</v>
      </c>
      <c r="N859" s="148">
        <f t="shared" si="123"/>
        <v>0</v>
      </c>
      <c r="O859" s="427">
        <v>0</v>
      </c>
      <c r="P859" s="177">
        <f t="shared" ref="P859:P879" si="129">L859*49.88*1.08</f>
        <v>0</v>
      </c>
      <c r="Q859" s="177"/>
      <c r="R859" s="431">
        <f t="shared" si="128"/>
        <v>0</v>
      </c>
      <c r="S859" s="468">
        <v>1</v>
      </c>
      <c r="T859" s="127"/>
      <c r="U859" s="127"/>
      <c r="V859" s="127"/>
      <c r="W859" s="127"/>
      <c r="X859" s="127"/>
      <c r="Y859" s="127"/>
    </row>
    <row r="860" spans="1:25" s="6" customFormat="1" ht="15.75">
      <c r="A860" s="412">
        <v>113</v>
      </c>
      <c r="B860" s="404" t="s">
        <v>37</v>
      </c>
      <c r="C860" s="8">
        <v>43.4</v>
      </c>
      <c r="D860" s="330"/>
      <c r="E860" s="330"/>
      <c r="F860" s="32">
        <v>43.4</v>
      </c>
      <c r="G860" s="646">
        <f t="shared" si="126"/>
        <v>43.4</v>
      </c>
      <c r="H860" s="330"/>
      <c r="I860" s="330"/>
      <c r="J860" s="146"/>
      <c r="K860" s="146">
        <f t="shared" si="124"/>
        <v>0</v>
      </c>
      <c r="L860" s="191">
        <f t="shared" si="127"/>
        <v>0</v>
      </c>
      <c r="M860" s="177">
        <f t="shared" si="125"/>
        <v>0</v>
      </c>
      <c r="N860" s="148">
        <f t="shared" si="123"/>
        <v>0</v>
      </c>
      <c r="O860" s="427">
        <v>0</v>
      </c>
      <c r="P860" s="177">
        <f t="shared" si="129"/>
        <v>0</v>
      </c>
      <c r="Q860" s="177"/>
      <c r="R860" s="431">
        <f t="shared" si="128"/>
        <v>0</v>
      </c>
      <c r="S860" s="468">
        <v>1</v>
      </c>
      <c r="T860" s="127"/>
      <c r="U860" s="127"/>
      <c r="V860" s="127"/>
      <c r="W860" s="127"/>
      <c r="X860" s="127"/>
      <c r="Y860" s="127"/>
    </row>
    <row r="861" spans="1:25" s="6" customFormat="1" ht="18.75" customHeight="1">
      <c r="A861" s="412">
        <v>114</v>
      </c>
      <c r="B861" s="404" t="s">
        <v>38</v>
      </c>
      <c r="C861" s="8">
        <v>35.4</v>
      </c>
      <c r="D861" s="330"/>
      <c r="E861" s="330"/>
      <c r="F861" s="32">
        <v>35.4</v>
      </c>
      <c r="G861" s="646">
        <f t="shared" si="126"/>
        <v>35.4</v>
      </c>
      <c r="H861" s="330"/>
      <c r="I861" s="330"/>
      <c r="J861" s="146"/>
      <c r="K861" s="146">
        <f t="shared" si="124"/>
        <v>0</v>
      </c>
      <c r="L861" s="191">
        <f t="shared" si="127"/>
        <v>0</v>
      </c>
      <c r="M861" s="177">
        <f t="shared" si="125"/>
        <v>0</v>
      </c>
      <c r="N861" s="148">
        <f t="shared" si="123"/>
        <v>0</v>
      </c>
      <c r="O861" s="427">
        <v>0</v>
      </c>
      <c r="P861" s="177">
        <f t="shared" si="129"/>
        <v>0</v>
      </c>
      <c r="Q861" s="177"/>
      <c r="R861" s="431">
        <f t="shared" si="128"/>
        <v>0</v>
      </c>
      <c r="S861" s="468">
        <v>1</v>
      </c>
      <c r="T861" s="127"/>
      <c r="U861" s="127"/>
      <c r="V861" s="127"/>
      <c r="W861" s="127"/>
      <c r="X861" s="127"/>
      <c r="Y861" s="127"/>
    </row>
    <row r="862" spans="1:25" s="6" customFormat="1" ht="18" customHeight="1">
      <c r="A862" s="412">
        <v>115</v>
      </c>
      <c r="B862" s="404" t="s">
        <v>39</v>
      </c>
      <c r="C862" s="8">
        <v>407.14</v>
      </c>
      <c r="D862" s="330"/>
      <c r="E862" s="330"/>
      <c r="F862" s="32">
        <v>397.94</v>
      </c>
      <c r="G862" s="646">
        <f t="shared" si="126"/>
        <v>407.14</v>
      </c>
      <c r="H862" s="330"/>
      <c r="I862" s="330">
        <v>0</v>
      </c>
      <c r="J862" s="146">
        <v>0</v>
      </c>
      <c r="K862" s="146">
        <f t="shared" si="124"/>
        <v>0</v>
      </c>
      <c r="L862" s="191">
        <f t="shared" si="127"/>
        <v>0</v>
      </c>
      <c r="M862" s="177">
        <f t="shared" si="125"/>
        <v>0</v>
      </c>
      <c r="N862" s="148">
        <f t="shared" si="123"/>
        <v>0</v>
      </c>
      <c r="O862" s="427">
        <v>0</v>
      </c>
      <c r="P862" s="177">
        <f t="shared" si="129"/>
        <v>0</v>
      </c>
      <c r="Q862" s="177"/>
      <c r="R862" s="431">
        <f t="shared" si="128"/>
        <v>0</v>
      </c>
      <c r="S862" s="468">
        <v>2</v>
      </c>
      <c r="T862" s="127"/>
      <c r="U862" s="127"/>
      <c r="V862" s="127"/>
      <c r="W862" s="127"/>
      <c r="X862" s="127"/>
      <c r="Y862" s="127"/>
    </row>
    <row r="863" spans="1:25" s="6" customFormat="1" ht="12.75" customHeight="1">
      <c r="A863" s="412">
        <v>116</v>
      </c>
      <c r="B863" s="404" t="s">
        <v>40</v>
      </c>
      <c r="C863" s="8">
        <v>207.4</v>
      </c>
      <c r="D863" s="330"/>
      <c r="E863" s="330"/>
      <c r="F863" s="32">
        <v>207.4</v>
      </c>
      <c r="G863" s="646">
        <f t="shared" si="126"/>
        <v>207.4</v>
      </c>
      <c r="H863" s="330"/>
      <c r="I863" s="330">
        <v>0</v>
      </c>
      <c r="J863" s="146">
        <v>0</v>
      </c>
      <c r="K863" s="146">
        <f t="shared" si="124"/>
        <v>0</v>
      </c>
      <c r="L863" s="191">
        <f t="shared" si="127"/>
        <v>0</v>
      </c>
      <c r="M863" s="177">
        <f t="shared" si="125"/>
        <v>0</v>
      </c>
      <c r="N863" s="148">
        <f t="shared" si="123"/>
        <v>0</v>
      </c>
      <c r="O863" s="427">
        <v>0</v>
      </c>
      <c r="P863" s="177">
        <f t="shared" si="129"/>
        <v>0</v>
      </c>
      <c r="Q863" s="177"/>
      <c r="R863" s="431">
        <f t="shared" si="128"/>
        <v>0</v>
      </c>
      <c r="S863" s="468">
        <v>3</v>
      </c>
      <c r="T863" s="127"/>
      <c r="U863" s="127"/>
      <c r="V863" s="127"/>
      <c r="W863" s="127"/>
      <c r="X863" s="127"/>
      <c r="Y863" s="127"/>
    </row>
    <row r="864" spans="1:25" s="6" customFormat="1" ht="12.75" customHeight="1">
      <c r="A864" s="412">
        <v>117</v>
      </c>
      <c r="B864" s="404" t="s">
        <v>41</v>
      </c>
      <c r="C864" s="8">
        <v>388.5</v>
      </c>
      <c r="D864" s="330"/>
      <c r="E864" s="330">
        <v>230.8</v>
      </c>
      <c r="F864" s="32">
        <v>445.4</v>
      </c>
      <c r="G864" s="646">
        <f t="shared" si="126"/>
        <v>619.29999999999995</v>
      </c>
      <c r="H864" s="330"/>
      <c r="I864" s="330">
        <v>0</v>
      </c>
      <c r="J864" s="146">
        <v>0</v>
      </c>
      <c r="K864" s="146">
        <f t="shared" si="124"/>
        <v>0</v>
      </c>
      <c r="L864" s="191">
        <f t="shared" si="127"/>
        <v>0</v>
      </c>
      <c r="M864" s="177">
        <f t="shared" si="125"/>
        <v>0</v>
      </c>
      <c r="N864" s="148">
        <f t="shared" si="123"/>
        <v>0</v>
      </c>
      <c r="O864" s="427">
        <v>0</v>
      </c>
      <c r="P864" s="177">
        <f t="shared" si="129"/>
        <v>0</v>
      </c>
      <c r="Q864" s="177"/>
      <c r="R864" s="431">
        <f t="shared" si="128"/>
        <v>0</v>
      </c>
      <c r="S864" s="468">
        <v>2</v>
      </c>
      <c r="T864" s="127"/>
      <c r="U864" s="127"/>
      <c r="V864" s="127"/>
      <c r="W864" s="127"/>
      <c r="X864" s="127"/>
      <c r="Y864" s="127"/>
    </row>
    <row r="865" spans="1:25" s="6" customFormat="1" ht="12.75" customHeight="1">
      <c r="A865" s="412">
        <v>118</v>
      </c>
      <c r="B865" s="404" t="s">
        <v>42</v>
      </c>
      <c r="C865" s="8">
        <v>326.7</v>
      </c>
      <c r="D865" s="330"/>
      <c r="E865" s="330"/>
      <c r="F865" s="32">
        <v>326.8</v>
      </c>
      <c r="G865" s="646">
        <f t="shared" si="126"/>
        <v>326.7</v>
      </c>
      <c r="H865" s="330"/>
      <c r="I865" s="330">
        <v>20</v>
      </c>
      <c r="J865" s="146">
        <v>20</v>
      </c>
      <c r="K865" s="146">
        <f t="shared" si="124"/>
        <v>20</v>
      </c>
      <c r="L865" s="191">
        <f t="shared" si="127"/>
        <v>2.6455026455026454E-2</v>
      </c>
      <c r="M865" s="177">
        <f t="shared" si="125"/>
        <v>53.360052910052907</v>
      </c>
      <c r="N865" s="148">
        <f t="shared" si="123"/>
        <v>19.620491455026457</v>
      </c>
      <c r="O865" s="427">
        <v>20.612433862433861</v>
      </c>
      <c r="P865" s="177">
        <f t="shared" si="129"/>
        <v>1.4251428571428573</v>
      </c>
      <c r="Q865" s="177"/>
      <c r="R865" s="431">
        <f t="shared" si="128"/>
        <v>0.29084212147124605</v>
      </c>
      <c r="S865" s="468">
        <v>3</v>
      </c>
      <c r="T865" s="127"/>
      <c r="U865" s="127"/>
      <c r="V865" s="127"/>
      <c r="W865" s="127"/>
      <c r="X865" s="127"/>
      <c r="Y865" s="127"/>
    </row>
    <row r="866" spans="1:25" s="6" customFormat="1" ht="12.75" customHeight="1">
      <c r="A866" s="412">
        <v>119</v>
      </c>
      <c r="B866" s="404" t="s">
        <v>43</v>
      </c>
      <c r="C866" s="8">
        <v>485.4</v>
      </c>
      <c r="D866" s="330"/>
      <c r="E866" s="330"/>
      <c r="F866" s="32">
        <v>485.4</v>
      </c>
      <c r="G866" s="646">
        <f t="shared" si="126"/>
        <v>485.4</v>
      </c>
      <c r="H866" s="330"/>
      <c r="I866" s="330">
        <v>60</v>
      </c>
      <c r="J866" s="146">
        <v>60</v>
      </c>
      <c r="K866" s="146">
        <f t="shared" si="124"/>
        <v>60</v>
      </c>
      <c r="L866" s="191">
        <f t="shared" si="127"/>
        <v>7.9365079365079361E-2</v>
      </c>
      <c r="M866" s="177">
        <f t="shared" si="125"/>
        <v>160.08015873015873</v>
      </c>
      <c r="N866" s="148">
        <f t="shared" si="123"/>
        <v>58.861474365079367</v>
      </c>
      <c r="O866" s="427">
        <v>37.102380952380948</v>
      </c>
      <c r="P866" s="177">
        <f t="shared" si="129"/>
        <v>4.2754285714285718</v>
      </c>
      <c r="Q866" s="177"/>
      <c r="R866" s="431">
        <f t="shared" si="128"/>
        <v>0.53629881050483641</v>
      </c>
      <c r="S866" s="468">
        <v>3</v>
      </c>
      <c r="T866" s="127"/>
      <c r="U866" s="127"/>
      <c r="V866" s="127"/>
      <c r="W866" s="127"/>
      <c r="X866" s="127"/>
      <c r="Y866" s="127"/>
    </row>
    <row r="867" spans="1:25" s="6" customFormat="1" ht="12.75" customHeight="1">
      <c r="A867" s="412">
        <v>120</v>
      </c>
      <c r="B867" s="404" t="s">
        <v>44</v>
      </c>
      <c r="C867" s="8">
        <v>133.6</v>
      </c>
      <c r="D867" s="330"/>
      <c r="E867" s="330"/>
      <c r="F867" s="32">
        <v>133.6</v>
      </c>
      <c r="G867" s="646">
        <f t="shared" si="126"/>
        <v>133.6</v>
      </c>
      <c r="H867" s="330"/>
      <c r="I867" s="330"/>
      <c r="J867" s="146"/>
      <c r="K867" s="146">
        <f t="shared" si="124"/>
        <v>0</v>
      </c>
      <c r="L867" s="191">
        <f t="shared" si="127"/>
        <v>0</v>
      </c>
      <c r="M867" s="177">
        <f t="shared" si="125"/>
        <v>0</v>
      </c>
      <c r="N867" s="148">
        <f t="shared" si="123"/>
        <v>0</v>
      </c>
      <c r="O867" s="427">
        <v>0</v>
      </c>
      <c r="P867" s="177">
        <f t="shared" si="129"/>
        <v>0</v>
      </c>
      <c r="Q867" s="177"/>
      <c r="R867" s="431">
        <f t="shared" si="128"/>
        <v>0</v>
      </c>
      <c r="S867" s="468">
        <v>1</v>
      </c>
      <c r="T867" s="127"/>
      <c r="U867" s="127"/>
      <c r="V867" s="127"/>
      <c r="W867" s="127"/>
      <c r="X867" s="127"/>
      <c r="Y867" s="127"/>
    </row>
    <row r="868" spans="1:25" s="6" customFormat="1" ht="12.75" customHeight="1">
      <c r="A868" s="412">
        <v>121</v>
      </c>
      <c r="B868" s="404" t="s">
        <v>45</v>
      </c>
      <c r="C868" s="8">
        <v>562.28</v>
      </c>
      <c r="D868" s="330"/>
      <c r="E868" s="330"/>
      <c r="F868" s="32">
        <v>561.78</v>
      </c>
      <c r="G868" s="646">
        <f t="shared" si="126"/>
        <v>562.28</v>
      </c>
      <c r="H868" s="330"/>
      <c r="I868" s="330">
        <v>40</v>
      </c>
      <c r="J868" s="146">
        <v>40</v>
      </c>
      <c r="K868" s="146">
        <f t="shared" si="124"/>
        <v>40</v>
      </c>
      <c r="L868" s="191">
        <f t="shared" si="127"/>
        <v>5.2910052910052907E-2</v>
      </c>
      <c r="M868" s="177">
        <f t="shared" si="125"/>
        <v>106.72010582010581</v>
      </c>
      <c r="N868" s="148">
        <f t="shared" si="123"/>
        <v>39.240982910052914</v>
      </c>
      <c r="O868" s="427">
        <v>41.224867724867721</v>
      </c>
      <c r="P868" s="177">
        <f t="shared" si="129"/>
        <v>2.8502857142857145</v>
      </c>
      <c r="Q868" s="177"/>
      <c r="R868" s="431">
        <f t="shared" si="128"/>
        <v>0.33797439384170197</v>
      </c>
      <c r="S868" s="468">
        <v>3</v>
      </c>
      <c r="T868" s="127"/>
      <c r="U868" s="127"/>
      <c r="V868" s="127"/>
      <c r="W868" s="127"/>
      <c r="X868" s="127"/>
      <c r="Y868" s="127"/>
    </row>
    <row r="869" spans="1:25" s="6" customFormat="1" ht="12.75" customHeight="1">
      <c r="A869" s="412">
        <v>122</v>
      </c>
      <c r="B869" s="404" t="s">
        <v>46</v>
      </c>
      <c r="C869" s="8">
        <v>156.78</v>
      </c>
      <c r="D869" s="330"/>
      <c r="E869" s="330"/>
      <c r="F869" s="32">
        <v>146.82</v>
      </c>
      <c r="G869" s="646">
        <f t="shared" si="126"/>
        <v>156.78</v>
      </c>
      <c r="H869" s="330"/>
      <c r="I869" s="330">
        <v>0</v>
      </c>
      <c r="J869" s="146">
        <v>0</v>
      </c>
      <c r="K869" s="146">
        <f t="shared" si="124"/>
        <v>0</v>
      </c>
      <c r="L869" s="191">
        <f t="shared" si="127"/>
        <v>0</v>
      </c>
      <c r="M869" s="177">
        <f t="shared" si="125"/>
        <v>0</v>
      </c>
      <c r="N869" s="148">
        <f t="shared" si="123"/>
        <v>0</v>
      </c>
      <c r="O869" s="427">
        <v>0</v>
      </c>
      <c r="P869" s="177">
        <f t="shared" si="129"/>
        <v>0</v>
      </c>
      <c r="Q869" s="177"/>
      <c r="R869" s="431">
        <f t="shared" si="128"/>
        <v>0</v>
      </c>
      <c r="S869" s="468">
        <v>2</v>
      </c>
      <c r="T869" s="127"/>
      <c r="U869" s="127"/>
      <c r="V869" s="127"/>
      <c r="W869" s="127"/>
      <c r="X869" s="127"/>
      <c r="Y869" s="127"/>
    </row>
    <row r="870" spans="1:25" s="6" customFormat="1" ht="12.75" customHeight="1">
      <c r="A870" s="412">
        <v>123</v>
      </c>
      <c r="B870" s="404" t="s">
        <v>47</v>
      </c>
      <c r="C870" s="8">
        <v>169.82</v>
      </c>
      <c r="D870" s="330"/>
      <c r="E870" s="330"/>
      <c r="F870" s="32">
        <v>169.82</v>
      </c>
      <c r="G870" s="646">
        <f t="shared" si="126"/>
        <v>169.82</v>
      </c>
      <c r="H870" s="330"/>
      <c r="I870" s="330">
        <v>0</v>
      </c>
      <c r="J870" s="146">
        <v>0</v>
      </c>
      <c r="K870" s="146">
        <f t="shared" si="124"/>
        <v>0</v>
      </c>
      <c r="L870" s="191">
        <f t="shared" si="127"/>
        <v>0</v>
      </c>
      <c r="M870" s="177">
        <f t="shared" si="125"/>
        <v>0</v>
      </c>
      <c r="N870" s="148">
        <f t="shared" si="123"/>
        <v>0</v>
      </c>
      <c r="O870" s="427">
        <v>0</v>
      </c>
      <c r="P870" s="177">
        <f t="shared" si="129"/>
        <v>0</v>
      </c>
      <c r="Q870" s="177"/>
      <c r="R870" s="431">
        <f t="shared" si="128"/>
        <v>0</v>
      </c>
      <c r="S870" s="468">
        <v>2</v>
      </c>
      <c r="T870" s="127"/>
      <c r="U870" s="127"/>
      <c r="V870" s="127"/>
      <c r="W870" s="127"/>
      <c r="X870" s="127"/>
      <c r="Y870" s="127"/>
    </row>
    <row r="871" spans="1:25" s="6" customFormat="1" ht="12.75" customHeight="1">
      <c r="A871" s="412">
        <v>124</v>
      </c>
      <c r="B871" s="404" t="s">
        <v>48</v>
      </c>
      <c r="C871" s="8">
        <v>263.20999999999998</v>
      </c>
      <c r="D871" s="330"/>
      <c r="E871" s="330"/>
      <c r="F871" s="32">
        <v>263</v>
      </c>
      <c r="G871" s="646">
        <f t="shared" si="126"/>
        <v>263.20999999999998</v>
      </c>
      <c r="H871" s="330">
        <v>41</v>
      </c>
      <c r="I871" s="330">
        <v>0</v>
      </c>
      <c r="J871" s="146">
        <v>41</v>
      </c>
      <c r="K871" s="146">
        <f t="shared" si="124"/>
        <v>41</v>
      </c>
      <c r="L871" s="191">
        <f t="shared" si="127"/>
        <v>4.880952380952381E-2</v>
      </c>
      <c r="M871" s="177">
        <f t="shared" si="125"/>
        <v>98.449297619047613</v>
      </c>
      <c r="N871" s="148">
        <f t="shared" si="123"/>
        <v>36.199806734523811</v>
      </c>
      <c r="O871" s="427">
        <v>15.211976190476191</v>
      </c>
      <c r="P871" s="177">
        <f t="shared" si="129"/>
        <v>2.6293885714285721</v>
      </c>
      <c r="Q871" s="177"/>
      <c r="R871" s="431">
        <f t="shared" si="128"/>
        <v>0.57934907152264803</v>
      </c>
      <c r="S871" s="468">
        <v>3</v>
      </c>
      <c r="T871" s="127"/>
      <c r="U871" s="127"/>
      <c r="V871" s="127"/>
      <c r="W871" s="127"/>
      <c r="X871" s="127"/>
      <c r="Y871" s="127"/>
    </row>
    <row r="872" spans="1:25" s="6" customFormat="1" ht="12.75" customHeight="1">
      <c r="A872" s="412">
        <v>125</v>
      </c>
      <c r="B872" s="404" t="s">
        <v>49</v>
      </c>
      <c r="C872" s="32">
        <v>83.5</v>
      </c>
      <c r="D872" s="330"/>
      <c r="E872" s="330"/>
      <c r="F872" s="32">
        <v>83.5</v>
      </c>
      <c r="G872" s="646">
        <f t="shared" si="126"/>
        <v>83.5</v>
      </c>
      <c r="H872" s="330"/>
      <c r="I872" s="330"/>
      <c r="J872" s="146"/>
      <c r="K872" s="146">
        <f t="shared" si="124"/>
        <v>0</v>
      </c>
      <c r="L872" s="191">
        <f t="shared" si="127"/>
        <v>0</v>
      </c>
      <c r="M872" s="177">
        <f t="shared" si="125"/>
        <v>0</v>
      </c>
      <c r="N872" s="148">
        <f t="shared" si="123"/>
        <v>0</v>
      </c>
      <c r="O872" s="427">
        <v>0</v>
      </c>
      <c r="P872" s="177">
        <f t="shared" si="129"/>
        <v>0</v>
      </c>
      <c r="Q872" s="177"/>
      <c r="R872" s="431">
        <f t="shared" si="128"/>
        <v>0</v>
      </c>
      <c r="S872" s="468">
        <v>1</v>
      </c>
      <c r="T872" s="127"/>
      <c r="U872" s="127"/>
      <c r="V872" s="127"/>
      <c r="W872" s="127"/>
      <c r="X872" s="127"/>
      <c r="Y872" s="127"/>
    </row>
    <row r="873" spans="1:25" s="6" customFormat="1" ht="12.75" customHeight="1">
      <c r="A873" s="412">
        <v>126</v>
      </c>
      <c r="B873" s="404" t="s">
        <v>1372</v>
      </c>
      <c r="C873" s="196">
        <v>1770.4</v>
      </c>
      <c r="D873" s="330"/>
      <c r="E873" s="330"/>
      <c r="F873" s="32"/>
      <c r="G873" s="646">
        <f t="shared" si="126"/>
        <v>1770.4</v>
      </c>
      <c r="H873" s="330">
        <v>298.7</v>
      </c>
      <c r="I873" s="330"/>
      <c r="J873" s="146"/>
      <c r="K873" s="146">
        <f t="shared" si="124"/>
        <v>298.7</v>
      </c>
      <c r="L873" s="191">
        <f t="shared" si="127"/>
        <v>0.35559523809523808</v>
      </c>
      <c r="M873" s="177">
        <f t="shared" si="125"/>
        <v>717.23915119047615</v>
      </c>
      <c r="N873" s="148">
        <f t="shared" ref="N873:N879" si="130">M873*0.3677</f>
        <v>263.72883589273812</v>
      </c>
      <c r="O873" s="427">
        <v>55.412405952380951</v>
      </c>
      <c r="P873" s="177">
        <f t="shared" si="129"/>
        <v>19.156057714285716</v>
      </c>
      <c r="Q873" s="177"/>
      <c r="R873" s="431">
        <f t="shared" si="128"/>
        <v>0.59621353973671531</v>
      </c>
      <c r="S873" s="468">
        <v>5</v>
      </c>
      <c r="T873" s="127"/>
      <c r="U873" s="127"/>
      <c r="V873" s="127"/>
      <c r="W873" s="127"/>
      <c r="X873" s="127"/>
      <c r="Y873" s="127"/>
    </row>
    <row r="874" spans="1:25" s="6" customFormat="1" ht="12.75" customHeight="1">
      <c r="A874" s="412">
        <v>127</v>
      </c>
      <c r="B874" s="404" t="s">
        <v>1373</v>
      </c>
      <c r="C874" s="196">
        <v>4227</v>
      </c>
      <c r="D874" s="330"/>
      <c r="E874" s="330">
        <v>534.20000000000005</v>
      </c>
      <c r="F874" s="32"/>
      <c r="G874" s="646">
        <f t="shared" si="126"/>
        <v>4761.2</v>
      </c>
      <c r="H874" s="330">
        <v>468.9</v>
      </c>
      <c r="I874" s="330"/>
      <c r="J874" s="146"/>
      <c r="K874" s="146">
        <f t="shared" si="124"/>
        <v>468.9</v>
      </c>
      <c r="L874" s="191">
        <f t="shared" si="127"/>
        <v>0.55821428571428566</v>
      </c>
      <c r="M874" s="177">
        <f t="shared" si="125"/>
        <v>1125.9237964285712</v>
      </c>
      <c r="N874" s="148">
        <f t="shared" si="130"/>
        <v>414.00217994678565</v>
      </c>
      <c r="O874" s="427">
        <v>434.93266071428565</v>
      </c>
      <c r="P874" s="177">
        <f t="shared" si="129"/>
        <v>30.071226857142857</v>
      </c>
      <c r="Q874" s="177"/>
      <c r="R874" s="431">
        <f t="shared" si="128"/>
        <v>0.47431508491762137</v>
      </c>
      <c r="S874" s="468">
        <v>9</v>
      </c>
      <c r="T874" s="127"/>
      <c r="U874" s="127"/>
      <c r="V874" s="127"/>
      <c r="W874" s="127"/>
      <c r="X874" s="127"/>
      <c r="Y874" s="127"/>
    </row>
    <row r="875" spans="1:25" s="6" customFormat="1" ht="15.75">
      <c r="A875" s="412">
        <v>128</v>
      </c>
      <c r="B875" s="195" t="s">
        <v>1382</v>
      </c>
      <c r="C875" s="550">
        <v>725.2</v>
      </c>
      <c r="D875" s="533"/>
      <c r="E875" s="533"/>
      <c r="F875" s="32"/>
      <c r="G875" s="646">
        <f t="shared" si="126"/>
        <v>725.2</v>
      </c>
      <c r="H875" s="330">
        <v>80</v>
      </c>
      <c r="I875" s="533"/>
      <c r="J875" s="146"/>
      <c r="K875" s="146">
        <f t="shared" si="124"/>
        <v>80</v>
      </c>
      <c r="L875" s="191">
        <f t="shared" si="127"/>
        <v>9.5238095238095233E-2</v>
      </c>
      <c r="M875" s="177">
        <f t="shared" si="125"/>
        <v>192.09619047619046</v>
      </c>
      <c r="N875" s="148">
        <f t="shared" si="130"/>
        <v>70.63376923809524</v>
      </c>
      <c r="O875" s="427">
        <v>56.395619047619043</v>
      </c>
      <c r="P875" s="177">
        <f t="shared" si="129"/>
        <v>5.1305142857142858</v>
      </c>
      <c r="Q875" s="177"/>
      <c r="R875" s="431">
        <f t="shared" si="128"/>
        <v>0.44712643828960152</v>
      </c>
      <c r="S875" s="468">
        <v>2</v>
      </c>
      <c r="T875" s="127"/>
      <c r="U875" s="127"/>
      <c r="V875" s="127"/>
      <c r="W875" s="127"/>
      <c r="X875" s="127"/>
      <c r="Y875" s="127"/>
    </row>
    <row r="876" spans="1:25" s="6" customFormat="1" ht="16.5">
      <c r="A876" s="412">
        <v>129</v>
      </c>
      <c r="B876" s="812" t="s">
        <v>142</v>
      </c>
      <c r="C876" s="410">
        <v>2870.81</v>
      </c>
      <c r="D876" s="404"/>
      <c r="E876" s="404">
        <v>41</v>
      </c>
      <c r="F876" s="32"/>
      <c r="G876" s="646">
        <f t="shared" si="126"/>
        <v>2911.81</v>
      </c>
      <c r="H876" s="404">
        <v>457.6</v>
      </c>
      <c r="I876" s="404"/>
      <c r="J876" s="404"/>
      <c r="K876" s="404">
        <f>H876+I876</f>
        <v>457.6</v>
      </c>
      <c r="L876" s="191">
        <f t="shared" si="127"/>
        <v>0.54476190476190478</v>
      </c>
      <c r="M876" s="177">
        <f t="shared" si="125"/>
        <v>1098.7902095238096</v>
      </c>
      <c r="N876" s="148">
        <f t="shared" si="130"/>
        <v>404.02516004190483</v>
      </c>
      <c r="O876" s="427">
        <v>252</v>
      </c>
      <c r="P876" s="177">
        <f t="shared" si="129"/>
        <v>29.346541714285721</v>
      </c>
      <c r="Q876" s="177"/>
      <c r="R876" s="431">
        <f t="shared" si="128"/>
        <v>0.62148380118503144</v>
      </c>
      <c r="S876" s="814">
        <v>10</v>
      </c>
      <c r="T876" s="127"/>
      <c r="U876" s="127"/>
      <c r="V876" s="127"/>
      <c r="W876" s="127"/>
      <c r="X876" s="127"/>
      <c r="Y876" s="127"/>
    </row>
    <row r="877" spans="1:25" s="6" customFormat="1" ht="15" customHeight="1">
      <c r="A877" s="412">
        <v>130</v>
      </c>
      <c r="B877" s="812" t="s">
        <v>143</v>
      </c>
      <c r="C877" s="410">
        <v>2933</v>
      </c>
      <c r="D877" s="404"/>
      <c r="E877" s="404"/>
      <c r="F877" s="32"/>
      <c r="G877" s="646">
        <f t="shared" si="126"/>
        <v>2933</v>
      </c>
      <c r="H877" s="404">
        <v>450</v>
      </c>
      <c r="I877" s="404"/>
      <c r="J877" s="404"/>
      <c r="K877" s="404"/>
      <c r="L877" s="191">
        <f t="shared" si="127"/>
        <v>0.5357142857142857</v>
      </c>
      <c r="M877" s="177">
        <f>L877*2017.01</f>
        <v>1080.5410714285713</v>
      </c>
      <c r="N877" s="148">
        <f t="shared" si="130"/>
        <v>397.31495196428568</v>
      </c>
      <c r="O877" s="427">
        <v>260</v>
      </c>
      <c r="P877" s="177">
        <f t="shared" si="129"/>
        <v>28.85914285714286</v>
      </c>
      <c r="Q877" s="177"/>
      <c r="R877" s="431">
        <f t="shared" si="128"/>
        <v>0.60235771096147284</v>
      </c>
      <c r="S877" s="814">
        <v>10</v>
      </c>
      <c r="T877" s="127"/>
      <c r="U877" s="127"/>
      <c r="V877" s="127"/>
      <c r="W877" s="127"/>
      <c r="X877" s="127"/>
      <c r="Y877" s="127"/>
    </row>
    <row r="878" spans="1:25" s="6" customFormat="1" ht="15.75" customHeight="1">
      <c r="A878" s="412">
        <v>131</v>
      </c>
      <c r="B878" s="812" t="s">
        <v>144</v>
      </c>
      <c r="C878" s="410">
        <v>3120.67</v>
      </c>
      <c r="D878" s="404"/>
      <c r="E878" s="404"/>
      <c r="F878" s="32"/>
      <c r="G878" s="646">
        <f t="shared" si="126"/>
        <v>3120.67</v>
      </c>
      <c r="H878" s="404">
        <v>510</v>
      </c>
      <c r="I878" s="404"/>
      <c r="J878" s="404"/>
      <c r="K878" s="404"/>
      <c r="L878" s="191">
        <f t="shared" si="127"/>
        <v>0.6071428571428571</v>
      </c>
      <c r="M878" s="177">
        <f>L878*2017.01</f>
        <v>1224.6132142857141</v>
      </c>
      <c r="N878" s="148">
        <f t="shared" si="130"/>
        <v>450.29027889285709</v>
      </c>
      <c r="O878" s="427">
        <v>210</v>
      </c>
      <c r="P878" s="177">
        <f t="shared" si="129"/>
        <v>32.707028571428573</v>
      </c>
      <c r="Q878" s="177"/>
      <c r="R878" s="431">
        <f t="shared" si="128"/>
        <v>0.61448679986989962</v>
      </c>
      <c r="S878" s="814">
        <v>5</v>
      </c>
      <c r="T878" s="127"/>
      <c r="U878" s="127"/>
      <c r="V878" s="127"/>
      <c r="W878" s="127"/>
      <c r="X878" s="127"/>
      <c r="Y878" s="127"/>
    </row>
    <row r="879" spans="1:25" s="67" customFormat="1" ht="15.75">
      <c r="A879" s="412"/>
      <c r="B879" s="173" t="s">
        <v>681</v>
      </c>
      <c r="C879" s="173">
        <f>SUM(C749:C875)</f>
        <v>265493.51999999984</v>
      </c>
      <c r="D879" s="173">
        <f t="shared" ref="D879:J879" si="131">SUM(D749:D875)</f>
        <v>216.9</v>
      </c>
      <c r="E879" s="173">
        <f t="shared" si="131"/>
        <v>5608.6</v>
      </c>
      <c r="F879" s="173">
        <f t="shared" si="131"/>
        <v>261385.00999999992</v>
      </c>
      <c r="G879" s="644">
        <f t="shared" si="126"/>
        <v>271319.01999999984</v>
      </c>
      <c r="H879" s="173">
        <f t="shared" si="131"/>
        <v>29697.600000000002</v>
      </c>
      <c r="I879" s="173">
        <f t="shared" si="131"/>
        <v>1024</v>
      </c>
      <c r="J879" s="173">
        <f t="shared" si="131"/>
        <v>29874</v>
      </c>
      <c r="K879" s="404">
        <f>H879+I879</f>
        <v>30721.600000000002</v>
      </c>
      <c r="L879" s="425">
        <f>(H879/840)+(I879/756)</f>
        <v>36.70878306878307</v>
      </c>
      <c r="M879" s="177">
        <f>L879*2017.01</f>
        <v>74041.982537566146</v>
      </c>
      <c r="N879" s="427">
        <f t="shared" si="130"/>
        <v>27225.236979063073</v>
      </c>
      <c r="O879" s="427">
        <f>SUM(O748:O875)</f>
        <v>23265.816819973537</v>
      </c>
      <c r="P879" s="177">
        <f t="shared" si="129"/>
        <v>1977.5168274285718</v>
      </c>
      <c r="Q879" s="177"/>
      <c r="R879" s="431">
        <f t="shared" si="128"/>
        <v>0.47651088871785419</v>
      </c>
      <c r="S879" s="468"/>
      <c r="T879" s="152"/>
      <c r="U879" s="152"/>
      <c r="V879" s="152"/>
      <c r="W879" s="152"/>
      <c r="X879" s="152"/>
      <c r="Y879" s="152"/>
    </row>
    <row r="880" spans="1:25" s="209" customFormat="1" ht="15.75" customHeight="1">
      <c r="A880" s="497" t="s">
        <v>392</v>
      </c>
      <c r="B880" s="257"/>
      <c r="C880" s="438"/>
      <c r="D880" s="438"/>
      <c r="E880" s="438"/>
      <c r="F880" s="438"/>
      <c r="G880" s="644">
        <f t="shared" si="126"/>
        <v>0</v>
      </c>
      <c r="H880" s="438"/>
      <c r="I880" s="438"/>
      <c r="J880" s="438"/>
      <c r="K880" s="438"/>
      <c r="L880" s="501">
        <f t="shared" ref="L880:L941" si="132">(H880/840)+(I880/756)</f>
        <v>0</v>
      </c>
      <c r="M880" s="177">
        <f>L880*2077.52</f>
        <v>0</v>
      </c>
      <c r="N880" s="498"/>
      <c r="O880" s="427">
        <v>0</v>
      </c>
      <c r="P880" s="504">
        <f>L880*49.88</f>
        <v>0</v>
      </c>
      <c r="Q880" s="504"/>
      <c r="R880" s="431" t="e">
        <f t="shared" si="128"/>
        <v>#DIV/0!</v>
      </c>
      <c r="S880" s="502"/>
      <c r="T880" s="212"/>
      <c r="U880" s="212"/>
      <c r="V880" s="212"/>
      <c r="W880" s="212"/>
      <c r="X880" s="212"/>
      <c r="Y880" s="212"/>
    </row>
    <row r="881" spans="1:25" s="6" customFormat="1" ht="15.75" customHeight="1">
      <c r="A881" s="285">
        <v>1</v>
      </c>
      <c r="B881" s="284" t="s">
        <v>393</v>
      </c>
      <c r="C881" s="803">
        <v>4265.91</v>
      </c>
      <c r="D881" s="804"/>
      <c r="E881" s="804"/>
      <c r="F881" s="330">
        <f>C881+D881+E881</f>
        <v>4265.91</v>
      </c>
      <c r="G881" s="644">
        <f t="shared" si="126"/>
        <v>4265.91</v>
      </c>
      <c r="H881" s="865">
        <v>321</v>
      </c>
      <c r="I881" s="535">
        <v>0</v>
      </c>
      <c r="J881" s="403">
        <f>H881+I881</f>
        <v>321</v>
      </c>
      <c r="K881" s="403">
        <f t="shared" ref="K881:K943" si="133">I881+J881</f>
        <v>321</v>
      </c>
      <c r="L881" s="425">
        <f>(H881/840)+(I881/756)</f>
        <v>0.38214285714285712</v>
      </c>
      <c r="M881" s="177">
        <f t="shared" ref="M881:M944" si="134">L881*2017.01</f>
        <v>770.78596428571427</v>
      </c>
      <c r="N881" s="427">
        <f t="shared" ref="N881:N943" si="135">M881*0.3677</f>
        <v>283.41799906785718</v>
      </c>
      <c r="O881" s="427">
        <v>297.7466071428571</v>
      </c>
      <c r="P881" s="177">
        <f>L881*49.88*1.08</f>
        <v>20.586188571428572</v>
      </c>
      <c r="Q881" s="177">
        <f>P881*1.219</f>
        <v>25.094563868571431</v>
      </c>
      <c r="R881" s="431">
        <f t="shared" si="128"/>
        <v>0.32174536243564844</v>
      </c>
      <c r="S881" s="468">
        <v>14</v>
      </c>
      <c r="T881" s="127"/>
      <c r="U881" s="127"/>
      <c r="V881" s="127"/>
      <c r="W881" s="127"/>
      <c r="X881" s="127"/>
      <c r="Y881" s="127"/>
    </row>
    <row r="882" spans="1:25" s="6" customFormat="1" ht="15.75" customHeight="1">
      <c r="A882" s="285">
        <v>2</v>
      </c>
      <c r="B882" s="285" t="s">
        <v>394</v>
      </c>
      <c r="C882" s="803">
        <v>9865.73</v>
      </c>
      <c r="D882" s="804"/>
      <c r="E882" s="804"/>
      <c r="F882" s="330">
        <v>9848.9699999999993</v>
      </c>
      <c r="G882" s="644">
        <f t="shared" si="126"/>
        <v>9865.73</v>
      </c>
      <c r="H882" s="865">
        <v>720</v>
      </c>
      <c r="I882" s="535">
        <v>0</v>
      </c>
      <c r="J882" s="403">
        <f t="shared" ref="J882:J944" si="136">H882+I882</f>
        <v>720</v>
      </c>
      <c r="K882" s="403">
        <f t="shared" si="133"/>
        <v>720</v>
      </c>
      <c r="L882" s="425">
        <f t="shared" si="132"/>
        <v>0.8571428571428571</v>
      </c>
      <c r="M882" s="177">
        <f t="shared" si="134"/>
        <v>1728.8657142857141</v>
      </c>
      <c r="N882" s="427">
        <f t="shared" si="135"/>
        <v>635.70392314285709</v>
      </c>
      <c r="O882" s="427">
        <v>667.84285714285704</v>
      </c>
      <c r="P882" s="177">
        <f t="shared" ref="P882:P945" si="137">L882*49.88*1.08</f>
        <v>46.174628571428578</v>
      </c>
      <c r="Q882" s="177">
        <f t="shared" ref="Q882:Q945" si="138">P882*1.219</f>
        <v>56.28687222857144</v>
      </c>
      <c r="R882" s="431">
        <f t="shared" si="128"/>
        <v>0.31204858871496149</v>
      </c>
      <c r="S882" s="468">
        <v>9</v>
      </c>
      <c r="T882" s="127"/>
      <c r="U882" s="127"/>
      <c r="V882" s="127"/>
      <c r="W882" s="127"/>
      <c r="X882" s="127"/>
      <c r="Y882" s="127"/>
    </row>
    <row r="883" spans="1:25" s="6" customFormat="1" ht="15.75" customHeight="1">
      <c r="A883" s="285">
        <v>3</v>
      </c>
      <c r="B883" s="285" t="s">
        <v>395</v>
      </c>
      <c r="C883" s="803">
        <v>4252.49</v>
      </c>
      <c r="D883" s="804"/>
      <c r="E883" s="804"/>
      <c r="F883" s="330">
        <v>4259.92</v>
      </c>
      <c r="G883" s="644">
        <f t="shared" si="126"/>
        <v>4252.49</v>
      </c>
      <c r="H883" s="865">
        <v>288</v>
      </c>
      <c r="I883" s="535">
        <v>0</v>
      </c>
      <c r="J883" s="403">
        <f t="shared" si="136"/>
        <v>288</v>
      </c>
      <c r="K883" s="403">
        <f t="shared" si="133"/>
        <v>288</v>
      </c>
      <c r="L883" s="425">
        <f t="shared" si="132"/>
        <v>0.34285714285714286</v>
      </c>
      <c r="M883" s="177">
        <f t="shared" si="134"/>
        <v>691.54628571428577</v>
      </c>
      <c r="N883" s="427">
        <f t="shared" si="135"/>
        <v>254.28156925714291</v>
      </c>
      <c r="O883" s="427">
        <v>267.13714285714286</v>
      </c>
      <c r="P883" s="177">
        <f t="shared" si="137"/>
        <v>18.469851428571431</v>
      </c>
      <c r="Q883" s="177">
        <f t="shared" si="138"/>
        <v>22.514748891428574</v>
      </c>
      <c r="R883" s="431">
        <f t="shared" si="128"/>
        <v>0.2895797166500434</v>
      </c>
      <c r="S883" s="468">
        <v>14</v>
      </c>
      <c r="T883" s="127"/>
      <c r="U883" s="127"/>
      <c r="V883" s="127"/>
      <c r="W883" s="127"/>
      <c r="X883" s="127"/>
      <c r="Y883" s="127"/>
    </row>
    <row r="884" spans="1:25" s="6" customFormat="1" ht="15.75" customHeight="1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330">
        <v>5944.1</v>
      </c>
      <c r="G884" s="644">
        <f t="shared" si="126"/>
        <v>5951.3</v>
      </c>
      <c r="H884" s="865">
        <v>408</v>
      </c>
      <c r="I884" s="535">
        <v>0</v>
      </c>
      <c r="J884" s="403">
        <f t="shared" si="136"/>
        <v>408</v>
      </c>
      <c r="K884" s="403">
        <f t="shared" si="133"/>
        <v>408</v>
      </c>
      <c r="L884" s="425">
        <f t="shared" si="132"/>
        <v>0.48571428571428571</v>
      </c>
      <c r="M884" s="177">
        <f t="shared" si="134"/>
        <v>979.69057142857139</v>
      </c>
      <c r="N884" s="427">
        <f t="shared" si="135"/>
        <v>360.23222311428572</v>
      </c>
      <c r="O884" s="427">
        <v>378.44428571428568</v>
      </c>
      <c r="P884" s="177">
        <f t="shared" si="137"/>
        <v>26.165622857142861</v>
      </c>
      <c r="Q884" s="177">
        <f t="shared" si="138"/>
        <v>31.895894262857148</v>
      </c>
      <c r="R884" s="431">
        <f t="shared" si="128"/>
        <v>0.29348979712896578</v>
      </c>
      <c r="S884" s="468">
        <v>9</v>
      </c>
      <c r="T884" s="127"/>
      <c r="U884" s="127"/>
      <c r="V884" s="127"/>
      <c r="W884" s="127"/>
      <c r="X884" s="127"/>
      <c r="Y884" s="127"/>
    </row>
    <row r="885" spans="1:25" s="6" customFormat="1" ht="15.75" customHeight="1">
      <c r="A885" s="285">
        <v>5</v>
      </c>
      <c r="B885" s="285" t="s">
        <v>397</v>
      </c>
      <c r="C885" s="803">
        <v>4295.57</v>
      </c>
      <c r="D885" s="804"/>
      <c r="E885" s="804"/>
      <c r="F885" s="330">
        <v>4298.6499999999996</v>
      </c>
      <c r="G885" s="644">
        <f t="shared" si="126"/>
        <v>4295.57</v>
      </c>
      <c r="H885" s="865">
        <v>267</v>
      </c>
      <c r="I885" s="535">
        <v>0</v>
      </c>
      <c r="J885" s="403">
        <f t="shared" si="136"/>
        <v>267</v>
      </c>
      <c r="K885" s="403">
        <f t="shared" si="133"/>
        <v>267</v>
      </c>
      <c r="L885" s="425">
        <f t="shared" si="132"/>
        <v>0.31785714285714284</v>
      </c>
      <c r="M885" s="177">
        <f t="shared" si="134"/>
        <v>641.12103571428565</v>
      </c>
      <c r="N885" s="427">
        <f t="shared" si="135"/>
        <v>235.74020483214287</v>
      </c>
      <c r="O885" s="427">
        <v>247.65839285714284</v>
      </c>
      <c r="P885" s="177">
        <f t="shared" si="137"/>
        <v>17.123091428571428</v>
      </c>
      <c r="Q885" s="177">
        <f t="shared" si="138"/>
        <v>20.873048451428573</v>
      </c>
      <c r="R885" s="431">
        <f t="shared" si="128"/>
        <v>0.26577211518660915</v>
      </c>
      <c r="S885" s="468">
        <v>14</v>
      </c>
      <c r="T885" s="127"/>
      <c r="U885" s="127"/>
      <c r="V885" s="127"/>
      <c r="W885" s="127"/>
      <c r="X885" s="127"/>
      <c r="Y885" s="127"/>
    </row>
    <row r="886" spans="1:25" s="6" customFormat="1" ht="15.75" customHeight="1">
      <c r="A886" s="285">
        <v>6</v>
      </c>
      <c r="B886" s="285" t="s">
        <v>403</v>
      </c>
      <c r="C886" s="803">
        <v>7972.34</v>
      </c>
      <c r="D886" s="804"/>
      <c r="E886" s="804"/>
      <c r="F886" s="330">
        <v>7971.49</v>
      </c>
      <c r="G886" s="644">
        <f t="shared" si="126"/>
        <v>7972.34</v>
      </c>
      <c r="H886" s="866">
        <v>591</v>
      </c>
      <c r="I886" s="535">
        <v>0</v>
      </c>
      <c r="J886" s="403">
        <f t="shared" si="136"/>
        <v>591</v>
      </c>
      <c r="K886" s="403">
        <f t="shared" si="133"/>
        <v>591</v>
      </c>
      <c r="L886" s="425">
        <f t="shared" si="132"/>
        <v>0.70357142857142863</v>
      </c>
      <c r="M886" s="177">
        <f t="shared" si="134"/>
        <v>1419.1106071428571</v>
      </c>
      <c r="N886" s="427">
        <f t="shared" si="135"/>
        <v>521.80697024642859</v>
      </c>
      <c r="O886" s="427">
        <v>548.18767857142859</v>
      </c>
      <c r="P886" s="177">
        <f t="shared" si="137"/>
        <v>37.901674285714293</v>
      </c>
      <c r="Q886" s="177">
        <f t="shared" si="138"/>
        <v>46.202140954285724</v>
      </c>
      <c r="R886" s="431">
        <f t="shared" si="128"/>
        <v>0.3169717962663946</v>
      </c>
      <c r="S886" s="468">
        <v>9</v>
      </c>
      <c r="T886" s="127"/>
      <c r="U886" s="127"/>
      <c r="V886" s="127"/>
      <c r="W886" s="127"/>
      <c r="X886" s="127"/>
      <c r="Y886" s="127"/>
    </row>
    <row r="887" spans="1:25" s="6" customFormat="1" ht="15.75" customHeight="1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523">
        <v>3939.93</v>
      </c>
      <c r="G887" s="644">
        <f t="shared" si="126"/>
        <v>3946.89</v>
      </c>
      <c r="H887" s="865">
        <v>288</v>
      </c>
      <c r="I887" s="535">
        <v>0</v>
      </c>
      <c r="J887" s="403">
        <f t="shared" si="136"/>
        <v>288</v>
      </c>
      <c r="K887" s="403">
        <f t="shared" si="133"/>
        <v>288</v>
      </c>
      <c r="L887" s="425">
        <f t="shared" si="132"/>
        <v>0.34285714285714286</v>
      </c>
      <c r="M887" s="177">
        <f t="shared" si="134"/>
        <v>691.54628571428577</v>
      </c>
      <c r="N887" s="427">
        <f t="shared" si="135"/>
        <v>254.28156925714291</v>
      </c>
      <c r="O887" s="427">
        <v>267.13714285714286</v>
      </c>
      <c r="P887" s="177">
        <f t="shared" si="137"/>
        <v>18.469851428571431</v>
      </c>
      <c r="Q887" s="177">
        <f t="shared" si="138"/>
        <v>22.514748891428574</v>
      </c>
      <c r="R887" s="431">
        <f t="shared" si="128"/>
        <v>0.3125715092449261</v>
      </c>
      <c r="S887" s="468">
        <v>9</v>
      </c>
      <c r="T887" s="127"/>
      <c r="U887" s="127"/>
      <c r="V887" s="127"/>
      <c r="W887" s="127"/>
      <c r="X887" s="127"/>
      <c r="Y887" s="127"/>
    </row>
    <row r="888" spans="1:25" s="6" customFormat="1" ht="15.75" customHeight="1">
      <c r="A888" s="285">
        <v>8</v>
      </c>
      <c r="B888" s="285" t="s">
        <v>404</v>
      </c>
      <c r="C888" s="803">
        <v>8036.22</v>
      </c>
      <c r="D888" s="804"/>
      <c r="E888" s="804"/>
      <c r="F888" s="330">
        <v>8035.53</v>
      </c>
      <c r="G888" s="644">
        <f t="shared" si="126"/>
        <v>8036.22</v>
      </c>
      <c r="H888" s="865">
        <v>646</v>
      </c>
      <c r="I888" s="535">
        <v>0</v>
      </c>
      <c r="J888" s="403">
        <f t="shared" si="136"/>
        <v>646</v>
      </c>
      <c r="K888" s="403">
        <f t="shared" si="133"/>
        <v>646</v>
      </c>
      <c r="L888" s="425">
        <f t="shared" si="132"/>
        <v>0.76904761904761909</v>
      </c>
      <c r="M888" s="177">
        <f t="shared" si="134"/>
        <v>1551.1767380952381</v>
      </c>
      <c r="N888" s="427">
        <f t="shared" si="135"/>
        <v>570.36768659761913</v>
      </c>
      <c r="O888" s="427">
        <v>599.2034523809524</v>
      </c>
      <c r="P888" s="177">
        <f t="shared" si="137"/>
        <v>41.428902857142866</v>
      </c>
      <c r="Q888" s="177">
        <f t="shared" si="138"/>
        <v>50.501832582857155</v>
      </c>
      <c r="R888" s="431">
        <f t="shared" si="128"/>
        <v>0.34371592364705705</v>
      </c>
      <c r="S888" s="468">
        <v>9</v>
      </c>
      <c r="T888" s="127"/>
      <c r="U888" s="127"/>
      <c r="V888" s="127"/>
      <c r="W888" s="127"/>
      <c r="X888" s="127"/>
      <c r="Y888" s="127"/>
    </row>
    <row r="889" spans="1:25" s="6" customFormat="1" ht="15.75" customHeight="1">
      <c r="A889" s="285">
        <v>9</v>
      </c>
      <c r="B889" s="285" t="s">
        <v>405</v>
      </c>
      <c r="C889" s="803">
        <v>3993.05</v>
      </c>
      <c r="D889" s="804"/>
      <c r="E889" s="804"/>
      <c r="F889" s="330">
        <v>3993.05</v>
      </c>
      <c r="G889" s="644">
        <f t="shared" si="126"/>
        <v>3993.05</v>
      </c>
      <c r="H889" s="865">
        <v>345</v>
      </c>
      <c r="I889" s="535">
        <v>0</v>
      </c>
      <c r="J889" s="403">
        <f t="shared" si="136"/>
        <v>345</v>
      </c>
      <c r="K889" s="403">
        <f t="shared" si="133"/>
        <v>345</v>
      </c>
      <c r="L889" s="425">
        <f t="shared" si="132"/>
        <v>0.4107142857142857</v>
      </c>
      <c r="M889" s="177">
        <f t="shared" si="134"/>
        <v>828.41482142857137</v>
      </c>
      <c r="N889" s="427">
        <f t="shared" si="135"/>
        <v>304.60812983928571</v>
      </c>
      <c r="O889" s="427">
        <v>320.00803571428571</v>
      </c>
      <c r="P889" s="177">
        <f t="shared" si="137"/>
        <v>22.125342857142858</v>
      </c>
      <c r="Q889" s="177">
        <f t="shared" si="138"/>
        <v>26.970792942857145</v>
      </c>
      <c r="R889" s="431">
        <f t="shared" si="128"/>
        <v>0.36943096876805587</v>
      </c>
      <c r="S889" s="468">
        <v>14</v>
      </c>
      <c r="T889" s="127"/>
      <c r="U889" s="127"/>
      <c r="V889" s="127"/>
      <c r="W889" s="127"/>
      <c r="X889" s="127"/>
      <c r="Y889" s="127"/>
    </row>
    <row r="890" spans="1:25" s="6" customFormat="1" ht="15.75" customHeight="1">
      <c r="A890" s="285">
        <v>10</v>
      </c>
      <c r="B890" s="285" t="s">
        <v>399</v>
      </c>
      <c r="C890" s="803">
        <v>8196.09</v>
      </c>
      <c r="D890" s="804"/>
      <c r="E890" s="804"/>
      <c r="F890" s="330">
        <v>8194.7900000000009</v>
      </c>
      <c r="G890" s="644">
        <f t="shared" ref="G890:G952" si="139">C890+D890+E890</f>
        <v>8196.09</v>
      </c>
      <c r="H890" s="865">
        <v>609</v>
      </c>
      <c r="I890" s="535">
        <v>0</v>
      </c>
      <c r="J890" s="403">
        <f t="shared" si="136"/>
        <v>609</v>
      </c>
      <c r="K890" s="403">
        <f t="shared" si="133"/>
        <v>609</v>
      </c>
      <c r="L890" s="425">
        <f t="shared" si="132"/>
        <v>0.72499999999999998</v>
      </c>
      <c r="M890" s="177">
        <f t="shared" si="134"/>
        <v>1462.3322499999999</v>
      </c>
      <c r="N890" s="427">
        <f t="shared" si="135"/>
        <v>537.69956832499997</v>
      </c>
      <c r="O890" s="427">
        <v>564.88374999999996</v>
      </c>
      <c r="P890" s="177">
        <f t="shared" si="137"/>
        <v>39.05604000000001</v>
      </c>
      <c r="Q890" s="177">
        <f t="shared" si="138"/>
        <v>47.609312760000016</v>
      </c>
      <c r="R890" s="431">
        <f t="shared" si="128"/>
        <v>0.31770900616330472</v>
      </c>
      <c r="S890" s="468">
        <v>9</v>
      </c>
      <c r="T890" s="127"/>
      <c r="U890" s="127"/>
      <c r="V890" s="127"/>
      <c r="W890" s="127"/>
      <c r="X890" s="127"/>
      <c r="Y890" s="127"/>
    </row>
    <row r="891" spans="1:25" s="6" customFormat="1" ht="15.75" customHeight="1">
      <c r="A891" s="285">
        <v>11</v>
      </c>
      <c r="B891" s="285" t="s">
        <v>401</v>
      </c>
      <c r="C891" s="803">
        <v>3935.64</v>
      </c>
      <c r="D891" s="804"/>
      <c r="E891" s="804"/>
      <c r="F891" s="330">
        <v>3931.01</v>
      </c>
      <c r="G891" s="644">
        <f t="shared" si="139"/>
        <v>3935.64</v>
      </c>
      <c r="H891" s="865">
        <v>437</v>
      </c>
      <c r="I891" s="535">
        <v>0</v>
      </c>
      <c r="J891" s="403">
        <f t="shared" si="136"/>
        <v>437</v>
      </c>
      <c r="K891" s="403">
        <f t="shared" si="133"/>
        <v>437</v>
      </c>
      <c r="L891" s="425">
        <f t="shared" si="132"/>
        <v>0.52023809523809528</v>
      </c>
      <c r="M891" s="177">
        <f t="shared" si="134"/>
        <v>1049.3254404761906</v>
      </c>
      <c r="N891" s="427">
        <f t="shared" si="135"/>
        <v>385.83696446309528</v>
      </c>
      <c r="O891" s="427">
        <v>405.3435119047619</v>
      </c>
      <c r="P891" s="177">
        <f t="shared" si="137"/>
        <v>28.02543428571429</v>
      </c>
      <c r="Q891" s="177">
        <f t="shared" si="138"/>
        <v>34.163004394285721</v>
      </c>
      <c r="R891" s="431">
        <f t="shared" si="128"/>
        <v>0.47477191794212936</v>
      </c>
      <c r="S891" s="468">
        <v>9</v>
      </c>
      <c r="T891" s="127"/>
      <c r="U891" s="127"/>
      <c r="V891" s="127"/>
      <c r="W891" s="127"/>
      <c r="X891" s="127"/>
      <c r="Y891" s="127"/>
    </row>
    <row r="892" spans="1:25" s="6" customFormat="1" ht="15.75" customHeight="1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523">
        <v>4086.15</v>
      </c>
      <c r="G892" s="644">
        <f t="shared" si="139"/>
        <v>4128.3999999999996</v>
      </c>
      <c r="H892" s="865">
        <v>272</v>
      </c>
      <c r="I892" s="535">
        <v>0</v>
      </c>
      <c r="J892" s="403">
        <f t="shared" si="136"/>
        <v>272</v>
      </c>
      <c r="K892" s="403">
        <f t="shared" si="133"/>
        <v>272</v>
      </c>
      <c r="L892" s="425">
        <f t="shared" si="132"/>
        <v>0.32380952380952382</v>
      </c>
      <c r="M892" s="177">
        <f t="shared" si="134"/>
        <v>653.12704761904763</v>
      </c>
      <c r="N892" s="427">
        <f t="shared" si="135"/>
        <v>240.15481540952382</v>
      </c>
      <c r="O892" s="427">
        <v>252.29619047619047</v>
      </c>
      <c r="P892" s="177">
        <f t="shared" si="137"/>
        <v>17.443748571428575</v>
      </c>
      <c r="Q892" s="177">
        <f t="shared" si="138"/>
        <v>21.263929508571433</v>
      </c>
      <c r="R892" s="431">
        <f t="shared" si="128"/>
        <v>0.29409341073084272</v>
      </c>
      <c r="S892" s="468">
        <v>9</v>
      </c>
      <c r="T892" s="127"/>
      <c r="U892" s="127"/>
      <c r="V892" s="127"/>
      <c r="W892" s="127"/>
      <c r="X892" s="127"/>
      <c r="Y892" s="127"/>
    </row>
    <row r="893" spans="1:25" s="6" customFormat="1" ht="15.75" customHeight="1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330">
        <v>17929.95</v>
      </c>
      <c r="G893" s="644">
        <f t="shared" si="139"/>
        <v>18171.13</v>
      </c>
      <c r="H893" s="865">
        <v>1527</v>
      </c>
      <c r="I893" s="535">
        <v>0</v>
      </c>
      <c r="J893" s="403">
        <f t="shared" si="136"/>
        <v>1527</v>
      </c>
      <c r="K893" s="403">
        <f t="shared" si="133"/>
        <v>1527</v>
      </c>
      <c r="L893" s="425">
        <f t="shared" si="132"/>
        <v>1.8178571428571428</v>
      </c>
      <c r="M893" s="177">
        <f t="shared" si="134"/>
        <v>3666.6360357142858</v>
      </c>
      <c r="N893" s="427">
        <f t="shared" si="135"/>
        <v>1348.2220703321429</v>
      </c>
      <c r="O893" s="427">
        <v>1416.3833928571428</v>
      </c>
      <c r="P893" s="177">
        <f t="shared" si="137"/>
        <v>97.92869142857144</v>
      </c>
      <c r="Q893" s="177">
        <f t="shared" si="138"/>
        <v>119.37507485142859</v>
      </c>
      <c r="R893" s="431">
        <f t="shared" si="128"/>
        <v>0.36392190404573971</v>
      </c>
      <c r="S893" s="468">
        <v>9</v>
      </c>
      <c r="T893" s="127"/>
      <c r="U893" s="127"/>
      <c r="V893" s="127"/>
      <c r="W893" s="127"/>
      <c r="X893" s="127"/>
      <c r="Y893" s="127"/>
    </row>
    <row r="894" spans="1:25" s="6" customFormat="1" ht="15.75" customHeight="1">
      <c r="A894" s="285">
        <v>14</v>
      </c>
      <c r="B894" s="285" t="s">
        <v>406</v>
      </c>
      <c r="C894" s="803">
        <v>3212.3</v>
      </c>
      <c r="D894" s="804"/>
      <c r="E894" s="804"/>
      <c r="F894" s="330">
        <v>3214.9</v>
      </c>
      <c r="G894" s="644">
        <f t="shared" si="139"/>
        <v>3212.3</v>
      </c>
      <c r="H894" s="865">
        <v>300</v>
      </c>
      <c r="I894" s="535">
        <v>0</v>
      </c>
      <c r="J894" s="403">
        <f t="shared" si="136"/>
        <v>300</v>
      </c>
      <c r="K894" s="403">
        <f t="shared" si="133"/>
        <v>300</v>
      </c>
      <c r="L894" s="425">
        <f t="shared" si="132"/>
        <v>0.35714285714285715</v>
      </c>
      <c r="M894" s="177">
        <f t="shared" si="134"/>
        <v>720.36071428571427</v>
      </c>
      <c r="N894" s="427">
        <f t="shared" si="135"/>
        <v>264.87663464285714</v>
      </c>
      <c r="O894" s="427">
        <v>278.26785714285717</v>
      </c>
      <c r="P894" s="177">
        <f t="shared" si="137"/>
        <v>19.239428571428576</v>
      </c>
      <c r="Q894" s="177">
        <f t="shared" si="138"/>
        <v>23.452863428571437</v>
      </c>
      <c r="R894" s="431">
        <f t="shared" si="128"/>
        <v>0.39932280130836378</v>
      </c>
      <c r="S894" s="468">
        <v>5</v>
      </c>
      <c r="T894" s="127"/>
      <c r="U894" s="127"/>
      <c r="V894" s="127"/>
      <c r="W894" s="127"/>
      <c r="X894" s="127"/>
      <c r="Y894" s="127"/>
    </row>
    <row r="895" spans="1:25" s="6" customFormat="1" ht="15.75" customHeight="1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330">
        <v>3999.31</v>
      </c>
      <c r="G895" s="644">
        <f t="shared" si="139"/>
        <v>4181.6099999999997</v>
      </c>
      <c r="H895" s="865">
        <v>245</v>
      </c>
      <c r="I895" s="535">
        <v>0</v>
      </c>
      <c r="J895" s="403">
        <f t="shared" si="136"/>
        <v>245</v>
      </c>
      <c r="K895" s="403">
        <f t="shared" si="133"/>
        <v>245</v>
      </c>
      <c r="L895" s="425">
        <f t="shared" si="132"/>
        <v>0.29166666666666669</v>
      </c>
      <c r="M895" s="177">
        <f t="shared" si="134"/>
        <v>588.29458333333332</v>
      </c>
      <c r="N895" s="427">
        <f t="shared" si="135"/>
        <v>216.31591829166669</v>
      </c>
      <c r="O895" s="427">
        <v>227.25208333333333</v>
      </c>
      <c r="P895" s="177">
        <f t="shared" si="137"/>
        <v>15.712200000000003</v>
      </c>
      <c r="Q895" s="177">
        <f t="shared" si="138"/>
        <v>19.153171800000006</v>
      </c>
      <c r="R895" s="431">
        <f t="shared" si="128"/>
        <v>0.26197163280034141</v>
      </c>
      <c r="S895" s="468">
        <v>9</v>
      </c>
      <c r="T895" s="127"/>
      <c r="U895" s="127"/>
      <c r="V895" s="127"/>
      <c r="W895" s="127"/>
      <c r="X895" s="127"/>
      <c r="Y895" s="127"/>
    </row>
    <row r="896" spans="1:25" s="6" customFormat="1" ht="15.75" customHeight="1">
      <c r="A896" s="285">
        <v>16</v>
      </c>
      <c r="B896" s="285" t="s">
        <v>408</v>
      </c>
      <c r="C896" s="803">
        <v>6299.01</v>
      </c>
      <c r="D896" s="804"/>
      <c r="E896" s="804"/>
      <c r="F896" s="330">
        <v>6226.62</v>
      </c>
      <c r="G896" s="644">
        <f t="shared" si="139"/>
        <v>6299.01</v>
      </c>
      <c r="H896" s="865">
        <v>579</v>
      </c>
      <c r="I896" s="535">
        <v>0</v>
      </c>
      <c r="J896" s="403">
        <f t="shared" si="136"/>
        <v>579</v>
      </c>
      <c r="K896" s="403">
        <f t="shared" si="133"/>
        <v>579</v>
      </c>
      <c r="L896" s="425">
        <f t="shared" si="132"/>
        <v>0.68928571428571428</v>
      </c>
      <c r="M896" s="177">
        <f t="shared" si="134"/>
        <v>1390.2961785714285</v>
      </c>
      <c r="N896" s="427">
        <f t="shared" si="135"/>
        <v>511.2119048607143</v>
      </c>
      <c r="O896" s="427">
        <v>537.05696428571423</v>
      </c>
      <c r="P896" s="177">
        <f t="shared" si="137"/>
        <v>37.132097142857148</v>
      </c>
      <c r="Q896" s="177">
        <f t="shared" si="138"/>
        <v>45.264026417142865</v>
      </c>
      <c r="R896" s="431">
        <f t="shared" si="128"/>
        <v>0.3930295625599442</v>
      </c>
      <c r="S896" s="468">
        <v>10</v>
      </c>
      <c r="T896" s="127"/>
      <c r="U896" s="127"/>
      <c r="V896" s="127"/>
      <c r="W896" s="127"/>
      <c r="X896" s="127"/>
      <c r="Y896" s="127"/>
    </row>
    <row r="897" spans="1:25" s="6" customFormat="1" ht="15.75" customHeight="1">
      <c r="A897" s="285">
        <v>17</v>
      </c>
      <c r="B897" s="285" t="s">
        <v>409</v>
      </c>
      <c r="C897" s="803">
        <v>147.65</v>
      </c>
      <c r="D897" s="804"/>
      <c r="E897" s="804"/>
      <c r="F897" s="330">
        <v>147.65</v>
      </c>
      <c r="G897" s="644">
        <f t="shared" si="139"/>
        <v>147.65</v>
      </c>
      <c r="H897" s="865">
        <v>0</v>
      </c>
      <c r="I897" s="535">
        <v>0</v>
      </c>
      <c r="J897" s="403">
        <f t="shared" si="136"/>
        <v>0</v>
      </c>
      <c r="K897" s="403">
        <f t="shared" si="133"/>
        <v>0</v>
      </c>
      <c r="L897" s="425">
        <f t="shared" si="132"/>
        <v>0</v>
      </c>
      <c r="M897" s="177">
        <f t="shared" si="134"/>
        <v>0</v>
      </c>
      <c r="N897" s="427">
        <f t="shared" si="135"/>
        <v>0</v>
      </c>
      <c r="O897" s="427">
        <v>0</v>
      </c>
      <c r="P897" s="177">
        <f t="shared" si="137"/>
        <v>0</v>
      </c>
      <c r="Q897" s="177">
        <f t="shared" si="138"/>
        <v>0</v>
      </c>
      <c r="R897" s="431">
        <f t="shared" si="128"/>
        <v>0</v>
      </c>
      <c r="S897" s="468">
        <v>2</v>
      </c>
      <c r="T897" s="127"/>
      <c r="U897" s="127"/>
      <c r="V897" s="127"/>
      <c r="W897" s="127"/>
      <c r="X897" s="127"/>
      <c r="Y897" s="127"/>
    </row>
    <row r="898" spans="1:25" s="6" customFormat="1" ht="15.75" customHeight="1">
      <c r="A898" s="285">
        <v>18</v>
      </c>
      <c r="B898" s="285" t="s">
        <v>410</v>
      </c>
      <c r="C898" s="803">
        <v>4248.3</v>
      </c>
      <c r="D898" s="804"/>
      <c r="E898" s="804"/>
      <c r="F898" s="330">
        <v>4252.2</v>
      </c>
      <c r="G898" s="644">
        <f t="shared" si="139"/>
        <v>4248.3</v>
      </c>
      <c r="H898" s="865">
        <v>262</v>
      </c>
      <c r="I898" s="535">
        <v>0</v>
      </c>
      <c r="J898" s="403">
        <f t="shared" si="136"/>
        <v>262</v>
      </c>
      <c r="K898" s="403">
        <f t="shared" si="133"/>
        <v>262</v>
      </c>
      <c r="L898" s="425">
        <f t="shared" si="132"/>
        <v>0.31190476190476191</v>
      </c>
      <c r="M898" s="177">
        <f t="shared" si="134"/>
        <v>629.11502380952379</v>
      </c>
      <c r="N898" s="427">
        <f t="shared" si="135"/>
        <v>231.32559425476191</v>
      </c>
      <c r="O898" s="427">
        <v>243.02059523809524</v>
      </c>
      <c r="P898" s="177">
        <f t="shared" si="137"/>
        <v>16.802434285714288</v>
      </c>
      <c r="Q898" s="177">
        <f t="shared" si="138"/>
        <v>20.482167394285717</v>
      </c>
      <c r="R898" s="431">
        <f t="shared" si="128"/>
        <v>0.26369692526142108</v>
      </c>
      <c r="S898" s="468">
        <v>9</v>
      </c>
      <c r="T898" s="127"/>
      <c r="U898" s="127"/>
      <c r="V898" s="127"/>
      <c r="W898" s="127"/>
      <c r="X898" s="127"/>
      <c r="Y898" s="127"/>
    </row>
    <row r="899" spans="1:25" s="6" customFormat="1" ht="15.75" customHeight="1">
      <c r="A899" s="285">
        <v>19</v>
      </c>
      <c r="B899" s="285" t="s">
        <v>411</v>
      </c>
      <c r="C899" s="803">
        <v>4085.47</v>
      </c>
      <c r="D899" s="804"/>
      <c r="E899" s="804"/>
      <c r="F899" s="330">
        <v>4086.17</v>
      </c>
      <c r="G899" s="644">
        <f t="shared" si="139"/>
        <v>4085.47</v>
      </c>
      <c r="H899" s="865">
        <v>299</v>
      </c>
      <c r="I899" s="535">
        <v>0</v>
      </c>
      <c r="J899" s="403">
        <f t="shared" si="136"/>
        <v>299</v>
      </c>
      <c r="K899" s="403">
        <f t="shared" si="133"/>
        <v>299</v>
      </c>
      <c r="L899" s="425">
        <f t="shared" si="132"/>
        <v>0.35595238095238096</v>
      </c>
      <c r="M899" s="177">
        <f t="shared" si="134"/>
        <v>717.95951190476194</v>
      </c>
      <c r="N899" s="427">
        <f t="shared" si="135"/>
        <v>263.99371252738098</v>
      </c>
      <c r="O899" s="427">
        <v>277.34029761904765</v>
      </c>
      <c r="P899" s="177">
        <f t="shared" si="137"/>
        <v>19.175297142857147</v>
      </c>
      <c r="Q899" s="177">
        <f t="shared" si="138"/>
        <v>23.374687217142863</v>
      </c>
      <c r="R899" s="431">
        <f t="shared" si="128"/>
        <v>0.31293065894353589</v>
      </c>
      <c r="S899" s="468">
        <v>9</v>
      </c>
      <c r="T899" s="127"/>
      <c r="U899" s="127"/>
      <c r="V899" s="127"/>
      <c r="W899" s="127"/>
      <c r="X899" s="127"/>
      <c r="Y899" s="127"/>
    </row>
    <row r="900" spans="1:25" s="6" customFormat="1" ht="15.75" customHeight="1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330">
        <v>3927.38</v>
      </c>
      <c r="G900" s="644">
        <f t="shared" si="139"/>
        <v>4100.95</v>
      </c>
      <c r="H900" s="865">
        <v>373</v>
      </c>
      <c r="I900" s="535">
        <v>0</v>
      </c>
      <c r="J900" s="403">
        <f t="shared" si="136"/>
        <v>373</v>
      </c>
      <c r="K900" s="403">
        <f t="shared" si="133"/>
        <v>373</v>
      </c>
      <c r="L900" s="425">
        <f t="shared" si="132"/>
        <v>0.44404761904761902</v>
      </c>
      <c r="M900" s="177">
        <f t="shared" si="134"/>
        <v>895.64848809523801</v>
      </c>
      <c r="N900" s="427">
        <f t="shared" si="135"/>
        <v>329.32994907261906</v>
      </c>
      <c r="O900" s="427">
        <v>345.97970238095235</v>
      </c>
      <c r="P900" s="177">
        <f t="shared" si="137"/>
        <v>23.921022857142859</v>
      </c>
      <c r="Q900" s="177">
        <f t="shared" si="138"/>
        <v>29.159726862857148</v>
      </c>
      <c r="R900" s="431">
        <f t="shared" si="128"/>
        <v>0.40339411996660102</v>
      </c>
      <c r="S900" s="468">
        <v>9</v>
      </c>
      <c r="T900" s="127"/>
      <c r="U900" s="127"/>
      <c r="V900" s="127"/>
      <c r="W900" s="127"/>
      <c r="X900" s="127"/>
      <c r="Y900" s="127"/>
    </row>
    <row r="901" spans="1:25" s="6" customFormat="1" ht="15.75" customHeight="1">
      <c r="A901" s="285">
        <v>21</v>
      </c>
      <c r="B901" s="285" t="s">
        <v>413</v>
      </c>
      <c r="C901" s="803">
        <v>7076.23</v>
      </c>
      <c r="D901" s="804"/>
      <c r="E901" s="804"/>
      <c r="F901" s="330">
        <v>7052.82</v>
      </c>
      <c r="G901" s="644">
        <f t="shared" si="139"/>
        <v>7076.23</v>
      </c>
      <c r="H901" s="865">
        <v>625</v>
      </c>
      <c r="I901" s="535">
        <v>0</v>
      </c>
      <c r="J901" s="403">
        <f t="shared" si="136"/>
        <v>625</v>
      </c>
      <c r="K901" s="403">
        <f t="shared" si="133"/>
        <v>625</v>
      </c>
      <c r="L901" s="425">
        <f t="shared" si="132"/>
        <v>0.74404761904761907</v>
      </c>
      <c r="M901" s="177">
        <f t="shared" si="134"/>
        <v>1500.7514880952381</v>
      </c>
      <c r="N901" s="427">
        <f t="shared" si="135"/>
        <v>551.82632217261903</v>
      </c>
      <c r="O901" s="427">
        <v>579.72470238095241</v>
      </c>
      <c r="P901" s="177">
        <f t="shared" si="137"/>
        <v>40.082142857142863</v>
      </c>
      <c r="Q901" s="177">
        <f t="shared" si="138"/>
        <v>48.860132142857154</v>
      </c>
      <c r="R901" s="431">
        <f t="shared" si="128"/>
        <v>0.377656556599482</v>
      </c>
      <c r="S901" s="468">
        <v>10</v>
      </c>
      <c r="T901" s="127"/>
      <c r="U901" s="127"/>
      <c r="V901" s="127"/>
      <c r="W901" s="127"/>
      <c r="X901" s="127"/>
      <c r="Y901" s="127"/>
    </row>
    <row r="902" spans="1:25" s="6" customFormat="1" ht="15.75" customHeight="1">
      <c r="A902" s="285">
        <v>22</v>
      </c>
      <c r="B902" s="285" t="s">
        <v>414</v>
      </c>
      <c r="C902" s="803">
        <v>4062.74</v>
      </c>
      <c r="D902" s="804"/>
      <c r="E902" s="804"/>
      <c r="F902" s="330">
        <v>4059.85</v>
      </c>
      <c r="G902" s="644">
        <f t="shared" si="139"/>
        <v>4062.74</v>
      </c>
      <c r="H902" s="865">
        <v>448</v>
      </c>
      <c r="I902" s="535">
        <v>0</v>
      </c>
      <c r="J902" s="403">
        <f t="shared" si="136"/>
        <v>448</v>
      </c>
      <c r="K902" s="403">
        <f t="shared" si="133"/>
        <v>448</v>
      </c>
      <c r="L902" s="425">
        <f t="shared" si="132"/>
        <v>0.53333333333333333</v>
      </c>
      <c r="M902" s="177">
        <f t="shared" si="134"/>
        <v>1075.7386666666666</v>
      </c>
      <c r="N902" s="427">
        <f t="shared" si="135"/>
        <v>395.54910773333336</v>
      </c>
      <c r="O902" s="427">
        <v>415.54666666666662</v>
      </c>
      <c r="P902" s="177">
        <f t="shared" si="137"/>
        <v>28.730880000000003</v>
      </c>
      <c r="Q902" s="177">
        <f t="shared" si="138"/>
        <v>35.022942720000003</v>
      </c>
      <c r="R902" s="431">
        <f t="shared" si="128"/>
        <v>0.47149591681147868</v>
      </c>
      <c r="S902" s="468">
        <v>9</v>
      </c>
      <c r="T902" s="127"/>
      <c r="U902" s="127"/>
      <c r="V902" s="127"/>
      <c r="W902" s="127"/>
      <c r="X902" s="127"/>
      <c r="Y902" s="127"/>
    </row>
    <row r="903" spans="1:25" s="6" customFormat="1" ht="15.75" customHeight="1">
      <c r="A903" s="285">
        <v>23</v>
      </c>
      <c r="B903" s="285" t="s">
        <v>415</v>
      </c>
      <c r="C903" s="803">
        <v>6379.08</v>
      </c>
      <c r="D903" s="804"/>
      <c r="E903" s="804"/>
      <c r="F903" s="330">
        <v>6374.41</v>
      </c>
      <c r="G903" s="644">
        <f t="shared" si="139"/>
        <v>6379.08</v>
      </c>
      <c r="H903" s="865">
        <v>658</v>
      </c>
      <c r="I903" s="535">
        <v>0</v>
      </c>
      <c r="J903" s="403">
        <f t="shared" si="136"/>
        <v>658</v>
      </c>
      <c r="K903" s="403">
        <f t="shared" si="133"/>
        <v>658</v>
      </c>
      <c r="L903" s="425">
        <f t="shared" si="132"/>
        <v>0.78333333333333333</v>
      </c>
      <c r="M903" s="177">
        <f t="shared" si="134"/>
        <v>1579.9911666666667</v>
      </c>
      <c r="N903" s="427">
        <f t="shared" si="135"/>
        <v>580.96275198333342</v>
      </c>
      <c r="O903" s="427">
        <v>610.33416666666665</v>
      </c>
      <c r="P903" s="177">
        <f t="shared" si="137"/>
        <v>42.198480000000004</v>
      </c>
      <c r="Q903" s="177">
        <f t="shared" si="138"/>
        <v>51.439947120000006</v>
      </c>
      <c r="R903" s="431">
        <f t="shared" ref="R903:R966" si="140">(M903+N903+O903+P903)/C903</f>
        <v>0.44104895460108146</v>
      </c>
      <c r="S903" s="468">
        <v>9</v>
      </c>
      <c r="T903" s="127"/>
      <c r="U903" s="127"/>
      <c r="V903" s="127"/>
      <c r="W903" s="127"/>
      <c r="X903" s="127"/>
      <c r="Y903" s="127"/>
    </row>
    <row r="904" spans="1:25" s="6" customFormat="1" ht="15.75" customHeight="1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330">
        <v>6491</v>
      </c>
      <c r="G904" s="644">
        <f t="shared" si="139"/>
        <v>6509.3399999999992</v>
      </c>
      <c r="H904" s="865">
        <v>682</v>
      </c>
      <c r="I904" s="535">
        <v>0</v>
      </c>
      <c r="J904" s="403">
        <f t="shared" si="136"/>
        <v>682</v>
      </c>
      <c r="K904" s="403">
        <f t="shared" si="133"/>
        <v>682</v>
      </c>
      <c r="L904" s="425">
        <f t="shared" si="132"/>
        <v>0.81190476190476191</v>
      </c>
      <c r="M904" s="177">
        <f t="shared" si="134"/>
        <v>1637.6200238095239</v>
      </c>
      <c r="N904" s="427">
        <f t="shared" si="135"/>
        <v>602.152882754762</v>
      </c>
      <c r="O904" s="427">
        <v>632.59559523809526</v>
      </c>
      <c r="P904" s="177">
        <f t="shared" si="137"/>
        <v>43.737634285714293</v>
      </c>
      <c r="Q904" s="177">
        <f t="shared" si="138"/>
        <v>53.316176194285724</v>
      </c>
      <c r="R904" s="431">
        <f t="shared" si="140"/>
        <v>0.44932713339231117</v>
      </c>
      <c r="S904" s="468">
        <v>9</v>
      </c>
      <c r="T904" s="127"/>
      <c r="U904" s="127"/>
      <c r="V904" s="127"/>
      <c r="W904" s="127"/>
      <c r="X904" s="127"/>
      <c r="Y904" s="127"/>
    </row>
    <row r="905" spans="1:25" s="6" customFormat="1" ht="15.75" customHeight="1">
      <c r="A905" s="285">
        <v>25</v>
      </c>
      <c r="B905" s="285" t="s">
        <v>417</v>
      </c>
      <c r="C905" s="803">
        <v>4249.6000000000004</v>
      </c>
      <c r="D905" s="804"/>
      <c r="E905" s="804"/>
      <c r="F905" s="330">
        <v>4228.3999999999996</v>
      </c>
      <c r="G905" s="644">
        <f t="shared" si="139"/>
        <v>4249.6000000000004</v>
      </c>
      <c r="H905" s="865">
        <v>325</v>
      </c>
      <c r="I905" s="535">
        <v>0</v>
      </c>
      <c r="J905" s="403">
        <f t="shared" si="136"/>
        <v>325</v>
      </c>
      <c r="K905" s="403">
        <f t="shared" si="133"/>
        <v>325</v>
      </c>
      <c r="L905" s="425">
        <f t="shared" si="132"/>
        <v>0.38690476190476192</v>
      </c>
      <c r="M905" s="177">
        <f t="shared" si="134"/>
        <v>780.39077380952381</v>
      </c>
      <c r="N905" s="427">
        <f t="shared" si="135"/>
        <v>286.94968752976195</v>
      </c>
      <c r="O905" s="427">
        <v>301.45684523809524</v>
      </c>
      <c r="P905" s="177">
        <f t="shared" si="137"/>
        <v>20.842714285714287</v>
      </c>
      <c r="Q905" s="177">
        <f t="shared" si="138"/>
        <v>25.407268714285717</v>
      </c>
      <c r="R905" s="431">
        <f t="shared" si="140"/>
        <v>0.32700489948773886</v>
      </c>
      <c r="S905" s="468">
        <v>9</v>
      </c>
      <c r="T905" s="127"/>
      <c r="U905" s="127"/>
      <c r="V905" s="127"/>
      <c r="W905" s="127"/>
      <c r="X905" s="127"/>
      <c r="Y905" s="127"/>
    </row>
    <row r="906" spans="1:25" s="6" customFormat="1" ht="15.75" customHeight="1">
      <c r="A906" s="285">
        <v>26</v>
      </c>
      <c r="B906" s="285" t="s">
        <v>418</v>
      </c>
      <c r="C906" s="803">
        <v>2807.52</v>
      </c>
      <c r="D906" s="804"/>
      <c r="E906" s="804"/>
      <c r="F906" s="330">
        <v>2809.54</v>
      </c>
      <c r="G906" s="644">
        <f t="shared" si="139"/>
        <v>2807.52</v>
      </c>
      <c r="H906" s="865">
        <v>198</v>
      </c>
      <c r="I906" s="535">
        <v>0</v>
      </c>
      <c r="J906" s="403">
        <f t="shared" si="136"/>
        <v>198</v>
      </c>
      <c r="K906" s="403">
        <f t="shared" si="133"/>
        <v>198</v>
      </c>
      <c r="L906" s="425">
        <f t="shared" si="132"/>
        <v>0.23571428571428571</v>
      </c>
      <c r="M906" s="177">
        <f t="shared" si="134"/>
        <v>475.43807142857139</v>
      </c>
      <c r="N906" s="427">
        <f t="shared" si="135"/>
        <v>174.81857886428571</v>
      </c>
      <c r="O906" s="427">
        <v>183.65678571428572</v>
      </c>
      <c r="P906" s="177">
        <f t="shared" si="137"/>
        <v>12.698022857142858</v>
      </c>
      <c r="Q906" s="177">
        <f t="shared" si="138"/>
        <v>15.478889862857145</v>
      </c>
      <c r="R906" s="431">
        <f t="shared" si="140"/>
        <v>0.30155135452794124</v>
      </c>
      <c r="S906" s="468">
        <v>5</v>
      </c>
      <c r="T906" s="127"/>
      <c r="U906" s="127"/>
      <c r="V906" s="127"/>
      <c r="W906" s="127"/>
      <c r="X906" s="127"/>
      <c r="Y906" s="127"/>
    </row>
    <row r="907" spans="1:25" s="6" customFormat="1" ht="15.75" customHeight="1">
      <c r="A907" s="285">
        <v>27</v>
      </c>
      <c r="B907" s="285" t="s">
        <v>419</v>
      </c>
      <c r="C907" s="803">
        <v>4226.7</v>
      </c>
      <c r="D907" s="804"/>
      <c r="E907" s="804"/>
      <c r="F907" s="330">
        <v>4171.0200000000004</v>
      </c>
      <c r="G907" s="644">
        <f t="shared" si="139"/>
        <v>4226.7</v>
      </c>
      <c r="H907" s="865">
        <v>482</v>
      </c>
      <c r="I907" s="535">
        <v>0</v>
      </c>
      <c r="J907" s="403">
        <f t="shared" si="136"/>
        <v>482</v>
      </c>
      <c r="K907" s="403">
        <f t="shared" si="133"/>
        <v>482</v>
      </c>
      <c r="L907" s="425">
        <f t="shared" si="132"/>
        <v>0.57380952380952377</v>
      </c>
      <c r="M907" s="177">
        <f t="shared" si="134"/>
        <v>1157.3795476190476</v>
      </c>
      <c r="N907" s="427">
        <f t="shared" si="135"/>
        <v>425.5684596595238</v>
      </c>
      <c r="O907" s="427">
        <v>447.08369047619044</v>
      </c>
      <c r="P907" s="177">
        <f t="shared" si="137"/>
        <v>30.911348571428572</v>
      </c>
      <c r="Q907" s="177">
        <f t="shared" si="138"/>
        <v>37.680933908571433</v>
      </c>
      <c r="R907" s="431">
        <f t="shared" si="140"/>
        <v>0.48760097625244059</v>
      </c>
      <c r="S907" s="468">
        <v>10</v>
      </c>
      <c r="T907" s="127"/>
      <c r="U907" s="127"/>
      <c r="V907" s="127"/>
      <c r="W907" s="127"/>
      <c r="X907" s="127"/>
      <c r="Y907" s="127"/>
    </row>
    <row r="908" spans="1:25" s="6" customFormat="1" ht="15.75" customHeight="1">
      <c r="A908" s="285">
        <v>28</v>
      </c>
      <c r="B908" s="285" t="s">
        <v>420</v>
      </c>
      <c r="C908" s="803">
        <v>4709.3599999999997</v>
      </c>
      <c r="D908" s="804"/>
      <c r="E908" s="804"/>
      <c r="F908" s="330">
        <v>4577.2</v>
      </c>
      <c r="G908" s="644">
        <f t="shared" si="139"/>
        <v>4709.3599999999997</v>
      </c>
      <c r="H908" s="865">
        <v>380</v>
      </c>
      <c r="I908" s="535">
        <v>0</v>
      </c>
      <c r="J908" s="403">
        <f t="shared" si="136"/>
        <v>380</v>
      </c>
      <c r="K908" s="403">
        <f t="shared" si="133"/>
        <v>380</v>
      </c>
      <c r="L908" s="425">
        <f t="shared" si="132"/>
        <v>0.45238095238095238</v>
      </c>
      <c r="M908" s="177">
        <f t="shared" si="134"/>
        <v>912.45690476190475</v>
      </c>
      <c r="N908" s="427">
        <f t="shared" si="135"/>
        <v>335.51040388095242</v>
      </c>
      <c r="O908" s="427">
        <v>352.47261904761905</v>
      </c>
      <c r="P908" s="177">
        <f t="shared" si="137"/>
        <v>24.36994285714286</v>
      </c>
      <c r="Q908" s="177">
        <f t="shared" si="138"/>
        <v>29.706960342857148</v>
      </c>
      <c r="R908" s="431">
        <f t="shared" si="140"/>
        <v>0.34501712983242294</v>
      </c>
      <c r="S908" s="468">
        <v>9</v>
      </c>
      <c r="T908" s="127"/>
      <c r="U908" s="127"/>
      <c r="V908" s="127"/>
      <c r="W908" s="127"/>
      <c r="X908" s="127"/>
      <c r="Y908" s="127"/>
    </row>
    <row r="909" spans="1:25" s="6" customFormat="1" ht="15.75" customHeight="1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330"/>
      <c r="G909" s="644">
        <f t="shared" si="139"/>
        <v>5750.25</v>
      </c>
      <c r="H909" s="867">
        <v>522.4</v>
      </c>
      <c r="I909" s="535">
        <v>0</v>
      </c>
      <c r="J909" s="403">
        <f t="shared" si="136"/>
        <v>522.4</v>
      </c>
      <c r="K909" s="403">
        <f t="shared" si="133"/>
        <v>522.4</v>
      </c>
      <c r="L909" s="425">
        <f t="shared" si="132"/>
        <v>0.62190476190476185</v>
      </c>
      <c r="M909" s="177">
        <f t="shared" si="134"/>
        <v>1254.3881238095237</v>
      </c>
      <c r="N909" s="427">
        <f t="shared" si="135"/>
        <v>461.23851312476188</v>
      </c>
      <c r="O909" s="427">
        <v>484.5570952380952</v>
      </c>
      <c r="P909" s="177">
        <f t="shared" si="137"/>
        <v>33.502258285714284</v>
      </c>
      <c r="Q909" s="177">
        <f t="shared" si="138"/>
        <v>40.839252850285717</v>
      </c>
      <c r="R909" s="431">
        <f t="shared" si="140"/>
        <v>0.39053526771478442</v>
      </c>
      <c r="S909" s="468">
        <v>9</v>
      </c>
      <c r="T909" s="127"/>
      <c r="U909" s="127"/>
      <c r="V909" s="127"/>
      <c r="W909" s="127"/>
      <c r="X909" s="127"/>
      <c r="Y909" s="127"/>
    </row>
    <row r="910" spans="1:25" s="6" customFormat="1" ht="15.75" customHeight="1">
      <c r="A910" s="285">
        <v>30</v>
      </c>
      <c r="B910" s="285" t="s">
        <v>421</v>
      </c>
      <c r="C910" s="803">
        <v>3555.12</v>
      </c>
      <c r="D910" s="804"/>
      <c r="E910" s="804"/>
      <c r="F910" s="330">
        <v>3554.96</v>
      </c>
      <c r="G910" s="644">
        <f t="shared" si="139"/>
        <v>3555.12</v>
      </c>
      <c r="H910" s="865">
        <v>368</v>
      </c>
      <c r="I910" s="535">
        <v>0</v>
      </c>
      <c r="J910" s="403">
        <f t="shared" si="136"/>
        <v>368</v>
      </c>
      <c r="K910" s="403">
        <f t="shared" si="133"/>
        <v>368</v>
      </c>
      <c r="L910" s="425">
        <f t="shared" si="132"/>
        <v>0.43809523809523809</v>
      </c>
      <c r="M910" s="177">
        <f t="shared" si="134"/>
        <v>883.64247619047615</v>
      </c>
      <c r="N910" s="427">
        <f t="shared" si="135"/>
        <v>324.91533849523807</v>
      </c>
      <c r="O910" s="427">
        <v>341.34190476190474</v>
      </c>
      <c r="P910" s="177">
        <f t="shared" si="137"/>
        <v>23.600365714285715</v>
      </c>
      <c r="Q910" s="177">
        <f t="shared" si="138"/>
        <v>28.768845805714289</v>
      </c>
      <c r="R910" s="431">
        <f t="shared" si="140"/>
        <v>0.44260111758869036</v>
      </c>
      <c r="S910" s="468">
        <v>9</v>
      </c>
      <c r="T910" s="127"/>
      <c r="U910" s="127"/>
      <c r="V910" s="127"/>
      <c r="W910" s="127"/>
      <c r="X910" s="127"/>
      <c r="Y910" s="127"/>
    </row>
    <row r="911" spans="1:25" s="6" customFormat="1" ht="15.75" customHeight="1">
      <c r="A911" s="285">
        <v>31</v>
      </c>
      <c r="B911" s="285" t="s">
        <v>422</v>
      </c>
      <c r="C911" s="803">
        <v>342.6</v>
      </c>
      <c r="D911" s="804"/>
      <c r="E911" s="804"/>
      <c r="F911" s="330">
        <v>342.6</v>
      </c>
      <c r="G911" s="644">
        <f t="shared" si="139"/>
        <v>342.6</v>
      </c>
      <c r="H911" s="865">
        <v>0</v>
      </c>
      <c r="I911" s="330">
        <v>0</v>
      </c>
      <c r="J911" s="403">
        <f t="shared" si="136"/>
        <v>0</v>
      </c>
      <c r="K911" s="403">
        <f t="shared" si="133"/>
        <v>0</v>
      </c>
      <c r="L911" s="425">
        <f t="shared" si="132"/>
        <v>0</v>
      </c>
      <c r="M911" s="177">
        <f t="shared" si="134"/>
        <v>0</v>
      </c>
      <c r="N911" s="427">
        <f t="shared" si="135"/>
        <v>0</v>
      </c>
      <c r="O911" s="427">
        <v>0</v>
      </c>
      <c r="P911" s="177">
        <f t="shared" si="137"/>
        <v>0</v>
      </c>
      <c r="Q911" s="177">
        <f t="shared" si="138"/>
        <v>0</v>
      </c>
      <c r="R911" s="431">
        <f t="shared" si="140"/>
        <v>0</v>
      </c>
      <c r="S911" s="468">
        <v>2</v>
      </c>
      <c r="T911" s="127"/>
      <c r="U911" s="127"/>
      <c r="V911" s="127"/>
      <c r="W911" s="127"/>
      <c r="X911" s="127"/>
      <c r="Y911" s="127"/>
    </row>
    <row r="912" spans="1:25" s="6" customFormat="1" ht="15.75" customHeight="1">
      <c r="A912" s="285">
        <v>32</v>
      </c>
      <c r="B912" s="285" t="s">
        <v>423</v>
      </c>
      <c r="C912" s="803">
        <v>361.6</v>
      </c>
      <c r="D912" s="804"/>
      <c r="E912" s="804"/>
      <c r="F912" s="330">
        <v>347</v>
      </c>
      <c r="G912" s="644">
        <f t="shared" si="139"/>
        <v>361.6</v>
      </c>
      <c r="H912" s="865">
        <v>0</v>
      </c>
      <c r="I912" s="330">
        <v>0</v>
      </c>
      <c r="J912" s="403">
        <f t="shared" si="136"/>
        <v>0</v>
      </c>
      <c r="K912" s="403">
        <f t="shared" si="133"/>
        <v>0</v>
      </c>
      <c r="L912" s="425">
        <f t="shared" si="132"/>
        <v>0</v>
      </c>
      <c r="M912" s="177">
        <f t="shared" si="134"/>
        <v>0</v>
      </c>
      <c r="N912" s="427">
        <f t="shared" si="135"/>
        <v>0</v>
      </c>
      <c r="O912" s="427">
        <v>0</v>
      </c>
      <c r="P912" s="177">
        <f t="shared" si="137"/>
        <v>0</v>
      </c>
      <c r="Q912" s="177">
        <f t="shared" si="138"/>
        <v>0</v>
      </c>
      <c r="R912" s="431">
        <f t="shared" si="140"/>
        <v>0</v>
      </c>
      <c r="S912" s="468">
        <v>2</v>
      </c>
      <c r="T912" s="127"/>
      <c r="U912" s="127"/>
      <c r="V912" s="127"/>
      <c r="W912" s="127"/>
      <c r="X912" s="127"/>
      <c r="Y912" s="127"/>
    </row>
    <row r="913" spans="1:25" s="6" customFormat="1" ht="15.75" customHeight="1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330">
        <v>7735.31</v>
      </c>
      <c r="G913" s="644">
        <f t="shared" si="139"/>
        <v>7926.65</v>
      </c>
      <c r="H913" s="865">
        <v>710</v>
      </c>
      <c r="I913" s="330">
        <v>0</v>
      </c>
      <c r="J913" s="403">
        <f t="shared" si="136"/>
        <v>710</v>
      </c>
      <c r="K913" s="403">
        <f t="shared" si="133"/>
        <v>710</v>
      </c>
      <c r="L913" s="425">
        <f t="shared" si="132"/>
        <v>0.84523809523809523</v>
      </c>
      <c r="M913" s="177">
        <f t="shared" si="134"/>
        <v>1704.8536904761904</v>
      </c>
      <c r="N913" s="427">
        <f t="shared" si="135"/>
        <v>626.87470198809524</v>
      </c>
      <c r="O913" s="427">
        <v>658.56726190476184</v>
      </c>
      <c r="P913" s="177">
        <f t="shared" si="137"/>
        <v>45.533314285714297</v>
      </c>
      <c r="Q913" s="177">
        <f t="shared" si="138"/>
        <v>55.505110114285735</v>
      </c>
      <c r="R913" s="431">
        <f t="shared" si="140"/>
        <v>0.39300028721379487</v>
      </c>
      <c r="S913" s="468">
        <v>9</v>
      </c>
      <c r="T913" s="127"/>
      <c r="U913" s="127"/>
      <c r="V913" s="127"/>
      <c r="W913" s="127"/>
      <c r="X913" s="127"/>
      <c r="Y913" s="127"/>
    </row>
    <row r="914" spans="1:25" s="6" customFormat="1" ht="15.75" customHeight="1">
      <c r="A914" s="285">
        <v>34</v>
      </c>
      <c r="B914" s="285" t="s">
        <v>425</v>
      </c>
      <c r="C914" s="803">
        <v>4021.5</v>
      </c>
      <c r="D914" s="804"/>
      <c r="E914" s="804"/>
      <c r="F914" s="330">
        <v>4015.6</v>
      </c>
      <c r="G914" s="644">
        <f t="shared" si="139"/>
        <v>4021.5</v>
      </c>
      <c r="H914" s="865">
        <v>465</v>
      </c>
      <c r="I914" s="330">
        <v>0</v>
      </c>
      <c r="J914" s="403">
        <f t="shared" si="136"/>
        <v>465</v>
      </c>
      <c r="K914" s="403">
        <f t="shared" si="133"/>
        <v>465</v>
      </c>
      <c r="L914" s="425">
        <f t="shared" si="132"/>
        <v>0.5535714285714286</v>
      </c>
      <c r="M914" s="177">
        <f t="shared" si="134"/>
        <v>1116.5591071428571</v>
      </c>
      <c r="N914" s="427">
        <f t="shared" si="135"/>
        <v>410.55878369642858</v>
      </c>
      <c r="O914" s="427">
        <v>431.31517857142859</v>
      </c>
      <c r="P914" s="177">
        <f t="shared" si="137"/>
        <v>29.821114285714291</v>
      </c>
      <c r="Q914" s="177">
        <f t="shared" si="138"/>
        <v>36.351938314285725</v>
      </c>
      <c r="R914" s="431">
        <f t="shared" si="140"/>
        <v>0.49440611306637539</v>
      </c>
      <c r="S914" s="468">
        <v>9</v>
      </c>
      <c r="T914" s="127"/>
      <c r="U914" s="127"/>
      <c r="V914" s="127"/>
      <c r="W914" s="127"/>
      <c r="X914" s="127"/>
      <c r="Y914" s="127"/>
    </row>
    <row r="915" spans="1:25" s="6" customFormat="1" ht="15.75" customHeight="1">
      <c r="A915" s="285">
        <v>35</v>
      </c>
      <c r="B915" s="285" t="s">
        <v>426</v>
      </c>
      <c r="C915" s="803">
        <v>4138.7700000000004</v>
      </c>
      <c r="D915" s="804"/>
      <c r="E915" s="804"/>
      <c r="F915" s="330">
        <v>4137.33</v>
      </c>
      <c r="G915" s="644">
        <f t="shared" si="139"/>
        <v>4138.7700000000004</v>
      </c>
      <c r="H915" s="865">
        <v>482</v>
      </c>
      <c r="I915" s="330">
        <v>0</v>
      </c>
      <c r="J915" s="403">
        <f t="shared" si="136"/>
        <v>482</v>
      </c>
      <c r="K915" s="403">
        <f t="shared" si="133"/>
        <v>482</v>
      </c>
      <c r="L915" s="425">
        <f t="shared" si="132"/>
        <v>0.57380952380952377</v>
      </c>
      <c r="M915" s="177">
        <f t="shared" si="134"/>
        <v>1157.3795476190476</v>
      </c>
      <c r="N915" s="427">
        <f t="shared" si="135"/>
        <v>425.5684596595238</v>
      </c>
      <c r="O915" s="427">
        <v>447.08369047619044</v>
      </c>
      <c r="P915" s="177">
        <f t="shared" si="137"/>
        <v>30.911348571428572</v>
      </c>
      <c r="Q915" s="177">
        <f t="shared" si="138"/>
        <v>37.680933908571433</v>
      </c>
      <c r="R915" s="431">
        <f t="shared" si="140"/>
        <v>0.49796027474979049</v>
      </c>
      <c r="S915" s="468">
        <v>9</v>
      </c>
      <c r="T915" s="127"/>
      <c r="U915" s="127"/>
      <c r="V915" s="127"/>
      <c r="W915" s="127"/>
      <c r="X915" s="127"/>
      <c r="Y915" s="127"/>
    </row>
    <row r="916" spans="1:25" s="6" customFormat="1" ht="15.75" customHeight="1">
      <c r="A916" s="285">
        <v>36</v>
      </c>
      <c r="B916" s="285" t="s">
        <v>427</v>
      </c>
      <c r="C916" s="803">
        <v>361.5</v>
      </c>
      <c r="D916" s="804"/>
      <c r="E916" s="804"/>
      <c r="F916" s="330">
        <v>362.8</v>
      </c>
      <c r="G916" s="644">
        <f t="shared" si="139"/>
        <v>361.5</v>
      </c>
      <c r="H916" s="865">
        <v>0</v>
      </c>
      <c r="I916" s="330">
        <v>0</v>
      </c>
      <c r="J916" s="403">
        <f t="shared" si="136"/>
        <v>0</v>
      </c>
      <c r="K916" s="403">
        <f t="shared" si="133"/>
        <v>0</v>
      </c>
      <c r="L916" s="425">
        <f t="shared" si="132"/>
        <v>0</v>
      </c>
      <c r="M916" s="177">
        <f t="shared" si="134"/>
        <v>0</v>
      </c>
      <c r="N916" s="427">
        <f t="shared" si="135"/>
        <v>0</v>
      </c>
      <c r="O916" s="427">
        <v>0</v>
      </c>
      <c r="P916" s="177">
        <f t="shared" si="137"/>
        <v>0</v>
      </c>
      <c r="Q916" s="177">
        <f t="shared" si="138"/>
        <v>0</v>
      </c>
      <c r="R916" s="431">
        <f t="shared" si="140"/>
        <v>0</v>
      </c>
      <c r="S916" s="468">
        <v>2</v>
      </c>
      <c r="T916" s="127"/>
      <c r="U916" s="127"/>
      <c r="V916" s="127"/>
      <c r="W916" s="127"/>
      <c r="X916" s="127"/>
      <c r="Y916" s="127"/>
    </row>
    <row r="917" spans="1:25" s="6" customFormat="1" ht="15.75" customHeight="1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330">
        <v>5684.66</v>
      </c>
      <c r="G917" s="644">
        <f t="shared" si="139"/>
        <v>5864.56</v>
      </c>
      <c r="H917" s="865">
        <v>648</v>
      </c>
      <c r="I917" s="330">
        <v>0</v>
      </c>
      <c r="J917" s="403">
        <f t="shared" si="136"/>
        <v>648</v>
      </c>
      <c r="K917" s="403">
        <f t="shared" si="133"/>
        <v>648</v>
      </c>
      <c r="L917" s="425">
        <f t="shared" si="132"/>
        <v>0.77142857142857146</v>
      </c>
      <c r="M917" s="177">
        <f t="shared" si="134"/>
        <v>1555.979142857143</v>
      </c>
      <c r="N917" s="427">
        <f t="shared" si="135"/>
        <v>572.13353082857145</v>
      </c>
      <c r="O917" s="427">
        <v>601.05857142857144</v>
      </c>
      <c r="P917" s="177">
        <f t="shared" si="137"/>
        <v>41.557165714285716</v>
      </c>
      <c r="Q917" s="177">
        <f t="shared" si="138"/>
        <v>50.658185005714294</v>
      </c>
      <c r="R917" s="431">
        <f t="shared" si="140"/>
        <v>0.48737012640650607</v>
      </c>
      <c r="S917" s="468">
        <v>5</v>
      </c>
      <c r="T917" s="127"/>
      <c r="U917" s="127"/>
      <c r="V917" s="127"/>
      <c r="W917" s="127"/>
      <c r="X917" s="127"/>
      <c r="Y917" s="127"/>
    </row>
    <row r="918" spans="1:25" s="6" customFormat="1" ht="15.75" customHeight="1">
      <c r="A918" s="285">
        <v>38</v>
      </c>
      <c r="B918" s="285" t="s">
        <v>429</v>
      </c>
      <c r="C918" s="803">
        <v>135.35</v>
      </c>
      <c r="D918" s="804"/>
      <c r="E918" s="804"/>
      <c r="F918" s="330">
        <v>135.35</v>
      </c>
      <c r="G918" s="644">
        <f t="shared" si="139"/>
        <v>135.35</v>
      </c>
      <c r="H918" s="865">
        <v>0</v>
      </c>
      <c r="I918" s="330">
        <v>0</v>
      </c>
      <c r="J918" s="403">
        <f t="shared" si="136"/>
        <v>0</v>
      </c>
      <c r="K918" s="403">
        <f t="shared" si="133"/>
        <v>0</v>
      </c>
      <c r="L918" s="425">
        <f t="shared" si="132"/>
        <v>0</v>
      </c>
      <c r="M918" s="177">
        <f t="shared" si="134"/>
        <v>0</v>
      </c>
      <c r="N918" s="427">
        <f t="shared" si="135"/>
        <v>0</v>
      </c>
      <c r="O918" s="427">
        <v>0</v>
      </c>
      <c r="P918" s="177">
        <f t="shared" si="137"/>
        <v>0</v>
      </c>
      <c r="Q918" s="177">
        <f t="shared" si="138"/>
        <v>0</v>
      </c>
      <c r="R918" s="431">
        <f t="shared" si="140"/>
        <v>0</v>
      </c>
      <c r="S918" s="468">
        <v>2</v>
      </c>
      <c r="T918" s="127"/>
      <c r="U918" s="127"/>
      <c r="V918" s="127"/>
      <c r="W918" s="127"/>
      <c r="X918" s="127"/>
      <c r="Y918" s="127"/>
    </row>
    <row r="919" spans="1:25" s="6" customFormat="1" ht="15.75" customHeight="1">
      <c r="A919" s="285">
        <v>39</v>
      </c>
      <c r="B919" s="285" t="s">
        <v>430</v>
      </c>
      <c r="C919" s="803">
        <v>37.4</v>
      </c>
      <c r="D919" s="804"/>
      <c r="E919" s="804"/>
      <c r="F919" s="330">
        <v>37.4</v>
      </c>
      <c r="G919" s="644">
        <f t="shared" si="139"/>
        <v>37.4</v>
      </c>
      <c r="H919" s="865">
        <v>0</v>
      </c>
      <c r="I919" s="330">
        <v>0</v>
      </c>
      <c r="J919" s="403">
        <f t="shared" si="136"/>
        <v>0</v>
      </c>
      <c r="K919" s="403">
        <f t="shared" si="133"/>
        <v>0</v>
      </c>
      <c r="L919" s="425">
        <f t="shared" si="132"/>
        <v>0</v>
      </c>
      <c r="M919" s="177">
        <f t="shared" si="134"/>
        <v>0</v>
      </c>
      <c r="N919" s="427">
        <f t="shared" si="135"/>
        <v>0</v>
      </c>
      <c r="O919" s="427">
        <v>0</v>
      </c>
      <c r="P919" s="177">
        <f t="shared" si="137"/>
        <v>0</v>
      </c>
      <c r="Q919" s="177">
        <f t="shared" si="138"/>
        <v>0</v>
      </c>
      <c r="R919" s="431">
        <f t="shared" si="140"/>
        <v>0</v>
      </c>
      <c r="S919" s="468">
        <v>1</v>
      </c>
      <c r="T919" s="127"/>
      <c r="U919" s="127"/>
      <c r="V919" s="127"/>
      <c r="W919" s="127"/>
      <c r="X919" s="127"/>
      <c r="Y919" s="127"/>
    </row>
    <row r="920" spans="1:25" s="6" customFormat="1" ht="15.75" customHeight="1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330">
        <v>210.4</v>
      </c>
      <c r="G920" s="644">
        <f t="shared" si="139"/>
        <v>236.9</v>
      </c>
      <c r="H920" s="865">
        <v>0</v>
      </c>
      <c r="I920" s="330">
        <v>0</v>
      </c>
      <c r="J920" s="403">
        <f t="shared" si="136"/>
        <v>0</v>
      </c>
      <c r="K920" s="403">
        <f t="shared" si="133"/>
        <v>0</v>
      </c>
      <c r="L920" s="425">
        <f t="shared" si="132"/>
        <v>0</v>
      </c>
      <c r="M920" s="177">
        <f t="shared" si="134"/>
        <v>0</v>
      </c>
      <c r="N920" s="427">
        <f t="shared" si="135"/>
        <v>0</v>
      </c>
      <c r="O920" s="427">
        <v>0</v>
      </c>
      <c r="P920" s="177">
        <f t="shared" si="137"/>
        <v>0</v>
      </c>
      <c r="Q920" s="177">
        <f t="shared" si="138"/>
        <v>0</v>
      </c>
      <c r="R920" s="431">
        <f t="shared" si="140"/>
        <v>0</v>
      </c>
      <c r="S920" s="468">
        <v>2</v>
      </c>
      <c r="T920" s="127"/>
      <c r="U920" s="127"/>
      <c r="V920" s="127"/>
      <c r="W920" s="127"/>
      <c r="X920" s="127"/>
      <c r="Y920" s="127"/>
    </row>
    <row r="921" spans="1:25" s="6" customFormat="1" ht="15.75" customHeight="1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330">
        <v>296.5</v>
      </c>
      <c r="G921" s="644">
        <f t="shared" si="139"/>
        <v>362.6</v>
      </c>
      <c r="H921" s="865">
        <v>0</v>
      </c>
      <c r="I921" s="330">
        <v>0</v>
      </c>
      <c r="J921" s="403">
        <f t="shared" si="136"/>
        <v>0</v>
      </c>
      <c r="K921" s="403">
        <f t="shared" si="133"/>
        <v>0</v>
      </c>
      <c r="L921" s="425">
        <f t="shared" si="132"/>
        <v>0</v>
      </c>
      <c r="M921" s="177">
        <f t="shared" si="134"/>
        <v>0</v>
      </c>
      <c r="N921" s="427">
        <f t="shared" si="135"/>
        <v>0</v>
      </c>
      <c r="O921" s="427">
        <v>0</v>
      </c>
      <c r="P921" s="177">
        <f t="shared" si="137"/>
        <v>0</v>
      </c>
      <c r="Q921" s="177">
        <f t="shared" si="138"/>
        <v>0</v>
      </c>
      <c r="R921" s="431">
        <f t="shared" si="140"/>
        <v>0</v>
      </c>
      <c r="S921" s="468">
        <v>2</v>
      </c>
      <c r="T921" s="127"/>
      <c r="U921" s="127"/>
      <c r="V921" s="127"/>
      <c r="W921" s="127"/>
      <c r="X921" s="127"/>
      <c r="Y921" s="127"/>
    </row>
    <row r="922" spans="1:25" s="6" customFormat="1" ht="15.75" customHeight="1">
      <c r="A922" s="285">
        <v>42</v>
      </c>
      <c r="B922" s="285" t="s">
        <v>433</v>
      </c>
      <c r="C922" s="803">
        <v>494.9</v>
      </c>
      <c r="D922" s="804"/>
      <c r="E922" s="804"/>
      <c r="F922" s="330">
        <v>493.3</v>
      </c>
      <c r="G922" s="644">
        <f t="shared" si="139"/>
        <v>494.9</v>
      </c>
      <c r="H922" s="865">
        <v>0</v>
      </c>
      <c r="I922" s="330">
        <v>0</v>
      </c>
      <c r="J922" s="403">
        <f t="shared" si="136"/>
        <v>0</v>
      </c>
      <c r="K922" s="403">
        <f t="shared" si="133"/>
        <v>0</v>
      </c>
      <c r="L922" s="425">
        <f t="shared" si="132"/>
        <v>0</v>
      </c>
      <c r="M922" s="177">
        <f t="shared" si="134"/>
        <v>0</v>
      </c>
      <c r="N922" s="427">
        <f t="shared" si="135"/>
        <v>0</v>
      </c>
      <c r="O922" s="427">
        <v>0</v>
      </c>
      <c r="P922" s="177">
        <f t="shared" si="137"/>
        <v>0</v>
      </c>
      <c r="Q922" s="177">
        <f t="shared" si="138"/>
        <v>0</v>
      </c>
      <c r="R922" s="431">
        <f t="shared" si="140"/>
        <v>0</v>
      </c>
      <c r="S922" s="468">
        <v>2</v>
      </c>
      <c r="T922" s="127"/>
      <c r="U922" s="127"/>
      <c r="V922" s="127"/>
      <c r="W922" s="127"/>
      <c r="X922" s="127"/>
      <c r="Y922" s="127"/>
    </row>
    <row r="923" spans="1:25" s="6" customFormat="1" ht="15.75" customHeight="1">
      <c r="A923" s="285">
        <v>43</v>
      </c>
      <c r="B923" s="285" t="s">
        <v>434</v>
      </c>
      <c r="C923" s="803">
        <v>277.2</v>
      </c>
      <c r="D923" s="804"/>
      <c r="E923" s="804"/>
      <c r="F923" s="330">
        <v>235.5</v>
      </c>
      <c r="G923" s="644">
        <f t="shared" si="139"/>
        <v>277.2</v>
      </c>
      <c r="H923" s="865">
        <v>0</v>
      </c>
      <c r="I923" s="330">
        <v>0</v>
      </c>
      <c r="J923" s="403">
        <f t="shared" si="136"/>
        <v>0</v>
      </c>
      <c r="K923" s="403">
        <f t="shared" si="133"/>
        <v>0</v>
      </c>
      <c r="L923" s="425">
        <f t="shared" si="132"/>
        <v>0</v>
      </c>
      <c r="M923" s="177">
        <f t="shared" si="134"/>
        <v>0</v>
      </c>
      <c r="N923" s="427">
        <f t="shared" si="135"/>
        <v>0</v>
      </c>
      <c r="O923" s="427">
        <v>0</v>
      </c>
      <c r="P923" s="177">
        <f t="shared" si="137"/>
        <v>0</v>
      </c>
      <c r="Q923" s="177">
        <f t="shared" si="138"/>
        <v>0</v>
      </c>
      <c r="R923" s="431">
        <f t="shared" si="140"/>
        <v>0</v>
      </c>
      <c r="S923" s="468">
        <v>2</v>
      </c>
      <c r="T923" s="127"/>
      <c r="U923" s="127"/>
      <c r="V923" s="127"/>
      <c r="W923" s="127"/>
      <c r="X923" s="127"/>
      <c r="Y923" s="127"/>
    </row>
    <row r="924" spans="1:25" s="6" customFormat="1" ht="15.75" customHeight="1">
      <c r="A924" s="285">
        <v>44</v>
      </c>
      <c r="B924" s="285" t="s">
        <v>435</v>
      </c>
      <c r="C924" s="803">
        <v>7127.52</v>
      </c>
      <c r="D924" s="804"/>
      <c r="E924" s="804"/>
      <c r="F924" s="330">
        <v>7064.26</v>
      </c>
      <c r="G924" s="644">
        <f t="shared" si="139"/>
        <v>7127.52</v>
      </c>
      <c r="H924" s="865">
        <v>750</v>
      </c>
      <c r="I924" s="330">
        <v>0</v>
      </c>
      <c r="J924" s="403">
        <f t="shared" si="136"/>
        <v>750</v>
      </c>
      <c r="K924" s="403">
        <f t="shared" si="133"/>
        <v>750</v>
      </c>
      <c r="L924" s="425">
        <f t="shared" si="132"/>
        <v>0.8928571428571429</v>
      </c>
      <c r="M924" s="177">
        <f t="shared" si="134"/>
        <v>1800.9017857142858</v>
      </c>
      <c r="N924" s="427">
        <f t="shared" si="135"/>
        <v>662.19158660714288</v>
      </c>
      <c r="O924" s="427">
        <v>695.66964285714289</v>
      </c>
      <c r="P924" s="177">
        <f t="shared" si="137"/>
        <v>48.098571428571439</v>
      </c>
      <c r="Q924" s="177">
        <f t="shared" si="138"/>
        <v>58.63215857142859</v>
      </c>
      <c r="R924" s="431">
        <f t="shared" si="140"/>
        <v>0.4499267047454294</v>
      </c>
      <c r="S924" s="468">
        <v>10</v>
      </c>
      <c r="T924" s="127"/>
      <c r="U924" s="127"/>
      <c r="V924" s="127"/>
      <c r="W924" s="127"/>
      <c r="X924" s="127"/>
      <c r="Y924" s="127"/>
    </row>
    <row r="925" spans="1:25" s="6" customFormat="1" ht="15.75" customHeight="1">
      <c r="A925" s="285">
        <v>45</v>
      </c>
      <c r="B925" s="285" t="s">
        <v>436</v>
      </c>
      <c r="C925" s="803">
        <v>52.9</v>
      </c>
      <c r="D925" s="804"/>
      <c r="E925" s="804"/>
      <c r="F925" s="330">
        <v>52.9</v>
      </c>
      <c r="G925" s="644">
        <f t="shared" si="139"/>
        <v>52.9</v>
      </c>
      <c r="H925" s="865">
        <v>0</v>
      </c>
      <c r="I925" s="330">
        <v>0</v>
      </c>
      <c r="J925" s="403">
        <f t="shared" si="136"/>
        <v>0</v>
      </c>
      <c r="K925" s="403">
        <f t="shared" si="133"/>
        <v>0</v>
      </c>
      <c r="L925" s="425">
        <f t="shared" si="132"/>
        <v>0</v>
      </c>
      <c r="M925" s="177">
        <f t="shared" si="134"/>
        <v>0</v>
      </c>
      <c r="N925" s="427">
        <f t="shared" si="135"/>
        <v>0</v>
      </c>
      <c r="O925" s="427">
        <v>0</v>
      </c>
      <c r="P925" s="177">
        <f t="shared" si="137"/>
        <v>0</v>
      </c>
      <c r="Q925" s="177">
        <f t="shared" si="138"/>
        <v>0</v>
      </c>
      <c r="R925" s="431">
        <f t="shared" si="140"/>
        <v>0</v>
      </c>
      <c r="S925" s="468">
        <v>1</v>
      </c>
      <c r="T925" s="127"/>
      <c r="U925" s="127"/>
      <c r="V925" s="127"/>
      <c r="W925" s="127"/>
      <c r="X925" s="127"/>
      <c r="Y925" s="127"/>
    </row>
    <row r="926" spans="1:25" s="6" customFormat="1" ht="15.75" customHeight="1">
      <c r="A926" s="285">
        <v>46</v>
      </c>
      <c r="B926" s="285" t="s">
        <v>437</v>
      </c>
      <c r="C926" s="803">
        <v>119.9</v>
      </c>
      <c r="D926" s="804"/>
      <c r="E926" s="804"/>
      <c r="F926" s="330">
        <v>119.9</v>
      </c>
      <c r="G926" s="644">
        <f t="shared" si="139"/>
        <v>119.9</v>
      </c>
      <c r="H926" s="865">
        <v>0</v>
      </c>
      <c r="I926" s="330">
        <v>0</v>
      </c>
      <c r="J926" s="403">
        <f t="shared" si="136"/>
        <v>0</v>
      </c>
      <c r="K926" s="403">
        <f t="shared" si="133"/>
        <v>0</v>
      </c>
      <c r="L926" s="425">
        <f t="shared" si="132"/>
        <v>0</v>
      </c>
      <c r="M926" s="177">
        <f t="shared" si="134"/>
        <v>0</v>
      </c>
      <c r="N926" s="427">
        <f t="shared" si="135"/>
        <v>0</v>
      </c>
      <c r="O926" s="427">
        <v>0</v>
      </c>
      <c r="P926" s="177">
        <f t="shared" si="137"/>
        <v>0</v>
      </c>
      <c r="Q926" s="177">
        <f t="shared" si="138"/>
        <v>0</v>
      </c>
      <c r="R926" s="431">
        <f t="shared" si="140"/>
        <v>0</v>
      </c>
      <c r="S926" s="468">
        <v>2</v>
      </c>
      <c r="T926" s="127"/>
      <c r="U926" s="127"/>
      <c r="V926" s="127"/>
      <c r="W926" s="127"/>
      <c r="X926" s="127"/>
      <c r="Y926" s="127"/>
    </row>
    <row r="927" spans="1:25" s="6" customFormat="1" ht="15.75" customHeight="1">
      <c r="A927" s="285">
        <v>47</v>
      </c>
      <c r="B927" s="285" t="s">
        <v>438</v>
      </c>
      <c r="C927" s="803">
        <v>75.3</v>
      </c>
      <c r="D927" s="804"/>
      <c r="E927" s="804"/>
      <c r="F927" s="330">
        <v>75.3</v>
      </c>
      <c r="G927" s="644">
        <f t="shared" si="139"/>
        <v>75.3</v>
      </c>
      <c r="H927" s="865">
        <v>0</v>
      </c>
      <c r="I927" s="330">
        <v>0</v>
      </c>
      <c r="J927" s="403">
        <f t="shared" si="136"/>
        <v>0</v>
      </c>
      <c r="K927" s="403">
        <f t="shared" si="133"/>
        <v>0</v>
      </c>
      <c r="L927" s="425">
        <f t="shared" si="132"/>
        <v>0</v>
      </c>
      <c r="M927" s="177">
        <f t="shared" si="134"/>
        <v>0</v>
      </c>
      <c r="N927" s="427">
        <f t="shared" si="135"/>
        <v>0</v>
      </c>
      <c r="O927" s="427">
        <v>0</v>
      </c>
      <c r="P927" s="177">
        <f t="shared" si="137"/>
        <v>0</v>
      </c>
      <c r="Q927" s="177">
        <f t="shared" si="138"/>
        <v>0</v>
      </c>
      <c r="R927" s="431">
        <f t="shared" si="140"/>
        <v>0</v>
      </c>
      <c r="S927" s="468">
        <v>1</v>
      </c>
      <c r="T927" s="127"/>
      <c r="U927" s="127"/>
      <c r="V927" s="127"/>
      <c r="W927" s="127"/>
      <c r="X927" s="127"/>
      <c r="Y927" s="127"/>
    </row>
    <row r="928" spans="1:25" s="6" customFormat="1" ht="15.75" customHeight="1">
      <c r="A928" s="285">
        <v>48</v>
      </c>
      <c r="B928" s="285" t="s">
        <v>439</v>
      </c>
      <c r="C928" s="803">
        <v>120.8</v>
      </c>
      <c r="D928" s="804"/>
      <c r="E928" s="804"/>
      <c r="F928" s="330">
        <v>120.8</v>
      </c>
      <c r="G928" s="644">
        <f t="shared" si="139"/>
        <v>120.8</v>
      </c>
      <c r="H928" s="865">
        <v>0</v>
      </c>
      <c r="I928" s="330">
        <v>0</v>
      </c>
      <c r="J928" s="403">
        <f t="shared" si="136"/>
        <v>0</v>
      </c>
      <c r="K928" s="403">
        <f t="shared" si="133"/>
        <v>0</v>
      </c>
      <c r="L928" s="425">
        <f t="shared" si="132"/>
        <v>0</v>
      </c>
      <c r="M928" s="177">
        <f t="shared" si="134"/>
        <v>0</v>
      </c>
      <c r="N928" s="427">
        <f t="shared" si="135"/>
        <v>0</v>
      </c>
      <c r="O928" s="427">
        <v>0</v>
      </c>
      <c r="P928" s="177">
        <f t="shared" si="137"/>
        <v>0</v>
      </c>
      <c r="Q928" s="177">
        <f t="shared" si="138"/>
        <v>0</v>
      </c>
      <c r="R928" s="431">
        <f t="shared" si="140"/>
        <v>0</v>
      </c>
      <c r="S928" s="468">
        <v>2</v>
      </c>
      <c r="T928" s="127"/>
      <c r="U928" s="127"/>
      <c r="V928" s="127"/>
      <c r="W928" s="127"/>
      <c r="X928" s="127"/>
      <c r="Y928" s="127"/>
    </row>
    <row r="929" spans="1:25" s="6" customFormat="1" ht="15.75" customHeight="1">
      <c r="A929" s="285">
        <v>49</v>
      </c>
      <c r="B929" s="285" t="s">
        <v>440</v>
      </c>
      <c r="C929" s="803">
        <v>429.7</v>
      </c>
      <c r="D929" s="804"/>
      <c r="E929" s="804"/>
      <c r="F929" s="330">
        <v>429.7</v>
      </c>
      <c r="G929" s="644">
        <f t="shared" si="139"/>
        <v>429.7</v>
      </c>
      <c r="H929" s="865">
        <v>0</v>
      </c>
      <c r="I929" s="330">
        <v>0</v>
      </c>
      <c r="J929" s="403">
        <f t="shared" si="136"/>
        <v>0</v>
      </c>
      <c r="K929" s="403">
        <f t="shared" si="133"/>
        <v>0</v>
      </c>
      <c r="L929" s="425">
        <f t="shared" si="132"/>
        <v>0</v>
      </c>
      <c r="M929" s="177">
        <f t="shared" si="134"/>
        <v>0</v>
      </c>
      <c r="N929" s="427">
        <f t="shared" si="135"/>
        <v>0</v>
      </c>
      <c r="O929" s="427">
        <v>0</v>
      </c>
      <c r="P929" s="177">
        <f t="shared" si="137"/>
        <v>0</v>
      </c>
      <c r="Q929" s="177">
        <f t="shared" si="138"/>
        <v>0</v>
      </c>
      <c r="R929" s="431">
        <f t="shared" si="140"/>
        <v>0</v>
      </c>
      <c r="S929" s="468">
        <v>2</v>
      </c>
      <c r="T929" s="127"/>
      <c r="U929" s="127"/>
      <c r="V929" s="127"/>
      <c r="W929" s="127"/>
      <c r="X929" s="127"/>
      <c r="Y929" s="127"/>
    </row>
    <row r="930" spans="1:25" s="6" customFormat="1" ht="15.75" customHeight="1">
      <c r="A930" s="285">
        <v>50</v>
      </c>
      <c r="B930" s="285" t="s">
        <v>441</v>
      </c>
      <c r="C930" s="803">
        <v>249.1</v>
      </c>
      <c r="D930" s="804"/>
      <c r="E930" s="804"/>
      <c r="F930" s="330">
        <v>249.2</v>
      </c>
      <c r="G930" s="644">
        <f t="shared" si="139"/>
        <v>249.1</v>
      </c>
      <c r="H930" s="865">
        <v>0</v>
      </c>
      <c r="I930" s="330">
        <v>0</v>
      </c>
      <c r="J930" s="403">
        <f t="shared" si="136"/>
        <v>0</v>
      </c>
      <c r="K930" s="403">
        <f t="shared" si="133"/>
        <v>0</v>
      </c>
      <c r="L930" s="425">
        <f t="shared" si="132"/>
        <v>0</v>
      </c>
      <c r="M930" s="177">
        <f t="shared" si="134"/>
        <v>0</v>
      </c>
      <c r="N930" s="427">
        <f t="shared" si="135"/>
        <v>0</v>
      </c>
      <c r="O930" s="427">
        <v>0</v>
      </c>
      <c r="P930" s="177">
        <f t="shared" si="137"/>
        <v>0</v>
      </c>
      <c r="Q930" s="177">
        <f t="shared" si="138"/>
        <v>0</v>
      </c>
      <c r="R930" s="431">
        <f t="shared" si="140"/>
        <v>0</v>
      </c>
      <c r="S930" s="468">
        <v>1</v>
      </c>
      <c r="T930" s="127"/>
      <c r="U930" s="127"/>
      <c r="V930" s="127"/>
      <c r="W930" s="127"/>
      <c r="X930" s="127"/>
      <c r="Y930" s="127"/>
    </row>
    <row r="931" spans="1:25" s="6" customFormat="1" ht="15.75" customHeight="1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330">
        <v>22.9</v>
      </c>
      <c r="G931" s="644">
        <f t="shared" si="139"/>
        <v>103</v>
      </c>
      <c r="H931" s="865">
        <v>0</v>
      </c>
      <c r="I931" s="330">
        <v>0</v>
      </c>
      <c r="J931" s="403">
        <f t="shared" si="136"/>
        <v>0</v>
      </c>
      <c r="K931" s="403">
        <f t="shared" si="133"/>
        <v>0</v>
      </c>
      <c r="L931" s="425">
        <f t="shared" si="132"/>
        <v>0</v>
      </c>
      <c r="M931" s="177">
        <f t="shared" si="134"/>
        <v>0</v>
      </c>
      <c r="N931" s="427">
        <f t="shared" si="135"/>
        <v>0</v>
      </c>
      <c r="O931" s="427">
        <v>0</v>
      </c>
      <c r="P931" s="177">
        <f t="shared" si="137"/>
        <v>0</v>
      </c>
      <c r="Q931" s="177">
        <f t="shared" si="138"/>
        <v>0</v>
      </c>
      <c r="R931" s="431">
        <f t="shared" si="140"/>
        <v>0</v>
      </c>
      <c r="S931" s="468">
        <v>2</v>
      </c>
      <c r="T931" s="127"/>
      <c r="U931" s="127"/>
      <c r="V931" s="127"/>
      <c r="W931" s="127"/>
      <c r="X931" s="127"/>
      <c r="Y931" s="127"/>
    </row>
    <row r="932" spans="1:25" s="6" customFormat="1" ht="15.75" customHeight="1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330">
        <v>71.400000000000006</v>
      </c>
      <c r="G932" s="644">
        <f t="shared" si="139"/>
        <v>176.5</v>
      </c>
      <c r="H932" s="865">
        <v>0</v>
      </c>
      <c r="I932" s="330">
        <v>0</v>
      </c>
      <c r="J932" s="403">
        <f t="shared" si="136"/>
        <v>0</v>
      </c>
      <c r="K932" s="403">
        <f t="shared" si="133"/>
        <v>0</v>
      </c>
      <c r="L932" s="425">
        <f t="shared" si="132"/>
        <v>0</v>
      </c>
      <c r="M932" s="177">
        <f t="shared" si="134"/>
        <v>0</v>
      </c>
      <c r="N932" s="427">
        <f t="shared" si="135"/>
        <v>0</v>
      </c>
      <c r="O932" s="427">
        <v>0</v>
      </c>
      <c r="P932" s="177">
        <f t="shared" si="137"/>
        <v>0</v>
      </c>
      <c r="Q932" s="177">
        <f t="shared" si="138"/>
        <v>0</v>
      </c>
      <c r="R932" s="431">
        <f t="shared" si="140"/>
        <v>0</v>
      </c>
      <c r="S932" s="468">
        <v>2</v>
      </c>
      <c r="T932" s="127"/>
      <c r="U932" s="127"/>
      <c r="V932" s="127"/>
      <c r="W932" s="127"/>
      <c r="X932" s="127"/>
      <c r="Y932" s="127"/>
    </row>
    <row r="933" spans="1:25" s="6" customFormat="1" ht="15.75" customHeight="1">
      <c r="A933" s="285">
        <v>53</v>
      </c>
      <c r="B933" s="285" t="s">
        <v>444</v>
      </c>
      <c r="C933" s="803">
        <v>109.5</v>
      </c>
      <c r="D933" s="804"/>
      <c r="E933" s="804"/>
      <c r="F933" s="330">
        <v>109.5</v>
      </c>
      <c r="G933" s="644">
        <f t="shared" si="139"/>
        <v>109.5</v>
      </c>
      <c r="H933" s="865">
        <v>0</v>
      </c>
      <c r="I933" s="330">
        <v>0</v>
      </c>
      <c r="J933" s="403">
        <f t="shared" si="136"/>
        <v>0</v>
      </c>
      <c r="K933" s="403">
        <f t="shared" si="133"/>
        <v>0</v>
      </c>
      <c r="L933" s="425">
        <f t="shared" si="132"/>
        <v>0</v>
      </c>
      <c r="M933" s="177">
        <f t="shared" si="134"/>
        <v>0</v>
      </c>
      <c r="N933" s="427">
        <f t="shared" si="135"/>
        <v>0</v>
      </c>
      <c r="O933" s="427">
        <v>0</v>
      </c>
      <c r="P933" s="177">
        <f t="shared" si="137"/>
        <v>0</v>
      </c>
      <c r="Q933" s="177">
        <f t="shared" si="138"/>
        <v>0</v>
      </c>
      <c r="R933" s="431">
        <f t="shared" si="140"/>
        <v>0</v>
      </c>
      <c r="S933" s="468">
        <v>1</v>
      </c>
      <c r="T933" s="127"/>
      <c r="U933" s="127"/>
      <c r="V933" s="127"/>
      <c r="W933" s="127"/>
      <c r="X933" s="127"/>
      <c r="Y933" s="127"/>
    </row>
    <row r="934" spans="1:25" s="6" customFormat="1" ht="15.75" customHeight="1">
      <c r="A934" s="285">
        <v>54</v>
      </c>
      <c r="B934" s="285" t="s">
        <v>445</v>
      </c>
      <c r="C934" s="803">
        <v>111.4</v>
      </c>
      <c r="D934" s="804"/>
      <c r="E934" s="804"/>
      <c r="F934" s="330">
        <v>111.4</v>
      </c>
      <c r="G934" s="644">
        <f t="shared" si="139"/>
        <v>111.4</v>
      </c>
      <c r="H934" s="865">
        <v>0</v>
      </c>
      <c r="I934" s="330">
        <v>0</v>
      </c>
      <c r="J934" s="403">
        <f t="shared" si="136"/>
        <v>0</v>
      </c>
      <c r="K934" s="403">
        <f t="shared" si="133"/>
        <v>0</v>
      </c>
      <c r="L934" s="425">
        <f t="shared" si="132"/>
        <v>0</v>
      </c>
      <c r="M934" s="177">
        <f t="shared" si="134"/>
        <v>0</v>
      </c>
      <c r="N934" s="427">
        <f t="shared" si="135"/>
        <v>0</v>
      </c>
      <c r="O934" s="427">
        <v>0</v>
      </c>
      <c r="P934" s="177">
        <f t="shared" si="137"/>
        <v>0</v>
      </c>
      <c r="Q934" s="177">
        <f t="shared" si="138"/>
        <v>0</v>
      </c>
      <c r="R934" s="431">
        <f t="shared" si="140"/>
        <v>0</v>
      </c>
      <c r="S934" s="468">
        <v>1</v>
      </c>
      <c r="T934" s="127"/>
      <c r="U934" s="127"/>
      <c r="V934" s="127"/>
      <c r="W934" s="127"/>
      <c r="X934" s="127"/>
      <c r="Y934" s="127"/>
    </row>
    <row r="935" spans="1:25" s="6" customFormat="1" ht="15.75" customHeight="1">
      <c r="A935" s="285">
        <v>55</v>
      </c>
      <c r="B935" s="285" t="s">
        <v>446</v>
      </c>
      <c r="C935" s="803">
        <v>92.9</v>
      </c>
      <c r="D935" s="804"/>
      <c r="E935" s="804"/>
      <c r="F935" s="330">
        <v>92.9</v>
      </c>
      <c r="G935" s="644">
        <f t="shared" si="139"/>
        <v>92.9</v>
      </c>
      <c r="H935" s="865">
        <v>0</v>
      </c>
      <c r="I935" s="330">
        <v>0</v>
      </c>
      <c r="J935" s="403">
        <f t="shared" si="136"/>
        <v>0</v>
      </c>
      <c r="K935" s="403">
        <f t="shared" si="133"/>
        <v>0</v>
      </c>
      <c r="L935" s="425">
        <f t="shared" si="132"/>
        <v>0</v>
      </c>
      <c r="M935" s="177">
        <f t="shared" si="134"/>
        <v>0</v>
      </c>
      <c r="N935" s="427">
        <f t="shared" si="135"/>
        <v>0</v>
      </c>
      <c r="O935" s="427">
        <v>0</v>
      </c>
      <c r="P935" s="177">
        <f t="shared" si="137"/>
        <v>0</v>
      </c>
      <c r="Q935" s="177">
        <f t="shared" si="138"/>
        <v>0</v>
      </c>
      <c r="R935" s="431">
        <f t="shared" si="140"/>
        <v>0</v>
      </c>
      <c r="S935" s="468">
        <v>1</v>
      </c>
      <c r="T935" s="127"/>
      <c r="U935" s="127"/>
      <c r="V935" s="127"/>
      <c r="W935" s="127"/>
      <c r="X935" s="127"/>
      <c r="Y935" s="127"/>
    </row>
    <row r="936" spans="1:25" s="6" customFormat="1" ht="15.75" customHeight="1">
      <c r="A936" s="285">
        <v>56</v>
      </c>
      <c r="B936" s="285" t="s">
        <v>447</v>
      </c>
      <c r="C936" s="803">
        <v>101.8</v>
      </c>
      <c r="D936" s="804"/>
      <c r="E936" s="804"/>
      <c r="F936" s="330">
        <v>87.8</v>
      </c>
      <c r="G936" s="644">
        <f t="shared" si="139"/>
        <v>101.8</v>
      </c>
      <c r="H936" s="865">
        <v>0</v>
      </c>
      <c r="I936" s="330">
        <v>0</v>
      </c>
      <c r="J936" s="403">
        <f t="shared" si="136"/>
        <v>0</v>
      </c>
      <c r="K936" s="403">
        <f t="shared" si="133"/>
        <v>0</v>
      </c>
      <c r="L936" s="425">
        <f t="shared" si="132"/>
        <v>0</v>
      </c>
      <c r="M936" s="177">
        <f t="shared" si="134"/>
        <v>0</v>
      </c>
      <c r="N936" s="427">
        <f t="shared" si="135"/>
        <v>0</v>
      </c>
      <c r="O936" s="427">
        <v>0</v>
      </c>
      <c r="P936" s="177">
        <f t="shared" si="137"/>
        <v>0</v>
      </c>
      <c r="Q936" s="177">
        <f t="shared" si="138"/>
        <v>0</v>
      </c>
      <c r="R936" s="431">
        <f t="shared" si="140"/>
        <v>0</v>
      </c>
      <c r="S936" s="468">
        <v>1</v>
      </c>
      <c r="T936" s="127"/>
      <c r="U936" s="127"/>
      <c r="V936" s="127"/>
      <c r="W936" s="127"/>
      <c r="X936" s="127"/>
      <c r="Y936" s="127"/>
    </row>
    <row r="937" spans="1:25" s="6" customFormat="1" ht="15.75" customHeight="1">
      <c r="A937" s="285">
        <v>57</v>
      </c>
      <c r="B937" s="285" t="s">
        <v>448</v>
      </c>
      <c r="C937" s="803">
        <v>202</v>
      </c>
      <c r="D937" s="804"/>
      <c r="E937" s="804"/>
      <c r="F937" s="330">
        <v>202</v>
      </c>
      <c r="G937" s="644">
        <f t="shared" si="139"/>
        <v>202</v>
      </c>
      <c r="H937" s="865">
        <v>0</v>
      </c>
      <c r="I937" s="330">
        <v>0</v>
      </c>
      <c r="J937" s="403">
        <f t="shared" si="136"/>
        <v>0</v>
      </c>
      <c r="K937" s="403">
        <f t="shared" si="133"/>
        <v>0</v>
      </c>
      <c r="L937" s="425">
        <f t="shared" si="132"/>
        <v>0</v>
      </c>
      <c r="M937" s="177">
        <f t="shared" si="134"/>
        <v>0</v>
      </c>
      <c r="N937" s="427">
        <f t="shared" si="135"/>
        <v>0</v>
      </c>
      <c r="O937" s="427">
        <v>0</v>
      </c>
      <c r="P937" s="177">
        <f t="shared" si="137"/>
        <v>0</v>
      </c>
      <c r="Q937" s="177">
        <f t="shared" si="138"/>
        <v>0</v>
      </c>
      <c r="R937" s="431">
        <f t="shared" si="140"/>
        <v>0</v>
      </c>
      <c r="S937" s="468">
        <v>2</v>
      </c>
      <c r="T937" s="127"/>
      <c r="U937" s="127"/>
      <c r="V937" s="127"/>
      <c r="W937" s="127"/>
      <c r="X937" s="127"/>
      <c r="Y937" s="127"/>
    </row>
    <row r="938" spans="1:25" s="6" customFormat="1" ht="15.75" customHeight="1">
      <c r="A938" s="285">
        <v>58</v>
      </c>
      <c r="B938" s="285" t="s">
        <v>449</v>
      </c>
      <c r="C938" s="803">
        <v>214.1</v>
      </c>
      <c r="D938" s="804"/>
      <c r="E938" s="804"/>
      <c r="F938" s="330">
        <v>214.1</v>
      </c>
      <c r="G938" s="644">
        <f t="shared" si="139"/>
        <v>214.1</v>
      </c>
      <c r="H938" s="865">
        <v>0</v>
      </c>
      <c r="I938" s="330">
        <v>0</v>
      </c>
      <c r="J938" s="403">
        <f t="shared" si="136"/>
        <v>0</v>
      </c>
      <c r="K938" s="403">
        <f t="shared" si="133"/>
        <v>0</v>
      </c>
      <c r="L938" s="425">
        <f t="shared" si="132"/>
        <v>0</v>
      </c>
      <c r="M938" s="177">
        <f t="shared" si="134"/>
        <v>0</v>
      </c>
      <c r="N938" s="427">
        <f t="shared" si="135"/>
        <v>0</v>
      </c>
      <c r="O938" s="427">
        <v>0</v>
      </c>
      <c r="P938" s="177">
        <f t="shared" si="137"/>
        <v>0</v>
      </c>
      <c r="Q938" s="177">
        <f t="shared" si="138"/>
        <v>0</v>
      </c>
      <c r="R938" s="431">
        <f t="shared" si="140"/>
        <v>0</v>
      </c>
      <c r="S938" s="468">
        <v>2</v>
      </c>
      <c r="T938" s="127"/>
      <c r="U938" s="127"/>
      <c r="V938" s="127"/>
      <c r="W938" s="127"/>
      <c r="X938" s="127"/>
      <c r="Y938" s="127"/>
    </row>
    <row r="939" spans="1:25" s="6" customFormat="1" ht="15.75" customHeight="1">
      <c r="A939" s="285">
        <v>59</v>
      </c>
      <c r="B939" s="285" t="s">
        <v>450</v>
      </c>
      <c r="C939" s="803">
        <v>161.19999999999999</v>
      </c>
      <c r="D939" s="804"/>
      <c r="E939" s="804"/>
      <c r="F939" s="330">
        <v>161.19999999999999</v>
      </c>
      <c r="G939" s="644">
        <f t="shared" si="139"/>
        <v>161.19999999999999</v>
      </c>
      <c r="H939" s="865">
        <v>0</v>
      </c>
      <c r="I939" s="330">
        <v>0</v>
      </c>
      <c r="J939" s="403">
        <f t="shared" si="136"/>
        <v>0</v>
      </c>
      <c r="K939" s="403">
        <f t="shared" si="133"/>
        <v>0</v>
      </c>
      <c r="L939" s="425">
        <f t="shared" si="132"/>
        <v>0</v>
      </c>
      <c r="M939" s="177">
        <f t="shared" si="134"/>
        <v>0</v>
      </c>
      <c r="N939" s="427">
        <f t="shared" si="135"/>
        <v>0</v>
      </c>
      <c r="O939" s="427">
        <v>0</v>
      </c>
      <c r="P939" s="177">
        <f t="shared" si="137"/>
        <v>0</v>
      </c>
      <c r="Q939" s="177">
        <f t="shared" si="138"/>
        <v>0</v>
      </c>
      <c r="R939" s="431">
        <f t="shared" si="140"/>
        <v>0</v>
      </c>
      <c r="S939" s="468">
        <v>2</v>
      </c>
      <c r="T939" s="127"/>
      <c r="U939" s="127"/>
      <c r="V939" s="127"/>
      <c r="W939" s="127"/>
      <c r="X939" s="127"/>
      <c r="Y939" s="127"/>
    </row>
    <row r="940" spans="1:25" s="6" customFormat="1" ht="15.75" customHeight="1">
      <c r="A940" s="285">
        <v>60</v>
      </c>
      <c r="B940" s="285" t="s">
        <v>451</v>
      </c>
      <c r="C940" s="803">
        <v>134.9</v>
      </c>
      <c r="D940" s="804"/>
      <c r="E940" s="804"/>
      <c r="F940" s="330">
        <v>134.9</v>
      </c>
      <c r="G940" s="644">
        <f t="shared" si="139"/>
        <v>134.9</v>
      </c>
      <c r="H940" s="865">
        <v>0</v>
      </c>
      <c r="I940" s="330">
        <v>0</v>
      </c>
      <c r="J940" s="403">
        <f t="shared" si="136"/>
        <v>0</v>
      </c>
      <c r="K940" s="403">
        <f t="shared" si="133"/>
        <v>0</v>
      </c>
      <c r="L940" s="425">
        <f t="shared" si="132"/>
        <v>0</v>
      </c>
      <c r="M940" s="177">
        <f t="shared" si="134"/>
        <v>0</v>
      </c>
      <c r="N940" s="427">
        <f t="shared" si="135"/>
        <v>0</v>
      </c>
      <c r="O940" s="427">
        <v>0</v>
      </c>
      <c r="P940" s="177">
        <f t="shared" si="137"/>
        <v>0</v>
      </c>
      <c r="Q940" s="177">
        <f t="shared" si="138"/>
        <v>0</v>
      </c>
      <c r="R940" s="431">
        <f t="shared" si="140"/>
        <v>0</v>
      </c>
      <c r="S940" s="468">
        <v>2</v>
      </c>
      <c r="T940" s="127"/>
      <c r="U940" s="127"/>
      <c r="V940" s="127"/>
      <c r="W940" s="127"/>
      <c r="X940" s="127"/>
      <c r="Y940" s="127"/>
    </row>
    <row r="941" spans="1:25" s="6" customFormat="1" ht="15.75" customHeight="1">
      <c r="A941" s="285">
        <v>61</v>
      </c>
      <c r="B941" s="285" t="s">
        <v>452</v>
      </c>
      <c r="C941" s="803">
        <v>80.599999999999994</v>
      </c>
      <c r="D941" s="804"/>
      <c r="E941" s="804"/>
      <c r="F941" s="330">
        <v>80.599999999999994</v>
      </c>
      <c r="G941" s="644">
        <f t="shared" si="139"/>
        <v>80.599999999999994</v>
      </c>
      <c r="H941" s="865">
        <v>0</v>
      </c>
      <c r="I941" s="330">
        <v>0</v>
      </c>
      <c r="J941" s="403">
        <f t="shared" si="136"/>
        <v>0</v>
      </c>
      <c r="K941" s="403">
        <f t="shared" si="133"/>
        <v>0</v>
      </c>
      <c r="L941" s="425">
        <f t="shared" si="132"/>
        <v>0</v>
      </c>
      <c r="M941" s="177">
        <f t="shared" si="134"/>
        <v>0</v>
      </c>
      <c r="N941" s="427">
        <f t="shared" si="135"/>
        <v>0</v>
      </c>
      <c r="O941" s="427">
        <v>0</v>
      </c>
      <c r="P941" s="177">
        <f t="shared" si="137"/>
        <v>0</v>
      </c>
      <c r="Q941" s="177">
        <f t="shared" si="138"/>
        <v>0</v>
      </c>
      <c r="R941" s="431">
        <f t="shared" si="140"/>
        <v>0</v>
      </c>
      <c r="S941" s="468">
        <v>1</v>
      </c>
      <c r="T941" s="127"/>
      <c r="U941" s="127"/>
      <c r="V941" s="127"/>
      <c r="W941" s="127"/>
      <c r="X941" s="127"/>
      <c r="Y941" s="127"/>
    </row>
    <row r="942" spans="1:25" s="6" customFormat="1" ht="15.75" customHeight="1">
      <c r="A942" s="285">
        <v>62</v>
      </c>
      <c r="B942" s="285" t="s">
        <v>453</v>
      </c>
      <c r="C942" s="803">
        <v>249.4</v>
      </c>
      <c r="D942" s="804"/>
      <c r="E942" s="804"/>
      <c r="F942" s="330">
        <v>167.8</v>
      </c>
      <c r="G942" s="644">
        <f t="shared" si="139"/>
        <v>249.4</v>
      </c>
      <c r="H942" s="865">
        <v>0</v>
      </c>
      <c r="I942" s="330">
        <v>0</v>
      </c>
      <c r="J942" s="403">
        <f t="shared" si="136"/>
        <v>0</v>
      </c>
      <c r="K942" s="403">
        <f t="shared" si="133"/>
        <v>0</v>
      </c>
      <c r="L942" s="425">
        <f t="shared" ref="L942:L999" si="141">(H942/840)+(I942/756)</f>
        <v>0</v>
      </c>
      <c r="M942" s="177">
        <f t="shared" si="134"/>
        <v>0</v>
      </c>
      <c r="N942" s="427">
        <f t="shared" si="135"/>
        <v>0</v>
      </c>
      <c r="O942" s="427">
        <v>0</v>
      </c>
      <c r="P942" s="177">
        <f t="shared" si="137"/>
        <v>0</v>
      </c>
      <c r="Q942" s="177">
        <f t="shared" si="138"/>
        <v>0</v>
      </c>
      <c r="R942" s="431">
        <f t="shared" si="140"/>
        <v>0</v>
      </c>
      <c r="S942" s="468">
        <v>2</v>
      </c>
      <c r="T942" s="127"/>
      <c r="U942" s="127"/>
      <c r="V942" s="127"/>
      <c r="W942" s="127"/>
      <c r="X942" s="127"/>
      <c r="Y942" s="127"/>
    </row>
    <row r="943" spans="1:25" s="6" customFormat="1" ht="15.75" customHeight="1">
      <c r="A943" s="285">
        <v>63</v>
      </c>
      <c r="B943" s="285" t="s">
        <v>454</v>
      </c>
      <c r="C943" s="803">
        <v>110.5</v>
      </c>
      <c r="D943" s="804"/>
      <c r="E943" s="804"/>
      <c r="F943" s="330">
        <v>110.5</v>
      </c>
      <c r="G943" s="644">
        <f t="shared" si="139"/>
        <v>110.5</v>
      </c>
      <c r="H943" s="865">
        <v>0</v>
      </c>
      <c r="I943" s="330">
        <v>0</v>
      </c>
      <c r="J943" s="403">
        <f t="shared" si="136"/>
        <v>0</v>
      </c>
      <c r="K943" s="403">
        <f t="shared" si="133"/>
        <v>0</v>
      </c>
      <c r="L943" s="425">
        <f t="shared" si="141"/>
        <v>0</v>
      </c>
      <c r="M943" s="177">
        <f t="shared" si="134"/>
        <v>0</v>
      </c>
      <c r="N943" s="427">
        <f t="shared" si="135"/>
        <v>0</v>
      </c>
      <c r="O943" s="427">
        <v>0</v>
      </c>
      <c r="P943" s="177">
        <f t="shared" si="137"/>
        <v>0</v>
      </c>
      <c r="Q943" s="177">
        <f t="shared" si="138"/>
        <v>0</v>
      </c>
      <c r="R943" s="431">
        <f t="shared" si="140"/>
        <v>0</v>
      </c>
      <c r="S943" s="468">
        <v>1</v>
      </c>
      <c r="T943" s="127"/>
      <c r="U943" s="127"/>
      <c r="V943" s="127"/>
      <c r="W943" s="127"/>
      <c r="X943" s="127"/>
      <c r="Y943" s="127"/>
    </row>
    <row r="944" spans="1:25" s="6" customFormat="1" ht="15.75" customHeight="1">
      <c r="A944" s="285">
        <v>64</v>
      </c>
      <c r="B944" s="285" t="s">
        <v>455</v>
      </c>
      <c r="C944" s="803">
        <v>168.5</v>
      </c>
      <c r="D944" s="804"/>
      <c r="E944" s="804"/>
      <c r="F944" s="330">
        <v>168.5</v>
      </c>
      <c r="G944" s="644">
        <f t="shared" si="139"/>
        <v>168.5</v>
      </c>
      <c r="H944" s="865">
        <v>0</v>
      </c>
      <c r="I944" s="330">
        <v>0</v>
      </c>
      <c r="J944" s="403">
        <f t="shared" si="136"/>
        <v>0</v>
      </c>
      <c r="K944" s="403">
        <f t="shared" ref="K944:K1000" si="142">I944+J944</f>
        <v>0</v>
      </c>
      <c r="L944" s="425">
        <f t="shared" si="141"/>
        <v>0</v>
      </c>
      <c r="M944" s="177">
        <f t="shared" si="134"/>
        <v>0</v>
      </c>
      <c r="N944" s="427">
        <f t="shared" ref="N944:N1000" si="143">M944*0.3677</f>
        <v>0</v>
      </c>
      <c r="O944" s="427">
        <v>0</v>
      </c>
      <c r="P944" s="177">
        <f t="shared" si="137"/>
        <v>0</v>
      </c>
      <c r="Q944" s="177">
        <f t="shared" si="138"/>
        <v>0</v>
      </c>
      <c r="R944" s="431">
        <f t="shared" si="140"/>
        <v>0</v>
      </c>
      <c r="S944" s="468">
        <v>2</v>
      </c>
      <c r="T944" s="127"/>
      <c r="U944" s="127"/>
      <c r="V944" s="127"/>
      <c r="W944" s="127"/>
      <c r="X944" s="127"/>
      <c r="Y944" s="127"/>
    </row>
    <row r="945" spans="1:25" s="6" customFormat="1" ht="15.75" customHeight="1">
      <c r="A945" s="285">
        <v>65</v>
      </c>
      <c r="B945" s="285" t="s">
        <v>456</v>
      </c>
      <c r="C945" s="806">
        <v>130</v>
      </c>
      <c r="D945" s="804"/>
      <c r="E945" s="804"/>
      <c r="F945" s="330">
        <v>130</v>
      </c>
      <c r="G945" s="644">
        <f t="shared" si="139"/>
        <v>130</v>
      </c>
      <c r="H945" s="865">
        <v>0</v>
      </c>
      <c r="I945" s="330">
        <v>0</v>
      </c>
      <c r="J945" s="403">
        <f t="shared" ref="J945:J1001" si="144">H945+I945</f>
        <v>0</v>
      </c>
      <c r="K945" s="403">
        <f t="shared" si="142"/>
        <v>0</v>
      </c>
      <c r="L945" s="425">
        <f t="shared" si="141"/>
        <v>0</v>
      </c>
      <c r="M945" s="177">
        <f t="shared" ref="M945:M1008" si="145">L945*2017.01</f>
        <v>0</v>
      </c>
      <c r="N945" s="427">
        <f t="shared" si="143"/>
        <v>0</v>
      </c>
      <c r="O945" s="427">
        <v>0</v>
      </c>
      <c r="P945" s="177">
        <f t="shared" si="137"/>
        <v>0</v>
      </c>
      <c r="Q945" s="177">
        <f t="shared" si="138"/>
        <v>0</v>
      </c>
      <c r="R945" s="431">
        <f t="shared" si="140"/>
        <v>0</v>
      </c>
      <c r="S945" s="468">
        <v>2</v>
      </c>
      <c r="T945" s="127"/>
      <c r="U945" s="127"/>
      <c r="V945" s="127"/>
      <c r="W945" s="127"/>
      <c r="X945" s="127"/>
      <c r="Y945" s="127"/>
    </row>
    <row r="946" spans="1:25" s="6" customFormat="1" ht="15.75" customHeight="1">
      <c r="A946" s="285">
        <v>66</v>
      </c>
      <c r="B946" s="285" t="s">
        <v>457</v>
      </c>
      <c r="C946" s="803">
        <v>175.8</v>
      </c>
      <c r="D946" s="804"/>
      <c r="E946" s="804"/>
      <c r="F946" s="330">
        <v>175.8</v>
      </c>
      <c r="G946" s="644">
        <f t="shared" si="139"/>
        <v>175.8</v>
      </c>
      <c r="H946" s="865">
        <v>0</v>
      </c>
      <c r="I946" s="330">
        <v>0</v>
      </c>
      <c r="J946" s="403">
        <f t="shared" si="144"/>
        <v>0</v>
      </c>
      <c r="K946" s="403">
        <f t="shared" si="142"/>
        <v>0</v>
      </c>
      <c r="L946" s="425">
        <f t="shared" si="141"/>
        <v>0</v>
      </c>
      <c r="M946" s="177">
        <f t="shared" si="145"/>
        <v>0</v>
      </c>
      <c r="N946" s="427">
        <f t="shared" si="143"/>
        <v>0</v>
      </c>
      <c r="O946" s="427">
        <v>0</v>
      </c>
      <c r="P946" s="177">
        <f t="shared" ref="P946:P1009" si="146">L946*49.88*1.08</f>
        <v>0</v>
      </c>
      <c r="Q946" s="177">
        <f t="shared" ref="Q946:Q1009" si="147">P946*1.219</f>
        <v>0</v>
      </c>
      <c r="R946" s="431">
        <f t="shared" si="140"/>
        <v>0</v>
      </c>
      <c r="S946" s="468">
        <v>2</v>
      </c>
      <c r="T946" s="127"/>
      <c r="U946" s="127"/>
      <c r="V946" s="127"/>
      <c r="W946" s="127"/>
      <c r="X946" s="127"/>
      <c r="Y946" s="127"/>
    </row>
    <row r="947" spans="1:25" s="6" customFormat="1" ht="15.75" customHeight="1">
      <c r="A947" s="285">
        <v>67</v>
      </c>
      <c r="B947" s="285" t="s">
        <v>458</v>
      </c>
      <c r="C947" s="803">
        <v>129.80000000000001</v>
      </c>
      <c r="D947" s="804"/>
      <c r="E947" s="804"/>
      <c r="F947" s="330">
        <v>129.80000000000001</v>
      </c>
      <c r="G947" s="644">
        <f t="shared" si="139"/>
        <v>129.80000000000001</v>
      </c>
      <c r="H947" s="865">
        <v>0</v>
      </c>
      <c r="I947" s="330">
        <v>0</v>
      </c>
      <c r="J947" s="403">
        <f t="shared" si="144"/>
        <v>0</v>
      </c>
      <c r="K947" s="403">
        <f t="shared" si="142"/>
        <v>0</v>
      </c>
      <c r="L947" s="425">
        <f t="shared" si="141"/>
        <v>0</v>
      </c>
      <c r="M947" s="177">
        <f t="shared" si="145"/>
        <v>0</v>
      </c>
      <c r="N947" s="427">
        <f t="shared" si="143"/>
        <v>0</v>
      </c>
      <c r="O947" s="427">
        <v>0</v>
      </c>
      <c r="P947" s="177">
        <f t="shared" si="146"/>
        <v>0</v>
      </c>
      <c r="Q947" s="177">
        <f t="shared" si="147"/>
        <v>0</v>
      </c>
      <c r="R947" s="431">
        <f t="shared" si="140"/>
        <v>0</v>
      </c>
      <c r="S947" s="468">
        <v>2</v>
      </c>
      <c r="T947" s="127"/>
      <c r="U947" s="127"/>
      <c r="V947" s="127"/>
      <c r="W947" s="127"/>
      <c r="X947" s="127"/>
      <c r="Y947" s="127"/>
    </row>
    <row r="948" spans="1:25" s="6" customFormat="1" ht="15.75" customHeight="1">
      <c r="A948" s="285">
        <v>68</v>
      </c>
      <c r="B948" s="285" t="s">
        <v>459</v>
      </c>
      <c r="C948" s="803">
        <v>152.30000000000001</v>
      </c>
      <c r="D948" s="804"/>
      <c r="E948" s="804"/>
      <c r="F948" s="330">
        <v>152.30000000000001</v>
      </c>
      <c r="G948" s="644">
        <f t="shared" si="139"/>
        <v>152.30000000000001</v>
      </c>
      <c r="H948" s="865">
        <v>0</v>
      </c>
      <c r="I948" s="330">
        <v>0</v>
      </c>
      <c r="J948" s="403">
        <f t="shared" si="144"/>
        <v>0</v>
      </c>
      <c r="K948" s="403">
        <f t="shared" si="142"/>
        <v>0</v>
      </c>
      <c r="L948" s="425">
        <f t="shared" si="141"/>
        <v>0</v>
      </c>
      <c r="M948" s="177">
        <f t="shared" si="145"/>
        <v>0</v>
      </c>
      <c r="N948" s="427">
        <f t="shared" si="143"/>
        <v>0</v>
      </c>
      <c r="O948" s="427">
        <v>0</v>
      </c>
      <c r="P948" s="177">
        <f t="shared" si="146"/>
        <v>0</v>
      </c>
      <c r="Q948" s="177">
        <f t="shared" si="147"/>
        <v>0</v>
      </c>
      <c r="R948" s="431">
        <f t="shared" si="140"/>
        <v>0</v>
      </c>
      <c r="S948" s="468">
        <v>1</v>
      </c>
      <c r="T948" s="127"/>
      <c r="U948" s="127"/>
      <c r="V948" s="127"/>
      <c r="W948" s="127"/>
      <c r="X948" s="127"/>
      <c r="Y948" s="127"/>
    </row>
    <row r="949" spans="1:25" s="6" customFormat="1" ht="15.75" customHeight="1">
      <c r="A949" s="285">
        <v>69</v>
      </c>
      <c r="B949" s="285" t="s">
        <v>460</v>
      </c>
      <c r="C949" s="803">
        <v>239.4</v>
      </c>
      <c r="D949" s="804"/>
      <c r="E949" s="804"/>
      <c r="F949" s="330">
        <v>239.4</v>
      </c>
      <c r="G949" s="644">
        <f t="shared" si="139"/>
        <v>239.4</v>
      </c>
      <c r="H949" s="865">
        <v>0</v>
      </c>
      <c r="I949" s="330">
        <v>0</v>
      </c>
      <c r="J949" s="403">
        <f t="shared" si="144"/>
        <v>0</v>
      </c>
      <c r="K949" s="403">
        <f t="shared" si="142"/>
        <v>0</v>
      </c>
      <c r="L949" s="425">
        <f t="shared" si="141"/>
        <v>0</v>
      </c>
      <c r="M949" s="177">
        <f t="shared" si="145"/>
        <v>0</v>
      </c>
      <c r="N949" s="427">
        <f t="shared" si="143"/>
        <v>0</v>
      </c>
      <c r="O949" s="427">
        <v>0</v>
      </c>
      <c r="P949" s="177">
        <f t="shared" si="146"/>
        <v>0</v>
      </c>
      <c r="Q949" s="177">
        <f t="shared" si="147"/>
        <v>0</v>
      </c>
      <c r="R949" s="431">
        <f t="shared" si="140"/>
        <v>0</v>
      </c>
      <c r="S949" s="468">
        <v>2</v>
      </c>
      <c r="T949" s="127"/>
      <c r="U949" s="127"/>
      <c r="V949" s="127"/>
      <c r="W949" s="127"/>
      <c r="X949" s="127"/>
      <c r="Y949" s="127"/>
    </row>
    <row r="950" spans="1:25" s="6" customFormat="1" ht="15.75" customHeight="1">
      <c r="A950" s="285">
        <v>70</v>
      </c>
      <c r="B950" s="285" t="s">
        <v>461</v>
      </c>
      <c r="C950" s="803">
        <v>84.2</v>
      </c>
      <c r="D950" s="804"/>
      <c r="E950" s="804"/>
      <c r="F950" s="330">
        <v>67.2</v>
      </c>
      <c r="G950" s="644">
        <f t="shared" si="139"/>
        <v>84.2</v>
      </c>
      <c r="H950" s="865">
        <v>0</v>
      </c>
      <c r="I950" s="330">
        <v>0</v>
      </c>
      <c r="J950" s="403">
        <f t="shared" si="144"/>
        <v>0</v>
      </c>
      <c r="K950" s="403">
        <f t="shared" si="142"/>
        <v>0</v>
      </c>
      <c r="L950" s="425">
        <f t="shared" si="141"/>
        <v>0</v>
      </c>
      <c r="M950" s="177">
        <f t="shared" si="145"/>
        <v>0</v>
      </c>
      <c r="N950" s="427">
        <f t="shared" si="143"/>
        <v>0</v>
      </c>
      <c r="O950" s="427">
        <v>0</v>
      </c>
      <c r="P950" s="177">
        <f t="shared" si="146"/>
        <v>0</v>
      </c>
      <c r="Q950" s="177">
        <f t="shared" si="147"/>
        <v>0</v>
      </c>
      <c r="R950" s="431">
        <f t="shared" si="140"/>
        <v>0</v>
      </c>
      <c r="S950" s="468">
        <v>1</v>
      </c>
      <c r="T950" s="127"/>
      <c r="U950" s="127"/>
      <c r="V950" s="127"/>
      <c r="W950" s="127"/>
      <c r="X950" s="127"/>
      <c r="Y950" s="127"/>
    </row>
    <row r="951" spans="1:25" s="6" customFormat="1" ht="15.75" customHeight="1">
      <c r="A951" s="285">
        <v>71</v>
      </c>
      <c r="B951" s="285" t="s">
        <v>462</v>
      </c>
      <c r="C951" s="803">
        <v>193.9</v>
      </c>
      <c r="D951" s="804"/>
      <c r="E951" s="804"/>
      <c r="F951" s="330">
        <v>193.9</v>
      </c>
      <c r="G951" s="644">
        <f t="shared" si="139"/>
        <v>193.9</v>
      </c>
      <c r="H951" s="865">
        <v>0</v>
      </c>
      <c r="I951" s="330">
        <v>0</v>
      </c>
      <c r="J951" s="403">
        <f t="shared" si="144"/>
        <v>0</v>
      </c>
      <c r="K951" s="403">
        <f t="shared" si="142"/>
        <v>0</v>
      </c>
      <c r="L951" s="425">
        <f t="shared" si="141"/>
        <v>0</v>
      </c>
      <c r="M951" s="177">
        <f t="shared" si="145"/>
        <v>0</v>
      </c>
      <c r="N951" s="427">
        <f t="shared" si="143"/>
        <v>0</v>
      </c>
      <c r="O951" s="427">
        <v>0</v>
      </c>
      <c r="P951" s="177">
        <f t="shared" si="146"/>
        <v>0</v>
      </c>
      <c r="Q951" s="177">
        <f t="shared" si="147"/>
        <v>0</v>
      </c>
      <c r="R951" s="431">
        <f t="shared" si="140"/>
        <v>0</v>
      </c>
      <c r="S951" s="468">
        <v>2</v>
      </c>
      <c r="T951" s="127"/>
      <c r="U951" s="127"/>
      <c r="V951" s="127"/>
      <c r="W951" s="127"/>
      <c r="X951" s="127"/>
      <c r="Y951" s="127"/>
    </row>
    <row r="952" spans="1:25" s="6" customFormat="1" ht="15.75" customHeight="1">
      <c r="A952" s="285">
        <v>72</v>
      </c>
      <c r="B952" s="285" t="s">
        <v>463</v>
      </c>
      <c r="C952" s="803">
        <v>252.4</v>
      </c>
      <c r="D952" s="804"/>
      <c r="E952" s="804"/>
      <c r="F952" s="330">
        <v>252.4</v>
      </c>
      <c r="G952" s="644">
        <f t="shared" si="139"/>
        <v>252.4</v>
      </c>
      <c r="H952" s="865">
        <v>0</v>
      </c>
      <c r="I952" s="330">
        <v>0</v>
      </c>
      <c r="J952" s="403">
        <f t="shared" si="144"/>
        <v>0</v>
      </c>
      <c r="K952" s="403">
        <f t="shared" si="142"/>
        <v>0</v>
      </c>
      <c r="L952" s="425">
        <f t="shared" si="141"/>
        <v>0</v>
      </c>
      <c r="M952" s="177">
        <f t="shared" si="145"/>
        <v>0</v>
      </c>
      <c r="N952" s="427">
        <f t="shared" si="143"/>
        <v>0</v>
      </c>
      <c r="O952" s="427">
        <v>0</v>
      </c>
      <c r="P952" s="177">
        <f t="shared" si="146"/>
        <v>0</v>
      </c>
      <c r="Q952" s="177">
        <f t="shared" si="147"/>
        <v>0</v>
      </c>
      <c r="R952" s="431">
        <f t="shared" si="140"/>
        <v>0</v>
      </c>
      <c r="S952" s="468">
        <v>3</v>
      </c>
      <c r="T952" s="127"/>
      <c r="U952" s="127"/>
      <c r="V952" s="127"/>
      <c r="W952" s="127"/>
      <c r="X952" s="127"/>
      <c r="Y952" s="127"/>
    </row>
    <row r="953" spans="1:25" s="6" customFormat="1" ht="15.75" customHeight="1">
      <c r="A953" s="285">
        <v>73</v>
      </c>
      <c r="B953" s="285" t="s">
        <v>464</v>
      </c>
      <c r="C953" s="807">
        <v>79</v>
      </c>
      <c r="D953" s="804"/>
      <c r="E953" s="804"/>
      <c r="F953" s="330">
        <v>79</v>
      </c>
      <c r="G953" s="644">
        <f t="shared" ref="G953:G1009" si="148">C953+D953+E953</f>
        <v>79</v>
      </c>
      <c r="H953" s="865">
        <v>0</v>
      </c>
      <c r="I953" s="330">
        <v>0</v>
      </c>
      <c r="J953" s="403">
        <f t="shared" si="144"/>
        <v>0</v>
      </c>
      <c r="K953" s="403">
        <f t="shared" si="142"/>
        <v>0</v>
      </c>
      <c r="L953" s="425">
        <f t="shared" si="141"/>
        <v>0</v>
      </c>
      <c r="M953" s="177">
        <f t="shared" si="145"/>
        <v>0</v>
      </c>
      <c r="N953" s="427">
        <f t="shared" si="143"/>
        <v>0</v>
      </c>
      <c r="O953" s="427">
        <v>0</v>
      </c>
      <c r="P953" s="177">
        <f t="shared" si="146"/>
        <v>0</v>
      </c>
      <c r="Q953" s="177">
        <f t="shared" si="147"/>
        <v>0</v>
      </c>
      <c r="R953" s="431">
        <f t="shared" si="140"/>
        <v>0</v>
      </c>
      <c r="S953" s="468">
        <v>1</v>
      </c>
      <c r="T953" s="127"/>
      <c r="U953" s="127"/>
      <c r="V953" s="127"/>
      <c r="W953" s="127"/>
      <c r="X953" s="127"/>
      <c r="Y953" s="127"/>
    </row>
    <row r="954" spans="1:25" s="6" customFormat="1" ht="15.75" customHeight="1">
      <c r="A954" s="285">
        <v>74</v>
      </c>
      <c r="B954" s="285" t="s">
        <v>465</v>
      </c>
      <c r="C954" s="803">
        <v>549.69000000000005</v>
      </c>
      <c r="D954" s="804"/>
      <c r="E954" s="804"/>
      <c r="F954" s="330">
        <v>549.69000000000005</v>
      </c>
      <c r="G954" s="644">
        <f t="shared" si="148"/>
        <v>549.69000000000005</v>
      </c>
      <c r="H954" s="865">
        <v>0</v>
      </c>
      <c r="I954" s="330">
        <v>0</v>
      </c>
      <c r="J954" s="403">
        <f t="shared" si="144"/>
        <v>0</v>
      </c>
      <c r="K954" s="403">
        <f t="shared" si="142"/>
        <v>0</v>
      </c>
      <c r="L954" s="425">
        <f t="shared" si="141"/>
        <v>0</v>
      </c>
      <c r="M954" s="177">
        <f t="shared" si="145"/>
        <v>0</v>
      </c>
      <c r="N954" s="427">
        <f t="shared" si="143"/>
        <v>0</v>
      </c>
      <c r="O954" s="427">
        <v>0</v>
      </c>
      <c r="P954" s="177">
        <f t="shared" si="146"/>
        <v>0</v>
      </c>
      <c r="Q954" s="177">
        <f t="shared" si="147"/>
        <v>0</v>
      </c>
      <c r="R954" s="431">
        <f t="shared" si="140"/>
        <v>0</v>
      </c>
      <c r="S954" s="468">
        <v>3</v>
      </c>
      <c r="T954" s="127"/>
      <c r="U954" s="127"/>
      <c r="V954" s="127"/>
      <c r="W954" s="127"/>
      <c r="X954" s="127"/>
      <c r="Y954" s="127"/>
    </row>
    <row r="955" spans="1:25" s="6" customFormat="1" ht="15.75" customHeight="1">
      <c r="A955" s="285">
        <v>75</v>
      </c>
      <c r="B955" s="285" t="s">
        <v>466</v>
      </c>
      <c r="C955" s="803">
        <v>192.1</v>
      </c>
      <c r="D955" s="804"/>
      <c r="E955" s="804"/>
      <c r="F955" s="330">
        <v>191.8</v>
      </c>
      <c r="G955" s="644">
        <f t="shared" si="148"/>
        <v>192.1</v>
      </c>
      <c r="H955" s="865">
        <v>0</v>
      </c>
      <c r="I955" s="330">
        <v>0</v>
      </c>
      <c r="J955" s="403">
        <f t="shared" si="144"/>
        <v>0</v>
      </c>
      <c r="K955" s="403">
        <f t="shared" si="142"/>
        <v>0</v>
      </c>
      <c r="L955" s="425">
        <f t="shared" si="141"/>
        <v>0</v>
      </c>
      <c r="M955" s="177">
        <f t="shared" si="145"/>
        <v>0</v>
      </c>
      <c r="N955" s="427">
        <f t="shared" si="143"/>
        <v>0</v>
      </c>
      <c r="O955" s="427">
        <v>0</v>
      </c>
      <c r="P955" s="177">
        <f t="shared" si="146"/>
        <v>0</v>
      </c>
      <c r="Q955" s="177">
        <f t="shared" si="147"/>
        <v>0</v>
      </c>
      <c r="R955" s="431">
        <f t="shared" si="140"/>
        <v>0</v>
      </c>
      <c r="S955" s="468">
        <v>2</v>
      </c>
      <c r="T955" s="127"/>
      <c r="U955" s="127"/>
      <c r="V955" s="127"/>
      <c r="W955" s="127"/>
      <c r="X955" s="127"/>
      <c r="Y955" s="127"/>
    </row>
    <row r="956" spans="1:25" s="6" customFormat="1" ht="15.75" customHeight="1">
      <c r="A956" s="285">
        <v>76</v>
      </c>
      <c r="B956" s="285" t="s">
        <v>467</v>
      </c>
      <c r="C956" s="803">
        <v>166.8</v>
      </c>
      <c r="D956" s="804"/>
      <c r="E956" s="804"/>
      <c r="F956" s="330">
        <v>166.8</v>
      </c>
      <c r="G956" s="644">
        <f t="shared" si="148"/>
        <v>166.8</v>
      </c>
      <c r="H956" s="865">
        <v>0</v>
      </c>
      <c r="I956" s="330">
        <v>0</v>
      </c>
      <c r="J956" s="403">
        <f t="shared" si="144"/>
        <v>0</v>
      </c>
      <c r="K956" s="403">
        <f t="shared" si="142"/>
        <v>0</v>
      </c>
      <c r="L956" s="425">
        <f t="shared" si="141"/>
        <v>0</v>
      </c>
      <c r="M956" s="177">
        <f t="shared" si="145"/>
        <v>0</v>
      </c>
      <c r="N956" s="427">
        <f t="shared" si="143"/>
        <v>0</v>
      </c>
      <c r="O956" s="427">
        <v>0</v>
      </c>
      <c r="P956" s="177">
        <f t="shared" si="146"/>
        <v>0</v>
      </c>
      <c r="Q956" s="177">
        <f t="shared" si="147"/>
        <v>0</v>
      </c>
      <c r="R956" s="431">
        <f t="shared" si="140"/>
        <v>0</v>
      </c>
      <c r="S956" s="468">
        <v>2</v>
      </c>
      <c r="T956" s="127"/>
      <c r="U956" s="127"/>
      <c r="V956" s="127"/>
      <c r="W956" s="127"/>
      <c r="X956" s="127"/>
      <c r="Y956" s="127"/>
    </row>
    <row r="957" spans="1:25" s="6" customFormat="1" ht="15.75" customHeight="1">
      <c r="A957" s="285">
        <v>77</v>
      </c>
      <c r="B957" s="285" t="s">
        <v>468</v>
      </c>
      <c r="C957" s="803">
        <v>119.9</v>
      </c>
      <c r="D957" s="804"/>
      <c r="E957" s="804"/>
      <c r="F957" s="330">
        <v>117.5</v>
      </c>
      <c r="G957" s="644">
        <f t="shared" si="148"/>
        <v>119.9</v>
      </c>
      <c r="H957" s="865">
        <v>0</v>
      </c>
      <c r="I957" s="330">
        <v>0</v>
      </c>
      <c r="J957" s="403">
        <f t="shared" si="144"/>
        <v>0</v>
      </c>
      <c r="K957" s="403">
        <f t="shared" si="142"/>
        <v>0</v>
      </c>
      <c r="L957" s="425">
        <f t="shared" si="141"/>
        <v>0</v>
      </c>
      <c r="M957" s="177">
        <f t="shared" si="145"/>
        <v>0</v>
      </c>
      <c r="N957" s="427">
        <f t="shared" si="143"/>
        <v>0</v>
      </c>
      <c r="O957" s="427">
        <v>0</v>
      </c>
      <c r="P957" s="177">
        <f t="shared" si="146"/>
        <v>0</v>
      </c>
      <c r="Q957" s="177">
        <f t="shared" si="147"/>
        <v>0</v>
      </c>
      <c r="R957" s="431">
        <f t="shared" si="140"/>
        <v>0</v>
      </c>
      <c r="S957" s="468">
        <v>2</v>
      </c>
      <c r="T957" s="127"/>
      <c r="U957" s="127"/>
      <c r="V957" s="127"/>
      <c r="W957" s="127"/>
      <c r="X957" s="127"/>
      <c r="Y957" s="127"/>
    </row>
    <row r="958" spans="1:25" s="6" customFormat="1" ht="15.75" customHeight="1">
      <c r="A958" s="285">
        <v>78</v>
      </c>
      <c r="B958" s="285" t="s">
        <v>469</v>
      </c>
      <c r="C958" s="803">
        <v>188.7</v>
      </c>
      <c r="D958" s="804"/>
      <c r="E958" s="804"/>
      <c r="F958" s="330">
        <v>188.7</v>
      </c>
      <c r="G958" s="644">
        <f t="shared" si="148"/>
        <v>188.7</v>
      </c>
      <c r="H958" s="865">
        <v>0</v>
      </c>
      <c r="I958" s="330">
        <v>0</v>
      </c>
      <c r="J958" s="403">
        <f t="shared" si="144"/>
        <v>0</v>
      </c>
      <c r="K958" s="403">
        <f t="shared" si="142"/>
        <v>0</v>
      </c>
      <c r="L958" s="425">
        <f t="shared" si="141"/>
        <v>0</v>
      </c>
      <c r="M958" s="177">
        <f t="shared" si="145"/>
        <v>0</v>
      </c>
      <c r="N958" s="427">
        <f t="shared" si="143"/>
        <v>0</v>
      </c>
      <c r="O958" s="427">
        <v>0</v>
      </c>
      <c r="P958" s="177">
        <f t="shared" si="146"/>
        <v>0</v>
      </c>
      <c r="Q958" s="177">
        <f t="shared" si="147"/>
        <v>0</v>
      </c>
      <c r="R958" s="431">
        <f t="shared" si="140"/>
        <v>0</v>
      </c>
      <c r="S958" s="468">
        <v>10</v>
      </c>
      <c r="T958" s="127"/>
      <c r="U958" s="127"/>
      <c r="V958" s="127"/>
      <c r="W958" s="127"/>
      <c r="X958" s="127"/>
      <c r="Y958" s="127"/>
    </row>
    <row r="959" spans="1:25" s="6" customFormat="1" ht="15.75" customHeight="1">
      <c r="A959" s="285">
        <v>79</v>
      </c>
      <c r="B959" s="285" t="s">
        <v>470</v>
      </c>
      <c r="C959" s="803">
        <v>4734.5</v>
      </c>
      <c r="D959" s="804"/>
      <c r="E959" s="804"/>
      <c r="F959" s="330">
        <v>4736.0600000000004</v>
      </c>
      <c r="G959" s="644">
        <f t="shared" si="148"/>
        <v>4734.5</v>
      </c>
      <c r="H959" s="865">
        <v>429</v>
      </c>
      <c r="I959" s="330">
        <v>0</v>
      </c>
      <c r="J959" s="403">
        <f t="shared" si="144"/>
        <v>429</v>
      </c>
      <c r="K959" s="403">
        <f t="shared" si="142"/>
        <v>429</v>
      </c>
      <c r="L959" s="425">
        <f t="shared" si="141"/>
        <v>0.51071428571428568</v>
      </c>
      <c r="M959" s="177">
        <f t="shared" si="145"/>
        <v>1030.1158214285713</v>
      </c>
      <c r="N959" s="427">
        <f t="shared" si="143"/>
        <v>378.7735875392857</v>
      </c>
      <c r="O959" s="427">
        <v>397.92303571428567</v>
      </c>
      <c r="P959" s="177">
        <f t="shared" si="146"/>
        <v>27.51238285714286</v>
      </c>
      <c r="Q959" s="177">
        <f t="shared" si="147"/>
        <v>33.537594702857149</v>
      </c>
      <c r="R959" s="431">
        <f t="shared" si="140"/>
        <v>0.38743791900713603</v>
      </c>
      <c r="S959" s="468">
        <v>1</v>
      </c>
      <c r="T959" s="127"/>
      <c r="U959" s="127"/>
      <c r="V959" s="127"/>
      <c r="W959" s="127"/>
      <c r="X959" s="127"/>
      <c r="Y959" s="127"/>
    </row>
    <row r="960" spans="1:25" s="6" customFormat="1" ht="15.75" customHeight="1">
      <c r="A960" s="285">
        <v>80</v>
      </c>
      <c r="B960" s="285" t="s">
        <v>471</v>
      </c>
      <c r="C960" s="803">
        <v>66.3</v>
      </c>
      <c r="D960" s="804"/>
      <c r="E960" s="804"/>
      <c r="F960" s="330">
        <v>66.3</v>
      </c>
      <c r="G960" s="644">
        <f t="shared" si="148"/>
        <v>66.3</v>
      </c>
      <c r="H960" s="865">
        <v>0</v>
      </c>
      <c r="I960" s="330">
        <v>0</v>
      </c>
      <c r="J960" s="403">
        <f t="shared" si="144"/>
        <v>0</v>
      </c>
      <c r="K960" s="403">
        <f t="shared" si="142"/>
        <v>0</v>
      </c>
      <c r="L960" s="425">
        <f t="shared" si="141"/>
        <v>0</v>
      </c>
      <c r="M960" s="177">
        <f t="shared" si="145"/>
        <v>0</v>
      </c>
      <c r="N960" s="427">
        <f t="shared" si="143"/>
        <v>0</v>
      </c>
      <c r="O960" s="427">
        <v>0</v>
      </c>
      <c r="P960" s="177">
        <f t="shared" si="146"/>
        <v>0</v>
      </c>
      <c r="Q960" s="177">
        <f t="shared" si="147"/>
        <v>0</v>
      </c>
      <c r="R960" s="431">
        <f t="shared" si="140"/>
        <v>0</v>
      </c>
      <c r="S960" s="468">
        <v>1</v>
      </c>
      <c r="T960" s="127"/>
      <c r="U960" s="127"/>
      <c r="V960" s="127"/>
      <c r="W960" s="127"/>
      <c r="X960" s="127"/>
      <c r="Y960" s="127"/>
    </row>
    <row r="961" spans="1:25" s="6" customFormat="1" ht="15.75" customHeight="1">
      <c r="A961" s="285">
        <v>81</v>
      </c>
      <c r="B961" s="285" t="s">
        <v>472</v>
      </c>
      <c r="C961" s="803">
        <v>19.8</v>
      </c>
      <c r="D961" s="804"/>
      <c r="E961" s="804"/>
      <c r="F961" s="330">
        <v>19.8</v>
      </c>
      <c r="G961" s="644">
        <f t="shared" si="148"/>
        <v>19.8</v>
      </c>
      <c r="H961" s="865">
        <v>0</v>
      </c>
      <c r="I961" s="330">
        <v>0</v>
      </c>
      <c r="J961" s="403">
        <f t="shared" si="144"/>
        <v>0</v>
      </c>
      <c r="K961" s="403">
        <f t="shared" si="142"/>
        <v>0</v>
      </c>
      <c r="L961" s="425">
        <f t="shared" si="141"/>
        <v>0</v>
      </c>
      <c r="M961" s="177">
        <f t="shared" si="145"/>
        <v>0</v>
      </c>
      <c r="N961" s="427">
        <f t="shared" si="143"/>
        <v>0</v>
      </c>
      <c r="O961" s="427">
        <v>0</v>
      </c>
      <c r="P961" s="177">
        <f t="shared" si="146"/>
        <v>0</v>
      </c>
      <c r="Q961" s="177">
        <f t="shared" si="147"/>
        <v>0</v>
      </c>
      <c r="R961" s="431">
        <f t="shared" si="140"/>
        <v>0</v>
      </c>
      <c r="S961" s="468">
        <v>2</v>
      </c>
      <c r="T961" s="127"/>
      <c r="U961" s="127"/>
      <c r="V961" s="127"/>
      <c r="W961" s="127"/>
      <c r="X961" s="127"/>
      <c r="Y961" s="127"/>
    </row>
    <row r="962" spans="1:25" s="6" customFormat="1" ht="15.75" customHeight="1">
      <c r="A962" s="285">
        <v>82</v>
      </c>
      <c r="B962" s="285" t="s">
        <v>473</v>
      </c>
      <c r="C962" s="803">
        <v>61.2</v>
      </c>
      <c r="D962" s="804"/>
      <c r="E962" s="804"/>
      <c r="F962" s="330">
        <v>61.2</v>
      </c>
      <c r="G962" s="644">
        <f t="shared" si="148"/>
        <v>61.2</v>
      </c>
      <c r="H962" s="865">
        <v>0</v>
      </c>
      <c r="I962" s="330">
        <v>0</v>
      </c>
      <c r="J962" s="403">
        <f t="shared" si="144"/>
        <v>0</v>
      </c>
      <c r="K962" s="403">
        <f t="shared" si="142"/>
        <v>0</v>
      </c>
      <c r="L962" s="425">
        <f t="shared" si="141"/>
        <v>0</v>
      </c>
      <c r="M962" s="177">
        <f t="shared" si="145"/>
        <v>0</v>
      </c>
      <c r="N962" s="427">
        <f t="shared" si="143"/>
        <v>0</v>
      </c>
      <c r="O962" s="427">
        <v>0</v>
      </c>
      <c r="P962" s="177">
        <f t="shared" si="146"/>
        <v>0</v>
      </c>
      <c r="Q962" s="177">
        <f t="shared" si="147"/>
        <v>0</v>
      </c>
      <c r="R962" s="431">
        <f t="shared" si="140"/>
        <v>0</v>
      </c>
      <c r="S962" s="468">
        <v>1</v>
      </c>
      <c r="T962" s="127"/>
      <c r="U962" s="127"/>
      <c r="V962" s="127"/>
      <c r="W962" s="127"/>
      <c r="X962" s="127"/>
      <c r="Y962" s="127"/>
    </row>
    <row r="963" spans="1:25" s="6" customFormat="1" ht="15.75" customHeight="1">
      <c r="A963" s="285">
        <v>83</v>
      </c>
      <c r="B963" s="285" t="s">
        <v>474</v>
      </c>
      <c r="C963" s="803">
        <v>47.1</v>
      </c>
      <c r="D963" s="804"/>
      <c r="E963" s="804"/>
      <c r="F963" s="330">
        <v>47.1</v>
      </c>
      <c r="G963" s="644">
        <f t="shared" si="148"/>
        <v>47.1</v>
      </c>
      <c r="H963" s="865">
        <v>0</v>
      </c>
      <c r="I963" s="330">
        <v>0</v>
      </c>
      <c r="J963" s="403">
        <f t="shared" si="144"/>
        <v>0</v>
      </c>
      <c r="K963" s="403">
        <f t="shared" si="142"/>
        <v>0</v>
      </c>
      <c r="L963" s="425">
        <f t="shared" si="141"/>
        <v>0</v>
      </c>
      <c r="M963" s="177">
        <f t="shared" si="145"/>
        <v>0</v>
      </c>
      <c r="N963" s="427">
        <f t="shared" si="143"/>
        <v>0</v>
      </c>
      <c r="O963" s="427">
        <v>0</v>
      </c>
      <c r="P963" s="177">
        <f t="shared" si="146"/>
        <v>0</v>
      </c>
      <c r="Q963" s="177">
        <f t="shared" si="147"/>
        <v>0</v>
      </c>
      <c r="R963" s="431">
        <f t="shared" si="140"/>
        <v>0</v>
      </c>
      <c r="S963" s="468">
        <v>1</v>
      </c>
      <c r="T963" s="127"/>
      <c r="U963" s="127"/>
      <c r="V963" s="127"/>
      <c r="W963" s="127"/>
      <c r="X963" s="127"/>
      <c r="Y963" s="127"/>
    </row>
    <row r="964" spans="1:25" s="6" customFormat="1" ht="15.75" customHeight="1">
      <c r="A964" s="285">
        <v>84</v>
      </c>
      <c r="B964" s="285" t="s">
        <v>475</v>
      </c>
      <c r="C964" s="803">
        <v>282.8</v>
      </c>
      <c r="D964" s="804"/>
      <c r="E964" s="804"/>
      <c r="F964" s="330">
        <v>227.3</v>
      </c>
      <c r="G964" s="644">
        <f t="shared" si="148"/>
        <v>282.8</v>
      </c>
      <c r="H964" s="865">
        <v>0</v>
      </c>
      <c r="I964" s="330">
        <v>0</v>
      </c>
      <c r="J964" s="403">
        <f t="shared" si="144"/>
        <v>0</v>
      </c>
      <c r="K964" s="403">
        <f t="shared" si="142"/>
        <v>0</v>
      </c>
      <c r="L964" s="425">
        <f t="shared" si="141"/>
        <v>0</v>
      </c>
      <c r="M964" s="177">
        <f t="shared" si="145"/>
        <v>0</v>
      </c>
      <c r="N964" s="427">
        <f t="shared" si="143"/>
        <v>0</v>
      </c>
      <c r="O964" s="427">
        <v>0</v>
      </c>
      <c r="P964" s="177">
        <f t="shared" si="146"/>
        <v>0</v>
      </c>
      <c r="Q964" s="177">
        <f t="shared" si="147"/>
        <v>0</v>
      </c>
      <c r="R964" s="431">
        <f t="shared" si="140"/>
        <v>0</v>
      </c>
      <c r="S964" s="468">
        <v>1</v>
      </c>
      <c r="T964" s="127"/>
      <c r="U964" s="127"/>
      <c r="V964" s="127"/>
      <c r="W964" s="127"/>
      <c r="X964" s="127"/>
      <c r="Y964" s="127"/>
    </row>
    <row r="965" spans="1:25" s="6" customFormat="1" ht="15.75" customHeight="1">
      <c r="A965" s="285">
        <v>85</v>
      </c>
      <c r="B965" s="285" t="s">
        <v>476</v>
      </c>
      <c r="C965" s="803">
        <v>46.6</v>
      </c>
      <c r="D965" s="804"/>
      <c r="E965" s="804"/>
      <c r="F965" s="330">
        <v>46.6</v>
      </c>
      <c r="G965" s="644">
        <f t="shared" si="148"/>
        <v>46.6</v>
      </c>
      <c r="H965" s="865">
        <v>0</v>
      </c>
      <c r="I965" s="330">
        <v>0</v>
      </c>
      <c r="J965" s="403">
        <f t="shared" si="144"/>
        <v>0</v>
      </c>
      <c r="K965" s="403">
        <f t="shared" si="142"/>
        <v>0</v>
      </c>
      <c r="L965" s="425">
        <f t="shared" si="141"/>
        <v>0</v>
      </c>
      <c r="M965" s="177">
        <f t="shared" si="145"/>
        <v>0</v>
      </c>
      <c r="N965" s="427">
        <f t="shared" si="143"/>
        <v>0</v>
      </c>
      <c r="O965" s="427">
        <v>0</v>
      </c>
      <c r="P965" s="177">
        <f t="shared" si="146"/>
        <v>0</v>
      </c>
      <c r="Q965" s="177">
        <f t="shared" si="147"/>
        <v>0</v>
      </c>
      <c r="R965" s="431">
        <f t="shared" si="140"/>
        <v>0</v>
      </c>
      <c r="S965" s="468">
        <v>5</v>
      </c>
      <c r="T965" s="127"/>
      <c r="U965" s="127"/>
      <c r="V965" s="127"/>
      <c r="W965" s="127"/>
      <c r="X965" s="127"/>
      <c r="Y965" s="127"/>
    </row>
    <row r="966" spans="1:25" s="6" customFormat="1" ht="15.75" customHeight="1">
      <c r="A966" s="285">
        <v>86</v>
      </c>
      <c r="B966" s="285" t="s">
        <v>477</v>
      </c>
      <c r="C966" s="803">
        <v>3266.45</v>
      </c>
      <c r="D966" s="804"/>
      <c r="E966" s="804"/>
      <c r="F966" s="330">
        <v>3261.55</v>
      </c>
      <c r="G966" s="644">
        <f t="shared" si="148"/>
        <v>3266.45</v>
      </c>
      <c r="H966" s="865">
        <v>312</v>
      </c>
      <c r="I966" s="330">
        <v>0</v>
      </c>
      <c r="J966" s="403">
        <f t="shared" si="144"/>
        <v>312</v>
      </c>
      <c r="K966" s="403">
        <f t="shared" si="142"/>
        <v>312</v>
      </c>
      <c r="L966" s="425">
        <f t="shared" si="141"/>
        <v>0.37142857142857144</v>
      </c>
      <c r="M966" s="177">
        <f t="shared" si="145"/>
        <v>749.17514285714287</v>
      </c>
      <c r="N966" s="427">
        <f t="shared" si="143"/>
        <v>275.47170002857143</v>
      </c>
      <c r="O966" s="427">
        <v>289.39857142857142</v>
      </c>
      <c r="P966" s="177">
        <f t="shared" si="146"/>
        <v>20.009005714285717</v>
      </c>
      <c r="Q966" s="177">
        <f t="shared" si="147"/>
        <v>24.390977965714292</v>
      </c>
      <c r="R966" s="431">
        <f t="shared" si="140"/>
        <v>0.40841109462216513</v>
      </c>
      <c r="S966" s="468">
        <v>5</v>
      </c>
      <c r="T966" s="127"/>
      <c r="U966" s="127"/>
      <c r="V966" s="127"/>
      <c r="W966" s="127"/>
      <c r="X966" s="127"/>
      <c r="Y966" s="127"/>
    </row>
    <row r="967" spans="1:25" s="6" customFormat="1" ht="15.75" customHeight="1">
      <c r="A967" s="285">
        <v>87</v>
      </c>
      <c r="B967" s="285" t="s">
        <v>478</v>
      </c>
      <c r="C967" s="803">
        <v>3257.47</v>
      </c>
      <c r="D967" s="804"/>
      <c r="E967" s="804"/>
      <c r="F967" s="330">
        <v>3260.22</v>
      </c>
      <c r="G967" s="644">
        <f t="shared" si="148"/>
        <v>3257.47</v>
      </c>
      <c r="H967" s="865">
        <v>312</v>
      </c>
      <c r="I967" s="330">
        <v>0</v>
      </c>
      <c r="J967" s="403">
        <f t="shared" si="144"/>
        <v>312</v>
      </c>
      <c r="K967" s="403">
        <f t="shared" si="142"/>
        <v>312</v>
      </c>
      <c r="L967" s="425">
        <f t="shared" si="141"/>
        <v>0.37142857142857144</v>
      </c>
      <c r="M967" s="177">
        <f t="shared" si="145"/>
        <v>749.17514285714287</v>
      </c>
      <c r="N967" s="427">
        <f t="shared" si="143"/>
        <v>275.47170002857143</v>
      </c>
      <c r="O967" s="427">
        <v>289.39857142857142</v>
      </c>
      <c r="P967" s="177">
        <f t="shared" si="146"/>
        <v>20.009005714285717</v>
      </c>
      <c r="Q967" s="177">
        <f t="shared" si="147"/>
        <v>24.390977965714292</v>
      </c>
      <c r="R967" s="431">
        <f t="shared" ref="R967:R1030" si="149">(M967+N967+O967+P967)/C967</f>
        <v>0.40953697809298978</v>
      </c>
      <c r="S967" s="468">
        <v>1</v>
      </c>
      <c r="T967" s="127"/>
      <c r="U967" s="127"/>
      <c r="V967" s="127"/>
      <c r="W967" s="127"/>
      <c r="X967" s="127"/>
      <c r="Y967" s="127"/>
    </row>
    <row r="968" spans="1:25" s="6" customFormat="1" ht="15.75" customHeight="1">
      <c r="A968" s="285">
        <v>88</v>
      </c>
      <c r="B968" s="285" t="s">
        <v>479</v>
      </c>
      <c r="C968" s="803">
        <v>24.3</v>
      </c>
      <c r="D968" s="804"/>
      <c r="E968" s="804"/>
      <c r="F968" s="330">
        <v>24.3</v>
      </c>
      <c r="G968" s="644">
        <f t="shared" si="148"/>
        <v>24.3</v>
      </c>
      <c r="H968" s="865">
        <v>0</v>
      </c>
      <c r="I968" s="330">
        <v>0</v>
      </c>
      <c r="J968" s="403">
        <f t="shared" si="144"/>
        <v>0</v>
      </c>
      <c r="K968" s="403">
        <f t="shared" si="142"/>
        <v>0</v>
      </c>
      <c r="L968" s="425">
        <f t="shared" si="141"/>
        <v>0</v>
      </c>
      <c r="M968" s="177">
        <f t="shared" si="145"/>
        <v>0</v>
      </c>
      <c r="N968" s="427">
        <f t="shared" si="143"/>
        <v>0</v>
      </c>
      <c r="O968" s="427">
        <v>0</v>
      </c>
      <c r="P968" s="177">
        <f t="shared" si="146"/>
        <v>0</v>
      </c>
      <c r="Q968" s="177">
        <f t="shared" si="147"/>
        <v>0</v>
      </c>
      <c r="R968" s="431">
        <f t="shared" si="149"/>
        <v>0</v>
      </c>
      <c r="S968" s="468">
        <v>5</v>
      </c>
      <c r="T968" s="127"/>
      <c r="U968" s="127"/>
      <c r="V968" s="127"/>
      <c r="W968" s="127"/>
      <c r="X968" s="127"/>
      <c r="Y968" s="127"/>
    </row>
    <row r="969" spans="1:25" s="6" customFormat="1" ht="15.75" customHeight="1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330">
        <v>4701</v>
      </c>
      <c r="G969" s="644">
        <f t="shared" si="148"/>
        <v>4572.4000000000005</v>
      </c>
      <c r="H969" s="865">
        <v>305</v>
      </c>
      <c r="I969" s="330">
        <v>0</v>
      </c>
      <c r="J969" s="403">
        <f t="shared" si="144"/>
        <v>305</v>
      </c>
      <c r="K969" s="403">
        <f t="shared" si="142"/>
        <v>305</v>
      </c>
      <c r="L969" s="425">
        <f t="shared" si="141"/>
        <v>0.36309523809523808</v>
      </c>
      <c r="M969" s="177">
        <f t="shared" si="145"/>
        <v>732.36672619047613</v>
      </c>
      <c r="N969" s="427">
        <f t="shared" si="143"/>
        <v>269.29124522023807</v>
      </c>
      <c r="O969" s="427">
        <v>282.90565476190477</v>
      </c>
      <c r="P969" s="177">
        <f t="shared" si="146"/>
        <v>19.560085714285716</v>
      </c>
      <c r="Q969" s="177">
        <f t="shared" si="147"/>
        <v>23.843744485714289</v>
      </c>
      <c r="R969" s="431">
        <f t="shared" si="149"/>
        <v>0.31031354682503798</v>
      </c>
      <c r="S969" s="468"/>
      <c r="T969" s="127"/>
      <c r="U969" s="127"/>
      <c r="V969" s="127"/>
      <c r="W969" s="127"/>
      <c r="X969" s="127"/>
      <c r="Y969" s="127"/>
    </row>
    <row r="970" spans="1:25" s="6" customFormat="1" ht="15.75" customHeight="1">
      <c r="A970" s="285">
        <v>90</v>
      </c>
      <c r="B970" s="285" t="s">
        <v>925</v>
      </c>
      <c r="C970" s="803">
        <v>140.30000000000001</v>
      </c>
      <c r="D970" s="8"/>
      <c r="E970" s="8"/>
      <c r="F970" s="330"/>
      <c r="G970" s="646">
        <f t="shared" si="148"/>
        <v>140.30000000000001</v>
      </c>
      <c r="H970" s="865">
        <v>0</v>
      </c>
      <c r="I970" s="330">
        <v>0</v>
      </c>
      <c r="J970" s="247">
        <f t="shared" si="144"/>
        <v>0</v>
      </c>
      <c r="K970" s="247">
        <f t="shared" si="142"/>
        <v>0</v>
      </c>
      <c r="L970" s="191">
        <f t="shared" si="141"/>
        <v>0</v>
      </c>
      <c r="M970" s="177">
        <f t="shared" si="145"/>
        <v>0</v>
      </c>
      <c r="N970" s="148">
        <f t="shared" si="143"/>
        <v>0</v>
      </c>
      <c r="O970" s="427">
        <v>0</v>
      </c>
      <c r="P970" s="177">
        <f t="shared" si="146"/>
        <v>0</v>
      </c>
      <c r="Q970" s="177">
        <f t="shared" si="147"/>
        <v>0</v>
      </c>
      <c r="R970" s="431">
        <f t="shared" si="149"/>
        <v>0</v>
      </c>
      <c r="S970" s="468">
        <v>2</v>
      </c>
      <c r="T970" s="127"/>
      <c r="U970" s="127"/>
      <c r="V970" s="127"/>
      <c r="W970" s="127"/>
      <c r="X970" s="127"/>
      <c r="Y970" s="127"/>
    </row>
    <row r="971" spans="1:25" s="6" customFormat="1" ht="15.75" customHeight="1">
      <c r="A971" s="285">
        <v>91</v>
      </c>
      <c r="B971" s="329" t="s">
        <v>926</v>
      </c>
      <c r="C971" s="803">
        <v>427.4</v>
      </c>
      <c r="D971" s="56"/>
      <c r="E971" s="330"/>
      <c r="F971" s="330">
        <v>427.6</v>
      </c>
      <c r="G971" s="644">
        <f t="shared" si="148"/>
        <v>427.4</v>
      </c>
      <c r="H971" s="865">
        <v>0</v>
      </c>
      <c r="I971" s="535">
        <v>0</v>
      </c>
      <c r="J971" s="403">
        <f t="shared" si="144"/>
        <v>0</v>
      </c>
      <c r="K971" s="403">
        <v>40</v>
      </c>
      <c r="L971" s="425">
        <f t="shared" si="141"/>
        <v>0</v>
      </c>
      <c r="M971" s="177">
        <f t="shared" si="145"/>
        <v>0</v>
      </c>
      <c r="N971" s="427">
        <f t="shared" si="143"/>
        <v>0</v>
      </c>
      <c r="O971" s="427">
        <v>0</v>
      </c>
      <c r="P971" s="177">
        <f t="shared" si="146"/>
        <v>0</v>
      </c>
      <c r="Q971" s="177">
        <f t="shared" si="147"/>
        <v>0</v>
      </c>
      <c r="R971" s="431">
        <f t="shared" si="149"/>
        <v>0</v>
      </c>
      <c r="S971" s="468">
        <v>3</v>
      </c>
      <c r="T971" s="127"/>
      <c r="U971" s="127"/>
      <c r="V971" s="127"/>
      <c r="W971" s="127"/>
      <c r="X971" s="127"/>
      <c r="Y971" s="127"/>
    </row>
    <row r="972" spans="1:25" s="6" customFormat="1" ht="15.75" customHeight="1">
      <c r="A972" s="285">
        <v>92</v>
      </c>
      <c r="B972" s="329" t="s">
        <v>927</v>
      </c>
      <c r="C972" s="803">
        <v>954</v>
      </c>
      <c r="D972" s="804"/>
      <c r="E972" s="804"/>
      <c r="F972" s="330">
        <v>954</v>
      </c>
      <c r="G972" s="644">
        <f t="shared" si="148"/>
        <v>954</v>
      </c>
      <c r="H972" s="865">
        <v>40</v>
      </c>
      <c r="I972" s="330">
        <v>0</v>
      </c>
      <c r="J972" s="403">
        <f t="shared" si="144"/>
        <v>40</v>
      </c>
      <c r="K972" s="403">
        <f t="shared" si="142"/>
        <v>40</v>
      </c>
      <c r="L972" s="425">
        <f t="shared" si="141"/>
        <v>4.7619047619047616E-2</v>
      </c>
      <c r="M972" s="177">
        <f t="shared" si="145"/>
        <v>96.048095238095229</v>
      </c>
      <c r="N972" s="427">
        <f t="shared" si="143"/>
        <v>35.31688461904762</v>
      </c>
      <c r="O972" s="427">
        <v>37.102380952380948</v>
      </c>
      <c r="P972" s="177">
        <f t="shared" si="146"/>
        <v>2.5652571428571429</v>
      </c>
      <c r="Q972" s="177">
        <f t="shared" si="147"/>
        <v>3.1270484571428576</v>
      </c>
      <c r="R972" s="431">
        <f t="shared" si="149"/>
        <v>0.17927947374463413</v>
      </c>
      <c r="S972" s="468">
        <v>2</v>
      </c>
      <c r="T972" s="127"/>
      <c r="U972" s="127"/>
      <c r="V972" s="127"/>
      <c r="W972" s="127"/>
      <c r="X972" s="127"/>
      <c r="Y972" s="127"/>
    </row>
    <row r="973" spans="1:25" s="6" customFormat="1" ht="15.75" customHeight="1">
      <c r="A973" s="285">
        <v>93</v>
      </c>
      <c r="B973" s="329" t="s">
        <v>928</v>
      </c>
      <c r="C973" s="803">
        <v>202.5</v>
      </c>
      <c r="D973" s="804"/>
      <c r="E973" s="804"/>
      <c r="F973" s="330">
        <v>202.5</v>
      </c>
      <c r="G973" s="644">
        <f t="shared" si="148"/>
        <v>202.5</v>
      </c>
      <c r="H973" s="865">
        <v>0</v>
      </c>
      <c r="I973" s="535">
        <v>0</v>
      </c>
      <c r="J973" s="403">
        <f t="shared" si="144"/>
        <v>0</v>
      </c>
      <c r="K973" s="403">
        <f t="shared" si="142"/>
        <v>0</v>
      </c>
      <c r="L973" s="425">
        <f t="shared" si="141"/>
        <v>0</v>
      </c>
      <c r="M973" s="177">
        <f t="shared" si="145"/>
        <v>0</v>
      </c>
      <c r="N973" s="427">
        <f t="shared" si="143"/>
        <v>0</v>
      </c>
      <c r="O973" s="427">
        <v>0</v>
      </c>
      <c r="P973" s="177">
        <f t="shared" si="146"/>
        <v>0</v>
      </c>
      <c r="Q973" s="177">
        <f t="shared" si="147"/>
        <v>0</v>
      </c>
      <c r="R973" s="431">
        <f t="shared" si="149"/>
        <v>0</v>
      </c>
      <c r="S973" s="468">
        <v>2</v>
      </c>
      <c r="T973" s="127"/>
      <c r="U973" s="127"/>
      <c r="V973" s="127"/>
      <c r="W973" s="127"/>
      <c r="X973" s="127"/>
      <c r="Y973" s="127"/>
    </row>
    <row r="974" spans="1:25" s="6" customFormat="1" ht="15.75" customHeight="1">
      <c r="A974" s="285">
        <v>94</v>
      </c>
      <c r="B974" s="329" t="s">
        <v>929</v>
      </c>
      <c r="C974" s="803">
        <v>308.2</v>
      </c>
      <c r="D974" s="804"/>
      <c r="E974" s="804"/>
      <c r="F974" s="330">
        <v>308.2</v>
      </c>
      <c r="G974" s="644">
        <f t="shared" si="148"/>
        <v>308.2</v>
      </c>
      <c r="H974" s="865">
        <v>0</v>
      </c>
      <c r="I974" s="535">
        <v>0</v>
      </c>
      <c r="J974" s="403">
        <f t="shared" si="144"/>
        <v>0</v>
      </c>
      <c r="K974" s="403">
        <f t="shared" si="142"/>
        <v>0</v>
      </c>
      <c r="L974" s="425">
        <f t="shared" si="141"/>
        <v>0</v>
      </c>
      <c r="M974" s="177">
        <f t="shared" si="145"/>
        <v>0</v>
      </c>
      <c r="N974" s="427">
        <f t="shared" si="143"/>
        <v>0</v>
      </c>
      <c r="O974" s="427">
        <v>0</v>
      </c>
      <c r="P974" s="177">
        <f t="shared" si="146"/>
        <v>0</v>
      </c>
      <c r="Q974" s="177">
        <f t="shared" si="147"/>
        <v>0</v>
      </c>
      <c r="R974" s="431">
        <f t="shared" si="149"/>
        <v>0</v>
      </c>
      <c r="S974" s="468">
        <v>1</v>
      </c>
      <c r="T974" s="127"/>
      <c r="U974" s="127"/>
      <c r="V974" s="127"/>
      <c r="W974" s="127"/>
      <c r="X974" s="127"/>
      <c r="Y974" s="127"/>
    </row>
    <row r="975" spans="1:25" s="6" customFormat="1" ht="15.75" customHeight="1">
      <c r="A975" s="285">
        <v>95</v>
      </c>
      <c r="B975" s="329" t="s">
        <v>930</v>
      </c>
      <c r="C975" s="803">
        <v>44.1</v>
      </c>
      <c r="D975" s="804"/>
      <c r="E975" s="804"/>
      <c r="F975" s="330">
        <v>44.1</v>
      </c>
      <c r="G975" s="644">
        <f t="shared" si="148"/>
        <v>44.1</v>
      </c>
      <c r="H975" s="865">
        <v>0</v>
      </c>
      <c r="I975" s="535">
        <v>0</v>
      </c>
      <c r="J975" s="403">
        <f t="shared" si="144"/>
        <v>0</v>
      </c>
      <c r="K975" s="403">
        <f t="shared" si="142"/>
        <v>0</v>
      </c>
      <c r="L975" s="425">
        <f t="shared" si="141"/>
        <v>0</v>
      </c>
      <c r="M975" s="177">
        <f t="shared" si="145"/>
        <v>0</v>
      </c>
      <c r="N975" s="427">
        <f t="shared" si="143"/>
        <v>0</v>
      </c>
      <c r="O975" s="427">
        <v>0</v>
      </c>
      <c r="P975" s="177">
        <f t="shared" si="146"/>
        <v>0</v>
      </c>
      <c r="Q975" s="177">
        <f t="shared" si="147"/>
        <v>0</v>
      </c>
      <c r="R975" s="431">
        <f t="shared" si="149"/>
        <v>0</v>
      </c>
      <c r="S975" s="468">
        <v>2</v>
      </c>
      <c r="T975" s="127"/>
      <c r="U975" s="127"/>
      <c r="V975" s="127"/>
      <c r="W975" s="127"/>
      <c r="X975" s="127"/>
      <c r="Y975" s="127"/>
    </row>
    <row r="976" spans="1:25" s="6" customFormat="1" ht="15.75" customHeight="1">
      <c r="A976" s="285">
        <v>96</v>
      </c>
      <c r="B976" s="329" t="s">
        <v>931</v>
      </c>
      <c r="C976" s="803">
        <v>236.79</v>
      </c>
      <c r="D976" s="804"/>
      <c r="E976" s="804"/>
      <c r="F976" s="330">
        <v>240.12</v>
      </c>
      <c r="G976" s="644">
        <f t="shared" si="148"/>
        <v>236.79</v>
      </c>
      <c r="H976" s="865">
        <v>0</v>
      </c>
      <c r="I976" s="535">
        <v>0</v>
      </c>
      <c r="J976" s="403">
        <f t="shared" si="144"/>
        <v>0</v>
      </c>
      <c r="K976" s="403">
        <f t="shared" si="142"/>
        <v>0</v>
      </c>
      <c r="L976" s="425">
        <f t="shared" si="141"/>
        <v>0</v>
      </c>
      <c r="M976" s="177">
        <f t="shared" si="145"/>
        <v>0</v>
      </c>
      <c r="N976" s="427">
        <f t="shared" si="143"/>
        <v>0</v>
      </c>
      <c r="O976" s="427">
        <v>0</v>
      </c>
      <c r="P976" s="177">
        <f t="shared" si="146"/>
        <v>0</v>
      </c>
      <c r="Q976" s="177">
        <f t="shared" si="147"/>
        <v>0</v>
      </c>
      <c r="R976" s="431">
        <f t="shared" si="149"/>
        <v>0</v>
      </c>
      <c r="S976" s="468">
        <v>3</v>
      </c>
      <c r="T976" s="127"/>
      <c r="U976" s="127"/>
      <c r="V976" s="127"/>
      <c r="W976" s="127"/>
      <c r="X976" s="127"/>
      <c r="Y976" s="127"/>
    </row>
    <row r="977" spans="1:25" s="6" customFormat="1" ht="15.75" customHeight="1">
      <c r="A977" s="285">
        <v>97</v>
      </c>
      <c r="B977" s="329" t="s">
        <v>932</v>
      </c>
      <c r="C977" s="803">
        <v>571.4</v>
      </c>
      <c r="D977" s="804"/>
      <c r="E977" s="804"/>
      <c r="F977" s="330">
        <v>571.4</v>
      </c>
      <c r="G977" s="644">
        <f t="shared" si="148"/>
        <v>571.4</v>
      </c>
      <c r="H977" s="865">
        <v>62</v>
      </c>
      <c r="I977" s="330">
        <v>0</v>
      </c>
      <c r="J977" s="403">
        <f t="shared" si="144"/>
        <v>62</v>
      </c>
      <c r="K977" s="403">
        <f t="shared" si="142"/>
        <v>62</v>
      </c>
      <c r="L977" s="425">
        <f t="shared" si="141"/>
        <v>7.3809523809523811E-2</v>
      </c>
      <c r="M977" s="177">
        <f t="shared" si="145"/>
        <v>148.87454761904763</v>
      </c>
      <c r="N977" s="427">
        <f t="shared" si="143"/>
        <v>54.741171159523816</v>
      </c>
      <c r="O977" s="427">
        <v>57.508690476190473</v>
      </c>
      <c r="P977" s="177">
        <f t="shared" si="146"/>
        <v>3.9761485714285718</v>
      </c>
      <c r="Q977" s="177">
        <f t="shared" si="147"/>
        <v>4.8469251085714298</v>
      </c>
      <c r="R977" s="431">
        <f t="shared" si="149"/>
        <v>0.4639491736545161</v>
      </c>
      <c r="S977" s="468">
        <v>3</v>
      </c>
      <c r="T977" s="127"/>
      <c r="U977" s="127"/>
      <c r="V977" s="127"/>
      <c r="W977" s="127"/>
      <c r="X977" s="127"/>
      <c r="Y977" s="127"/>
    </row>
    <row r="978" spans="1:25" s="6" customFormat="1" ht="15.75" customHeight="1">
      <c r="A978" s="285">
        <v>98</v>
      </c>
      <c r="B978" s="329" t="s">
        <v>933</v>
      </c>
      <c r="C978" s="803">
        <v>654.29999999999995</v>
      </c>
      <c r="D978" s="804"/>
      <c r="E978" s="804"/>
      <c r="F978" s="330">
        <v>654</v>
      </c>
      <c r="G978" s="644">
        <f t="shared" si="148"/>
        <v>654.29999999999995</v>
      </c>
      <c r="H978" s="868">
        <v>70</v>
      </c>
      <c r="I978" s="330">
        <v>0</v>
      </c>
      <c r="J978" s="403">
        <f t="shared" si="144"/>
        <v>70</v>
      </c>
      <c r="K978" s="403">
        <f t="shared" si="142"/>
        <v>70</v>
      </c>
      <c r="L978" s="425">
        <f t="shared" si="141"/>
        <v>8.3333333333333329E-2</v>
      </c>
      <c r="M978" s="177">
        <f t="shared" si="145"/>
        <v>168.08416666666665</v>
      </c>
      <c r="N978" s="427">
        <f t="shared" si="143"/>
        <v>61.80454808333333</v>
      </c>
      <c r="O978" s="427">
        <v>64.92916666666666</v>
      </c>
      <c r="P978" s="177">
        <f t="shared" si="146"/>
        <v>4.4892000000000003</v>
      </c>
      <c r="Q978" s="177">
        <f t="shared" si="147"/>
        <v>5.4723348000000005</v>
      </c>
      <c r="R978" s="431">
        <f t="shared" si="149"/>
        <v>0.45744625006368123</v>
      </c>
      <c r="S978" s="468">
        <v>3</v>
      </c>
      <c r="T978" s="127"/>
      <c r="U978" s="127"/>
      <c r="V978" s="127"/>
      <c r="W978" s="127"/>
      <c r="X978" s="127"/>
      <c r="Y978" s="127"/>
    </row>
    <row r="979" spans="1:25" s="6" customFormat="1" ht="15.75" customHeight="1">
      <c r="A979" s="285">
        <v>99</v>
      </c>
      <c r="B979" s="329" t="s">
        <v>934</v>
      </c>
      <c r="C979" s="803">
        <v>559.79999999999995</v>
      </c>
      <c r="D979" s="391"/>
      <c r="E979" s="804"/>
      <c r="F979" s="330">
        <v>559.79999999999995</v>
      </c>
      <c r="G979" s="644">
        <f t="shared" si="148"/>
        <v>559.79999999999995</v>
      </c>
      <c r="H979" s="868">
        <v>62</v>
      </c>
      <c r="I979" s="330">
        <v>0</v>
      </c>
      <c r="J979" s="403">
        <f t="shared" si="144"/>
        <v>62</v>
      </c>
      <c r="K979" s="403">
        <f t="shared" si="142"/>
        <v>62</v>
      </c>
      <c r="L979" s="425">
        <f t="shared" si="141"/>
        <v>7.3809523809523811E-2</v>
      </c>
      <c r="M979" s="177">
        <f t="shared" si="145"/>
        <v>148.87454761904763</v>
      </c>
      <c r="N979" s="427">
        <f t="shared" si="143"/>
        <v>54.741171159523816</v>
      </c>
      <c r="O979" s="427">
        <v>57.508690476190473</v>
      </c>
      <c r="P979" s="177">
        <f t="shared" si="146"/>
        <v>3.9761485714285718</v>
      </c>
      <c r="Q979" s="177">
        <f t="shared" si="147"/>
        <v>4.8469251085714298</v>
      </c>
      <c r="R979" s="431">
        <f t="shared" si="149"/>
        <v>0.47356298289780369</v>
      </c>
      <c r="S979" s="468">
        <v>3</v>
      </c>
      <c r="T979" s="127"/>
      <c r="U979" s="127"/>
      <c r="V979" s="127"/>
      <c r="W979" s="127"/>
      <c r="X979" s="127"/>
      <c r="Y979" s="127"/>
    </row>
    <row r="980" spans="1:25" s="6" customFormat="1" ht="15.75" customHeight="1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330">
        <v>636.1</v>
      </c>
      <c r="G980" s="644">
        <f t="shared" si="148"/>
        <v>681</v>
      </c>
      <c r="H980" s="868">
        <v>95</v>
      </c>
      <c r="I980" s="330">
        <v>0</v>
      </c>
      <c r="J980" s="403">
        <f t="shared" si="144"/>
        <v>95</v>
      </c>
      <c r="K980" s="403">
        <f t="shared" si="142"/>
        <v>95</v>
      </c>
      <c r="L980" s="425">
        <f t="shared" si="141"/>
        <v>0.1130952380952381</v>
      </c>
      <c r="M980" s="177">
        <f t="shared" si="145"/>
        <v>228.11422619047619</v>
      </c>
      <c r="N980" s="427">
        <f t="shared" si="143"/>
        <v>83.877600970238106</v>
      </c>
      <c r="O980" s="427">
        <v>88.118154761904762</v>
      </c>
      <c r="P980" s="177">
        <f t="shared" si="146"/>
        <v>6.0924857142857149</v>
      </c>
      <c r="Q980" s="177">
        <f t="shared" si="147"/>
        <v>7.4267400857142869</v>
      </c>
      <c r="R980" s="431">
        <f t="shared" si="149"/>
        <v>0.64568823340789183</v>
      </c>
      <c r="S980" s="468">
        <v>2</v>
      </c>
      <c r="T980" s="127"/>
      <c r="U980" s="127"/>
      <c r="V980" s="127"/>
      <c r="W980" s="127"/>
      <c r="X980" s="127"/>
      <c r="Y980" s="127"/>
    </row>
    <row r="981" spans="1:25" s="6" customFormat="1" ht="15.75" customHeight="1">
      <c r="A981" s="285">
        <v>101</v>
      </c>
      <c r="B981" s="329" t="s">
        <v>936</v>
      </c>
      <c r="C981" s="803">
        <v>373.3</v>
      </c>
      <c r="D981" s="391"/>
      <c r="E981" s="804"/>
      <c r="F981" s="330">
        <v>371.3</v>
      </c>
      <c r="G981" s="644">
        <f t="shared" si="148"/>
        <v>373.3</v>
      </c>
      <c r="H981" s="865">
        <v>0</v>
      </c>
      <c r="I981" s="535">
        <v>0</v>
      </c>
      <c r="J981" s="403">
        <f t="shared" si="144"/>
        <v>0</v>
      </c>
      <c r="K981" s="403">
        <f t="shared" si="142"/>
        <v>0</v>
      </c>
      <c r="L981" s="425">
        <f t="shared" si="141"/>
        <v>0</v>
      </c>
      <c r="M981" s="177">
        <f t="shared" si="145"/>
        <v>0</v>
      </c>
      <c r="N981" s="427">
        <f t="shared" si="143"/>
        <v>0</v>
      </c>
      <c r="O981" s="427">
        <v>0</v>
      </c>
      <c r="P981" s="177">
        <f t="shared" si="146"/>
        <v>0</v>
      </c>
      <c r="Q981" s="177">
        <f t="shared" si="147"/>
        <v>0</v>
      </c>
      <c r="R981" s="431">
        <f t="shared" si="149"/>
        <v>0</v>
      </c>
      <c r="S981" s="468">
        <v>3</v>
      </c>
      <c r="T981" s="127"/>
      <c r="U981" s="127"/>
      <c r="V981" s="127"/>
      <c r="W981" s="127"/>
      <c r="X981" s="127"/>
      <c r="Y981" s="127"/>
    </row>
    <row r="982" spans="1:25" s="6" customFormat="1" ht="15.75" customHeight="1">
      <c r="A982" s="285">
        <v>102</v>
      </c>
      <c r="B982" s="329" t="s">
        <v>937</v>
      </c>
      <c r="C982" s="803">
        <v>395.4</v>
      </c>
      <c r="D982" s="391"/>
      <c r="E982" s="804"/>
      <c r="F982" s="330">
        <v>386.7</v>
      </c>
      <c r="G982" s="644">
        <f t="shared" si="148"/>
        <v>395.4</v>
      </c>
      <c r="H982" s="865">
        <v>22</v>
      </c>
      <c r="I982" s="330">
        <v>0</v>
      </c>
      <c r="J982" s="403">
        <f t="shared" si="144"/>
        <v>22</v>
      </c>
      <c r="K982" s="403">
        <f t="shared" si="142"/>
        <v>22</v>
      </c>
      <c r="L982" s="425">
        <f t="shared" si="141"/>
        <v>2.6190476190476191E-2</v>
      </c>
      <c r="M982" s="177">
        <f t="shared" si="145"/>
        <v>52.826452380952382</v>
      </c>
      <c r="N982" s="427">
        <f t="shared" si="143"/>
        <v>19.424286540476192</v>
      </c>
      <c r="O982" s="427">
        <v>20.406309523809522</v>
      </c>
      <c r="P982" s="177">
        <f t="shared" si="146"/>
        <v>1.4108914285714287</v>
      </c>
      <c r="Q982" s="177">
        <f t="shared" si="147"/>
        <v>1.7198766514285717</v>
      </c>
      <c r="R982" s="431">
        <f t="shared" si="149"/>
        <v>0.23790576599344851</v>
      </c>
      <c r="S982" s="468">
        <v>3</v>
      </c>
      <c r="T982" s="127"/>
      <c r="U982" s="127"/>
      <c r="V982" s="127"/>
      <c r="W982" s="127"/>
      <c r="X982" s="127"/>
      <c r="Y982" s="127"/>
    </row>
    <row r="983" spans="1:25" s="6" customFormat="1" ht="15.75" customHeight="1">
      <c r="A983" s="285">
        <v>103</v>
      </c>
      <c r="B983" s="329" t="s">
        <v>938</v>
      </c>
      <c r="C983" s="803">
        <v>359.5</v>
      </c>
      <c r="D983" s="391"/>
      <c r="E983" s="804"/>
      <c r="F983" s="330">
        <v>418.3</v>
      </c>
      <c r="G983" s="644">
        <f t="shared" si="148"/>
        <v>359.5</v>
      </c>
      <c r="H983" s="865">
        <v>68</v>
      </c>
      <c r="I983" s="330">
        <v>0</v>
      </c>
      <c r="J983" s="403">
        <f t="shared" si="144"/>
        <v>68</v>
      </c>
      <c r="K983" s="403">
        <f t="shared" si="142"/>
        <v>68</v>
      </c>
      <c r="L983" s="425">
        <f t="shared" si="141"/>
        <v>8.0952380952380956E-2</v>
      </c>
      <c r="M983" s="177">
        <f t="shared" si="145"/>
        <v>163.28176190476191</v>
      </c>
      <c r="N983" s="427">
        <f t="shared" si="143"/>
        <v>60.038703852380955</v>
      </c>
      <c r="O983" s="427">
        <v>63.074047619047619</v>
      </c>
      <c r="P983" s="177">
        <f t="shared" si="146"/>
        <v>4.3609371428571437</v>
      </c>
      <c r="Q983" s="177">
        <f t="shared" si="147"/>
        <v>5.3159823771428583</v>
      </c>
      <c r="R983" s="431">
        <f t="shared" si="149"/>
        <v>0.80877733106828276</v>
      </c>
      <c r="S983" s="468">
        <v>3</v>
      </c>
      <c r="T983" s="127"/>
      <c r="U983" s="127"/>
      <c r="V983" s="127"/>
      <c r="W983" s="127"/>
      <c r="X983" s="127"/>
      <c r="Y983" s="127"/>
    </row>
    <row r="984" spans="1:25" s="6" customFormat="1" ht="15.75" customHeight="1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330">
        <v>476.7</v>
      </c>
      <c r="G984" s="644">
        <f t="shared" si="148"/>
        <v>581.70000000000005</v>
      </c>
      <c r="H984" s="865">
        <v>30</v>
      </c>
      <c r="I984" s="330">
        <v>0</v>
      </c>
      <c r="J984" s="403">
        <f t="shared" si="144"/>
        <v>30</v>
      </c>
      <c r="K984" s="403">
        <f t="shared" si="142"/>
        <v>30</v>
      </c>
      <c r="L984" s="425">
        <f t="shared" si="141"/>
        <v>3.5714285714285712E-2</v>
      </c>
      <c r="M984" s="177">
        <f t="shared" si="145"/>
        <v>72.036071428571418</v>
      </c>
      <c r="N984" s="427">
        <f t="shared" si="143"/>
        <v>26.487663464285713</v>
      </c>
      <c r="O984" s="427">
        <v>27.826785714285712</v>
      </c>
      <c r="P984" s="177">
        <f t="shared" si="146"/>
        <v>1.9239428571428572</v>
      </c>
      <c r="Q984" s="177">
        <f t="shared" si="147"/>
        <v>2.3452863428571429</v>
      </c>
      <c r="R984" s="431">
        <f t="shared" si="149"/>
        <v>0.26891921061695118</v>
      </c>
      <c r="S984" s="468">
        <v>2</v>
      </c>
      <c r="T984" s="127"/>
      <c r="U984" s="127"/>
      <c r="V984" s="127"/>
      <c r="W984" s="127"/>
      <c r="X984" s="127"/>
      <c r="Y984" s="127"/>
    </row>
    <row r="985" spans="1:25" s="6" customFormat="1" ht="15.75" customHeight="1">
      <c r="A985" s="285">
        <v>105</v>
      </c>
      <c r="B985" s="329" t="s">
        <v>940</v>
      </c>
      <c r="C985" s="803">
        <v>397</v>
      </c>
      <c r="D985" s="391"/>
      <c r="E985" s="804"/>
      <c r="F985" s="330">
        <v>397</v>
      </c>
      <c r="G985" s="644">
        <f t="shared" si="148"/>
        <v>397</v>
      </c>
      <c r="H985" s="865">
        <v>0</v>
      </c>
      <c r="I985" s="535">
        <v>0</v>
      </c>
      <c r="J985" s="403">
        <f t="shared" si="144"/>
        <v>0</v>
      </c>
      <c r="K985" s="403">
        <f t="shared" si="142"/>
        <v>0</v>
      </c>
      <c r="L985" s="425">
        <f t="shared" si="141"/>
        <v>0</v>
      </c>
      <c r="M985" s="177">
        <f t="shared" si="145"/>
        <v>0</v>
      </c>
      <c r="N985" s="427">
        <f t="shared" si="143"/>
        <v>0</v>
      </c>
      <c r="O985" s="427">
        <v>0</v>
      </c>
      <c r="P985" s="177">
        <f t="shared" si="146"/>
        <v>0</v>
      </c>
      <c r="Q985" s="177">
        <f t="shared" si="147"/>
        <v>0</v>
      </c>
      <c r="R985" s="431">
        <f t="shared" si="149"/>
        <v>0</v>
      </c>
      <c r="S985" s="468">
        <v>2</v>
      </c>
      <c r="T985" s="127"/>
      <c r="U985" s="127"/>
      <c r="V985" s="127"/>
      <c r="W985" s="127"/>
      <c r="X985" s="127"/>
      <c r="Y985" s="127"/>
    </row>
    <row r="986" spans="1:25" s="6" customFormat="1" ht="15.75" customHeight="1">
      <c r="A986" s="285">
        <v>106</v>
      </c>
      <c r="B986" s="329" t="s">
        <v>941</v>
      </c>
      <c r="C986" s="803">
        <v>271.5</v>
      </c>
      <c r="D986" s="391"/>
      <c r="E986" s="804"/>
      <c r="F986" s="330">
        <v>267.60000000000002</v>
      </c>
      <c r="G986" s="644">
        <f t="shared" si="148"/>
        <v>271.5</v>
      </c>
      <c r="H986" s="865">
        <v>0</v>
      </c>
      <c r="I986" s="535">
        <v>0</v>
      </c>
      <c r="J986" s="403">
        <f t="shared" si="144"/>
        <v>0</v>
      </c>
      <c r="K986" s="403">
        <f t="shared" si="142"/>
        <v>0</v>
      </c>
      <c r="L986" s="425">
        <f t="shared" si="141"/>
        <v>0</v>
      </c>
      <c r="M986" s="177">
        <f t="shared" si="145"/>
        <v>0</v>
      </c>
      <c r="N986" s="427">
        <f t="shared" si="143"/>
        <v>0</v>
      </c>
      <c r="O986" s="427">
        <v>0</v>
      </c>
      <c r="P986" s="177">
        <f t="shared" si="146"/>
        <v>0</v>
      </c>
      <c r="Q986" s="177">
        <f t="shared" si="147"/>
        <v>0</v>
      </c>
      <c r="R986" s="431">
        <f t="shared" si="149"/>
        <v>0</v>
      </c>
      <c r="S986" s="468">
        <v>1</v>
      </c>
      <c r="T986" s="127"/>
      <c r="U986" s="127"/>
      <c r="V986" s="127"/>
      <c r="W986" s="127"/>
      <c r="X986" s="127"/>
      <c r="Y986" s="127"/>
    </row>
    <row r="987" spans="1:25" s="6" customFormat="1" ht="15.75" customHeight="1">
      <c r="A987" s="285">
        <v>107</v>
      </c>
      <c r="B987" s="329" t="s">
        <v>942</v>
      </c>
      <c r="C987" s="803">
        <v>258.60000000000002</v>
      </c>
      <c r="D987" s="391"/>
      <c r="E987" s="804"/>
      <c r="F987" s="330">
        <v>257.5</v>
      </c>
      <c r="G987" s="644">
        <f t="shared" si="148"/>
        <v>258.60000000000002</v>
      </c>
      <c r="H987" s="865">
        <v>0</v>
      </c>
      <c r="I987" s="535">
        <v>0</v>
      </c>
      <c r="J987" s="403">
        <f t="shared" si="144"/>
        <v>0</v>
      </c>
      <c r="K987" s="403">
        <f t="shared" si="142"/>
        <v>0</v>
      </c>
      <c r="L987" s="425">
        <f t="shared" si="141"/>
        <v>0</v>
      </c>
      <c r="M987" s="177">
        <f t="shared" si="145"/>
        <v>0</v>
      </c>
      <c r="N987" s="427">
        <f t="shared" si="143"/>
        <v>0</v>
      </c>
      <c r="O987" s="427">
        <v>0</v>
      </c>
      <c r="P987" s="177">
        <f t="shared" si="146"/>
        <v>0</v>
      </c>
      <c r="Q987" s="177">
        <f t="shared" si="147"/>
        <v>0</v>
      </c>
      <c r="R987" s="431">
        <f t="shared" si="149"/>
        <v>0</v>
      </c>
      <c r="S987" s="468">
        <v>2</v>
      </c>
      <c r="T987" s="127"/>
      <c r="U987" s="127"/>
      <c r="V987" s="127"/>
      <c r="W987" s="127"/>
      <c r="X987" s="127"/>
      <c r="Y987" s="127"/>
    </row>
    <row r="988" spans="1:25" s="6" customFormat="1" ht="15.75" customHeight="1">
      <c r="A988" s="285">
        <v>108</v>
      </c>
      <c r="B988" s="329" t="s">
        <v>943</v>
      </c>
      <c r="C988" s="803">
        <v>737.4</v>
      </c>
      <c r="D988" s="391"/>
      <c r="E988" s="804"/>
      <c r="F988" s="330">
        <v>736.7</v>
      </c>
      <c r="G988" s="644">
        <f t="shared" si="148"/>
        <v>737.4</v>
      </c>
      <c r="H988" s="865">
        <v>0</v>
      </c>
      <c r="I988" s="535">
        <v>0</v>
      </c>
      <c r="J988" s="403">
        <f t="shared" si="144"/>
        <v>0</v>
      </c>
      <c r="K988" s="403">
        <f t="shared" si="142"/>
        <v>0</v>
      </c>
      <c r="L988" s="425">
        <f t="shared" si="141"/>
        <v>0</v>
      </c>
      <c r="M988" s="177">
        <f t="shared" si="145"/>
        <v>0</v>
      </c>
      <c r="N988" s="427">
        <f t="shared" si="143"/>
        <v>0</v>
      </c>
      <c r="O988" s="427">
        <v>0</v>
      </c>
      <c r="P988" s="177">
        <f t="shared" si="146"/>
        <v>0</v>
      </c>
      <c r="Q988" s="177">
        <f t="shared" si="147"/>
        <v>0</v>
      </c>
      <c r="R988" s="431">
        <f t="shared" si="149"/>
        <v>0</v>
      </c>
      <c r="S988" s="468">
        <v>2</v>
      </c>
      <c r="T988" s="127"/>
      <c r="U988" s="127"/>
      <c r="V988" s="127"/>
      <c r="W988" s="127"/>
      <c r="X988" s="127"/>
      <c r="Y988" s="127"/>
    </row>
    <row r="989" spans="1:25" s="6" customFormat="1" ht="15.75" customHeight="1">
      <c r="A989" s="285">
        <v>109</v>
      </c>
      <c r="B989" s="329" t="s">
        <v>944</v>
      </c>
      <c r="C989" s="803">
        <v>473.4</v>
      </c>
      <c r="D989" s="391"/>
      <c r="E989" s="804"/>
      <c r="F989" s="330">
        <v>473.4</v>
      </c>
      <c r="G989" s="644">
        <f t="shared" si="148"/>
        <v>473.4</v>
      </c>
      <c r="H989" s="865">
        <v>0</v>
      </c>
      <c r="I989" s="535">
        <v>0</v>
      </c>
      <c r="J989" s="403">
        <f t="shared" si="144"/>
        <v>0</v>
      </c>
      <c r="K989" s="403">
        <f t="shared" si="142"/>
        <v>0</v>
      </c>
      <c r="L989" s="425">
        <f t="shared" si="141"/>
        <v>0</v>
      </c>
      <c r="M989" s="177">
        <f t="shared" si="145"/>
        <v>0</v>
      </c>
      <c r="N989" s="427">
        <f t="shared" si="143"/>
        <v>0</v>
      </c>
      <c r="O989" s="427">
        <v>0</v>
      </c>
      <c r="P989" s="177">
        <f t="shared" si="146"/>
        <v>0</v>
      </c>
      <c r="Q989" s="177">
        <f t="shared" si="147"/>
        <v>0</v>
      </c>
      <c r="R989" s="431">
        <f t="shared" si="149"/>
        <v>0</v>
      </c>
      <c r="S989" s="468">
        <v>2</v>
      </c>
      <c r="T989" s="127"/>
      <c r="U989" s="127"/>
      <c r="V989" s="127"/>
      <c r="W989" s="127"/>
      <c r="X989" s="127"/>
      <c r="Y989" s="127"/>
    </row>
    <row r="990" spans="1:25" s="6" customFormat="1" ht="15.75" customHeight="1">
      <c r="A990" s="285">
        <v>110</v>
      </c>
      <c r="B990" s="329" t="s">
        <v>945</v>
      </c>
      <c r="C990" s="803">
        <v>320.60000000000002</v>
      </c>
      <c r="D990" s="391"/>
      <c r="E990" s="804"/>
      <c r="F990" s="330">
        <v>320.60000000000002</v>
      </c>
      <c r="G990" s="644">
        <f t="shared" si="148"/>
        <v>320.60000000000002</v>
      </c>
      <c r="H990" s="865">
        <v>0</v>
      </c>
      <c r="I990" s="535">
        <v>0</v>
      </c>
      <c r="J990" s="403">
        <f t="shared" si="144"/>
        <v>0</v>
      </c>
      <c r="K990" s="403">
        <f t="shared" si="142"/>
        <v>0</v>
      </c>
      <c r="L990" s="425">
        <f t="shared" si="141"/>
        <v>0</v>
      </c>
      <c r="M990" s="177">
        <f t="shared" si="145"/>
        <v>0</v>
      </c>
      <c r="N990" s="427">
        <f t="shared" si="143"/>
        <v>0</v>
      </c>
      <c r="O990" s="427">
        <v>0</v>
      </c>
      <c r="P990" s="177">
        <f t="shared" si="146"/>
        <v>0</v>
      </c>
      <c r="Q990" s="177">
        <f t="shared" si="147"/>
        <v>0</v>
      </c>
      <c r="R990" s="431">
        <f t="shared" si="149"/>
        <v>0</v>
      </c>
      <c r="S990" s="468">
        <v>3</v>
      </c>
      <c r="T990" s="127"/>
      <c r="U990" s="127"/>
      <c r="V990" s="127"/>
      <c r="W990" s="127"/>
      <c r="X990" s="127"/>
      <c r="Y990" s="127"/>
    </row>
    <row r="991" spans="1:25" s="6" customFormat="1" ht="15.75" customHeight="1">
      <c r="A991" s="285">
        <v>111</v>
      </c>
      <c r="B991" s="329" t="s">
        <v>946</v>
      </c>
      <c r="C991" s="803">
        <v>963.8</v>
      </c>
      <c r="D991" s="391"/>
      <c r="E991" s="804"/>
      <c r="F991" s="330">
        <v>963.8</v>
      </c>
      <c r="G991" s="644">
        <f t="shared" si="148"/>
        <v>963.8</v>
      </c>
      <c r="H991" s="865">
        <v>0</v>
      </c>
      <c r="I991" s="535">
        <v>0</v>
      </c>
      <c r="J991" s="403">
        <f t="shared" si="144"/>
        <v>0</v>
      </c>
      <c r="K991" s="403">
        <f t="shared" si="142"/>
        <v>0</v>
      </c>
      <c r="L991" s="425">
        <f t="shared" si="141"/>
        <v>0</v>
      </c>
      <c r="M991" s="177">
        <f t="shared" si="145"/>
        <v>0</v>
      </c>
      <c r="N991" s="427">
        <f t="shared" si="143"/>
        <v>0</v>
      </c>
      <c r="O991" s="427">
        <v>0</v>
      </c>
      <c r="P991" s="177">
        <f t="shared" si="146"/>
        <v>0</v>
      </c>
      <c r="Q991" s="177">
        <f t="shared" si="147"/>
        <v>0</v>
      </c>
      <c r="R991" s="431">
        <f t="shared" si="149"/>
        <v>0</v>
      </c>
      <c r="S991" s="468">
        <v>1</v>
      </c>
      <c r="T991" s="127"/>
      <c r="U991" s="127"/>
      <c r="V991" s="127"/>
      <c r="W991" s="127"/>
      <c r="X991" s="127"/>
      <c r="Y991" s="127"/>
    </row>
    <row r="992" spans="1:25" s="6" customFormat="1" ht="15.75" customHeight="1">
      <c r="A992" s="285">
        <v>112</v>
      </c>
      <c r="B992" s="329" t="s">
        <v>947</v>
      </c>
      <c r="C992" s="803">
        <v>143.69999999999999</v>
      </c>
      <c r="D992" s="391"/>
      <c r="E992" s="804"/>
      <c r="F992" s="330">
        <v>143.69999999999999</v>
      </c>
      <c r="G992" s="644">
        <f t="shared" si="148"/>
        <v>143.69999999999999</v>
      </c>
      <c r="H992" s="865">
        <v>0</v>
      </c>
      <c r="I992" s="535">
        <v>0</v>
      </c>
      <c r="J992" s="403">
        <f t="shared" si="144"/>
        <v>0</v>
      </c>
      <c r="K992" s="403">
        <f t="shared" si="142"/>
        <v>0</v>
      </c>
      <c r="L992" s="425">
        <f t="shared" si="141"/>
        <v>0</v>
      </c>
      <c r="M992" s="177">
        <f t="shared" si="145"/>
        <v>0</v>
      </c>
      <c r="N992" s="427">
        <f t="shared" si="143"/>
        <v>0</v>
      </c>
      <c r="O992" s="427">
        <v>0</v>
      </c>
      <c r="P992" s="177">
        <f t="shared" si="146"/>
        <v>0</v>
      </c>
      <c r="Q992" s="177">
        <f t="shared" si="147"/>
        <v>0</v>
      </c>
      <c r="R992" s="431">
        <f t="shared" si="149"/>
        <v>0</v>
      </c>
      <c r="S992" s="468">
        <v>1</v>
      </c>
      <c r="T992" s="127"/>
      <c r="U992" s="127"/>
      <c r="V992" s="127"/>
      <c r="W992" s="127"/>
      <c r="X992" s="127"/>
      <c r="Y992" s="127"/>
    </row>
    <row r="993" spans="1:25" s="6" customFormat="1" ht="15.75" customHeight="1">
      <c r="A993" s="285">
        <v>113</v>
      </c>
      <c r="B993" s="329" t="s">
        <v>948</v>
      </c>
      <c r="C993" s="803">
        <v>136.80000000000001</v>
      </c>
      <c r="D993" s="391"/>
      <c r="E993" s="804"/>
      <c r="F993" s="330">
        <v>136.80000000000001</v>
      </c>
      <c r="G993" s="644">
        <f t="shared" si="148"/>
        <v>136.80000000000001</v>
      </c>
      <c r="H993" s="865">
        <v>0</v>
      </c>
      <c r="I993" s="535">
        <v>0</v>
      </c>
      <c r="J993" s="403">
        <f t="shared" si="144"/>
        <v>0</v>
      </c>
      <c r="K993" s="403">
        <f t="shared" si="142"/>
        <v>0</v>
      </c>
      <c r="L993" s="425">
        <f t="shared" si="141"/>
        <v>0</v>
      </c>
      <c r="M993" s="177">
        <f t="shared" si="145"/>
        <v>0</v>
      </c>
      <c r="N993" s="427">
        <f t="shared" si="143"/>
        <v>0</v>
      </c>
      <c r="O993" s="427">
        <v>0</v>
      </c>
      <c r="P993" s="177">
        <f t="shared" si="146"/>
        <v>0</v>
      </c>
      <c r="Q993" s="177">
        <f t="shared" si="147"/>
        <v>0</v>
      </c>
      <c r="R993" s="431">
        <f t="shared" si="149"/>
        <v>0</v>
      </c>
      <c r="S993" s="468">
        <v>1</v>
      </c>
      <c r="T993" s="127"/>
      <c r="U993" s="127"/>
      <c r="V993" s="127"/>
      <c r="W993" s="127"/>
      <c r="X993" s="127"/>
      <c r="Y993" s="127"/>
    </row>
    <row r="994" spans="1:25" s="6" customFormat="1" ht="15.75" customHeight="1">
      <c r="A994" s="285">
        <v>114</v>
      </c>
      <c r="B994" s="329" t="s">
        <v>949</v>
      </c>
      <c r="C994" s="803">
        <v>128.1</v>
      </c>
      <c r="D994" s="391"/>
      <c r="E994" s="804"/>
      <c r="F994" s="330">
        <v>128.1</v>
      </c>
      <c r="G994" s="644">
        <f t="shared" si="148"/>
        <v>128.1</v>
      </c>
      <c r="H994" s="865">
        <v>0</v>
      </c>
      <c r="I994" s="535">
        <v>0</v>
      </c>
      <c r="J994" s="403">
        <f t="shared" si="144"/>
        <v>0</v>
      </c>
      <c r="K994" s="403">
        <f t="shared" si="142"/>
        <v>0</v>
      </c>
      <c r="L994" s="425">
        <f t="shared" si="141"/>
        <v>0</v>
      </c>
      <c r="M994" s="177">
        <f t="shared" si="145"/>
        <v>0</v>
      </c>
      <c r="N994" s="427">
        <f t="shared" si="143"/>
        <v>0</v>
      </c>
      <c r="O994" s="427">
        <v>0</v>
      </c>
      <c r="P994" s="177">
        <f t="shared" si="146"/>
        <v>0</v>
      </c>
      <c r="Q994" s="177">
        <f t="shared" si="147"/>
        <v>0</v>
      </c>
      <c r="R994" s="431">
        <f t="shared" si="149"/>
        <v>0</v>
      </c>
      <c r="S994" s="468">
        <v>1</v>
      </c>
      <c r="T994" s="127"/>
      <c r="U994" s="127"/>
      <c r="V994" s="127"/>
      <c r="W994" s="127"/>
      <c r="X994" s="127"/>
      <c r="Y994" s="127"/>
    </row>
    <row r="995" spans="1:25" s="6" customFormat="1" ht="15.75" customHeight="1">
      <c r="A995" s="285">
        <v>115</v>
      </c>
      <c r="B995" s="329" t="s">
        <v>950</v>
      </c>
      <c r="C995" s="803">
        <v>72.5</v>
      </c>
      <c r="D995" s="391"/>
      <c r="E995" s="804"/>
      <c r="F995" s="330">
        <v>72.5</v>
      </c>
      <c r="G995" s="644">
        <f t="shared" si="148"/>
        <v>72.5</v>
      </c>
      <c r="H995" s="865">
        <v>0</v>
      </c>
      <c r="I995" s="535">
        <v>0</v>
      </c>
      <c r="J995" s="403">
        <f t="shared" si="144"/>
        <v>0</v>
      </c>
      <c r="K995" s="403">
        <f t="shared" si="142"/>
        <v>0</v>
      </c>
      <c r="L995" s="425">
        <f t="shared" si="141"/>
        <v>0</v>
      </c>
      <c r="M995" s="177">
        <f t="shared" si="145"/>
        <v>0</v>
      </c>
      <c r="N995" s="427">
        <f t="shared" si="143"/>
        <v>0</v>
      </c>
      <c r="O995" s="427">
        <v>0</v>
      </c>
      <c r="P995" s="177">
        <f t="shared" si="146"/>
        <v>0</v>
      </c>
      <c r="Q995" s="177">
        <f t="shared" si="147"/>
        <v>0</v>
      </c>
      <c r="R995" s="431">
        <f t="shared" si="149"/>
        <v>0</v>
      </c>
      <c r="S995" s="468">
        <v>1</v>
      </c>
      <c r="T995" s="127"/>
      <c r="U995" s="127"/>
      <c r="V995" s="127"/>
      <c r="W995" s="127"/>
      <c r="X995" s="127"/>
      <c r="Y995" s="127"/>
    </row>
    <row r="996" spans="1:25" s="6" customFormat="1" ht="15.75" customHeight="1">
      <c r="A996" s="285">
        <v>116</v>
      </c>
      <c r="B996" s="329" t="s">
        <v>951</v>
      </c>
      <c r="C996" s="803">
        <v>237.6</v>
      </c>
      <c r="D996" s="391"/>
      <c r="E996" s="804"/>
      <c r="F996" s="330">
        <v>237.6</v>
      </c>
      <c r="G996" s="644">
        <f t="shared" si="148"/>
        <v>237.6</v>
      </c>
      <c r="H996" s="865">
        <v>0</v>
      </c>
      <c r="I996" s="535">
        <v>0</v>
      </c>
      <c r="J996" s="403">
        <f t="shared" si="144"/>
        <v>0</v>
      </c>
      <c r="K996" s="403">
        <f t="shared" si="142"/>
        <v>0</v>
      </c>
      <c r="L996" s="425">
        <f t="shared" si="141"/>
        <v>0</v>
      </c>
      <c r="M996" s="177">
        <f t="shared" si="145"/>
        <v>0</v>
      </c>
      <c r="N996" s="427">
        <f t="shared" si="143"/>
        <v>0</v>
      </c>
      <c r="O996" s="427">
        <v>0</v>
      </c>
      <c r="P996" s="177">
        <f t="shared" si="146"/>
        <v>0</v>
      </c>
      <c r="Q996" s="177">
        <f t="shared" si="147"/>
        <v>0</v>
      </c>
      <c r="R996" s="431">
        <f t="shared" si="149"/>
        <v>0</v>
      </c>
      <c r="S996" s="468">
        <v>1</v>
      </c>
      <c r="T996" s="127"/>
      <c r="U996" s="127"/>
      <c r="V996" s="127"/>
      <c r="W996" s="127"/>
      <c r="X996" s="127"/>
      <c r="Y996" s="127"/>
    </row>
    <row r="997" spans="1:25" s="6" customFormat="1" ht="15.75" customHeight="1">
      <c r="A997" s="285">
        <v>117</v>
      </c>
      <c r="B997" s="329" t="s">
        <v>952</v>
      </c>
      <c r="C997" s="803">
        <v>106.4</v>
      </c>
      <c r="D997" s="391"/>
      <c r="E997" s="804"/>
      <c r="F997" s="330">
        <v>106.4</v>
      </c>
      <c r="G997" s="644">
        <f t="shared" si="148"/>
        <v>106.4</v>
      </c>
      <c r="H997" s="865">
        <v>0</v>
      </c>
      <c r="I997" s="535">
        <v>0</v>
      </c>
      <c r="J997" s="403">
        <f t="shared" si="144"/>
        <v>0</v>
      </c>
      <c r="K997" s="403">
        <f t="shared" si="142"/>
        <v>0</v>
      </c>
      <c r="L997" s="425">
        <f t="shared" si="141"/>
        <v>0</v>
      </c>
      <c r="M997" s="177">
        <f t="shared" si="145"/>
        <v>0</v>
      </c>
      <c r="N997" s="427">
        <f t="shared" si="143"/>
        <v>0</v>
      </c>
      <c r="O997" s="427">
        <v>0</v>
      </c>
      <c r="P997" s="177">
        <f t="shared" si="146"/>
        <v>0</v>
      </c>
      <c r="Q997" s="177">
        <f t="shared" si="147"/>
        <v>0</v>
      </c>
      <c r="R997" s="431">
        <f t="shared" si="149"/>
        <v>0</v>
      </c>
      <c r="S997" s="468">
        <v>2</v>
      </c>
      <c r="T997" s="127"/>
      <c r="U997" s="127"/>
      <c r="V997" s="127"/>
      <c r="W997" s="127"/>
      <c r="X997" s="127"/>
      <c r="Y997" s="127"/>
    </row>
    <row r="998" spans="1:25" s="6" customFormat="1" ht="15.75" customHeight="1">
      <c r="A998" s="285">
        <v>118</v>
      </c>
      <c r="B998" s="329" t="s">
        <v>953</v>
      </c>
      <c r="C998" s="803">
        <v>348.62</v>
      </c>
      <c r="D998" s="391"/>
      <c r="E998" s="804"/>
      <c r="F998" s="330">
        <v>349.72</v>
      </c>
      <c r="G998" s="644">
        <f t="shared" si="148"/>
        <v>348.62</v>
      </c>
      <c r="H998" s="865">
        <v>0</v>
      </c>
      <c r="I998" s="535">
        <v>0</v>
      </c>
      <c r="J998" s="403">
        <f t="shared" si="144"/>
        <v>0</v>
      </c>
      <c r="K998" s="403">
        <f t="shared" si="142"/>
        <v>0</v>
      </c>
      <c r="L998" s="425">
        <f t="shared" si="141"/>
        <v>0</v>
      </c>
      <c r="M998" s="177">
        <f t="shared" si="145"/>
        <v>0</v>
      </c>
      <c r="N998" s="427">
        <f t="shared" si="143"/>
        <v>0</v>
      </c>
      <c r="O998" s="427">
        <v>0</v>
      </c>
      <c r="P998" s="177">
        <f t="shared" si="146"/>
        <v>0</v>
      </c>
      <c r="Q998" s="177">
        <f t="shared" si="147"/>
        <v>0</v>
      </c>
      <c r="R998" s="431">
        <f t="shared" si="149"/>
        <v>0</v>
      </c>
      <c r="S998" s="468">
        <v>2</v>
      </c>
      <c r="T998" s="127"/>
      <c r="U998" s="127"/>
      <c r="V998" s="127"/>
      <c r="W998" s="127"/>
      <c r="X998" s="127"/>
      <c r="Y998" s="127"/>
    </row>
    <row r="999" spans="1:25" s="6" customFormat="1" ht="15.75" customHeight="1">
      <c r="A999" s="285">
        <v>119</v>
      </c>
      <c r="B999" s="329" t="s">
        <v>954</v>
      </c>
      <c r="C999" s="803">
        <v>360.12</v>
      </c>
      <c r="D999" s="391"/>
      <c r="E999" s="804"/>
      <c r="F999" s="330">
        <v>360.12</v>
      </c>
      <c r="G999" s="644">
        <f t="shared" si="148"/>
        <v>360.12</v>
      </c>
      <c r="H999" s="865">
        <v>0</v>
      </c>
      <c r="I999" s="535">
        <v>0</v>
      </c>
      <c r="J999" s="403">
        <f t="shared" si="144"/>
        <v>0</v>
      </c>
      <c r="K999" s="403">
        <f t="shared" si="142"/>
        <v>0</v>
      </c>
      <c r="L999" s="425">
        <f t="shared" si="141"/>
        <v>0</v>
      </c>
      <c r="M999" s="177">
        <f t="shared" si="145"/>
        <v>0</v>
      </c>
      <c r="N999" s="427">
        <f t="shared" si="143"/>
        <v>0</v>
      </c>
      <c r="O999" s="427">
        <v>0</v>
      </c>
      <c r="P999" s="177">
        <f t="shared" si="146"/>
        <v>0</v>
      </c>
      <c r="Q999" s="177">
        <f t="shared" si="147"/>
        <v>0</v>
      </c>
      <c r="R999" s="431">
        <f t="shared" si="149"/>
        <v>0</v>
      </c>
      <c r="S999" s="468">
        <v>1</v>
      </c>
      <c r="T999" s="127"/>
      <c r="U999" s="127"/>
      <c r="V999" s="127"/>
      <c r="W999" s="127"/>
      <c r="X999" s="127"/>
      <c r="Y999" s="127"/>
    </row>
    <row r="1000" spans="1:25" s="6" customFormat="1" ht="15.75" customHeight="1">
      <c r="A1000" s="285">
        <v>120</v>
      </c>
      <c r="B1000" s="329" t="s">
        <v>955</v>
      </c>
      <c r="C1000" s="803">
        <v>301.69</v>
      </c>
      <c r="D1000" s="391"/>
      <c r="E1000" s="804"/>
      <c r="F1000" s="330">
        <v>301.69</v>
      </c>
      <c r="G1000" s="644">
        <f t="shared" si="148"/>
        <v>301.69</v>
      </c>
      <c r="H1000" s="865">
        <v>0</v>
      </c>
      <c r="I1000" s="535">
        <v>0</v>
      </c>
      <c r="J1000" s="403">
        <f t="shared" si="144"/>
        <v>0</v>
      </c>
      <c r="K1000" s="403">
        <f t="shared" si="142"/>
        <v>0</v>
      </c>
      <c r="L1000" s="425">
        <f t="shared" ref="L1000:L1059" si="150">(H1000/840)+(I1000/756)</f>
        <v>0</v>
      </c>
      <c r="M1000" s="177">
        <f t="shared" si="145"/>
        <v>0</v>
      </c>
      <c r="N1000" s="427">
        <f t="shared" si="143"/>
        <v>0</v>
      </c>
      <c r="O1000" s="427">
        <v>0</v>
      </c>
      <c r="P1000" s="177">
        <f t="shared" si="146"/>
        <v>0</v>
      </c>
      <c r="Q1000" s="177">
        <f t="shared" si="147"/>
        <v>0</v>
      </c>
      <c r="R1000" s="431">
        <f t="shared" si="149"/>
        <v>0</v>
      </c>
      <c r="S1000" s="468">
        <v>2</v>
      </c>
      <c r="T1000" s="127"/>
      <c r="U1000" s="127"/>
      <c r="V1000" s="127"/>
      <c r="W1000" s="127"/>
      <c r="X1000" s="127"/>
      <c r="Y1000" s="127"/>
    </row>
    <row r="1001" spans="1:25" s="6" customFormat="1" ht="15.75" customHeight="1">
      <c r="A1001" s="285">
        <v>121</v>
      </c>
      <c r="B1001" s="329" t="s">
        <v>956</v>
      </c>
      <c r="C1001" s="803">
        <v>136.1</v>
      </c>
      <c r="D1001" s="391"/>
      <c r="E1001" s="804"/>
      <c r="F1001" s="330">
        <v>136.1</v>
      </c>
      <c r="G1001" s="644">
        <f t="shared" si="148"/>
        <v>136.1</v>
      </c>
      <c r="H1001" s="865">
        <v>0</v>
      </c>
      <c r="I1001" s="535">
        <v>0</v>
      </c>
      <c r="J1001" s="403">
        <f t="shared" si="144"/>
        <v>0</v>
      </c>
      <c r="K1001" s="403">
        <f t="shared" ref="K1001:K1061" si="151">I1001+J1001</f>
        <v>0</v>
      </c>
      <c r="L1001" s="425">
        <f t="shared" si="150"/>
        <v>0</v>
      </c>
      <c r="M1001" s="177">
        <f t="shared" si="145"/>
        <v>0</v>
      </c>
      <c r="N1001" s="427">
        <f t="shared" ref="N1001:N1061" si="152">M1001*0.3677</f>
        <v>0</v>
      </c>
      <c r="O1001" s="427">
        <v>0</v>
      </c>
      <c r="P1001" s="177">
        <f t="shared" si="146"/>
        <v>0</v>
      </c>
      <c r="Q1001" s="177">
        <f t="shared" si="147"/>
        <v>0</v>
      </c>
      <c r="R1001" s="431">
        <f t="shared" si="149"/>
        <v>0</v>
      </c>
      <c r="S1001" s="468">
        <v>2</v>
      </c>
      <c r="T1001" s="127"/>
      <c r="U1001" s="127"/>
      <c r="V1001" s="127"/>
      <c r="W1001" s="127"/>
      <c r="X1001" s="127"/>
      <c r="Y1001" s="127"/>
    </row>
    <row r="1002" spans="1:25" s="6" customFormat="1" ht="15.75" customHeight="1">
      <c r="A1002" s="285">
        <v>122</v>
      </c>
      <c r="B1002" s="329" t="s">
        <v>957</v>
      </c>
      <c r="C1002" s="803">
        <v>113.9</v>
      </c>
      <c r="D1002" s="391"/>
      <c r="E1002" s="804"/>
      <c r="F1002" s="330">
        <v>103.9</v>
      </c>
      <c r="G1002" s="644">
        <f t="shared" si="148"/>
        <v>113.9</v>
      </c>
      <c r="H1002" s="865">
        <v>0</v>
      </c>
      <c r="I1002" s="535">
        <v>0</v>
      </c>
      <c r="J1002" s="403">
        <f t="shared" ref="J1002:J1062" si="153">H1002+I1002</f>
        <v>0</v>
      </c>
      <c r="K1002" s="403">
        <f t="shared" si="151"/>
        <v>0</v>
      </c>
      <c r="L1002" s="425">
        <f t="shared" si="150"/>
        <v>0</v>
      </c>
      <c r="M1002" s="177">
        <f t="shared" si="145"/>
        <v>0</v>
      </c>
      <c r="N1002" s="427">
        <f t="shared" si="152"/>
        <v>0</v>
      </c>
      <c r="O1002" s="427">
        <v>0</v>
      </c>
      <c r="P1002" s="177">
        <f t="shared" si="146"/>
        <v>0</v>
      </c>
      <c r="Q1002" s="177">
        <f t="shared" si="147"/>
        <v>0</v>
      </c>
      <c r="R1002" s="431">
        <f t="shared" si="149"/>
        <v>0</v>
      </c>
      <c r="S1002" s="468">
        <v>2</v>
      </c>
      <c r="T1002" s="127"/>
      <c r="U1002" s="127"/>
      <c r="V1002" s="127"/>
      <c r="W1002" s="127"/>
      <c r="X1002" s="127"/>
      <c r="Y1002" s="127"/>
    </row>
    <row r="1003" spans="1:25" s="6" customFormat="1" ht="15.75" customHeight="1">
      <c r="A1003" s="285">
        <v>123</v>
      </c>
      <c r="B1003" s="329" t="s">
        <v>958</v>
      </c>
      <c r="C1003" s="803">
        <v>566.45000000000005</v>
      </c>
      <c r="D1003" s="391"/>
      <c r="E1003" s="804"/>
      <c r="F1003" s="330">
        <v>564</v>
      </c>
      <c r="G1003" s="644">
        <f t="shared" si="148"/>
        <v>566.45000000000005</v>
      </c>
      <c r="H1003" s="865">
        <v>0</v>
      </c>
      <c r="I1003" s="535">
        <v>0</v>
      </c>
      <c r="J1003" s="403">
        <f t="shared" si="153"/>
        <v>0</v>
      </c>
      <c r="K1003" s="403">
        <f t="shared" si="151"/>
        <v>0</v>
      </c>
      <c r="L1003" s="425">
        <f t="shared" si="150"/>
        <v>0</v>
      </c>
      <c r="M1003" s="177">
        <f t="shared" si="145"/>
        <v>0</v>
      </c>
      <c r="N1003" s="427">
        <f t="shared" si="152"/>
        <v>0</v>
      </c>
      <c r="O1003" s="427">
        <v>0</v>
      </c>
      <c r="P1003" s="177">
        <f t="shared" si="146"/>
        <v>0</v>
      </c>
      <c r="Q1003" s="177">
        <f t="shared" si="147"/>
        <v>0</v>
      </c>
      <c r="R1003" s="431">
        <f t="shared" si="149"/>
        <v>0</v>
      </c>
      <c r="S1003" s="468">
        <v>1</v>
      </c>
      <c r="T1003" s="127"/>
      <c r="U1003" s="127"/>
      <c r="V1003" s="127"/>
      <c r="W1003" s="127"/>
      <c r="X1003" s="127"/>
      <c r="Y1003" s="127"/>
    </row>
    <row r="1004" spans="1:25" s="6" customFormat="1" ht="15.75" customHeight="1">
      <c r="A1004" s="285">
        <v>124</v>
      </c>
      <c r="B1004" s="329" t="s">
        <v>959</v>
      </c>
      <c r="C1004" s="803">
        <v>760.45</v>
      </c>
      <c r="D1004" s="391"/>
      <c r="E1004" s="804"/>
      <c r="F1004" s="330">
        <v>721.35</v>
      </c>
      <c r="G1004" s="644">
        <f t="shared" si="148"/>
        <v>760.45</v>
      </c>
      <c r="H1004" s="865">
        <v>0</v>
      </c>
      <c r="I1004" s="535">
        <v>0</v>
      </c>
      <c r="J1004" s="403">
        <f t="shared" si="153"/>
        <v>0</v>
      </c>
      <c r="K1004" s="403">
        <f t="shared" si="151"/>
        <v>0</v>
      </c>
      <c r="L1004" s="425">
        <f t="shared" si="150"/>
        <v>0</v>
      </c>
      <c r="M1004" s="177">
        <f t="shared" si="145"/>
        <v>0</v>
      </c>
      <c r="N1004" s="427">
        <f t="shared" si="152"/>
        <v>0</v>
      </c>
      <c r="O1004" s="427">
        <v>0</v>
      </c>
      <c r="P1004" s="177">
        <f t="shared" si="146"/>
        <v>0</v>
      </c>
      <c r="Q1004" s="177">
        <f t="shared" si="147"/>
        <v>0</v>
      </c>
      <c r="R1004" s="431">
        <f t="shared" si="149"/>
        <v>0</v>
      </c>
      <c r="S1004" s="468">
        <v>1</v>
      </c>
      <c r="T1004" s="127"/>
      <c r="U1004" s="127"/>
      <c r="V1004" s="127"/>
      <c r="W1004" s="127"/>
      <c r="X1004" s="127"/>
      <c r="Y1004" s="127"/>
    </row>
    <row r="1005" spans="1:25" s="6" customFormat="1" ht="15.75" customHeight="1">
      <c r="A1005" s="285">
        <v>125</v>
      </c>
      <c r="B1005" s="329" t="s">
        <v>960</v>
      </c>
      <c r="C1005" s="803">
        <v>275.3</v>
      </c>
      <c r="D1005" s="391"/>
      <c r="E1005" s="804"/>
      <c r="F1005" s="330">
        <v>223</v>
      </c>
      <c r="G1005" s="644">
        <f t="shared" si="148"/>
        <v>275.3</v>
      </c>
      <c r="H1005" s="865">
        <v>0</v>
      </c>
      <c r="I1005" s="535">
        <v>0</v>
      </c>
      <c r="J1005" s="403">
        <f t="shared" si="153"/>
        <v>0</v>
      </c>
      <c r="K1005" s="403">
        <f t="shared" si="151"/>
        <v>0</v>
      </c>
      <c r="L1005" s="425">
        <f t="shared" si="150"/>
        <v>0</v>
      </c>
      <c r="M1005" s="177">
        <f t="shared" si="145"/>
        <v>0</v>
      </c>
      <c r="N1005" s="427">
        <f t="shared" si="152"/>
        <v>0</v>
      </c>
      <c r="O1005" s="427">
        <v>0</v>
      </c>
      <c r="P1005" s="177">
        <f t="shared" si="146"/>
        <v>0</v>
      </c>
      <c r="Q1005" s="177">
        <f t="shared" si="147"/>
        <v>0</v>
      </c>
      <c r="R1005" s="431">
        <f t="shared" si="149"/>
        <v>0</v>
      </c>
      <c r="S1005" s="468">
        <v>2</v>
      </c>
      <c r="T1005" s="127"/>
      <c r="U1005" s="127"/>
      <c r="V1005" s="127"/>
      <c r="W1005" s="127"/>
      <c r="X1005" s="127"/>
      <c r="Y1005" s="127"/>
    </row>
    <row r="1006" spans="1:25" s="6" customFormat="1" ht="15.75" customHeight="1">
      <c r="A1006" s="285">
        <v>126</v>
      </c>
      <c r="B1006" s="329" t="s">
        <v>961</v>
      </c>
      <c r="C1006" s="803">
        <v>384.4</v>
      </c>
      <c r="D1006" s="391"/>
      <c r="E1006" s="804"/>
      <c r="F1006" s="330">
        <v>385.6</v>
      </c>
      <c r="G1006" s="644">
        <f t="shared" si="148"/>
        <v>384.4</v>
      </c>
      <c r="H1006" s="865">
        <v>0</v>
      </c>
      <c r="I1006" s="535">
        <v>0</v>
      </c>
      <c r="J1006" s="403">
        <f t="shared" si="153"/>
        <v>0</v>
      </c>
      <c r="K1006" s="403">
        <f t="shared" si="151"/>
        <v>0</v>
      </c>
      <c r="L1006" s="425">
        <f t="shared" si="150"/>
        <v>0</v>
      </c>
      <c r="M1006" s="177">
        <f t="shared" si="145"/>
        <v>0</v>
      </c>
      <c r="N1006" s="427">
        <f t="shared" si="152"/>
        <v>0</v>
      </c>
      <c r="O1006" s="427">
        <v>0</v>
      </c>
      <c r="P1006" s="177">
        <f t="shared" si="146"/>
        <v>0</v>
      </c>
      <c r="Q1006" s="177">
        <f t="shared" si="147"/>
        <v>0</v>
      </c>
      <c r="R1006" s="431">
        <f t="shared" si="149"/>
        <v>0</v>
      </c>
      <c r="S1006" s="468">
        <v>3</v>
      </c>
      <c r="T1006" s="127"/>
      <c r="U1006" s="127"/>
      <c r="V1006" s="127"/>
      <c r="W1006" s="127"/>
      <c r="X1006" s="127"/>
      <c r="Y1006" s="127"/>
    </row>
    <row r="1007" spans="1:25" s="6" customFormat="1" ht="15.75" customHeight="1">
      <c r="A1007" s="285">
        <v>127</v>
      </c>
      <c r="B1007" s="329" t="s">
        <v>962</v>
      </c>
      <c r="C1007" s="803">
        <v>207.2</v>
      </c>
      <c r="D1007" s="391"/>
      <c r="E1007" s="804"/>
      <c r="F1007" s="330">
        <v>207.2</v>
      </c>
      <c r="G1007" s="644">
        <f t="shared" si="148"/>
        <v>207.2</v>
      </c>
      <c r="H1007" s="865">
        <v>0</v>
      </c>
      <c r="I1007" s="535">
        <v>0</v>
      </c>
      <c r="J1007" s="403">
        <f t="shared" si="153"/>
        <v>0</v>
      </c>
      <c r="K1007" s="403">
        <f t="shared" si="151"/>
        <v>0</v>
      </c>
      <c r="L1007" s="425">
        <f t="shared" si="150"/>
        <v>0</v>
      </c>
      <c r="M1007" s="177">
        <f t="shared" si="145"/>
        <v>0</v>
      </c>
      <c r="N1007" s="427">
        <f t="shared" si="152"/>
        <v>0</v>
      </c>
      <c r="O1007" s="427">
        <v>0</v>
      </c>
      <c r="P1007" s="177">
        <f t="shared" si="146"/>
        <v>0</v>
      </c>
      <c r="Q1007" s="177">
        <f t="shared" si="147"/>
        <v>0</v>
      </c>
      <c r="R1007" s="431">
        <f t="shared" si="149"/>
        <v>0</v>
      </c>
      <c r="S1007" s="468">
        <v>3</v>
      </c>
      <c r="T1007" s="127"/>
      <c r="U1007" s="127"/>
      <c r="V1007" s="127"/>
      <c r="W1007" s="127"/>
      <c r="X1007" s="127"/>
      <c r="Y1007" s="127"/>
    </row>
    <row r="1008" spans="1:25" s="6" customFormat="1" ht="15.75" customHeight="1">
      <c r="A1008" s="285">
        <v>128</v>
      </c>
      <c r="B1008" s="329" t="s">
        <v>963</v>
      </c>
      <c r="C1008" s="803">
        <v>603.70000000000005</v>
      </c>
      <c r="D1008" s="391"/>
      <c r="E1008" s="804"/>
      <c r="F1008" s="330">
        <v>602.6</v>
      </c>
      <c r="G1008" s="644">
        <f t="shared" si="148"/>
        <v>603.70000000000005</v>
      </c>
      <c r="H1008" s="868">
        <v>58</v>
      </c>
      <c r="I1008" s="330">
        <v>0</v>
      </c>
      <c r="J1008" s="403">
        <f t="shared" si="153"/>
        <v>58</v>
      </c>
      <c r="K1008" s="403">
        <f t="shared" si="151"/>
        <v>58</v>
      </c>
      <c r="L1008" s="425">
        <f t="shared" si="150"/>
        <v>6.9047619047619052E-2</v>
      </c>
      <c r="M1008" s="177">
        <f t="shared" si="145"/>
        <v>139.2697380952381</v>
      </c>
      <c r="N1008" s="427">
        <f t="shared" si="152"/>
        <v>51.209482697619052</v>
      </c>
      <c r="O1008" s="427">
        <v>53.798452380952384</v>
      </c>
      <c r="P1008" s="177">
        <f t="shared" si="146"/>
        <v>3.7196228571428578</v>
      </c>
      <c r="Q1008" s="177">
        <f t="shared" si="147"/>
        <v>4.5342202628571435</v>
      </c>
      <c r="R1008" s="431">
        <f t="shared" si="149"/>
        <v>0.41079558726346266</v>
      </c>
      <c r="S1008" s="468">
        <v>3</v>
      </c>
      <c r="T1008" s="127"/>
      <c r="U1008" s="127"/>
      <c r="V1008" s="127"/>
      <c r="W1008" s="127"/>
      <c r="X1008" s="127"/>
      <c r="Y1008" s="127"/>
    </row>
    <row r="1009" spans="1:25" s="6" customFormat="1" ht="15.75" customHeight="1">
      <c r="A1009" s="285">
        <v>129</v>
      </c>
      <c r="B1009" s="329" t="s">
        <v>964</v>
      </c>
      <c r="C1009" s="803">
        <v>477.8</v>
      </c>
      <c r="D1009" s="391"/>
      <c r="E1009" s="804"/>
      <c r="F1009" s="330">
        <v>477.8</v>
      </c>
      <c r="G1009" s="644">
        <f t="shared" si="148"/>
        <v>477.8</v>
      </c>
      <c r="H1009" s="868">
        <v>42</v>
      </c>
      <c r="I1009" s="330">
        <v>0</v>
      </c>
      <c r="J1009" s="403">
        <f t="shared" si="153"/>
        <v>42</v>
      </c>
      <c r="K1009" s="403">
        <f t="shared" si="151"/>
        <v>42</v>
      </c>
      <c r="L1009" s="425">
        <f t="shared" si="150"/>
        <v>0.05</v>
      </c>
      <c r="M1009" s="177">
        <f t="shared" ref="M1009:M1072" si="154">L1009*2017.01</f>
        <v>100.85050000000001</v>
      </c>
      <c r="N1009" s="427">
        <f t="shared" si="152"/>
        <v>37.082728850000009</v>
      </c>
      <c r="O1009" s="427">
        <v>38.957500000000003</v>
      </c>
      <c r="P1009" s="177">
        <f t="shared" si="146"/>
        <v>2.6935200000000004</v>
      </c>
      <c r="Q1009" s="177">
        <f t="shared" si="147"/>
        <v>3.2834008800000007</v>
      </c>
      <c r="R1009" s="431">
        <f t="shared" si="149"/>
        <v>0.37585652752197585</v>
      </c>
      <c r="S1009" s="468">
        <v>3</v>
      </c>
      <c r="T1009" s="127"/>
      <c r="U1009" s="127"/>
      <c r="V1009" s="127"/>
      <c r="W1009" s="127"/>
      <c r="X1009" s="127"/>
      <c r="Y1009" s="127"/>
    </row>
    <row r="1010" spans="1:25" s="6" customFormat="1" ht="15.75" customHeight="1">
      <c r="A1010" s="285">
        <v>130</v>
      </c>
      <c r="B1010" s="329" t="s">
        <v>965</v>
      </c>
      <c r="C1010" s="803">
        <v>481.5</v>
      </c>
      <c r="D1010" s="391"/>
      <c r="E1010" s="804"/>
      <c r="F1010" s="330">
        <v>481.5</v>
      </c>
      <c r="G1010" s="644">
        <f t="shared" ref="G1010:G1070" si="155">C1010+D1010+E1010</f>
        <v>481.5</v>
      </c>
      <c r="H1010" s="868">
        <v>38</v>
      </c>
      <c r="I1010" s="330">
        <v>0</v>
      </c>
      <c r="J1010" s="403">
        <f t="shared" si="153"/>
        <v>38</v>
      </c>
      <c r="K1010" s="403">
        <f t="shared" si="151"/>
        <v>38</v>
      </c>
      <c r="L1010" s="425">
        <f t="shared" si="150"/>
        <v>4.5238095238095237E-2</v>
      </c>
      <c r="M1010" s="177">
        <f t="shared" si="154"/>
        <v>91.245690476190475</v>
      </c>
      <c r="N1010" s="427">
        <f t="shared" si="152"/>
        <v>33.551040388095238</v>
      </c>
      <c r="O1010" s="427">
        <v>35.247261904761906</v>
      </c>
      <c r="P1010" s="177">
        <f t="shared" ref="P1010:P1073" si="156">L1010*49.88*1.08</f>
        <v>2.4369942857142859</v>
      </c>
      <c r="Q1010" s="177">
        <f t="shared" ref="Q1010:Q1073" si="157">P1010*1.219</f>
        <v>2.9706960342857145</v>
      </c>
      <c r="R1010" s="431">
        <f t="shared" si="149"/>
        <v>0.33744753282401224</v>
      </c>
      <c r="S1010" s="468">
        <v>2</v>
      </c>
      <c r="T1010" s="127"/>
      <c r="U1010" s="127"/>
      <c r="V1010" s="127"/>
      <c r="W1010" s="127"/>
      <c r="X1010" s="127"/>
      <c r="Y1010" s="127"/>
    </row>
    <row r="1011" spans="1:25" s="6" customFormat="1" ht="15.75" customHeight="1">
      <c r="A1011" s="285">
        <v>131</v>
      </c>
      <c r="B1011" s="329" t="s">
        <v>966</v>
      </c>
      <c r="C1011" s="803">
        <v>539.4</v>
      </c>
      <c r="D1011" s="391"/>
      <c r="E1011" s="804"/>
      <c r="F1011" s="330">
        <v>539.4</v>
      </c>
      <c r="G1011" s="644">
        <f t="shared" si="155"/>
        <v>539.4</v>
      </c>
      <c r="H1011" s="868">
        <v>54</v>
      </c>
      <c r="I1011" s="330">
        <v>0</v>
      </c>
      <c r="J1011" s="403">
        <f t="shared" si="153"/>
        <v>54</v>
      </c>
      <c r="K1011" s="403">
        <f t="shared" si="151"/>
        <v>54</v>
      </c>
      <c r="L1011" s="425">
        <f t="shared" si="150"/>
        <v>6.4285714285714279E-2</v>
      </c>
      <c r="M1011" s="177">
        <f t="shared" si="154"/>
        <v>129.66492857142856</v>
      </c>
      <c r="N1011" s="427">
        <f t="shared" si="152"/>
        <v>47.677794235714288</v>
      </c>
      <c r="O1011" s="427">
        <v>50.08821428571428</v>
      </c>
      <c r="P1011" s="177">
        <f t="shared" si="156"/>
        <v>3.4630971428571429</v>
      </c>
      <c r="Q1011" s="177">
        <f t="shared" si="157"/>
        <v>4.2215154171428573</v>
      </c>
      <c r="R1011" s="431">
        <f t="shared" si="149"/>
        <v>0.42805716395201021</v>
      </c>
      <c r="S1011" s="468">
        <v>1</v>
      </c>
      <c r="T1011" s="127"/>
      <c r="U1011" s="127"/>
      <c r="V1011" s="127"/>
      <c r="W1011" s="127"/>
      <c r="X1011" s="127"/>
      <c r="Y1011" s="127"/>
    </row>
    <row r="1012" spans="1:25" s="6" customFormat="1" ht="15.75" customHeight="1">
      <c r="A1012" s="285">
        <v>132</v>
      </c>
      <c r="B1012" s="329" t="s">
        <v>967</v>
      </c>
      <c r="C1012" s="803">
        <v>120.6</v>
      </c>
      <c r="D1012" s="391"/>
      <c r="E1012" s="804"/>
      <c r="F1012" s="330">
        <v>120.6</v>
      </c>
      <c r="G1012" s="644">
        <f t="shared" si="155"/>
        <v>120.6</v>
      </c>
      <c r="H1012" s="865">
        <v>0</v>
      </c>
      <c r="I1012" s="535">
        <v>0</v>
      </c>
      <c r="J1012" s="403">
        <f t="shared" si="153"/>
        <v>0</v>
      </c>
      <c r="K1012" s="403">
        <f t="shared" si="151"/>
        <v>0</v>
      </c>
      <c r="L1012" s="425">
        <f t="shared" si="150"/>
        <v>0</v>
      </c>
      <c r="M1012" s="177">
        <f t="shared" si="154"/>
        <v>0</v>
      </c>
      <c r="N1012" s="427">
        <f t="shared" si="152"/>
        <v>0</v>
      </c>
      <c r="O1012" s="427">
        <v>0</v>
      </c>
      <c r="P1012" s="177">
        <f t="shared" si="156"/>
        <v>0</v>
      </c>
      <c r="Q1012" s="177">
        <f t="shared" si="157"/>
        <v>0</v>
      </c>
      <c r="R1012" s="431">
        <f t="shared" si="149"/>
        <v>0</v>
      </c>
      <c r="S1012" s="468">
        <v>2</v>
      </c>
      <c r="T1012" s="127"/>
      <c r="U1012" s="127"/>
      <c r="V1012" s="127"/>
      <c r="W1012" s="127"/>
      <c r="X1012" s="127"/>
      <c r="Y1012" s="127"/>
    </row>
    <row r="1013" spans="1:25" s="6" customFormat="1" ht="15.75" customHeight="1">
      <c r="A1013" s="285">
        <v>133</v>
      </c>
      <c r="B1013" s="329" t="s">
        <v>968</v>
      </c>
      <c r="C1013" s="803">
        <v>98.1</v>
      </c>
      <c r="D1013" s="391"/>
      <c r="E1013" s="804"/>
      <c r="F1013" s="330">
        <v>98.1</v>
      </c>
      <c r="G1013" s="644">
        <f t="shared" si="155"/>
        <v>98.1</v>
      </c>
      <c r="H1013" s="865">
        <v>0</v>
      </c>
      <c r="I1013" s="535">
        <v>0</v>
      </c>
      <c r="J1013" s="403">
        <f t="shared" si="153"/>
        <v>0</v>
      </c>
      <c r="K1013" s="403">
        <f t="shared" si="151"/>
        <v>0</v>
      </c>
      <c r="L1013" s="425">
        <f t="shared" si="150"/>
        <v>0</v>
      </c>
      <c r="M1013" s="177">
        <f t="shared" si="154"/>
        <v>0</v>
      </c>
      <c r="N1013" s="427">
        <f t="shared" si="152"/>
        <v>0</v>
      </c>
      <c r="O1013" s="427">
        <v>0</v>
      </c>
      <c r="P1013" s="177">
        <f t="shared" si="156"/>
        <v>0</v>
      </c>
      <c r="Q1013" s="177">
        <f t="shared" si="157"/>
        <v>0</v>
      </c>
      <c r="R1013" s="431">
        <f t="shared" si="149"/>
        <v>0</v>
      </c>
      <c r="S1013" s="468">
        <v>4</v>
      </c>
      <c r="T1013" s="127"/>
      <c r="U1013" s="127"/>
      <c r="V1013" s="127"/>
      <c r="W1013" s="127"/>
      <c r="X1013" s="127"/>
      <c r="Y1013" s="127"/>
    </row>
    <row r="1014" spans="1:25" s="6" customFormat="1" ht="15.75" customHeight="1">
      <c r="A1014" s="285">
        <v>134</v>
      </c>
      <c r="B1014" s="329" t="s">
        <v>969</v>
      </c>
      <c r="C1014" s="803">
        <v>95.2</v>
      </c>
      <c r="D1014" s="391"/>
      <c r="E1014" s="804"/>
      <c r="F1014" s="330">
        <v>95.2</v>
      </c>
      <c r="G1014" s="644">
        <f t="shared" si="155"/>
        <v>95.2</v>
      </c>
      <c r="H1014" s="865">
        <v>0</v>
      </c>
      <c r="I1014" s="535">
        <v>0</v>
      </c>
      <c r="J1014" s="403">
        <f t="shared" si="153"/>
        <v>0</v>
      </c>
      <c r="K1014" s="403">
        <f t="shared" si="151"/>
        <v>0</v>
      </c>
      <c r="L1014" s="425">
        <f t="shared" si="150"/>
        <v>0</v>
      </c>
      <c r="M1014" s="177">
        <f t="shared" si="154"/>
        <v>0</v>
      </c>
      <c r="N1014" s="427">
        <f t="shared" si="152"/>
        <v>0</v>
      </c>
      <c r="O1014" s="427">
        <v>0</v>
      </c>
      <c r="P1014" s="177">
        <f t="shared" si="156"/>
        <v>0</v>
      </c>
      <c r="Q1014" s="177">
        <f t="shared" si="157"/>
        <v>0</v>
      </c>
      <c r="R1014" s="431">
        <f t="shared" si="149"/>
        <v>0</v>
      </c>
      <c r="S1014" s="468">
        <v>1</v>
      </c>
      <c r="T1014" s="127"/>
      <c r="U1014" s="127"/>
      <c r="V1014" s="127"/>
      <c r="W1014" s="127"/>
      <c r="X1014" s="127"/>
      <c r="Y1014" s="127"/>
    </row>
    <row r="1015" spans="1:25" s="6" customFormat="1" ht="15.75" customHeight="1">
      <c r="A1015" s="285">
        <v>135</v>
      </c>
      <c r="B1015" s="329" t="s">
        <v>970</v>
      </c>
      <c r="C1015" s="803">
        <v>2329.16</v>
      </c>
      <c r="D1015" s="391"/>
      <c r="E1015" s="804"/>
      <c r="F1015" s="330">
        <v>2326.98</v>
      </c>
      <c r="G1015" s="644">
        <f t="shared" si="155"/>
        <v>2329.16</v>
      </c>
      <c r="H1015" s="865">
        <v>298</v>
      </c>
      <c r="I1015" s="330">
        <v>0</v>
      </c>
      <c r="J1015" s="403">
        <f t="shared" si="153"/>
        <v>298</v>
      </c>
      <c r="K1015" s="403">
        <f t="shared" si="151"/>
        <v>298</v>
      </c>
      <c r="L1015" s="425">
        <f t="shared" si="150"/>
        <v>0.35476190476190478</v>
      </c>
      <c r="M1015" s="177">
        <f t="shared" si="154"/>
        <v>715.5583095238095</v>
      </c>
      <c r="N1015" s="427">
        <f t="shared" si="152"/>
        <v>263.11079041190476</v>
      </c>
      <c r="O1015" s="427">
        <v>276.41273809523813</v>
      </c>
      <c r="P1015" s="177">
        <f t="shared" si="156"/>
        <v>19.111165714285718</v>
      </c>
      <c r="Q1015" s="177">
        <f t="shared" si="157"/>
        <v>23.296511005714294</v>
      </c>
      <c r="R1015" s="431">
        <f t="shared" si="149"/>
        <v>0.54706117387609199</v>
      </c>
      <c r="S1015" s="468">
        <v>2</v>
      </c>
      <c r="T1015" s="127"/>
      <c r="U1015" s="127"/>
      <c r="V1015" s="127"/>
      <c r="W1015" s="127"/>
      <c r="X1015" s="127"/>
      <c r="Y1015" s="127"/>
    </row>
    <row r="1016" spans="1:25" s="6" customFormat="1" ht="15.75" customHeight="1">
      <c r="A1016" s="285">
        <v>136</v>
      </c>
      <c r="B1016" s="329" t="s">
        <v>971</v>
      </c>
      <c r="C1016" s="806">
        <v>188</v>
      </c>
      <c r="D1016" s="391"/>
      <c r="E1016" s="804"/>
      <c r="F1016" s="330">
        <v>188</v>
      </c>
      <c r="G1016" s="644">
        <f t="shared" si="155"/>
        <v>188</v>
      </c>
      <c r="H1016" s="865">
        <v>0</v>
      </c>
      <c r="I1016" s="535">
        <v>0</v>
      </c>
      <c r="J1016" s="403">
        <f t="shared" si="153"/>
        <v>0</v>
      </c>
      <c r="K1016" s="403">
        <f t="shared" si="151"/>
        <v>0</v>
      </c>
      <c r="L1016" s="425">
        <f t="shared" si="150"/>
        <v>0</v>
      </c>
      <c r="M1016" s="177">
        <f t="shared" si="154"/>
        <v>0</v>
      </c>
      <c r="N1016" s="427">
        <f t="shared" si="152"/>
        <v>0</v>
      </c>
      <c r="O1016" s="427">
        <v>0</v>
      </c>
      <c r="P1016" s="177">
        <f t="shared" si="156"/>
        <v>0</v>
      </c>
      <c r="Q1016" s="177">
        <f t="shared" si="157"/>
        <v>0</v>
      </c>
      <c r="R1016" s="431">
        <f t="shared" si="149"/>
        <v>0</v>
      </c>
      <c r="S1016" s="468">
        <v>2</v>
      </c>
      <c r="T1016" s="127"/>
      <c r="U1016" s="127"/>
      <c r="V1016" s="127"/>
      <c r="W1016" s="127"/>
      <c r="X1016" s="127"/>
      <c r="Y1016" s="127"/>
    </row>
    <row r="1017" spans="1:25" s="6" customFormat="1" ht="15.75" customHeight="1">
      <c r="A1017" s="285">
        <v>137</v>
      </c>
      <c r="B1017" s="329" t="s">
        <v>972</v>
      </c>
      <c r="C1017" s="803">
        <v>110.1</v>
      </c>
      <c r="D1017" s="391"/>
      <c r="E1017" s="804"/>
      <c r="F1017" s="330">
        <v>110.1</v>
      </c>
      <c r="G1017" s="644">
        <f t="shared" si="155"/>
        <v>110.1</v>
      </c>
      <c r="H1017" s="865">
        <v>0</v>
      </c>
      <c r="I1017" s="535">
        <v>0</v>
      </c>
      <c r="J1017" s="403">
        <f t="shared" si="153"/>
        <v>0</v>
      </c>
      <c r="K1017" s="403">
        <f t="shared" si="151"/>
        <v>0</v>
      </c>
      <c r="L1017" s="425">
        <f t="shared" si="150"/>
        <v>0</v>
      </c>
      <c r="M1017" s="177">
        <f t="shared" si="154"/>
        <v>0</v>
      </c>
      <c r="N1017" s="427">
        <f t="shared" si="152"/>
        <v>0</v>
      </c>
      <c r="O1017" s="427">
        <v>0</v>
      </c>
      <c r="P1017" s="177">
        <f t="shared" si="156"/>
        <v>0</v>
      </c>
      <c r="Q1017" s="177">
        <f t="shared" si="157"/>
        <v>0</v>
      </c>
      <c r="R1017" s="431">
        <f t="shared" si="149"/>
        <v>0</v>
      </c>
      <c r="S1017" s="468">
        <v>4</v>
      </c>
      <c r="T1017" s="127"/>
      <c r="U1017" s="127"/>
      <c r="V1017" s="127"/>
      <c r="W1017" s="127"/>
      <c r="X1017" s="127"/>
      <c r="Y1017" s="127"/>
    </row>
    <row r="1018" spans="1:25" s="6" customFormat="1" ht="15.75" customHeight="1">
      <c r="A1018" s="285">
        <v>138</v>
      </c>
      <c r="B1018" s="329" t="s">
        <v>973</v>
      </c>
      <c r="C1018" s="803">
        <v>215.8</v>
      </c>
      <c r="D1018" s="391"/>
      <c r="E1018" s="804"/>
      <c r="F1018" s="330">
        <v>215.8</v>
      </c>
      <c r="G1018" s="644">
        <f t="shared" si="155"/>
        <v>215.8</v>
      </c>
      <c r="H1018" s="865">
        <v>0</v>
      </c>
      <c r="I1018" s="535">
        <v>0</v>
      </c>
      <c r="J1018" s="403">
        <f t="shared" si="153"/>
        <v>0</v>
      </c>
      <c r="K1018" s="403">
        <f t="shared" si="151"/>
        <v>0</v>
      </c>
      <c r="L1018" s="425">
        <f t="shared" si="150"/>
        <v>0</v>
      </c>
      <c r="M1018" s="177">
        <f t="shared" si="154"/>
        <v>0</v>
      </c>
      <c r="N1018" s="427">
        <f t="shared" si="152"/>
        <v>0</v>
      </c>
      <c r="O1018" s="427">
        <v>0</v>
      </c>
      <c r="P1018" s="177">
        <f t="shared" si="156"/>
        <v>0</v>
      </c>
      <c r="Q1018" s="177">
        <f t="shared" si="157"/>
        <v>0</v>
      </c>
      <c r="R1018" s="431">
        <f t="shared" si="149"/>
        <v>0</v>
      </c>
      <c r="S1018" s="468">
        <v>1</v>
      </c>
      <c r="T1018" s="127"/>
      <c r="U1018" s="127"/>
      <c r="V1018" s="127"/>
      <c r="W1018" s="127"/>
      <c r="X1018" s="127"/>
      <c r="Y1018" s="127"/>
    </row>
    <row r="1019" spans="1:25" s="6" customFormat="1" ht="15.75" customHeight="1">
      <c r="A1019" s="285">
        <v>139</v>
      </c>
      <c r="B1019" s="329" t="s">
        <v>974</v>
      </c>
      <c r="C1019" s="803">
        <v>1481.3</v>
      </c>
      <c r="D1019" s="391"/>
      <c r="E1019" s="804"/>
      <c r="F1019" s="330">
        <v>1474.3</v>
      </c>
      <c r="G1019" s="644">
        <f t="shared" si="155"/>
        <v>1481.3</v>
      </c>
      <c r="H1019" s="865">
        <v>18</v>
      </c>
      <c r="I1019" s="330">
        <v>0</v>
      </c>
      <c r="J1019" s="403">
        <f t="shared" si="153"/>
        <v>18</v>
      </c>
      <c r="K1019" s="403">
        <f t="shared" si="151"/>
        <v>18</v>
      </c>
      <c r="L1019" s="425">
        <f t="shared" si="150"/>
        <v>2.1428571428571429E-2</v>
      </c>
      <c r="M1019" s="177">
        <f t="shared" si="154"/>
        <v>43.221642857142861</v>
      </c>
      <c r="N1019" s="427">
        <f t="shared" si="152"/>
        <v>15.892598078571432</v>
      </c>
      <c r="O1019" s="427">
        <v>16.696071428571429</v>
      </c>
      <c r="P1019" s="177">
        <f t="shared" si="156"/>
        <v>1.1543657142857144</v>
      </c>
      <c r="Q1019" s="177">
        <f t="shared" si="157"/>
        <v>1.4071718057142859</v>
      </c>
      <c r="R1019" s="431">
        <f t="shared" si="149"/>
        <v>5.1957522499541914E-2</v>
      </c>
      <c r="S1019" s="468">
        <v>1</v>
      </c>
      <c r="T1019" s="127"/>
      <c r="U1019" s="127"/>
      <c r="V1019" s="127"/>
      <c r="W1019" s="127"/>
      <c r="X1019" s="127"/>
      <c r="Y1019" s="127"/>
    </row>
    <row r="1020" spans="1:25" s="6" customFormat="1" ht="15.75" customHeight="1">
      <c r="A1020" s="285">
        <v>140</v>
      </c>
      <c r="B1020" s="329" t="s">
        <v>975</v>
      </c>
      <c r="C1020" s="803">
        <v>152.6</v>
      </c>
      <c r="D1020" s="391"/>
      <c r="E1020" s="804"/>
      <c r="F1020" s="330">
        <v>152.6</v>
      </c>
      <c r="G1020" s="644">
        <f t="shared" si="155"/>
        <v>152.6</v>
      </c>
      <c r="H1020" s="865">
        <v>0</v>
      </c>
      <c r="I1020" s="535">
        <v>0</v>
      </c>
      <c r="J1020" s="403">
        <f t="shared" si="153"/>
        <v>0</v>
      </c>
      <c r="K1020" s="403">
        <f t="shared" si="151"/>
        <v>0</v>
      </c>
      <c r="L1020" s="425">
        <f t="shared" si="150"/>
        <v>0</v>
      </c>
      <c r="M1020" s="177">
        <f t="shared" si="154"/>
        <v>0</v>
      </c>
      <c r="N1020" s="427">
        <f t="shared" si="152"/>
        <v>0</v>
      </c>
      <c r="O1020" s="427">
        <v>0</v>
      </c>
      <c r="P1020" s="177">
        <f t="shared" si="156"/>
        <v>0</v>
      </c>
      <c r="Q1020" s="177">
        <f t="shared" si="157"/>
        <v>0</v>
      </c>
      <c r="R1020" s="431">
        <f t="shared" si="149"/>
        <v>0</v>
      </c>
      <c r="S1020" s="468">
        <v>2</v>
      </c>
      <c r="T1020" s="127"/>
      <c r="U1020" s="127"/>
      <c r="V1020" s="127"/>
      <c r="W1020" s="127"/>
      <c r="X1020" s="127"/>
      <c r="Y1020" s="127"/>
    </row>
    <row r="1021" spans="1:25" s="6" customFormat="1" ht="15.75" customHeight="1">
      <c r="A1021" s="285">
        <v>141</v>
      </c>
      <c r="B1021" s="329" t="s">
        <v>976</v>
      </c>
      <c r="C1021" s="803">
        <v>110.9</v>
      </c>
      <c r="D1021" s="391"/>
      <c r="E1021" s="804"/>
      <c r="F1021" s="330">
        <v>110.9</v>
      </c>
      <c r="G1021" s="644">
        <f t="shared" si="155"/>
        <v>110.9</v>
      </c>
      <c r="H1021" s="865">
        <v>0</v>
      </c>
      <c r="I1021" s="535">
        <v>0</v>
      </c>
      <c r="J1021" s="403">
        <f t="shared" si="153"/>
        <v>0</v>
      </c>
      <c r="K1021" s="403">
        <f t="shared" si="151"/>
        <v>0</v>
      </c>
      <c r="L1021" s="425">
        <f t="shared" si="150"/>
        <v>0</v>
      </c>
      <c r="M1021" s="177">
        <f t="shared" si="154"/>
        <v>0</v>
      </c>
      <c r="N1021" s="427">
        <f t="shared" si="152"/>
        <v>0</v>
      </c>
      <c r="O1021" s="427">
        <v>0</v>
      </c>
      <c r="P1021" s="177">
        <f t="shared" si="156"/>
        <v>0</v>
      </c>
      <c r="Q1021" s="177">
        <f t="shared" si="157"/>
        <v>0</v>
      </c>
      <c r="R1021" s="431">
        <f t="shared" si="149"/>
        <v>0</v>
      </c>
      <c r="S1021" s="468">
        <v>1</v>
      </c>
      <c r="T1021" s="127"/>
      <c r="U1021" s="127"/>
      <c r="V1021" s="127"/>
      <c r="W1021" s="127"/>
      <c r="X1021" s="127"/>
      <c r="Y1021" s="127"/>
    </row>
    <row r="1022" spans="1:25" s="6" customFormat="1" ht="15.75" customHeight="1">
      <c r="A1022" s="285">
        <v>142</v>
      </c>
      <c r="B1022" s="329" t="s">
        <v>977</v>
      </c>
      <c r="C1022" s="803">
        <v>59.5</v>
      </c>
      <c r="D1022" s="391"/>
      <c r="E1022" s="804"/>
      <c r="F1022" s="330">
        <v>59.5</v>
      </c>
      <c r="G1022" s="644">
        <f t="shared" si="155"/>
        <v>59.5</v>
      </c>
      <c r="H1022" s="865">
        <v>0</v>
      </c>
      <c r="I1022" s="535">
        <v>0</v>
      </c>
      <c r="J1022" s="403">
        <f t="shared" si="153"/>
        <v>0</v>
      </c>
      <c r="K1022" s="403">
        <f t="shared" si="151"/>
        <v>0</v>
      </c>
      <c r="L1022" s="425">
        <f t="shared" si="150"/>
        <v>0</v>
      </c>
      <c r="M1022" s="177">
        <f t="shared" si="154"/>
        <v>0</v>
      </c>
      <c r="N1022" s="427">
        <f t="shared" si="152"/>
        <v>0</v>
      </c>
      <c r="O1022" s="427">
        <v>0</v>
      </c>
      <c r="P1022" s="177">
        <f t="shared" si="156"/>
        <v>0</v>
      </c>
      <c r="Q1022" s="177">
        <f t="shared" si="157"/>
        <v>0</v>
      </c>
      <c r="R1022" s="431">
        <f t="shared" si="149"/>
        <v>0</v>
      </c>
      <c r="S1022" s="468">
        <v>1</v>
      </c>
      <c r="T1022" s="127"/>
      <c r="U1022" s="127"/>
      <c r="V1022" s="127"/>
      <c r="W1022" s="127"/>
      <c r="X1022" s="127"/>
      <c r="Y1022" s="127"/>
    </row>
    <row r="1023" spans="1:25" s="6" customFormat="1" ht="15.75" customHeight="1">
      <c r="A1023" s="285">
        <v>143</v>
      </c>
      <c r="B1023" s="329" t="s">
        <v>978</v>
      </c>
      <c r="C1023" s="803">
        <v>38.700000000000003</v>
      </c>
      <c r="D1023" s="391"/>
      <c r="E1023" s="804"/>
      <c r="F1023" s="330">
        <v>38.700000000000003</v>
      </c>
      <c r="G1023" s="644">
        <f t="shared" si="155"/>
        <v>38.700000000000003</v>
      </c>
      <c r="H1023" s="865">
        <v>0</v>
      </c>
      <c r="I1023" s="535">
        <v>0</v>
      </c>
      <c r="J1023" s="403">
        <f t="shared" si="153"/>
        <v>0</v>
      </c>
      <c r="K1023" s="403">
        <f t="shared" si="151"/>
        <v>0</v>
      </c>
      <c r="L1023" s="425">
        <f t="shared" si="150"/>
        <v>0</v>
      </c>
      <c r="M1023" s="177">
        <f t="shared" si="154"/>
        <v>0</v>
      </c>
      <c r="N1023" s="427">
        <f t="shared" si="152"/>
        <v>0</v>
      </c>
      <c r="O1023" s="427">
        <v>0</v>
      </c>
      <c r="P1023" s="177">
        <f t="shared" si="156"/>
        <v>0</v>
      </c>
      <c r="Q1023" s="177">
        <f t="shared" si="157"/>
        <v>0</v>
      </c>
      <c r="R1023" s="431">
        <f t="shared" si="149"/>
        <v>0</v>
      </c>
      <c r="S1023" s="468">
        <v>1</v>
      </c>
      <c r="T1023" s="127"/>
      <c r="U1023" s="127"/>
      <c r="V1023" s="127"/>
      <c r="W1023" s="127"/>
      <c r="X1023" s="127"/>
      <c r="Y1023" s="127"/>
    </row>
    <row r="1024" spans="1:25" s="6" customFormat="1" ht="15.75" customHeight="1">
      <c r="A1024" s="285">
        <v>144</v>
      </c>
      <c r="B1024" s="329" t="s">
        <v>979</v>
      </c>
      <c r="C1024" s="803">
        <v>72.3</v>
      </c>
      <c r="D1024" s="391"/>
      <c r="E1024" s="804"/>
      <c r="F1024" s="330">
        <v>72.3</v>
      </c>
      <c r="G1024" s="644">
        <f t="shared" si="155"/>
        <v>72.3</v>
      </c>
      <c r="H1024" s="865">
        <v>0</v>
      </c>
      <c r="I1024" s="535">
        <v>0</v>
      </c>
      <c r="J1024" s="403">
        <f t="shared" si="153"/>
        <v>0</v>
      </c>
      <c r="K1024" s="403">
        <f t="shared" si="151"/>
        <v>0</v>
      </c>
      <c r="L1024" s="425">
        <f t="shared" si="150"/>
        <v>0</v>
      </c>
      <c r="M1024" s="177">
        <f t="shared" si="154"/>
        <v>0</v>
      </c>
      <c r="N1024" s="427">
        <f t="shared" si="152"/>
        <v>0</v>
      </c>
      <c r="O1024" s="427">
        <v>0</v>
      </c>
      <c r="P1024" s="177">
        <f t="shared" si="156"/>
        <v>0</v>
      </c>
      <c r="Q1024" s="177">
        <f t="shared" si="157"/>
        <v>0</v>
      </c>
      <c r="R1024" s="431">
        <f t="shared" si="149"/>
        <v>0</v>
      </c>
      <c r="S1024" s="468">
        <v>1</v>
      </c>
      <c r="T1024" s="127"/>
      <c r="U1024" s="127"/>
      <c r="V1024" s="127"/>
      <c r="W1024" s="127"/>
      <c r="X1024" s="127"/>
      <c r="Y1024" s="127"/>
    </row>
    <row r="1025" spans="1:25" s="6" customFormat="1" ht="15.75" customHeight="1">
      <c r="A1025" s="285">
        <v>145</v>
      </c>
      <c r="B1025" s="329" t="s">
        <v>980</v>
      </c>
      <c r="C1025" s="803">
        <v>99.09</v>
      </c>
      <c r="D1025" s="391"/>
      <c r="E1025" s="804"/>
      <c r="F1025" s="330">
        <v>98.89</v>
      </c>
      <c r="G1025" s="644">
        <f t="shared" si="155"/>
        <v>99.09</v>
      </c>
      <c r="H1025" s="865">
        <v>0</v>
      </c>
      <c r="I1025" s="535">
        <v>0</v>
      </c>
      <c r="J1025" s="403">
        <f t="shared" si="153"/>
        <v>0</v>
      </c>
      <c r="K1025" s="403">
        <f t="shared" si="151"/>
        <v>0</v>
      </c>
      <c r="L1025" s="425">
        <f t="shared" si="150"/>
        <v>0</v>
      </c>
      <c r="M1025" s="177">
        <f t="shared" si="154"/>
        <v>0</v>
      </c>
      <c r="N1025" s="427">
        <f t="shared" si="152"/>
        <v>0</v>
      </c>
      <c r="O1025" s="427">
        <v>0</v>
      </c>
      <c r="P1025" s="177">
        <f t="shared" si="156"/>
        <v>0</v>
      </c>
      <c r="Q1025" s="177">
        <f t="shared" si="157"/>
        <v>0</v>
      </c>
      <c r="R1025" s="431">
        <f t="shared" si="149"/>
        <v>0</v>
      </c>
      <c r="S1025" s="468">
        <v>3</v>
      </c>
      <c r="T1025" s="127"/>
      <c r="U1025" s="127"/>
      <c r="V1025" s="127"/>
      <c r="W1025" s="127"/>
      <c r="X1025" s="127"/>
      <c r="Y1025" s="127"/>
    </row>
    <row r="1026" spans="1:25" s="6" customFormat="1" ht="15.75" customHeight="1">
      <c r="A1026" s="285">
        <v>146</v>
      </c>
      <c r="B1026" s="329" t="s">
        <v>981</v>
      </c>
      <c r="C1026" s="803">
        <v>78.7</v>
      </c>
      <c r="D1026" s="391"/>
      <c r="E1026" s="804"/>
      <c r="F1026" s="330">
        <v>75.7</v>
      </c>
      <c r="G1026" s="644">
        <f t="shared" si="155"/>
        <v>78.7</v>
      </c>
      <c r="H1026" s="865">
        <v>0</v>
      </c>
      <c r="I1026" s="535">
        <v>0</v>
      </c>
      <c r="J1026" s="403">
        <f t="shared" si="153"/>
        <v>0</v>
      </c>
      <c r="K1026" s="403">
        <f t="shared" si="151"/>
        <v>0</v>
      </c>
      <c r="L1026" s="425">
        <f t="shared" si="150"/>
        <v>0</v>
      </c>
      <c r="M1026" s="177">
        <f t="shared" si="154"/>
        <v>0</v>
      </c>
      <c r="N1026" s="427">
        <f t="shared" si="152"/>
        <v>0</v>
      </c>
      <c r="O1026" s="427">
        <v>0</v>
      </c>
      <c r="P1026" s="177">
        <f t="shared" si="156"/>
        <v>0</v>
      </c>
      <c r="Q1026" s="177">
        <f t="shared" si="157"/>
        <v>0</v>
      </c>
      <c r="R1026" s="431">
        <f t="shared" si="149"/>
        <v>0</v>
      </c>
      <c r="S1026" s="468">
        <v>1</v>
      </c>
      <c r="T1026" s="127"/>
      <c r="U1026" s="127"/>
      <c r="V1026" s="127"/>
      <c r="W1026" s="127"/>
      <c r="X1026" s="127"/>
      <c r="Y1026" s="127"/>
    </row>
    <row r="1027" spans="1:25" s="6" customFormat="1" ht="15.75" customHeight="1">
      <c r="A1027" s="285">
        <v>147</v>
      </c>
      <c r="B1027" s="329" t="s">
        <v>982</v>
      </c>
      <c r="C1027" s="803">
        <v>557.9</v>
      </c>
      <c r="D1027" s="391"/>
      <c r="E1027" s="804"/>
      <c r="F1027" s="330">
        <v>557.9</v>
      </c>
      <c r="G1027" s="644">
        <f t="shared" si="155"/>
        <v>557.9</v>
      </c>
      <c r="H1027" s="865">
        <v>50</v>
      </c>
      <c r="I1027" s="330">
        <v>0</v>
      </c>
      <c r="J1027" s="403">
        <f t="shared" si="153"/>
        <v>50</v>
      </c>
      <c r="K1027" s="403">
        <f t="shared" si="151"/>
        <v>50</v>
      </c>
      <c r="L1027" s="425">
        <f t="shared" si="150"/>
        <v>5.9523809523809521E-2</v>
      </c>
      <c r="M1027" s="177">
        <f t="shared" si="154"/>
        <v>120.06011904761904</v>
      </c>
      <c r="N1027" s="427">
        <f t="shared" si="152"/>
        <v>44.146105773809523</v>
      </c>
      <c r="O1027" s="427">
        <v>46.37797619047619</v>
      </c>
      <c r="P1027" s="177">
        <f t="shared" si="156"/>
        <v>3.2065714285714289</v>
      </c>
      <c r="Q1027" s="177">
        <f t="shared" si="157"/>
        <v>3.9088105714285719</v>
      </c>
      <c r="R1027" s="431">
        <f t="shared" si="149"/>
        <v>0.38320625997575952</v>
      </c>
      <c r="S1027" s="468">
        <v>2</v>
      </c>
      <c r="T1027" s="127"/>
      <c r="U1027" s="127"/>
      <c r="V1027" s="127"/>
      <c r="W1027" s="127"/>
      <c r="X1027" s="127"/>
      <c r="Y1027" s="127"/>
    </row>
    <row r="1028" spans="1:25" s="6" customFormat="1" ht="15.75" customHeight="1">
      <c r="A1028" s="285">
        <v>148</v>
      </c>
      <c r="B1028" s="329" t="s">
        <v>983</v>
      </c>
      <c r="C1028" s="803">
        <v>122.5</v>
      </c>
      <c r="D1028" s="391"/>
      <c r="E1028" s="804"/>
      <c r="F1028" s="330">
        <v>122.5</v>
      </c>
      <c r="G1028" s="644">
        <f t="shared" si="155"/>
        <v>122.5</v>
      </c>
      <c r="H1028" s="865">
        <v>0</v>
      </c>
      <c r="I1028" s="535">
        <v>0</v>
      </c>
      <c r="J1028" s="403">
        <f t="shared" si="153"/>
        <v>0</v>
      </c>
      <c r="K1028" s="403">
        <f t="shared" si="151"/>
        <v>0</v>
      </c>
      <c r="L1028" s="425">
        <f t="shared" si="150"/>
        <v>0</v>
      </c>
      <c r="M1028" s="177">
        <f t="shared" si="154"/>
        <v>0</v>
      </c>
      <c r="N1028" s="427">
        <f t="shared" si="152"/>
        <v>0</v>
      </c>
      <c r="O1028" s="427">
        <v>0</v>
      </c>
      <c r="P1028" s="177">
        <f t="shared" si="156"/>
        <v>0</v>
      </c>
      <c r="Q1028" s="177">
        <f t="shared" si="157"/>
        <v>0</v>
      </c>
      <c r="R1028" s="431">
        <f t="shared" si="149"/>
        <v>0</v>
      </c>
      <c r="S1028" s="468">
        <v>2</v>
      </c>
      <c r="T1028" s="127"/>
      <c r="U1028" s="127"/>
      <c r="V1028" s="127"/>
      <c r="W1028" s="127"/>
      <c r="X1028" s="127"/>
      <c r="Y1028" s="127"/>
    </row>
    <row r="1029" spans="1:25" s="6" customFormat="1" ht="15.75" customHeight="1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330">
        <v>245.6</v>
      </c>
      <c r="G1029" s="644">
        <f t="shared" si="155"/>
        <v>275.5</v>
      </c>
      <c r="H1029" s="865">
        <v>0</v>
      </c>
      <c r="I1029" s="535">
        <v>0</v>
      </c>
      <c r="J1029" s="403">
        <f t="shared" si="153"/>
        <v>0</v>
      </c>
      <c r="K1029" s="403">
        <f t="shared" si="151"/>
        <v>0</v>
      </c>
      <c r="L1029" s="425">
        <f t="shared" si="150"/>
        <v>0</v>
      </c>
      <c r="M1029" s="177">
        <f t="shared" si="154"/>
        <v>0</v>
      </c>
      <c r="N1029" s="427">
        <f t="shared" si="152"/>
        <v>0</v>
      </c>
      <c r="O1029" s="427">
        <v>0</v>
      </c>
      <c r="P1029" s="177">
        <f t="shared" si="156"/>
        <v>0</v>
      </c>
      <c r="Q1029" s="177">
        <f t="shared" si="157"/>
        <v>0</v>
      </c>
      <c r="R1029" s="431">
        <f t="shared" si="149"/>
        <v>0</v>
      </c>
      <c r="S1029" s="468">
        <v>2</v>
      </c>
      <c r="T1029" s="127"/>
      <c r="U1029" s="127"/>
      <c r="V1029" s="127"/>
      <c r="W1029" s="127"/>
      <c r="X1029" s="127"/>
      <c r="Y1029" s="127"/>
    </row>
    <row r="1030" spans="1:25" s="6" customFormat="1" ht="15.75" customHeight="1">
      <c r="A1030" s="285">
        <v>150</v>
      </c>
      <c r="B1030" s="329" t="s">
        <v>986</v>
      </c>
      <c r="C1030" s="803">
        <v>189.1</v>
      </c>
      <c r="D1030" s="391"/>
      <c r="E1030" s="804"/>
      <c r="F1030" s="330">
        <v>198.4</v>
      </c>
      <c r="G1030" s="644">
        <f t="shared" si="155"/>
        <v>189.1</v>
      </c>
      <c r="H1030" s="865">
        <v>0</v>
      </c>
      <c r="I1030" s="535">
        <v>0</v>
      </c>
      <c r="J1030" s="403">
        <f t="shared" si="153"/>
        <v>0</v>
      </c>
      <c r="K1030" s="403">
        <f t="shared" si="151"/>
        <v>0</v>
      </c>
      <c r="L1030" s="425">
        <f t="shared" si="150"/>
        <v>0</v>
      </c>
      <c r="M1030" s="177">
        <f t="shared" si="154"/>
        <v>0</v>
      </c>
      <c r="N1030" s="427">
        <f t="shared" si="152"/>
        <v>0</v>
      </c>
      <c r="O1030" s="427">
        <v>0</v>
      </c>
      <c r="P1030" s="177">
        <f t="shared" si="156"/>
        <v>0</v>
      </c>
      <c r="Q1030" s="177">
        <f t="shared" si="157"/>
        <v>0</v>
      </c>
      <c r="R1030" s="431">
        <f t="shared" si="149"/>
        <v>0</v>
      </c>
      <c r="S1030" s="468">
        <v>3</v>
      </c>
      <c r="T1030" s="127"/>
      <c r="U1030" s="127"/>
      <c r="V1030" s="127"/>
      <c r="W1030" s="127"/>
      <c r="X1030" s="127"/>
      <c r="Y1030" s="127"/>
    </row>
    <row r="1031" spans="1:25" s="6" customFormat="1" ht="15.75" customHeight="1">
      <c r="A1031" s="285">
        <v>151</v>
      </c>
      <c r="B1031" s="329" t="s">
        <v>987</v>
      </c>
      <c r="C1031" s="803">
        <v>590.4</v>
      </c>
      <c r="D1031" s="391"/>
      <c r="E1031" s="804"/>
      <c r="F1031" s="330">
        <v>590.4</v>
      </c>
      <c r="G1031" s="644">
        <f t="shared" si="155"/>
        <v>590.4</v>
      </c>
      <c r="H1031" s="868">
        <v>42</v>
      </c>
      <c r="I1031" s="330">
        <v>0</v>
      </c>
      <c r="J1031" s="403">
        <f t="shared" si="153"/>
        <v>42</v>
      </c>
      <c r="K1031" s="403">
        <f t="shared" si="151"/>
        <v>42</v>
      </c>
      <c r="L1031" s="425">
        <f t="shared" si="150"/>
        <v>0.05</v>
      </c>
      <c r="M1031" s="177">
        <f t="shared" si="154"/>
        <v>100.85050000000001</v>
      </c>
      <c r="N1031" s="427">
        <f t="shared" si="152"/>
        <v>37.082728850000009</v>
      </c>
      <c r="O1031" s="427">
        <v>38.957500000000003</v>
      </c>
      <c r="P1031" s="177">
        <f t="shared" si="156"/>
        <v>2.6935200000000004</v>
      </c>
      <c r="Q1031" s="177">
        <f t="shared" si="157"/>
        <v>3.2834008800000007</v>
      </c>
      <c r="R1031" s="431">
        <f t="shared" ref="R1031:R1094" si="158">(M1031+N1031+O1031+P1031)/C1031</f>
        <v>0.30417386322831991</v>
      </c>
      <c r="S1031" s="468">
        <v>3</v>
      </c>
      <c r="T1031" s="127"/>
      <c r="U1031" s="127"/>
      <c r="V1031" s="127"/>
      <c r="W1031" s="127"/>
      <c r="X1031" s="127"/>
      <c r="Y1031" s="127"/>
    </row>
    <row r="1032" spans="1:25" s="6" customFormat="1" ht="15.75" customHeight="1">
      <c r="A1032" s="285">
        <v>152</v>
      </c>
      <c r="B1032" s="329" t="s">
        <v>988</v>
      </c>
      <c r="C1032" s="803">
        <v>761.4</v>
      </c>
      <c r="D1032" s="391"/>
      <c r="E1032" s="804"/>
      <c r="F1032" s="330">
        <v>757.7</v>
      </c>
      <c r="G1032" s="644">
        <f t="shared" si="155"/>
        <v>761.4</v>
      </c>
      <c r="H1032" s="868">
        <v>68</v>
      </c>
      <c r="I1032" s="330">
        <v>0</v>
      </c>
      <c r="J1032" s="403">
        <f t="shared" si="153"/>
        <v>68</v>
      </c>
      <c r="K1032" s="403">
        <f t="shared" si="151"/>
        <v>68</v>
      </c>
      <c r="L1032" s="425">
        <f t="shared" si="150"/>
        <v>8.0952380952380956E-2</v>
      </c>
      <c r="M1032" s="177">
        <f t="shared" si="154"/>
        <v>163.28176190476191</v>
      </c>
      <c r="N1032" s="427">
        <f t="shared" si="152"/>
        <v>60.038703852380955</v>
      </c>
      <c r="O1032" s="427">
        <v>63.074047619047619</v>
      </c>
      <c r="P1032" s="177">
        <f t="shared" si="156"/>
        <v>4.3609371428571437</v>
      </c>
      <c r="Q1032" s="177">
        <f t="shared" si="157"/>
        <v>5.3159823771428583</v>
      </c>
      <c r="R1032" s="431">
        <f t="shared" si="158"/>
        <v>0.38186951736150204</v>
      </c>
      <c r="S1032" s="468">
        <v>2</v>
      </c>
      <c r="T1032" s="127"/>
      <c r="U1032" s="127"/>
      <c r="V1032" s="127"/>
      <c r="W1032" s="127"/>
      <c r="X1032" s="127"/>
      <c r="Y1032" s="127"/>
    </row>
    <row r="1033" spans="1:25" s="6" customFormat="1" ht="15.75" customHeight="1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330">
        <v>538.82000000000005</v>
      </c>
      <c r="G1033" s="644">
        <f t="shared" si="155"/>
        <v>577.12</v>
      </c>
      <c r="H1033" s="868">
        <v>55</v>
      </c>
      <c r="I1033" s="330">
        <v>0</v>
      </c>
      <c r="J1033" s="403">
        <f t="shared" si="153"/>
        <v>55</v>
      </c>
      <c r="K1033" s="403">
        <f t="shared" si="151"/>
        <v>55</v>
      </c>
      <c r="L1033" s="425">
        <f t="shared" si="150"/>
        <v>6.5476190476190479E-2</v>
      </c>
      <c r="M1033" s="177">
        <f t="shared" si="154"/>
        <v>132.06613095238095</v>
      </c>
      <c r="N1033" s="427">
        <f t="shared" si="152"/>
        <v>48.560716351190479</v>
      </c>
      <c r="O1033" s="427">
        <v>51.015773809523807</v>
      </c>
      <c r="P1033" s="177">
        <f t="shared" si="156"/>
        <v>3.527228571428572</v>
      </c>
      <c r="Q1033" s="177">
        <f t="shared" si="157"/>
        <v>4.2996916285714297</v>
      </c>
      <c r="R1033" s="431">
        <f t="shared" si="158"/>
        <v>0.43645345325808949</v>
      </c>
      <c r="S1033" s="468">
        <v>3</v>
      </c>
      <c r="T1033" s="127"/>
      <c r="U1033" s="127"/>
      <c r="V1033" s="127"/>
      <c r="W1033" s="127"/>
      <c r="X1033" s="127"/>
      <c r="Y1033" s="127"/>
    </row>
    <row r="1034" spans="1:25" s="6" customFormat="1" ht="15.75" customHeight="1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330">
        <v>102.8</v>
      </c>
      <c r="G1034" s="644">
        <f t="shared" si="155"/>
        <v>136.80000000000001</v>
      </c>
      <c r="H1034" s="865">
        <v>0</v>
      </c>
      <c r="I1034" s="330">
        <v>0</v>
      </c>
      <c r="J1034" s="403">
        <f t="shared" si="153"/>
        <v>0</v>
      </c>
      <c r="K1034" s="403">
        <f t="shared" si="151"/>
        <v>0</v>
      </c>
      <c r="L1034" s="425">
        <f t="shared" si="150"/>
        <v>0</v>
      </c>
      <c r="M1034" s="177">
        <f t="shared" si="154"/>
        <v>0</v>
      </c>
      <c r="N1034" s="427">
        <f t="shared" si="152"/>
        <v>0</v>
      </c>
      <c r="O1034" s="427">
        <v>0</v>
      </c>
      <c r="P1034" s="177">
        <f t="shared" si="156"/>
        <v>0</v>
      </c>
      <c r="Q1034" s="177">
        <f t="shared" si="157"/>
        <v>0</v>
      </c>
      <c r="R1034" s="431">
        <f t="shared" si="158"/>
        <v>0</v>
      </c>
      <c r="S1034" s="468">
        <v>1</v>
      </c>
      <c r="T1034" s="127"/>
      <c r="U1034" s="127"/>
      <c r="V1034" s="127"/>
      <c r="W1034" s="127"/>
      <c r="X1034" s="127"/>
      <c r="Y1034" s="127"/>
    </row>
    <row r="1035" spans="1:25" s="6" customFormat="1" ht="15.75" customHeight="1">
      <c r="A1035" s="285">
        <v>155</v>
      </c>
      <c r="B1035" s="329" t="s">
        <v>991</v>
      </c>
      <c r="C1035" s="803">
        <v>578</v>
      </c>
      <c r="D1035" s="391"/>
      <c r="E1035" s="804"/>
      <c r="F1035" s="330">
        <v>574.79999999999995</v>
      </c>
      <c r="G1035" s="644">
        <f t="shared" si="155"/>
        <v>578</v>
      </c>
      <c r="H1035" s="865">
        <v>48</v>
      </c>
      <c r="I1035" s="330">
        <v>0</v>
      </c>
      <c r="J1035" s="403">
        <f t="shared" si="153"/>
        <v>48</v>
      </c>
      <c r="K1035" s="403">
        <f t="shared" si="151"/>
        <v>48</v>
      </c>
      <c r="L1035" s="425">
        <f t="shared" si="150"/>
        <v>5.7142857142857141E-2</v>
      </c>
      <c r="M1035" s="177">
        <f t="shared" si="154"/>
        <v>115.25771428571429</v>
      </c>
      <c r="N1035" s="427">
        <f t="shared" si="152"/>
        <v>42.380261542857149</v>
      </c>
      <c r="O1035" s="427">
        <v>44.522857142857141</v>
      </c>
      <c r="P1035" s="177">
        <f t="shared" si="156"/>
        <v>3.0783085714285718</v>
      </c>
      <c r="Q1035" s="177">
        <f t="shared" si="157"/>
        <v>3.7524581485714292</v>
      </c>
      <c r="R1035" s="431">
        <f t="shared" si="158"/>
        <v>0.35508501997034109</v>
      </c>
      <c r="S1035" s="468">
        <v>1</v>
      </c>
      <c r="T1035" s="127"/>
      <c r="U1035" s="127"/>
      <c r="V1035" s="127"/>
      <c r="W1035" s="127"/>
      <c r="X1035" s="127"/>
      <c r="Y1035" s="127"/>
    </row>
    <row r="1036" spans="1:25" s="6" customFormat="1" ht="15.75" customHeight="1">
      <c r="A1036" s="285">
        <v>156</v>
      </c>
      <c r="B1036" s="329" t="s">
        <v>992</v>
      </c>
      <c r="C1036" s="803">
        <v>150</v>
      </c>
      <c r="D1036" s="391"/>
      <c r="E1036" s="804"/>
      <c r="F1036" s="330">
        <v>149.80000000000001</v>
      </c>
      <c r="G1036" s="644">
        <f t="shared" si="155"/>
        <v>150</v>
      </c>
      <c r="H1036" s="865">
        <v>0</v>
      </c>
      <c r="I1036" s="535">
        <v>0</v>
      </c>
      <c r="J1036" s="403">
        <f t="shared" si="153"/>
        <v>0</v>
      </c>
      <c r="K1036" s="403">
        <f t="shared" si="151"/>
        <v>0</v>
      </c>
      <c r="L1036" s="425">
        <f t="shared" si="150"/>
        <v>0</v>
      </c>
      <c r="M1036" s="177">
        <f t="shared" si="154"/>
        <v>0</v>
      </c>
      <c r="N1036" s="427">
        <f t="shared" si="152"/>
        <v>0</v>
      </c>
      <c r="O1036" s="427">
        <v>0</v>
      </c>
      <c r="P1036" s="177">
        <f t="shared" si="156"/>
        <v>0</v>
      </c>
      <c r="Q1036" s="177">
        <f t="shared" si="157"/>
        <v>0</v>
      </c>
      <c r="R1036" s="431">
        <f t="shared" si="158"/>
        <v>0</v>
      </c>
      <c r="S1036" s="468">
        <v>1</v>
      </c>
      <c r="T1036" s="127"/>
      <c r="U1036" s="127"/>
      <c r="V1036" s="127"/>
      <c r="W1036" s="127"/>
      <c r="X1036" s="127"/>
      <c r="Y1036" s="127"/>
    </row>
    <row r="1037" spans="1:25" s="6" customFormat="1" ht="15.75" customHeight="1">
      <c r="A1037" s="285">
        <v>157</v>
      </c>
      <c r="B1037" s="329" t="s">
        <v>993</v>
      </c>
      <c r="C1037" s="803">
        <v>106.6</v>
      </c>
      <c r="D1037" s="391"/>
      <c r="E1037" s="804"/>
      <c r="F1037" s="330">
        <v>106.6</v>
      </c>
      <c r="G1037" s="644">
        <f t="shared" si="155"/>
        <v>106.6</v>
      </c>
      <c r="H1037" s="865">
        <v>0</v>
      </c>
      <c r="I1037" s="535">
        <v>0</v>
      </c>
      <c r="J1037" s="403">
        <f t="shared" si="153"/>
        <v>0</v>
      </c>
      <c r="K1037" s="403">
        <f t="shared" si="151"/>
        <v>0</v>
      </c>
      <c r="L1037" s="425">
        <f t="shared" si="150"/>
        <v>0</v>
      </c>
      <c r="M1037" s="177">
        <f t="shared" si="154"/>
        <v>0</v>
      </c>
      <c r="N1037" s="427">
        <f t="shared" si="152"/>
        <v>0</v>
      </c>
      <c r="O1037" s="427">
        <v>0</v>
      </c>
      <c r="P1037" s="177">
        <f t="shared" si="156"/>
        <v>0</v>
      </c>
      <c r="Q1037" s="177">
        <f t="shared" si="157"/>
        <v>0</v>
      </c>
      <c r="R1037" s="431">
        <f t="shared" si="158"/>
        <v>0</v>
      </c>
      <c r="S1037" s="468">
        <v>1</v>
      </c>
      <c r="T1037" s="127"/>
      <c r="U1037" s="127"/>
      <c r="V1037" s="127"/>
      <c r="W1037" s="127"/>
      <c r="X1037" s="127"/>
      <c r="Y1037" s="127"/>
    </row>
    <row r="1038" spans="1:25" s="6" customFormat="1" ht="15.75" customHeight="1">
      <c r="A1038" s="285">
        <v>158</v>
      </c>
      <c r="B1038" s="329" t="s">
        <v>994</v>
      </c>
      <c r="C1038" s="803">
        <v>128.4</v>
      </c>
      <c r="D1038" s="391"/>
      <c r="E1038" s="804"/>
      <c r="F1038" s="330">
        <v>127.6</v>
      </c>
      <c r="G1038" s="644">
        <f t="shared" si="155"/>
        <v>128.4</v>
      </c>
      <c r="H1038" s="865">
        <v>0</v>
      </c>
      <c r="I1038" s="535">
        <v>0</v>
      </c>
      <c r="J1038" s="403">
        <f t="shared" si="153"/>
        <v>0</v>
      </c>
      <c r="K1038" s="403">
        <f t="shared" si="151"/>
        <v>0</v>
      </c>
      <c r="L1038" s="425">
        <f t="shared" si="150"/>
        <v>0</v>
      </c>
      <c r="M1038" s="177">
        <f t="shared" si="154"/>
        <v>0</v>
      </c>
      <c r="N1038" s="427">
        <f t="shared" si="152"/>
        <v>0</v>
      </c>
      <c r="O1038" s="427">
        <v>0</v>
      </c>
      <c r="P1038" s="177">
        <f t="shared" si="156"/>
        <v>0</v>
      </c>
      <c r="Q1038" s="177">
        <f t="shared" si="157"/>
        <v>0</v>
      </c>
      <c r="R1038" s="431">
        <f t="shared" si="158"/>
        <v>0</v>
      </c>
      <c r="S1038" s="468">
        <v>2</v>
      </c>
      <c r="T1038" s="127"/>
      <c r="U1038" s="127"/>
      <c r="V1038" s="127"/>
      <c r="W1038" s="127"/>
      <c r="X1038" s="127"/>
      <c r="Y1038" s="127"/>
    </row>
    <row r="1039" spans="1:25" s="6" customFormat="1" ht="15.75" customHeight="1">
      <c r="A1039" s="285">
        <v>159</v>
      </c>
      <c r="B1039" s="329" t="s">
        <v>995</v>
      </c>
      <c r="C1039" s="803">
        <v>57.7</v>
      </c>
      <c r="D1039" s="391"/>
      <c r="E1039" s="804"/>
      <c r="F1039" s="330">
        <v>42.37</v>
      </c>
      <c r="G1039" s="644">
        <f t="shared" si="155"/>
        <v>57.7</v>
      </c>
      <c r="H1039" s="865">
        <v>0</v>
      </c>
      <c r="I1039" s="535">
        <v>0</v>
      </c>
      <c r="J1039" s="403">
        <f t="shared" si="153"/>
        <v>0</v>
      </c>
      <c r="K1039" s="403">
        <f t="shared" si="151"/>
        <v>0</v>
      </c>
      <c r="L1039" s="425">
        <f t="shared" si="150"/>
        <v>0</v>
      </c>
      <c r="M1039" s="177">
        <f t="shared" si="154"/>
        <v>0</v>
      </c>
      <c r="N1039" s="427">
        <f t="shared" si="152"/>
        <v>0</v>
      </c>
      <c r="O1039" s="427">
        <v>0</v>
      </c>
      <c r="P1039" s="177">
        <f t="shared" si="156"/>
        <v>0</v>
      </c>
      <c r="Q1039" s="177">
        <f t="shared" si="157"/>
        <v>0</v>
      </c>
      <c r="R1039" s="431">
        <f t="shared" si="158"/>
        <v>0</v>
      </c>
      <c r="S1039" s="468">
        <v>1</v>
      </c>
      <c r="T1039" s="127"/>
      <c r="U1039" s="127"/>
      <c r="V1039" s="127"/>
      <c r="W1039" s="127"/>
      <c r="X1039" s="127"/>
      <c r="Y1039" s="127"/>
    </row>
    <row r="1040" spans="1:25" s="6" customFormat="1" ht="15.75" customHeight="1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330">
        <v>170.5</v>
      </c>
      <c r="G1040" s="644">
        <f t="shared" si="155"/>
        <v>256.5</v>
      </c>
      <c r="H1040" s="865">
        <v>0</v>
      </c>
      <c r="I1040" s="535">
        <v>0</v>
      </c>
      <c r="J1040" s="403">
        <f t="shared" si="153"/>
        <v>0</v>
      </c>
      <c r="K1040" s="403">
        <f t="shared" si="151"/>
        <v>0</v>
      </c>
      <c r="L1040" s="425">
        <f t="shared" si="150"/>
        <v>0</v>
      </c>
      <c r="M1040" s="177">
        <f t="shared" si="154"/>
        <v>0</v>
      </c>
      <c r="N1040" s="427">
        <f t="shared" si="152"/>
        <v>0</v>
      </c>
      <c r="O1040" s="427">
        <v>0</v>
      </c>
      <c r="P1040" s="177">
        <f t="shared" si="156"/>
        <v>0</v>
      </c>
      <c r="Q1040" s="177">
        <f t="shared" si="157"/>
        <v>0</v>
      </c>
      <c r="R1040" s="431">
        <f t="shared" si="158"/>
        <v>0</v>
      </c>
      <c r="S1040" s="468">
        <v>1</v>
      </c>
      <c r="T1040" s="127"/>
      <c r="U1040" s="127"/>
      <c r="V1040" s="127"/>
      <c r="W1040" s="127"/>
      <c r="X1040" s="127"/>
      <c r="Y1040" s="127"/>
    </row>
    <row r="1041" spans="1:25" s="6" customFormat="1" ht="15.75" customHeight="1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330">
        <v>90.7</v>
      </c>
      <c r="G1041" s="644">
        <f t="shared" si="155"/>
        <v>118.5</v>
      </c>
      <c r="H1041" s="865">
        <v>0</v>
      </c>
      <c r="I1041" s="535">
        <v>0</v>
      </c>
      <c r="J1041" s="403">
        <f t="shared" si="153"/>
        <v>0</v>
      </c>
      <c r="K1041" s="403">
        <f t="shared" si="151"/>
        <v>0</v>
      </c>
      <c r="L1041" s="425">
        <f t="shared" si="150"/>
        <v>0</v>
      </c>
      <c r="M1041" s="177">
        <f t="shared" si="154"/>
        <v>0</v>
      </c>
      <c r="N1041" s="427">
        <f t="shared" si="152"/>
        <v>0</v>
      </c>
      <c r="O1041" s="427">
        <v>0</v>
      </c>
      <c r="P1041" s="177">
        <f t="shared" si="156"/>
        <v>0</v>
      </c>
      <c r="Q1041" s="177">
        <f t="shared" si="157"/>
        <v>0</v>
      </c>
      <c r="R1041" s="431">
        <f t="shared" si="158"/>
        <v>0</v>
      </c>
      <c r="S1041" s="468">
        <v>2</v>
      </c>
      <c r="T1041" s="127"/>
      <c r="U1041" s="127"/>
      <c r="V1041" s="127"/>
      <c r="W1041" s="127"/>
      <c r="X1041" s="127"/>
      <c r="Y1041" s="127"/>
    </row>
    <row r="1042" spans="1:25" s="6" customFormat="1" ht="15.75" customHeight="1">
      <c r="A1042" s="285">
        <v>162</v>
      </c>
      <c r="B1042" s="329" t="s">
        <v>998</v>
      </c>
      <c r="C1042" s="803">
        <v>142.1</v>
      </c>
      <c r="D1042" s="391"/>
      <c r="E1042" s="804"/>
      <c r="F1042" s="330">
        <v>142.1</v>
      </c>
      <c r="G1042" s="644">
        <f t="shared" si="155"/>
        <v>142.1</v>
      </c>
      <c r="H1042" s="865">
        <v>0</v>
      </c>
      <c r="I1042" s="535">
        <v>0</v>
      </c>
      <c r="J1042" s="403">
        <f t="shared" si="153"/>
        <v>0</v>
      </c>
      <c r="K1042" s="403">
        <f t="shared" si="151"/>
        <v>0</v>
      </c>
      <c r="L1042" s="425">
        <f t="shared" si="150"/>
        <v>0</v>
      </c>
      <c r="M1042" s="177">
        <f t="shared" si="154"/>
        <v>0</v>
      </c>
      <c r="N1042" s="427">
        <f t="shared" si="152"/>
        <v>0</v>
      </c>
      <c r="O1042" s="427">
        <v>0</v>
      </c>
      <c r="P1042" s="177">
        <f t="shared" si="156"/>
        <v>0</v>
      </c>
      <c r="Q1042" s="177">
        <f t="shared" si="157"/>
        <v>0</v>
      </c>
      <c r="R1042" s="431">
        <f t="shared" si="158"/>
        <v>0</v>
      </c>
      <c r="S1042" s="468">
        <v>2</v>
      </c>
      <c r="T1042" s="127"/>
      <c r="U1042" s="127"/>
      <c r="V1042" s="127"/>
      <c r="W1042" s="127"/>
      <c r="X1042" s="127"/>
      <c r="Y1042" s="127"/>
    </row>
    <row r="1043" spans="1:25" s="6" customFormat="1" ht="15.75" customHeight="1">
      <c r="A1043" s="285">
        <v>163</v>
      </c>
      <c r="B1043" s="329" t="s">
        <v>999</v>
      </c>
      <c r="C1043" s="803">
        <v>259.7</v>
      </c>
      <c r="D1043" s="391"/>
      <c r="E1043" s="804"/>
      <c r="F1043" s="330">
        <v>259.7</v>
      </c>
      <c r="G1043" s="644">
        <f t="shared" si="155"/>
        <v>259.7</v>
      </c>
      <c r="H1043" s="865">
        <v>0</v>
      </c>
      <c r="I1043" s="535">
        <v>0</v>
      </c>
      <c r="J1043" s="403">
        <f t="shared" si="153"/>
        <v>0</v>
      </c>
      <c r="K1043" s="403">
        <f t="shared" si="151"/>
        <v>0</v>
      </c>
      <c r="L1043" s="425">
        <f t="shared" si="150"/>
        <v>0</v>
      </c>
      <c r="M1043" s="177">
        <f t="shared" si="154"/>
        <v>0</v>
      </c>
      <c r="N1043" s="427">
        <f t="shared" si="152"/>
        <v>0</v>
      </c>
      <c r="O1043" s="427">
        <v>0</v>
      </c>
      <c r="P1043" s="177">
        <f t="shared" si="156"/>
        <v>0</v>
      </c>
      <c r="Q1043" s="177">
        <f t="shared" si="157"/>
        <v>0</v>
      </c>
      <c r="R1043" s="431">
        <f t="shared" si="158"/>
        <v>0</v>
      </c>
      <c r="S1043" s="468">
        <v>2</v>
      </c>
      <c r="T1043" s="127"/>
      <c r="U1043" s="127"/>
      <c r="V1043" s="127"/>
      <c r="W1043" s="127"/>
      <c r="X1043" s="127"/>
      <c r="Y1043" s="127"/>
    </row>
    <row r="1044" spans="1:25" s="6" customFormat="1" ht="15.75" customHeight="1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330">
        <v>204.3</v>
      </c>
      <c r="G1044" s="644">
        <f t="shared" si="155"/>
        <v>309.39999999999998</v>
      </c>
      <c r="H1044" s="865">
        <v>0</v>
      </c>
      <c r="I1044" s="535">
        <v>0</v>
      </c>
      <c r="J1044" s="403">
        <f t="shared" si="153"/>
        <v>0</v>
      </c>
      <c r="K1044" s="403">
        <f t="shared" si="151"/>
        <v>0</v>
      </c>
      <c r="L1044" s="425">
        <f t="shared" si="150"/>
        <v>0</v>
      </c>
      <c r="M1044" s="177">
        <f t="shared" si="154"/>
        <v>0</v>
      </c>
      <c r="N1044" s="427">
        <f t="shared" si="152"/>
        <v>0</v>
      </c>
      <c r="O1044" s="427">
        <v>0</v>
      </c>
      <c r="P1044" s="177">
        <f t="shared" si="156"/>
        <v>0</v>
      </c>
      <c r="Q1044" s="177">
        <f t="shared" si="157"/>
        <v>0</v>
      </c>
      <c r="R1044" s="431">
        <f t="shared" si="158"/>
        <v>0</v>
      </c>
      <c r="S1044" s="468">
        <v>2</v>
      </c>
      <c r="T1044" s="127"/>
      <c r="U1044" s="127"/>
      <c r="V1044" s="127"/>
      <c r="W1044" s="127"/>
      <c r="X1044" s="127"/>
      <c r="Y1044" s="127"/>
    </row>
    <row r="1045" spans="1:25" s="6" customFormat="1" ht="15.75" customHeight="1">
      <c r="A1045" s="285">
        <v>165</v>
      </c>
      <c r="B1045" s="329" t="s">
        <v>1001</v>
      </c>
      <c r="C1045" s="803">
        <v>432.1</v>
      </c>
      <c r="D1045" s="391"/>
      <c r="E1045" s="804"/>
      <c r="F1045" s="330">
        <v>432.1</v>
      </c>
      <c r="G1045" s="644">
        <f t="shared" si="155"/>
        <v>432.1</v>
      </c>
      <c r="H1045" s="865">
        <v>0</v>
      </c>
      <c r="I1045" s="535">
        <v>0</v>
      </c>
      <c r="J1045" s="403">
        <f t="shared" si="153"/>
        <v>0</v>
      </c>
      <c r="K1045" s="403">
        <f t="shared" si="151"/>
        <v>0</v>
      </c>
      <c r="L1045" s="425">
        <f t="shared" si="150"/>
        <v>0</v>
      </c>
      <c r="M1045" s="177">
        <f t="shared" si="154"/>
        <v>0</v>
      </c>
      <c r="N1045" s="427">
        <f t="shared" si="152"/>
        <v>0</v>
      </c>
      <c r="O1045" s="427">
        <v>0</v>
      </c>
      <c r="P1045" s="177">
        <f t="shared" si="156"/>
        <v>0</v>
      </c>
      <c r="Q1045" s="177">
        <f t="shared" si="157"/>
        <v>0</v>
      </c>
      <c r="R1045" s="431">
        <f t="shared" si="158"/>
        <v>0</v>
      </c>
      <c r="S1045" s="468">
        <v>1</v>
      </c>
      <c r="T1045" s="127"/>
      <c r="U1045" s="127"/>
      <c r="V1045" s="127"/>
      <c r="W1045" s="127"/>
      <c r="X1045" s="127"/>
      <c r="Y1045" s="127"/>
    </row>
    <row r="1046" spans="1:25" s="6" customFormat="1" ht="15.75" customHeight="1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330">
        <v>164.2</v>
      </c>
      <c r="G1046" s="644">
        <f t="shared" si="155"/>
        <v>241.89999999999998</v>
      </c>
      <c r="H1046" s="865">
        <v>0</v>
      </c>
      <c r="I1046" s="535">
        <v>0</v>
      </c>
      <c r="J1046" s="403">
        <f t="shared" si="153"/>
        <v>0</v>
      </c>
      <c r="K1046" s="403">
        <f t="shared" si="151"/>
        <v>0</v>
      </c>
      <c r="L1046" s="425">
        <f t="shared" si="150"/>
        <v>0</v>
      </c>
      <c r="M1046" s="177">
        <f t="shared" si="154"/>
        <v>0</v>
      </c>
      <c r="N1046" s="427">
        <f t="shared" si="152"/>
        <v>0</v>
      </c>
      <c r="O1046" s="427">
        <v>0</v>
      </c>
      <c r="P1046" s="177">
        <f t="shared" si="156"/>
        <v>0</v>
      </c>
      <c r="Q1046" s="177">
        <f t="shared" si="157"/>
        <v>0</v>
      </c>
      <c r="R1046" s="431">
        <f t="shared" si="158"/>
        <v>0</v>
      </c>
      <c r="S1046" s="468">
        <v>2</v>
      </c>
      <c r="T1046" s="127"/>
      <c r="U1046" s="127"/>
      <c r="V1046" s="127"/>
      <c r="W1046" s="127"/>
      <c r="X1046" s="127"/>
      <c r="Y1046" s="127"/>
    </row>
    <row r="1047" spans="1:25" s="6" customFormat="1" ht="15.75" customHeight="1">
      <c r="A1047" s="285">
        <v>167</v>
      </c>
      <c r="B1047" s="329" t="s">
        <v>1003</v>
      </c>
      <c r="C1047" s="803">
        <v>278.3</v>
      </c>
      <c r="D1047" s="391"/>
      <c r="E1047" s="804"/>
      <c r="F1047" s="330">
        <v>278.3</v>
      </c>
      <c r="G1047" s="644">
        <f t="shared" si="155"/>
        <v>278.3</v>
      </c>
      <c r="H1047" s="865">
        <v>0</v>
      </c>
      <c r="I1047" s="535">
        <v>0</v>
      </c>
      <c r="J1047" s="403">
        <f t="shared" si="153"/>
        <v>0</v>
      </c>
      <c r="K1047" s="403">
        <f t="shared" si="151"/>
        <v>0</v>
      </c>
      <c r="L1047" s="425">
        <f t="shared" si="150"/>
        <v>0</v>
      </c>
      <c r="M1047" s="177">
        <f t="shared" si="154"/>
        <v>0</v>
      </c>
      <c r="N1047" s="427">
        <f t="shared" si="152"/>
        <v>0</v>
      </c>
      <c r="O1047" s="427">
        <v>0</v>
      </c>
      <c r="P1047" s="177">
        <f t="shared" si="156"/>
        <v>0</v>
      </c>
      <c r="Q1047" s="177">
        <f t="shared" si="157"/>
        <v>0</v>
      </c>
      <c r="R1047" s="431">
        <f t="shared" si="158"/>
        <v>0</v>
      </c>
      <c r="S1047" s="468">
        <v>2</v>
      </c>
      <c r="T1047" s="127"/>
      <c r="U1047" s="127"/>
      <c r="V1047" s="127"/>
      <c r="W1047" s="127"/>
      <c r="X1047" s="127"/>
      <c r="Y1047" s="127"/>
    </row>
    <row r="1048" spans="1:25" s="6" customFormat="1" ht="15.75" customHeight="1">
      <c r="A1048" s="285">
        <v>168</v>
      </c>
      <c r="B1048" s="329" t="s">
        <v>1004</v>
      </c>
      <c r="C1048" s="806">
        <v>150</v>
      </c>
      <c r="D1048" s="391"/>
      <c r="E1048" s="804"/>
      <c r="F1048" s="330">
        <v>149.4</v>
      </c>
      <c r="G1048" s="644">
        <f t="shared" si="155"/>
        <v>150</v>
      </c>
      <c r="H1048" s="865">
        <v>0</v>
      </c>
      <c r="I1048" s="535">
        <v>0</v>
      </c>
      <c r="J1048" s="403">
        <f t="shared" si="153"/>
        <v>0</v>
      </c>
      <c r="K1048" s="403">
        <f t="shared" si="151"/>
        <v>0</v>
      </c>
      <c r="L1048" s="425">
        <f t="shared" si="150"/>
        <v>0</v>
      </c>
      <c r="M1048" s="177">
        <f t="shared" si="154"/>
        <v>0</v>
      </c>
      <c r="N1048" s="427">
        <f t="shared" si="152"/>
        <v>0</v>
      </c>
      <c r="O1048" s="427">
        <v>0</v>
      </c>
      <c r="P1048" s="177">
        <f t="shared" si="156"/>
        <v>0</v>
      </c>
      <c r="Q1048" s="177">
        <f t="shared" si="157"/>
        <v>0</v>
      </c>
      <c r="R1048" s="431">
        <f t="shared" si="158"/>
        <v>0</v>
      </c>
      <c r="S1048" s="468">
        <v>2</v>
      </c>
      <c r="T1048" s="127"/>
      <c r="U1048" s="127"/>
      <c r="V1048" s="127"/>
      <c r="W1048" s="127"/>
      <c r="X1048" s="127"/>
      <c r="Y1048" s="127"/>
    </row>
    <row r="1049" spans="1:25" s="6" customFormat="1" ht="15.75" customHeight="1">
      <c r="A1049" s="285">
        <v>169</v>
      </c>
      <c r="B1049" s="329" t="s">
        <v>1005</v>
      </c>
      <c r="C1049" s="803">
        <v>140.6</v>
      </c>
      <c r="D1049" s="391"/>
      <c r="E1049" s="804"/>
      <c r="F1049" s="330">
        <v>141.80000000000001</v>
      </c>
      <c r="G1049" s="644">
        <f t="shared" si="155"/>
        <v>140.6</v>
      </c>
      <c r="H1049" s="865">
        <v>0</v>
      </c>
      <c r="I1049" s="535">
        <v>0</v>
      </c>
      <c r="J1049" s="403">
        <f t="shared" si="153"/>
        <v>0</v>
      </c>
      <c r="K1049" s="403">
        <f t="shared" si="151"/>
        <v>0</v>
      </c>
      <c r="L1049" s="425">
        <f t="shared" si="150"/>
        <v>0</v>
      </c>
      <c r="M1049" s="177">
        <f t="shared" si="154"/>
        <v>0</v>
      </c>
      <c r="N1049" s="427">
        <f t="shared" si="152"/>
        <v>0</v>
      </c>
      <c r="O1049" s="427">
        <v>0</v>
      </c>
      <c r="P1049" s="177">
        <f t="shared" si="156"/>
        <v>0</v>
      </c>
      <c r="Q1049" s="177">
        <f t="shared" si="157"/>
        <v>0</v>
      </c>
      <c r="R1049" s="431">
        <f t="shared" si="158"/>
        <v>0</v>
      </c>
      <c r="S1049" s="468">
        <v>2</v>
      </c>
      <c r="T1049" s="127"/>
      <c r="U1049" s="127"/>
      <c r="V1049" s="127"/>
      <c r="W1049" s="127"/>
      <c r="X1049" s="127"/>
      <c r="Y1049" s="127"/>
    </row>
    <row r="1050" spans="1:25" s="6" customFormat="1" ht="15.75" customHeight="1">
      <c r="A1050" s="285">
        <v>170</v>
      </c>
      <c r="B1050" s="329" t="s">
        <v>1006</v>
      </c>
      <c r="C1050" s="803">
        <v>209.1</v>
      </c>
      <c r="D1050" s="391"/>
      <c r="E1050" s="804"/>
      <c r="F1050" s="330">
        <v>207.6</v>
      </c>
      <c r="G1050" s="644">
        <f t="shared" si="155"/>
        <v>209.1</v>
      </c>
      <c r="H1050" s="865">
        <v>0</v>
      </c>
      <c r="I1050" s="535">
        <v>0</v>
      </c>
      <c r="J1050" s="403">
        <f t="shared" si="153"/>
        <v>0</v>
      </c>
      <c r="K1050" s="403">
        <f t="shared" si="151"/>
        <v>0</v>
      </c>
      <c r="L1050" s="425">
        <f t="shared" si="150"/>
        <v>0</v>
      </c>
      <c r="M1050" s="177">
        <f t="shared" si="154"/>
        <v>0</v>
      </c>
      <c r="N1050" s="427">
        <f t="shared" si="152"/>
        <v>0</v>
      </c>
      <c r="O1050" s="427">
        <v>0</v>
      </c>
      <c r="P1050" s="177">
        <f t="shared" si="156"/>
        <v>0</v>
      </c>
      <c r="Q1050" s="177">
        <f t="shared" si="157"/>
        <v>0</v>
      </c>
      <c r="R1050" s="431">
        <f t="shared" si="158"/>
        <v>0</v>
      </c>
      <c r="S1050" s="468">
        <v>2</v>
      </c>
      <c r="T1050" s="127"/>
      <c r="U1050" s="127"/>
      <c r="V1050" s="127"/>
      <c r="W1050" s="127"/>
      <c r="X1050" s="127"/>
      <c r="Y1050" s="127"/>
    </row>
    <row r="1051" spans="1:25" s="6" customFormat="1" ht="15.75" customHeight="1">
      <c r="A1051" s="285">
        <v>171</v>
      </c>
      <c r="B1051" s="329" t="s">
        <v>1007</v>
      </c>
      <c r="C1051" s="803">
        <v>463.5</v>
      </c>
      <c r="D1051" s="391"/>
      <c r="E1051" s="804"/>
      <c r="F1051" s="330">
        <v>463.5</v>
      </c>
      <c r="G1051" s="644">
        <f t="shared" si="155"/>
        <v>463.5</v>
      </c>
      <c r="H1051" s="865">
        <v>0</v>
      </c>
      <c r="I1051" s="535">
        <v>0</v>
      </c>
      <c r="J1051" s="403">
        <f t="shared" si="153"/>
        <v>0</v>
      </c>
      <c r="K1051" s="403">
        <f t="shared" si="151"/>
        <v>0</v>
      </c>
      <c r="L1051" s="425">
        <f t="shared" si="150"/>
        <v>0</v>
      </c>
      <c r="M1051" s="177">
        <f t="shared" si="154"/>
        <v>0</v>
      </c>
      <c r="N1051" s="427">
        <f t="shared" si="152"/>
        <v>0</v>
      </c>
      <c r="O1051" s="427">
        <v>0</v>
      </c>
      <c r="P1051" s="177">
        <f t="shared" si="156"/>
        <v>0</v>
      </c>
      <c r="Q1051" s="177">
        <f t="shared" si="157"/>
        <v>0</v>
      </c>
      <c r="R1051" s="431">
        <f t="shared" si="158"/>
        <v>0</v>
      </c>
      <c r="S1051" s="468">
        <v>2</v>
      </c>
      <c r="T1051" s="127"/>
      <c r="U1051" s="127"/>
      <c r="V1051" s="127"/>
      <c r="W1051" s="127"/>
      <c r="X1051" s="127"/>
      <c r="Y1051" s="127"/>
    </row>
    <row r="1052" spans="1:25" s="6" customFormat="1" ht="15.75" customHeight="1">
      <c r="A1052" s="285">
        <v>172</v>
      </c>
      <c r="B1052" s="329" t="s">
        <v>1008</v>
      </c>
      <c r="C1052" s="803">
        <v>126</v>
      </c>
      <c r="D1052" s="391"/>
      <c r="E1052" s="804"/>
      <c r="F1052" s="330">
        <v>127</v>
      </c>
      <c r="G1052" s="644">
        <f t="shared" si="155"/>
        <v>126</v>
      </c>
      <c r="H1052" s="865">
        <v>0</v>
      </c>
      <c r="I1052" s="535">
        <v>0</v>
      </c>
      <c r="J1052" s="403">
        <f t="shared" si="153"/>
        <v>0</v>
      </c>
      <c r="K1052" s="403">
        <f t="shared" si="151"/>
        <v>0</v>
      </c>
      <c r="L1052" s="425">
        <f t="shared" si="150"/>
        <v>0</v>
      </c>
      <c r="M1052" s="177">
        <f t="shared" si="154"/>
        <v>0</v>
      </c>
      <c r="N1052" s="427">
        <f t="shared" si="152"/>
        <v>0</v>
      </c>
      <c r="O1052" s="427">
        <v>0</v>
      </c>
      <c r="P1052" s="177">
        <f t="shared" si="156"/>
        <v>0</v>
      </c>
      <c r="Q1052" s="177">
        <f t="shared" si="157"/>
        <v>0</v>
      </c>
      <c r="R1052" s="431">
        <f t="shared" si="158"/>
        <v>0</v>
      </c>
      <c r="S1052" s="468">
        <v>2</v>
      </c>
      <c r="T1052" s="127"/>
      <c r="U1052" s="127"/>
      <c r="V1052" s="127"/>
      <c r="W1052" s="127"/>
      <c r="X1052" s="127"/>
      <c r="Y1052" s="127"/>
    </row>
    <row r="1053" spans="1:25" s="6" customFormat="1" ht="15.75" customHeight="1">
      <c r="A1053" s="285">
        <v>173</v>
      </c>
      <c r="B1053" s="329" t="s">
        <v>1009</v>
      </c>
      <c r="C1053" s="803">
        <v>725.1</v>
      </c>
      <c r="D1053" s="391"/>
      <c r="E1053" s="804"/>
      <c r="F1053" s="330">
        <v>703.6</v>
      </c>
      <c r="G1053" s="644">
        <f t="shared" si="155"/>
        <v>725.1</v>
      </c>
      <c r="H1053" s="865">
        <v>0</v>
      </c>
      <c r="I1053" s="535">
        <v>0</v>
      </c>
      <c r="J1053" s="403">
        <f t="shared" si="153"/>
        <v>0</v>
      </c>
      <c r="K1053" s="403">
        <f t="shared" si="151"/>
        <v>0</v>
      </c>
      <c r="L1053" s="425">
        <f t="shared" si="150"/>
        <v>0</v>
      </c>
      <c r="M1053" s="177">
        <f t="shared" si="154"/>
        <v>0</v>
      </c>
      <c r="N1053" s="427">
        <f t="shared" si="152"/>
        <v>0</v>
      </c>
      <c r="O1053" s="427">
        <v>0</v>
      </c>
      <c r="P1053" s="177">
        <f t="shared" si="156"/>
        <v>0</v>
      </c>
      <c r="Q1053" s="177">
        <f t="shared" si="157"/>
        <v>0</v>
      </c>
      <c r="R1053" s="431">
        <f t="shared" si="158"/>
        <v>0</v>
      </c>
      <c r="S1053" s="468">
        <v>1</v>
      </c>
      <c r="T1053" s="127"/>
      <c r="U1053" s="127"/>
      <c r="V1053" s="127"/>
      <c r="W1053" s="127"/>
      <c r="X1053" s="127"/>
      <c r="Y1053" s="127"/>
    </row>
    <row r="1054" spans="1:25" s="6" customFormat="1" ht="15.75" customHeight="1">
      <c r="A1054" s="285">
        <v>174</v>
      </c>
      <c r="B1054" s="329" t="s">
        <v>1359</v>
      </c>
      <c r="C1054" s="803">
        <v>466.88</v>
      </c>
      <c r="D1054" s="391"/>
      <c r="E1054" s="804"/>
      <c r="F1054" s="330"/>
      <c r="G1054" s="644">
        <f t="shared" si="155"/>
        <v>466.88</v>
      </c>
      <c r="H1054" s="865">
        <v>0</v>
      </c>
      <c r="I1054" s="330">
        <v>0</v>
      </c>
      <c r="J1054" s="403">
        <f t="shared" si="153"/>
        <v>0</v>
      </c>
      <c r="K1054" s="403">
        <f t="shared" si="151"/>
        <v>0</v>
      </c>
      <c r="L1054" s="425">
        <f t="shared" si="150"/>
        <v>0</v>
      </c>
      <c r="M1054" s="177">
        <f t="shared" si="154"/>
        <v>0</v>
      </c>
      <c r="N1054" s="427">
        <f t="shared" si="152"/>
        <v>0</v>
      </c>
      <c r="O1054" s="427">
        <v>0</v>
      </c>
      <c r="P1054" s="177">
        <f t="shared" si="156"/>
        <v>0</v>
      </c>
      <c r="Q1054" s="177">
        <f t="shared" si="157"/>
        <v>0</v>
      </c>
      <c r="R1054" s="431">
        <f t="shared" si="158"/>
        <v>0</v>
      </c>
      <c r="S1054" s="468">
        <v>3</v>
      </c>
      <c r="T1054" s="127"/>
      <c r="U1054" s="127"/>
      <c r="V1054" s="127"/>
      <c r="W1054" s="127"/>
      <c r="X1054" s="127"/>
      <c r="Y1054" s="127"/>
    </row>
    <row r="1055" spans="1:25" s="6" customFormat="1" ht="15.75" customHeight="1">
      <c r="A1055" s="285">
        <v>175</v>
      </c>
      <c r="B1055" s="329" t="s">
        <v>1010</v>
      </c>
      <c r="C1055" s="803">
        <v>138.1</v>
      </c>
      <c r="D1055" s="391"/>
      <c r="E1055" s="804"/>
      <c r="F1055" s="330">
        <v>138.6</v>
      </c>
      <c r="G1055" s="644">
        <f t="shared" si="155"/>
        <v>138.1</v>
      </c>
      <c r="H1055" s="865">
        <v>0</v>
      </c>
      <c r="I1055" s="535">
        <v>0</v>
      </c>
      <c r="J1055" s="403">
        <f t="shared" si="153"/>
        <v>0</v>
      </c>
      <c r="K1055" s="403">
        <f t="shared" si="151"/>
        <v>0</v>
      </c>
      <c r="L1055" s="425">
        <f t="shared" si="150"/>
        <v>0</v>
      </c>
      <c r="M1055" s="177">
        <f t="shared" si="154"/>
        <v>0</v>
      </c>
      <c r="N1055" s="427">
        <f t="shared" si="152"/>
        <v>0</v>
      </c>
      <c r="O1055" s="427">
        <v>0</v>
      </c>
      <c r="P1055" s="177">
        <f t="shared" si="156"/>
        <v>0</v>
      </c>
      <c r="Q1055" s="177">
        <f t="shared" si="157"/>
        <v>0</v>
      </c>
      <c r="R1055" s="431">
        <f t="shared" si="158"/>
        <v>0</v>
      </c>
      <c r="S1055" s="468">
        <v>4</v>
      </c>
      <c r="T1055" s="127"/>
      <c r="U1055" s="127"/>
      <c r="V1055" s="127"/>
      <c r="W1055" s="127"/>
      <c r="X1055" s="127"/>
      <c r="Y1055" s="127"/>
    </row>
    <row r="1056" spans="1:25" s="6" customFormat="1" ht="15.75" customHeight="1">
      <c r="A1056" s="285">
        <v>176</v>
      </c>
      <c r="B1056" s="329" t="s">
        <v>1011</v>
      </c>
      <c r="C1056" s="803">
        <v>139.30000000000001</v>
      </c>
      <c r="D1056" s="391"/>
      <c r="E1056" s="804"/>
      <c r="F1056" s="330">
        <v>139.30000000000001</v>
      </c>
      <c r="G1056" s="644">
        <f t="shared" si="155"/>
        <v>139.30000000000001</v>
      </c>
      <c r="H1056" s="865">
        <v>0</v>
      </c>
      <c r="I1056" s="535">
        <v>0</v>
      </c>
      <c r="J1056" s="403">
        <f t="shared" si="153"/>
        <v>0</v>
      </c>
      <c r="K1056" s="403">
        <f t="shared" si="151"/>
        <v>0</v>
      </c>
      <c r="L1056" s="425">
        <f t="shared" si="150"/>
        <v>0</v>
      </c>
      <c r="M1056" s="177">
        <f t="shared" si="154"/>
        <v>0</v>
      </c>
      <c r="N1056" s="427">
        <f t="shared" si="152"/>
        <v>0</v>
      </c>
      <c r="O1056" s="427">
        <v>0</v>
      </c>
      <c r="P1056" s="177">
        <f t="shared" si="156"/>
        <v>0</v>
      </c>
      <c r="Q1056" s="177">
        <f t="shared" si="157"/>
        <v>0</v>
      </c>
      <c r="R1056" s="431">
        <f t="shared" si="158"/>
        <v>0</v>
      </c>
      <c r="S1056" s="468">
        <v>4</v>
      </c>
      <c r="T1056" s="127"/>
      <c r="U1056" s="127"/>
      <c r="V1056" s="127"/>
      <c r="W1056" s="127"/>
      <c r="X1056" s="127"/>
      <c r="Y1056" s="127"/>
    </row>
    <row r="1057" spans="1:25" s="6" customFormat="1" ht="15.75" customHeight="1">
      <c r="A1057" s="285">
        <v>177</v>
      </c>
      <c r="B1057" s="329" t="s">
        <v>1012</v>
      </c>
      <c r="C1057" s="803">
        <v>807</v>
      </c>
      <c r="D1057" s="391"/>
      <c r="E1057" s="804"/>
      <c r="F1057" s="330">
        <v>805.3</v>
      </c>
      <c r="G1057" s="644">
        <f t="shared" si="155"/>
        <v>807</v>
      </c>
      <c r="H1057" s="865">
        <v>90</v>
      </c>
      <c r="I1057" s="330">
        <v>0</v>
      </c>
      <c r="J1057" s="403">
        <f t="shared" si="153"/>
        <v>90</v>
      </c>
      <c r="K1057" s="403">
        <f t="shared" si="151"/>
        <v>90</v>
      </c>
      <c r="L1057" s="425">
        <f t="shared" si="150"/>
        <v>0.10714285714285714</v>
      </c>
      <c r="M1057" s="177">
        <f t="shared" si="154"/>
        <v>216.10821428571427</v>
      </c>
      <c r="N1057" s="427">
        <f t="shared" si="152"/>
        <v>79.462990392857137</v>
      </c>
      <c r="O1057" s="427">
        <v>83.48035714285713</v>
      </c>
      <c r="P1057" s="177">
        <f t="shared" si="156"/>
        <v>5.7718285714285722</v>
      </c>
      <c r="Q1057" s="177">
        <f t="shared" si="157"/>
        <v>7.03585902857143</v>
      </c>
      <c r="R1057" s="431">
        <f t="shared" si="158"/>
        <v>0.47685674150292084</v>
      </c>
      <c r="S1057" s="468">
        <v>3</v>
      </c>
      <c r="T1057" s="127"/>
      <c r="U1057" s="127"/>
      <c r="V1057" s="127"/>
      <c r="W1057" s="127"/>
      <c r="X1057" s="127"/>
      <c r="Y1057" s="127"/>
    </row>
    <row r="1058" spans="1:25" s="6" customFormat="1" ht="15.75" customHeight="1">
      <c r="A1058" s="285">
        <v>178</v>
      </c>
      <c r="B1058" s="329" t="s">
        <v>1013</v>
      </c>
      <c r="C1058" s="803">
        <v>1555.2</v>
      </c>
      <c r="D1058" s="391"/>
      <c r="E1058" s="804"/>
      <c r="F1058" s="330">
        <v>1551.3</v>
      </c>
      <c r="G1058" s="644">
        <f t="shared" si="155"/>
        <v>1555.2</v>
      </c>
      <c r="H1058" s="868">
        <v>175</v>
      </c>
      <c r="I1058" s="330">
        <v>0</v>
      </c>
      <c r="J1058" s="403">
        <f t="shared" si="153"/>
        <v>175</v>
      </c>
      <c r="K1058" s="403">
        <f t="shared" si="151"/>
        <v>175</v>
      </c>
      <c r="L1058" s="425">
        <f t="shared" si="150"/>
        <v>0.20833333333333334</v>
      </c>
      <c r="M1058" s="177">
        <f t="shared" si="154"/>
        <v>420.21041666666667</v>
      </c>
      <c r="N1058" s="427">
        <f t="shared" si="152"/>
        <v>154.51137020833335</v>
      </c>
      <c r="O1058" s="427">
        <v>162.32291666666666</v>
      </c>
      <c r="P1058" s="177">
        <f t="shared" si="156"/>
        <v>11.223000000000001</v>
      </c>
      <c r="Q1058" s="177">
        <f t="shared" si="157"/>
        <v>13.680837000000002</v>
      </c>
      <c r="R1058" s="431">
        <f t="shared" si="158"/>
        <v>0.48113921266825271</v>
      </c>
      <c r="S1058" s="468">
        <v>3</v>
      </c>
      <c r="T1058" s="127"/>
      <c r="U1058" s="127"/>
      <c r="V1058" s="127"/>
      <c r="W1058" s="127"/>
      <c r="X1058" s="127"/>
      <c r="Y1058" s="127"/>
    </row>
    <row r="1059" spans="1:25" s="6" customFormat="1" ht="15.75" customHeight="1">
      <c r="A1059" s="285">
        <v>179</v>
      </c>
      <c r="B1059" s="329" t="s">
        <v>1014</v>
      </c>
      <c r="C1059" s="803">
        <v>1514.3</v>
      </c>
      <c r="D1059" s="391"/>
      <c r="E1059" s="804"/>
      <c r="F1059" s="330">
        <v>1512.7</v>
      </c>
      <c r="G1059" s="644">
        <f t="shared" si="155"/>
        <v>1514.3</v>
      </c>
      <c r="H1059" s="868">
        <v>130</v>
      </c>
      <c r="I1059" s="330">
        <v>0</v>
      </c>
      <c r="J1059" s="403">
        <f t="shared" si="153"/>
        <v>130</v>
      </c>
      <c r="K1059" s="403">
        <f t="shared" si="151"/>
        <v>130</v>
      </c>
      <c r="L1059" s="425">
        <f t="shared" si="150"/>
        <v>0.15476190476190477</v>
      </c>
      <c r="M1059" s="177">
        <f t="shared" si="154"/>
        <v>312.15630952380951</v>
      </c>
      <c r="N1059" s="427">
        <f t="shared" si="152"/>
        <v>114.77987501190476</v>
      </c>
      <c r="O1059" s="427">
        <v>120.5827380952381</v>
      </c>
      <c r="P1059" s="177">
        <f t="shared" si="156"/>
        <v>8.3370857142857151</v>
      </c>
      <c r="Q1059" s="177">
        <f t="shared" si="157"/>
        <v>10.162907485714287</v>
      </c>
      <c r="R1059" s="431">
        <f t="shared" si="158"/>
        <v>0.3670712595557275</v>
      </c>
      <c r="S1059" s="468">
        <v>3</v>
      </c>
      <c r="T1059" s="127"/>
      <c r="U1059" s="127"/>
      <c r="V1059" s="127"/>
      <c r="W1059" s="127"/>
      <c r="X1059" s="127"/>
      <c r="Y1059" s="127"/>
    </row>
    <row r="1060" spans="1:25" s="6" customFormat="1" ht="15.75" customHeight="1">
      <c r="A1060" s="285">
        <v>180</v>
      </c>
      <c r="B1060" s="329" t="s">
        <v>1015</v>
      </c>
      <c r="C1060" s="806">
        <v>394</v>
      </c>
      <c r="D1060" s="391"/>
      <c r="E1060" s="804"/>
      <c r="F1060" s="330">
        <v>394</v>
      </c>
      <c r="G1060" s="644">
        <f t="shared" si="155"/>
        <v>394</v>
      </c>
      <c r="H1060" s="865">
        <v>22</v>
      </c>
      <c r="I1060" s="330">
        <v>0</v>
      </c>
      <c r="J1060" s="403">
        <f t="shared" si="153"/>
        <v>22</v>
      </c>
      <c r="K1060" s="403">
        <f t="shared" si="151"/>
        <v>22</v>
      </c>
      <c r="L1060" s="425">
        <f t="shared" ref="L1060:L1122" si="159">(H1060/840)+(I1060/756)</f>
        <v>2.6190476190476191E-2</v>
      </c>
      <c r="M1060" s="177">
        <f t="shared" si="154"/>
        <v>52.826452380952382</v>
      </c>
      <c r="N1060" s="427">
        <f t="shared" si="152"/>
        <v>19.424286540476192</v>
      </c>
      <c r="O1060" s="427">
        <v>20.406309523809522</v>
      </c>
      <c r="P1060" s="177">
        <f t="shared" si="156"/>
        <v>1.4108914285714287</v>
      </c>
      <c r="Q1060" s="177">
        <f t="shared" si="157"/>
        <v>1.7198766514285717</v>
      </c>
      <c r="R1060" s="431">
        <f t="shared" si="158"/>
        <v>0.23875111643098867</v>
      </c>
      <c r="S1060" s="468">
        <v>3</v>
      </c>
      <c r="T1060" s="127"/>
      <c r="U1060" s="127"/>
      <c r="V1060" s="127"/>
      <c r="W1060" s="127"/>
      <c r="X1060" s="127"/>
      <c r="Y1060" s="127"/>
    </row>
    <row r="1061" spans="1:25" s="6" customFormat="1" ht="15.75" customHeight="1">
      <c r="A1061" s="285">
        <v>181</v>
      </c>
      <c r="B1061" s="329" t="s">
        <v>1360</v>
      </c>
      <c r="C1061" s="803">
        <v>572.5</v>
      </c>
      <c r="D1061" s="391"/>
      <c r="E1061" s="804"/>
      <c r="F1061" s="330">
        <v>558.79999999999995</v>
      </c>
      <c r="G1061" s="644">
        <f t="shared" si="155"/>
        <v>572.5</v>
      </c>
      <c r="H1061" s="865">
        <v>106</v>
      </c>
      <c r="I1061" s="330">
        <v>0</v>
      </c>
      <c r="J1061" s="403">
        <f t="shared" si="153"/>
        <v>106</v>
      </c>
      <c r="K1061" s="403">
        <f t="shared" si="151"/>
        <v>106</v>
      </c>
      <c r="L1061" s="425">
        <f t="shared" si="159"/>
        <v>0.12619047619047619</v>
      </c>
      <c r="M1061" s="177">
        <f t="shared" si="154"/>
        <v>254.52745238095238</v>
      </c>
      <c r="N1061" s="427">
        <f t="shared" si="152"/>
        <v>93.589744240476193</v>
      </c>
      <c r="O1061" s="427">
        <v>98.321309523809518</v>
      </c>
      <c r="P1061" s="177">
        <f t="shared" si="156"/>
        <v>6.7979314285714292</v>
      </c>
      <c r="Q1061" s="177">
        <f t="shared" si="157"/>
        <v>8.2866784114285732</v>
      </c>
      <c r="R1061" s="431">
        <f t="shared" si="158"/>
        <v>0.79167936694115193</v>
      </c>
      <c r="S1061" s="468">
        <v>3</v>
      </c>
      <c r="T1061" s="127"/>
      <c r="U1061" s="127"/>
      <c r="V1061" s="127"/>
      <c r="W1061" s="127"/>
      <c r="X1061" s="127"/>
      <c r="Y1061" s="127"/>
    </row>
    <row r="1062" spans="1:25" s="6" customFormat="1" ht="15.75" customHeight="1">
      <c r="A1062" s="285">
        <v>182</v>
      </c>
      <c r="B1062" s="329" t="s">
        <v>1016</v>
      </c>
      <c r="C1062" s="803">
        <v>351.9</v>
      </c>
      <c r="D1062" s="391"/>
      <c r="E1062" s="804"/>
      <c r="F1062" s="330">
        <v>351.9</v>
      </c>
      <c r="G1062" s="644">
        <f t="shared" si="155"/>
        <v>351.9</v>
      </c>
      <c r="H1062" s="865">
        <v>39</v>
      </c>
      <c r="I1062" s="330">
        <v>0</v>
      </c>
      <c r="J1062" s="403">
        <f t="shared" si="153"/>
        <v>39</v>
      </c>
      <c r="K1062" s="403">
        <f t="shared" ref="K1062:K1124" si="160">I1062+J1062</f>
        <v>39</v>
      </c>
      <c r="L1062" s="425">
        <f t="shared" si="159"/>
        <v>4.642857142857143E-2</v>
      </c>
      <c r="M1062" s="177">
        <f t="shared" si="154"/>
        <v>93.646892857142859</v>
      </c>
      <c r="N1062" s="427">
        <f t="shared" ref="N1062:N1124" si="161">M1062*0.3677</f>
        <v>34.433962503571429</v>
      </c>
      <c r="O1062" s="427">
        <v>36.174821428571427</v>
      </c>
      <c r="P1062" s="177">
        <f t="shared" si="156"/>
        <v>2.5011257142857146</v>
      </c>
      <c r="Q1062" s="177">
        <f t="shared" si="157"/>
        <v>3.0488722457142865</v>
      </c>
      <c r="R1062" s="431">
        <f t="shared" si="158"/>
        <v>0.47387553993626436</v>
      </c>
      <c r="S1062" s="468">
        <v>3</v>
      </c>
      <c r="T1062" s="127"/>
      <c r="U1062" s="127"/>
      <c r="V1062" s="127"/>
      <c r="W1062" s="127"/>
      <c r="X1062" s="127"/>
      <c r="Y1062" s="127"/>
    </row>
    <row r="1063" spans="1:25" s="6" customFormat="1" ht="15.75" customHeight="1">
      <c r="A1063" s="285">
        <v>183</v>
      </c>
      <c r="B1063" s="329" t="s">
        <v>1017</v>
      </c>
      <c r="C1063" s="803">
        <v>449.4</v>
      </c>
      <c r="D1063" s="391"/>
      <c r="E1063" s="804"/>
      <c r="F1063" s="330">
        <v>452.5</v>
      </c>
      <c r="G1063" s="644">
        <f t="shared" si="155"/>
        <v>449.4</v>
      </c>
      <c r="H1063" s="865">
        <v>46</v>
      </c>
      <c r="I1063" s="330">
        <v>0</v>
      </c>
      <c r="J1063" s="403">
        <f t="shared" ref="J1063:J1125" si="162">H1063+I1063</f>
        <v>46</v>
      </c>
      <c r="K1063" s="403">
        <f t="shared" si="160"/>
        <v>46</v>
      </c>
      <c r="L1063" s="425">
        <f t="shared" si="159"/>
        <v>5.4761904761904762E-2</v>
      </c>
      <c r="M1063" s="177">
        <f t="shared" si="154"/>
        <v>110.45530952380952</v>
      </c>
      <c r="N1063" s="427">
        <f t="shared" si="161"/>
        <v>40.614417311904759</v>
      </c>
      <c r="O1063" s="427">
        <v>42.667738095238093</v>
      </c>
      <c r="P1063" s="177">
        <f t="shared" si="156"/>
        <v>2.9500457142857144</v>
      </c>
      <c r="Q1063" s="177">
        <f t="shared" si="157"/>
        <v>3.5961057257142861</v>
      </c>
      <c r="R1063" s="431">
        <f t="shared" si="158"/>
        <v>0.43766691287324899</v>
      </c>
      <c r="S1063" s="468">
        <v>2</v>
      </c>
      <c r="T1063" s="127"/>
      <c r="U1063" s="127"/>
      <c r="V1063" s="127"/>
      <c r="W1063" s="127"/>
      <c r="X1063" s="127"/>
      <c r="Y1063" s="127"/>
    </row>
    <row r="1064" spans="1:25" s="6" customFormat="1" ht="15.75" customHeight="1">
      <c r="A1064" s="285">
        <v>184</v>
      </c>
      <c r="B1064" s="329" t="s">
        <v>1018</v>
      </c>
      <c r="C1064" s="803">
        <v>1394.3</v>
      </c>
      <c r="D1064" s="391"/>
      <c r="E1064" s="804"/>
      <c r="F1064" s="330">
        <v>1393.7</v>
      </c>
      <c r="G1064" s="644">
        <f t="shared" si="155"/>
        <v>1394.3</v>
      </c>
      <c r="H1064" s="865">
        <v>126</v>
      </c>
      <c r="I1064" s="330">
        <v>0</v>
      </c>
      <c r="J1064" s="403">
        <f t="shared" si="162"/>
        <v>126</v>
      </c>
      <c r="K1064" s="403">
        <f t="shared" si="160"/>
        <v>126</v>
      </c>
      <c r="L1064" s="425">
        <f t="shared" si="159"/>
        <v>0.15</v>
      </c>
      <c r="M1064" s="177">
        <f t="shared" si="154"/>
        <v>302.55149999999998</v>
      </c>
      <c r="N1064" s="427">
        <f t="shared" si="161"/>
        <v>111.24818655</v>
      </c>
      <c r="O1064" s="427">
        <v>116.8725</v>
      </c>
      <c r="P1064" s="177">
        <f t="shared" si="156"/>
        <v>8.0805600000000002</v>
      </c>
      <c r="Q1064" s="177">
        <f t="shared" si="157"/>
        <v>9.8502026400000009</v>
      </c>
      <c r="R1064" s="431">
        <f t="shared" si="158"/>
        <v>0.38639657645413467</v>
      </c>
      <c r="S1064" s="468">
        <v>3</v>
      </c>
      <c r="T1064" s="127"/>
      <c r="U1064" s="127"/>
      <c r="V1064" s="127"/>
      <c r="W1064" s="127"/>
      <c r="X1064" s="127"/>
      <c r="Y1064" s="127"/>
    </row>
    <row r="1065" spans="1:25" s="6" customFormat="1" ht="15.75" customHeight="1">
      <c r="A1065" s="285">
        <v>185</v>
      </c>
      <c r="B1065" s="329" t="s">
        <v>1019</v>
      </c>
      <c r="C1065" s="803">
        <v>398.7</v>
      </c>
      <c r="D1065" s="391"/>
      <c r="E1065" s="804"/>
      <c r="F1065" s="330">
        <v>398.7</v>
      </c>
      <c r="G1065" s="644">
        <f t="shared" si="155"/>
        <v>398.7</v>
      </c>
      <c r="H1065" s="865">
        <v>48</v>
      </c>
      <c r="I1065" s="330">
        <v>0</v>
      </c>
      <c r="J1065" s="403">
        <f t="shared" si="162"/>
        <v>48</v>
      </c>
      <c r="K1065" s="403">
        <f t="shared" si="160"/>
        <v>48</v>
      </c>
      <c r="L1065" s="425">
        <f t="shared" si="159"/>
        <v>5.7142857142857141E-2</v>
      </c>
      <c r="M1065" s="177">
        <f t="shared" si="154"/>
        <v>115.25771428571429</v>
      </c>
      <c r="N1065" s="427">
        <f t="shared" si="161"/>
        <v>42.380261542857149</v>
      </c>
      <c r="O1065" s="427">
        <v>44.522857142857141</v>
      </c>
      <c r="P1065" s="177">
        <f t="shared" si="156"/>
        <v>3.0783085714285718</v>
      </c>
      <c r="Q1065" s="177">
        <f t="shared" si="157"/>
        <v>3.7524581485714292</v>
      </c>
      <c r="R1065" s="431">
        <f t="shared" si="158"/>
        <v>0.51477085914937837</v>
      </c>
      <c r="S1065" s="468">
        <v>2</v>
      </c>
      <c r="T1065" s="127"/>
      <c r="U1065" s="127"/>
      <c r="V1065" s="127"/>
      <c r="W1065" s="127"/>
      <c r="X1065" s="127"/>
      <c r="Y1065" s="127"/>
    </row>
    <row r="1066" spans="1:25" s="6" customFormat="1" ht="15.75" customHeight="1">
      <c r="A1066" s="285">
        <v>186</v>
      </c>
      <c r="B1066" s="329" t="s">
        <v>1020</v>
      </c>
      <c r="C1066" s="803">
        <v>359.4</v>
      </c>
      <c r="D1066" s="391"/>
      <c r="E1066" s="804"/>
      <c r="F1066" s="330">
        <v>359.4</v>
      </c>
      <c r="G1066" s="644">
        <f t="shared" si="155"/>
        <v>359.4</v>
      </c>
      <c r="H1066" s="865">
        <v>0</v>
      </c>
      <c r="I1066" s="330">
        <v>0</v>
      </c>
      <c r="J1066" s="403">
        <f t="shared" si="162"/>
        <v>0</v>
      </c>
      <c r="K1066" s="403">
        <f t="shared" si="160"/>
        <v>0</v>
      </c>
      <c r="L1066" s="425">
        <f t="shared" si="159"/>
        <v>0</v>
      </c>
      <c r="M1066" s="177">
        <f t="shared" si="154"/>
        <v>0</v>
      </c>
      <c r="N1066" s="427">
        <f t="shared" si="161"/>
        <v>0</v>
      </c>
      <c r="O1066" s="427">
        <v>0</v>
      </c>
      <c r="P1066" s="177">
        <f t="shared" si="156"/>
        <v>0</v>
      </c>
      <c r="Q1066" s="177">
        <f t="shared" si="157"/>
        <v>0</v>
      </c>
      <c r="R1066" s="431">
        <f t="shared" si="158"/>
        <v>0</v>
      </c>
      <c r="S1066" s="468">
        <v>3</v>
      </c>
      <c r="T1066" s="127"/>
      <c r="U1066" s="127"/>
      <c r="V1066" s="127"/>
      <c r="W1066" s="127"/>
      <c r="X1066" s="127"/>
      <c r="Y1066" s="127"/>
    </row>
    <row r="1067" spans="1:25" s="6" customFormat="1" ht="15.75" customHeight="1">
      <c r="A1067" s="285">
        <v>187</v>
      </c>
      <c r="B1067" s="329" t="s">
        <v>1021</v>
      </c>
      <c r="C1067" s="803">
        <v>694.9</v>
      </c>
      <c r="D1067" s="391"/>
      <c r="E1067" s="804"/>
      <c r="F1067" s="330">
        <v>694.9</v>
      </c>
      <c r="G1067" s="644">
        <f t="shared" si="155"/>
        <v>694.9</v>
      </c>
      <c r="H1067" s="865">
        <v>50</v>
      </c>
      <c r="I1067" s="330">
        <v>0</v>
      </c>
      <c r="J1067" s="403">
        <f t="shared" si="162"/>
        <v>50</v>
      </c>
      <c r="K1067" s="403">
        <f t="shared" si="160"/>
        <v>50</v>
      </c>
      <c r="L1067" s="425">
        <f t="shared" si="159"/>
        <v>5.9523809523809521E-2</v>
      </c>
      <c r="M1067" s="177">
        <f t="shared" si="154"/>
        <v>120.06011904761904</v>
      </c>
      <c r="N1067" s="427">
        <f t="shared" si="161"/>
        <v>44.146105773809523</v>
      </c>
      <c r="O1067" s="427">
        <v>46.37797619047619</v>
      </c>
      <c r="P1067" s="177">
        <f t="shared" si="156"/>
        <v>3.2065714285714289</v>
      </c>
      <c r="Q1067" s="177">
        <f t="shared" si="157"/>
        <v>3.9088105714285719</v>
      </c>
      <c r="R1067" s="431">
        <f t="shared" si="158"/>
        <v>0.30765688939484276</v>
      </c>
      <c r="S1067" s="468">
        <v>2</v>
      </c>
      <c r="T1067" s="127"/>
      <c r="U1067" s="127"/>
      <c r="V1067" s="127"/>
      <c r="W1067" s="127"/>
      <c r="X1067" s="127"/>
      <c r="Y1067" s="127"/>
    </row>
    <row r="1068" spans="1:25" s="6" customFormat="1" ht="15.75" customHeight="1">
      <c r="A1068" s="285">
        <v>188</v>
      </c>
      <c r="B1068" s="329" t="s">
        <v>1022</v>
      </c>
      <c r="C1068" s="803">
        <v>629.6</v>
      </c>
      <c r="D1068" s="391"/>
      <c r="E1068" s="804"/>
      <c r="F1068" s="330">
        <v>627.1</v>
      </c>
      <c r="G1068" s="644">
        <f t="shared" si="155"/>
        <v>629.6</v>
      </c>
      <c r="H1068" s="865">
        <v>0</v>
      </c>
      <c r="I1068" s="330">
        <v>0</v>
      </c>
      <c r="J1068" s="403">
        <f t="shared" si="162"/>
        <v>0</v>
      </c>
      <c r="K1068" s="403">
        <f t="shared" si="160"/>
        <v>0</v>
      </c>
      <c r="L1068" s="425">
        <f t="shared" si="159"/>
        <v>0</v>
      </c>
      <c r="M1068" s="177">
        <f t="shared" si="154"/>
        <v>0</v>
      </c>
      <c r="N1068" s="427">
        <f t="shared" si="161"/>
        <v>0</v>
      </c>
      <c r="O1068" s="427">
        <v>0</v>
      </c>
      <c r="P1068" s="177">
        <f t="shared" si="156"/>
        <v>0</v>
      </c>
      <c r="Q1068" s="177">
        <f t="shared" si="157"/>
        <v>0</v>
      </c>
      <c r="R1068" s="431">
        <f t="shared" si="158"/>
        <v>0</v>
      </c>
      <c r="S1068" s="468">
        <v>3</v>
      </c>
      <c r="T1068" s="127"/>
      <c r="U1068" s="127"/>
      <c r="V1068" s="127"/>
      <c r="W1068" s="127"/>
      <c r="X1068" s="127"/>
      <c r="Y1068" s="127"/>
    </row>
    <row r="1069" spans="1:25" s="6" customFormat="1" ht="15.75" customHeight="1">
      <c r="A1069" s="285">
        <v>189</v>
      </c>
      <c r="B1069" s="329" t="s">
        <v>1023</v>
      </c>
      <c r="C1069" s="803">
        <v>969.07</v>
      </c>
      <c r="D1069" s="391"/>
      <c r="E1069" s="804"/>
      <c r="F1069" s="330">
        <v>969.07</v>
      </c>
      <c r="G1069" s="644">
        <f t="shared" si="155"/>
        <v>969.07</v>
      </c>
      <c r="H1069" s="865">
        <v>126</v>
      </c>
      <c r="I1069" s="330">
        <v>0</v>
      </c>
      <c r="J1069" s="403">
        <f t="shared" si="162"/>
        <v>126</v>
      </c>
      <c r="K1069" s="403">
        <f t="shared" si="160"/>
        <v>126</v>
      </c>
      <c r="L1069" s="425">
        <f t="shared" si="159"/>
        <v>0.15</v>
      </c>
      <c r="M1069" s="177">
        <f t="shared" si="154"/>
        <v>302.55149999999998</v>
      </c>
      <c r="N1069" s="427">
        <f t="shared" si="161"/>
        <v>111.24818655</v>
      </c>
      <c r="O1069" s="427">
        <v>116.8725</v>
      </c>
      <c r="P1069" s="177">
        <f t="shared" si="156"/>
        <v>8.0805600000000002</v>
      </c>
      <c r="Q1069" s="177">
        <f t="shared" si="157"/>
        <v>9.8502026400000009</v>
      </c>
      <c r="R1069" s="431">
        <f t="shared" si="158"/>
        <v>0.55594822515401354</v>
      </c>
      <c r="S1069" s="468">
        <v>2</v>
      </c>
      <c r="T1069" s="127"/>
      <c r="U1069" s="127"/>
      <c r="V1069" s="127"/>
      <c r="W1069" s="127"/>
      <c r="X1069" s="127"/>
      <c r="Y1069" s="127"/>
    </row>
    <row r="1070" spans="1:25" s="6" customFormat="1" ht="15.75" customHeight="1">
      <c r="A1070" s="285">
        <v>190</v>
      </c>
      <c r="B1070" s="329" t="s">
        <v>1024</v>
      </c>
      <c r="C1070" s="803">
        <v>315.7</v>
      </c>
      <c r="D1070" s="391"/>
      <c r="E1070" s="804"/>
      <c r="F1070" s="330">
        <v>279.8</v>
      </c>
      <c r="G1070" s="644">
        <f t="shared" si="155"/>
        <v>315.7</v>
      </c>
      <c r="H1070" s="865">
        <v>0</v>
      </c>
      <c r="I1070" s="330">
        <v>0</v>
      </c>
      <c r="J1070" s="403">
        <f t="shared" si="162"/>
        <v>0</v>
      </c>
      <c r="K1070" s="403">
        <f t="shared" si="160"/>
        <v>0</v>
      </c>
      <c r="L1070" s="425">
        <f t="shared" si="159"/>
        <v>0</v>
      </c>
      <c r="M1070" s="177">
        <f t="shared" si="154"/>
        <v>0</v>
      </c>
      <c r="N1070" s="427">
        <f t="shared" si="161"/>
        <v>0</v>
      </c>
      <c r="O1070" s="427">
        <v>0</v>
      </c>
      <c r="P1070" s="177">
        <f t="shared" si="156"/>
        <v>0</v>
      </c>
      <c r="Q1070" s="177">
        <f t="shared" si="157"/>
        <v>0</v>
      </c>
      <c r="R1070" s="431">
        <f t="shared" si="158"/>
        <v>0</v>
      </c>
      <c r="S1070" s="468">
        <v>2</v>
      </c>
      <c r="T1070" s="127"/>
      <c r="U1070" s="127"/>
      <c r="V1070" s="127"/>
      <c r="W1070" s="127"/>
      <c r="X1070" s="127"/>
      <c r="Y1070" s="127"/>
    </row>
    <row r="1071" spans="1:25" s="6" customFormat="1" ht="15.75" customHeight="1">
      <c r="A1071" s="285">
        <v>191</v>
      </c>
      <c r="B1071" s="329" t="s">
        <v>1025</v>
      </c>
      <c r="C1071" s="803">
        <v>677.4</v>
      </c>
      <c r="D1071" s="391"/>
      <c r="E1071" s="804"/>
      <c r="F1071" s="330">
        <v>677.4</v>
      </c>
      <c r="G1071" s="644">
        <f t="shared" ref="G1071:G1133" si="163">C1071+D1071+E1071</f>
        <v>677.4</v>
      </c>
      <c r="H1071" s="865">
        <v>80</v>
      </c>
      <c r="I1071" s="330">
        <v>0</v>
      </c>
      <c r="J1071" s="403">
        <f t="shared" si="162"/>
        <v>80</v>
      </c>
      <c r="K1071" s="403">
        <f t="shared" si="160"/>
        <v>80</v>
      </c>
      <c r="L1071" s="425">
        <f t="shared" si="159"/>
        <v>9.5238095238095233E-2</v>
      </c>
      <c r="M1071" s="177">
        <f t="shared" si="154"/>
        <v>192.09619047619046</v>
      </c>
      <c r="N1071" s="427">
        <f t="shared" si="161"/>
        <v>70.63376923809524</v>
      </c>
      <c r="O1071" s="427">
        <v>74.204761904761895</v>
      </c>
      <c r="P1071" s="177">
        <f t="shared" si="156"/>
        <v>5.1305142857142858</v>
      </c>
      <c r="Q1071" s="177">
        <f t="shared" si="157"/>
        <v>6.2540969142857152</v>
      </c>
      <c r="R1071" s="431">
        <f t="shared" si="158"/>
        <v>0.50496787113191899</v>
      </c>
      <c r="S1071" s="468">
        <v>3</v>
      </c>
      <c r="T1071" s="127"/>
      <c r="U1071" s="127"/>
      <c r="V1071" s="127"/>
      <c r="W1071" s="127"/>
      <c r="X1071" s="127"/>
      <c r="Y1071" s="127"/>
    </row>
    <row r="1072" spans="1:25" s="6" customFormat="1" ht="15.75" customHeight="1">
      <c r="A1072" s="285">
        <v>192</v>
      </c>
      <c r="B1072" s="329" t="s">
        <v>1026</v>
      </c>
      <c r="C1072" s="803">
        <v>255.8</v>
      </c>
      <c r="D1072" s="391"/>
      <c r="E1072" s="804"/>
      <c r="F1072" s="330">
        <v>253.4</v>
      </c>
      <c r="G1072" s="644">
        <f t="shared" si="163"/>
        <v>255.8</v>
      </c>
      <c r="H1072" s="865">
        <v>0</v>
      </c>
      <c r="I1072" s="330">
        <v>0</v>
      </c>
      <c r="J1072" s="403">
        <f t="shared" si="162"/>
        <v>0</v>
      </c>
      <c r="K1072" s="403">
        <f t="shared" si="160"/>
        <v>0</v>
      </c>
      <c r="L1072" s="425">
        <f t="shared" si="159"/>
        <v>0</v>
      </c>
      <c r="M1072" s="177">
        <f t="shared" si="154"/>
        <v>0</v>
      </c>
      <c r="N1072" s="427">
        <f t="shared" si="161"/>
        <v>0</v>
      </c>
      <c r="O1072" s="427">
        <v>0</v>
      </c>
      <c r="P1072" s="177">
        <f t="shared" si="156"/>
        <v>0</v>
      </c>
      <c r="Q1072" s="177">
        <f t="shared" si="157"/>
        <v>0</v>
      </c>
      <c r="R1072" s="431">
        <f t="shared" si="158"/>
        <v>0</v>
      </c>
      <c r="S1072" s="468">
        <v>2</v>
      </c>
      <c r="T1072" s="127"/>
      <c r="U1072" s="127"/>
      <c r="V1072" s="127"/>
      <c r="W1072" s="127"/>
      <c r="X1072" s="127"/>
      <c r="Y1072" s="127"/>
    </row>
    <row r="1073" spans="1:25" s="6" customFormat="1" ht="15.75" customHeight="1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330">
        <v>167.8</v>
      </c>
      <c r="G1073" s="644">
        <f t="shared" si="163"/>
        <v>352.5</v>
      </c>
      <c r="H1073" s="865">
        <v>0</v>
      </c>
      <c r="I1073" s="330">
        <v>0</v>
      </c>
      <c r="J1073" s="403">
        <f t="shared" si="162"/>
        <v>0</v>
      </c>
      <c r="K1073" s="403">
        <f t="shared" si="160"/>
        <v>0</v>
      </c>
      <c r="L1073" s="425">
        <f t="shared" si="159"/>
        <v>0</v>
      </c>
      <c r="M1073" s="177">
        <f t="shared" ref="M1073:M1136" si="164">L1073*2017.01</f>
        <v>0</v>
      </c>
      <c r="N1073" s="427">
        <f t="shared" si="161"/>
        <v>0</v>
      </c>
      <c r="O1073" s="427">
        <v>0</v>
      </c>
      <c r="P1073" s="177">
        <f t="shared" si="156"/>
        <v>0</v>
      </c>
      <c r="Q1073" s="177">
        <f t="shared" si="157"/>
        <v>0</v>
      </c>
      <c r="R1073" s="431">
        <f t="shared" si="158"/>
        <v>0</v>
      </c>
      <c r="S1073" s="468">
        <v>2</v>
      </c>
      <c r="T1073" s="127"/>
      <c r="U1073" s="127"/>
      <c r="V1073" s="127"/>
      <c r="W1073" s="127"/>
      <c r="X1073" s="127"/>
      <c r="Y1073" s="127"/>
    </row>
    <row r="1074" spans="1:25" s="6" customFormat="1" ht="15.75" customHeight="1">
      <c r="A1074" s="285">
        <v>194</v>
      </c>
      <c r="B1074" s="329" t="s">
        <v>1030</v>
      </c>
      <c r="C1074" s="803">
        <v>642.9</v>
      </c>
      <c r="D1074" s="391"/>
      <c r="E1074" s="804"/>
      <c r="F1074" s="330">
        <v>624.6</v>
      </c>
      <c r="G1074" s="644">
        <f t="shared" si="163"/>
        <v>642.9</v>
      </c>
      <c r="H1074" s="865">
        <v>40</v>
      </c>
      <c r="I1074" s="330">
        <v>0</v>
      </c>
      <c r="J1074" s="403">
        <f t="shared" si="162"/>
        <v>40</v>
      </c>
      <c r="K1074" s="403">
        <f t="shared" si="160"/>
        <v>40</v>
      </c>
      <c r="L1074" s="425">
        <f t="shared" si="159"/>
        <v>4.7619047619047616E-2</v>
      </c>
      <c r="M1074" s="177">
        <f t="shared" si="164"/>
        <v>96.048095238095229</v>
      </c>
      <c r="N1074" s="427">
        <f t="shared" si="161"/>
        <v>35.31688461904762</v>
      </c>
      <c r="O1074" s="427">
        <v>37.102380952380948</v>
      </c>
      <c r="P1074" s="177">
        <f t="shared" ref="P1074:P1137" si="165">L1074*49.88*1.08</f>
        <v>2.5652571428571429</v>
      </c>
      <c r="Q1074" s="177">
        <f t="shared" ref="Q1074:Q1137" si="166">P1074*1.219</f>
        <v>3.1270484571428576</v>
      </c>
      <c r="R1074" s="431">
        <f t="shared" si="158"/>
        <v>0.26603300350347014</v>
      </c>
      <c r="S1074" s="468">
        <v>3</v>
      </c>
      <c r="T1074" s="127"/>
      <c r="U1074" s="127"/>
      <c r="V1074" s="127"/>
      <c r="W1074" s="127"/>
      <c r="X1074" s="127"/>
      <c r="Y1074" s="127"/>
    </row>
    <row r="1075" spans="1:25" s="6" customFormat="1" ht="15.75" customHeight="1">
      <c r="A1075" s="285">
        <v>195</v>
      </c>
      <c r="B1075" s="329" t="s">
        <v>1031</v>
      </c>
      <c r="C1075" s="803">
        <v>324.39999999999998</v>
      </c>
      <c r="D1075" s="391"/>
      <c r="E1075" s="804"/>
      <c r="F1075" s="330">
        <v>324.39999999999998</v>
      </c>
      <c r="G1075" s="644">
        <f t="shared" si="163"/>
        <v>324.39999999999998</v>
      </c>
      <c r="H1075" s="865">
        <v>0</v>
      </c>
      <c r="I1075" s="330">
        <v>0</v>
      </c>
      <c r="J1075" s="403">
        <f t="shared" si="162"/>
        <v>0</v>
      </c>
      <c r="K1075" s="403">
        <f t="shared" si="160"/>
        <v>0</v>
      </c>
      <c r="L1075" s="425">
        <f t="shared" si="159"/>
        <v>0</v>
      </c>
      <c r="M1075" s="177">
        <f t="shared" si="164"/>
        <v>0</v>
      </c>
      <c r="N1075" s="427">
        <f t="shared" si="161"/>
        <v>0</v>
      </c>
      <c r="O1075" s="427">
        <v>0</v>
      </c>
      <c r="P1075" s="177">
        <f t="shared" si="165"/>
        <v>0</v>
      </c>
      <c r="Q1075" s="177">
        <f t="shared" si="166"/>
        <v>0</v>
      </c>
      <c r="R1075" s="431">
        <f t="shared" si="158"/>
        <v>0</v>
      </c>
      <c r="S1075" s="468">
        <v>2</v>
      </c>
      <c r="T1075" s="127"/>
      <c r="U1075" s="127"/>
      <c r="V1075" s="127"/>
      <c r="W1075" s="127"/>
      <c r="X1075" s="127"/>
      <c r="Y1075" s="127"/>
    </row>
    <row r="1076" spans="1:25" s="6" customFormat="1" ht="15.75" customHeight="1">
      <c r="A1076" s="285">
        <v>196</v>
      </c>
      <c r="B1076" s="329" t="s">
        <v>1032</v>
      </c>
      <c r="C1076" s="806">
        <v>505</v>
      </c>
      <c r="D1076" s="391"/>
      <c r="E1076" s="804"/>
      <c r="F1076" s="330">
        <v>505</v>
      </c>
      <c r="G1076" s="644">
        <f t="shared" si="163"/>
        <v>505</v>
      </c>
      <c r="H1076" s="865">
        <v>0</v>
      </c>
      <c r="I1076" s="330">
        <v>0</v>
      </c>
      <c r="J1076" s="403">
        <f t="shared" si="162"/>
        <v>0</v>
      </c>
      <c r="K1076" s="403">
        <f t="shared" si="160"/>
        <v>0</v>
      </c>
      <c r="L1076" s="425">
        <f t="shared" si="159"/>
        <v>0</v>
      </c>
      <c r="M1076" s="177">
        <f t="shared" si="164"/>
        <v>0</v>
      </c>
      <c r="N1076" s="427">
        <f t="shared" si="161"/>
        <v>0</v>
      </c>
      <c r="O1076" s="427">
        <v>0</v>
      </c>
      <c r="P1076" s="177">
        <f t="shared" si="165"/>
        <v>0</v>
      </c>
      <c r="Q1076" s="177">
        <f t="shared" si="166"/>
        <v>0</v>
      </c>
      <c r="R1076" s="431">
        <f t="shared" si="158"/>
        <v>0</v>
      </c>
      <c r="S1076" s="468">
        <v>2</v>
      </c>
      <c r="T1076" s="127"/>
      <c r="U1076" s="127"/>
      <c r="V1076" s="127"/>
      <c r="W1076" s="127"/>
      <c r="X1076" s="127"/>
      <c r="Y1076" s="127"/>
    </row>
    <row r="1077" spans="1:25" s="6" customFormat="1" ht="15.75" customHeight="1">
      <c r="A1077" s="285">
        <v>197</v>
      </c>
      <c r="B1077" s="329" t="s">
        <v>1033</v>
      </c>
      <c r="C1077" s="803">
        <v>548.70000000000005</v>
      </c>
      <c r="D1077" s="391"/>
      <c r="E1077" s="804"/>
      <c r="F1077" s="330">
        <v>548.29999999999995</v>
      </c>
      <c r="G1077" s="644">
        <f t="shared" si="163"/>
        <v>548.70000000000005</v>
      </c>
      <c r="H1077" s="865">
        <v>52</v>
      </c>
      <c r="I1077" s="330">
        <v>0</v>
      </c>
      <c r="J1077" s="403">
        <f t="shared" si="162"/>
        <v>52</v>
      </c>
      <c r="K1077" s="403">
        <f t="shared" si="160"/>
        <v>52</v>
      </c>
      <c r="L1077" s="425">
        <f t="shared" si="159"/>
        <v>6.1904761904761907E-2</v>
      </c>
      <c r="M1077" s="177">
        <f t="shared" si="164"/>
        <v>124.86252380952381</v>
      </c>
      <c r="N1077" s="427">
        <f t="shared" si="161"/>
        <v>45.911950004761906</v>
      </c>
      <c r="O1077" s="427">
        <v>48.233095238095238</v>
      </c>
      <c r="P1077" s="177">
        <f t="shared" si="165"/>
        <v>3.3348342857142863</v>
      </c>
      <c r="Q1077" s="177">
        <f t="shared" si="166"/>
        <v>4.065162994285715</v>
      </c>
      <c r="R1077" s="431">
        <f t="shared" si="158"/>
        <v>0.40521670008765309</v>
      </c>
      <c r="S1077" s="468">
        <v>3</v>
      </c>
      <c r="T1077" s="127"/>
      <c r="U1077" s="127"/>
      <c r="V1077" s="127"/>
      <c r="W1077" s="127"/>
      <c r="X1077" s="127"/>
      <c r="Y1077" s="127"/>
    </row>
    <row r="1078" spans="1:25" s="6" customFormat="1" ht="15.75" customHeight="1">
      <c r="A1078" s="285">
        <v>198</v>
      </c>
      <c r="B1078" s="329" t="s">
        <v>1034</v>
      </c>
      <c r="C1078" s="803">
        <v>222.33</v>
      </c>
      <c r="D1078" s="391"/>
      <c r="E1078" s="804"/>
      <c r="F1078" s="330">
        <v>222.33</v>
      </c>
      <c r="G1078" s="644">
        <f t="shared" si="163"/>
        <v>222.33</v>
      </c>
      <c r="H1078" s="865">
        <v>0</v>
      </c>
      <c r="I1078" s="330">
        <v>0</v>
      </c>
      <c r="J1078" s="403">
        <f t="shared" si="162"/>
        <v>0</v>
      </c>
      <c r="K1078" s="403">
        <f t="shared" si="160"/>
        <v>0</v>
      </c>
      <c r="L1078" s="425">
        <f t="shared" si="159"/>
        <v>0</v>
      </c>
      <c r="M1078" s="177">
        <f t="shared" si="164"/>
        <v>0</v>
      </c>
      <c r="N1078" s="427">
        <f t="shared" si="161"/>
        <v>0</v>
      </c>
      <c r="O1078" s="427">
        <v>0</v>
      </c>
      <c r="P1078" s="177">
        <f t="shared" si="165"/>
        <v>0</v>
      </c>
      <c r="Q1078" s="177">
        <f t="shared" si="166"/>
        <v>0</v>
      </c>
      <c r="R1078" s="431">
        <f t="shared" si="158"/>
        <v>0</v>
      </c>
      <c r="S1078" s="468">
        <v>2</v>
      </c>
      <c r="T1078" s="127"/>
      <c r="U1078" s="127"/>
      <c r="V1078" s="127"/>
      <c r="W1078" s="127"/>
      <c r="X1078" s="127"/>
      <c r="Y1078" s="127"/>
    </row>
    <row r="1079" spans="1:25" s="6" customFormat="1" ht="15.75" customHeight="1">
      <c r="A1079" s="285">
        <v>199</v>
      </c>
      <c r="B1079" s="329" t="s">
        <v>1035</v>
      </c>
      <c r="C1079" s="803">
        <v>461.2</v>
      </c>
      <c r="D1079" s="391"/>
      <c r="E1079" s="804"/>
      <c r="F1079" s="330">
        <v>461.4</v>
      </c>
      <c r="G1079" s="644">
        <f t="shared" si="163"/>
        <v>461.2</v>
      </c>
      <c r="H1079" s="865">
        <v>0</v>
      </c>
      <c r="I1079" s="330">
        <v>0</v>
      </c>
      <c r="J1079" s="403">
        <f t="shared" si="162"/>
        <v>0</v>
      </c>
      <c r="K1079" s="403">
        <f t="shared" si="160"/>
        <v>0</v>
      </c>
      <c r="L1079" s="425">
        <f t="shared" si="159"/>
        <v>0</v>
      </c>
      <c r="M1079" s="177">
        <f t="shared" si="164"/>
        <v>0</v>
      </c>
      <c r="N1079" s="427">
        <f t="shared" si="161"/>
        <v>0</v>
      </c>
      <c r="O1079" s="427">
        <v>0</v>
      </c>
      <c r="P1079" s="177">
        <f t="shared" si="165"/>
        <v>0</v>
      </c>
      <c r="Q1079" s="177">
        <f t="shared" si="166"/>
        <v>0</v>
      </c>
      <c r="R1079" s="431">
        <f t="shared" si="158"/>
        <v>0</v>
      </c>
      <c r="S1079" s="468">
        <v>3</v>
      </c>
      <c r="T1079" s="127"/>
      <c r="U1079" s="127"/>
      <c r="V1079" s="127"/>
      <c r="W1079" s="127"/>
      <c r="X1079" s="127"/>
      <c r="Y1079" s="127"/>
    </row>
    <row r="1080" spans="1:25" s="6" customFormat="1" ht="15.75" customHeight="1">
      <c r="A1080" s="285">
        <v>200</v>
      </c>
      <c r="B1080" s="329" t="s">
        <v>1036</v>
      </c>
      <c r="C1080" s="803">
        <v>446.5</v>
      </c>
      <c r="D1080" s="391"/>
      <c r="E1080" s="804"/>
      <c r="F1080" s="330">
        <v>446.5</v>
      </c>
      <c r="G1080" s="644">
        <f t="shared" si="163"/>
        <v>446.5</v>
      </c>
      <c r="H1080" s="865">
        <v>44</v>
      </c>
      <c r="I1080" s="330">
        <v>0</v>
      </c>
      <c r="J1080" s="403">
        <f t="shared" si="162"/>
        <v>44</v>
      </c>
      <c r="K1080" s="403">
        <f t="shared" si="160"/>
        <v>44</v>
      </c>
      <c r="L1080" s="425">
        <f t="shared" si="159"/>
        <v>5.2380952380952382E-2</v>
      </c>
      <c r="M1080" s="177">
        <f t="shared" si="164"/>
        <v>105.65290476190476</v>
      </c>
      <c r="N1080" s="427">
        <f t="shared" si="161"/>
        <v>38.848573080952384</v>
      </c>
      <c r="O1080" s="427">
        <v>40.812619047619044</v>
      </c>
      <c r="P1080" s="177">
        <f t="shared" si="165"/>
        <v>2.8217828571428574</v>
      </c>
      <c r="Q1080" s="177">
        <f t="shared" si="166"/>
        <v>3.4397533028571434</v>
      </c>
      <c r="R1080" s="431">
        <f t="shared" si="158"/>
        <v>0.42135695352210317</v>
      </c>
      <c r="S1080" s="468">
        <v>3</v>
      </c>
      <c r="T1080" s="127"/>
      <c r="U1080" s="127"/>
      <c r="V1080" s="127"/>
      <c r="W1080" s="127"/>
      <c r="X1080" s="127"/>
      <c r="Y1080" s="127"/>
    </row>
    <row r="1081" spans="1:25" s="6" customFormat="1" ht="15.75" customHeight="1">
      <c r="A1081" s="285">
        <v>201</v>
      </c>
      <c r="B1081" s="329" t="s">
        <v>1037</v>
      </c>
      <c r="C1081" s="803">
        <v>291.5</v>
      </c>
      <c r="D1081" s="391"/>
      <c r="E1081" s="804"/>
      <c r="F1081" s="330">
        <v>290.24</v>
      </c>
      <c r="G1081" s="644">
        <f t="shared" si="163"/>
        <v>291.5</v>
      </c>
      <c r="H1081" s="865">
        <v>0</v>
      </c>
      <c r="I1081" s="330">
        <v>0</v>
      </c>
      <c r="J1081" s="403">
        <f t="shared" si="162"/>
        <v>0</v>
      </c>
      <c r="K1081" s="403">
        <f t="shared" si="160"/>
        <v>0</v>
      </c>
      <c r="L1081" s="425">
        <f t="shared" si="159"/>
        <v>0</v>
      </c>
      <c r="M1081" s="177">
        <f t="shared" si="164"/>
        <v>0</v>
      </c>
      <c r="N1081" s="427">
        <f t="shared" si="161"/>
        <v>0</v>
      </c>
      <c r="O1081" s="427">
        <v>0</v>
      </c>
      <c r="P1081" s="177">
        <f t="shared" si="165"/>
        <v>0</v>
      </c>
      <c r="Q1081" s="177">
        <f t="shared" si="166"/>
        <v>0</v>
      </c>
      <c r="R1081" s="431">
        <f t="shared" si="158"/>
        <v>0</v>
      </c>
      <c r="S1081" s="468">
        <v>2</v>
      </c>
      <c r="T1081" s="127"/>
      <c r="U1081" s="127"/>
      <c r="V1081" s="127"/>
      <c r="W1081" s="127"/>
      <c r="X1081" s="127"/>
      <c r="Y1081" s="127"/>
    </row>
    <row r="1082" spans="1:25" s="6" customFormat="1" ht="15.75" customHeight="1">
      <c r="A1082" s="285">
        <v>202</v>
      </c>
      <c r="B1082" s="329" t="s">
        <v>1038</v>
      </c>
      <c r="C1082" s="803">
        <v>361.5</v>
      </c>
      <c r="D1082" s="391"/>
      <c r="E1082" s="804"/>
      <c r="F1082" s="330">
        <v>356.5</v>
      </c>
      <c r="G1082" s="644">
        <f t="shared" si="163"/>
        <v>361.5</v>
      </c>
      <c r="H1082" s="865">
        <v>22</v>
      </c>
      <c r="I1082" s="330">
        <v>0</v>
      </c>
      <c r="J1082" s="403">
        <f t="shared" si="162"/>
        <v>22</v>
      </c>
      <c r="K1082" s="403">
        <f t="shared" si="160"/>
        <v>22</v>
      </c>
      <c r="L1082" s="425">
        <f t="shared" si="159"/>
        <v>2.6190476190476191E-2</v>
      </c>
      <c r="M1082" s="177">
        <f t="shared" si="164"/>
        <v>52.826452380952382</v>
      </c>
      <c r="N1082" s="427">
        <f t="shared" si="161"/>
        <v>19.424286540476192</v>
      </c>
      <c r="O1082" s="427">
        <v>20.406309523809522</v>
      </c>
      <c r="P1082" s="177">
        <f t="shared" si="165"/>
        <v>1.4108914285714287</v>
      </c>
      <c r="Q1082" s="177">
        <f t="shared" si="166"/>
        <v>1.7198766514285717</v>
      </c>
      <c r="R1082" s="431">
        <f t="shared" si="158"/>
        <v>0.26021560131067645</v>
      </c>
      <c r="S1082" s="468">
        <v>1</v>
      </c>
      <c r="T1082" s="127"/>
      <c r="U1082" s="127"/>
      <c r="V1082" s="127"/>
      <c r="W1082" s="127"/>
      <c r="X1082" s="127"/>
      <c r="Y1082" s="127"/>
    </row>
    <row r="1083" spans="1:25" s="6" customFormat="1" ht="15.75" customHeight="1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330">
        <v>474.6</v>
      </c>
      <c r="G1083" s="644">
        <f t="shared" si="163"/>
        <v>485.90000000000003</v>
      </c>
      <c r="H1083" s="865">
        <v>26</v>
      </c>
      <c r="I1083" s="330">
        <v>0</v>
      </c>
      <c r="J1083" s="403">
        <f t="shared" si="162"/>
        <v>26</v>
      </c>
      <c r="K1083" s="403">
        <f t="shared" si="160"/>
        <v>26</v>
      </c>
      <c r="L1083" s="425">
        <f t="shared" si="159"/>
        <v>3.0952380952380953E-2</v>
      </c>
      <c r="M1083" s="177">
        <f t="shared" si="164"/>
        <v>62.431261904761904</v>
      </c>
      <c r="N1083" s="427">
        <f t="shared" si="161"/>
        <v>22.955975002380953</v>
      </c>
      <c r="O1083" s="427">
        <v>24.116547619047619</v>
      </c>
      <c r="P1083" s="177">
        <f t="shared" si="165"/>
        <v>1.6674171428571432</v>
      </c>
      <c r="Q1083" s="177">
        <f t="shared" si="166"/>
        <v>2.0325814971428575</v>
      </c>
      <c r="R1083" s="431">
        <f t="shared" si="158"/>
        <v>0.23424189142235066</v>
      </c>
      <c r="S1083" s="468">
        <v>2</v>
      </c>
      <c r="T1083" s="127"/>
      <c r="U1083" s="127"/>
      <c r="V1083" s="127"/>
      <c r="W1083" s="127"/>
      <c r="X1083" s="127"/>
      <c r="Y1083" s="127"/>
    </row>
    <row r="1084" spans="1:25" s="6" customFormat="1" ht="15.75" customHeight="1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330">
        <v>399.3</v>
      </c>
      <c r="G1084" s="644">
        <f t="shared" si="163"/>
        <v>430.5</v>
      </c>
      <c r="H1084" s="865">
        <v>0</v>
      </c>
      <c r="I1084" s="330">
        <v>0</v>
      </c>
      <c r="J1084" s="403">
        <f t="shared" si="162"/>
        <v>0</v>
      </c>
      <c r="K1084" s="403">
        <f t="shared" si="160"/>
        <v>0</v>
      </c>
      <c r="L1084" s="425">
        <f t="shared" si="159"/>
        <v>0</v>
      </c>
      <c r="M1084" s="177">
        <f t="shared" si="164"/>
        <v>0</v>
      </c>
      <c r="N1084" s="427">
        <f t="shared" si="161"/>
        <v>0</v>
      </c>
      <c r="O1084" s="427">
        <v>0</v>
      </c>
      <c r="P1084" s="177">
        <f t="shared" si="165"/>
        <v>0</v>
      </c>
      <c r="Q1084" s="177">
        <f t="shared" si="166"/>
        <v>0</v>
      </c>
      <c r="R1084" s="431">
        <f t="shared" si="158"/>
        <v>0</v>
      </c>
      <c r="S1084" s="468">
        <v>1</v>
      </c>
      <c r="T1084" s="127"/>
      <c r="U1084" s="127"/>
      <c r="V1084" s="127"/>
      <c r="W1084" s="127"/>
      <c r="X1084" s="127"/>
      <c r="Y1084" s="127"/>
    </row>
    <row r="1085" spans="1:25" s="6" customFormat="1" ht="15.75" customHeight="1">
      <c r="A1085" s="285">
        <v>205</v>
      </c>
      <c r="B1085" s="329" t="s">
        <v>1041</v>
      </c>
      <c r="C1085" s="803">
        <v>96.4</v>
      </c>
      <c r="D1085" s="391"/>
      <c r="E1085" s="804"/>
      <c r="F1085" s="330">
        <v>95.1</v>
      </c>
      <c r="G1085" s="644">
        <f t="shared" si="163"/>
        <v>96.4</v>
      </c>
      <c r="H1085" s="865">
        <v>0</v>
      </c>
      <c r="I1085" s="330">
        <v>0</v>
      </c>
      <c r="J1085" s="403">
        <f t="shared" si="162"/>
        <v>0</v>
      </c>
      <c r="K1085" s="403">
        <f t="shared" si="160"/>
        <v>0</v>
      </c>
      <c r="L1085" s="425">
        <f t="shared" si="159"/>
        <v>0</v>
      </c>
      <c r="M1085" s="177">
        <f t="shared" si="164"/>
        <v>0</v>
      </c>
      <c r="N1085" s="427">
        <f t="shared" si="161"/>
        <v>0</v>
      </c>
      <c r="O1085" s="427">
        <v>0</v>
      </c>
      <c r="P1085" s="177">
        <f t="shared" si="165"/>
        <v>0</v>
      </c>
      <c r="Q1085" s="177">
        <f t="shared" si="166"/>
        <v>0</v>
      </c>
      <c r="R1085" s="431">
        <f t="shared" si="158"/>
        <v>0</v>
      </c>
      <c r="S1085" s="468">
        <v>1</v>
      </c>
      <c r="T1085" s="127"/>
      <c r="U1085" s="127"/>
      <c r="V1085" s="127"/>
      <c r="W1085" s="127"/>
      <c r="X1085" s="127"/>
      <c r="Y1085" s="127"/>
    </row>
    <row r="1086" spans="1:25" s="6" customFormat="1" ht="15.75" customHeight="1">
      <c r="A1086" s="285">
        <v>206</v>
      </c>
      <c r="B1086" s="329" t="s">
        <v>1042</v>
      </c>
      <c r="C1086" s="803">
        <v>76.2</v>
      </c>
      <c r="D1086" s="391"/>
      <c r="E1086" s="804"/>
      <c r="F1086" s="330">
        <v>76.2</v>
      </c>
      <c r="G1086" s="644">
        <f t="shared" si="163"/>
        <v>76.2</v>
      </c>
      <c r="H1086" s="865">
        <v>0</v>
      </c>
      <c r="I1086" s="330">
        <v>0</v>
      </c>
      <c r="J1086" s="403">
        <f t="shared" si="162"/>
        <v>0</v>
      </c>
      <c r="K1086" s="403">
        <f t="shared" si="160"/>
        <v>0</v>
      </c>
      <c r="L1086" s="425">
        <f t="shared" si="159"/>
        <v>0</v>
      </c>
      <c r="M1086" s="177">
        <f t="shared" si="164"/>
        <v>0</v>
      </c>
      <c r="N1086" s="427">
        <f t="shared" si="161"/>
        <v>0</v>
      </c>
      <c r="O1086" s="427">
        <v>0</v>
      </c>
      <c r="P1086" s="177">
        <f t="shared" si="165"/>
        <v>0</v>
      </c>
      <c r="Q1086" s="177">
        <f t="shared" si="166"/>
        <v>0</v>
      </c>
      <c r="R1086" s="431">
        <f t="shared" si="158"/>
        <v>0</v>
      </c>
      <c r="S1086" s="468">
        <v>1</v>
      </c>
      <c r="T1086" s="127"/>
      <c r="U1086" s="127"/>
      <c r="V1086" s="127"/>
      <c r="W1086" s="127"/>
      <c r="X1086" s="127"/>
      <c r="Y1086" s="127"/>
    </row>
    <row r="1087" spans="1:25" s="6" customFormat="1" ht="15.75" customHeight="1">
      <c r="A1087" s="285">
        <v>207</v>
      </c>
      <c r="B1087" s="329" t="s">
        <v>1043</v>
      </c>
      <c r="C1087" s="803">
        <v>84.3</v>
      </c>
      <c r="D1087" s="391"/>
      <c r="E1087" s="804"/>
      <c r="F1087" s="330">
        <v>84.3</v>
      </c>
      <c r="G1087" s="644">
        <f t="shared" si="163"/>
        <v>84.3</v>
      </c>
      <c r="H1087" s="865">
        <v>0</v>
      </c>
      <c r="I1087" s="330">
        <v>0</v>
      </c>
      <c r="J1087" s="403">
        <f t="shared" si="162"/>
        <v>0</v>
      </c>
      <c r="K1087" s="403">
        <f t="shared" si="160"/>
        <v>0</v>
      </c>
      <c r="L1087" s="425">
        <f t="shared" si="159"/>
        <v>0</v>
      </c>
      <c r="M1087" s="177">
        <f t="shared" si="164"/>
        <v>0</v>
      </c>
      <c r="N1087" s="427">
        <f t="shared" si="161"/>
        <v>0</v>
      </c>
      <c r="O1087" s="427">
        <v>0</v>
      </c>
      <c r="P1087" s="177">
        <f t="shared" si="165"/>
        <v>0</v>
      </c>
      <c r="Q1087" s="177">
        <f t="shared" si="166"/>
        <v>0</v>
      </c>
      <c r="R1087" s="431">
        <f t="shared" si="158"/>
        <v>0</v>
      </c>
      <c r="S1087" s="468">
        <v>2</v>
      </c>
      <c r="T1087" s="127"/>
      <c r="U1087" s="127"/>
      <c r="V1087" s="127"/>
      <c r="W1087" s="127"/>
      <c r="X1087" s="127"/>
      <c r="Y1087" s="127"/>
    </row>
    <row r="1088" spans="1:25" s="6" customFormat="1" ht="15.75" customHeight="1">
      <c r="A1088" s="285">
        <v>208</v>
      </c>
      <c r="B1088" s="329" t="s">
        <v>1044</v>
      </c>
      <c r="C1088" s="803">
        <v>236.4</v>
      </c>
      <c r="D1088" s="391"/>
      <c r="E1088" s="804"/>
      <c r="F1088" s="330">
        <v>236.4</v>
      </c>
      <c r="G1088" s="644">
        <f t="shared" si="163"/>
        <v>236.4</v>
      </c>
      <c r="H1088" s="865">
        <v>0</v>
      </c>
      <c r="I1088" s="330">
        <v>0</v>
      </c>
      <c r="J1088" s="403">
        <f t="shared" si="162"/>
        <v>0</v>
      </c>
      <c r="K1088" s="403">
        <f t="shared" si="160"/>
        <v>0</v>
      </c>
      <c r="L1088" s="425">
        <f t="shared" si="159"/>
        <v>0</v>
      </c>
      <c r="M1088" s="177">
        <f t="shared" si="164"/>
        <v>0</v>
      </c>
      <c r="N1088" s="427">
        <f t="shared" si="161"/>
        <v>0</v>
      </c>
      <c r="O1088" s="427">
        <v>0</v>
      </c>
      <c r="P1088" s="177">
        <f t="shared" si="165"/>
        <v>0</v>
      </c>
      <c r="Q1088" s="177">
        <f t="shared" si="166"/>
        <v>0</v>
      </c>
      <c r="R1088" s="431">
        <f t="shared" si="158"/>
        <v>0</v>
      </c>
      <c r="S1088" s="468">
        <v>2</v>
      </c>
      <c r="T1088" s="127"/>
      <c r="U1088" s="127"/>
      <c r="V1088" s="127"/>
      <c r="W1088" s="127"/>
      <c r="X1088" s="127"/>
      <c r="Y1088" s="127"/>
    </row>
    <row r="1089" spans="1:25" s="6" customFormat="1" ht="15.75" customHeight="1">
      <c r="A1089" s="285">
        <v>209</v>
      </c>
      <c r="B1089" s="329" t="s">
        <v>1045</v>
      </c>
      <c r="C1089" s="803">
        <v>84.3</v>
      </c>
      <c r="D1089" s="391"/>
      <c r="E1089" s="804"/>
      <c r="F1089" s="330">
        <v>84.3</v>
      </c>
      <c r="G1089" s="644">
        <f t="shared" si="163"/>
        <v>84.3</v>
      </c>
      <c r="H1089" s="865">
        <v>0</v>
      </c>
      <c r="I1089" s="330">
        <v>0</v>
      </c>
      <c r="J1089" s="403">
        <f t="shared" si="162"/>
        <v>0</v>
      </c>
      <c r="K1089" s="403">
        <f t="shared" si="160"/>
        <v>0</v>
      </c>
      <c r="L1089" s="425">
        <f t="shared" si="159"/>
        <v>0</v>
      </c>
      <c r="M1089" s="177">
        <f t="shared" si="164"/>
        <v>0</v>
      </c>
      <c r="N1089" s="427">
        <f t="shared" si="161"/>
        <v>0</v>
      </c>
      <c r="O1089" s="427">
        <v>0</v>
      </c>
      <c r="P1089" s="177">
        <f t="shared" si="165"/>
        <v>0</v>
      </c>
      <c r="Q1089" s="177">
        <f t="shared" si="166"/>
        <v>0</v>
      </c>
      <c r="R1089" s="431">
        <f t="shared" si="158"/>
        <v>0</v>
      </c>
      <c r="S1089" s="468">
        <v>1</v>
      </c>
      <c r="T1089" s="127"/>
      <c r="U1089" s="127"/>
      <c r="V1089" s="127"/>
      <c r="W1089" s="127"/>
      <c r="X1089" s="127"/>
      <c r="Y1089" s="127"/>
    </row>
    <row r="1090" spans="1:25" s="6" customFormat="1" ht="15.75" customHeight="1">
      <c r="A1090" s="285">
        <v>210</v>
      </c>
      <c r="B1090" s="329" t="s">
        <v>1046</v>
      </c>
      <c r="C1090" s="803">
        <v>84.3</v>
      </c>
      <c r="D1090" s="391"/>
      <c r="E1090" s="804"/>
      <c r="F1090" s="330">
        <v>84.3</v>
      </c>
      <c r="G1090" s="644">
        <f t="shared" si="163"/>
        <v>84.3</v>
      </c>
      <c r="H1090" s="865">
        <v>0</v>
      </c>
      <c r="I1090" s="330">
        <v>0</v>
      </c>
      <c r="J1090" s="403">
        <f t="shared" si="162"/>
        <v>0</v>
      </c>
      <c r="K1090" s="403">
        <f t="shared" si="160"/>
        <v>0</v>
      </c>
      <c r="L1090" s="425">
        <f t="shared" si="159"/>
        <v>0</v>
      </c>
      <c r="M1090" s="177">
        <f t="shared" si="164"/>
        <v>0</v>
      </c>
      <c r="N1090" s="427">
        <f t="shared" si="161"/>
        <v>0</v>
      </c>
      <c r="O1090" s="427">
        <v>0</v>
      </c>
      <c r="P1090" s="177">
        <f t="shared" si="165"/>
        <v>0</v>
      </c>
      <c r="Q1090" s="177">
        <f t="shared" si="166"/>
        <v>0</v>
      </c>
      <c r="R1090" s="431">
        <f t="shared" si="158"/>
        <v>0</v>
      </c>
      <c r="S1090" s="468">
        <v>1</v>
      </c>
      <c r="T1090" s="127"/>
      <c r="U1090" s="127"/>
      <c r="V1090" s="127"/>
      <c r="W1090" s="127"/>
      <c r="X1090" s="127"/>
      <c r="Y1090" s="127"/>
    </row>
    <row r="1091" spans="1:25" s="6" customFormat="1" ht="15.75" customHeight="1">
      <c r="A1091" s="285">
        <v>211</v>
      </c>
      <c r="B1091" s="329" t="s">
        <v>1047</v>
      </c>
      <c r="C1091" s="803">
        <v>176.6</v>
      </c>
      <c r="D1091" s="391"/>
      <c r="E1091" s="804"/>
      <c r="F1091" s="330">
        <v>176.6</v>
      </c>
      <c r="G1091" s="644">
        <f t="shared" si="163"/>
        <v>176.6</v>
      </c>
      <c r="H1091" s="865">
        <v>0</v>
      </c>
      <c r="I1091" s="330">
        <v>0</v>
      </c>
      <c r="J1091" s="403">
        <f t="shared" si="162"/>
        <v>0</v>
      </c>
      <c r="K1091" s="403">
        <f t="shared" si="160"/>
        <v>0</v>
      </c>
      <c r="L1091" s="425">
        <f t="shared" si="159"/>
        <v>0</v>
      </c>
      <c r="M1091" s="177">
        <f t="shared" si="164"/>
        <v>0</v>
      </c>
      <c r="N1091" s="427">
        <f t="shared" si="161"/>
        <v>0</v>
      </c>
      <c r="O1091" s="427">
        <v>0</v>
      </c>
      <c r="P1091" s="177">
        <f t="shared" si="165"/>
        <v>0</v>
      </c>
      <c r="Q1091" s="177">
        <f t="shared" si="166"/>
        <v>0</v>
      </c>
      <c r="R1091" s="431">
        <f t="shared" si="158"/>
        <v>0</v>
      </c>
      <c r="S1091" s="468">
        <v>1</v>
      </c>
      <c r="T1091" s="127"/>
      <c r="U1091" s="127"/>
      <c r="V1091" s="127"/>
      <c r="W1091" s="127"/>
      <c r="X1091" s="127"/>
      <c r="Y1091" s="127"/>
    </row>
    <row r="1092" spans="1:25" s="6" customFormat="1" ht="15.75" customHeight="1">
      <c r="A1092" s="285">
        <v>212</v>
      </c>
      <c r="B1092" s="329" t="s">
        <v>1048</v>
      </c>
      <c r="C1092" s="803">
        <v>111.5</v>
      </c>
      <c r="D1092" s="391"/>
      <c r="E1092" s="804"/>
      <c r="F1092" s="330">
        <v>101.5</v>
      </c>
      <c r="G1092" s="644">
        <f t="shared" si="163"/>
        <v>111.5</v>
      </c>
      <c r="H1092" s="865">
        <v>0</v>
      </c>
      <c r="I1092" s="330">
        <v>0</v>
      </c>
      <c r="J1092" s="403">
        <f t="shared" si="162"/>
        <v>0</v>
      </c>
      <c r="K1092" s="403">
        <f t="shared" si="160"/>
        <v>0</v>
      </c>
      <c r="L1092" s="425">
        <f t="shared" si="159"/>
        <v>0</v>
      </c>
      <c r="M1092" s="177">
        <f t="shared" si="164"/>
        <v>0</v>
      </c>
      <c r="N1092" s="427">
        <f t="shared" si="161"/>
        <v>0</v>
      </c>
      <c r="O1092" s="427">
        <v>0</v>
      </c>
      <c r="P1092" s="177">
        <f t="shared" si="165"/>
        <v>0</v>
      </c>
      <c r="Q1092" s="177">
        <f t="shared" si="166"/>
        <v>0</v>
      </c>
      <c r="R1092" s="431">
        <f t="shared" si="158"/>
        <v>0</v>
      </c>
      <c r="S1092" s="468">
        <v>1</v>
      </c>
      <c r="T1092" s="127"/>
      <c r="U1092" s="127"/>
      <c r="V1092" s="127"/>
      <c r="W1092" s="127"/>
      <c r="X1092" s="127"/>
      <c r="Y1092" s="127"/>
    </row>
    <row r="1093" spans="1:25" s="6" customFormat="1" ht="15.75" customHeight="1">
      <c r="A1093" s="285">
        <v>213</v>
      </c>
      <c r="B1093" s="329" t="s">
        <v>1049</v>
      </c>
      <c r="C1093" s="803">
        <v>94.2</v>
      </c>
      <c r="D1093" s="391"/>
      <c r="E1093" s="804"/>
      <c r="F1093" s="330">
        <v>94.2</v>
      </c>
      <c r="G1093" s="644">
        <f t="shared" si="163"/>
        <v>94.2</v>
      </c>
      <c r="H1093" s="865">
        <v>0</v>
      </c>
      <c r="I1093" s="330">
        <v>0</v>
      </c>
      <c r="J1093" s="403">
        <f t="shared" si="162"/>
        <v>0</v>
      </c>
      <c r="K1093" s="403">
        <f t="shared" si="160"/>
        <v>0</v>
      </c>
      <c r="L1093" s="425">
        <f t="shared" si="159"/>
        <v>0</v>
      </c>
      <c r="M1093" s="177">
        <f t="shared" si="164"/>
        <v>0</v>
      </c>
      <c r="N1093" s="427">
        <f t="shared" si="161"/>
        <v>0</v>
      </c>
      <c r="O1093" s="427">
        <v>0</v>
      </c>
      <c r="P1093" s="177">
        <f t="shared" si="165"/>
        <v>0</v>
      </c>
      <c r="Q1093" s="177">
        <f t="shared" si="166"/>
        <v>0</v>
      </c>
      <c r="R1093" s="431">
        <f t="shared" si="158"/>
        <v>0</v>
      </c>
      <c r="S1093" s="468">
        <v>1</v>
      </c>
      <c r="T1093" s="127"/>
      <c r="U1093" s="127"/>
      <c r="V1093" s="127"/>
      <c r="W1093" s="127"/>
      <c r="X1093" s="127"/>
      <c r="Y1093" s="127"/>
    </row>
    <row r="1094" spans="1:25" s="6" customFormat="1" ht="15.75" customHeight="1">
      <c r="A1094" s="285">
        <v>214</v>
      </c>
      <c r="B1094" s="329" t="s">
        <v>1050</v>
      </c>
      <c r="C1094" s="803">
        <v>131.4</v>
      </c>
      <c r="D1094" s="391"/>
      <c r="E1094" s="804"/>
      <c r="F1094" s="330">
        <v>134.6</v>
      </c>
      <c r="G1094" s="644">
        <f t="shared" si="163"/>
        <v>131.4</v>
      </c>
      <c r="H1094" s="865">
        <v>0</v>
      </c>
      <c r="I1094" s="330">
        <v>0</v>
      </c>
      <c r="J1094" s="403">
        <f t="shared" si="162"/>
        <v>0</v>
      </c>
      <c r="K1094" s="403">
        <f t="shared" si="160"/>
        <v>0</v>
      </c>
      <c r="L1094" s="425">
        <f t="shared" si="159"/>
        <v>0</v>
      </c>
      <c r="M1094" s="177">
        <f t="shared" si="164"/>
        <v>0</v>
      </c>
      <c r="N1094" s="427">
        <f t="shared" si="161"/>
        <v>0</v>
      </c>
      <c r="O1094" s="427">
        <v>0</v>
      </c>
      <c r="P1094" s="177">
        <f t="shared" si="165"/>
        <v>0</v>
      </c>
      <c r="Q1094" s="177">
        <f t="shared" si="166"/>
        <v>0</v>
      </c>
      <c r="R1094" s="431">
        <f t="shared" si="158"/>
        <v>0</v>
      </c>
      <c r="S1094" s="468">
        <v>1</v>
      </c>
      <c r="T1094" s="127"/>
      <c r="U1094" s="127"/>
      <c r="V1094" s="127"/>
      <c r="W1094" s="127"/>
      <c r="X1094" s="127"/>
      <c r="Y1094" s="127"/>
    </row>
    <row r="1095" spans="1:25" s="6" customFormat="1" ht="15.75" customHeight="1">
      <c r="A1095" s="285">
        <v>215</v>
      </c>
      <c r="B1095" s="329" t="s">
        <v>1051</v>
      </c>
      <c r="C1095" s="803">
        <v>87.9</v>
      </c>
      <c r="D1095" s="391"/>
      <c r="E1095" s="804"/>
      <c r="F1095" s="330">
        <v>87.9</v>
      </c>
      <c r="G1095" s="644">
        <f t="shared" si="163"/>
        <v>87.9</v>
      </c>
      <c r="H1095" s="865">
        <v>0</v>
      </c>
      <c r="I1095" s="330">
        <v>0</v>
      </c>
      <c r="J1095" s="403">
        <f t="shared" si="162"/>
        <v>0</v>
      </c>
      <c r="K1095" s="403">
        <f t="shared" si="160"/>
        <v>0</v>
      </c>
      <c r="L1095" s="425">
        <f t="shared" si="159"/>
        <v>0</v>
      </c>
      <c r="M1095" s="177">
        <f t="shared" si="164"/>
        <v>0</v>
      </c>
      <c r="N1095" s="427">
        <f t="shared" si="161"/>
        <v>0</v>
      </c>
      <c r="O1095" s="427">
        <v>0</v>
      </c>
      <c r="P1095" s="177">
        <f t="shared" si="165"/>
        <v>0</v>
      </c>
      <c r="Q1095" s="177">
        <f t="shared" si="166"/>
        <v>0</v>
      </c>
      <c r="R1095" s="431">
        <f t="shared" ref="R1095:R1158" si="167">(M1095+N1095+O1095+P1095)/C1095</f>
        <v>0</v>
      </c>
      <c r="S1095" s="468">
        <v>2</v>
      </c>
      <c r="T1095" s="127"/>
      <c r="U1095" s="127"/>
      <c r="V1095" s="127"/>
      <c r="W1095" s="127"/>
      <c r="X1095" s="127"/>
      <c r="Y1095" s="127"/>
    </row>
    <row r="1096" spans="1:25" s="6" customFormat="1" ht="15.75" customHeight="1">
      <c r="A1096" s="285">
        <v>216</v>
      </c>
      <c r="B1096" s="329" t="s">
        <v>1052</v>
      </c>
      <c r="C1096" s="803">
        <v>69.599999999999994</v>
      </c>
      <c r="D1096" s="391"/>
      <c r="E1096" s="804"/>
      <c r="F1096" s="330">
        <v>69.599999999999994</v>
      </c>
      <c r="G1096" s="644">
        <f t="shared" si="163"/>
        <v>69.599999999999994</v>
      </c>
      <c r="H1096" s="865">
        <v>0</v>
      </c>
      <c r="I1096" s="330">
        <v>0</v>
      </c>
      <c r="J1096" s="403">
        <f t="shared" si="162"/>
        <v>0</v>
      </c>
      <c r="K1096" s="403">
        <f t="shared" si="160"/>
        <v>0</v>
      </c>
      <c r="L1096" s="425">
        <f t="shared" si="159"/>
        <v>0</v>
      </c>
      <c r="M1096" s="177">
        <f t="shared" si="164"/>
        <v>0</v>
      </c>
      <c r="N1096" s="427">
        <f t="shared" si="161"/>
        <v>0</v>
      </c>
      <c r="O1096" s="427">
        <v>0</v>
      </c>
      <c r="P1096" s="177">
        <f t="shared" si="165"/>
        <v>0</v>
      </c>
      <c r="Q1096" s="177">
        <f t="shared" si="166"/>
        <v>0</v>
      </c>
      <c r="R1096" s="431">
        <f t="shared" si="167"/>
        <v>0</v>
      </c>
      <c r="S1096" s="468">
        <v>2</v>
      </c>
      <c r="T1096" s="127"/>
      <c r="U1096" s="127"/>
      <c r="V1096" s="127"/>
      <c r="W1096" s="127"/>
      <c r="X1096" s="127"/>
      <c r="Y1096" s="127"/>
    </row>
    <row r="1097" spans="1:25" s="6" customFormat="1" ht="15.75" customHeight="1">
      <c r="A1097" s="285">
        <v>217</v>
      </c>
      <c r="B1097" s="329" t="s">
        <v>1053</v>
      </c>
      <c r="C1097" s="803">
        <v>101.5</v>
      </c>
      <c r="D1097" s="391"/>
      <c r="E1097" s="804"/>
      <c r="F1097" s="330">
        <v>101.5</v>
      </c>
      <c r="G1097" s="644">
        <f t="shared" si="163"/>
        <v>101.5</v>
      </c>
      <c r="H1097" s="865">
        <v>0</v>
      </c>
      <c r="I1097" s="330">
        <v>0</v>
      </c>
      <c r="J1097" s="403">
        <f t="shared" si="162"/>
        <v>0</v>
      </c>
      <c r="K1097" s="403">
        <f t="shared" si="160"/>
        <v>0</v>
      </c>
      <c r="L1097" s="425">
        <f t="shared" si="159"/>
        <v>0</v>
      </c>
      <c r="M1097" s="177">
        <f t="shared" si="164"/>
        <v>0</v>
      </c>
      <c r="N1097" s="427">
        <f t="shared" si="161"/>
        <v>0</v>
      </c>
      <c r="O1097" s="427">
        <v>0</v>
      </c>
      <c r="P1097" s="177">
        <f t="shared" si="165"/>
        <v>0</v>
      </c>
      <c r="Q1097" s="177">
        <f t="shared" si="166"/>
        <v>0</v>
      </c>
      <c r="R1097" s="431">
        <f t="shared" si="167"/>
        <v>0</v>
      </c>
      <c r="S1097" s="468">
        <v>1</v>
      </c>
      <c r="T1097" s="127"/>
      <c r="U1097" s="127"/>
      <c r="V1097" s="127"/>
      <c r="W1097" s="127"/>
      <c r="X1097" s="127"/>
      <c r="Y1097" s="127"/>
    </row>
    <row r="1098" spans="1:25" s="6" customFormat="1" ht="15.75" customHeight="1">
      <c r="A1098" s="285">
        <v>218</v>
      </c>
      <c r="B1098" s="329" t="s">
        <v>1054</v>
      </c>
      <c r="C1098" s="803">
        <v>237.8</v>
      </c>
      <c r="D1098" s="391"/>
      <c r="E1098" s="804"/>
      <c r="F1098" s="330">
        <v>237.8</v>
      </c>
      <c r="G1098" s="644">
        <f t="shared" si="163"/>
        <v>237.8</v>
      </c>
      <c r="H1098" s="865">
        <v>0</v>
      </c>
      <c r="I1098" s="330">
        <v>0</v>
      </c>
      <c r="J1098" s="403">
        <f t="shared" si="162"/>
        <v>0</v>
      </c>
      <c r="K1098" s="403">
        <f t="shared" si="160"/>
        <v>0</v>
      </c>
      <c r="L1098" s="425">
        <f t="shared" si="159"/>
        <v>0</v>
      </c>
      <c r="M1098" s="177">
        <f t="shared" si="164"/>
        <v>0</v>
      </c>
      <c r="N1098" s="427">
        <f t="shared" si="161"/>
        <v>0</v>
      </c>
      <c r="O1098" s="427">
        <v>0</v>
      </c>
      <c r="P1098" s="177">
        <f t="shared" si="165"/>
        <v>0</v>
      </c>
      <c r="Q1098" s="177">
        <f t="shared" si="166"/>
        <v>0</v>
      </c>
      <c r="R1098" s="431">
        <f t="shared" si="167"/>
        <v>0</v>
      </c>
      <c r="S1098" s="468">
        <v>2</v>
      </c>
      <c r="T1098" s="127"/>
      <c r="U1098" s="127"/>
      <c r="V1098" s="127"/>
      <c r="W1098" s="127"/>
      <c r="X1098" s="127"/>
      <c r="Y1098" s="127"/>
    </row>
    <row r="1099" spans="1:25" s="6" customFormat="1" ht="15.75" customHeight="1">
      <c r="A1099" s="285">
        <v>219</v>
      </c>
      <c r="B1099" s="329" t="s">
        <v>1055</v>
      </c>
      <c r="C1099" s="803">
        <v>96.6</v>
      </c>
      <c r="D1099" s="391"/>
      <c r="E1099" s="804"/>
      <c r="F1099" s="330">
        <v>96.6</v>
      </c>
      <c r="G1099" s="644">
        <f t="shared" si="163"/>
        <v>96.6</v>
      </c>
      <c r="H1099" s="865">
        <v>0</v>
      </c>
      <c r="I1099" s="330">
        <v>0</v>
      </c>
      <c r="J1099" s="403">
        <f t="shared" si="162"/>
        <v>0</v>
      </c>
      <c r="K1099" s="403">
        <f t="shared" si="160"/>
        <v>0</v>
      </c>
      <c r="L1099" s="425">
        <f t="shared" si="159"/>
        <v>0</v>
      </c>
      <c r="M1099" s="177">
        <f t="shared" si="164"/>
        <v>0</v>
      </c>
      <c r="N1099" s="427">
        <f t="shared" si="161"/>
        <v>0</v>
      </c>
      <c r="O1099" s="427">
        <v>0</v>
      </c>
      <c r="P1099" s="177">
        <f t="shared" si="165"/>
        <v>0</v>
      </c>
      <c r="Q1099" s="177">
        <f t="shared" si="166"/>
        <v>0</v>
      </c>
      <c r="R1099" s="431">
        <f t="shared" si="167"/>
        <v>0</v>
      </c>
      <c r="S1099" s="468">
        <v>2</v>
      </c>
      <c r="T1099" s="127"/>
      <c r="U1099" s="127"/>
      <c r="V1099" s="127"/>
      <c r="W1099" s="127"/>
      <c r="X1099" s="127"/>
      <c r="Y1099" s="127"/>
    </row>
    <row r="1100" spans="1:25" s="6" customFormat="1" ht="15.75" customHeight="1">
      <c r="A1100" s="285">
        <v>220</v>
      </c>
      <c r="B1100" s="329" t="s">
        <v>1056</v>
      </c>
      <c r="C1100" s="803">
        <v>120.2</v>
      </c>
      <c r="D1100" s="391"/>
      <c r="E1100" s="804"/>
      <c r="F1100" s="330">
        <v>120.2</v>
      </c>
      <c r="G1100" s="644">
        <f t="shared" si="163"/>
        <v>120.2</v>
      </c>
      <c r="H1100" s="865">
        <v>0</v>
      </c>
      <c r="I1100" s="330">
        <v>0</v>
      </c>
      <c r="J1100" s="403">
        <f t="shared" si="162"/>
        <v>0</v>
      </c>
      <c r="K1100" s="403">
        <f t="shared" si="160"/>
        <v>0</v>
      </c>
      <c r="L1100" s="425">
        <f t="shared" si="159"/>
        <v>0</v>
      </c>
      <c r="M1100" s="177">
        <f t="shared" si="164"/>
        <v>0</v>
      </c>
      <c r="N1100" s="427">
        <f t="shared" si="161"/>
        <v>0</v>
      </c>
      <c r="O1100" s="427">
        <v>0</v>
      </c>
      <c r="P1100" s="177">
        <f t="shared" si="165"/>
        <v>0</v>
      </c>
      <c r="Q1100" s="177">
        <f t="shared" si="166"/>
        <v>0</v>
      </c>
      <c r="R1100" s="431">
        <f t="shared" si="167"/>
        <v>0</v>
      </c>
      <c r="S1100" s="468">
        <v>2</v>
      </c>
      <c r="T1100" s="127"/>
      <c r="U1100" s="127"/>
      <c r="V1100" s="127"/>
      <c r="W1100" s="127"/>
      <c r="X1100" s="127"/>
      <c r="Y1100" s="127"/>
    </row>
    <row r="1101" spans="1:25" s="6" customFormat="1" ht="15.75" customHeight="1">
      <c r="A1101" s="285">
        <v>221</v>
      </c>
      <c r="B1101" s="329" t="s">
        <v>1057</v>
      </c>
      <c r="C1101" s="803">
        <v>340.3</v>
      </c>
      <c r="D1101" s="391"/>
      <c r="E1101" s="804"/>
      <c r="F1101" s="330">
        <v>340.3</v>
      </c>
      <c r="G1101" s="644">
        <f t="shared" si="163"/>
        <v>340.3</v>
      </c>
      <c r="H1101" s="865">
        <v>0</v>
      </c>
      <c r="I1101" s="330">
        <v>0</v>
      </c>
      <c r="J1101" s="403">
        <f t="shared" si="162"/>
        <v>0</v>
      </c>
      <c r="K1101" s="403">
        <f t="shared" si="160"/>
        <v>0</v>
      </c>
      <c r="L1101" s="425">
        <f t="shared" si="159"/>
        <v>0</v>
      </c>
      <c r="M1101" s="177">
        <f t="shared" si="164"/>
        <v>0</v>
      </c>
      <c r="N1101" s="427">
        <f t="shared" si="161"/>
        <v>0</v>
      </c>
      <c r="O1101" s="427">
        <v>0</v>
      </c>
      <c r="P1101" s="177">
        <f t="shared" si="165"/>
        <v>0</v>
      </c>
      <c r="Q1101" s="177">
        <f t="shared" si="166"/>
        <v>0</v>
      </c>
      <c r="R1101" s="431">
        <f t="shared" si="167"/>
        <v>0</v>
      </c>
      <c r="S1101" s="468">
        <v>2</v>
      </c>
      <c r="T1101" s="127"/>
      <c r="U1101" s="127"/>
      <c r="V1101" s="127"/>
      <c r="W1101" s="127"/>
      <c r="X1101" s="127"/>
      <c r="Y1101" s="127"/>
    </row>
    <row r="1102" spans="1:25" s="6" customFormat="1" ht="15.75" customHeight="1">
      <c r="A1102" s="285">
        <v>222</v>
      </c>
      <c r="B1102" s="329" t="s">
        <v>1058</v>
      </c>
      <c r="C1102" s="803">
        <v>264.89999999999998</v>
      </c>
      <c r="D1102" s="391"/>
      <c r="E1102" s="804"/>
      <c r="F1102" s="330">
        <v>264.10000000000002</v>
      </c>
      <c r="G1102" s="644">
        <f t="shared" si="163"/>
        <v>264.89999999999998</v>
      </c>
      <c r="H1102" s="865">
        <v>0</v>
      </c>
      <c r="I1102" s="330">
        <v>0</v>
      </c>
      <c r="J1102" s="403">
        <f t="shared" si="162"/>
        <v>0</v>
      </c>
      <c r="K1102" s="403">
        <f t="shared" si="160"/>
        <v>0</v>
      </c>
      <c r="L1102" s="425">
        <f t="shared" si="159"/>
        <v>0</v>
      </c>
      <c r="M1102" s="177">
        <f t="shared" si="164"/>
        <v>0</v>
      </c>
      <c r="N1102" s="427">
        <f t="shared" si="161"/>
        <v>0</v>
      </c>
      <c r="O1102" s="427">
        <v>0</v>
      </c>
      <c r="P1102" s="177">
        <f t="shared" si="165"/>
        <v>0</v>
      </c>
      <c r="Q1102" s="177">
        <f t="shared" si="166"/>
        <v>0</v>
      </c>
      <c r="R1102" s="431">
        <f t="shared" si="167"/>
        <v>0</v>
      </c>
      <c r="S1102" s="468">
        <v>2</v>
      </c>
      <c r="T1102" s="127"/>
      <c r="U1102" s="127"/>
      <c r="V1102" s="127"/>
      <c r="W1102" s="127"/>
      <c r="X1102" s="127"/>
      <c r="Y1102" s="127"/>
    </row>
    <row r="1103" spans="1:25" s="6" customFormat="1" ht="15.75" customHeight="1">
      <c r="A1103" s="285">
        <v>223</v>
      </c>
      <c r="B1103" s="329" t="s">
        <v>1059</v>
      </c>
      <c r="C1103" s="803">
        <v>299.7</v>
      </c>
      <c r="D1103" s="391"/>
      <c r="E1103" s="804"/>
      <c r="F1103" s="330">
        <v>299.2</v>
      </c>
      <c r="G1103" s="644">
        <f t="shared" si="163"/>
        <v>299.7</v>
      </c>
      <c r="H1103" s="865">
        <v>0</v>
      </c>
      <c r="I1103" s="330">
        <v>0</v>
      </c>
      <c r="J1103" s="403">
        <f t="shared" si="162"/>
        <v>0</v>
      </c>
      <c r="K1103" s="403">
        <f t="shared" si="160"/>
        <v>0</v>
      </c>
      <c r="L1103" s="425">
        <f t="shared" si="159"/>
        <v>0</v>
      </c>
      <c r="M1103" s="177">
        <f t="shared" si="164"/>
        <v>0</v>
      </c>
      <c r="N1103" s="427">
        <f t="shared" si="161"/>
        <v>0</v>
      </c>
      <c r="O1103" s="427">
        <v>0</v>
      </c>
      <c r="P1103" s="177">
        <f t="shared" si="165"/>
        <v>0</v>
      </c>
      <c r="Q1103" s="177">
        <f t="shared" si="166"/>
        <v>0</v>
      </c>
      <c r="R1103" s="431">
        <f t="shared" si="167"/>
        <v>0</v>
      </c>
      <c r="S1103" s="468">
        <v>2</v>
      </c>
      <c r="T1103" s="127"/>
      <c r="U1103" s="127"/>
      <c r="V1103" s="127"/>
      <c r="W1103" s="127"/>
      <c r="X1103" s="127"/>
      <c r="Y1103" s="127"/>
    </row>
    <row r="1104" spans="1:25" s="6" customFormat="1" ht="15.75" customHeight="1">
      <c r="A1104" s="285">
        <v>224</v>
      </c>
      <c r="B1104" s="329" t="s">
        <v>1060</v>
      </c>
      <c r="C1104" s="803">
        <v>143.69999999999999</v>
      </c>
      <c r="D1104" s="391"/>
      <c r="E1104" s="804"/>
      <c r="F1104" s="330">
        <v>143.69999999999999</v>
      </c>
      <c r="G1104" s="644">
        <f t="shared" si="163"/>
        <v>143.69999999999999</v>
      </c>
      <c r="H1104" s="865">
        <v>0</v>
      </c>
      <c r="I1104" s="330">
        <v>0</v>
      </c>
      <c r="J1104" s="403">
        <f t="shared" si="162"/>
        <v>0</v>
      </c>
      <c r="K1104" s="403">
        <f t="shared" si="160"/>
        <v>0</v>
      </c>
      <c r="L1104" s="425">
        <f t="shared" si="159"/>
        <v>0</v>
      </c>
      <c r="M1104" s="177">
        <f t="shared" si="164"/>
        <v>0</v>
      </c>
      <c r="N1104" s="427">
        <f t="shared" si="161"/>
        <v>0</v>
      </c>
      <c r="O1104" s="427">
        <v>0</v>
      </c>
      <c r="P1104" s="177">
        <f t="shared" si="165"/>
        <v>0</v>
      </c>
      <c r="Q1104" s="177">
        <f t="shared" si="166"/>
        <v>0</v>
      </c>
      <c r="R1104" s="431">
        <f t="shared" si="167"/>
        <v>0</v>
      </c>
      <c r="S1104" s="468">
        <v>2</v>
      </c>
      <c r="T1104" s="127"/>
      <c r="U1104" s="127"/>
      <c r="V1104" s="127"/>
      <c r="W1104" s="127"/>
      <c r="X1104" s="127"/>
      <c r="Y1104" s="127"/>
    </row>
    <row r="1105" spans="1:25" s="6" customFormat="1" ht="15.75" customHeight="1">
      <c r="A1105" s="285">
        <v>225</v>
      </c>
      <c r="B1105" s="329" t="s">
        <v>1061</v>
      </c>
      <c r="C1105" s="803">
        <v>295.10000000000002</v>
      </c>
      <c r="D1105" s="391"/>
      <c r="E1105" s="804"/>
      <c r="F1105" s="330">
        <v>295.10000000000002</v>
      </c>
      <c r="G1105" s="644">
        <f t="shared" si="163"/>
        <v>295.10000000000002</v>
      </c>
      <c r="H1105" s="865">
        <v>0</v>
      </c>
      <c r="I1105" s="330">
        <v>0</v>
      </c>
      <c r="J1105" s="403">
        <f t="shared" si="162"/>
        <v>0</v>
      </c>
      <c r="K1105" s="403">
        <f t="shared" si="160"/>
        <v>0</v>
      </c>
      <c r="L1105" s="425">
        <f t="shared" si="159"/>
        <v>0</v>
      </c>
      <c r="M1105" s="177">
        <f t="shared" si="164"/>
        <v>0</v>
      </c>
      <c r="N1105" s="427">
        <f t="shared" si="161"/>
        <v>0</v>
      </c>
      <c r="O1105" s="427">
        <v>0</v>
      </c>
      <c r="P1105" s="177">
        <f t="shared" si="165"/>
        <v>0</v>
      </c>
      <c r="Q1105" s="177">
        <f t="shared" si="166"/>
        <v>0</v>
      </c>
      <c r="R1105" s="431">
        <f t="shared" si="167"/>
        <v>0</v>
      </c>
      <c r="S1105" s="468">
        <v>2</v>
      </c>
      <c r="T1105" s="127"/>
      <c r="U1105" s="127"/>
      <c r="V1105" s="127"/>
      <c r="W1105" s="127"/>
      <c r="X1105" s="127"/>
      <c r="Y1105" s="127"/>
    </row>
    <row r="1106" spans="1:25" s="6" customFormat="1" ht="15.75" customHeight="1">
      <c r="A1106" s="285">
        <v>226</v>
      </c>
      <c r="B1106" s="329" t="s">
        <v>1062</v>
      </c>
      <c r="C1106" s="803">
        <v>148.69999999999999</v>
      </c>
      <c r="D1106" s="391"/>
      <c r="E1106" s="804"/>
      <c r="F1106" s="330">
        <v>148.69999999999999</v>
      </c>
      <c r="G1106" s="644">
        <f t="shared" si="163"/>
        <v>148.69999999999999</v>
      </c>
      <c r="H1106" s="865">
        <v>0</v>
      </c>
      <c r="I1106" s="330">
        <v>0</v>
      </c>
      <c r="J1106" s="403">
        <f t="shared" si="162"/>
        <v>0</v>
      </c>
      <c r="K1106" s="403">
        <f t="shared" si="160"/>
        <v>0</v>
      </c>
      <c r="L1106" s="425">
        <f t="shared" si="159"/>
        <v>0</v>
      </c>
      <c r="M1106" s="177">
        <f t="shared" si="164"/>
        <v>0</v>
      </c>
      <c r="N1106" s="427">
        <f t="shared" si="161"/>
        <v>0</v>
      </c>
      <c r="O1106" s="427">
        <v>0</v>
      </c>
      <c r="P1106" s="177">
        <f t="shared" si="165"/>
        <v>0</v>
      </c>
      <c r="Q1106" s="177">
        <f t="shared" si="166"/>
        <v>0</v>
      </c>
      <c r="R1106" s="431">
        <f t="shared" si="167"/>
        <v>0</v>
      </c>
      <c r="S1106" s="468">
        <v>2</v>
      </c>
      <c r="T1106" s="127"/>
      <c r="U1106" s="127"/>
      <c r="V1106" s="127"/>
      <c r="W1106" s="127"/>
      <c r="X1106" s="127"/>
      <c r="Y1106" s="127"/>
    </row>
    <row r="1107" spans="1:25" s="6" customFormat="1" ht="15.75" customHeight="1">
      <c r="A1107" s="285">
        <v>227</v>
      </c>
      <c r="B1107" s="329" t="s">
        <v>1063</v>
      </c>
      <c r="C1107" s="803">
        <v>339.7</v>
      </c>
      <c r="D1107" s="391"/>
      <c r="E1107" s="804"/>
      <c r="F1107" s="330">
        <v>336.4</v>
      </c>
      <c r="G1107" s="644">
        <f t="shared" si="163"/>
        <v>339.7</v>
      </c>
      <c r="H1107" s="865">
        <v>0</v>
      </c>
      <c r="I1107" s="330">
        <v>0</v>
      </c>
      <c r="J1107" s="403">
        <f t="shared" si="162"/>
        <v>0</v>
      </c>
      <c r="K1107" s="403">
        <f t="shared" si="160"/>
        <v>0</v>
      </c>
      <c r="L1107" s="425">
        <f t="shared" si="159"/>
        <v>0</v>
      </c>
      <c r="M1107" s="177">
        <f t="shared" si="164"/>
        <v>0</v>
      </c>
      <c r="N1107" s="427">
        <f t="shared" si="161"/>
        <v>0</v>
      </c>
      <c r="O1107" s="427">
        <v>0</v>
      </c>
      <c r="P1107" s="177">
        <f t="shared" si="165"/>
        <v>0</v>
      </c>
      <c r="Q1107" s="177">
        <f t="shared" si="166"/>
        <v>0</v>
      </c>
      <c r="R1107" s="431">
        <f t="shared" si="167"/>
        <v>0</v>
      </c>
      <c r="S1107" s="468">
        <v>2</v>
      </c>
      <c r="T1107" s="127"/>
      <c r="U1107" s="127"/>
      <c r="V1107" s="127"/>
      <c r="W1107" s="127"/>
      <c r="X1107" s="127"/>
      <c r="Y1107" s="127"/>
    </row>
    <row r="1108" spans="1:25" s="6" customFormat="1" ht="15.75" customHeight="1">
      <c r="A1108" s="285">
        <v>228</v>
      </c>
      <c r="B1108" s="329" t="s">
        <v>1064</v>
      </c>
      <c r="C1108" s="803">
        <v>197.6</v>
      </c>
      <c r="D1108" s="391"/>
      <c r="E1108" s="804"/>
      <c r="F1108" s="330">
        <v>197.6</v>
      </c>
      <c r="G1108" s="644">
        <f t="shared" si="163"/>
        <v>197.6</v>
      </c>
      <c r="H1108" s="865">
        <v>0</v>
      </c>
      <c r="I1108" s="330">
        <v>0</v>
      </c>
      <c r="J1108" s="403">
        <f t="shared" si="162"/>
        <v>0</v>
      </c>
      <c r="K1108" s="403">
        <f t="shared" si="160"/>
        <v>0</v>
      </c>
      <c r="L1108" s="425">
        <f t="shared" si="159"/>
        <v>0</v>
      </c>
      <c r="M1108" s="177">
        <f t="shared" si="164"/>
        <v>0</v>
      </c>
      <c r="N1108" s="427">
        <f t="shared" si="161"/>
        <v>0</v>
      </c>
      <c r="O1108" s="427">
        <v>0</v>
      </c>
      <c r="P1108" s="177">
        <f t="shared" si="165"/>
        <v>0</v>
      </c>
      <c r="Q1108" s="177">
        <f t="shared" si="166"/>
        <v>0</v>
      </c>
      <c r="R1108" s="431">
        <f t="shared" si="167"/>
        <v>0</v>
      </c>
      <c r="S1108" s="468">
        <v>2</v>
      </c>
      <c r="T1108" s="127"/>
      <c r="U1108" s="127"/>
      <c r="V1108" s="127"/>
      <c r="W1108" s="127"/>
      <c r="X1108" s="127"/>
      <c r="Y1108" s="127"/>
    </row>
    <row r="1109" spans="1:25" s="6" customFormat="1" ht="15.75" customHeight="1">
      <c r="A1109" s="285">
        <v>229</v>
      </c>
      <c r="B1109" s="329" t="s">
        <v>1065</v>
      </c>
      <c r="C1109" s="806">
        <v>251</v>
      </c>
      <c r="D1109" s="391"/>
      <c r="E1109" s="804"/>
      <c r="F1109" s="330">
        <v>251</v>
      </c>
      <c r="G1109" s="644">
        <f t="shared" si="163"/>
        <v>251</v>
      </c>
      <c r="H1109" s="865">
        <v>0</v>
      </c>
      <c r="I1109" s="330">
        <v>0</v>
      </c>
      <c r="J1109" s="403">
        <f t="shared" si="162"/>
        <v>0</v>
      </c>
      <c r="K1109" s="403">
        <f t="shared" si="160"/>
        <v>0</v>
      </c>
      <c r="L1109" s="425">
        <f t="shared" si="159"/>
        <v>0</v>
      </c>
      <c r="M1109" s="177">
        <f t="shared" si="164"/>
        <v>0</v>
      </c>
      <c r="N1109" s="427">
        <f t="shared" si="161"/>
        <v>0</v>
      </c>
      <c r="O1109" s="427">
        <v>0</v>
      </c>
      <c r="P1109" s="177">
        <f t="shared" si="165"/>
        <v>0</v>
      </c>
      <c r="Q1109" s="177">
        <f t="shared" si="166"/>
        <v>0</v>
      </c>
      <c r="R1109" s="431">
        <f t="shared" si="167"/>
        <v>0</v>
      </c>
      <c r="S1109" s="468">
        <v>2</v>
      </c>
      <c r="T1109" s="127"/>
      <c r="U1109" s="127"/>
      <c r="V1109" s="127"/>
      <c r="W1109" s="127"/>
      <c r="X1109" s="127"/>
      <c r="Y1109" s="127"/>
    </row>
    <row r="1110" spans="1:25" s="6" customFormat="1" ht="15.75" customHeight="1">
      <c r="A1110" s="285">
        <v>230</v>
      </c>
      <c r="B1110" s="329" t="s">
        <v>1066</v>
      </c>
      <c r="C1110" s="803">
        <v>172.7</v>
      </c>
      <c r="D1110" s="391"/>
      <c r="E1110" s="804"/>
      <c r="F1110" s="330">
        <v>172.7</v>
      </c>
      <c r="G1110" s="644">
        <f t="shared" si="163"/>
        <v>172.7</v>
      </c>
      <c r="H1110" s="865">
        <v>0</v>
      </c>
      <c r="I1110" s="330">
        <v>0</v>
      </c>
      <c r="J1110" s="403">
        <f t="shared" si="162"/>
        <v>0</v>
      </c>
      <c r="K1110" s="403">
        <f t="shared" si="160"/>
        <v>0</v>
      </c>
      <c r="L1110" s="425">
        <f t="shared" si="159"/>
        <v>0</v>
      </c>
      <c r="M1110" s="177">
        <f t="shared" si="164"/>
        <v>0</v>
      </c>
      <c r="N1110" s="427">
        <f t="shared" si="161"/>
        <v>0</v>
      </c>
      <c r="O1110" s="427">
        <v>0</v>
      </c>
      <c r="P1110" s="177">
        <f t="shared" si="165"/>
        <v>0</v>
      </c>
      <c r="Q1110" s="177">
        <f t="shared" si="166"/>
        <v>0</v>
      </c>
      <c r="R1110" s="431">
        <f t="shared" si="167"/>
        <v>0</v>
      </c>
      <c r="S1110" s="468">
        <v>2</v>
      </c>
      <c r="T1110" s="127"/>
      <c r="U1110" s="127"/>
      <c r="V1110" s="127"/>
      <c r="W1110" s="127"/>
      <c r="X1110" s="127"/>
      <c r="Y1110" s="127"/>
    </row>
    <row r="1111" spans="1:25" s="6" customFormat="1" ht="15.75" customHeight="1">
      <c r="A1111" s="285">
        <v>231</v>
      </c>
      <c r="B1111" s="329" t="s">
        <v>1067</v>
      </c>
      <c r="C1111" s="803">
        <v>294.2</v>
      </c>
      <c r="D1111" s="391"/>
      <c r="E1111" s="804"/>
      <c r="F1111" s="330">
        <v>294.7</v>
      </c>
      <c r="G1111" s="644">
        <f t="shared" si="163"/>
        <v>294.2</v>
      </c>
      <c r="H1111" s="865">
        <v>0</v>
      </c>
      <c r="I1111" s="330">
        <v>0</v>
      </c>
      <c r="J1111" s="403">
        <f t="shared" si="162"/>
        <v>0</v>
      </c>
      <c r="K1111" s="403">
        <f t="shared" si="160"/>
        <v>0</v>
      </c>
      <c r="L1111" s="425">
        <f t="shared" si="159"/>
        <v>0</v>
      </c>
      <c r="M1111" s="177">
        <f t="shared" si="164"/>
        <v>0</v>
      </c>
      <c r="N1111" s="427">
        <f t="shared" si="161"/>
        <v>0</v>
      </c>
      <c r="O1111" s="427">
        <v>0</v>
      </c>
      <c r="P1111" s="177">
        <f t="shared" si="165"/>
        <v>0</v>
      </c>
      <c r="Q1111" s="177">
        <f t="shared" si="166"/>
        <v>0</v>
      </c>
      <c r="R1111" s="431">
        <f t="shared" si="167"/>
        <v>0</v>
      </c>
      <c r="S1111" s="468">
        <v>2</v>
      </c>
      <c r="T1111" s="127"/>
      <c r="U1111" s="127"/>
      <c r="V1111" s="127"/>
      <c r="W1111" s="127"/>
      <c r="X1111" s="127"/>
      <c r="Y1111" s="127"/>
    </row>
    <row r="1112" spans="1:25" s="6" customFormat="1" ht="15.75" customHeight="1">
      <c r="A1112" s="285">
        <v>232</v>
      </c>
      <c r="B1112" s="329" t="s">
        <v>1068</v>
      </c>
      <c r="C1112" s="803">
        <v>200.9</v>
      </c>
      <c r="D1112" s="391"/>
      <c r="E1112" s="804"/>
      <c r="F1112" s="330">
        <v>200.9</v>
      </c>
      <c r="G1112" s="644">
        <f t="shared" si="163"/>
        <v>200.9</v>
      </c>
      <c r="H1112" s="865">
        <v>0</v>
      </c>
      <c r="I1112" s="330">
        <v>0</v>
      </c>
      <c r="J1112" s="403">
        <f t="shared" si="162"/>
        <v>0</v>
      </c>
      <c r="K1112" s="403">
        <f t="shared" si="160"/>
        <v>0</v>
      </c>
      <c r="L1112" s="425">
        <f t="shared" si="159"/>
        <v>0</v>
      </c>
      <c r="M1112" s="177">
        <f t="shared" si="164"/>
        <v>0</v>
      </c>
      <c r="N1112" s="427">
        <f t="shared" si="161"/>
        <v>0</v>
      </c>
      <c r="O1112" s="427">
        <v>0</v>
      </c>
      <c r="P1112" s="177">
        <f t="shared" si="165"/>
        <v>0</v>
      </c>
      <c r="Q1112" s="177">
        <f t="shared" si="166"/>
        <v>0</v>
      </c>
      <c r="R1112" s="431">
        <f t="shared" si="167"/>
        <v>0</v>
      </c>
      <c r="S1112" s="468">
        <v>2</v>
      </c>
      <c r="T1112" s="127"/>
      <c r="U1112" s="127"/>
      <c r="V1112" s="127"/>
      <c r="W1112" s="127"/>
      <c r="X1112" s="127"/>
      <c r="Y1112" s="127"/>
    </row>
    <row r="1113" spans="1:25" s="6" customFormat="1" ht="15.75" customHeight="1">
      <c r="A1113" s="285">
        <v>233</v>
      </c>
      <c r="B1113" s="329" t="s">
        <v>1069</v>
      </c>
      <c r="C1113" s="803">
        <v>297.8</v>
      </c>
      <c r="D1113" s="391"/>
      <c r="E1113" s="804"/>
      <c r="F1113" s="330">
        <v>297.89999999999998</v>
      </c>
      <c r="G1113" s="644">
        <f t="shared" si="163"/>
        <v>297.8</v>
      </c>
      <c r="H1113" s="865">
        <v>0</v>
      </c>
      <c r="I1113" s="330">
        <v>0</v>
      </c>
      <c r="J1113" s="403">
        <f t="shared" si="162"/>
        <v>0</v>
      </c>
      <c r="K1113" s="403">
        <f t="shared" si="160"/>
        <v>0</v>
      </c>
      <c r="L1113" s="425">
        <f t="shared" si="159"/>
        <v>0</v>
      </c>
      <c r="M1113" s="177">
        <f t="shared" si="164"/>
        <v>0</v>
      </c>
      <c r="N1113" s="427">
        <f t="shared" si="161"/>
        <v>0</v>
      </c>
      <c r="O1113" s="427">
        <v>0</v>
      </c>
      <c r="P1113" s="177">
        <f t="shared" si="165"/>
        <v>0</v>
      </c>
      <c r="Q1113" s="177">
        <f t="shared" si="166"/>
        <v>0</v>
      </c>
      <c r="R1113" s="431">
        <f t="shared" si="167"/>
        <v>0</v>
      </c>
      <c r="S1113" s="468">
        <v>2</v>
      </c>
      <c r="T1113" s="127"/>
      <c r="U1113" s="127"/>
      <c r="V1113" s="127"/>
      <c r="W1113" s="127"/>
      <c r="X1113" s="127"/>
      <c r="Y1113" s="127"/>
    </row>
    <row r="1114" spans="1:25" s="6" customFormat="1" ht="15.75" customHeight="1">
      <c r="A1114" s="285">
        <v>234</v>
      </c>
      <c r="B1114" s="329" t="s">
        <v>1070</v>
      </c>
      <c r="C1114" s="803">
        <v>124.6</v>
      </c>
      <c r="D1114" s="391"/>
      <c r="E1114" s="804"/>
      <c r="F1114" s="330">
        <v>104.4</v>
      </c>
      <c r="G1114" s="644">
        <f t="shared" si="163"/>
        <v>124.6</v>
      </c>
      <c r="H1114" s="865">
        <v>0</v>
      </c>
      <c r="I1114" s="330">
        <v>0</v>
      </c>
      <c r="J1114" s="403">
        <f t="shared" si="162"/>
        <v>0</v>
      </c>
      <c r="K1114" s="403">
        <f t="shared" si="160"/>
        <v>0</v>
      </c>
      <c r="L1114" s="425">
        <f t="shared" si="159"/>
        <v>0</v>
      </c>
      <c r="M1114" s="177">
        <f t="shared" si="164"/>
        <v>0</v>
      </c>
      <c r="N1114" s="427">
        <f t="shared" si="161"/>
        <v>0</v>
      </c>
      <c r="O1114" s="427">
        <v>0</v>
      </c>
      <c r="P1114" s="177">
        <f t="shared" si="165"/>
        <v>0</v>
      </c>
      <c r="Q1114" s="177">
        <f t="shared" si="166"/>
        <v>0</v>
      </c>
      <c r="R1114" s="431">
        <f t="shared" si="167"/>
        <v>0</v>
      </c>
      <c r="S1114" s="468">
        <v>2</v>
      </c>
      <c r="T1114" s="127"/>
      <c r="U1114" s="127"/>
      <c r="V1114" s="127"/>
      <c r="W1114" s="127"/>
      <c r="X1114" s="127"/>
      <c r="Y1114" s="127"/>
    </row>
    <row r="1115" spans="1:25" s="6" customFormat="1" ht="15.75" customHeight="1">
      <c r="A1115" s="285">
        <v>235</v>
      </c>
      <c r="B1115" s="329" t="s">
        <v>1071</v>
      </c>
      <c r="C1115" s="803">
        <v>132.19999999999999</v>
      </c>
      <c r="D1115" s="391"/>
      <c r="E1115" s="804"/>
      <c r="F1115" s="330">
        <v>132</v>
      </c>
      <c r="G1115" s="644">
        <f t="shared" si="163"/>
        <v>132.19999999999999</v>
      </c>
      <c r="H1115" s="865">
        <v>0</v>
      </c>
      <c r="I1115" s="330">
        <v>0</v>
      </c>
      <c r="J1115" s="403">
        <f t="shared" si="162"/>
        <v>0</v>
      </c>
      <c r="K1115" s="403">
        <f t="shared" si="160"/>
        <v>0</v>
      </c>
      <c r="L1115" s="425">
        <f t="shared" si="159"/>
        <v>0</v>
      </c>
      <c r="M1115" s="177">
        <f t="shared" si="164"/>
        <v>0</v>
      </c>
      <c r="N1115" s="427">
        <f t="shared" si="161"/>
        <v>0</v>
      </c>
      <c r="O1115" s="427">
        <v>0</v>
      </c>
      <c r="P1115" s="177">
        <f t="shared" si="165"/>
        <v>0</v>
      </c>
      <c r="Q1115" s="177">
        <f t="shared" si="166"/>
        <v>0</v>
      </c>
      <c r="R1115" s="431">
        <f t="shared" si="167"/>
        <v>0</v>
      </c>
      <c r="S1115" s="468">
        <v>3</v>
      </c>
      <c r="T1115" s="127"/>
      <c r="U1115" s="127"/>
      <c r="V1115" s="127"/>
      <c r="W1115" s="127"/>
      <c r="X1115" s="127"/>
      <c r="Y1115" s="127"/>
    </row>
    <row r="1116" spans="1:25" s="6" customFormat="1" ht="15.75" customHeight="1">
      <c r="A1116" s="285">
        <v>236</v>
      </c>
      <c r="B1116" s="329" t="s">
        <v>1072</v>
      </c>
      <c r="C1116" s="803">
        <v>225.4</v>
      </c>
      <c r="D1116" s="391"/>
      <c r="E1116" s="804"/>
      <c r="F1116" s="330">
        <v>225.4</v>
      </c>
      <c r="G1116" s="644">
        <f t="shared" si="163"/>
        <v>225.4</v>
      </c>
      <c r="H1116" s="865">
        <v>0</v>
      </c>
      <c r="I1116" s="330">
        <v>0</v>
      </c>
      <c r="J1116" s="403">
        <f t="shared" si="162"/>
        <v>0</v>
      </c>
      <c r="K1116" s="403">
        <f t="shared" si="160"/>
        <v>0</v>
      </c>
      <c r="L1116" s="425">
        <f t="shared" si="159"/>
        <v>0</v>
      </c>
      <c r="M1116" s="177">
        <f t="shared" si="164"/>
        <v>0</v>
      </c>
      <c r="N1116" s="427">
        <f t="shared" si="161"/>
        <v>0</v>
      </c>
      <c r="O1116" s="427">
        <v>0</v>
      </c>
      <c r="P1116" s="177">
        <f t="shared" si="165"/>
        <v>0</v>
      </c>
      <c r="Q1116" s="177">
        <f t="shared" si="166"/>
        <v>0</v>
      </c>
      <c r="R1116" s="431">
        <f t="shared" si="167"/>
        <v>0</v>
      </c>
      <c r="S1116" s="468">
        <v>2</v>
      </c>
      <c r="T1116" s="127"/>
      <c r="U1116" s="127"/>
      <c r="V1116" s="127"/>
      <c r="W1116" s="127"/>
      <c r="X1116" s="127"/>
      <c r="Y1116" s="127"/>
    </row>
    <row r="1117" spans="1:25" s="6" customFormat="1" ht="15.75" customHeight="1">
      <c r="A1117" s="285">
        <v>237</v>
      </c>
      <c r="B1117" s="329" t="s">
        <v>1073</v>
      </c>
      <c r="C1117" s="803">
        <v>415.6</v>
      </c>
      <c r="D1117" s="391"/>
      <c r="E1117" s="804"/>
      <c r="F1117" s="330">
        <v>415.6</v>
      </c>
      <c r="G1117" s="644">
        <f t="shared" si="163"/>
        <v>415.6</v>
      </c>
      <c r="H1117" s="865">
        <v>0</v>
      </c>
      <c r="I1117" s="330">
        <v>0</v>
      </c>
      <c r="J1117" s="403">
        <f t="shared" si="162"/>
        <v>0</v>
      </c>
      <c r="K1117" s="403">
        <f t="shared" si="160"/>
        <v>0</v>
      </c>
      <c r="L1117" s="425">
        <f t="shared" si="159"/>
        <v>0</v>
      </c>
      <c r="M1117" s="177">
        <f t="shared" si="164"/>
        <v>0</v>
      </c>
      <c r="N1117" s="427">
        <f t="shared" si="161"/>
        <v>0</v>
      </c>
      <c r="O1117" s="427">
        <v>0</v>
      </c>
      <c r="P1117" s="177">
        <f t="shared" si="165"/>
        <v>0</v>
      </c>
      <c r="Q1117" s="177">
        <f t="shared" si="166"/>
        <v>0</v>
      </c>
      <c r="R1117" s="431">
        <f t="shared" si="167"/>
        <v>0</v>
      </c>
      <c r="S1117" s="468">
        <v>2</v>
      </c>
      <c r="T1117" s="127"/>
      <c r="U1117" s="127"/>
      <c r="V1117" s="127"/>
      <c r="W1117" s="127"/>
      <c r="X1117" s="127"/>
      <c r="Y1117" s="127"/>
    </row>
    <row r="1118" spans="1:25" s="6" customFormat="1" ht="15.75" customHeight="1">
      <c r="A1118" s="285">
        <v>238</v>
      </c>
      <c r="B1118" s="329" t="s">
        <v>1074</v>
      </c>
      <c r="C1118" s="803">
        <v>1495</v>
      </c>
      <c r="D1118" s="391"/>
      <c r="E1118" s="804"/>
      <c r="F1118" s="330">
        <v>1496.4</v>
      </c>
      <c r="G1118" s="644">
        <f t="shared" si="163"/>
        <v>1495</v>
      </c>
      <c r="H1118" s="865">
        <v>62</v>
      </c>
      <c r="I1118" s="330">
        <v>0</v>
      </c>
      <c r="J1118" s="403">
        <f t="shared" si="162"/>
        <v>62</v>
      </c>
      <c r="K1118" s="403">
        <f t="shared" si="160"/>
        <v>62</v>
      </c>
      <c r="L1118" s="425">
        <f t="shared" si="159"/>
        <v>7.3809523809523811E-2</v>
      </c>
      <c r="M1118" s="177">
        <f t="shared" si="164"/>
        <v>148.87454761904763</v>
      </c>
      <c r="N1118" s="427">
        <f t="shared" si="161"/>
        <v>54.741171159523816</v>
      </c>
      <c r="O1118" s="427">
        <v>57.508690476190473</v>
      </c>
      <c r="P1118" s="177">
        <f t="shared" si="165"/>
        <v>3.9761485714285718</v>
      </c>
      <c r="Q1118" s="177">
        <f t="shared" si="166"/>
        <v>4.8469251085714298</v>
      </c>
      <c r="R1118" s="431">
        <f t="shared" si="167"/>
        <v>0.17732478784360567</v>
      </c>
      <c r="S1118" s="468">
        <v>2</v>
      </c>
      <c r="T1118" s="127"/>
      <c r="U1118" s="127"/>
      <c r="V1118" s="127"/>
      <c r="W1118" s="127"/>
      <c r="X1118" s="127"/>
      <c r="Y1118" s="127"/>
    </row>
    <row r="1119" spans="1:25" s="6" customFormat="1" ht="15.75" customHeight="1">
      <c r="A1119" s="285">
        <v>239</v>
      </c>
      <c r="B1119" s="329" t="s">
        <v>1075</v>
      </c>
      <c r="C1119" s="803">
        <v>288.60000000000002</v>
      </c>
      <c r="D1119" s="391"/>
      <c r="E1119" s="804"/>
      <c r="F1119" s="330">
        <v>288.60000000000002</v>
      </c>
      <c r="G1119" s="644">
        <f t="shared" si="163"/>
        <v>288.60000000000002</v>
      </c>
      <c r="H1119" s="865">
        <v>0</v>
      </c>
      <c r="I1119" s="330">
        <v>0</v>
      </c>
      <c r="J1119" s="403">
        <f t="shared" si="162"/>
        <v>0</v>
      </c>
      <c r="K1119" s="403">
        <f t="shared" si="160"/>
        <v>0</v>
      </c>
      <c r="L1119" s="425">
        <f t="shared" si="159"/>
        <v>0</v>
      </c>
      <c r="M1119" s="177">
        <f t="shared" si="164"/>
        <v>0</v>
      </c>
      <c r="N1119" s="427">
        <f t="shared" si="161"/>
        <v>0</v>
      </c>
      <c r="O1119" s="427">
        <v>0</v>
      </c>
      <c r="P1119" s="177">
        <f t="shared" si="165"/>
        <v>0</v>
      </c>
      <c r="Q1119" s="177">
        <f t="shared" si="166"/>
        <v>0</v>
      </c>
      <c r="R1119" s="431">
        <f t="shared" si="167"/>
        <v>0</v>
      </c>
      <c r="S1119" s="468">
        <v>3</v>
      </c>
      <c r="T1119" s="127"/>
      <c r="U1119" s="127"/>
      <c r="V1119" s="127"/>
      <c r="W1119" s="127"/>
      <c r="X1119" s="127"/>
      <c r="Y1119" s="127"/>
    </row>
    <row r="1120" spans="1:25" s="6" customFormat="1" ht="15.75" customHeight="1">
      <c r="A1120" s="285">
        <v>240</v>
      </c>
      <c r="B1120" s="329" t="s">
        <v>1076</v>
      </c>
      <c r="C1120" s="803">
        <v>272.10000000000002</v>
      </c>
      <c r="D1120" s="391"/>
      <c r="E1120" s="804"/>
      <c r="F1120" s="330">
        <v>272.10000000000002</v>
      </c>
      <c r="G1120" s="644">
        <f t="shared" si="163"/>
        <v>272.10000000000002</v>
      </c>
      <c r="H1120" s="865">
        <v>0</v>
      </c>
      <c r="I1120" s="330">
        <v>0</v>
      </c>
      <c r="J1120" s="403">
        <f t="shared" si="162"/>
        <v>0</v>
      </c>
      <c r="K1120" s="403">
        <f t="shared" si="160"/>
        <v>0</v>
      </c>
      <c r="L1120" s="425">
        <f t="shared" si="159"/>
        <v>0</v>
      </c>
      <c r="M1120" s="177">
        <f t="shared" si="164"/>
        <v>0</v>
      </c>
      <c r="N1120" s="427">
        <f t="shared" si="161"/>
        <v>0</v>
      </c>
      <c r="O1120" s="427">
        <v>0</v>
      </c>
      <c r="P1120" s="177">
        <f t="shared" si="165"/>
        <v>0</v>
      </c>
      <c r="Q1120" s="177">
        <f t="shared" si="166"/>
        <v>0</v>
      </c>
      <c r="R1120" s="431">
        <f t="shared" si="167"/>
        <v>0</v>
      </c>
      <c r="S1120" s="468">
        <v>2</v>
      </c>
      <c r="T1120" s="127"/>
      <c r="U1120" s="127"/>
      <c r="V1120" s="127"/>
      <c r="W1120" s="127"/>
      <c r="X1120" s="127"/>
      <c r="Y1120" s="127"/>
    </row>
    <row r="1121" spans="1:25" s="6" customFormat="1" ht="15.75" customHeight="1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330">
        <v>288.3</v>
      </c>
      <c r="G1121" s="644">
        <f t="shared" si="163"/>
        <v>313.7</v>
      </c>
      <c r="H1121" s="865">
        <v>0</v>
      </c>
      <c r="I1121" s="330">
        <v>0</v>
      </c>
      <c r="J1121" s="403">
        <f t="shared" si="162"/>
        <v>0</v>
      </c>
      <c r="K1121" s="403">
        <f t="shared" si="160"/>
        <v>0</v>
      </c>
      <c r="L1121" s="425">
        <f t="shared" si="159"/>
        <v>0</v>
      </c>
      <c r="M1121" s="177">
        <f t="shared" si="164"/>
        <v>0</v>
      </c>
      <c r="N1121" s="427">
        <f t="shared" si="161"/>
        <v>0</v>
      </c>
      <c r="O1121" s="427">
        <v>0</v>
      </c>
      <c r="P1121" s="177">
        <f t="shared" si="165"/>
        <v>0</v>
      </c>
      <c r="Q1121" s="177">
        <f t="shared" si="166"/>
        <v>0</v>
      </c>
      <c r="R1121" s="431">
        <f t="shared" si="167"/>
        <v>0</v>
      </c>
      <c r="S1121" s="468">
        <v>4</v>
      </c>
      <c r="T1121" s="127"/>
      <c r="U1121" s="127"/>
      <c r="V1121" s="127"/>
      <c r="W1121" s="127"/>
      <c r="X1121" s="127"/>
      <c r="Y1121" s="127"/>
    </row>
    <row r="1122" spans="1:25" s="6" customFormat="1" ht="15.75" customHeight="1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330">
        <v>731.7</v>
      </c>
      <c r="G1122" s="644">
        <f t="shared" si="163"/>
        <v>860.41000000000008</v>
      </c>
      <c r="H1122" s="865">
        <v>76</v>
      </c>
      <c r="I1122" s="330">
        <v>0</v>
      </c>
      <c r="J1122" s="403">
        <f t="shared" si="162"/>
        <v>76</v>
      </c>
      <c r="K1122" s="403">
        <f t="shared" si="160"/>
        <v>76</v>
      </c>
      <c r="L1122" s="425">
        <f t="shared" si="159"/>
        <v>9.0476190476190474E-2</v>
      </c>
      <c r="M1122" s="177">
        <f t="shared" si="164"/>
        <v>182.49138095238095</v>
      </c>
      <c r="N1122" s="427">
        <f t="shared" si="161"/>
        <v>67.102080776190476</v>
      </c>
      <c r="O1122" s="427">
        <v>70.494523809523812</v>
      </c>
      <c r="P1122" s="177">
        <f t="shared" si="165"/>
        <v>4.8739885714285718</v>
      </c>
      <c r="Q1122" s="177">
        <f t="shared" si="166"/>
        <v>5.941392068571429</v>
      </c>
      <c r="R1122" s="431">
        <f t="shared" si="167"/>
        <v>0.44411306953509422</v>
      </c>
      <c r="S1122" s="468">
        <v>3</v>
      </c>
      <c r="T1122" s="127"/>
      <c r="U1122" s="127"/>
      <c r="V1122" s="127"/>
      <c r="W1122" s="127"/>
      <c r="X1122" s="127"/>
      <c r="Y1122" s="127"/>
    </row>
    <row r="1123" spans="1:25" s="6" customFormat="1" ht="15.75" customHeight="1">
      <c r="A1123" s="285">
        <v>243</v>
      </c>
      <c r="B1123" s="329" t="s">
        <v>1079</v>
      </c>
      <c r="C1123" s="806">
        <v>294</v>
      </c>
      <c r="D1123" s="391"/>
      <c r="E1123" s="804"/>
      <c r="F1123" s="330">
        <v>294</v>
      </c>
      <c r="G1123" s="644">
        <f t="shared" si="163"/>
        <v>294</v>
      </c>
      <c r="H1123" s="865">
        <v>0</v>
      </c>
      <c r="I1123" s="330">
        <v>0</v>
      </c>
      <c r="J1123" s="403">
        <f t="shared" si="162"/>
        <v>0</v>
      </c>
      <c r="K1123" s="403">
        <f t="shared" si="160"/>
        <v>0</v>
      </c>
      <c r="L1123" s="425">
        <f t="shared" ref="L1123:L1145" si="168">(H1123/840)+(I1123/756)</f>
        <v>0</v>
      </c>
      <c r="M1123" s="177">
        <f t="shared" si="164"/>
        <v>0</v>
      </c>
      <c r="N1123" s="427">
        <f t="shared" si="161"/>
        <v>0</v>
      </c>
      <c r="O1123" s="427">
        <v>0</v>
      </c>
      <c r="P1123" s="177">
        <f t="shared" si="165"/>
        <v>0</v>
      </c>
      <c r="Q1123" s="177">
        <f t="shared" si="166"/>
        <v>0</v>
      </c>
      <c r="R1123" s="431">
        <f t="shared" si="167"/>
        <v>0</v>
      </c>
      <c r="S1123" s="468">
        <v>3</v>
      </c>
      <c r="T1123" s="127"/>
      <c r="U1123" s="127"/>
      <c r="V1123" s="127"/>
      <c r="W1123" s="127"/>
      <c r="X1123" s="127"/>
      <c r="Y1123" s="127"/>
    </row>
    <row r="1124" spans="1:25" s="6" customFormat="1" ht="15.75" customHeight="1">
      <c r="A1124" s="285">
        <v>244</v>
      </c>
      <c r="B1124" s="329" t="s">
        <v>1080</v>
      </c>
      <c r="C1124" s="803">
        <v>1119.54</v>
      </c>
      <c r="D1124" s="391"/>
      <c r="E1124" s="804"/>
      <c r="F1124" s="330">
        <v>1047.94</v>
      </c>
      <c r="G1124" s="644">
        <f t="shared" si="163"/>
        <v>1119.54</v>
      </c>
      <c r="H1124" s="865">
        <v>94</v>
      </c>
      <c r="I1124" s="330">
        <v>0</v>
      </c>
      <c r="J1124" s="403">
        <f t="shared" si="162"/>
        <v>94</v>
      </c>
      <c r="K1124" s="403">
        <f t="shared" si="160"/>
        <v>94</v>
      </c>
      <c r="L1124" s="425">
        <f t="shared" si="168"/>
        <v>0.11190476190476191</v>
      </c>
      <c r="M1124" s="177">
        <f t="shared" si="164"/>
        <v>225.7130238095238</v>
      </c>
      <c r="N1124" s="427">
        <f t="shared" si="161"/>
        <v>82.994678854761915</v>
      </c>
      <c r="O1124" s="427">
        <v>87.190595238095241</v>
      </c>
      <c r="P1124" s="177">
        <f t="shared" si="165"/>
        <v>6.0283542857142871</v>
      </c>
      <c r="Q1124" s="177">
        <f t="shared" si="166"/>
        <v>7.3485638742857162</v>
      </c>
      <c r="R1124" s="431">
        <f t="shared" si="167"/>
        <v>0.35901053306545117</v>
      </c>
      <c r="S1124" s="468">
        <v>2</v>
      </c>
      <c r="T1124" s="127"/>
      <c r="U1124" s="127"/>
      <c r="V1124" s="127"/>
      <c r="W1124" s="127"/>
      <c r="X1124" s="127"/>
      <c r="Y1124" s="127"/>
    </row>
    <row r="1125" spans="1:25" s="6" customFormat="1" ht="15.75" customHeight="1">
      <c r="A1125" s="285">
        <v>245</v>
      </c>
      <c r="B1125" s="329" t="s">
        <v>1081</v>
      </c>
      <c r="C1125" s="803">
        <v>542.66</v>
      </c>
      <c r="D1125" s="391"/>
      <c r="E1125" s="804"/>
      <c r="F1125" s="330">
        <v>542.96</v>
      </c>
      <c r="G1125" s="644">
        <f t="shared" si="163"/>
        <v>542.66</v>
      </c>
      <c r="H1125" s="865">
        <v>40</v>
      </c>
      <c r="I1125" s="330">
        <v>0</v>
      </c>
      <c r="J1125" s="403">
        <f t="shared" si="162"/>
        <v>40</v>
      </c>
      <c r="K1125" s="403">
        <f t="shared" ref="K1125:K1142" si="169">I1125+J1125</f>
        <v>40</v>
      </c>
      <c r="L1125" s="425">
        <f t="shared" si="168"/>
        <v>4.7619047619047616E-2</v>
      </c>
      <c r="M1125" s="177">
        <f t="shared" si="164"/>
        <v>96.048095238095229</v>
      </c>
      <c r="N1125" s="427">
        <f t="shared" ref="N1125:N1145" si="170">M1125*0.3677</f>
        <v>35.31688461904762</v>
      </c>
      <c r="O1125" s="427">
        <v>37.102380952380948</v>
      </c>
      <c r="P1125" s="177">
        <f t="shared" si="165"/>
        <v>2.5652571428571429</v>
      </c>
      <c r="Q1125" s="177">
        <f t="shared" si="166"/>
        <v>3.1270484571428576</v>
      </c>
      <c r="R1125" s="431">
        <f t="shared" si="167"/>
        <v>0.3151745438255647</v>
      </c>
      <c r="S1125" s="468">
        <v>3</v>
      </c>
      <c r="T1125" s="127"/>
      <c r="U1125" s="127"/>
      <c r="V1125" s="127"/>
      <c r="W1125" s="127"/>
      <c r="X1125" s="127"/>
      <c r="Y1125" s="127"/>
    </row>
    <row r="1126" spans="1:25" s="6" customFormat="1" ht="15.75" customHeight="1">
      <c r="A1126" s="285">
        <v>246</v>
      </c>
      <c r="B1126" s="329" t="s">
        <v>1082</v>
      </c>
      <c r="C1126" s="803">
        <v>507.72</v>
      </c>
      <c r="D1126" s="391"/>
      <c r="E1126" s="804"/>
      <c r="F1126" s="330">
        <v>507.72</v>
      </c>
      <c r="G1126" s="644">
        <f t="shared" si="163"/>
        <v>507.72</v>
      </c>
      <c r="H1126" s="865">
        <v>30</v>
      </c>
      <c r="I1126" s="330">
        <v>0</v>
      </c>
      <c r="J1126" s="403">
        <f t="shared" ref="J1126:J1145" si="171">H1126+I1126</f>
        <v>30</v>
      </c>
      <c r="K1126" s="403">
        <f t="shared" si="169"/>
        <v>30</v>
      </c>
      <c r="L1126" s="425">
        <f t="shared" si="168"/>
        <v>3.5714285714285712E-2</v>
      </c>
      <c r="M1126" s="177">
        <f t="shared" si="164"/>
        <v>72.036071428571418</v>
      </c>
      <c r="N1126" s="427">
        <f t="shared" si="170"/>
        <v>26.487663464285713</v>
      </c>
      <c r="O1126" s="427">
        <v>27.826785714285712</v>
      </c>
      <c r="P1126" s="177">
        <f t="shared" si="165"/>
        <v>1.9239428571428572</v>
      </c>
      <c r="Q1126" s="177">
        <f t="shared" si="166"/>
        <v>2.3452863428571429</v>
      </c>
      <c r="R1126" s="431">
        <f t="shared" si="167"/>
        <v>0.25264804117286238</v>
      </c>
      <c r="S1126" s="468">
        <v>2</v>
      </c>
      <c r="T1126" s="127"/>
      <c r="U1126" s="127"/>
      <c r="V1126" s="127"/>
      <c r="W1126" s="127"/>
      <c r="X1126" s="127"/>
      <c r="Y1126" s="127"/>
    </row>
    <row r="1127" spans="1:25" s="6" customFormat="1" ht="15.75" customHeight="1">
      <c r="A1127" s="285">
        <v>247</v>
      </c>
      <c r="B1127" s="329" t="s">
        <v>1083</v>
      </c>
      <c r="C1127" s="803">
        <v>517.03</v>
      </c>
      <c r="D1127" s="391"/>
      <c r="E1127" s="804"/>
      <c r="F1127" s="330">
        <v>490.7</v>
      </c>
      <c r="G1127" s="644">
        <f t="shared" si="163"/>
        <v>517.03</v>
      </c>
      <c r="H1127" s="865">
        <v>0</v>
      </c>
      <c r="I1127" s="330">
        <v>0</v>
      </c>
      <c r="J1127" s="403">
        <f t="shared" si="171"/>
        <v>0</v>
      </c>
      <c r="K1127" s="403">
        <f t="shared" si="169"/>
        <v>0</v>
      </c>
      <c r="L1127" s="425">
        <f t="shared" si="168"/>
        <v>0</v>
      </c>
      <c r="M1127" s="177">
        <f t="shared" si="164"/>
        <v>0</v>
      </c>
      <c r="N1127" s="427">
        <f t="shared" si="170"/>
        <v>0</v>
      </c>
      <c r="O1127" s="427">
        <v>0</v>
      </c>
      <c r="P1127" s="177">
        <f t="shared" si="165"/>
        <v>0</v>
      </c>
      <c r="Q1127" s="177">
        <f t="shared" si="166"/>
        <v>0</v>
      </c>
      <c r="R1127" s="431">
        <f t="shared" si="167"/>
        <v>0</v>
      </c>
      <c r="S1127" s="468">
        <v>3</v>
      </c>
      <c r="T1127" s="127"/>
      <c r="U1127" s="127"/>
      <c r="V1127" s="127"/>
      <c r="W1127" s="127"/>
      <c r="X1127" s="127"/>
      <c r="Y1127" s="127"/>
    </row>
    <row r="1128" spans="1:25" s="6" customFormat="1" ht="15.75" customHeight="1">
      <c r="A1128" s="285">
        <v>248</v>
      </c>
      <c r="B1128" s="329" t="s">
        <v>1084</v>
      </c>
      <c r="C1128" s="803">
        <v>497.81</v>
      </c>
      <c r="D1128" s="391"/>
      <c r="E1128" s="804"/>
      <c r="F1128" s="330">
        <v>494.71</v>
      </c>
      <c r="G1128" s="644">
        <f t="shared" si="163"/>
        <v>497.81</v>
      </c>
      <c r="H1128" s="865">
        <v>40</v>
      </c>
      <c r="I1128" s="330">
        <v>0</v>
      </c>
      <c r="J1128" s="403">
        <f t="shared" si="171"/>
        <v>40</v>
      </c>
      <c r="K1128" s="403">
        <f t="shared" si="169"/>
        <v>40</v>
      </c>
      <c r="L1128" s="425">
        <f t="shared" si="168"/>
        <v>4.7619047619047616E-2</v>
      </c>
      <c r="M1128" s="177">
        <f t="shared" si="164"/>
        <v>96.048095238095229</v>
      </c>
      <c r="N1128" s="427">
        <f t="shared" si="170"/>
        <v>35.31688461904762</v>
      </c>
      <c r="O1128" s="427">
        <v>37.102380952380948</v>
      </c>
      <c r="P1128" s="177">
        <f t="shared" si="165"/>
        <v>2.5652571428571429</v>
      </c>
      <c r="Q1128" s="177">
        <f t="shared" si="166"/>
        <v>3.1270484571428576</v>
      </c>
      <c r="R1128" s="431">
        <f t="shared" si="167"/>
        <v>0.34357007282372981</v>
      </c>
      <c r="S1128" s="468">
        <v>2</v>
      </c>
      <c r="T1128" s="127"/>
      <c r="U1128" s="127"/>
      <c r="V1128" s="127"/>
      <c r="W1128" s="127"/>
      <c r="X1128" s="127"/>
      <c r="Y1128" s="127"/>
    </row>
    <row r="1129" spans="1:25" s="6" customFormat="1" ht="15.75" customHeight="1">
      <c r="A1129" s="285">
        <v>249</v>
      </c>
      <c r="B1129" s="329" t="s">
        <v>1085</v>
      </c>
      <c r="C1129" s="803">
        <v>301.3</v>
      </c>
      <c r="D1129" s="391"/>
      <c r="E1129" s="804"/>
      <c r="F1129" s="330">
        <v>301.3</v>
      </c>
      <c r="G1129" s="644">
        <f t="shared" si="163"/>
        <v>301.3</v>
      </c>
      <c r="H1129" s="865">
        <v>0</v>
      </c>
      <c r="I1129" s="330">
        <v>0</v>
      </c>
      <c r="J1129" s="403">
        <f t="shared" si="171"/>
        <v>0</v>
      </c>
      <c r="K1129" s="403">
        <f t="shared" si="169"/>
        <v>0</v>
      </c>
      <c r="L1129" s="425">
        <f t="shared" si="168"/>
        <v>0</v>
      </c>
      <c r="M1129" s="177">
        <f t="shared" si="164"/>
        <v>0</v>
      </c>
      <c r="N1129" s="427">
        <f t="shared" si="170"/>
        <v>0</v>
      </c>
      <c r="O1129" s="427">
        <v>0</v>
      </c>
      <c r="P1129" s="177">
        <f t="shared" si="165"/>
        <v>0</v>
      </c>
      <c r="Q1129" s="177">
        <f t="shared" si="166"/>
        <v>0</v>
      </c>
      <c r="R1129" s="431">
        <f t="shared" si="167"/>
        <v>0</v>
      </c>
      <c r="S1129" s="468">
        <v>3</v>
      </c>
      <c r="T1129" s="127"/>
      <c r="U1129" s="127"/>
      <c r="V1129" s="127"/>
      <c r="W1129" s="127"/>
      <c r="X1129" s="127"/>
      <c r="Y1129" s="127"/>
    </row>
    <row r="1130" spans="1:25" s="6" customFormat="1" ht="15.75" customHeight="1">
      <c r="A1130" s="285">
        <v>250</v>
      </c>
      <c r="B1130" s="329" t="s">
        <v>1086</v>
      </c>
      <c r="C1130" s="803">
        <v>493.5</v>
      </c>
      <c r="D1130" s="391"/>
      <c r="E1130" s="804"/>
      <c r="F1130" s="330">
        <v>493.5</v>
      </c>
      <c r="G1130" s="644">
        <f t="shared" si="163"/>
        <v>493.5</v>
      </c>
      <c r="H1130" s="865">
        <v>26</v>
      </c>
      <c r="I1130" s="330">
        <v>0</v>
      </c>
      <c r="J1130" s="403">
        <f t="shared" si="171"/>
        <v>26</v>
      </c>
      <c r="K1130" s="403">
        <f t="shared" si="169"/>
        <v>26</v>
      </c>
      <c r="L1130" s="425">
        <f t="shared" si="168"/>
        <v>3.0952380952380953E-2</v>
      </c>
      <c r="M1130" s="177">
        <f t="shared" si="164"/>
        <v>62.431261904761904</v>
      </c>
      <c r="N1130" s="427">
        <f t="shared" si="170"/>
        <v>22.955975002380953</v>
      </c>
      <c r="O1130" s="427">
        <v>24.116547619047619</v>
      </c>
      <c r="P1130" s="177">
        <f t="shared" si="165"/>
        <v>1.6674171428571432</v>
      </c>
      <c r="Q1130" s="177">
        <f t="shared" si="166"/>
        <v>2.0325814971428575</v>
      </c>
      <c r="R1130" s="431">
        <f t="shared" si="167"/>
        <v>0.22527092536787768</v>
      </c>
      <c r="S1130" s="468">
        <v>2</v>
      </c>
      <c r="T1130" s="127"/>
      <c r="U1130" s="127"/>
      <c r="V1130" s="127"/>
      <c r="W1130" s="127"/>
      <c r="X1130" s="127"/>
      <c r="Y1130" s="127"/>
    </row>
    <row r="1131" spans="1:25" s="6" customFormat="1" ht="15.75" customHeight="1">
      <c r="A1131" s="285">
        <v>251</v>
      </c>
      <c r="B1131" s="329" t="s">
        <v>1087</v>
      </c>
      <c r="C1131" s="803">
        <v>264.8</v>
      </c>
      <c r="D1131" s="391"/>
      <c r="E1131" s="804"/>
      <c r="F1131" s="330">
        <v>264.8</v>
      </c>
      <c r="G1131" s="644">
        <f t="shared" si="163"/>
        <v>264.8</v>
      </c>
      <c r="H1131" s="865">
        <v>0</v>
      </c>
      <c r="I1131" s="330">
        <v>0</v>
      </c>
      <c r="J1131" s="403">
        <f t="shared" si="171"/>
        <v>0</v>
      </c>
      <c r="K1131" s="403">
        <f t="shared" si="169"/>
        <v>0</v>
      </c>
      <c r="L1131" s="425">
        <f t="shared" si="168"/>
        <v>0</v>
      </c>
      <c r="M1131" s="177">
        <f t="shared" si="164"/>
        <v>0</v>
      </c>
      <c r="N1131" s="427">
        <f t="shared" si="170"/>
        <v>0</v>
      </c>
      <c r="O1131" s="427">
        <v>0</v>
      </c>
      <c r="P1131" s="177">
        <f t="shared" si="165"/>
        <v>0</v>
      </c>
      <c r="Q1131" s="177">
        <f t="shared" si="166"/>
        <v>0</v>
      </c>
      <c r="R1131" s="431">
        <f t="shared" si="167"/>
        <v>0</v>
      </c>
      <c r="S1131" s="468">
        <v>3</v>
      </c>
      <c r="T1131" s="127"/>
      <c r="U1131" s="127"/>
      <c r="V1131" s="127"/>
      <c r="W1131" s="127"/>
      <c r="X1131" s="127"/>
      <c r="Y1131" s="127"/>
    </row>
    <row r="1132" spans="1:25" s="6" customFormat="1" ht="15.75" customHeight="1">
      <c r="A1132" s="285">
        <v>252</v>
      </c>
      <c r="B1132" s="329" t="s">
        <v>1088</v>
      </c>
      <c r="C1132" s="803">
        <v>544.79999999999995</v>
      </c>
      <c r="D1132" s="391"/>
      <c r="E1132" s="804"/>
      <c r="F1132" s="330">
        <v>544.79999999999995</v>
      </c>
      <c r="G1132" s="644">
        <f t="shared" si="163"/>
        <v>544.79999999999995</v>
      </c>
      <c r="H1132" s="865">
        <v>117</v>
      </c>
      <c r="I1132" s="330">
        <v>0</v>
      </c>
      <c r="J1132" s="403">
        <f t="shared" si="171"/>
        <v>117</v>
      </c>
      <c r="K1132" s="403">
        <f t="shared" si="169"/>
        <v>117</v>
      </c>
      <c r="L1132" s="425">
        <f t="shared" si="168"/>
        <v>0.13928571428571429</v>
      </c>
      <c r="M1132" s="177">
        <f t="shared" si="164"/>
        <v>280.94067857142858</v>
      </c>
      <c r="N1132" s="427">
        <f t="shared" si="170"/>
        <v>103.30188751071429</v>
      </c>
      <c r="O1132" s="427">
        <v>108.52446428571429</v>
      </c>
      <c r="P1132" s="177">
        <f t="shared" si="165"/>
        <v>7.5033771428571434</v>
      </c>
      <c r="Q1132" s="177">
        <f t="shared" si="166"/>
        <v>9.1466167371428586</v>
      </c>
      <c r="R1132" s="431">
        <f t="shared" si="167"/>
        <v>0.91826433096680304</v>
      </c>
      <c r="S1132" s="468">
        <v>2</v>
      </c>
      <c r="T1132" s="127"/>
      <c r="U1132" s="127"/>
      <c r="V1132" s="127"/>
      <c r="W1132" s="127"/>
      <c r="X1132" s="127"/>
      <c r="Y1132" s="127"/>
    </row>
    <row r="1133" spans="1:25" s="6" customFormat="1" ht="15.75" customHeight="1">
      <c r="A1133" s="285">
        <v>253</v>
      </c>
      <c r="B1133" s="329" t="s">
        <v>1089</v>
      </c>
      <c r="C1133" s="806">
        <v>205</v>
      </c>
      <c r="D1133" s="391"/>
      <c r="E1133" s="804"/>
      <c r="F1133" s="330">
        <v>205</v>
      </c>
      <c r="G1133" s="644">
        <f t="shared" si="163"/>
        <v>205</v>
      </c>
      <c r="H1133" s="865">
        <v>0</v>
      </c>
      <c r="I1133" s="330">
        <v>0</v>
      </c>
      <c r="J1133" s="403">
        <f t="shared" si="171"/>
        <v>0</v>
      </c>
      <c r="K1133" s="403">
        <f t="shared" si="169"/>
        <v>0</v>
      </c>
      <c r="L1133" s="425">
        <f t="shared" si="168"/>
        <v>0</v>
      </c>
      <c r="M1133" s="177">
        <f t="shared" si="164"/>
        <v>0</v>
      </c>
      <c r="N1133" s="427">
        <f t="shared" si="170"/>
        <v>0</v>
      </c>
      <c r="O1133" s="427">
        <v>0</v>
      </c>
      <c r="P1133" s="177">
        <f t="shared" si="165"/>
        <v>0</v>
      </c>
      <c r="Q1133" s="177">
        <f t="shared" si="166"/>
        <v>0</v>
      </c>
      <c r="R1133" s="431">
        <f t="shared" si="167"/>
        <v>0</v>
      </c>
      <c r="S1133" s="468">
        <v>3</v>
      </c>
      <c r="T1133" s="127"/>
      <c r="U1133" s="127"/>
      <c r="V1133" s="127"/>
      <c r="W1133" s="127"/>
      <c r="X1133" s="127"/>
      <c r="Y1133" s="127"/>
    </row>
    <row r="1134" spans="1:25" s="6" customFormat="1" ht="15.75" customHeight="1">
      <c r="A1134" s="285">
        <v>254</v>
      </c>
      <c r="B1134" s="329" t="s">
        <v>1090</v>
      </c>
      <c r="C1134" s="803">
        <v>577.32000000000005</v>
      </c>
      <c r="D1134" s="391"/>
      <c r="E1134" s="804"/>
      <c r="F1134" s="330">
        <v>572.72</v>
      </c>
      <c r="G1134" s="644">
        <f t="shared" ref="G1134:G1198" si="172">C1134+D1134+E1134</f>
        <v>577.32000000000005</v>
      </c>
      <c r="H1134" s="865">
        <v>70</v>
      </c>
      <c r="I1134" s="330">
        <v>0</v>
      </c>
      <c r="J1134" s="403">
        <f t="shared" si="171"/>
        <v>70</v>
      </c>
      <c r="K1134" s="403">
        <f t="shared" si="169"/>
        <v>70</v>
      </c>
      <c r="L1134" s="425">
        <f t="shared" si="168"/>
        <v>8.3333333333333329E-2</v>
      </c>
      <c r="M1134" s="177">
        <f t="shared" si="164"/>
        <v>168.08416666666665</v>
      </c>
      <c r="N1134" s="427">
        <f t="shared" si="170"/>
        <v>61.80454808333333</v>
      </c>
      <c r="O1134" s="427">
        <v>64.92916666666666</v>
      </c>
      <c r="P1134" s="177">
        <f t="shared" si="165"/>
        <v>4.4892000000000003</v>
      </c>
      <c r="Q1134" s="177">
        <f t="shared" si="166"/>
        <v>5.4723348000000005</v>
      </c>
      <c r="R1134" s="431">
        <f t="shared" si="167"/>
        <v>0.51844225285225976</v>
      </c>
      <c r="S1134" s="468">
        <v>2</v>
      </c>
      <c r="T1134" s="127"/>
      <c r="U1134" s="127"/>
      <c r="V1134" s="127"/>
      <c r="W1134" s="127"/>
      <c r="X1134" s="127"/>
      <c r="Y1134" s="127"/>
    </row>
    <row r="1135" spans="1:25" s="6" customFormat="1" ht="15.75" customHeight="1">
      <c r="A1135" s="285">
        <v>255</v>
      </c>
      <c r="B1135" s="329" t="s">
        <v>1091</v>
      </c>
      <c r="C1135" s="807">
        <v>353</v>
      </c>
      <c r="D1135" s="391"/>
      <c r="E1135" s="804"/>
      <c r="F1135" s="330">
        <v>353</v>
      </c>
      <c r="G1135" s="644">
        <f t="shared" si="172"/>
        <v>353</v>
      </c>
      <c r="H1135" s="865">
        <v>0</v>
      </c>
      <c r="I1135" s="330">
        <v>0</v>
      </c>
      <c r="J1135" s="403">
        <f t="shared" si="171"/>
        <v>0</v>
      </c>
      <c r="K1135" s="403">
        <f t="shared" si="169"/>
        <v>0</v>
      </c>
      <c r="L1135" s="425">
        <f t="shared" si="168"/>
        <v>0</v>
      </c>
      <c r="M1135" s="177">
        <f t="shared" si="164"/>
        <v>0</v>
      </c>
      <c r="N1135" s="427">
        <f t="shared" si="170"/>
        <v>0</v>
      </c>
      <c r="O1135" s="427">
        <v>0</v>
      </c>
      <c r="P1135" s="177">
        <f t="shared" si="165"/>
        <v>0</v>
      </c>
      <c r="Q1135" s="177">
        <f t="shared" si="166"/>
        <v>0</v>
      </c>
      <c r="R1135" s="431">
        <f t="shared" si="167"/>
        <v>0</v>
      </c>
      <c r="S1135" s="468">
        <v>2</v>
      </c>
      <c r="T1135" s="127"/>
      <c r="U1135" s="127"/>
      <c r="V1135" s="127"/>
      <c r="W1135" s="127"/>
      <c r="X1135" s="127"/>
      <c r="Y1135" s="127"/>
    </row>
    <row r="1136" spans="1:25" s="6" customFormat="1" ht="15.75" customHeight="1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330">
        <v>623.29999999999995</v>
      </c>
      <c r="G1136" s="644">
        <f t="shared" si="172"/>
        <v>646.29999999999995</v>
      </c>
      <c r="H1136" s="869">
        <v>90</v>
      </c>
      <c r="I1136" s="330">
        <v>0</v>
      </c>
      <c r="J1136" s="403">
        <f t="shared" si="171"/>
        <v>90</v>
      </c>
      <c r="K1136" s="403">
        <f t="shared" si="169"/>
        <v>90</v>
      </c>
      <c r="L1136" s="425">
        <f t="shared" si="168"/>
        <v>0.10714285714285714</v>
      </c>
      <c r="M1136" s="177">
        <f t="shared" si="164"/>
        <v>216.10821428571427</v>
      </c>
      <c r="N1136" s="427">
        <f t="shared" si="170"/>
        <v>79.462990392857137</v>
      </c>
      <c r="O1136" s="427">
        <v>83.48035714285713</v>
      </c>
      <c r="P1136" s="177">
        <f t="shared" si="165"/>
        <v>5.7718285714285722</v>
      </c>
      <c r="Q1136" s="177">
        <f t="shared" si="166"/>
        <v>7.03585902857143</v>
      </c>
      <c r="R1136" s="431">
        <f t="shared" si="167"/>
        <v>0.61739674377163023</v>
      </c>
      <c r="S1136" s="468">
        <v>2</v>
      </c>
      <c r="T1136" s="127"/>
      <c r="U1136" s="127"/>
      <c r="V1136" s="127"/>
      <c r="W1136" s="127"/>
      <c r="X1136" s="127"/>
      <c r="Y1136" s="127"/>
    </row>
    <row r="1137" spans="1:25" s="6" customFormat="1" ht="15.75" customHeight="1">
      <c r="A1137" s="285">
        <v>257</v>
      </c>
      <c r="B1137" s="329" t="s">
        <v>1093</v>
      </c>
      <c r="C1137" s="803">
        <v>281.89999999999998</v>
      </c>
      <c r="D1137" s="391"/>
      <c r="E1137" s="804"/>
      <c r="F1137" s="330">
        <v>281.89999999999998</v>
      </c>
      <c r="G1137" s="644">
        <f t="shared" si="172"/>
        <v>281.89999999999998</v>
      </c>
      <c r="H1137" s="865">
        <v>0</v>
      </c>
      <c r="I1137" s="330">
        <v>0</v>
      </c>
      <c r="J1137" s="403">
        <f t="shared" si="171"/>
        <v>0</v>
      </c>
      <c r="K1137" s="403">
        <f t="shared" si="169"/>
        <v>0</v>
      </c>
      <c r="L1137" s="425">
        <f t="shared" si="168"/>
        <v>0</v>
      </c>
      <c r="M1137" s="177">
        <f t="shared" ref="M1137:M1145" si="173">L1137*2017.01</f>
        <v>0</v>
      </c>
      <c r="N1137" s="427">
        <f t="shared" si="170"/>
        <v>0</v>
      </c>
      <c r="O1137" s="427">
        <v>0</v>
      </c>
      <c r="P1137" s="177">
        <f t="shared" si="165"/>
        <v>0</v>
      </c>
      <c r="Q1137" s="177">
        <f t="shared" si="166"/>
        <v>0</v>
      </c>
      <c r="R1137" s="431">
        <f t="shared" si="167"/>
        <v>0</v>
      </c>
      <c r="S1137" s="468">
        <v>3</v>
      </c>
      <c r="T1137" s="127"/>
      <c r="U1137" s="127"/>
      <c r="V1137" s="127"/>
      <c r="W1137" s="127"/>
      <c r="X1137" s="127"/>
      <c r="Y1137" s="127"/>
    </row>
    <row r="1138" spans="1:25" s="6" customFormat="1" ht="15.75" customHeight="1">
      <c r="A1138" s="285">
        <v>258</v>
      </c>
      <c r="B1138" s="329" t="s">
        <v>1094</v>
      </c>
      <c r="C1138" s="803">
        <v>305.10000000000002</v>
      </c>
      <c r="D1138" s="391"/>
      <c r="E1138" s="804"/>
      <c r="F1138" s="330">
        <v>305.10000000000002</v>
      </c>
      <c r="G1138" s="644">
        <f t="shared" si="172"/>
        <v>305.10000000000002</v>
      </c>
      <c r="H1138" s="865">
        <v>0</v>
      </c>
      <c r="I1138" s="330">
        <v>0</v>
      </c>
      <c r="J1138" s="403">
        <f t="shared" si="171"/>
        <v>0</v>
      </c>
      <c r="K1138" s="403">
        <f t="shared" si="169"/>
        <v>0</v>
      </c>
      <c r="L1138" s="425">
        <f t="shared" si="168"/>
        <v>0</v>
      </c>
      <c r="M1138" s="177">
        <f t="shared" si="173"/>
        <v>0</v>
      </c>
      <c r="N1138" s="427">
        <f t="shared" si="170"/>
        <v>0</v>
      </c>
      <c r="O1138" s="427">
        <v>0</v>
      </c>
      <c r="P1138" s="177">
        <f t="shared" ref="P1138:P1146" si="174">L1138*49.88*1.08</f>
        <v>0</v>
      </c>
      <c r="Q1138" s="177">
        <f t="shared" ref="Q1138:Q1146" si="175">P1138*1.219</f>
        <v>0</v>
      </c>
      <c r="R1138" s="431">
        <f t="shared" si="167"/>
        <v>0</v>
      </c>
      <c r="S1138" s="468">
        <v>2</v>
      </c>
      <c r="T1138" s="127"/>
      <c r="U1138" s="127"/>
      <c r="V1138" s="127"/>
      <c r="W1138" s="127"/>
      <c r="X1138" s="127"/>
      <c r="Y1138" s="127"/>
    </row>
    <row r="1139" spans="1:25" s="6" customFormat="1" ht="15.75" customHeight="1">
      <c r="A1139" s="285">
        <v>259</v>
      </c>
      <c r="B1139" s="329" t="s">
        <v>1095</v>
      </c>
      <c r="C1139" s="803">
        <v>369.45</v>
      </c>
      <c r="D1139" s="391"/>
      <c r="E1139" s="804"/>
      <c r="F1139" s="330">
        <v>369.45</v>
      </c>
      <c r="G1139" s="644">
        <f t="shared" si="172"/>
        <v>369.45</v>
      </c>
      <c r="H1139" s="865">
        <v>0</v>
      </c>
      <c r="I1139" s="330">
        <v>0</v>
      </c>
      <c r="J1139" s="403">
        <f t="shared" si="171"/>
        <v>0</v>
      </c>
      <c r="K1139" s="403">
        <f t="shared" si="169"/>
        <v>0</v>
      </c>
      <c r="L1139" s="425">
        <f t="shared" si="168"/>
        <v>0</v>
      </c>
      <c r="M1139" s="177">
        <f t="shared" si="173"/>
        <v>0</v>
      </c>
      <c r="N1139" s="427">
        <f t="shared" si="170"/>
        <v>0</v>
      </c>
      <c r="O1139" s="427">
        <v>0</v>
      </c>
      <c r="P1139" s="177">
        <f t="shared" si="174"/>
        <v>0</v>
      </c>
      <c r="Q1139" s="177">
        <f t="shared" si="175"/>
        <v>0</v>
      </c>
      <c r="R1139" s="431">
        <f t="shared" si="167"/>
        <v>0</v>
      </c>
      <c r="S1139" s="468">
        <v>3</v>
      </c>
      <c r="T1139" s="127"/>
      <c r="U1139" s="127"/>
      <c r="V1139" s="127"/>
      <c r="W1139" s="127"/>
      <c r="X1139" s="127"/>
      <c r="Y1139" s="127"/>
    </row>
    <row r="1140" spans="1:25" s="6" customFormat="1" ht="15.75" customHeight="1">
      <c r="A1140" s="285">
        <v>260</v>
      </c>
      <c r="B1140" s="329" t="s">
        <v>1096</v>
      </c>
      <c r="C1140" s="803">
        <v>453.11</v>
      </c>
      <c r="D1140" s="391"/>
      <c r="E1140" s="804"/>
      <c r="F1140" s="330">
        <v>453.11</v>
      </c>
      <c r="G1140" s="644">
        <f t="shared" si="172"/>
        <v>453.11</v>
      </c>
      <c r="H1140" s="865">
        <v>32</v>
      </c>
      <c r="I1140" s="330">
        <v>0</v>
      </c>
      <c r="J1140" s="403">
        <f t="shared" si="171"/>
        <v>32</v>
      </c>
      <c r="K1140" s="403">
        <f t="shared" si="169"/>
        <v>32</v>
      </c>
      <c r="L1140" s="425">
        <f t="shared" si="168"/>
        <v>3.8095238095238099E-2</v>
      </c>
      <c r="M1140" s="177">
        <f t="shared" si="173"/>
        <v>76.8384761904762</v>
      </c>
      <c r="N1140" s="427">
        <f t="shared" si="170"/>
        <v>28.253507695238103</v>
      </c>
      <c r="O1140" s="427">
        <v>29.681904761904764</v>
      </c>
      <c r="P1140" s="177">
        <f t="shared" si="174"/>
        <v>2.0522057142857149</v>
      </c>
      <c r="Q1140" s="177">
        <f t="shared" si="175"/>
        <v>2.5016387657142864</v>
      </c>
      <c r="R1140" s="431">
        <f t="shared" si="167"/>
        <v>0.3019710321156116</v>
      </c>
      <c r="S1140" s="468">
        <v>1</v>
      </c>
      <c r="T1140" s="127"/>
      <c r="U1140" s="127"/>
      <c r="V1140" s="127"/>
      <c r="W1140" s="127"/>
      <c r="X1140" s="127"/>
      <c r="Y1140" s="127"/>
    </row>
    <row r="1141" spans="1:25" s="6" customFormat="1" ht="15.75" customHeight="1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330">
        <v>351.1</v>
      </c>
      <c r="G1141" s="644">
        <f t="shared" si="172"/>
        <v>729</v>
      </c>
      <c r="H1141" s="865">
        <v>0</v>
      </c>
      <c r="I1141" s="523">
        <v>0</v>
      </c>
      <c r="J1141" s="403">
        <f t="shared" si="171"/>
        <v>0</v>
      </c>
      <c r="K1141" s="403">
        <f t="shared" si="169"/>
        <v>0</v>
      </c>
      <c r="L1141" s="425">
        <f t="shared" si="168"/>
        <v>0</v>
      </c>
      <c r="M1141" s="177">
        <f t="shared" si="173"/>
        <v>0</v>
      </c>
      <c r="N1141" s="427">
        <f t="shared" si="170"/>
        <v>0</v>
      </c>
      <c r="O1141" s="427">
        <v>0</v>
      </c>
      <c r="P1141" s="177">
        <f t="shared" si="174"/>
        <v>0</v>
      </c>
      <c r="Q1141" s="177">
        <f t="shared" si="175"/>
        <v>0</v>
      </c>
      <c r="R1141" s="431">
        <f t="shared" si="167"/>
        <v>0</v>
      </c>
      <c r="S1141" s="468">
        <v>2</v>
      </c>
      <c r="T1141" s="127"/>
      <c r="U1141" s="127"/>
      <c r="V1141" s="127"/>
      <c r="W1141" s="127"/>
      <c r="X1141" s="127"/>
      <c r="Y1141" s="127"/>
    </row>
    <row r="1142" spans="1:25" s="6" customFormat="1" ht="16.5" customHeight="1">
      <c r="A1142" s="285">
        <v>262</v>
      </c>
      <c r="B1142" s="329" t="s">
        <v>1098</v>
      </c>
      <c r="C1142" s="803">
        <v>422.76</v>
      </c>
      <c r="D1142" s="391"/>
      <c r="E1142" s="804"/>
      <c r="F1142" s="330">
        <v>422.26</v>
      </c>
      <c r="G1142" s="644">
        <f t="shared" si="172"/>
        <v>422.76</v>
      </c>
      <c r="H1142" s="865">
        <v>40</v>
      </c>
      <c r="I1142" s="330">
        <v>0</v>
      </c>
      <c r="J1142" s="403">
        <f t="shared" si="171"/>
        <v>40</v>
      </c>
      <c r="K1142" s="403">
        <f t="shared" si="169"/>
        <v>40</v>
      </c>
      <c r="L1142" s="425">
        <f t="shared" si="168"/>
        <v>4.7619047619047616E-2</v>
      </c>
      <c r="M1142" s="177">
        <f t="shared" si="173"/>
        <v>96.048095238095229</v>
      </c>
      <c r="N1142" s="427">
        <f t="shared" si="170"/>
        <v>35.31688461904762</v>
      </c>
      <c r="O1142" s="427">
        <v>37.102380952380948</v>
      </c>
      <c r="P1142" s="177">
        <f t="shared" si="174"/>
        <v>2.5652571428571429</v>
      </c>
      <c r="Q1142" s="177">
        <f t="shared" si="175"/>
        <v>3.1270484571428576</v>
      </c>
      <c r="R1142" s="431">
        <f t="shared" si="167"/>
        <v>0.404561968853205</v>
      </c>
      <c r="S1142" s="468">
        <v>1</v>
      </c>
      <c r="T1142" s="127"/>
      <c r="U1142" s="127"/>
      <c r="V1142" s="127"/>
      <c r="W1142" s="127"/>
      <c r="X1142" s="127"/>
      <c r="Y1142" s="127"/>
    </row>
    <row r="1143" spans="1:25" s="6" customFormat="1" ht="16.5" customHeight="1">
      <c r="A1143" s="285">
        <v>263</v>
      </c>
      <c r="B1143" s="329" t="s">
        <v>1099</v>
      </c>
      <c r="C1143" s="803">
        <v>152.30000000000001</v>
      </c>
      <c r="D1143" s="391"/>
      <c r="E1143" s="804"/>
      <c r="F1143" s="330">
        <v>131.1</v>
      </c>
      <c r="G1143" s="644">
        <f t="shared" si="172"/>
        <v>152.30000000000001</v>
      </c>
      <c r="H1143" s="865">
        <v>0</v>
      </c>
      <c r="I1143" s="330">
        <v>0</v>
      </c>
      <c r="J1143" s="403">
        <f t="shared" si="171"/>
        <v>0</v>
      </c>
      <c r="K1143" s="403"/>
      <c r="L1143" s="425">
        <f t="shared" si="168"/>
        <v>0</v>
      </c>
      <c r="M1143" s="177">
        <f t="shared" si="173"/>
        <v>0</v>
      </c>
      <c r="N1143" s="427">
        <f t="shared" si="170"/>
        <v>0</v>
      </c>
      <c r="O1143" s="427">
        <v>0</v>
      </c>
      <c r="P1143" s="177">
        <f t="shared" si="174"/>
        <v>0</v>
      </c>
      <c r="Q1143" s="177">
        <f t="shared" si="175"/>
        <v>0</v>
      </c>
      <c r="R1143" s="431">
        <f t="shared" si="167"/>
        <v>0</v>
      </c>
      <c r="S1143" s="468"/>
      <c r="T1143" s="127"/>
      <c r="U1143" s="127"/>
      <c r="V1143" s="127"/>
      <c r="W1143" s="127"/>
      <c r="X1143" s="127"/>
      <c r="Y1143" s="127"/>
    </row>
    <row r="1144" spans="1:25" s="6" customFormat="1" ht="16.5" customHeight="1">
      <c r="A1144" s="285">
        <v>264</v>
      </c>
      <c r="B1144" s="329" t="s">
        <v>1100</v>
      </c>
      <c r="C1144" s="864">
        <v>252.6</v>
      </c>
      <c r="D1144" s="391"/>
      <c r="E1144" s="804"/>
      <c r="F1144" s="330">
        <v>252.6</v>
      </c>
      <c r="G1144" s="644">
        <f t="shared" si="172"/>
        <v>252.6</v>
      </c>
      <c r="H1144" s="865">
        <v>0</v>
      </c>
      <c r="I1144" s="533">
        <v>0</v>
      </c>
      <c r="J1144" s="403">
        <f t="shared" si="171"/>
        <v>0</v>
      </c>
      <c r="K1144" s="403"/>
      <c r="L1144" s="425">
        <f t="shared" si="168"/>
        <v>0</v>
      </c>
      <c r="M1144" s="177">
        <f t="shared" si="173"/>
        <v>0</v>
      </c>
      <c r="N1144" s="427">
        <f t="shared" si="170"/>
        <v>0</v>
      </c>
      <c r="O1144" s="427">
        <v>0</v>
      </c>
      <c r="P1144" s="177">
        <f t="shared" si="174"/>
        <v>0</v>
      </c>
      <c r="Q1144" s="177">
        <f t="shared" si="175"/>
        <v>0</v>
      </c>
      <c r="R1144" s="431">
        <f t="shared" si="167"/>
        <v>0</v>
      </c>
      <c r="S1144" s="468"/>
      <c r="T1144" s="127"/>
      <c r="U1144" s="127"/>
      <c r="V1144" s="127"/>
      <c r="W1144" s="127"/>
      <c r="X1144" s="127"/>
      <c r="Y1144" s="127"/>
    </row>
    <row r="1145" spans="1:25" s="6" customFormat="1" ht="16.5" customHeight="1">
      <c r="A1145" s="285">
        <v>265</v>
      </c>
      <c r="B1145" s="285" t="s">
        <v>1101</v>
      </c>
      <c r="C1145" s="803">
        <v>143.69999999999999</v>
      </c>
      <c r="D1145" s="8"/>
      <c r="E1145" s="8"/>
      <c r="F1145" s="330"/>
      <c r="G1145" s="644">
        <f t="shared" si="172"/>
        <v>143.69999999999999</v>
      </c>
      <c r="H1145" s="865">
        <v>0</v>
      </c>
      <c r="I1145" s="330">
        <v>0</v>
      </c>
      <c r="J1145" s="403">
        <f t="shared" si="171"/>
        <v>0</v>
      </c>
      <c r="K1145" s="403"/>
      <c r="L1145" s="425">
        <f t="shared" si="168"/>
        <v>0</v>
      </c>
      <c r="M1145" s="177">
        <f t="shared" si="173"/>
        <v>0</v>
      </c>
      <c r="N1145" s="427">
        <f t="shared" si="170"/>
        <v>0</v>
      </c>
      <c r="O1145" s="427">
        <v>0</v>
      </c>
      <c r="P1145" s="177">
        <f t="shared" si="174"/>
        <v>0</v>
      </c>
      <c r="Q1145" s="177">
        <f t="shared" si="175"/>
        <v>0</v>
      </c>
      <c r="R1145" s="431">
        <f t="shared" si="167"/>
        <v>0</v>
      </c>
      <c r="S1145" s="468"/>
      <c r="T1145" s="127"/>
      <c r="U1145" s="127"/>
      <c r="V1145" s="127"/>
      <c r="W1145" s="127"/>
      <c r="X1145" s="127"/>
      <c r="Y1145" s="127"/>
    </row>
    <row r="1146" spans="1:25" s="67" customFormat="1" ht="15.75" customHeight="1">
      <c r="A1146" s="412"/>
      <c r="B1146" s="173" t="s">
        <v>681</v>
      </c>
      <c r="C1146" s="376">
        <f>SUM(C881:C1145)</f>
        <v>279334.62999999971</v>
      </c>
      <c r="D1146" s="376">
        <f t="shared" ref="D1146:K1146" si="176">SUM(D881:D1145)</f>
        <v>1257.6999999999998</v>
      </c>
      <c r="E1146" s="376">
        <f t="shared" si="176"/>
        <v>1827.8000000000002</v>
      </c>
      <c r="F1146" s="173">
        <f t="shared" si="176"/>
        <v>272433.97999999975</v>
      </c>
      <c r="G1146" s="647">
        <f t="shared" si="176"/>
        <v>282420.12999999977</v>
      </c>
      <c r="H1146" s="173">
        <f t="shared" si="176"/>
        <v>21037.4</v>
      </c>
      <c r="I1146" s="173">
        <f t="shared" si="176"/>
        <v>0</v>
      </c>
      <c r="J1146" s="173">
        <f t="shared" si="176"/>
        <v>21037.4</v>
      </c>
      <c r="K1146" s="173">
        <f t="shared" si="176"/>
        <v>21077.4</v>
      </c>
      <c r="L1146" s="425">
        <f>(H1146/840)+(I1146/756)</f>
        <v>25.04452380952381</v>
      </c>
      <c r="M1146" s="177">
        <f>L1146*2017.01</f>
        <v>50515.054969047618</v>
      </c>
      <c r="N1146" s="427">
        <f>M1146*0.3677</f>
        <v>18574.385712118812</v>
      </c>
      <c r="O1146" s="427">
        <f>SUM(O880:O1145)</f>
        <v>19513.440726190478</v>
      </c>
      <c r="P1146" s="177">
        <f t="shared" si="174"/>
        <v>1349.1585154285715</v>
      </c>
      <c r="Q1146" s="177">
        <f t="shared" si="175"/>
        <v>1644.6242303074287</v>
      </c>
      <c r="R1146" s="431">
        <f t="shared" si="167"/>
        <v>0.3220225144400663</v>
      </c>
      <c r="S1146" s="468"/>
      <c r="T1146" s="152"/>
      <c r="U1146" s="152"/>
      <c r="V1146" s="152"/>
      <c r="W1146" s="152"/>
      <c r="X1146" s="152"/>
      <c r="Y1146" s="152"/>
    </row>
    <row r="1147" spans="1:25" s="209" customFormat="1" ht="15.75">
      <c r="A1147" s="1042" t="s">
        <v>617</v>
      </c>
      <c r="B1147" s="1043"/>
      <c r="C1147" s="438"/>
      <c r="D1147" s="438"/>
      <c r="E1147" s="438"/>
      <c r="F1147" s="438"/>
      <c r="G1147" s="644">
        <f t="shared" si="172"/>
        <v>0</v>
      </c>
      <c r="H1147" s="438"/>
      <c r="I1147" s="438"/>
      <c r="J1147" s="438"/>
      <c r="K1147" s="438"/>
      <c r="L1147" s="501"/>
      <c r="M1147" s="177">
        <f>L1147*2077.52</f>
        <v>0</v>
      </c>
      <c r="N1147" s="498"/>
      <c r="O1147" s="427">
        <v>0</v>
      </c>
      <c r="P1147" s="504">
        <f t="shared" ref="P1147:P1153" si="177">L1147*49.88</f>
        <v>0</v>
      </c>
      <c r="Q1147" s="504"/>
      <c r="R1147" s="431" t="e">
        <f t="shared" si="167"/>
        <v>#DIV/0!</v>
      </c>
      <c r="S1147" s="502"/>
      <c r="T1147" s="212"/>
      <c r="U1147" s="212"/>
      <c r="V1147" s="212"/>
      <c r="W1147" s="212"/>
      <c r="X1147" s="212"/>
      <c r="Y1147" s="212"/>
    </row>
    <row r="1148" spans="1:25" s="6" customFormat="1" ht="15.75">
      <c r="A1148" s="412">
        <v>1</v>
      </c>
      <c r="B1148" s="404" t="s">
        <v>480</v>
      </c>
      <c r="C1148" s="386">
        <v>219.1</v>
      </c>
      <c r="D1148" s="386"/>
      <c r="E1148" s="386"/>
      <c r="F1148" s="404">
        <v>219.1</v>
      </c>
      <c r="G1148" s="644">
        <f t="shared" si="172"/>
        <v>219.1</v>
      </c>
      <c r="H1148" s="404"/>
      <c r="I1148" s="404">
        <v>0</v>
      </c>
      <c r="J1148" s="404">
        <v>0</v>
      </c>
      <c r="K1148" s="404">
        <v>0</v>
      </c>
      <c r="L1148" s="425">
        <f>(H1148/840)+(I1148/756)</f>
        <v>0</v>
      </c>
      <c r="M1148" s="177">
        <f t="shared" ref="M1148:M1201" si="178">L1148*2017.01</f>
        <v>0</v>
      </c>
      <c r="N1148" s="427">
        <f t="shared" ref="N1148:N1201" si="179">M1148*0.3677</f>
        <v>0</v>
      </c>
      <c r="O1148" s="427">
        <v>0</v>
      </c>
      <c r="P1148" s="177">
        <f t="shared" si="177"/>
        <v>0</v>
      </c>
      <c r="Q1148" s="177"/>
      <c r="R1148" s="431">
        <f t="shared" si="167"/>
        <v>0</v>
      </c>
      <c r="S1148" s="468">
        <v>2</v>
      </c>
      <c r="T1148" s="127"/>
      <c r="U1148" s="127"/>
      <c r="V1148" s="127"/>
      <c r="W1148" s="127"/>
      <c r="X1148" s="127"/>
      <c r="Y1148" s="127"/>
    </row>
    <row r="1149" spans="1:25" s="6" customFormat="1" ht="15.75">
      <c r="A1149" s="412">
        <v>2</v>
      </c>
      <c r="B1149" s="404" t="s">
        <v>481</v>
      </c>
      <c r="C1149" s="330">
        <v>265.10000000000002</v>
      </c>
      <c r="D1149" s="330"/>
      <c r="E1149" s="330"/>
      <c r="F1149" s="404">
        <v>265.10000000000002</v>
      </c>
      <c r="G1149" s="644">
        <f t="shared" si="172"/>
        <v>265.10000000000002</v>
      </c>
      <c r="H1149" s="404"/>
      <c r="I1149" s="404">
        <v>0</v>
      </c>
      <c r="J1149" s="404">
        <v>0</v>
      </c>
      <c r="K1149" s="404">
        <v>0</v>
      </c>
      <c r="L1149" s="425">
        <f>(H1149/840)+(I1149/756)</f>
        <v>0</v>
      </c>
      <c r="M1149" s="177">
        <f t="shared" si="178"/>
        <v>0</v>
      </c>
      <c r="N1149" s="427">
        <f t="shared" si="179"/>
        <v>0</v>
      </c>
      <c r="O1149" s="427">
        <v>0</v>
      </c>
      <c r="P1149" s="177">
        <f t="shared" si="177"/>
        <v>0</v>
      </c>
      <c r="Q1149" s="177"/>
      <c r="R1149" s="431">
        <f t="shared" si="167"/>
        <v>0</v>
      </c>
      <c r="S1149" s="468">
        <v>1</v>
      </c>
      <c r="T1149" s="127"/>
      <c r="U1149" s="127"/>
      <c r="V1149" s="127"/>
      <c r="W1149" s="127"/>
      <c r="X1149" s="127"/>
      <c r="Y1149" s="127"/>
    </row>
    <row r="1150" spans="1:25" s="6" customFormat="1" ht="15.75">
      <c r="A1150" s="412">
        <v>3</v>
      </c>
      <c r="B1150" s="404" t="s">
        <v>482</v>
      </c>
      <c r="C1150" s="330">
        <v>352.7</v>
      </c>
      <c r="D1150" s="330"/>
      <c r="E1150" s="330"/>
      <c r="F1150" s="404">
        <v>360.8</v>
      </c>
      <c r="G1150" s="644">
        <f t="shared" si="172"/>
        <v>352.7</v>
      </c>
      <c r="H1150" s="404"/>
      <c r="I1150" s="404">
        <v>0</v>
      </c>
      <c r="J1150" s="404">
        <v>0</v>
      </c>
      <c r="K1150" s="404">
        <v>0</v>
      </c>
      <c r="L1150" s="425">
        <f>(H1150/840)+(I1150/756)</f>
        <v>0</v>
      </c>
      <c r="M1150" s="177">
        <f t="shared" si="178"/>
        <v>0</v>
      </c>
      <c r="N1150" s="427">
        <f t="shared" si="179"/>
        <v>0</v>
      </c>
      <c r="O1150" s="427">
        <v>0</v>
      </c>
      <c r="P1150" s="177">
        <f t="shared" si="177"/>
        <v>0</v>
      </c>
      <c r="Q1150" s="177"/>
      <c r="R1150" s="431">
        <f t="shared" si="167"/>
        <v>0</v>
      </c>
      <c r="S1150" s="468">
        <v>2</v>
      </c>
      <c r="T1150" s="127"/>
      <c r="U1150" s="127"/>
      <c r="V1150" s="127"/>
      <c r="W1150" s="127"/>
      <c r="X1150" s="127"/>
      <c r="Y1150" s="127"/>
    </row>
    <row r="1151" spans="1:25" s="6" customFormat="1" ht="15.75">
      <c r="A1151" s="412">
        <v>4</v>
      </c>
      <c r="B1151" s="404" t="s">
        <v>483</v>
      </c>
      <c r="C1151" s="330">
        <v>350.15</v>
      </c>
      <c r="D1151" s="330"/>
      <c r="E1151" s="330"/>
      <c r="F1151" s="404">
        <v>350.15</v>
      </c>
      <c r="G1151" s="644">
        <f t="shared" si="172"/>
        <v>350.15</v>
      </c>
      <c r="H1151" s="404"/>
      <c r="I1151" s="404">
        <v>0</v>
      </c>
      <c r="J1151" s="404">
        <v>0</v>
      </c>
      <c r="K1151" s="404">
        <v>0</v>
      </c>
      <c r="L1151" s="425">
        <f t="shared" ref="L1151:L1201" si="180">(H1151/840)+(I1151/756)</f>
        <v>0</v>
      </c>
      <c r="M1151" s="177">
        <f t="shared" si="178"/>
        <v>0</v>
      </c>
      <c r="N1151" s="427">
        <f t="shared" si="179"/>
        <v>0</v>
      </c>
      <c r="O1151" s="427">
        <v>0</v>
      </c>
      <c r="P1151" s="177">
        <f t="shared" si="177"/>
        <v>0</v>
      </c>
      <c r="Q1151" s="177"/>
      <c r="R1151" s="431">
        <f t="shared" si="167"/>
        <v>0</v>
      </c>
      <c r="S1151" s="468">
        <v>2</v>
      </c>
      <c r="T1151" s="127"/>
      <c r="U1151" s="127"/>
      <c r="V1151" s="127"/>
      <c r="W1151" s="127"/>
      <c r="X1151" s="127"/>
      <c r="Y1151" s="127"/>
    </row>
    <row r="1152" spans="1:25" s="6" customFormat="1" ht="15.75">
      <c r="A1152" s="412">
        <v>5</v>
      </c>
      <c r="B1152" s="404" t="s">
        <v>484</v>
      </c>
      <c r="C1152" s="330">
        <v>348.6</v>
      </c>
      <c r="D1152" s="330"/>
      <c r="E1152" s="330"/>
      <c r="F1152" s="404">
        <v>348.6</v>
      </c>
      <c r="G1152" s="644">
        <f t="shared" si="172"/>
        <v>348.6</v>
      </c>
      <c r="H1152" s="404"/>
      <c r="I1152" s="404">
        <v>0</v>
      </c>
      <c r="J1152" s="404">
        <v>0</v>
      </c>
      <c r="K1152" s="404">
        <v>0</v>
      </c>
      <c r="L1152" s="425">
        <f t="shared" si="180"/>
        <v>0</v>
      </c>
      <c r="M1152" s="177">
        <f t="shared" si="178"/>
        <v>0</v>
      </c>
      <c r="N1152" s="427">
        <f t="shared" si="179"/>
        <v>0</v>
      </c>
      <c r="O1152" s="427">
        <v>0</v>
      </c>
      <c r="P1152" s="177">
        <f t="shared" si="177"/>
        <v>0</v>
      </c>
      <c r="Q1152" s="177"/>
      <c r="R1152" s="431">
        <f t="shared" si="167"/>
        <v>0</v>
      </c>
      <c r="S1152" s="468">
        <v>2</v>
      </c>
      <c r="T1152" s="127"/>
      <c r="U1152" s="127"/>
      <c r="V1152" s="127"/>
      <c r="W1152" s="127"/>
      <c r="X1152" s="127"/>
      <c r="Y1152" s="127"/>
    </row>
    <row r="1153" spans="1:25" s="6" customFormat="1" ht="15.75">
      <c r="A1153" s="412">
        <v>6</v>
      </c>
      <c r="B1153" s="404" t="s">
        <v>485</v>
      </c>
      <c r="C1153" s="330">
        <v>430.37</v>
      </c>
      <c r="D1153" s="330"/>
      <c r="E1153" s="330"/>
      <c r="F1153" s="404">
        <v>430.37</v>
      </c>
      <c r="G1153" s="644">
        <f t="shared" si="172"/>
        <v>430.37</v>
      </c>
      <c r="H1153" s="404"/>
      <c r="I1153" s="404">
        <v>0</v>
      </c>
      <c r="J1153" s="404">
        <v>0</v>
      </c>
      <c r="K1153" s="404">
        <v>0</v>
      </c>
      <c r="L1153" s="425">
        <f t="shared" si="180"/>
        <v>0</v>
      </c>
      <c r="M1153" s="177">
        <f t="shared" si="178"/>
        <v>0</v>
      </c>
      <c r="N1153" s="427">
        <f t="shared" si="179"/>
        <v>0</v>
      </c>
      <c r="O1153" s="427">
        <v>0</v>
      </c>
      <c r="P1153" s="177">
        <f t="shared" si="177"/>
        <v>0</v>
      </c>
      <c r="Q1153" s="177"/>
      <c r="R1153" s="431">
        <f t="shared" si="167"/>
        <v>0</v>
      </c>
      <c r="S1153" s="468">
        <v>2</v>
      </c>
      <c r="T1153" s="127"/>
      <c r="U1153" s="127"/>
      <c r="V1153" s="127"/>
      <c r="W1153" s="127"/>
      <c r="X1153" s="127"/>
      <c r="Y1153" s="127"/>
    </row>
    <row r="1154" spans="1:25" s="6" customFormat="1" ht="15.75">
      <c r="A1154" s="412">
        <v>7</v>
      </c>
      <c r="B1154" s="404" t="s">
        <v>486</v>
      </c>
      <c r="C1154" s="330">
        <v>79.3</v>
      </c>
      <c r="D1154" s="330"/>
      <c r="E1154" s="330"/>
      <c r="F1154" s="404">
        <v>79.3</v>
      </c>
      <c r="G1154" s="644">
        <f t="shared" si="172"/>
        <v>79.3</v>
      </c>
      <c r="H1154" s="404"/>
      <c r="I1154" s="404">
        <v>0</v>
      </c>
      <c r="J1154" s="404">
        <v>0</v>
      </c>
      <c r="K1154" s="404">
        <v>0</v>
      </c>
      <c r="L1154" s="425">
        <f t="shared" si="180"/>
        <v>0</v>
      </c>
      <c r="M1154" s="177">
        <f t="shared" si="178"/>
        <v>0</v>
      </c>
      <c r="N1154" s="427">
        <f t="shared" si="179"/>
        <v>0</v>
      </c>
      <c r="O1154" s="427">
        <v>0</v>
      </c>
      <c r="P1154" s="177">
        <f t="shared" ref="P1154:P1217" si="181">L1154*49.88</f>
        <v>0</v>
      </c>
      <c r="Q1154" s="177"/>
      <c r="R1154" s="431">
        <f t="shared" si="167"/>
        <v>0</v>
      </c>
      <c r="S1154" s="468">
        <v>1</v>
      </c>
      <c r="T1154" s="127"/>
      <c r="U1154" s="127"/>
      <c r="V1154" s="127"/>
      <c r="W1154" s="127"/>
      <c r="X1154" s="127"/>
      <c r="Y1154" s="127"/>
    </row>
    <row r="1155" spans="1:25" s="6" customFormat="1" ht="15.75">
      <c r="A1155" s="412">
        <v>8</v>
      </c>
      <c r="B1155" s="404" t="s">
        <v>487</v>
      </c>
      <c r="C1155" s="330">
        <v>70.099999999999994</v>
      </c>
      <c r="D1155" s="330"/>
      <c r="E1155" s="330"/>
      <c r="F1155" s="404">
        <v>70.099999999999994</v>
      </c>
      <c r="G1155" s="644">
        <f t="shared" si="172"/>
        <v>70.099999999999994</v>
      </c>
      <c r="H1155" s="404"/>
      <c r="I1155" s="404">
        <v>0</v>
      </c>
      <c r="J1155" s="404">
        <v>0</v>
      </c>
      <c r="K1155" s="404">
        <v>0</v>
      </c>
      <c r="L1155" s="425">
        <f t="shared" si="180"/>
        <v>0</v>
      </c>
      <c r="M1155" s="177">
        <f t="shared" si="178"/>
        <v>0</v>
      </c>
      <c r="N1155" s="427">
        <f t="shared" si="179"/>
        <v>0</v>
      </c>
      <c r="O1155" s="427">
        <v>0</v>
      </c>
      <c r="P1155" s="177">
        <f t="shared" si="181"/>
        <v>0</v>
      </c>
      <c r="Q1155" s="177"/>
      <c r="R1155" s="431">
        <f t="shared" si="167"/>
        <v>0</v>
      </c>
      <c r="S1155" s="468">
        <v>1</v>
      </c>
      <c r="T1155" s="127"/>
      <c r="U1155" s="127"/>
      <c r="V1155" s="127"/>
      <c r="W1155" s="127"/>
      <c r="X1155" s="127"/>
      <c r="Y1155" s="127"/>
    </row>
    <row r="1156" spans="1:25" s="6" customFormat="1" ht="15.75">
      <c r="A1156" s="412">
        <v>9</v>
      </c>
      <c r="B1156" s="404" t="s">
        <v>488</v>
      </c>
      <c r="C1156" s="330">
        <v>326.92</v>
      </c>
      <c r="D1156" s="330"/>
      <c r="E1156" s="330"/>
      <c r="F1156" s="404">
        <v>326.92</v>
      </c>
      <c r="G1156" s="644">
        <f t="shared" si="172"/>
        <v>326.92</v>
      </c>
      <c r="H1156" s="404"/>
      <c r="I1156" s="404">
        <v>0</v>
      </c>
      <c r="J1156" s="404">
        <v>0</v>
      </c>
      <c r="K1156" s="404">
        <v>0</v>
      </c>
      <c r="L1156" s="425">
        <f t="shared" si="180"/>
        <v>0</v>
      </c>
      <c r="M1156" s="177">
        <f t="shared" si="178"/>
        <v>0</v>
      </c>
      <c r="N1156" s="427">
        <f t="shared" si="179"/>
        <v>0</v>
      </c>
      <c r="O1156" s="427">
        <v>0</v>
      </c>
      <c r="P1156" s="177">
        <f t="shared" si="181"/>
        <v>0</v>
      </c>
      <c r="Q1156" s="177"/>
      <c r="R1156" s="431">
        <f t="shared" si="167"/>
        <v>0</v>
      </c>
      <c r="S1156" s="468">
        <v>2</v>
      </c>
      <c r="T1156" s="127"/>
      <c r="U1156" s="127"/>
      <c r="V1156" s="127"/>
      <c r="W1156" s="127"/>
      <c r="X1156" s="127"/>
      <c r="Y1156" s="127"/>
    </row>
    <row r="1157" spans="1:25" s="6" customFormat="1" ht="15.75">
      <c r="A1157" s="412">
        <v>10</v>
      </c>
      <c r="B1157" s="404" t="s">
        <v>489</v>
      </c>
      <c r="C1157" s="330">
        <v>322.55</v>
      </c>
      <c r="D1157" s="330"/>
      <c r="E1157" s="330"/>
      <c r="F1157" s="404">
        <v>322.55</v>
      </c>
      <c r="G1157" s="644">
        <f t="shared" si="172"/>
        <v>322.55</v>
      </c>
      <c r="H1157" s="404"/>
      <c r="I1157" s="404">
        <v>0</v>
      </c>
      <c r="J1157" s="404">
        <v>0</v>
      </c>
      <c r="K1157" s="404">
        <v>0</v>
      </c>
      <c r="L1157" s="425">
        <f t="shared" si="180"/>
        <v>0</v>
      </c>
      <c r="M1157" s="177">
        <f t="shared" si="178"/>
        <v>0</v>
      </c>
      <c r="N1157" s="427">
        <f t="shared" si="179"/>
        <v>0</v>
      </c>
      <c r="O1157" s="427">
        <v>0</v>
      </c>
      <c r="P1157" s="177">
        <f t="shared" si="181"/>
        <v>0</v>
      </c>
      <c r="Q1157" s="177"/>
      <c r="R1157" s="431">
        <f t="shared" si="167"/>
        <v>0</v>
      </c>
      <c r="S1157" s="468">
        <v>1</v>
      </c>
      <c r="T1157" s="127"/>
      <c r="U1157" s="127"/>
      <c r="V1157" s="127"/>
      <c r="W1157" s="127"/>
      <c r="X1157" s="127"/>
      <c r="Y1157" s="127"/>
    </row>
    <row r="1158" spans="1:25" s="6" customFormat="1" ht="15.75">
      <c r="A1158" s="412">
        <v>11</v>
      </c>
      <c r="B1158" s="404" t="s">
        <v>490</v>
      </c>
      <c r="C1158" s="330">
        <v>415.5</v>
      </c>
      <c r="D1158" s="330"/>
      <c r="E1158" s="330"/>
      <c r="F1158" s="404">
        <v>415.5</v>
      </c>
      <c r="G1158" s="644">
        <f t="shared" si="172"/>
        <v>415.5</v>
      </c>
      <c r="H1158" s="404"/>
      <c r="I1158" s="404">
        <v>0</v>
      </c>
      <c r="J1158" s="404">
        <v>0</v>
      </c>
      <c r="K1158" s="404">
        <v>0</v>
      </c>
      <c r="L1158" s="425">
        <f t="shared" si="180"/>
        <v>0</v>
      </c>
      <c r="M1158" s="177">
        <f t="shared" si="178"/>
        <v>0</v>
      </c>
      <c r="N1158" s="427">
        <f t="shared" si="179"/>
        <v>0</v>
      </c>
      <c r="O1158" s="427">
        <v>0</v>
      </c>
      <c r="P1158" s="177">
        <f t="shared" si="181"/>
        <v>0</v>
      </c>
      <c r="Q1158" s="177"/>
      <c r="R1158" s="431">
        <f t="shared" si="167"/>
        <v>0</v>
      </c>
      <c r="S1158" s="468">
        <v>2</v>
      </c>
      <c r="T1158" s="127"/>
      <c r="U1158" s="127"/>
      <c r="V1158" s="127"/>
      <c r="W1158" s="127"/>
      <c r="X1158" s="127"/>
      <c r="Y1158" s="127"/>
    </row>
    <row r="1159" spans="1:25" s="6" customFormat="1" ht="15.75">
      <c r="A1159" s="412">
        <v>12</v>
      </c>
      <c r="B1159" s="404" t="s">
        <v>491</v>
      </c>
      <c r="C1159" s="330">
        <v>372.82</v>
      </c>
      <c r="D1159" s="330"/>
      <c r="E1159" s="330"/>
      <c r="F1159" s="404">
        <v>372.82</v>
      </c>
      <c r="G1159" s="644">
        <f t="shared" si="172"/>
        <v>372.82</v>
      </c>
      <c r="H1159" s="404"/>
      <c r="I1159" s="404">
        <v>0</v>
      </c>
      <c r="J1159" s="404">
        <v>0</v>
      </c>
      <c r="K1159" s="404">
        <v>0</v>
      </c>
      <c r="L1159" s="425">
        <f t="shared" si="180"/>
        <v>0</v>
      </c>
      <c r="M1159" s="177">
        <f t="shared" si="178"/>
        <v>0</v>
      </c>
      <c r="N1159" s="427">
        <f t="shared" si="179"/>
        <v>0</v>
      </c>
      <c r="O1159" s="427">
        <v>0</v>
      </c>
      <c r="P1159" s="177">
        <f t="shared" si="181"/>
        <v>0</v>
      </c>
      <c r="Q1159" s="177"/>
      <c r="R1159" s="431">
        <f t="shared" ref="R1159:R1222" si="182">(M1159+N1159+O1159+P1159)/C1159</f>
        <v>0</v>
      </c>
      <c r="S1159" s="468">
        <v>2</v>
      </c>
      <c r="T1159" s="127"/>
      <c r="U1159" s="127"/>
      <c r="V1159" s="127"/>
      <c r="W1159" s="127"/>
      <c r="X1159" s="127"/>
      <c r="Y1159" s="127"/>
    </row>
    <row r="1160" spans="1:25" s="6" customFormat="1" ht="15.75">
      <c r="A1160" s="412">
        <v>13</v>
      </c>
      <c r="B1160" s="404" t="s">
        <v>492</v>
      </c>
      <c r="C1160" s="330">
        <v>282.76</v>
      </c>
      <c r="D1160" s="330"/>
      <c r="E1160" s="330"/>
      <c r="F1160" s="404">
        <v>282.76</v>
      </c>
      <c r="G1160" s="644">
        <f t="shared" si="172"/>
        <v>282.76</v>
      </c>
      <c r="H1160" s="404"/>
      <c r="I1160" s="404">
        <v>0</v>
      </c>
      <c r="J1160" s="404">
        <v>0</v>
      </c>
      <c r="K1160" s="404">
        <v>0</v>
      </c>
      <c r="L1160" s="425">
        <f t="shared" si="180"/>
        <v>0</v>
      </c>
      <c r="M1160" s="177">
        <f t="shared" si="178"/>
        <v>0</v>
      </c>
      <c r="N1160" s="427">
        <f t="shared" si="179"/>
        <v>0</v>
      </c>
      <c r="O1160" s="427">
        <v>0</v>
      </c>
      <c r="P1160" s="177">
        <f t="shared" si="181"/>
        <v>0</v>
      </c>
      <c r="Q1160" s="177"/>
      <c r="R1160" s="431">
        <f t="shared" si="182"/>
        <v>0</v>
      </c>
      <c r="S1160" s="468">
        <v>2</v>
      </c>
      <c r="T1160" s="127"/>
      <c r="U1160" s="127"/>
      <c r="V1160" s="127"/>
      <c r="W1160" s="127"/>
      <c r="X1160" s="127"/>
      <c r="Y1160" s="127"/>
    </row>
    <row r="1161" spans="1:25" s="6" customFormat="1" ht="15.75">
      <c r="A1161" s="412">
        <v>15</v>
      </c>
      <c r="B1161" s="404" t="s">
        <v>493</v>
      </c>
      <c r="C1161" s="330">
        <v>180.5</v>
      </c>
      <c r="D1161" s="330"/>
      <c r="E1161" s="330"/>
      <c r="F1161" s="404">
        <v>180.5</v>
      </c>
      <c r="G1161" s="644">
        <f t="shared" si="172"/>
        <v>180.5</v>
      </c>
      <c r="H1161" s="404"/>
      <c r="I1161" s="404">
        <v>0</v>
      </c>
      <c r="J1161" s="404">
        <v>0</v>
      </c>
      <c r="K1161" s="404">
        <v>0</v>
      </c>
      <c r="L1161" s="425">
        <f t="shared" si="180"/>
        <v>0</v>
      </c>
      <c r="M1161" s="177">
        <f t="shared" si="178"/>
        <v>0</v>
      </c>
      <c r="N1161" s="427">
        <f t="shared" si="179"/>
        <v>0</v>
      </c>
      <c r="O1161" s="427">
        <v>0</v>
      </c>
      <c r="P1161" s="177">
        <f t="shared" si="181"/>
        <v>0</v>
      </c>
      <c r="Q1161" s="177"/>
      <c r="R1161" s="431">
        <f t="shared" si="182"/>
        <v>0</v>
      </c>
      <c r="S1161" s="468">
        <v>1</v>
      </c>
      <c r="T1161" s="127"/>
      <c r="U1161" s="127"/>
      <c r="V1161" s="127"/>
      <c r="W1161" s="127"/>
      <c r="X1161" s="127"/>
      <c r="Y1161" s="127"/>
    </row>
    <row r="1162" spans="1:25" s="6" customFormat="1" ht="15.75">
      <c r="A1162" s="412">
        <v>17</v>
      </c>
      <c r="B1162" s="404" t="s">
        <v>494</v>
      </c>
      <c r="C1162" s="330">
        <v>5520.77</v>
      </c>
      <c r="D1162" s="330"/>
      <c r="E1162" s="330"/>
      <c r="F1162" s="404">
        <v>5520.77</v>
      </c>
      <c r="G1162" s="644">
        <f t="shared" si="172"/>
        <v>5520.77</v>
      </c>
      <c r="H1162" s="404">
        <v>564</v>
      </c>
      <c r="I1162" s="404"/>
      <c r="J1162" s="404">
        <v>564</v>
      </c>
      <c r="K1162" s="404">
        <v>564</v>
      </c>
      <c r="L1162" s="425">
        <f t="shared" si="180"/>
        <v>0.67142857142857137</v>
      </c>
      <c r="M1162" s="177">
        <f t="shared" si="178"/>
        <v>1354.2781428571427</v>
      </c>
      <c r="N1162" s="427">
        <f t="shared" si="179"/>
        <v>497.9680731285714</v>
      </c>
      <c r="O1162" s="427">
        <v>523.14357142857136</v>
      </c>
      <c r="P1162" s="177">
        <f t="shared" si="181"/>
        <v>33.490857142857145</v>
      </c>
      <c r="Q1162" s="177"/>
      <c r="R1162" s="431">
        <f t="shared" si="182"/>
        <v>0.43633055616465499</v>
      </c>
      <c r="S1162" s="468">
        <v>9</v>
      </c>
      <c r="T1162" s="127"/>
      <c r="U1162" s="127"/>
      <c r="V1162" s="127"/>
      <c r="W1162" s="127"/>
      <c r="X1162" s="127"/>
      <c r="Y1162" s="127"/>
    </row>
    <row r="1163" spans="1:25" s="6" customFormat="1" ht="15.75">
      <c r="A1163" s="412">
        <v>18</v>
      </c>
      <c r="B1163" s="404" t="s">
        <v>495</v>
      </c>
      <c r="C1163" s="330">
        <v>5310.85</v>
      </c>
      <c r="D1163" s="330"/>
      <c r="E1163" s="330"/>
      <c r="F1163" s="404">
        <v>5310.86</v>
      </c>
      <c r="G1163" s="644">
        <f t="shared" si="172"/>
        <v>5310.85</v>
      </c>
      <c r="H1163" s="404">
        <v>564</v>
      </c>
      <c r="I1163" s="404"/>
      <c r="J1163" s="404">
        <v>564</v>
      </c>
      <c r="K1163" s="404">
        <v>564</v>
      </c>
      <c r="L1163" s="425">
        <f t="shared" si="180"/>
        <v>0.67142857142857137</v>
      </c>
      <c r="M1163" s="177">
        <f t="shared" si="178"/>
        <v>1354.2781428571427</v>
      </c>
      <c r="N1163" s="427">
        <f t="shared" si="179"/>
        <v>497.9680731285714</v>
      </c>
      <c r="O1163" s="427">
        <v>523.14357142857136</v>
      </c>
      <c r="P1163" s="177">
        <f t="shared" si="181"/>
        <v>33.490857142857145</v>
      </c>
      <c r="Q1163" s="177"/>
      <c r="R1163" s="431">
        <f t="shared" si="182"/>
        <v>0.45357723237469377</v>
      </c>
      <c r="S1163" s="468">
        <v>9</v>
      </c>
      <c r="T1163" s="127"/>
      <c r="U1163" s="127"/>
      <c r="V1163" s="127"/>
      <c r="W1163" s="127"/>
      <c r="X1163" s="127"/>
      <c r="Y1163" s="127"/>
    </row>
    <row r="1164" spans="1:25" s="6" customFormat="1" ht="15.75">
      <c r="A1164" s="412">
        <v>19</v>
      </c>
      <c r="B1164" s="404" t="s">
        <v>496</v>
      </c>
      <c r="C1164" s="330">
        <v>5405.43</v>
      </c>
      <c r="D1164" s="330"/>
      <c r="E1164" s="330"/>
      <c r="F1164" s="404">
        <v>5408.03</v>
      </c>
      <c r="G1164" s="644">
        <f t="shared" si="172"/>
        <v>5405.43</v>
      </c>
      <c r="H1164" s="404">
        <v>562</v>
      </c>
      <c r="I1164" s="404"/>
      <c r="J1164" s="404">
        <v>562</v>
      </c>
      <c r="K1164" s="404">
        <v>562</v>
      </c>
      <c r="L1164" s="425">
        <f t="shared" si="180"/>
        <v>0.669047619047619</v>
      </c>
      <c r="M1164" s="177">
        <f t="shared" si="178"/>
        <v>1349.4757380952381</v>
      </c>
      <c r="N1164" s="427">
        <f t="shared" si="179"/>
        <v>496.20222889761908</v>
      </c>
      <c r="O1164" s="427">
        <v>521.28845238095232</v>
      </c>
      <c r="P1164" s="177">
        <f t="shared" si="181"/>
        <v>33.372095238095234</v>
      </c>
      <c r="Q1164" s="177"/>
      <c r="R1164" s="431">
        <f t="shared" si="182"/>
        <v>0.44406060472745085</v>
      </c>
      <c r="S1164" s="468">
        <v>9</v>
      </c>
      <c r="T1164" s="127"/>
      <c r="U1164" s="127"/>
      <c r="V1164" s="127"/>
      <c r="W1164" s="127"/>
      <c r="X1164" s="127"/>
      <c r="Y1164" s="127"/>
    </row>
    <row r="1165" spans="1:25" s="6" customFormat="1" ht="15.75">
      <c r="A1165" s="412">
        <v>20</v>
      </c>
      <c r="B1165" s="404" t="s">
        <v>497</v>
      </c>
      <c r="C1165" s="330">
        <v>349.2</v>
      </c>
      <c r="D1165" s="330"/>
      <c r="E1165" s="330"/>
      <c r="F1165" s="404">
        <v>349.2</v>
      </c>
      <c r="G1165" s="644">
        <f t="shared" si="172"/>
        <v>349.2</v>
      </c>
      <c r="H1165" s="404"/>
      <c r="I1165" s="404">
        <v>0</v>
      </c>
      <c r="J1165" s="404">
        <v>0</v>
      </c>
      <c r="K1165" s="404">
        <v>0</v>
      </c>
      <c r="L1165" s="425">
        <f t="shared" si="180"/>
        <v>0</v>
      </c>
      <c r="M1165" s="177">
        <f t="shared" si="178"/>
        <v>0</v>
      </c>
      <c r="N1165" s="427">
        <f t="shared" si="179"/>
        <v>0</v>
      </c>
      <c r="O1165" s="427">
        <v>0</v>
      </c>
      <c r="P1165" s="177">
        <f t="shared" si="181"/>
        <v>0</v>
      </c>
      <c r="Q1165" s="177"/>
      <c r="R1165" s="431">
        <f t="shared" si="182"/>
        <v>0</v>
      </c>
      <c r="S1165" s="468">
        <v>2</v>
      </c>
      <c r="T1165" s="127"/>
      <c r="U1165" s="127"/>
      <c r="V1165" s="127"/>
      <c r="W1165" s="127"/>
      <c r="X1165" s="127"/>
      <c r="Y1165" s="127"/>
    </row>
    <row r="1166" spans="1:25" s="6" customFormat="1" ht="15.75">
      <c r="A1166" s="412">
        <v>21</v>
      </c>
      <c r="B1166" s="404" t="s">
        <v>498</v>
      </c>
      <c r="C1166" s="330">
        <v>433.4</v>
      </c>
      <c r="D1166" s="330"/>
      <c r="E1166" s="330"/>
      <c r="F1166" s="404">
        <v>433.8</v>
      </c>
      <c r="G1166" s="644">
        <f t="shared" si="172"/>
        <v>433.4</v>
      </c>
      <c r="H1166" s="404"/>
      <c r="I1166" s="404">
        <v>0</v>
      </c>
      <c r="J1166" s="404">
        <v>0</v>
      </c>
      <c r="K1166" s="404">
        <v>0</v>
      </c>
      <c r="L1166" s="425">
        <f t="shared" si="180"/>
        <v>0</v>
      </c>
      <c r="M1166" s="177">
        <f t="shared" si="178"/>
        <v>0</v>
      </c>
      <c r="N1166" s="427">
        <f t="shared" si="179"/>
        <v>0</v>
      </c>
      <c r="O1166" s="427">
        <v>0</v>
      </c>
      <c r="P1166" s="177">
        <f t="shared" si="181"/>
        <v>0</v>
      </c>
      <c r="Q1166" s="177"/>
      <c r="R1166" s="431">
        <f t="shared" si="182"/>
        <v>0</v>
      </c>
      <c r="S1166" s="468">
        <v>2</v>
      </c>
      <c r="T1166" s="127"/>
      <c r="U1166" s="127"/>
      <c r="V1166" s="127"/>
      <c r="W1166" s="127"/>
      <c r="X1166" s="127"/>
      <c r="Y1166" s="127"/>
    </row>
    <row r="1167" spans="1:25" s="6" customFormat="1" ht="15.75">
      <c r="A1167" s="412">
        <v>22</v>
      </c>
      <c r="B1167" s="404" t="s">
        <v>499</v>
      </c>
      <c r="C1167" s="330">
        <v>360.2</v>
      </c>
      <c r="D1167" s="330"/>
      <c r="E1167" s="330"/>
      <c r="F1167" s="404">
        <v>360.2</v>
      </c>
      <c r="G1167" s="644">
        <f t="shared" si="172"/>
        <v>360.2</v>
      </c>
      <c r="H1167" s="404"/>
      <c r="I1167" s="404">
        <v>0</v>
      </c>
      <c r="J1167" s="404">
        <v>0</v>
      </c>
      <c r="K1167" s="404">
        <v>0</v>
      </c>
      <c r="L1167" s="425">
        <f t="shared" si="180"/>
        <v>0</v>
      </c>
      <c r="M1167" s="177">
        <f t="shared" si="178"/>
        <v>0</v>
      </c>
      <c r="N1167" s="427">
        <f t="shared" si="179"/>
        <v>0</v>
      </c>
      <c r="O1167" s="427">
        <v>0</v>
      </c>
      <c r="P1167" s="177">
        <f t="shared" si="181"/>
        <v>0</v>
      </c>
      <c r="Q1167" s="177"/>
      <c r="R1167" s="431">
        <f t="shared" si="182"/>
        <v>0</v>
      </c>
      <c r="S1167" s="468">
        <v>2</v>
      </c>
      <c r="T1167" s="127"/>
      <c r="U1167" s="127"/>
      <c r="V1167" s="127"/>
      <c r="W1167" s="127"/>
      <c r="X1167" s="127"/>
      <c r="Y1167" s="127"/>
    </row>
    <row r="1168" spans="1:25" s="6" customFormat="1" ht="15.75">
      <c r="A1168" s="412">
        <v>23</v>
      </c>
      <c r="B1168" s="404" t="s">
        <v>500</v>
      </c>
      <c r="C1168" s="330">
        <v>31.8</v>
      </c>
      <c r="D1168" s="330"/>
      <c r="E1168" s="330"/>
      <c r="F1168" s="404">
        <v>31.8</v>
      </c>
      <c r="G1168" s="644">
        <f t="shared" si="172"/>
        <v>31.8</v>
      </c>
      <c r="H1168" s="404"/>
      <c r="I1168" s="404">
        <v>0</v>
      </c>
      <c r="J1168" s="404">
        <v>0</v>
      </c>
      <c r="K1168" s="404">
        <v>0</v>
      </c>
      <c r="L1168" s="425">
        <f t="shared" si="180"/>
        <v>0</v>
      </c>
      <c r="M1168" s="177">
        <f t="shared" si="178"/>
        <v>0</v>
      </c>
      <c r="N1168" s="427">
        <f t="shared" si="179"/>
        <v>0</v>
      </c>
      <c r="O1168" s="427">
        <v>0</v>
      </c>
      <c r="P1168" s="177">
        <f t="shared" si="181"/>
        <v>0</v>
      </c>
      <c r="Q1168" s="177"/>
      <c r="R1168" s="431">
        <f t="shared" si="182"/>
        <v>0</v>
      </c>
      <c r="S1168" s="468">
        <v>1</v>
      </c>
      <c r="T1168" s="127"/>
      <c r="U1168" s="127"/>
      <c r="V1168" s="127"/>
      <c r="W1168" s="127"/>
      <c r="X1168" s="127"/>
      <c r="Y1168" s="127"/>
    </row>
    <row r="1169" spans="1:25" s="6" customFormat="1" ht="15.75">
      <c r="A1169" s="412">
        <v>24</v>
      </c>
      <c r="B1169" s="404" t="s">
        <v>501</v>
      </c>
      <c r="C1169" s="330">
        <v>357.19</v>
      </c>
      <c r="D1169" s="330"/>
      <c r="E1169" s="330"/>
      <c r="F1169" s="404">
        <v>356.99</v>
      </c>
      <c r="G1169" s="644">
        <f t="shared" si="172"/>
        <v>357.19</v>
      </c>
      <c r="H1169" s="404"/>
      <c r="I1169" s="404">
        <v>0</v>
      </c>
      <c r="J1169" s="404">
        <v>0</v>
      </c>
      <c r="K1169" s="404">
        <v>0</v>
      </c>
      <c r="L1169" s="425">
        <f t="shared" si="180"/>
        <v>0</v>
      </c>
      <c r="M1169" s="177">
        <f t="shared" si="178"/>
        <v>0</v>
      </c>
      <c r="N1169" s="427">
        <f t="shared" si="179"/>
        <v>0</v>
      </c>
      <c r="O1169" s="427">
        <v>0</v>
      </c>
      <c r="P1169" s="177">
        <f t="shared" si="181"/>
        <v>0</v>
      </c>
      <c r="Q1169" s="177"/>
      <c r="R1169" s="431">
        <f t="shared" si="182"/>
        <v>0</v>
      </c>
      <c r="S1169" s="468">
        <v>2</v>
      </c>
      <c r="T1169" s="127"/>
      <c r="U1169" s="127"/>
      <c r="V1169" s="127"/>
      <c r="W1169" s="127"/>
      <c r="X1169" s="127"/>
      <c r="Y1169" s="127"/>
    </row>
    <row r="1170" spans="1:25" s="6" customFormat="1" ht="15.75">
      <c r="A1170" s="412">
        <v>25</v>
      </c>
      <c r="B1170" s="404" t="s">
        <v>502</v>
      </c>
      <c r="C1170" s="330">
        <v>306.39999999999998</v>
      </c>
      <c r="D1170" s="330"/>
      <c r="E1170" s="330"/>
      <c r="F1170" s="404">
        <v>306.39999999999998</v>
      </c>
      <c r="G1170" s="644">
        <f t="shared" si="172"/>
        <v>306.39999999999998</v>
      </c>
      <c r="H1170" s="404"/>
      <c r="I1170" s="404">
        <v>0</v>
      </c>
      <c r="J1170" s="404">
        <v>0</v>
      </c>
      <c r="K1170" s="404">
        <v>0</v>
      </c>
      <c r="L1170" s="425">
        <f t="shared" si="180"/>
        <v>0</v>
      </c>
      <c r="M1170" s="177">
        <f t="shared" si="178"/>
        <v>0</v>
      </c>
      <c r="N1170" s="427">
        <f t="shared" si="179"/>
        <v>0</v>
      </c>
      <c r="O1170" s="427">
        <v>0</v>
      </c>
      <c r="P1170" s="177">
        <f t="shared" si="181"/>
        <v>0</v>
      </c>
      <c r="Q1170" s="177"/>
      <c r="R1170" s="431">
        <f t="shared" si="182"/>
        <v>0</v>
      </c>
      <c r="S1170" s="468">
        <v>2</v>
      </c>
      <c r="T1170" s="127"/>
      <c r="U1170" s="127"/>
      <c r="V1170" s="127"/>
      <c r="W1170" s="127"/>
      <c r="X1170" s="127"/>
      <c r="Y1170" s="127"/>
    </row>
    <row r="1171" spans="1:25" s="6" customFormat="1" ht="15.75">
      <c r="A1171" s="412">
        <v>26</v>
      </c>
      <c r="B1171" s="404" t="s">
        <v>503</v>
      </c>
      <c r="C1171" s="330">
        <v>407.2</v>
      </c>
      <c r="D1171" s="330"/>
      <c r="E1171" s="330"/>
      <c r="F1171" s="404">
        <v>407.2</v>
      </c>
      <c r="G1171" s="644">
        <f t="shared" si="172"/>
        <v>407.2</v>
      </c>
      <c r="H1171" s="404"/>
      <c r="I1171" s="404">
        <v>0</v>
      </c>
      <c r="J1171" s="404">
        <v>0</v>
      </c>
      <c r="K1171" s="404">
        <v>0</v>
      </c>
      <c r="L1171" s="425">
        <f t="shared" si="180"/>
        <v>0</v>
      </c>
      <c r="M1171" s="177">
        <f t="shared" si="178"/>
        <v>0</v>
      </c>
      <c r="N1171" s="427">
        <f t="shared" si="179"/>
        <v>0</v>
      </c>
      <c r="O1171" s="427">
        <v>0</v>
      </c>
      <c r="P1171" s="177">
        <f t="shared" si="181"/>
        <v>0</v>
      </c>
      <c r="Q1171" s="177"/>
      <c r="R1171" s="431">
        <f t="shared" si="182"/>
        <v>0</v>
      </c>
      <c r="S1171" s="468">
        <v>2</v>
      </c>
      <c r="T1171" s="127"/>
      <c r="U1171" s="127"/>
      <c r="V1171" s="127"/>
      <c r="W1171" s="127"/>
      <c r="X1171" s="127"/>
      <c r="Y1171" s="127"/>
    </row>
    <row r="1172" spans="1:25" s="6" customFormat="1" ht="15.75">
      <c r="A1172" s="412">
        <v>27</v>
      </c>
      <c r="B1172" s="404" t="s">
        <v>504</v>
      </c>
      <c r="C1172" s="330">
        <v>52.3</v>
      </c>
      <c r="D1172" s="330"/>
      <c r="E1172" s="330"/>
      <c r="F1172" s="404">
        <v>52.3</v>
      </c>
      <c r="G1172" s="644">
        <f t="shared" si="172"/>
        <v>52.3</v>
      </c>
      <c r="H1172" s="404"/>
      <c r="I1172" s="404">
        <v>0</v>
      </c>
      <c r="J1172" s="404">
        <v>0</v>
      </c>
      <c r="K1172" s="404">
        <v>0</v>
      </c>
      <c r="L1172" s="425">
        <f t="shared" si="180"/>
        <v>0</v>
      </c>
      <c r="M1172" s="177">
        <f t="shared" si="178"/>
        <v>0</v>
      </c>
      <c r="N1172" s="427">
        <f t="shared" si="179"/>
        <v>0</v>
      </c>
      <c r="O1172" s="427">
        <v>0</v>
      </c>
      <c r="P1172" s="177">
        <f t="shared" si="181"/>
        <v>0</v>
      </c>
      <c r="Q1172" s="177"/>
      <c r="R1172" s="431">
        <f t="shared" si="182"/>
        <v>0</v>
      </c>
      <c r="S1172" s="468">
        <v>1</v>
      </c>
      <c r="T1172" s="127"/>
      <c r="U1172" s="127"/>
      <c r="V1172" s="127"/>
      <c r="W1172" s="127"/>
      <c r="X1172" s="127"/>
      <c r="Y1172" s="127"/>
    </row>
    <row r="1173" spans="1:25" s="6" customFormat="1" ht="15.75">
      <c r="A1173" s="412">
        <v>28</v>
      </c>
      <c r="B1173" s="404" t="s">
        <v>505</v>
      </c>
      <c r="C1173" s="330">
        <v>122.2</v>
      </c>
      <c r="D1173" s="330"/>
      <c r="E1173" s="330"/>
      <c r="F1173" s="404">
        <v>122.2</v>
      </c>
      <c r="G1173" s="644">
        <f t="shared" si="172"/>
        <v>122.2</v>
      </c>
      <c r="H1173" s="404"/>
      <c r="I1173" s="404">
        <v>0</v>
      </c>
      <c r="J1173" s="404">
        <v>0</v>
      </c>
      <c r="K1173" s="404">
        <v>0</v>
      </c>
      <c r="L1173" s="425">
        <f t="shared" si="180"/>
        <v>0</v>
      </c>
      <c r="M1173" s="177">
        <f t="shared" si="178"/>
        <v>0</v>
      </c>
      <c r="N1173" s="427">
        <f t="shared" si="179"/>
        <v>0</v>
      </c>
      <c r="O1173" s="427">
        <v>0</v>
      </c>
      <c r="P1173" s="177">
        <f t="shared" si="181"/>
        <v>0</v>
      </c>
      <c r="Q1173" s="177"/>
      <c r="R1173" s="431">
        <f t="shared" si="182"/>
        <v>0</v>
      </c>
      <c r="S1173" s="468">
        <v>2</v>
      </c>
      <c r="T1173" s="127"/>
      <c r="U1173" s="127"/>
      <c r="V1173" s="127"/>
      <c r="W1173" s="127"/>
      <c r="X1173" s="127"/>
      <c r="Y1173" s="127"/>
    </row>
    <row r="1174" spans="1:25" s="6" customFormat="1" ht="15.75">
      <c r="A1174" s="412">
        <v>29</v>
      </c>
      <c r="B1174" s="404" t="s">
        <v>506</v>
      </c>
      <c r="C1174" s="330">
        <v>77.900000000000006</v>
      </c>
      <c r="D1174" s="330"/>
      <c r="E1174" s="330"/>
      <c r="F1174" s="404">
        <v>77.900000000000006</v>
      </c>
      <c r="G1174" s="644">
        <f t="shared" si="172"/>
        <v>77.900000000000006</v>
      </c>
      <c r="H1174" s="404"/>
      <c r="I1174" s="404">
        <v>0</v>
      </c>
      <c r="J1174" s="404">
        <v>0</v>
      </c>
      <c r="K1174" s="404">
        <v>0</v>
      </c>
      <c r="L1174" s="425">
        <f t="shared" si="180"/>
        <v>0</v>
      </c>
      <c r="M1174" s="177">
        <f t="shared" si="178"/>
        <v>0</v>
      </c>
      <c r="N1174" s="427">
        <f t="shared" si="179"/>
        <v>0</v>
      </c>
      <c r="O1174" s="427">
        <v>0</v>
      </c>
      <c r="P1174" s="177">
        <f t="shared" si="181"/>
        <v>0</v>
      </c>
      <c r="Q1174" s="177"/>
      <c r="R1174" s="431">
        <f t="shared" si="182"/>
        <v>0</v>
      </c>
      <c r="S1174" s="468">
        <v>2</v>
      </c>
      <c r="T1174" s="127"/>
      <c r="U1174" s="127"/>
      <c r="V1174" s="127"/>
      <c r="W1174" s="127"/>
      <c r="X1174" s="127"/>
      <c r="Y1174" s="127"/>
    </row>
    <row r="1175" spans="1:25" s="6" customFormat="1" ht="15.75">
      <c r="A1175" s="412">
        <v>30</v>
      </c>
      <c r="B1175" s="404" t="s">
        <v>507</v>
      </c>
      <c r="C1175" s="330">
        <v>205.19</v>
      </c>
      <c r="D1175" s="330"/>
      <c r="E1175" s="330"/>
      <c r="F1175" s="404">
        <v>205.19</v>
      </c>
      <c r="G1175" s="644">
        <f t="shared" si="172"/>
        <v>205.19</v>
      </c>
      <c r="H1175" s="404"/>
      <c r="I1175" s="404">
        <v>0</v>
      </c>
      <c r="J1175" s="404">
        <v>0</v>
      </c>
      <c r="K1175" s="404">
        <v>0</v>
      </c>
      <c r="L1175" s="425">
        <f t="shared" si="180"/>
        <v>0</v>
      </c>
      <c r="M1175" s="177">
        <f t="shared" si="178"/>
        <v>0</v>
      </c>
      <c r="N1175" s="427">
        <f t="shared" si="179"/>
        <v>0</v>
      </c>
      <c r="O1175" s="427">
        <v>0</v>
      </c>
      <c r="P1175" s="177">
        <f t="shared" si="181"/>
        <v>0</v>
      </c>
      <c r="Q1175" s="177"/>
      <c r="R1175" s="431">
        <f t="shared" si="182"/>
        <v>0</v>
      </c>
      <c r="S1175" s="468">
        <v>2</v>
      </c>
      <c r="T1175" s="127"/>
      <c r="U1175" s="127"/>
      <c r="V1175" s="127"/>
      <c r="W1175" s="127"/>
      <c r="X1175" s="127"/>
      <c r="Y1175" s="127"/>
    </row>
    <row r="1176" spans="1:25" s="6" customFormat="1" ht="15.75">
      <c r="A1176" s="412">
        <v>31</v>
      </c>
      <c r="B1176" s="404" t="s">
        <v>508</v>
      </c>
      <c r="C1176" s="330">
        <v>289.10000000000002</v>
      </c>
      <c r="D1176" s="330"/>
      <c r="E1176" s="330"/>
      <c r="F1176" s="404">
        <v>289.10000000000002</v>
      </c>
      <c r="G1176" s="644">
        <f t="shared" si="172"/>
        <v>289.10000000000002</v>
      </c>
      <c r="H1176" s="404"/>
      <c r="I1176" s="404">
        <v>0</v>
      </c>
      <c r="J1176" s="404">
        <v>0</v>
      </c>
      <c r="K1176" s="404">
        <v>0</v>
      </c>
      <c r="L1176" s="425">
        <f t="shared" si="180"/>
        <v>0</v>
      </c>
      <c r="M1176" s="177">
        <f t="shared" si="178"/>
        <v>0</v>
      </c>
      <c r="N1176" s="427">
        <f t="shared" si="179"/>
        <v>0</v>
      </c>
      <c r="O1176" s="427">
        <v>0</v>
      </c>
      <c r="P1176" s="177">
        <f t="shared" si="181"/>
        <v>0</v>
      </c>
      <c r="Q1176" s="177"/>
      <c r="R1176" s="431">
        <f t="shared" si="182"/>
        <v>0</v>
      </c>
      <c r="S1176" s="468">
        <v>2</v>
      </c>
      <c r="T1176" s="127"/>
      <c r="U1176" s="127"/>
      <c r="V1176" s="127"/>
      <c r="W1176" s="127"/>
      <c r="X1176" s="127"/>
      <c r="Y1176" s="127"/>
    </row>
    <row r="1177" spans="1:25" s="6" customFormat="1" ht="15.75">
      <c r="A1177" s="412">
        <v>32</v>
      </c>
      <c r="B1177" s="404" t="s">
        <v>509</v>
      </c>
      <c r="C1177" s="330">
        <v>117.92</v>
      </c>
      <c r="D1177" s="330"/>
      <c r="E1177" s="330"/>
      <c r="F1177" s="404">
        <v>108.44</v>
      </c>
      <c r="G1177" s="644">
        <f t="shared" si="172"/>
        <v>117.92</v>
      </c>
      <c r="H1177" s="404"/>
      <c r="I1177" s="404">
        <v>0</v>
      </c>
      <c r="J1177" s="404">
        <v>0</v>
      </c>
      <c r="K1177" s="404">
        <v>0</v>
      </c>
      <c r="L1177" s="425">
        <f t="shared" si="180"/>
        <v>0</v>
      </c>
      <c r="M1177" s="177">
        <f t="shared" si="178"/>
        <v>0</v>
      </c>
      <c r="N1177" s="427">
        <f t="shared" si="179"/>
        <v>0</v>
      </c>
      <c r="O1177" s="427">
        <v>0</v>
      </c>
      <c r="P1177" s="177">
        <f t="shared" si="181"/>
        <v>0</v>
      </c>
      <c r="Q1177" s="177"/>
      <c r="R1177" s="431">
        <f t="shared" si="182"/>
        <v>0</v>
      </c>
      <c r="S1177" s="468">
        <v>2</v>
      </c>
      <c r="T1177" s="127"/>
      <c r="U1177" s="127"/>
      <c r="V1177" s="127"/>
      <c r="W1177" s="127"/>
      <c r="X1177" s="127"/>
      <c r="Y1177" s="127"/>
    </row>
    <row r="1178" spans="1:25" s="6" customFormat="1" ht="15.75">
      <c r="A1178" s="412">
        <v>33</v>
      </c>
      <c r="B1178" s="404" t="s">
        <v>510</v>
      </c>
      <c r="C1178" s="330">
        <v>242.85</v>
      </c>
      <c r="D1178" s="330"/>
      <c r="E1178" s="330"/>
      <c r="F1178" s="404">
        <v>228.55</v>
      </c>
      <c r="G1178" s="644">
        <f t="shared" si="172"/>
        <v>242.85</v>
      </c>
      <c r="H1178" s="404"/>
      <c r="I1178" s="404">
        <v>0</v>
      </c>
      <c r="J1178" s="404">
        <v>0</v>
      </c>
      <c r="K1178" s="404">
        <v>0</v>
      </c>
      <c r="L1178" s="425">
        <f t="shared" si="180"/>
        <v>0</v>
      </c>
      <c r="M1178" s="177">
        <f t="shared" si="178"/>
        <v>0</v>
      </c>
      <c r="N1178" s="427">
        <f t="shared" si="179"/>
        <v>0</v>
      </c>
      <c r="O1178" s="427">
        <v>0</v>
      </c>
      <c r="P1178" s="177">
        <f t="shared" si="181"/>
        <v>0</v>
      </c>
      <c r="Q1178" s="177"/>
      <c r="R1178" s="431">
        <f t="shared" si="182"/>
        <v>0</v>
      </c>
      <c r="S1178" s="468">
        <v>2</v>
      </c>
      <c r="T1178" s="127"/>
      <c r="U1178" s="127"/>
      <c r="V1178" s="127"/>
      <c r="W1178" s="127"/>
      <c r="X1178" s="127"/>
      <c r="Y1178" s="127"/>
    </row>
    <row r="1179" spans="1:25" s="6" customFormat="1" ht="15.75">
      <c r="A1179" s="412">
        <v>34</v>
      </c>
      <c r="B1179" s="404" t="s">
        <v>511</v>
      </c>
      <c r="C1179" s="330">
        <v>415.2</v>
      </c>
      <c r="D1179" s="330"/>
      <c r="E1179" s="330"/>
      <c r="F1179" s="404">
        <v>415.2</v>
      </c>
      <c r="G1179" s="644">
        <f t="shared" si="172"/>
        <v>415.2</v>
      </c>
      <c r="H1179" s="404"/>
      <c r="I1179" s="404">
        <v>0</v>
      </c>
      <c r="J1179" s="404">
        <v>0</v>
      </c>
      <c r="K1179" s="404">
        <v>0</v>
      </c>
      <c r="L1179" s="425">
        <f t="shared" si="180"/>
        <v>0</v>
      </c>
      <c r="M1179" s="177">
        <f t="shared" si="178"/>
        <v>0</v>
      </c>
      <c r="N1179" s="427">
        <f t="shared" si="179"/>
        <v>0</v>
      </c>
      <c r="O1179" s="427">
        <v>0</v>
      </c>
      <c r="P1179" s="177">
        <f t="shared" si="181"/>
        <v>0</v>
      </c>
      <c r="Q1179" s="177"/>
      <c r="R1179" s="431">
        <f t="shared" si="182"/>
        <v>0</v>
      </c>
      <c r="S1179" s="468">
        <v>2</v>
      </c>
      <c r="T1179" s="127"/>
      <c r="U1179" s="127"/>
      <c r="V1179" s="127"/>
      <c r="W1179" s="127"/>
      <c r="X1179" s="127"/>
      <c r="Y1179" s="127"/>
    </row>
    <row r="1180" spans="1:25" s="6" customFormat="1" ht="15.75">
      <c r="A1180" s="412">
        <v>35</v>
      </c>
      <c r="B1180" s="404" t="s">
        <v>512</v>
      </c>
      <c r="C1180" s="330">
        <v>8111.75</v>
      </c>
      <c r="D1180" s="330"/>
      <c r="E1180" s="330"/>
      <c r="F1180" s="404">
        <v>8112.68</v>
      </c>
      <c r="G1180" s="644">
        <f t="shared" si="172"/>
        <v>8111.75</v>
      </c>
      <c r="H1180" s="404">
        <v>1280</v>
      </c>
      <c r="I1180" s="404"/>
      <c r="J1180" s="404">
        <v>1280</v>
      </c>
      <c r="K1180" s="404">
        <v>1280</v>
      </c>
      <c r="L1180" s="425">
        <f t="shared" si="180"/>
        <v>1.5238095238095237</v>
      </c>
      <c r="M1180" s="177">
        <f t="shared" si="178"/>
        <v>3073.5390476190473</v>
      </c>
      <c r="N1180" s="427">
        <f t="shared" si="179"/>
        <v>1130.1403078095238</v>
      </c>
      <c r="O1180" s="427">
        <v>1187.2761904761903</v>
      </c>
      <c r="P1180" s="177">
        <f t="shared" si="181"/>
        <v>76.007619047619045</v>
      </c>
      <c r="Q1180" s="177"/>
      <c r="R1180" s="431">
        <f t="shared" si="182"/>
        <v>0.67395607174190286</v>
      </c>
      <c r="S1180" s="468">
        <v>9</v>
      </c>
      <c r="T1180" s="127"/>
      <c r="U1180" s="127"/>
      <c r="V1180" s="127"/>
      <c r="W1180" s="127"/>
      <c r="X1180" s="127"/>
      <c r="Y1180" s="127"/>
    </row>
    <row r="1181" spans="1:25" s="6" customFormat="1" ht="15.75">
      <c r="A1181" s="412">
        <v>36</v>
      </c>
      <c r="B1181" s="404" t="s">
        <v>513</v>
      </c>
      <c r="C1181" s="330">
        <v>6280.23</v>
      </c>
      <c r="D1181" s="330"/>
      <c r="E1181" s="330"/>
      <c r="F1181" s="404">
        <v>6280.22</v>
      </c>
      <c r="G1181" s="644">
        <f t="shared" si="172"/>
        <v>6280.23</v>
      </c>
      <c r="H1181" s="404">
        <v>740</v>
      </c>
      <c r="I1181" s="404"/>
      <c r="J1181" s="404">
        <v>740</v>
      </c>
      <c r="K1181" s="404">
        <v>740</v>
      </c>
      <c r="L1181" s="425">
        <f t="shared" si="180"/>
        <v>0.88095238095238093</v>
      </c>
      <c r="M1181" s="177">
        <f t="shared" si="178"/>
        <v>1776.8897619047618</v>
      </c>
      <c r="N1181" s="427">
        <f t="shared" si="179"/>
        <v>653.36236545238103</v>
      </c>
      <c r="O1181" s="427">
        <v>686.39404761904757</v>
      </c>
      <c r="P1181" s="177">
        <f t="shared" si="181"/>
        <v>43.941904761904766</v>
      </c>
      <c r="Q1181" s="177"/>
      <c r="R1181" s="431">
        <f t="shared" si="182"/>
        <v>0.50325992515211948</v>
      </c>
      <c r="S1181" s="468">
        <v>9</v>
      </c>
      <c r="T1181" s="127"/>
      <c r="U1181" s="127"/>
      <c r="V1181" s="127"/>
      <c r="W1181" s="127"/>
      <c r="X1181" s="127"/>
      <c r="Y1181" s="127"/>
    </row>
    <row r="1182" spans="1:25" s="6" customFormat="1" ht="15.75">
      <c r="A1182" s="412">
        <v>37</v>
      </c>
      <c r="B1182" s="404" t="s">
        <v>514</v>
      </c>
      <c r="C1182" s="330">
        <v>8361.6299999999992</v>
      </c>
      <c r="D1182" s="330"/>
      <c r="E1182" s="330"/>
      <c r="F1182" s="404">
        <v>8357.82</v>
      </c>
      <c r="G1182" s="644">
        <f t="shared" si="172"/>
        <v>8361.6299999999992</v>
      </c>
      <c r="H1182" s="404">
        <v>1480</v>
      </c>
      <c r="I1182" s="404"/>
      <c r="J1182" s="404">
        <v>1480</v>
      </c>
      <c r="K1182" s="404">
        <v>1480</v>
      </c>
      <c r="L1182" s="425">
        <f t="shared" si="180"/>
        <v>1.7619047619047619</v>
      </c>
      <c r="M1182" s="177">
        <f t="shared" si="178"/>
        <v>3553.7795238095237</v>
      </c>
      <c r="N1182" s="427">
        <f t="shared" si="179"/>
        <v>1306.7247309047621</v>
      </c>
      <c r="O1182" s="427">
        <v>1372.7880952380951</v>
      </c>
      <c r="P1182" s="177">
        <f t="shared" si="181"/>
        <v>87.883809523809532</v>
      </c>
      <c r="Q1182" s="177"/>
      <c r="R1182" s="431">
        <f t="shared" si="182"/>
        <v>0.75597415330218998</v>
      </c>
      <c r="S1182" s="468">
        <v>9</v>
      </c>
      <c r="T1182" s="127"/>
      <c r="U1182" s="127"/>
      <c r="V1182" s="127"/>
      <c r="W1182" s="127"/>
      <c r="X1182" s="127"/>
      <c r="Y1182" s="127"/>
    </row>
    <row r="1183" spans="1:25" s="6" customFormat="1" ht="15.75">
      <c r="A1183" s="412">
        <v>38</v>
      </c>
      <c r="B1183" s="404" t="s">
        <v>515</v>
      </c>
      <c r="C1183" s="330">
        <v>6675.9</v>
      </c>
      <c r="D1183" s="330"/>
      <c r="E1183" s="330"/>
      <c r="F1183" s="404">
        <v>6678.54</v>
      </c>
      <c r="G1183" s="644">
        <f t="shared" si="172"/>
        <v>6675.9</v>
      </c>
      <c r="H1183" s="404">
        <v>790</v>
      </c>
      <c r="I1183" s="404"/>
      <c r="J1183" s="404">
        <v>790</v>
      </c>
      <c r="K1183" s="404">
        <v>790</v>
      </c>
      <c r="L1183" s="425">
        <f t="shared" si="180"/>
        <v>0.94047619047619047</v>
      </c>
      <c r="M1183" s="177">
        <f t="shared" si="178"/>
        <v>1896.9498809523809</v>
      </c>
      <c r="N1183" s="427">
        <f t="shared" si="179"/>
        <v>697.50847122619052</v>
      </c>
      <c r="O1183" s="427">
        <v>732.77202380952383</v>
      </c>
      <c r="P1183" s="177">
        <f t="shared" si="181"/>
        <v>46.910952380952381</v>
      </c>
      <c r="Q1183" s="177"/>
      <c r="R1183" s="431">
        <f t="shared" si="182"/>
        <v>0.5054211909059525</v>
      </c>
      <c r="S1183" s="468">
        <v>9</v>
      </c>
      <c r="T1183" s="127"/>
      <c r="U1183" s="127"/>
      <c r="V1183" s="127"/>
      <c r="W1183" s="127"/>
      <c r="X1183" s="127"/>
      <c r="Y1183" s="127"/>
    </row>
    <row r="1184" spans="1:25" s="6" customFormat="1" ht="15.75">
      <c r="A1184" s="412">
        <v>39</v>
      </c>
      <c r="B1184" s="404" t="s">
        <v>516</v>
      </c>
      <c r="C1184" s="330">
        <v>4489.2299999999996</v>
      </c>
      <c r="D1184" s="330"/>
      <c r="E1184" s="330">
        <v>48.5</v>
      </c>
      <c r="F1184" s="404">
        <v>4489.87</v>
      </c>
      <c r="G1184" s="644">
        <f t="shared" si="172"/>
        <v>4537.7299999999996</v>
      </c>
      <c r="H1184" s="404">
        <v>540</v>
      </c>
      <c r="I1184" s="404"/>
      <c r="J1184" s="404">
        <v>540</v>
      </c>
      <c r="K1184" s="404">
        <v>540</v>
      </c>
      <c r="L1184" s="425">
        <f t="shared" si="180"/>
        <v>0.6428571428571429</v>
      </c>
      <c r="M1184" s="177">
        <f t="shared" si="178"/>
        <v>1296.6492857142857</v>
      </c>
      <c r="N1184" s="427">
        <f t="shared" si="179"/>
        <v>476.77794235714288</v>
      </c>
      <c r="O1184" s="427">
        <v>500.88214285714287</v>
      </c>
      <c r="P1184" s="177">
        <f t="shared" si="181"/>
        <v>32.065714285714293</v>
      </c>
      <c r="Q1184" s="177"/>
      <c r="R1184" s="431">
        <f t="shared" si="182"/>
        <v>0.51375738939958204</v>
      </c>
      <c r="S1184" s="468">
        <v>9</v>
      </c>
      <c r="T1184" s="127"/>
      <c r="U1184" s="127"/>
      <c r="V1184" s="127"/>
      <c r="W1184" s="127"/>
      <c r="X1184" s="127"/>
      <c r="Y1184" s="127"/>
    </row>
    <row r="1185" spans="1:25" s="6" customFormat="1" ht="15.75">
      <c r="A1185" s="412">
        <v>40</v>
      </c>
      <c r="B1185" s="404" t="s">
        <v>517</v>
      </c>
      <c r="C1185" s="330">
        <v>4352.13</v>
      </c>
      <c r="D1185" s="330"/>
      <c r="E1185" s="330"/>
      <c r="F1185" s="404">
        <v>4352.6099999999997</v>
      </c>
      <c r="G1185" s="644">
        <f t="shared" si="172"/>
        <v>4352.13</v>
      </c>
      <c r="H1185" s="404">
        <v>530</v>
      </c>
      <c r="I1185" s="404"/>
      <c r="J1185" s="404">
        <v>530</v>
      </c>
      <c r="K1185" s="404">
        <v>530</v>
      </c>
      <c r="L1185" s="425">
        <f t="shared" si="180"/>
        <v>0.63095238095238093</v>
      </c>
      <c r="M1185" s="177">
        <f t="shared" si="178"/>
        <v>1272.6372619047618</v>
      </c>
      <c r="N1185" s="427">
        <f t="shared" si="179"/>
        <v>467.94872120238091</v>
      </c>
      <c r="O1185" s="427">
        <v>491.6065476190476</v>
      </c>
      <c r="P1185" s="177">
        <f t="shared" si="181"/>
        <v>31.471904761904764</v>
      </c>
      <c r="Q1185" s="177"/>
      <c r="R1185" s="431">
        <f t="shared" si="182"/>
        <v>0.52012794550900243</v>
      </c>
      <c r="S1185" s="468">
        <v>9</v>
      </c>
      <c r="T1185" s="127"/>
      <c r="U1185" s="127"/>
      <c r="V1185" s="127"/>
      <c r="W1185" s="127"/>
      <c r="X1185" s="127"/>
      <c r="Y1185" s="127"/>
    </row>
    <row r="1186" spans="1:25" s="6" customFormat="1" ht="15.75">
      <c r="A1186" s="412">
        <v>41</v>
      </c>
      <c r="B1186" s="404" t="s">
        <v>518</v>
      </c>
      <c r="C1186" s="330">
        <v>4481.0200000000004</v>
      </c>
      <c r="D1186" s="330"/>
      <c r="E1186" s="330">
        <v>48.33</v>
      </c>
      <c r="F1186" s="404">
        <v>4482.34</v>
      </c>
      <c r="G1186" s="644">
        <f t="shared" si="172"/>
        <v>4529.3500000000004</v>
      </c>
      <c r="H1186" s="404">
        <v>540</v>
      </c>
      <c r="I1186" s="404"/>
      <c r="J1186" s="404">
        <v>540</v>
      </c>
      <c r="K1186" s="404">
        <v>540</v>
      </c>
      <c r="L1186" s="425">
        <f t="shared" si="180"/>
        <v>0.6428571428571429</v>
      </c>
      <c r="M1186" s="177">
        <f t="shared" si="178"/>
        <v>1296.6492857142857</v>
      </c>
      <c r="N1186" s="427">
        <f t="shared" si="179"/>
        <v>476.77794235714288</v>
      </c>
      <c r="O1186" s="427">
        <v>500.88214285714287</v>
      </c>
      <c r="P1186" s="177">
        <f t="shared" si="181"/>
        <v>32.065714285714293</v>
      </c>
      <c r="Q1186" s="177"/>
      <c r="R1186" s="431">
        <f t="shared" si="182"/>
        <v>0.51469868137483998</v>
      </c>
      <c r="S1186" s="468">
        <v>9</v>
      </c>
      <c r="T1186" s="127"/>
      <c r="U1186" s="127"/>
      <c r="V1186" s="127"/>
      <c r="W1186" s="127"/>
      <c r="X1186" s="127"/>
      <c r="Y1186" s="127"/>
    </row>
    <row r="1187" spans="1:25" s="6" customFormat="1" ht="15.75">
      <c r="A1187" s="412">
        <v>42</v>
      </c>
      <c r="B1187" s="404" t="s">
        <v>519</v>
      </c>
      <c r="C1187" s="330">
        <v>4132.3900000000003</v>
      </c>
      <c r="D1187" s="330"/>
      <c r="E1187" s="330">
        <v>18.8</v>
      </c>
      <c r="F1187" s="404">
        <v>4132.05</v>
      </c>
      <c r="G1187" s="644">
        <f t="shared" si="172"/>
        <v>4151.1900000000005</v>
      </c>
      <c r="H1187" s="404">
        <v>580</v>
      </c>
      <c r="I1187" s="404"/>
      <c r="J1187" s="404">
        <v>580</v>
      </c>
      <c r="K1187" s="404">
        <v>580</v>
      </c>
      <c r="L1187" s="425">
        <f t="shared" si="180"/>
        <v>0.69047619047619047</v>
      </c>
      <c r="M1187" s="177">
        <f t="shared" si="178"/>
        <v>1392.6973809523809</v>
      </c>
      <c r="N1187" s="427">
        <f t="shared" si="179"/>
        <v>512.09482697619046</v>
      </c>
      <c r="O1187" s="427">
        <v>537.98452380952381</v>
      </c>
      <c r="P1187" s="177">
        <f t="shared" si="181"/>
        <v>34.440952380952382</v>
      </c>
      <c r="Q1187" s="177"/>
      <c r="R1187" s="431">
        <f t="shared" si="182"/>
        <v>0.59946367214107255</v>
      </c>
      <c r="S1187" s="468">
        <v>9</v>
      </c>
      <c r="T1187" s="127"/>
      <c r="U1187" s="127"/>
      <c r="V1187" s="127"/>
      <c r="W1187" s="127"/>
      <c r="X1187" s="127"/>
      <c r="Y1187" s="127"/>
    </row>
    <row r="1188" spans="1:25" s="6" customFormat="1" ht="15.75">
      <c r="A1188" s="412">
        <v>43</v>
      </c>
      <c r="B1188" s="404" t="s">
        <v>520</v>
      </c>
      <c r="C1188" s="330">
        <v>8136.02</v>
      </c>
      <c r="D1188" s="330"/>
      <c r="E1188" s="330"/>
      <c r="F1188" s="404">
        <v>8136.53</v>
      </c>
      <c r="G1188" s="644">
        <f t="shared" si="172"/>
        <v>8136.02</v>
      </c>
      <c r="H1188" s="404">
        <v>1410</v>
      </c>
      <c r="I1188" s="404"/>
      <c r="J1188" s="404">
        <v>1410</v>
      </c>
      <c r="K1188" s="404">
        <v>1410</v>
      </c>
      <c r="L1188" s="425">
        <f t="shared" si="180"/>
        <v>1.6785714285714286</v>
      </c>
      <c r="M1188" s="177">
        <f t="shared" si="178"/>
        <v>3385.6953571428571</v>
      </c>
      <c r="N1188" s="427">
        <f t="shared" si="179"/>
        <v>1244.9201828214286</v>
      </c>
      <c r="O1188" s="427">
        <v>1307.8589285714286</v>
      </c>
      <c r="P1188" s="177">
        <f t="shared" si="181"/>
        <v>83.727142857142866</v>
      </c>
      <c r="Q1188" s="177"/>
      <c r="R1188" s="431">
        <f t="shared" si="182"/>
        <v>0.74019011892705</v>
      </c>
      <c r="S1188" s="468">
        <v>9</v>
      </c>
      <c r="T1188" s="127"/>
      <c r="U1188" s="127"/>
      <c r="V1188" s="127"/>
      <c r="W1188" s="127"/>
      <c r="X1188" s="127"/>
      <c r="Y1188" s="127"/>
    </row>
    <row r="1189" spans="1:25" s="6" customFormat="1" ht="15.75">
      <c r="A1189" s="412">
        <v>44</v>
      </c>
      <c r="B1189" s="404" t="s">
        <v>521</v>
      </c>
      <c r="C1189" s="330">
        <v>5922.13</v>
      </c>
      <c r="D1189" s="330">
        <v>77.599999999999994</v>
      </c>
      <c r="E1189" s="330">
        <v>240.4</v>
      </c>
      <c r="F1189" s="404">
        <v>5924.01</v>
      </c>
      <c r="G1189" s="644">
        <f t="shared" si="172"/>
        <v>6240.13</v>
      </c>
      <c r="H1189" s="404">
        <v>760</v>
      </c>
      <c r="I1189" s="404"/>
      <c r="J1189" s="404">
        <v>760</v>
      </c>
      <c r="K1189" s="404">
        <v>760</v>
      </c>
      <c r="L1189" s="425">
        <f t="shared" si="180"/>
        <v>0.90476190476190477</v>
      </c>
      <c r="M1189" s="177">
        <f t="shared" si="178"/>
        <v>1824.9138095238095</v>
      </c>
      <c r="N1189" s="427">
        <f t="shared" si="179"/>
        <v>671.02080776190485</v>
      </c>
      <c r="O1189" s="427">
        <v>704.9452380952381</v>
      </c>
      <c r="P1189" s="177">
        <f t="shared" si="181"/>
        <v>45.12952380952381</v>
      </c>
      <c r="Q1189" s="177"/>
      <c r="R1189" s="431">
        <f t="shared" si="182"/>
        <v>0.54811518477143806</v>
      </c>
      <c r="S1189" s="468">
        <v>9</v>
      </c>
      <c r="T1189" s="127"/>
      <c r="U1189" s="127"/>
      <c r="V1189" s="127"/>
      <c r="W1189" s="127"/>
      <c r="X1189" s="127"/>
      <c r="Y1189" s="127"/>
    </row>
    <row r="1190" spans="1:25" s="6" customFormat="1" ht="15.75">
      <c r="A1190" s="412">
        <v>45</v>
      </c>
      <c r="B1190" s="404" t="s">
        <v>522</v>
      </c>
      <c r="C1190" s="330">
        <v>5641.92</v>
      </c>
      <c r="D1190" s="330">
        <v>100.4</v>
      </c>
      <c r="E1190" s="330">
        <v>535.70000000000005</v>
      </c>
      <c r="F1190" s="404">
        <v>5642.13</v>
      </c>
      <c r="G1190" s="644">
        <f t="shared" si="172"/>
        <v>6278.0199999999995</v>
      </c>
      <c r="H1190" s="404">
        <v>760</v>
      </c>
      <c r="I1190" s="404"/>
      <c r="J1190" s="404">
        <v>760</v>
      </c>
      <c r="K1190" s="404">
        <v>760</v>
      </c>
      <c r="L1190" s="425">
        <f t="shared" si="180"/>
        <v>0.90476190476190477</v>
      </c>
      <c r="M1190" s="177">
        <f t="shared" si="178"/>
        <v>1824.9138095238095</v>
      </c>
      <c r="N1190" s="427">
        <f t="shared" si="179"/>
        <v>671.02080776190485</v>
      </c>
      <c r="O1190" s="427">
        <v>704.9452380952381</v>
      </c>
      <c r="P1190" s="177">
        <f t="shared" si="181"/>
        <v>45.12952380952381</v>
      </c>
      <c r="Q1190" s="177"/>
      <c r="R1190" s="431">
        <f t="shared" si="182"/>
        <v>0.5753377182218955</v>
      </c>
      <c r="S1190" s="468">
        <v>9</v>
      </c>
      <c r="T1190" s="127"/>
      <c r="U1190" s="127"/>
      <c r="V1190" s="127"/>
      <c r="W1190" s="127"/>
      <c r="X1190" s="127"/>
      <c r="Y1190" s="127"/>
    </row>
    <row r="1191" spans="1:25" s="6" customFormat="1" ht="15.75">
      <c r="A1191" s="412">
        <v>46</v>
      </c>
      <c r="B1191" s="404" t="s">
        <v>523</v>
      </c>
      <c r="C1191" s="330">
        <f>3994.79-6.68</f>
        <v>3988.11</v>
      </c>
      <c r="D1191" s="330"/>
      <c r="E1191" s="330"/>
      <c r="F1191" s="404">
        <v>3994.86</v>
      </c>
      <c r="G1191" s="644">
        <f t="shared" si="172"/>
        <v>3988.11</v>
      </c>
      <c r="H1191" s="404">
        <v>580</v>
      </c>
      <c r="I1191" s="404"/>
      <c r="J1191" s="404">
        <v>580</v>
      </c>
      <c r="K1191" s="404">
        <v>580</v>
      </c>
      <c r="L1191" s="425">
        <f t="shared" si="180"/>
        <v>0.69047619047619047</v>
      </c>
      <c r="M1191" s="177">
        <f t="shared" si="178"/>
        <v>1392.6973809523809</v>
      </c>
      <c r="N1191" s="427">
        <f t="shared" si="179"/>
        <v>512.09482697619046</v>
      </c>
      <c r="O1191" s="427">
        <v>537.98452380952381</v>
      </c>
      <c r="P1191" s="177">
        <f t="shared" si="181"/>
        <v>34.440952380952382</v>
      </c>
      <c r="Q1191" s="177"/>
      <c r="R1191" s="431">
        <f t="shared" si="182"/>
        <v>0.62115079175826315</v>
      </c>
      <c r="S1191" s="468">
        <v>9</v>
      </c>
      <c r="T1191" s="127"/>
      <c r="U1191" s="127"/>
      <c r="V1191" s="127"/>
      <c r="W1191" s="127"/>
      <c r="X1191" s="127"/>
      <c r="Y1191" s="127"/>
    </row>
    <row r="1192" spans="1:25" s="6" customFormat="1" ht="15.75">
      <c r="A1192" s="412">
        <v>47</v>
      </c>
      <c r="B1192" s="404" t="s">
        <v>524</v>
      </c>
      <c r="C1192" s="330">
        <v>4150.55</v>
      </c>
      <c r="D1192" s="330"/>
      <c r="E1192" s="330"/>
      <c r="F1192" s="404">
        <v>4150.28</v>
      </c>
      <c r="G1192" s="644">
        <f t="shared" si="172"/>
        <v>4150.55</v>
      </c>
      <c r="H1192" s="404">
        <v>580</v>
      </c>
      <c r="I1192" s="404"/>
      <c r="J1192" s="404">
        <v>580</v>
      </c>
      <c r="K1192" s="404">
        <v>580</v>
      </c>
      <c r="L1192" s="425">
        <f t="shared" si="180"/>
        <v>0.69047619047619047</v>
      </c>
      <c r="M1192" s="177">
        <f t="shared" si="178"/>
        <v>1392.6973809523809</v>
      </c>
      <c r="N1192" s="427">
        <f t="shared" si="179"/>
        <v>512.09482697619046</v>
      </c>
      <c r="O1192" s="427">
        <v>537.98452380952381</v>
      </c>
      <c r="P1192" s="177">
        <f t="shared" si="181"/>
        <v>34.440952380952382</v>
      </c>
      <c r="Q1192" s="177"/>
      <c r="R1192" s="431">
        <f t="shared" si="182"/>
        <v>0.59684082449772846</v>
      </c>
      <c r="S1192" s="468">
        <v>9</v>
      </c>
      <c r="T1192" s="127"/>
      <c r="U1192" s="127"/>
      <c r="V1192" s="127"/>
      <c r="W1192" s="127"/>
      <c r="X1192" s="127"/>
      <c r="Y1192" s="127"/>
    </row>
    <row r="1193" spans="1:25" s="6" customFormat="1" ht="15.75">
      <c r="A1193" s="412">
        <v>48</v>
      </c>
      <c r="B1193" s="404" t="s">
        <v>525</v>
      </c>
      <c r="C1193" s="330">
        <v>14374.02</v>
      </c>
      <c r="D1193" s="330"/>
      <c r="E1193" s="330"/>
      <c r="F1193" s="404">
        <v>14376.98</v>
      </c>
      <c r="G1193" s="644">
        <f t="shared" si="172"/>
        <v>14374.02</v>
      </c>
      <c r="H1193" s="404">
        <v>2170</v>
      </c>
      <c r="I1193" s="404"/>
      <c r="J1193" s="404">
        <v>2170</v>
      </c>
      <c r="K1193" s="404">
        <v>2170</v>
      </c>
      <c r="L1193" s="425">
        <f t="shared" si="180"/>
        <v>2.5833333333333335</v>
      </c>
      <c r="M1193" s="177">
        <f t="shared" si="178"/>
        <v>5210.6091666666671</v>
      </c>
      <c r="N1193" s="427">
        <f t="shared" si="179"/>
        <v>1915.9409905833336</v>
      </c>
      <c r="O1193" s="427">
        <v>2012.8041666666668</v>
      </c>
      <c r="P1193" s="177">
        <f t="shared" si="181"/>
        <v>128.85666666666668</v>
      </c>
      <c r="Q1193" s="177"/>
      <c r="R1193" s="431">
        <f t="shared" si="182"/>
        <v>0.64478907018240794</v>
      </c>
      <c r="S1193" s="468">
        <v>9</v>
      </c>
      <c r="T1193" s="127"/>
      <c r="U1193" s="127"/>
      <c r="V1193" s="127"/>
      <c r="W1193" s="127"/>
      <c r="X1193" s="127"/>
      <c r="Y1193" s="127"/>
    </row>
    <row r="1194" spans="1:25" s="6" customFormat="1" ht="15.75">
      <c r="A1194" s="412">
        <v>49</v>
      </c>
      <c r="B1194" s="404" t="s">
        <v>526</v>
      </c>
      <c r="C1194" s="330">
        <v>4120.28</v>
      </c>
      <c r="D1194" s="330"/>
      <c r="E1194" s="330"/>
      <c r="F1194" s="404">
        <v>4125.5200000000004</v>
      </c>
      <c r="G1194" s="644">
        <f t="shared" si="172"/>
        <v>4120.28</v>
      </c>
      <c r="H1194" s="404">
        <v>620</v>
      </c>
      <c r="I1194" s="404"/>
      <c r="J1194" s="404">
        <v>620</v>
      </c>
      <c r="K1194" s="404">
        <v>620</v>
      </c>
      <c r="L1194" s="425">
        <f t="shared" si="180"/>
        <v>0.73809523809523814</v>
      </c>
      <c r="M1194" s="177">
        <f t="shared" si="178"/>
        <v>1488.7454761904762</v>
      </c>
      <c r="N1194" s="427">
        <f t="shared" si="179"/>
        <v>547.4117115952381</v>
      </c>
      <c r="O1194" s="427">
        <v>575.08690476190475</v>
      </c>
      <c r="P1194" s="177">
        <f t="shared" si="181"/>
        <v>36.816190476190478</v>
      </c>
      <c r="Q1194" s="177"/>
      <c r="R1194" s="431">
        <f t="shared" si="182"/>
        <v>0.64268940048341605</v>
      </c>
      <c r="S1194" s="468">
        <v>9</v>
      </c>
      <c r="T1194" s="127"/>
      <c r="U1194" s="127"/>
      <c r="V1194" s="127"/>
      <c r="W1194" s="127"/>
      <c r="X1194" s="127"/>
      <c r="Y1194" s="127"/>
    </row>
    <row r="1195" spans="1:25" s="6" customFormat="1" ht="15.75">
      <c r="A1195" s="412">
        <v>50</v>
      </c>
      <c r="B1195" s="404" t="s">
        <v>527</v>
      </c>
      <c r="C1195" s="330">
        <v>14371.39</v>
      </c>
      <c r="D1195" s="330"/>
      <c r="E1195" s="330"/>
      <c r="F1195" s="404">
        <v>14366.18</v>
      </c>
      <c r="G1195" s="644">
        <f t="shared" si="172"/>
        <v>14371.39</v>
      </c>
      <c r="H1195" s="404">
        <v>2170</v>
      </c>
      <c r="I1195" s="404"/>
      <c r="J1195" s="404">
        <v>2170</v>
      </c>
      <c r="K1195" s="404">
        <v>2170</v>
      </c>
      <c r="L1195" s="425">
        <f t="shared" si="180"/>
        <v>2.5833333333333335</v>
      </c>
      <c r="M1195" s="177">
        <f t="shared" si="178"/>
        <v>5210.6091666666671</v>
      </c>
      <c r="N1195" s="427">
        <f t="shared" si="179"/>
        <v>1915.9409905833336</v>
      </c>
      <c r="O1195" s="427">
        <v>2012.8041666666668</v>
      </c>
      <c r="P1195" s="177">
        <f t="shared" si="181"/>
        <v>128.85666666666668</v>
      </c>
      <c r="Q1195" s="177"/>
      <c r="R1195" s="431">
        <f t="shared" si="182"/>
        <v>0.64490706818083254</v>
      </c>
      <c r="S1195" s="468">
        <v>9</v>
      </c>
      <c r="T1195" s="127"/>
      <c r="U1195" s="127"/>
      <c r="V1195" s="127"/>
      <c r="W1195" s="127"/>
      <c r="X1195" s="127"/>
      <c r="Y1195" s="127"/>
    </row>
    <row r="1196" spans="1:25" s="6" customFormat="1" ht="15.75">
      <c r="A1196" s="412">
        <v>51</v>
      </c>
      <c r="B1196" s="404" t="s">
        <v>528</v>
      </c>
      <c r="C1196" s="330">
        <v>9061.4</v>
      </c>
      <c r="D1196" s="330"/>
      <c r="E1196" s="330">
        <v>2450</v>
      </c>
      <c r="F1196" s="404">
        <v>9061.35</v>
      </c>
      <c r="G1196" s="644">
        <f t="shared" si="172"/>
        <v>11511.4</v>
      </c>
      <c r="H1196" s="404">
        <v>1310</v>
      </c>
      <c r="I1196" s="404"/>
      <c r="J1196" s="404">
        <v>1310</v>
      </c>
      <c r="K1196" s="404">
        <v>1310</v>
      </c>
      <c r="L1196" s="425">
        <f t="shared" si="180"/>
        <v>1.5595238095238095</v>
      </c>
      <c r="M1196" s="177">
        <f t="shared" si="178"/>
        <v>3145.575119047619</v>
      </c>
      <c r="N1196" s="427">
        <f t="shared" si="179"/>
        <v>1156.6279712738096</v>
      </c>
      <c r="O1196" s="427">
        <v>1215.1029761904761</v>
      </c>
      <c r="P1196" s="177">
        <f t="shared" si="181"/>
        <v>77.789047619047622</v>
      </c>
      <c r="Q1196" s="177"/>
      <c r="R1196" s="431">
        <f t="shared" si="182"/>
        <v>0.61746475314310734</v>
      </c>
      <c r="S1196" s="468">
        <v>9</v>
      </c>
      <c r="T1196" s="127"/>
      <c r="U1196" s="127"/>
      <c r="V1196" s="127"/>
      <c r="W1196" s="127"/>
      <c r="X1196" s="127"/>
      <c r="Y1196" s="127"/>
    </row>
    <row r="1197" spans="1:25" s="6" customFormat="1" ht="15.75">
      <c r="A1197" s="412">
        <v>52</v>
      </c>
      <c r="B1197" s="404" t="s">
        <v>529</v>
      </c>
      <c r="C1197" s="330">
        <v>6826.1</v>
      </c>
      <c r="D1197" s="330"/>
      <c r="E1197" s="330">
        <v>98.1</v>
      </c>
      <c r="F1197" s="404">
        <v>6825.6</v>
      </c>
      <c r="G1197" s="644">
        <f t="shared" si="172"/>
        <v>6924.2000000000007</v>
      </c>
      <c r="H1197" s="404">
        <v>950</v>
      </c>
      <c r="I1197" s="404"/>
      <c r="J1197" s="404">
        <v>950</v>
      </c>
      <c r="K1197" s="404">
        <v>950</v>
      </c>
      <c r="L1197" s="425">
        <f t="shared" si="180"/>
        <v>1.1309523809523809</v>
      </c>
      <c r="M1197" s="177">
        <f t="shared" si="178"/>
        <v>2281.1422619047617</v>
      </c>
      <c r="N1197" s="427">
        <f t="shared" si="179"/>
        <v>838.77600970238097</v>
      </c>
      <c r="O1197" s="427">
        <v>881.18154761904759</v>
      </c>
      <c r="P1197" s="177">
        <f t="shared" si="181"/>
        <v>56.411904761904765</v>
      </c>
      <c r="Q1197" s="177"/>
      <c r="R1197" s="431">
        <f t="shared" si="182"/>
        <v>0.59441140973441564</v>
      </c>
      <c r="S1197" s="468">
        <v>15</v>
      </c>
      <c r="T1197" s="127"/>
      <c r="U1197" s="127"/>
      <c r="V1197" s="127"/>
      <c r="W1197" s="127"/>
      <c r="X1197" s="127"/>
      <c r="Y1197" s="127"/>
    </row>
    <row r="1198" spans="1:25" s="6" customFormat="1" ht="15.75">
      <c r="A1198" s="412">
        <v>53</v>
      </c>
      <c r="B1198" s="404" t="s">
        <v>530</v>
      </c>
      <c r="C1198" s="330">
        <v>9038.0300000000007</v>
      </c>
      <c r="D1198" s="330"/>
      <c r="E1198" s="330">
        <v>1829.2</v>
      </c>
      <c r="F1198" s="404">
        <v>9039.07</v>
      </c>
      <c r="G1198" s="644">
        <f t="shared" si="172"/>
        <v>10867.230000000001</v>
      </c>
      <c r="H1198" s="404">
        <v>1310</v>
      </c>
      <c r="I1198" s="404"/>
      <c r="J1198" s="404">
        <v>1310</v>
      </c>
      <c r="K1198" s="404">
        <v>1310</v>
      </c>
      <c r="L1198" s="425">
        <f t="shared" si="180"/>
        <v>1.5595238095238095</v>
      </c>
      <c r="M1198" s="177">
        <f t="shared" si="178"/>
        <v>3145.575119047619</v>
      </c>
      <c r="N1198" s="427">
        <f t="shared" si="179"/>
        <v>1156.6279712738096</v>
      </c>
      <c r="O1198" s="427">
        <v>1215.1029761904761</v>
      </c>
      <c r="P1198" s="177">
        <f t="shared" si="181"/>
        <v>77.789047619047622</v>
      </c>
      <c r="Q1198" s="177"/>
      <c r="R1198" s="431">
        <f t="shared" si="182"/>
        <v>0.61906135674820195</v>
      </c>
      <c r="S1198" s="468">
        <v>9</v>
      </c>
      <c r="T1198" s="127"/>
      <c r="U1198" s="127"/>
      <c r="V1198" s="127"/>
      <c r="W1198" s="127"/>
      <c r="X1198" s="127"/>
      <c r="Y1198" s="127"/>
    </row>
    <row r="1199" spans="1:25" s="6" customFormat="1" ht="15.75">
      <c r="A1199" s="412">
        <v>54</v>
      </c>
      <c r="B1199" s="404" t="s">
        <v>531</v>
      </c>
      <c r="C1199" s="330">
        <v>6690.6</v>
      </c>
      <c r="D1199" s="330"/>
      <c r="E1199" s="330">
        <v>855.4</v>
      </c>
      <c r="F1199" s="404">
        <v>6690.61</v>
      </c>
      <c r="G1199" s="644">
        <f t="shared" ref="G1199:G1231" si="183">C1199+D1199+E1199</f>
        <v>7546</v>
      </c>
      <c r="H1199" s="404">
        <v>950</v>
      </c>
      <c r="I1199" s="404"/>
      <c r="J1199" s="404">
        <v>950</v>
      </c>
      <c r="K1199" s="404">
        <v>950</v>
      </c>
      <c r="L1199" s="425">
        <f t="shared" si="180"/>
        <v>1.1309523809523809</v>
      </c>
      <c r="M1199" s="177">
        <f t="shared" si="178"/>
        <v>2281.1422619047617</v>
      </c>
      <c r="N1199" s="427">
        <f t="shared" si="179"/>
        <v>838.77600970238097</v>
      </c>
      <c r="O1199" s="427">
        <v>881.18154761904759</v>
      </c>
      <c r="P1199" s="177">
        <f t="shared" si="181"/>
        <v>56.411904761904765</v>
      </c>
      <c r="Q1199" s="177"/>
      <c r="R1199" s="431">
        <f t="shared" si="182"/>
        <v>0.60644960451799468</v>
      </c>
      <c r="S1199" s="468">
        <v>15</v>
      </c>
      <c r="T1199" s="127"/>
      <c r="U1199" s="127"/>
      <c r="V1199" s="127"/>
      <c r="W1199" s="127"/>
      <c r="X1199" s="127"/>
      <c r="Y1199" s="127"/>
    </row>
    <row r="1200" spans="1:25" s="6" customFormat="1" ht="15.75">
      <c r="A1200" s="412">
        <v>55</v>
      </c>
      <c r="B1200" s="404" t="s">
        <v>1370</v>
      </c>
      <c r="C1200" s="330">
        <v>2503.4</v>
      </c>
      <c r="D1200" s="330"/>
      <c r="E1200" s="330"/>
      <c r="F1200" s="404">
        <v>2503.4</v>
      </c>
      <c r="G1200" s="644">
        <f t="shared" si="183"/>
        <v>2503.4</v>
      </c>
      <c r="H1200" s="404">
        <v>123</v>
      </c>
      <c r="I1200" s="404"/>
      <c r="J1200" s="404"/>
      <c r="K1200" s="404">
        <v>123</v>
      </c>
      <c r="L1200" s="425">
        <f t="shared" si="180"/>
        <v>0.14642857142857144</v>
      </c>
      <c r="M1200" s="177">
        <f t="shared" si="178"/>
        <v>295.34789285714288</v>
      </c>
      <c r="N1200" s="427">
        <f t="shared" si="179"/>
        <v>108.59942020357144</v>
      </c>
      <c r="O1200" s="427">
        <v>114.08982142857143</v>
      </c>
      <c r="P1200" s="177">
        <f t="shared" si="181"/>
        <v>7.3038571428571437</v>
      </c>
      <c r="Q1200" s="177"/>
      <c r="R1200" s="431">
        <f t="shared" si="182"/>
        <v>0.20985099929381759</v>
      </c>
      <c r="S1200" s="468">
        <v>5</v>
      </c>
      <c r="T1200" s="127"/>
      <c r="U1200" s="127"/>
      <c r="V1200" s="127"/>
      <c r="W1200" s="127"/>
      <c r="X1200" s="127"/>
      <c r="Y1200" s="127"/>
    </row>
    <row r="1201" spans="1:25" s="6" customFormat="1" ht="15.75">
      <c r="A1201" s="412">
        <v>56</v>
      </c>
      <c r="B1201" s="404" t="s">
        <v>1371</v>
      </c>
      <c r="C1201" s="330">
        <v>1175</v>
      </c>
      <c r="D1201" s="330"/>
      <c r="E1201" s="330"/>
      <c r="F1201" s="404">
        <v>1175</v>
      </c>
      <c r="G1201" s="644">
        <f t="shared" si="183"/>
        <v>1175</v>
      </c>
      <c r="H1201" s="404">
        <v>61.6</v>
      </c>
      <c r="I1201" s="404"/>
      <c r="J1201" s="404">
        <v>950</v>
      </c>
      <c r="K1201" s="404">
        <v>61.6</v>
      </c>
      <c r="L1201" s="425">
        <f t="shared" si="180"/>
        <v>7.3333333333333334E-2</v>
      </c>
      <c r="M1201" s="177">
        <f t="shared" si="178"/>
        <v>147.91406666666666</v>
      </c>
      <c r="N1201" s="427">
        <f t="shared" si="179"/>
        <v>54.388002313333331</v>
      </c>
      <c r="O1201" s="427">
        <v>57.137666666666668</v>
      </c>
      <c r="P1201" s="177">
        <f t="shared" si="181"/>
        <v>3.657866666666667</v>
      </c>
      <c r="Q1201" s="177"/>
      <c r="R1201" s="431">
        <f t="shared" si="182"/>
        <v>0.22391285303262415</v>
      </c>
      <c r="S1201" s="468">
        <v>5</v>
      </c>
      <c r="T1201" s="127"/>
      <c r="U1201" s="127"/>
      <c r="V1201" s="127"/>
      <c r="W1201" s="127"/>
      <c r="X1201" s="127"/>
      <c r="Y1201" s="127"/>
    </row>
    <row r="1202" spans="1:25" s="67" customFormat="1" ht="15.75">
      <c r="A1202" s="412"/>
      <c r="B1202" s="173" t="s">
        <v>681</v>
      </c>
      <c r="C1202" s="173">
        <f>SUM(C1148:C1201)</f>
        <v>166904.80000000002</v>
      </c>
      <c r="D1202" s="173">
        <f>SUM(D1148:D1201)</f>
        <v>178</v>
      </c>
      <c r="E1202" s="173">
        <f>SUM(E1148:E1201)</f>
        <v>6124.4299999999994</v>
      </c>
      <c r="F1202" s="173">
        <f>SUM(F1148:F1201)</f>
        <v>166906.35</v>
      </c>
      <c r="G1202" s="644">
        <f t="shared" si="183"/>
        <v>173207.23</v>
      </c>
      <c r="H1202" s="173">
        <f>SUM(H1148:H1201)</f>
        <v>21924.6</v>
      </c>
      <c r="I1202" s="173">
        <f>SUM(I1148:I1201)</f>
        <v>0</v>
      </c>
      <c r="J1202" s="173">
        <f>SUM(J1148:J1201)</f>
        <v>22690</v>
      </c>
      <c r="K1202" s="404">
        <f t="shared" ref="K1202:K1208" si="184">H1202+I1202</f>
        <v>21924.6</v>
      </c>
      <c r="L1202" s="425">
        <f t="shared" ref="L1202:L1212" si="185">(H1202/840)+(I1202/756)</f>
        <v>26.100714285714282</v>
      </c>
      <c r="M1202" s="177">
        <f>L1202*2017.01</f>
        <v>52645.401721428563</v>
      </c>
      <c r="N1202" s="427">
        <f>M1202*0.3677</f>
        <v>19357.714212969284</v>
      </c>
      <c r="O1202" s="427">
        <f>SUM(O1147:O1201)</f>
        <v>20336.371535714279</v>
      </c>
      <c r="P1202" s="177">
        <f t="shared" si="181"/>
        <v>1301.9036285714285</v>
      </c>
      <c r="Q1202" s="177"/>
      <c r="R1202" s="431">
        <f t="shared" si="182"/>
        <v>0.56104672303422998</v>
      </c>
      <c r="S1202" s="468"/>
      <c r="T1202" s="152"/>
      <c r="U1202" s="152"/>
      <c r="V1202" s="152"/>
      <c r="W1202" s="152"/>
      <c r="X1202" s="152"/>
      <c r="Y1202" s="152"/>
    </row>
    <row r="1203" spans="1:25" s="209" customFormat="1" ht="15.75">
      <c r="A1203" s="1042" t="s">
        <v>618</v>
      </c>
      <c r="B1203" s="1043"/>
      <c r="C1203" s="438"/>
      <c r="D1203" s="438"/>
      <c r="E1203" s="438"/>
      <c r="F1203" s="438"/>
      <c r="G1203" s="644">
        <f t="shared" si="183"/>
        <v>0</v>
      </c>
      <c r="H1203" s="438"/>
      <c r="I1203" s="438"/>
      <c r="J1203" s="438"/>
      <c r="K1203" s="438"/>
      <c r="L1203" s="501"/>
      <c r="M1203" s="177">
        <f>L1203*2077.52</f>
        <v>0</v>
      </c>
      <c r="N1203" s="498"/>
      <c r="O1203" s="427"/>
      <c r="P1203" s="504">
        <f t="shared" si="181"/>
        <v>0</v>
      </c>
      <c r="Q1203" s="504"/>
      <c r="R1203" s="431"/>
      <c r="S1203" s="502"/>
      <c r="T1203" s="212"/>
      <c r="U1203" s="212"/>
      <c r="V1203" s="212"/>
      <c r="W1203" s="212"/>
      <c r="X1203" s="212"/>
      <c r="Y1203" s="212"/>
    </row>
    <row r="1204" spans="1:25" s="6" customFormat="1" ht="15.75">
      <c r="A1204" s="412">
        <v>1</v>
      </c>
      <c r="B1204" s="404" t="s">
        <v>532</v>
      </c>
      <c r="C1204" s="386">
        <v>3898.29</v>
      </c>
      <c r="D1204" s="386">
        <v>123.1</v>
      </c>
      <c r="E1204" s="386">
        <v>374.5</v>
      </c>
      <c r="F1204" s="404">
        <v>3898.29</v>
      </c>
      <c r="G1204" s="644">
        <f t="shared" si="183"/>
        <v>4395.8899999999994</v>
      </c>
      <c r="H1204" s="404">
        <v>454</v>
      </c>
      <c r="I1204" s="404"/>
      <c r="J1204" s="404">
        <v>454</v>
      </c>
      <c r="K1204" s="404">
        <f t="shared" si="184"/>
        <v>454</v>
      </c>
      <c r="L1204" s="425">
        <f t="shared" si="185"/>
        <v>0.54047619047619044</v>
      </c>
      <c r="M1204" s="177">
        <f t="shared" ref="M1204:M1231" si="186">L1204*2017.01</f>
        <v>1090.1458809523808</v>
      </c>
      <c r="N1204" s="427">
        <f t="shared" ref="N1204:N1232" si="187">M1204*0.3677</f>
        <v>400.84664042619045</v>
      </c>
      <c r="O1204" s="427">
        <v>421.11202380952375</v>
      </c>
      <c r="P1204" s="177">
        <f t="shared" si="181"/>
        <v>26.958952380952379</v>
      </c>
      <c r="Q1204" s="177"/>
      <c r="R1204" s="431">
        <f t="shared" si="182"/>
        <v>0.49741386545614802</v>
      </c>
      <c r="S1204" s="468">
        <v>9</v>
      </c>
      <c r="T1204" s="127">
        <v>0.41043144715222507</v>
      </c>
      <c r="U1204" s="127"/>
      <c r="V1204" s="127"/>
      <c r="W1204" s="127"/>
      <c r="X1204" s="127"/>
      <c r="Y1204" s="127"/>
    </row>
    <row r="1205" spans="1:25" s="6" customFormat="1" ht="15.75">
      <c r="A1205" s="412">
        <v>2</v>
      </c>
      <c r="B1205" s="404" t="s">
        <v>533</v>
      </c>
      <c r="C1205" s="330">
        <v>3600.73</v>
      </c>
      <c r="D1205" s="330"/>
      <c r="E1205" s="330">
        <v>290.5</v>
      </c>
      <c r="F1205" s="404">
        <v>3600.73</v>
      </c>
      <c r="G1205" s="644">
        <f t="shared" si="183"/>
        <v>3891.23</v>
      </c>
      <c r="H1205" s="404">
        <v>410</v>
      </c>
      <c r="I1205" s="404"/>
      <c r="J1205" s="404">
        <v>610</v>
      </c>
      <c r="K1205" s="404">
        <f t="shared" si="184"/>
        <v>410</v>
      </c>
      <c r="L1205" s="425">
        <f t="shared" si="185"/>
        <v>0.48809523809523808</v>
      </c>
      <c r="M1205" s="177">
        <f t="shared" si="186"/>
        <v>984.49297619047616</v>
      </c>
      <c r="N1205" s="427">
        <f t="shared" si="187"/>
        <v>361.9980673452381</v>
      </c>
      <c r="O1205" s="427">
        <v>380.29940476190473</v>
      </c>
      <c r="P1205" s="177">
        <f t="shared" si="181"/>
        <v>24.346190476190475</v>
      </c>
      <c r="Q1205" s="177"/>
      <c r="R1205" s="431">
        <f t="shared" si="182"/>
        <v>0.48632822754658345</v>
      </c>
      <c r="S1205" s="468">
        <v>9</v>
      </c>
      <c r="T1205" s="127">
        <v>0.40128434706956906</v>
      </c>
      <c r="U1205" s="127"/>
      <c r="V1205" s="127"/>
      <c r="W1205" s="127"/>
      <c r="X1205" s="127"/>
      <c r="Y1205" s="127"/>
    </row>
    <row r="1206" spans="1:25" s="6" customFormat="1" ht="15.75">
      <c r="A1206" s="412">
        <v>3</v>
      </c>
      <c r="B1206" s="404" t="s">
        <v>534</v>
      </c>
      <c r="C1206" s="330">
        <v>5868.42</v>
      </c>
      <c r="D1206" s="330">
        <v>489.8</v>
      </c>
      <c r="E1206" s="330"/>
      <c r="F1206" s="404">
        <v>5868.42</v>
      </c>
      <c r="G1206" s="644">
        <f t="shared" si="183"/>
        <v>6358.22</v>
      </c>
      <c r="H1206" s="404">
        <v>611</v>
      </c>
      <c r="I1206" s="404"/>
      <c r="J1206" s="404">
        <v>611</v>
      </c>
      <c r="K1206" s="404">
        <f t="shared" si="184"/>
        <v>611</v>
      </c>
      <c r="L1206" s="425">
        <f t="shared" si="185"/>
        <v>0.72738095238095235</v>
      </c>
      <c r="M1206" s="177">
        <f t="shared" si="186"/>
        <v>1467.1346547619046</v>
      </c>
      <c r="N1206" s="427">
        <f t="shared" si="187"/>
        <v>539.46541255595241</v>
      </c>
      <c r="O1206" s="427">
        <v>566.738869047619</v>
      </c>
      <c r="P1206" s="177">
        <f t="shared" si="181"/>
        <v>36.281761904761908</v>
      </c>
      <c r="Q1206" s="177"/>
      <c r="R1206" s="431">
        <f t="shared" si="182"/>
        <v>0.44468880861803312</v>
      </c>
      <c r="S1206" s="468">
        <v>9</v>
      </c>
      <c r="T1206" s="127">
        <v>0.36692638450302434</v>
      </c>
      <c r="U1206" s="127"/>
      <c r="V1206" s="127"/>
      <c r="W1206" s="127"/>
      <c r="X1206" s="127"/>
      <c r="Y1206" s="127"/>
    </row>
    <row r="1207" spans="1:25" s="6" customFormat="1" ht="15.75">
      <c r="A1207" s="412">
        <v>4</v>
      </c>
      <c r="B1207" s="404" t="s">
        <v>535</v>
      </c>
      <c r="C1207" s="330">
        <v>4090.86</v>
      </c>
      <c r="D1207" s="330"/>
      <c r="E1207" s="330"/>
      <c r="F1207" s="404">
        <v>4090.86</v>
      </c>
      <c r="G1207" s="644">
        <f t="shared" si="183"/>
        <v>4090.86</v>
      </c>
      <c r="H1207" s="404">
        <v>428</v>
      </c>
      <c r="I1207" s="404"/>
      <c r="J1207" s="404">
        <v>668</v>
      </c>
      <c r="K1207" s="404">
        <f t="shared" si="184"/>
        <v>428</v>
      </c>
      <c r="L1207" s="425">
        <f t="shared" si="185"/>
        <v>0.50952380952380949</v>
      </c>
      <c r="M1207" s="177">
        <f t="shared" si="186"/>
        <v>1027.714619047619</v>
      </c>
      <c r="N1207" s="427">
        <f t="shared" si="187"/>
        <v>377.89066542380954</v>
      </c>
      <c r="O1207" s="427">
        <v>396.99547619047615</v>
      </c>
      <c r="P1207" s="177">
        <f t="shared" si="181"/>
        <v>25.41504761904762</v>
      </c>
      <c r="Q1207" s="177"/>
      <c r="R1207" s="431">
        <f t="shared" si="182"/>
        <v>0.44685367093495065</v>
      </c>
      <c r="S1207" s="468">
        <v>5</v>
      </c>
      <c r="T1207" s="127">
        <v>0.36871267884526776</v>
      </c>
      <c r="U1207" s="127"/>
      <c r="V1207" s="127"/>
      <c r="W1207" s="127"/>
      <c r="X1207" s="127"/>
      <c r="Y1207" s="127"/>
    </row>
    <row r="1208" spans="1:25" s="6" customFormat="1" ht="15.75">
      <c r="A1208" s="412">
        <v>5</v>
      </c>
      <c r="B1208" s="404" t="s">
        <v>536</v>
      </c>
      <c r="C1208" s="330">
        <v>3274.15</v>
      </c>
      <c r="D1208" s="330"/>
      <c r="E1208" s="330"/>
      <c r="F1208" s="404">
        <v>3274.15</v>
      </c>
      <c r="G1208" s="644">
        <f t="shared" si="183"/>
        <v>3274.15</v>
      </c>
      <c r="H1208" s="404">
        <v>378</v>
      </c>
      <c r="I1208" s="404"/>
      <c r="J1208" s="404">
        <v>378</v>
      </c>
      <c r="K1208" s="404">
        <f t="shared" si="184"/>
        <v>378</v>
      </c>
      <c r="L1208" s="425">
        <f t="shared" si="185"/>
        <v>0.45</v>
      </c>
      <c r="M1208" s="177">
        <f t="shared" si="186"/>
        <v>907.65449999999998</v>
      </c>
      <c r="N1208" s="427">
        <f t="shared" si="187"/>
        <v>333.74455965000004</v>
      </c>
      <c r="O1208" s="427">
        <v>350.61750000000001</v>
      </c>
      <c r="P1208" s="177">
        <f t="shared" si="181"/>
        <v>22.446000000000002</v>
      </c>
      <c r="Q1208" s="177"/>
      <c r="R1208" s="431">
        <f t="shared" si="182"/>
        <v>0.4930936455721332</v>
      </c>
      <c r="S1208" s="468">
        <v>5</v>
      </c>
      <c r="T1208" s="127">
        <v>0.40686670112853712</v>
      </c>
      <c r="U1208" s="127"/>
      <c r="V1208" s="127"/>
      <c r="W1208" s="127"/>
      <c r="X1208" s="127"/>
      <c r="Y1208" s="127"/>
    </row>
    <row r="1209" spans="1:25" s="6" customFormat="1" ht="15.75">
      <c r="A1209" s="412">
        <v>6</v>
      </c>
      <c r="B1209" s="404" t="s">
        <v>537</v>
      </c>
      <c r="C1209" s="330">
        <v>6596</v>
      </c>
      <c r="D1209" s="330"/>
      <c r="E1209" s="330"/>
      <c r="F1209" s="404">
        <v>6596</v>
      </c>
      <c r="G1209" s="644">
        <f t="shared" si="183"/>
        <v>6596</v>
      </c>
      <c r="H1209" s="404">
        <v>918</v>
      </c>
      <c r="I1209" s="404"/>
      <c r="J1209" s="404">
        <v>918</v>
      </c>
      <c r="K1209" s="404">
        <f t="shared" ref="K1209:K1231" si="188">H1209+I1209</f>
        <v>918</v>
      </c>
      <c r="L1209" s="425">
        <f t="shared" si="185"/>
        <v>1.0928571428571427</v>
      </c>
      <c r="M1209" s="177">
        <f t="shared" si="186"/>
        <v>2204.3037857142854</v>
      </c>
      <c r="N1209" s="427">
        <f t="shared" si="187"/>
        <v>810.52250200714275</v>
      </c>
      <c r="O1209" s="427">
        <v>851.4996428571427</v>
      </c>
      <c r="P1209" s="177">
        <f t="shared" si="181"/>
        <v>54.511714285714284</v>
      </c>
      <c r="Q1209" s="177"/>
      <c r="R1209" s="431">
        <f t="shared" si="182"/>
        <v>0.59442656835419727</v>
      </c>
      <c r="S1209" s="468">
        <v>9</v>
      </c>
      <c r="T1209" s="127">
        <v>0.49047960585419725</v>
      </c>
      <c r="U1209" s="127"/>
      <c r="V1209" s="127"/>
      <c r="W1209" s="127"/>
      <c r="X1209" s="127"/>
      <c r="Y1209" s="127"/>
    </row>
    <row r="1210" spans="1:25" s="6" customFormat="1" ht="15.75">
      <c r="A1210" s="412">
        <v>7</v>
      </c>
      <c r="B1210" s="404" t="s">
        <v>538</v>
      </c>
      <c r="C1210" s="330">
        <v>7101.2</v>
      </c>
      <c r="D1210" s="330"/>
      <c r="E1210" s="330"/>
      <c r="F1210" s="404">
        <v>7101.2</v>
      </c>
      <c r="G1210" s="644">
        <f t="shared" si="183"/>
        <v>7101.2</v>
      </c>
      <c r="H1210" s="404">
        <v>892</v>
      </c>
      <c r="I1210" s="404"/>
      <c r="J1210" s="404">
        <v>892</v>
      </c>
      <c r="K1210" s="404">
        <f t="shared" si="188"/>
        <v>892</v>
      </c>
      <c r="L1210" s="425">
        <f t="shared" si="185"/>
        <v>1.0619047619047619</v>
      </c>
      <c r="M1210" s="177">
        <f t="shared" si="186"/>
        <v>2141.872523809524</v>
      </c>
      <c r="N1210" s="427">
        <f t="shared" si="187"/>
        <v>787.56652700476207</v>
      </c>
      <c r="O1210" s="427">
        <v>827.38309523809517</v>
      </c>
      <c r="P1210" s="177">
        <f t="shared" si="181"/>
        <v>52.967809523809528</v>
      </c>
      <c r="Q1210" s="177"/>
      <c r="R1210" s="431">
        <f t="shared" si="182"/>
        <v>0.53649945862335813</v>
      </c>
      <c r="S1210" s="468">
        <v>9</v>
      </c>
      <c r="T1210" s="127">
        <v>0.44268216970035912</v>
      </c>
      <c r="U1210" s="127"/>
      <c r="V1210" s="127"/>
      <c r="W1210" s="127"/>
      <c r="X1210" s="127"/>
      <c r="Y1210" s="127"/>
    </row>
    <row r="1211" spans="1:25" s="6" customFormat="1" ht="15.75">
      <c r="A1211" s="412">
        <v>8</v>
      </c>
      <c r="B1211" s="404" t="s">
        <v>539</v>
      </c>
      <c r="C1211" s="330">
        <v>7470.48</v>
      </c>
      <c r="D1211" s="330"/>
      <c r="E1211" s="330"/>
      <c r="F1211" s="404">
        <v>7470.48</v>
      </c>
      <c r="G1211" s="644">
        <f t="shared" si="183"/>
        <v>7470.48</v>
      </c>
      <c r="H1211" s="404">
        <v>710</v>
      </c>
      <c r="I1211" s="404"/>
      <c r="J1211" s="404">
        <v>710</v>
      </c>
      <c r="K1211" s="404">
        <f t="shared" si="188"/>
        <v>710</v>
      </c>
      <c r="L1211" s="425">
        <f t="shared" si="185"/>
        <v>0.84523809523809523</v>
      </c>
      <c r="M1211" s="177">
        <f t="shared" si="186"/>
        <v>1704.8536904761904</v>
      </c>
      <c r="N1211" s="427">
        <f t="shared" si="187"/>
        <v>626.87470198809524</v>
      </c>
      <c r="O1211" s="427">
        <v>658.56726190476184</v>
      </c>
      <c r="P1211" s="177">
        <f t="shared" si="181"/>
        <v>42.160476190476196</v>
      </c>
      <c r="Q1211" s="177"/>
      <c r="R1211" s="431">
        <f t="shared" si="182"/>
        <v>0.40592520568417612</v>
      </c>
      <c r="S1211" s="468">
        <v>9</v>
      </c>
      <c r="T1211" s="127">
        <v>0.3349413459790434</v>
      </c>
      <c r="U1211" s="127"/>
      <c r="V1211" s="127"/>
      <c r="W1211" s="127"/>
      <c r="X1211" s="127"/>
      <c r="Y1211" s="127"/>
    </row>
    <row r="1212" spans="1:25" s="6" customFormat="1" ht="15.75">
      <c r="A1212" s="412">
        <v>9</v>
      </c>
      <c r="B1212" s="404" t="s">
        <v>540</v>
      </c>
      <c r="C1212" s="330">
        <v>2276.6</v>
      </c>
      <c r="D1212" s="330"/>
      <c r="E1212" s="330"/>
      <c r="F1212" s="404">
        <v>2276.6</v>
      </c>
      <c r="G1212" s="644">
        <f t="shared" si="183"/>
        <v>2276.6</v>
      </c>
      <c r="H1212" s="404">
        <v>339</v>
      </c>
      <c r="I1212" s="404"/>
      <c r="J1212" s="404">
        <v>339</v>
      </c>
      <c r="K1212" s="404">
        <f t="shared" si="188"/>
        <v>339</v>
      </c>
      <c r="L1212" s="425">
        <f t="shared" si="185"/>
        <v>0.40357142857142858</v>
      </c>
      <c r="M1212" s="177">
        <f t="shared" si="186"/>
        <v>814.00760714285718</v>
      </c>
      <c r="N1212" s="427">
        <f t="shared" si="187"/>
        <v>299.31059714642862</v>
      </c>
      <c r="O1212" s="427">
        <v>314.44267857142859</v>
      </c>
      <c r="P1212" s="177">
        <f t="shared" si="181"/>
        <v>20.130142857142857</v>
      </c>
      <c r="Q1212" s="177"/>
      <c r="R1212" s="431">
        <f t="shared" si="182"/>
        <v>0.63598832720629772</v>
      </c>
      <c r="S1212" s="468">
        <v>9</v>
      </c>
      <c r="T1212" s="127">
        <v>0.52477348870809859</v>
      </c>
      <c r="U1212" s="127"/>
      <c r="V1212" s="127"/>
      <c r="W1212" s="127"/>
      <c r="X1212" s="127"/>
      <c r="Y1212" s="127"/>
    </row>
    <row r="1213" spans="1:25" s="6" customFormat="1" ht="15.75">
      <c r="A1213" s="412">
        <v>10</v>
      </c>
      <c r="B1213" s="404" t="s">
        <v>541</v>
      </c>
      <c r="C1213" s="330">
        <v>4642.43</v>
      </c>
      <c r="D1213" s="330"/>
      <c r="E1213" s="330"/>
      <c r="F1213" s="404">
        <v>4642.43</v>
      </c>
      <c r="G1213" s="644">
        <f t="shared" si="183"/>
        <v>4642.43</v>
      </c>
      <c r="H1213" s="404">
        <v>510</v>
      </c>
      <c r="I1213" s="404"/>
      <c r="J1213" s="404">
        <v>510</v>
      </c>
      <c r="K1213" s="404">
        <f t="shared" si="188"/>
        <v>510</v>
      </c>
      <c r="L1213" s="425">
        <f t="shared" ref="L1213:L1231" si="189">(H1213/840)+(I1213/756)</f>
        <v>0.6071428571428571</v>
      </c>
      <c r="M1213" s="177">
        <f t="shared" si="186"/>
        <v>1224.6132142857141</v>
      </c>
      <c r="N1213" s="427">
        <f t="shared" si="187"/>
        <v>450.29027889285709</v>
      </c>
      <c r="O1213" s="427">
        <v>473.05535714285708</v>
      </c>
      <c r="P1213" s="177">
        <f t="shared" si="181"/>
        <v>30.284285714285712</v>
      </c>
      <c r="Q1213" s="177"/>
      <c r="R1213" s="431">
        <f t="shared" si="182"/>
        <v>0.46920322676609311</v>
      </c>
      <c r="S1213" s="468">
        <v>9</v>
      </c>
      <c r="T1213" s="127">
        <v>0.38715398332031153</v>
      </c>
      <c r="U1213" s="127"/>
      <c r="V1213" s="127"/>
      <c r="W1213" s="127"/>
      <c r="X1213" s="127"/>
      <c r="Y1213" s="127"/>
    </row>
    <row r="1214" spans="1:25" s="6" customFormat="1" ht="15.75">
      <c r="A1214" s="412">
        <v>11</v>
      </c>
      <c r="B1214" s="404" t="s">
        <v>542</v>
      </c>
      <c r="C1214" s="330">
        <v>3634.2</v>
      </c>
      <c r="D1214" s="330"/>
      <c r="E1214" s="330"/>
      <c r="F1214" s="404">
        <v>3634.2</v>
      </c>
      <c r="G1214" s="644">
        <f t="shared" si="183"/>
        <v>3634.2</v>
      </c>
      <c r="H1214" s="404">
        <v>305</v>
      </c>
      <c r="I1214" s="404"/>
      <c r="J1214" s="404">
        <v>305</v>
      </c>
      <c r="K1214" s="404">
        <f t="shared" si="188"/>
        <v>305</v>
      </c>
      <c r="L1214" s="425">
        <f t="shared" si="189"/>
        <v>0.36309523809523808</v>
      </c>
      <c r="M1214" s="177">
        <f t="shared" si="186"/>
        <v>732.36672619047613</v>
      </c>
      <c r="N1214" s="427">
        <f t="shared" si="187"/>
        <v>269.29124522023807</v>
      </c>
      <c r="O1214" s="427">
        <v>282.90565476190477</v>
      </c>
      <c r="P1214" s="177">
        <f t="shared" si="181"/>
        <v>18.111190476190476</v>
      </c>
      <c r="Q1214" s="177"/>
      <c r="R1214" s="431">
        <f t="shared" si="182"/>
        <v>0.3584488516451515</v>
      </c>
      <c r="S1214" s="468">
        <v>5</v>
      </c>
      <c r="T1214" s="127">
        <v>0.29576714910401458</v>
      </c>
      <c r="U1214" s="127"/>
      <c r="V1214" s="127"/>
      <c r="W1214" s="127"/>
      <c r="X1214" s="127"/>
      <c r="Y1214" s="127"/>
    </row>
    <row r="1215" spans="1:25" s="6" customFormat="1" ht="15.75">
      <c r="A1215" s="412">
        <v>12</v>
      </c>
      <c r="B1215" s="404" t="s">
        <v>543</v>
      </c>
      <c r="C1215" s="330">
        <v>5551.35</v>
      </c>
      <c r="D1215" s="330"/>
      <c r="E1215" s="330"/>
      <c r="F1215" s="404">
        <v>5551.35</v>
      </c>
      <c r="G1215" s="644">
        <f t="shared" si="183"/>
        <v>5551.35</v>
      </c>
      <c r="H1215" s="404">
        <v>653</v>
      </c>
      <c r="I1215" s="404"/>
      <c r="J1215" s="404">
        <v>653</v>
      </c>
      <c r="K1215" s="404">
        <f t="shared" si="188"/>
        <v>653</v>
      </c>
      <c r="L1215" s="425">
        <f t="shared" si="189"/>
        <v>0.77738095238095239</v>
      </c>
      <c r="M1215" s="177">
        <f t="shared" si="186"/>
        <v>1567.9851547619048</v>
      </c>
      <c r="N1215" s="427">
        <f t="shared" si="187"/>
        <v>576.54814140595249</v>
      </c>
      <c r="O1215" s="427">
        <v>605.69636904761899</v>
      </c>
      <c r="P1215" s="177">
        <f t="shared" si="181"/>
        <v>38.775761904761907</v>
      </c>
      <c r="Q1215" s="177"/>
      <c r="R1215" s="431">
        <f t="shared" si="182"/>
        <v>0.5024012946617018</v>
      </c>
      <c r="S1215" s="468">
        <v>5</v>
      </c>
      <c r="T1215" s="127">
        <v>0.41454672806528825</v>
      </c>
      <c r="U1215" s="127"/>
      <c r="V1215" s="127"/>
      <c r="W1215" s="127"/>
      <c r="X1215" s="127"/>
      <c r="Y1215" s="127"/>
    </row>
    <row r="1216" spans="1:25" s="6" customFormat="1" ht="15.75">
      <c r="A1216" s="412">
        <v>13</v>
      </c>
      <c r="B1216" s="404" t="s">
        <v>545</v>
      </c>
      <c r="C1216" s="330">
        <v>4556.37</v>
      </c>
      <c r="D1216" s="330"/>
      <c r="E1216" s="330"/>
      <c r="F1216" s="404">
        <v>4556.37</v>
      </c>
      <c r="G1216" s="644">
        <f t="shared" si="183"/>
        <v>4556.37</v>
      </c>
      <c r="H1216" s="404">
        <v>516</v>
      </c>
      <c r="I1216" s="404"/>
      <c r="J1216" s="404">
        <v>516</v>
      </c>
      <c r="K1216" s="404">
        <f t="shared" si="188"/>
        <v>516</v>
      </c>
      <c r="L1216" s="425">
        <f t="shared" si="189"/>
        <v>0.61428571428571432</v>
      </c>
      <c r="M1216" s="177">
        <f t="shared" si="186"/>
        <v>1239.0204285714287</v>
      </c>
      <c r="N1216" s="427">
        <f t="shared" si="187"/>
        <v>455.58781158571441</v>
      </c>
      <c r="O1216" s="427">
        <v>478.62071428571431</v>
      </c>
      <c r="P1216" s="177">
        <f t="shared" si="181"/>
        <v>30.64057142857143</v>
      </c>
      <c r="Q1216" s="177"/>
      <c r="R1216" s="431">
        <f t="shared" si="182"/>
        <v>0.48368976309461903</v>
      </c>
      <c r="S1216" s="468">
        <v>9</v>
      </c>
      <c r="T1216" s="127">
        <v>0.39910726906977012</v>
      </c>
      <c r="U1216" s="127"/>
      <c r="V1216" s="127"/>
      <c r="W1216" s="127"/>
      <c r="X1216" s="127"/>
      <c r="Y1216" s="127"/>
    </row>
    <row r="1217" spans="1:25" s="6" customFormat="1" ht="15.75">
      <c r="A1217" s="412">
        <v>14</v>
      </c>
      <c r="B1217" s="404" t="s">
        <v>546</v>
      </c>
      <c r="C1217" s="330">
        <v>4596.6099999999997</v>
      </c>
      <c r="D1217" s="330"/>
      <c r="E1217" s="330"/>
      <c r="F1217" s="404">
        <v>4596.6099999999997</v>
      </c>
      <c r="G1217" s="644">
        <f t="shared" si="183"/>
        <v>4596.6099999999997</v>
      </c>
      <c r="H1217" s="404">
        <v>357</v>
      </c>
      <c r="I1217" s="404"/>
      <c r="J1217" s="404">
        <v>357</v>
      </c>
      <c r="K1217" s="404">
        <f t="shared" si="188"/>
        <v>357</v>
      </c>
      <c r="L1217" s="425">
        <f t="shared" si="189"/>
        <v>0.42499999999999999</v>
      </c>
      <c r="M1217" s="177">
        <f t="shared" si="186"/>
        <v>857.22924999999998</v>
      </c>
      <c r="N1217" s="427">
        <f t="shared" si="187"/>
        <v>315.203195225</v>
      </c>
      <c r="O1217" s="427">
        <v>331.13875000000002</v>
      </c>
      <c r="P1217" s="177">
        <f t="shared" si="181"/>
        <v>21.199000000000002</v>
      </c>
      <c r="Q1217" s="177"/>
      <c r="R1217" s="431">
        <f t="shared" si="182"/>
        <v>0.33171624201857464</v>
      </c>
      <c r="S1217" s="468">
        <v>9</v>
      </c>
      <c r="T1217" s="127">
        <v>0.27370925241645472</v>
      </c>
      <c r="U1217" s="127"/>
      <c r="V1217" s="127"/>
      <c r="W1217" s="127"/>
      <c r="X1217" s="127"/>
      <c r="Y1217" s="127"/>
    </row>
    <row r="1218" spans="1:25" s="6" customFormat="1" ht="15.75">
      <c r="A1218" s="412">
        <v>15</v>
      </c>
      <c r="B1218" s="404" t="s">
        <v>567</v>
      </c>
      <c r="C1218" s="330">
        <v>4490.43</v>
      </c>
      <c r="D1218" s="330"/>
      <c r="E1218" s="330"/>
      <c r="F1218" s="404">
        <v>4490.43</v>
      </c>
      <c r="G1218" s="644">
        <f t="shared" si="183"/>
        <v>4490.43</v>
      </c>
      <c r="H1218" s="404">
        <v>443</v>
      </c>
      <c r="I1218" s="404"/>
      <c r="J1218" s="404">
        <v>443</v>
      </c>
      <c r="K1218" s="404">
        <f t="shared" si="188"/>
        <v>443</v>
      </c>
      <c r="L1218" s="425">
        <f t="shared" si="189"/>
        <v>0.52738095238095239</v>
      </c>
      <c r="M1218" s="177">
        <f t="shared" si="186"/>
        <v>1063.7326547619048</v>
      </c>
      <c r="N1218" s="427">
        <f t="shared" si="187"/>
        <v>391.13449715595243</v>
      </c>
      <c r="O1218" s="427">
        <v>410.90886904761902</v>
      </c>
      <c r="P1218" s="177">
        <f t="shared" ref="P1218:P1232" si="190">L1218*49.88</f>
        <v>26.305761904761908</v>
      </c>
      <c r="Q1218" s="177"/>
      <c r="R1218" s="431">
        <f t="shared" si="182"/>
        <v>0.42135870793448243</v>
      </c>
      <c r="S1218" s="468">
        <v>9</v>
      </c>
      <c r="T1218" s="127">
        <v>0.34767600237510393</v>
      </c>
      <c r="U1218" s="127"/>
      <c r="V1218" s="127"/>
      <c r="W1218" s="127"/>
      <c r="X1218" s="127"/>
      <c r="Y1218" s="127"/>
    </row>
    <row r="1219" spans="1:25" s="6" customFormat="1" ht="15.75">
      <c r="A1219" s="412">
        <v>16</v>
      </c>
      <c r="B1219" s="404" t="s">
        <v>568</v>
      </c>
      <c r="C1219" s="330">
        <v>4338.5</v>
      </c>
      <c r="D1219" s="330"/>
      <c r="E1219" s="330"/>
      <c r="F1219" s="404">
        <v>4338.5</v>
      </c>
      <c r="G1219" s="644">
        <f t="shared" si="183"/>
        <v>4338.5</v>
      </c>
      <c r="H1219" s="404">
        <v>433</v>
      </c>
      <c r="I1219" s="404"/>
      <c r="J1219" s="404">
        <v>433</v>
      </c>
      <c r="K1219" s="404">
        <f t="shared" si="188"/>
        <v>433</v>
      </c>
      <c r="L1219" s="425">
        <f t="shared" si="189"/>
        <v>0.51547619047619042</v>
      </c>
      <c r="M1219" s="177">
        <f t="shared" si="186"/>
        <v>1039.7206309523808</v>
      </c>
      <c r="N1219" s="427">
        <f t="shared" si="187"/>
        <v>382.30527600119046</v>
      </c>
      <c r="O1219" s="427">
        <v>401.63327380952376</v>
      </c>
      <c r="P1219" s="177">
        <f t="shared" si="190"/>
        <v>25.711952380952379</v>
      </c>
      <c r="Q1219" s="177"/>
      <c r="R1219" s="431">
        <f t="shared" si="182"/>
        <v>0.4262697091492561</v>
      </c>
      <c r="S1219" s="468">
        <v>5</v>
      </c>
      <c r="T1219" s="127">
        <v>0.35172822020722538</v>
      </c>
      <c r="U1219" s="127"/>
      <c r="V1219" s="127"/>
      <c r="W1219" s="127"/>
      <c r="X1219" s="127"/>
      <c r="Y1219" s="127"/>
    </row>
    <row r="1220" spans="1:25" s="6" customFormat="1" ht="15.75">
      <c r="A1220" s="412">
        <v>17</v>
      </c>
      <c r="B1220" s="404" t="s">
        <v>569</v>
      </c>
      <c r="C1220" s="330">
        <v>3131.06</v>
      </c>
      <c r="D1220" s="330"/>
      <c r="E1220" s="330"/>
      <c r="F1220" s="404">
        <v>3131.06</v>
      </c>
      <c r="G1220" s="644">
        <f t="shared" si="183"/>
        <v>3131.06</v>
      </c>
      <c r="H1220" s="404">
        <v>311</v>
      </c>
      <c r="I1220" s="404"/>
      <c r="J1220" s="404">
        <v>311</v>
      </c>
      <c r="K1220" s="404">
        <f t="shared" si="188"/>
        <v>311</v>
      </c>
      <c r="L1220" s="425">
        <f t="shared" si="189"/>
        <v>0.37023809523809526</v>
      </c>
      <c r="M1220" s="177">
        <f t="shared" si="186"/>
        <v>746.77394047619055</v>
      </c>
      <c r="N1220" s="427">
        <f t="shared" si="187"/>
        <v>274.58877791309527</v>
      </c>
      <c r="O1220" s="427">
        <v>288.47101190476189</v>
      </c>
      <c r="P1220" s="177">
        <f t="shared" si="190"/>
        <v>18.467476190476191</v>
      </c>
      <c r="Q1220" s="177"/>
      <c r="R1220" s="431">
        <f t="shared" si="182"/>
        <v>0.42423371206061966</v>
      </c>
      <c r="S1220" s="468">
        <v>5</v>
      </c>
      <c r="T1220" s="127">
        <v>0.35004825652000399</v>
      </c>
      <c r="U1220" s="127"/>
      <c r="V1220" s="127"/>
      <c r="W1220" s="127"/>
      <c r="X1220" s="127"/>
      <c r="Y1220" s="127"/>
    </row>
    <row r="1221" spans="1:25" s="6" customFormat="1" ht="15.75">
      <c r="A1221" s="412">
        <v>18</v>
      </c>
      <c r="B1221" s="404" t="s">
        <v>570</v>
      </c>
      <c r="C1221" s="330">
        <v>3376.98</v>
      </c>
      <c r="D1221" s="330"/>
      <c r="E1221" s="330"/>
      <c r="F1221" s="404">
        <v>3376.98</v>
      </c>
      <c r="G1221" s="644">
        <f t="shared" si="183"/>
        <v>3376.98</v>
      </c>
      <c r="H1221" s="404">
        <v>320</v>
      </c>
      <c r="I1221" s="404"/>
      <c r="J1221" s="404">
        <v>320</v>
      </c>
      <c r="K1221" s="404">
        <f t="shared" si="188"/>
        <v>320</v>
      </c>
      <c r="L1221" s="425">
        <f t="shared" si="189"/>
        <v>0.38095238095238093</v>
      </c>
      <c r="M1221" s="177">
        <f t="shared" si="186"/>
        <v>768.38476190476183</v>
      </c>
      <c r="N1221" s="427">
        <f t="shared" si="187"/>
        <v>282.53507695238096</v>
      </c>
      <c r="O1221" s="427">
        <v>296.81904761904758</v>
      </c>
      <c r="P1221" s="177">
        <f t="shared" si="190"/>
        <v>19.001904761904761</v>
      </c>
      <c r="Q1221" s="177"/>
      <c r="R1221" s="431">
        <f t="shared" si="182"/>
        <v>0.404722797066638</v>
      </c>
      <c r="S1221" s="468">
        <v>5</v>
      </c>
      <c r="T1221" s="127">
        <v>0.33394920172405379</v>
      </c>
      <c r="U1221" s="127"/>
      <c r="V1221" s="127"/>
      <c r="W1221" s="127"/>
      <c r="X1221" s="127"/>
      <c r="Y1221" s="127"/>
    </row>
    <row r="1222" spans="1:25" s="6" customFormat="1" ht="15.75">
      <c r="A1222" s="412">
        <v>20</v>
      </c>
      <c r="B1222" s="404" t="s">
        <v>571</v>
      </c>
      <c r="C1222" s="404">
        <v>50.5</v>
      </c>
      <c r="D1222" s="404"/>
      <c r="E1222" s="404"/>
      <c r="F1222" s="404">
        <v>50.5</v>
      </c>
      <c r="G1222" s="644">
        <f t="shared" si="183"/>
        <v>50.5</v>
      </c>
      <c r="H1222" s="404">
        <v>0</v>
      </c>
      <c r="I1222" s="404"/>
      <c r="J1222" s="404">
        <v>0</v>
      </c>
      <c r="K1222" s="404">
        <f t="shared" si="188"/>
        <v>0</v>
      </c>
      <c r="L1222" s="425">
        <f t="shared" si="189"/>
        <v>0</v>
      </c>
      <c r="M1222" s="177">
        <f t="shared" si="186"/>
        <v>0</v>
      </c>
      <c r="N1222" s="427">
        <f t="shared" si="187"/>
        <v>0</v>
      </c>
      <c r="O1222" s="427">
        <v>0</v>
      </c>
      <c r="P1222" s="177">
        <f t="shared" si="190"/>
        <v>0</v>
      </c>
      <c r="Q1222" s="177"/>
      <c r="R1222" s="431">
        <f t="shared" si="182"/>
        <v>0</v>
      </c>
      <c r="S1222" s="468">
        <v>1</v>
      </c>
      <c r="T1222" s="127">
        <v>0</v>
      </c>
      <c r="U1222" s="127"/>
      <c r="V1222" s="127"/>
      <c r="W1222" s="127"/>
      <c r="X1222" s="127"/>
      <c r="Y1222" s="127"/>
    </row>
    <row r="1223" spans="1:25" s="6" customFormat="1" ht="15.75">
      <c r="A1223" s="412">
        <v>22</v>
      </c>
      <c r="B1223" s="404" t="s">
        <v>356</v>
      </c>
      <c r="C1223" s="330">
        <v>306.8</v>
      </c>
      <c r="D1223" s="330"/>
      <c r="E1223" s="330"/>
      <c r="F1223" s="404">
        <v>306.8</v>
      </c>
      <c r="G1223" s="644">
        <f t="shared" si="183"/>
        <v>306.8</v>
      </c>
      <c r="H1223" s="404">
        <v>0</v>
      </c>
      <c r="I1223" s="404"/>
      <c r="J1223" s="404">
        <v>0</v>
      </c>
      <c r="K1223" s="404">
        <f t="shared" si="188"/>
        <v>0</v>
      </c>
      <c r="L1223" s="425">
        <f t="shared" si="189"/>
        <v>0</v>
      </c>
      <c r="M1223" s="177">
        <f t="shared" si="186"/>
        <v>0</v>
      </c>
      <c r="N1223" s="427">
        <f t="shared" si="187"/>
        <v>0</v>
      </c>
      <c r="O1223" s="427">
        <v>0</v>
      </c>
      <c r="P1223" s="177">
        <f t="shared" si="190"/>
        <v>0</v>
      </c>
      <c r="Q1223" s="177"/>
      <c r="R1223" s="431">
        <f t="shared" ref="R1223:R1232" si="191">(M1223+N1223+O1223+P1223)/C1223</f>
        <v>0</v>
      </c>
      <c r="S1223" s="468"/>
      <c r="T1223" s="127">
        <v>0</v>
      </c>
      <c r="U1223" s="127"/>
      <c r="V1223" s="127"/>
      <c r="W1223" s="127"/>
      <c r="X1223" s="127"/>
      <c r="Y1223" s="127"/>
    </row>
    <row r="1224" spans="1:25" s="6" customFormat="1" ht="15.75">
      <c r="A1224" s="412">
        <v>23</v>
      </c>
      <c r="B1224" s="404" t="s">
        <v>357</v>
      </c>
      <c r="C1224" s="330">
        <v>304.18</v>
      </c>
      <c r="D1224" s="330"/>
      <c r="E1224" s="330"/>
      <c r="F1224" s="404">
        <v>304.18</v>
      </c>
      <c r="G1224" s="644">
        <f t="shared" si="183"/>
        <v>304.18</v>
      </c>
      <c r="H1224" s="404">
        <v>0</v>
      </c>
      <c r="I1224" s="404"/>
      <c r="J1224" s="404">
        <v>0</v>
      </c>
      <c r="K1224" s="404">
        <f t="shared" si="188"/>
        <v>0</v>
      </c>
      <c r="L1224" s="425">
        <f t="shared" si="189"/>
        <v>0</v>
      </c>
      <c r="M1224" s="177">
        <f t="shared" si="186"/>
        <v>0</v>
      </c>
      <c r="N1224" s="427">
        <f t="shared" si="187"/>
        <v>0</v>
      </c>
      <c r="O1224" s="427">
        <v>0</v>
      </c>
      <c r="P1224" s="177">
        <f t="shared" si="190"/>
        <v>0</v>
      </c>
      <c r="Q1224" s="177"/>
      <c r="R1224" s="431">
        <f t="shared" si="191"/>
        <v>0</v>
      </c>
      <c r="S1224" s="468"/>
      <c r="T1224" s="127">
        <v>0</v>
      </c>
      <c r="U1224" s="127"/>
      <c r="V1224" s="127"/>
      <c r="W1224" s="127"/>
      <c r="X1224" s="127"/>
      <c r="Y1224" s="127"/>
    </row>
    <row r="1225" spans="1:25" s="6" customFormat="1" ht="15.75">
      <c r="A1225" s="412">
        <v>24</v>
      </c>
      <c r="B1225" s="404" t="s">
        <v>358</v>
      </c>
      <c r="C1225" s="330">
        <v>823.48</v>
      </c>
      <c r="D1225" s="330"/>
      <c r="E1225" s="330"/>
      <c r="F1225" s="404">
        <v>823.48</v>
      </c>
      <c r="G1225" s="644">
        <f t="shared" si="183"/>
        <v>823.48</v>
      </c>
      <c r="H1225" s="404">
        <v>0</v>
      </c>
      <c r="I1225" s="404"/>
      <c r="J1225" s="404">
        <v>0</v>
      </c>
      <c r="K1225" s="404">
        <f t="shared" si="188"/>
        <v>0</v>
      </c>
      <c r="L1225" s="425">
        <f t="shared" si="189"/>
        <v>0</v>
      </c>
      <c r="M1225" s="177">
        <f t="shared" si="186"/>
        <v>0</v>
      </c>
      <c r="N1225" s="427">
        <f t="shared" si="187"/>
        <v>0</v>
      </c>
      <c r="O1225" s="427">
        <v>0</v>
      </c>
      <c r="P1225" s="177">
        <f t="shared" si="190"/>
        <v>0</v>
      </c>
      <c r="Q1225" s="177"/>
      <c r="R1225" s="431">
        <f t="shared" si="191"/>
        <v>0</v>
      </c>
      <c r="S1225" s="468"/>
      <c r="T1225" s="127">
        <v>0</v>
      </c>
      <c r="U1225" s="127"/>
      <c r="V1225" s="127"/>
      <c r="W1225" s="127"/>
      <c r="X1225" s="127"/>
      <c r="Y1225" s="127"/>
    </row>
    <row r="1226" spans="1:25" s="6" customFormat="1" ht="15.75">
      <c r="A1226" s="412">
        <v>25</v>
      </c>
      <c r="B1226" s="404" t="s">
        <v>359</v>
      </c>
      <c r="C1226" s="330">
        <v>733.47</v>
      </c>
      <c r="D1226" s="330"/>
      <c r="E1226" s="330">
        <v>70</v>
      </c>
      <c r="F1226" s="404">
        <v>733.47</v>
      </c>
      <c r="G1226" s="644">
        <f t="shared" si="183"/>
        <v>803.47</v>
      </c>
      <c r="H1226" s="404">
        <v>0</v>
      </c>
      <c r="I1226" s="404"/>
      <c r="J1226" s="404">
        <v>0</v>
      </c>
      <c r="K1226" s="404">
        <f t="shared" si="188"/>
        <v>0</v>
      </c>
      <c r="L1226" s="425">
        <f t="shared" si="189"/>
        <v>0</v>
      </c>
      <c r="M1226" s="177">
        <f t="shared" si="186"/>
        <v>0</v>
      </c>
      <c r="N1226" s="427">
        <f t="shared" si="187"/>
        <v>0</v>
      </c>
      <c r="O1226" s="427">
        <v>0</v>
      </c>
      <c r="P1226" s="177">
        <f t="shared" si="190"/>
        <v>0</v>
      </c>
      <c r="Q1226" s="177"/>
      <c r="R1226" s="431">
        <f t="shared" si="191"/>
        <v>0</v>
      </c>
      <c r="S1226" s="468"/>
      <c r="T1226" s="127">
        <v>0</v>
      </c>
      <c r="U1226" s="127"/>
      <c r="V1226" s="127"/>
      <c r="W1226" s="127"/>
      <c r="X1226" s="127"/>
      <c r="Y1226" s="127"/>
    </row>
    <row r="1227" spans="1:25" s="6" customFormat="1" ht="15.75">
      <c r="A1227" s="412">
        <v>26</v>
      </c>
      <c r="B1227" s="404" t="s">
        <v>360</v>
      </c>
      <c r="C1227" s="330">
        <v>4465.32</v>
      </c>
      <c r="D1227" s="330"/>
      <c r="E1227" s="330"/>
      <c r="F1227" s="404">
        <v>4465.32</v>
      </c>
      <c r="G1227" s="644">
        <f t="shared" si="183"/>
        <v>4465.32</v>
      </c>
      <c r="H1227" s="404">
        <v>540</v>
      </c>
      <c r="I1227" s="404"/>
      <c r="J1227" s="404">
        <v>540</v>
      </c>
      <c r="K1227" s="404">
        <f t="shared" si="188"/>
        <v>540</v>
      </c>
      <c r="L1227" s="425">
        <f t="shared" si="189"/>
        <v>0.6428571428571429</v>
      </c>
      <c r="M1227" s="177">
        <f t="shared" si="186"/>
        <v>1296.6492857142857</v>
      </c>
      <c r="N1227" s="427">
        <f t="shared" si="187"/>
        <v>476.77794235714288</v>
      </c>
      <c r="O1227" s="427">
        <v>500.88214285714287</v>
      </c>
      <c r="P1227" s="177">
        <f t="shared" si="190"/>
        <v>32.065714285714293</v>
      </c>
      <c r="Q1227" s="177"/>
      <c r="R1227" s="431">
        <f t="shared" si="191"/>
        <v>0.51650835443244514</v>
      </c>
      <c r="S1227" s="468"/>
      <c r="T1227" s="127">
        <v>0.42618689605992088</v>
      </c>
      <c r="U1227" s="127"/>
      <c r="V1227" s="127"/>
      <c r="W1227" s="127"/>
      <c r="X1227" s="127"/>
      <c r="Y1227" s="127"/>
    </row>
    <row r="1228" spans="1:25" s="6" customFormat="1" ht="15.75">
      <c r="A1228" s="412">
        <v>27</v>
      </c>
      <c r="B1228" s="404" t="s">
        <v>361</v>
      </c>
      <c r="C1228" s="330">
        <v>2218.6799999999998</v>
      </c>
      <c r="D1228" s="330"/>
      <c r="E1228" s="330"/>
      <c r="F1228" s="404">
        <v>2218.6799999999998</v>
      </c>
      <c r="G1228" s="644">
        <f t="shared" si="183"/>
        <v>2218.6799999999998</v>
      </c>
      <c r="H1228" s="404">
        <v>270</v>
      </c>
      <c r="I1228" s="404"/>
      <c r="J1228" s="404">
        <v>270</v>
      </c>
      <c r="K1228" s="404">
        <f t="shared" si="188"/>
        <v>270</v>
      </c>
      <c r="L1228" s="425">
        <f t="shared" si="189"/>
        <v>0.32142857142857145</v>
      </c>
      <c r="M1228" s="177">
        <f t="shared" si="186"/>
        <v>648.32464285714286</v>
      </c>
      <c r="N1228" s="427">
        <f t="shared" si="187"/>
        <v>238.38897117857144</v>
      </c>
      <c r="O1228" s="427">
        <v>250.44107142857143</v>
      </c>
      <c r="P1228" s="177">
        <f t="shared" si="190"/>
        <v>16.032857142857146</v>
      </c>
      <c r="Q1228" s="177"/>
      <c r="R1228" s="431">
        <f t="shared" si="191"/>
        <v>0.51976289622980465</v>
      </c>
      <c r="S1228" s="468"/>
      <c r="T1228" s="127">
        <v>0.42887231838622197</v>
      </c>
      <c r="U1228" s="127"/>
      <c r="V1228" s="127"/>
      <c r="W1228" s="127"/>
      <c r="X1228" s="127"/>
      <c r="Y1228" s="127"/>
    </row>
    <row r="1229" spans="1:25" s="6" customFormat="1" ht="15.75">
      <c r="A1229" s="412">
        <v>28</v>
      </c>
      <c r="B1229" s="404" t="s">
        <v>362</v>
      </c>
      <c r="C1229" s="330">
        <v>120.8</v>
      </c>
      <c r="D1229" s="330"/>
      <c r="E1229" s="330"/>
      <c r="F1229" s="404">
        <v>120.8</v>
      </c>
      <c r="G1229" s="644">
        <f t="shared" si="183"/>
        <v>120.8</v>
      </c>
      <c r="H1229" s="404">
        <v>0</v>
      </c>
      <c r="I1229" s="404"/>
      <c r="J1229" s="404">
        <v>0</v>
      </c>
      <c r="K1229" s="404">
        <f t="shared" si="188"/>
        <v>0</v>
      </c>
      <c r="L1229" s="425">
        <f t="shared" si="189"/>
        <v>0</v>
      </c>
      <c r="M1229" s="177">
        <f t="shared" si="186"/>
        <v>0</v>
      </c>
      <c r="N1229" s="427">
        <f t="shared" si="187"/>
        <v>0</v>
      </c>
      <c r="O1229" s="427">
        <v>0</v>
      </c>
      <c r="P1229" s="177">
        <f t="shared" si="190"/>
        <v>0</v>
      </c>
      <c r="Q1229" s="177"/>
      <c r="R1229" s="431">
        <f t="shared" si="191"/>
        <v>0</v>
      </c>
      <c r="S1229" s="468"/>
      <c r="T1229" s="127">
        <v>0</v>
      </c>
      <c r="U1229" s="127"/>
      <c r="V1229" s="127"/>
      <c r="W1229" s="127"/>
      <c r="X1229" s="127"/>
      <c r="Y1229" s="127"/>
    </row>
    <row r="1230" spans="1:25" s="6" customFormat="1" ht="15.75">
      <c r="A1230" s="412">
        <v>30</v>
      </c>
      <c r="B1230" s="404" t="s">
        <v>363</v>
      </c>
      <c r="C1230" s="404">
        <v>174.6</v>
      </c>
      <c r="D1230" s="404"/>
      <c r="E1230" s="404"/>
      <c r="F1230" s="404">
        <v>174.6</v>
      </c>
      <c r="G1230" s="644">
        <f t="shared" si="183"/>
        <v>174.6</v>
      </c>
      <c r="H1230" s="404">
        <v>0</v>
      </c>
      <c r="I1230" s="404"/>
      <c r="J1230" s="404">
        <v>0</v>
      </c>
      <c r="K1230" s="404">
        <f t="shared" si="188"/>
        <v>0</v>
      </c>
      <c r="L1230" s="425">
        <f t="shared" si="189"/>
        <v>0</v>
      </c>
      <c r="M1230" s="177">
        <f t="shared" si="186"/>
        <v>0</v>
      </c>
      <c r="N1230" s="427">
        <f t="shared" si="187"/>
        <v>0</v>
      </c>
      <c r="O1230" s="427">
        <v>0</v>
      </c>
      <c r="P1230" s="177">
        <f t="shared" si="190"/>
        <v>0</v>
      </c>
      <c r="Q1230" s="177"/>
      <c r="R1230" s="431">
        <f t="shared" si="191"/>
        <v>0</v>
      </c>
      <c r="S1230" s="468"/>
      <c r="T1230" s="127">
        <v>0</v>
      </c>
      <c r="U1230" s="127"/>
      <c r="V1230" s="127"/>
      <c r="W1230" s="127"/>
      <c r="X1230" s="127"/>
      <c r="Y1230" s="127"/>
    </row>
    <row r="1231" spans="1:25" s="6" customFormat="1" ht="15.75">
      <c r="A1231" s="412">
        <v>31</v>
      </c>
      <c r="B1231" s="404" t="s">
        <v>364</v>
      </c>
      <c r="C1231" s="404">
        <v>139.19999999999999</v>
      </c>
      <c r="D1231" s="404"/>
      <c r="E1231" s="404"/>
      <c r="F1231" s="404">
        <v>139.19999999999999</v>
      </c>
      <c r="G1231" s="644">
        <f t="shared" si="183"/>
        <v>139.19999999999999</v>
      </c>
      <c r="H1231" s="404">
        <v>0</v>
      </c>
      <c r="I1231" s="404"/>
      <c r="J1231" s="404">
        <v>0</v>
      </c>
      <c r="K1231" s="404">
        <f t="shared" si="188"/>
        <v>0</v>
      </c>
      <c r="L1231" s="425">
        <f t="shared" si="189"/>
        <v>0</v>
      </c>
      <c r="M1231" s="177">
        <f t="shared" si="186"/>
        <v>0</v>
      </c>
      <c r="N1231" s="427">
        <f t="shared" si="187"/>
        <v>0</v>
      </c>
      <c r="O1231" s="427">
        <v>0</v>
      </c>
      <c r="P1231" s="177">
        <f t="shared" si="190"/>
        <v>0</v>
      </c>
      <c r="Q1231" s="177"/>
      <c r="R1231" s="431">
        <f t="shared" si="191"/>
        <v>0</v>
      </c>
      <c r="S1231" s="468"/>
      <c r="T1231" s="127">
        <v>0</v>
      </c>
      <c r="U1231" s="127"/>
      <c r="V1231" s="127"/>
      <c r="W1231" s="127"/>
      <c r="X1231" s="127"/>
      <c r="Y1231" s="127"/>
    </row>
    <row r="1232" spans="1:25" s="209" customFormat="1" ht="15.75">
      <c r="A1232" s="509"/>
      <c r="B1232" s="452" t="s">
        <v>572</v>
      </c>
      <c r="C1232" s="510">
        <f>SUM(C1204:C1231)</f>
        <v>91831.689999999973</v>
      </c>
      <c r="D1232" s="510">
        <f>SUM(D1204:D1231)</f>
        <v>612.9</v>
      </c>
      <c r="E1232" s="510">
        <f>SUM(E1204:E1231)</f>
        <v>735</v>
      </c>
      <c r="F1232" s="452">
        <f t="shared" ref="F1232:K1232" si="192">SUM(F1204:F1231)</f>
        <v>91831.689999999973</v>
      </c>
      <c r="G1232" s="644">
        <f>C1232+D1232+E1232</f>
        <v>93179.589999999967</v>
      </c>
      <c r="H1232" s="452">
        <f t="shared" si="192"/>
        <v>9798</v>
      </c>
      <c r="I1232" s="452">
        <f t="shared" si="192"/>
        <v>0</v>
      </c>
      <c r="J1232" s="452">
        <f t="shared" si="192"/>
        <v>10238</v>
      </c>
      <c r="K1232" s="452">
        <f t="shared" si="192"/>
        <v>9798</v>
      </c>
      <c r="L1232" s="501">
        <f>(H1232/840)+(I1232/756)</f>
        <v>11.664285714285715</v>
      </c>
      <c r="M1232" s="177">
        <f>L1232*2017.01</f>
        <v>23526.980928571429</v>
      </c>
      <c r="N1232" s="498">
        <f t="shared" si="187"/>
        <v>8650.8708874357144</v>
      </c>
      <c r="O1232" s="427">
        <f>SUM(O1204:O1231)</f>
        <v>9088.2282142857148</v>
      </c>
      <c r="P1232" s="504">
        <f t="shared" si="190"/>
        <v>581.81457142857153</v>
      </c>
      <c r="Q1232" s="504"/>
      <c r="R1232" s="431">
        <f t="shared" si="191"/>
        <v>0.45570210677513873</v>
      </c>
      <c r="S1232" s="511"/>
      <c r="T1232" s="212"/>
      <c r="U1232" s="212"/>
      <c r="V1232" s="212"/>
      <c r="W1232" s="212"/>
      <c r="X1232" s="212"/>
      <c r="Y1232" s="212"/>
    </row>
    <row r="1233" spans="1:25" s="6" customFormat="1" ht="16.5" thickBot="1">
      <c r="A1233" s="412"/>
      <c r="B1233" s="457"/>
      <c r="C1233" s="404"/>
      <c r="D1233" s="404"/>
      <c r="E1233" s="404"/>
      <c r="F1233" s="404"/>
      <c r="G1233" s="644"/>
      <c r="H1233" s="404"/>
      <c r="I1233" s="404"/>
      <c r="J1233" s="404"/>
      <c r="K1233" s="404"/>
      <c r="L1233" s="433"/>
      <c r="M1233" s="427"/>
      <c r="N1233" s="433"/>
      <c r="O1233" s="433"/>
      <c r="P1233" s="433"/>
      <c r="Q1233" s="433"/>
      <c r="R1233" s="431"/>
      <c r="S1233" s="464"/>
      <c r="T1233" s="127"/>
      <c r="U1233" s="127"/>
      <c r="V1233" s="127"/>
      <c r="W1233" s="127"/>
      <c r="X1233" s="127"/>
      <c r="Y1233" s="127"/>
    </row>
    <row r="1234" spans="1:25" s="512" customFormat="1" ht="17.25" thickBot="1">
      <c r="A1234" s="513">
        <f>A1231+A1201+A1142+A875+A744+A533+A379+A87+A59</f>
        <v>1194</v>
      </c>
      <c r="B1234" s="514"/>
      <c r="C1234" s="440">
        <f t="shared" ref="C1234:P1234" si="193">C1232+C1202+C1146+C879+C747+C535+C384+C67+C90</f>
        <v>1872061.2599999995</v>
      </c>
      <c r="D1234" s="440">
        <f t="shared" si="193"/>
        <v>10680.369999999999</v>
      </c>
      <c r="E1234" s="440">
        <f t="shared" si="193"/>
        <v>25132.499999999996</v>
      </c>
      <c r="F1234" s="440">
        <f t="shared" si="193"/>
        <v>1644314.5683020588</v>
      </c>
      <c r="G1234" s="610">
        <f t="shared" si="193"/>
        <v>1907874.13</v>
      </c>
      <c r="H1234" s="440">
        <f t="shared" si="193"/>
        <v>183462.83000000002</v>
      </c>
      <c r="I1234" s="440">
        <f t="shared" si="193"/>
        <v>15017.5</v>
      </c>
      <c r="J1234" s="440" t="e">
        <f t="shared" si="193"/>
        <v>#REF!</v>
      </c>
      <c r="K1234" s="440">
        <f t="shared" si="193"/>
        <v>204925.33</v>
      </c>
      <c r="L1234" s="440">
        <f t="shared" si="193"/>
        <v>238.2725489417989</v>
      </c>
      <c r="M1234" s="434">
        <f t="shared" si="193"/>
        <v>480598.11394109786</v>
      </c>
      <c r="N1234" s="440">
        <f t="shared" si="193"/>
        <v>176715.92649614171</v>
      </c>
      <c r="O1234" s="440">
        <f t="shared" si="193"/>
        <v>182228.33361911375</v>
      </c>
      <c r="P1234" s="440">
        <f t="shared" si="193"/>
        <v>12364.973147047618</v>
      </c>
      <c r="Q1234" s="440"/>
      <c r="R1234" s="440">
        <f>R1232+R1202+R1146+R879+R747+R535+R384+R67+R90</f>
        <v>4.1640354815422889</v>
      </c>
      <c r="S1234" s="515">
        <f>S1232+S1202+S1146+S879+S747+S535+S384+S90</f>
        <v>0</v>
      </c>
      <c r="T1234" s="516"/>
      <c r="U1234" s="251"/>
      <c r="V1234" s="251"/>
      <c r="W1234" s="251"/>
      <c r="X1234" s="251"/>
      <c r="Y1234" s="251"/>
    </row>
    <row r="1235" spans="1:25" s="10" customFormat="1" ht="15.75">
      <c r="A1235" s="517"/>
      <c r="B1235" s="517"/>
      <c r="C1235" s="518"/>
      <c r="D1235" s="517"/>
      <c r="E1235" s="517"/>
      <c r="F1235" s="517"/>
      <c r="G1235" s="648"/>
      <c r="H1235" s="517"/>
      <c r="I1235" s="517"/>
      <c r="J1235" s="517"/>
      <c r="K1235" s="517"/>
      <c r="L1235" s="519"/>
      <c r="M1235" s="519"/>
      <c r="N1235" s="519"/>
      <c r="O1235" s="519"/>
      <c r="P1235" s="519"/>
      <c r="Q1235" s="519"/>
      <c r="R1235" s="520"/>
      <c r="S1235" s="517"/>
      <c r="T1235" s="521"/>
      <c r="U1235" s="162"/>
      <c r="V1235" s="162"/>
      <c r="W1235" s="162"/>
      <c r="X1235" s="162"/>
      <c r="Y1235" s="162"/>
    </row>
    <row r="1236" spans="1:25" s="12" customFormat="1" ht="15">
      <c r="A1236" s="517"/>
      <c r="B1236" s="398"/>
      <c r="C1236" s="517"/>
      <c r="D1236" s="517"/>
      <c r="E1236" s="517"/>
      <c r="F1236" s="517"/>
      <c r="G1236" s="649"/>
      <c r="H1236" s="517"/>
      <c r="I1236" s="517"/>
      <c r="J1236" s="517"/>
      <c r="K1236" s="517"/>
      <c r="L1236" s="519"/>
      <c r="M1236" s="519"/>
      <c r="N1236" s="519"/>
      <c r="O1236" s="519"/>
      <c r="P1236" s="519"/>
      <c r="Q1236" s="519"/>
      <c r="R1236" s="520"/>
      <c r="S1236" s="517"/>
      <c r="T1236" s="521"/>
      <c r="U1236" s="162"/>
      <c r="V1236" s="162"/>
      <c r="W1236" s="162"/>
      <c r="X1236" s="162"/>
      <c r="Y1236" s="162"/>
    </row>
    <row r="1237" spans="1:25" s="12" customFormat="1" ht="15">
      <c r="A1237" s="517"/>
      <c r="B1237" s="398"/>
      <c r="C1237" s="517"/>
      <c r="D1237" s="517"/>
      <c r="E1237" s="517"/>
      <c r="F1237" s="517"/>
      <c r="G1237" s="649"/>
      <c r="H1237" s="517"/>
      <c r="I1237" s="517"/>
      <c r="J1237" s="517"/>
      <c r="K1237" s="517"/>
      <c r="L1237" s="519"/>
      <c r="M1237" s="519"/>
      <c r="N1237" s="519"/>
      <c r="O1237" s="519"/>
      <c r="P1237" s="519"/>
      <c r="Q1237" s="519"/>
      <c r="R1237" s="520"/>
      <c r="S1237" s="517"/>
      <c r="T1237" s="521"/>
      <c r="U1237" s="162"/>
      <c r="V1237" s="162"/>
      <c r="W1237" s="162"/>
      <c r="X1237" s="162"/>
      <c r="Y1237" s="162"/>
    </row>
    <row r="1238" spans="1:25" s="12" customFormat="1" ht="15">
      <c r="A1238" s="517"/>
      <c r="B1238" s="522"/>
      <c r="C1238" s="517"/>
      <c r="D1238" s="517"/>
      <c r="E1238" s="517"/>
      <c r="F1238" s="517"/>
      <c r="G1238" s="649"/>
      <c r="H1238" s="517"/>
      <c r="I1238" s="517"/>
      <c r="J1238" s="517"/>
      <c r="K1238" s="517"/>
      <c r="L1238" s="519"/>
      <c r="M1238" s="519"/>
      <c r="N1238" s="519"/>
      <c r="O1238" s="519"/>
      <c r="P1238" s="519"/>
      <c r="Q1238" s="519"/>
      <c r="R1238" s="520"/>
      <c r="S1238" s="517"/>
      <c r="T1238" s="521"/>
      <c r="U1238" s="162"/>
      <c r="V1238" s="162"/>
      <c r="W1238" s="162"/>
      <c r="X1238" s="162"/>
      <c r="Y1238" s="162"/>
    </row>
    <row r="1239" spans="1:25" s="12" customFormat="1" ht="15">
      <c r="A1239" s="517"/>
      <c r="B1239" s="522"/>
      <c r="C1239" s="517"/>
      <c r="D1239" s="517"/>
      <c r="E1239" s="517"/>
      <c r="F1239" s="517"/>
      <c r="G1239" s="649"/>
      <c r="H1239" s="517"/>
      <c r="I1239" s="517"/>
      <c r="J1239" s="517"/>
      <c r="K1239" s="517"/>
      <c r="L1239" s="519"/>
      <c r="M1239" s="519"/>
      <c r="N1239" s="519"/>
      <c r="O1239" s="519"/>
      <c r="P1239" s="519"/>
      <c r="Q1239" s="519"/>
      <c r="R1239" s="520"/>
      <c r="S1239" s="517"/>
      <c r="T1239" s="521"/>
      <c r="U1239" s="162"/>
      <c r="V1239" s="162"/>
      <c r="W1239" s="162"/>
      <c r="X1239" s="162"/>
      <c r="Y1239" s="162"/>
    </row>
    <row r="1240" spans="1:25" s="12" customFormat="1" ht="15">
      <c r="A1240" s="517"/>
      <c r="B1240" s="517"/>
      <c r="C1240" s="517"/>
      <c r="D1240" s="517"/>
      <c r="E1240" s="517"/>
      <c r="F1240" s="517"/>
      <c r="G1240" s="649"/>
      <c r="H1240" s="517"/>
      <c r="I1240" s="517"/>
      <c r="J1240" s="517"/>
      <c r="K1240" s="517"/>
      <c r="L1240" s="519"/>
      <c r="M1240" s="519"/>
      <c r="N1240" s="519"/>
      <c r="O1240" s="519"/>
      <c r="P1240" s="519"/>
      <c r="Q1240" s="519"/>
      <c r="R1240" s="520"/>
      <c r="S1240" s="517"/>
      <c r="T1240" s="521"/>
      <c r="U1240" s="162"/>
      <c r="V1240" s="162"/>
      <c r="W1240" s="162"/>
      <c r="X1240" s="162"/>
      <c r="Y1240" s="162"/>
    </row>
    <row r="1241" spans="1:25" s="12" customFormat="1" ht="15">
      <c r="A1241" s="517"/>
      <c r="B1241" s="517"/>
      <c r="C1241" s="517"/>
      <c r="D1241" s="517"/>
      <c r="E1241" s="517"/>
      <c r="F1241" s="517"/>
      <c r="G1241" s="649"/>
      <c r="H1241" s="517"/>
      <c r="I1241" s="517"/>
      <c r="J1241" s="517"/>
      <c r="K1241" s="517"/>
      <c r="L1241" s="519"/>
      <c r="M1241" s="519"/>
      <c r="N1241" s="519"/>
      <c r="O1241" s="519"/>
      <c r="P1241" s="519"/>
      <c r="Q1241" s="519"/>
      <c r="R1241" s="520"/>
      <c r="S1241" s="517"/>
      <c r="T1241" s="521"/>
      <c r="U1241" s="162"/>
      <c r="V1241" s="162"/>
      <c r="W1241" s="162"/>
      <c r="X1241" s="162"/>
      <c r="Y1241" s="162"/>
    </row>
    <row r="1242" spans="1:25" s="12" customFormat="1" ht="15">
      <c r="A1242" s="517"/>
      <c r="B1242" s="517"/>
      <c r="C1242" s="517"/>
      <c r="D1242" s="517"/>
      <c r="E1242" s="517"/>
      <c r="F1242" s="517"/>
      <c r="G1242" s="649"/>
      <c r="H1242" s="517"/>
      <c r="I1242" s="517"/>
      <c r="J1242" s="517"/>
      <c r="K1242" s="517"/>
      <c r="L1242" s="519"/>
      <c r="M1242" s="519"/>
      <c r="N1242" s="519"/>
      <c r="O1242" s="519"/>
      <c r="P1242" s="519"/>
      <c r="Q1242" s="519"/>
      <c r="R1242" s="520"/>
      <c r="S1242" s="517"/>
      <c r="T1242" s="521"/>
      <c r="U1242" s="162"/>
      <c r="V1242" s="162"/>
      <c r="W1242" s="162"/>
      <c r="X1242" s="162"/>
      <c r="Y1242" s="162"/>
    </row>
    <row r="1243" spans="1:25" s="12" customFormat="1" ht="15">
      <c r="A1243" s="517"/>
      <c r="B1243" s="517"/>
      <c r="C1243" s="517"/>
      <c r="D1243" s="517"/>
      <c r="E1243" s="517"/>
      <c r="F1243" s="517"/>
      <c r="G1243" s="649"/>
      <c r="H1243" s="517"/>
      <c r="I1243" s="517"/>
      <c r="J1243" s="517"/>
      <c r="K1243" s="517"/>
      <c r="L1243" s="519"/>
      <c r="M1243" s="519"/>
      <c r="N1243" s="519"/>
      <c r="O1243" s="519"/>
      <c r="P1243" s="519"/>
      <c r="Q1243" s="519"/>
      <c r="R1243" s="520"/>
      <c r="S1243" s="517"/>
      <c r="T1243" s="521"/>
      <c r="U1243" s="162"/>
      <c r="V1243" s="162"/>
      <c r="W1243" s="162"/>
      <c r="X1243" s="162"/>
      <c r="Y1243" s="162"/>
    </row>
    <row r="1244" spans="1:25" s="12" customFormat="1" ht="15">
      <c r="A1244" s="517"/>
      <c r="B1244" s="517"/>
      <c r="C1244" s="517"/>
      <c r="D1244" s="517"/>
      <c r="E1244" s="517"/>
      <c r="F1244" s="517"/>
      <c r="G1244" s="649"/>
      <c r="H1244" s="517"/>
      <c r="I1244" s="517"/>
      <c r="J1244" s="517"/>
      <c r="K1244" s="517"/>
      <c r="L1244" s="519"/>
      <c r="M1244" s="519"/>
      <c r="N1244" s="519"/>
      <c r="O1244" s="519"/>
      <c r="P1244" s="519"/>
      <c r="Q1244" s="519"/>
      <c r="R1244" s="520"/>
      <c r="S1244" s="517"/>
      <c r="T1244" s="521"/>
      <c r="U1244" s="162"/>
      <c r="V1244" s="162"/>
      <c r="W1244" s="162"/>
      <c r="X1244" s="162"/>
      <c r="Y1244" s="162"/>
    </row>
    <row r="1245" spans="1:25" s="12" customFormat="1" ht="15">
      <c r="A1245" s="517"/>
      <c r="B1245" s="517"/>
      <c r="C1245" s="517"/>
      <c r="D1245" s="517"/>
      <c r="E1245" s="517"/>
      <c r="F1245" s="517"/>
      <c r="G1245" s="649"/>
      <c r="H1245" s="517"/>
      <c r="I1245" s="517"/>
      <c r="J1245" s="517"/>
      <c r="K1245" s="517"/>
      <c r="L1245" s="519"/>
      <c r="M1245" s="519"/>
      <c r="N1245" s="519"/>
      <c r="O1245" s="519"/>
      <c r="P1245" s="519"/>
      <c r="Q1245" s="519"/>
      <c r="R1245" s="520"/>
      <c r="S1245" s="517"/>
      <c r="T1245" s="521"/>
      <c r="U1245" s="162"/>
      <c r="V1245" s="162"/>
      <c r="W1245" s="162"/>
      <c r="X1245" s="162"/>
      <c r="Y1245" s="162"/>
    </row>
    <row r="1246" spans="1:25" s="12" customFormat="1" ht="15">
      <c r="A1246" s="517"/>
      <c r="B1246" s="517"/>
      <c r="C1246" s="517"/>
      <c r="D1246" s="517"/>
      <c r="E1246" s="517"/>
      <c r="F1246" s="517"/>
      <c r="G1246" s="649"/>
      <c r="H1246" s="517"/>
      <c r="I1246" s="517"/>
      <c r="J1246" s="517"/>
      <c r="K1246" s="517"/>
      <c r="L1246" s="519"/>
      <c r="M1246" s="519"/>
      <c r="N1246" s="519"/>
      <c r="O1246" s="519"/>
      <c r="P1246" s="519"/>
      <c r="Q1246" s="519"/>
      <c r="R1246" s="520"/>
      <c r="S1246" s="517"/>
      <c r="T1246" s="521"/>
      <c r="U1246" s="162"/>
      <c r="V1246" s="162"/>
      <c r="W1246" s="162"/>
      <c r="X1246" s="162"/>
      <c r="Y1246" s="162"/>
    </row>
    <row r="1247" spans="1:25" s="12" customFormat="1" ht="15">
      <c r="A1247" s="517"/>
      <c r="B1247" s="517"/>
      <c r="C1247" s="517"/>
      <c r="D1247" s="517"/>
      <c r="E1247" s="517"/>
      <c r="F1247" s="517"/>
      <c r="G1247" s="649"/>
      <c r="H1247" s="517"/>
      <c r="I1247" s="517"/>
      <c r="J1247" s="517"/>
      <c r="K1247" s="517"/>
      <c r="L1247" s="519"/>
      <c r="M1247" s="519"/>
      <c r="N1247" s="519"/>
      <c r="O1247" s="519"/>
      <c r="P1247" s="519"/>
      <c r="Q1247" s="519"/>
      <c r="R1247" s="520"/>
      <c r="S1247" s="517"/>
      <c r="T1247" s="521"/>
      <c r="U1247" s="162"/>
      <c r="V1247" s="162"/>
      <c r="W1247" s="162"/>
      <c r="X1247" s="162"/>
      <c r="Y1247" s="162"/>
    </row>
    <row r="1248" spans="1:25" s="12" customFormat="1" ht="15">
      <c r="A1248" s="517"/>
      <c r="B1248" s="517"/>
      <c r="C1248" s="517"/>
      <c r="D1248" s="517"/>
      <c r="E1248" s="517"/>
      <c r="F1248" s="517"/>
      <c r="G1248" s="649"/>
      <c r="H1248" s="517"/>
      <c r="I1248" s="517"/>
      <c r="J1248" s="517"/>
      <c r="K1248" s="517"/>
      <c r="L1248" s="519"/>
      <c r="M1248" s="519"/>
      <c r="N1248" s="519"/>
      <c r="O1248" s="519"/>
      <c r="P1248" s="519"/>
      <c r="Q1248" s="519"/>
      <c r="R1248" s="520"/>
      <c r="S1248" s="517"/>
      <c r="T1248" s="521"/>
      <c r="U1248" s="162"/>
      <c r="V1248" s="162"/>
      <c r="W1248" s="162"/>
      <c r="X1248" s="162"/>
      <c r="Y1248" s="162"/>
    </row>
    <row r="1249" spans="1:25" s="12" customFormat="1" ht="15">
      <c r="A1249" s="517"/>
      <c r="B1249" s="517"/>
      <c r="C1249" s="517"/>
      <c r="D1249" s="517"/>
      <c r="E1249" s="517"/>
      <c r="F1249" s="517"/>
      <c r="G1249" s="649"/>
      <c r="H1249" s="517"/>
      <c r="I1249" s="517"/>
      <c r="J1249" s="517"/>
      <c r="K1249" s="517"/>
      <c r="L1249" s="519"/>
      <c r="M1249" s="519"/>
      <c r="N1249" s="519"/>
      <c r="O1249" s="519"/>
      <c r="P1249" s="519"/>
      <c r="Q1249" s="519"/>
      <c r="R1249" s="520"/>
      <c r="S1249" s="517"/>
      <c r="T1249" s="521"/>
      <c r="U1249" s="162"/>
      <c r="V1249" s="162"/>
      <c r="W1249" s="162"/>
      <c r="X1249" s="162"/>
      <c r="Y1249" s="162"/>
    </row>
    <row r="1250" spans="1:25" s="12" customFormat="1" ht="15">
      <c r="A1250" s="517"/>
      <c r="B1250" s="517"/>
      <c r="C1250" s="517"/>
      <c r="D1250" s="517"/>
      <c r="E1250" s="517"/>
      <c r="F1250" s="517"/>
      <c r="G1250" s="649"/>
      <c r="H1250" s="517"/>
      <c r="I1250" s="517"/>
      <c r="J1250" s="517"/>
      <c r="K1250" s="517"/>
      <c r="L1250" s="519"/>
      <c r="M1250" s="519"/>
      <c r="N1250" s="519"/>
      <c r="O1250" s="519"/>
      <c r="P1250" s="519"/>
      <c r="Q1250" s="519"/>
      <c r="R1250" s="520"/>
      <c r="S1250" s="517"/>
      <c r="T1250" s="521"/>
      <c r="U1250" s="162"/>
      <c r="V1250" s="162"/>
      <c r="W1250" s="162"/>
      <c r="X1250" s="162"/>
      <c r="Y1250" s="162"/>
    </row>
    <row r="1251" spans="1:25" s="12" customFormat="1" ht="15">
      <c r="A1251" s="517"/>
      <c r="B1251" s="517"/>
      <c r="C1251" s="517"/>
      <c r="D1251" s="517"/>
      <c r="E1251" s="517"/>
      <c r="F1251" s="517"/>
      <c r="G1251" s="649"/>
      <c r="H1251" s="517"/>
      <c r="I1251" s="517"/>
      <c r="J1251" s="517"/>
      <c r="K1251" s="517"/>
      <c r="L1251" s="519"/>
      <c r="M1251" s="519"/>
      <c r="N1251" s="519"/>
      <c r="O1251" s="519"/>
      <c r="P1251" s="519"/>
      <c r="Q1251" s="519"/>
      <c r="R1251" s="520"/>
      <c r="S1251" s="517"/>
      <c r="T1251" s="521"/>
      <c r="U1251" s="162"/>
      <c r="V1251" s="162"/>
      <c r="W1251" s="162"/>
      <c r="X1251" s="162"/>
      <c r="Y1251" s="162"/>
    </row>
    <row r="1252" spans="1:25" s="12" customFormat="1" ht="15">
      <c r="A1252" s="517"/>
      <c r="B1252" s="517"/>
      <c r="C1252" s="517"/>
      <c r="D1252" s="517"/>
      <c r="E1252" s="517"/>
      <c r="F1252" s="517"/>
      <c r="G1252" s="649"/>
      <c r="H1252" s="517"/>
      <c r="I1252" s="517"/>
      <c r="J1252" s="517"/>
      <c r="K1252" s="517"/>
      <c r="L1252" s="519"/>
      <c r="M1252" s="519"/>
      <c r="N1252" s="519"/>
      <c r="O1252" s="519"/>
      <c r="P1252" s="519"/>
      <c r="Q1252" s="519"/>
      <c r="R1252" s="520"/>
      <c r="S1252" s="517"/>
      <c r="T1252" s="521"/>
      <c r="U1252" s="162"/>
      <c r="V1252" s="162"/>
      <c r="W1252" s="162"/>
      <c r="X1252" s="162"/>
      <c r="Y1252" s="162"/>
    </row>
    <row r="1253" spans="1:25" s="12" customFormat="1" ht="15">
      <c r="A1253" s="517"/>
      <c r="B1253" s="517"/>
      <c r="C1253" s="517"/>
      <c r="D1253" s="517"/>
      <c r="E1253" s="517"/>
      <c r="F1253" s="517"/>
      <c r="G1253" s="649"/>
      <c r="H1253" s="517"/>
      <c r="I1253" s="517"/>
      <c r="J1253" s="517"/>
      <c r="K1253" s="517"/>
      <c r="L1253" s="519"/>
      <c r="M1253" s="519"/>
      <c r="N1253" s="519"/>
      <c r="O1253" s="519"/>
      <c r="P1253" s="519"/>
      <c r="Q1253" s="519"/>
      <c r="R1253" s="520"/>
      <c r="S1253" s="517"/>
      <c r="T1253" s="521"/>
      <c r="U1253" s="162"/>
      <c r="V1253" s="162"/>
      <c r="W1253" s="162"/>
      <c r="X1253" s="162"/>
      <c r="Y1253" s="162"/>
    </row>
    <row r="1254" spans="1:25" s="12" customFormat="1" ht="15">
      <c r="A1254" s="517"/>
      <c r="B1254" s="517"/>
      <c r="C1254" s="517"/>
      <c r="D1254" s="517"/>
      <c r="E1254" s="517"/>
      <c r="F1254" s="517"/>
      <c r="G1254" s="649"/>
      <c r="H1254" s="517"/>
      <c r="I1254" s="517"/>
      <c r="J1254" s="517"/>
      <c r="K1254" s="517"/>
      <c r="L1254" s="519"/>
      <c r="M1254" s="519"/>
      <c r="N1254" s="519"/>
      <c r="O1254" s="519"/>
      <c r="P1254" s="519"/>
      <c r="Q1254" s="519"/>
      <c r="R1254" s="520"/>
      <c r="S1254" s="517"/>
      <c r="T1254" s="521"/>
      <c r="U1254" s="162"/>
      <c r="V1254" s="162"/>
      <c r="W1254" s="162"/>
      <c r="X1254" s="162"/>
      <c r="Y1254" s="162"/>
    </row>
    <row r="1255" spans="1:25" s="12" customFormat="1" ht="15">
      <c r="A1255" s="517"/>
      <c r="B1255" s="517"/>
      <c r="C1255" s="517"/>
      <c r="D1255" s="517"/>
      <c r="E1255" s="517"/>
      <c r="F1255" s="517"/>
      <c r="G1255" s="649"/>
      <c r="H1255" s="517"/>
      <c r="I1255" s="517"/>
      <c r="J1255" s="517"/>
      <c r="K1255" s="517"/>
      <c r="L1255" s="519"/>
      <c r="M1255" s="519"/>
      <c r="N1255" s="519"/>
      <c r="O1255" s="519"/>
      <c r="P1255" s="519"/>
      <c r="Q1255" s="519"/>
      <c r="R1255" s="520"/>
      <c r="S1255" s="517"/>
      <c r="T1255" s="521"/>
      <c r="U1255" s="162"/>
      <c r="V1255" s="162"/>
      <c r="W1255" s="162"/>
      <c r="X1255" s="162"/>
      <c r="Y1255" s="162"/>
    </row>
    <row r="1256" spans="1:25" s="12" customFormat="1" ht="15">
      <c r="A1256" s="517"/>
      <c r="B1256" s="517"/>
      <c r="C1256" s="517"/>
      <c r="D1256" s="517"/>
      <c r="E1256" s="517"/>
      <c r="F1256" s="517"/>
      <c r="G1256" s="649"/>
      <c r="H1256" s="517"/>
      <c r="I1256" s="517"/>
      <c r="J1256" s="517"/>
      <c r="K1256" s="517"/>
      <c r="L1256" s="519"/>
      <c r="M1256" s="519"/>
      <c r="N1256" s="519"/>
      <c r="O1256" s="519"/>
      <c r="P1256" s="519"/>
      <c r="Q1256" s="519"/>
      <c r="R1256" s="520"/>
      <c r="S1256" s="517"/>
      <c r="T1256" s="521"/>
      <c r="U1256" s="162"/>
      <c r="V1256" s="162"/>
      <c r="W1256" s="162"/>
      <c r="X1256" s="162"/>
      <c r="Y1256" s="162"/>
    </row>
    <row r="1257" spans="1:25" s="12" customFormat="1" ht="15">
      <c r="A1257" s="517"/>
      <c r="B1257" s="517"/>
      <c r="C1257" s="517"/>
      <c r="D1257" s="517"/>
      <c r="E1257" s="517"/>
      <c r="F1257" s="517"/>
      <c r="G1257" s="649"/>
      <c r="H1257" s="517"/>
      <c r="I1257" s="517"/>
      <c r="J1257" s="517"/>
      <c r="K1257" s="517"/>
      <c r="L1257" s="519"/>
      <c r="M1257" s="519"/>
      <c r="N1257" s="519"/>
      <c r="O1257" s="519"/>
      <c r="P1257" s="519"/>
      <c r="Q1257" s="519"/>
      <c r="R1257" s="520"/>
      <c r="S1257" s="517"/>
      <c r="T1257" s="521"/>
      <c r="U1257" s="162"/>
      <c r="V1257" s="162"/>
      <c r="W1257" s="162"/>
      <c r="X1257" s="162"/>
      <c r="Y1257" s="162"/>
    </row>
    <row r="1258" spans="1:25" s="12" customFormat="1" ht="15">
      <c r="A1258" s="517"/>
      <c r="B1258" s="517"/>
      <c r="C1258" s="517"/>
      <c r="D1258" s="517"/>
      <c r="E1258" s="517"/>
      <c r="F1258" s="517"/>
      <c r="G1258" s="649"/>
      <c r="H1258" s="517"/>
      <c r="I1258" s="517"/>
      <c r="J1258" s="517"/>
      <c r="K1258" s="517"/>
      <c r="L1258" s="519"/>
      <c r="M1258" s="519"/>
      <c r="N1258" s="519"/>
      <c r="O1258" s="519"/>
      <c r="P1258" s="519"/>
      <c r="Q1258" s="519"/>
      <c r="R1258" s="520"/>
      <c r="S1258" s="517"/>
      <c r="T1258" s="521"/>
      <c r="U1258" s="162"/>
      <c r="V1258" s="162"/>
      <c r="W1258" s="162"/>
      <c r="X1258" s="162"/>
      <c r="Y1258" s="162"/>
    </row>
    <row r="1259" spans="1:25" s="12" customFormat="1" ht="15">
      <c r="A1259" s="517"/>
      <c r="B1259" s="517"/>
      <c r="C1259" s="517"/>
      <c r="D1259" s="517"/>
      <c r="E1259" s="517"/>
      <c r="F1259" s="517"/>
      <c r="G1259" s="649"/>
      <c r="H1259" s="517"/>
      <c r="I1259" s="517"/>
      <c r="J1259" s="517"/>
      <c r="K1259" s="517"/>
      <c r="L1259" s="519"/>
      <c r="M1259" s="519"/>
      <c r="N1259" s="519"/>
      <c r="O1259" s="519"/>
      <c r="P1259" s="519"/>
      <c r="Q1259" s="519"/>
      <c r="R1259" s="520"/>
      <c r="S1259" s="517"/>
      <c r="T1259" s="521"/>
      <c r="U1259" s="162"/>
      <c r="V1259" s="162"/>
      <c r="W1259" s="162"/>
      <c r="X1259" s="162"/>
      <c r="Y1259" s="162"/>
    </row>
    <row r="1260" spans="1:25" s="12" customFormat="1" ht="15">
      <c r="A1260" s="517"/>
      <c r="B1260" s="517"/>
      <c r="C1260" s="517"/>
      <c r="D1260" s="517"/>
      <c r="E1260" s="517"/>
      <c r="F1260" s="517"/>
      <c r="G1260" s="649"/>
      <c r="H1260" s="517"/>
      <c r="I1260" s="517"/>
      <c r="J1260" s="517"/>
      <c r="K1260" s="517"/>
      <c r="L1260" s="519"/>
      <c r="M1260" s="519"/>
      <c r="N1260" s="519"/>
      <c r="O1260" s="519"/>
      <c r="P1260" s="519"/>
      <c r="Q1260" s="519"/>
      <c r="R1260" s="520"/>
      <c r="S1260" s="517"/>
      <c r="T1260" s="521"/>
      <c r="U1260" s="162"/>
      <c r="V1260" s="162"/>
      <c r="W1260" s="162"/>
      <c r="X1260" s="162"/>
      <c r="Y1260" s="162"/>
    </row>
    <row r="1261" spans="1:25" s="12" customFormat="1" ht="15">
      <c r="A1261" s="517"/>
      <c r="B1261" s="517"/>
      <c r="C1261" s="517"/>
      <c r="D1261" s="517"/>
      <c r="E1261" s="517"/>
      <c r="F1261" s="517"/>
      <c r="G1261" s="649"/>
      <c r="H1261" s="517"/>
      <c r="I1261" s="517"/>
      <c r="J1261" s="517"/>
      <c r="K1261" s="517"/>
      <c r="L1261" s="519"/>
      <c r="M1261" s="519"/>
      <c r="N1261" s="519"/>
      <c r="O1261" s="519"/>
      <c r="P1261" s="519"/>
      <c r="Q1261" s="519"/>
      <c r="R1261" s="520"/>
      <c r="S1261" s="517"/>
      <c r="T1261" s="521"/>
      <c r="U1261" s="162"/>
      <c r="V1261" s="162"/>
      <c r="W1261" s="162"/>
      <c r="X1261" s="162"/>
      <c r="Y1261" s="162"/>
    </row>
    <row r="1262" spans="1:25" s="12" customFormat="1" ht="15">
      <c r="A1262" s="517"/>
      <c r="B1262" s="517"/>
      <c r="C1262" s="517"/>
      <c r="D1262" s="517"/>
      <c r="E1262" s="517"/>
      <c r="F1262" s="517"/>
      <c r="G1262" s="649"/>
      <c r="H1262" s="517"/>
      <c r="I1262" s="517"/>
      <c r="J1262" s="517"/>
      <c r="K1262" s="517"/>
      <c r="L1262" s="519"/>
      <c r="M1262" s="519"/>
      <c r="N1262" s="519"/>
      <c r="O1262" s="519"/>
      <c r="P1262" s="519"/>
      <c r="Q1262" s="519"/>
      <c r="R1262" s="520"/>
      <c r="S1262" s="517"/>
      <c r="T1262" s="521"/>
      <c r="U1262" s="162"/>
      <c r="V1262" s="162"/>
      <c r="W1262" s="162"/>
      <c r="X1262" s="162"/>
      <c r="Y1262" s="162"/>
    </row>
    <row r="1263" spans="1:25" s="12" customFormat="1" ht="15">
      <c r="A1263" s="517"/>
      <c r="B1263" s="517"/>
      <c r="C1263" s="517"/>
      <c r="D1263" s="517"/>
      <c r="E1263" s="517"/>
      <c r="F1263" s="517"/>
      <c r="G1263" s="649"/>
      <c r="H1263" s="517"/>
      <c r="I1263" s="517"/>
      <c r="J1263" s="517"/>
      <c r="K1263" s="517"/>
      <c r="L1263" s="519"/>
      <c r="M1263" s="519"/>
      <c r="N1263" s="519"/>
      <c r="O1263" s="519"/>
      <c r="P1263" s="519"/>
      <c r="Q1263" s="519"/>
      <c r="R1263" s="520"/>
      <c r="S1263" s="517"/>
      <c r="T1263" s="521"/>
      <c r="U1263" s="162"/>
      <c r="V1263" s="162"/>
      <c r="W1263" s="162"/>
      <c r="X1263" s="162"/>
      <c r="Y1263" s="162"/>
    </row>
    <row r="1264" spans="1:25" s="12" customFormat="1" ht="15">
      <c r="A1264" s="517"/>
      <c r="B1264" s="517"/>
      <c r="C1264" s="517"/>
      <c r="D1264" s="517"/>
      <c r="E1264" s="517"/>
      <c r="F1264" s="517"/>
      <c r="G1264" s="649"/>
      <c r="H1264" s="517"/>
      <c r="I1264" s="517"/>
      <c r="J1264" s="517"/>
      <c r="K1264" s="517"/>
      <c r="L1264" s="519"/>
      <c r="M1264" s="519"/>
      <c r="N1264" s="519"/>
      <c r="O1264" s="519"/>
      <c r="P1264" s="519"/>
      <c r="Q1264" s="519"/>
      <c r="R1264" s="520"/>
      <c r="S1264" s="517"/>
      <c r="T1264" s="521"/>
      <c r="U1264" s="162"/>
      <c r="V1264" s="162"/>
      <c r="W1264" s="162"/>
      <c r="X1264" s="162"/>
      <c r="Y1264" s="162"/>
    </row>
    <row r="1265" spans="1:25" s="12" customFormat="1" ht="15">
      <c r="A1265" s="517"/>
      <c r="B1265" s="517"/>
      <c r="C1265" s="517"/>
      <c r="D1265" s="517"/>
      <c r="E1265" s="517"/>
      <c r="F1265" s="517"/>
      <c r="G1265" s="649"/>
      <c r="H1265" s="517"/>
      <c r="I1265" s="517"/>
      <c r="J1265" s="517"/>
      <c r="K1265" s="517"/>
      <c r="L1265" s="519"/>
      <c r="M1265" s="519"/>
      <c r="N1265" s="519"/>
      <c r="O1265" s="519"/>
      <c r="P1265" s="519"/>
      <c r="Q1265" s="519"/>
      <c r="R1265" s="520"/>
      <c r="S1265" s="517"/>
      <c r="T1265" s="521"/>
      <c r="U1265" s="162"/>
      <c r="V1265" s="162"/>
      <c r="W1265" s="162"/>
      <c r="X1265" s="162"/>
      <c r="Y1265" s="162"/>
    </row>
    <row r="1266" spans="1:25" s="12" customFormat="1" ht="15">
      <c r="A1266" s="517"/>
      <c r="B1266" s="517"/>
      <c r="C1266" s="517"/>
      <c r="D1266" s="517"/>
      <c r="E1266" s="517"/>
      <c r="F1266" s="517"/>
      <c r="G1266" s="649"/>
      <c r="H1266" s="517"/>
      <c r="I1266" s="517"/>
      <c r="J1266" s="517"/>
      <c r="K1266" s="517"/>
      <c r="L1266" s="519"/>
      <c r="M1266" s="519"/>
      <c r="N1266" s="519"/>
      <c r="O1266" s="519"/>
      <c r="P1266" s="519"/>
      <c r="Q1266" s="519"/>
      <c r="R1266" s="520"/>
      <c r="S1266" s="517"/>
      <c r="T1266" s="521"/>
      <c r="U1266" s="162"/>
      <c r="V1266" s="162"/>
      <c r="W1266" s="162"/>
      <c r="X1266" s="162"/>
      <c r="Y1266" s="162"/>
    </row>
    <row r="1267" spans="1:25" s="12" customFormat="1" ht="15">
      <c r="A1267" s="517"/>
      <c r="B1267" s="517"/>
      <c r="C1267" s="517"/>
      <c r="D1267" s="517"/>
      <c r="E1267" s="517"/>
      <c r="F1267" s="517"/>
      <c r="G1267" s="649"/>
      <c r="H1267" s="517"/>
      <c r="I1267" s="517"/>
      <c r="J1267" s="517"/>
      <c r="K1267" s="517"/>
      <c r="L1267" s="519"/>
      <c r="M1267" s="519"/>
      <c r="N1267" s="519"/>
      <c r="O1267" s="519"/>
      <c r="P1267" s="519"/>
      <c r="Q1267" s="519"/>
      <c r="R1267" s="520"/>
      <c r="S1267" s="517"/>
      <c r="T1267" s="521"/>
      <c r="U1267" s="162"/>
      <c r="V1267" s="162"/>
      <c r="W1267" s="162"/>
      <c r="X1267" s="162"/>
      <c r="Y1267" s="162"/>
    </row>
    <row r="1268" spans="1:25" s="12" customFormat="1" ht="15">
      <c r="A1268" s="517"/>
      <c r="B1268" s="517"/>
      <c r="C1268" s="517"/>
      <c r="D1268" s="517"/>
      <c r="E1268" s="517"/>
      <c r="F1268" s="517"/>
      <c r="G1268" s="649"/>
      <c r="H1268" s="517"/>
      <c r="I1268" s="517"/>
      <c r="J1268" s="517"/>
      <c r="K1268" s="517"/>
      <c r="L1268" s="519"/>
      <c r="M1268" s="519"/>
      <c r="N1268" s="519"/>
      <c r="O1268" s="519"/>
      <c r="P1268" s="519"/>
      <c r="Q1268" s="519"/>
      <c r="R1268" s="520"/>
      <c r="S1268" s="517"/>
      <c r="T1268" s="521"/>
      <c r="U1268" s="162"/>
      <c r="V1268" s="162"/>
      <c r="W1268" s="162"/>
      <c r="X1268" s="162"/>
      <c r="Y1268" s="162"/>
    </row>
    <row r="1269" spans="1:25" s="12" customFormat="1" ht="15">
      <c r="A1269" s="517"/>
      <c r="B1269" s="517"/>
      <c r="C1269" s="517"/>
      <c r="D1269" s="517"/>
      <c r="E1269" s="517"/>
      <c r="F1269" s="517"/>
      <c r="G1269" s="649"/>
      <c r="H1269" s="517"/>
      <c r="I1269" s="517"/>
      <c r="J1269" s="517"/>
      <c r="K1269" s="517"/>
      <c r="L1269" s="519"/>
      <c r="M1269" s="519"/>
      <c r="N1269" s="519"/>
      <c r="O1269" s="519"/>
      <c r="P1269" s="519"/>
      <c r="Q1269" s="519"/>
      <c r="R1269" s="520"/>
      <c r="S1269" s="517"/>
      <c r="T1269" s="521"/>
      <c r="U1269" s="162"/>
      <c r="V1269" s="162"/>
      <c r="W1269" s="162"/>
      <c r="X1269" s="162"/>
      <c r="Y1269" s="162"/>
    </row>
    <row r="1270" spans="1:25" s="12" customFormat="1" ht="15">
      <c r="A1270" s="517"/>
      <c r="B1270" s="517"/>
      <c r="C1270" s="517"/>
      <c r="D1270" s="517"/>
      <c r="E1270" s="517"/>
      <c r="F1270" s="517"/>
      <c r="G1270" s="649"/>
      <c r="H1270" s="517"/>
      <c r="I1270" s="517"/>
      <c r="J1270" s="517"/>
      <c r="K1270" s="517"/>
      <c r="L1270" s="519"/>
      <c r="M1270" s="519"/>
      <c r="N1270" s="519"/>
      <c r="O1270" s="519"/>
      <c r="P1270" s="519"/>
      <c r="Q1270" s="519"/>
      <c r="R1270" s="520"/>
      <c r="S1270" s="517"/>
      <c r="T1270" s="521"/>
      <c r="U1270" s="162"/>
      <c r="V1270" s="162"/>
      <c r="W1270" s="162"/>
      <c r="X1270" s="162"/>
      <c r="Y1270" s="162"/>
    </row>
    <row r="1271" spans="1:25" s="12" customFormat="1" ht="15">
      <c r="A1271" s="517"/>
      <c r="B1271" s="517"/>
      <c r="C1271" s="517"/>
      <c r="D1271" s="517"/>
      <c r="E1271" s="517"/>
      <c r="F1271" s="517"/>
      <c r="G1271" s="649"/>
      <c r="H1271" s="517"/>
      <c r="I1271" s="517"/>
      <c r="J1271" s="517"/>
      <c r="K1271" s="517"/>
      <c r="L1271" s="519"/>
      <c r="M1271" s="519"/>
      <c r="N1271" s="519"/>
      <c r="O1271" s="519"/>
      <c r="P1271" s="519"/>
      <c r="Q1271" s="519"/>
      <c r="R1271" s="520"/>
      <c r="S1271" s="517"/>
      <c r="T1271" s="521"/>
      <c r="U1271" s="162"/>
      <c r="V1271" s="162"/>
      <c r="W1271" s="162"/>
      <c r="X1271" s="162"/>
      <c r="Y1271" s="162"/>
    </row>
    <row r="1272" spans="1:25" s="12" customFormat="1" ht="15">
      <c r="A1272" s="517"/>
      <c r="B1272" s="517"/>
      <c r="C1272" s="517"/>
      <c r="D1272" s="517"/>
      <c r="E1272" s="517"/>
      <c r="F1272" s="517"/>
      <c r="G1272" s="649"/>
      <c r="H1272" s="517"/>
      <c r="I1272" s="517"/>
      <c r="J1272" s="517"/>
      <c r="K1272" s="517"/>
      <c r="L1272" s="519"/>
      <c r="M1272" s="519"/>
      <c r="N1272" s="519"/>
      <c r="O1272" s="519"/>
      <c r="P1272" s="519"/>
      <c r="Q1272" s="519"/>
      <c r="R1272" s="520"/>
      <c r="S1272" s="517"/>
      <c r="T1272" s="521"/>
      <c r="U1272" s="162"/>
      <c r="V1272" s="162"/>
      <c r="W1272" s="162"/>
      <c r="X1272" s="162"/>
      <c r="Y1272" s="162"/>
    </row>
    <row r="1273" spans="1:25" s="12" customFormat="1" ht="15">
      <c r="A1273" s="517"/>
      <c r="B1273" s="517"/>
      <c r="C1273" s="517"/>
      <c r="D1273" s="517"/>
      <c r="E1273" s="517"/>
      <c r="F1273" s="517"/>
      <c r="G1273" s="649"/>
      <c r="H1273" s="517"/>
      <c r="I1273" s="517"/>
      <c r="J1273" s="517"/>
      <c r="K1273" s="517"/>
      <c r="L1273" s="519"/>
      <c r="M1273" s="519"/>
      <c r="N1273" s="519"/>
      <c r="O1273" s="519"/>
      <c r="P1273" s="519"/>
      <c r="Q1273" s="519"/>
      <c r="R1273" s="520"/>
      <c r="S1273" s="517"/>
      <c r="T1273" s="521"/>
      <c r="U1273" s="162"/>
      <c r="V1273" s="162"/>
      <c r="W1273" s="162"/>
      <c r="X1273" s="162"/>
      <c r="Y1273" s="162"/>
    </row>
    <row r="1274" spans="1:25" s="12" customFormat="1" ht="15">
      <c r="A1274" s="517"/>
      <c r="B1274" s="517"/>
      <c r="C1274" s="517"/>
      <c r="D1274" s="517"/>
      <c r="E1274" s="517"/>
      <c r="F1274" s="517"/>
      <c r="G1274" s="649"/>
      <c r="H1274" s="517"/>
      <c r="I1274" s="517"/>
      <c r="J1274" s="517"/>
      <c r="K1274" s="517"/>
      <c r="L1274" s="519"/>
      <c r="M1274" s="519"/>
      <c r="N1274" s="519"/>
      <c r="O1274" s="519"/>
      <c r="P1274" s="519"/>
      <c r="Q1274" s="519"/>
      <c r="R1274" s="520"/>
      <c r="S1274" s="517"/>
      <c r="T1274" s="521"/>
      <c r="U1274" s="162"/>
      <c r="V1274" s="162"/>
      <c r="W1274" s="162"/>
      <c r="X1274" s="162"/>
      <c r="Y1274" s="162"/>
    </row>
    <row r="1275" spans="1:25" s="12" customFormat="1" ht="15">
      <c r="A1275" s="517"/>
      <c r="B1275" s="517"/>
      <c r="C1275" s="517"/>
      <c r="D1275" s="517"/>
      <c r="E1275" s="517"/>
      <c r="F1275" s="517"/>
      <c r="G1275" s="649"/>
      <c r="H1275" s="517"/>
      <c r="I1275" s="517"/>
      <c r="J1275" s="517"/>
      <c r="K1275" s="517"/>
      <c r="L1275" s="519"/>
      <c r="M1275" s="519"/>
      <c r="N1275" s="519"/>
      <c r="O1275" s="519"/>
      <c r="P1275" s="519"/>
      <c r="Q1275" s="519"/>
      <c r="R1275" s="520"/>
      <c r="S1275" s="517"/>
      <c r="T1275" s="521"/>
      <c r="U1275" s="162"/>
      <c r="V1275" s="162"/>
      <c r="W1275" s="162"/>
      <c r="X1275" s="162"/>
      <c r="Y1275" s="162"/>
    </row>
    <row r="1276" spans="1:25" s="12" customFormat="1" ht="15">
      <c r="A1276" s="517"/>
      <c r="B1276" s="517"/>
      <c r="C1276" s="517"/>
      <c r="D1276" s="517"/>
      <c r="E1276" s="517"/>
      <c r="F1276" s="517"/>
      <c r="G1276" s="649"/>
      <c r="H1276" s="517"/>
      <c r="I1276" s="517"/>
      <c r="J1276" s="517"/>
      <c r="K1276" s="517"/>
      <c r="L1276" s="519"/>
      <c r="M1276" s="519"/>
      <c r="N1276" s="519"/>
      <c r="O1276" s="519"/>
      <c r="P1276" s="519"/>
      <c r="Q1276" s="519"/>
      <c r="R1276" s="520"/>
      <c r="S1276" s="517"/>
      <c r="T1276" s="521"/>
      <c r="U1276" s="162"/>
      <c r="V1276" s="162"/>
      <c r="W1276" s="162"/>
      <c r="X1276" s="162"/>
      <c r="Y1276" s="162"/>
    </row>
    <row r="1277" spans="1:25">
      <c r="A1277" s="517"/>
      <c r="B1277" s="517"/>
      <c r="C1277" s="517"/>
      <c r="D1277" s="517"/>
      <c r="E1277" s="517"/>
      <c r="F1277" s="517"/>
      <c r="G1277" s="649"/>
      <c r="H1277" s="517"/>
      <c r="I1277" s="517"/>
      <c r="J1277" s="517"/>
      <c r="K1277" s="517"/>
      <c r="L1277" s="519"/>
      <c r="M1277" s="519"/>
      <c r="N1277" s="519"/>
      <c r="O1277" s="519"/>
      <c r="P1277" s="519"/>
      <c r="Q1277" s="519"/>
      <c r="R1277" s="520"/>
      <c r="S1277" s="517"/>
      <c r="T1277" s="521"/>
    </row>
    <row r="1278" spans="1:25">
      <c r="A1278" s="517"/>
      <c r="B1278" s="517"/>
      <c r="C1278" s="517"/>
      <c r="D1278" s="517"/>
      <c r="E1278" s="517"/>
      <c r="F1278" s="517"/>
      <c r="G1278" s="649"/>
      <c r="H1278" s="517"/>
      <c r="I1278" s="517"/>
      <c r="J1278" s="517"/>
      <c r="K1278" s="517"/>
      <c r="L1278" s="519"/>
      <c r="M1278" s="519"/>
      <c r="N1278" s="519"/>
      <c r="O1278" s="519"/>
      <c r="P1278" s="519"/>
      <c r="Q1278" s="519"/>
      <c r="R1278" s="520"/>
      <c r="S1278" s="517"/>
      <c r="T1278" s="521"/>
    </row>
    <row r="1279" spans="1:25">
      <c r="A1279" s="517"/>
      <c r="B1279" s="517"/>
      <c r="C1279" s="517"/>
      <c r="D1279" s="517"/>
      <c r="E1279" s="517"/>
      <c r="F1279" s="517"/>
      <c r="G1279" s="649"/>
      <c r="H1279" s="517"/>
      <c r="I1279" s="517"/>
      <c r="J1279" s="517"/>
      <c r="K1279" s="517"/>
      <c r="L1279" s="519"/>
      <c r="M1279" s="519"/>
      <c r="N1279" s="519"/>
      <c r="O1279" s="519"/>
      <c r="P1279" s="519"/>
      <c r="Q1279" s="519"/>
      <c r="R1279" s="520"/>
      <c r="S1279" s="517"/>
      <c r="T1279" s="521"/>
    </row>
    <row r="1280" spans="1:25">
      <c r="A1280" s="517"/>
      <c r="B1280" s="517"/>
      <c r="C1280" s="517"/>
      <c r="D1280" s="517"/>
      <c r="E1280" s="517"/>
      <c r="F1280" s="517"/>
      <c r="G1280" s="649"/>
      <c r="H1280" s="517"/>
      <c r="I1280" s="517"/>
      <c r="J1280" s="517"/>
      <c r="K1280" s="517"/>
      <c r="L1280" s="519"/>
      <c r="M1280" s="519"/>
      <c r="N1280" s="519"/>
      <c r="O1280" s="519"/>
      <c r="P1280" s="519"/>
      <c r="Q1280" s="519"/>
      <c r="R1280" s="520"/>
      <c r="S1280" s="517"/>
      <c r="T1280" s="521"/>
    </row>
    <row r="1281" spans="1:20">
      <c r="A1281" s="517"/>
      <c r="B1281" s="517"/>
      <c r="C1281" s="517"/>
      <c r="D1281" s="517"/>
      <c r="E1281" s="517"/>
      <c r="F1281" s="517"/>
      <c r="G1281" s="649"/>
      <c r="H1281" s="517"/>
      <c r="I1281" s="517"/>
      <c r="J1281" s="517"/>
      <c r="K1281" s="517"/>
      <c r="L1281" s="519"/>
      <c r="M1281" s="519"/>
      <c r="N1281" s="519"/>
      <c r="O1281" s="519"/>
      <c r="P1281" s="519"/>
      <c r="Q1281" s="519"/>
      <c r="R1281" s="520"/>
      <c r="S1281" s="517"/>
      <c r="T1281" s="521"/>
    </row>
    <row r="1282" spans="1:20">
      <c r="A1282" s="517"/>
      <c r="B1282" s="517"/>
      <c r="C1282" s="517"/>
      <c r="D1282" s="517"/>
      <c r="E1282" s="517"/>
      <c r="F1282" s="517"/>
      <c r="G1282" s="649"/>
      <c r="H1282" s="517"/>
      <c r="I1282" s="517"/>
      <c r="J1282" s="517"/>
      <c r="K1282" s="517"/>
      <c r="L1282" s="519"/>
      <c r="M1282" s="519"/>
      <c r="N1282" s="519"/>
      <c r="O1282" s="519"/>
      <c r="P1282" s="519"/>
      <c r="Q1282" s="519"/>
      <c r="R1282" s="519"/>
      <c r="S1282" s="517"/>
      <c r="T1282" s="521"/>
    </row>
    <row r="1283" spans="1:20">
      <c r="A1283" s="517"/>
      <c r="B1283" s="517"/>
      <c r="C1283" s="517"/>
      <c r="D1283" s="517"/>
      <c r="E1283" s="517"/>
      <c r="F1283" s="517"/>
      <c r="G1283" s="649"/>
      <c r="H1283" s="517"/>
      <c r="I1283" s="517"/>
      <c r="J1283" s="517"/>
      <c r="K1283" s="517"/>
      <c r="L1283" s="519"/>
      <c r="M1283" s="519"/>
      <c r="N1283" s="519"/>
      <c r="O1283" s="519"/>
      <c r="P1283" s="519"/>
      <c r="Q1283" s="519"/>
      <c r="R1283" s="519"/>
      <c r="S1283" s="517"/>
      <c r="T1283" s="521"/>
    </row>
    <row r="1284" spans="1:20">
      <c r="A1284" s="517"/>
      <c r="B1284" s="517"/>
      <c r="C1284" s="517"/>
      <c r="D1284" s="517"/>
      <c r="E1284" s="517"/>
      <c r="F1284" s="517"/>
      <c r="G1284" s="649"/>
      <c r="H1284" s="517"/>
      <c r="I1284" s="517"/>
      <c r="J1284" s="517"/>
      <c r="K1284" s="517"/>
      <c r="L1284" s="519"/>
      <c r="M1284" s="519"/>
      <c r="N1284" s="519"/>
      <c r="O1284" s="519"/>
      <c r="P1284" s="519"/>
      <c r="Q1284" s="519"/>
      <c r="R1284" s="519"/>
      <c r="S1284" s="517"/>
      <c r="T1284" s="521"/>
    </row>
    <row r="1285" spans="1:20">
      <c r="A1285" s="517"/>
      <c r="B1285" s="517"/>
      <c r="C1285" s="517"/>
      <c r="D1285" s="517"/>
      <c r="E1285" s="517"/>
      <c r="F1285" s="517"/>
      <c r="G1285" s="649"/>
      <c r="H1285" s="517"/>
      <c r="I1285" s="517"/>
      <c r="J1285" s="517"/>
      <c r="K1285" s="517"/>
      <c r="L1285" s="519"/>
      <c r="M1285" s="519"/>
      <c r="N1285" s="519"/>
      <c r="O1285" s="519"/>
      <c r="P1285" s="519"/>
      <c r="Q1285" s="519"/>
      <c r="R1285" s="519"/>
      <c r="S1285" s="517"/>
      <c r="T1285" s="521"/>
    </row>
    <row r="1286" spans="1:20">
      <c r="A1286" s="517"/>
      <c r="B1286" s="517"/>
      <c r="C1286" s="517"/>
      <c r="D1286" s="517"/>
      <c r="E1286" s="517"/>
      <c r="F1286" s="517"/>
      <c r="G1286" s="649"/>
      <c r="H1286" s="517"/>
      <c r="I1286" s="517"/>
      <c r="J1286" s="517"/>
      <c r="K1286" s="517"/>
      <c r="L1286" s="519"/>
      <c r="M1286" s="519"/>
      <c r="N1286" s="519"/>
      <c r="O1286" s="519"/>
      <c r="P1286" s="519"/>
      <c r="Q1286" s="519"/>
      <c r="R1286" s="519"/>
      <c r="S1286" s="517"/>
      <c r="T1286" s="521"/>
    </row>
    <row r="1287" spans="1:20">
      <c r="A1287" s="517"/>
      <c r="B1287" s="517"/>
      <c r="C1287" s="517"/>
      <c r="D1287" s="517"/>
      <c r="E1287" s="517"/>
      <c r="F1287" s="517"/>
      <c r="G1287" s="649"/>
      <c r="H1287" s="517"/>
      <c r="I1287" s="517"/>
      <c r="J1287" s="517"/>
      <c r="K1287" s="517"/>
      <c r="L1287" s="519"/>
      <c r="M1287" s="519"/>
      <c r="N1287" s="519"/>
      <c r="O1287" s="519"/>
      <c r="P1287" s="519"/>
      <c r="Q1287" s="519"/>
      <c r="R1287" s="519"/>
      <c r="S1287" s="517"/>
      <c r="T1287" s="521"/>
    </row>
    <row r="1288" spans="1:20">
      <c r="A1288" s="517"/>
      <c r="B1288" s="517"/>
      <c r="C1288" s="517"/>
      <c r="D1288" s="517"/>
      <c r="E1288" s="517"/>
      <c r="F1288" s="517"/>
      <c r="G1288" s="649"/>
      <c r="H1288" s="517"/>
      <c r="I1288" s="517"/>
      <c r="J1288" s="517"/>
      <c r="K1288" s="517"/>
      <c r="L1288" s="519"/>
      <c r="M1288" s="519"/>
      <c r="N1288" s="519"/>
      <c r="O1288" s="519"/>
      <c r="P1288" s="519"/>
      <c r="Q1288" s="519"/>
      <c r="R1288" s="519"/>
      <c r="S1288" s="517"/>
      <c r="T1288" s="521"/>
    </row>
    <row r="1289" spans="1:20">
      <c r="A1289" s="517"/>
      <c r="B1289" s="517"/>
      <c r="C1289" s="517"/>
      <c r="D1289" s="517"/>
      <c r="E1289" s="517"/>
      <c r="F1289" s="517"/>
      <c r="G1289" s="649"/>
      <c r="H1289" s="517"/>
      <c r="I1289" s="517"/>
      <c r="J1289" s="517"/>
      <c r="K1289" s="517"/>
      <c r="L1289" s="519"/>
      <c r="M1289" s="519"/>
      <c r="N1289" s="519"/>
      <c r="O1289" s="519"/>
      <c r="P1289" s="519"/>
      <c r="Q1289" s="519"/>
      <c r="R1289" s="519"/>
      <c r="S1289" s="517"/>
      <c r="T1289" s="521"/>
    </row>
    <row r="1290" spans="1:20">
      <c r="A1290" s="517"/>
      <c r="B1290" s="517"/>
      <c r="C1290" s="517"/>
      <c r="D1290" s="517"/>
      <c r="E1290" s="517"/>
      <c r="F1290" s="517"/>
      <c r="G1290" s="649"/>
      <c r="H1290" s="517"/>
      <c r="I1290" s="517"/>
      <c r="J1290" s="517"/>
      <c r="K1290" s="517"/>
      <c r="L1290" s="519"/>
      <c r="M1290" s="519"/>
      <c r="N1290" s="519"/>
      <c r="O1290" s="519"/>
      <c r="P1290" s="519"/>
      <c r="Q1290" s="519"/>
      <c r="R1290" s="519"/>
      <c r="S1290" s="517"/>
      <c r="T1290" s="521"/>
    </row>
    <row r="1291" spans="1:20">
      <c r="A1291" s="517"/>
      <c r="B1291" s="517"/>
      <c r="C1291" s="517"/>
      <c r="D1291" s="517"/>
      <c r="E1291" s="517"/>
      <c r="F1291" s="517"/>
      <c r="G1291" s="649"/>
      <c r="H1291" s="517"/>
      <c r="I1291" s="517"/>
      <c r="J1291" s="517"/>
      <c r="K1291" s="517"/>
      <c r="L1291" s="519"/>
      <c r="M1291" s="519"/>
      <c r="N1291" s="519"/>
      <c r="O1291" s="519"/>
      <c r="P1291" s="519"/>
      <c r="Q1291" s="519"/>
      <c r="R1291" s="519"/>
      <c r="S1291" s="517"/>
      <c r="T1291" s="521"/>
    </row>
    <row r="1292" spans="1:20">
      <c r="A1292" s="517"/>
      <c r="B1292" s="517"/>
      <c r="C1292" s="517"/>
      <c r="D1292" s="517"/>
      <c r="E1292" s="517"/>
      <c r="F1292" s="517"/>
      <c r="G1292" s="649"/>
      <c r="H1292" s="517"/>
      <c r="I1292" s="517"/>
      <c r="J1292" s="517"/>
      <c r="K1292" s="517"/>
      <c r="L1292" s="519"/>
      <c r="M1292" s="519"/>
      <c r="N1292" s="519"/>
      <c r="O1292" s="519"/>
      <c r="P1292" s="519"/>
      <c r="Q1292" s="519"/>
      <c r="R1292" s="519"/>
      <c r="S1292" s="517"/>
      <c r="T1292" s="521"/>
    </row>
    <row r="1293" spans="1:20">
      <c r="A1293" s="517"/>
      <c r="B1293" s="517"/>
      <c r="C1293" s="517"/>
      <c r="D1293" s="517"/>
      <c r="E1293" s="517"/>
      <c r="F1293" s="517"/>
      <c r="G1293" s="649"/>
      <c r="H1293" s="517"/>
      <c r="I1293" s="517"/>
      <c r="J1293" s="517"/>
      <c r="K1293" s="517"/>
      <c r="L1293" s="519"/>
      <c r="M1293" s="519"/>
      <c r="N1293" s="519"/>
      <c r="O1293" s="519"/>
      <c r="P1293" s="519"/>
      <c r="Q1293" s="519"/>
      <c r="R1293" s="519"/>
      <c r="S1293" s="517"/>
      <c r="T1293" s="521"/>
    </row>
    <row r="1294" spans="1:20">
      <c r="A1294" s="517"/>
      <c r="B1294" s="517"/>
      <c r="C1294" s="517"/>
      <c r="D1294" s="517"/>
      <c r="E1294" s="517"/>
      <c r="F1294" s="517"/>
      <c r="G1294" s="649"/>
      <c r="H1294" s="517"/>
      <c r="I1294" s="517"/>
      <c r="J1294" s="517"/>
      <c r="K1294" s="517"/>
      <c r="L1294" s="519"/>
      <c r="M1294" s="519"/>
      <c r="N1294" s="519"/>
      <c r="O1294" s="519"/>
      <c r="P1294" s="519"/>
      <c r="Q1294" s="519"/>
      <c r="R1294" s="519"/>
      <c r="S1294" s="517"/>
      <c r="T1294" s="521"/>
    </row>
    <row r="1295" spans="1:20">
      <c r="A1295" s="517"/>
      <c r="B1295" s="517"/>
      <c r="C1295" s="517"/>
      <c r="D1295" s="517"/>
      <c r="E1295" s="517"/>
      <c r="F1295" s="517"/>
      <c r="G1295" s="649"/>
      <c r="H1295" s="517"/>
      <c r="I1295" s="517"/>
      <c r="J1295" s="517"/>
      <c r="K1295" s="517"/>
      <c r="L1295" s="519"/>
      <c r="M1295" s="519"/>
      <c r="N1295" s="519"/>
      <c r="O1295" s="519"/>
      <c r="P1295" s="519"/>
      <c r="Q1295" s="519"/>
      <c r="R1295" s="519"/>
      <c r="S1295" s="517"/>
      <c r="T1295" s="521"/>
    </row>
    <row r="1296" spans="1:20">
      <c r="A1296" s="517"/>
      <c r="B1296" s="517"/>
      <c r="C1296" s="517"/>
      <c r="D1296" s="517"/>
      <c r="E1296" s="517"/>
      <c r="F1296" s="517"/>
      <c r="G1296" s="649"/>
      <c r="H1296" s="517"/>
      <c r="I1296" s="517"/>
      <c r="J1296" s="517"/>
      <c r="K1296" s="517"/>
      <c r="L1296" s="519"/>
      <c r="M1296" s="519"/>
      <c r="N1296" s="519"/>
      <c r="O1296" s="519"/>
      <c r="P1296" s="519"/>
      <c r="Q1296" s="519"/>
      <c r="R1296" s="519"/>
      <c r="S1296" s="517"/>
      <c r="T1296" s="521"/>
    </row>
    <row r="1297" spans="1:20">
      <c r="A1297" s="517"/>
      <c r="B1297" s="517"/>
      <c r="C1297" s="517"/>
      <c r="D1297" s="517"/>
      <c r="E1297" s="517"/>
      <c r="F1297" s="517"/>
      <c r="G1297" s="649"/>
      <c r="H1297" s="517"/>
      <c r="I1297" s="517"/>
      <c r="J1297" s="517"/>
      <c r="K1297" s="517"/>
      <c r="L1297" s="519"/>
      <c r="M1297" s="519"/>
      <c r="N1297" s="519"/>
      <c r="O1297" s="519"/>
      <c r="P1297" s="519"/>
      <c r="Q1297" s="519"/>
      <c r="R1297" s="519"/>
      <c r="S1297" s="517"/>
      <c r="T1297" s="521"/>
    </row>
    <row r="1298" spans="1:20">
      <c r="A1298" s="517"/>
      <c r="B1298" s="517"/>
      <c r="C1298" s="517"/>
      <c r="D1298" s="517"/>
      <c r="E1298" s="517"/>
      <c r="F1298" s="517"/>
      <c r="G1298" s="649"/>
      <c r="H1298" s="517"/>
      <c r="I1298" s="517"/>
      <c r="J1298" s="517"/>
      <c r="K1298" s="517"/>
      <c r="L1298" s="519"/>
      <c r="M1298" s="519"/>
      <c r="N1298" s="519"/>
      <c r="O1298" s="519"/>
      <c r="P1298" s="519"/>
      <c r="Q1298" s="519"/>
      <c r="R1298" s="519"/>
      <c r="S1298" s="517"/>
      <c r="T1298" s="521"/>
    </row>
    <row r="1299" spans="1:20">
      <c r="A1299" s="517"/>
      <c r="B1299" s="517"/>
      <c r="C1299" s="517"/>
      <c r="D1299" s="517"/>
      <c r="E1299" s="517"/>
      <c r="F1299" s="517"/>
      <c r="G1299" s="649"/>
      <c r="H1299" s="517"/>
      <c r="I1299" s="517"/>
      <c r="J1299" s="517"/>
      <c r="K1299" s="517"/>
      <c r="L1299" s="519"/>
      <c r="M1299" s="519"/>
      <c r="N1299" s="519"/>
      <c r="O1299" s="519"/>
      <c r="P1299" s="519"/>
      <c r="Q1299" s="519"/>
      <c r="R1299" s="519"/>
      <c r="S1299" s="517"/>
      <c r="T1299" s="521"/>
    </row>
    <row r="1300" spans="1:20">
      <c r="A1300" s="517"/>
      <c r="B1300" s="517"/>
      <c r="C1300" s="517"/>
      <c r="D1300" s="517"/>
      <c r="E1300" s="517"/>
      <c r="F1300" s="517"/>
      <c r="G1300" s="649"/>
      <c r="H1300" s="517"/>
      <c r="I1300" s="517"/>
      <c r="J1300" s="517"/>
      <c r="K1300" s="517"/>
      <c r="L1300" s="519"/>
      <c r="M1300" s="519"/>
      <c r="N1300" s="519"/>
      <c r="O1300" s="519"/>
      <c r="P1300" s="519"/>
      <c r="Q1300" s="519"/>
      <c r="R1300" s="519"/>
      <c r="S1300" s="517"/>
      <c r="T1300" s="521"/>
    </row>
    <row r="1301" spans="1:20">
      <c r="A1301" s="517"/>
      <c r="B1301" s="517"/>
      <c r="C1301" s="517"/>
      <c r="D1301" s="517"/>
      <c r="E1301" s="517"/>
      <c r="F1301" s="517"/>
      <c r="G1301" s="649"/>
      <c r="H1301" s="517"/>
      <c r="I1301" s="517"/>
      <c r="J1301" s="517"/>
      <c r="K1301" s="517"/>
      <c r="L1301" s="519"/>
      <c r="M1301" s="519"/>
      <c r="N1301" s="519"/>
      <c r="O1301" s="519"/>
      <c r="P1301" s="519"/>
      <c r="Q1301" s="519"/>
      <c r="R1301" s="519"/>
      <c r="S1301" s="517"/>
      <c r="T1301" s="521"/>
    </row>
    <row r="1302" spans="1:20">
      <c r="A1302" s="517"/>
      <c r="B1302" s="517"/>
      <c r="C1302" s="517"/>
      <c r="D1302" s="517"/>
      <c r="E1302" s="517"/>
      <c r="F1302" s="517"/>
      <c r="G1302" s="649"/>
      <c r="H1302" s="517"/>
      <c r="I1302" s="517"/>
      <c r="J1302" s="517"/>
      <c r="K1302" s="517"/>
      <c r="L1302" s="519"/>
      <c r="M1302" s="519"/>
      <c r="N1302" s="519"/>
      <c r="O1302" s="519"/>
      <c r="P1302" s="519"/>
      <c r="Q1302" s="519"/>
      <c r="R1302" s="519"/>
      <c r="S1302" s="517"/>
      <c r="T1302" s="521"/>
    </row>
    <row r="1303" spans="1:20">
      <c r="A1303" s="517"/>
      <c r="B1303" s="517"/>
      <c r="C1303" s="517"/>
      <c r="D1303" s="517"/>
      <c r="E1303" s="517"/>
      <c r="F1303" s="517"/>
      <c r="G1303" s="649"/>
      <c r="H1303" s="517"/>
      <c r="I1303" s="517"/>
      <c r="J1303" s="517"/>
      <c r="K1303" s="517"/>
      <c r="L1303" s="519"/>
      <c r="M1303" s="519"/>
      <c r="N1303" s="519"/>
      <c r="O1303" s="519"/>
      <c r="P1303" s="519"/>
      <c r="Q1303" s="519"/>
      <c r="R1303" s="519"/>
      <c r="S1303" s="517"/>
      <c r="T1303" s="521"/>
    </row>
    <row r="1304" spans="1:20">
      <c r="A1304" s="517"/>
      <c r="B1304" s="517"/>
      <c r="C1304" s="517"/>
      <c r="D1304" s="517"/>
      <c r="E1304" s="517"/>
      <c r="F1304" s="517"/>
      <c r="G1304" s="649"/>
      <c r="H1304" s="517"/>
      <c r="I1304" s="517"/>
      <c r="J1304" s="517"/>
      <c r="K1304" s="517"/>
      <c r="L1304" s="519"/>
      <c r="M1304" s="519"/>
      <c r="N1304" s="519"/>
      <c r="O1304" s="519"/>
      <c r="P1304" s="519"/>
      <c r="Q1304" s="519"/>
      <c r="R1304" s="519"/>
      <c r="S1304" s="517"/>
      <c r="T1304" s="521"/>
    </row>
    <row r="1305" spans="1:20">
      <c r="A1305" s="517"/>
      <c r="B1305" s="517"/>
      <c r="C1305" s="517"/>
      <c r="D1305" s="517"/>
      <c r="E1305" s="517"/>
      <c r="F1305" s="517"/>
      <c r="G1305" s="649"/>
      <c r="H1305" s="517"/>
      <c r="I1305" s="517"/>
      <c r="J1305" s="517"/>
      <c r="K1305" s="517"/>
      <c r="L1305" s="519"/>
      <c r="M1305" s="519"/>
      <c r="N1305" s="519"/>
      <c r="O1305" s="519"/>
      <c r="P1305" s="519"/>
      <c r="Q1305" s="519"/>
      <c r="R1305" s="519"/>
      <c r="S1305" s="517"/>
      <c r="T1305" s="521"/>
    </row>
    <row r="1306" spans="1:20">
      <c r="A1306" s="517"/>
      <c r="B1306" s="517"/>
      <c r="C1306" s="517"/>
      <c r="D1306" s="517"/>
      <c r="E1306" s="517"/>
      <c r="F1306" s="517"/>
      <c r="G1306" s="649"/>
      <c r="H1306" s="517"/>
      <c r="I1306" s="517"/>
      <c r="J1306" s="517"/>
      <c r="K1306" s="517"/>
      <c r="L1306" s="519"/>
      <c r="M1306" s="519"/>
      <c r="N1306" s="519"/>
      <c r="O1306" s="519"/>
      <c r="P1306" s="519"/>
      <c r="Q1306" s="519"/>
      <c r="R1306" s="519"/>
      <c r="S1306" s="517"/>
      <c r="T1306" s="521"/>
    </row>
    <row r="1307" spans="1:20">
      <c r="A1307" s="517"/>
      <c r="B1307" s="517"/>
      <c r="C1307" s="517"/>
      <c r="D1307" s="517"/>
      <c r="E1307" s="517"/>
      <c r="F1307" s="517"/>
      <c r="G1307" s="649"/>
      <c r="H1307" s="517"/>
      <c r="I1307" s="517"/>
      <c r="J1307" s="517"/>
      <c r="K1307" s="517"/>
      <c r="L1307" s="519"/>
      <c r="M1307" s="519"/>
      <c r="N1307" s="519"/>
      <c r="O1307" s="519"/>
      <c r="P1307" s="519"/>
      <c r="Q1307" s="519"/>
      <c r="R1307" s="519"/>
      <c r="S1307" s="517"/>
      <c r="T1307" s="521"/>
    </row>
    <row r="1308" spans="1:20">
      <c r="A1308" s="517"/>
      <c r="B1308" s="517"/>
      <c r="C1308" s="517"/>
      <c r="D1308" s="517"/>
      <c r="E1308" s="517"/>
      <c r="F1308" s="517"/>
      <c r="G1308" s="649"/>
      <c r="H1308" s="517"/>
      <c r="I1308" s="517"/>
      <c r="J1308" s="517"/>
      <c r="K1308" s="517"/>
      <c r="L1308" s="519"/>
      <c r="M1308" s="519"/>
      <c r="N1308" s="519"/>
      <c r="O1308" s="519"/>
      <c r="P1308" s="519"/>
      <c r="Q1308" s="519"/>
      <c r="R1308" s="519"/>
      <c r="S1308" s="517"/>
      <c r="T1308" s="521"/>
    </row>
    <row r="1309" spans="1:20">
      <c r="A1309" s="517"/>
      <c r="B1309" s="517"/>
      <c r="C1309" s="517"/>
      <c r="D1309" s="517"/>
      <c r="E1309" s="517"/>
      <c r="F1309" s="517"/>
      <c r="G1309" s="649"/>
      <c r="H1309" s="517"/>
      <c r="I1309" s="517"/>
      <c r="J1309" s="517"/>
      <c r="K1309" s="517"/>
      <c r="L1309" s="519"/>
      <c r="M1309" s="519"/>
      <c r="N1309" s="519"/>
      <c r="O1309" s="519"/>
      <c r="P1309" s="519"/>
      <c r="Q1309" s="519"/>
      <c r="R1309" s="519"/>
      <c r="S1309" s="517"/>
      <c r="T1309" s="521"/>
    </row>
    <row r="1310" spans="1:20">
      <c r="A1310" s="517"/>
      <c r="B1310" s="517"/>
      <c r="C1310" s="517"/>
      <c r="D1310" s="517"/>
      <c r="E1310" s="517"/>
      <c r="F1310" s="517"/>
      <c r="G1310" s="649"/>
      <c r="H1310" s="517"/>
      <c r="I1310" s="517"/>
      <c r="J1310" s="517"/>
      <c r="K1310" s="517"/>
      <c r="L1310" s="519"/>
      <c r="M1310" s="519"/>
      <c r="N1310" s="519"/>
      <c r="O1310" s="519"/>
      <c r="P1310" s="519"/>
      <c r="Q1310" s="519"/>
      <c r="R1310" s="519"/>
      <c r="S1310" s="517"/>
      <c r="T1310" s="521"/>
    </row>
    <row r="1311" spans="1:20">
      <c r="A1311" s="517"/>
      <c r="B1311" s="517"/>
      <c r="C1311" s="517"/>
      <c r="D1311" s="517"/>
      <c r="E1311" s="517"/>
      <c r="F1311" s="517"/>
      <c r="G1311" s="649"/>
      <c r="H1311" s="517"/>
      <c r="I1311" s="517"/>
      <c r="J1311" s="517"/>
      <c r="K1311" s="517"/>
      <c r="L1311" s="519"/>
      <c r="M1311" s="519"/>
      <c r="N1311" s="519"/>
      <c r="O1311" s="519"/>
      <c r="P1311" s="519"/>
      <c r="Q1311" s="519"/>
      <c r="R1311" s="519"/>
      <c r="S1311" s="517"/>
      <c r="T1311" s="521"/>
    </row>
    <row r="1312" spans="1:20">
      <c r="A1312" s="517"/>
      <c r="B1312" s="517"/>
      <c r="C1312" s="517"/>
      <c r="D1312" s="517"/>
      <c r="E1312" s="517"/>
      <c r="F1312" s="517"/>
      <c r="G1312" s="649"/>
      <c r="H1312" s="517"/>
      <c r="I1312" s="517"/>
      <c r="J1312" s="517"/>
      <c r="K1312" s="517"/>
      <c r="L1312" s="519"/>
      <c r="M1312" s="519"/>
      <c r="N1312" s="519"/>
      <c r="O1312" s="519"/>
      <c r="P1312" s="519"/>
      <c r="Q1312" s="519"/>
      <c r="R1312" s="519"/>
      <c r="S1312" s="517"/>
      <c r="T1312" s="521"/>
    </row>
    <row r="1313" spans="1:20">
      <c r="A1313" s="517"/>
      <c r="B1313" s="517"/>
      <c r="C1313" s="517"/>
      <c r="D1313" s="517"/>
      <c r="E1313" s="517"/>
      <c r="F1313" s="517"/>
      <c r="G1313" s="649"/>
      <c r="H1313" s="517"/>
      <c r="I1313" s="517"/>
      <c r="J1313" s="517"/>
      <c r="K1313" s="517"/>
      <c r="L1313" s="519"/>
      <c r="M1313" s="519"/>
      <c r="N1313" s="519"/>
      <c r="O1313" s="519"/>
      <c r="P1313" s="519"/>
      <c r="Q1313" s="519"/>
      <c r="R1313" s="519"/>
      <c r="S1313" s="517"/>
      <c r="T1313" s="521"/>
    </row>
    <row r="1314" spans="1:20">
      <c r="A1314" s="517"/>
      <c r="B1314" s="517"/>
      <c r="C1314" s="517"/>
      <c r="D1314" s="517"/>
      <c r="E1314" s="517"/>
      <c r="F1314" s="517"/>
      <c r="G1314" s="649"/>
      <c r="H1314" s="517"/>
      <c r="I1314" s="517"/>
      <c r="J1314" s="517"/>
      <c r="K1314" s="517"/>
      <c r="L1314" s="519"/>
      <c r="M1314" s="519"/>
      <c r="N1314" s="519"/>
      <c r="O1314" s="519"/>
      <c r="P1314" s="519"/>
      <c r="Q1314" s="519"/>
      <c r="R1314" s="519"/>
      <c r="S1314" s="517"/>
      <c r="T1314" s="521"/>
    </row>
    <row r="1315" spans="1:20">
      <c r="A1315" s="517"/>
      <c r="B1315" s="517"/>
      <c r="C1315" s="517"/>
      <c r="D1315" s="517"/>
      <c r="E1315" s="517"/>
      <c r="F1315" s="517"/>
      <c r="G1315" s="649"/>
      <c r="H1315" s="517"/>
      <c r="I1315" s="517"/>
      <c r="J1315" s="517"/>
      <c r="K1315" s="517"/>
      <c r="L1315" s="519"/>
      <c r="M1315" s="519"/>
      <c r="N1315" s="519"/>
      <c r="O1315" s="519"/>
      <c r="P1315" s="519"/>
      <c r="Q1315" s="519"/>
      <c r="R1315" s="519"/>
      <c r="S1315" s="517"/>
      <c r="T1315" s="521"/>
    </row>
    <row r="1316" spans="1:20">
      <c r="A1316" s="517"/>
      <c r="B1316" s="517"/>
      <c r="C1316" s="517"/>
      <c r="D1316" s="517"/>
      <c r="E1316" s="517"/>
      <c r="F1316" s="517"/>
      <c r="G1316" s="649"/>
      <c r="H1316" s="517"/>
      <c r="I1316" s="517"/>
      <c r="J1316" s="517"/>
      <c r="K1316" s="517"/>
      <c r="L1316" s="519"/>
      <c r="M1316" s="519"/>
      <c r="N1316" s="519"/>
      <c r="O1316" s="519"/>
      <c r="P1316" s="519"/>
      <c r="Q1316" s="519"/>
      <c r="R1316" s="519"/>
      <c r="S1316" s="517"/>
      <c r="T1316" s="521"/>
    </row>
    <row r="1317" spans="1:20">
      <c r="A1317" s="517"/>
      <c r="B1317" s="517"/>
      <c r="C1317" s="517"/>
      <c r="D1317" s="517"/>
      <c r="E1317" s="517"/>
      <c r="F1317" s="517"/>
      <c r="G1317" s="649"/>
      <c r="H1317" s="517"/>
      <c r="I1317" s="517"/>
      <c r="J1317" s="517"/>
      <c r="K1317" s="517"/>
      <c r="L1317" s="519"/>
      <c r="M1317" s="519"/>
      <c r="N1317" s="519"/>
      <c r="O1317" s="519"/>
      <c r="P1317" s="519"/>
      <c r="Q1317" s="519"/>
      <c r="R1317" s="519"/>
      <c r="S1317" s="517"/>
      <c r="T1317" s="521"/>
    </row>
    <row r="1318" spans="1:20">
      <c r="A1318" s="517"/>
      <c r="B1318" s="517"/>
      <c r="C1318" s="517"/>
      <c r="D1318" s="517"/>
      <c r="E1318" s="517"/>
      <c r="F1318" s="517"/>
      <c r="G1318" s="649"/>
      <c r="H1318" s="517"/>
      <c r="I1318" s="517"/>
      <c r="J1318" s="517"/>
      <c r="K1318" s="517"/>
      <c r="L1318" s="519"/>
      <c r="M1318" s="519"/>
      <c r="N1318" s="519"/>
      <c r="O1318" s="519"/>
      <c r="P1318" s="519"/>
      <c r="Q1318" s="519"/>
      <c r="R1318" s="519"/>
      <c r="S1318" s="517"/>
      <c r="T1318" s="521"/>
    </row>
    <row r="1319" spans="1:20">
      <c r="A1319" s="517"/>
      <c r="B1319" s="517"/>
      <c r="C1319" s="517"/>
      <c r="D1319" s="517"/>
      <c r="E1319" s="517"/>
      <c r="F1319" s="517"/>
      <c r="G1319" s="649"/>
      <c r="H1319" s="517"/>
      <c r="I1319" s="517"/>
      <c r="J1319" s="517"/>
      <c r="K1319" s="517"/>
      <c r="L1319" s="519"/>
      <c r="M1319" s="519"/>
      <c r="N1319" s="519"/>
      <c r="O1319" s="519"/>
      <c r="P1319" s="519"/>
      <c r="Q1319" s="519"/>
      <c r="R1319" s="519"/>
      <c r="S1319" s="517"/>
      <c r="T1319" s="521"/>
    </row>
    <row r="1320" spans="1:20">
      <c r="A1320" s="517"/>
      <c r="B1320" s="517"/>
      <c r="C1320" s="517"/>
      <c r="D1320" s="517"/>
      <c r="E1320" s="517"/>
      <c r="F1320" s="517"/>
      <c r="G1320" s="649"/>
      <c r="H1320" s="517"/>
      <c r="I1320" s="517"/>
      <c r="J1320" s="517"/>
      <c r="K1320" s="517"/>
      <c r="L1320" s="519"/>
      <c r="M1320" s="519"/>
      <c r="N1320" s="519"/>
      <c r="O1320" s="519"/>
      <c r="P1320" s="519"/>
      <c r="Q1320" s="519"/>
      <c r="R1320" s="519"/>
      <c r="S1320" s="517"/>
      <c r="T1320" s="521"/>
    </row>
    <row r="1321" spans="1:20">
      <c r="A1321" s="517"/>
      <c r="B1321" s="517"/>
      <c r="C1321" s="517"/>
      <c r="D1321" s="517"/>
      <c r="E1321" s="517"/>
      <c r="F1321" s="517"/>
      <c r="G1321" s="649"/>
      <c r="H1321" s="517"/>
      <c r="I1321" s="517"/>
      <c r="J1321" s="517"/>
      <c r="K1321" s="517"/>
      <c r="L1321" s="519"/>
      <c r="M1321" s="519"/>
      <c r="N1321" s="519"/>
      <c r="O1321" s="519"/>
      <c r="P1321" s="519"/>
      <c r="Q1321" s="519"/>
      <c r="R1321" s="519"/>
      <c r="S1321" s="517"/>
      <c r="T1321" s="521"/>
    </row>
    <row r="1322" spans="1:20">
      <c r="A1322" s="517"/>
      <c r="B1322" s="517"/>
      <c r="C1322" s="517"/>
      <c r="D1322" s="517"/>
      <c r="E1322" s="517"/>
      <c r="F1322" s="517"/>
      <c r="G1322" s="649"/>
      <c r="H1322" s="517"/>
      <c r="I1322" s="517"/>
      <c r="J1322" s="517"/>
      <c r="K1322" s="517"/>
      <c r="L1322" s="519"/>
      <c r="M1322" s="519"/>
      <c r="N1322" s="519"/>
      <c r="O1322" s="519"/>
      <c r="P1322" s="519"/>
      <c r="Q1322" s="519"/>
      <c r="R1322" s="519"/>
      <c r="S1322" s="517"/>
      <c r="T1322" s="521"/>
    </row>
    <row r="1323" spans="1:20">
      <c r="A1323" s="517"/>
      <c r="B1323" s="517"/>
      <c r="C1323" s="517"/>
      <c r="D1323" s="517"/>
      <c r="E1323" s="517"/>
      <c r="F1323" s="517"/>
      <c r="G1323" s="649"/>
      <c r="H1323" s="517"/>
      <c r="I1323" s="517"/>
      <c r="J1323" s="517"/>
      <c r="K1323" s="517"/>
      <c r="L1323" s="519"/>
      <c r="M1323" s="519"/>
      <c r="N1323" s="519"/>
      <c r="O1323" s="519"/>
      <c r="P1323" s="519"/>
      <c r="Q1323" s="519"/>
      <c r="R1323" s="519"/>
      <c r="S1323" s="517"/>
      <c r="T1323" s="521"/>
    </row>
    <row r="1324" spans="1:20">
      <c r="A1324" s="517"/>
      <c r="B1324" s="517"/>
      <c r="C1324" s="517"/>
      <c r="D1324" s="517"/>
      <c r="E1324" s="517"/>
      <c r="F1324" s="517"/>
      <c r="G1324" s="649"/>
      <c r="H1324" s="517"/>
      <c r="I1324" s="517"/>
      <c r="J1324" s="517"/>
      <c r="K1324" s="517"/>
      <c r="L1324" s="519"/>
      <c r="M1324" s="519"/>
      <c r="N1324" s="519"/>
      <c r="O1324" s="519"/>
      <c r="P1324" s="519"/>
      <c r="Q1324" s="519"/>
      <c r="R1324" s="519"/>
      <c r="S1324" s="517"/>
      <c r="T1324" s="521"/>
    </row>
    <row r="1325" spans="1:20">
      <c r="A1325" s="517"/>
      <c r="B1325" s="517"/>
      <c r="C1325" s="517"/>
      <c r="D1325" s="517"/>
      <c r="E1325" s="517"/>
      <c r="F1325" s="517"/>
      <c r="G1325" s="649"/>
      <c r="H1325" s="517"/>
      <c r="I1325" s="517"/>
      <c r="J1325" s="517"/>
      <c r="K1325" s="517"/>
      <c r="L1325" s="519"/>
      <c r="M1325" s="519"/>
      <c r="N1325" s="519"/>
      <c r="O1325" s="519"/>
      <c r="P1325" s="519"/>
      <c r="Q1325" s="519"/>
      <c r="R1325" s="519"/>
      <c r="S1325" s="517"/>
      <c r="T1325" s="521"/>
    </row>
    <row r="1326" spans="1:20">
      <c r="A1326" s="517"/>
      <c r="B1326" s="517"/>
      <c r="C1326" s="517"/>
      <c r="D1326" s="517"/>
      <c r="E1326" s="517"/>
      <c r="F1326" s="517"/>
      <c r="G1326" s="649"/>
      <c r="H1326" s="517"/>
      <c r="I1326" s="517"/>
      <c r="J1326" s="517"/>
      <c r="K1326" s="517"/>
      <c r="L1326" s="519"/>
      <c r="M1326" s="519"/>
      <c r="N1326" s="519"/>
      <c r="O1326" s="519"/>
      <c r="P1326" s="519"/>
      <c r="Q1326" s="519"/>
      <c r="R1326" s="519"/>
      <c r="S1326" s="517"/>
      <c r="T1326" s="521"/>
    </row>
    <row r="1327" spans="1:20">
      <c r="A1327" s="517"/>
      <c r="B1327" s="517"/>
      <c r="C1327" s="517"/>
      <c r="D1327" s="517"/>
      <c r="E1327" s="517"/>
      <c r="F1327" s="517"/>
      <c r="G1327" s="649"/>
      <c r="H1327" s="517"/>
      <c r="I1327" s="517"/>
      <c r="J1327" s="517"/>
      <c r="K1327" s="517"/>
      <c r="L1327" s="519"/>
      <c r="M1327" s="519"/>
      <c r="N1327" s="519"/>
      <c r="O1327" s="519"/>
      <c r="P1327" s="519"/>
      <c r="Q1327" s="519"/>
      <c r="R1327" s="519"/>
      <c r="S1327" s="517"/>
      <c r="T1327" s="521"/>
    </row>
    <row r="1328" spans="1:20">
      <c r="A1328" s="517"/>
      <c r="B1328" s="517"/>
      <c r="C1328" s="517"/>
      <c r="D1328" s="517"/>
      <c r="E1328" s="517"/>
      <c r="F1328" s="517"/>
      <c r="G1328" s="649"/>
      <c r="H1328" s="517"/>
      <c r="I1328" s="517"/>
      <c r="J1328" s="517"/>
      <c r="K1328" s="517"/>
      <c r="L1328" s="519"/>
      <c r="M1328" s="519"/>
      <c r="N1328" s="519"/>
      <c r="O1328" s="519"/>
      <c r="P1328" s="519"/>
      <c r="Q1328" s="519"/>
      <c r="R1328" s="519"/>
      <c r="S1328" s="517"/>
      <c r="T1328" s="521"/>
    </row>
    <row r="1329" spans="1:20">
      <c r="A1329" s="517"/>
      <c r="B1329" s="517"/>
      <c r="C1329" s="517"/>
      <c r="D1329" s="517"/>
      <c r="E1329" s="517"/>
      <c r="F1329" s="517"/>
      <c r="G1329" s="649"/>
      <c r="H1329" s="517"/>
      <c r="I1329" s="517"/>
      <c r="J1329" s="517"/>
      <c r="K1329" s="517"/>
      <c r="L1329" s="519"/>
      <c r="M1329" s="519"/>
      <c r="N1329" s="519"/>
      <c r="O1329" s="519"/>
      <c r="P1329" s="519"/>
      <c r="Q1329" s="519"/>
      <c r="R1329" s="519"/>
      <c r="S1329" s="517"/>
      <c r="T1329" s="521"/>
    </row>
    <row r="1330" spans="1:20">
      <c r="A1330" s="517"/>
      <c r="B1330" s="517"/>
      <c r="C1330" s="517"/>
      <c r="D1330" s="517"/>
      <c r="E1330" s="517"/>
      <c r="F1330" s="517"/>
      <c r="G1330" s="649"/>
      <c r="H1330" s="517"/>
      <c r="I1330" s="517"/>
      <c r="J1330" s="517"/>
      <c r="K1330" s="517"/>
      <c r="L1330" s="519"/>
      <c r="M1330" s="519"/>
      <c r="N1330" s="519"/>
      <c r="O1330" s="519"/>
      <c r="P1330" s="519"/>
      <c r="Q1330" s="519"/>
      <c r="R1330" s="519"/>
      <c r="S1330" s="517"/>
      <c r="T1330" s="521"/>
    </row>
    <row r="1331" spans="1:20">
      <c r="A1331" s="517"/>
      <c r="B1331" s="517"/>
      <c r="C1331" s="517"/>
      <c r="D1331" s="517"/>
      <c r="E1331" s="517"/>
      <c r="F1331" s="517"/>
      <c r="G1331" s="649"/>
      <c r="H1331" s="517"/>
      <c r="I1331" s="517"/>
      <c r="J1331" s="517"/>
      <c r="K1331" s="517"/>
      <c r="L1331" s="519"/>
      <c r="M1331" s="519"/>
      <c r="N1331" s="519"/>
      <c r="O1331" s="519"/>
      <c r="P1331" s="519"/>
      <c r="Q1331" s="519"/>
      <c r="R1331" s="519"/>
      <c r="S1331" s="517"/>
      <c r="T1331" s="521"/>
    </row>
    <row r="1332" spans="1:20">
      <c r="A1332" s="517"/>
      <c r="B1332" s="517"/>
      <c r="C1332" s="517"/>
      <c r="D1332" s="517"/>
      <c r="E1332" s="517"/>
      <c r="F1332" s="517"/>
      <c r="G1332" s="649"/>
      <c r="H1332" s="517"/>
      <c r="I1332" s="517"/>
      <c r="J1332" s="517"/>
      <c r="K1332" s="517"/>
      <c r="L1332" s="519"/>
      <c r="M1332" s="519"/>
      <c r="N1332" s="519"/>
      <c r="O1332" s="519"/>
      <c r="P1332" s="519"/>
      <c r="Q1332" s="519"/>
      <c r="R1332" s="519"/>
      <c r="S1332" s="517"/>
      <c r="T1332" s="521"/>
    </row>
    <row r="1333" spans="1:20">
      <c r="A1333" s="517"/>
      <c r="B1333" s="517"/>
      <c r="C1333" s="517"/>
      <c r="D1333" s="517"/>
      <c r="E1333" s="517"/>
      <c r="F1333" s="517"/>
      <c r="G1333" s="649"/>
      <c r="H1333" s="517"/>
      <c r="I1333" s="517"/>
      <c r="J1333" s="517"/>
      <c r="K1333" s="517"/>
      <c r="L1333" s="519"/>
      <c r="M1333" s="519"/>
      <c r="N1333" s="519"/>
      <c r="O1333" s="519"/>
      <c r="P1333" s="519"/>
      <c r="Q1333" s="519"/>
      <c r="R1333" s="519"/>
      <c r="S1333" s="517"/>
      <c r="T1333" s="521"/>
    </row>
    <row r="1334" spans="1:20">
      <c r="A1334" s="517"/>
      <c r="B1334" s="517"/>
      <c r="C1334" s="517"/>
      <c r="D1334" s="517"/>
      <c r="E1334" s="517"/>
      <c r="F1334" s="517"/>
      <c r="G1334" s="649"/>
      <c r="H1334" s="517"/>
      <c r="I1334" s="517"/>
      <c r="J1334" s="517"/>
      <c r="K1334" s="517"/>
      <c r="L1334" s="519"/>
      <c r="M1334" s="519"/>
      <c r="N1334" s="519"/>
      <c r="O1334" s="519"/>
      <c r="P1334" s="519"/>
      <c r="Q1334" s="519"/>
      <c r="R1334" s="519"/>
      <c r="S1334" s="517"/>
      <c r="T1334" s="521"/>
    </row>
    <row r="1335" spans="1:20">
      <c r="A1335" s="517"/>
      <c r="B1335" s="517"/>
      <c r="C1335" s="517"/>
      <c r="D1335" s="517"/>
      <c r="E1335" s="517"/>
      <c r="F1335" s="517"/>
      <c r="G1335" s="649"/>
      <c r="H1335" s="517"/>
      <c r="I1335" s="517"/>
      <c r="J1335" s="517"/>
      <c r="K1335" s="517"/>
      <c r="L1335" s="519"/>
      <c r="M1335" s="519"/>
      <c r="N1335" s="519"/>
      <c r="O1335" s="519"/>
      <c r="P1335" s="519"/>
      <c r="Q1335" s="519"/>
      <c r="R1335" s="519"/>
      <c r="S1335" s="517"/>
      <c r="T1335" s="521"/>
    </row>
    <row r="1336" spans="1:20">
      <c r="A1336" s="517"/>
      <c r="B1336" s="517"/>
      <c r="C1336" s="517"/>
      <c r="D1336" s="517"/>
      <c r="E1336" s="517"/>
      <c r="F1336" s="517"/>
      <c r="G1336" s="649"/>
      <c r="H1336" s="517"/>
      <c r="I1336" s="517"/>
      <c r="J1336" s="517"/>
      <c r="K1336" s="517"/>
      <c r="L1336" s="519"/>
      <c r="M1336" s="519"/>
      <c r="N1336" s="519"/>
      <c r="O1336" s="519"/>
      <c r="P1336" s="519"/>
      <c r="Q1336" s="519"/>
      <c r="R1336" s="519"/>
      <c r="S1336" s="517"/>
      <c r="T1336" s="521"/>
    </row>
    <row r="1337" spans="1:20">
      <c r="A1337" s="517"/>
      <c r="B1337" s="517"/>
      <c r="C1337" s="517"/>
      <c r="D1337" s="517"/>
      <c r="E1337" s="517"/>
      <c r="F1337" s="517"/>
      <c r="G1337" s="649"/>
      <c r="H1337" s="517"/>
      <c r="I1337" s="517"/>
      <c r="J1337" s="517"/>
      <c r="K1337" s="517"/>
      <c r="L1337" s="519"/>
      <c r="M1337" s="519"/>
      <c r="N1337" s="519"/>
      <c r="O1337" s="519"/>
      <c r="P1337" s="519"/>
      <c r="Q1337" s="519"/>
      <c r="R1337" s="519"/>
      <c r="S1337" s="517"/>
      <c r="T1337" s="521"/>
    </row>
    <row r="1338" spans="1:20">
      <c r="A1338" s="517"/>
      <c r="B1338" s="517"/>
      <c r="C1338" s="517"/>
      <c r="D1338" s="517"/>
      <c r="E1338" s="517"/>
      <c r="F1338" s="517"/>
      <c r="G1338" s="649"/>
      <c r="H1338" s="517"/>
      <c r="I1338" s="517"/>
      <c r="J1338" s="517"/>
      <c r="K1338" s="517"/>
      <c r="L1338" s="519"/>
      <c r="M1338" s="519"/>
      <c r="N1338" s="519"/>
      <c r="O1338" s="519"/>
      <c r="P1338" s="519"/>
      <c r="Q1338" s="519"/>
      <c r="R1338" s="519"/>
      <c r="S1338" s="517"/>
      <c r="T1338" s="521"/>
    </row>
    <row r="1339" spans="1:20">
      <c r="A1339" s="517"/>
      <c r="B1339" s="517"/>
      <c r="C1339" s="517"/>
      <c r="D1339" s="517"/>
      <c r="E1339" s="517"/>
      <c r="F1339" s="517"/>
      <c r="G1339" s="649"/>
      <c r="H1339" s="517"/>
      <c r="I1339" s="517"/>
      <c r="J1339" s="517"/>
      <c r="K1339" s="517"/>
      <c r="L1339" s="519"/>
      <c r="M1339" s="519"/>
      <c r="N1339" s="519"/>
      <c r="O1339" s="519"/>
      <c r="P1339" s="519"/>
      <c r="Q1339" s="519"/>
      <c r="R1339" s="519"/>
      <c r="S1339" s="517"/>
      <c r="T1339" s="521"/>
    </row>
    <row r="1340" spans="1:20">
      <c r="A1340" s="517"/>
      <c r="B1340" s="517"/>
      <c r="C1340" s="517"/>
      <c r="D1340" s="517"/>
      <c r="E1340" s="517"/>
      <c r="F1340" s="517"/>
      <c r="G1340" s="649"/>
      <c r="H1340" s="517"/>
      <c r="I1340" s="517"/>
      <c r="J1340" s="517"/>
      <c r="K1340" s="517"/>
      <c r="L1340" s="519"/>
      <c r="M1340" s="519"/>
      <c r="N1340" s="519"/>
      <c r="O1340" s="519"/>
      <c r="P1340" s="519"/>
      <c r="Q1340" s="519"/>
      <c r="R1340" s="519"/>
      <c r="S1340" s="517"/>
      <c r="T1340" s="521"/>
    </row>
    <row r="1341" spans="1:20">
      <c r="A1341" s="517"/>
      <c r="B1341" s="517"/>
      <c r="C1341" s="517"/>
      <c r="D1341" s="517"/>
      <c r="E1341" s="517"/>
      <c r="F1341" s="517"/>
      <c r="G1341" s="649"/>
      <c r="H1341" s="517"/>
      <c r="I1341" s="517"/>
      <c r="J1341" s="517"/>
      <c r="K1341" s="517"/>
      <c r="L1341" s="519"/>
      <c r="M1341" s="519"/>
      <c r="N1341" s="519"/>
      <c r="O1341" s="519"/>
      <c r="P1341" s="519"/>
      <c r="Q1341" s="519"/>
      <c r="R1341" s="519"/>
      <c r="S1341" s="517"/>
      <c r="T1341" s="521"/>
    </row>
    <row r="1342" spans="1:20">
      <c r="A1342" s="517"/>
      <c r="B1342" s="517"/>
      <c r="C1342" s="517"/>
      <c r="D1342" s="517"/>
      <c r="E1342" s="517"/>
      <c r="F1342" s="517"/>
      <c r="G1342" s="649"/>
      <c r="H1342" s="517"/>
      <c r="I1342" s="517"/>
      <c r="J1342" s="517"/>
      <c r="K1342" s="517"/>
      <c r="L1342" s="519"/>
      <c r="M1342" s="519"/>
      <c r="N1342" s="519"/>
      <c r="O1342" s="519"/>
      <c r="P1342" s="519"/>
      <c r="Q1342" s="519"/>
      <c r="R1342" s="519"/>
      <c r="S1342" s="517"/>
      <c r="T1342" s="521"/>
    </row>
    <row r="1343" spans="1:20">
      <c r="A1343" s="517"/>
      <c r="B1343" s="517"/>
      <c r="C1343" s="517"/>
      <c r="D1343" s="517"/>
      <c r="E1343" s="517"/>
      <c r="F1343" s="517"/>
      <c r="G1343" s="649"/>
      <c r="H1343" s="517"/>
      <c r="I1343" s="517"/>
      <c r="J1343" s="517"/>
      <c r="K1343" s="517"/>
      <c r="L1343" s="519"/>
      <c r="M1343" s="519"/>
      <c r="N1343" s="519"/>
      <c r="O1343" s="519"/>
      <c r="P1343" s="519"/>
      <c r="Q1343" s="519"/>
      <c r="R1343" s="519"/>
      <c r="S1343" s="517"/>
      <c r="T1343" s="521"/>
    </row>
    <row r="1344" spans="1:20">
      <c r="A1344" s="517"/>
      <c r="B1344" s="517"/>
      <c r="C1344" s="517"/>
      <c r="D1344" s="517"/>
      <c r="E1344" s="517"/>
      <c r="F1344" s="517"/>
      <c r="G1344" s="649"/>
      <c r="H1344" s="517"/>
      <c r="I1344" s="517"/>
      <c r="J1344" s="517"/>
      <c r="K1344" s="517"/>
      <c r="L1344" s="519"/>
      <c r="M1344" s="519"/>
      <c r="N1344" s="519"/>
      <c r="O1344" s="519"/>
      <c r="P1344" s="519"/>
      <c r="Q1344" s="519"/>
      <c r="R1344" s="519"/>
      <c r="S1344" s="517"/>
      <c r="T1344" s="521"/>
    </row>
    <row r="1345" spans="1:20">
      <c r="A1345" s="517"/>
      <c r="B1345" s="517"/>
      <c r="C1345" s="517"/>
      <c r="D1345" s="517"/>
      <c r="E1345" s="517"/>
      <c r="F1345" s="517"/>
      <c r="G1345" s="649"/>
      <c r="H1345" s="517"/>
      <c r="I1345" s="517"/>
      <c r="J1345" s="517"/>
      <c r="K1345" s="517"/>
      <c r="L1345" s="519"/>
      <c r="M1345" s="519"/>
      <c r="N1345" s="519"/>
      <c r="O1345" s="519"/>
      <c r="P1345" s="519"/>
      <c r="Q1345" s="519"/>
      <c r="R1345" s="519"/>
      <c r="S1345" s="517"/>
      <c r="T1345" s="521"/>
    </row>
    <row r="1346" spans="1:20">
      <c r="A1346" s="517"/>
      <c r="B1346" s="517"/>
      <c r="C1346" s="517"/>
      <c r="D1346" s="517"/>
      <c r="E1346" s="517"/>
      <c r="F1346" s="517"/>
      <c r="G1346" s="649"/>
      <c r="H1346" s="517"/>
      <c r="I1346" s="517"/>
      <c r="J1346" s="517"/>
      <c r="K1346" s="517"/>
      <c r="L1346" s="519"/>
      <c r="M1346" s="519"/>
      <c r="N1346" s="519"/>
      <c r="O1346" s="519"/>
      <c r="P1346" s="519"/>
      <c r="Q1346" s="519"/>
      <c r="R1346" s="519"/>
      <c r="S1346" s="517"/>
      <c r="T1346" s="521"/>
    </row>
    <row r="1347" spans="1:20">
      <c r="A1347" s="517"/>
      <c r="B1347" s="517"/>
      <c r="C1347" s="517"/>
      <c r="D1347" s="517"/>
      <c r="E1347" s="517"/>
      <c r="F1347" s="517"/>
      <c r="G1347" s="649"/>
      <c r="H1347" s="517"/>
      <c r="I1347" s="517"/>
      <c r="J1347" s="517"/>
      <c r="K1347" s="517"/>
      <c r="L1347" s="519"/>
      <c r="M1347" s="519"/>
      <c r="N1347" s="519"/>
      <c r="O1347" s="519"/>
      <c r="P1347" s="519"/>
      <c r="Q1347" s="519"/>
      <c r="R1347" s="519"/>
      <c r="S1347" s="517"/>
      <c r="T1347" s="521"/>
    </row>
    <row r="1348" spans="1:20">
      <c r="A1348" s="517"/>
      <c r="B1348" s="517"/>
      <c r="C1348" s="517"/>
      <c r="D1348" s="517"/>
      <c r="E1348" s="517"/>
      <c r="F1348" s="517"/>
      <c r="G1348" s="649"/>
      <c r="H1348" s="517"/>
      <c r="I1348" s="517"/>
      <c r="J1348" s="517"/>
      <c r="K1348" s="517"/>
      <c r="L1348" s="519"/>
      <c r="M1348" s="519"/>
      <c r="N1348" s="519"/>
      <c r="O1348" s="519"/>
      <c r="P1348" s="519"/>
      <c r="Q1348" s="519"/>
      <c r="R1348" s="519"/>
      <c r="S1348" s="517"/>
      <c r="T1348" s="521"/>
    </row>
    <row r="1349" spans="1:20">
      <c r="A1349" s="517"/>
      <c r="B1349" s="517"/>
      <c r="C1349" s="517"/>
      <c r="D1349" s="517"/>
      <c r="E1349" s="517"/>
      <c r="F1349" s="517"/>
      <c r="G1349" s="649"/>
      <c r="H1349" s="517"/>
      <c r="I1349" s="517"/>
      <c r="J1349" s="517"/>
      <c r="K1349" s="517"/>
      <c r="L1349" s="519"/>
      <c r="M1349" s="519"/>
      <c r="N1349" s="519"/>
      <c r="O1349" s="519"/>
      <c r="P1349" s="519"/>
      <c r="Q1349" s="519"/>
      <c r="R1349" s="519"/>
      <c r="S1349" s="517"/>
      <c r="T1349" s="521"/>
    </row>
    <row r="1350" spans="1:20">
      <c r="A1350" s="517"/>
      <c r="B1350" s="517"/>
      <c r="C1350" s="517"/>
      <c r="D1350" s="517"/>
      <c r="E1350" s="517"/>
      <c r="F1350" s="517"/>
      <c r="G1350" s="649"/>
      <c r="H1350" s="517"/>
      <c r="I1350" s="517"/>
      <c r="J1350" s="517"/>
      <c r="K1350" s="517"/>
      <c r="L1350" s="519"/>
      <c r="M1350" s="519"/>
      <c r="N1350" s="519"/>
      <c r="O1350" s="519"/>
      <c r="P1350" s="519"/>
      <c r="Q1350" s="519"/>
      <c r="R1350" s="519"/>
      <c r="S1350" s="517"/>
      <c r="T1350" s="521"/>
    </row>
    <row r="1351" spans="1:20">
      <c r="A1351" s="517"/>
      <c r="B1351" s="517"/>
      <c r="C1351" s="517"/>
      <c r="D1351" s="517"/>
      <c r="E1351" s="517"/>
      <c r="F1351" s="517"/>
      <c r="G1351" s="649"/>
      <c r="H1351" s="517"/>
      <c r="I1351" s="517"/>
      <c r="J1351" s="517"/>
      <c r="K1351" s="517"/>
      <c r="L1351" s="519"/>
      <c r="M1351" s="519"/>
      <c r="N1351" s="519"/>
      <c r="O1351" s="519"/>
      <c r="P1351" s="519"/>
      <c r="Q1351" s="519"/>
      <c r="R1351" s="519"/>
      <c r="S1351" s="517"/>
      <c r="T1351" s="521"/>
    </row>
    <row r="1352" spans="1:20">
      <c r="A1352" s="517"/>
      <c r="B1352" s="517"/>
      <c r="C1352" s="517"/>
      <c r="D1352" s="517"/>
      <c r="E1352" s="517"/>
      <c r="F1352" s="517"/>
      <c r="G1352" s="649"/>
      <c r="H1352" s="517"/>
      <c r="I1352" s="517"/>
      <c r="J1352" s="517"/>
      <c r="K1352" s="517"/>
      <c r="L1352" s="519"/>
      <c r="M1352" s="519"/>
      <c r="N1352" s="519"/>
      <c r="O1352" s="519"/>
      <c r="P1352" s="519"/>
      <c r="Q1352" s="519"/>
      <c r="R1352" s="519"/>
      <c r="S1352" s="517"/>
      <c r="T1352" s="521"/>
    </row>
    <row r="1353" spans="1:20">
      <c r="A1353" s="517"/>
      <c r="B1353" s="517"/>
      <c r="C1353" s="517"/>
      <c r="D1353" s="517"/>
      <c r="E1353" s="517"/>
      <c r="F1353" s="517"/>
      <c r="G1353" s="649"/>
      <c r="H1353" s="517"/>
      <c r="I1353" s="517"/>
      <c r="J1353" s="517"/>
      <c r="K1353" s="517"/>
      <c r="L1353" s="519"/>
      <c r="M1353" s="519"/>
      <c r="N1353" s="519"/>
      <c r="O1353" s="519"/>
      <c r="P1353" s="519"/>
      <c r="Q1353" s="519"/>
      <c r="R1353" s="519"/>
      <c r="S1353" s="517"/>
      <c r="T1353" s="521"/>
    </row>
    <row r="1354" spans="1:20">
      <c r="A1354" s="517"/>
      <c r="B1354" s="517"/>
      <c r="C1354" s="517"/>
      <c r="D1354" s="517"/>
      <c r="E1354" s="517"/>
      <c r="F1354" s="517"/>
      <c r="G1354" s="649"/>
      <c r="H1354" s="517"/>
      <c r="I1354" s="517"/>
      <c r="J1354" s="517"/>
      <c r="K1354" s="517"/>
      <c r="L1354" s="519"/>
      <c r="M1354" s="519"/>
      <c r="N1354" s="519"/>
      <c r="O1354" s="519"/>
      <c r="P1354" s="519"/>
      <c r="Q1354" s="519"/>
      <c r="R1354" s="519"/>
      <c r="S1354" s="517"/>
      <c r="T1354" s="521"/>
    </row>
    <row r="1355" spans="1:20">
      <c r="A1355" s="517"/>
      <c r="B1355" s="517"/>
      <c r="C1355" s="517"/>
      <c r="D1355" s="517"/>
      <c r="E1355" s="517"/>
      <c r="F1355" s="517"/>
      <c r="G1355" s="649"/>
      <c r="H1355" s="517"/>
      <c r="I1355" s="517"/>
      <c r="J1355" s="517"/>
      <c r="K1355" s="517"/>
      <c r="L1355" s="519"/>
      <c r="M1355" s="519"/>
      <c r="N1355" s="519"/>
      <c r="O1355" s="519"/>
      <c r="P1355" s="519"/>
      <c r="Q1355" s="519"/>
      <c r="R1355" s="519"/>
      <c r="S1355" s="517"/>
      <c r="T1355" s="521"/>
    </row>
    <row r="1356" spans="1:20">
      <c r="A1356" s="517"/>
      <c r="B1356" s="517"/>
      <c r="C1356" s="517"/>
      <c r="D1356" s="517"/>
      <c r="E1356" s="517"/>
      <c r="F1356" s="517"/>
      <c r="G1356" s="649"/>
      <c r="H1356" s="517"/>
      <c r="I1356" s="517"/>
      <c r="J1356" s="517"/>
      <c r="K1356" s="517"/>
      <c r="L1356" s="519"/>
      <c r="M1356" s="519"/>
      <c r="N1356" s="519"/>
      <c r="O1356" s="519"/>
      <c r="P1356" s="519"/>
      <c r="Q1356" s="519"/>
      <c r="R1356" s="519"/>
      <c r="S1356" s="517"/>
      <c r="T1356" s="521"/>
    </row>
    <row r="1357" spans="1:20">
      <c r="A1357" s="517"/>
      <c r="B1357" s="517"/>
      <c r="C1357" s="517"/>
      <c r="D1357" s="517"/>
      <c r="E1357" s="517"/>
      <c r="F1357" s="517"/>
      <c r="G1357" s="649"/>
      <c r="H1357" s="517"/>
      <c r="I1357" s="517"/>
      <c r="J1357" s="517"/>
      <c r="K1357" s="517"/>
      <c r="L1357" s="519"/>
      <c r="M1357" s="519"/>
      <c r="N1357" s="519"/>
      <c r="O1357" s="519"/>
      <c r="P1357" s="519"/>
      <c r="Q1357" s="519"/>
      <c r="R1357" s="519"/>
      <c r="S1357" s="517"/>
      <c r="T1357" s="521"/>
    </row>
    <row r="1358" spans="1:20">
      <c r="A1358" s="517"/>
      <c r="B1358" s="517"/>
      <c r="C1358" s="517"/>
      <c r="D1358" s="517"/>
      <c r="E1358" s="517"/>
      <c r="F1358" s="517"/>
      <c r="G1358" s="649"/>
      <c r="H1358" s="517"/>
      <c r="I1358" s="517"/>
      <c r="J1358" s="517"/>
      <c r="K1358" s="517"/>
      <c r="L1358" s="519"/>
      <c r="M1358" s="519"/>
      <c r="N1358" s="519"/>
      <c r="O1358" s="519"/>
      <c r="P1358" s="519"/>
      <c r="Q1358" s="519"/>
      <c r="R1358" s="519"/>
      <c r="S1358" s="517"/>
      <c r="T1358" s="521"/>
    </row>
    <row r="1359" spans="1:20">
      <c r="A1359" s="517"/>
      <c r="B1359" s="517"/>
      <c r="C1359" s="517"/>
      <c r="D1359" s="517"/>
      <c r="E1359" s="517"/>
      <c r="F1359" s="517"/>
      <c r="G1359" s="649"/>
      <c r="H1359" s="517"/>
      <c r="I1359" s="517"/>
      <c r="J1359" s="517"/>
      <c r="K1359" s="517"/>
      <c r="L1359" s="519"/>
      <c r="M1359" s="519"/>
      <c r="N1359" s="519"/>
      <c r="O1359" s="519"/>
      <c r="P1359" s="519"/>
      <c r="Q1359" s="519"/>
      <c r="R1359" s="519"/>
      <c r="S1359" s="517"/>
      <c r="T1359" s="521"/>
    </row>
    <row r="1360" spans="1:20">
      <c r="A1360" s="517"/>
      <c r="B1360" s="517"/>
      <c r="C1360" s="517"/>
      <c r="D1360" s="517"/>
      <c r="E1360" s="517"/>
      <c r="F1360" s="517"/>
      <c r="G1360" s="649"/>
      <c r="H1360" s="517"/>
      <c r="I1360" s="517"/>
      <c r="J1360" s="517"/>
      <c r="K1360" s="517"/>
      <c r="L1360" s="519"/>
      <c r="M1360" s="519"/>
      <c r="N1360" s="519"/>
      <c r="O1360" s="519"/>
      <c r="P1360" s="519"/>
      <c r="Q1360" s="519"/>
      <c r="R1360" s="519"/>
      <c r="S1360" s="517"/>
      <c r="T1360" s="521"/>
    </row>
    <row r="1361" spans="1:20">
      <c r="A1361" s="517"/>
      <c r="B1361" s="517"/>
      <c r="C1361" s="517"/>
      <c r="D1361" s="517"/>
      <c r="E1361" s="517"/>
      <c r="F1361" s="517"/>
      <c r="G1361" s="649"/>
      <c r="H1361" s="517"/>
      <c r="I1361" s="517"/>
      <c r="J1361" s="517"/>
      <c r="K1361" s="517"/>
      <c r="L1361" s="519"/>
      <c r="M1361" s="519"/>
      <c r="N1361" s="519"/>
      <c r="O1361" s="519"/>
      <c r="P1361" s="519"/>
      <c r="Q1361" s="519"/>
      <c r="R1361" s="519"/>
      <c r="S1361" s="517"/>
      <c r="T1361" s="521"/>
    </row>
    <row r="1362" spans="1:20">
      <c r="A1362" s="517"/>
      <c r="B1362" s="517"/>
      <c r="C1362" s="517"/>
      <c r="D1362" s="517"/>
      <c r="E1362" s="517"/>
      <c r="F1362" s="517"/>
      <c r="G1362" s="649"/>
      <c r="H1362" s="517"/>
      <c r="I1362" s="517"/>
      <c r="J1362" s="517"/>
      <c r="K1362" s="517"/>
      <c r="L1362" s="519"/>
      <c r="M1362" s="519"/>
      <c r="N1362" s="519"/>
      <c r="O1362" s="519"/>
      <c r="P1362" s="519"/>
      <c r="Q1362" s="519"/>
      <c r="R1362" s="519"/>
      <c r="S1362" s="517"/>
      <c r="T1362" s="521"/>
    </row>
    <row r="1363" spans="1:20">
      <c r="A1363" s="517"/>
      <c r="B1363" s="517"/>
      <c r="C1363" s="517"/>
      <c r="D1363" s="517"/>
      <c r="E1363" s="517"/>
      <c r="F1363" s="517"/>
      <c r="G1363" s="649"/>
      <c r="H1363" s="517"/>
      <c r="I1363" s="517"/>
      <c r="J1363" s="517"/>
      <c r="K1363" s="517"/>
      <c r="L1363" s="519"/>
      <c r="M1363" s="519"/>
      <c r="N1363" s="519"/>
      <c r="O1363" s="519"/>
      <c r="P1363" s="519"/>
      <c r="Q1363" s="519"/>
      <c r="R1363" s="519"/>
      <c r="S1363" s="517"/>
      <c r="T1363" s="521"/>
    </row>
    <row r="1364" spans="1:20">
      <c r="A1364" s="517"/>
      <c r="B1364" s="517"/>
      <c r="C1364" s="517"/>
      <c r="D1364" s="517"/>
      <c r="E1364" s="517"/>
      <c r="F1364" s="517"/>
      <c r="G1364" s="649"/>
      <c r="H1364" s="517"/>
      <c r="I1364" s="517"/>
      <c r="J1364" s="517"/>
      <c r="K1364" s="517"/>
      <c r="L1364" s="519"/>
      <c r="M1364" s="519"/>
      <c r="N1364" s="519"/>
      <c r="O1364" s="519"/>
      <c r="P1364" s="519"/>
      <c r="Q1364" s="519"/>
      <c r="R1364" s="519"/>
      <c r="S1364" s="517"/>
      <c r="T1364" s="521"/>
    </row>
    <row r="1365" spans="1:20">
      <c r="A1365" s="517"/>
      <c r="B1365" s="517"/>
      <c r="C1365" s="517"/>
      <c r="D1365" s="517"/>
      <c r="E1365" s="517"/>
      <c r="F1365" s="517"/>
      <c r="G1365" s="649"/>
      <c r="H1365" s="517"/>
      <c r="I1365" s="517"/>
      <c r="J1365" s="517"/>
      <c r="K1365" s="517"/>
      <c r="L1365" s="519"/>
      <c r="M1365" s="519"/>
      <c r="N1365" s="519"/>
      <c r="O1365" s="519"/>
      <c r="P1365" s="519"/>
      <c r="Q1365" s="519"/>
      <c r="R1365" s="519"/>
      <c r="S1365" s="517"/>
      <c r="T1365" s="521"/>
    </row>
    <row r="1366" spans="1:20">
      <c r="A1366" s="517"/>
      <c r="B1366" s="517"/>
      <c r="C1366" s="517"/>
      <c r="D1366" s="517"/>
      <c r="E1366" s="517"/>
      <c r="F1366" s="517"/>
      <c r="G1366" s="649"/>
      <c r="H1366" s="517"/>
      <c r="I1366" s="517"/>
      <c r="J1366" s="517"/>
      <c r="K1366" s="517"/>
      <c r="L1366" s="519"/>
      <c r="M1366" s="519"/>
      <c r="N1366" s="519"/>
      <c r="O1366" s="519"/>
      <c r="P1366" s="519"/>
      <c r="Q1366" s="519"/>
      <c r="R1366" s="519"/>
      <c r="S1366" s="517"/>
      <c r="T1366" s="521"/>
    </row>
    <row r="1367" spans="1:20">
      <c r="A1367" s="517"/>
      <c r="B1367" s="517"/>
      <c r="C1367" s="517"/>
      <c r="D1367" s="517"/>
      <c r="E1367" s="517"/>
      <c r="F1367" s="517"/>
      <c r="G1367" s="649"/>
      <c r="H1367" s="517"/>
      <c r="I1367" s="517"/>
      <c r="J1367" s="517"/>
      <c r="K1367" s="517"/>
      <c r="L1367" s="519"/>
      <c r="M1367" s="519"/>
      <c r="N1367" s="519"/>
      <c r="O1367" s="519"/>
      <c r="P1367" s="519"/>
      <c r="Q1367" s="519"/>
      <c r="R1367" s="519"/>
      <c r="S1367" s="517"/>
      <c r="T1367" s="521"/>
    </row>
    <row r="1368" spans="1:20">
      <c r="A1368" s="517"/>
      <c r="B1368" s="517"/>
      <c r="C1368" s="517"/>
      <c r="D1368" s="517"/>
      <c r="E1368" s="517"/>
      <c r="F1368" s="517"/>
      <c r="G1368" s="649"/>
      <c r="H1368" s="517"/>
      <c r="I1368" s="517"/>
      <c r="J1368" s="517"/>
      <c r="K1368" s="517"/>
      <c r="L1368" s="519"/>
      <c r="M1368" s="519"/>
      <c r="N1368" s="519"/>
      <c r="O1368" s="519"/>
      <c r="P1368" s="519"/>
      <c r="Q1368" s="519"/>
      <c r="R1368" s="519"/>
      <c r="S1368" s="517"/>
      <c r="T1368" s="521"/>
    </row>
    <row r="1369" spans="1:20">
      <c r="A1369" s="517"/>
      <c r="B1369" s="517"/>
      <c r="C1369" s="517"/>
      <c r="D1369" s="517"/>
      <c r="E1369" s="517"/>
      <c r="F1369" s="517"/>
      <c r="G1369" s="649"/>
      <c r="H1369" s="517"/>
      <c r="I1369" s="517"/>
      <c r="J1369" s="517"/>
      <c r="K1369" s="517"/>
      <c r="L1369" s="519"/>
      <c r="M1369" s="519"/>
      <c r="N1369" s="519"/>
      <c r="O1369" s="519"/>
      <c r="P1369" s="519"/>
      <c r="Q1369" s="519"/>
      <c r="R1369" s="519"/>
      <c r="S1369" s="517"/>
      <c r="T1369" s="521"/>
    </row>
    <row r="1370" spans="1:20">
      <c r="A1370" s="517"/>
      <c r="B1370" s="517"/>
      <c r="C1370" s="517"/>
      <c r="D1370" s="517"/>
      <c r="E1370" s="517"/>
      <c r="F1370" s="517"/>
      <c r="G1370" s="649"/>
      <c r="H1370" s="517"/>
      <c r="I1370" s="517"/>
      <c r="J1370" s="517"/>
      <c r="K1370" s="517"/>
      <c r="L1370" s="519"/>
      <c r="M1370" s="519"/>
      <c r="N1370" s="519"/>
      <c r="O1370" s="519"/>
      <c r="P1370" s="519"/>
      <c r="Q1370" s="519"/>
      <c r="R1370" s="519"/>
      <c r="S1370" s="517"/>
      <c r="T1370" s="521"/>
    </row>
    <row r="1371" spans="1:20">
      <c r="A1371" s="517"/>
      <c r="B1371" s="517"/>
      <c r="C1371" s="517"/>
      <c r="D1371" s="517"/>
      <c r="E1371" s="517"/>
      <c r="F1371" s="517"/>
      <c r="G1371" s="649"/>
      <c r="H1371" s="517"/>
      <c r="I1371" s="517"/>
      <c r="J1371" s="517"/>
      <c r="K1371" s="517"/>
      <c r="L1371" s="519"/>
      <c r="M1371" s="519"/>
      <c r="N1371" s="519"/>
      <c r="O1371" s="519"/>
      <c r="P1371" s="519"/>
      <c r="Q1371" s="519"/>
      <c r="R1371" s="519"/>
      <c r="S1371" s="517"/>
      <c r="T1371" s="521"/>
    </row>
    <row r="1372" spans="1:20">
      <c r="A1372" s="517"/>
      <c r="B1372" s="517"/>
      <c r="C1372" s="517"/>
      <c r="D1372" s="517"/>
      <c r="E1372" s="517"/>
      <c r="F1372" s="517"/>
      <c r="G1372" s="649"/>
      <c r="H1372" s="517"/>
      <c r="I1372" s="517"/>
      <c r="J1372" s="517"/>
      <c r="K1372" s="517"/>
      <c r="L1372" s="519"/>
      <c r="M1372" s="519"/>
      <c r="N1372" s="519"/>
      <c r="O1372" s="519"/>
      <c r="P1372" s="519"/>
      <c r="Q1372" s="519"/>
      <c r="R1372" s="519"/>
      <c r="S1372" s="517"/>
      <c r="T1372" s="521"/>
    </row>
    <row r="1373" spans="1:20">
      <c r="A1373" s="517"/>
      <c r="B1373" s="517"/>
      <c r="C1373" s="517"/>
      <c r="D1373" s="517"/>
      <c r="E1373" s="517"/>
      <c r="F1373" s="517"/>
      <c r="G1373" s="649"/>
      <c r="H1373" s="517"/>
      <c r="I1373" s="517"/>
      <c r="J1373" s="517"/>
      <c r="K1373" s="517"/>
      <c r="L1373" s="519"/>
      <c r="M1373" s="519"/>
      <c r="N1373" s="519"/>
      <c r="O1373" s="519"/>
      <c r="P1373" s="519"/>
      <c r="Q1373" s="519"/>
      <c r="R1373" s="519"/>
      <c r="S1373" s="517"/>
      <c r="T1373" s="521"/>
    </row>
    <row r="1374" spans="1:20">
      <c r="A1374" s="517"/>
      <c r="B1374" s="517"/>
      <c r="C1374" s="517"/>
      <c r="D1374" s="517"/>
      <c r="E1374" s="517"/>
      <c r="F1374" s="517"/>
      <c r="G1374" s="649"/>
      <c r="H1374" s="517"/>
      <c r="I1374" s="517"/>
      <c r="J1374" s="517"/>
      <c r="K1374" s="517"/>
      <c r="L1374" s="519"/>
      <c r="M1374" s="519"/>
      <c r="N1374" s="519"/>
      <c r="O1374" s="519"/>
      <c r="P1374" s="519"/>
      <c r="Q1374" s="519"/>
      <c r="R1374" s="519"/>
      <c r="S1374" s="517"/>
      <c r="T1374" s="521"/>
    </row>
    <row r="1375" spans="1:20">
      <c r="A1375" s="517"/>
      <c r="B1375" s="517"/>
      <c r="C1375" s="517"/>
      <c r="D1375" s="517"/>
      <c r="E1375" s="517"/>
      <c r="F1375" s="517"/>
      <c r="G1375" s="649"/>
      <c r="H1375" s="517"/>
      <c r="I1375" s="517"/>
      <c r="J1375" s="517"/>
      <c r="K1375" s="517"/>
      <c r="L1375" s="519"/>
      <c r="M1375" s="519"/>
      <c r="N1375" s="519"/>
      <c r="O1375" s="519"/>
      <c r="P1375" s="519"/>
      <c r="Q1375" s="519"/>
      <c r="R1375" s="519"/>
      <c r="S1375" s="517"/>
      <c r="T1375" s="521"/>
    </row>
    <row r="1376" spans="1:20">
      <c r="A1376" s="517"/>
      <c r="B1376" s="517"/>
      <c r="C1376" s="517"/>
      <c r="D1376" s="517"/>
      <c r="E1376" s="517"/>
      <c r="F1376" s="517"/>
      <c r="G1376" s="649"/>
      <c r="H1376" s="517"/>
      <c r="I1376" s="517"/>
      <c r="J1376" s="517"/>
      <c r="K1376" s="517"/>
      <c r="L1376" s="519"/>
      <c r="M1376" s="519"/>
      <c r="N1376" s="519"/>
      <c r="O1376" s="519"/>
      <c r="P1376" s="519"/>
      <c r="Q1376" s="519"/>
      <c r="R1376" s="519"/>
      <c r="S1376" s="517"/>
      <c r="T1376" s="521"/>
    </row>
    <row r="1377" spans="1:20">
      <c r="A1377" s="517"/>
      <c r="B1377" s="517"/>
      <c r="C1377" s="517"/>
      <c r="D1377" s="517"/>
      <c r="E1377" s="517"/>
      <c r="F1377" s="517"/>
      <c r="G1377" s="649"/>
      <c r="H1377" s="517"/>
      <c r="I1377" s="517"/>
      <c r="J1377" s="517"/>
      <c r="K1377" s="517"/>
      <c r="L1377" s="519"/>
      <c r="M1377" s="519"/>
      <c r="N1377" s="519"/>
      <c r="O1377" s="519"/>
      <c r="P1377" s="519"/>
      <c r="Q1377" s="519"/>
      <c r="R1377" s="519"/>
      <c r="S1377" s="517"/>
      <c r="T1377" s="521"/>
    </row>
    <row r="1378" spans="1:20">
      <c r="A1378" s="517"/>
      <c r="B1378" s="517"/>
      <c r="C1378" s="517"/>
      <c r="D1378" s="517"/>
      <c r="E1378" s="517"/>
      <c r="F1378" s="517"/>
      <c r="G1378" s="649"/>
      <c r="H1378" s="517"/>
      <c r="I1378" s="517"/>
      <c r="J1378" s="517"/>
      <c r="K1378" s="517"/>
      <c r="L1378" s="519"/>
      <c r="M1378" s="519"/>
      <c r="N1378" s="519"/>
      <c r="O1378" s="519"/>
      <c r="P1378" s="519"/>
      <c r="Q1378" s="519"/>
      <c r="R1378" s="519"/>
      <c r="S1378" s="517"/>
      <c r="T1378" s="521"/>
    </row>
    <row r="1379" spans="1:20">
      <c r="A1379" s="517"/>
      <c r="B1379" s="517"/>
      <c r="C1379" s="517"/>
      <c r="D1379" s="517"/>
      <c r="E1379" s="517"/>
      <c r="F1379" s="517"/>
      <c r="G1379" s="649"/>
      <c r="H1379" s="517"/>
      <c r="I1379" s="517"/>
      <c r="J1379" s="517"/>
      <c r="K1379" s="517"/>
      <c r="L1379" s="519"/>
      <c r="M1379" s="519"/>
      <c r="N1379" s="519"/>
      <c r="O1379" s="519"/>
      <c r="P1379" s="519"/>
      <c r="Q1379" s="519"/>
      <c r="R1379" s="519"/>
      <c r="S1379" s="517"/>
      <c r="T1379" s="521"/>
    </row>
    <row r="1380" spans="1:20">
      <c r="A1380" s="517"/>
      <c r="B1380" s="517"/>
      <c r="C1380" s="517"/>
      <c r="D1380" s="517"/>
      <c r="E1380" s="517"/>
      <c r="F1380" s="517"/>
      <c r="G1380" s="649"/>
      <c r="H1380" s="517"/>
      <c r="I1380" s="517"/>
      <c r="J1380" s="517"/>
      <c r="K1380" s="517"/>
      <c r="L1380" s="519"/>
      <c r="M1380" s="519"/>
      <c r="N1380" s="519"/>
      <c r="O1380" s="519"/>
      <c r="P1380" s="519"/>
      <c r="Q1380" s="519"/>
      <c r="R1380" s="519"/>
      <c r="S1380" s="517"/>
      <c r="T1380" s="521"/>
    </row>
    <row r="1381" spans="1:20">
      <c r="A1381" s="517"/>
      <c r="B1381" s="517"/>
      <c r="C1381" s="517"/>
      <c r="D1381" s="517"/>
      <c r="E1381" s="517"/>
      <c r="F1381" s="517"/>
      <c r="G1381" s="649"/>
      <c r="H1381" s="517"/>
      <c r="I1381" s="517"/>
      <c r="J1381" s="517"/>
      <c r="K1381" s="517"/>
      <c r="L1381" s="519"/>
      <c r="M1381" s="519"/>
      <c r="N1381" s="519"/>
      <c r="O1381" s="519"/>
      <c r="P1381" s="519"/>
      <c r="Q1381" s="519"/>
      <c r="R1381" s="519"/>
      <c r="S1381" s="517"/>
      <c r="T1381" s="521"/>
    </row>
    <row r="1382" spans="1:20">
      <c r="A1382" s="517"/>
      <c r="B1382" s="517"/>
      <c r="C1382" s="517"/>
      <c r="D1382" s="517"/>
      <c r="E1382" s="517"/>
      <c r="F1382" s="517"/>
      <c r="G1382" s="649"/>
      <c r="H1382" s="517"/>
      <c r="I1382" s="517"/>
      <c r="J1382" s="517"/>
      <c r="K1382" s="517"/>
      <c r="L1382" s="519"/>
      <c r="M1382" s="519"/>
      <c r="N1382" s="519"/>
      <c r="O1382" s="519"/>
      <c r="P1382" s="519"/>
      <c r="Q1382" s="519"/>
      <c r="R1382" s="519"/>
      <c r="S1382" s="517"/>
      <c r="T1382" s="521"/>
    </row>
    <row r="1383" spans="1:20">
      <c r="A1383" s="517"/>
      <c r="B1383" s="517"/>
      <c r="C1383" s="517"/>
      <c r="D1383" s="517"/>
      <c r="E1383" s="517"/>
      <c r="F1383" s="517"/>
      <c r="G1383" s="649"/>
      <c r="H1383" s="517"/>
      <c r="I1383" s="517"/>
      <c r="J1383" s="517"/>
      <c r="K1383" s="517"/>
      <c r="L1383" s="519"/>
      <c r="M1383" s="519"/>
      <c r="N1383" s="519"/>
      <c r="O1383" s="519"/>
      <c r="P1383" s="519"/>
      <c r="Q1383" s="519"/>
      <c r="R1383" s="519"/>
      <c r="S1383" s="517"/>
      <c r="T1383" s="521"/>
    </row>
    <row r="1384" spans="1:20">
      <c r="A1384" s="517"/>
      <c r="B1384" s="517"/>
      <c r="C1384" s="517"/>
      <c r="D1384" s="517"/>
      <c r="E1384" s="517"/>
      <c r="F1384" s="517"/>
      <c r="G1384" s="649"/>
      <c r="H1384" s="517"/>
      <c r="I1384" s="517"/>
      <c r="J1384" s="517"/>
      <c r="K1384" s="517"/>
      <c r="L1384" s="519"/>
      <c r="M1384" s="519"/>
      <c r="N1384" s="519"/>
      <c r="O1384" s="519"/>
      <c r="P1384" s="519"/>
      <c r="Q1384" s="519"/>
      <c r="R1384" s="519"/>
      <c r="S1384" s="517"/>
      <c r="T1384" s="521"/>
    </row>
    <row r="1385" spans="1:20">
      <c r="A1385" s="517"/>
      <c r="B1385" s="517"/>
      <c r="C1385" s="517"/>
      <c r="D1385" s="517"/>
      <c r="E1385" s="517"/>
      <c r="F1385" s="517"/>
      <c r="G1385" s="649"/>
      <c r="H1385" s="517"/>
      <c r="I1385" s="517"/>
      <c r="J1385" s="517"/>
      <c r="K1385" s="517"/>
      <c r="L1385" s="519"/>
      <c r="M1385" s="519"/>
      <c r="N1385" s="519"/>
      <c r="O1385" s="519"/>
      <c r="P1385" s="519"/>
      <c r="Q1385" s="519"/>
      <c r="R1385" s="519"/>
      <c r="S1385" s="517"/>
      <c r="T1385" s="521"/>
    </row>
    <row r="1386" spans="1:20">
      <c r="A1386" s="517"/>
      <c r="B1386" s="517"/>
      <c r="C1386" s="517"/>
      <c r="D1386" s="517"/>
      <c r="E1386" s="517"/>
      <c r="F1386" s="517"/>
      <c r="G1386" s="649"/>
      <c r="H1386" s="517"/>
      <c r="I1386" s="517"/>
      <c r="J1386" s="517"/>
      <c r="K1386" s="517"/>
      <c r="L1386" s="519"/>
      <c r="M1386" s="519"/>
      <c r="N1386" s="519"/>
      <c r="O1386" s="519"/>
      <c r="P1386" s="519"/>
      <c r="Q1386" s="519"/>
      <c r="R1386" s="519"/>
      <c r="S1386" s="517"/>
      <c r="T1386" s="521"/>
    </row>
    <row r="1387" spans="1:20">
      <c r="A1387" s="517"/>
      <c r="B1387" s="517"/>
      <c r="C1387" s="517"/>
      <c r="D1387" s="517"/>
      <c r="E1387" s="517"/>
      <c r="F1387" s="517"/>
      <c r="G1387" s="649"/>
      <c r="H1387" s="517"/>
      <c r="I1387" s="517"/>
      <c r="J1387" s="517"/>
      <c r="K1387" s="517"/>
      <c r="L1387" s="519"/>
      <c r="M1387" s="519"/>
      <c r="N1387" s="519"/>
      <c r="O1387" s="519"/>
      <c r="P1387" s="519"/>
      <c r="Q1387" s="519"/>
      <c r="R1387" s="519"/>
      <c r="S1387" s="517"/>
      <c r="T1387" s="521"/>
    </row>
    <row r="1388" spans="1:20">
      <c r="A1388" s="517"/>
      <c r="B1388" s="517"/>
      <c r="C1388" s="517"/>
      <c r="D1388" s="517"/>
      <c r="E1388" s="517"/>
      <c r="F1388" s="517"/>
      <c r="G1388" s="649"/>
      <c r="H1388" s="517"/>
      <c r="I1388" s="517"/>
      <c r="J1388" s="517"/>
      <c r="K1388" s="517"/>
      <c r="L1388" s="519"/>
      <c r="M1388" s="519"/>
      <c r="N1388" s="519"/>
      <c r="O1388" s="519"/>
      <c r="P1388" s="519"/>
      <c r="Q1388" s="519"/>
      <c r="R1388" s="519"/>
      <c r="S1388" s="517"/>
      <c r="T1388" s="521"/>
    </row>
    <row r="1389" spans="1:20">
      <c r="A1389" s="517"/>
      <c r="B1389" s="517"/>
      <c r="C1389" s="517"/>
      <c r="D1389" s="517"/>
      <c r="E1389" s="517"/>
      <c r="F1389" s="517"/>
      <c r="G1389" s="649"/>
      <c r="H1389" s="517"/>
      <c r="I1389" s="517"/>
      <c r="J1389" s="517"/>
      <c r="K1389" s="517"/>
      <c r="L1389" s="519"/>
      <c r="M1389" s="519"/>
      <c r="N1389" s="519"/>
      <c r="O1389" s="519"/>
      <c r="P1389" s="519"/>
      <c r="Q1389" s="519"/>
      <c r="R1389" s="519"/>
      <c r="S1389" s="517"/>
      <c r="T1389" s="521"/>
    </row>
    <row r="1390" spans="1:20">
      <c r="A1390" s="517"/>
      <c r="B1390" s="517"/>
      <c r="C1390" s="517"/>
      <c r="D1390" s="517"/>
      <c r="E1390" s="517"/>
      <c r="F1390" s="517"/>
      <c r="G1390" s="649"/>
      <c r="H1390" s="517"/>
      <c r="I1390" s="517"/>
      <c r="J1390" s="517"/>
      <c r="K1390" s="517"/>
      <c r="L1390" s="519"/>
      <c r="M1390" s="519"/>
      <c r="N1390" s="519"/>
      <c r="O1390" s="519"/>
      <c r="P1390" s="519"/>
      <c r="Q1390" s="519"/>
      <c r="R1390" s="519"/>
      <c r="S1390" s="517"/>
      <c r="T1390" s="521"/>
    </row>
    <row r="1391" spans="1:20">
      <c r="A1391" s="517"/>
      <c r="B1391" s="517"/>
      <c r="C1391" s="517"/>
      <c r="D1391" s="517"/>
      <c r="E1391" s="517"/>
      <c r="F1391" s="517"/>
      <c r="G1391" s="649"/>
      <c r="H1391" s="517"/>
      <c r="I1391" s="517"/>
      <c r="J1391" s="517"/>
      <c r="K1391" s="517"/>
      <c r="L1391" s="519"/>
      <c r="M1391" s="519"/>
      <c r="N1391" s="519"/>
      <c r="O1391" s="519"/>
      <c r="P1391" s="519"/>
      <c r="Q1391" s="519"/>
      <c r="R1391" s="519"/>
      <c r="S1391" s="517"/>
      <c r="T1391" s="521"/>
    </row>
    <row r="1392" spans="1:20">
      <c r="A1392" s="517"/>
      <c r="B1392" s="517"/>
      <c r="C1392" s="517"/>
      <c r="D1392" s="517"/>
      <c r="E1392" s="517"/>
      <c r="F1392" s="517"/>
      <c r="G1392" s="649"/>
      <c r="H1392" s="517"/>
      <c r="I1392" s="517"/>
      <c r="J1392" s="517"/>
      <c r="K1392" s="517"/>
      <c r="L1392" s="519"/>
      <c r="M1392" s="519"/>
      <c r="N1392" s="519"/>
      <c r="O1392" s="519"/>
      <c r="P1392" s="519"/>
      <c r="Q1392" s="519"/>
      <c r="R1392" s="519"/>
      <c r="S1392" s="517"/>
      <c r="T1392" s="521"/>
    </row>
    <row r="1393" spans="1:20">
      <c r="A1393" s="517"/>
      <c r="B1393" s="517"/>
      <c r="C1393" s="517"/>
      <c r="D1393" s="517"/>
      <c r="E1393" s="517"/>
      <c r="F1393" s="517"/>
      <c r="G1393" s="649"/>
      <c r="H1393" s="517"/>
      <c r="I1393" s="517"/>
      <c r="J1393" s="517"/>
      <c r="K1393" s="517"/>
      <c r="L1393" s="519"/>
      <c r="M1393" s="519"/>
      <c r="N1393" s="519"/>
      <c r="O1393" s="519"/>
      <c r="P1393" s="519"/>
      <c r="Q1393" s="519"/>
      <c r="R1393" s="519"/>
      <c r="S1393" s="517"/>
      <c r="T1393" s="521"/>
    </row>
    <row r="1394" spans="1:20">
      <c r="A1394" s="517"/>
      <c r="B1394" s="517"/>
      <c r="C1394" s="517"/>
      <c r="D1394" s="517"/>
      <c r="E1394" s="517"/>
      <c r="F1394" s="517"/>
      <c r="G1394" s="649"/>
      <c r="H1394" s="517"/>
      <c r="I1394" s="517"/>
      <c r="J1394" s="517"/>
      <c r="K1394" s="517"/>
      <c r="L1394" s="519"/>
      <c r="M1394" s="519"/>
      <c r="N1394" s="519"/>
      <c r="O1394" s="519"/>
      <c r="P1394" s="519"/>
      <c r="Q1394" s="519"/>
      <c r="R1394" s="519"/>
      <c r="S1394" s="517"/>
      <c r="T1394" s="521"/>
    </row>
    <row r="1395" spans="1:20">
      <c r="A1395" s="517"/>
      <c r="B1395" s="517"/>
      <c r="C1395" s="517"/>
      <c r="D1395" s="517"/>
      <c r="E1395" s="517"/>
      <c r="F1395" s="517"/>
      <c r="G1395" s="649"/>
      <c r="H1395" s="517"/>
      <c r="I1395" s="517"/>
      <c r="J1395" s="517"/>
      <c r="K1395" s="517"/>
      <c r="L1395" s="519"/>
      <c r="M1395" s="519"/>
      <c r="N1395" s="519"/>
      <c r="O1395" s="519"/>
      <c r="P1395" s="519"/>
      <c r="Q1395" s="519"/>
      <c r="R1395" s="519"/>
      <c r="S1395" s="517"/>
      <c r="T1395" s="521"/>
    </row>
    <row r="1396" spans="1:20">
      <c r="A1396" s="517"/>
      <c r="B1396" s="517"/>
      <c r="C1396" s="517"/>
      <c r="D1396" s="517"/>
      <c r="E1396" s="517"/>
      <c r="F1396" s="517"/>
      <c r="G1396" s="649"/>
      <c r="H1396" s="517"/>
      <c r="I1396" s="517"/>
      <c r="J1396" s="517"/>
      <c r="K1396" s="517"/>
      <c r="L1396" s="519"/>
      <c r="M1396" s="519"/>
      <c r="N1396" s="519"/>
      <c r="O1396" s="519"/>
      <c r="P1396" s="519"/>
      <c r="Q1396" s="519"/>
      <c r="R1396" s="519"/>
      <c r="S1396" s="517"/>
      <c r="T1396" s="521"/>
    </row>
    <row r="1397" spans="1:20">
      <c r="A1397" s="517"/>
      <c r="B1397" s="517"/>
      <c r="C1397" s="517"/>
      <c r="D1397" s="517"/>
      <c r="E1397" s="517"/>
      <c r="F1397" s="517"/>
      <c r="G1397" s="649"/>
      <c r="H1397" s="517"/>
      <c r="I1397" s="517"/>
      <c r="J1397" s="517"/>
      <c r="K1397" s="517"/>
      <c r="L1397" s="519"/>
      <c r="M1397" s="519"/>
      <c r="N1397" s="519"/>
      <c r="O1397" s="519"/>
      <c r="P1397" s="519"/>
      <c r="Q1397" s="519"/>
      <c r="R1397" s="519"/>
      <c r="S1397" s="517"/>
      <c r="T1397" s="521"/>
    </row>
    <row r="1398" spans="1:20">
      <c r="A1398" s="517"/>
      <c r="B1398" s="517"/>
      <c r="C1398" s="517"/>
      <c r="D1398" s="517"/>
      <c r="E1398" s="517"/>
      <c r="F1398" s="517"/>
      <c r="G1398" s="649"/>
      <c r="H1398" s="517"/>
      <c r="I1398" s="517"/>
      <c r="J1398" s="517"/>
      <c r="K1398" s="517"/>
      <c r="L1398" s="519"/>
      <c r="M1398" s="519"/>
      <c r="N1398" s="519"/>
      <c r="O1398" s="519"/>
      <c r="P1398" s="519"/>
      <c r="Q1398" s="519"/>
      <c r="R1398" s="519"/>
      <c r="S1398" s="517"/>
      <c r="T1398" s="521"/>
    </row>
    <row r="1399" spans="1:20">
      <c r="A1399" s="517"/>
      <c r="B1399" s="517"/>
      <c r="C1399" s="517"/>
      <c r="D1399" s="517"/>
      <c r="E1399" s="517"/>
      <c r="F1399" s="517"/>
      <c r="G1399" s="649"/>
      <c r="H1399" s="517"/>
      <c r="I1399" s="517"/>
      <c r="J1399" s="517"/>
      <c r="K1399" s="517"/>
      <c r="L1399" s="519"/>
      <c r="M1399" s="519"/>
      <c r="N1399" s="519"/>
      <c r="O1399" s="519"/>
      <c r="P1399" s="519"/>
      <c r="Q1399" s="519"/>
      <c r="R1399" s="519"/>
      <c r="S1399" s="517"/>
      <c r="T1399" s="521"/>
    </row>
    <row r="1400" spans="1:20">
      <c r="A1400" s="517"/>
      <c r="B1400" s="517"/>
      <c r="C1400" s="517"/>
      <c r="D1400" s="517"/>
      <c r="E1400" s="517"/>
      <c r="F1400" s="517"/>
      <c r="G1400" s="649"/>
      <c r="H1400" s="517"/>
      <c r="I1400" s="517"/>
      <c r="J1400" s="517"/>
      <c r="K1400" s="517"/>
      <c r="L1400" s="519"/>
      <c r="M1400" s="519"/>
      <c r="N1400" s="519"/>
      <c r="O1400" s="519"/>
      <c r="P1400" s="519"/>
      <c r="Q1400" s="519"/>
      <c r="R1400" s="519"/>
      <c r="S1400" s="517"/>
      <c r="T1400" s="521"/>
    </row>
    <row r="1401" spans="1:20">
      <c r="A1401" s="517"/>
      <c r="B1401" s="517"/>
      <c r="C1401" s="517"/>
      <c r="D1401" s="517"/>
      <c r="E1401" s="517"/>
      <c r="F1401" s="517"/>
      <c r="G1401" s="649"/>
      <c r="H1401" s="517"/>
      <c r="I1401" s="517"/>
      <c r="J1401" s="517"/>
      <c r="K1401" s="517"/>
      <c r="L1401" s="519"/>
      <c r="M1401" s="519"/>
      <c r="N1401" s="519"/>
      <c r="O1401" s="519"/>
      <c r="P1401" s="519"/>
      <c r="Q1401" s="519"/>
      <c r="R1401" s="519"/>
      <c r="S1401" s="517"/>
      <c r="T1401" s="521"/>
    </row>
    <row r="1402" spans="1:20">
      <c r="A1402" s="517"/>
      <c r="B1402" s="517"/>
      <c r="C1402" s="517"/>
      <c r="D1402" s="517"/>
      <c r="E1402" s="517"/>
      <c r="F1402" s="517"/>
      <c r="G1402" s="649"/>
      <c r="H1402" s="517"/>
      <c r="I1402" s="517"/>
      <c r="J1402" s="517"/>
      <c r="K1402" s="517"/>
      <c r="L1402" s="519"/>
      <c r="M1402" s="519"/>
      <c r="N1402" s="519"/>
      <c r="O1402" s="519"/>
      <c r="P1402" s="519"/>
      <c r="Q1402" s="519"/>
      <c r="R1402" s="519"/>
      <c r="S1402" s="517"/>
      <c r="T1402" s="521"/>
    </row>
    <row r="1403" spans="1:20">
      <c r="A1403" s="517"/>
      <c r="B1403" s="517"/>
      <c r="C1403" s="517"/>
      <c r="D1403" s="517"/>
      <c r="E1403" s="517"/>
      <c r="F1403" s="517"/>
      <c r="G1403" s="649"/>
      <c r="H1403" s="517"/>
      <c r="I1403" s="517"/>
      <c r="J1403" s="517"/>
      <c r="K1403" s="517"/>
      <c r="L1403" s="519"/>
      <c r="M1403" s="519"/>
      <c r="N1403" s="519"/>
      <c r="O1403" s="519"/>
      <c r="P1403" s="519"/>
      <c r="Q1403" s="519"/>
      <c r="R1403" s="519"/>
      <c r="S1403" s="517"/>
      <c r="T1403" s="521"/>
    </row>
    <row r="1404" spans="1:20">
      <c r="A1404" s="517"/>
      <c r="B1404" s="517"/>
      <c r="C1404" s="517"/>
      <c r="D1404" s="517"/>
      <c r="E1404" s="517"/>
      <c r="F1404" s="517"/>
      <c r="G1404" s="649"/>
      <c r="H1404" s="517"/>
      <c r="I1404" s="517"/>
      <c r="J1404" s="517"/>
      <c r="K1404" s="517"/>
      <c r="L1404" s="519"/>
      <c r="M1404" s="519"/>
      <c r="N1404" s="519"/>
      <c r="O1404" s="519"/>
      <c r="P1404" s="519"/>
      <c r="Q1404" s="519"/>
      <c r="R1404" s="519"/>
      <c r="S1404" s="517"/>
      <c r="T1404" s="521"/>
    </row>
    <row r="1405" spans="1:20">
      <c r="A1405" s="517"/>
      <c r="B1405" s="517"/>
      <c r="C1405" s="517"/>
      <c r="D1405" s="517"/>
      <c r="E1405" s="517"/>
      <c r="F1405" s="517"/>
      <c r="G1405" s="649"/>
      <c r="H1405" s="517"/>
      <c r="I1405" s="517"/>
      <c r="J1405" s="517"/>
      <c r="K1405" s="517"/>
      <c r="L1405" s="519"/>
      <c r="M1405" s="519"/>
      <c r="N1405" s="519"/>
      <c r="O1405" s="519"/>
      <c r="P1405" s="519"/>
      <c r="Q1405" s="519"/>
      <c r="R1405" s="519"/>
      <c r="S1405" s="517"/>
      <c r="T1405" s="521"/>
    </row>
    <row r="1406" spans="1:20">
      <c r="A1406" s="517"/>
      <c r="B1406" s="517"/>
      <c r="C1406" s="517"/>
      <c r="D1406" s="517"/>
      <c r="E1406" s="517"/>
      <c r="F1406" s="517"/>
      <c r="G1406" s="649"/>
      <c r="H1406" s="517"/>
      <c r="I1406" s="517"/>
      <c r="J1406" s="517"/>
      <c r="K1406" s="517"/>
      <c r="L1406" s="519"/>
      <c r="M1406" s="519"/>
      <c r="N1406" s="519"/>
      <c r="O1406" s="519"/>
      <c r="P1406" s="519"/>
      <c r="Q1406" s="519"/>
      <c r="R1406" s="519"/>
      <c r="S1406" s="517"/>
      <c r="T1406" s="521"/>
    </row>
    <row r="1407" spans="1:20">
      <c r="A1407" s="517"/>
      <c r="B1407" s="517"/>
      <c r="C1407" s="517"/>
      <c r="D1407" s="517"/>
      <c r="E1407" s="517"/>
      <c r="F1407" s="517"/>
      <c r="G1407" s="649"/>
      <c r="H1407" s="517"/>
      <c r="I1407" s="517"/>
      <c r="J1407" s="517"/>
      <c r="K1407" s="517"/>
      <c r="L1407" s="519"/>
      <c r="M1407" s="519"/>
      <c r="N1407" s="519"/>
      <c r="O1407" s="519"/>
      <c r="P1407" s="519"/>
      <c r="Q1407" s="519"/>
      <c r="R1407" s="519"/>
      <c r="S1407" s="517"/>
      <c r="T1407" s="521"/>
    </row>
    <row r="1408" spans="1:20">
      <c r="A1408" s="517"/>
      <c r="B1408" s="517"/>
      <c r="C1408" s="517"/>
      <c r="D1408" s="517"/>
      <c r="E1408" s="517"/>
      <c r="F1408" s="517"/>
      <c r="G1408" s="649"/>
      <c r="H1408" s="517"/>
      <c r="I1408" s="517"/>
      <c r="J1408" s="517"/>
      <c r="K1408" s="517"/>
      <c r="L1408" s="519"/>
      <c r="M1408" s="519"/>
      <c r="N1408" s="519"/>
      <c r="O1408" s="519"/>
      <c r="P1408" s="519"/>
      <c r="Q1408" s="519"/>
      <c r="R1408" s="519"/>
      <c r="S1408" s="517"/>
      <c r="T1408" s="521"/>
    </row>
    <row r="1409" spans="1:20">
      <c r="A1409" s="517"/>
      <c r="B1409" s="517"/>
      <c r="C1409" s="517"/>
      <c r="D1409" s="517"/>
      <c r="E1409" s="517"/>
      <c r="F1409" s="517"/>
      <c r="G1409" s="649"/>
      <c r="H1409" s="517"/>
      <c r="I1409" s="517"/>
      <c r="J1409" s="517"/>
      <c r="K1409" s="517"/>
      <c r="L1409" s="519"/>
      <c r="M1409" s="519"/>
      <c r="N1409" s="519"/>
      <c r="O1409" s="519"/>
      <c r="P1409" s="519"/>
      <c r="Q1409" s="519"/>
      <c r="R1409" s="519"/>
      <c r="S1409" s="517"/>
      <c r="T1409" s="521"/>
    </row>
    <row r="1410" spans="1:20">
      <c r="A1410" s="517"/>
      <c r="B1410" s="517"/>
      <c r="C1410" s="517"/>
      <c r="D1410" s="517"/>
      <c r="E1410" s="517"/>
      <c r="F1410" s="517"/>
      <c r="G1410" s="649"/>
      <c r="H1410" s="517"/>
      <c r="I1410" s="517"/>
      <c r="J1410" s="517"/>
      <c r="K1410" s="517"/>
      <c r="L1410" s="519"/>
      <c r="M1410" s="519"/>
      <c r="N1410" s="519"/>
      <c r="O1410" s="519"/>
      <c r="P1410" s="519"/>
      <c r="Q1410" s="519"/>
      <c r="R1410" s="519"/>
      <c r="S1410" s="517"/>
      <c r="T1410" s="521"/>
    </row>
    <row r="1411" spans="1:20">
      <c r="A1411" s="517"/>
      <c r="B1411" s="517"/>
      <c r="C1411" s="517"/>
      <c r="D1411" s="517"/>
      <c r="E1411" s="517"/>
      <c r="F1411" s="517"/>
      <c r="G1411" s="649"/>
      <c r="H1411" s="517"/>
      <c r="I1411" s="517"/>
      <c r="J1411" s="517"/>
      <c r="K1411" s="517"/>
      <c r="L1411" s="519"/>
      <c r="M1411" s="519"/>
      <c r="N1411" s="519"/>
      <c r="O1411" s="519"/>
      <c r="P1411" s="519"/>
      <c r="Q1411" s="519"/>
      <c r="R1411" s="519"/>
      <c r="S1411" s="517"/>
      <c r="T1411" s="521"/>
    </row>
    <row r="1412" spans="1:20">
      <c r="A1412" s="517"/>
      <c r="B1412" s="517"/>
      <c r="C1412" s="517"/>
      <c r="D1412" s="517"/>
      <c r="E1412" s="517"/>
      <c r="F1412" s="517"/>
      <c r="G1412" s="649"/>
      <c r="H1412" s="517"/>
      <c r="I1412" s="517"/>
      <c r="J1412" s="517"/>
      <c r="K1412" s="517"/>
      <c r="L1412" s="519"/>
      <c r="M1412" s="519"/>
      <c r="N1412" s="519"/>
      <c r="O1412" s="519"/>
      <c r="P1412" s="519"/>
      <c r="Q1412" s="519"/>
      <c r="R1412" s="519"/>
      <c r="S1412" s="517"/>
      <c r="T1412" s="521"/>
    </row>
    <row r="1413" spans="1:20">
      <c r="A1413" s="517"/>
      <c r="B1413" s="517"/>
      <c r="C1413" s="517"/>
      <c r="D1413" s="517"/>
      <c r="E1413" s="517"/>
      <c r="F1413" s="517"/>
      <c r="G1413" s="649"/>
      <c r="H1413" s="517"/>
      <c r="I1413" s="517"/>
      <c r="J1413" s="517"/>
      <c r="K1413" s="517"/>
      <c r="L1413" s="519"/>
      <c r="M1413" s="519"/>
      <c r="N1413" s="519"/>
      <c r="O1413" s="519"/>
      <c r="P1413" s="519"/>
      <c r="Q1413" s="519"/>
      <c r="R1413" s="519"/>
      <c r="S1413" s="517"/>
      <c r="T1413" s="521"/>
    </row>
    <row r="1414" spans="1:20">
      <c r="A1414" s="517"/>
      <c r="B1414" s="517"/>
      <c r="C1414" s="517"/>
      <c r="D1414" s="517"/>
      <c r="E1414" s="517"/>
      <c r="F1414" s="517"/>
      <c r="G1414" s="649"/>
      <c r="H1414" s="517"/>
      <c r="I1414" s="517"/>
      <c r="J1414" s="517"/>
      <c r="K1414" s="517"/>
      <c r="L1414" s="519"/>
      <c r="M1414" s="519"/>
      <c r="N1414" s="519"/>
      <c r="O1414" s="519"/>
      <c r="P1414" s="519"/>
      <c r="Q1414" s="519"/>
      <c r="R1414" s="519"/>
      <c r="S1414" s="517"/>
      <c r="T1414" s="521"/>
    </row>
    <row r="1415" spans="1:20">
      <c r="A1415" s="517"/>
      <c r="B1415" s="517"/>
      <c r="C1415" s="517"/>
      <c r="D1415" s="517"/>
      <c r="E1415" s="517"/>
      <c r="F1415" s="517"/>
      <c r="G1415" s="649"/>
      <c r="H1415" s="517"/>
      <c r="I1415" s="517"/>
      <c r="J1415" s="517"/>
      <c r="K1415" s="517"/>
      <c r="L1415" s="519"/>
      <c r="M1415" s="519"/>
      <c r="N1415" s="519"/>
      <c r="O1415" s="519"/>
      <c r="P1415" s="519"/>
      <c r="Q1415" s="519"/>
      <c r="R1415" s="519"/>
      <c r="S1415" s="517"/>
      <c r="T1415" s="521"/>
    </row>
    <row r="1416" spans="1:20">
      <c r="A1416" s="517"/>
      <c r="B1416" s="517"/>
      <c r="C1416" s="517"/>
      <c r="D1416" s="517"/>
      <c r="E1416" s="517"/>
      <c r="F1416" s="517"/>
      <c r="G1416" s="649"/>
      <c r="H1416" s="517"/>
      <c r="I1416" s="517"/>
      <c r="J1416" s="517"/>
      <c r="K1416" s="517"/>
      <c r="L1416" s="519"/>
      <c r="M1416" s="519"/>
      <c r="N1416" s="519"/>
      <c r="O1416" s="519"/>
      <c r="P1416" s="519"/>
      <c r="Q1416" s="519"/>
      <c r="R1416" s="519"/>
      <c r="S1416" s="517"/>
      <c r="T1416" s="521"/>
    </row>
    <row r="1417" spans="1:20">
      <c r="A1417" s="517"/>
      <c r="B1417" s="517"/>
      <c r="C1417" s="517"/>
      <c r="D1417" s="517"/>
      <c r="E1417" s="517"/>
      <c r="F1417" s="517"/>
      <c r="G1417" s="649"/>
      <c r="H1417" s="517"/>
      <c r="I1417" s="517"/>
      <c r="J1417" s="517"/>
      <c r="K1417" s="517"/>
      <c r="L1417" s="519"/>
      <c r="M1417" s="519"/>
      <c r="N1417" s="519"/>
      <c r="O1417" s="519"/>
      <c r="P1417" s="519"/>
      <c r="Q1417" s="519"/>
      <c r="R1417" s="519"/>
      <c r="S1417" s="517"/>
      <c r="T1417" s="521"/>
    </row>
    <row r="1418" spans="1:20">
      <c r="A1418" s="517"/>
      <c r="B1418" s="517"/>
      <c r="C1418" s="517"/>
      <c r="D1418" s="517"/>
      <c r="E1418" s="517"/>
      <c r="F1418" s="517"/>
      <c r="G1418" s="649"/>
      <c r="H1418" s="517"/>
      <c r="I1418" s="517"/>
      <c r="J1418" s="517"/>
      <c r="K1418" s="517"/>
      <c r="L1418" s="519"/>
      <c r="M1418" s="519"/>
      <c r="N1418" s="519"/>
      <c r="O1418" s="519"/>
      <c r="P1418" s="519"/>
      <c r="Q1418" s="519"/>
      <c r="R1418" s="519"/>
      <c r="S1418" s="517"/>
      <c r="T1418" s="521"/>
    </row>
    <row r="1419" spans="1:20">
      <c r="A1419" s="517"/>
      <c r="B1419" s="517"/>
      <c r="C1419" s="517"/>
      <c r="D1419" s="517"/>
      <c r="E1419" s="517"/>
      <c r="F1419" s="517"/>
      <c r="G1419" s="649"/>
      <c r="H1419" s="517"/>
      <c r="I1419" s="517"/>
      <c r="J1419" s="517"/>
      <c r="K1419" s="517"/>
      <c r="L1419" s="519"/>
      <c r="M1419" s="519"/>
      <c r="N1419" s="519"/>
      <c r="O1419" s="519"/>
      <c r="P1419" s="519"/>
      <c r="Q1419" s="519"/>
      <c r="R1419" s="519"/>
      <c r="S1419" s="517"/>
      <c r="T1419" s="521"/>
    </row>
    <row r="1420" spans="1:20">
      <c r="A1420" s="517"/>
      <c r="B1420" s="517"/>
      <c r="C1420" s="517"/>
      <c r="D1420" s="517"/>
      <c r="E1420" s="517"/>
      <c r="F1420" s="517"/>
      <c r="G1420" s="649"/>
      <c r="H1420" s="517"/>
      <c r="I1420" s="517"/>
      <c r="J1420" s="517"/>
      <c r="K1420" s="517"/>
      <c r="L1420" s="519"/>
      <c r="M1420" s="519"/>
      <c r="N1420" s="519"/>
      <c r="O1420" s="519"/>
      <c r="P1420" s="519"/>
      <c r="Q1420" s="519"/>
      <c r="R1420" s="519"/>
      <c r="S1420" s="517"/>
      <c r="T1420" s="521"/>
    </row>
    <row r="1421" spans="1:20">
      <c r="A1421" s="517"/>
      <c r="B1421" s="517"/>
      <c r="C1421" s="517"/>
      <c r="D1421" s="517"/>
      <c r="E1421" s="517"/>
      <c r="F1421" s="517"/>
      <c r="G1421" s="649"/>
      <c r="H1421" s="517"/>
      <c r="I1421" s="517"/>
      <c r="J1421" s="517"/>
      <c r="K1421" s="517"/>
      <c r="L1421" s="519"/>
      <c r="M1421" s="519"/>
      <c r="N1421" s="519"/>
      <c r="O1421" s="519"/>
      <c r="P1421" s="519"/>
      <c r="Q1421" s="519"/>
      <c r="R1421" s="519"/>
      <c r="S1421" s="517"/>
      <c r="T1421" s="521"/>
    </row>
    <row r="1422" spans="1:20">
      <c r="A1422" s="517"/>
      <c r="B1422" s="517"/>
      <c r="C1422" s="517"/>
      <c r="D1422" s="517"/>
      <c r="E1422" s="517"/>
      <c r="F1422" s="517"/>
      <c r="G1422" s="649"/>
      <c r="H1422" s="517"/>
      <c r="I1422" s="517"/>
      <c r="J1422" s="517"/>
      <c r="K1422" s="517"/>
      <c r="L1422" s="519"/>
      <c r="M1422" s="519"/>
      <c r="N1422" s="519"/>
      <c r="O1422" s="519"/>
      <c r="P1422" s="519"/>
      <c r="Q1422" s="519"/>
      <c r="R1422" s="519"/>
      <c r="S1422" s="517"/>
      <c r="T1422" s="521"/>
    </row>
    <row r="1423" spans="1:20">
      <c r="A1423" s="517"/>
      <c r="B1423" s="517"/>
      <c r="C1423" s="517"/>
      <c r="D1423" s="517"/>
      <c r="E1423" s="517"/>
      <c r="F1423" s="517"/>
      <c r="G1423" s="649"/>
      <c r="H1423" s="517"/>
      <c r="I1423" s="517"/>
      <c r="J1423" s="517"/>
      <c r="K1423" s="517"/>
      <c r="L1423" s="519"/>
      <c r="M1423" s="519"/>
      <c r="N1423" s="519"/>
      <c r="O1423" s="519"/>
      <c r="P1423" s="519"/>
      <c r="Q1423" s="519"/>
      <c r="R1423" s="519"/>
      <c r="S1423" s="517"/>
      <c r="T1423" s="521"/>
    </row>
    <row r="1424" spans="1:20">
      <c r="A1424" s="517"/>
      <c r="B1424" s="517"/>
      <c r="C1424" s="517"/>
      <c r="D1424" s="517"/>
      <c r="E1424" s="517"/>
      <c r="F1424" s="517"/>
      <c r="G1424" s="649"/>
      <c r="H1424" s="517"/>
      <c r="I1424" s="517"/>
      <c r="J1424" s="517"/>
      <c r="K1424" s="517"/>
      <c r="L1424" s="519"/>
      <c r="M1424" s="519"/>
      <c r="N1424" s="519"/>
      <c r="O1424" s="519"/>
      <c r="P1424" s="519"/>
      <c r="Q1424" s="519"/>
      <c r="R1424" s="519"/>
      <c r="S1424" s="517"/>
      <c r="T1424" s="521"/>
    </row>
    <row r="1425" spans="1:20">
      <c r="A1425" s="517"/>
      <c r="B1425" s="517"/>
      <c r="C1425" s="517"/>
      <c r="D1425" s="517"/>
      <c r="E1425" s="517"/>
      <c r="F1425" s="517"/>
      <c r="G1425" s="649"/>
      <c r="H1425" s="517"/>
      <c r="I1425" s="517"/>
      <c r="J1425" s="517"/>
      <c r="K1425" s="517"/>
      <c r="L1425" s="519"/>
      <c r="M1425" s="519"/>
      <c r="N1425" s="519"/>
      <c r="O1425" s="519"/>
      <c r="P1425" s="519"/>
      <c r="Q1425" s="519"/>
      <c r="R1425" s="519"/>
      <c r="S1425" s="517"/>
      <c r="T1425" s="521"/>
    </row>
    <row r="1426" spans="1:20">
      <c r="A1426" s="517"/>
      <c r="B1426" s="517"/>
      <c r="C1426" s="517"/>
      <c r="D1426" s="517"/>
      <c r="E1426" s="517"/>
      <c r="F1426" s="517"/>
      <c r="G1426" s="649"/>
      <c r="H1426" s="517"/>
      <c r="I1426" s="517"/>
      <c r="J1426" s="517"/>
      <c r="K1426" s="517"/>
      <c r="L1426" s="519"/>
      <c r="M1426" s="519"/>
      <c r="N1426" s="519"/>
      <c r="O1426" s="519"/>
      <c r="P1426" s="519"/>
      <c r="Q1426" s="519"/>
      <c r="R1426" s="519"/>
      <c r="S1426" s="517"/>
      <c r="T1426" s="521"/>
    </row>
    <row r="1427" spans="1:20">
      <c r="A1427" s="517"/>
      <c r="B1427" s="517"/>
      <c r="C1427" s="517"/>
      <c r="D1427" s="517"/>
      <c r="E1427" s="517"/>
      <c r="F1427" s="517"/>
      <c r="G1427" s="649"/>
      <c r="H1427" s="517"/>
      <c r="I1427" s="517"/>
      <c r="J1427" s="517"/>
      <c r="K1427" s="517"/>
      <c r="L1427" s="519"/>
      <c r="M1427" s="519"/>
      <c r="N1427" s="519"/>
      <c r="O1427" s="519"/>
      <c r="P1427" s="519"/>
      <c r="Q1427" s="519"/>
      <c r="R1427" s="519"/>
      <c r="S1427" s="517"/>
      <c r="T1427" s="521"/>
    </row>
    <row r="1428" spans="1:20">
      <c r="A1428" s="517"/>
      <c r="B1428" s="517"/>
      <c r="C1428" s="517"/>
      <c r="D1428" s="517"/>
      <c r="E1428" s="517"/>
      <c r="F1428" s="517"/>
      <c r="G1428" s="649"/>
      <c r="H1428" s="517"/>
      <c r="I1428" s="517"/>
      <c r="J1428" s="517"/>
      <c r="K1428" s="517"/>
      <c r="L1428" s="519"/>
      <c r="M1428" s="519"/>
      <c r="N1428" s="519"/>
      <c r="O1428" s="519"/>
      <c r="P1428" s="519"/>
      <c r="Q1428" s="519"/>
      <c r="R1428" s="519"/>
      <c r="S1428" s="517"/>
      <c r="T1428" s="521"/>
    </row>
    <row r="1429" spans="1:20">
      <c r="A1429" s="517"/>
      <c r="B1429" s="517"/>
      <c r="C1429" s="517"/>
      <c r="D1429" s="517"/>
      <c r="E1429" s="517"/>
      <c r="F1429" s="517"/>
      <c r="G1429" s="649"/>
      <c r="H1429" s="517"/>
      <c r="I1429" s="517"/>
      <c r="J1429" s="517"/>
      <c r="K1429" s="517"/>
      <c r="L1429" s="519"/>
      <c r="M1429" s="519"/>
      <c r="N1429" s="519"/>
      <c r="O1429" s="519"/>
      <c r="P1429" s="519"/>
      <c r="Q1429" s="519"/>
      <c r="R1429" s="519"/>
      <c r="S1429" s="517"/>
      <c r="T1429" s="521"/>
    </row>
    <row r="1430" spans="1:20">
      <c r="A1430" s="517"/>
      <c r="B1430" s="517"/>
      <c r="C1430" s="517"/>
      <c r="D1430" s="517"/>
      <c r="E1430" s="517"/>
      <c r="F1430" s="517"/>
      <c r="G1430" s="649"/>
      <c r="H1430" s="517"/>
      <c r="I1430" s="517"/>
      <c r="J1430" s="517"/>
      <c r="K1430" s="517"/>
      <c r="L1430" s="519"/>
      <c r="M1430" s="519"/>
      <c r="N1430" s="519"/>
      <c r="O1430" s="519"/>
      <c r="P1430" s="519"/>
      <c r="Q1430" s="519"/>
      <c r="R1430" s="519"/>
      <c r="S1430" s="517"/>
      <c r="T1430" s="521"/>
    </row>
    <row r="1431" spans="1:20">
      <c r="A1431" s="517"/>
      <c r="B1431" s="517"/>
      <c r="C1431" s="517"/>
      <c r="D1431" s="517"/>
      <c r="E1431" s="517"/>
      <c r="F1431" s="517"/>
      <c r="G1431" s="649"/>
      <c r="H1431" s="517"/>
      <c r="I1431" s="517"/>
      <c r="J1431" s="517"/>
      <c r="K1431" s="517"/>
      <c r="L1431" s="519"/>
      <c r="M1431" s="519"/>
      <c r="N1431" s="519"/>
      <c r="O1431" s="519"/>
      <c r="P1431" s="519"/>
      <c r="Q1431" s="519"/>
      <c r="R1431" s="519"/>
      <c r="S1431" s="517"/>
      <c r="T1431" s="521"/>
    </row>
    <row r="1432" spans="1:20">
      <c r="A1432" s="517"/>
      <c r="B1432" s="517"/>
      <c r="C1432" s="517"/>
      <c r="D1432" s="517"/>
      <c r="E1432" s="517"/>
      <c r="F1432" s="517"/>
      <c r="G1432" s="649"/>
      <c r="H1432" s="517"/>
      <c r="I1432" s="517"/>
      <c r="J1432" s="517"/>
      <c r="K1432" s="517"/>
      <c r="L1432" s="519"/>
      <c r="M1432" s="519"/>
      <c r="N1432" s="519"/>
      <c r="O1432" s="519"/>
      <c r="P1432" s="519"/>
      <c r="Q1432" s="519"/>
      <c r="R1432" s="519"/>
      <c r="S1432" s="517"/>
      <c r="T1432" s="521"/>
    </row>
    <row r="1433" spans="1:20">
      <c r="A1433" s="517"/>
      <c r="B1433" s="517"/>
      <c r="C1433" s="517"/>
      <c r="D1433" s="517"/>
      <c r="E1433" s="517"/>
      <c r="F1433" s="517"/>
      <c r="G1433" s="649"/>
      <c r="H1433" s="517"/>
      <c r="I1433" s="517"/>
      <c r="J1433" s="517"/>
      <c r="K1433" s="517"/>
      <c r="L1433" s="519"/>
      <c r="M1433" s="519"/>
      <c r="N1433" s="519"/>
      <c r="O1433" s="519"/>
      <c r="P1433" s="519"/>
      <c r="Q1433" s="519"/>
      <c r="R1433" s="519"/>
      <c r="S1433" s="517"/>
      <c r="T1433" s="521"/>
    </row>
    <row r="1434" spans="1:20">
      <c r="A1434" s="517"/>
      <c r="B1434" s="517"/>
      <c r="C1434" s="517"/>
      <c r="D1434" s="517"/>
      <c r="E1434" s="517"/>
      <c r="F1434" s="517"/>
      <c r="G1434" s="649"/>
      <c r="H1434" s="517"/>
      <c r="I1434" s="517"/>
      <c r="J1434" s="517"/>
      <c r="K1434" s="517"/>
      <c r="L1434" s="519"/>
      <c r="M1434" s="519"/>
      <c r="N1434" s="519"/>
      <c r="O1434" s="519"/>
      <c r="P1434" s="519"/>
      <c r="Q1434" s="519"/>
      <c r="R1434" s="519"/>
      <c r="S1434" s="517"/>
      <c r="T1434" s="521"/>
    </row>
    <row r="1435" spans="1:20">
      <c r="A1435" s="517"/>
      <c r="B1435" s="517"/>
      <c r="C1435" s="517"/>
      <c r="D1435" s="517"/>
      <c r="E1435" s="517"/>
      <c r="F1435" s="517"/>
      <c r="G1435" s="649"/>
      <c r="H1435" s="517"/>
      <c r="I1435" s="517"/>
      <c r="J1435" s="517"/>
      <c r="K1435" s="517"/>
      <c r="L1435" s="519"/>
      <c r="M1435" s="519"/>
      <c r="N1435" s="519"/>
      <c r="O1435" s="519"/>
      <c r="P1435" s="519"/>
      <c r="Q1435" s="519"/>
      <c r="R1435" s="519"/>
      <c r="S1435" s="517"/>
      <c r="T1435" s="521"/>
    </row>
    <row r="1436" spans="1:20">
      <c r="A1436" s="517"/>
      <c r="B1436" s="517"/>
      <c r="C1436" s="517"/>
      <c r="D1436" s="517"/>
      <c r="E1436" s="517"/>
      <c r="F1436" s="517"/>
      <c r="G1436" s="649"/>
      <c r="H1436" s="517"/>
      <c r="I1436" s="517"/>
      <c r="J1436" s="517"/>
      <c r="K1436" s="517"/>
      <c r="L1436" s="519"/>
      <c r="M1436" s="519"/>
      <c r="N1436" s="519"/>
      <c r="O1436" s="519"/>
      <c r="P1436" s="519"/>
      <c r="Q1436" s="519"/>
      <c r="R1436" s="519"/>
      <c r="S1436" s="517"/>
      <c r="T1436" s="521"/>
    </row>
    <row r="1437" spans="1:20">
      <c r="A1437" s="517"/>
      <c r="B1437" s="517"/>
      <c r="C1437" s="517"/>
      <c r="D1437" s="517"/>
      <c r="E1437" s="517"/>
      <c r="F1437" s="517"/>
      <c r="G1437" s="649"/>
      <c r="H1437" s="517"/>
      <c r="I1437" s="517"/>
      <c r="J1437" s="517"/>
      <c r="K1437" s="517"/>
      <c r="L1437" s="519"/>
      <c r="M1437" s="519"/>
      <c r="N1437" s="519"/>
      <c r="O1437" s="519"/>
      <c r="P1437" s="519"/>
      <c r="Q1437" s="519"/>
      <c r="R1437" s="519"/>
      <c r="S1437" s="517"/>
      <c r="T1437" s="521"/>
    </row>
    <row r="1438" spans="1:20">
      <c r="A1438" s="517"/>
      <c r="B1438" s="517"/>
      <c r="C1438" s="517"/>
      <c r="D1438" s="517"/>
      <c r="E1438" s="517"/>
      <c r="F1438" s="517"/>
      <c r="G1438" s="649"/>
      <c r="H1438" s="517"/>
      <c r="I1438" s="517"/>
      <c r="J1438" s="517"/>
      <c r="K1438" s="517"/>
      <c r="L1438" s="519"/>
      <c r="M1438" s="519"/>
      <c r="N1438" s="519"/>
      <c r="O1438" s="519"/>
      <c r="P1438" s="519"/>
      <c r="Q1438" s="519"/>
      <c r="R1438" s="519"/>
      <c r="S1438" s="517"/>
      <c r="T1438" s="521"/>
    </row>
    <row r="1439" spans="1:20">
      <c r="A1439" s="517"/>
      <c r="B1439" s="517"/>
      <c r="C1439" s="517"/>
      <c r="D1439" s="517"/>
      <c r="E1439" s="517"/>
      <c r="F1439" s="517"/>
      <c r="G1439" s="649"/>
      <c r="H1439" s="517"/>
      <c r="I1439" s="517"/>
      <c r="J1439" s="517"/>
      <c r="K1439" s="517"/>
      <c r="L1439" s="519"/>
      <c r="M1439" s="519"/>
      <c r="N1439" s="519"/>
      <c r="O1439" s="519"/>
      <c r="P1439" s="519"/>
      <c r="Q1439" s="519"/>
      <c r="R1439" s="519"/>
      <c r="S1439" s="517"/>
      <c r="T1439" s="521"/>
    </row>
    <row r="1440" spans="1:20">
      <c r="A1440" s="517"/>
      <c r="B1440" s="517"/>
      <c r="C1440" s="517"/>
      <c r="D1440" s="517"/>
      <c r="E1440" s="517"/>
      <c r="F1440" s="517"/>
      <c r="G1440" s="649"/>
      <c r="H1440" s="517"/>
      <c r="I1440" s="517"/>
      <c r="J1440" s="517"/>
      <c r="K1440" s="517"/>
      <c r="L1440" s="519"/>
      <c r="M1440" s="519"/>
      <c r="N1440" s="519"/>
      <c r="O1440" s="519"/>
      <c r="P1440" s="519"/>
      <c r="Q1440" s="519"/>
      <c r="R1440" s="519"/>
      <c r="S1440" s="517"/>
      <c r="T1440" s="521"/>
    </row>
    <row r="1441" spans="1:20">
      <c r="A1441" s="517"/>
      <c r="B1441" s="517"/>
      <c r="C1441" s="517"/>
      <c r="D1441" s="517"/>
      <c r="E1441" s="517"/>
      <c r="F1441" s="517"/>
      <c r="G1441" s="649"/>
      <c r="H1441" s="517"/>
      <c r="I1441" s="517"/>
      <c r="J1441" s="517"/>
      <c r="K1441" s="517"/>
      <c r="L1441" s="519"/>
      <c r="M1441" s="519"/>
      <c r="N1441" s="519"/>
      <c r="O1441" s="519"/>
      <c r="P1441" s="519"/>
      <c r="Q1441" s="519"/>
      <c r="R1441" s="519"/>
      <c r="S1441" s="517"/>
      <c r="T1441" s="521"/>
    </row>
    <row r="1442" spans="1:20">
      <c r="A1442" s="517"/>
      <c r="B1442" s="517"/>
      <c r="C1442" s="517"/>
      <c r="D1442" s="517"/>
      <c r="E1442" s="517"/>
      <c r="F1442" s="517"/>
      <c r="G1442" s="649"/>
      <c r="H1442" s="517"/>
      <c r="I1442" s="517"/>
      <c r="J1442" s="517"/>
      <c r="K1442" s="517"/>
      <c r="L1442" s="519"/>
      <c r="M1442" s="519"/>
      <c r="N1442" s="519"/>
      <c r="O1442" s="519"/>
      <c r="P1442" s="519"/>
      <c r="Q1442" s="519"/>
      <c r="R1442" s="519"/>
      <c r="S1442" s="517"/>
      <c r="T1442" s="521"/>
    </row>
    <row r="1443" spans="1:20">
      <c r="A1443" s="517"/>
      <c r="B1443" s="517"/>
      <c r="C1443" s="517"/>
      <c r="D1443" s="517"/>
      <c r="E1443" s="517"/>
      <c r="F1443" s="517"/>
      <c r="G1443" s="649"/>
      <c r="H1443" s="517"/>
      <c r="I1443" s="517"/>
      <c r="J1443" s="517"/>
      <c r="K1443" s="517"/>
      <c r="L1443" s="519"/>
      <c r="M1443" s="519"/>
      <c r="N1443" s="519"/>
      <c r="O1443" s="519"/>
      <c r="P1443" s="519"/>
      <c r="Q1443" s="519"/>
      <c r="R1443" s="519"/>
      <c r="S1443" s="517"/>
      <c r="T1443" s="521"/>
    </row>
    <row r="1444" spans="1:20">
      <c r="A1444" s="517"/>
      <c r="B1444" s="517"/>
      <c r="C1444" s="517"/>
      <c r="D1444" s="517"/>
      <c r="E1444" s="517"/>
      <c r="F1444" s="517"/>
      <c r="G1444" s="649"/>
      <c r="H1444" s="517"/>
      <c r="I1444" s="517"/>
      <c r="J1444" s="517"/>
      <c r="K1444" s="517"/>
      <c r="L1444" s="519"/>
      <c r="M1444" s="519"/>
      <c r="N1444" s="519"/>
      <c r="O1444" s="519"/>
      <c r="P1444" s="519"/>
      <c r="Q1444" s="519"/>
      <c r="R1444" s="519"/>
      <c r="S1444" s="517"/>
      <c r="T1444" s="521"/>
    </row>
    <row r="1445" spans="1:20">
      <c r="A1445" s="517"/>
      <c r="B1445" s="517"/>
      <c r="C1445" s="517"/>
      <c r="D1445" s="517"/>
      <c r="E1445" s="517"/>
      <c r="F1445" s="517"/>
      <c r="G1445" s="649"/>
      <c r="H1445" s="517"/>
      <c r="I1445" s="517"/>
      <c r="J1445" s="517"/>
      <c r="K1445" s="517"/>
      <c r="L1445" s="519"/>
      <c r="M1445" s="519"/>
      <c r="N1445" s="519"/>
      <c r="O1445" s="519"/>
      <c r="P1445" s="519"/>
      <c r="Q1445" s="519"/>
      <c r="R1445" s="519"/>
      <c r="S1445" s="517"/>
      <c r="T1445" s="521"/>
    </row>
    <row r="1446" spans="1:20">
      <c r="A1446" s="517"/>
      <c r="B1446" s="517"/>
      <c r="C1446" s="517"/>
      <c r="D1446" s="517"/>
      <c r="E1446" s="517"/>
      <c r="F1446" s="517"/>
      <c r="G1446" s="649"/>
      <c r="H1446" s="517"/>
      <c r="I1446" s="517"/>
      <c r="J1446" s="517"/>
      <c r="K1446" s="517"/>
      <c r="L1446" s="519"/>
      <c r="M1446" s="519"/>
      <c r="N1446" s="519"/>
      <c r="O1446" s="519"/>
      <c r="P1446" s="519"/>
      <c r="Q1446" s="519"/>
      <c r="R1446" s="519"/>
      <c r="S1446" s="517"/>
      <c r="T1446" s="521"/>
    </row>
    <row r="1447" spans="1:20">
      <c r="A1447" s="517"/>
      <c r="B1447" s="517"/>
      <c r="C1447" s="517"/>
      <c r="D1447" s="517"/>
      <c r="E1447" s="517"/>
      <c r="F1447" s="517"/>
      <c r="G1447" s="649"/>
      <c r="H1447" s="517"/>
      <c r="I1447" s="517"/>
      <c r="J1447" s="517"/>
      <c r="K1447" s="517"/>
      <c r="L1447" s="519"/>
      <c r="M1447" s="519"/>
      <c r="N1447" s="519"/>
      <c r="O1447" s="519"/>
      <c r="P1447" s="519"/>
      <c r="Q1447" s="519"/>
      <c r="R1447" s="519"/>
      <c r="S1447" s="517"/>
      <c r="T1447" s="521"/>
    </row>
    <row r="1448" spans="1:20">
      <c r="A1448" s="517"/>
      <c r="B1448" s="517"/>
      <c r="C1448" s="517"/>
      <c r="D1448" s="517"/>
      <c r="E1448" s="517"/>
      <c r="F1448" s="517"/>
      <c r="G1448" s="649"/>
      <c r="H1448" s="517"/>
      <c r="I1448" s="517"/>
      <c r="J1448" s="517"/>
      <c r="K1448" s="517"/>
      <c r="L1448" s="519"/>
      <c r="M1448" s="519"/>
      <c r="N1448" s="519"/>
      <c r="O1448" s="519"/>
      <c r="P1448" s="519"/>
      <c r="Q1448" s="519"/>
      <c r="R1448" s="519"/>
      <c r="S1448" s="517"/>
      <c r="T1448" s="521"/>
    </row>
    <row r="1449" spans="1:20">
      <c r="A1449" s="517"/>
      <c r="B1449" s="517"/>
      <c r="C1449" s="517"/>
      <c r="D1449" s="517"/>
      <c r="E1449" s="517"/>
      <c r="F1449" s="517"/>
      <c r="G1449" s="649"/>
      <c r="H1449" s="517"/>
      <c r="I1449" s="517"/>
      <c r="J1449" s="517"/>
      <c r="K1449" s="517"/>
      <c r="L1449" s="519"/>
      <c r="M1449" s="519"/>
      <c r="N1449" s="519"/>
      <c r="O1449" s="519"/>
      <c r="P1449" s="519"/>
      <c r="Q1449" s="519"/>
      <c r="R1449" s="519"/>
      <c r="S1449" s="517"/>
      <c r="T1449" s="521"/>
    </row>
    <row r="1450" spans="1:20">
      <c r="A1450" s="517"/>
      <c r="B1450" s="517"/>
      <c r="C1450" s="517"/>
      <c r="D1450" s="517"/>
      <c r="E1450" s="517"/>
      <c r="F1450" s="517"/>
      <c r="G1450" s="649"/>
      <c r="H1450" s="517"/>
      <c r="I1450" s="517"/>
      <c r="J1450" s="517"/>
      <c r="K1450" s="517"/>
      <c r="L1450" s="519"/>
      <c r="M1450" s="519"/>
      <c r="N1450" s="519"/>
      <c r="O1450" s="519"/>
      <c r="P1450" s="519"/>
      <c r="Q1450" s="519"/>
      <c r="R1450" s="519"/>
      <c r="S1450" s="517"/>
      <c r="T1450" s="521"/>
    </row>
    <row r="1451" spans="1:20">
      <c r="A1451" s="517"/>
      <c r="B1451" s="517"/>
      <c r="C1451" s="517"/>
      <c r="D1451" s="517"/>
      <c r="E1451" s="517"/>
      <c r="F1451" s="517"/>
      <c r="G1451" s="649"/>
      <c r="H1451" s="517"/>
      <c r="I1451" s="517"/>
      <c r="J1451" s="517"/>
      <c r="K1451" s="517"/>
      <c r="L1451" s="519"/>
      <c r="M1451" s="519"/>
      <c r="N1451" s="519"/>
      <c r="O1451" s="519"/>
      <c r="P1451" s="519"/>
      <c r="Q1451" s="519"/>
      <c r="R1451" s="519"/>
      <c r="S1451" s="517"/>
      <c r="T1451" s="521"/>
    </row>
    <row r="1452" spans="1:20">
      <c r="A1452" s="517"/>
      <c r="B1452" s="517"/>
      <c r="C1452" s="517"/>
      <c r="D1452" s="517"/>
      <c r="E1452" s="517"/>
      <c r="F1452" s="517"/>
      <c r="G1452" s="649"/>
      <c r="H1452" s="517"/>
      <c r="I1452" s="517"/>
      <c r="J1452" s="517"/>
      <c r="K1452" s="517"/>
      <c r="L1452" s="519"/>
      <c r="M1452" s="519"/>
      <c r="N1452" s="519"/>
      <c r="O1452" s="519"/>
      <c r="P1452" s="519"/>
      <c r="Q1452" s="519"/>
      <c r="R1452" s="519"/>
      <c r="S1452" s="517"/>
      <c r="T1452" s="521"/>
    </row>
    <row r="1453" spans="1:20">
      <c r="A1453" s="517"/>
      <c r="B1453" s="517"/>
      <c r="C1453" s="517"/>
      <c r="D1453" s="517"/>
      <c r="E1453" s="517"/>
      <c r="F1453" s="517"/>
      <c r="G1453" s="649"/>
      <c r="H1453" s="517"/>
      <c r="I1453" s="517"/>
      <c r="J1453" s="517"/>
      <c r="K1453" s="517"/>
      <c r="L1453" s="519"/>
      <c r="M1453" s="519"/>
      <c r="N1453" s="519"/>
      <c r="O1453" s="519"/>
      <c r="P1453" s="519"/>
      <c r="Q1453" s="519"/>
      <c r="R1453" s="519"/>
      <c r="S1453" s="517"/>
      <c r="T1453" s="521"/>
    </row>
    <row r="1454" spans="1:20">
      <c r="A1454" s="517"/>
      <c r="B1454" s="517"/>
      <c r="C1454" s="517"/>
      <c r="D1454" s="517"/>
      <c r="E1454" s="517"/>
      <c r="F1454" s="517"/>
      <c r="G1454" s="649"/>
      <c r="H1454" s="517"/>
      <c r="I1454" s="517"/>
      <c r="J1454" s="517"/>
      <c r="K1454" s="517"/>
      <c r="L1454" s="519"/>
      <c r="M1454" s="519"/>
      <c r="N1454" s="519"/>
      <c r="O1454" s="519"/>
      <c r="P1454" s="519"/>
      <c r="Q1454" s="519"/>
      <c r="R1454" s="519"/>
      <c r="S1454" s="517"/>
      <c r="T1454" s="521"/>
    </row>
    <row r="1455" spans="1:20">
      <c r="A1455" s="517"/>
      <c r="B1455" s="517"/>
      <c r="C1455" s="517"/>
      <c r="D1455" s="517"/>
      <c r="E1455" s="517"/>
      <c r="F1455" s="517"/>
      <c r="G1455" s="649"/>
      <c r="H1455" s="517"/>
      <c r="I1455" s="517"/>
      <c r="J1455" s="517"/>
      <c r="K1455" s="517"/>
      <c r="L1455" s="519"/>
      <c r="M1455" s="519"/>
      <c r="N1455" s="519"/>
      <c r="O1455" s="519"/>
      <c r="P1455" s="519"/>
      <c r="Q1455" s="519"/>
      <c r="R1455" s="519"/>
      <c r="S1455" s="517"/>
      <c r="T1455" s="521"/>
    </row>
    <row r="1456" spans="1:20">
      <c r="A1456" s="517"/>
      <c r="B1456" s="517"/>
      <c r="C1456" s="517"/>
      <c r="D1456" s="517"/>
      <c r="E1456" s="517"/>
      <c r="F1456" s="517"/>
      <c r="G1456" s="649"/>
      <c r="H1456" s="517"/>
      <c r="I1456" s="517"/>
      <c r="J1456" s="517"/>
      <c r="K1456" s="517"/>
      <c r="L1456" s="519"/>
      <c r="M1456" s="519"/>
      <c r="N1456" s="519"/>
      <c r="O1456" s="519"/>
      <c r="P1456" s="519"/>
      <c r="Q1456" s="519"/>
      <c r="R1456" s="519"/>
      <c r="S1456" s="517"/>
      <c r="T1456" s="521"/>
    </row>
    <row r="1457" spans="1:20">
      <c r="A1457" s="517"/>
      <c r="B1457" s="517"/>
      <c r="C1457" s="517"/>
      <c r="D1457" s="517"/>
      <c r="E1457" s="517"/>
      <c r="F1457" s="517"/>
      <c r="G1457" s="649"/>
      <c r="H1457" s="517"/>
      <c r="I1457" s="517"/>
      <c r="J1457" s="517"/>
      <c r="K1457" s="517"/>
      <c r="L1457" s="519"/>
      <c r="M1457" s="519"/>
      <c r="N1457" s="519"/>
      <c r="O1457" s="519"/>
      <c r="P1457" s="519"/>
      <c r="Q1457" s="519"/>
      <c r="R1457" s="519"/>
      <c r="S1457" s="517"/>
      <c r="T1457" s="521"/>
    </row>
    <row r="1458" spans="1:20">
      <c r="A1458" s="517"/>
      <c r="B1458" s="517"/>
      <c r="C1458" s="517"/>
      <c r="D1458" s="517"/>
      <c r="E1458" s="517"/>
      <c r="F1458" s="517"/>
      <c r="G1458" s="649"/>
      <c r="H1458" s="517"/>
      <c r="I1458" s="517"/>
      <c r="J1458" s="517"/>
      <c r="K1458" s="517"/>
      <c r="L1458" s="519"/>
      <c r="M1458" s="519"/>
      <c r="N1458" s="519"/>
      <c r="O1458" s="519"/>
      <c r="P1458" s="519"/>
      <c r="Q1458" s="519"/>
      <c r="R1458" s="519"/>
      <c r="S1458" s="517"/>
      <c r="T1458" s="521"/>
    </row>
    <row r="1459" spans="1:20">
      <c r="A1459" s="517"/>
      <c r="B1459" s="517"/>
      <c r="C1459" s="517"/>
      <c r="D1459" s="517"/>
      <c r="E1459" s="517"/>
      <c r="F1459" s="517"/>
      <c r="G1459" s="649"/>
      <c r="H1459" s="517"/>
      <c r="I1459" s="517"/>
      <c r="J1459" s="517"/>
      <c r="K1459" s="517"/>
      <c r="L1459" s="519"/>
      <c r="M1459" s="519"/>
      <c r="N1459" s="519"/>
      <c r="O1459" s="519"/>
      <c r="P1459" s="519"/>
      <c r="Q1459" s="519"/>
      <c r="R1459" s="519"/>
      <c r="S1459" s="517"/>
      <c r="T1459" s="521"/>
    </row>
    <row r="1460" spans="1:20">
      <c r="A1460" s="517"/>
      <c r="B1460" s="517"/>
      <c r="C1460" s="517"/>
      <c r="D1460" s="517"/>
      <c r="E1460" s="517"/>
      <c r="F1460" s="517"/>
      <c r="G1460" s="649"/>
      <c r="H1460" s="517"/>
      <c r="I1460" s="517"/>
      <c r="J1460" s="517"/>
      <c r="K1460" s="517"/>
      <c r="L1460" s="519"/>
      <c r="M1460" s="519"/>
      <c r="N1460" s="519"/>
      <c r="O1460" s="519"/>
      <c r="P1460" s="519"/>
      <c r="Q1460" s="519"/>
      <c r="R1460" s="519"/>
      <c r="S1460" s="517"/>
      <c r="T1460" s="521"/>
    </row>
    <row r="1461" spans="1:20">
      <c r="A1461" s="517"/>
      <c r="B1461" s="517"/>
      <c r="C1461" s="517"/>
      <c r="D1461" s="517"/>
      <c r="E1461" s="517"/>
      <c r="F1461" s="517"/>
      <c r="G1461" s="649"/>
      <c r="H1461" s="517"/>
      <c r="I1461" s="517"/>
      <c r="J1461" s="517"/>
      <c r="K1461" s="517"/>
      <c r="L1461" s="519"/>
      <c r="M1461" s="519"/>
      <c r="N1461" s="519"/>
      <c r="O1461" s="519"/>
      <c r="P1461" s="519"/>
      <c r="Q1461" s="519"/>
      <c r="R1461" s="519"/>
      <c r="S1461" s="517"/>
      <c r="T1461" s="521"/>
    </row>
    <row r="1462" spans="1:20">
      <c r="A1462" s="517"/>
      <c r="B1462" s="517"/>
      <c r="C1462" s="517"/>
      <c r="D1462" s="517"/>
      <c r="E1462" s="517"/>
      <c r="F1462" s="517"/>
      <c r="G1462" s="649"/>
      <c r="H1462" s="517"/>
      <c r="I1462" s="517"/>
      <c r="J1462" s="517"/>
      <c r="K1462" s="517"/>
      <c r="L1462" s="519"/>
      <c r="M1462" s="519"/>
      <c r="N1462" s="519"/>
      <c r="O1462" s="519"/>
      <c r="P1462" s="519"/>
      <c r="Q1462" s="519"/>
      <c r="R1462" s="519"/>
      <c r="S1462" s="517"/>
      <c r="T1462" s="521"/>
    </row>
    <row r="1463" spans="1:20">
      <c r="A1463" s="517"/>
      <c r="B1463" s="517"/>
      <c r="C1463" s="517"/>
      <c r="D1463" s="517"/>
      <c r="E1463" s="517"/>
      <c r="F1463" s="517"/>
      <c r="G1463" s="649"/>
      <c r="H1463" s="517"/>
      <c r="I1463" s="517"/>
      <c r="J1463" s="517"/>
      <c r="K1463" s="517"/>
      <c r="L1463" s="519"/>
      <c r="M1463" s="519"/>
      <c r="N1463" s="519"/>
      <c r="O1463" s="519"/>
      <c r="P1463" s="519"/>
      <c r="Q1463" s="519"/>
      <c r="R1463" s="519"/>
      <c r="S1463" s="517"/>
      <c r="T1463" s="521"/>
    </row>
    <row r="1464" spans="1:20">
      <c r="A1464" s="517"/>
      <c r="B1464" s="517"/>
      <c r="C1464" s="517"/>
      <c r="D1464" s="517"/>
      <c r="E1464" s="517"/>
      <c r="F1464" s="517"/>
      <c r="G1464" s="649"/>
      <c r="H1464" s="517"/>
      <c r="I1464" s="517"/>
      <c r="J1464" s="517"/>
      <c r="K1464" s="517"/>
      <c r="L1464" s="519"/>
      <c r="M1464" s="519"/>
      <c r="N1464" s="519"/>
      <c r="O1464" s="519"/>
      <c r="P1464" s="519"/>
      <c r="Q1464" s="519"/>
      <c r="R1464" s="519"/>
      <c r="S1464" s="517"/>
      <c r="T1464" s="521"/>
    </row>
    <row r="1465" spans="1:20">
      <c r="A1465" s="517"/>
      <c r="B1465" s="517"/>
      <c r="C1465" s="517"/>
      <c r="D1465" s="517"/>
      <c r="E1465" s="517"/>
      <c r="F1465" s="517"/>
      <c r="G1465" s="649"/>
      <c r="H1465" s="517"/>
      <c r="I1465" s="517"/>
      <c r="J1465" s="517"/>
      <c r="K1465" s="517"/>
      <c r="L1465" s="519"/>
      <c r="M1465" s="519"/>
      <c r="N1465" s="519"/>
      <c r="O1465" s="519"/>
      <c r="P1465" s="519"/>
      <c r="Q1465" s="519"/>
      <c r="R1465" s="519"/>
      <c r="S1465" s="517"/>
      <c r="T1465" s="521"/>
    </row>
    <row r="1466" spans="1:20">
      <c r="A1466" s="517"/>
      <c r="B1466" s="517"/>
      <c r="C1466" s="517"/>
      <c r="D1466" s="517"/>
      <c r="E1466" s="517"/>
      <c r="F1466" s="517"/>
      <c r="G1466" s="649"/>
      <c r="H1466" s="517"/>
      <c r="I1466" s="517"/>
      <c r="J1466" s="517"/>
      <c r="K1466" s="517"/>
      <c r="L1466" s="519"/>
      <c r="M1466" s="519"/>
      <c r="N1466" s="519"/>
      <c r="O1466" s="519"/>
      <c r="P1466" s="519"/>
      <c r="Q1466" s="519"/>
      <c r="R1466" s="519"/>
      <c r="S1466" s="517"/>
      <c r="T1466" s="521"/>
    </row>
    <row r="1467" spans="1:20">
      <c r="A1467" s="517"/>
      <c r="B1467" s="517"/>
      <c r="C1467" s="517"/>
      <c r="D1467" s="517"/>
      <c r="E1467" s="517"/>
      <c r="F1467" s="517"/>
      <c r="G1467" s="649"/>
      <c r="H1467" s="517"/>
      <c r="I1467" s="517"/>
      <c r="J1467" s="517"/>
      <c r="K1467" s="517"/>
      <c r="L1467" s="519"/>
      <c r="M1467" s="519"/>
      <c r="N1467" s="519"/>
      <c r="O1467" s="519"/>
      <c r="P1467" s="519"/>
      <c r="Q1467" s="519"/>
      <c r="R1467" s="519"/>
      <c r="S1467" s="517"/>
      <c r="T1467" s="521"/>
    </row>
    <row r="1468" spans="1:20">
      <c r="A1468" s="517"/>
      <c r="B1468" s="517"/>
      <c r="C1468" s="517"/>
      <c r="D1468" s="517"/>
      <c r="E1468" s="517"/>
      <c r="F1468" s="517"/>
      <c r="G1468" s="649"/>
      <c r="H1468" s="517"/>
      <c r="I1468" s="517"/>
      <c r="J1468" s="517"/>
      <c r="K1468" s="517"/>
      <c r="L1468" s="519"/>
      <c r="M1468" s="519"/>
      <c r="N1468" s="519"/>
      <c r="O1468" s="519"/>
      <c r="P1468" s="519"/>
      <c r="Q1468" s="519"/>
      <c r="R1468" s="519"/>
      <c r="S1468" s="517"/>
      <c r="T1468" s="521"/>
    </row>
    <row r="1469" spans="1:20">
      <c r="A1469" s="517"/>
      <c r="B1469" s="517"/>
      <c r="C1469" s="517"/>
      <c r="D1469" s="517"/>
      <c r="E1469" s="517"/>
      <c r="F1469" s="517"/>
      <c r="G1469" s="649"/>
      <c r="H1469" s="517"/>
      <c r="I1469" s="517"/>
      <c r="J1469" s="517"/>
      <c r="K1469" s="517"/>
      <c r="L1469" s="519"/>
      <c r="M1469" s="519"/>
      <c r="N1469" s="519"/>
      <c r="O1469" s="519"/>
      <c r="P1469" s="519"/>
      <c r="Q1469" s="519"/>
      <c r="R1469" s="519"/>
      <c r="S1469" s="517"/>
      <c r="T1469" s="521"/>
    </row>
    <row r="1470" spans="1:20">
      <c r="A1470" s="517"/>
      <c r="B1470" s="517"/>
      <c r="C1470" s="517"/>
      <c r="D1470" s="517"/>
      <c r="E1470" s="517"/>
      <c r="F1470" s="517"/>
      <c r="G1470" s="649"/>
      <c r="H1470" s="517"/>
      <c r="I1470" s="517"/>
      <c r="J1470" s="517"/>
      <c r="K1470" s="517"/>
      <c r="L1470" s="519"/>
      <c r="M1470" s="519"/>
      <c r="N1470" s="519"/>
      <c r="O1470" s="519"/>
      <c r="P1470" s="519"/>
      <c r="Q1470" s="519"/>
      <c r="R1470" s="519"/>
      <c r="S1470" s="517"/>
      <c r="T1470" s="521"/>
    </row>
    <row r="1471" spans="1:20">
      <c r="A1471" s="517"/>
      <c r="B1471" s="517"/>
      <c r="C1471" s="517"/>
      <c r="D1471" s="517"/>
      <c r="E1471" s="517"/>
      <c r="F1471" s="517"/>
      <c r="G1471" s="649"/>
      <c r="H1471" s="517"/>
      <c r="I1471" s="517"/>
      <c r="J1471" s="517"/>
      <c r="K1471" s="517"/>
      <c r="L1471" s="519"/>
      <c r="M1471" s="519"/>
      <c r="N1471" s="519"/>
      <c r="O1471" s="519"/>
      <c r="P1471" s="519"/>
      <c r="Q1471" s="519"/>
      <c r="R1471" s="519"/>
      <c r="S1471" s="517"/>
      <c r="T1471" s="521"/>
    </row>
    <row r="1472" spans="1:20">
      <c r="A1472" s="517"/>
      <c r="B1472" s="517"/>
      <c r="C1472" s="517"/>
      <c r="D1472" s="517"/>
      <c r="E1472" s="517"/>
      <c r="F1472" s="517"/>
      <c r="G1472" s="649"/>
      <c r="H1472" s="517"/>
      <c r="I1472" s="517"/>
      <c r="J1472" s="517"/>
      <c r="K1472" s="517"/>
      <c r="L1472" s="519"/>
      <c r="M1472" s="519"/>
      <c r="N1472" s="519"/>
      <c r="O1472" s="519"/>
      <c r="P1472" s="519"/>
      <c r="Q1472" s="519"/>
      <c r="R1472" s="519"/>
      <c r="S1472" s="517"/>
      <c r="T1472" s="521"/>
    </row>
    <row r="1473" spans="1:20">
      <c r="A1473" s="517"/>
      <c r="B1473" s="517"/>
      <c r="C1473" s="517"/>
      <c r="D1473" s="517"/>
      <c r="E1473" s="517"/>
      <c r="F1473" s="517"/>
      <c r="G1473" s="649"/>
      <c r="H1473" s="517"/>
      <c r="I1473" s="517"/>
      <c r="J1473" s="517"/>
      <c r="K1473" s="517"/>
      <c r="L1473" s="519"/>
      <c r="M1473" s="519"/>
      <c r="N1473" s="519"/>
      <c r="O1473" s="519"/>
      <c r="P1473" s="519"/>
      <c r="Q1473" s="519"/>
      <c r="R1473" s="519"/>
      <c r="S1473" s="517"/>
      <c r="T1473" s="521"/>
    </row>
    <row r="1474" spans="1:20">
      <c r="A1474" s="517"/>
      <c r="B1474" s="517"/>
      <c r="C1474" s="517"/>
      <c r="D1474" s="517"/>
      <c r="E1474" s="517"/>
      <c r="F1474" s="517"/>
      <c r="G1474" s="649"/>
      <c r="H1474" s="517"/>
      <c r="I1474" s="517"/>
      <c r="J1474" s="517"/>
      <c r="K1474" s="517"/>
      <c r="L1474" s="519"/>
      <c r="M1474" s="519"/>
      <c r="N1474" s="519"/>
      <c r="O1474" s="519"/>
      <c r="P1474" s="519"/>
      <c r="Q1474" s="519"/>
      <c r="R1474" s="519"/>
      <c r="S1474" s="517"/>
      <c r="T1474" s="521"/>
    </row>
    <row r="1475" spans="1:20">
      <c r="A1475" s="517"/>
      <c r="B1475" s="517"/>
      <c r="C1475" s="517"/>
      <c r="D1475" s="517"/>
      <c r="E1475" s="517"/>
      <c r="F1475" s="517"/>
      <c r="G1475" s="649"/>
      <c r="H1475" s="517"/>
      <c r="I1475" s="517"/>
      <c r="J1475" s="517"/>
      <c r="K1475" s="517"/>
      <c r="L1475" s="519"/>
      <c r="M1475" s="519"/>
      <c r="N1475" s="519"/>
      <c r="O1475" s="519"/>
      <c r="P1475" s="519"/>
      <c r="Q1475" s="519"/>
      <c r="R1475" s="519"/>
      <c r="S1475" s="517"/>
      <c r="T1475" s="521"/>
    </row>
    <row r="1476" spans="1:20">
      <c r="A1476" s="517"/>
      <c r="B1476" s="517"/>
      <c r="C1476" s="517"/>
      <c r="D1476" s="517"/>
      <c r="E1476" s="517"/>
      <c r="F1476" s="517"/>
      <c r="G1476" s="649"/>
      <c r="H1476" s="517"/>
      <c r="I1476" s="517"/>
      <c r="J1476" s="517"/>
      <c r="K1476" s="517"/>
      <c r="L1476" s="519"/>
      <c r="M1476" s="519"/>
      <c r="N1476" s="519"/>
      <c r="O1476" s="519"/>
      <c r="P1476" s="519"/>
      <c r="Q1476" s="519"/>
      <c r="R1476" s="519"/>
      <c r="S1476" s="517"/>
      <c r="T1476" s="521"/>
    </row>
    <row r="1477" spans="1:20">
      <c r="A1477" s="517"/>
      <c r="B1477" s="517"/>
      <c r="C1477" s="517"/>
      <c r="D1477" s="517"/>
      <c r="E1477" s="517"/>
      <c r="F1477" s="517"/>
      <c r="G1477" s="649"/>
      <c r="H1477" s="517"/>
      <c r="I1477" s="517"/>
      <c r="J1477" s="517"/>
      <c r="K1477" s="517"/>
      <c r="L1477" s="519"/>
      <c r="M1477" s="519"/>
      <c r="N1477" s="519"/>
      <c r="O1477" s="519"/>
      <c r="P1477" s="519"/>
      <c r="Q1477" s="519"/>
      <c r="R1477" s="519"/>
      <c r="S1477" s="517"/>
      <c r="T1477" s="521"/>
    </row>
    <row r="1478" spans="1:20">
      <c r="A1478" s="517"/>
      <c r="B1478" s="517"/>
      <c r="C1478" s="517"/>
      <c r="D1478" s="517"/>
      <c r="E1478" s="517"/>
      <c r="F1478" s="517"/>
      <c r="G1478" s="649"/>
      <c r="H1478" s="517"/>
      <c r="I1478" s="517"/>
      <c r="J1478" s="517"/>
      <c r="K1478" s="517"/>
      <c r="L1478" s="519"/>
      <c r="M1478" s="519"/>
      <c r="N1478" s="519"/>
      <c r="O1478" s="519"/>
      <c r="P1478" s="519"/>
      <c r="Q1478" s="519"/>
      <c r="R1478" s="519"/>
      <c r="S1478" s="517"/>
      <c r="T1478" s="521"/>
    </row>
    <row r="1479" spans="1:20">
      <c r="A1479" s="517"/>
      <c r="B1479" s="517"/>
      <c r="C1479" s="517"/>
      <c r="D1479" s="517"/>
      <c r="E1479" s="517"/>
      <c r="F1479" s="517"/>
      <c r="G1479" s="649"/>
      <c r="H1479" s="517"/>
      <c r="I1479" s="517"/>
      <c r="J1479" s="517"/>
      <c r="K1479" s="517"/>
      <c r="L1479" s="519"/>
      <c r="M1479" s="519"/>
      <c r="N1479" s="519"/>
      <c r="O1479" s="519"/>
      <c r="P1479" s="519"/>
      <c r="Q1479" s="519"/>
      <c r="R1479" s="519"/>
      <c r="S1479" s="517"/>
      <c r="T1479" s="521"/>
    </row>
    <row r="1480" spans="1:20">
      <c r="A1480" s="517"/>
      <c r="B1480" s="517"/>
      <c r="C1480" s="517"/>
      <c r="D1480" s="517"/>
      <c r="E1480" s="517"/>
      <c r="F1480" s="517"/>
      <c r="G1480" s="649"/>
      <c r="H1480" s="517"/>
      <c r="I1480" s="517"/>
      <c r="J1480" s="517"/>
      <c r="K1480" s="517"/>
      <c r="L1480" s="519"/>
      <c r="M1480" s="519"/>
      <c r="N1480" s="519"/>
      <c r="O1480" s="519"/>
      <c r="P1480" s="519"/>
      <c r="Q1480" s="519"/>
      <c r="R1480" s="519"/>
      <c r="S1480" s="517"/>
      <c r="T1480" s="521"/>
    </row>
    <row r="1481" spans="1:20">
      <c r="A1481" s="517"/>
      <c r="B1481" s="517"/>
      <c r="C1481" s="517"/>
      <c r="D1481" s="517"/>
      <c r="E1481" s="517"/>
      <c r="F1481" s="517"/>
      <c r="G1481" s="649"/>
      <c r="H1481" s="517"/>
      <c r="I1481" s="517"/>
      <c r="J1481" s="517"/>
      <c r="K1481" s="517"/>
      <c r="L1481" s="519"/>
      <c r="M1481" s="519"/>
      <c r="N1481" s="519"/>
      <c r="O1481" s="519"/>
      <c r="P1481" s="519"/>
      <c r="Q1481" s="519"/>
      <c r="R1481" s="519"/>
      <c r="S1481" s="517"/>
      <c r="T1481" s="521"/>
    </row>
    <row r="1482" spans="1:20">
      <c r="A1482" s="517"/>
      <c r="B1482" s="517"/>
      <c r="C1482" s="517"/>
      <c r="D1482" s="517"/>
      <c r="E1482" s="517"/>
      <c r="F1482" s="517"/>
      <c r="G1482" s="649"/>
      <c r="H1482" s="517"/>
      <c r="I1482" s="517"/>
      <c r="J1482" s="517"/>
      <c r="K1482" s="517"/>
      <c r="L1482" s="519"/>
      <c r="M1482" s="519"/>
      <c r="N1482" s="519"/>
      <c r="O1482" s="519"/>
      <c r="P1482" s="519"/>
      <c r="Q1482" s="519"/>
      <c r="R1482" s="519"/>
      <c r="S1482" s="517"/>
      <c r="T1482" s="521"/>
    </row>
    <row r="1483" spans="1:20">
      <c r="A1483" s="517"/>
      <c r="B1483" s="517"/>
      <c r="C1483" s="517"/>
      <c r="D1483" s="517"/>
      <c r="E1483" s="517"/>
      <c r="F1483" s="517"/>
      <c r="G1483" s="649"/>
      <c r="H1483" s="517"/>
      <c r="I1483" s="517"/>
      <c r="J1483" s="517"/>
      <c r="K1483" s="517"/>
      <c r="L1483" s="519"/>
      <c r="M1483" s="519"/>
      <c r="N1483" s="519"/>
      <c r="O1483" s="519"/>
      <c r="P1483" s="519"/>
      <c r="Q1483" s="519"/>
      <c r="R1483" s="519"/>
      <c r="S1483" s="517"/>
      <c r="T1483" s="521"/>
    </row>
    <row r="1484" spans="1:20">
      <c r="A1484" s="517"/>
      <c r="B1484" s="517"/>
      <c r="C1484" s="517"/>
      <c r="D1484" s="517"/>
      <c r="E1484" s="517"/>
      <c r="F1484" s="517"/>
      <c r="G1484" s="649"/>
      <c r="H1484" s="517"/>
      <c r="I1484" s="517"/>
      <c r="J1484" s="517"/>
      <c r="K1484" s="517"/>
      <c r="L1484" s="519"/>
      <c r="M1484" s="519"/>
      <c r="N1484" s="519"/>
      <c r="O1484" s="519"/>
      <c r="P1484" s="519"/>
      <c r="Q1484" s="519"/>
      <c r="R1484" s="519"/>
      <c r="S1484" s="517"/>
      <c r="T1484" s="521"/>
    </row>
    <row r="1485" spans="1:20">
      <c r="A1485" s="517"/>
      <c r="B1485" s="517"/>
      <c r="C1485" s="517"/>
      <c r="D1485" s="517"/>
      <c r="E1485" s="517"/>
      <c r="F1485" s="517"/>
      <c r="G1485" s="649"/>
      <c r="H1485" s="517"/>
      <c r="I1485" s="517"/>
      <c r="J1485" s="517"/>
      <c r="K1485" s="517"/>
      <c r="L1485" s="519"/>
      <c r="M1485" s="519"/>
      <c r="N1485" s="519"/>
      <c r="O1485" s="519"/>
      <c r="P1485" s="519"/>
      <c r="Q1485" s="519"/>
      <c r="R1485" s="519"/>
      <c r="S1485" s="517"/>
      <c r="T1485" s="521"/>
    </row>
    <row r="1486" spans="1:20">
      <c r="A1486" s="517"/>
      <c r="B1486" s="517"/>
      <c r="C1486" s="517"/>
      <c r="D1486" s="517"/>
      <c r="E1486" s="517"/>
      <c r="F1486" s="517"/>
      <c r="G1486" s="649"/>
      <c r="H1486" s="517"/>
      <c r="I1486" s="517"/>
      <c r="J1486" s="517"/>
      <c r="K1486" s="517"/>
      <c r="L1486" s="519"/>
      <c r="M1486" s="519"/>
      <c r="N1486" s="519"/>
      <c r="O1486" s="519"/>
      <c r="P1486" s="519"/>
      <c r="Q1486" s="519"/>
      <c r="R1486" s="519"/>
      <c r="S1486" s="517"/>
      <c r="T1486" s="521"/>
    </row>
    <row r="1487" spans="1:20">
      <c r="A1487" s="517"/>
      <c r="B1487" s="517"/>
      <c r="C1487" s="517"/>
      <c r="D1487" s="517"/>
      <c r="E1487" s="517"/>
      <c r="F1487" s="517"/>
      <c r="G1487" s="649"/>
      <c r="H1487" s="517"/>
      <c r="I1487" s="517"/>
      <c r="J1487" s="517"/>
      <c r="K1487" s="517"/>
      <c r="L1487" s="519"/>
      <c r="M1487" s="519"/>
      <c r="N1487" s="519"/>
      <c r="O1487" s="519"/>
      <c r="P1487" s="519"/>
      <c r="Q1487" s="519"/>
      <c r="R1487" s="519"/>
      <c r="S1487" s="517"/>
      <c r="T1487" s="521"/>
    </row>
    <row r="1488" spans="1:20">
      <c r="A1488" s="517"/>
      <c r="B1488" s="517"/>
      <c r="C1488" s="517"/>
      <c r="D1488" s="517"/>
      <c r="E1488" s="517"/>
      <c r="F1488" s="517"/>
      <c r="G1488" s="649"/>
      <c r="H1488" s="517"/>
      <c r="I1488" s="517"/>
      <c r="J1488" s="517"/>
      <c r="K1488" s="517"/>
      <c r="L1488" s="519"/>
      <c r="M1488" s="519"/>
      <c r="N1488" s="519"/>
      <c r="O1488" s="519"/>
      <c r="P1488" s="519"/>
      <c r="Q1488" s="519"/>
      <c r="R1488" s="519"/>
      <c r="S1488" s="517"/>
      <c r="T1488" s="521"/>
    </row>
    <row r="1489" spans="1:20">
      <c r="A1489" s="517"/>
      <c r="B1489" s="517"/>
      <c r="C1489" s="517"/>
      <c r="D1489" s="517"/>
      <c r="E1489" s="517"/>
      <c r="F1489" s="517"/>
      <c r="G1489" s="649"/>
      <c r="H1489" s="517"/>
      <c r="I1489" s="517"/>
      <c r="J1489" s="517"/>
      <c r="K1489" s="517"/>
      <c r="L1489" s="519"/>
      <c r="M1489" s="519"/>
      <c r="N1489" s="519"/>
      <c r="O1489" s="519"/>
      <c r="P1489" s="519"/>
      <c r="Q1489" s="519"/>
      <c r="R1489" s="519"/>
      <c r="S1489" s="517"/>
      <c r="T1489" s="521"/>
    </row>
    <row r="1490" spans="1:20">
      <c r="A1490" s="517"/>
      <c r="B1490" s="517"/>
      <c r="C1490" s="517"/>
      <c r="D1490" s="517"/>
      <c r="E1490" s="517"/>
      <c r="F1490" s="517"/>
      <c r="G1490" s="649"/>
      <c r="H1490" s="517"/>
      <c r="I1490" s="517"/>
      <c r="J1490" s="517"/>
      <c r="K1490" s="517"/>
      <c r="L1490" s="519"/>
      <c r="M1490" s="519"/>
      <c r="N1490" s="519"/>
      <c r="O1490" s="519"/>
      <c r="P1490" s="519"/>
      <c r="Q1490" s="519"/>
      <c r="R1490" s="519"/>
      <c r="S1490" s="517"/>
      <c r="T1490" s="521"/>
    </row>
    <row r="1491" spans="1:20">
      <c r="A1491" s="517"/>
      <c r="B1491" s="517"/>
      <c r="C1491" s="517"/>
      <c r="D1491" s="517"/>
      <c r="E1491" s="517"/>
      <c r="F1491" s="517"/>
      <c r="G1491" s="649"/>
      <c r="H1491" s="517"/>
      <c r="I1491" s="517"/>
      <c r="J1491" s="517"/>
      <c r="K1491" s="517"/>
      <c r="L1491" s="519"/>
      <c r="M1491" s="519"/>
      <c r="N1491" s="519"/>
      <c r="O1491" s="519"/>
      <c r="P1491" s="519"/>
      <c r="Q1491" s="519"/>
      <c r="R1491" s="519"/>
      <c r="S1491" s="517"/>
      <c r="T1491" s="521"/>
    </row>
    <row r="1492" spans="1:20">
      <c r="A1492" s="517"/>
      <c r="B1492" s="517"/>
      <c r="C1492" s="517"/>
      <c r="D1492" s="517"/>
      <c r="E1492" s="517"/>
      <c r="F1492" s="517"/>
      <c r="G1492" s="649"/>
      <c r="H1492" s="517"/>
      <c r="I1492" s="517"/>
      <c r="J1492" s="517"/>
      <c r="K1492" s="517"/>
      <c r="L1492" s="519"/>
      <c r="M1492" s="519"/>
      <c r="N1492" s="519"/>
      <c r="O1492" s="519"/>
      <c r="P1492" s="519"/>
      <c r="Q1492" s="519"/>
      <c r="R1492" s="519"/>
      <c r="S1492" s="517"/>
      <c r="T1492" s="521"/>
    </row>
    <row r="1493" spans="1:20">
      <c r="A1493" s="517"/>
      <c r="B1493" s="517"/>
      <c r="C1493" s="517"/>
      <c r="D1493" s="517"/>
      <c r="E1493" s="517"/>
      <c r="F1493" s="517"/>
      <c r="G1493" s="649"/>
      <c r="H1493" s="517"/>
      <c r="I1493" s="517"/>
      <c r="J1493" s="517"/>
      <c r="K1493" s="517"/>
      <c r="L1493" s="519"/>
      <c r="M1493" s="519"/>
      <c r="N1493" s="519"/>
      <c r="O1493" s="519"/>
      <c r="P1493" s="519"/>
      <c r="Q1493" s="519"/>
      <c r="R1493" s="519"/>
      <c r="S1493" s="517"/>
      <c r="T1493" s="521"/>
    </row>
    <row r="1494" spans="1:20">
      <c r="A1494" s="517"/>
      <c r="B1494" s="517"/>
      <c r="C1494" s="517"/>
      <c r="D1494" s="517"/>
      <c r="E1494" s="517"/>
      <c r="F1494" s="517"/>
      <c r="G1494" s="649"/>
      <c r="H1494" s="517"/>
      <c r="I1494" s="517"/>
      <c r="J1494" s="517"/>
      <c r="K1494" s="517"/>
      <c r="L1494" s="519"/>
      <c r="M1494" s="519"/>
      <c r="N1494" s="519"/>
      <c r="O1494" s="519"/>
      <c r="P1494" s="519"/>
      <c r="Q1494" s="519"/>
      <c r="R1494" s="519"/>
      <c r="S1494" s="517"/>
      <c r="T1494" s="521"/>
    </row>
    <row r="1495" spans="1:20">
      <c r="A1495" s="517"/>
      <c r="B1495" s="517"/>
      <c r="C1495" s="517"/>
      <c r="D1495" s="517"/>
      <c r="E1495" s="517"/>
      <c r="F1495" s="517"/>
      <c r="G1495" s="649"/>
      <c r="H1495" s="517"/>
      <c r="I1495" s="517"/>
      <c r="J1495" s="517"/>
      <c r="K1495" s="517"/>
      <c r="L1495" s="519"/>
      <c r="M1495" s="519"/>
      <c r="N1495" s="519"/>
      <c r="O1495" s="519"/>
      <c r="P1495" s="519"/>
      <c r="Q1495" s="519"/>
      <c r="R1495" s="519"/>
      <c r="S1495" s="517"/>
      <c r="T1495" s="521"/>
    </row>
    <row r="1496" spans="1:20">
      <c r="A1496" s="517"/>
      <c r="B1496" s="517"/>
      <c r="C1496" s="517"/>
      <c r="D1496" s="517"/>
      <c r="E1496" s="517"/>
      <c r="F1496" s="517"/>
      <c r="G1496" s="649"/>
      <c r="H1496" s="517"/>
      <c r="I1496" s="517"/>
      <c r="J1496" s="517"/>
      <c r="K1496" s="517"/>
      <c r="L1496" s="519"/>
      <c r="M1496" s="519"/>
      <c r="N1496" s="519"/>
      <c r="O1496" s="519"/>
      <c r="P1496" s="519"/>
      <c r="Q1496" s="519"/>
      <c r="R1496" s="519"/>
      <c r="S1496" s="517"/>
      <c r="T1496" s="521"/>
    </row>
    <row r="1497" spans="1:20">
      <c r="A1497" s="517"/>
      <c r="B1497" s="517"/>
      <c r="C1497" s="517"/>
      <c r="D1497" s="517"/>
      <c r="E1497" s="517"/>
      <c r="F1497" s="517"/>
      <c r="G1497" s="649"/>
      <c r="H1497" s="517"/>
      <c r="I1497" s="517"/>
      <c r="J1497" s="517"/>
      <c r="K1497" s="517"/>
      <c r="L1497" s="519"/>
      <c r="M1497" s="519"/>
      <c r="N1497" s="519"/>
      <c r="O1497" s="519"/>
      <c r="P1497" s="519"/>
      <c r="Q1497" s="519"/>
      <c r="R1497" s="519"/>
      <c r="S1497" s="517"/>
      <c r="T1497" s="521"/>
    </row>
    <row r="1498" spans="1:20">
      <c r="A1498" s="517"/>
      <c r="B1498" s="517"/>
      <c r="C1498" s="517"/>
      <c r="D1498" s="517"/>
      <c r="E1498" s="517"/>
      <c r="F1498" s="517"/>
      <c r="G1498" s="649"/>
      <c r="H1498" s="517"/>
      <c r="I1498" s="517"/>
      <c r="J1498" s="517"/>
      <c r="K1498" s="517"/>
      <c r="L1498" s="519"/>
      <c r="M1498" s="519"/>
      <c r="N1498" s="519"/>
      <c r="O1498" s="519"/>
      <c r="P1498" s="519"/>
      <c r="Q1498" s="519"/>
      <c r="R1498" s="519"/>
      <c r="S1498" s="517"/>
      <c r="T1498" s="521"/>
    </row>
    <row r="1499" spans="1:20">
      <c r="A1499" s="517"/>
      <c r="B1499" s="517"/>
      <c r="C1499" s="517"/>
      <c r="D1499" s="517"/>
      <c r="E1499" s="517"/>
      <c r="F1499" s="517"/>
      <c r="G1499" s="649"/>
      <c r="H1499" s="517"/>
      <c r="I1499" s="517"/>
      <c r="J1499" s="517"/>
      <c r="K1499" s="517"/>
      <c r="L1499" s="519"/>
      <c r="M1499" s="519"/>
      <c r="N1499" s="519"/>
      <c r="O1499" s="519"/>
      <c r="P1499" s="519"/>
      <c r="Q1499" s="519"/>
      <c r="R1499" s="519"/>
      <c r="S1499" s="517"/>
      <c r="T1499" s="521"/>
    </row>
    <row r="1500" spans="1:20">
      <c r="A1500" s="517"/>
      <c r="B1500" s="517"/>
      <c r="C1500" s="517"/>
      <c r="D1500" s="517"/>
      <c r="E1500" s="517"/>
      <c r="F1500" s="517"/>
      <c r="G1500" s="649"/>
      <c r="H1500" s="517"/>
      <c r="I1500" s="517"/>
      <c r="J1500" s="517"/>
      <c r="K1500" s="517"/>
      <c r="L1500" s="519"/>
      <c r="M1500" s="519"/>
      <c r="N1500" s="519"/>
      <c r="O1500" s="519"/>
      <c r="P1500" s="519"/>
      <c r="Q1500" s="519"/>
      <c r="R1500" s="519"/>
      <c r="S1500" s="517"/>
      <c r="T1500" s="521"/>
    </row>
    <row r="1501" spans="1:20">
      <c r="A1501" s="517"/>
      <c r="B1501" s="517"/>
      <c r="C1501" s="517"/>
      <c r="D1501" s="517"/>
      <c r="E1501" s="517"/>
      <c r="F1501" s="517"/>
      <c r="G1501" s="649"/>
      <c r="H1501" s="517"/>
      <c r="I1501" s="517"/>
      <c r="J1501" s="517"/>
      <c r="K1501" s="517"/>
      <c r="L1501" s="519"/>
      <c r="M1501" s="519"/>
      <c r="N1501" s="519"/>
      <c r="O1501" s="519"/>
      <c r="P1501" s="519"/>
      <c r="Q1501" s="519"/>
      <c r="R1501" s="519"/>
      <c r="S1501" s="517"/>
      <c r="T1501" s="521"/>
    </row>
    <row r="1502" spans="1:20">
      <c r="A1502" s="517"/>
      <c r="B1502" s="517"/>
      <c r="C1502" s="517"/>
      <c r="D1502" s="517"/>
      <c r="E1502" s="517"/>
      <c r="F1502" s="517"/>
      <c r="G1502" s="649"/>
      <c r="H1502" s="517"/>
      <c r="I1502" s="517"/>
      <c r="J1502" s="517"/>
      <c r="K1502" s="517"/>
      <c r="L1502" s="519"/>
      <c r="M1502" s="519"/>
      <c r="N1502" s="519"/>
      <c r="O1502" s="519"/>
      <c r="P1502" s="519"/>
      <c r="Q1502" s="519"/>
      <c r="R1502" s="519"/>
      <c r="S1502" s="517"/>
      <c r="T1502" s="521"/>
    </row>
    <row r="1503" spans="1:20">
      <c r="A1503" s="517"/>
      <c r="B1503" s="517"/>
      <c r="C1503" s="517"/>
      <c r="D1503" s="517"/>
      <c r="E1503" s="517"/>
      <c r="F1503" s="517"/>
      <c r="G1503" s="649"/>
      <c r="H1503" s="517"/>
      <c r="I1503" s="517"/>
      <c r="J1503" s="517"/>
      <c r="K1503" s="517"/>
      <c r="L1503" s="519"/>
      <c r="M1503" s="519"/>
      <c r="N1503" s="519"/>
      <c r="O1503" s="519"/>
      <c r="P1503" s="519"/>
      <c r="Q1503" s="519"/>
      <c r="R1503" s="519"/>
      <c r="S1503" s="517"/>
      <c r="T1503" s="521"/>
    </row>
    <row r="1504" spans="1:20">
      <c r="A1504" s="517"/>
      <c r="B1504" s="517"/>
      <c r="C1504" s="517"/>
      <c r="D1504" s="517"/>
      <c r="E1504" s="517"/>
      <c r="F1504" s="517"/>
      <c r="G1504" s="649"/>
      <c r="H1504" s="517"/>
      <c r="I1504" s="517"/>
      <c r="J1504" s="517"/>
      <c r="K1504" s="517"/>
      <c r="L1504" s="519"/>
      <c r="M1504" s="519"/>
      <c r="N1504" s="519"/>
      <c r="O1504" s="519"/>
      <c r="P1504" s="519"/>
      <c r="Q1504" s="519"/>
      <c r="R1504" s="519"/>
      <c r="S1504" s="517"/>
      <c r="T1504" s="521"/>
    </row>
    <row r="1505" spans="1:20">
      <c r="A1505" s="517"/>
      <c r="B1505" s="517"/>
      <c r="C1505" s="517"/>
      <c r="D1505" s="517"/>
      <c r="E1505" s="517"/>
      <c r="F1505" s="517"/>
      <c r="G1505" s="649"/>
      <c r="H1505" s="517"/>
      <c r="I1505" s="517"/>
      <c r="J1505" s="517"/>
      <c r="K1505" s="517"/>
      <c r="L1505" s="519"/>
      <c r="M1505" s="519"/>
      <c r="N1505" s="519"/>
      <c r="O1505" s="519"/>
      <c r="P1505" s="519"/>
      <c r="Q1505" s="519"/>
      <c r="R1505" s="519"/>
      <c r="S1505" s="517"/>
      <c r="T1505" s="521"/>
    </row>
    <row r="1506" spans="1:20">
      <c r="A1506" s="517"/>
      <c r="B1506" s="517"/>
      <c r="C1506" s="517"/>
      <c r="D1506" s="517"/>
      <c r="E1506" s="517"/>
      <c r="F1506" s="517"/>
      <c r="G1506" s="649"/>
      <c r="H1506" s="517"/>
      <c r="I1506" s="517"/>
      <c r="J1506" s="517"/>
      <c r="K1506" s="517"/>
      <c r="L1506" s="519"/>
      <c r="M1506" s="519"/>
      <c r="N1506" s="519"/>
      <c r="O1506" s="519"/>
      <c r="P1506" s="519"/>
      <c r="Q1506" s="519"/>
      <c r="R1506" s="519"/>
      <c r="S1506" s="517"/>
      <c r="T1506" s="521"/>
    </row>
    <row r="1507" spans="1:20">
      <c r="A1507" s="517"/>
      <c r="B1507" s="517"/>
      <c r="C1507" s="517"/>
      <c r="D1507" s="517"/>
      <c r="E1507" s="517"/>
      <c r="F1507" s="517"/>
      <c r="G1507" s="649"/>
      <c r="H1507" s="517"/>
      <c r="I1507" s="517"/>
      <c r="J1507" s="517"/>
      <c r="K1507" s="517"/>
      <c r="L1507" s="519"/>
      <c r="M1507" s="519"/>
      <c r="N1507" s="519"/>
      <c r="O1507" s="519"/>
      <c r="P1507" s="519"/>
      <c r="Q1507" s="519"/>
      <c r="R1507" s="519"/>
      <c r="S1507" s="517"/>
      <c r="T1507" s="521"/>
    </row>
    <row r="1508" spans="1:20">
      <c r="A1508" s="517"/>
      <c r="B1508" s="517"/>
      <c r="C1508" s="517"/>
      <c r="D1508" s="517"/>
      <c r="E1508" s="517"/>
      <c r="F1508" s="517"/>
      <c r="G1508" s="649"/>
      <c r="H1508" s="517"/>
      <c r="I1508" s="517"/>
      <c r="J1508" s="517"/>
      <c r="K1508" s="517"/>
      <c r="L1508" s="519"/>
      <c r="M1508" s="519"/>
      <c r="N1508" s="519"/>
      <c r="O1508" s="519"/>
      <c r="P1508" s="519"/>
      <c r="Q1508" s="519"/>
      <c r="R1508" s="519"/>
      <c r="S1508" s="517"/>
      <c r="T1508" s="521"/>
    </row>
    <row r="1509" spans="1:20">
      <c r="A1509" s="517"/>
      <c r="B1509" s="517"/>
      <c r="C1509" s="517"/>
      <c r="D1509" s="517"/>
      <c r="E1509" s="517"/>
      <c r="F1509" s="517"/>
      <c r="G1509" s="649"/>
      <c r="H1509" s="517"/>
      <c r="I1509" s="517"/>
      <c r="J1509" s="517"/>
      <c r="K1509" s="517"/>
      <c r="L1509" s="519"/>
      <c r="M1509" s="519"/>
      <c r="N1509" s="519"/>
      <c r="O1509" s="519"/>
      <c r="P1509" s="519"/>
      <c r="Q1509" s="519"/>
      <c r="R1509" s="519"/>
      <c r="S1509" s="517"/>
      <c r="T1509" s="521"/>
    </row>
    <row r="1510" spans="1:20">
      <c r="A1510" s="517"/>
      <c r="B1510" s="517"/>
      <c r="C1510" s="517"/>
      <c r="D1510" s="517"/>
      <c r="E1510" s="517"/>
      <c r="F1510" s="517"/>
      <c r="G1510" s="649"/>
      <c r="H1510" s="517"/>
      <c r="I1510" s="517"/>
      <c r="J1510" s="517"/>
      <c r="K1510" s="517"/>
      <c r="L1510" s="519"/>
      <c r="M1510" s="519"/>
      <c r="N1510" s="519"/>
      <c r="O1510" s="519"/>
      <c r="P1510" s="519"/>
      <c r="Q1510" s="519"/>
      <c r="R1510" s="519"/>
      <c r="S1510" s="517"/>
      <c r="T1510" s="521"/>
    </row>
    <row r="1511" spans="1:20">
      <c r="A1511" s="517"/>
      <c r="B1511" s="517"/>
      <c r="C1511" s="517"/>
      <c r="D1511" s="517"/>
      <c r="E1511" s="517"/>
      <c r="F1511" s="517"/>
      <c r="G1511" s="649"/>
      <c r="H1511" s="517"/>
      <c r="I1511" s="517"/>
      <c r="J1511" s="517"/>
      <c r="K1511" s="517"/>
      <c r="L1511" s="519"/>
      <c r="M1511" s="519"/>
      <c r="N1511" s="519"/>
      <c r="O1511" s="519"/>
      <c r="P1511" s="519"/>
      <c r="Q1511" s="519"/>
      <c r="R1511" s="519"/>
      <c r="S1511" s="517"/>
      <c r="T1511" s="521"/>
    </row>
    <row r="1512" spans="1:20">
      <c r="A1512" s="517"/>
      <c r="B1512" s="517"/>
      <c r="C1512" s="517"/>
      <c r="D1512" s="517"/>
      <c r="E1512" s="517"/>
      <c r="F1512" s="517"/>
      <c r="G1512" s="649"/>
      <c r="H1512" s="517"/>
      <c r="I1512" s="517"/>
      <c r="J1512" s="517"/>
      <c r="K1512" s="517"/>
      <c r="L1512" s="519"/>
      <c r="M1512" s="519"/>
      <c r="N1512" s="519"/>
      <c r="O1512" s="519"/>
      <c r="P1512" s="519"/>
      <c r="Q1512" s="519"/>
      <c r="R1512" s="519"/>
      <c r="S1512" s="517"/>
      <c r="T1512" s="521"/>
    </row>
  </sheetData>
  <mergeCells count="3">
    <mergeCell ref="A5:B5"/>
    <mergeCell ref="A1203:B1203"/>
    <mergeCell ref="A1147:B1147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72" orientation="portrait" r:id="rId1"/>
  <headerFooter alignWithMargins="0"/>
  <rowBreaks count="4" manualBreakCount="4">
    <brk id="384" max="19" man="1"/>
    <brk id="893" max="19" man="1"/>
    <brk id="1064" max="19" man="1"/>
    <brk id="1146" max="19" man="1"/>
  </rowBreaks>
  <colBreaks count="1" manualBreakCount="1">
    <brk id="18" max="12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AA1337"/>
  <sheetViews>
    <sheetView zoomScale="75" zoomScaleNormal="100" workbookViewId="0">
      <pane ySplit="2505" topLeftCell="A1208" activePane="bottomLeft"/>
      <selection activeCell="P3" sqref="P3"/>
      <selection pane="bottomLeft" activeCell="E1222" sqref="E1222"/>
    </sheetView>
  </sheetViews>
  <sheetFormatPr defaultRowHeight="15"/>
  <cols>
    <col min="1" max="1" width="6" customWidth="1"/>
    <col min="2" max="2" width="24.85546875" style="162" customWidth="1"/>
    <col min="3" max="5" width="12.85546875" customWidth="1"/>
    <col min="6" max="6" width="12.85546875" style="38" customWidth="1"/>
    <col min="7" max="7" width="11" style="373" bestFit="1" customWidth="1"/>
    <col min="8" max="8" width="12.7109375" style="392" customWidth="1"/>
    <col min="9" max="9" width="11.85546875" style="38" customWidth="1"/>
    <col min="10" max="10" width="10.5703125" style="38" customWidth="1"/>
    <col min="11" max="11" width="11.140625" style="38" customWidth="1"/>
    <col min="12" max="12" width="10.5703125" style="38" customWidth="1"/>
    <col min="13" max="13" width="9.5703125" style="38" customWidth="1"/>
    <col min="14" max="14" width="9.5703125" style="38" hidden="1" customWidth="1"/>
    <col min="15" max="15" width="10.140625" style="38" customWidth="1"/>
  </cols>
  <sheetData>
    <row r="1" spans="1:15" s="6" customFormat="1" ht="15" customHeight="1">
      <c r="A1" s="5" t="s">
        <v>619</v>
      </c>
      <c r="F1" s="34"/>
      <c r="G1" s="354"/>
      <c r="I1" s="34"/>
      <c r="J1" s="34"/>
      <c r="K1" s="34"/>
      <c r="L1" s="34"/>
      <c r="M1" s="34"/>
      <c r="N1" s="34"/>
      <c r="O1" s="34"/>
    </row>
    <row r="2" spans="1:15" s="6" customFormat="1" ht="12.75" customHeight="1">
      <c r="B2" s="5" t="s">
        <v>672</v>
      </c>
      <c r="F2" s="34"/>
      <c r="G2" s="354"/>
      <c r="I2" s="34"/>
      <c r="J2" s="34"/>
      <c r="K2" s="34"/>
      <c r="L2" s="35"/>
      <c r="M2" s="34"/>
      <c r="N2" s="34"/>
      <c r="O2" s="34"/>
    </row>
    <row r="3" spans="1:15" s="6" customFormat="1" ht="126">
      <c r="A3" s="8" t="s">
        <v>574</v>
      </c>
      <c r="B3" s="8" t="s">
        <v>674</v>
      </c>
      <c r="C3" s="15" t="s">
        <v>1331</v>
      </c>
      <c r="D3" s="15" t="s">
        <v>610</v>
      </c>
      <c r="E3" s="15" t="s">
        <v>611</v>
      </c>
      <c r="F3" s="44" t="s">
        <v>575</v>
      </c>
      <c r="G3" s="355" t="s">
        <v>1387</v>
      </c>
      <c r="H3" s="15" t="s">
        <v>576</v>
      </c>
      <c r="I3" s="44" t="s">
        <v>577</v>
      </c>
      <c r="J3" s="44" t="s">
        <v>578</v>
      </c>
      <c r="K3" s="44" t="s">
        <v>579</v>
      </c>
      <c r="L3" s="44" t="s">
        <v>580</v>
      </c>
      <c r="M3" s="44" t="s">
        <v>581</v>
      </c>
      <c r="N3" s="44">
        <v>1.29</v>
      </c>
      <c r="O3" s="44" t="s">
        <v>582</v>
      </c>
    </row>
    <row r="4" spans="1:15" s="6" customFormat="1" ht="15.7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56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/>
      <c r="O4" s="3">
        <v>14</v>
      </c>
    </row>
    <row r="5" spans="1:15" s="6" customFormat="1" ht="15.75">
      <c r="A5" s="9" t="s">
        <v>620</v>
      </c>
      <c r="B5" s="8"/>
      <c r="C5" s="8"/>
      <c r="D5" s="8"/>
      <c r="E5" s="8"/>
      <c r="F5" s="40"/>
      <c r="G5" s="353"/>
      <c r="H5" s="8"/>
      <c r="I5" s="41"/>
      <c r="J5" s="37"/>
      <c r="K5" s="37"/>
      <c r="L5" s="37"/>
      <c r="M5" s="37"/>
      <c r="N5" s="37"/>
      <c r="O5" s="45"/>
    </row>
    <row r="6" spans="1:15" s="6" customFormat="1" ht="15.75">
      <c r="A6" s="53">
        <v>1</v>
      </c>
      <c r="B6" s="146" t="s">
        <v>683</v>
      </c>
      <c r="C6" s="386">
        <v>9570.0499999999993</v>
      </c>
      <c r="D6" s="8"/>
      <c r="E6" s="8"/>
      <c r="F6" s="40">
        <f>C6+D6+E6</f>
        <v>9570.0499999999993</v>
      </c>
      <c r="G6" s="8">
        <v>2237.5700000000002</v>
      </c>
      <c r="H6" s="339">
        <v>2237.5700000000002</v>
      </c>
      <c r="I6" s="72">
        <f>H6/3000</f>
        <v>0.74585666666666672</v>
      </c>
      <c r="J6" s="37">
        <f t="shared" ref="J6:J66" si="0">I6*2017.01</f>
        <v>1504.4003552333334</v>
      </c>
      <c r="K6" s="37">
        <f>J6*0.3677</f>
        <v>553.16801061929675</v>
      </c>
      <c r="L6" s="37">
        <v>581.13422183333341</v>
      </c>
      <c r="M6" s="37">
        <f>I6*84.08</f>
        <v>62.711628533333339</v>
      </c>
      <c r="N6" s="37"/>
      <c r="O6" s="45">
        <f>(J6+K6+L6+M6)/F6</f>
        <v>0.28227796262499116</v>
      </c>
    </row>
    <row r="7" spans="1:15" s="6" customFormat="1" ht="15.75">
      <c r="A7" s="53">
        <v>2</v>
      </c>
      <c r="B7" s="146" t="s">
        <v>684</v>
      </c>
      <c r="C7" s="330">
        <v>4259.1400000000003</v>
      </c>
      <c r="D7" s="8"/>
      <c r="E7" s="8"/>
      <c r="F7" s="40">
        <f t="shared" ref="F7:F79" si="1">C7+D7+E7</f>
        <v>4259.1400000000003</v>
      </c>
      <c r="G7" s="8">
        <v>1018.02</v>
      </c>
      <c r="H7" s="339">
        <v>1018.02</v>
      </c>
      <c r="I7" s="72">
        <f t="shared" ref="I7:I66" si="2">H7/3000</f>
        <v>0.33933999999999997</v>
      </c>
      <c r="J7" s="37">
        <f t="shared" si="0"/>
        <v>684.45217339999999</v>
      </c>
      <c r="K7" s="37">
        <f t="shared" ref="K7:K79" si="3">J7*0.3677</f>
        <v>251.67306415918003</v>
      </c>
      <c r="L7" s="37">
        <v>264.39676099999997</v>
      </c>
      <c r="M7" s="37">
        <f t="shared" ref="M7:M77" si="4">I7*84.08</f>
        <v>28.531707199999996</v>
      </c>
      <c r="N7" s="37"/>
      <c r="O7" s="45">
        <f t="shared" ref="O7:O70" si="5">(J7+K7+L7+M7)/F7</f>
        <v>0.28856851518362392</v>
      </c>
    </row>
    <row r="8" spans="1:15" s="6" customFormat="1" ht="15.75">
      <c r="A8" s="53">
        <v>3</v>
      </c>
      <c r="B8" s="146" t="s">
        <v>685</v>
      </c>
      <c r="C8" s="330">
        <v>8696.41</v>
      </c>
      <c r="D8" s="8"/>
      <c r="E8" s="8"/>
      <c r="F8" s="40">
        <f t="shared" si="1"/>
        <v>8696.41</v>
      </c>
      <c r="G8" s="8">
        <v>1479.5</v>
      </c>
      <c r="H8" s="339">
        <v>1479.5</v>
      </c>
      <c r="I8" s="72">
        <f t="shared" si="2"/>
        <v>0.49316666666666664</v>
      </c>
      <c r="J8" s="37">
        <f t="shared" si="0"/>
        <v>994.72209833333329</v>
      </c>
      <c r="K8" s="37">
        <f t="shared" si="3"/>
        <v>365.7593155571667</v>
      </c>
      <c r="L8" s="37">
        <v>384.25080833333328</v>
      </c>
      <c r="M8" s="37">
        <f t="shared" si="4"/>
        <v>41.465453333333329</v>
      </c>
      <c r="N8" s="37"/>
      <c r="O8" s="45">
        <f t="shared" si="5"/>
        <v>0.2053948325294192</v>
      </c>
    </row>
    <row r="9" spans="1:15" s="6" customFormat="1" ht="15.75">
      <c r="A9" s="53">
        <v>4</v>
      </c>
      <c r="B9" s="146" t="s">
        <v>686</v>
      </c>
      <c r="C9" s="330">
        <v>2719.72</v>
      </c>
      <c r="D9" s="8"/>
      <c r="E9" s="8"/>
      <c r="F9" s="40">
        <f t="shared" si="1"/>
        <v>2719.72</v>
      </c>
      <c r="G9" s="8">
        <v>919</v>
      </c>
      <c r="H9" s="339">
        <v>919</v>
      </c>
      <c r="I9" s="72">
        <f t="shared" si="2"/>
        <v>0.30633333333333335</v>
      </c>
      <c r="J9" s="37">
        <f t="shared" si="0"/>
        <v>617.87739666666664</v>
      </c>
      <c r="K9" s="37">
        <f t="shared" si="3"/>
        <v>227.19351875433335</v>
      </c>
      <c r="L9" s="37">
        <v>238.67961666666667</v>
      </c>
      <c r="M9" s="37">
        <f t="shared" si="4"/>
        <v>25.756506666666667</v>
      </c>
      <c r="N9" s="37"/>
      <c r="O9" s="45">
        <f t="shared" si="5"/>
        <v>0.40794899429144665</v>
      </c>
    </row>
    <row r="10" spans="1:15" s="6" customFormat="1" ht="15.75">
      <c r="A10" s="53">
        <v>5</v>
      </c>
      <c r="B10" s="146" t="s">
        <v>687</v>
      </c>
      <c r="C10" s="330">
        <v>4138.7</v>
      </c>
      <c r="D10" s="8"/>
      <c r="E10" s="8"/>
      <c r="F10" s="40">
        <f t="shared" si="1"/>
        <v>4138.7</v>
      </c>
      <c r="G10" s="8">
        <v>965.3</v>
      </c>
      <c r="H10" s="339">
        <v>965.3</v>
      </c>
      <c r="I10" s="72">
        <f t="shared" si="2"/>
        <v>0.32176666666666665</v>
      </c>
      <c r="J10" s="37">
        <f t="shared" si="0"/>
        <v>649.00658433333331</v>
      </c>
      <c r="K10" s="37">
        <f t="shared" si="3"/>
        <v>238.63972105936668</v>
      </c>
      <c r="L10" s="37">
        <v>250.70449833333331</v>
      </c>
      <c r="M10" s="37">
        <f t="shared" si="4"/>
        <v>27.05414133333333</v>
      </c>
      <c r="N10" s="37"/>
      <c r="O10" s="45">
        <f t="shared" si="5"/>
        <v>0.28158720010132809</v>
      </c>
    </row>
    <row r="11" spans="1:15" s="6" customFormat="1" ht="15.75">
      <c r="A11" s="53">
        <v>6</v>
      </c>
      <c r="B11" s="146" t="s">
        <v>688</v>
      </c>
      <c r="C11" s="330">
        <v>4166.1899999999996</v>
      </c>
      <c r="D11" s="8"/>
      <c r="E11" s="8"/>
      <c r="F11" s="40">
        <f t="shared" si="1"/>
        <v>4166.1899999999996</v>
      </c>
      <c r="G11" s="8">
        <v>1429.9</v>
      </c>
      <c r="H11" s="339">
        <v>1429.9</v>
      </c>
      <c r="I11" s="72">
        <f t="shared" si="2"/>
        <v>0.47663333333333335</v>
      </c>
      <c r="J11" s="37">
        <f t="shared" si="0"/>
        <v>961.37419966666675</v>
      </c>
      <c r="K11" s="37">
        <f t="shared" si="3"/>
        <v>353.49729321743337</v>
      </c>
      <c r="L11" s="37">
        <v>371.36886166666665</v>
      </c>
      <c r="M11" s="37">
        <f t="shared" si="4"/>
        <v>40.075330666666666</v>
      </c>
      <c r="N11" s="37"/>
      <c r="O11" s="45">
        <f t="shared" si="5"/>
        <v>0.41436316759855729</v>
      </c>
    </row>
    <row r="12" spans="1:15" s="6" customFormat="1" ht="15.75">
      <c r="A12" s="53">
        <v>7</v>
      </c>
      <c r="B12" s="146" t="s">
        <v>689</v>
      </c>
      <c r="C12" s="330">
        <v>3572.8</v>
      </c>
      <c r="D12" s="8"/>
      <c r="E12" s="8"/>
      <c r="F12" s="40">
        <f t="shared" si="1"/>
        <v>3572.8</v>
      </c>
      <c r="G12" s="8">
        <v>1133.8</v>
      </c>
      <c r="H12" s="339">
        <v>1133.8</v>
      </c>
      <c r="I12" s="72">
        <f t="shared" si="2"/>
        <v>0.37793333333333334</v>
      </c>
      <c r="J12" s="37">
        <f t="shared" si="0"/>
        <v>762.29531266666663</v>
      </c>
      <c r="K12" s="37">
        <f t="shared" si="3"/>
        <v>280.29598646753334</v>
      </c>
      <c r="L12" s="37">
        <v>294.46675666666664</v>
      </c>
      <c r="M12" s="37">
        <f t="shared" si="4"/>
        <v>31.776634666666666</v>
      </c>
      <c r="N12" s="37"/>
      <c r="O12" s="45">
        <f t="shared" si="5"/>
        <v>0.3831265927193051</v>
      </c>
    </row>
    <row r="13" spans="1:15" s="6" customFormat="1" ht="15.75">
      <c r="A13" s="53">
        <v>8</v>
      </c>
      <c r="B13" s="146" t="s">
        <v>690</v>
      </c>
      <c r="C13" s="330">
        <v>6443.05</v>
      </c>
      <c r="D13" s="8"/>
      <c r="E13" s="8"/>
      <c r="F13" s="40">
        <f t="shared" si="1"/>
        <v>6443.05</v>
      </c>
      <c r="G13" s="8">
        <v>2300.63</v>
      </c>
      <c r="H13" s="339">
        <v>2300.63</v>
      </c>
      <c r="I13" s="72">
        <f t="shared" si="2"/>
        <v>0.76687666666666665</v>
      </c>
      <c r="J13" s="37">
        <f t="shared" si="0"/>
        <v>1546.7979054333332</v>
      </c>
      <c r="K13" s="37">
        <f t="shared" si="3"/>
        <v>568.75758982783668</v>
      </c>
      <c r="L13" s="37">
        <v>597.51195483333333</v>
      </c>
      <c r="M13" s="37">
        <f t="shared" si="4"/>
        <v>64.478990133333326</v>
      </c>
      <c r="N13" s="37"/>
      <c r="O13" s="45">
        <f t="shared" si="5"/>
        <v>0.43109186491302048</v>
      </c>
    </row>
    <row r="14" spans="1:15" s="6" customFormat="1" ht="15.75">
      <c r="A14" s="53">
        <v>9</v>
      </c>
      <c r="B14" s="146" t="s">
        <v>691</v>
      </c>
      <c r="C14" s="330">
        <v>6459.7</v>
      </c>
      <c r="D14" s="8"/>
      <c r="E14" s="8"/>
      <c r="F14" s="40">
        <f t="shared" si="1"/>
        <v>6459.7</v>
      </c>
      <c r="G14" s="8">
        <v>2463.9499999999998</v>
      </c>
      <c r="H14" s="339">
        <v>2463.9499999999998</v>
      </c>
      <c r="I14" s="72">
        <f t="shared" si="2"/>
        <v>0.82131666666666658</v>
      </c>
      <c r="J14" s="37">
        <f t="shared" si="0"/>
        <v>1656.6039298333333</v>
      </c>
      <c r="K14" s="37">
        <f t="shared" si="3"/>
        <v>609.13326499971674</v>
      </c>
      <c r="L14" s="37">
        <v>639.92888083333321</v>
      </c>
      <c r="M14" s="37">
        <f t="shared" si="4"/>
        <v>69.056305333333327</v>
      </c>
      <c r="N14" s="37"/>
      <c r="O14" s="45">
        <f t="shared" si="5"/>
        <v>0.46050472638043821</v>
      </c>
    </row>
    <row r="15" spans="1:15" s="6" customFormat="1" ht="15.75">
      <c r="A15" s="53">
        <v>10</v>
      </c>
      <c r="B15" s="146" t="s">
        <v>692</v>
      </c>
      <c r="C15" s="330">
        <v>4374.04</v>
      </c>
      <c r="D15" s="8"/>
      <c r="E15" s="8"/>
      <c r="F15" s="40">
        <f t="shared" si="1"/>
        <v>4374.04</v>
      </c>
      <c r="G15" s="8">
        <v>1639.4</v>
      </c>
      <c r="H15" s="339">
        <v>1639.4</v>
      </c>
      <c r="I15" s="72">
        <f t="shared" si="2"/>
        <v>0.54646666666666666</v>
      </c>
      <c r="J15" s="37">
        <f t="shared" si="0"/>
        <v>1102.2287313333334</v>
      </c>
      <c r="K15" s="37">
        <f t="shared" si="3"/>
        <v>405.28950451126673</v>
      </c>
      <c r="L15" s="37">
        <v>425.77950333333331</v>
      </c>
      <c r="M15" s="37">
        <f t="shared" si="4"/>
        <v>45.946917333333332</v>
      </c>
      <c r="N15" s="37"/>
      <c r="O15" s="45">
        <f t="shared" si="5"/>
        <v>0.45249806963614109</v>
      </c>
    </row>
    <row r="16" spans="1:15" s="6" customFormat="1" ht="15.75">
      <c r="A16" s="53">
        <v>11</v>
      </c>
      <c r="B16" s="146" t="s">
        <v>693</v>
      </c>
      <c r="C16" s="330">
        <v>3413.87</v>
      </c>
      <c r="D16" s="8"/>
      <c r="E16" s="8">
        <v>85.7</v>
      </c>
      <c r="F16" s="40">
        <f t="shared" si="1"/>
        <v>3499.5699999999997</v>
      </c>
      <c r="G16" s="8">
        <v>1062</v>
      </c>
      <c r="H16" s="339">
        <v>1062</v>
      </c>
      <c r="I16" s="72">
        <f t="shared" si="2"/>
        <v>0.35399999999999998</v>
      </c>
      <c r="J16" s="37">
        <f t="shared" si="0"/>
        <v>714.02153999999996</v>
      </c>
      <c r="K16" s="37">
        <f t="shared" si="3"/>
        <v>262.54572025800002</v>
      </c>
      <c r="L16" s="37">
        <v>275.81909999999999</v>
      </c>
      <c r="M16" s="37">
        <f t="shared" si="4"/>
        <v>29.764319999999998</v>
      </c>
      <c r="N16" s="37"/>
      <c r="O16" s="45">
        <f t="shared" si="5"/>
        <v>0.36637377742351207</v>
      </c>
    </row>
    <row r="17" spans="1:15" s="6" customFormat="1" ht="15.75">
      <c r="A17" s="53">
        <v>12</v>
      </c>
      <c r="B17" s="146" t="s">
        <v>694</v>
      </c>
      <c r="C17" s="330">
        <v>3466.61</v>
      </c>
      <c r="D17" s="8">
        <v>97.8</v>
      </c>
      <c r="E17" s="8"/>
      <c r="F17" s="40">
        <f t="shared" si="1"/>
        <v>3564.4100000000003</v>
      </c>
      <c r="G17" s="8">
        <v>1158</v>
      </c>
      <c r="H17" s="339">
        <v>1158</v>
      </c>
      <c r="I17" s="72">
        <f t="shared" si="2"/>
        <v>0.38600000000000001</v>
      </c>
      <c r="J17" s="37">
        <f t="shared" si="0"/>
        <v>778.56586000000004</v>
      </c>
      <c r="K17" s="37">
        <f t="shared" si="3"/>
        <v>286.27866672200003</v>
      </c>
      <c r="L17" s="37">
        <v>300.75189999999998</v>
      </c>
      <c r="M17" s="37">
        <f t="shared" si="4"/>
        <v>32.454880000000003</v>
      </c>
      <c r="N17" s="37"/>
      <c r="O17" s="45">
        <f t="shared" si="5"/>
        <v>0.39222516677991581</v>
      </c>
    </row>
    <row r="18" spans="1:15" s="6" customFormat="1" ht="15.75">
      <c r="A18" s="53">
        <v>13</v>
      </c>
      <c r="B18" s="146" t="s">
        <v>695</v>
      </c>
      <c r="C18" s="330">
        <v>5767.21</v>
      </c>
      <c r="D18" s="8">
        <v>261.60000000000002</v>
      </c>
      <c r="E18" s="8">
        <v>456.05</v>
      </c>
      <c r="F18" s="40">
        <f t="shared" si="1"/>
        <v>6484.8600000000006</v>
      </c>
      <c r="G18" s="8">
        <v>2226.9</v>
      </c>
      <c r="H18" s="339">
        <v>2226.9</v>
      </c>
      <c r="I18" s="72">
        <f t="shared" si="2"/>
        <v>0.74230000000000007</v>
      </c>
      <c r="J18" s="37">
        <f t="shared" si="0"/>
        <v>1497.226523</v>
      </c>
      <c r="K18" s="37">
        <f t="shared" si="3"/>
        <v>550.53019250710008</v>
      </c>
      <c r="L18" s="37">
        <v>578.36304500000006</v>
      </c>
      <c r="M18" s="37">
        <f t="shared" si="4"/>
        <v>62.412584000000003</v>
      </c>
      <c r="N18" s="37"/>
      <c r="O18" s="45">
        <f t="shared" si="5"/>
        <v>0.41458602722450449</v>
      </c>
    </row>
    <row r="19" spans="1:15" s="6" customFormat="1" ht="15" customHeight="1">
      <c r="A19" s="53">
        <v>14</v>
      </c>
      <c r="B19" s="146" t="s">
        <v>696</v>
      </c>
      <c r="C19" s="330">
        <v>5966.95</v>
      </c>
      <c r="D19" s="8"/>
      <c r="E19" s="8">
        <v>49.5</v>
      </c>
      <c r="F19" s="40">
        <f t="shared" si="1"/>
        <v>6016.45</v>
      </c>
      <c r="G19" s="8">
        <v>2196.63</v>
      </c>
      <c r="H19" s="339">
        <v>2196.63</v>
      </c>
      <c r="I19" s="72">
        <f t="shared" si="2"/>
        <v>0.73221000000000003</v>
      </c>
      <c r="J19" s="37">
        <f t="shared" si="0"/>
        <v>1476.8748921000001</v>
      </c>
      <c r="K19" s="37">
        <f t="shared" si="3"/>
        <v>543.04689782517005</v>
      </c>
      <c r="L19" s="37">
        <v>570.50142149999999</v>
      </c>
      <c r="M19" s="37">
        <f t="shared" si="4"/>
        <v>61.564216800000004</v>
      </c>
      <c r="N19" s="37"/>
      <c r="O19" s="45">
        <f t="shared" si="5"/>
        <v>0.44078940707978465</v>
      </c>
    </row>
    <row r="20" spans="1:15" s="6" customFormat="1" ht="15.75">
      <c r="A20" s="53">
        <v>15</v>
      </c>
      <c r="B20" s="146" t="s">
        <v>697</v>
      </c>
      <c r="C20" s="330">
        <v>8566.1200000000008</v>
      </c>
      <c r="D20" s="8"/>
      <c r="E20" s="8"/>
      <c r="F20" s="40">
        <f t="shared" si="1"/>
        <v>8566.1200000000008</v>
      </c>
      <c r="G20" s="8">
        <v>2082.7199999999998</v>
      </c>
      <c r="H20" s="339">
        <v>2082.7199999999998</v>
      </c>
      <c r="I20" s="72">
        <f t="shared" si="2"/>
        <v>0.69423999999999997</v>
      </c>
      <c r="J20" s="37">
        <f t="shared" si="0"/>
        <v>1400.2890224</v>
      </c>
      <c r="K20" s="37">
        <f t="shared" si="3"/>
        <v>514.88627353648008</v>
      </c>
      <c r="L20" s="37">
        <v>540.91709600000002</v>
      </c>
      <c r="M20" s="37">
        <f t="shared" si="4"/>
        <v>58.371699199999995</v>
      </c>
      <c r="N20" s="37"/>
      <c r="O20" s="45">
        <f t="shared" si="5"/>
        <v>0.29353594055844184</v>
      </c>
    </row>
    <row r="21" spans="1:15" s="6" customFormat="1" ht="15.75">
      <c r="A21" s="53">
        <v>16</v>
      </c>
      <c r="B21" s="146" t="s">
        <v>698</v>
      </c>
      <c r="C21" s="330">
        <v>5774.55</v>
      </c>
      <c r="D21" s="8">
        <v>201.5</v>
      </c>
      <c r="E21" s="8"/>
      <c r="F21" s="40">
        <f t="shared" si="1"/>
        <v>5976.05</v>
      </c>
      <c r="G21" s="8">
        <v>1892</v>
      </c>
      <c r="H21" s="339">
        <v>1892</v>
      </c>
      <c r="I21" s="72">
        <f t="shared" si="2"/>
        <v>0.63066666666666671</v>
      </c>
      <c r="J21" s="37">
        <f t="shared" si="0"/>
        <v>1272.0609733333333</v>
      </c>
      <c r="K21" s="37">
        <f t="shared" si="3"/>
        <v>467.73681989466672</v>
      </c>
      <c r="L21" s="37">
        <v>491.38393333333335</v>
      </c>
      <c r="M21" s="37">
        <f t="shared" si="4"/>
        <v>53.026453333333336</v>
      </c>
      <c r="N21" s="37"/>
      <c r="O21" s="45">
        <f t="shared" si="5"/>
        <v>0.38222708643580072</v>
      </c>
    </row>
    <row r="22" spans="1:15" s="6" customFormat="1" ht="15.75">
      <c r="A22" s="53">
        <v>17</v>
      </c>
      <c r="B22" s="146" t="s">
        <v>699</v>
      </c>
      <c r="C22" s="330">
        <v>3226.62</v>
      </c>
      <c r="D22" s="8"/>
      <c r="E22" s="8"/>
      <c r="F22" s="40">
        <f t="shared" si="1"/>
        <v>3226.62</v>
      </c>
      <c r="G22" s="8">
        <v>1209</v>
      </c>
      <c r="H22" s="339">
        <v>1209</v>
      </c>
      <c r="I22" s="72">
        <f t="shared" si="2"/>
        <v>0.40300000000000002</v>
      </c>
      <c r="J22" s="37">
        <f t="shared" si="0"/>
        <v>812.85503000000006</v>
      </c>
      <c r="K22" s="37">
        <f t="shared" si="3"/>
        <v>298.88679453100002</v>
      </c>
      <c r="L22" s="37">
        <v>313.99745000000001</v>
      </c>
      <c r="M22" s="37">
        <f t="shared" si="4"/>
        <v>33.884239999999998</v>
      </c>
      <c r="N22" s="37"/>
      <c r="O22" s="45">
        <f t="shared" si="5"/>
        <v>0.4523692019918677</v>
      </c>
    </row>
    <row r="23" spans="1:15" s="6" customFormat="1" ht="15.75">
      <c r="A23" s="53">
        <v>18</v>
      </c>
      <c r="B23" s="146" t="s">
        <v>700</v>
      </c>
      <c r="C23" s="330">
        <v>3233.9</v>
      </c>
      <c r="D23" s="8"/>
      <c r="E23" s="8"/>
      <c r="F23" s="40">
        <f t="shared" si="1"/>
        <v>3233.9</v>
      </c>
      <c r="G23" s="8">
        <v>1223</v>
      </c>
      <c r="H23" s="339">
        <v>1223</v>
      </c>
      <c r="I23" s="72">
        <f t="shared" si="2"/>
        <v>0.40766666666666668</v>
      </c>
      <c r="J23" s="37">
        <f t="shared" si="0"/>
        <v>822.26774333333333</v>
      </c>
      <c r="K23" s="37">
        <f t="shared" si="3"/>
        <v>302.34784922366669</v>
      </c>
      <c r="L23" s="37">
        <v>317.63348333333334</v>
      </c>
      <c r="M23" s="37">
        <f t="shared" si="4"/>
        <v>34.27661333333333</v>
      </c>
      <c r="N23" s="37"/>
      <c r="O23" s="45">
        <f t="shared" si="5"/>
        <v>0.45657741093529997</v>
      </c>
    </row>
    <row r="24" spans="1:15" s="6" customFormat="1" ht="15.75">
      <c r="A24" s="53">
        <v>19</v>
      </c>
      <c r="B24" s="146" t="s">
        <v>701</v>
      </c>
      <c r="C24" s="330">
        <v>6095.4</v>
      </c>
      <c r="D24" s="8"/>
      <c r="E24" s="8"/>
      <c r="F24" s="40">
        <f t="shared" si="1"/>
        <v>6095.4</v>
      </c>
      <c r="G24" s="8">
        <v>1782</v>
      </c>
      <c r="H24" s="339">
        <v>1782</v>
      </c>
      <c r="I24" s="72">
        <f t="shared" si="2"/>
        <v>0.59399999999999997</v>
      </c>
      <c r="J24" s="37">
        <f t="shared" si="0"/>
        <v>1198.10394</v>
      </c>
      <c r="K24" s="37">
        <f t="shared" si="3"/>
        <v>440.54281873799999</v>
      </c>
      <c r="L24" s="37">
        <v>462.81509999999997</v>
      </c>
      <c r="M24" s="37">
        <f t="shared" si="4"/>
        <v>49.943519999999999</v>
      </c>
      <c r="N24" s="37"/>
      <c r="O24" s="45">
        <f t="shared" si="5"/>
        <v>0.35295556956688651</v>
      </c>
    </row>
    <row r="25" spans="1:15" s="6" customFormat="1" ht="15.75">
      <c r="A25" s="53">
        <v>20</v>
      </c>
      <c r="B25" s="146" t="s">
        <v>702</v>
      </c>
      <c r="C25" s="330">
        <v>6384.91</v>
      </c>
      <c r="D25" s="8"/>
      <c r="E25" s="8"/>
      <c r="F25" s="40">
        <f t="shared" si="1"/>
        <v>6384.91</v>
      </c>
      <c r="G25" s="8">
        <v>2324.61</v>
      </c>
      <c r="H25" s="339">
        <v>2324.61</v>
      </c>
      <c r="I25" s="72">
        <f t="shared" si="2"/>
        <v>0.77487000000000006</v>
      </c>
      <c r="J25" s="37">
        <f t="shared" si="0"/>
        <v>1562.9205387000002</v>
      </c>
      <c r="K25" s="37">
        <f t="shared" si="3"/>
        <v>574.68588207999005</v>
      </c>
      <c r="L25" s="37">
        <v>603.73996050000005</v>
      </c>
      <c r="M25" s="37">
        <f t="shared" si="4"/>
        <v>65.1510696</v>
      </c>
      <c r="N25" s="37"/>
      <c r="O25" s="45">
        <f t="shared" si="5"/>
        <v>0.43955160697331525</v>
      </c>
    </row>
    <row r="26" spans="1:15" s="6" customFormat="1" ht="15.75">
      <c r="A26" s="53">
        <v>21</v>
      </c>
      <c r="B26" s="146" t="s">
        <v>703</v>
      </c>
      <c r="C26" s="330">
        <v>3929.49</v>
      </c>
      <c r="D26" s="8">
        <v>464.4</v>
      </c>
      <c r="E26" s="8"/>
      <c r="F26" s="40">
        <f t="shared" si="1"/>
        <v>4393.8899999999994</v>
      </c>
      <c r="G26" s="8">
        <v>1076.75</v>
      </c>
      <c r="H26" s="339">
        <v>1076.75</v>
      </c>
      <c r="I26" s="72">
        <f t="shared" si="2"/>
        <v>0.35891666666666666</v>
      </c>
      <c r="J26" s="37">
        <f t="shared" si="0"/>
        <v>723.93850583333335</v>
      </c>
      <c r="K26" s="37">
        <f t="shared" si="3"/>
        <v>266.19218859491667</v>
      </c>
      <c r="L26" s="37">
        <v>279.64992083333334</v>
      </c>
      <c r="M26" s="37">
        <f t="shared" si="4"/>
        <v>30.177713333333333</v>
      </c>
      <c r="N26" s="37"/>
      <c r="O26" s="45">
        <f t="shared" si="5"/>
        <v>0.29585591095701463</v>
      </c>
    </row>
    <row r="27" spans="1:15" s="6" customFormat="1" ht="15.75">
      <c r="A27" s="53">
        <v>22</v>
      </c>
      <c r="B27" s="146" t="s">
        <v>704</v>
      </c>
      <c r="C27" s="330">
        <v>7174.09</v>
      </c>
      <c r="D27" s="8"/>
      <c r="E27" s="8"/>
      <c r="F27" s="40">
        <f t="shared" si="1"/>
        <v>7174.09</v>
      </c>
      <c r="G27" s="8">
        <v>2748.65</v>
      </c>
      <c r="H27" s="339">
        <v>2748.65</v>
      </c>
      <c r="I27" s="72">
        <f t="shared" si="2"/>
        <v>0.91621666666666668</v>
      </c>
      <c r="J27" s="37">
        <f t="shared" si="0"/>
        <v>1848.0181788333334</v>
      </c>
      <c r="K27" s="37">
        <f t="shared" si="3"/>
        <v>679.51628435701673</v>
      </c>
      <c r="L27" s="37">
        <v>713.8702158333333</v>
      </c>
      <c r="M27" s="37">
        <f t="shared" si="4"/>
        <v>77.035497333333339</v>
      </c>
      <c r="N27" s="37"/>
      <c r="O27" s="45">
        <f t="shared" si="5"/>
        <v>0.46255903903589396</v>
      </c>
    </row>
    <row r="28" spans="1:15" s="6" customFormat="1" ht="15.75">
      <c r="A28" s="53">
        <v>23</v>
      </c>
      <c r="B28" s="146" t="s">
        <v>705</v>
      </c>
      <c r="C28" s="330">
        <v>3836.07</v>
      </c>
      <c r="D28" s="8"/>
      <c r="E28" s="8">
        <v>416</v>
      </c>
      <c r="F28" s="40">
        <f t="shared" si="1"/>
        <v>4252.07</v>
      </c>
      <c r="G28" s="8">
        <v>1065.71</v>
      </c>
      <c r="H28" s="339">
        <v>1065.71</v>
      </c>
      <c r="I28" s="72">
        <f t="shared" si="2"/>
        <v>0.3552366666666667</v>
      </c>
      <c r="J28" s="37">
        <f t="shared" si="0"/>
        <v>716.5159090333334</v>
      </c>
      <c r="K28" s="37">
        <f t="shared" si="3"/>
        <v>263.46289975155673</v>
      </c>
      <c r="L28" s="37">
        <v>276.78264883333333</v>
      </c>
      <c r="M28" s="37">
        <f t="shared" si="4"/>
        <v>29.868298933333335</v>
      </c>
      <c r="N28" s="37"/>
      <c r="O28" s="45">
        <f t="shared" si="5"/>
        <v>0.30258903464702058</v>
      </c>
    </row>
    <row r="29" spans="1:15" s="6" customFormat="1" ht="15.75">
      <c r="A29" s="53">
        <v>24</v>
      </c>
      <c r="B29" s="146" t="s">
        <v>706</v>
      </c>
      <c r="C29" s="330">
        <v>2413.89</v>
      </c>
      <c r="D29" s="8"/>
      <c r="E29" s="8"/>
      <c r="F29" s="40">
        <f t="shared" si="1"/>
        <v>2413.89</v>
      </c>
      <c r="G29" s="8">
        <v>755</v>
      </c>
      <c r="H29" s="339">
        <v>755</v>
      </c>
      <c r="I29" s="72">
        <f t="shared" si="2"/>
        <v>0.25166666666666665</v>
      </c>
      <c r="J29" s="37">
        <f t="shared" si="0"/>
        <v>507.6141833333333</v>
      </c>
      <c r="K29" s="37">
        <f t="shared" si="3"/>
        <v>186.64973521166667</v>
      </c>
      <c r="L29" s="37">
        <v>196.08608333333331</v>
      </c>
      <c r="M29" s="37">
        <f t="shared" si="4"/>
        <v>21.160133333333331</v>
      </c>
      <c r="N29" s="37"/>
      <c r="O29" s="45">
        <f t="shared" si="5"/>
        <v>0.37761046908171736</v>
      </c>
    </row>
    <row r="30" spans="1:15" s="6" customFormat="1" ht="15.75">
      <c r="A30" s="53">
        <v>25</v>
      </c>
      <c r="B30" s="146" t="s">
        <v>707</v>
      </c>
      <c r="C30" s="330">
        <v>6323.28</v>
      </c>
      <c r="D30" s="8"/>
      <c r="E30" s="8"/>
      <c r="F30" s="40">
        <f t="shared" si="1"/>
        <v>6323.28</v>
      </c>
      <c r="G30" s="8">
        <v>2828.1</v>
      </c>
      <c r="H30" s="339">
        <v>2828.1</v>
      </c>
      <c r="I30" s="72">
        <f t="shared" si="2"/>
        <v>0.94269999999999998</v>
      </c>
      <c r="J30" s="37">
        <f t="shared" si="0"/>
        <v>1901.4353269999999</v>
      </c>
      <c r="K30" s="37">
        <f t="shared" si="3"/>
        <v>699.15776973790003</v>
      </c>
      <c r="L30" s="37">
        <v>734.50470499999994</v>
      </c>
      <c r="M30" s="37">
        <f t="shared" si="4"/>
        <v>79.262215999999995</v>
      </c>
      <c r="N30" s="37"/>
      <c r="O30" s="45">
        <f t="shared" si="5"/>
        <v>0.53996660241803307</v>
      </c>
    </row>
    <row r="31" spans="1:15" s="6" customFormat="1" ht="15.75">
      <c r="A31" s="53">
        <v>26</v>
      </c>
      <c r="B31" s="146" t="s">
        <v>708</v>
      </c>
      <c r="C31" s="330">
        <v>4396.59</v>
      </c>
      <c r="D31" s="8"/>
      <c r="E31" s="8"/>
      <c r="F31" s="40">
        <f t="shared" si="1"/>
        <v>4396.59</v>
      </c>
      <c r="G31" s="8">
        <v>894.67</v>
      </c>
      <c r="H31" s="339">
        <v>894.67</v>
      </c>
      <c r="I31" s="72">
        <f t="shared" si="2"/>
        <v>0.29822333333333334</v>
      </c>
      <c r="J31" s="37">
        <f t="shared" si="0"/>
        <v>601.51944556666672</v>
      </c>
      <c r="K31" s="37">
        <f t="shared" si="3"/>
        <v>221.17870013486336</v>
      </c>
      <c r="L31" s="37">
        <v>232.36071016666668</v>
      </c>
      <c r="M31" s="37">
        <f t="shared" si="4"/>
        <v>25.074617866666667</v>
      </c>
      <c r="N31" s="37"/>
      <c r="O31" s="45">
        <f t="shared" si="5"/>
        <v>0.24567527873530698</v>
      </c>
    </row>
    <row r="32" spans="1:15" s="6" customFormat="1" ht="15.75">
      <c r="A32" s="53">
        <v>27</v>
      </c>
      <c r="B32" s="146" t="s">
        <v>709</v>
      </c>
      <c r="C32" s="330">
        <v>6702.46</v>
      </c>
      <c r="D32" s="8"/>
      <c r="E32" s="8"/>
      <c r="F32" s="40">
        <f t="shared" si="1"/>
        <v>6702.46</v>
      </c>
      <c r="G32" s="8">
        <v>1137.8800000000001</v>
      </c>
      <c r="H32" s="339">
        <v>1137.8800000000001</v>
      </c>
      <c r="I32" s="72">
        <f t="shared" si="2"/>
        <v>0.37929333333333337</v>
      </c>
      <c r="J32" s="37">
        <f t="shared" si="0"/>
        <v>765.03844626666671</v>
      </c>
      <c r="K32" s="37">
        <f t="shared" si="3"/>
        <v>281.30463669225338</v>
      </c>
      <c r="L32" s="37">
        <v>295.52640066666669</v>
      </c>
      <c r="M32" s="37">
        <f t="shared" si="4"/>
        <v>31.890983466666668</v>
      </c>
      <c r="N32" s="37"/>
      <c r="O32" s="45">
        <f t="shared" si="5"/>
        <v>0.20496362038598567</v>
      </c>
    </row>
    <row r="33" spans="1:15" s="6" customFormat="1" ht="15.75">
      <c r="A33" s="53">
        <v>28</v>
      </c>
      <c r="B33" s="146" t="s">
        <v>710</v>
      </c>
      <c r="C33" s="330">
        <v>6185.24</v>
      </c>
      <c r="D33" s="8"/>
      <c r="E33" s="8"/>
      <c r="F33" s="40">
        <f t="shared" si="1"/>
        <v>6185.24</v>
      </c>
      <c r="G33" s="8">
        <v>1622.03</v>
      </c>
      <c r="H33" s="339">
        <v>1622.03</v>
      </c>
      <c r="I33" s="72">
        <f t="shared" si="2"/>
        <v>0.54067666666666669</v>
      </c>
      <c r="J33" s="37">
        <f t="shared" si="0"/>
        <v>1090.5502434333334</v>
      </c>
      <c r="K33" s="37">
        <f t="shared" si="3"/>
        <v>400.99532451043672</v>
      </c>
      <c r="L33" s="37">
        <v>421.26822483333336</v>
      </c>
      <c r="M33" s="37">
        <f t="shared" si="4"/>
        <v>45.460094133333335</v>
      </c>
      <c r="N33" s="37"/>
      <c r="O33" s="45">
        <f t="shared" si="5"/>
        <v>0.31660434953379929</v>
      </c>
    </row>
    <row r="34" spans="1:15" s="6" customFormat="1" ht="15.75">
      <c r="A34" s="53">
        <v>29</v>
      </c>
      <c r="B34" s="146" t="s">
        <v>711</v>
      </c>
      <c r="C34" s="330">
        <v>6856.85</v>
      </c>
      <c r="D34" s="8"/>
      <c r="E34" s="8"/>
      <c r="F34" s="40">
        <f t="shared" si="1"/>
        <v>6856.85</v>
      </c>
      <c r="G34" s="8">
        <v>1935.83</v>
      </c>
      <c r="H34" s="339">
        <v>1935.83</v>
      </c>
      <c r="I34" s="72">
        <f t="shared" si="2"/>
        <v>0.64527666666666661</v>
      </c>
      <c r="J34" s="37">
        <f t="shared" si="0"/>
        <v>1301.5294894333333</v>
      </c>
      <c r="K34" s="37">
        <f t="shared" si="3"/>
        <v>478.57239326463667</v>
      </c>
      <c r="L34" s="37">
        <v>502.76731483333327</v>
      </c>
      <c r="M34" s="37">
        <f t="shared" si="4"/>
        <v>54.254862133333326</v>
      </c>
      <c r="N34" s="37"/>
      <c r="O34" s="45">
        <f t="shared" si="5"/>
        <v>0.3408451489626631</v>
      </c>
    </row>
    <row r="35" spans="1:15" s="6" customFormat="1" ht="15.75">
      <c r="A35" s="53">
        <v>30</v>
      </c>
      <c r="B35" s="146" t="s">
        <v>712</v>
      </c>
      <c r="C35" s="330">
        <v>6358.97</v>
      </c>
      <c r="D35" s="8"/>
      <c r="E35" s="8"/>
      <c r="F35" s="40">
        <f t="shared" si="1"/>
        <v>6358.97</v>
      </c>
      <c r="G35" s="8">
        <v>1695.57</v>
      </c>
      <c r="H35" s="339">
        <v>1695.57</v>
      </c>
      <c r="I35" s="72">
        <f t="shared" si="2"/>
        <v>0.56518999999999997</v>
      </c>
      <c r="J35" s="37">
        <f t="shared" si="0"/>
        <v>1139.9938818999999</v>
      </c>
      <c r="K35" s="37">
        <f t="shared" si="3"/>
        <v>419.17575037463001</v>
      </c>
      <c r="L35" s="37">
        <v>440.36778849999996</v>
      </c>
      <c r="M35" s="37">
        <f t="shared" si="4"/>
        <v>47.521175199999995</v>
      </c>
      <c r="N35" s="37"/>
      <c r="O35" s="45">
        <f t="shared" si="5"/>
        <v>0.32191669342277601</v>
      </c>
    </row>
    <row r="36" spans="1:15" s="6" customFormat="1" ht="15.75">
      <c r="A36" s="53">
        <v>31</v>
      </c>
      <c r="B36" s="146" t="s">
        <v>713</v>
      </c>
      <c r="C36" s="330">
        <v>4302.43</v>
      </c>
      <c r="D36" s="8"/>
      <c r="E36" s="8"/>
      <c r="F36" s="40">
        <f t="shared" si="1"/>
        <v>4302.43</v>
      </c>
      <c r="G36" s="8">
        <v>1293.08</v>
      </c>
      <c r="H36" s="339">
        <v>1293.08</v>
      </c>
      <c r="I36" s="72">
        <f t="shared" si="2"/>
        <v>0.43102666666666667</v>
      </c>
      <c r="J36" s="37">
        <f t="shared" si="0"/>
        <v>869.38509693333333</v>
      </c>
      <c r="K36" s="37">
        <f t="shared" si="3"/>
        <v>319.67290014238671</v>
      </c>
      <c r="L36" s="37">
        <v>335.83442733333334</v>
      </c>
      <c r="M36" s="37">
        <f t="shared" si="4"/>
        <v>36.240722133333335</v>
      </c>
      <c r="N36" s="37"/>
      <c r="O36" s="45">
        <f t="shared" si="5"/>
        <v>0.36284916815436552</v>
      </c>
    </row>
    <row r="37" spans="1:15" s="6" customFormat="1" ht="15.75">
      <c r="A37" s="53">
        <v>32</v>
      </c>
      <c r="B37" s="146" t="s">
        <v>714</v>
      </c>
      <c r="C37" s="330">
        <v>4355.7</v>
      </c>
      <c r="D37" s="8"/>
      <c r="E37" s="8"/>
      <c r="F37" s="40">
        <f t="shared" si="1"/>
        <v>4355.7</v>
      </c>
      <c r="G37" s="8">
        <v>1282.25</v>
      </c>
      <c r="H37" s="339">
        <v>1282.25</v>
      </c>
      <c r="I37" s="72">
        <f t="shared" si="2"/>
        <v>0.42741666666666667</v>
      </c>
      <c r="J37" s="37">
        <f t="shared" si="0"/>
        <v>862.1036908333333</v>
      </c>
      <c r="K37" s="37">
        <f t="shared" si="3"/>
        <v>316.99552711941669</v>
      </c>
      <c r="L37" s="37">
        <v>333.0216958333333</v>
      </c>
      <c r="M37" s="37">
        <f t="shared" si="4"/>
        <v>35.937193333333333</v>
      </c>
      <c r="N37" s="37"/>
      <c r="O37" s="45">
        <f t="shared" si="5"/>
        <v>0.35540971763882195</v>
      </c>
    </row>
    <row r="38" spans="1:15" s="6" customFormat="1" ht="15.75">
      <c r="A38" s="53">
        <v>33</v>
      </c>
      <c r="B38" s="146" t="s">
        <v>715</v>
      </c>
      <c r="C38" s="330">
        <v>61.3</v>
      </c>
      <c r="D38" s="8"/>
      <c r="E38" s="8"/>
      <c r="F38" s="40">
        <f t="shared" si="1"/>
        <v>61.3</v>
      </c>
      <c r="G38" s="8">
        <v>0</v>
      </c>
      <c r="H38" s="339">
        <v>0</v>
      </c>
      <c r="I38" s="72">
        <f t="shared" si="2"/>
        <v>0</v>
      </c>
      <c r="J38" s="37">
        <f t="shared" si="0"/>
        <v>0</v>
      </c>
      <c r="K38" s="37">
        <f t="shared" si="3"/>
        <v>0</v>
      </c>
      <c r="L38" s="37">
        <v>0</v>
      </c>
      <c r="M38" s="37">
        <f t="shared" si="4"/>
        <v>0</v>
      </c>
      <c r="N38" s="37"/>
      <c r="O38" s="45">
        <f t="shared" si="5"/>
        <v>0</v>
      </c>
    </row>
    <row r="39" spans="1:15" s="6" customFormat="1" ht="15.75">
      <c r="A39" s="53">
        <v>34</v>
      </c>
      <c r="B39" s="146" t="s">
        <v>716</v>
      </c>
      <c r="C39" s="330">
        <v>105.7</v>
      </c>
      <c r="D39" s="8"/>
      <c r="E39" s="8"/>
      <c r="F39" s="40">
        <f t="shared" si="1"/>
        <v>105.7</v>
      </c>
      <c r="G39" s="8">
        <v>0</v>
      </c>
      <c r="H39" s="339">
        <v>0</v>
      </c>
      <c r="I39" s="72">
        <f t="shared" si="2"/>
        <v>0</v>
      </c>
      <c r="J39" s="37">
        <f t="shared" si="0"/>
        <v>0</v>
      </c>
      <c r="K39" s="37">
        <f t="shared" si="3"/>
        <v>0</v>
      </c>
      <c r="L39" s="37">
        <v>0</v>
      </c>
      <c r="M39" s="37">
        <f t="shared" si="4"/>
        <v>0</v>
      </c>
      <c r="N39" s="37"/>
      <c r="O39" s="45">
        <f t="shared" si="5"/>
        <v>0</v>
      </c>
    </row>
    <row r="40" spans="1:15" s="6" customFormat="1" ht="15.75">
      <c r="A40" s="53">
        <v>35</v>
      </c>
      <c r="B40" s="146" t="s">
        <v>717</v>
      </c>
      <c r="C40" s="330">
        <v>124.1</v>
      </c>
      <c r="D40" s="8"/>
      <c r="E40" s="8"/>
      <c r="F40" s="40">
        <f t="shared" si="1"/>
        <v>124.1</v>
      </c>
      <c r="G40" s="8">
        <v>0</v>
      </c>
      <c r="H40" s="339">
        <v>0</v>
      </c>
      <c r="I40" s="72">
        <f t="shared" si="2"/>
        <v>0</v>
      </c>
      <c r="J40" s="37">
        <f t="shared" si="0"/>
        <v>0</v>
      </c>
      <c r="K40" s="37">
        <f t="shared" si="3"/>
        <v>0</v>
      </c>
      <c r="L40" s="37">
        <v>0</v>
      </c>
      <c r="M40" s="37">
        <f t="shared" si="4"/>
        <v>0</v>
      </c>
      <c r="N40" s="37"/>
      <c r="O40" s="45">
        <f t="shared" si="5"/>
        <v>0</v>
      </c>
    </row>
    <row r="41" spans="1:15" s="6" customFormat="1" ht="15.75">
      <c r="A41" s="53">
        <v>36</v>
      </c>
      <c r="B41" s="146" t="s">
        <v>718</v>
      </c>
      <c r="C41" s="330">
        <v>2349.19</v>
      </c>
      <c r="D41" s="8"/>
      <c r="E41" s="8"/>
      <c r="F41" s="40">
        <f t="shared" si="1"/>
        <v>2349.19</v>
      </c>
      <c r="G41" s="8">
        <v>666</v>
      </c>
      <c r="H41" s="339">
        <v>666</v>
      </c>
      <c r="I41" s="72">
        <f t="shared" si="2"/>
        <v>0.222</v>
      </c>
      <c r="J41" s="37">
        <f t="shared" si="0"/>
        <v>447.77622000000002</v>
      </c>
      <c r="K41" s="37">
        <f t="shared" si="3"/>
        <v>164.64731609400002</v>
      </c>
      <c r="L41" s="37">
        <v>172.97129999999999</v>
      </c>
      <c r="M41" s="37">
        <f t="shared" si="4"/>
        <v>18.665759999999999</v>
      </c>
      <c r="N41" s="37"/>
      <c r="O41" s="45">
        <f t="shared" si="5"/>
        <v>0.3422714195505685</v>
      </c>
    </row>
    <row r="42" spans="1:15" s="6" customFormat="1" ht="15.75">
      <c r="A42" s="53">
        <v>37</v>
      </c>
      <c r="B42" s="146" t="s">
        <v>719</v>
      </c>
      <c r="C42" s="330">
        <v>3321.01</v>
      </c>
      <c r="D42" s="8"/>
      <c r="E42" s="8"/>
      <c r="F42" s="40">
        <f t="shared" si="1"/>
        <v>3321.01</v>
      </c>
      <c r="G42" s="8">
        <v>655.8</v>
      </c>
      <c r="H42" s="339">
        <v>655.8</v>
      </c>
      <c r="I42" s="72">
        <f t="shared" si="2"/>
        <v>0.21859999999999999</v>
      </c>
      <c r="J42" s="37">
        <f t="shared" si="0"/>
        <v>440.918386</v>
      </c>
      <c r="K42" s="37">
        <f t="shared" si="3"/>
        <v>162.12569053220003</v>
      </c>
      <c r="L42" s="37">
        <v>170.32218999999998</v>
      </c>
      <c r="M42" s="37">
        <f t="shared" si="4"/>
        <v>18.379887999999998</v>
      </c>
      <c r="N42" s="37"/>
      <c r="O42" s="45">
        <f t="shared" si="5"/>
        <v>0.2384052304968067</v>
      </c>
    </row>
    <row r="43" spans="1:15" s="6" customFormat="1" ht="15.75">
      <c r="A43" s="53">
        <v>38</v>
      </c>
      <c r="B43" s="146" t="s">
        <v>720</v>
      </c>
      <c r="C43" s="330">
        <v>3969.9</v>
      </c>
      <c r="D43" s="8"/>
      <c r="E43" s="8"/>
      <c r="F43" s="40">
        <f t="shared" si="1"/>
        <v>3969.9</v>
      </c>
      <c r="G43" s="8">
        <v>550</v>
      </c>
      <c r="H43" s="339">
        <v>550</v>
      </c>
      <c r="I43" s="72">
        <f t="shared" si="2"/>
        <v>0.18333333333333332</v>
      </c>
      <c r="J43" s="37">
        <f t="shared" si="0"/>
        <v>369.78516666666661</v>
      </c>
      <c r="K43" s="37">
        <f t="shared" si="3"/>
        <v>135.97000578333333</v>
      </c>
      <c r="L43" s="37">
        <v>142.84416666666667</v>
      </c>
      <c r="M43" s="37">
        <f t="shared" si="4"/>
        <v>15.414666666666665</v>
      </c>
      <c r="N43" s="37"/>
      <c r="O43" s="45">
        <f t="shared" si="5"/>
        <v>0.16726214911794585</v>
      </c>
    </row>
    <row r="44" spans="1:15" s="6" customFormat="1" ht="15.75">
      <c r="A44" s="53">
        <v>39</v>
      </c>
      <c r="B44" s="146" t="s">
        <v>721</v>
      </c>
      <c r="C44" s="330">
        <v>6582.1</v>
      </c>
      <c r="D44" s="8"/>
      <c r="E44" s="8"/>
      <c r="F44" s="40">
        <f t="shared" si="1"/>
        <v>6582.1</v>
      </c>
      <c r="G44" s="8">
        <v>1881</v>
      </c>
      <c r="H44" s="339">
        <v>1881</v>
      </c>
      <c r="I44" s="72">
        <f t="shared" si="2"/>
        <v>0.627</v>
      </c>
      <c r="J44" s="37">
        <f t="shared" si="0"/>
        <v>1264.66527</v>
      </c>
      <c r="K44" s="37">
        <f t="shared" si="3"/>
        <v>465.01741977900002</v>
      </c>
      <c r="L44" s="37">
        <v>488.52704999999997</v>
      </c>
      <c r="M44" s="37">
        <f t="shared" si="4"/>
        <v>52.718159999999997</v>
      </c>
      <c r="N44" s="37"/>
      <c r="O44" s="45">
        <f t="shared" si="5"/>
        <v>0.34501570923854086</v>
      </c>
    </row>
    <row r="45" spans="1:15" s="6" customFormat="1" ht="15.75">
      <c r="A45" s="53">
        <v>40</v>
      </c>
      <c r="B45" s="146" t="s">
        <v>722</v>
      </c>
      <c r="C45" s="330">
        <v>8461.27</v>
      </c>
      <c r="D45" s="8">
        <v>287.3</v>
      </c>
      <c r="E45" s="8"/>
      <c r="F45" s="40">
        <f t="shared" si="1"/>
        <v>8748.57</v>
      </c>
      <c r="G45" s="8">
        <v>1176.08</v>
      </c>
      <c r="H45" s="339">
        <v>1176.08</v>
      </c>
      <c r="I45" s="72">
        <f t="shared" si="2"/>
        <v>0.39202666666666663</v>
      </c>
      <c r="J45" s="37">
        <f t="shared" si="0"/>
        <v>790.72170693333328</v>
      </c>
      <c r="K45" s="37">
        <f t="shared" si="3"/>
        <v>290.74837163938668</v>
      </c>
      <c r="L45" s="37">
        <v>305.4475773333333</v>
      </c>
      <c r="M45" s="37">
        <f t="shared" si="4"/>
        <v>32.961602133333329</v>
      </c>
      <c r="N45" s="37"/>
      <c r="O45" s="45">
        <f t="shared" si="5"/>
        <v>0.16229843940659866</v>
      </c>
    </row>
    <row r="46" spans="1:15" s="6" customFormat="1" ht="15.75">
      <c r="A46" s="53">
        <v>41</v>
      </c>
      <c r="B46" s="146" t="s">
        <v>723</v>
      </c>
      <c r="C46" s="330">
        <v>3715.24</v>
      </c>
      <c r="D46" s="8"/>
      <c r="E46" s="8">
        <v>109.3</v>
      </c>
      <c r="F46" s="40">
        <f t="shared" si="1"/>
        <v>3824.54</v>
      </c>
      <c r="G46" s="8">
        <v>614</v>
      </c>
      <c r="H46" s="339">
        <v>614</v>
      </c>
      <c r="I46" s="72">
        <f>H46/3000</f>
        <v>0.20466666666666666</v>
      </c>
      <c r="J46" s="37">
        <f t="shared" si="0"/>
        <v>412.81471333333332</v>
      </c>
      <c r="K46" s="37">
        <f t="shared" si="3"/>
        <v>151.79197009266667</v>
      </c>
      <c r="L46" s="37">
        <v>159.46603333333331</v>
      </c>
      <c r="M46" s="37">
        <f t="shared" si="4"/>
        <v>17.208373333333334</v>
      </c>
      <c r="N46" s="37"/>
      <c r="O46" s="45">
        <f t="shared" si="5"/>
        <v>0.19382228714895564</v>
      </c>
    </row>
    <row r="47" spans="1:15" s="25" customFormat="1" ht="15.75">
      <c r="A47" s="805">
        <v>42</v>
      </c>
      <c r="B47" s="108" t="s">
        <v>724</v>
      </c>
      <c r="C47" s="730">
        <v>355.8</v>
      </c>
      <c r="D47" s="24"/>
      <c r="E47" s="24"/>
      <c r="F47" s="24">
        <f t="shared" si="1"/>
        <v>355.8</v>
      </c>
      <c r="G47" s="24">
        <v>230</v>
      </c>
      <c r="H47" s="24">
        <v>230</v>
      </c>
      <c r="I47" s="975">
        <f t="shared" si="2"/>
        <v>7.6666666666666661E-2</v>
      </c>
      <c r="J47" s="976">
        <f t="shared" si="0"/>
        <v>154.63743333333332</v>
      </c>
      <c r="K47" s="976">
        <f t="shared" si="3"/>
        <v>56.860184236666669</v>
      </c>
      <c r="L47" s="976">
        <v>59.734833333333327</v>
      </c>
      <c r="M47" s="976">
        <f t="shared" si="4"/>
        <v>6.446133333333333</v>
      </c>
      <c r="N47" s="976"/>
      <c r="O47" s="375">
        <f>(J47+K47+L47+M47)/F47/2</f>
        <v>0.39021723473393283</v>
      </c>
    </row>
    <row r="48" spans="1:15" s="25" customFormat="1" ht="15.75">
      <c r="A48" s="805">
        <v>43</v>
      </c>
      <c r="B48" s="108" t="s">
        <v>725</v>
      </c>
      <c r="C48" s="730">
        <v>907.4</v>
      </c>
      <c r="D48" s="24"/>
      <c r="E48" s="24"/>
      <c r="F48" s="24">
        <f t="shared" si="1"/>
        <v>907.4</v>
      </c>
      <c r="G48" s="24">
        <v>603</v>
      </c>
      <c r="H48" s="24">
        <v>603</v>
      </c>
      <c r="I48" s="975">
        <f>H48/3000</f>
        <v>0.20100000000000001</v>
      </c>
      <c r="J48" s="976">
        <f t="shared" si="0"/>
        <v>405.41901000000001</v>
      </c>
      <c r="K48" s="976">
        <f t="shared" si="3"/>
        <v>149.07256997700003</v>
      </c>
      <c r="L48" s="976">
        <v>156.60915</v>
      </c>
      <c r="M48" s="976">
        <f t="shared" si="4"/>
        <v>16.900079999999999</v>
      </c>
      <c r="N48" s="976"/>
      <c r="O48" s="375">
        <f>(J48+K48+L48+M48)/F48/2</f>
        <v>0.40114657812265814</v>
      </c>
    </row>
    <row r="49" spans="1:15" s="6" customFormat="1" ht="15.75">
      <c r="A49" s="53">
        <v>44</v>
      </c>
      <c r="B49" s="146" t="s">
        <v>726</v>
      </c>
      <c r="C49" s="330">
        <v>2273.6</v>
      </c>
      <c r="D49" s="8"/>
      <c r="E49" s="8"/>
      <c r="F49" s="40">
        <f t="shared" si="1"/>
        <v>2273.6</v>
      </c>
      <c r="G49" s="8">
        <v>889</v>
      </c>
      <c r="H49" s="339">
        <v>889</v>
      </c>
      <c r="I49" s="72">
        <f t="shared" si="2"/>
        <v>0.29633333333333334</v>
      </c>
      <c r="J49" s="37">
        <f t="shared" si="0"/>
        <v>597.70729666666671</v>
      </c>
      <c r="K49" s="37">
        <f t="shared" si="3"/>
        <v>219.77697298433336</v>
      </c>
      <c r="L49" s="37">
        <v>230.88811666666666</v>
      </c>
      <c r="M49" s="37">
        <f t="shared" si="4"/>
        <v>24.915706666666665</v>
      </c>
      <c r="N49" s="37"/>
      <c r="O49" s="45">
        <f t="shared" si="5"/>
        <v>0.47206548776580465</v>
      </c>
    </row>
    <row r="50" spans="1:15" s="6" customFormat="1" ht="15.75">
      <c r="A50" s="53">
        <v>45</v>
      </c>
      <c r="B50" s="146" t="s">
        <v>727</v>
      </c>
      <c r="C50" s="330">
        <v>154.1</v>
      </c>
      <c r="D50" s="8"/>
      <c r="E50" s="8"/>
      <c r="F50" s="40">
        <f t="shared" si="1"/>
        <v>154.1</v>
      </c>
      <c r="G50" s="8">
        <v>0</v>
      </c>
      <c r="H50" s="339">
        <v>0</v>
      </c>
      <c r="I50" s="72">
        <f t="shared" si="2"/>
        <v>0</v>
      </c>
      <c r="J50" s="37">
        <f t="shared" si="0"/>
        <v>0</v>
      </c>
      <c r="K50" s="37">
        <f t="shared" si="3"/>
        <v>0</v>
      </c>
      <c r="L50" s="37">
        <v>0</v>
      </c>
      <c r="M50" s="37">
        <f t="shared" si="4"/>
        <v>0</v>
      </c>
      <c r="N50" s="37"/>
      <c r="O50" s="45">
        <f t="shared" si="5"/>
        <v>0</v>
      </c>
    </row>
    <row r="51" spans="1:15" s="6" customFormat="1" ht="15.75">
      <c r="A51" s="53">
        <v>46</v>
      </c>
      <c r="B51" s="146" t="s">
        <v>728</v>
      </c>
      <c r="C51" s="330">
        <v>93.9</v>
      </c>
      <c r="D51" s="8"/>
      <c r="E51" s="8"/>
      <c r="F51" s="40">
        <f t="shared" si="1"/>
        <v>93.9</v>
      </c>
      <c r="G51" s="8">
        <v>0</v>
      </c>
      <c r="H51" s="339">
        <v>0</v>
      </c>
      <c r="I51" s="72">
        <f t="shared" si="2"/>
        <v>0</v>
      </c>
      <c r="J51" s="37">
        <f t="shared" si="0"/>
        <v>0</v>
      </c>
      <c r="K51" s="37">
        <f t="shared" si="3"/>
        <v>0</v>
      </c>
      <c r="L51" s="37">
        <v>0</v>
      </c>
      <c r="M51" s="37">
        <f t="shared" si="4"/>
        <v>0</v>
      </c>
      <c r="N51" s="37"/>
      <c r="O51" s="45">
        <f t="shared" si="5"/>
        <v>0</v>
      </c>
    </row>
    <row r="52" spans="1:15" s="6" customFormat="1" ht="15.75">
      <c r="A52" s="53">
        <v>47</v>
      </c>
      <c r="B52" s="146" t="s">
        <v>729</v>
      </c>
      <c r="C52" s="330">
        <v>296.10000000000002</v>
      </c>
      <c r="D52" s="8"/>
      <c r="E52" s="8"/>
      <c r="F52" s="40">
        <f t="shared" si="1"/>
        <v>296.10000000000002</v>
      </c>
      <c r="G52" s="8">
        <v>0</v>
      </c>
      <c r="H52" s="339">
        <v>0</v>
      </c>
      <c r="I52" s="72">
        <f t="shared" si="2"/>
        <v>0</v>
      </c>
      <c r="J52" s="37">
        <f t="shared" si="0"/>
        <v>0</v>
      </c>
      <c r="K52" s="37">
        <f t="shared" si="3"/>
        <v>0</v>
      </c>
      <c r="L52" s="37">
        <v>0</v>
      </c>
      <c r="M52" s="37">
        <f t="shared" si="4"/>
        <v>0</v>
      </c>
      <c r="N52" s="37"/>
      <c r="O52" s="45">
        <f t="shared" si="5"/>
        <v>0</v>
      </c>
    </row>
    <row r="53" spans="1:15" s="6" customFormat="1" ht="15.75">
      <c r="A53" s="53">
        <v>48</v>
      </c>
      <c r="B53" s="146" t="s">
        <v>647</v>
      </c>
      <c r="C53" s="330">
        <v>4177.21</v>
      </c>
      <c r="D53" s="8">
        <v>6.6</v>
      </c>
      <c r="E53" s="8"/>
      <c r="F53" s="40">
        <f t="shared" si="1"/>
        <v>4183.8100000000004</v>
      </c>
      <c r="G53" s="8">
        <v>1437.45</v>
      </c>
      <c r="H53" s="339">
        <v>1437.45</v>
      </c>
      <c r="I53" s="72">
        <f t="shared" si="2"/>
        <v>0.47915000000000002</v>
      </c>
      <c r="J53" s="37">
        <f t="shared" si="0"/>
        <v>966.45034150000004</v>
      </c>
      <c r="K53" s="37">
        <f t="shared" si="3"/>
        <v>355.36379056955002</v>
      </c>
      <c r="L53" s="37">
        <v>373.3297225</v>
      </c>
      <c r="M53" s="37">
        <f t="shared" si="4"/>
        <v>40.286932</v>
      </c>
      <c r="N53" s="37"/>
      <c r="O53" s="45">
        <f t="shared" si="5"/>
        <v>0.41479674903247277</v>
      </c>
    </row>
    <row r="54" spans="1:15" s="6" customFormat="1" ht="15.75">
      <c r="A54" s="53">
        <v>49</v>
      </c>
      <c r="B54" s="146" t="s">
        <v>648</v>
      </c>
      <c r="C54" s="330">
        <v>4140.68</v>
      </c>
      <c r="D54" s="8"/>
      <c r="E54" s="8"/>
      <c r="F54" s="40">
        <f t="shared" si="1"/>
        <v>4140.68</v>
      </c>
      <c r="G54" s="8">
        <v>1641.3</v>
      </c>
      <c r="H54" s="339">
        <v>1641.3</v>
      </c>
      <c r="I54" s="72">
        <f t="shared" si="2"/>
        <v>0.54710000000000003</v>
      </c>
      <c r="J54" s="37">
        <f t="shared" si="0"/>
        <v>1103.506171</v>
      </c>
      <c r="K54" s="37">
        <f t="shared" si="3"/>
        <v>405.75921907670005</v>
      </c>
      <c r="L54" s="37">
        <v>426.272965</v>
      </c>
      <c r="M54" s="37">
        <f t="shared" si="4"/>
        <v>46.000168000000002</v>
      </c>
      <c r="N54" s="37"/>
      <c r="O54" s="45">
        <f t="shared" si="5"/>
        <v>0.47855389044231866</v>
      </c>
    </row>
    <row r="55" spans="1:15" s="6" customFormat="1" ht="15.75">
      <c r="A55" s="53">
        <v>50</v>
      </c>
      <c r="B55" s="146" t="s">
        <v>1354</v>
      </c>
      <c r="C55" s="818">
        <v>7831.81</v>
      </c>
      <c r="D55" s="8"/>
      <c r="E55" s="8"/>
      <c r="F55" s="40">
        <f t="shared" si="1"/>
        <v>7831.81</v>
      </c>
      <c r="G55" s="8">
        <v>2714.5</v>
      </c>
      <c r="H55" s="882">
        <v>2714.5</v>
      </c>
      <c r="I55" s="72">
        <f t="shared" si="2"/>
        <v>0.90483333333333338</v>
      </c>
      <c r="J55" s="37">
        <f t="shared" si="0"/>
        <v>1825.0578816666668</v>
      </c>
      <c r="K55" s="37">
        <f t="shared" si="3"/>
        <v>671.07378308883347</v>
      </c>
      <c r="L55" s="37">
        <v>705.00089166666669</v>
      </c>
      <c r="M55" s="37">
        <f t="shared" si="4"/>
        <v>76.078386666666674</v>
      </c>
      <c r="N55" s="37"/>
      <c r="O55" s="45">
        <f t="shared" si="5"/>
        <v>0.41844872935998617</v>
      </c>
    </row>
    <row r="56" spans="1:15" s="6" customFormat="1" ht="15.75">
      <c r="A56" s="53">
        <v>51</v>
      </c>
      <c r="B56" s="146" t="s">
        <v>1374</v>
      </c>
      <c r="C56" s="818">
        <v>996.1</v>
      </c>
      <c r="D56" s="8"/>
      <c r="E56" s="8"/>
      <c r="F56" s="40">
        <f t="shared" si="1"/>
        <v>996.1</v>
      </c>
      <c r="G56" s="8">
        <v>563.4</v>
      </c>
      <c r="H56" s="882">
        <v>563.4</v>
      </c>
      <c r="I56" s="72">
        <f t="shared" si="2"/>
        <v>0.18779999999999999</v>
      </c>
      <c r="J56" s="37">
        <f t="shared" si="0"/>
        <v>378.79447799999997</v>
      </c>
      <c r="K56" s="37">
        <f t="shared" si="3"/>
        <v>139.28272956059999</v>
      </c>
      <c r="L56" s="37">
        <v>146.32436999999999</v>
      </c>
      <c r="M56" s="37">
        <f t="shared" si="4"/>
        <v>15.790223999999998</v>
      </c>
      <c r="N56" s="37"/>
      <c r="O56" s="45">
        <f t="shared" si="5"/>
        <v>0.6828549358102598</v>
      </c>
    </row>
    <row r="57" spans="1:15" s="6" customFormat="1" ht="15.75">
      <c r="A57" s="53">
        <v>52</v>
      </c>
      <c r="B57" s="146" t="s">
        <v>1376</v>
      </c>
      <c r="C57" s="818">
        <v>533.79999999999995</v>
      </c>
      <c r="D57" s="8"/>
      <c r="E57" s="8"/>
      <c r="F57" s="40">
        <f t="shared" si="1"/>
        <v>533.79999999999995</v>
      </c>
      <c r="G57" s="8">
        <v>207.3</v>
      </c>
      <c r="H57" s="882">
        <v>207.3</v>
      </c>
      <c r="I57" s="72">
        <f t="shared" si="2"/>
        <v>6.9100000000000009E-2</v>
      </c>
      <c r="J57" s="37">
        <f t="shared" si="0"/>
        <v>139.37539100000001</v>
      </c>
      <c r="K57" s="37">
        <f t="shared" si="3"/>
        <v>51.248331270700007</v>
      </c>
      <c r="L57" s="37">
        <v>53.839265000000005</v>
      </c>
      <c r="M57" s="37">
        <f t="shared" si="4"/>
        <v>5.8099280000000002</v>
      </c>
      <c r="N57" s="37"/>
      <c r="O57" s="45">
        <f t="shared" si="5"/>
        <v>0.46885147109535413</v>
      </c>
    </row>
    <row r="58" spans="1:15" s="6" customFormat="1" ht="15.75">
      <c r="A58" s="53">
        <v>53</v>
      </c>
      <c r="B58" s="146" t="s">
        <v>1375</v>
      </c>
      <c r="C58" s="818">
        <v>987.3</v>
      </c>
      <c r="D58" s="8"/>
      <c r="E58" s="8"/>
      <c r="F58" s="40">
        <f t="shared" si="1"/>
        <v>987.3</v>
      </c>
      <c r="G58" s="8">
        <v>483.3</v>
      </c>
      <c r="H58" s="882">
        <v>483.3</v>
      </c>
      <c r="I58" s="72">
        <f t="shared" si="2"/>
        <v>0.16109999999999999</v>
      </c>
      <c r="J58" s="37">
        <f t="shared" si="0"/>
        <v>324.94031100000001</v>
      </c>
      <c r="K58" s="37">
        <f t="shared" si="3"/>
        <v>119.48055235470001</v>
      </c>
      <c r="L58" s="37">
        <v>125.52106499999999</v>
      </c>
      <c r="M58" s="37">
        <f t="shared" si="4"/>
        <v>13.545287999999999</v>
      </c>
      <c r="N58" s="37"/>
      <c r="O58" s="45">
        <f t="shared" si="5"/>
        <v>0.59099282523518704</v>
      </c>
    </row>
    <row r="59" spans="1:15" s="6" customFormat="1" ht="15.75">
      <c r="A59" s="53">
        <v>54</v>
      </c>
      <c r="B59" s="146" t="s">
        <v>1377</v>
      </c>
      <c r="C59" s="818">
        <v>442.6</v>
      </c>
      <c r="D59" s="8"/>
      <c r="E59" s="8"/>
      <c r="F59" s="40">
        <f t="shared" si="1"/>
        <v>442.6</v>
      </c>
      <c r="G59" s="8">
        <v>0</v>
      </c>
      <c r="H59" s="882">
        <v>0</v>
      </c>
      <c r="I59" s="72">
        <f t="shared" si="2"/>
        <v>0</v>
      </c>
      <c r="J59" s="37">
        <f t="shared" si="0"/>
        <v>0</v>
      </c>
      <c r="K59" s="37">
        <f t="shared" si="3"/>
        <v>0</v>
      </c>
      <c r="L59" s="37">
        <v>0</v>
      </c>
      <c r="M59" s="37">
        <f t="shared" si="4"/>
        <v>0</v>
      </c>
      <c r="N59" s="37"/>
      <c r="O59" s="45">
        <f t="shared" si="5"/>
        <v>0</v>
      </c>
    </row>
    <row r="60" spans="1:15" s="6" customFormat="1" ht="15.75">
      <c r="A60" s="279">
        <v>55</v>
      </c>
      <c r="B60" s="278" t="s">
        <v>1407</v>
      </c>
      <c r="C60" s="278">
        <v>7013.2</v>
      </c>
      <c r="D60" s="8"/>
      <c r="E60" s="8"/>
      <c r="F60" s="8">
        <f t="shared" ref="F60:F66" si="6">C60+D60+E60</f>
        <v>7013.2</v>
      </c>
      <c r="G60" s="353">
        <v>2001.6</v>
      </c>
      <c r="H60" s="8">
        <v>2001.6</v>
      </c>
      <c r="I60" s="72">
        <v>0.66720000000000002</v>
      </c>
      <c r="J60" s="37">
        <f t="shared" si="0"/>
        <v>1345.7490720000001</v>
      </c>
      <c r="K60" s="37">
        <f t="shared" si="3"/>
        <v>494.83193377440006</v>
      </c>
      <c r="L60" s="37">
        <v>519.84888000000001</v>
      </c>
      <c r="M60" s="37">
        <f t="shared" si="4"/>
        <v>56.098176000000002</v>
      </c>
      <c r="N60" s="37"/>
      <c r="O60" s="45">
        <f>(J60+K60+L60+M60)/F60</f>
        <v>0.34456853672708609</v>
      </c>
    </row>
    <row r="61" spans="1:15" s="6" customFormat="1" ht="15.75">
      <c r="A61" s="279">
        <v>56</v>
      </c>
      <c r="B61" s="284" t="s">
        <v>1390</v>
      </c>
      <c r="C61" s="284">
        <v>8402.66</v>
      </c>
      <c r="D61" s="8"/>
      <c r="E61" s="8"/>
      <c r="F61" s="8">
        <f t="shared" si="6"/>
        <v>8402.66</v>
      </c>
      <c r="G61" s="353">
        <v>2480.8000000000002</v>
      </c>
      <c r="H61" s="8">
        <v>2480.8000000000002</v>
      </c>
      <c r="I61" s="72">
        <f t="shared" si="2"/>
        <v>0.82693333333333341</v>
      </c>
      <c r="J61" s="37">
        <f t="shared" si="0"/>
        <v>1667.9328026666667</v>
      </c>
      <c r="K61" s="37">
        <f t="shared" si="3"/>
        <v>613.29889154053342</v>
      </c>
      <c r="L61" s="37">
        <v>644.30510666666669</v>
      </c>
      <c r="M61" s="37">
        <f t="shared" si="4"/>
        <v>69.528554666666665</v>
      </c>
      <c r="N61" s="37"/>
      <c r="O61" s="45">
        <f t="shared" si="5"/>
        <v>0.35644252600254372</v>
      </c>
    </row>
    <row r="62" spans="1:15" s="6" customFormat="1" ht="15.75">
      <c r="A62" s="279">
        <v>57</v>
      </c>
      <c r="B62" s="285" t="s">
        <v>1386</v>
      </c>
      <c r="C62" s="285">
        <v>2601.63</v>
      </c>
      <c r="D62" s="8"/>
      <c r="E62" s="8"/>
      <c r="F62" s="8">
        <f t="shared" si="6"/>
        <v>2601.63</v>
      </c>
      <c r="G62" s="353">
        <v>919.95</v>
      </c>
      <c r="H62" s="8">
        <v>919.95</v>
      </c>
      <c r="I62" s="72">
        <f t="shared" si="2"/>
        <v>0.30665000000000003</v>
      </c>
      <c r="J62" s="37">
        <f t="shared" si="0"/>
        <v>618.51611650000007</v>
      </c>
      <c r="K62" s="37">
        <f t="shared" si="3"/>
        <v>227.42837603705004</v>
      </c>
      <c r="L62" s="37">
        <v>238.92634750000002</v>
      </c>
      <c r="M62" s="37">
        <f t="shared" si="4"/>
        <v>25.783132000000002</v>
      </c>
      <c r="N62" s="37"/>
      <c r="O62" s="45">
        <f t="shared" si="5"/>
        <v>0.42690696680044821</v>
      </c>
    </row>
    <row r="63" spans="1:15" s="6" customFormat="1" ht="15.75">
      <c r="A63" s="279">
        <v>58</v>
      </c>
      <c r="B63" s="285" t="s">
        <v>1385</v>
      </c>
      <c r="C63" s="285">
        <v>2594.2600000000002</v>
      </c>
      <c r="D63" s="8"/>
      <c r="E63" s="8"/>
      <c r="F63" s="8">
        <f t="shared" si="6"/>
        <v>2594.2600000000002</v>
      </c>
      <c r="G63" s="353">
        <v>1353.13</v>
      </c>
      <c r="H63" s="8">
        <v>1353.13</v>
      </c>
      <c r="I63" s="72">
        <f t="shared" si="2"/>
        <v>0.45104333333333335</v>
      </c>
      <c r="J63" s="37">
        <f t="shared" si="0"/>
        <v>909.75891376666675</v>
      </c>
      <c r="K63" s="37">
        <f t="shared" si="3"/>
        <v>334.5183525920034</v>
      </c>
      <c r="L63" s="37">
        <v>351.43041316666665</v>
      </c>
      <c r="M63" s="37">
        <f t="shared" si="4"/>
        <v>37.923723466666665</v>
      </c>
      <c r="N63" s="37"/>
      <c r="O63" s="45">
        <f t="shared" si="5"/>
        <v>0.62970997625218883</v>
      </c>
    </row>
    <row r="64" spans="1:15" s="6" customFormat="1" ht="15.75">
      <c r="A64" s="279">
        <v>59</v>
      </c>
      <c r="B64" s="285" t="s">
        <v>1388</v>
      </c>
      <c r="C64" s="285">
        <v>2653.52</v>
      </c>
      <c r="D64" s="8"/>
      <c r="E64" s="8"/>
      <c r="F64" s="8">
        <f t="shared" si="6"/>
        <v>2653.52</v>
      </c>
      <c r="G64" s="353">
        <v>1319.1</v>
      </c>
      <c r="H64" s="8">
        <v>1319.1</v>
      </c>
      <c r="I64" s="72">
        <f>H64/3000</f>
        <v>0.43969999999999998</v>
      </c>
      <c r="J64" s="37">
        <f t="shared" si="0"/>
        <v>886.87929699999995</v>
      </c>
      <c r="K64" s="37">
        <f t="shared" si="3"/>
        <v>326.10551750690001</v>
      </c>
      <c r="L64" s="37">
        <v>342.59225499999997</v>
      </c>
      <c r="M64" s="37">
        <f t="shared" si="4"/>
        <v>36.969975999999996</v>
      </c>
      <c r="N64" s="37"/>
      <c r="O64" s="45">
        <f t="shared" si="5"/>
        <v>0.60016395034026504</v>
      </c>
    </row>
    <row r="65" spans="1:15" s="6" customFormat="1" ht="15.75">
      <c r="A65" s="279">
        <v>60</v>
      </c>
      <c r="B65" s="286" t="s">
        <v>1389</v>
      </c>
      <c r="C65" s="285">
        <v>2150.9</v>
      </c>
      <c r="D65" s="8"/>
      <c r="E65" s="8"/>
      <c r="F65" s="8">
        <f t="shared" si="6"/>
        <v>2150.9</v>
      </c>
      <c r="G65" s="353">
        <v>1095.5999999999999</v>
      </c>
      <c r="H65" s="8">
        <v>1095.5999999999999</v>
      </c>
      <c r="I65" s="72">
        <f t="shared" si="2"/>
        <v>0.36519999999999997</v>
      </c>
      <c r="J65" s="37">
        <f t="shared" si="0"/>
        <v>736.61205199999995</v>
      </c>
      <c r="K65" s="37">
        <f t="shared" si="3"/>
        <v>270.85225152039999</v>
      </c>
      <c r="L65" s="37">
        <v>284.54557999999997</v>
      </c>
      <c r="M65" s="37">
        <f t="shared" si="4"/>
        <v>30.706015999999998</v>
      </c>
      <c r="N65" s="37"/>
      <c r="O65" s="45">
        <f t="shared" si="5"/>
        <v>0.6149592726395462</v>
      </c>
    </row>
    <row r="66" spans="1:15" s="6" customFormat="1" ht="15.75">
      <c r="A66" s="279">
        <v>61</v>
      </c>
      <c r="B66" s="286" t="s">
        <v>1397</v>
      </c>
      <c r="C66" s="321">
        <v>3353.7</v>
      </c>
      <c r="D66" s="322"/>
      <c r="E66" s="322"/>
      <c r="F66" s="322">
        <f t="shared" si="6"/>
        <v>3353.7</v>
      </c>
      <c r="G66" s="357">
        <v>1384.1</v>
      </c>
      <c r="H66" s="8">
        <v>1384.1</v>
      </c>
      <c r="I66" s="72">
        <f t="shared" si="2"/>
        <v>0.46136666666666665</v>
      </c>
      <c r="J66" s="37">
        <f t="shared" si="0"/>
        <v>930.58118033333324</v>
      </c>
      <c r="K66" s="37">
        <f t="shared" si="3"/>
        <v>342.17470000856667</v>
      </c>
      <c r="L66" s="37">
        <v>359.47383833333333</v>
      </c>
      <c r="M66" s="37">
        <f t="shared" si="4"/>
        <v>38.79170933333333</v>
      </c>
      <c r="N66" s="37"/>
      <c r="O66" s="45">
        <f>(J66+K66+L66+M66)/F66</f>
        <v>0.49826204729360607</v>
      </c>
    </row>
    <row r="67" spans="1:15" s="6" customFormat="1" ht="15.75">
      <c r="A67" s="385"/>
      <c r="B67" s="63" t="s">
        <v>749</v>
      </c>
      <c r="C67" s="65">
        <f t="shared" ref="C67:H67" si="7">SUM(C6:C66)</f>
        <v>249781.08</v>
      </c>
      <c r="D67" s="65">
        <f t="shared" si="7"/>
        <v>1319.2</v>
      </c>
      <c r="E67" s="65">
        <f t="shared" si="7"/>
        <v>1116.55</v>
      </c>
      <c r="F67" s="65">
        <f t="shared" si="7"/>
        <v>252216.83000000002</v>
      </c>
      <c r="G67" s="65">
        <f t="shared" si="7"/>
        <v>75945.860000000044</v>
      </c>
      <c r="H67" s="387">
        <f t="shared" si="7"/>
        <v>75945.860000000044</v>
      </c>
      <c r="I67" s="72">
        <f>H67/3000</f>
        <v>25.315286666666683</v>
      </c>
      <c r="J67" s="37">
        <f>I67*2017.01</f>
        <v>51061.186359533363</v>
      </c>
      <c r="K67" s="37">
        <f t="shared" si="3"/>
        <v>18775.198224400418</v>
      </c>
      <c r="L67" s="37">
        <f>SUM(L6:L66)</f>
        <v>19724.405606333334</v>
      </c>
      <c r="M67" s="37">
        <f t="shared" si="4"/>
        <v>2128.5093029333348</v>
      </c>
      <c r="N67" s="37"/>
      <c r="O67" s="45">
        <f t="shared" si="5"/>
        <v>0.36353362895410446</v>
      </c>
    </row>
    <row r="68" spans="1:15" s="6" customFormat="1" ht="21" thickBot="1">
      <c r="A68" s="774" t="s">
        <v>984</v>
      </c>
      <c r="B68" s="775"/>
      <c r="C68" s="775"/>
      <c r="D68" s="775"/>
      <c r="E68" s="775"/>
      <c r="F68" s="775"/>
      <c r="G68" s="775"/>
      <c r="H68" s="775"/>
      <c r="I68" s="775"/>
      <c r="J68" s="37"/>
      <c r="K68" s="775"/>
      <c r="L68" s="37"/>
      <c r="M68" s="776"/>
      <c r="N68" s="776"/>
      <c r="O68" s="45" t="e">
        <f t="shared" si="5"/>
        <v>#DIV/0!</v>
      </c>
    </row>
    <row r="69" spans="1:15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0">
        <f t="shared" si="1"/>
        <v>6328.85</v>
      </c>
      <c r="G69" s="353">
        <v>849</v>
      </c>
      <c r="H69" s="938">
        <v>639</v>
      </c>
      <c r="I69" s="72">
        <f>H69/3000</f>
        <v>0.21299999999999999</v>
      </c>
      <c r="J69" s="37">
        <f t="shared" ref="J69:J89" si="8">I69*2017.01</f>
        <v>429.62313</v>
      </c>
      <c r="K69" s="37">
        <f t="shared" si="3"/>
        <v>157.97242490100001</v>
      </c>
      <c r="L69" s="342">
        <v>166.01089333333334</v>
      </c>
      <c r="M69" s="37">
        <f t="shared" si="4"/>
        <v>17.909040000000001</v>
      </c>
      <c r="N69" s="37"/>
      <c r="O69" s="45">
        <f>(J69+K69+L69+M69)/F69</f>
        <v>0.12190453055994901</v>
      </c>
    </row>
    <row r="70" spans="1:15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40">
        <f t="shared" si="1"/>
        <v>7565.74</v>
      </c>
      <c r="G70" s="353">
        <v>2561</v>
      </c>
      <c r="H70" s="938">
        <v>2561</v>
      </c>
      <c r="I70" s="72">
        <f t="shared" ref="I70:I87" si="9">H70/3000</f>
        <v>0.85366666666666668</v>
      </c>
      <c r="J70" s="37">
        <f t="shared" si="8"/>
        <v>1721.8542033333333</v>
      </c>
      <c r="K70" s="37">
        <f t="shared" si="3"/>
        <v>633.12579056566676</v>
      </c>
      <c r="L70" s="342">
        <v>680.71738333333337</v>
      </c>
      <c r="M70" s="37">
        <f t="shared" si="4"/>
        <v>71.776293333333328</v>
      </c>
      <c r="N70" s="37"/>
      <c r="O70" s="45">
        <f t="shared" si="5"/>
        <v>0.41072964053293753</v>
      </c>
    </row>
    <row r="71" spans="1:15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40">
        <f t="shared" si="1"/>
        <v>7217.2</v>
      </c>
      <c r="G71" s="353">
        <v>2087</v>
      </c>
      <c r="H71" s="938">
        <v>2087</v>
      </c>
      <c r="I71" s="72">
        <f t="shared" si="9"/>
        <v>0.69566666666666666</v>
      </c>
      <c r="J71" s="37">
        <f t="shared" si="8"/>
        <v>1403.1666233333333</v>
      </c>
      <c r="K71" s="37">
        <f t="shared" si="3"/>
        <v>515.9443673996667</v>
      </c>
      <c r="L71" s="342">
        <v>542.02868333333333</v>
      </c>
      <c r="M71" s="37">
        <f t="shared" si="4"/>
        <v>58.491653333333332</v>
      </c>
      <c r="N71" s="37"/>
      <c r="O71" s="45">
        <f t="shared" ref="O71:O134" si="10">(J71+K71+L71+M71)/F71</f>
        <v>0.3491147990078794</v>
      </c>
    </row>
    <row r="72" spans="1:15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40">
        <f t="shared" si="1"/>
        <v>6435.2</v>
      </c>
      <c r="G72" s="353">
        <v>1974</v>
      </c>
      <c r="H72" s="938">
        <v>1975</v>
      </c>
      <c r="I72" s="72">
        <f t="shared" si="9"/>
        <v>0.65833333333333333</v>
      </c>
      <c r="J72" s="37">
        <f t="shared" si="8"/>
        <v>1327.8649166666667</v>
      </c>
      <c r="K72" s="37">
        <f t="shared" si="3"/>
        <v>488.25592985833339</v>
      </c>
      <c r="L72" s="342">
        <v>512.914445</v>
      </c>
      <c r="M72" s="37">
        <f t="shared" si="4"/>
        <v>55.352666666666664</v>
      </c>
      <c r="N72" s="37"/>
      <c r="O72" s="45">
        <f t="shared" si="10"/>
        <v>0.37052274337886421</v>
      </c>
    </row>
    <row r="73" spans="1:15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40">
        <f t="shared" si="1"/>
        <v>8881.51</v>
      </c>
      <c r="G73" s="353">
        <v>1705</v>
      </c>
      <c r="H73" s="938">
        <v>1705</v>
      </c>
      <c r="I73" s="72">
        <f t="shared" si="9"/>
        <v>0.56833333333333336</v>
      </c>
      <c r="J73" s="37">
        <f t="shared" si="8"/>
        <v>1146.3340166666667</v>
      </c>
      <c r="K73" s="37">
        <f t="shared" si="3"/>
        <v>421.50701792833337</v>
      </c>
      <c r="L73" s="342">
        <v>442.81691666666666</v>
      </c>
      <c r="M73" s="37">
        <f t="shared" si="4"/>
        <v>47.785466666666665</v>
      </c>
      <c r="N73" s="37"/>
      <c r="O73" s="45">
        <f t="shared" si="10"/>
        <v>0.23176728033052188</v>
      </c>
    </row>
    <row r="74" spans="1:15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40">
        <f t="shared" si="1"/>
        <v>7938.92</v>
      </c>
      <c r="G74" s="939">
        <v>1270</v>
      </c>
      <c r="H74" s="938">
        <v>1270</v>
      </c>
      <c r="I74" s="72">
        <f t="shared" si="9"/>
        <v>0.42333333333333334</v>
      </c>
      <c r="J74" s="37">
        <f t="shared" si="8"/>
        <v>853.86756666666668</v>
      </c>
      <c r="K74" s="37">
        <f t="shared" si="3"/>
        <v>313.96710426333334</v>
      </c>
      <c r="L74" s="342">
        <v>329.84016666666668</v>
      </c>
      <c r="M74" s="37">
        <f t="shared" si="4"/>
        <v>35.593866666666663</v>
      </c>
      <c r="N74" s="37"/>
      <c r="O74" s="45">
        <f t="shared" si="10"/>
        <v>0.19313315970728173</v>
      </c>
    </row>
    <row r="75" spans="1:15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40">
        <f t="shared" si="1"/>
        <v>7102.99</v>
      </c>
      <c r="G75" s="353">
        <v>816</v>
      </c>
      <c r="H75" s="940">
        <v>816</v>
      </c>
      <c r="I75" s="72">
        <f t="shared" si="9"/>
        <v>0.27200000000000002</v>
      </c>
      <c r="J75" s="37">
        <f t="shared" si="8"/>
        <v>548.62672000000009</v>
      </c>
      <c r="K75" s="37">
        <f t="shared" si="3"/>
        <v>201.73004494400004</v>
      </c>
      <c r="L75" s="342">
        <v>211.72102666666666</v>
      </c>
      <c r="M75" s="37">
        <f t="shared" si="4"/>
        <v>22.869759999999999</v>
      </c>
      <c r="N75" s="37"/>
      <c r="O75" s="45">
        <f t="shared" si="10"/>
        <v>0.13866661104839889</v>
      </c>
    </row>
    <row r="76" spans="1:15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40">
        <f t="shared" si="1"/>
        <v>2982.2</v>
      </c>
      <c r="G76" s="353">
        <v>923</v>
      </c>
      <c r="H76" s="938">
        <v>923</v>
      </c>
      <c r="I76" s="72">
        <f t="shared" si="9"/>
        <v>0.30766666666666664</v>
      </c>
      <c r="J76" s="37">
        <f t="shared" si="8"/>
        <v>620.56674333333331</v>
      </c>
      <c r="K76" s="37">
        <f t="shared" si="3"/>
        <v>228.18239152366667</v>
      </c>
      <c r="L76" s="342">
        <v>239.7184833333333</v>
      </c>
      <c r="M76" s="37">
        <f t="shared" si="4"/>
        <v>25.868613333333332</v>
      </c>
      <c r="N76" s="37"/>
      <c r="O76" s="45">
        <f t="shared" si="10"/>
        <v>0.37366247452339435</v>
      </c>
    </row>
    <row r="77" spans="1:15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40">
        <f t="shared" si="1"/>
        <v>2528.85</v>
      </c>
      <c r="G77" s="939">
        <v>1255</v>
      </c>
      <c r="H77" s="938">
        <v>912</v>
      </c>
      <c r="I77" s="72">
        <f t="shared" si="9"/>
        <v>0.30399999999999999</v>
      </c>
      <c r="J77" s="37">
        <f t="shared" si="8"/>
        <v>613.17103999999995</v>
      </c>
      <c r="K77" s="37">
        <f t="shared" si="3"/>
        <v>225.46299140799999</v>
      </c>
      <c r="L77" s="342">
        <v>236.86159999999998</v>
      </c>
      <c r="M77" s="37">
        <f t="shared" si="4"/>
        <v>25.560319999999997</v>
      </c>
      <c r="N77" s="37"/>
      <c r="O77" s="45">
        <f t="shared" si="10"/>
        <v>0.43539788892500547</v>
      </c>
    </row>
    <row r="78" spans="1:15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40">
        <f t="shared" si="1"/>
        <v>4250.83</v>
      </c>
      <c r="G78" s="353">
        <v>1048</v>
      </c>
      <c r="H78" s="938">
        <v>1048</v>
      </c>
      <c r="I78" s="72">
        <f t="shared" si="9"/>
        <v>0.34933333333333333</v>
      </c>
      <c r="J78" s="37">
        <f t="shared" si="8"/>
        <v>704.60882666666669</v>
      </c>
      <c r="K78" s="37">
        <f t="shared" si="3"/>
        <v>259.08466556533335</v>
      </c>
      <c r="L78" s="342">
        <v>272.18306666666666</v>
      </c>
      <c r="M78" s="37">
        <f>I78*84.08</f>
        <v>29.371946666666666</v>
      </c>
      <c r="N78" s="37"/>
      <c r="O78" s="45">
        <f t="shared" si="10"/>
        <v>0.29764740193452416</v>
      </c>
    </row>
    <row r="79" spans="1:15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40">
        <f t="shared" si="1"/>
        <v>2862.08</v>
      </c>
      <c r="G79" s="939">
        <v>1375</v>
      </c>
      <c r="H79" s="938">
        <v>1061</v>
      </c>
      <c r="I79" s="72">
        <f t="shared" si="9"/>
        <v>0.35366666666666668</v>
      </c>
      <c r="J79" s="37">
        <f t="shared" si="8"/>
        <v>713.34920333333332</v>
      </c>
      <c r="K79" s="37">
        <f t="shared" si="3"/>
        <v>262.2985020656667</v>
      </c>
      <c r="L79" s="342">
        <v>240.19271666666668</v>
      </c>
      <c r="M79" s="37">
        <f>I79*44.08</f>
        <v>15.589626666666668</v>
      </c>
      <c r="N79" s="37"/>
      <c r="O79" s="45">
        <f t="shared" si="10"/>
        <v>0.43025703290345946</v>
      </c>
    </row>
    <row r="80" spans="1:15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40">
        <f t="shared" ref="F80:F145" si="11">C80+D80+E80</f>
        <v>6415.24</v>
      </c>
      <c r="G80" s="353">
        <v>1938</v>
      </c>
      <c r="H80" s="938">
        <v>1938</v>
      </c>
      <c r="I80" s="72">
        <f t="shared" si="9"/>
        <v>0.64600000000000002</v>
      </c>
      <c r="J80" s="37">
        <f t="shared" si="8"/>
        <v>1302.98846</v>
      </c>
      <c r="K80" s="37">
        <f t="shared" ref="K80:K145" si="12">J80*0.3677</f>
        <v>479.10885674200006</v>
      </c>
      <c r="L80" s="342">
        <v>503.33089999999999</v>
      </c>
      <c r="M80" s="37">
        <f t="shared" ref="M80:M91" si="13">I80*84.08</f>
        <v>54.31568</v>
      </c>
      <c r="N80" s="37"/>
      <c r="O80" s="45">
        <f t="shared" si="10"/>
        <v>0.36471650269389772</v>
      </c>
    </row>
    <row r="81" spans="1:18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40">
        <f t="shared" si="11"/>
        <v>2523.4899999999998</v>
      </c>
      <c r="G81" s="353">
        <v>1129</v>
      </c>
      <c r="H81" s="938">
        <v>1029</v>
      </c>
      <c r="I81" s="72">
        <f t="shared" si="9"/>
        <v>0.34300000000000003</v>
      </c>
      <c r="J81" s="37">
        <f t="shared" si="8"/>
        <v>691.83443</v>
      </c>
      <c r="K81" s="37">
        <f t="shared" si="12"/>
        <v>254.38751991100003</v>
      </c>
      <c r="L81" s="342">
        <v>232.94845000000001</v>
      </c>
      <c r="M81" s="37">
        <f t="shared" si="13"/>
        <v>28.839440000000003</v>
      </c>
      <c r="N81" s="37"/>
      <c r="O81" s="45">
        <f t="shared" si="10"/>
        <v>0.47870601425446507</v>
      </c>
    </row>
    <row r="82" spans="1:18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40">
        <f t="shared" si="11"/>
        <v>2727.04</v>
      </c>
      <c r="G82" s="939">
        <v>1254</v>
      </c>
      <c r="H82" s="938">
        <v>1006</v>
      </c>
      <c r="I82" s="72">
        <f t="shared" si="9"/>
        <v>0.33533333333333332</v>
      </c>
      <c r="J82" s="37">
        <f t="shared" si="8"/>
        <v>676.37068666666664</v>
      </c>
      <c r="K82" s="37">
        <f t="shared" si="12"/>
        <v>248.70150148733333</v>
      </c>
      <c r="L82" s="342">
        <v>261.27496666666667</v>
      </c>
      <c r="M82" s="37">
        <f t="shared" si="13"/>
        <v>28.194826666666664</v>
      </c>
      <c r="N82" s="37"/>
      <c r="O82" s="45">
        <f t="shared" si="10"/>
        <v>0.44537006479088437</v>
      </c>
    </row>
    <row r="83" spans="1:18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40">
        <f t="shared" si="11"/>
        <v>11075.779999999999</v>
      </c>
      <c r="G83" s="353">
        <v>2564</v>
      </c>
      <c r="H83" s="938">
        <v>2564</v>
      </c>
      <c r="I83" s="72">
        <f t="shared" si="9"/>
        <v>0.85466666666666669</v>
      </c>
      <c r="J83" s="37">
        <f t="shared" si="8"/>
        <v>1723.8712133333333</v>
      </c>
      <c r="K83" s="37">
        <f t="shared" si="12"/>
        <v>633.86744514266672</v>
      </c>
      <c r="L83" s="342">
        <v>665.91353333333336</v>
      </c>
      <c r="M83" s="37">
        <f t="shared" si="13"/>
        <v>71.860373333333328</v>
      </c>
      <c r="N83" s="37"/>
      <c r="O83" s="45">
        <f t="shared" si="10"/>
        <v>0.27948483674672731</v>
      </c>
    </row>
    <row r="84" spans="1:18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40">
        <f t="shared" si="11"/>
        <v>6438.12</v>
      </c>
      <c r="G84" s="353">
        <v>1780</v>
      </c>
      <c r="H84" s="938">
        <v>1780</v>
      </c>
      <c r="I84" s="72">
        <f t="shared" si="9"/>
        <v>0.59333333333333338</v>
      </c>
      <c r="J84" s="37">
        <f t="shared" si="8"/>
        <v>1196.7592666666667</v>
      </c>
      <c r="K84" s="37">
        <f t="shared" si="12"/>
        <v>440.04838235333335</v>
      </c>
      <c r="L84" s="342">
        <v>462.2956666666667</v>
      </c>
      <c r="M84" s="37">
        <f t="shared" si="13"/>
        <v>49.887466666666668</v>
      </c>
      <c r="N84" s="37"/>
      <c r="O84" s="45">
        <f t="shared" si="10"/>
        <v>0.33379166314907666</v>
      </c>
    </row>
    <row r="85" spans="1:18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40">
        <f t="shared" si="11"/>
        <v>6322.5</v>
      </c>
      <c r="G85" s="353">
        <v>909</v>
      </c>
      <c r="H85" s="938">
        <v>909</v>
      </c>
      <c r="I85" s="72">
        <f t="shared" si="9"/>
        <v>0.30299999999999999</v>
      </c>
      <c r="J85" s="37">
        <f t="shared" si="8"/>
        <v>611.15403000000003</v>
      </c>
      <c r="K85" s="37">
        <f t="shared" si="12"/>
        <v>224.72133683100003</v>
      </c>
      <c r="L85" s="342">
        <v>236.08244999999999</v>
      </c>
      <c r="M85" s="37">
        <f t="shared" si="13"/>
        <v>25.476239999999997</v>
      </c>
      <c r="N85" s="37"/>
      <c r="O85" s="45">
        <f t="shared" si="10"/>
        <v>0.17357596786571766</v>
      </c>
    </row>
    <row r="86" spans="1:18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40">
        <f t="shared" si="11"/>
        <v>3207.6099999999997</v>
      </c>
      <c r="G86" s="353">
        <v>1201</v>
      </c>
      <c r="H86" s="938">
        <v>881</v>
      </c>
      <c r="I86" s="72">
        <f t="shared" si="9"/>
        <v>0.29366666666666669</v>
      </c>
      <c r="J86" s="37">
        <f t="shared" si="8"/>
        <v>592.32860333333338</v>
      </c>
      <c r="K86" s="37">
        <f t="shared" si="12"/>
        <v>217.7992274456667</v>
      </c>
      <c r="L86" s="342">
        <v>228.81038333333333</v>
      </c>
      <c r="M86" s="37">
        <f t="shared" si="13"/>
        <v>24.691493333333334</v>
      </c>
      <c r="N86" s="37"/>
      <c r="O86" s="45">
        <f t="shared" si="10"/>
        <v>0.33159570753478967</v>
      </c>
    </row>
    <row r="87" spans="1:18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40">
        <f t="shared" si="11"/>
        <v>2997.37</v>
      </c>
      <c r="G87" s="353">
        <v>1204</v>
      </c>
      <c r="H87" s="938">
        <v>1204</v>
      </c>
      <c r="I87" s="72">
        <f t="shared" si="9"/>
        <v>0.40133333333333332</v>
      </c>
      <c r="J87" s="37">
        <f t="shared" si="8"/>
        <v>809.49334666666664</v>
      </c>
      <c r="K87" s="37">
        <f t="shared" si="12"/>
        <v>297.65070356933336</v>
      </c>
      <c r="L87" s="342">
        <v>312.69886666666667</v>
      </c>
      <c r="M87" s="37">
        <f t="shared" si="13"/>
        <v>33.744106666666667</v>
      </c>
      <c r="N87" s="37"/>
      <c r="O87" s="45">
        <f t="shared" si="10"/>
        <v>0.48495415099548389</v>
      </c>
    </row>
    <row r="88" spans="1:18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8">
        <f>C88+D88+E88</f>
        <v>6397.6</v>
      </c>
      <c r="G88" s="353">
        <v>1460</v>
      </c>
      <c r="H88" s="24">
        <v>1460</v>
      </c>
      <c r="I88" s="72">
        <f>H88/3000</f>
        <v>0.48666666666666669</v>
      </c>
      <c r="J88" s="37">
        <f t="shared" si="8"/>
        <v>981.61153333333334</v>
      </c>
      <c r="K88" s="37">
        <f t="shared" si="12"/>
        <v>360.93856080666671</v>
      </c>
      <c r="L88" s="342">
        <v>312.69886666666667</v>
      </c>
      <c r="M88" s="37">
        <f t="shared" si="13"/>
        <v>40.918933333333335</v>
      </c>
      <c r="N88" s="37"/>
      <c r="O88" s="45">
        <f t="shared" si="10"/>
        <v>0.26512565558021756</v>
      </c>
    </row>
    <row r="89" spans="1:18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8">
        <f>C89+D89+E89</f>
        <v>566.29999999999995</v>
      </c>
      <c r="G89" s="353">
        <v>317</v>
      </c>
      <c r="H89" s="24">
        <v>317</v>
      </c>
      <c r="I89" s="72">
        <f>H89/3000</f>
        <v>0.10566666666666667</v>
      </c>
      <c r="J89" s="37">
        <f t="shared" si="8"/>
        <v>213.13072333333335</v>
      </c>
      <c r="K89" s="37">
        <f t="shared" si="12"/>
        <v>78.368166969666675</v>
      </c>
      <c r="L89" s="37">
        <v>1</v>
      </c>
      <c r="M89" s="37">
        <f t="shared" si="13"/>
        <v>8.8844533333333331</v>
      </c>
      <c r="N89" s="37"/>
      <c r="O89" s="45">
        <f t="shared" si="10"/>
        <v>0.53219732233150874</v>
      </c>
      <c r="R89" s="6">
        <v>2</v>
      </c>
    </row>
    <row r="90" spans="1:18" s="69" customFormat="1" ht="15.75">
      <c r="A90" s="63"/>
      <c r="B90" s="63" t="s">
        <v>749</v>
      </c>
      <c r="C90" s="65">
        <f>SUM(C6:C89)</f>
        <v>611883.82999999996</v>
      </c>
      <c r="D90" s="65">
        <f>SUM(D6:D88)</f>
        <v>2638.4</v>
      </c>
      <c r="E90" s="65">
        <f>SUM(E6:E88)</f>
        <v>2676.85</v>
      </c>
      <c r="F90" s="65">
        <f>SUM(F69:F89)</f>
        <v>112765.42</v>
      </c>
      <c r="G90" s="65">
        <f>SUM(G6:G89)</f>
        <v>181510.72000000009</v>
      </c>
      <c r="H90" s="387">
        <f>SUM(H69:H89)</f>
        <v>28085</v>
      </c>
      <c r="I90" s="72">
        <f>H90/3000</f>
        <v>9.3616666666666664</v>
      </c>
      <c r="J90" s="37">
        <f>I90*2017.01</f>
        <v>18882.575283333332</v>
      </c>
      <c r="K90" s="64">
        <f>J90*0.3677</f>
        <v>6943.1229316816662</v>
      </c>
      <c r="L90" s="37">
        <f>SUM(L68:L89)</f>
        <v>7092.0594650000003</v>
      </c>
      <c r="M90" s="37">
        <f t="shared" si="13"/>
        <v>787.12893333333329</v>
      </c>
      <c r="N90" s="37"/>
      <c r="O90" s="45">
        <f t="shared" si="10"/>
        <v>0.29889381526134812</v>
      </c>
    </row>
    <row r="91" spans="1:18" s="6" customFormat="1" ht="18" customHeight="1">
      <c r="A91" s="9" t="s">
        <v>50</v>
      </c>
      <c r="B91" s="8"/>
      <c r="C91" s="8"/>
      <c r="D91" s="8"/>
      <c r="E91" s="8"/>
      <c r="F91" s="40">
        <f t="shared" si="11"/>
        <v>0</v>
      </c>
      <c r="G91" s="353"/>
      <c r="H91" s="8"/>
      <c r="I91" s="41"/>
      <c r="J91" s="37">
        <f>I91*2077.52</f>
        <v>0</v>
      </c>
      <c r="K91" s="37"/>
      <c r="L91" s="37">
        <v>0</v>
      </c>
      <c r="M91" s="37">
        <f t="shared" si="13"/>
        <v>0</v>
      </c>
      <c r="N91" s="37"/>
      <c r="O91" s="45" t="e">
        <f t="shared" si="10"/>
        <v>#DIV/0!</v>
      </c>
    </row>
    <row r="92" spans="1:18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95">
        <f t="shared" si="11"/>
        <v>689.3</v>
      </c>
      <c r="G92" s="738">
        <v>33.6</v>
      </c>
      <c r="H92" s="828">
        <v>33.6</v>
      </c>
      <c r="I92" s="72">
        <f t="shared" ref="I92:I155" si="14">H92/3000</f>
        <v>1.12E-2</v>
      </c>
      <c r="J92" s="37">
        <f>I92*2017.01</f>
        <v>22.590512</v>
      </c>
      <c r="K92" s="96">
        <f t="shared" si="12"/>
        <v>8.3065312624000001</v>
      </c>
      <c r="L92" s="37">
        <v>8.7264800000000005</v>
      </c>
      <c r="M92" s="37">
        <f>I92*84.08*1.1</f>
        <v>1.0358656000000002</v>
      </c>
      <c r="N92" s="117">
        <f>M92*1.219</f>
        <v>1.2627201664000003</v>
      </c>
      <c r="O92" s="45">
        <f t="shared" si="10"/>
        <v>5.8986491893805316E-2</v>
      </c>
    </row>
    <row r="93" spans="1:18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95">
        <f t="shared" si="11"/>
        <v>356.29999999999995</v>
      </c>
      <c r="G93" s="738">
        <v>28.8</v>
      </c>
      <c r="H93" s="828">
        <v>49</v>
      </c>
      <c r="I93" s="72">
        <f t="shared" si="14"/>
        <v>1.6333333333333332E-2</v>
      </c>
      <c r="J93" s="37">
        <f t="shared" ref="J93:J156" si="15">I93*2017.01</f>
        <v>32.944496666666666</v>
      </c>
      <c r="K93" s="96">
        <f t="shared" si="12"/>
        <v>12.113691424333334</v>
      </c>
      <c r="L93" s="37">
        <v>12.726116666666664</v>
      </c>
      <c r="M93" s="37">
        <f t="shared" ref="M93:M156" si="16">I93*84.08*1.1</f>
        <v>1.5106373333333332</v>
      </c>
      <c r="N93" s="117">
        <f t="shared" ref="N93:N156" si="17">M93*1.219</f>
        <v>1.8414669093333333</v>
      </c>
      <c r="O93" s="45">
        <f t="shared" si="10"/>
        <v>0.16641858571709234</v>
      </c>
    </row>
    <row r="94" spans="1:18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95">
        <f t="shared" si="11"/>
        <v>425.13</v>
      </c>
      <c r="G94" s="738">
        <v>48</v>
      </c>
      <c r="H94" s="828">
        <v>56</v>
      </c>
      <c r="I94" s="72">
        <f t="shared" si="14"/>
        <v>1.8666666666666668E-2</v>
      </c>
      <c r="J94" s="37">
        <f t="shared" si="15"/>
        <v>37.650853333333338</v>
      </c>
      <c r="K94" s="96">
        <f t="shared" si="12"/>
        <v>13.84421877066667</v>
      </c>
      <c r="L94" s="37">
        <v>14.544133333333335</v>
      </c>
      <c r="M94" s="37">
        <f t="shared" si="16"/>
        <v>1.7264426666666668</v>
      </c>
      <c r="N94" s="117">
        <f t="shared" si="17"/>
        <v>2.104533610666667</v>
      </c>
      <c r="O94" s="45">
        <f t="shared" si="10"/>
        <v>0.15939982618022727</v>
      </c>
    </row>
    <row r="95" spans="1:18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95">
        <f t="shared" si="11"/>
        <v>690.66</v>
      </c>
      <c r="G95" s="738">
        <v>48</v>
      </c>
      <c r="H95" s="828">
        <v>48</v>
      </c>
      <c r="I95" s="72">
        <f t="shared" si="14"/>
        <v>1.6E-2</v>
      </c>
      <c r="J95" s="37">
        <f t="shared" si="15"/>
        <v>32.27216</v>
      </c>
      <c r="K95" s="96">
        <f t="shared" si="12"/>
        <v>11.866473232000001</v>
      </c>
      <c r="L95" s="37">
        <v>12.4664</v>
      </c>
      <c r="M95" s="37">
        <f t="shared" si="16"/>
        <v>1.4798080000000002</v>
      </c>
      <c r="N95" s="117">
        <f t="shared" si="17"/>
        <v>1.8038859520000003</v>
      </c>
      <c r="O95" s="45">
        <f t="shared" si="10"/>
        <v>8.4100485379202505E-2</v>
      </c>
    </row>
    <row r="96" spans="1:18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95">
        <f t="shared" si="11"/>
        <v>618.05999999999995</v>
      </c>
      <c r="G96" s="738">
        <v>31.2</v>
      </c>
      <c r="H96" s="828">
        <v>52</v>
      </c>
      <c r="I96" s="72">
        <f t="shared" si="14"/>
        <v>1.7333333333333333E-2</v>
      </c>
      <c r="J96" s="37">
        <f t="shared" si="15"/>
        <v>34.961506666666665</v>
      </c>
      <c r="K96" s="96">
        <f t="shared" si="12"/>
        <v>12.855346001333334</v>
      </c>
      <c r="L96" s="37">
        <v>13.505266666666666</v>
      </c>
      <c r="M96" s="37">
        <f t="shared" si="16"/>
        <v>1.6031253333333333</v>
      </c>
      <c r="N96" s="117">
        <f t="shared" si="17"/>
        <v>1.9542097813333335</v>
      </c>
      <c r="O96" s="45">
        <f t="shared" si="10"/>
        <v>0.10181089969905834</v>
      </c>
    </row>
    <row r="97" spans="1:15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95">
        <f t="shared" si="11"/>
        <v>1327.4</v>
      </c>
      <c r="G97" s="738">
        <v>90</v>
      </c>
      <c r="H97" s="828">
        <v>109</v>
      </c>
      <c r="I97" s="72">
        <f t="shared" si="14"/>
        <v>3.6333333333333336E-2</v>
      </c>
      <c r="J97" s="37">
        <f t="shared" si="15"/>
        <v>73.284696666666676</v>
      </c>
      <c r="K97" s="96">
        <f t="shared" si="12"/>
        <v>26.946782964333337</v>
      </c>
      <c r="L97" s="37">
        <v>28.309116666666668</v>
      </c>
      <c r="M97" s="37">
        <f t="shared" si="16"/>
        <v>3.3603973333333337</v>
      </c>
      <c r="N97" s="117">
        <f t="shared" si="17"/>
        <v>4.0963243493333339</v>
      </c>
      <c r="O97" s="45">
        <f t="shared" si="10"/>
        <v>9.9367932522977265E-2</v>
      </c>
    </row>
    <row r="98" spans="1:15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95">
        <f t="shared" si="11"/>
        <v>1528.3</v>
      </c>
      <c r="G98" s="738">
        <v>43.2</v>
      </c>
      <c r="H98" s="828">
        <v>68</v>
      </c>
      <c r="I98" s="72">
        <f t="shared" si="14"/>
        <v>2.2666666666666668E-2</v>
      </c>
      <c r="J98" s="37">
        <f t="shared" si="15"/>
        <v>45.718893333333334</v>
      </c>
      <c r="K98" s="96">
        <f t="shared" si="12"/>
        <v>16.810837078666669</v>
      </c>
      <c r="L98" s="37">
        <v>17.660733333333333</v>
      </c>
      <c r="M98" s="37">
        <f t="shared" si="16"/>
        <v>2.0963946666666669</v>
      </c>
      <c r="N98" s="117">
        <f t="shared" si="17"/>
        <v>2.555505098666667</v>
      </c>
      <c r="O98" s="45">
        <f t="shared" si="10"/>
        <v>5.3842084938820922E-2</v>
      </c>
    </row>
    <row r="99" spans="1:15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95">
        <f t="shared" si="11"/>
        <v>736.94</v>
      </c>
      <c r="G99" s="738">
        <v>39.6</v>
      </c>
      <c r="H99" s="828">
        <v>39</v>
      </c>
      <c r="I99" s="72">
        <f t="shared" si="14"/>
        <v>1.2999999999999999E-2</v>
      </c>
      <c r="J99" s="37">
        <f t="shared" si="15"/>
        <v>26.221129999999999</v>
      </c>
      <c r="K99" s="96">
        <f t="shared" si="12"/>
        <v>9.6415095009999998</v>
      </c>
      <c r="L99" s="37">
        <v>10.12895</v>
      </c>
      <c r="M99" s="37">
        <f t="shared" si="16"/>
        <v>1.2023440000000001</v>
      </c>
      <c r="N99" s="117">
        <f t="shared" si="17"/>
        <v>1.4656573360000003</v>
      </c>
      <c r="O99" s="45">
        <f t="shared" si="10"/>
        <v>6.4040401526582871E-2</v>
      </c>
    </row>
    <row r="100" spans="1:15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95">
        <f t="shared" si="11"/>
        <v>588.29</v>
      </c>
      <c r="G100" s="738">
        <v>30.6</v>
      </c>
      <c r="H100" s="828">
        <v>34</v>
      </c>
      <c r="I100" s="72">
        <f t="shared" si="14"/>
        <v>1.1333333333333334E-2</v>
      </c>
      <c r="J100" s="37">
        <f t="shared" si="15"/>
        <v>22.859446666666667</v>
      </c>
      <c r="K100" s="96">
        <f t="shared" si="12"/>
        <v>8.4054185393333345</v>
      </c>
      <c r="L100" s="37">
        <v>8.8303666666666665</v>
      </c>
      <c r="M100" s="37">
        <f t="shared" si="16"/>
        <v>1.0481973333333334</v>
      </c>
      <c r="N100" s="117">
        <f t="shared" si="17"/>
        <v>1.2777525493333335</v>
      </c>
      <c r="O100" s="45">
        <f t="shared" si="10"/>
        <v>6.9937325478930473E-2</v>
      </c>
    </row>
    <row r="101" spans="1:15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95">
        <f t="shared" si="11"/>
        <v>264.32</v>
      </c>
      <c r="G101" s="738">
        <v>170</v>
      </c>
      <c r="H101" s="828">
        <v>0</v>
      </c>
      <c r="I101" s="72">
        <f t="shared" si="14"/>
        <v>0</v>
      </c>
      <c r="J101" s="37">
        <f t="shared" si="15"/>
        <v>0</v>
      </c>
      <c r="K101" s="96">
        <f t="shared" si="12"/>
        <v>0</v>
      </c>
      <c r="L101" s="37">
        <v>0</v>
      </c>
      <c r="M101" s="37">
        <f t="shared" si="16"/>
        <v>0</v>
      </c>
      <c r="N101" s="117">
        <f t="shared" si="17"/>
        <v>0</v>
      </c>
      <c r="O101" s="45">
        <f t="shared" si="10"/>
        <v>0</v>
      </c>
    </row>
    <row r="102" spans="1:15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95">
        <f t="shared" si="11"/>
        <v>202.70000000000002</v>
      </c>
      <c r="G102" s="738">
        <v>120</v>
      </c>
      <c r="H102" s="828">
        <v>72</v>
      </c>
      <c r="I102" s="72">
        <f t="shared" si="14"/>
        <v>2.4E-2</v>
      </c>
      <c r="J102" s="37">
        <f t="shared" si="15"/>
        <v>48.408239999999999</v>
      </c>
      <c r="K102" s="96">
        <f t="shared" si="12"/>
        <v>17.799709848000003</v>
      </c>
      <c r="L102" s="37">
        <v>18.6996</v>
      </c>
      <c r="M102" s="37">
        <f t="shared" si="16"/>
        <v>2.2197120000000004</v>
      </c>
      <c r="N102" s="117">
        <f t="shared" si="17"/>
        <v>2.7058289280000007</v>
      </c>
      <c r="O102" s="45">
        <f t="shared" si="10"/>
        <v>0.42983355623088304</v>
      </c>
    </row>
    <row r="103" spans="1:15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95">
        <f t="shared" si="11"/>
        <v>366.9</v>
      </c>
      <c r="G103" s="738">
        <v>176.4</v>
      </c>
      <c r="H103" s="828">
        <v>178</v>
      </c>
      <c r="I103" s="72">
        <f t="shared" si="14"/>
        <v>5.9333333333333335E-2</v>
      </c>
      <c r="J103" s="37">
        <f t="shared" si="15"/>
        <v>119.67592666666667</v>
      </c>
      <c r="K103" s="96">
        <f t="shared" si="12"/>
        <v>44.004838235333338</v>
      </c>
      <c r="L103" s="37">
        <v>46.229566666666663</v>
      </c>
      <c r="M103" s="37">
        <f t="shared" si="16"/>
        <v>5.4876213333333341</v>
      </c>
      <c r="N103" s="117">
        <f t="shared" si="17"/>
        <v>6.6894104053333345</v>
      </c>
      <c r="O103" s="45">
        <f t="shared" si="10"/>
        <v>0.58707536904333613</v>
      </c>
    </row>
    <row r="104" spans="1:15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95">
        <f t="shared" si="11"/>
        <v>580.66999999999996</v>
      </c>
      <c r="G104" s="738">
        <v>95.4</v>
      </c>
      <c r="H104" s="828">
        <v>95.4</v>
      </c>
      <c r="I104" s="72">
        <f t="shared" si="14"/>
        <v>3.1800000000000002E-2</v>
      </c>
      <c r="J104" s="37">
        <f t="shared" si="15"/>
        <v>64.140917999999999</v>
      </c>
      <c r="K104" s="96">
        <f t="shared" si="12"/>
        <v>23.584615548600002</v>
      </c>
      <c r="L104" s="37">
        <v>24.776970000000002</v>
      </c>
      <c r="M104" s="37">
        <f t="shared" si="16"/>
        <v>2.9411184000000006</v>
      </c>
      <c r="N104" s="117">
        <f t="shared" si="17"/>
        <v>3.5852233296000011</v>
      </c>
      <c r="O104" s="45">
        <f t="shared" si="10"/>
        <v>0.19881106643808016</v>
      </c>
    </row>
    <row r="105" spans="1:15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95">
        <f t="shared" si="11"/>
        <v>612.9</v>
      </c>
      <c r="G105" s="738">
        <v>218.4</v>
      </c>
      <c r="H105" s="828">
        <v>126</v>
      </c>
      <c r="I105" s="72">
        <f t="shared" si="14"/>
        <v>4.2000000000000003E-2</v>
      </c>
      <c r="J105" s="37">
        <f t="shared" si="15"/>
        <v>84.714420000000004</v>
      </c>
      <c r="K105" s="96">
        <f t="shared" si="12"/>
        <v>31.149492234000004</v>
      </c>
      <c r="L105" s="37">
        <v>32.724299999999999</v>
      </c>
      <c r="M105" s="37">
        <f t="shared" si="16"/>
        <v>3.8844960000000008</v>
      </c>
      <c r="N105" s="117">
        <f t="shared" si="17"/>
        <v>4.7352006240000017</v>
      </c>
      <c r="O105" s="45">
        <f t="shared" si="10"/>
        <v>0.24877257013215867</v>
      </c>
    </row>
    <row r="106" spans="1:15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95">
        <f t="shared" si="11"/>
        <v>851.5</v>
      </c>
      <c r="G106" s="738">
        <v>356.4</v>
      </c>
      <c r="H106" s="828">
        <v>236</v>
      </c>
      <c r="I106" s="72">
        <f t="shared" si="14"/>
        <v>7.8666666666666663E-2</v>
      </c>
      <c r="J106" s="37">
        <f t="shared" si="15"/>
        <v>158.67145333333332</v>
      </c>
      <c r="K106" s="96">
        <f t="shared" si="12"/>
        <v>58.343493390666666</v>
      </c>
      <c r="L106" s="37">
        <v>61.29313333333333</v>
      </c>
      <c r="M106" s="37">
        <f t="shared" si="16"/>
        <v>7.2757226666666659</v>
      </c>
      <c r="N106" s="117">
        <f t="shared" si="17"/>
        <v>8.8691059306666666</v>
      </c>
      <c r="O106" s="45">
        <f t="shared" si="10"/>
        <v>0.3353890812965355</v>
      </c>
    </row>
    <row r="107" spans="1:15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95">
        <f t="shared" si="11"/>
        <v>545.6</v>
      </c>
      <c r="G107" s="738">
        <v>186</v>
      </c>
      <c r="H107" s="828">
        <v>120</v>
      </c>
      <c r="I107" s="72">
        <f t="shared" si="14"/>
        <v>0.04</v>
      </c>
      <c r="J107" s="37">
        <f t="shared" si="15"/>
        <v>80.680400000000006</v>
      </c>
      <c r="K107" s="96">
        <f t="shared" si="12"/>
        <v>29.666183080000003</v>
      </c>
      <c r="L107" s="37">
        <v>31.166</v>
      </c>
      <c r="M107" s="37">
        <f t="shared" si="16"/>
        <v>3.6995200000000001</v>
      </c>
      <c r="N107" s="117">
        <f t="shared" si="17"/>
        <v>4.5097148800000006</v>
      </c>
      <c r="O107" s="45">
        <f t="shared" si="10"/>
        <v>0.26615121532258068</v>
      </c>
    </row>
    <row r="108" spans="1:15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95">
        <f t="shared" si="11"/>
        <v>564.81000000000006</v>
      </c>
      <c r="G108" s="738">
        <v>194.4</v>
      </c>
      <c r="H108" s="828">
        <v>120</v>
      </c>
      <c r="I108" s="72">
        <f t="shared" si="14"/>
        <v>0.04</v>
      </c>
      <c r="J108" s="37">
        <f t="shared" si="15"/>
        <v>80.680400000000006</v>
      </c>
      <c r="K108" s="96">
        <f t="shared" si="12"/>
        <v>29.666183080000003</v>
      </c>
      <c r="L108" s="37">
        <v>31.166</v>
      </c>
      <c r="M108" s="37">
        <f t="shared" si="16"/>
        <v>3.6995200000000001</v>
      </c>
      <c r="N108" s="117">
        <f t="shared" si="17"/>
        <v>4.5097148800000006</v>
      </c>
      <c r="O108" s="45">
        <f t="shared" si="10"/>
        <v>0.25709902990386146</v>
      </c>
    </row>
    <row r="109" spans="1:15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95">
        <f t="shared" si="11"/>
        <v>536.25</v>
      </c>
      <c r="G109" s="738">
        <v>190</v>
      </c>
      <c r="H109" s="828">
        <v>120</v>
      </c>
      <c r="I109" s="72">
        <f t="shared" si="14"/>
        <v>0.04</v>
      </c>
      <c r="J109" s="37">
        <f t="shared" si="15"/>
        <v>80.680400000000006</v>
      </c>
      <c r="K109" s="96">
        <f t="shared" si="12"/>
        <v>29.666183080000003</v>
      </c>
      <c r="L109" s="37">
        <v>31.166</v>
      </c>
      <c r="M109" s="37">
        <f t="shared" si="16"/>
        <v>3.6995200000000001</v>
      </c>
      <c r="N109" s="117">
        <f t="shared" si="17"/>
        <v>4.5097148800000006</v>
      </c>
      <c r="O109" s="45">
        <f t="shared" si="10"/>
        <v>0.27079180061538466</v>
      </c>
    </row>
    <row r="110" spans="1:15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95">
        <f t="shared" si="11"/>
        <v>603.17000000000007</v>
      </c>
      <c r="G110" s="738">
        <v>183.6</v>
      </c>
      <c r="H110" s="828">
        <v>120</v>
      </c>
      <c r="I110" s="72">
        <f t="shared" si="14"/>
        <v>0.04</v>
      </c>
      <c r="J110" s="37">
        <f t="shared" si="15"/>
        <v>80.680400000000006</v>
      </c>
      <c r="K110" s="96">
        <f t="shared" si="12"/>
        <v>29.666183080000003</v>
      </c>
      <c r="L110" s="37">
        <v>31.166</v>
      </c>
      <c r="M110" s="37">
        <f t="shared" si="16"/>
        <v>3.6995200000000001</v>
      </c>
      <c r="N110" s="117">
        <f t="shared" si="17"/>
        <v>4.5097148800000006</v>
      </c>
      <c r="O110" s="45">
        <f t="shared" si="10"/>
        <v>0.2407482187111428</v>
      </c>
    </row>
    <row r="111" spans="1:15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95">
        <f t="shared" si="11"/>
        <v>226.9</v>
      </c>
      <c r="G111" s="738">
        <v>125</v>
      </c>
      <c r="H111" s="828">
        <v>105</v>
      </c>
      <c r="I111" s="72">
        <f t="shared" si="14"/>
        <v>3.5000000000000003E-2</v>
      </c>
      <c r="J111" s="37">
        <f t="shared" si="15"/>
        <v>70.59535000000001</v>
      </c>
      <c r="K111" s="96">
        <f t="shared" si="12"/>
        <v>25.957910195000007</v>
      </c>
      <c r="L111" s="37">
        <v>27.270250000000001</v>
      </c>
      <c r="M111" s="37">
        <f t="shared" si="16"/>
        <v>3.2370800000000002</v>
      </c>
      <c r="N111" s="117">
        <f t="shared" si="17"/>
        <v>3.9460005200000006</v>
      </c>
      <c r="O111" s="45">
        <f t="shared" si="10"/>
        <v>0.55998497221242849</v>
      </c>
    </row>
    <row r="112" spans="1:15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95">
        <f t="shared" si="11"/>
        <v>385.59999999999997</v>
      </c>
      <c r="G112" s="738">
        <v>54</v>
      </c>
      <c r="H112" s="828">
        <v>90</v>
      </c>
      <c r="I112" s="72">
        <f t="shared" si="14"/>
        <v>0.03</v>
      </c>
      <c r="J112" s="37">
        <f t="shared" si="15"/>
        <v>60.510300000000001</v>
      </c>
      <c r="K112" s="96">
        <f t="shared" si="12"/>
        <v>22.249637310000001</v>
      </c>
      <c r="L112" s="37">
        <v>23.374499999999998</v>
      </c>
      <c r="M112" s="37">
        <f t="shared" si="16"/>
        <v>2.7746399999999998</v>
      </c>
      <c r="N112" s="117">
        <f t="shared" si="17"/>
        <v>3.38228616</v>
      </c>
      <c r="O112" s="45">
        <f t="shared" si="10"/>
        <v>0.28244055318983408</v>
      </c>
    </row>
    <row r="113" spans="1:15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95">
        <f t="shared" si="11"/>
        <v>340.18</v>
      </c>
      <c r="G113" s="738">
        <v>188</v>
      </c>
      <c r="H113" s="828">
        <v>117</v>
      </c>
      <c r="I113" s="72">
        <f t="shared" si="14"/>
        <v>3.9E-2</v>
      </c>
      <c r="J113" s="37">
        <f t="shared" si="15"/>
        <v>78.663389999999993</v>
      </c>
      <c r="K113" s="96">
        <f t="shared" si="12"/>
        <v>28.924528502999998</v>
      </c>
      <c r="L113" s="37">
        <v>30.386849999999999</v>
      </c>
      <c r="M113" s="37">
        <f t="shared" si="16"/>
        <v>3.6070320000000002</v>
      </c>
      <c r="N113" s="117">
        <f t="shared" si="17"/>
        <v>4.3969720080000005</v>
      </c>
      <c r="O113" s="45">
        <f t="shared" si="10"/>
        <v>0.4161967208624846</v>
      </c>
    </row>
    <row r="114" spans="1:15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95">
        <f t="shared" si="11"/>
        <v>304.7</v>
      </c>
      <c r="G114" s="738">
        <v>124.8</v>
      </c>
      <c r="H114" s="828">
        <v>120</v>
      </c>
      <c r="I114" s="72">
        <f t="shared" si="14"/>
        <v>0.04</v>
      </c>
      <c r="J114" s="37">
        <f t="shared" si="15"/>
        <v>80.680400000000006</v>
      </c>
      <c r="K114" s="96">
        <f t="shared" si="12"/>
        <v>29.666183080000003</v>
      </c>
      <c r="L114" s="37">
        <v>31.166</v>
      </c>
      <c r="M114" s="37">
        <f t="shared" si="16"/>
        <v>3.6995200000000001</v>
      </c>
      <c r="N114" s="117">
        <f t="shared" si="17"/>
        <v>4.5097148800000006</v>
      </c>
      <c r="O114" s="45">
        <f t="shared" si="10"/>
        <v>0.47657401732851995</v>
      </c>
    </row>
    <row r="115" spans="1:15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95">
        <f t="shared" si="11"/>
        <v>979.97</v>
      </c>
      <c r="G115" s="738">
        <v>360.6</v>
      </c>
      <c r="H115" s="828">
        <v>300</v>
      </c>
      <c r="I115" s="72">
        <f t="shared" si="14"/>
        <v>0.1</v>
      </c>
      <c r="J115" s="37">
        <f t="shared" si="15"/>
        <v>201.70100000000002</v>
      </c>
      <c r="K115" s="96">
        <f t="shared" si="12"/>
        <v>74.165457700000019</v>
      </c>
      <c r="L115" s="37">
        <v>77.915000000000006</v>
      </c>
      <c r="M115" s="37">
        <f t="shared" si="16"/>
        <v>9.248800000000001</v>
      </c>
      <c r="N115" s="117">
        <f t="shared" si="17"/>
        <v>11.274287200000002</v>
      </c>
      <c r="O115" s="45">
        <f t="shared" si="10"/>
        <v>0.37045037878710585</v>
      </c>
    </row>
    <row r="116" spans="1:15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95">
        <f t="shared" si="11"/>
        <v>1330.1</v>
      </c>
      <c r="G116" s="738">
        <v>583.20000000000005</v>
      </c>
      <c r="H116" s="828">
        <v>583.20000000000005</v>
      </c>
      <c r="I116" s="72">
        <f t="shared" si="14"/>
        <v>0.19440000000000002</v>
      </c>
      <c r="J116" s="37">
        <f t="shared" si="15"/>
        <v>392.10674400000005</v>
      </c>
      <c r="K116" s="96">
        <f t="shared" si="12"/>
        <v>144.17764976880002</v>
      </c>
      <c r="L116" s="37">
        <v>151.46676000000002</v>
      </c>
      <c r="M116" s="37">
        <f t="shared" si="16"/>
        <v>17.979667200000005</v>
      </c>
      <c r="N116" s="117">
        <f t="shared" si="17"/>
        <v>21.917214316800006</v>
      </c>
      <c r="O116" s="45">
        <f t="shared" si="10"/>
        <v>0.5305847838273815</v>
      </c>
    </row>
    <row r="117" spans="1:15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95">
        <f t="shared" si="11"/>
        <v>820.65</v>
      </c>
      <c r="G117" s="738">
        <v>285.60000000000002</v>
      </c>
      <c r="H117" s="828">
        <v>285.60000000000002</v>
      </c>
      <c r="I117" s="72">
        <f t="shared" si="14"/>
        <v>9.5200000000000007E-2</v>
      </c>
      <c r="J117" s="37">
        <f t="shared" si="15"/>
        <v>192.01935200000003</v>
      </c>
      <c r="K117" s="96">
        <f t="shared" si="12"/>
        <v>70.605515730400015</v>
      </c>
      <c r="L117" s="37">
        <v>74.175080000000008</v>
      </c>
      <c r="M117" s="37">
        <f t="shared" si="16"/>
        <v>8.8048576000000018</v>
      </c>
      <c r="N117" s="117">
        <f t="shared" si="17"/>
        <v>10.733121414400003</v>
      </c>
      <c r="O117" s="45">
        <f t="shared" si="10"/>
        <v>0.42113544791372698</v>
      </c>
    </row>
    <row r="118" spans="1:15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95">
        <f t="shared" si="11"/>
        <v>1463.87</v>
      </c>
      <c r="G118" s="738">
        <v>386.4</v>
      </c>
      <c r="H118" s="828">
        <v>495</v>
      </c>
      <c r="I118" s="72">
        <f t="shared" si="14"/>
        <v>0.16500000000000001</v>
      </c>
      <c r="J118" s="37">
        <f t="shared" si="15"/>
        <v>332.80664999999999</v>
      </c>
      <c r="K118" s="96">
        <f t="shared" si="12"/>
        <v>122.373005205</v>
      </c>
      <c r="L118" s="37">
        <v>128.55975000000001</v>
      </c>
      <c r="M118" s="37">
        <f t="shared" si="16"/>
        <v>15.260520000000001</v>
      </c>
      <c r="N118" s="117">
        <f t="shared" si="17"/>
        <v>18.602573880000001</v>
      </c>
      <c r="O118" s="45">
        <f t="shared" si="10"/>
        <v>0.40918928948950395</v>
      </c>
    </row>
    <row r="119" spans="1:15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95">
        <f t="shared" si="11"/>
        <v>595.18000000000006</v>
      </c>
      <c r="G119" s="738">
        <v>34</v>
      </c>
      <c r="H119" s="828">
        <v>34</v>
      </c>
      <c r="I119" s="72">
        <f t="shared" si="14"/>
        <v>1.1333333333333334E-2</v>
      </c>
      <c r="J119" s="37">
        <f t="shared" si="15"/>
        <v>22.859446666666667</v>
      </c>
      <c r="K119" s="96">
        <f t="shared" si="12"/>
        <v>8.4054185393333345</v>
      </c>
      <c r="L119" s="37">
        <v>8.8303666666666665</v>
      </c>
      <c r="M119" s="37">
        <f t="shared" si="16"/>
        <v>1.0481973333333334</v>
      </c>
      <c r="N119" s="117">
        <f t="shared" si="17"/>
        <v>1.2777525493333335</v>
      </c>
      <c r="O119" s="45">
        <f t="shared" si="10"/>
        <v>6.9127707930374011E-2</v>
      </c>
    </row>
    <row r="120" spans="1:15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95">
        <f t="shared" si="11"/>
        <v>142</v>
      </c>
      <c r="G120" s="738">
        <v>93</v>
      </c>
      <c r="H120" s="828">
        <v>81</v>
      </c>
      <c r="I120" s="72">
        <f t="shared" si="14"/>
        <v>2.7E-2</v>
      </c>
      <c r="J120" s="37">
        <f t="shared" si="15"/>
        <v>54.459269999999997</v>
      </c>
      <c r="K120" s="96">
        <f t="shared" si="12"/>
        <v>20.024673579000002</v>
      </c>
      <c r="L120" s="37">
        <v>21.037050000000001</v>
      </c>
      <c r="M120" s="37">
        <f t="shared" si="16"/>
        <v>2.4971760000000001</v>
      </c>
      <c r="N120" s="117">
        <f t="shared" si="17"/>
        <v>3.0440575440000002</v>
      </c>
      <c r="O120" s="45">
        <f t="shared" si="10"/>
        <v>0.69026879985211254</v>
      </c>
    </row>
    <row r="121" spans="1:15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95">
        <f t="shared" si="11"/>
        <v>576.93999999999994</v>
      </c>
      <c r="G121" s="738">
        <v>87</v>
      </c>
      <c r="H121" s="828">
        <v>192</v>
      </c>
      <c r="I121" s="72">
        <f t="shared" si="14"/>
        <v>6.4000000000000001E-2</v>
      </c>
      <c r="J121" s="37">
        <f t="shared" si="15"/>
        <v>129.08864</v>
      </c>
      <c r="K121" s="96">
        <f t="shared" si="12"/>
        <v>47.465892928000002</v>
      </c>
      <c r="L121" s="37">
        <v>49.865600000000001</v>
      </c>
      <c r="M121" s="37">
        <f t="shared" si="16"/>
        <v>5.9192320000000009</v>
      </c>
      <c r="N121" s="117">
        <f t="shared" si="17"/>
        <v>7.2155438080000014</v>
      </c>
      <c r="O121" s="45">
        <f t="shared" si="10"/>
        <v>0.40270975305577711</v>
      </c>
    </row>
    <row r="122" spans="1:15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95">
        <f t="shared" si="11"/>
        <v>587.76</v>
      </c>
      <c r="G122" s="738">
        <v>93</v>
      </c>
      <c r="H122" s="828">
        <v>100</v>
      </c>
      <c r="I122" s="72">
        <f t="shared" si="14"/>
        <v>3.3333333333333333E-2</v>
      </c>
      <c r="J122" s="37">
        <f t="shared" si="15"/>
        <v>67.233666666666664</v>
      </c>
      <c r="K122" s="96">
        <f t="shared" si="12"/>
        <v>24.721819233333335</v>
      </c>
      <c r="L122" s="37">
        <v>25.971666666666664</v>
      </c>
      <c r="M122" s="37">
        <f t="shared" si="16"/>
        <v>3.0829333333333335</v>
      </c>
      <c r="N122" s="117">
        <f t="shared" si="17"/>
        <v>3.758095733333334</v>
      </c>
      <c r="O122" s="45">
        <f t="shared" si="10"/>
        <v>0.20588349989791752</v>
      </c>
    </row>
    <row r="123" spans="1:15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95">
        <f t="shared" si="11"/>
        <v>1891.7</v>
      </c>
      <c r="G123" s="738">
        <v>440</v>
      </c>
      <c r="H123" s="828">
        <v>440</v>
      </c>
      <c r="I123" s="72">
        <f t="shared" si="14"/>
        <v>0.14666666666666667</v>
      </c>
      <c r="J123" s="37">
        <f t="shared" si="15"/>
        <v>295.82813333333331</v>
      </c>
      <c r="K123" s="96">
        <f t="shared" si="12"/>
        <v>108.77600462666666</v>
      </c>
      <c r="L123" s="37">
        <v>114.27533333333334</v>
      </c>
      <c r="M123" s="37">
        <f t="shared" si="16"/>
        <v>13.564906666666667</v>
      </c>
      <c r="N123" s="117">
        <f t="shared" si="17"/>
        <v>16.53562122666667</v>
      </c>
      <c r="O123" s="45">
        <f t="shared" si="10"/>
        <v>0.28146343392715545</v>
      </c>
    </row>
    <row r="124" spans="1:15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95">
        <f t="shared" si="11"/>
        <v>262.7</v>
      </c>
      <c r="G124" s="738">
        <v>50</v>
      </c>
      <c r="H124" s="828">
        <v>50</v>
      </c>
      <c r="I124" s="72">
        <f t="shared" si="14"/>
        <v>1.6666666666666666E-2</v>
      </c>
      <c r="J124" s="37">
        <f t="shared" si="15"/>
        <v>33.616833333333332</v>
      </c>
      <c r="K124" s="96">
        <f t="shared" si="12"/>
        <v>12.360909616666667</v>
      </c>
      <c r="L124" s="37">
        <v>12.985833333333332</v>
      </c>
      <c r="M124" s="37">
        <f t="shared" si="16"/>
        <v>1.5414666666666668</v>
      </c>
      <c r="N124" s="117">
        <f t="shared" si="17"/>
        <v>1.879047866666667</v>
      </c>
      <c r="O124" s="45">
        <f t="shared" si="10"/>
        <v>0.23031991987057479</v>
      </c>
    </row>
    <row r="125" spans="1:15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95">
        <f t="shared" si="11"/>
        <v>1857.4</v>
      </c>
      <c r="G125" s="738">
        <v>1032.5999999999999</v>
      </c>
      <c r="H125" s="828">
        <v>570</v>
      </c>
      <c r="I125" s="72">
        <f t="shared" si="14"/>
        <v>0.19</v>
      </c>
      <c r="J125" s="37">
        <f t="shared" si="15"/>
        <v>383.2319</v>
      </c>
      <c r="K125" s="96">
        <f t="shared" si="12"/>
        <v>140.91436963000001</v>
      </c>
      <c r="L125" s="37">
        <v>148.0385</v>
      </c>
      <c r="M125" s="37">
        <f t="shared" si="16"/>
        <v>17.57272</v>
      </c>
      <c r="N125" s="117">
        <f t="shared" si="17"/>
        <v>21.421145680000002</v>
      </c>
      <c r="O125" s="45">
        <f t="shared" si="10"/>
        <v>0.37135646044470766</v>
      </c>
    </row>
    <row r="126" spans="1:15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95">
        <f t="shared" si="11"/>
        <v>2470.1999999999998</v>
      </c>
      <c r="G126" s="738">
        <v>1038</v>
      </c>
      <c r="H126" s="828">
        <v>1100</v>
      </c>
      <c r="I126" s="72">
        <f t="shared" si="14"/>
        <v>0.36666666666666664</v>
      </c>
      <c r="J126" s="37">
        <f t="shared" si="15"/>
        <v>739.57033333333322</v>
      </c>
      <c r="K126" s="96">
        <f t="shared" si="12"/>
        <v>271.94001156666667</v>
      </c>
      <c r="L126" s="37">
        <v>285.68833333333333</v>
      </c>
      <c r="M126" s="37">
        <f t="shared" si="16"/>
        <v>33.912266666666667</v>
      </c>
      <c r="N126" s="117">
        <f t="shared" si="17"/>
        <v>41.339053066666672</v>
      </c>
      <c r="O126" s="45">
        <f t="shared" si="10"/>
        <v>0.53886768071411217</v>
      </c>
    </row>
    <row r="127" spans="1:15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95">
        <f t="shared" si="11"/>
        <v>121.8</v>
      </c>
      <c r="G127" s="738">
        <v>0</v>
      </c>
      <c r="H127" s="828">
        <v>22</v>
      </c>
      <c r="I127" s="72">
        <f t="shared" si="14"/>
        <v>7.3333333333333332E-3</v>
      </c>
      <c r="J127" s="37">
        <f t="shared" si="15"/>
        <v>14.791406666666667</v>
      </c>
      <c r="K127" s="96">
        <f t="shared" si="12"/>
        <v>5.4388002313333335</v>
      </c>
      <c r="L127" s="37">
        <v>5.7137666666666664</v>
      </c>
      <c r="M127" s="37">
        <f t="shared" si="16"/>
        <v>0.67824533333333337</v>
      </c>
      <c r="N127" s="117">
        <f t="shared" si="17"/>
        <v>0.8267810613333334</v>
      </c>
      <c r="O127" s="45">
        <f t="shared" si="10"/>
        <v>0.21857322576354676</v>
      </c>
    </row>
    <row r="128" spans="1:15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95">
        <f t="shared" si="11"/>
        <v>1831.3</v>
      </c>
      <c r="G128" s="738">
        <v>690</v>
      </c>
      <c r="H128" s="828">
        <v>495</v>
      </c>
      <c r="I128" s="72">
        <f t="shared" si="14"/>
        <v>0.16500000000000001</v>
      </c>
      <c r="J128" s="37">
        <f t="shared" si="15"/>
        <v>332.80664999999999</v>
      </c>
      <c r="K128" s="96">
        <f t="shared" si="12"/>
        <v>122.373005205</v>
      </c>
      <c r="L128" s="37">
        <v>128.55975000000001</v>
      </c>
      <c r="M128" s="37">
        <f t="shared" si="16"/>
        <v>15.260520000000001</v>
      </c>
      <c r="N128" s="117">
        <f t="shared" si="17"/>
        <v>18.602573880000001</v>
      </c>
      <c r="O128" s="45">
        <f t="shared" si="10"/>
        <v>0.3270900044804238</v>
      </c>
    </row>
    <row r="129" spans="1:15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95">
        <f t="shared" si="11"/>
        <v>1844.3</v>
      </c>
      <c r="G129" s="738">
        <v>337.8</v>
      </c>
      <c r="H129" s="828">
        <v>400</v>
      </c>
      <c r="I129" s="72">
        <f t="shared" si="14"/>
        <v>0.13333333333333333</v>
      </c>
      <c r="J129" s="37">
        <f t="shared" si="15"/>
        <v>268.93466666666666</v>
      </c>
      <c r="K129" s="96">
        <f t="shared" si="12"/>
        <v>98.887276933333339</v>
      </c>
      <c r="L129" s="37">
        <v>103.88666666666666</v>
      </c>
      <c r="M129" s="37">
        <f t="shared" si="16"/>
        <v>12.331733333333334</v>
      </c>
      <c r="N129" s="117">
        <f t="shared" si="17"/>
        <v>15.032382933333336</v>
      </c>
      <c r="O129" s="45">
        <f t="shared" si="10"/>
        <v>0.26245206506533642</v>
      </c>
    </row>
    <row r="130" spans="1:15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95">
        <f t="shared" si="11"/>
        <v>193.76</v>
      </c>
      <c r="G130" s="738">
        <v>0</v>
      </c>
      <c r="H130" s="828">
        <v>33</v>
      </c>
      <c r="I130" s="72">
        <f t="shared" si="14"/>
        <v>1.0999999999999999E-2</v>
      </c>
      <c r="J130" s="37">
        <f t="shared" si="15"/>
        <v>22.187109999999997</v>
      </c>
      <c r="K130" s="96">
        <f t="shared" si="12"/>
        <v>8.1582003469999993</v>
      </c>
      <c r="L130" s="37">
        <v>8.5706499999999988</v>
      </c>
      <c r="M130" s="37">
        <f t="shared" si="16"/>
        <v>1.0173680000000001</v>
      </c>
      <c r="N130" s="117">
        <f t="shared" si="17"/>
        <v>1.240171592</v>
      </c>
      <c r="O130" s="45">
        <f t="shared" si="10"/>
        <v>0.20609686388831541</v>
      </c>
    </row>
    <row r="131" spans="1:15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95">
        <f t="shared" si="11"/>
        <v>1841.4</v>
      </c>
      <c r="G131" s="738">
        <v>729</v>
      </c>
      <c r="H131" s="828">
        <v>646</v>
      </c>
      <c r="I131" s="72">
        <f t="shared" si="14"/>
        <v>0.21533333333333332</v>
      </c>
      <c r="J131" s="37">
        <f t="shared" si="15"/>
        <v>434.32948666666664</v>
      </c>
      <c r="K131" s="96">
        <f t="shared" si="12"/>
        <v>159.70295224733334</v>
      </c>
      <c r="L131" s="37">
        <v>167.77696666666665</v>
      </c>
      <c r="M131" s="37">
        <f t="shared" si="16"/>
        <v>19.915749333333334</v>
      </c>
      <c r="N131" s="117">
        <f t="shared" si="17"/>
        <v>24.277298437333336</v>
      </c>
      <c r="O131" s="45">
        <f t="shared" si="10"/>
        <v>0.42452761752688167</v>
      </c>
    </row>
    <row r="132" spans="1:15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95">
        <f t="shared" si="11"/>
        <v>262.3</v>
      </c>
      <c r="G132" s="738">
        <v>147</v>
      </c>
      <c r="H132" s="828">
        <v>173</v>
      </c>
      <c r="I132" s="72">
        <f t="shared" si="14"/>
        <v>5.7666666666666665E-2</v>
      </c>
      <c r="J132" s="37">
        <f t="shared" si="15"/>
        <v>116.31424333333332</v>
      </c>
      <c r="K132" s="96">
        <f t="shared" si="12"/>
        <v>42.768747273666669</v>
      </c>
      <c r="L132" s="37">
        <v>44.93098333333333</v>
      </c>
      <c r="M132" s="37">
        <f t="shared" si="16"/>
        <v>5.3334746666666666</v>
      </c>
      <c r="N132" s="117">
        <f t="shared" si="17"/>
        <v>6.5015056186666671</v>
      </c>
      <c r="O132" s="45">
        <f t="shared" si="10"/>
        <v>0.79812218302325577</v>
      </c>
    </row>
    <row r="133" spans="1:15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95">
        <f t="shared" si="11"/>
        <v>94.7</v>
      </c>
      <c r="G133" s="738">
        <v>0</v>
      </c>
      <c r="H133" s="828">
        <v>21</v>
      </c>
      <c r="I133" s="72">
        <f t="shared" si="14"/>
        <v>7.0000000000000001E-3</v>
      </c>
      <c r="J133" s="37">
        <f t="shared" si="15"/>
        <v>14.119070000000001</v>
      </c>
      <c r="K133" s="96">
        <f t="shared" si="12"/>
        <v>5.1915820390000009</v>
      </c>
      <c r="L133" s="37">
        <v>5.4540499999999996</v>
      </c>
      <c r="M133" s="37">
        <f t="shared" si="16"/>
        <v>0.64741599999999999</v>
      </c>
      <c r="N133" s="117">
        <f t="shared" si="17"/>
        <v>0.78920010400000007</v>
      </c>
      <c r="O133" s="45">
        <f t="shared" si="10"/>
        <v>0.26834337950369586</v>
      </c>
    </row>
    <row r="134" spans="1:15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95">
        <f t="shared" si="11"/>
        <v>38</v>
      </c>
      <c r="G134" s="738">
        <v>0</v>
      </c>
      <c r="H134" s="828">
        <v>2.5</v>
      </c>
      <c r="I134" s="72">
        <f t="shared" si="14"/>
        <v>8.3333333333333339E-4</v>
      </c>
      <c r="J134" s="37">
        <f t="shared" si="15"/>
        <v>1.6808416666666668</v>
      </c>
      <c r="K134" s="96">
        <f t="shared" si="12"/>
        <v>0.61804548083333344</v>
      </c>
      <c r="L134" s="37">
        <v>0.64929166666666671</v>
      </c>
      <c r="M134" s="37">
        <f t="shared" si="16"/>
        <v>7.7073333333333341E-2</v>
      </c>
      <c r="N134" s="117">
        <f t="shared" si="17"/>
        <v>9.3952393333333342E-2</v>
      </c>
      <c r="O134" s="45">
        <f t="shared" si="10"/>
        <v>7.9611898618421065E-2</v>
      </c>
    </row>
    <row r="135" spans="1:15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95">
        <f t="shared" si="11"/>
        <v>1812.3999999999999</v>
      </c>
      <c r="G135" s="738">
        <v>678</v>
      </c>
      <c r="H135" s="828">
        <v>485</v>
      </c>
      <c r="I135" s="72">
        <f t="shared" si="14"/>
        <v>0.16166666666666665</v>
      </c>
      <c r="J135" s="37">
        <f t="shared" si="15"/>
        <v>326.08328333333333</v>
      </c>
      <c r="K135" s="96">
        <f t="shared" si="12"/>
        <v>119.90082328166667</v>
      </c>
      <c r="L135" s="37">
        <v>125.96258333333331</v>
      </c>
      <c r="M135" s="37">
        <f t="shared" si="16"/>
        <v>14.952226666666665</v>
      </c>
      <c r="N135" s="117">
        <f t="shared" si="17"/>
        <v>18.226764306666666</v>
      </c>
      <c r="O135" s="45">
        <f t="shared" ref="O135:O198" si="18">(J135+K135+L135+M135)/F135</f>
        <v>0.32382416498289562</v>
      </c>
    </row>
    <row r="136" spans="1:15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95">
        <f t="shared" si="11"/>
        <v>155.80000000000001</v>
      </c>
      <c r="G136" s="738">
        <v>103</v>
      </c>
      <c r="H136" s="828">
        <v>100</v>
      </c>
      <c r="I136" s="72">
        <f t="shared" si="14"/>
        <v>3.3333333333333333E-2</v>
      </c>
      <c r="J136" s="37">
        <f t="shared" si="15"/>
        <v>67.233666666666664</v>
      </c>
      <c r="K136" s="96">
        <f t="shared" si="12"/>
        <v>24.721819233333335</v>
      </c>
      <c r="L136" s="37">
        <v>25.971666666666664</v>
      </c>
      <c r="M136" s="37">
        <f t="shared" si="16"/>
        <v>3.0829333333333335</v>
      </c>
      <c r="N136" s="117">
        <f t="shared" si="17"/>
        <v>3.758095733333334</v>
      </c>
      <c r="O136" s="45">
        <f t="shared" si="18"/>
        <v>0.77670144993581502</v>
      </c>
    </row>
    <row r="137" spans="1:15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95">
        <f t="shared" si="11"/>
        <v>378.1</v>
      </c>
      <c r="G137" s="738">
        <v>144</v>
      </c>
      <c r="H137" s="828">
        <v>148</v>
      </c>
      <c r="I137" s="72">
        <f t="shared" si="14"/>
        <v>4.9333333333333333E-2</v>
      </c>
      <c r="J137" s="37">
        <f t="shared" si="15"/>
        <v>99.505826666666664</v>
      </c>
      <c r="K137" s="96">
        <f t="shared" si="12"/>
        <v>36.588292465333332</v>
      </c>
      <c r="L137" s="37">
        <v>38.438066666666664</v>
      </c>
      <c r="M137" s="37">
        <f t="shared" si="16"/>
        <v>4.5627413333333342</v>
      </c>
      <c r="N137" s="117">
        <f t="shared" si="17"/>
        <v>5.5619816853333344</v>
      </c>
      <c r="O137" s="45">
        <f t="shared" si="18"/>
        <v>0.47367079379000254</v>
      </c>
    </row>
    <row r="138" spans="1:15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95">
        <f t="shared" si="11"/>
        <v>120.9</v>
      </c>
      <c r="G138" s="738">
        <v>0</v>
      </c>
      <c r="H138" s="828">
        <v>0</v>
      </c>
      <c r="I138" s="72">
        <f t="shared" si="14"/>
        <v>0</v>
      </c>
      <c r="J138" s="37">
        <f t="shared" si="15"/>
        <v>0</v>
      </c>
      <c r="K138" s="96">
        <f t="shared" si="12"/>
        <v>0</v>
      </c>
      <c r="L138" s="37">
        <v>0</v>
      </c>
      <c r="M138" s="37">
        <f t="shared" si="16"/>
        <v>0</v>
      </c>
      <c r="N138" s="117">
        <f t="shared" si="17"/>
        <v>0</v>
      </c>
      <c r="O138" s="45">
        <f t="shared" si="18"/>
        <v>0</v>
      </c>
    </row>
    <row r="139" spans="1:15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95">
        <f t="shared" si="11"/>
        <v>2549</v>
      </c>
      <c r="G139" s="738">
        <v>970.9</v>
      </c>
      <c r="H139" s="828">
        <v>1150</v>
      </c>
      <c r="I139" s="72">
        <f t="shared" si="14"/>
        <v>0.38333333333333336</v>
      </c>
      <c r="J139" s="37">
        <f t="shared" si="15"/>
        <v>773.18716666666671</v>
      </c>
      <c r="K139" s="96">
        <f t="shared" si="12"/>
        <v>284.30092118333334</v>
      </c>
      <c r="L139" s="37">
        <v>298.67416666666668</v>
      </c>
      <c r="M139" s="37">
        <f t="shared" si="16"/>
        <v>35.453733333333339</v>
      </c>
      <c r="N139" s="117">
        <f t="shared" si="17"/>
        <v>43.218100933333346</v>
      </c>
      <c r="O139" s="45">
        <f t="shared" si="18"/>
        <v>0.54594585635543347</v>
      </c>
    </row>
    <row r="140" spans="1:15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95">
        <f t="shared" si="11"/>
        <v>2593.29</v>
      </c>
      <c r="G140" s="738">
        <v>839.4</v>
      </c>
      <c r="H140" s="828">
        <v>999</v>
      </c>
      <c r="I140" s="72">
        <f t="shared" si="14"/>
        <v>0.33300000000000002</v>
      </c>
      <c r="J140" s="37">
        <f t="shared" si="15"/>
        <v>671.66433000000006</v>
      </c>
      <c r="K140" s="96">
        <f t="shared" si="12"/>
        <v>246.97097414100003</v>
      </c>
      <c r="L140" s="37">
        <v>259.45695000000001</v>
      </c>
      <c r="M140" s="37">
        <f t="shared" si="16"/>
        <v>30.798504000000005</v>
      </c>
      <c r="N140" s="117">
        <f t="shared" si="17"/>
        <v>37.543376376000012</v>
      </c>
      <c r="O140" s="45">
        <f t="shared" si="18"/>
        <v>0.46616103796374492</v>
      </c>
    </row>
    <row r="141" spans="1:15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95">
        <f t="shared" si="11"/>
        <v>385.82</v>
      </c>
      <c r="G141" s="738">
        <v>132</v>
      </c>
      <c r="H141" s="828">
        <v>0</v>
      </c>
      <c r="I141" s="72">
        <f t="shared" si="14"/>
        <v>0</v>
      </c>
      <c r="J141" s="37">
        <f t="shared" si="15"/>
        <v>0</v>
      </c>
      <c r="K141" s="96">
        <f t="shared" si="12"/>
        <v>0</v>
      </c>
      <c r="L141" s="37">
        <v>0</v>
      </c>
      <c r="M141" s="37">
        <f t="shared" si="16"/>
        <v>0</v>
      </c>
      <c r="N141" s="117">
        <f t="shared" si="17"/>
        <v>0</v>
      </c>
      <c r="O141" s="45">
        <f t="shared" si="18"/>
        <v>0</v>
      </c>
    </row>
    <row r="142" spans="1:15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95">
        <f t="shared" si="11"/>
        <v>1699.75</v>
      </c>
      <c r="G142" s="738">
        <v>688.8</v>
      </c>
      <c r="H142" s="828">
        <v>738</v>
      </c>
      <c r="I142" s="72">
        <f t="shared" si="14"/>
        <v>0.246</v>
      </c>
      <c r="J142" s="37">
        <f t="shared" si="15"/>
        <v>496.18446</v>
      </c>
      <c r="K142" s="96">
        <f t="shared" si="12"/>
        <v>182.44702594200001</v>
      </c>
      <c r="L142" s="37">
        <v>191.67089999999999</v>
      </c>
      <c r="M142" s="37">
        <f t="shared" si="16"/>
        <v>22.752048000000002</v>
      </c>
      <c r="N142" s="117">
        <f t="shared" si="17"/>
        <v>27.734746512000005</v>
      </c>
      <c r="O142" s="45">
        <f t="shared" si="18"/>
        <v>0.52540340281923814</v>
      </c>
    </row>
    <row r="143" spans="1:15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95">
        <f t="shared" si="11"/>
        <v>224.06</v>
      </c>
      <c r="G143" s="738">
        <v>108</v>
      </c>
      <c r="H143" s="828">
        <v>113</v>
      </c>
      <c r="I143" s="72">
        <f t="shared" si="14"/>
        <v>3.7666666666666668E-2</v>
      </c>
      <c r="J143" s="37">
        <f t="shared" si="15"/>
        <v>75.974043333333341</v>
      </c>
      <c r="K143" s="96">
        <f t="shared" si="12"/>
        <v>27.935655733666671</v>
      </c>
      <c r="L143" s="37">
        <v>29.347983333333332</v>
      </c>
      <c r="M143" s="37">
        <f t="shared" si="16"/>
        <v>3.4837146666666667</v>
      </c>
      <c r="N143" s="117">
        <f t="shared" si="17"/>
        <v>4.2466481786666668</v>
      </c>
      <c r="O143" s="45">
        <f t="shared" si="18"/>
        <v>0.61028919515754709</v>
      </c>
    </row>
    <row r="144" spans="1:15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95">
        <f t="shared" si="11"/>
        <v>138.9</v>
      </c>
      <c r="G144" s="738">
        <v>50</v>
      </c>
      <c r="H144" s="828">
        <v>44</v>
      </c>
      <c r="I144" s="72">
        <f t="shared" si="14"/>
        <v>1.4666666666666666E-2</v>
      </c>
      <c r="J144" s="37">
        <f t="shared" si="15"/>
        <v>29.582813333333334</v>
      </c>
      <c r="K144" s="96">
        <f t="shared" si="12"/>
        <v>10.877600462666667</v>
      </c>
      <c r="L144" s="37">
        <v>11.427533333333333</v>
      </c>
      <c r="M144" s="37">
        <f t="shared" si="16"/>
        <v>1.3564906666666667</v>
      </c>
      <c r="N144" s="117">
        <f t="shared" si="17"/>
        <v>1.6535621226666668</v>
      </c>
      <c r="O144" s="45">
        <f t="shared" si="18"/>
        <v>0.38332928578833686</v>
      </c>
    </row>
    <row r="145" spans="1:15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95">
        <f t="shared" si="11"/>
        <v>8410.83</v>
      </c>
      <c r="G145" s="738">
        <v>579</v>
      </c>
      <c r="H145" s="828">
        <v>590</v>
      </c>
      <c r="I145" s="72">
        <f t="shared" si="14"/>
        <v>0.19666666666666666</v>
      </c>
      <c r="J145" s="37">
        <f t="shared" si="15"/>
        <v>396.67863333333332</v>
      </c>
      <c r="K145" s="96">
        <f t="shared" si="12"/>
        <v>145.85873347666669</v>
      </c>
      <c r="L145" s="37">
        <v>153.23283333333333</v>
      </c>
      <c r="M145" s="37">
        <f t="shared" si="16"/>
        <v>18.189306666666667</v>
      </c>
      <c r="N145" s="117">
        <f t="shared" si="17"/>
        <v>22.172764826666668</v>
      </c>
      <c r="O145" s="45">
        <f t="shared" si="18"/>
        <v>8.4885737413548962E-2</v>
      </c>
    </row>
    <row r="146" spans="1:15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95">
        <f t="shared" ref="F146:F208" si="19">C146+D146+E146</f>
        <v>953.56</v>
      </c>
      <c r="G146" s="738">
        <v>710.2</v>
      </c>
      <c r="H146" s="828">
        <v>180</v>
      </c>
      <c r="I146" s="72">
        <f t="shared" si="14"/>
        <v>0.06</v>
      </c>
      <c r="J146" s="37">
        <f t="shared" si="15"/>
        <v>121.0206</v>
      </c>
      <c r="K146" s="96">
        <f t="shared" ref="K146:K208" si="20">J146*0.3677</f>
        <v>44.499274620000001</v>
      </c>
      <c r="L146" s="37">
        <v>46.748999999999995</v>
      </c>
      <c r="M146" s="37">
        <f t="shared" si="16"/>
        <v>5.5492799999999995</v>
      </c>
      <c r="N146" s="117">
        <f t="shared" si="17"/>
        <v>6.7645723200000001</v>
      </c>
      <c r="O146" s="45">
        <f t="shared" si="18"/>
        <v>0.22842627062796259</v>
      </c>
    </row>
    <row r="147" spans="1:15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95">
        <f t="shared" si="19"/>
        <v>1720.1</v>
      </c>
      <c r="G147" s="738">
        <v>807.85</v>
      </c>
      <c r="H147" s="828">
        <v>256</v>
      </c>
      <c r="I147" s="72">
        <f t="shared" si="14"/>
        <v>8.533333333333333E-2</v>
      </c>
      <c r="J147" s="37">
        <f t="shared" si="15"/>
        <v>172.11818666666667</v>
      </c>
      <c r="K147" s="96">
        <f t="shared" si="20"/>
        <v>63.287857237333341</v>
      </c>
      <c r="L147" s="37">
        <v>66.487466666666663</v>
      </c>
      <c r="M147" s="37">
        <f t="shared" si="16"/>
        <v>7.8923093333333334</v>
      </c>
      <c r="N147" s="117">
        <f t="shared" si="17"/>
        <v>9.6207250773333346</v>
      </c>
      <c r="O147" s="45">
        <f t="shared" si="18"/>
        <v>0.18009756403930005</v>
      </c>
    </row>
    <row r="148" spans="1:15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95">
        <f t="shared" si="19"/>
        <v>1033.02</v>
      </c>
      <c r="G148" s="738">
        <v>347.71</v>
      </c>
      <c r="H148" s="828">
        <v>420</v>
      </c>
      <c r="I148" s="72">
        <f t="shared" si="14"/>
        <v>0.14000000000000001</v>
      </c>
      <c r="J148" s="37">
        <f t="shared" si="15"/>
        <v>282.38140000000004</v>
      </c>
      <c r="K148" s="96">
        <f t="shared" si="20"/>
        <v>103.83164078000003</v>
      </c>
      <c r="L148" s="37">
        <v>109.081</v>
      </c>
      <c r="M148" s="37">
        <f t="shared" si="16"/>
        <v>12.948320000000001</v>
      </c>
      <c r="N148" s="117">
        <f t="shared" si="17"/>
        <v>15.784002080000002</v>
      </c>
      <c r="O148" s="45">
        <f t="shared" si="18"/>
        <v>0.49199663199163629</v>
      </c>
    </row>
    <row r="149" spans="1:15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95">
        <f t="shared" si="19"/>
        <v>220.38</v>
      </c>
      <c r="G149" s="738">
        <v>395.5</v>
      </c>
      <c r="H149" s="828">
        <v>95</v>
      </c>
      <c r="I149" s="72">
        <f t="shared" si="14"/>
        <v>3.1666666666666669E-2</v>
      </c>
      <c r="J149" s="37">
        <f t="shared" si="15"/>
        <v>63.87198333333334</v>
      </c>
      <c r="K149" s="96">
        <f t="shared" si="20"/>
        <v>23.48572827166667</v>
      </c>
      <c r="L149" s="37">
        <v>24.673083333333334</v>
      </c>
      <c r="M149" s="37">
        <f t="shared" si="16"/>
        <v>2.9287866666666673</v>
      </c>
      <c r="N149" s="117">
        <f t="shared" si="17"/>
        <v>3.5701909466666679</v>
      </c>
      <c r="O149" s="45">
        <f t="shared" si="18"/>
        <v>0.52164253382793369</v>
      </c>
    </row>
    <row r="150" spans="1:15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95">
        <f t="shared" si="19"/>
        <v>1973.5500000000002</v>
      </c>
      <c r="G150" s="738">
        <v>304.8</v>
      </c>
      <c r="H150" s="828">
        <v>480</v>
      </c>
      <c r="I150" s="72">
        <f t="shared" si="14"/>
        <v>0.16</v>
      </c>
      <c r="J150" s="37">
        <f t="shared" si="15"/>
        <v>322.72160000000002</v>
      </c>
      <c r="K150" s="96">
        <f t="shared" si="20"/>
        <v>118.66473232000001</v>
      </c>
      <c r="L150" s="37">
        <v>124.664</v>
      </c>
      <c r="M150" s="37">
        <f t="shared" si="16"/>
        <v>14.798080000000001</v>
      </c>
      <c r="N150" s="117">
        <f t="shared" si="17"/>
        <v>18.038859520000003</v>
      </c>
      <c r="O150" s="45">
        <f t="shared" si="18"/>
        <v>0.29431654243368549</v>
      </c>
    </row>
    <row r="151" spans="1:15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95">
        <f t="shared" si="19"/>
        <v>1290.5</v>
      </c>
      <c r="G151" s="738">
        <v>374.4</v>
      </c>
      <c r="H151" s="828">
        <v>499</v>
      </c>
      <c r="I151" s="72">
        <f t="shared" si="14"/>
        <v>0.16633333333333333</v>
      </c>
      <c r="J151" s="37">
        <f t="shared" si="15"/>
        <v>335.49599666666666</v>
      </c>
      <c r="K151" s="96">
        <f t="shared" si="20"/>
        <v>123.36187797433334</v>
      </c>
      <c r="L151" s="37">
        <v>129.59861666666666</v>
      </c>
      <c r="M151" s="37">
        <f t="shared" si="16"/>
        <v>15.383837333333334</v>
      </c>
      <c r="N151" s="117">
        <f t="shared" si="17"/>
        <v>18.752897709333336</v>
      </c>
      <c r="O151" s="45">
        <f t="shared" si="18"/>
        <v>0.46791191680821381</v>
      </c>
    </row>
    <row r="152" spans="1:15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95">
        <f t="shared" si="19"/>
        <v>231.77</v>
      </c>
      <c r="G152" s="738">
        <v>120</v>
      </c>
      <c r="H152" s="828">
        <v>119</v>
      </c>
      <c r="I152" s="72">
        <f t="shared" si="14"/>
        <v>3.966666666666667E-2</v>
      </c>
      <c r="J152" s="37">
        <f t="shared" si="15"/>
        <v>80.00806333333334</v>
      </c>
      <c r="K152" s="96">
        <f t="shared" si="20"/>
        <v>29.418964887666672</v>
      </c>
      <c r="L152" s="37">
        <v>30.906283333333334</v>
      </c>
      <c r="M152" s="37">
        <f t="shared" si="16"/>
        <v>3.668690666666667</v>
      </c>
      <c r="N152" s="117">
        <f t="shared" si="17"/>
        <v>4.472133922666667</v>
      </c>
      <c r="O152" s="45">
        <f t="shared" si="18"/>
        <v>0.62131424352159481</v>
      </c>
    </row>
    <row r="153" spans="1:15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95">
        <f t="shared" si="19"/>
        <v>1422.83</v>
      </c>
      <c r="G153" s="738">
        <v>279.60000000000002</v>
      </c>
      <c r="H153" s="828">
        <v>380</v>
      </c>
      <c r="I153" s="72">
        <f t="shared" si="14"/>
        <v>0.12666666666666668</v>
      </c>
      <c r="J153" s="37">
        <f t="shared" si="15"/>
        <v>255.48793333333336</v>
      </c>
      <c r="K153" s="96">
        <f t="shared" si="20"/>
        <v>93.942913086666678</v>
      </c>
      <c r="L153" s="37">
        <v>98.692333333333337</v>
      </c>
      <c r="M153" s="37">
        <f t="shared" si="16"/>
        <v>11.715146666666669</v>
      </c>
      <c r="N153" s="117">
        <f t="shared" si="17"/>
        <v>14.280763786666672</v>
      </c>
      <c r="O153" s="45">
        <f t="shared" si="18"/>
        <v>0.32318571187000561</v>
      </c>
    </row>
    <row r="154" spans="1:15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95">
        <f t="shared" si="19"/>
        <v>377.6</v>
      </c>
      <c r="G154" s="738">
        <v>250</v>
      </c>
      <c r="H154" s="828">
        <v>238</v>
      </c>
      <c r="I154" s="72">
        <f t="shared" si="14"/>
        <v>7.9333333333333339E-2</v>
      </c>
      <c r="J154" s="37">
        <f t="shared" si="15"/>
        <v>160.01612666666668</v>
      </c>
      <c r="K154" s="96">
        <f t="shared" si="20"/>
        <v>58.837929775333343</v>
      </c>
      <c r="L154" s="37">
        <v>61.812566666666669</v>
      </c>
      <c r="M154" s="37">
        <f t="shared" si="16"/>
        <v>7.337381333333334</v>
      </c>
      <c r="N154" s="117">
        <f t="shared" si="17"/>
        <v>8.944267845333334</v>
      </c>
      <c r="O154" s="45">
        <f t="shared" si="18"/>
        <v>0.76272246939088995</v>
      </c>
    </row>
    <row r="155" spans="1:15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95">
        <f t="shared" si="19"/>
        <v>1852.5099999999998</v>
      </c>
      <c r="G155" s="738">
        <v>414</v>
      </c>
      <c r="H155" s="828">
        <v>720</v>
      </c>
      <c r="I155" s="72">
        <f t="shared" si="14"/>
        <v>0.24</v>
      </c>
      <c r="J155" s="37">
        <f t="shared" si="15"/>
        <v>484.08240000000001</v>
      </c>
      <c r="K155" s="96">
        <f t="shared" si="20"/>
        <v>177.99709848000001</v>
      </c>
      <c r="L155" s="37">
        <v>186.99599999999998</v>
      </c>
      <c r="M155" s="37">
        <f t="shared" si="16"/>
        <v>22.197119999999998</v>
      </c>
      <c r="N155" s="117">
        <f t="shared" si="17"/>
        <v>27.05828928</v>
      </c>
      <c r="O155" s="45">
        <f t="shared" si="18"/>
        <v>0.47032006222908385</v>
      </c>
    </row>
    <row r="156" spans="1:15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95">
        <f t="shared" si="19"/>
        <v>2010.19</v>
      </c>
      <c r="G156" s="738">
        <v>632.4</v>
      </c>
      <c r="H156" s="828">
        <v>720</v>
      </c>
      <c r="I156" s="72">
        <f t="shared" ref="I156:I219" si="21">H156/3000</f>
        <v>0.24</v>
      </c>
      <c r="J156" s="37">
        <f t="shared" si="15"/>
        <v>484.08240000000001</v>
      </c>
      <c r="K156" s="96">
        <f t="shared" si="20"/>
        <v>177.99709848000001</v>
      </c>
      <c r="L156" s="37">
        <v>186.99599999999998</v>
      </c>
      <c r="M156" s="37">
        <f t="shared" si="16"/>
        <v>22.197119999999998</v>
      </c>
      <c r="N156" s="117">
        <f t="shared" si="17"/>
        <v>27.05828928</v>
      </c>
      <c r="O156" s="45">
        <f t="shared" si="18"/>
        <v>0.43342799361254408</v>
      </c>
    </row>
    <row r="157" spans="1:15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95">
        <f t="shared" si="19"/>
        <v>1464.32</v>
      </c>
      <c r="G157" s="738">
        <v>390</v>
      </c>
      <c r="H157" s="828">
        <v>490</v>
      </c>
      <c r="I157" s="72">
        <f t="shared" si="21"/>
        <v>0.16333333333333333</v>
      </c>
      <c r="J157" s="37">
        <f t="shared" ref="J157:J220" si="22">I157*2017.01</f>
        <v>329.44496666666669</v>
      </c>
      <c r="K157" s="96">
        <f t="shared" si="20"/>
        <v>121.13691424333335</v>
      </c>
      <c r="L157" s="37">
        <v>127.26116666666665</v>
      </c>
      <c r="M157" s="37">
        <f t="shared" ref="M157:M220" si="23">I157*84.08*1.1</f>
        <v>15.106373333333334</v>
      </c>
      <c r="N157" s="117">
        <f t="shared" ref="N157:N220" si="24">M157*1.219</f>
        <v>18.414669093333334</v>
      </c>
      <c r="O157" s="45">
        <f t="shared" si="18"/>
        <v>0.4049315866135817</v>
      </c>
    </row>
    <row r="158" spans="1:15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95">
        <f t="shared" si="19"/>
        <v>152.11000000000001</v>
      </c>
      <c r="G158" s="738">
        <v>0</v>
      </c>
      <c r="H158" s="828">
        <v>0</v>
      </c>
      <c r="I158" s="72">
        <f t="shared" si="21"/>
        <v>0</v>
      </c>
      <c r="J158" s="37">
        <f t="shared" si="22"/>
        <v>0</v>
      </c>
      <c r="K158" s="96">
        <f t="shared" si="20"/>
        <v>0</v>
      </c>
      <c r="L158" s="37">
        <v>0</v>
      </c>
      <c r="M158" s="37">
        <f t="shared" si="23"/>
        <v>0</v>
      </c>
      <c r="N158" s="117">
        <f t="shared" si="24"/>
        <v>0</v>
      </c>
      <c r="O158" s="45">
        <f t="shared" si="18"/>
        <v>0</v>
      </c>
    </row>
    <row r="159" spans="1:15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95">
        <f t="shared" si="19"/>
        <v>2553.5700000000002</v>
      </c>
      <c r="G159" s="738">
        <v>1285</v>
      </c>
      <c r="H159" s="828">
        <v>1065</v>
      </c>
      <c r="I159" s="72">
        <f t="shared" si="21"/>
        <v>0.35499999999999998</v>
      </c>
      <c r="J159" s="37">
        <f t="shared" si="22"/>
        <v>716.03854999999999</v>
      </c>
      <c r="K159" s="96">
        <f t="shared" si="20"/>
        <v>263.28737483500004</v>
      </c>
      <c r="L159" s="37">
        <v>276.59824999999995</v>
      </c>
      <c r="M159" s="37">
        <f t="shared" si="23"/>
        <v>32.833240000000004</v>
      </c>
      <c r="N159" s="117">
        <f t="shared" si="24"/>
        <v>40.023719560000004</v>
      </c>
      <c r="O159" s="45">
        <f t="shared" si="18"/>
        <v>0.50468850074014027</v>
      </c>
    </row>
    <row r="160" spans="1:15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95">
        <f t="shared" si="19"/>
        <v>101.99</v>
      </c>
      <c r="G160" s="738">
        <v>0</v>
      </c>
      <c r="H160" s="828">
        <v>0</v>
      </c>
      <c r="I160" s="72">
        <f t="shared" si="21"/>
        <v>0</v>
      </c>
      <c r="J160" s="37">
        <f t="shared" si="22"/>
        <v>0</v>
      </c>
      <c r="K160" s="96">
        <f t="shared" si="20"/>
        <v>0</v>
      </c>
      <c r="L160" s="37">
        <v>0</v>
      </c>
      <c r="M160" s="37">
        <f t="shared" si="23"/>
        <v>0</v>
      </c>
      <c r="N160" s="117">
        <f t="shared" si="24"/>
        <v>0</v>
      </c>
      <c r="O160" s="45">
        <f t="shared" si="18"/>
        <v>0</v>
      </c>
    </row>
    <row r="161" spans="1:15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95">
        <f t="shared" si="19"/>
        <v>166.1</v>
      </c>
      <c r="G161" s="738">
        <v>0</v>
      </c>
      <c r="H161" s="828">
        <v>0</v>
      </c>
      <c r="I161" s="72">
        <f t="shared" si="21"/>
        <v>0</v>
      </c>
      <c r="J161" s="37">
        <f t="shared" si="22"/>
        <v>0</v>
      </c>
      <c r="K161" s="96">
        <f t="shared" si="20"/>
        <v>0</v>
      </c>
      <c r="L161" s="37">
        <v>0</v>
      </c>
      <c r="M161" s="37">
        <f t="shared" si="23"/>
        <v>0</v>
      </c>
      <c r="N161" s="117">
        <f t="shared" si="24"/>
        <v>0</v>
      </c>
      <c r="O161" s="45">
        <f t="shared" si="18"/>
        <v>0</v>
      </c>
    </row>
    <row r="162" spans="1:15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95">
        <f t="shared" si="19"/>
        <v>315.39999999999998</v>
      </c>
      <c r="G162" s="738">
        <v>0</v>
      </c>
      <c r="H162" s="828">
        <v>0</v>
      </c>
      <c r="I162" s="72">
        <f t="shared" si="21"/>
        <v>0</v>
      </c>
      <c r="J162" s="37">
        <f t="shared" si="22"/>
        <v>0</v>
      </c>
      <c r="K162" s="96">
        <f t="shared" si="20"/>
        <v>0</v>
      </c>
      <c r="L162" s="37">
        <v>0</v>
      </c>
      <c r="M162" s="37">
        <f t="shared" si="23"/>
        <v>0</v>
      </c>
      <c r="N162" s="117">
        <f t="shared" si="24"/>
        <v>0</v>
      </c>
      <c r="O162" s="45">
        <f t="shared" si="18"/>
        <v>0</v>
      </c>
    </row>
    <row r="163" spans="1:15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95">
        <f t="shared" si="19"/>
        <v>1497.91</v>
      </c>
      <c r="G163" s="738">
        <v>459</v>
      </c>
      <c r="H163" s="828">
        <v>610</v>
      </c>
      <c r="I163" s="72">
        <f t="shared" si="21"/>
        <v>0.20333333333333334</v>
      </c>
      <c r="J163" s="37">
        <f t="shared" si="22"/>
        <v>410.12536666666665</v>
      </c>
      <c r="K163" s="96">
        <f t="shared" si="20"/>
        <v>150.80309732333333</v>
      </c>
      <c r="L163" s="37">
        <v>158.42716666666666</v>
      </c>
      <c r="M163" s="37">
        <f t="shared" si="23"/>
        <v>18.805893333333337</v>
      </c>
      <c r="N163" s="117">
        <f t="shared" si="24"/>
        <v>22.924383973333338</v>
      </c>
      <c r="O163" s="45">
        <f t="shared" si="18"/>
        <v>0.49279430939776075</v>
      </c>
    </row>
    <row r="164" spans="1:15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95">
        <f t="shared" si="19"/>
        <v>165.93</v>
      </c>
      <c r="G164" s="738">
        <v>0</v>
      </c>
      <c r="H164" s="828">
        <v>0</v>
      </c>
      <c r="I164" s="72">
        <f t="shared" si="21"/>
        <v>0</v>
      </c>
      <c r="J164" s="37">
        <f t="shared" si="22"/>
        <v>0</v>
      </c>
      <c r="K164" s="96">
        <f t="shared" si="20"/>
        <v>0</v>
      </c>
      <c r="L164" s="37">
        <v>0</v>
      </c>
      <c r="M164" s="37">
        <f t="shared" si="23"/>
        <v>0</v>
      </c>
      <c r="N164" s="117">
        <f t="shared" si="24"/>
        <v>0</v>
      </c>
      <c r="O164" s="45">
        <f t="shared" si="18"/>
        <v>0</v>
      </c>
    </row>
    <row r="165" spans="1:15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95">
        <f t="shared" si="19"/>
        <v>977.29000000000008</v>
      </c>
      <c r="G165" s="738">
        <v>123.6</v>
      </c>
      <c r="H165" s="828">
        <v>124</v>
      </c>
      <c r="I165" s="72">
        <f t="shared" si="21"/>
        <v>4.1333333333333333E-2</v>
      </c>
      <c r="J165" s="37">
        <f t="shared" si="22"/>
        <v>83.369746666666671</v>
      </c>
      <c r="K165" s="96">
        <f t="shared" si="20"/>
        <v>30.655055849333337</v>
      </c>
      <c r="L165" s="37">
        <v>32.204866666666668</v>
      </c>
      <c r="M165" s="37">
        <f t="shared" si="23"/>
        <v>3.8228373333333336</v>
      </c>
      <c r="N165" s="117">
        <f t="shared" si="24"/>
        <v>4.6600387093333344</v>
      </c>
      <c r="O165" s="45">
        <f t="shared" si="18"/>
        <v>0.15353938597141073</v>
      </c>
    </row>
    <row r="166" spans="1:15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95">
        <f t="shared" si="19"/>
        <v>144.9</v>
      </c>
      <c r="G166" s="738">
        <v>0</v>
      </c>
      <c r="H166" s="828">
        <v>0</v>
      </c>
      <c r="I166" s="72">
        <f t="shared" si="21"/>
        <v>0</v>
      </c>
      <c r="J166" s="37">
        <f t="shared" si="22"/>
        <v>0</v>
      </c>
      <c r="K166" s="96">
        <f t="shared" si="20"/>
        <v>0</v>
      </c>
      <c r="L166" s="37">
        <v>0</v>
      </c>
      <c r="M166" s="37">
        <f t="shared" si="23"/>
        <v>0</v>
      </c>
      <c r="N166" s="117">
        <f t="shared" si="24"/>
        <v>0</v>
      </c>
      <c r="O166" s="45">
        <f t="shared" si="18"/>
        <v>0</v>
      </c>
    </row>
    <row r="167" spans="1:15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95">
        <f t="shared" si="19"/>
        <v>231.9</v>
      </c>
      <c r="G167" s="738">
        <v>0</v>
      </c>
      <c r="H167" s="828">
        <v>0</v>
      </c>
      <c r="I167" s="72">
        <f t="shared" si="21"/>
        <v>0</v>
      </c>
      <c r="J167" s="37">
        <f t="shared" si="22"/>
        <v>0</v>
      </c>
      <c r="K167" s="96">
        <f t="shared" si="20"/>
        <v>0</v>
      </c>
      <c r="L167" s="37">
        <v>0</v>
      </c>
      <c r="M167" s="37">
        <f t="shared" si="23"/>
        <v>0</v>
      </c>
      <c r="N167" s="117">
        <f t="shared" si="24"/>
        <v>0</v>
      </c>
      <c r="O167" s="45">
        <f t="shared" si="18"/>
        <v>0</v>
      </c>
    </row>
    <row r="168" spans="1:15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95">
        <f t="shared" si="19"/>
        <v>3146.6</v>
      </c>
      <c r="G168" s="738">
        <v>1882.8</v>
      </c>
      <c r="H168" s="828">
        <v>1595</v>
      </c>
      <c r="I168" s="72">
        <f t="shared" si="21"/>
        <v>0.53166666666666662</v>
      </c>
      <c r="J168" s="37">
        <f t="shared" si="22"/>
        <v>1072.3769833333333</v>
      </c>
      <c r="K168" s="96">
        <f t="shared" si="20"/>
        <v>394.3130167716667</v>
      </c>
      <c r="L168" s="37">
        <v>414.24808333333328</v>
      </c>
      <c r="M168" s="37">
        <f t="shared" si="23"/>
        <v>49.172786666666667</v>
      </c>
      <c r="N168" s="117">
        <f t="shared" si="24"/>
        <v>59.941626946666673</v>
      </c>
      <c r="O168" s="45">
        <f t="shared" si="18"/>
        <v>0.6133956874420009</v>
      </c>
    </row>
    <row r="169" spans="1:15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95">
        <f t="shared" si="19"/>
        <v>848.35</v>
      </c>
      <c r="G169" s="738">
        <v>87.6</v>
      </c>
      <c r="H169" s="828">
        <v>85</v>
      </c>
      <c r="I169" s="72">
        <f t="shared" si="21"/>
        <v>2.8333333333333332E-2</v>
      </c>
      <c r="J169" s="37">
        <f t="shared" si="22"/>
        <v>57.148616666666662</v>
      </c>
      <c r="K169" s="96">
        <f t="shared" si="20"/>
        <v>21.013546348333332</v>
      </c>
      <c r="L169" s="37">
        <v>22.075916666666664</v>
      </c>
      <c r="M169" s="37">
        <f t="shared" si="23"/>
        <v>2.6204933333333331</v>
      </c>
      <c r="N169" s="117">
        <f t="shared" si="24"/>
        <v>3.1943813733333335</v>
      </c>
      <c r="O169" s="45">
        <f t="shared" si="18"/>
        <v>0.12124544470442621</v>
      </c>
    </row>
    <row r="170" spans="1:15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95">
        <f t="shared" si="19"/>
        <v>885.4</v>
      </c>
      <c r="G170" s="738">
        <v>52.2</v>
      </c>
      <c r="H170" s="828">
        <v>48</v>
      </c>
      <c r="I170" s="72">
        <f t="shared" si="21"/>
        <v>1.6E-2</v>
      </c>
      <c r="J170" s="37">
        <f t="shared" si="22"/>
        <v>32.27216</v>
      </c>
      <c r="K170" s="96">
        <f t="shared" si="20"/>
        <v>11.866473232000001</v>
      </c>
      <c r="L170" s="37">
        <v>12.4664</v>
      </c>
      <c r="M170" s="37">
        <f t="shared" si="23"/>
        <v>1.4798080000000002</v>
      </c>
      <c r="N170" s="117">
        <f t="shared" si="24"/>
        <v>1.8038859520000003</v>
      </c>
      <c r="O170" s="45">
        <f t="shared" si="18"/>
        <v>6.5602937917325507E-2</v>
      </c>
    </row>
    <row r="171" spans="1:15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95">
        <f t="shared" si="19"/>
        <v>877.79</v>
      </c>
      <c r="G171" s="738">
        <v>90.6</v>
      </c>
      <c r="H171" s="828">
        <v>66</v>
      </c>
      <c r="I171" s="72">
        <f t="shared" si="21"/>
        <v>2.1999999999999999E-2</v>
      </c>
      <c r="J171" s="37">
        <f t="shared" si="22"/>
        <v>44.374219999999994</v>
      </c>
      <c r="K171" s="96">
        <f t="shared" si="20"/>
        <v>16.316400693999999</v>
      </c>
      <c r="L171" s="37">
        <v>17.141299999999998</v>
      </c>
      <c r="M171" s="37">
        <f t="shared" si="23"/>
        <v>2.0347360000000001</v>
      </c>
      <c r="N171" s="117">
        <f t="shared" si="24"/>
        <v>2.4803431840000001</v>
      </c>
      <c r="O171" s="45">
        <f t="shared" si="18"/>
        <v>9.0986063516330776E-2</v>
      </c>
    </row>
    <row r="172" spans="1:15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95">
        <f t="shared" si="19"/>
        <v>949.9</v>
      </c>
      <c r="G172" s="738">
        <v>128.4</v>
      </c>
      <c r="H172" s="828">
        <v>131</v>
      </c>
      <c r="I172" s="72">
        <f t="shared" si="21"/>
        <v>4.3666666666666666E-2</v>
      </c>
      <c r="J172" s="37">
        <f t="shared" si="22"/>
        <v>88.076103333333336</v>
      </c>
      <c r="K172" s="96">
        <f t="shared" si="20"/>
        <v>32.385583195666669</v>
      </c>
      <c r="L172" s="37">
        <v>34.022883333333333</v>
      </c>
      <c r="M172" s="37">
        <f t="shared" si="23"/>
        <v>4.038642666666667</v>
      </c>
      <c r="N172" s="117">
        <f t="shared" si="24"/>
        <v>4.9231054106666674</v>
      </c>
      <c r="O172" s="45">
        <f t="shared" si="18"/>
        <v>0.1668841062522371</v>
      </c>
    </row>
    <row r="173" spans="1:15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95">
        <f t="shared" si="19"/>
        <v>1056</v>
      </c>
      <c r="G173" s="738">
        <v>81.599999999999994</v>
      </c>
      <c r="H173" s="828">
        <v>70</v>
      </c>
      <c r="I173" s="72">
        <f t="shared" si="21"/>
        <v>2.3333333333333334E-2</v>
      </c>
      <c r="J173" s="37">
        <f t="shared" si="22"/>
        <v>47.063566666666667</v>
      </c>
      <c r="K173" s="96">
        <f t="shared" si="20"/>
        <v>17.305273463333336</v>
      </c>
      <c r="L173" s="37">
        <v>18.180166666666668</v>
      </c>
      <c r="M173" s="37">
        <f t="shared" si="23"/>
        <v>2.1580533333333336</v>
      </c>
      <c r="N173" s="117">
        <f t="shared" si="24"/>
        <v>2.6306670133333339</v>
      </c>
      <c r="O173" s="45">
        <f t="shared" si="18"/>
        <v>8.021501906249999E-2</v>
      </c>
    </row>
    <row r="174" spans="1:15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95">
        <f t="shared" si="19"/>
        <v>998.3</v>
      </c>
      <c r="G174" s="738">
        <v>97.2</v>
      </c>
      <c r="H174" s="828">
        <v>85</v>
      </c>
      <c r="I174" s="72">
        <f t="shared" si="21"/>
        <v>2.8333333333333332E-2</v>
      </c>
      <c r="J174" s="37">
        <f t="shared" si="22"/>
        <v>57.148616666666662</v>
      </c>
      <c r="K174" s="96">
        <f t="shared" si="20"/>
        <v>21.013546348333332</v>
      </c>
      <c r="L174" s="37">
        <v>22.075916666666664</v>
      </c>
      <c r="M174" s="37">
        <f t="shared" si="23"/>
        <v>2.6204933333333331</v>
      </c>
      <c r="N174" s="117">
        <f t="shared" si="24"/>
        <v>3.1943813733333335</v>
      </c>
      <c r="O174" s="45">
        <f t="shared" si="18"/>
        <v>0.10303373035660621</v>
      </c>
    </row>
    <row r="175" spans="1:15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95">
        <f t="shared" si="19"/>
        <v>304</v>
      </c>
      <c r="G175" s="738">
        <v>160</v>
      </c>
      <c r="H175" s="828">
        <v>165</v>
      </c>
      <c r="I175" s="72">
        <f t="shared" si="21"/>
        <v>5.5E-2</v>
      </c>
      <c r="J175" s="37">
        <f t="shared" si="22"/>
        <v>110.93555000000001</v>
      </c>
      <c r="K175" s="96">
        <f t="shared" si="20"/>
        <v>40.791001735000002</v>
      </c>
      <c r="L175" s="37">
        <v>42.853249999999996</v>
      </c>
      <c r="M175" s="37">
        <f t="shared" si="23"/>
        <v>5.0868399999999996</v>
      </c>
      <c r="N175" s="117">
        <f t="shared" si="24"/>
        <v>6.2008579599999996</v>
      </c>
      <c r="O175" s="45">
        <f t="shared" si="18"/>
        <v>0.65679816360197374</v>
      </c>
    </row>
    <row r="176" spans="1:15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95">
        <f t="shared" si="19"/>
        <v>1347.46</v>
      </c>
      <c r="G176" s="738">
        <v>50.4</v>
      </c>
      <c r="H176" s="828">
        <v>48</v>
      </c>
      <c r="I176" s="72">
        <f t="shared" si="21"/>
        <v>1.6E-2</v>
      </c>
      <c r="J176" s="37">
        <f t="shared" si="22"/>
        <v>32.27216</v>
      </c>
      <c r="K176" s="96">
        <f t="shared" si="20"/>
        <v>11.866473232000001</v>
      </c>
      <c r="L176" s="37">
        <v>12.4664</v>
      </c>
      <c r="M176" s="37">
        <f t="shared" si="23"/>
        <v>1.4798080000000002</v>
      </c>
      <c r="N176" s="117">
        <f t="shared" si="24"/>
        <v>1.8038859520000003</v>
      </c>
      <c r="O176" s="45">
        <f t="shared" si="18"/>
        <v>4.3106913178869874E-2</v>
      </c>
    </row>
    <row r="177" spans="1:15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95">
        <f t="shared" si="19"/>
        <v>930.9</v>
      </c>
      <c r="G177" s="738">
        <v>39.6</v>
      </c>
      <c r="H177" s="828">
        <v>51</v>
      </c>
      <c r="I177" s="72">
        <f t="shared" si="21"/>
        <v>1.7000000000000001E-2</v>
      </c>
      <c r="J177" s="37">
        <f t="shared" si="22"/>
        <v>34.289170000000006</v>
      </c>
      <c r="K177" s="96">
        <f t="shared" si="20"/>
        <v>12.608127809000003</v>
      </c>
      <c r="L177" s="37">
        <v>13.24555</v>
      </c>
      <c r="M177" s="37">
        <f t="shared" si="23"/>
        <v>1.5722960000000001</v>
      </c>
      <c r="N177" s="117">
        <f t="shared" si="24"/>
        <v>1.9166288240000002</v>
      </c>
      <c r="O177" s="45">
        <f t="shared" si="18"/>
        <v>6.6296212062520149E-2</v>
      </c>
    </row>
    <row r="178" spans="1:15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95">
        <f t="shared" si="19"/>
        <v>791.4</v>
      </c>
      <c r="G178" s="738">
        <v>224.4</v>
      </c>
      <c r="H178" s="828">
        <v>170</v>
      </c>
      <c r="I178" s="72">
        <f t="shared" si="21"/>
        <v>5.6666666666666664E-2</v>
      </c>
      <c r="J178" s="37">
        <f t="shared" si="22"/>
        <v>114.29723333333332</v>
      </c>
      <c r="K178" s="96">
        <f t="shared" si="20"/>
        <v>42.027092696666664</v>
      </c>
      <c r="L178" s="37">
        <v>44.151833333333329</v>
      </c>
      <c r="M178" s="37">
        <f t="shared" si="23"/>
        <v>5.2409866666666662</v>
      </c>
      <c r="N178" s="117">
        <f t="shared" si="24"/>
        <v>6.388762746666667</v>
      </c>
      <c r="O178" s="45">
        <f t="shared" si="18"/>
        <v>0.25994079609552684</v>
      </c>
    </row>
    <row r="179" spans="1:15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95">
        <f t="shared" si="19"/>
        <v>574.42999999999995</v>
      </c>
      <c r="G179" s="738">
        <v>264</v>
      </c>
      <c r="H179" s="828">
        <v>125</v>
      </c>
      <c r="I179" s="72">
        <f t="shared" si="21"/>
        <v>4.1666666666666664E-2</v>
      </c>
      <c r="J179" s="37">
        <f t="shared" si="22"/>
        <v>84.042083333333323</v>
      </c>
      <c r="K179" s="96">
        <f t="shared" si="20"/>
        <v>30.902274041666665</v>
      </c>
      <c r="L179" s="37">
        <v>32.46458333333333</v>
      </c>
      <c r="M179" s="37">
        <f t="shared" si="23"/>
        <v>3.8536666666666668</v>
      </c>
      <c r="N179" s="117">
        <f t="shared" si="24"/>
        <v>4.6976196666666672</v>
      </c>
      <c r="O179" s="45">
        <f t="shared" si="18"/>
        <v>0.2633264407760737</v>
      </c>
    </row>
    <row r="180" spans="1:15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95">
        <f t="shared" si="19"/>
        <v>326.89999999999998</v>
      </c>
      <c r="G180" s="738">
        <v>34.799999999999997</v>
      </c>
      <c r="H180" s="828">
        <v>34.799999999999997</v>
      </c>
      <c r="I180" s="72">
        <f t="shared" si="21"/>
        <v>1.1599999999999999E-2</v>
      </c>
      <c r="J180" s="37">
        <f t="shared" si="22"/>
        <v>23.397316</v>
      </c>
      <c r="K180" s="96">
        <f t="shared" si="20"/>
        <v>8.6031930931999998</v>
      </c>
      <c r="L180" s="37">
        <v>9.0381399999999985</v>
      </c>
      <c r="M180" s="37">
        <f t="shared" si="23"/>
        <v>1.0728607999999999</v>
      </c>
      <c r="N180" s="117">
        <f t="shared" si="24"/>
        <v>1.3078173152000001</v>
      </c>
      <c r="O180" s="45">
        <f t="shared" si="18"/>
        <v>0.12882077055123892</v>
      </c>
    </row>
    <row r="181" spans="1:15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95">
        <f t="shared" si="19"/>
        <v>323.60000000000002</v>
      </c>
      <c r="G181" s="738">
        <v>50.4</v>
      </c>
      <c r="H181" s="828">
        <v>57</v>
      </c>
      <c r="I181" s="72">
        <f t="shared" si="21"/>
        <v>1.9E-2</v>
      </c>
      <c r="J181" s="37">
        <f t="shared" si="22"/>
        <v>38.323189999999997</v>
      </c>
      <c r="K181" s="96">
        <f t="shared" si="20"/>
        <v>14.091436963</v>
      </c>
      <c r="L181" s="37">
        <v>14.803849999999999</v>
      </c>
      <c r="M181" s="37">
        <f t="shared" si="23"/>
        <v>1.7572719999999999</v>
      </c>
      <c r="N181" s="117">
        <f t="shared" si="24"/>
        <v>2.1421145680000002</v>
      </c>
      <c r="O181" s="45">
        <f t="shared" si="18"/>
        <v>0.21315126379171817</v>
      </c>
    </row>
    <row r="182" spans="1:15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95">
        <f t="shared" si="19"/>
        <v>483.2</v>
      </c>
      <c r="G182" s="738">
        <v>320</v>
      </c>
      <c r="H182" s="828">
        <v>295</v>
      </c>
      <c r="I182" s="72">
        <f t="shared" si="21"/>
        <v>9.8333333333333328E-2</v>
      </c>
      <c r="J182" s="37">
        <f t="shared" si="22"/>
        <v>198.33931666666666</v>
      </c>
      <c r="K182" s="96">
        <f t="shared" si="20"/>
        <v>72.929366738333343</v>
      </c>
      <c r="L182" s="37">
        <v>76.616416666666666</v>
      </c>
      <c r="M182" s="37">
        <f t="shared" si="23"/>
        <v>9.0946533333333335</v>
      </c>
      <c r="N182" s="117">
        <f t="shared" si="24"/>
        <v>11.086382413333334</v>
      </c>
      <c r="O182" s="45">
        <f t="shared" si="18"/>
        <v>0.73878260224544701</v>
      </c>
    </row>
    <row r="183" spans="1:15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95">
        <f t="shared" si="19"/>
        <v>408.2</v>
      </c>
      <c r="G183" s="738">
        <v>267</v>
      </c>
      <c r="H183" s="828">
        <v>258</v>
      </c>
      <c r="I183" s="72">
        <f t="shared" si="21"/>
        <v>8.5999999999999993E-2</v>
      </c>
      <c r="J183" s="37">
        <f t="shared" si="22"/>
        <v>173.46285999999998</v>
      </c>
      <c r="K183" s="96">
        <f t="shared" si="20"/>
        <v>63.782293621999997</v>
      </c>
      <c r="L183" s="37">
        <v>67.006899999999987</v>
      </c>
      <c r="M183" s="37">
        <f t="shared" si="23"/>
        <v>7.9539679999999997</v>
      </c>
      <c r="N183" s="117">
        <f t="shared" si="24"/>
        <v>9.6958869920000001</v>
      </c>
      <c r="O183" s="45">
        <f t="shared" si="18"/>
        <v>0.76483591774130311</v>
      </c>
    </row>
    <row r="184" spans="1:15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95">
        <f t="shared" si="19"/>
        <v>482.97</v>
      </c>
      <c r="G184" s="738">
        <v>276</v>
      </c>
      <c r="H184" s="828">
        <v>276</v>
      </c>
      <c r="I184" s="72">
        <f t="shared" si="21"/>
        <v>9.1999999999999998E-2</v>
      </c>
      <c r="J184" s="37">
        <f t="shared" si="22"/>
        <v>185.56492</v>
      </c>
      <c r="K184" s="96">
        <f t="shared" si="20"/>
        <v>68.232221084000003</v>
      </c>
      <c r="L184" s="37">
        <v>71.681799999999996</v>
      </c>
      <c r="M184" s="37">
        <f t="shared" si="23"/>
        <v>8.508896</v>
      </c>
      <c r="N184" s="117">
        <f t="shared" si="24"/>
        <v>10.372344224000001</v>
      </c>
      <c r="O184" s="45">
        <f t="shared" si="18"/>
        <v>0.69152915726442632</v>
      </c>
    </row>
    <row r="185" spans="1:15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95">
        <f t="shared" si="19"/>
        <v>699.05</v>
      </c>
      <c r="G185" s="738">
        <v>455</v>
      </c>
      <c r="H185" s="828">
        <v>433</v>
      </c>
      <c r="I185" s="72">
        <f t="shared" si="21"/>
        <v>0.14433333333333334</v>
      </c>
      <c r="J185" s="37">
        <f t="shared" si="22"/>
        <v>291.12177666666668</v>
      </c>
      <c r="K185" s="96">
        <f t="shared" si="20"/>
        <v>107.04547728033334</v>
      </c>
      <c r="L185" s="37">
        <v>112.45731666666667</v>
      </c>
      <c r="M185" s="37">
        <f t="shared" si="23"/>
        <v>13.349101333333333</v>
      </c>
      <c r="N185" s="117">
        <f t="shared" si="24"/>
        <v>16.272554525333334</v>
      </c>
      <c r="O185" s="45">
        <f t="shared" si="18"/>
        <v>0.74955106494099133</v>
      </c>
    </row>
    <row r="186" spans="1:15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95">
        <f t="shared" si="19"/>
        <v>6095.81</v>
      </c>
      <c r="G186" s="738">
        <v>1355.3</v>
      </c>
      <c r="H186" s="828">
        <v>1230</v>
      </c>
      <c r="I186" s="72">
        <f t="shared" si="21"/>
        <v>0.41</v>
      </c>
      <c r="J186" s="37">
        <f t="shared" si="22"/>
        <v>826.97409999999991</v>
      </c>
      <c r="K186" s="96">
        <f t="shared" si="20"/>
        <v>304.07837656999999</v>
      </c>
      <c r="L186" s="37">
        <v>319.45149999999995</v>
      </c>
      <c r="M186" s="37">
        <f t="shared" si="23"/>
        <v>37.920080000000006</v>
      </c>
      <c r="N186" s="117">
        <f t="shared" si="24"/>
        <v>46.224577520000011</v>
      </c>
      <c r="O186" s="45">
        <f t="shared" si="18"/>
        <v>0.24417166161182843</v>
      </c>
    </row>
    <row r="187" spans="1:15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95">
        <f t="shared" si="19"/>
        <v>166.2</v>
      </c>
      <c r="G187" s="738">
        <v>99</v>
      </c>
      <c r="H187" s="828">
        <v>109</v>
      </c>
      <c r="I187" s="72">
        <f t="shared" si="21"/>
        <v>3.6333333333333336E-2</v>
      </c>
      <c r="J187" s="37">
        <f t="shared" si="22"/>
        <v>73.284696666666676</v>
      </c>
      <c r="K187" s="96">
        <f t="shared" si="20"/>
        <v>26.946782964333337</v>
      </c>
      <c r="L187" s="37">
        <v>28.309116666666668</v>
      </c>
      <c r="M187" s="37">
        <f t="shared" si="23"/>
        <v>3.3603973333333337</v>
      </c>
      <c r="N187" s="117">
        <f t="shared" si="24"/>
        <v>4.0963243493333339</v>
      </c>
      <c r="O187" s="45">
        <f t="shared" si="18"/>
        <v>0.79362812052346599</v>
      </c>
    </row>
    <row r="188" spans="1:15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95">
        <f t="shared" si="19"/>
        <v>273.2</v>
      </c>
      <c r="G188" s="738">
        <v>32.4</v>
      </c>
      <c r="H188" s="828">
        <v>63</v>
      </c>
      <c r="I188" s="72">
        <f t="shared" si="21"/>
        <v>2.1000000000000001E-2</v>
      </c>
      <c r="J188" s="37">
        <f t="shared" si="22"/>
        <v>42.357210000000002</v>
      </c>
      <c r="K188" s="96">
        <f t="shared" si="20"/>
        <v>15.574746117000002</v>
      </c>
      <c r="L188" s="37">
        <v>16.36215</v>
      </c>
      <c r="M188" s="37">
        <f t="shared" si="23"/>
        <v>1.9422480000000004</v>
      </c>
      <c r="N188" s="117">
        <f t="shared" si="24"/>
        <v>2.3676003120000009</v>
      </c>
      <c r="O188" s="45">
        <f t="shared" si="18"/>
        <v>0.2790496124341143</v>
      </c>
    </row>
    <row r="189" spans="1:15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95">
        <f t="shared" si="19"/>
        <v>4159.58</v>
      </c>
      <c r="G189" s="738">
        <v>1259.4000000000001</v>
      </c>
      <c r="H189" s="828">
        <v>1133</v>
      </c>
      <c r="I189" s="72">
        <f t="shared" si="21"/>
        <v>0.37766666666666665</v>
      </c>
      <c r="J189" s="37">
        <f t="shared" si="22"/>
        <v>761.7574433333333</v>
      </c>
      <c r="K189" s="96">
        <f t="shared" si="20"/>
        <v>280.09821191366666</v>
      </c>
      <c r="L189" s="37">
        <v>294.25898333333333</v>
      </c>
      <c r="M189" s="37">
        <f t="shared" si="23"/>
        <v>34.929634666666665</v>
      </c>
      <c r="N189" s="117">
        <f t="shared" si="24"/>
        <v>42.579224658666668</v>
      </c>
      <c r="O189" s="45">
        <f t="shared" si="18"/>
        <v>0.32961122835646872</v>
      </c>
    </row>
    <row r="190" spans="1:15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95">
        <f t="shared" si="19"/>
        <v>2240.77</v>
      </c>
      <c r="G190" s="738">
        <v>330</v>
      </c>
      <c r="H190" s="828">
        <v>513</v>
      </c>
      <c r="I190" s="72">
        <f t="shared" si="21"/>
        <v>0.17100000000000001</v>
      </c>
      <c r="J190" s="37">
        <f t="shared" si="22"/>
        <v>344.90871000000004</v>
      </c>
      <c r="K190" s="96">
        <f t="shared" si="20"/>
        <v>126.82293266700002</v>
      </c>
      <c r="L190" s="37">
        <v>133.23465000000002</v>
      </c>
      <c r="M190" s="37">
        <f t="shared" si="23"/>
        <v>15.815448000000004</v>
      </c>
      <c r="N190" s="117">
        <f t="shared" si="24"/>
        <v>19.279031112000006</v>
      </c>
      <c r="O190" s="45">
        <f t="shared" si="18"/>
        <v>0.27703947333595152</v>
      </c>
    </row>
    <row r="191" spans="1:15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95">
        <f t="shared" si="19"/>
        <v>454.48</v>
      </c>
      <c r="G191" s="738">
        <v>48</v>
      </c>
      <c r="H191" s="828">
        <v>66</v>
      </c>
      <c r="I191" s="72">
        <f t="shared" si="21"/>
        <v>2.1999999999999999E-2</v>
      </c>
      <c r="J191" s="37">
        <f t="shared" si="22"/>
        <v>44.374219999999994</v>
      </c>
      <c r="K191" s="96">
        <f t="shared" si="20"/>
        <v>16.316400693999999</v>
      </c>
      <c r="L191" s="37">
        <v>17.141299999999998</v>
      </c>
      <c r="M191" s="37">
        <f t="shared" si="23"/>
        <v>2.0347360000000001</v>
      </c>
      <c r="N191" s="117">
        <f t="shared" si="24"/>
        <v>2.4803431840000001</v>
      </c>
      <c r="O191" s="45">
        <f t="shared" si="18"/>
        <v>0.17573195012761833</v>
      </c>
    </row>
    <row r="192" spans="1:15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95">
        <f t="shared" si="19"/>
        <v>166.2</v>
      </c>
      <c r="G192" s="738">
        <v>0</v>
      </c>
      <c r="H192" s="828">
        <v>0</v>
      </c>
      <c r="I192" s="72">
        <f t="shared" si="21"/>
        <v>0</v>
      </c>
      <c r="J192" s="37">
        <f t="shared" si="22"/>
        <v>0</v>
      </c>
      <c r="K192" s="96">
        <f t="shared" si="20"/>
        <v>0</v>
      </c>
      <c r="L192" s="37">
        <v>0</v>
      </c>
      <c r="M192" s="37">
        <f t="shared" si="23"/>
        <v>0</v>
      </c>
      <c r="N192" s="117">
        <f t="shared" si="24"/>
        <v>0</v>
      </c>
      <c r="O192" s="45">
        <f t="shared" si="18"/>
        <v>0</v>
      </c>
    </row>
    <row r="193" spans="1:15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95">
        <f t="shared" si="19"/>
        <v>338.6</v>
      </c>
      <c r="G193" s="738">
        <v>0</v>
      </c>
      <c r="H193" s="828">
        <v>0</v>
      </c>
      <c r="I193" s="72">
        <f t="shared" si="21"/>
        <v>0</v>
      </c>
      <c r="J193" s="37">
        <f t="shared" si="22"/>
        <v>0</v>
      </c>
      <c r="K193" s="96">
        <f t="shared" si="20"/>
        <v>0</v>
      </c>
      <c r="L193" s="37">
        <v>0</v>
      </c>
      <c r="M193" s="37">
        <f t="shared" si="23"/>
        <v>0</v>
      </c>
      <c r="N193" s="117">
        <f t="shared" si="24"/>
        <v>0</v>
      </c>
      <c r="O193" s="45">
        <f t="shared" si="18"/>
        <v>0</v>
      </c>
    </row>
    <row r="194" spans="1:15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95">
        <f t="shared" si="19"/>
        <v>453.7</v>
      </c>
      <c r="G194" s="738">
        <v>210</v>
      </c>
      <c r="H194" s="828">
        <v>100</v>
      </c>
      <c r="I194" s="72">
        <f t="shared" si="21"/>
        <v>3.3333333333333333E-2</v>
      </c>
      <c r="J194" s="37">
        <f t="shared" si="22"/>
        <v>67.233666666666664</v>
      </c>
      <c r="K194" s="96">
        <f t="shared" si="20"/>
        <v>24.721819233333335</v>
      </c>
      <c r="L194" s="37">
        <v>25.971666666666664</v>
      </c>
      <c r="M194" s="37">
        <f t="shared" si="23"/>
        <v>3.0829333333333335</v>
      </c>
      <c r="N194" s="117">
        <f t="shared" si="24"/>
        <v>3.758095733333334</v>
      </c>
      <c r="O194" s="45">
        <f t="shared" si="18"/>
        <v>0.26671828499008154</v>
      </c>
    </row>
    <row r="195" spans="1:15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95">
        <f t="shared" si="19"/>
        <v>135</v>
      </c>
      <c r="G195" s="738">
        <v>0</v>
      </c>
      <c r="H195" s="828">
        <v>0</v>
      </c>
      <c r="I195" s="72">
        <f t="shared" si="21"/>
        <v>0</v>
      </c>
      <c r="J195" s="37">
        <f t="shared" si="22"/>
        <v>0</v>
      </c>
      <c r="K195" s="96">
        <f t="shared" si="20"/>
        <v>0</v>
      </c>
      <c r="L195" s="37">
        <v>0</v>
      </c>
      <c r="M195" s="37">
        <f t="shared" si="23"/>
        <v>0</v>
      </c>
      <c r="N195" s="117">
        <f t="shared" si="24"/>
        <v>0</v>
      </c>
      <c r="O195" s="45">
        <f t="shared" si="18"/>
        <v>0</v>
      </c>
    </row>
    <row r="196" spans="1:15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95">
        <f t="shared" si="19"/>
        <v>89.9</v>
      </c>
      <c r="G196" s="738">
        <v>0</v>
      </c>
      <c r="H196" s="828">
        <v>0</v>
      </c>
      <c r="I196" s="72">
        <f t="shared" si="21"/>
        <v>0</v>
      </c>
      <c r="J196" s="37">
        <f t="shared" si="22"/>
        <v>0</v>
      </c>
      <c r="K196" s="96">
        <f t="shared" si="20"/>
        <v>0</v>
      </c>
      <c r="L196" s="37">
        <v>0</v>
      </c>
      <c r="M196" s="37">
        <f t="shared" si="23"/>
        <v>0</v>
      </c>
      <c r="N196" s="117">
        <f t="shared" si="24"/>
        <v>0</v>
      </c>
      <c r="O196" s="45">
        <f t="shared" si="18"/>
        <v>0</v>
      </c>
    </row>
    <row r="197" spans="1:15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95">
        <f t="shared" si="19"/>
        <v>224.08</v>
      </c>
      <c r="G197" s="738">
        <v>0</v>
      </c>
      <c r="H197" s="828">
        <v>0</v>
      </c>
      <c r="I197" s="72">
        <f t="shared" si="21"/>
        <v>0</v>
      </c>
      <c r="J197" s="37">
        <f t="shared" si="22"/>
        <v>0</v>
      </c>
      <c r="K197" s="96">
        <f t="shared" si="20"/>
        <v>0</v>
      </c>
      <c r="L197" s="37">
        <v>0</v>
      </c>
      <c r="M197" s="37">
        <f t="shared" si="23"/>
        <v>0</v>
      </c>
      <c r="N197" s="117">
        <f t="shared" si="24"/>
        <v>0</v>
      </c>
      <c r="O197" s="45">
        <f t="shared" si="18"/>
        <v>0</v>
      </c>
    </row>
    <row r="198" spans="1:15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95">
        <f t="shared" si="19"/>
        <v>653.71</v>
      </c>
      <c r="G198" s="738">
        <v>0</v>
      </c>
      <c r="H198" s="828">
        <v>0</v>
      </c>
      <c r="I198" s="72">
        <f t="shared" si="21"/>
        <v>0</v>
      </c>
      <c r="J198" s="37">
        <f t="shared" si="22"/>
        <v>0</v>
      </c>
      <c r="K198" s="96">
        <f t="shared" si="20"/>
        <v>0</v>
      </c>
      <c r="L198" s="37">
        <v>0</v>
      </c>
      <c r="M198" s="37">
        <f t="shared" si="23"/>
        <v>0</v>
      </c>
      <c r="N198" s="117">
        <f t="shared" si="24"/>
        <v>0</v>
      </c>
      <c r="O198" s="45">
        <f t="shared" si="18"/>
        <v>0</v>
      </c>
    </row>
    <row r="199" spans="1:15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95">
        <f t="shared" si="19"/>
        <v>182.11</v>
      </c>
      <c r="G199" s="738">
        <v>0</v>
      </c>
      <c r="H199" s="828">
        <v>0</v>
      </c>
      <c r="I199" s="72">
        <f t="shared" si="21"/>
        <v>0</v>
      </c>
      <c r="J199" s="37">
        <f t="shared" si="22"/>
        <v>0</v>
      </c>
      <c r="K199" s="96">
        <f t="shared" si="20"/>
        <v>0</v>
      </c>
      <c r="L199" s="37">
        <v>0</v>
      </c>
      <c r="M199" s="37">
        <f t="shared" si="23"/>
        <v>0</v>
      </c>
      <c r="N199" s="117">
        <f t="shared" si="24"/>
        <v>0</v>
      </c>
      <c r="O199" s="45">
        <f t="shared" ref="O199:O262" si="25">(J199+K199+L199+M199)/F199</f>
        <v>0</v>
      </c>
    </row>
    <row r="200" spans="1:15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95">
        <f t="shared" si="19"/>
        <v>2379.1</v>
      </c>
      <c r="G200" s="738">
        <v>377.4</v>
      </c>
      <c r="H200" s="828">
        <v>665</v>
      </c>
      <c r="I200" s="72">
        <f t="shared" si="21"/>
        <v>0.22166666666666668</v>
      </c>
      <c r="J200" s="37">
        <f t="shared" si="22"/>
        <v>447.10388333333333</v>
      </c>
      <c r="K200" s="96">
        <f t="shared" si="20"/>
        <v>164.40009790166667</v>
      </c>
      <c r="L200" s="37">
        <v>172.71158333333335</v>
      </c>
      <c r="M200" s="37">
        <f t="shared" si="23"/>
        <v>20.501506666666668</v>
      </c>
      <c r="N200" s="117">
        <f t="shared" si="24"/>
        <v>24.991336626666669</v>
      </c>
      <c r="O200" s="45">
        <f t="shared" si="25"/>
        <v>0.33824432400277415</v>
      </c>
    </row>
    <row r="201" spans="1:15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95">
        <f t="shared" si="19"/>
        <v>140.19999999999999</v>
      </c>
      <c r="G201" s="738">
        <v>0</v>
      </c>
      <c r="H201" s="828">
        <v>0</v>
      </c>
      <c r="I201" s="72">
        <f t="shared" si="21"/>
        <v>0</v>
      </c>
      <c r="J201" s="37">
        <f t="shared" si="22"/>
        <v>0</v>
      </c>
      <c r="K201" s="96">
        <f t="shared" si="20"/>
        <v>0</v>
      </c>
      <c r="L201" s="37">
        <v>0</v>
      </c>
      <c r="M201" s="37">
        <f t="shared" si="23"/>
        <v>0</v>
      </c>
      <c r="N201" s="117">
        <f t="shared" si="24"/>
        <v>0</v>
      </c>
      <c r="O201" s="45">
        <f t="shared" si="25"/>
        <v>0</v>
      </c>
    </row>
    <row r="202" spans="1:15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95">
        <f t="shared" si="19"/>
        <v>116.79</v>
      </c>
      <c r="G202" s="738">
        <v>0</v>
      </c>
      <c r="H202" s="828">
        <v>0</v>
      </c>
      <c r="I202" s="72">
        <f t="shared" si="21"/>
        <v>0</v>
      </c>
      <c r="J202" s="37">
        <f t="shared" si="22"/>
        <v>0</v>
      </c>
      <c r="K202" s="96">
        <f t="shared" si="20"/>
        <v>0</v>
      </c>
      <c r="L202" s="37">
        <v>0</v>
      </c>
      <c r="M202" s="37">
        <f t="shared" si="23"/>
        <v>0</v>
      </c>
      <c r="N202" s="117">
        <f t="shared" si="24"/>
        <v>0</v>
      </c>
      <c r="O202" s="45">
        <f t="shared" si="25"/>
        <v>0</v>
      </c>
    </row>
    <row r="203" spans="1:15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95">
        <f t="shared" si="19"/>
        <v>59.7</v>
      </c>
      <c r="G203" s="738">
        <v>0</v>
      </c>
      <c r="H203" s="828">
        <v>0</v>
      </c>
      <c r="I203" s="72">
        <f t="shared" si="21"/>
        <v>0</v>
      </c>
      <c r="J203" s="37">
        <f t="shared" si="22"/>
        <v>0</v>
      </c>
      <c r="K203" s="96">
        <f t="shared" si="20"/>
        <v>0</v>
      </c>
      <c r="L203" s="37">
        <v>0</v>
      </c>
      <c r="M203" s="37">
        <f t="shared" si="23"/>
        <v>0</v>
      </c>
      <c r="N203" s="117">
        <f t="shared" si="24"/>
        <v>0</v>
      </c>
      <c r="O203" s="45">
        <f t="shared" si="25"/>
        <v>0</v>
      </c>
    </row>
    <row r="204" spans="1:15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95">
        <f t="shared" si="19"/>
        <v>137.5</v>
      </c>
      <c r="G204" s="738">
        <v>0</v>
      </c>
      <c r="H204" s="828">
        <v>0</v>
      </c>
      <c r="I204" s="72">
        <f t="shared" si="21"/>
        <v>0</v>
      </c>
      <c r="J204" s="37">
        <f t="shared" si="22"/>
        <v>0</v>
      </c>
      <c r="K204" s="96">
        <f t="shared" si="20"/>
        <v>0</v>
      </c>
      <c r="L204" s="37">
        <v>0</v>
      </c>
      <c r="M204" s="37">
        <f t="shared" si="23"/>
        <v>0</v>
      </c>
      <c r="N204" s="117">
        <f t="shared" si="24"/>
        <v>0</v>
      </c>
      <c r="O204" s="45">
        <f t="shared" si="25"/>
        <v>0</v>
      </c>
    </row>
    <row r="205" spans="1:15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95">
        <f t="shared" si="19"/>
        <v>1908.3000000000002</v>
      </c>
      <c r="G205" s="738">
        <v>358.8</v>
      </c>
      <c r="H205" s="828">
        <v>359</v>
      </c>
      <c r="I205" s="72">
        <f t="shared" si="21"/>
        <v>0.11966666666666667</v>
      </c>
      <c r="J205" s="37">
        <f t="shared" si="22"/>
        <v>241.36886333333334</v>
      </c>
      <c r="K205" s="96">
        <f t="shared" si="20"/>
        <v>88.751331047666667</v>
      </c>
      <c r="L205" s="37">
        <v>93.238283333333328</v>
      </c>
      <c r="M205" s="37">
        <f t="shared" si="23"/>
        <v>11.067730666666668</v>
      </c>
      <c r="N205" s="117">
        <f t="shared" si="24"/>
        <v>13.491563682666669</v>
      </c>
      <c r="O205" s="45">
        <f t="shared" si="25"/>
        <v>0.22765089785725515</v>
      </c>
    </row>
    <row r="206" spans="1:15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95">
        <f t="shared" si="19"/>
        <v>140.4</v>
      </c>
      <c r="G206" s="738">
        <v>60</v>
      </c>
      <c r="H206" s="828">
        <v>30</v>
      </c>
      <c r="I206" s="72">
        <f t="shared" si="21"/>
        <v>0.01</v>
      </c>
      <c r="J206" s="37">
        <f t="shared" si="22"/>
        <v>20.170100000000001</v>
      </c>
      <c r="K206" s="96">
        <f t="shared" si="20"/>
        <v>7.4165457700000008</v>
      </c>
      <c r="L206" s="37">
        <v>7.7915000000000001</v>
      </c>
      <c r="M206" s="37">
        <f t="shared" si="23"/>
        <v>0.92488000000000004</v>
      </c>
      <c r="N206" s="117">
        <f t="shared" si="24"/>
        <v>1.1274287200000002</v>
      </c>
      <c r="O206" s="45">
        <f t="shared" si="25"/>
        <v>0.25856855961538466</v>
      </c>
    </row>
    <row r="207" spans="1:15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95">
        <f t="shared" si="19"/>
        <v>290.7</v>
      </c>
      <c r="G207" s="738">
        <v>131.4</v>
      </c>
      <c r="H207" s="828">
        <v>148</v>
      </c>
      <c r="I207" s="72">
        <f t="shared" si="21"/>
        <v>4.9333333333333333E-2</v>
      </c>
      <c r="J207" s="37">
        <f t="shared" si="22"/>
        <v>99.505826666666664</v>
      </c>
      <c r="K207" s="96">
        <f t="shared" si="20"/>
        <v>36.588292465333332</v>
      </c>
      <c r="L207" s="37">
        <v>38.438066666666664</v>
      </c>
      <c r="M207" s="37">
        <f t="shared" si="23"/>
        <v>4.5627413333333342</v>
      </c>
      <c r="N207" s="117">
        <f t="shared" si="24"/>
        <v>5.5619816853333344</v>
      </c>
      <c r="O207" s="45">
        <f t="shared" si="25"/>
        <v>0.61608162068111449</v>
      </c>
    </row>
    <row r="208" spans="1:15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95">
        <f t="shared" si="19"/>
        <v>2427.7199999999998</v>
      </c>
      <c r="G208" s="738">
        <v>856</v>
      </c>
      <c r="H208" s="828">
        <v>700</v>
      </c>
      <c r="I208" s="72">
        <f t="shared" si="21"/>
        <v>0.23333333333333334</v>
      </c>
      <c r="J208" s="37">
        <f t="shared" si="22"/>
        <v>470.63566666666668</v>
      </c>
      <c r="K208" s="96">
        <f t="shared" si="20"/>
        <v>173.05273463333336</v>
      </c>
      <c r="L208" s="37">
        <v>181.80166666666668</v>
      </c>
      <c r="M208" s="37">
        <f t="shared" si="23"/>
        <v>21.580533333333335</v>
      </c>
      <c r="N208" s="117">
        <f t="shared" si="24"/>
        <v>26.306670133333338</v>
      </c>
      <c r="O208" s="45">
        <f t="shared" si="25"/>
        <v>0.34891610288665909</v>
      </c>
    </row>
    <row r="209" spans="1:15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95">
        <f t="shared" ref="F209:F270" si="26">C209+D209+E209</f>
        <v>93</v>
      </c>
      <c r="G209" s="738">
        <v>0</v>
      </c>
      <c r="H209" s="828">
        <v>0</v>
      </c>
      <c r="I209" s="72">
        <f t="shared" si="21"/>
        <v>0</v>
      </c>
      <c r="J209" s="37">
        <f t="shared" si="22"/>
        <v>0</v>
      </c>
      <c r="K209" s="96">
        <f t="shared" ref="K209:K270" si="27">J209*0.3677</f>
        <v>0</v>
      </c>
      <c r="L209" s="37">
        <v>0</v>
      </c>
      <c r="M209" s="37">
        <f t="shared" si="23"/>
        <v>0</v>
      </c>
      <c r="N209" s="117">
        <f t="shared" si="24"/>
        <v>0</v>
      </c>
      <c r="O209" s="45">
        <f t="shared" si="25"/>
        <v>0</v>
      </c>
    </row>
    <row r="210" spans="1:15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95">
        <f t="shared" si="26"/>
        <v>1473.7</v>
      </c>
      <c r="G210" s="738">
        <v>638.79999999999995</v>
      </c>
      <c r="H210" s="828">
        <v>481</v>
      </c>
      <c r="I210" s="72">
        <f t="shared" si="21"/>
        <v>0.16033333333333333</v>
      </c>
      <c r="J210" s="37">
        <f t="shared" si="22"/>
        <v>323.39393666666666</v>
      </c>
      <c r="K210" s="96">
        <f t="shared" si="27"/>
        <v>118.91195051233333</v>
      </c>
      <c r="L210" s="37">
        <v>124.92371666666666</v>
      </c>
      <c r="M210" s="37">
        <f t="shared" si="23"/>
        <v>14.828909333333334</v>
      </c>
      <c r="N210" s="117">
        <f t="shared" si="24"/>
        <v>18.076440477333335</v>
      </c>
      <c r="O210" s="45">
        <f t="shared" si="25"/>
        <v>0.39496404504241023</v>
      </c>
    </row>
    <row r="211" spans="1:15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95">
        <f t="shared" si="26"/>
        <v>2507</v>
      </c>
      <c r="G211" s="738">
        <v>136</v>
      </c>
      <c r="H211" s="828">
        <v>500</v>
      </c>
      <c r="I211" s="72">
        <f t="shared" si="21"/>
        <v>0.16666666666666666</v>
      </c>
      <c r="J211" s="37">
        <f t="shared" si="22"/>
        <v>336.16833333333329</v>
      </c>
      <c r="K211" s="96">
        <f t="shared" si="27"/>
        <v>123.60909616666666</v>
      </c>
      <c r="L211" s="37">
        <v>129.85833333333332</v>
      </c>
      <c r="M211" s="37">
        <f t="shared" si="23"/>
        <v>15.414666666666667</v>
      </c>
      <c r="N211" s="117">
        <f t="shared" si="24"/>
        <v>18.790478666666669</v>
      </c>
      <c r="O211" s="45">
        <f t="shared" si="25"/>
        <v>0.24134440745911445</v>
      </c>
    </row>
    <row r="212" spans="1:15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95">
        <f t="shared" si="26"/>
        <v>3505.3</v>
      </c>
      <c r="G212" s="738">
        <v>2050</v>
      </c>
      <c r="H212" s="828">
        <v>1534</v>
      </c>
      <c r="I212" s="72">
        <f t="shared" si="21"/>
        <v>0.51133333333333331</v>
      </c>
      <c r="J212" s="37">
        <f t="shared" si="22"/>
        <v>1031.3644466666667</v>
      </c>
      <c r="K212" s="96">
        <f t="shared" si="27"/>
        <v>379.23270703933338</v>
      </c>
      <c r="L212" s="37">
        <v>398.40536666666662</v>
      </c>
      <c r="M212" s="37">
        <f t="shared" si="23"/>
        <v>47.292197333333334</v>
      </c>
      <c r="N212" s="117">
        <f t="shared" si="24"/>
        <v>57.649188549333338</v>
      </c>
      <c r="O212" s="45">
        <f t="shared" si="25"/>
        <v>0.52956800208427235</v>
      </c>
    </row>
    <row r="213" spans="1:15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95">
        <f t="shared" si="26"/>
        <v>191.78</v>
      </c>
      <c r="G213" s="738">
        <v>0</v>
      </c>
      <c r="H213" s="828">
        <v>0</v>
      </c>
      <c r="I213" s="72">
        <f t="shared" si="21"/>
        <v>0</v>
      </c>
      <c r="J213" s="37">
        <f t="shared" si="22"/>
        <v>0</v>
      </c>
      <c r="K213" s="96">
        <f t="shared" si="27"/>
        <v>0</v>
      </c>
      <c r="L213" s="37">
        <v>0</v>
      </c>
      <c r="M213" s="37">
        <f t="shared" si="23"/>
        <v>0</v>
      </c>
      <c r="N213" s="117">
        <f t="shared" si="24"/>
        <v>0</v>
      </c>
      <c r="O213" s="45">
        <f t="shared" si="25"/>
        <v>0</v>
      </c>
    </row>
    <row r="214" spans="1:15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95">
        <f t="shared" si="26"/>
        <v>3560.1</v>
      </c>
      <c r="G214" s="738">
        <v>1820</v>
      </c>
      <c r="H214" s="828">
        <v>1344</v>
      </c>
      <c r="I214" s="72">
        <f t="shared" si="21"/>
        <v>0.44800000000000001</v>
      </c>
      <c r="J214" s="37">
        <f t="shared" si="22"/>
        <v>903.62048000000004</v>
      </c>
      <c r="K214" s="96">
        <f t="shared" si="27"/>
        <v>332.26125049600006</v>
      </c>
      <c r="L214" s="37">
        <v>349.05919999999998</v>
      </c>
      <c r="M214" s="37">
        <f t="shared" si="23"/>
        <v>41.434623999999999</v>
      </c>
      <c r="N214" s="117">
        <f t="shared" si="24"/>
        <v>50.508806656000004</v>
      </c>
      <c r="O214" s="45">
        <f t="shared" si="25"/>
        <v>0.45683423344737506</v>
      </c>
    </row>
    <row r="215" spans="1:15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95">
        <f t="shared" si="26"/>
        <v>291.19</v>
      </c>
      <c r="G215" s="738">
        <v>55.2</v>
      </c>
      <c r="H215" s="828">
        <v>57</v>
      </c>
      <c r="I215" s="72">
        <f t="shared" si="21"/>
        <v>1.9E-2</v>
      </c>
      <c r="J215" s="37">
        <f t="shared" si="22"/>
        <v>38.323189999999997</v>
      </c>
      <c r="K215" s="96">
        <f t="shared" si="27"/>
        <v>14.091436963</v>
      </c>
      <c r="L215" s="37">
        <v>14.803849999999999</v>
      </c>
      <c r="M215" s="37">
        <f t="shared" si="23"/>
        <v>1.7572719999999999</v>
      </c>
      <c r="N215" s="117">
        <f t="shared" si="24"/>
        <v>2.1421145680000002</v>
      </c>
      <c r="O215" s="45">
        <f t="shared" si="25"/>
        <v>0.23687540424808545</v>
      </c>
    </row>
    <row r="216" spans="1:15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95">
        <f t="shared" si="26"/>
        <v>173.45</v>
      </c>
      <c r="G216" s="738">
        <v>0</v>
      </c>
      <c r="H216" s="828">
        <v>0</v>
      </c>
      <c r="I216" s="72">
        <f t="shared" si="21"/>
        <v>0</v>
      </c>
      <c r="J216" s="37">
        <f t="shared" si="22"/>
        <v>0</v>
      </c>
      <c r="K216" s="96">
        <f t="shared" si="27"/>
        <v>0</v>
      </c>
      <c r="L216" s="37">
        <v>0</v>
      </c>
      <c r="M216" s="37">
        <f t="shared" si="23"/>
        <v>0</v>
      </c>
      <c r="N216" s="117">
        <f t="shared" si="24"/>
        <v>0</v>
      </c>
      <c r="O216" s="45">
        <f t="shared" si="25"/>
        <v>0</v>
      </c>
    </row>
    <row r="217" spans="1:15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95">
        <f t="shared" si="26"/>
        <v>209.66</v>
      </c>
      <c r="G217" s="738">
        <v>0</v>
      </c>
      <c r="H217" s="828">
        <v>0</v>
      </c>
      <c r="I217" s="72">
        <f t="shared" si="21"/>
        <v>0</v>
      </c>
      <c r="J217" s="37">
        <f t="shared" si="22"/>
        <v>0</v>
      </c>
      <c r="K217" s="96">
        <f t="shared" si="27"/>
        <v>0</v>
      </c>
      <c r="L217" s="342">
        <f t="shared" ref="L217:L250" si="28">J217*0.5</f>
        <v>0</v>
      </c>
      <c r="M217" s="37">
        <f t="shared" si="23"/>
        <v>0</v>
      </c>
      <c r="N217" s="117">
        <f t="shared" si="24"/>
        <v>0</v>
      </c>
      <c r="O217" s="45">
        <f t="shared" si="25"/>
        <v>0</v>
      </c>
    </row>
    <row r="218" spans="1:15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95">
        <f t="shared" si="26"/>
        <v>408.46</v>
      </c>
      <c r="G218" s="738">
        <v>0</v>
      </c>
      <c r="H218" s="828">
        <v>77</v>
      </c>
      <c r="I218" s="72">
        <f t="shared" si="21"/>
        <v>2.5666666666666667E-2</v>
      </c>
      <c r="J218" s="37">
        <f t="shared" si="22"/>
        <v>51.769923333333338</v>
      </c>
      <c r="K218" s="96">
        <f t="shared" si="27"/>
        <v>19.035800809666672</v>
      </c>
      <c r="L218" s="342">
        <f t="shared" si="28"/>
        <v>25.884961666666669</v>
      </c>
      <c r="M218" s="37">
        <f t="shared" si="23"/>
        <v>2.3738586666666666</v>
      </c>
      <c r="N218" s="117">
        <f t="shared" si="24"/>
        <v>2.8937337146666668</v>
      </c>
      <c r="O218" s="45">
        <f t="shared" si="25"/>
        <v>0.24253181333871945</v>
      </c>
    </row>
    <row r="219" spans="1:15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95">
        <f t="shared" si="26"/>
        <v>67.3</v>
      </c>
      <c r="G219" s="738">
        <v>0</v>
      </c>
      <c r="H219" s="828">
        <v>0</v>
      </c>
      <c r="I219" s="72">
        <f t="shared" si="21"/>
        <v>0</v>
      </c>
      <c r="J219" s="37">
        <f t="shared" si="22"/>
        <v>0</v>
      </c>
      <c r="K219" s="96">
        <f t="shared" si="27"/>
        <v>0</v>
      </c>
      <c r="L219" s="342">
        <f t="shared" si="28"/>
        <v>0</v>
      </c>
      <c r="M219" s="37">
        <f t="shared" si="23"/>
        <v>0</v>
      </c>
      <c r="N219" s="117">
        <f t="shared" si="24"/>
        <v>0</v>
      </c>
      <c r="O219" s="45">
        <f t="shared" si="25"/>
        <v>0</v>
      </c>
    </row>
    <row r="220" spans="1:15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95">
        <f t="shared" si="26"/>
        <v>352.8</v>
      </c>
      <c r="G220" s="738">
        <v>60</v>
      </c>
      <c r="H220" s="828">
        <v>45</v>
      </c>
      <c r="I220" s="72">
        <f t="shared" ref="I220:I283" si="29">H220/3000</f>
        <v>1.4999999999999999E-2</v>
      </c>
      <c r="J220" s="37">
        <f t="shared" si="22"/>
        <v>30.25515</v>
      </c>
      <c r="K220" s="96">
        <f t="shared" si="27"/>
        <v>11.124818655</v>
      </c>
      <c r="L220" s="342">
        <f t="shared" si="28"/>
        <v>15.127575</v>
      </c>
      <c r="M220" s="37">
        <f t="shared" si="23"/>
        <v>1.3873199999999999</v>
      </c>
      <c r="N220" s="117">
        <f t="shared" si="24"/>
        <v>1.69114308</v>
      </c>
      <c r="O220" s="45">
        <f t="shared" si="25"/>
        <v>0.164101087457483</v>
      </c>
    </row>
    <row r="221" spans="1:15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95">
        <f t="shared" si="26"/>
        <v>111.58</v>
      </c>
      <c r="G221" s="738">
        <v>0</v>
      </c>
      <c r="H221" s="828">
        <v>0</v>
      </c>
      <c r="I221" s="72">
        <f t="shared" si="29"/>
        <v>0</v>
      </c>
      <c r="J221" s="37">
        <f t="shared" ref="J221:J284" si="30">I221*2017.01</f>
        <v>0</v>
      </c>
      <c r="K221" s="96">
        <f t="shared" si="27"/>
        <v>0</v>
      </c>
      <c r="L221" s="342">
        <f t="shared" si="28"/>
        <v>0</v>
      </c>
      <c r="M221" s="37">
        <f t="shared" ref="M221:M283" si="31">I221*84.08*1.1</f>
        <v>0</v>
      </c>
      <c r="N221" s="117">
        <f t="shared" ref="N221:N284" si="32">M221*1.219</f>
        <v>0</v>
      </c>
      <c r="O221" s="45">
        <f t="shared" si="25"/>
        <v>0</v>
      </c>
    </row>
    <row r="222" spans="1:15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95">
        <f t="shared" si="26"/>
        <v>115.8</v>
      </c>
      <c r="G222" s="738">
        <v>0</v>
      </c>
      <c r="H222" s="828">
        <v>0</v>
      </c>
      <c r="I222" s="72">
        <f t="shared" si="29"/>
        <v>0</v>
      </c>
      <c r="J222" s="37">
        <f t="shared" si="30"/>
        <v>0</v>
      </c>
      <c r="K222" s="96">
        <f t="shared" si="27"/>
        <v>0</v>
      </c>
      <c r="L222" s="342">
        <f t="shared" si="28"/>
        <v>0</v>
      </c>
      <c r="M222" s="37">
        <f t="shared" si="31"/>
        <v>0</v>
      </c>
      <c r="N222" s="117">
        <f t="shared" si="32"/>
        <v>0</v>
      </c>
      <c r="O222" s="45">
        <f t="shared" si="25"/>
        <v>0</v>
      </c>
    </row>
    <row r="223" spans="1:15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95">
        <f t="shared" si="26"/>
        <v>141.30000000000001</v>
      </c>
      <c r="G223" s="738">
        <v>0</v>
      </c>
      <c r="H223" s="828">
        <v>0</v>
      </c>
      <c r="I223" s="72">
        <f t="shared" si="29"/>
        <v>0</v>
      </c>
      <c r="J223" s="37">
        <f t="shared" si="30"/>
        <v>0</v>
      </c>
      <c r="K223" s="96">
        <f t="shared" si="27"/>
        <v>0</v>
      </c>
      <c r="L223" s="342">
        <f t="shared" si="28"/>
        <v>0</v>
      </c>
      <c r="M223" s="37">
        <f t="shared" si="31"/>
        <v>0</v>
      </c>
      <c r="N223" s="117">
        <f t="shared" si="32"/>
        <v>0</v>
      </c>
      <c r="O223" s="45">
        <f t="shared" si="25"/>
        <v>0</v>
      </c>
    </row>
    <row r="224" spans="1:15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95">
        <f t="shared" si="26"/>
        <v>161.1</v>
      </c>
      <c r="G224" s="738">
        <v>0</v>
      </c>
      <c r="H224" s="828">
        <v>0</v>
      </c>
      <c r="I224" s="72">
        <f t="shared" si="29"/>
        <v>0</v>
      </c>
      <c r="J224" s="37">
        <f t="shared" si="30"/>
        <v>0</v>
      </c>
      <c r="K224" s="96">
        <f t="shared" si="27"/>
        <v>0</v>
      </c>
      <c r="L224" s="342">
        <f t="shared" si="28"/>
        <v>0</v>
      </c>
      <c r="M224" s="37">
        <f t="shared" si="31"/>
        <v>0</v>
      </c>
      <c r="N224" s="117">
        <f t="shared" si="32"/>
        <v>0</v>
      </c>
      <c r="O224" s="45">
        <f t="shared" si="25"/>
        <v>0</v>
      </c>
    </row>
    <row r="225" spans="1:15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95">
        <f t="shared" si="26"/>
        <v>308.8</v>
      </c>
      <c r="G225" s="738">
        <v>0</v>
      </c>
      <c r="H225" s="828">
        <v>0</v>
      </c>
      <c r="I225" s="72">
        <f t="shared" si="29"/>
        <v>0</v>
      </c>
      <c r="J225" s="37">
        <f t="shared" si="30"/>
        <v>0</v>
      </c>
      <c r="K225" s="96">
        <f t="shared" si="27"/>
        <v>0</v>
      </c>
      <c r="L225" s="342">
        <f t="shared" si="28"/>
        <v>0</v>
      </c>
      <c r="M225" s="37">
        <f t="shared" si="31"/>
        <v>0</v>
      </c>
      <c r="N225" s="117">
        <f t="shared" si="32"/>
        <v>0</v>
      </c>
      <c r="O225" s="45">
        <f t="shared" si="25"/>
        <v>0</v>
      </c>
    </row>
    <row r="226" spans="1:15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95">
        <f t="shared" si="26"/>
        <v>343.31</v>
      </c>
      <c r="G226" s="738">
        <v>168</v>
      </c>
      <c r="H226" s="828">
        <v>168</v>
      </c>
      <c r="I226" s="72">
        <f t="shared" si="29"/>
        <v>5.6000000000000001E-2</v>
      </c>
      <c r="J226" s="37">
        <f t="shared" si="30"/>
        <v>112.95256000000001</v>
      </c>
      <c r="K226" s="96">
        <f t="shared" si="27"/>
        <v>41.532656312000007</v>
      </c>
      <c r="L226" s="342">
        <f t="shared" si="28"/>
        <v>56.476280000000003</v>
      </c>
      <c r="M226" s="37">
        <f t="shared" si="31"/>
        <v>5.1793279999999999</v>
      </c>
      <c r="N226" s="117">
        <f t="shared" si="32"/>
        <v>6.3136008320000006</v>
      </c>
      <c r="O226" s="45">
        <f t="shared" si="25"/>
        <v>0.62957916842503858</v>
      </c>
    </row>
    <row r="227" spans="1:15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95">
        <f t="shared" si="26"/>
        <v>146.82</v>
      </c>
      <c r="G227" s="738">
        <v>0</v>
      </c>
      <c r="H227" s="828">
        <v>0</v>
      </c>
      <c r="I227" s="72">
        <f t="shared" si="29"/>
        <v>0</v>
      </c>
      <c r="J227" s="37">
        <f t="shared" si="30"/>
        <v>0</v>
      </c>
      <c r="K227" s="96">
        <f t="shared" si="27"/>
        <v>0</v>
      </c>
      <c r="L227" s="342">
        <f t="shared" si="28"/>
        <v>0</v>
      </c>
      <c r="M227" s="37">
        <f t="shared" si="31"/>
        <v>0</v>
      </c>
      <c r="N227" s="117">
        <f t="shared" si="32"/>
        <v>0</v>
      </c>
      <c r="O227" s="45">
        <f t="shared" si="25"/>
        <v>0</v>
      </c>
    </row>
    <row r="228" spans="1:15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95">
        <f t="shared" si="26"/>
        <v>218.19</v>
      </c>
      <c r="G228" s="738">
        <v>0</v>
      </c>
      <c r="H228" s="828">
        <v>0</v>
      </c>
      <c r="I228" s="72">
        <f t="shared" si="29"/>
        <v>0</v>
      </c>
      <c r="J228" s="37">
        <f t="shared" si="30"/>
        <v>0</v>
      </c>
      <c r="K228" s="96">
        <f t="shared" si="27"/>
        <v>0</v>
      </c>
      <c r="L228" s="342">
        <f t="shared" si="28"/>
        <v>0</v>
      </c>
      <c r="M228" s="37">
        <f t="shared" si="31"/>
        <v>0</v>
      </c>
      <c r="N228" s="117">
        <f t="shared" si="32"/>
        <v>0</v>
      </c>
      <c r="O228" s="45">
        <f t="shared" si="25"/>
        <v>0</v>
      </c>
    </row>
    <row r="229" spans="1:15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95">
        <f t="shared" si="26"/>
        <v>109.6</v>
      </c>
      <c r="G229" s="738">
        <v>0</v>
      </c>
      <c r="H229" s="828">
        <v>0</v>
      </c>
      <c r="I229" s="72">
        <f t="shared" si="29"/>
        <v>0</v>
      </c>
      <c r="J229" s="37">
        <f t="shared" si="30"/>
        <v>0</v>
      </c>
      <c r="K229" s="96">
        <f t="shared" si="27"/>
        <v>0</v>
      </c>
      <c r="L229" s="342">
        <f t="shared" si="28"/>
        <v>0</v>
      </c>
      <c r="M229" s="37">
        <f t="shared" si="31"/>
        <v>0</v>
      </c>
      <c r="N229" s="117">
        <f t="shared" si="32"/>
        <v>0</v>
      </c>
      <c r="O229" s="45">
        <f t="shared" si="25"/>
        <v>0</v>
      </c>
    </row>
    <row r="230" spans="1:15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95">
        <f t="shared" si="26"/>
        <v>41.4</v>
      </c>
      <c r="G230" s="738">
        <v>0</v>
      </c>
      <c r="H230" s="828">
        <v>0</v>
      </c>
      <c r="I230" s="72">
        <f t="shared" si="29"/>
        <v>0</v>
      </c>
      <c r="J230" s="37">
        <f t="shared" si="30"/>
        <v>0</v>
      </c>
      <c r="K230" s="96">
        <f t="shared" si="27"/>
        <v>0</v>
      </c>
      <c r="L230" s="342">
        <f t="shared" si="28"/>
        <v>0</v>
      </c>
      <c r="M230" s="37">
        <f t="shared" si="31"/>
        <v>0</v>
      </c>
      <c r="N230" s="117">
        <f t="shared" si="32"/>
        <v>0</v>
      </c>
      <c r="O230" s="45">
        <f t="shared" si="25"/>
        <v>0</v>
      </c>
    </row>
    <row r="231" spans="1:15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95">
        <f t="shared" si="26"/>
        <v>143.4</v>
      </c>
      <c r="G231" s="738">
        <v>0</v>
      </c>
      <c r="H231" s="828">
        <v>0</v>
      </c>
      <c r="I231" s="72">
        <f t="shared" si="29"/>
        <v>0</v>
      </c>
      <c r="J231" s="37">
        <f t="shared" si="30"/>
        <v>0</v>
      </c>
      <c r="K231" s="96">
        <f t="shared" si="27"/>
        <v>0</v>
      </c>
      <c r="L231" s="342">
        <f t="shared" si="28"/>
        <v>0</v>
      </c>
      <c r="M231" s="37">
        <f t="shared" si="31"/>
        <v>0</v>
      </c>
      <c r="N231" s="117">
        <f t="shared" si="32"/>
        <v>0</v>
      </c>
      <c r="O231" s="45">
        <f t="shared" si="25"/>
        <v>0</v>
      </c>
    </row>
    <row r="232" spans="1:15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95">
        <f t="shared" si="26"/>
        <v>473.2</v>
      </c>
      <c r="G232" s="738">
        <v>0</v>
      </c>
      <c r="H232" s="828">
        <v>0</v>
      </c>
      <c r="I232" s="72">
        <f t="shared" si="29"/>
        <v>0</v>
      </c>
      <c r="J232" s="37">
        <f t="shared" si="30"/>
        <v>0</v>
      </c>
      <c r="K232" s="96">
        <f t="shared" si="27"/>
        <v>0</v>
      </c>
      <c r="L232" s="342">
        <f t="shared" si="28"/>
        <v>0</v>
      </c>
      <c r="M232" s="37">
        <f t="shared" si="31"/>
        <v>0</v>
      </c>
      <c r="N232" s="117">
        <f t="shared" si="32"/>
        <v>0</v>
      </c>
      <c r="O232" s="45">
        <f t="shared" si="25"/>
        <v>0</v>
      </c>
    </row>
    <row r="233" spans="1:15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95">
        <f t="shared" si="26"/>
        <v>306.10000000000002</v>
      </c>
      <c r="G233" s="738">
        <v>0</v>
      </c>
      <c r="H233" s="828">
        <v>0</v>
      </c>
      <c r="I233" s="72">
        <f t="shared" si="29"/>
        <v>0</v>
      </c>
      <c r="J233" s="37">
        <f t="shared" si="30"/>
        <v>0</v>
      </c>
      <c r="K233" s="96">
        <f t="shared" si="27"/>
        <v>0</v>
      </c>
      <c r="L233" s="342">
        <f t="shared" si="28"/>
        <v>0</v>
      </c>
      <c r="M233" s="37">
        <f t="shared" si="31"/>
        <v>0</v>
      </c>
      <c r="N233" s="117">
        <f t="shared" si="32"/>
        <v>0</v>
      </c>
      <c r="O233" s="45">
        <f t="shared" si="25"/>
        <v>0</v>
      </c>
    </row>
    <row r="234" spans="1:15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95">
        <f t="shared" si="26"/>
        <v>239.7</v>
      </c>
      <c r="G234" s="738">
        <v>0</v>
      </c>
      <c r="H234" s="828">
        <v>0</v>
      </c>
      <c r="I234" s="72">
        <f t="shared" si="29"/>
        <v>0</v>
      </c>
      <c r="J234" s="37">
        <f t="shared" si="30"/>
        <v>0</v>
      </c>
      <c r="K234" s="96">
        <f t="shared" si="27"/>
        <v>0</v>
      </c>
      <c r="L234" s="342">
        <f t="shared" si="28"/>
        <v>0</v>
      </c>
      <c r="M234" s="37">
        <f t="shared" si="31"/>
        <v>0</v>
      </c>
      <c r="N234" s="117">
        <f t="shared" si="32"/>
        <v>0</v>
      </c>
      <c r="O234" s="45">
        <f t="shared" si="25"/>
        <v>0</v>
      </c>
    </row>
    <row r="235" spans="1:15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95">
        <f t="shared" si="26"/>
        <v>193.7</v>
      </c>
      <c r="G235" s="738">
        <v>0</v>
      </c>
      <c r="H235" s="828">
        <v>0</v>
      </c>
      <c r="I235" s="72">
        <f t="shared" si="29"/>
        <v>0</v>
      </c>
      <c r="J235" s="37">
        <f t="shared" si="30"/>
        <v>0</v>
      </c>
      <c r="K235" s="96">
        <f t="shared" si="27"/>
        <v>0</v>
      </c>
      <c r="L235" s="342">
        <f t="shared" si="28"/>
        <v>0</v>
      </c>
      <c r="M235" s="37">
        <f t="shared" si="31"/>
        <v>0</v>
      </c>
      <c r="N235" s="117">
        <f t="shared" si="32"/>
        <v>0</v>
      </c>
      <c r="O235" s="45">
        <f t="shared" si="25"/>
        <v>0</v>
      </c>
    </row>
    <row r="236" spans="1:15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95">
        <f t="shared" si="26"/>
        <v>83.9</v>
      </c>
      <c r="G236" s="738">
        <v>0</v>
      </c>
      <c r="H236" s="828">
        <v>0</v>
      </c>
      <c r="I236" s="72">
        <f t="shared" si="29"/>
        <v>0</v>
      </c>
      <c r="J236" s="37">
        <f t="shared" si="30"/>
        <v>0</v>
      </c>
      <c r="K236" s="96">
        <f t="shared" si="27"/>
        <v>0</v>
      </c>
      <c r="L236" s="342">
        <f t="shared" si="28"/>
        <v>0</v>
      </c>
      <c r="M236" s="37">
        <f t="shared" si="31"/>
        <v>0</v>
      </c>
      <c r="N236" s="117">
        <f t="shared" si="32"/>
        <v>0</v>
      </c>
      <c r="O236" s="45">
        <f t="shared" si="25"/>
        <v>0</v>
      </c>
    </row>
    <row r="237" spans="1:15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95">
        <f t="shared" si="26"/>
        <v>2111.66</v>
      </c>
      <c r="G237" s="738">
        <v>1302</v>
      </c>
      <c r="H237" s="828">
        <v>800</v>
      </c>
      <c r="I237" s="72">
        <f t="shared" si="29"/>
        <v>0.26666666666666666</v>
      </c>
      <c r="J237" s="37">
        <f t="shared" si="30"/>
        <v>537.86933333333332</v>
      </c>
      <c r="K237" s="96">
        <f t="shared" si="27"/>
        <v>197.77455386666668</v>
      </c>
      <c r="L237" s="342">
        <f t="shared" si="28"/>
        <v>268.93466666666666</v>
      </c>
      <c r="M237" s="37">
        <f t="shared" si="31"/>
        <v>24.663466666666668</v>
      </c>
      <c r="N237" s="117">
        <f t="shared" si="32"/>
        <v>30.064765866666672</v>
      </c>
      <c r="O237" s="45">
        <f t="shared" si="25"/>
        <v>0.48740896760526475</v>
      </c>
    </row>
    <row r="238" spans="1:15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95">
        <f t="shared" si="26"/>
        <v>424.8</v>
      </c>
      <c r="G238" s="738">
        <v>0</v>
      </c>
      <c r="H238" s="828">
        <v>0</v>
      </c>
      <c r="I238" s="72">
        <f t="shared" si="29"/>
        <v>0</v>
      </c>
      <c r="J238" s="37">
        <f t="shared" si="30"/>
        <v>0</v>
      </c>
      <c r="K238" s="96">
        <f t="shared" si="27"/>
        <v>0</v>
      </c>
      <c r="L238" s="342">
        <f t="shared" si="28"/>
        <v>0</v>
      </c>
      <c r="M238" s="37">
        <f t="shared" si="31"/>
        <v>0</v>
      </c>
      <c r="N238" s="117">
        <f t="shared" si="32"/>
        <v>0</v>
      </c>
      <c r="O238" s="45">
        <f t="shared" si="25"/>
        <v>0</v>
      </c>
    </row>
    <row r="239" spans="1:15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95">
        <f t="shared" si="26"/>
        <v>105.5</v>
      </c>
      <c r="G239" s="738">
        <v>0</v>
      </c>
      <c r="H239" s="828">
        <v>0</v>
      </c>
      <c r="I239" s="72">
        <f t="shared" si="29"/>
        <v>0</v>
      </c>
      <c r="J239" s="37">
        <f t="shared" si="30"/>
        <v>0</v>
      </c>
      <c r="K239" s="96">
        <f t="shared" si="27"/>
        <v>0</v>
      </c>
      <c r="L239" s="342">
        <f t="shared" si="28"/>
        <v>0</v>
      </c>
      <c r="M239" s="37">
        <f t="shared" si="31"/>
        <v>0</v>
      </c>
      <c r="N239" s="117">
        <f t="shared" si="32"/>
        <v>0</v>
      </c>
      <c r="O239" s="45">
        <f t="shared" si="25"/>
        <v>0</v>
      </c>
    </row>
    <row r="240" spans="1:15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95">
        <f t="shared" si="26"/>
        <v>158.6</v>
      </c>
      <c r="G240" s="738">
        <v>0</v>
      </c>
      <c r="H240" s="828">
        <v>0</v>
      </c>
      <c r="I240" s="72">
        <f t="shared" si="29"/>
        <v>0</v>
      </c>
      <c r="J240" s="37">
        <f t="shared" si="30"/>
        <v>0</v>
      </c>
      <c r="K240" s="96">
        <f t="shared" si="27"/>
        <v>0</v>
      </c>
      <c r="L240" s="342">
        <f t="shared" si="28"/>
        <v>0</v>
      </c>
      <c r="M240" s="37">
        <f t="shared" si="31"/>
        <v>0</v>
      </c>
      <c r="N240" s="117">
        <f t="shared" si="32"/>
        <v>0</v>
      </c>
      <c r="O240" s="45">
        <f t="shared" si="25"/>
        <v>0</v>
      </c>
    </row>
    <row r="241" spans="1:15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95">
        <f t="shared" si="26"/>
        <v>84.9</v>
      </c>
      <c r="G241" s="738">
        <v>0</v>
      </c>
      <c r="H241" s="828">
        <v>0</v>
      </c>
      <c r="I241" s="72">
        <f t="shared" si="29"/>
        <v>0</v>
      </c>
      <c r="J241" s="37">
        <f t="shared" si="30"/>
        <v>0</v>
      </c>
      <c r="K241" s="96">
        <f t="shared" si="27"/>
        <v>0</v>
      </c>
      <c r="L241" s="342">
        <f t="shared" si="28"/>
        <v>0</v>
      </c>
      <c r="M241" s="37">
        <f t="shared" si="31"/>
        <v>0</v>
      </c>
      <c r="N241" s="117">
        <f t="shared" si="32"/>
        <v>0</v>
      </c>
      <c r="O241" s="45">
        <f t="shared" si="25"/>
        <v>0</v>
      </c>
    </row>
    <row r="242" spans="1:15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95">
        <f t="shared" si="26"/>
        <v>191.6</v>
      </c>
      <c r="G242" s="738">
        <v>0</v>
      </c>
      <c r="H242" s="828">
        <v>0</v>
      </c>
      <c r="I242" s="72">
        <f t="shared" si="29"/>
        <v>0</v>
      </c>
      <c r="J242" s="37">
        <f t="shared" si="30"/>
        <v>0</v>
      </c>
      <c r="K242" s="96">
        <f t="shared" si="27"/>
        <v>0</v>
      </c>
      <c r="L242" s="342">
        <f t="shared" si="28"/>
        <v>0</v>
      </c>
      <c r="M242" s="37">
        <f t="shared" si="31"/>
        <v>0</v>
      </c>
      <c r="N242" s="117">
        <f t="shared" si="32"/>
        <v>0</v>
      </c>
      <c r="O242" s="45">
        <f t="shared" si="25"/>
        <v>0</v>
      </c>
    </row>
    <row r="243" spans="1:15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95">
        <f t="shared" si="26"/>
        <v>220.11</v>
      </c>
      <c r="G243" s="738">
        <v>0</v>
      </c>
      <c r="H243" s="828">
        <v>0</v>
      </c>
      <c r="I243" s="72">
        <f t="shared" si="29"/>
        <v>0</v>
      </c>
      <c r="J243" s="37">
        <f t="shared" si="30"/>
        <v>0</v>
      </c>
      <c r="K243" s="96">
        <f t="shared" si="27"/>
        <v>0</v>
      </c>
      <c r="L243" s="342">
        <f t="shared" si="28"/>
        <v>0</v>
      </c>
      <c r="M243" s="37">
        <f t="shared" si="31"/>
        <v>0</v>
      </c>
      <c r="N243" s="117">
        <f t="shared" si="32"/>
        <v>0</v>
      </c>
      <c r="O243" s="45">
        <f t="shared" si="25"/>
        <v>0</v>
      </c>
    </row>
    <row r="244" spans="1:15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95">
        <f t="shared" si="26"/>
        <v>154.1</v>
      </c>
      <c r="G244" s="738">
        <v>0</v>
      </c>
      <c r="H244" s="828">
        <v>0</v>
      </c>
      <c r="I244" s="72">
        <f t="shared" si="29"/>
        <v>0</v>
      </c>
      <c r="J244" s="37">
        <f t="shared" si="30"/>
        <v>0</v>
      </c>
      <c r="K244" s="96">
        <f t="shared" si="27"/>
        <v>0</v>
      </c>
      <c r="L244" s="342">
        <f t="shared" si="28"/>
        <v>0</v>
      </c>
      <c r="M244" s="37">
        <f t="shared" si="31"/>
        <v>0</v>
      </c>
      <c r="N244" s="117">
        <f t="shared" si="32"/>
        <v>0</v>
      </c>
      <c r="O244" s="45">
        <f t="shared" si="25"/>
        <v>0</v>
      </c>
    </row>
    <row r="245" spans="1:15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95">
        <f t="shared" si="26"/>
        <v>219.1</v>
      </c>
      <c r="G245" s="738">
        <v>0</v>
      </c>
      <c r="H245" s="828">
        <v>0</v>
      </c>
      <c r="I245" s="72">
        <f t="shared" si="29"/>
        <v>0</v>
      </c>
      <c r="J245" s="37">
        <f t="shared" si="30"/>
        <v>0</v>
      </c>
      <c r="K245" s="96">
        <f t="shared" si="27"/>
        <v>0</v>
      </c>
      <c r="L245" s="342">
        <f t="shared" si="28"/>
        <v>0</v>
      </c>
      <c r="M245" s="37">
        <f t="shared" si="31"/>
        <v>0</v>
      </c>
      <c r="N245" s="117">
        <f t="shared" si="32"/>
        <v>0</v>
      </c>
      <c r="O245" s="45">
        <f t="shared" si="25"/>
        <v>0</v>
      </c>
    </row>
    <row r="246" spans="1:15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95">
        <f t="shared" si="26"/>
        <v>255.8</v>
      </c>
      <c r="G246" s="738">
        <v>0</v>
      </c>
      <c r="H246" s="828">
        <v>0</v>
      </c>
      <c r="I246" s="72">
        <f t="shared" si="29"/>
        <v>0</v>
      </c>
      <c r="J246" s="37">
        <f t="shared" si="30"/>
        <v>0</v>
      </c>
      <c r="K246" s="96">
        <f t="shared" si="27"/>
        <v>0</v>
      </c>
      <c r="L246" s="342">
        <f t="shared" si="28"/>
        <v>0</v>
      </c>
      <c r="M246" s="37">
        <f t="shared" si="31"/>
        <v>0</v>
      </c>
      <c r="N246" s="117">
        <f t="shared" si="32"/>
        <v>0</v>
      </c>
      <c r="O246" s="45">
        <f t="shared" si="25"/>
        <v>0</v>
      </c>
    </row>
    <row r="247" spans="1:15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95">
        <f t="shared" si="26"/>
        <v>58.3</v>
      </c>
      <c r="G247" s="738">
        <v>0</v>
      </c>
      <c r="H247" s="828">
        <v>0</v>
      </c>
      <c r="I247" s="72">
        <f t="shared" si="29"/>
        <v>0</v>
      </c>
      <c r="J247" s="37">
        <f t="shared" si="30"/>
        <v>0</v>
      </c>
      <c r="K247" s="96">
        <f t="shared" si="27"/>
        <v>0</v>
      </c>
      <c r="L247" s="342">
        <f t="shared" si="28"/>
        <v>0</v>
      </c>
      <c r="M247" s="37">
        <f t="shared" si="31"/>
        <v>0</v>
      </c>
      <c r="N247" s="117">
        <f t="shared" si="32"/>
        <v>0</v>
      </c>
      <c r="O247" s="45">
        <f t="shared" si="25"/>
        <v>0</v>
      </c>
    </row>
    <row r="248" spans="1:15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95">
        <f t="shared" si="26"/>
        <v>47.2</v>
      </c>
      <c r="G248" s="738">
        <v>0</v>
      </c>
      <c r="H248" s="828">
        <v>0</v>
      </c>
      <c r="I248" s="72">
        <f t="shared" si="29"/>
        <v>0</v>
      </c>
      <c r="J248" s="37">
        <f t="shared" si="30"/>
        <v>0</v>
      </c>
      <c r="K248" s="96">
        <f t="shared" si="27"/>
        <v>0</v>
      </c>
      <c r="L248" s="342">
        <f t="shared" si="28"/>
        <v>0</v>
      </c>
      <c r="M248" s="37">
        <f t="shared" si="31"/>
        <v>0</v>
      </c>
      <c r="N248" s="117">
        <f t="shared" si="32"/>
        <v>0</v>
      </c>
      <c r="O248" s="45">
        <f t="shared" si="25"/>
        <v>0</v>
      </c>
    </row>
    <row r="249" spans="1:15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95">
        <f t="shared" si="26"/>
        <v>101.5</v>
      </c>
      <c r="G249" s="738">
        <v>0</v>
      </c>
      <c r="H249" s="828">
        <v>0</v>
      </c>
      <c r="I249" s="72">
        <f t="shared" si="29"/>
        <v>0</v>
      </c>
      <c r="J249" s="37">
        <f t="shared" si="30"/>
        <v>0</v>
      </c>
      <c r="K249" s="96">
        <f t="shared" si="27"/>
        <v>0</v>
      </c>
      <c r="L249" s="342">
        <f t="shared" si="28"/>
        <v>0</v>
      </c>
      <c r="M249" s="37">
        <f t="shared" si="31"/>
        <v>0</v>
      </c>
      <c r="N249" s="117">
        <f t="shared" si="32"/>
        <v>0</v>
      </c>
      <c r="O249" s="45">
        <f t="shared" si="25"/>
        <v>0</v>
      </c>
    </row>
    <row r="250" spans="1:15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95">
        <f t="shared" si="26"/>
        <v>57.8</v>
      </c>
      <c r="G250" s="738">
        <v>0</v>
      </c>
      <c r="H250" s="828">
        <v>0</v>
      </c>
      <c r="I250" s="72">
        <f t="shared" si="29"/>
        <v>0</v>
      </c>
      <c r="J250" s="37">
        <f t="shared" si="30"/>
        <v>0</v>
      </c>
      <c r="K250" s="96">
        <f t="shared" si="27"/>
        <v>0</v>
      </c>
      <c r="L250" s="342">
        <f t="shared" si="28"/>
        <v>0</v>
      </c>
      <c r="M250" s="37">
        <f t="shared" si="31"/>
        <v>0</v>
      </c>
      <c r="N250" s="117">
        <f t="shared" si="32"/>
        <v>0</v>
      </c>
      <c r="O250" s="45">
        <f t="shared" si="25"/>
        <v>0</v>
      </c>
    </row>
    <row r="251" spans="1:15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95">
        <f t="shared" si="26"/>
        <v>670.84999999999991</v>
      </c>
      <c r="G251" s="738">
        <v>120.6</v>
      </c>
      <c r="H251" s="828">
        <v>127</v>
      </c>
      <c r="I251" s="72">
        <f t="shared" si="29"/>
        <v>4.2333333333333334E-2</v>
      </c>
      <c r="J251" s="37">
        <f t="shared" si="30"/>
        <v>85.38675666666667</v>
      </c>
      <c r="K251" s="96">
        <f t="shared" si="27"/>
        <v>31.396710426333335</v>
      </c>
      <c r="L251" s="37">
        <v>32.984016666666669</v>
      </c>
      <c r="M251" s="37">
        <f t="shared" si="31"/>
        <v>3.9153253333333335</v>
      </c>
      <c r="N251" s="117">
        <f t="shared" si="32"/>
        <v>4.7727815813333336</v>
      </c>
      <c r="O251" s="45">
        <f t="shared" si="25"/>
        <v>0.22908669463069245</v>
      </c>
    </row>
    <row r="252" spans="1:15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95">
        <f t="shared" si="26"/>
        <v>648.9</v>
      </c>
      <c r="G252" s="738">
        <v>78</v>
      </c>
      <c r="H252" s="828">
        <v>145</v>
      </c>
      <c r="I252" s="72">
        <f t="shared" si="29"/>
        <v>4.8333333333333332E-2</v>
      </c>
      <c r="J252" s="37">
        <f t="shared" si="30"/>
        <v>97.488816666666665</v>
      </c>
      <c r="K252" s="96">
        <f t="shared" si="27"/>
        <v>35.846637888333333</v>
      </c>
      <c r="L252" s="37">
        <v>37.658916666666663</v>
      </c>
      <c r="M252" s="37">
        <f t="shared" si="31"/>
        <v>4.4702533333333339</v>
      </c>
      <c r="N252" s="117">
        <f t="shared" si="32"/>
        <v>5.4492388133333343</v>
      </c>
      <c r="O252" s="45">
        <f t="shared" si="25"/>
        <v>0.27040318162274624</v>
      </c>
    </row>
    <row r="253" spans="1:15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95">
        <f t="shared" si="26"/>
        <v>753.1</v>
      </c>
      <c r="G253" s="738">
        <v>135</v>
      </c>
      <c r="H253" s="828">
        <v>135</v>
      </c>
      <c r="I253" s="72">
        <f t="shared" si="29"/>
        <v>4.4999999999999998E-2</v>
      </c>
      <c r="J253" s="37">
        <f t="shared" si="30"/>
        <v>90.765450000000001</v>
      </c>
      <c r="K253" s="96">
        <f t="shared" si="27"/>
        <v>33.374455965000003</v>
      </c>
      <c r="L253" s="37">
        <v>35.061749999999996</v>
      </c>
      <c r="M253" s="37">
        <f t="shared" si="31"/>
        <v>4.1619600000000005</v>
      </c>
      <c r="N253" s="117">
        <f t="shared" si="32"/>
        <v>5.0734292400000012</v>
      </c>
      <c r="O253" s="45">
        <f t="shared" si="25"/>
        <v>0.21692154556499799</v>
      </c>
    </row>
    <row r="254" spans="1:15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95">
        <f t="shared" si="26"/>
        <v>276.60000000000002</v>
      </c>
      <c r="G254" s="738">
        <v>120</v>
      </c>
      <c r="H254" s="828">
        <v>150</v>
      </c>
      <c r="I254" s="72">
        <f t="shared" si="29"/>
        <v>0.05</v>
      </c>
      <c r="J254" s="37">
        <f t="shared" si="30"/>
        <v>100.85050000000001</v>
      </c>
      <c r="K254" s="96">
        <f t="shared" si="27"/>
        <v>37.082728850000009</v>
      </c>
      <c r="L254" s="37">
        <v>38.957500000000003</v>
      </c>
      <c r="M254" s="37">
        <f t="shared" si="31"/>
        <v>4.6244000000000005</v>
      </c>
      <c r="N254" s="117">
        <f t="shared" si="32"/>
        <v>5.6371436000000008</v>
      </c>
      <c r="O254" s="45">
        <f t="shared" si="25"/>
        <v>0.65623690835141013</v>
      </c>
    </row>
    <row r="255" spans="1:15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95">
        <f t="shared" si="26"/>
        <v>238.8</v>
      </c>
      <c r="G255" s="738">
        <v>106.2</v>
      </c>
      <c r="H255" s="828">
        <v>133</v>
      </c>
      <c r="I255" s="72">
        <f t="shared" si="29"/>
        <v>4.4333333333333336E-2</v>
      </c>
      <c r="J255" s="37">
        <f t="shared" si="30"/>
        <v>89.420776666666669</v>
      </c>
      <c r="K255" s="96">
        <f t="shared" si="27"/>
        <v>32.880019580333339</v>
      </c>
      <c r="L255" s="37">
        <v>34.542316666666665</v>
      </c>
      <c r="M255" s="37">
        <f t="shared" si="31"/>
        <v>4.1003013333333342</v>
      </c>
      <c r="N255" s="117">
        <f t="shared" si="32"/>
        <v>4.9982673253333347</v>
      </c>
      <c r="O255" s="45">
        <f t="shared" si="25"/>
        <v>0.6739673963442212</v>
      </c>
    </row>
    <row r="256" spans="1:15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95">
        <f t="shared" si="26"/>
        <v>754.13</v>
      </c>
      <c r="G256" s="738">
        <v>37.200000000000003</v>
      </c>
      <c r="H256" s="828">
        <v>35</v>
      </c>
      <c r="I256" s="72">
        <f t="shared" si="29"/>
        <v>1.1666666666666667E-2</v>
      </c>
      <c r="J256" s="37">
        <f t="shared" si="30"/>
        <v>23.531783333333333</v>
      </c>
      <c r="K256" s="96">
        <f t="shared" si="27"/>
        <v>8.6526367316666679</v>
      </c>
      <c r="L256" s="37">
        <v>9.0900833333333342</v>
      </c>
      <c r="M256" s="37">
        <f t="shared" si="31"/>
        <v>1.0790266666666668</v>
      </c>
      <c r="N256" s="117">
        <f t="shared" si="32"/>
        <v>1.3153335066666669</v>
      </c>
      <c r="O256" s="45">
        <f t="shared" si="25"/>
        <v>5.616210741516714E-2</v>
      </c>
    </row>
    <row r="257" spans="1:15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95">
        <f t="shared" si="26"/>
        <v>911.08</v>
      </c>
      <c r="G257" s="738">
        <v>42</v>
      </c>
      <c r="H257" s="828">
        <v>42</v>
      </c>
      <c r="I257" s="72">
        <f t="shared" si="29"/>
        <v>1.4E-2</v>
      </c>
      <c r="J257" s="37">
        <f t="shared" si="30"/>
        <v>28.238140000000001</v>
      </c>
      <c r="K257" s="96">
        <f t="shared" si="27"/>
        <v>10.383164078000002</v>
      </c>
      <c r="L257" s="37">
        <v>10.908099999999999</v>
      </c>
      <c r="M257" s="37">
        <f t="shared" si="31"/>
        <v>1.294832</v>
      </c>
      <c r="N257" s="117">
        <f t="shared" si="32"/>
        <v>1.5784002080000001</v>
      </c>
      <c r="O257" s="45">
        <f t="shared" si="25"/>
        <v>5.5784602974491809E-2</v>
      </c>
    </row>
    <row r="258" spans="1:15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95">
        <f t="shared" si="26"/>
        <v>707.90000000000009</v>
      </c>
      <c r="G258" s="738">
        <v>72.599999999999994</v>
      </c>
      <c r="H258" s="828">
        <v>73</v>
      </c>
      <c r="I258" s="72">
        <f t="shared" si="29"/>
        <v>2.4333333333333332E-2</v>
      </c>
      <c r="J258" s="37">
        <f t="shared" si="30"/>
        <v>49.080576666666666</v>
      </c>
      <c r="K258" s="96">
        <f t="shared" si="27"/>
        <v>18.046928040333334</v>
      </c>
      <c r="L258" s="37">
        <v>18.959316666666666</v>
      </c>
      <c r="M258" s="37">
        <f t="shared" si="31"/>
        <v>2.2505413333333335</v>
      </c>
      <c r="N258" s="117">
        <f t="shared" si="32"/>
        <v>2.7434098853333335</v>
      </c>
      <c r="O258" s="45">
        <f t="shared" si="25"/>
        <v>0.12478791172058198</v>
      </c>
    </row>
    <row r="259" spans="1:15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95">
        <f t="shared" si="26"/>
        <v>814.34</v>
      </c>
      <c r="G259" s="738">
        <v>99.6</v>
      </c>
      <c r="H259" s="828">
        <v>135</v>
      </c>
      <c r="I259" s="72">
        <f t="shared" si="29"/>
        <v>4.4999999999999998E-2</v>
      </c>
      <c r="J259" s="37">
        <f t="shared" si="30"/>
        <v>90.765450000000001</v>
      </c>
      <c r="K259" s="96">
        <f t="shared" si="27"/>
        <v>33.374455965000003</v>
      </c>
      <c r="L259" s="37">
        <v>35.061749999999996</v>
      </c>
      <c r="M259" s="37">
        <f t="shared" si="31"/>
        <v>4.1619600000000005</v>
      </c>
      <c r="N259" s="117">
        <f t="shared" si="32"/>
        <v>5.0734292400000012</v>
      </c>
      <c r="O259" s="45">
        <f t="shared" si="25"/>
        <v>0.20060861061104696</v>
      </c>
    </row>
    <row r="260" spans="1:15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95">
        <f t="shared" si="26"/>
        <v>562.29999999999995</v>
      </c>
      <c r="G260" s="738">
        <v>21</v>
      </c>
      <c r="H260" s="828">
        <v>21</v>
      </c>
      <c r="I260" s="72">
        <f t="shared" si="29"/>
        <v>7.0000000000000001E-3</v>
      </c>
      <c r="J260" s="37">
        <f t="shared" si="30"/>
        <v>14.119070000000001</v>
      </c>
      <c r="K260" s="96">
        <f t="shared" si="27"/>
        <v>5.1915820390000009</v>
      </c>
      <c r="L260" s="37">
        <v>5.4540499999999996</v>
      </c>
      <c r="M260" s="37">
        <f t="shared" si="31"/>
        <v>0.64741599999999999</v>
      </c>
      <c r="N260" s="117">
        <f t="shared" si="32"/>
        <v>0.78920010400000007</v>
      </c>
      <c r="O260" s="45">
        <f t="shared" si="25"/>
        <v>4.5193167417748537E-2</v>
      </c>
    </row>
    <row r="261" spans="1:15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95">
        <f t="shared" si="26"/>
        <v>410.5</v>
      </c>
      <c r="G261" s="738">
        <v>70</v>
      </c>
      <c r="H261" s="828">
        <v>42</v>
      </c>
      <c r="I261" s="72">
        <f t="shared" si="29"/>
        <v>1.4E-2</v>
      </c>
      <c r="J261" s="37">
        <f t="shared" si="30"/>
        <v>28.238140000000001</v>
      </c>
      <c r="K261" s="96">
        <f t="shared" si="27"/>
        <v>10.383164078000002</v>
      </c>
      <c r="L261" s="37">
        <v>10.908099999999999</v>
      </c>
      <c r="M261" s="37">
        <f t="shared" si="31"/>
        <v>1.294832</v>
      </c>
      <c r="N261" s="117">
        <f t="shared" si="32"/>
        <v>1.5784002080000001</v>
      </c>
      <c r="O261" s="45">
        <f t="shared" si="25"/>
        <v>0.12381056291839219</v>
      </c>
    </row>
    <row r="262" spans="1:15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95">
        <f t="shared" si="26"/>
        <v>523.27</v>
      </c>
      <c r="G262" s="738">
        <v>108</v>
      </c>
      <c r="H262" s="828">
        <v>108</v>
      </c>
      <c r="I262" s="72">
        <f t="shared" si="29"/>
        <v>3.5999999999999997E-2</v>
      </c>
      <c r="J262" s="37">
        <f t="shared" si="30"/>
        <v>72.612359999999995</v>
      </c>
      <c r="K262" s="96">
        <f t="shared" si="27"/>
        <v>26.699564771999999</v>
      </c>
      <c r="L262" s="37">
        <v>28.049399999999999</v>
      </c>
      <c r="M262" s="37">
        <f t="shared" si="31"/>
        <v>3.3295680000000001</v>
      </c>
      <c r="N262" s="117">
        <f t="shared" si="32"/>
        <v>4.0587433920000002</v>
      </c>
      <c r="O262" s="45">
        <f t="shared" si="25"/>
        <v>0.24975804607946181</v>
      </c>
    </row>
    <row r="263" spans="1:15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95">
        <f t="shared" si="26"/>
        <v>684.1</v>
      </c>
      <c r="G263" s="738">
        <v>54</v>
      </c>
      <c r="H263" s="828">
        <v>55</v>
      </c>
      <c r="I263" s="72">
        <f t="shared" si="29"/>
        <v>1.8333333333333333E-2</v>
      </c>
      <c r="J263" s="37">
        <f t="shared" si="30"/>
        <v>36.978516666666664</v>
      </c>
      <c r="K263" s="96">
        <f t="shared" si="27"/>
        <v>13.597000578333333</v>
      </c>
      <c r="L263" s="37">
        <v>14.284416666666667</v>
      </c>
      <c r="M263" s="37">
        <f t="shared" si="31"/>
        <v>1.6956133333333334</v>
      </c>
      <c r="N263" s="117">
        <f t="shared" si="32"/>
        <v>2.0669526533333338</v>
      </c>
      <c r="O263" s="45">
        <f t="shared" ref="O263:O326" si="33">(J263+K263+L263+M263)/F263</f>
        <v>9.7289208076304631E-2</v>
      </c>
    </row>
    <row r="264" spans="1:15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95">
        <f t="shared" si="26"/>
        <v>659.08</v>
      </c>
      <c r="G264" s="738">
        <v>46.2</v>
      </c>
      <c r="H264" s="828">
        <v>46.2</v>
      </c>
      <c r="I264" s="72">
        <f t="shared" si="29"/>
        <v>1.54E-2</v>
      </c>
      <c r="J264" s="37">
        <f t="shared" si="30"/>
        <v>31.061954</v>
      </c>
      <c r="K264" s="96">
        <f t="shared" si="27"/>
        <v>11.4214804858</v>
      </c>
      <c r="L264" s="37">
        <v>11.99891</v>
      </c>
      <c r="M264" s="37">
        <f t="shared" si="31"/>
        <v>1.4243152000000001</v>
      </c>
      <c r="N264" s="117">
        <f t="shared" si="32"/>
        <v>1.7362402288000003</v>
      </c>
      <c r="O264" s="45">
        <f t="shared" si="33"/>
        <v>8.4825301459306918E-2</v>
      </c>
    </row>
    <row r="265" spans="1:15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95">
        <f t="shared" si="26"/>
        <v>466.5</v>
      </c>
      <c r="G265" s="738">
        <v>46.2</v>
      </c>
      <c r="H265" s="828">
        <v>46</v>
      </c>
      <c r="I265" s="72">
        <f t="shared" si="29"/>
        <v>1.5333333333333332E-2</v>
      </c>
      <c r="J265" s="37">
        <f t="shared" si="30"/>
        <v>30.927486666666663</v>
      </c>
      <c r="K265" s="96">
        <f t="shared" si="27"/>
        <v>11.372036847333334</v>
      </c>
      <c r="L265" s="37">
        <v>11.946966666666667</v>
      </c>
      <c r="M265" s="37">
        <f t="shared" si="31"/>
        <v>1.4181493333333333</v>
      </c>
      <c r="N265" s="117">
        <f t="shared" si="32"/>
        <v>1.7287240373333335</v>
      </c>
      <c r="O265" s="45">
        <f t="shared" si="33"/>
        <v>0.11932398609646303</v>
      </c>
    </row>
    <row r="266" spans="1:15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95">
        <f t="shared" si="26"/>
        <v>412.04</v>
      </c>
      <c r="G266" s="738">
        <v>35.1</v>
      </c>
      <c r="H266" s="828">
        <v>70</v>
      </c>
      <c r="I266" s="72">
        <f t="shared" si="29"/>
        <v>2.3333333333333334E-2</v>
      </c>
      <c r="J266" s="37">
        <f t="shared" si="30"/>
        <v>47.063566666666667</v>
      </c>
      <c r="K266" s="96">
        <f t="shared" si="27"/>
        <v>17.305273463333336</v>
      </c>
      <c r="L266" s="37">
        <v>18.180166666666668</v>
      </c>
      <c r="M266" s="37">
        <f t="shared" si="31"/>
        <v>2.1580533333333336</v>
      </c>
      <c r="N266" s="117">
        <f t="shared" si="32"/>
        <v>2.6306670133333339</v>
      </c>
      <c r="O266" s="45">
        <f t="shared" si="33"/>
        <v>0.20557970131540623</v>
      </c>
    </row>
    <row r="267" spans="1:15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95">
        <f t="shared" si="26"/>
        <v>303.5</v>
      </c>
      <c r="G267" s="738">
        <v>19.8</v>
      </c>
      <c r="H267" s="828">
        <v>25</v>
      </c>
      <c r="I267" s="72">
        <f t="shared" si="29"/>
        <v>8.3333333333333332E-3</v>
      </c>
      <c r="J267" s="37">
        <f t="shared" si="30"/>
        <v>16.808416666666666</v>
      </c>
      <c r="K267" s="96">
        <f t="shared" si="27"/>
        <v>6.1804548083333337</v>
      </c>
      <c r="L267" s="37">
        <v>6.492916666666666</v>
      </c>
      <c r="M267" s="37">
        <f t="shared" si="31"/>
        <v>0.77073333333333338</v>
      </c>
      <c r="N267" s="117">
        <f t="shared" si="32"/>
        <v>0.93952393333333351</v>
      </c>
      <c r="O267" s="45">
        <f t="shared" si="33"/>
        <v>9.9678818698517288E-2</v>
      </c>
    </row>
    <row r="268" spans="1:15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95">
        <f t="shared" si="26"/>
        <v>654.13</v>
      </c>
      <c r="G268" s="738">
        <v>71.7</v>
      </c>
      <c r="H268" s="828">
        <v>112</v>
      </c>
      <c r="I268" s="72">
        <f t="shared" si="29"/>
        <v>3.7333333333333336E-2</v>
      </c>
      <c r="J268" s="37">
        <f t="shared" si="30"/>
        <v>75.301706666666675</v>
      </c>
      <c r="K268" s="96">
        <f t="shared" si="27"/>
        <v>27.688437541333339</v>
      </c>
      <c r="L268" s="37">
        <v>29.088266666666669</v>
      </c>
      <c r="M268" s="37">
        <f t="shared" si="31"/>
        <v>3.4528853333333336</v>
      </c>
      <c r="N268" s="117">
        <f t="shared" si="32"/>
        <v>4.209067221333334</v>
      </c>
      <c r="O268" s="45">
        <f t="shared" si="33"/>
        <v>0.20719321267637938</v>
      </c>
    </row>
    <row r="269" spans="1:15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95">
        <f t="shared" si="26"/>
        <v>642.62</v>
      </c>
      <c r="G269" s="738">
        <v>60</v>
      </c>
      <c r="H269" s="828">
        <v>120</v>
      </c>
      <c r="I269" s="72">
        <f t="shared" si="29"/>
        <v>0.04</v>
      </c>
      <c r="J269" s="37">
        <f t="shared" si="30"/>
        <v>80.680400000000006</v>
      </c>
      <c r="K269" s="96">
        <f t="shared" si="27"/>
        <v>29.666183080000003</v>
      </c>
      <c r="L269" s="37">
        <v>31.166</v>
      </c>
      <c r="M269" s="37">
        <f t="shared" si="31"/>
        <v>3.6995200000000001</v>
      </c>
      <c r="N269" s="117">
        <f t="shared" si="32"/>
        <v>4.5097148800000006</v>
      </c>
      <c r="O269" s="45">
        <f t="shared" si="33"/>
        <v>0.22596885107839784</v>
      </c>
    </row>
    <row r="270" spans="1:15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95">
        <f t="shared" si="26"/>
        <v>278.7</v>
      </c>
      <c r="G270" s="738">
        <v>108.9</v>
      </c>
      <c r="H270" s="828">
        <v>217</v>
      </c>
      <c r="I270" s="72">
        <f t="shared" si="29"/>
        <v>7.2333333333333333E-2</v>
      </c>
      <c r="J270" s="37">
        <f t="shared" si="30"/>
        <v>145.89705666666666</v>
      </c>
      <c r="K270" s="96">
        <f t="shared" si="27"/>
        <v>53.646347736333333</v>
      </c>
      <c r="L270" s="37">
        <v>56.358516666666667</v>
      </c>
      <c r="M270" s="37">
        <f t="shared" si="31"/>
        <v>6.6899653333333342</v>
      </c>
      <c r="N270" s="117">
        <f t="shared" si="32"/>
        <v>8.155067741333335</v>
      </c>
      <c r="O270" s="45">
        <f t="shared" si="33"/>
        <v>0.94220267815931114</v>
      </c>
    </row>
    <row r="271" spans="1:15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95">
        <f t="shared" ref="F271:F334" si="34">C271+D271+E271</f>
        <v>3583.55</v>
      </c>
      <c r="G271" s="738">
        <v>513.6</v>
      </c>
      <c r="H271" s="828">
        <v>400</v>
      </c>
      <c r="I271" s="72">
        <f t="shared" si="29"/>
        <v>0.13333333333333333</v>
      </c>
      <c r="J271" s="37">
        <f t="shared" si="30"/>
        <v>268.93466666666666</v>
      </c>
      <c r="K271" s="96">
        <f t="shared" ref="K271:K334" si="35">J271*0.3677</f>
        <v>98.887276933333339</v>
      </c>
      <c r="L271" s="37">
        <v>103.88666666666666</v>
      </c>
      <c r="M271" s="37">
        <f t="shared" si="31"/>
        <v>12.331733333333334</v>
      </c>
      <c r="N271" s="117">
        <f t="shared" si="32"/>
        <v>15.032382933333336</v>
      </c>
      <c r="O271" s="45">
        <f t="shared" si="33"/>
        <v>0.13507285892480919</v>
      </c>
    </row>
    <row r="272" spans="1:15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95">
        <f t="shared" si="34"/>
        <v>513.5</v>
      </c>
      <c r="G272" s="738">
        <v>83.4</v>
      </c>
      <c r="H272" s="828">
        <v>83</v>
      </c>
      <c r="I272" s="72">
        <f t="shared" si="29"/>
        <v>2.7666666666666666E-2</v>
      </c>
      <c r="J272" s="37">
        <f t="shared" si="30"/>
        <v>55.803943333333329</v>
      </c>
      <c r="K272" s="96">
        <f t="shared" si="35"/>
        <v>20.519109963666665</v>
      </c>
      <c r="L272" s="37">
        <v>21.556483333333333</v>
      </c>
      <c r="M272" s="37">
        <f t="shared" si="31"/>
        <v>2.5588346666666664</v>
      </c>
      <c r="N272" s="117">
        <f t="shared" si="32"/>
        <v>3.1192194586666666</v>
      </c>
      <c r="O272" s="45">
        <f t="shared" si="33"/>
        <v>0.19559565977994159</v>
      </c>
    </row>
    <row r="273" spans="1:15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95">
        <f t="shared" si="34"/>
        <v>420.4</v>
      </c>
      <c r="G273" s="738">
        <v>71.400000000000006</v>
      </c>
      <c r="H273" s="828">
        <v>71.400000000000006</v>
      </c>
      <c r="I273" s="72">
        <f t="shared" si="29"/>
        <v>2.3800000000000002E-2</v>
      </c>
      <c r="J273" s="37">
        <f t="shared" si="30"/>
        <v>48.004838000000007</v>
      </c>
      <c r="K273" s="96">
        <f t="shared" si="35"/>
        <v>17.651378932600004</v>
      </c>
      <c r="L273" s="37">
        <v>18.543770000000002</v>
      </c>
      <c r="M273" s="37">
        <f t="shared" si="31"/>
        <v>2.2012144000000005</v>
      </c>
      <c r="N273" s="117">
        <f t="shared" si="32"/>
        <v>2.6832803536000007</v>
      </c>
      <c r="O273" s="45">
        <f t="shared" si="33"/>
        <v>0.20552141135252144</v>
      </c>
    </row>
    <row r="274" spans="1:15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95">
        <f t="shared" si="34"/>
        <v>344.2</v>
      </c>
      <c r="G274" s="738">
        <v>54</v>
      </c>
      <c r="H274" s="828">
        <v>54</v>
      </c>
      <c r="I274" s="72">
        <f t="shared" si="29"/>
        <v>1.7999999999999999E-2</v>
      </c>
      <c r="J274" s="37">
        <f t="shared" si="30"/>
        <v>36.306179999999998</v>
      </c>
      <c r="K274" s="96">
        <f t="shared" si="35"/>
        <v>13.349782385999999</v>
      </c>
      <c r="L274" s="37">
        <v>14.024699999999999</v>
      </c>
      <c r="M274" s="37">
        <f t="shared" si="31"/>
        <v>1.664784</v>
      </c>
      <c r="N274" s="117">
        <f t="shared" si="32"/>
        <v>2.0293716960000001</v>
      </c>
      <c r="O274" s="45">
        <f t="shared" si="33"/>
        <v>0.18984731663567692</v>
      </c>
    </row>
    <row r="275" spans="1:15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95">
        <f t="shared" si="34"/>
        <v>349.5</v>
      </c>
      <c r="G275" s="738">
        <v>63.6</v>
      </c>
      <c r="H275" s="828">
        <v>109</v>
      </c>
      <c r="I275" s="72">
        <f t="shared" si="29"/>
        <v>3.6333333333333336E-2</v>
      </c>
      <c r="J275" s="37">
        <f t="shared" si="30"/>
        <v>73.284696666666676</v>
      </c>
      <c r="K275" s="96">
        <f t="shared" si="35"/>
        <v>26.946782964333337</v>
      </c>
      <c r="L275" s="37">
        <v>28.309116666666668</v>
      </c>
      <c r="M275" s="37">
        <f t="shared" si="31"/>
        <v>3.3603973333333337</v>
      </c>
      <c r="N275" s="117">
        <f t="shared" si="32"/>
        <v>4.0963243493333339</v>
      </c>
      <c r="O275" s="45">
        <f t="shared" si="33"/>
        <v>0.37739912340772541</v>
      </c>
    </row>
    <row r="276" spans="1:15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95">
        <f t="shared" si="34"/>
        <v>437.7</v>
      </c>
      <c r="G276" s="738">
        <v>72</v>
      </c>
      <c r="H276" s="828">
        <v>32</v>
      </c>
      <c r="I276" s="72">
        <f t="shared" si="29"/>
        <v>1.0666666666666666E-2</v>
      </c>
      <c r="J276" s="37">
        <f t="shared" si="30"/>
        <v>21.514773333333334</v>
      </c>
      <c r="K276" s="96">
        <f t="shared" si="35"/>
        <v>7.9109821546666677</v>
      </c>
      <c r="L276" s="37">
        <v>8.3109333333333328</v>
      </c>
      <c r="M276" s="37">
        <f t="shared" si="31"/>
        <v>0.98653866666666667</v>
      </c>
      <c r="N276" s="117">
        <f t="shared" si="32"/>
        <v>1.2025906346666668</v>
      </c>
      <c r="O276" s="45">
        <f t="shared" si="33"/>
        <v>8.8469790925291295E-2</v>
      </c>
    </row>
    <row r="277" spans="1:15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95">
        <f t="shared" si="34"/>
        <v>555.74</v>
      </c>
      <c r="G277" s="738">
        <v>69.599999999999994</v>
      </c>
      <c r="H277" s="828">
        <v>70</v>
      </c>
      <c r="I277" s="72">
        <f t="shared" si="29"/>
        <v>2.3333333333333334E-2</v>
      </c>
      <c r="J277" s="37">
        <f t="shared" si="30"/>
        <v>47.063566666666667</v>
      </c>
      <c r="K277" s="96">
        <f t="shared" si="35"/>
        <v>17.305273463333336</v>
      </c>
      <c r="L277" s="37">
        <v>18.180166666666668</v>
      </c>
      <c r="M277" s="37">
        <f t="shared" si="31"/>
        <v>2.1580533333333336</v>
      </c>
      <c r="N277" s="117">
        <f t="shared" si="32"/>
        <v>2.6306670133333339</v>
      </c>
      <c r="O277" s="45">
        <f t="shared" si="33"/>
        <v>0.1524221040954403</v>
      </c>
    </row>
    <row r="278" spans="1:15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95">
        <f t="shared" si="34"/>
        <v>396.6</v>
      </c>
      <c r="G278" s="738">
        <v>99.6</v>
      </c>
      <c r="H278" s="828">
        <v>90</v>
      </c>
      <c r="I278" s="72">
        <f t="shared" si="29"/>
        <v>0.03</v>
      </c>
      <c r="J278" s="37">
        <f t="shared" si="30"/>
        <v>60.510300000000001</v>
      </c>
      <c r="K278" s="96">
        <f t="shared" si="35"/>
        <v>22.249637310000001</v>
      </c>
      <c r="L278" s="37">
        <v>23.374499999999998</v>
      </c>
      <c r="M278" s="37">
        <f t="shared" si="31"/>
        <v>2.7746399999999998</v>
      </c>
      <c r="N278" s="117">
        <f t="shared" si="32"/>
        <v>3.38228616</v>
      </c>
      <c r="O278" s="45">
        <f t="shared" si="33"/>
        <v>0.2746068515128593</v>
      </c>
    </row>
    <row r="279" spans="1:15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95">
        <f t="shared" si="34"/>
        <v>1778.9</v>
      </c>
      <c r="G279" s="738">
        <v>142.19999999999999</v>
      </c>
      <c r="H279" s="828">
        <v>284</v>
      </c>
      <c r="I279" s="72">
        <f t="shared" si="29"/>
        <v>9.4666666666666663E-2</v>
      </c>
      <c r="J279" s="37">
        <f t="shared" si="30"/>
        <v>190.94361333333333</v>
      </c>
      <c r="K279" s="96">
        <f t="shared" si="35"/>
        <v>70.20996662266667</v>
      </c>
      <c r="L279" s="37">
        <v>73.759533333333323</v>
      </c>
      <c r="M279" s="37">
        <f t="shared" si="31"/>
        <v>8.755530666666667</v>
      </c>
      <c r="N279" s="117">
        <f t="shared" si="32"/>
        <v>10.672991882666668</v>
      </c>
      <c r="O279" s="45">
        <f t="shared" si="33"/>
        <v>0.19319165998988136</v>
      </c>
    </row>
    <row r="280" spans="1:15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95">
        <f t="shared" si="34"/>
        <v>731.78</v>
      </c>
      <c r="G280" s="738">
        <v>412.8</v>
      </c>
      <c r="H280" s="828">
        <v>413</v>
      </c>
      <c r="I280" s="72">
        <f t="shared" si="29"/>
        <v>0.13766666666666666</v>
      </c>
      <c r="J280" s="37">
        <f t="shared" si="30"/>
        <v>277.67504333333329</v>
      </c>
      <c r="K280" s="96">
        <f t="shared" si="35"/>
        <v>102.10111343366665</v>
      </c>
      <c r="L280" s="37">
        <v>107.26298333333332</v>
      </c>
      <c r="M280" s="37">
        <f t="shared" si="31"/>
        <v>12.732514666666667</v>
      </c>
      <c r="N280" s="117">
        <f t="shared" si="32"/>
        <v>15.520935378666668</v>
      </c>
      <c r="O280" s="45">
        <f t="shared" si="33"/>
        <v>0.68295342147503335</v>
      </c>
    </row>
    <row r="281" spans="1:15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95">
        <f t="shared" si="34"/>
        <v>185.4</v>
      </c>
      <c r="G281" s="738">
        <v>24</v>
      </c>
      <c r="H281" s="828">
        <v>48</v>
      </c>
      <c r="I281" s="72">
        <f t="shared" si="29"/>
        <v>1.6E-2</v>
      </c>
      <c r="J281" s="37">
        <f t="shared" si="30"/>
        <v>32.27216</v>
      </c>
      <c r="K281" s="96">
        <f t="shared" si="35"/>
        <v>11.866473232000001</v>
      </c>
      <c r="L281" s="37">
        <v>12.4664</v>
      </c>
      <c r="M281" s="37">
        <f t="shared" si="31"/>
        <v>1.4798080000000002</v>
      </c>
      <c r="N281" s="117">
        <f t="shared" si="32"/>
        <v>1.8038859520000003</v>
      </c>
      <c r="O281" s="45">
        <f t="shared" si="33"/>
        <v>0.31329472077669901</v>
      </c>
    </row>
    <row r="282" spans="1:15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95">
        <f t="shared" si="34"/>
        <v>478.6</v>
      </c>
      <c r="G282" s="738">
        <v>44.1</v>
      </c>
      <c r="H282" s="828">
        <v>70</v>
      </c>
      <c r="I282" s="72">
        <f t="shared" si="29"/>
        <v>2.3333333333333334E-2</v>
      </c>
      <c r="J282" s="37">
        <f t="shared" si="30"/>
        <v>47.063566666666667</v>
      </c>
      <c r="K282" s="96">
        <f t="shared" si="35"/>
        <v>17.305273463333336</v>
      </c>
      <c r="L282" s="37">
        <v>18.180166666666668</v>
      </c>
      <c r="M282" s="37">
        <f t="shared" si="31"/>
        <v>2.1580533333333336</v>
      </c>
      <c r="N282" s="117">
        <f t="shared" si="32"/>
        <v>2.6306670133333339</v>
      </c>
      <c r="O282" s="45">
        <f t="shared" si="33"/>
        <v>0.17698926061429165</v>
      </c>
    </row>
    <row r="283" spans="1:15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95">
        <f t="shared" si="34"/>
        <v>496.38</v>
      </c>
      <c r="G283" s="738">
        <v>69.599999999999994</v>
      </c>
      <c r="H283" s="828">
        <v>70</v>
      </c>
      <c r="I283" s="72">
        <f t="shared" si="29"/>
        <v>2.3333333333333334E-2</v>
      </c>
      <c r="J283" s="37">
        <f t="shared" si="30"/>
        <v>47.063566666666667</v>
      </c>
      <c r="K283" s="96">
        <f t="shared" si="35"/>
        <v>17.305273463333336</v>
      </c>
      <c r="L283" s="37">
        <v>18.180166666666668</v>
      </c>
      <c r="M283" s="37">
        <f t="shared" si="31"/>
        <v>2.1580533333333336</v>
      </c>
      <c r="N283" s="117">
        <f t="shared" si="32"/>
        <v>2.6306670133333339</v>
      </c>
      <c r="O283" s="45">
        <f t="shared" si="33"/>
        <v>0.17064962353438895</v>
      </c>
    </row>
    <row r="284" spans="1:15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95">
        <f t="shared" si="34"/>
        <v>260.8</v>
      </c>
      <c r="G284" s="738">
        <v>32.4</v>
      </c>
      <c r="H284" s="828">
        <v>32</v>
      </c>
      <c r="I284" s="72">
        <f t="shared" ref="I284:I347" si="36">H284/3000</f>
        <v>1.0666666666666666E-2</v>
      </c>
      <c r="J284" s="37">
        <f t="shared" si="30"/>
        <v>21.514773333333334</v>
      </c>
      <c r="K284" s="96">
        <f t="shared" si="35"/>
        <v>7.9109821546666677</v>
      </c>
      <c r="L284" s="37">
        <v>8.3109333333333328</v>
      </c>
      <c r="M284" s="37">
        <f t="shared" ref="M284:M347" si="37">I284*84.08*1.1</f>
        <v>0.98653866666666667</v>
      </c>
      <c r="N284" s="117">
        <f t="shared" si="32"/>
        <v>1.2025906346666668</v>
      </c>
      <c r="O284" s="45">
        <f t="shared" si="33"/>
        <v>0.14847863300613495</v>
      </c>
    </row>
    <row r="285" spans="1:15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95">
        <f t="shared" si="34"/>
        <v>282.8</v>
      </c>
      <c r="G285" s="738">
        <v>96</v>
      </c>
      <c r="H285" s="828">
        <v>96</v>
      </c>
      <c r="I285" s="72">
        <f t="shared" si="36"/>
        <v>3.2000000000000001E-2</v>
      </c>
      <c r="J285" s="37">
        <f t="shared" ref="J285:J348" si="38">I285*2017.01</f>
        <v>64.544319999999999</v>
      </c>
      <c r="K285" s="96">
        <f t="shared" si="35"/>
        <v>23.732946464000001</v>
      </c>
      <c r="L285" s="37">
        <v>24.9328</v>
      </c>
      <c r="M285" s="37">
        <f t="shared" si="37"/>
        <v>2.9596160000000005</v>
      </c>
      <c r="N285" s="117">
        <f t="shared" ref="N285:N348" si="39">M285*1.219</f>
        <v>3.6077719040000007</v>
      </c>
      <c r="O285" s="45">
        <f t="shared" si="33"/>
        <v>0.41078388424328149</v>
      </c>
    </row>
    <row r="286" spans="1:15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95">
        <f t="shared" si="34"/>
        <v>227.3</v>
      </c>
      <c r="G286" s="738">
        <v>108</v>
      </c>
      <c r="H286" s="828">
        <v>108</v>
      </c>
      <c r="I286" s="72">
        <f t="shared" si="36"/>
        <v>3.5999999999999997E-2</v>
      </c>
      <c r="J286" s="37">
        <f t="shared" si="38"/>
        <v>72.612359999999995</v>
      </c>
      <c r="K286" s="96">
        <f t="shared" si="35"/>
        <v>26.699564771999999</v>
      </c>
      <c r="L286" s="37">
        <v>28.049399999999999</v>
      </c>
      <c r="M286" s="37">
        <f t="shared" si="37"/>
        <v>3.3295680000000001</v>
      </c>
      <c r="N286" s="117">
        <f t="shared" si="39"/>
        <v>4.0587433920000002</v>
      </c>
      <c r="O286" s="45">
        <f t="shared" si="33"/>
        <v>0.57497093168499769</v>
      </c>
    </row>
    <row r="287" spans="1:15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95">
        <f t="shared" si="34"/>
        <v>7849.73</v>
      </c>
      <c r="G287" s="738">
        <v>1049.4000000000001</v>
      </c>
      <c r="H287" s="828">
        <v>1567</v>
      </c>
      <c r="I287" s="72">
        <f t="shared" si="36"/>
        <v>0.52233333333333332</v>
      </c>
      <c r="J287" s="37">
        <f t="shared" si="38"/>
        <v>1053.5515566666666</v>
      </c>
      <c r="K287" s="96">
        <f t="shared" si="35"/>
        <v>387.39090738633331</v>
      </c>
      <c r="L287" s="37">
        <v>406.97601666666662</v>
      </c>
      <c r="M287" s="37">
        <f t="shared" si="37"/>
        <v>48.309565333333332</v>
      </c>
      <c r="N287" s="117">
        <f t="shared" si="39"/>
        <v>58.889360141333334</v>
      </c>
      <c r="O287" s="45">
        <f t="shared" si="33"/>
        <v>0.24156602151322401</v>
      </c>
    </row>
    <row r="288" spans="1:15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95">
        <f t="shared" si="34"/>
        <v>454.20000000000005</v>
      </c>
      <c r="G288" s="738">
        <v>47.4</v>
      </c>
      <c r="H288" s="828">
        <v>95</v>
      </c>
      <c r="I288" s="72">
        <f t="shared" si="36"/>
        <v>3.1666666666666669E-2</v>
      </c>
      <c r="J288" s="37">
        <f t="shared" si="38"/>
        <v>63.87198333333334</v>
      </c>
      <c r="K288" s="96">
        <f t="shared" si="35"/>
        <v>23.48572827166667</v>
      </c>
      <c r="L288" s="37">
        <v>24.673083333333334</v>
      </c>
      <c r="M288" s="37">
        <f t="shared" si="37"/>
        <v>2.9287866666666673</v>
      </c>
      <c r="N288" s="117">
        <f t="shared" si="39"/>
        <v>3.5701909466666679</v>
      </c>
      <c r="O288" s="45">
        <f t="shared" si="33"/>
        <v>0.25310343814398945</v>
      </c>
    </row>
    <row r="289" spans="1:15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95">
        <f t="shared" si="34"/>
        <v>493.90000000000003</v>
      </c>
      <c r="G289" s="738">
        <v>131</v>
      </c>
      <c r="H289" s="828">
        <v>80</v>
      </c>
      <c r="I289" s="72">
        <f t="shared" si="36"/>
        <v>2.6666666666666668E-2</v>
      </c>
      <c r="J289" s="37">
        <f t="shared" si="38"/>
        <v>53.786933333333337</v>
      </c>
      <c r="K289" s="96">
        <f t="shared" si="35"/>
        <v>19.77745538666667</v>
      </c>
      <c r="L289" s="37">
        <v>20.777333333333335</v>
      </c>
      <c r="M289" s="37">
        <f t="shared" si="37"/>
        <v>2.4663466666666669</v>
      </c>
      <c r="N289" s="117">
        <f t="shared" si="39"/>
        <v>3.006476586666667</v>
      </c>
      <c r="O289" s="45">
        <f t="shared" si="33"/>
        <v>0.19600742806236079</v>
      </c>
    </row>
    <row r="290" spans="1:15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95">
        <f t="shared" si="34"/>
        <v>698.82</v>
      </c>
      <c r="G290" s="738">
        <v>33.6</v>
      </c>
      <c r="H290" s="828">
        <v>34</v>
      </c>
      <c r="I290" s="72">
        <f t="shared" si="36"/>
        <v>1.1333333333333334E-2</v>
      </c>
      <c r="J290" s="37">
        <f t="shared" si="38"/>
        <v>22.859446666666667</v>
      </c>
      <c r="K290" s="96">
        <f t="shared" si="35"/>
        <v>8.4054185393333345</v>
      </c>
      <c r="L290" s="37">
        <v>8.8303666666666665</v>
      </c>
      <c r="M290" s="37">
        <f t="shared" si="37"/>
        <v>1.0481973333333334</v>
      </c>
      <c r="N290" s="117">
        <f t="shared" si="39"/>
        <v>1.2777525493333335</v>
      </c>
      <c r="O290" s="45">
        <f t="shared" si="33"/>
        <v>5.8875574834721396E-2</v>
      </c>
    </row>
    <row r="291" spans="1:15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95">
        <f t="shared" si="34"/>
        <v>559.52</v>
      </c>
      <c r="G291" s="738">
        <v>35.4</v>
      </c>
      <c r="H291" s="828">
        <v>35.4</v>
      </c>
      <c r="I291" s="72">
        <f t="shared" si="36"/>
        <v>1.18E-2</v>
      </c>
      <c r="J291" s="37">
        <f t="shared" si="38"/>
        <v>23.800718</v>
      </c>
      <c r="K291" s="96">
        <f t="shared" si="35"/>
        <v>8.7515240086000006</v>
      </c>
      <c r="L291" s="37">
        <v>9.1939700000000002</v>
      </c>
      <c r="M291" s="37">
        <f t="shared" si="37"/>
        <v>1.0913584000000001</v>
      </c>
      <c r="N291" s="117">
        <f t="shared" si="39"/>
        <v>1.3303658896000001</v>
      </c>
      <c r="O291" s="45">
        <f t="shared" si="33"/>
        <v>7.6561285402845305E-2</v>
      </c>
    </row>
    <row r="292" spans="1:15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95">
        <f t="shared" si="34"/>
        <v>958</v>
      </c>
      <c r="G292" s="738">
        <v>57.9</v>
      </c>
      <c r="H292" s="828">
        <v>116</v>
      </c>
      <c r="I292" s="72">
        <f t="shared" si="36"/>
        <v>3.8666666666666669E-2</v>
      </c>
      <c r="J292" s="37">
        <f t="shared" si="38"/>
        <v>77.99105333333334</v>
      </c>
      <c r="K292" s="96">
        <f t="shared" si="35"/>
        <v>28.677310310666673</v>
      </c>
      <c r="L292" s="37">
        <v>30.127133333333333</v>
      </c>
      <c r="M292" s="37">
        <f t="shared" si="37"/>
        <v>3.5762026666666671</v>
      </c>
      <c r="N292" s="117">
        <f t="shared" si="39"/>
        <v>4.3593910506666678</v>
      </c>
      <c r="O292" s="45">
        <f t="shared" si="33"/>
        <v>0.1465257825093946</v>
      </c>
    </row>
    <row r="293" spans="1:15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95">
        <f t="shared" si="34"/>
        <v>700</v>
      </c>
      <c r="G293" s="738">
        <v>78</v>
      </c>
      <c r="H293" s="828">
        <v>107</v>
      </c>
      <c r="I293" s="72">
        <f t="shared" si="36"/>
        <v>3.5666666666666666E-2</v>
      </c>
      <c r="J293" s="37">
        <f t="shared" si="38"/>
        <v>71.940023333333329</v>
      </c>
      <c r="K293" s="96">
        <f t="shared" si="35"/>
        <v>26.452346579666667</v>
      </c>
      <c r="L293" s="37">
        <v>27.789683333333333</v>
      </c>
      <c r="M293" s="37">
        <f t="shared" si="37"/>
        <v>3.2987386666666669</v>
      </c>
      <c r="N293" s="117">
        <f t="shared" si="39"/>
        <v>4.0211624346666675</v>
      </c>
      <c r="O293" s="45">
        <f t="shared" si="33"/>
        <v>0.18497255987571426</v>
      </c>
    </row>
    <row r="294" spans="1:15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95">
        <f t="shared" si="34"/>
        <v>209.86</v>
      </c>
      <c r="G294" s="738">
        <v>73.2</v>
      </c>
      <c r="H294" s="828">
        <v>102</v>
      </c>
      <c r="I294" s="72">
        <f t="shared" si="36"/>
        <v>3.4000000000000002E-2</v>
      </c>
      <c r="J294" s="37">
        <f t="shared" si="38"/>
        <v>68.578340000000011</v>
      </c>
      <c r="K294" s="96">
        <f t="shared" si="35"/>
        <v>25.216255618000005</v>
      </c>
      <c r="L294" s="37">
        <v>26.491099999999999</v>
      </c>
      <c r="M294" s="37">
        <f t="shared" si="37"/>
        <v>3.1445920000000003</v>
      </c>
      <c r="N294" s="117">
        <f t="shared" si="39"/>
        <v>3.8332576480000005</v>
      </c>
      <c r="O294" s="45">
        <f t="shared" si="33"/>
        <v>0.58815537795673312</v>
      </c>
    </row>
    <row r="295" spans="1:15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95">
        <f t="shared" si="34"/>
        <v>577.53</v>
      </c>
      <c r="G295" s="738">
        <v>117.6</v>
      </c>
      <c r="H295" s="828">
        <v>205</v>
      </c>
      <c r="I295" s="72">
        <f t="shared" si="36"/>
        <v>6.8333333333333329E-2</v>
      </c>
      <c r="J295" s="37">
        <f t="shared" si="38"/>
        <v>137.82901666666666</v>
      </c>
      <c r="K295" s="96">
        <f t="shared" si="35"/>
        <v>50.679729428333331</v>
      </c>
      <c r="L295" s="37">
        <v>53.241916666666661</v>
      </c>
      <c r="M295" s="37">
        <f t="shared" si="37"/>
        <v>6.3200133333333337</v>
      </c>
      <c r="N295" s="117">
        <f t="shared" si="39"/>
        <v>7.7040962533333346</v>
      </c>
      <c r="O295" s="45">
        <f t="shared" si="33"/>
        <v>0.42953729865980989</v>
      </c>
    </row>
    <row r="296" spans="1:15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95">
        <f t="shared" si="34"/>
        <v>265.16000000000003</v>
      </c>
      <c r="G296" s="738">
        <v>21.6</v>
      </c>
      <c r="H296" s="828">
        <v>63</v>
      </c>
      <c r="I296" s="72">
        <f t="shared" si="36"/>
        <v>2.1000000000000001E-2</v>
      </c>
      <c r="J296" s="37">
        <f t="shared" si="38"/>
        <v>42.357210000000002</v>
      </c>
      <c r="K296" s="96">
        <f t="shared" si="35"/>
        <v>15.574746117000002</v>
      </c>
      <c r="L296" s="37">
        <v>16.36215</v>
      </c>
      <c r="M296" s="37">
        <f t="shared" si="37"/>
        <v>1.9422480000000004</v>
      </c>
      <c r="N296" s="117">
        <f t="shared" si="39"/>
        <v>2.3676003120000009</v>
      </c>
      <c r="O296" s="45">
        <f t="shared" si="33"/>
        <v>0.2875107637539599</v>
      </c>
    </row>
    <row r="297" spans="1:15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95">
        <f t="shared" si="34"/>
        <v>134.88</v>
      </c>
      <c r="G297" s="738">
        <v>58.8</v>
      </c>
      <c r="H297" s="828">
        <v>75</v>
      </c>
      <c r="I297" s="72">
        <f t="shared" si="36"/>
        <v>2.5000000000000001E-2</v>
      </c>
      <c r="J297" s="37">
        <f t="shared" si="38"/>
        <v>50.425250000000005</v>
      </c>
      <c r="K297" s="96">
        <f t="shared" si="35"/>
        <v>18.541364425000005</v>
      </c>
      <c r="L297" s="37">
        <v>19.478750000000002</v>
      </c>
      <c r="M297" s="37">
        <f t="shared" si="37"/>
        <v>2.3122000000000003</v>
      </c>
      <c r="N297" s="117">
        <f t="shared" si="39"/>
        <v>2.8185718000000004</v>
      </c>
      <c r="O297" s="45">
        <f t="shared" si="33"/>
        <v>0.67287636732651268</v>
      </c>
    </row>
    <row r="298" spans="1:15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95">
        <f t="shared" si="34"/>
        <v>427.34000000000003</v>
      </c>
      <c r="G298" s="738">
        <v>27.6</v>
      </c>
      <c r="H298" s="828">
        <v>28</v>
      </c>
      <c r="I298" s="72">
        <f t="shared" si="36"/>
        <v>9.3333333333333341E-3</v>
      </c>
      <c r="J298" s="37">
        <f t="shared" si="38"/>
        <v>18.825426666666669</v>
      </c>
      <c r="K298" s="96">
        <f t="shared" si="35"/>
        <v>6.9221093853333349</v>
      </c>
      <c r="L298" s="37">
        <v>7.2720666666666673</v>
      </c>
      <c r="M298" s="37">
        <f t="shared" si="37"/>
        <v>0.8632213333333334</v>
      </c>
      <c r="N298" s="117">
        <f t="shared" si="39"/>
        <v>1.0522668053333335</v>
      </c>
      <c r="O298" s="45">
        <f t="shared" si="33"/>
        <v>7.9287742902606845E-2</v>
      </c>
    </row>
    <row r="299" spans="1:15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95">
        <f t="shared" si="34"/>
        <v>603</v>
      </c>
      <c r="G299" s="738">
        <v>53.7</v>
      </c>
      <c r="H299" s="828">
        <v>107</v>
      </c>
      <c r="I299" s="72">
        <f t="shared" si="36"/>
        <v>3.5666666666666666E-2</v>
      </c>
      <c r="J299" s="37">
        <f t="shared" si="38"/>
        <v>71.940023333333329</v>
      </c>
      <c r="K299" s="96">
        <f t="shared" si="35"/>
        <v>26.452346579666667</v>
      </c>
      <c r="L299" s="37">
        <v>27.789683333333333</v>
      </c>
      <c r="M299" s="37">
        <f t="shared" si="37"/>
        <v>3.2987386666666669</v>
      </c>
      <c r="N299" s="117">
        <f t="shared" si="39"/>
        <v>4.0211624346666675</v>
      </c>
      <c r="O299" s="45">
        <f t="shared" si="33"/>
        <v>0.21472768144776117</v>
      </c>
    </row>
    <row r="300" spans="1:15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95">
        <f t="shared" si="34"/>
        <v>375.70000000000005</v>
      </c>
      <c r="G300" s="738">
        <v>108.6</v>
      </c>
      <c r="H300" s="828">
        <v>109</v>
      </c>
      <c r="I300" s="72">
        <f t="shared" si="36"/>
        <v>3.6333333333333336E-2</v>
      </c>
      <c r="J300" s="37">
        <f t="shared" si="38"/>
        <v>73.284696666666676</v>
      </c>
      <c r="K300" s="96">
        <f t="shared" si="35"/>
        <v>26.946782964333337</v>
      </c>
      <c r="L300" s="37">
        <v>28.309116666666668</v>
      </c>
      <c r="M300" s="37">
        <f t="shared" si="37"/>
        <v>3.3603973333333337</v>
      </c>
      <c r="N300" s="117">
        <f t="shared" si="39"/>
        <v>4.0963243493333339</v>
      </c>
      <c r="O300" s="45">
        <f t="shared" si="33"/>
        <v>0.35108063250199634</v>
      </c>
    </row>
    <row r="301" spans="1:15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95">
        <f t="shared" si="34"/>
        <v>607.62</v>
      </c>
      <c r="G301" s="738">
        <v>84.6</v>
      </c>
      <c r="H301" s="828">
        <v>85</v>
      </c>
      <c r="I301" s="72">
        <f t="shared" si="36"/>
        <v>2.8333333333333332E-2</v>
      </c>
      <c r="J301" s="37">
        <f t="shared" si="38"/>
        <v>57.148616666666662</v>
      </c>
      <c r="K301" s="96">
        <f t="shared" si="35"/>
        <v>21.013546348333332</v>
      </c>
      <c r="L301" s="37">
        <v>22.075916666666664</v>
      </c>
      <c r="M301" s="37">
        <f t="shared" si="37"/>
        <v>2.6204933333333331</v>
      </c>
      <c r="N301" s="117">
        <f t="shared" si="39"/>
        <v>3.1943813733333335</v>
      </c>
      <c r="O301" s="45">
        <f t="shared" si="33"/>
        <v>0.16928108524242122</v>
      </c>
    </row>
    <row r="302" spans="1:15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95">
        <f t="shared" si="34"/>
        <v>400.32000000000005</v>
      </c>
      <c r="G302" s="738">
        <v>59.4</v>
      </c>
      <c r="H302" s="828">
        <v>118</v>
      </c>
      <c r="I302" s="72">
        <f t="shared" si="36"/>
        <v>3.9333333333333331E-2</v>
      </c>
      <c r="J302" s="37">
        <f t="shared" si="38"/>
        <v>79.335726666666659</v>
      </c>
      <c r="K302" s="96">
        <f t="shared" si="35"/>
        <v>29.171746695333333</v>
      </c>
      <c r="L302" s="37">
        <v>30.646566666666665</v>
      </c>
      <c r="M302" s="37">
        <f t="shared" si="37"/>
        <v>3.6378613333333329</v>
      </c>
      <c r="N302" s="117">
        <f t="shared" si="39"/>
        <v>4.4345529653333333</v>
      </c>
      <c r="O302" s="45">
        <f t="shared" si="33"/>
        <v>0.35669439788669055</v>
      </c>
    </row>
    <row r="303" spans="1:15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95">
        <f t="shared" si="34"/>
        <v>311.52000000000004</v>
      </c>
      <c r="G303" s="738">
        <v>50.4</v>
      </c>
      <c r="H303" s="828">
        <v>45</v>
      </c>
      <c r="I303" s="72">
        <f t="shared" si="36"/>
        <v>1.4999999999999999E-2</v>
      </c>
      <c r="J303" s="37">
        <f t="shared" si="38"/>
        <v>30.25515</v>
      </c>
      <c r="K303" s="96">
        <f t="shared" si="35"/>
        <v>11.124818655</v>
      </c>
      <c r="L303" s="37">
        <v>11.687249999999999</v>
      </c>
      <c r="M303" s="37">
        <f t="shared" si="37"/>
        <v>1.3873199999999999</v>
      </c>
      <c r="N303" s="117">
        <f t="shared" si="39"/>
        <v>1.69114308</v>
      </c>
      <c r="O303" s="45">
        <f t="shared" si="33"/>
        <v>0.17480270497881353</v>
      </c>
    </row>
    <row r="304" spans="1:15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95">
        <f t="shared" si="34"/>
        <v>451.70000000000005</v>
      </c>
      <c r="G304" s="738">
        <v>49.1</v>
      </c>
      <c r="H304" s="828">
        <v>19</v>
      </c>
      <c r="I304" s="72">
        <f t="shared" si="36"/>
        <v>6.3333333333333332E-3</v>
      </c>
      <c r="J304" s="37">
        <f t="shared" si="38"/>
        <v>12.774396666666666</v>
      </c>
      <c r="K304" s="96">
        <f t="shared" si="35"/>
        <v>4.6971456543333332</v>
      </c>
      <c r="L304" s="37">
        <v>4.934616666666666</v>
      </c>
      <c r="M304" s="37">
        <f t="shared" si="37"/>
        <v>0.58575733333333335</v>
      </c>
      <c r="N304" s="117">
        <f t="shared" si="39"/>
        <v>0.71403818933333341</v>
      </c>
      <c r="O304" s="45">
        <f t="shared" si="33"/>
        <v>5.09008552601284E-2</v>
      </c>
    </row>
    <row r="305" spans="1:15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95">
        <f t="shared" si="34"/>
        <v>529.70000000000005</v>
      </c>
      <c r="G305" s="738">
        <v>181</v>
      </c>
      <c r="H305" s="828">
        <v>245</v>
      </c>
      <c r="I305" s="72">
        <f t="shared" si="36"/>
        <v>8.1666666666666665E-2</v>
      </c>
      <c r="J305" s="37">
        <f t="shared" si="38"/>
        <v>164.72248333333334</v>
      </c>
      <c r="K305" s="96">
        <f t="shared" si="35"/>
        <v>60.568457121666675</v>
      </c>
      <c r="L305" s="37">
        <v>63.630583333333327</v>
      </c>
      <c r="M305" s="37">
        <f t="shared" si="37"/>
        <v>7.5531866666666669</v>
      </c>
      <c r="N305" s="117">
        <f t="shared" si="39"/>
        <v>9.207334546666667</v>
      </c>
      <c r="O305" s="45">
        <f t="shared" si="33"/>
        <v>0.55970305919388319</v>
      </c>
    </row>
    <row r="306" spans="1:15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95">
        <f t="shared" si="34"/>
        <v>306.10000000000002</v>
      </c>
      <c r="G306" s="738">
        <v>48</v>
      </c>
      <c r="H306" s="828">
        <v>127</v>
      </c>
      <c r="I306" s="72">
        <f t="shared" si="36"/>
        <v>4.2333333333333334E-2</v>
      </c>
      <c r="J306" s="37">
        <f t="shared" si="38"/>
        <v>85.38675666666667</v>
      </c>
      <c r="K306" s="96">
        <f t="shared" si="35"/>
        <v>31.396710426333335</v>
      </c>
      <c r="L306" s="37">
        <v>32.984016666666669</v>
      </c>
      <c r="M306" s="37">
        <f t="shared" si="37"/>
        <v>3.9153253333333335</v>
      </c>
      <c r="N306" s="117">
        <f t="shared" si="39"/>
        <v>4.7727815813333336</v>
      </c>
      <c r="O306" s="45">
        <f t="shared" si="33"/>
        <v>0.50206732797451814</v>
      </c>
    </row>
    <row r="307" spans="1:15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95">
        <f t="shared" si="34"/>
        <v>551.6</v>
      </c>
      <c r="G307" s="738">
        <v>67.2</v>
      </c>
      <c r="H307" s="828">
        <v>67</v>
      </c>
      <c r="I307" s="72">
        <f t="shared" si="36"/>
        <v>2.2333333333333334E-2</v>
      </c>
      <c r="J307" s="37">
        <f t="shared" si="38"/>
        <v>45.046556666666667</v>
      </c>
      <c r="K307" s="96">
        <f t="shared" si="35"/>
        <v>16.563618886333334</v>
      </c>
      <c r="L307" s="37">
        <v>17.401016666666667</v>
      </c>
      <c r="M307" s="37">
        <f t="shared" si="37"/>
        <v>2.0655653333333337</v>
      </c>
      <c r="N307" s="117">
        <f t="shared" si="39"/>
        <v>2.5179241413333338</v>
      </c>
      <c r="O307" s="45">
        <f t="shared" si="33"/>
        <v>0.14698469462110225</v>
      </c>
    </row>
    <row r="308" spans="1:15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95">
        <f t="shared" si="34"/>
        <v>329.2</v>
      </c>
      <c r="G308" s="738">
        <v>46.8</v>
      </c>
      <c r="H308" s="828">
        <v>45</v>
      </c>
      <c r="I308" s="72">
        <f t="shared" si="36"/>
        <v>1.4999999999999999E-2</v>
      </c>
      <c r="J308" s="37">
        <f t="shared" si="38"/>
        <v>30.25515</v>
      </c>
      <c r="K308" s="96">
        <f t="shared" si="35"/>
        <v>11.124818655</v>
      </c>
      <c r="L308" s="37">
        <v>11.687249999999999</v>
      </c>
      <c r="M308" s="37">
        <f t="shared" si="37"/>
        <v>1.3873199999999999</v>
      </c>
      <c r="N308" s="117">
        <f t="shared" si="39"/>
        <v>1.69114308</v>
      </c>
      <c r="O308" s="45">
        <f t="shared" si="33"/>
        <v>0.1654147589763062</v>
      </c>
    </row>
    <row r="309" spans="1:15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95">
        <f t="shared" si="34"/>
        <v>631.40000000000009</v>
      </c>
      <c r="G309" s="738">
        <v>79.2</v>
      </c>
      <c r="H309" s="828">
        <v>79.2</v>
      </c>
      <c r="I309" s="72">
        <f t="shared" si="36"/>
        <v>2.64E-2</v>
      </c>
      <c r="J309" s="37">
        <f t="shared" si="38"/>
        <v>53.249063999999997</v>
      </c>
      <c r="K309" s="96">
        <f t="shared" si="35"/>
        <v>19.579680832800001</v>
      </c>
      <c r="L309" s="37">
        <v>20.569559999999999</v>
      </c>
      <c r="M309" s="37">
        <f t="shared" si="37"/>
        <v>2.4416831999999999</v>
      </c>
      <c r="N309" s="117">
        <f t="shared" si="39"/>
        <v>2.9764118208000001</v>
      </c>
      <c r="O309" s="45">
        <f t="shared" si="33"/>
        <v>0.1517896547874564</v>
      </c>
    </row>
    <row r="310" spans="1:15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95">
        <f t="shared" si="34"/>
        <v>373.3</v>
      </c>
      <c r="G310" s="738">
        <v>60.6</v>
      </c>
      <c r="H310" s="828">
        <v>59</v>
      </c>
      <c r="I310" s="72">
        <f t="shared" si="36"/>
        <v>1.9666666666666666E-2</v>
      </c>
      <c r="J310" s="37">
        <f t="shared" si="38"/>
        <v>39.667863333333329</v>
      </c>
      <c r="K310" s="96">
        <f t="shared" si="35"/>
        <v>14.585873347666666</v>
      </c>
      <c r="L310" s="37">
        <v>15.323283333333332</v>
      </c>
      <c r="M310" s="37">
        <f t="shared" si="37"/>
        <v>1.8189306666666665</v>
      </c>
      <c r="N310" s="117">
        <f t="shared" si="39"/>
        <v>2.2172764826666667</v>
      </c>
      <c r="O310" s="45">
        <f t="shared" si="33"/>
        <v>0.1912562300589338</v>
      </c>
    </row>
    <row r="311" spans="1:15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95">
        <f t="shared" si="34"/>
        <v>918.4</v>
      </c>
      <c r="G311" s="738">
        <v>111</v>
      </c>
      <c r="H311" s="828">
        <v>129</v>
      </c>
      <c r="I311" s="72">
        <f t="shared" si="36"/>
        <v>4.2999999999999997E-2</v>
      </c>
      <c r="J311" s="37">
        <f t="shared" si="38"/>
        <v>86.731429999999989</v>
      </c>
      <c r="K311" s="96">
        <f t="shared" si="35"/>
        <v>31.891146810999999</v>
      </c>
      <c r="L311" s="37">
        <v>33.503449999999994</v>
      </c>
      <c r="M311" s="37">
        <f t="shared" si="37"/>
        <v>3.9769839999999999</v>
      </c>
      <c r="N311" s="117">
        <f t="shared" si="39"/>
        <v>4.8479434960000001</v>
      </c>
      <c r="O311" s="45">
        <f t="shared" si="33"/>
        <v>0.16997279051720379</v>
      </c>
    </row>
    <row r="312" spans="1:15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95">
        <f t="shared" si="34"/>
        <v>778.80000000000007</v>
      </c>
      <c r="G312" s="738">
        <v>46.8</v>
      </c>
      <c r="H312" s="828">
        <v>46.8</v>
      </c>
      <c r="I312" s="72">
        <f t="shared" si="36"/>
        <v>1.5599999999999999E-2</v>
      </c>
      <c r="J312" s="37">
        <f t="shared" si="38"/>
        <v>31.465356</v>
      </c>
      <c r="K312" s="96">
        <f t="shared" si="35"/>
        <v>11.569811401200001</v>
      </c>
      <c r="L312" s="37">
        <v>12.154739999999999</v>
      </c>
      <c r="M312" s="37">
        <f t="shared" si="37"/>
        <v>1.4428128</v>
      </c>
      <c r="N312" s="117">
        <f t="shared" si="39"/>
        <v>1.7587888032000001</v>
      </c>
      <c r="O312" s="45">
        <f t="shared" si="33"/>
        <v>7.2717925271186423E-2</v>
      </c>
    </row>
    <row r="313" spans="1:15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95">
        <f t="shared" si="34"/>
        <v>806.91</v>
      </c>
      <c r="G313" s="738">
        <v>31.2</v>
      </c>
      <c r="H313" s="828">
        <v>31.2</v>
      </c>
      <c r="I313" s="72">
        <f t="shared" si="36"/>
        <v>1.04E-2</v>
      </c>
      <c r="J313" s="37">
        <f t="shared" si="38"/>
        <v>20.976903999999998</v>
      </c>
      <c r="K313" s="96">
        <f t="shared" si="35"/>
        <v>7.7132076007999997</v>
      </c>
      <c r="L313" s="37">
        <v>8.103159999999999</v>
      </c>
      <c r="M313" s="37">
        <f t="shared" si="37"/>
        <v>0.96187520000000004</v>
      </c>
      <c r="N313" s="117">
        <f t="shared" si="39"/>
        <v>1.1725258688000002</v>
      </c>
      <c r="O313" s="45">
        <f t="shared" si="33"/>
        <v>4.6789786718221364E-2</v>
      </c>
    </row>
    <row r="314" spans="1:15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95">
        <f t="shared" si="34"/>
        <v>805</v>
      </c>
      <c r="G314" s="738">
        <v>46.2</v>
      </c>
      <c r="H314" s="828">
        <v>57</v>
      </c>
      <c r="I314" s="72">
        <f t="shared" si="36"/>
        <v>1.9E-2</v>
      </c>
      <c r="J314" s="37">
        <f t="shared" si="38"/>
        <v>38.323189999999997</v>
      </c>
      <c r="K314" s="96">
        <f t="shared" si="35"/>
        <v>14.091436963</v>
      </c>
      <c r="L314" s="37">
        <v>14.803849999999999</v>
      </c>
      <c r="M314" s="37">
        <f t="shared" si="37"/>
        <v>1.7572719999999999</v>
      </c>
      <c r="N314" s="117">
        <f t="shared" si="39"/>
        <v>2.1421145680000002</v>
      </c>
      <c r="O314" s="45">
        <f t="shared" si="33"/>
        <v>8.5684160202484469E-2</v>
      </c>
    </row>
    <row r="315" spans="1:15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95">
        <f t="shared" si="34"/>
        <v>491.9</v>
      </c>
      <c r="G315" s="738">
        <v>49.8</v>
      </c>
      <c r="H315" s="828">
        <v>53</v>
      </c>
      <c r="I315" s="72">
        <f t="shared" si="36"/>
        <v>1.7666666666666667E-2</v>
      </c>
      <c r="J315" s="37">
        <f t="shared" si="38"/>
        <v>35.633843333333331</v>
      </c>
      <c r="K315" s="96">
        <f t="shared" si="35"/>
        <v>13.102564193666668</v>
      </c>
      <c r="L315" s="37">
        <v>13.764983333333333</v>
      </c>
      <c r="M315" s="37">
        <f t="shared" si="37"/>
        <v>1.6339546666666667</v>
      </c>
      <c r="N315" s="117">
        <f t="shared" si="39"/>
        <v>1.9917907386666669</v>
      </c>
      <c r="O315" s="45">
        <f t="shared" si="33"/>
        <v>0.1303828939357593</v>
      </c>
    </row>
    <row r="316" spans="1:15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95">
        <f t="shared" si="34"/>
        <v>640.20000000000005</v>
      </c>
      <c r="G316" s="738">
        <v>86</v>
      </c>
      <c r="H316" s="828">
        <v>70</v>
      </c>
      <c r="I316" s="72">
        <f t="shared" si="36"/>
        <v>2.3333333333333334E-2</v>
      </c>
      <c r="J316" s="37">
        <f t="shared" si="38"/>
        <v>47.063566666666667</v>
      </c>
      <c r="K316" s="96">
        <f t="shared" si="35"/>
        <v>17.305273463333336</v>
      </c>
      <c r="L316" s="37">
        <v>18.180166666666668</v>
      </c>
      <c r="M316" s="37">
        <f t="shared" si="37"/>
        <v>2.1580533333333336</v>
      </c>
      <c r="N316" s="117">
        <f t="shared" si="39"/>
        <v>2.6306670133333339</v>
      </c>
      <c r="O316" s="45">
        <f t="shared" si="33"/>
        <v>0.13231343350515462</v>
      </c>
    </row>
    <row r="317" spans="1:15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95">
        <f t="shared" si="34"/>
        <v>537.94000000000005</v>
      </c>
      <c r="G317" s="738">
        <v>38.4</v>
      </c>
      <c r="H317" s="828">
        <v>26</v>
      </c>
      <c r="I317" s="72">
        <f t="shared" si="36"/>
        <v>8.6666666666666663E-3</v>
      </c>
      <c r="J317" s="37">
        <f t="shared" si="38"/>
        <v>17.480753333333332</v>
      </c>
      <c r="K317" s="96">
        <f t="shared" si="35"/>
        <v>6.4276730006666671</v>
      </c>
      <c r="L317" s="37">
        <v>6.7526333333333328</v>
      </c>
      <c r="M317" s="37">
        <f t="shared" si="37"/>
        <v>0.80156266666666665</v>
      </c>
      <c r="N317" s="117">
        <f t="shared" si="39"/>
        <v>0.97710489066666673</v>
      </c>
      <c r="O317" s="45">
        <f t="shared" si="33"/>
        <v>5.8487233397776686E-2</v>
      </c>
    </row>
    <row r="318" spans="1:15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95">
        <f t="shared" si="34"/>
        <v>929.9</v>
      </c>
      <c r="G318" s="738">
        <v>52.2</v>
      </c>
      <c r="H318" s="828">
        <v>46</v>
      </c>
      <c r="I318" s="72">
        <f t="shared" si="36"/>
        <v>1.5333333333333332E-2</v>
      </c>
      <c r="J318" s="37">
        <f t="shared" si="38"/>
        <v>30.927486666666663</v>
      </c>
      <c r="K318" s="96">
        <f t="shared" si="35"/>
        <v>11.372036847333334</v>
      </c>
      <c r="L318" s="37">
        <v>11.946966666666667</v>
      </c>
      <c r="M318" s="37">
        <f t="shared" si="37"/>
        <v>1.4181493333333333</v>
      </c>
      <c r="N318" s="117">
        <f t="shared" si="39"/>
        <v>1.7287240373333335</v>
      </c>
      <c r="O318" s="45">
        <f t="shared" si="33"/>
        <v>5.9860887744918809E-2</v>
      </c>
    </row>
    <row r="319" spans="1:15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95">
        <f t="shared" si="34"/>
        <v>1417.36</v>
      </c>
      <c r="G319" s="738">
        <v>290.39999999999998</v>
      </c>
      <c r="H319" s="828">
        <v>290</v>
      </c>
      <c r="I319" s="72">
        <f t="shared" si="36"/>
        <v>9.6666666666666665E-2</v>
      </c>
      <c r="J319" s="37">
        <f t="shared" si="38"/>
        <v>194.97763333333333</v>
      </c>
      <c r="K319" s="96">
        <f t="shared" si="35"/>
        <v>71.693275776666667</v>
      </c>
      <c r="L319" s="37">
        <v>75.317833333333326</v>
      </c>
      <c r="M319" s="37">
        <f t="shared" si="37"/>
        <v>8.9405066666666677</v>
      </c>
      <c r="N319" s="117">
        <f t="shared" si="39"/>
        <v>10.898477626666669</v>
      </c>
      <c r="O319" s="45">
        <f t="shared" si="33"/>
        <v>0.24759358886239211</v>
      </c>
    </row>
    <row r="320" spans="1:15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95">
        <f t="shared" si="34"/>
        <v>785.9799999999999</v>
      </c>
      <c r="G320" s="738">
        <v>48</v>
      </c>
      <c r="H320" s="828">
        <v>65</v>
      </c>
      <c r="I320" s="72">
        <f t="shared" si="36"/>
        <v>2.1666666666666667E-2</v>
      </c>
      <c r="J320" s="37">
        <f t="shared" si="38"/>
        <v>43.701883333333335</v>
      </c>
      <c r="K320" s="96">
        <f t="shared" si="35"/>
        <v>16.069182501666667</v>
      </c>
      <c r="L320" s="37">
        <v>16.881583333333335</v>
      </c>
      <c r="M320" s="37">
        <f t="shared" si="37"/>
        <v>2.0039066666666669</v>
      </c>
      <c r="N320" s="117">
        <f t="shared" si="39"/>
        <v>2.4427622266666673</v>
      </c>
      <c r="O320" s="45">
        <f t="shared" si="33"/>
        <v>0.10007450041349655</v>
      </c>
    </row>
    <row r="321" spans="1:15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95">
        <f t="shared" si="34"/>
        <v>485.67999999999995</v>
      </c>
      <c r="G321" s="738">
        <v>37.799999999999997</v>
      </c>
      <c r="H321" s="828">
        <v>34</v>
      </c>
      <c r="I321" s="72">
        <f t="shared" si="36"/>
        <v>1.1333333333333334E-2</v>
      </c>
      <c r="J321" s="37">
        <f t="shared" si="38"/>
        <v>22.859446666666667</v>
      </c>
      <c r="K321" s="96">
        <f t="shared" si="35"/>
        <v>8.4054185393333345</v>
      </c>
      <c r="L321" s="37">
        <v>8.8303666666666665</v>
      </c>
      <c r="M321" s="37">
        <f t="shared" si="37"/>
        <v>1.0481973333333334</v>
      </c>
      <c r="N321" s="117">
        <f t="shared" si="39"/>
        <v>1.2777525493333335</v>
      </c>
      <c r="O321" s="45">
        <f t="shared" si="33"/>
        <v>8.4713039873991133E-2</v>
      </c>
    </row>
    <row r="322" spans="1:15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95">
        <f t="shared" si="34"/>
        <v>461.17</v>
      </c>
      <c r="G322" s="738">
        <v>37.200000000000003</v>
      </c>
      <c r="H322" s="828">
        <v>34</v>
      </c>
      <c r="I322" s="72">
        <f t="shared" si="36"/>
        <v>1.1333333333333334E-2</v>
      </c>
      <c r="J322" s="37">
        <f t="shared" si="38"/>
        <v>22.859446666666667</v>
      </c>
      <c r="K322" s="96">
        <f t="shared" si="35"/>
        <v>8.4054185393333345</v>
      </c>
      <c r="L322" s="37">
        <v>8.8303666666666665</v>
      </c>
      <c r="M322" s="37">
        <f t="shared" si="37"/>
        <v>1.0481973333333334</v>
      </c>
      <c r="N322" s="117">
        <f t="shared" si="39"/>
        <v>1.2777525493333335</v>
      </c>
      <c r="O322" s="45">
        <f t="shared" si="33"/>
        <v>8.9215320176941268E-2</v>
      </c>
    </row>
    <row r="323" spans="1:15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95">
        <f t="shared" si="34"/>
        <v>305.37</v>
      </c>
      <c r="G323" s="738"/>
      <c r="H323" s="828">
        <v>0</v>
      </c>
      <c r="I323" s="72">
        <f t="shared" si="36"/>
        <v>0</v>
      </c>
      <c r="J323" s="37">
        <f t="shared" si="38"/>
        <v>0</v>
      </c>
      <c r="K323" s="96">
        <f t="shared" si="35"/>
        <v>0</v>
      </c>
      <c r="L323" s="37">
        <v>0</v>
      </c>
      <c r="M323" s="37">
        <f t="shared" si="37"/>
        <v>0</v>
      </c>
      <c r="N323" s="117">
        <f t="shared" si="39"/>
        <v>0</v>
      </c>
      <c r="O323" s="45">
        <f t="shared" si="33"/>
        <v>0</v>
      </c>
    </row>
    <row r="324" spans="1:15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95">
        <f t="shared" si="34"/>
        <v>170.8</v>
      </c>
      <c r="G324" s="738">
        <v>42</v>
      </c>
      <c r="H324" s="828">
        <v>42</v>
      </c>
      <c r="I324" s="72">
        <f t="shared" si="36"/>
        <v>1.4E-2</v>
      </c>
      <c r="J324" s="37">
        <f t="shared" si="38"/>
        <v>28.238140000000001</v>
      </c>
      <c r="K324" s="96">
        <f t="shared" si="35"/>
        <v>10.383164078000002</v>
      </c>
      <c r="L324" s="37">
        <v>10.908099999999999</v>
      </c>
      <c r="M324" s="37">
        <f t="shared" si="37"/>
        <v>1.294832</v>
      </c>
      <c r="N324" s="117">
        <f t="shared" si="39"/>
        <v>1.5784002080000001</v>
      </c>
      <c r="O324" s="45">
        <f t="shared" si="33"/>
        <v>0.29756578499999997</v>
      </c>
    </row>
    <row r="325" spans="1:15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95">
        <f t="shared" si="34"/>
        <v>678.2</v>
      </c>
      <c r="G325" s="738">
        <v>178.2</v>
      </c>
      <c r="H325" s="828">
        <v>244</v>
      </c>
      <c r="I325" s="72">
        <f t="shared" si="36"/>
        <v>8.1333333333333327E-2</v>
      </c>
      <c r="J325" s="37">
        <f t="shared" si="38"/>
        <v>164.05014666666665</v>
      </c>
      <c r="K325" s="96">
        <f t="shared" si="35"/>
        <v>60.321238929333333</v>
      </c>
      <c r="L325" s="37">
        <v>63.370866666666657</v>
      </c>
      <c r="M325" s="37">
        <f t="shared" si="37"/>
        <v>7.5223573333333329</v>
      </c>
      <c r="N325" s="117">
        <f t="shared" si="39"/>
        <v>9.1697535893333342</v>
      </c>
      <c r="O325" s="45">
        <f t="shared" si="33"/>
        <v>0.43536509819522257</v>
      </c>
    </row>
    <row r="326" spans="1:15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95">
        <f t="shared" si="34"/>
        <v>2613.27</v>
      </c>
      <c r="G326" s="738">
        <v>808.8</v>
      </c>
      <c r="H326" s="828">
        <v>1042</v>
      </c>
      <c r="I326" s="72">
        <f t="shared" si="36"/>
        <v>0.34733333333333333</v>
      </c>
      <c r="J326" s="37">
        <f t="shared" si="38"/>
        <v>700.57480666666663</v>
      </c>
      <c r="K326" s="96">
        <f t="shared" si="35"/>
        <v>257.60135641133331</v>
      </c>
      <c r="L326" s="37">
        <v>270.62476666666663</v>
      </c>
      <c r="M326" s="37">
        <f t="shared" si="37"/>
        <v>32.124165333333337</v>
      </c>
      <c r="N326" s="117">
        <f t="shared" si="39"/>
        <v>39.159357541333343</v>
      </c>
      <c r="O326" s="45">
        <f t="shared" si="33"/>
        <v>0.48250854105316326</v>
      </c>
    </row>
    <row r="327" spans="1:15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95">
        <f t="shared" si="34"/>
        <v>2055.4499999999998</v>
      </c>
      <c r="G327" s="738">
        <v>149.4</v>
      </c>
      <c r="H327" s="828">
        <v>245</v>
      </c>
      <c r="I327" s="72">
        <f t="shared" si="36"/>
        <v>8.1666666666666665E-2</v>
      </c>
      <c r="J327" s="37">
        <f t="shared" si="38"/>
        <v>164.72248333333334</v>
      </c>
      <c r="K327" s="96">
        <f t="shared" si="35"/>
        <v>60.568457121666675</v>
      </c>
      <c r="L327" s="37">
        <v>63.630583333333327</v>
      </c>
      <c r="M327" s="37">
        <f t="shared" si="37"/>
        <v>7.5531866666666669</v>
      </c>
      <c r="N327" s="117">
        <f t="shared" si="39"/>
        <v>9.207334546666667</v>
      </c>
      <c r="O327" s="45">
        <f t="shared" ref="O327:O390" si="40">(J327+K327+L327+M327)/F327</f>
        <v>0.14423834705538932</v>
      </c>
    </row>
    <row r="328" spans="1:15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95">
        <f t="shared" si="34"/>
        <v>3486.96</v>
      </c>
      <c r="G328" s="738">
        <v>1386.2</v>
      </c>
      <c r="H328" s="828">
        <v>1510</v>
      </c>
      <c r="I328" s="72">
        <f t="shared" si="36"/>
        <v>0.5033333333333333</v>
      </c>
      <c r="J328" s="37">
        <f t="shared" si="38"/>
        <v>1015.2283666666666</v>
      </c>
      <c r="K328" s="96">
        <f t="shared" si="35"/>
        <v>373.29947042333333</v>
      </c>
      <c r="L328" s="37">
        <v>392.17216666666661</v>
      </c>
      <c r="M328" s="37">
        <f t="shared" si="37"/>
        <v>46.552293333333331</v>
      </c>
      <c r="N328" s="117">
        <f t="shared" si="39"/>
        <v>56.747245573333338</v>
      </c>
      <c r="O328" s="45">
        <f t="shared" si="40"/>
        <v>0.52402445026326661</v>
      </c>
    </row>
    <row r="329" spans="1:15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95">
        <f t="shared" si="34"/>
        <v>394.94</v>
      </c>
      <c r="G329" s="738">
        <v>105.6</v>
      </c>
      <c r="H329" s="828">
        <v>106</v>
      </c>
      <c r="I329" s="72">
        <f t="shared" si="36"/>
        <v>3.5333333333333335E-2</v>
      </c>
      <c r="J329" s="37">
        <f t="shared" si="38"/>
        <v>71.267686666666663</v>
      </c>
      <c r="K329" s="96">
        <f t="shared" si="35"/>
        <v>26.205128387333335</v>
      </c>
      <c r="L329" s="37">
        <v>27.529966666666667</v>
      </c>
      <c r="M329" s="37">
        <f t="shared" si="37"/>
        <v>3.2679093333333333</v>
      </c>
      <c r="N329" s="117">
        <f t="shared" si="39"/>
        <v>3.9835814773333338</v>
      </c>
      <c r="O329" s="45">
        <f t="shared" si="40"/>
        <v>0.32478526118904139</v>
      </c>
    </row>
    <row r="330" spans="1:15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95">
        <f t="shared" si="34"/>
        <v>351.67</v>
      </c>
      <c r="G330" s="738">
        <v>136</v>
      </c>
      <c r="H330" s="828">
        <v>95</v>
      </c>
      <c r="I330" s="72">
        <f t="shared" si="36"/>
        <v>3.1666666666666669E-2</v>
      </c>
      <c r="J330" s="37">
        <f t="shared" si="38"/>
        <v>63.87198333333334</v>
      </c>
      <c r="K330" s="96">
        <f t="shared" si="35"/>
        <v>23.48572827166667</v>
      </c>
      <c r="L330" s="37">
        <v>24.673083333333334</v>
      </c>
      <c r="M330" s="37">
        <f t="shared" si="37"/>
        <v>2.9287866666666673</v>
      </c>
      <c r="N330" s="117">
        <f t="shared" si="39"/>
        <v>3.5701909466666679</v>
      </c>
      <c r="O330" s="45">
        <f t="shared" si="40"/>
        <v>0.3268961856427901</v>
      </c>
    </row>
    <row r="331" spans="1:15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95">
        <f t="shared" si="34"/>
        <v>615.6</v>
      </c>
      <c r="G331" s="738">
        <v>129</v>
      </c>
      <c r="H331" s="828">
        <v>129</v>
      </c>
      <c r="I331" s="72">
        <f t="shared" si="36"/>
        <v>4.2999999999999997E-2</v>
      </c>
      <c r="J331" s="37">
        <f t="shared" si="38"/>
        <v>86.731429999999989</v>
      </c>
      <c r="K331" s="96">
        <f t="shared" si="35"/>
        <v>31.891146810999999</v>
      </c>
      <c r="L331" s="37">
        <v>33.503449999999994</v>
      </c>
      <c r="M331" s="37">
        <f t="shared" si="37"/>
        <v>3.9769839999999999</v>
      </c>
      <c r="N331" s="117">
        <f t="shared" si="39"/>
        <v>4.8479434960000001</v>
      </c>
      <c r="O331" s="45">
        <f t="shared" si="40"/>
        <v>0.2535786400438596</v>
      </c>
    </row>
    <row r="332" spans="1:15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95">
        <f t="shared" si="34"/>
        <v>571.49</v>
      </c>
      <c r="G332" s="738">
        <v>37.200000000000003</v>
      </c>
      <c r="H332" s="828">
        <v>47</v>
      </c>
      <c r="I332" s="72">
        <f t="shared" si="36"/>
        <v>1.5666666666666666E-2</v>
      </c>
      <c r="J332" s="37">
        <f t="shared" si="38"/>
        <v>31.59982333333333</v>
      </c>
      <c r="K332" s="96">
        <f t="shared" si="35"/>
        <v>11.619255039666665</v>
      </c>
      <c r="L332" s="37">
        <v>12.206683333333332</v>
      </c>
      <c r="M332" s="37">
        <f t="shared" si="37"/>
        <v>1.4489786666666666</v>
      </c>
      <c r="N332" s="117">
        <f t="shared" si="39"/>
        <v>1.7663049946666667</v>
      </c>
      <c r="O332" s="45">
        <f t="shared" si="40"/>
        <v>9.9520097242296449E-2</v>
      </c>
    </row>
    <row r="333" spans="1:15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95">
        <f t="shared" si="34"/>
        <v>339.26</v>
      </c>
      <c r="G333" s="738">
        <v>51.6</v>
      </c>
      <c r="H333" s="828">
        <v>65</v>
      </c>
      <c r="I333" s="72">
        <f t="shared" si="36"/>
        <v>2.1666666666666667E-2</v>
      </c>
      <c r="J333" s="37">
        <f t="shared" si="38"/>
        <v>43.701883333333335</v>
      </c>
      <c r="K333" s="96">
        <f t="shared" si="35"/>
        <v>16.069182501666667</v>
      </c>
      <c r="L333" s="37">
        <v>16.881583333333335</v>
      </c>
      <c r="M333" s="37">
        <f t="shared" si="37"/>
        <v>2.0039066666666669</v>
      </c>
      <c r="N333" s="117">
        <f t="shared" si="39"/>
        <v>2.4427622266666673</v>
      </c>
      <c r="O333" s="45">
        <f t="shared" si="40"/>
        <v>0.23184742037080708</v>
      </c>
    </row>
    <row r="334" spans="1:15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95">
        <f t="shared" si="34"/>
        <v>364.76</v>
      </c>
      <c r="G334" s="738">
        <v>54</v>
      </c>
      <c r="H334" s="828">
        <v>54</v>
      </c>
      <c r="I334" s="72">
        <f t="shared" si="36"/>
        <v>1.7999999999999999E-2</v>
      </c>
      <c r="J334" s="37">
        <f t="shared" si="38"/>
        <v>36.306179999999998</v>
      </c>
      <c r="K334" s="96">
        <f t="shared" si="35"/>
        <v>13.349782385999999</v>
      </c>
      <c r="L334" s="37">
        <v>14.024699999999999</v>
      </c>
      <c r="M334" s="37">
        <f t="shared" si="37"/>
        <v>1.664784</v>
      </c>
      <c r="N334" s="117">
        <f t="shared" si="39"/>
        <v>2.0293716960000001</v>
      </c>
      <c r="O334" s="45">
        <f t="shared" si="40"/>
        <v>0.17914641513872134</v>
      </c>
    </row>
    <row r="335" spans="1:15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95">
        <f t="shared" ref="F335:F379" si="41">C335+D335+E335</f>
        <v>329.3</v>
      </c>
      <c r="G335" s="738">
        <v>47.4</v>
      </c>
      <c r="H335" s="828">
        <v>25</v>
      </c>
      <c r="I335" s="72">
        <f t="shared" si="36"/>
        <v>8.3333333333333332E-3</v>
      </c>
      <c r="J335" s="37">
        <f t="shared" si="38"/>
        <v>16.808416666666666</v>
      </c>
      <c r="K335" s="96">
        <f t="shared" ref="K335:K383" si="42">J335*0.3677</f>
        <v>6.1804548083333337</v>
      </c>
      <c r="L335" s="37">
        <v>6.492916666666666</v>
      </c>
      <c r="M335" s="37">
        <f t="shared" si="37"/>
        <v>0.77073333333333338</v>
      </c>
      <c r="N335" s="117">
        <f t="shared" si="39"/>
        <v>0.93952393333333351</v>
      </c>
      <c r="O335" s="45">
        <f t="shared" si="40"/>
        <v>9.1869181521409035E-2</v>
      </c>
    </row>
    <row r="336" spans="1:15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95">
        <f t="shared" si="41"/>
        <v>445.65</v>
      </c>
      <c r="G336" s="738">
        <v>36.6</v>
      </c>
      <c r="H336" s="828">
        <v>37</v>
      </c>
      <c r="I336" s="72">
        <f t="shared" si="36"/>
        <v>1.2333333333333333E-2</v>
      </c>
      <c r="J336" s="37">
        <f t="shared" si="38"/>
        <v>24.876456666666666</v>
      </c>
      <c r="K336" s="96">
        <f t="shared" si="42"/>
        <v>9.147073116333333</v>
      </c>
      <c r="L336" s="37">
        <v>9.609516666666666</v>
      </c>
      <c r="M336" s="37">
        <f t="shared" si="37"/>
        <v>1.1406853333333336</v>
      </c>
      <c r="N336" s="117">
        <f t="shared" si="39"/>
        <v>1.3904954213333336</v>
      </c>
      <c r="O336" s="45">
        <f t="shared" si="40"/>
        <v>0.10046837604173678</v>
      </c>
    </row>
    <row r="337" spans="1:15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95">
        <f t="shared" si="41"/>
        <v>515.54999999999995</v>
      </c>
      <c r="G337" s="738">
        <v>106.8</v>
      </c>
      <c r="H337" s="828">
        <v>107</v>
      </c>
      <c r="I337" s="72">
        <f t="shared" si="36"/>
        <v>3.5666666666666666E-2</v>
      </c>
      <c r="J337" s="37">
        <f t="shared" si="38"/>
        <v>71.940023333333329</v>
      </c>
      <c r="K337" s="96">
        <f t="shared" si="42"/>
        <v>26.452346579666667</v>
      </c>
      <c r="L337" s="37">
        <v>27.789683333333333</v>
      </c>
      <c r="M337" s="37">
        <f t="shared" si="37"/>
        <v>3.2987386666666669</v>
      </c>
      <c r="N337" s="117">
        <f t="shared" si="39"/>
        <v>4.0211624346666675</v>
      </c>
      <c r="O337" s="45">
        <f t="shared" si="40"/>
        <v>0.25115079412860053</v>
      </c>
    </row>
    <row r="338" spans="1:15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95">
        <f t="shared" si="41"/>
        <v>969.83999999999992</v>
      </c>
      <c r="G338" s="738">
        <v>65.099999999999994</v>
      </c>
      <c r="H338" s="828">
        <v>130</v>
      </c>
      <c r="I338" s="72">
        <f t="shared" si="36"/>
        <v>4.3333333333333335E-2</v>
      </c>
      <c r="J338" s="37">
        <f t="shared" si="38"/>
        <v>87.403766666666669</v>
      </c>
      <c r="K338" s="96">
        <f t="shared" si="42"/>
        <v>32.138365003333334</v>
      </c>
      <c r="L338" s="37">
        <v>33.76316666666667</v>
      </c>
      <c r="M338" s="37">
        <f t="shared" si="37"/>
        <v>4.0078133333333339</v>
      </c>
      <c r="N338" s="117">
        <f t="shared" si="39"/>
        <v>4.8855244533333346</v>
      </c>
      <c r="O338" s="45">
        <f t="shared" si="40"/>
        <v>0.16220522113956945</v>
      </c>
    </row>
    <row r="339" spans="1:15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95">
        <f t="shared" si="41"/>
        <v>505.24</v>
      </c>
      <c r="G339" s="738">
        <v>70.8</v>
      </c>
      <c r="H339" s="828">
        <v>107</v>
      </c>
      <c r="I339" s="72">
        <f t="shared" si="36"/>
        <v>3.5666666666666666E-2</v>
      </c>
      <c r="J339" s="37">
        <f t="shared" si="38"/>
        <v>71.940023333333329</v>
      </c>
      <c r="K339" s="96">
        <f t="shared" si="42"/>
        <v>26.452346579666667</v>
      </c>
      <c r="L339" s="37">
        <v>27.789683333333333</v>
      </c>
      <c r="M339" s="37">
        <f t="shared" si="37"/>
        <v>3.2987386666666669</v>
      </c>
      <c r="N339" s="117">
        <f t="shared" si="39"/>
        <v>4.0211624346666675</v>
      </c>
      <c r="O339" s="45">
        <f t="shared" si="40"/>
        <v>0.25627581330258886</v>
      </c>
    </row>
    <row r="340" spans="1:15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95">
        <f t="shared" si="41"/>
        <v>497.67999999999995</v>
      </c>
      <c r="G340" s="738">
        <v>51</v>
      </c>
      <c r="H340" s="828">
        <v>51</v>
      </c>
      <c r="I340" s="72">
        <f t="shared" si="36"/>
        <v>1.7000000000000001E-2</v>
      </c>
      <c r="J340" s="37">
        <f t="shared" si="38"/>
        <v>34.289170000000006</v>
      </c>
      <c r="K340" s="96">
        <f t="shared" si="42"/>
        <v>12.608127809000003</v>
      </c>
      <c r="L340" s="37">
        <v>13.24555</v>
      </c>
      <c r="M340" s="37">
        <f t="shared" si="37"/>
        <v>1.5722960000000001</v>
      </c>
      <c r="N340" s="117">
        <f t="shared" si="39"/>
        <v>1.9166288240000002</v>
      </c>
      <c r="O340" s="45">
        <f t="shared" si="40"/>
        <v>0.12400567394510532</v>
      </c>
    </row>
    <row r="341" spans="1:15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95">
        <f t="shared" si="41"/>
        <v>244.79999999999998</v>
      </c>
      <c r="G341" s="738">
        <v>0</v>
      </c>
      <c r="H341" s="828">
        <v>22</v>
      </c>
      <c r="I341" s="72">
        <f t="shared" si="36"/>
        <v>7.3333333333333332E-3</v>
      </c>
      <c r="J341" s="37">
        <f t="shared" si="38"/>
        <v>14.791406666666667</v>
      </c>
      <c r="K341" s="96">
        <f t="shared" si="42"/>
        <v>5.4388002313333335</v>
      </c>
      <c r="L341" s="37">
        <v>5.7137666666666664</v>
      </c>
      <c r="M341" s="37">
        <f t="shared" si="37"/>
        <v>0.67824533333333337</v>
      </c>
      <c r="N341" s="117">
        <f t="shared" si="39"/>
        <v>0.8267810613333334</v>
      </c>
      <c r="O341" s="45">
        <f t="shared" si="40"/>
        <v>0.10875089419117646</v>
      </c>
    </row>
    <row r="342" spans="1:15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95">
        <f t="shared" si="41"/>
        <v>607.48</v>
      </c>
      <c r="G342" s="738">
        <v>22.2</v>
      </c>
      <c r="H342" s="828">
        <v>22</v>
      </c>
      <c r="I342" s="72">
        <f t="shared" si="36"/>
        <v>7.3333333333333332E-3</v>
      </c>
      <c r="J342" s="37">
        <f t="shared" si="38"/>
        <v>14.791406666666667</v>
      </c>
      <c r="K342" s="96">
        <f t="shared" si="42"/>
        <v>5.4388002313333335</v>
      </c>
      <c r="L342" s="37">
        <v>5.7137666666666664</v>
      </c>
      <c r="M342" s="37">
        <f t="shared" si="37"/>
        <v>0.67824533333333337</v>
      </c>
      <c r="N342" s="117">
        <f t="shared" si="39"/>
        <v>0.8267810613333334</v>
      </c>
      <c r="O342" s="45">
        <f t="shared" si="40"/>
        <v>4.3824025314413637E-2</v>
      </c>
    </row>
    <row r="343" spans="1:15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95">
        <f t="shared" si="41"/>
        <v>480.34999999999997</v>
      </c>
      <c r="G343" s="738">
        <v>9.6</v>
      </c>
      <c r="H343" s="828">
        <v>19</v>
      </c>
      <c r="I343" s="72">
        <f t="shared" si="36"/>
        <v>6.3333333333333332E-3</v>
      </c>
      <c r="J343" s="37">
        <f t="shared" si="38"/>
        <v>12.774396666666666</v>
      </c>
      <c r="K343" s="96">
        <f t="shared" si="42"/>
        <v>4.6971456543333332</v>
      </c>
      <c r="L343" s="37">
        <v>4.934616666666666</v>
      </c>
      <c r="M343" s="37">
        <f t="shared" si="37"/>
        <v>0.58575733333333335</v>
      </c>
      <c r="N343" s="117">
        <f t="shared" si="39"/>
        <v>0.71403818933333341</v>
      </c>
      <c r="O343" s="45">
        <f t="shared" si="40"/>
        <v>4.7864924161548875E-2</v>
      </c>
    </row>
    <row r="344" spans="1:15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95">
        <f t="shared" si="41"/>
        <v>1165.33</v>
      </c>
      <c r="G344" s="738">
        <v>80</v>
      </c>
      <c r="H344" s="828">
        <v>72</v>
      </c>
      <c r="I344" s="72">
        <f t="shared" si="36"/>
        <v>2.4E-2</v>
      </c>
      <c r="J344" s="37">
        <f t="shared" si="38"/>
        <v>48.408239999999999</v>
      </c>
      <c r="K344" s="96">
        <f t="shared" si="42"/>
        <v>17.799709848000003</v>
      </c>
      <c r="L344" s="37">
        <v>18.6996</v>
      </c>
      <c r="M344" s="37">
        <f t="shared" si="37"/>
        <v>2.2197120000000004</v>
      </c>
      <c r="N344" s="117">
        <f t="shared" si="39"/>
        <v>2.7058289280000007</v>
      </c>
      <c r="O344" s="45">
        <f t="shared" si="40"/>
        <v>7.4766170825431424E-2</v>
      </c>
    </row>
    <row r="345" spans="1:15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95">
        <f t="shared" si="41"/>
        <v>1416.02</v>
      </c>
      <c r="G345" s="738">
        <v>190</v>
      </c>
      <c r="H345" s="828">
        <v>190</v>
      </c>
      <c r="I345" s="72">
        <f t="shared" si="36"/>
        <v>6.3333333333333339E-2</v>
      </c>
      <c r="J345" s="37">
        <f t="shared" si="38"/>
        <v>127.74396666666668</v>
      </c>
      <c r="K345" s="96">
        <f t="shared" si="42"/>
        <v>46.971456543333339</v>
      </c>
      <c r="L345" s="37">
        <v>49.346166666666669</v>
      </c>
      <c r="M345" s="37">
        <f t="shared" si="37"/>
        <v>5.8575733333333346</v>
      </c>
      <c r="N345" s="117">
        <f t="shared" si="39"/>
        <v>7.1403818933333358</v>
      </c>
      <c r="O345" s="45">
        <f t="shared" si="40"/>
        <v>0.16236999704100227</v>
      </c>
    </row>
    <row r="346" spans="1:15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95">
        <f t="shared" si="41"/>
        <v>1501.81</v>
      </c>
      <c r="G346" s="738">
        <v>186</v>
      </c>
      <c r="H346" s="828">
        <v>220</v>
      </c>
      <c r="I346" s="72">
        <f t="shared" si="36"/>
        <v>7.3333333333333334E-2</v>
      </c>
      <c r="J346" s="37">
        <f t="shared" si="38"/>
        <v>147.91406666666666</v>
      </c>
      <c r="K346" s="96">
        <f t="shared" si="42"/>
        <v>54.388002313333331</v>
      </c>
      <c r="L346" s="37">
        <v>57.137666666666668</v>
      </c>
      <c r="M346" s="37">
        <f t="shared" si="37"/>
        <v>6.7824533333333337</v>
      </c>
      <c r="N346" s="117">
        <f t="shared" si="39"/>
        <v>8.2678106133333351</v>
      </c>
      <c r="O346" s="45">
        <f t="shared" si="40"/>
        <v>0.17726755646852799</v>
      </c>
    </row>
    <row r="347" spans="1:15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95">
        <f t="shared" si="41"/>
        <v>970</v>
      </c>
      <c r="G347" s="738">
        <v>108</v>
      </c>
      <c r="H347" s="828">
        <v>130</v>
      </c>
      <c r="I347" s="72">
        <f t="shared" si="36"/>
        <v>4.3333333333333335E-2</v>
      </c>
      <c r="J347" s="37">
        <f t="shared" si="38"/>
        <v>87.403766666666669</v>
      </c>
      <c r="K347" s="96">
        <f t="shared" si="42"/>
        <v>32.138365003333334</v>
      </c>
      <c r="L347" s="37">
        <v>33.76316666666667</v>
      </c>
      <c r="M347" s="37">
        <f t="shared" si="37"/>
        <v>4.0078133333333339</v>
      </c>
      <c r="N347" s="117">
        <f t="shared" si="39"/>
        <v>4.8855244533333346</v>
      </c>
      <c r="O347" s="45">
        <f t="shared" si="40"/>
        <v>0.16217846563917526</v>
      </c>
    </row>
    <row r="348" spans="1:15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95">
        <f t="shared" si="41"/>
        <v>2158</v>
      </c>
      <c r="G348" s="738">
        <v>162</v>
      </c>
      <c r="H348" s="828">
        <v>163</v>
      </c>
      <c r="I348" s="72">
        <f t="shared" ref="I348:I379" si="43">H348/3000</f>
        <v>5.4333333333333331E-2</v>
      </c>
      <c r="J348" s="37">
        <f t="shared" si="38"/>
        <v>109.59087666666666</v>
      </c>
      <c r="K348" s="96">
        <f t="shared" si="42"/>
        <v>40.296565350333331</v>
      </c>
      <c r="L348" s="37">
        <v>42.333816666666664</v>
      </c>
      <c r="M348" s="37">
        <f t="shared" ref="M348:M383" si="44">I348*84.08*1.1</f>
        <v>5.0251813333333342</v>
      </c>
      <c r="N348" s="117">
        <f t="shared" si="39"/>
        <v>6.1256960453333349</v>
      </c>
      <c r="O348" s="45">
        <f t="shared" si="40"/>
        <v>9.1402428182113055E-2</v>
      </c>
    </row>
    <row r="349" spans="1:15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95">
        <f t="shared" si="41"/>
        <v>729.1</v>
      </c>
      <c r="G349" s="738">
        <v>94.2</v>
      </c>
      <c r="H349" s="828">
        <v>94</v>
      </c>
      <c r="I349" s="72">
        <f t="shared" si="43"/>
        <v>3.1333333333333331E-2</v>
      </c>
      <c r="J349" s="37">
        <f t="shared" ref="J349:J384" si="45">I349*2017.01</f>
        <v>63.199646666666659</v>
      </c>
      <c r="K349" s="96">
        <f t="shared" si="42"/>
        <v>23.238510079333331</v>
      </c>
      <c r="L349" s="37">
        <v>24.413366666666665</v>
      </c>
      <c r="M349" s="37">
        <f t="shared" si="44"/>
        <v>2.8979573333333333</v>
      </c>
      <c r="N349" s="117">
        <f t="shared" ref="N349:N412" si="46">M349*1.219</f>
        <v>3.5326099893333334</v>
      </c>
      <c r="O349" s="45">
        <f t="shared" si="40"/>
        <v>0.15601355197640926</v>
      </c>
    </row>
    <row r="350" spans="1:15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95">
        <f t="shared" si="41"/>
        <v>1052.04</v>
      </c>
      <c r="G350" s="738">
        <v>14.4</v>
      </c>
      <c r="H350" s="828">
        <v>31</v>
      </c>
      <c r="I350" s="72">
        <f t="shared" si="43"/>
        <v>1.0333333333333333E-2</v>
      </c>
      <c r="J350" s="37">
        <f t="shared" si="45"/>
        <v>20.842436666666668</v>
      </c>
      <c r="K350" s="96">
        <f t="shared" si="42"/>
        <v>7.6637639623333342</v>
      </c>
      <c r="L350" s="37">
        <v>8.0512166666666669</v>
      </c>
      <c r="M350" s="37">
        <f t="shared" si="44"/>
        <v>0.95570933333333341</v>
      </c>
      <c r="N350" s="117">
        <f t="shared" si="46"/>
        <v>1.1650096773333336</v>
      </c>
      <c r="O350" s="45">
        <f t="shared" si="40"/>
        <v>3.5657509818067756E-2</v>
      </c>
    </row>
    <row r="351" spans="1:15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95">
        <f t="shared" si="41"/>
        <v>608.6</v>
      </c>
      <c r="G351" s="738">
        <v>32.4</v>
      </c>
      <c r="H351" s="828">
        <v>32</v>
      </c>
      <c r="I351" s="72">
        <f t="shared" si="43"/>
        <v>1.0666666666666666E-2</v>
      </c>
      <c r="J351" s="37">
        <f t="shared" si="45"/>
        <v>21.514773333333334</v>
      </c>
      <c r="K351" s="96">
        <f t="shared" si="42"/>
        <v>7.9109821546666677</v>
      </c>
      <c r="L351" s="37">
        <v>8.3109333333333328</v>
      </c>
      <c r="M351" s="37">
        <f t="shared" si="44"/>
        <v>0.98653866666666667</v>
      </c>
      <c r="N351" s="117">
        <f t="shared" si="46"/>
        <v>1.2025906346666668</v>
      </c>
      <c r="O351" s="45">
        <f t="shared" si="40"/>
        <v>6.3626729359185008E-2</v>
      </c>
    </row>
    <row r="352" spans="1:15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95">
        <f t="shared" si="41"/>
        <v>415.8</v>
      </c>
      <c r="G352" s="738">
        <v>56.4</v>
      </c>
      <c r="H352" s="828">
        <v>56</v>
      </c>
      <c r="I352" s="72">
        <f t="shared" si="43"/>
        <v>1.8666666666666668E-2</v>
      </c>
      <c r="J352" s="37">
        <f t="shared" si="45"/>
        <v>37.650853333333338</v>
      </c>
      <c r="K352" s="96">
        <f t="shared" si="42"/>
        <v>13.84421877066667</v>
      </c>
      <c r="L352" s="37">
        <v>14.544133333333335</v>
      </c>
      <c r="M352" s="37">
        <f t="shared" si="44"/>
        <v>1.7264426666666668</v>
      </c>
      <c r="N352" s="117">
        <f t="shared" si="46"/>
        <v>2.104533610666667</v>
      </c>
      <c r="O352" s="45">
        <f t="shared" si="40"/>
        <v>0.16297654666666672</v>
      </c>
    </row>
    <row r="353" spans="1:15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95">
        <f t="shared" si="41"/>
        <v>460.4</v>
      </c>
      <c r="G353" s="738">
        <v>45</v>
      </c>
      <c r="H353" s="828">
        <v>45</v>
      </c>
      <c r="I353" s="72">
        <f t="shared" si="43"/>
        <v>1.4999999999999999E-2</v>
      </c>
      <c r="J353" s="37">
        <f t="shared" si="45"/>
        <v>30.25515</v>
      </c>
      <c r="K353" s="96">
        <f t="shared" si="42"/>
        <v>11.124818655</v>
      </c>
      <c r="L353" s="37">
        <v>11.687249999999999</v>
      </c>
      <c r="M353" s="37">
        <f t="shared" si="44"/>
        <v>1.3873199999999999</v>
      </c>
      <c r="N353" s="117">
        <f t="shared" si="46"/>
        <v>1.69114308</v>
      </c>
      <c r="O353" s="45">
        <f t="shared" si="40"/>
        <v>0.11827658265638576</v>
      </c>
    </row>
    <row r="354" spans="1:15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95">
        <f t="shared" si="41"/>
        <v>573</v>
      </c>
      <c r="G354" s="738">
        <v>21.6</v>
      </c>
      <c r="H354" s="828">
        <v>35</v>
      </c>
      <c r="I354" s="72">
        <f t="shared" si="43"/>
        <v>1.1666666666666667E-2</v>
      </c>
      <c r="J354" s="37">
        <f t="shared" si="45"/>
        <v>23.531783333333333</v>
      </c>
      <c r="K354" s="96">
        <f t="shared" si="42"/>
        <v>8.6526367316666679</v>
      </c>
      <c r="L354" s="37">
        <v>9.0900833333333342</v>
      </c>
      <c r="M354" s="37">
        <f t="shared" si="44"/>
        <v>1.0790266666666668</v>
      </c>
      <c r="N354" s="117">
        <f t="shared" si="46"/>
        <v>1.3153335066666669</v>
      </c>
      <c r="O354" s="45">
        <f t="shared" si="40"/>
        <v>7.391541023560208E-2</v>
      </c>
    </row>
    <row r="355" spans="1:15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95">
        <f t="shared" si="41"/>
        <v>791.22</v>
      </c>
      <c r="G355" s="738">
        <v>76.8</v>
      </c>
      <c r="H355" s="828">
        <v>77</v>
      </c>
      <c r="I355" s="72">
        <f t="shared" si="43"/>
        <v>2.5666666666666667E-2</v>
      </c>
      <c r="J355" s="37">
        <f t="shared" si="45"/>
        <v>51.769923333333338</v>
      </c>
      <c r="K355" s="96">
        <f t="shared" si="42"/>
        <v>19.035800809666672</v>
      </c>
      <c r="L355" s="37">
        <v>19.998183333333333</v>
      </c>
      <c r="M355" s="37">
        <f t="shared" si="44"/>
        <v>2.3738586666666666</v>
      </c>
      <c r="N355" s="117">
        <f t="shared" si="46"/>
        <v>2.8937337146666668</v>
      </c>
      <c r="O355" s="45">
        <f t="shared" si="40"/>
        <v>0.11776467498672935</v>
      </c>
    </row>
    <row r="356" spans="1:15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95">
        <f t="shared" si="41"/>
        <v>765.5</v>
      </c>
      <c r="G356" s="738">
        <v>106.8</v>
      </c>
      <c r="H356" s="828">
        <v>106.8</v>
      </c>
      <c r="I356" s="72">
        <f t="shared" si="43"/>
        <v>3.56E-2</v>
      </c>
      <c r="J356" s="37">
        <f t="shared" si="45"/>
        <v>71.805555999999996</v>
      </c>
      <c r="K356" s="96">
        <f t="shared" si="42"/>
        <v>26.402902941200001</v>
      </c>
      <c r="L356" s="37">
        <v>27.737739999999999</v>
      </c>
      <c r="M356" s="37">
        <f t="shared" si="44"/>
        <v>3.2925728000000003</v>
      </c>
      <c r="N356" s="117">
        <f t="shared" si="46"/>
        <v>4.0136462432000011</v>
      </c>
      <c r="O356" s="45">
        <f t="shared" si="40"/>
        <v>0.16882922500483344</v>
      </c>
    </row>
    <row r="357" spans="1:15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95">
        <f t="shared" si="41"/>
        <v>806.19999999999993</v>
      </c>
      <c r="G357" s="738">
        <v>35.4</v>
      </c>
      <c r="H357" s="828">
        <v>35.4</v>
      </c>
      <c r="I357" s="72">
        <f t="shared" si="43"/>
        <v>1.18E-2</v>
      </c>
      <c r="J357" s="37">
        <f t="shared" si="45"/>
        <v>23.800718</v>
      </c>
      <c r="K357" s="96">
        <f t="shared" si="42"/>
        <v>8.7515240086000006</v>
      </c>
      <c r="L357" s="37">
        <v>9.1939700000000002</v>
      </c>
      <c r="M357" s="37">
        <f t="shared" si="44"/>
        <v>1.0913584000000001</v>
      </c>
      <c r="N357" s="117">
        <f t="shared" si="46"/>
        <v>1.3303658896000001</v>
      </c>
      <c r="O357" s="45">
        <f t="shared" si="40"/>
        <v>5.3135165478293236E-2</v>
      </c>
    </row>
    <row r="358" spans="1:15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95">
        <f t="shared" si="41"/>
        <v>753</v>
      </c>
      <c r="G358" s="738">
        <v>40.799999999999997</v>
      </c>
      <c r="H358" s="828">
        <v>41</v>
      </c>
      <c r="I358" s="72">
        <f t="shared" si="43"/>
        <v>1.3666666666666667E-2</v>
      </c>
      <c r="J358" s="37">
        <f t="shared" si="45"/>
        <v>27.565803333333335</v>
      </c>
      <c r="K358" s="96">
        <f t="shared" si="42"/>
        <v>10.135945885666668</v>
      </c>
      <c r="L358" s="37">
        <v>10.648383333333333</v>
      </c>
      <c r="M358" s="37">
        <f t="shared" si="44"/>
        <v>1.2640026666666668</v>
      </c>
      <c r="N358" s="117">
        <f t="shared" si="46"/>
        <v>1.5408192506666669</v>
      </c>
      <c r="O358" s="45">
        <f t="shared" si="40"/>
        <v>6.5888625788844635E-2</v>
      </c>
    </row>
    <row r="359" spans="1:15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95">
        <f t="shared" si="41"/>
        <v>612.20000000000005</v>
      </c>
      <c r="G359" s="738">
        <v>23.7</v>
      </c>
      <c r="H359" s="828">
        <v>47</v>
      </c>
      <c r="I359" s="72">
        <f t="shared" si="43"/>
        <v>1.5666666666666666E-2</v>
      </c>
      <c r="J359" s="37">
        <f t="shared" si="45"/>
        <v>31.59982333333333</v>
      </c>
      <c r="K359" s="96">
        <f t="shared" si="42"/>
        <v>11.619255039666665</v>
      </c>
      <c r="L359" s="37">
        <v>12.206683333333332</v>
      </c>
      <c r="M359" s="37">
        <f t="shared" si="44"/>
        <v>1.4489786666666666</v>
      </c>
      <c r="N359" s="117">
        <f t="shared" si="46"/>
        <v>1.7663049946666667</v>
      </c>
      <c r="O359" s="45">
        <f t="shared" si="40"/>
        <v>9.2902222105521057E-2</v>
      </c>
    </row>
    <row r="360" spans="1:15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95">
        <f t="shared" si="41"/>
        <v>611.79999999999995</v>
      </c>
      <c r="G360" s="738">
        <v>32.4</v>
      </c>
      <c r="H360" s="828">
        <v>32.4</v>
      </c>
      <c r="I360" s="72">
        <f t="shared" si="43"/>
        <v>1.0799999999999999E-2</v>
      </c>
      <c r="J360" s="37">
        <f t="shared" si="45"/>
        <v>21.783707999999997</v>
      </c>
      <c r="K360" s="96">
        <f t="shared" si="42"/>
        <v>8.0098694316000003</v>
      </c>
      <c r="L360" s="37">
        <v>8.4148199999999989</v>
      </c>
      <c r="M360" s="37">
        <f t="shared" si="44"/>
        <v>0.99887039999999994</v>
      </c>
      <c r="N360" s="117">
        <f t="shared" si="46"/>
        <v>1.2176230176</v>
      </c>
      <c r="O360" s="45">
        <f t="shared" si="40"/>
        <v>6.4085105968617204E-2</v>
      </c>
    </row>
    <row r="361" spans="1:15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95">
        <f t="shared" si="41"/>
        <v>510.4</v>
      </c>
      <c r="G361" s="738">
        <v>72</v>
      </c>
      <c r="H361" s="828">
        <v>72</v>
      </c>
      <c r="I361" s="72">
        <f t="shared" si="43"/>
        <v>2.4E-2</v>
      </c>
      <c r="J361" s="37">
        <f t="shared" si="45"/>
        <v>48.408239999999999</v>
      </c>
      <c r="K361" s="96">
        <f t="shared" si="42"/>
        <v>17.799709848000003</v>
      </c>
      <c r="L361" s="37">
        <v>18.6996</v>
      </c>
      <c r="M361" s="37">
        <f t="shared" si="44"/>
        <v>2.2197120000000004</v>
      </c>
      <c r="N361" s="117">
        <f t="shared" si="46"/>
        <v>2.7058289280000007</v>
      </c>
      <c r="O361" s="45">
        <f t="shared" si="40"/>
        <v>0.1707038829310345</v>
      </c>
    </row>
    <row r="362" spans="1:15" s="6" customFormat="1" ht="15.75">
      <c r="A362" s="268">
        <v>271</v>
      </c>
      <c r="B362" s="122" t="s">
        <v>1314</v>
      </c>
      <c r="C362" s="55">
        <v>564</v>
      </c>
      <c r="D362" s="260">
        <v>87.5</v>
      </c>
      <c r="E362" s="256"/>
      <c r="F362" s="95">
        <f t="shared" si="41"/>
        <v>651.5</v>
      </c>
      <c r="G362" s="738">
        <v>18.600000000000001</v>
      </c>
      <c r="H362" s="841">
        <v>19</v>
      </c>
      <c r="I362" s="72">
        <f t="shared" si="43"/>
        <v>6.3333333333333332E-3</v>
      </c>
      <c r="J362" s="37">
        <f t="shared" si="45"/>
        <v>12.774396666666666</v>
      </c>
      <c r="K362" s="96">
        <f t="shared" si="42"/>
        <v>4.6971456543333332</v>
      </c>
      <c r="L362" s="37">
        <v>4.934616666666666</v>
      </c>
      <c r="M362" s="37">
        <f t="shared" si="44"/>
        <v>0.58575733333333335</v>
      </c>
      <c r="N362" s="117">
        <f t="shared" si="46"/>
        <v>0.71403818933333341</v>
      </c>
      <c r="O362" s="45">
        <f t="shared" si="40"/>
        <v>3.5290738788948582E-2</v>
      </c>
    </row>
    <row r="363" spans="1:15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95">
        <f t="shared" si="41"/>
        <v>789.90000000000009</v>
      </c>
      <c r="G363" s="738">
        <v>91.2</v>
      </c>
      <c r="H363" s="828">
        <v>91.2</v>
      </c>
      <c r="I363" s="72">
        <f t="shared" si="43"/>
        <v>3.04E-2</v>
      </c>
      <c r="J363" s="37">
        <f t="shared" si="45"/>
        <v>61.317104</v>
      </c>
      <c r="K363" s="96">
        <f t="shared" si="42"/>
        <v>22.546299140800002</v>
      </c>
      <c r="L363" s="37">
        <v>23.686160000000001</v>
      </c>
      <c r="M363" s="37">
        <f t="shared" si="44"/>
        <v>2.8116352000000004</v>
      </c>
      <c r="N363" s="117">
        <f t="shared" si="46"/>
        <v>3.427383308800001</v>
      </c>
      <c r="O363" s="45">
        <f t="shared" si="40"/>
        <v>0.13971540491302695</v>
      </c>
    </row>
    <row r="364" spans="1:15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95">
        <f t="shared" si="41"/>
        <v>770.6</v>
      </c>
      <c r="G364" s="738">
        <v>102</v>
      </c>
      <c r="H364" s="828">
        <v>102</v>
      </c>
      <c r="I364" s="72">
        <f t="shared" si="43"/>
        <v>3.4000000000000002E-2</v>
      </c>
      <c r="J364" s="37">
        <f t="shared" si="45"/>
        <v>68.578340000000011</v>
      </c>
      <c r="K364" s="96">
        <f t="shared" si="42"/>
        <v>25.216255618000005</v>
      </c>
      <c r="L364" s="37">
        <v>26.491099999999999</v>
      </c>
      <c r="M364" s="37">
        <f t="shared" si="44"/>
        <v>3.1445920000000003</v>
      </c>
      <c r="N364" s="117">
        <f t="shared" si="46"/>
        <v>3.8332576480000005</v>
      </c>
      <c r="O364" s="45">
        <f t="shared" si="40"/>
        <v>0.16017426371398913</v>
      </c>
    </row>
    <row r="365" spans="1:15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95">
        <f t="shared" si="41"/>
        <v>958.2</v>
      </c>
      <c r="G365" s="738">
        <v>130</v>
      </c>
      <c r="H365" s="828">
        <v>100</v>
      </c>
      <c r="I365" s="72">
        <f t="shared" si="43"/>
        <v>3.3333333333333333E-2</v>
      </c>
      <c r="J365" s="37">
        <f t="shared" si="45"/>
        <v>67.233666666666664</v>
      </c>
      <c r="K365" s="96">
        <f t="shared" si="42"/>
        <v>24.721819233333335</v>
      </c>
      <c r="L365" s="37">
        <v>25.971666666666664</v>
      </c>
      <c r="M365" s="37">
        <f t="shared" si="44"/>
        <v>3.0829333333333335</v>
      </c>
      <c r="N365" s="117">
        <f t="shared" si="46"/>
        <v>3.758095733333334</v>
      </c>
      <c r="O365" s="45">
        <f t="shared" si="40"/>
        <v>0.12628896462116468</v>
      </c>
    </row>
    <row r="366" spans="1:15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95">
        <f t="shared" si="41"/>
        <v>1194.4199999999998</v>
      </c>
      <c r="G366" s="738">
        <v>84</v>
      </c>
      <c r="H366" s="842">
        <v>84</v>
      </c>
      <c r="I366" s="72">
        <f t="shared" si="43"/>
        <v>2.8000000000000001E-2</v>
      </c>
      <c r="J366" s="37">
        <f t="shared" si="45"/>
        <v>56.476280000000003</v>
      </c>
      <c r="K366" s="96">
        <f t="shared" si="42"/>
        <v>20.766328156000004</v>
      </c>
      <c r="L366" s="37">
        <v>21.816199999999998</v>
      </c>
      <c r="M366" s="37">
        <f t="shared" si="44"/>
        <v>2.589664</v>
      </c>
      <c r="N366" s="117">
        <f t="shared" si="46"/>
        <v>3.1568004160000003</v>
      </c>
      <c r="O366" s="45">
        <f t="shared" si="40"/>
        <v>8.5102788094640086E-2</v>
      </c>
    </row>
    <row r="367" spans="1:15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95">
        <f t="shared" si="41"/>
        <v>437.85999999999996</v>
      </c>
      <c r="G367" s="738">
        <v>282</v>
      </c>
      <c r="H367" s="842">
        <v>260</v>
      </c>
      <c r="I367" s="72">
        <f t="shared" si="43"/>
        <v>8.666666666666667E-2</v>
      </c>
      <c r="J367" s="37">
        <f t="shared" si="45"/>
        <v>174.80753333333334</v>
      </c>
      <c r="K367" s="96">
        <f t="shared" si="42"/>
        <v>64.276730006666668</v>
      </c>
      <c r="L367" s="37">
        <v>27.010533333333338</v>
      </c>
      <c r="M367" s="37">
        <f t="shared" si="44"/>
        <v>8.0156266666666678</v>
      </c>
      <c r="N367" s="117">
        <f t="shared" si="46"/>
        <v>9.7710489066666693</v>
      </c>
      <c r="O367" s="45">
        <f t="shared" si="40"/>
        <v>0.62602298300826753</v>
      </c>
    </row>
    <row r="368" spans="1:15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95">
        <f t="shared" si="41"/>
        <v>712.5</v>
      </c>
      <c r="G368" s="738">
        <v>70.8</v>
      </c>
      <c r="H368" s="842">
        <v>71</v>
      </c>
      <c r="I368" s="72">
        <f t="shared" si="43"/>
        <v>2.3666666666666666E-2</v>
      </c>
      <c r="J368" s="37">
        <f t="shared" si="45"/>
        <v>47.735903333333333</v>
      </c>
      <c r="K368" s="96">
        <f t="shared" si="42"/>
        <v>17.552491655666667</v>
      </c>
      <c r="L368" s="37">
        <v>18.439883333333331</v>
      </c>
      <c r="M368" s="37">
        <f t="shared" si="44"/>
        <v>2.1888826666666668</v>
      </c>
      <c r="N368" s="117">
        <f t="shared" si="46"/>
        <v>2.6682479706666671</v>
      </c>
      <c r="O368" s="45">
        <f t="shared" si="40"/>
        <v>0.12058548910736841</v>
      </c>
    </row>
    <row r="369" spans="1:15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95">
        <f t="shared" si="41"/>
        <v>1035.06</v>
      </c>
      <c r="G369" s="738">
        <v>35.6</v>
      </c>
      <c r="H369" s="842">
        <v>65</v>
      </c>
      <c r="I369" s="72">
        <f t="shared" si="43"/>
        <v>2.1666666666666667E-2</v>
      </c>
      <c r="J369" s="37">
        <f t="shared" si="45"/>
        <v>43.701883333333335</v>
      </c>
      <c r="K369" s="96">
        <f t="shared" si="42"/>
        <v>16.069182501666667</v>
      </c>
      <c r="L369" s="37">
        <v>25</v>
      </c>
      <c r="M369" s="37">
        <f t="shared" si="44"/>
        <v>2.0039066666666669</v>
      </c>
      <c r="N369" s="117">
        <f t="shared" si="46"/>
        <v>2.4427622266666673</v>
      </c>
      <c r="O369" s="45">
        <f t="shared" si="40"/>
        <v>8.3835693101527137E-2</v>
      </c>
    </row>
    <row r="370" spans="1:15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95">
        <f t="shared" si="41"/>
        <v>684.4</v>
      </c>
      <c r="G370" s="738">
        <v>23.4</v>
      </c>
      <c r="H370" s="842">
        <v>63</v>
      </c>
      <c r="I370" s="72">
        <f t="shared" si="43"/>
        <v>2.1000000000000001E-2</v>
      </c>
      <c r="J370" s="37">
        <f t="shared" si="45"/>
        <v>42.357210000000002</v>
      </c>
      <c r="K370" s="96">
        <f t="shared" si="42"/>
        <v>15.574746117000002</v>
      </c>
      <c r="L370" s="37">
        <v>16.36215</v>
      </c>
      <c r="M370" s="37">
        <f t="shared" si="44"/>
        <v>1.9422480000000004</v>
      </c>
      <c r="N370" s="117">
        <f t="shared" si="46"/>
        <v>2.3676003120000009</v>
      </c>
      <c r="O370" s="45">
        <f t="shared" si="40"/>
        <v>0.11139151682787847</v>
      </c>
    </row>
    <row r="371" spans="1:15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95">
        <f t="shared" si="41"/>
        <v>858.85</v>
      </c>
      <c r="G371" s="738">
        <v>42</v>
      </c>
      <c r="H371" s="842">
        <v>84</v>
      </c>
      <c r="I371" s="72">
        <f t="shared" si="43"/>
        <v>2.8000000000000001E-2</v>
      </c>
      <c r="J371" s="37">
        <f t="shared" si="45"/>
        <v>56.476280000000003</v>
      </c>
      <c r="K371" s="96">
        <f t="shared" si="42"/>
        <v>20.766328156000004</v>
      </c>
      <c r="L371" s="37">
        <v>21.816199999999998</v>
      </c>
      <c r="M371" s="37">
        <f t="shared" si="44"/>
        <v>2.589664</v>
      </c>
      <c r="N371" s="117">
        <f t="shared" si="46"/>
        <v>3.1568004160000003</v>
      </c>
      <c r="O371" s="45">
        <f t="shared" si="40"/>
        <v>0.11835416214239972</v>
      </c>
    </row>
    <row r="372" spans="1:15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95">
        <f t="shared" si="41"/>
        <v>827.7</v>
      </c>
      <c r="G372" s="738">
        <v>68.400000000000006</v>
      </c>
      <c r="H372" s="841">
        <v>68.400000000000006</v>
      </c>
      <c r="I372" s="72">
        <f t="shared" si="43"/>
        <v>2.2800000000000001E-2</v>
      </c>
      <c r="J372" s="37">
        <f t="shared" si="45"/>
        <v>45.987828</v>
      </c>
      <c r="K372" s="96">
        <f t="shared" si="42"/>
        <v>16.909724355600002</v>
      </c>
      <c r="L372" s="37">
        <v>17.764620000000001</v>
      </c>
      <c r="M372" s="37">
        <f t="shared" si="44"/>
        <v>2.1087264000000001</v>
      </c>
      <c r="N372" s="117">
        <f t="shared" si="46"/>
        <v>2.5705374816000002</v>
      </c>
      <c r="O372" s="45">
        <f t="shared" si="40"/>
        <v>0.10000108584704602</v>
      </c>
    </row>
    <row r="373" spans="1:15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95">
        <f t="shared" si="41"/>
        <v>837.19</v>
      </c>
      <c r="G373" s="738">
        <v>49.2</v>
      </c>
      <c r="H373" s="841">
        <v>49.2</v>
      </c>
      <c r="I373" s="72">
        <f t="shared" si="43"/>
        <v>1.6400000000000001E-2</v>
      </c>
      <c r="J373" s="37">
        <f t="shared" si="45"/>
        <v>33.078963999999999</v>
      </c>
      <c r="K373" s="96">
        <f t="shared" si="42"/>
        <v>12.1631350628</v>
      </c>
      <c r="L373" s="37">
        <v>12.77806</v>
      </c>
      <c r="M373" s="37">
        <f t="shared" si="44"/>
        <v>1.5168032000000002</v>
      </c>
      <c r="N373" s="117">
        <f t="shared" si="46"/>
        <v>1.8489831008000004</v>
      </c>
      <c r="O373" s="45">
        <f t="shared" si="40"/>
        <v>7.1115233415114845E-2</v>
      </c>
    </row>
    <row r="374" spans="1:15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95">
        <f t="shared" si="41"/>
        <v>325.10000000000002</v>
      </c>
      <c r="G374" s="738">
        <v>25.2</v>
      </c>
      <c r="H374" s="842">
        <v>32</v>
      </c>
      <c r="I374" s="72">
        <f t="shared" si="43"/>
        <v>1.0666666666666666E-2</v>
      </c>
      <c r="J374" s="37">
        <f t="shared" si="45"/>
        <v>21.514773333333334</v>
      </c>
      <c r="K374" s="96">
        <f t="shared" si="42"/>
        <v>7.9109821546666677</v>
      </c>
      <c r="L374" s="37">
        <v>8.3109333333333328</v>
      </c>
      <c r="M374" s="37">
        <f t="shared" si="44"/>
        <v>0.98653866666666667</v>
      </c>
      <c r="N374" s="117">
        <f t="shared" si="46"/>
        <v>1.2025906346666668</v>
      </c>
      <c r="O374" s="45">
        <f t="shared" si="40"/>
        <v>0.11911174250384496</v>
      </c>
    </row>
    <row r="375" spans="1:15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95">
        <f t="shared" si="41"/>
        <v>513</v>
      </c>
      <c r="G375" s="738">
        <v>21.3</v>
      </c>
      <c r="H375" s="842">
        <v>77</v>
      </c>
      <c r="I375" s="72">
        <f t="shared" si="43"/>
        <v>2.5666666666666667E-2</v>
      </c>
      <c r="J375" s="37">
        <f t="shared" si="45"/>
        <v>51.769923333333338</v>
      </c>
      <c r="K375" s="96">
        <f t="shared" si="42"/>
        <v>19.035800809666672</v>
      </c>
      <c r="L375" s="37">
        <v>19.998183333333333</v>
      </c>
      <c r="M375" s="37">
        <f t="shared" si="44"/>
        <v>2.3738586666666666</v>
      </c>
      <c r="N375" s="117">
        <f t="shared" si="46"/>
        <v>2.8937337146666668</v>
      </c>
      <c r="O375" s="45">
        <f t="shared" si="40"/>
        <v>0.18163307240350876</v>
      </c>
    </row>
    <row r="376" spans="1:15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95">
        <f t="shared" si="41"/>
        <v>1023.42</v>
      </c>
      <c r="G376" s="738">
        <v>19.2</v>
      </c>
      <c r="H376" s="843">
        <v>19</v>
      </c>
      <c r="I376" s="72">
        <f t="shared" si="43"/>
        <v>6.3333333333333332E-3</v>
      </c>
      <c r="J376" s="37">
        <f t="shared" si="45"/>
        <v>12.774396666666666</v>
      </c>
      <c r="K376" s="96">
        <f t="shared" si="42"/>
        <v>4.6971456543333332</v>
      </c>
      <c r="L376" s="37">
        <v>4.934616666666666</v>
      </c>
      <c r="M376" s="37">
        <f t="shared" si="44"/>
        <v>0.58575733333333335</v>
      </c>
      <c r="N376" s="117">
        <f t="shared" si="46"/>
        <v>0.71403818933333341</v>
      </c>
      <c r="O376" s="45">
        <f t="shared" si="40"/>
        <v>2.2465768033651877E-2</v>
      </c>
    </row>
    <row r="377" spans="1:15" s="6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95">
        <f t="shared" si="41"/>
        <v>74.599999999999994</v>
      </c>
      <c r="G377" s="738">
        <v>0</v>
      </c>
      <c r="H377" s="828">
        <v>0</v>
      </c>
      <c r="I377" s="72">
        <f t="shared" si="43"/>
        <v>0</v>
      </c>
      <c r="J377" s="37">
        <f t="shared" si="45"/>
        <v>0</v>
      </c>
      <c r="K377" s="96">
        <f t="shared" si="42"/>
        <v>0</v>
      </c>
      <c r="L377" s="37">
        <v>0</v>
      </c>
      <c r="M377" s="37">
        <f t="shared" si="44"/>
        <v>0</v>
      </c>
      <c r="N377" s="117">
        <f t="shared" si="46"/>
        <v>0</v>
      </c>
      <c r="O377" s="45">
        <f t="shared" si="40"/>
        <v>0</v>
      </c>
    </row>
    <row r="378" spans="1:15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95">
        <f t="shared" si="41"/>
        <v>577.79999999999995</v>
      </c>
      <c r="G378" s="738">
        <v>20</v>
      </c>
      <c r="H378" s="828">
        <v>20</v>
      </c>
      <c r="I378" s="72">
        <f t="shared" si="43"/>
        <v>6.6666666666666671E-3</v>
      </c>
      <c r="J378" s="37">
        <f t="shared" si="45"/>
        <v>13.446733333333334</v>
      </c>
      <c r="K378" s="96">
        <f t="shared" si="42"/>
        <v>4.9443638466666675</v>
      </c>
      <c r="L378" s="37">
        <v>5.1943333333333337</v>
      </c>
      <c r="M378" s="37">
        <f t="shared" si="44"/>
        <v>0.61658666666666673</v>
      </c>
      <c r="N378" s="117">
        <f t="shared" si="46"/>
        <v>0.75161914666666674</v>
      </c>
      <c r="O378" s="45">
        <f t="shared" si="40"/>
        <v>4.1886495638629291E-2</v>
      </c>
    </row>
    <row r="379" spans="1:15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95">
        <f t="shared" si="41"/>
        <v>379.4</v>
      </c>
      <c r="G379" s="738">
        <v>20</v>
      </c>
      <c r="H379" s="828">
        <v>20</v>
      </c>
      <c r="I379" s="72">
        <f t="shared" si="43"/>
        <v>6.6666666666666671E-3</v>
      </c>
      <c r="J379" s="37">
        <f t="shared" si="45"/>
        <v>13.446733333333334</v>
      </c>
      <c r="K379" s="96">
        <f t="shared" si="42"/>
        <v>4.9443638466666675</v>
      </c>
      <c r="L379" s="37">
        <v>5.1943333333333337</v>
      </c>
      <c r="M379" s="37">
        <f t="shared" si="44"/>
        <v>0.61658666666666673</v>
      </c>
      <c r="N379" s="117">
        <f t="shared" si="46"/>
        <v>0.75161914666666674</v>
      </c>
      <c r="O379" s="45">
        <f t="shared" si="40"/>
        <v>6.3790240326831851E-2</v>
      </c>
    </row>
    <row r="380" spans="1:15" s="6" customFormat="1" ht="15.75">
      <c r="A380" s="268">
        <v>289</v>
      </c>
      <c r="B380" s="291" t="s">
        <v>1395</v>
      </c>
      <c r="C380" s="295">
        <f>1893+1096.4</f>
        <v>2989.4</v>
      </c>
      <c r="D380" s="296"/>
      <c r="E380" s="296"/>
      <c r="F380" s="300">
        <f>C380+D380+E380</f>
        <v>2989.4</v>
      </c>
      <c r="G380" s="846">
        <v>850</v>
      </c>
      <c r="H380" s="847">
        <v>850</v>
      </c>
      <c r="I380" s="72">
        <f>H380/3000</f>
        <v>0.28333333333333333</v>
      </c>
      <c r="J380" s="37">
        <f t="shared" si="45"/>
        <v>571.48616666666669</v>
      </c>
      <c r="K380" s="96">
        <f t="shared" si="42"/>
        <v>210.13546348333335</v>
      </c>
      <c r="L380" s="37">
        <v>220.75916666666666</v>
      </c>
      <c r="M380" s="37">
        <f t="shared" si="44"/>
        <v>26.204933333333337</v>
      </c>
      <c r="N380" s="117">
        <f t="shared" si="46"/>
        <v>31.943813733333339</v>
      </c>
      <c r="O380" s="45">
        <f t="shared" si="40"/>
        <v>0.34407765108382959</v>
      </c>
    </row>
    <row r="381" spans="1:15" s="6" customFormat="1" ht="15.75">
      <c r="A381" s="268">
        <v>290</v>
      </c>
      <c r="B381" s="292" t="s">
        <v>1396</v>
      </c>
      <c r="C381" s="294">
        <v>527.29999999999995</v>
      </c>
      <c r="D381" s="297"/>
      <c r="E381" s="297"/>
      <c r="F381" s="300">
        <f>C381+D381+E381</f>
        <v>527.29999999999995</v>
      </c>
      <c r="G381" s="848">
        <v>93</v>
      </c>
      <c r="H381" s="847">
        <v>93</v>
      </c>
      <c r="I381" s="72">
        <f>H381/3000</f>
        <v>3.1E-2</v>
      </c>
      <c r="J381" s="37">
        <f t="shared" si="45"/>
        <v>62.52731</v>
      </c>
      <c r="K381" s="96">
        <f t="shared" si="42"/>
        <v>22.991291887000003</v>
      </c>
      <c r="L381" s="37">
        <v>24.153649999999999</v>
      </c>
      <c r="M381" s="37">
        <f t="shared" si="44"/>
        <v>2.8671280000000001</v>
      </c>
      <c r="N381" s="117">
        <f t="shared" si="46"/>
        <v>3.4950290320000006</v>
      </c>
      <c r="O381" s="45">
        <f t="shared" si="40"/>
        <v>0.21342571569694671</v>
      </c>
    </row>
    <row r="382" spans="1:15" s="6" customFormat="1" ht="15.75">
      <c r="A382" s="268">
        <v>291</v>
      </c>
      <c r="B382" s="301" t="s">
        <v>1400</v>
      </c>
      <c r="C382" s="295">
        <v>2299.1999999999998</v>
      </c>
      <c r="D382" s="297"/>
      <c r="E382" s="297"/>
      <c r="F382" s="300">
        <f>C382+D382+E382</f>
        <v>2299.1999999999998</v>
      </c>
      <c r="G382" s="849">
        <v>834</v>
      </c>
      <c r="H382" s="847">
        <v>626.78</v>
      </c>
      <c r="I382" s="72">
        <f>H382/3000</f>
        <v>0.20892666666666665</v>
      </c>
      <c r="J382" s="37">
        <f t="shared" si="45"/>
        <v>421.40717593333329</v>
      </c>
      <c r="K382" s="289">
        <f t="shared" si="42"/>
        <v>154.95141859068667</v>
      </c>
      <c r="L382" s="37">
        <v>216.52578500000001</v>
      </c>
      <c r="M382" s="37">
        <f t="shared" si="44"/>
        <v>19.323209546666664</v>
      </c>
      <c r="N382" s="117">
        <f t="shared" si="46"/>
        <v>23.554992437386666</v>
      </c>
      <c r="O382" s="45">
        <f t="shared" si="40"/>
        <v>0.35325660624160005</v>
      </c>
    </row>
    <row r="383" spans="1:15" s="6" customFormat="1" ht="15.75">
      <c r="A383" s="268">
        <v>292</v>
      </c>
      <c r="B383" s="302" t="s">
        <v>1401</v>
      </c>
      <c r="C383" s="294">
        <v>292.60000000000002</v>
      </c>
      <c r="D383" s="297"/>
      <c r="E383" s="297"/>
      <c r="F383" s="300">
        <f>C383+D383+E383</f>
        <v>292.60000000000002</v>
      </c>
      <c r="G383" s="849">
        <v>203.4</v>
      </c>
      <c r="H383" s="850">
        <v>149</v>
      </c>
      <c r="I383" s="72">
        <f>H383/3000</f>
        <v>4.9666666666666665E-2</v>
      </c>
      <c r="J383" s="37">
        <f t="shared" si="45"/>
        <v>100.17816333333333</v>
      </c>
      <c r="K383" s="289">
        <f t="shared" si="42"/>
        <v>36.835510657666667</v>
      </c>
      <c r="L383" s="37">
        <v>38.697783333333334</v>
      </c>
      <c r="M383" s="37">
        <f t="shared" si="44"/>
        <v>4.5935706666666674</v>
      </c>
      <c r="N383" s="117">
        <f t="shared" si="46"/>
        <v>5.599562642666668</v>
      </c>
      <c r="O383" s="45">
        <f t="shared" si="40"/>
        <v>0.61621677372180439</v>
      </c>
    </row>
    <row r="384" spans="1:15" s="69" customFormat="1" ht="15.75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3">
        <f>C384+D384+E384</f>
        <v>232188.71000000008</v>
      </c>
      <c r="G384" s="353">
        <f>SUM(G92:G383)</f>
        <v>51111.65999999996</v>
      </c>
      <c r="H384" s="9">
        <f>SUM(H92:H383)</f>
        <v>49893.479999999996</v>
      </c>
      <c r="I384" s="72">
        <f>H384/3000</f>
        <v>16.631159999999998</v>
      </c>
      <c r="J384" s="37">
        <f t="shared" si="45"/>
        <v>33545.216031599994</v>
      </c>
      <c r="K384" s="64">
        <f t="shared" ref="K384:K400" si="47">J384*0.3677</f>
        <v>12334.575934819319</v>
      </c>
      <c r="L384" s="37">
        <v>12973.211103333329</v>
      </c>
      <c r="M384" s="37">
        <f>SUM(M6:M383)</f>
        <v>7355.3125319466653</v>
      </c>
      <c r="N384" s="117">
        <f t="shared" si="46"/>
        <v>8966.1259764429851</v>
      </c>
      <c r="O384" s="45">
        <f t="shared" si="40"/>
        <v>0.285148729245704</v>
      </c>
    </row>
    <row r="385" spans="1:15" s="6" customFormat="1" ht="15.75">
      <c r="A385" s="52" t="s">
        <v>668</v>
      </c>
      <c r="B385" s="8"/>
      <c r="C385" s="8"/>
      <c r="D385" s="8"/>
      <c r="E385" s="8"/>
      <c r="F385" s="40">
        <f t="shared" ref="F385:F447" si="48">C385+D385+E385</f>
        <v>0</v>
      </c>
      <c r="G385" s="353"/>
      <c r="H385" s="8"/>
      <c r="I385" s="41"/>
      <c r="J385" s="37">
        <f>I385*2077.52</f>
        <v>0</v>
      </c>
      <c r="K385" s="37"/>
      <c r="L385" s="37">
        <v>0</v>
      </c>
      <c r="M385" s="37">
        <f>I385*84.08</f>
        <v>0</v>
      </c>
      <c r="N385" s="117">
        <f t="shared" si="46"/>
        <v>0</v>
      </c>
      <c r="O385" s="45" t="e">
        <f t="shared" si="40"/>
        <v>#DIV/0!</v>
      </c>
    </row>
    <row r="386" spans="1:15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40">
        <f t="shared" si="48"/>
        <v>4235</v>
      </c>
      <c r="G386" s="339">
        <v>2065</v>
      </c>
      <c r="H386" s="339">
        <v>1670</v>
      </c>
      <c r="I386" s="72">
        <f>H386/3000</f>
        <v>0.55666666666666664</v>
      </c>
      <c r="J386" s="37">
        <f t="shared" ref="J386:J449" si="49">I386*2017.01</f>
        <v>1122.8022333333333</v>
      </c>
      <c r="K386" s="37">
        <f t="shared" si="47"/>
        <v>412.85438119666668</v>
      </c>
      <c r="L386" s="342">
        <v>433.72683333333327</v>
      </c>
      <c r="M386" s="37">
        <f>I386*84.08*1.1*1.08</f>
        <v>55.603785600000009</v>
      </c>
      <c r="N386" s="117">
        <f t="shared" si="46"/>
        <v>67.78101464640001</v>
      </c>
      <c r="O386" s="45">
        <f t="shared" si="40"/>
        <v>0.47815519090043296</v>
      </c>
    </row>
    <row r="387" spans="1:15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40">
        <f t="shared" si="48"/>
        <v>12601</v>
      </c>
      <c r="G387" s="339">
        <v>5010</v>
      </c>
      <c r="H387" s="339">
        <v>3800</v>
      </c>
      <c r="I387" s="72">
        <f t="shared" ref="I387:I450" si="50">H387/3000</f>
        <v>1.2666666666666666</v>
      </c>
      <c r="J387" s="37">
        <f t="shared" si="49"/>
        <v>2554.8793333333333</v>
      </c>
      <c r="K387" s="37">
        <f t="shared" si="47"/>
        <v>939.4291308666667</v>
      </c>
      <c r="L387" s="342">
        <v>986.92333333333329</v>
      </c>
      <c r="M387" s="37">
        <f t="shared" ref="M387:M450" si="51">I387*84.08*1.1*1.08</f>
        <v>126.523584</v>
      </c>
      <c r="N387" s="117">
        <f t="shared" si="46"/>
        <v>154.23224889600002</v>
      </c>
      <c r="O387" s="45">
        <f t="shared" si="40"/>
        <v>0.3656658504510224</v>
      </c>
    </row>
    <row r="388" spans="1:15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40">
        <f t="shared" si="48"/>
        <v>12482</v>
      </c>
      <c r="G388" s="339">
        <v>4525</v>
      </c>
      <c r="H388" s="339">
        <v>4525</v>
      </c>
      <c r="I388" s="72">
        <f t="shared" si="50"/>
        <v>1.5083333333333333</v>
      </c>
      <c r="J388" s="37">
        <f t="shared" si="49"/>
        <v>3042.3234166666666</v>
      </c>
      <c r="K388" s="37">
        <f t="shared" si="47"/>
        <v>1118.6623203083334</v>
      </c>
      <c r="L388" s="342">
        <v>1175.2179166666665</v>
      </c>
      <c r="M388" s="37">
        <f t="shared" si="51"/>
        <v>150.66295200000002</v>
      </c>
      <c r="N388" s="117">
        <f t="shared" si="46"/>
        <v>183.65813848800005</v>
      </c>
      <c r="O388" s="45">
        <f t="shared" si="40"/>
        <v>0.43958232700221644</v>
      </c>
    </row>
    <row r="389" spans="1:15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40">
        <f t="shared" si="48"/>
        <v>6092</v>
      </c>
      <c r="G389" s="339">
        <v>1117</v>
      </c>
      <c r="H389" s="339">
        <v>1117</v>
      </c>
      <c r="I389" s="72">
        <f t="shared" si="50"/>
        <v>0.37233333333333335</v>
      </c>
      <c r="J389" s="37">
        <f t="shared" si="49"/>
        <v>751.00005666666675</v>
      </c>
      <c r="K389" s="37">
        <f t="shared" si="47"/>
        <v>276.14272083633341</v>
      </c>
      <c r="L389" s="342">
        <v>290.10351666666668</v>
      </c>
      <c r="M389" s="37">
        <f t="shared" si="51"/>
        <v>37.191274560000004</v>
      </c>
      <c r="N389" s="117">
        <f t="shared" si="46"/>
        <v>45.336163688640006</v>
      </c>
      <c r="O389" s="45">
        <f t="shared" si="40"/>
        <v>0.22233052671202672</v>
      </c>
    </row>
    <row r="390" spans="1:15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40">
        <f t="shared" si="48"/>
        <v>12853.2</v>
      </c>
      <c r="G390" s="339">
        <v>4562</v>
      </c>
      <c r="H390" s="339">
        <v>4538</v>
      </c>
      <c r="I390" s="72">
        <f t="shared" si="50"/>
        <v>1.5126666666666666</v>
      </c>
      <c r="J390" s="37">
        <f t="shared" si="49"/>
        <v>3051.0637933333333</v>
      </c>
      <c r="K390" s="37">
        <f t="shared" si="47"/>
        <v>1121.8761568086668</v>
      </c>
      <c r="L390" s="342">
        <v>1296.4536566666666</v>
      </c>
      <c r="M390" s="37">
        <f t="shared" si="51"/>
        <v>151.09579584000002</v>
      </c>
      <c r="N390" s="117">
        <f t="shared" si="46"/>
        <v>184.18577512896005</v>
      </c>
      <c r="O390" s="45">
        <f t="shared" si="40"/>
        <v>0.4372832759661926</v>
      </c>
    </row>
    <row r="391" spans="1:15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40">
        <f t="shared" si="48"/>
        <v>6317.1</v>
      </c>
      <c r="G391" s="339">
        <v>1301</v>
      </c>
      <c r="H391" s="339">
        <v>1301</v>
      </c>
      <c r="I391" s="72">
        <f t="shared" si="50"/>
        <v>0.43366666666666664</v>
      </c>
      <c r="J391" s="37">
        <f t="shared" si="49"/>
        <v>874.71000333333325</v>
      </c>
      <c r="K391" s="37">
        <f t="shared" si="47"/>
        <v>321.63086822566663</v>
      </c>
      <c r="L391" s="342">
        <v>337.89138333333329</v>
      </c>
      <c r="M391" s="37">
        <f t="shared" si="51"/>
        <v>43.317679680000005</v>
      </c>
      <c r="N391" s="117">
        <f t="shared" si="46"/>
        <v>52.804251529920009</v>
      </c>
      <c r="O391" s="45">
        <f t="shared" ref="O391:O454" si="52">(J391+K391+L391+M391)/F391</f>
        <v>0.24972692130444876</v>
      </c>
    </row>
    <row r="392" spans="1:15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40">
        <f t="shared" si="48"/>
        <v>6243.1</v>
      </c>
      <c r="G392" s="339">
        <v>1122</v>
      </c>
      <c r="H392" s="339">
        <v>1122</v>
      </c>
      <c r="I392" s="72">
        <f t="shared" si="50"/>
        <v>0.374</v>
      </c>
      <c r="J392" s="37">
        <f t="shared" si="49"/>
        <v>754.36173999999994</v>
      </c>
      <c r="K392" s="37">
        <f t="shared" si="47"/>
        <v>277.37881179800002</v>
      </c>
      <c r="L392" s="342">
        <v>291.40210000000002</v>
      </c>
      <c r="M392" s="37">
        <f t="shared" si="51"/>
        <v>37.357752960000006</v>
      </c>
      <c r="N392" s="117">
        <f t="shared" si="46"/>
        <v>45.539100858240012</v>
      </c>
      <c r="O392" s="45">
        <f t="shared" si="52"/>
        <v>0.21792064915795037</v>
      </c>
    </row>
    <row r="393" spans="1:15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40">
        <f t="shared" si="48"/>
        <v>3918</v>
      </c>
      <c r="G393" s="339">
        <v>1560</v>
      </c>
      <c r="H393" s="339">
        <v>1560</v>
      </c>
      <c r="I393" s="72">
        <f t="shared" si="50"/>
        <v>0.52</v>
      </c>
      <c r="J393" s="37">
        <f t="shared" si="49"/>
        <v>1048.8452</v>
      </c>
      <c r="K393" s="37">
        <f t="shared" si="47"/>
        <v>385.66038004000001</v>
      </c>
      <c r="L393" s="342">
        <v>121.5474</v>
      </c>
      <c r="M393" s="37">
        <f t="shared" si="51"/>
        <v>51.941260800000009</v>
      </c>
      <c r="N393" s="117">
        <f t="shared" si="46"/>
        <v>63.316396915200016</v>
      </c>
      <c r="O393" s="45">
        <f t="shared" si="52"/>
        <v>0.41041200633996938</v>
      </c>
    </row>
    <row r="394" spans="1:15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40">
        <f t="shared" si="48"/>
        <v>4332</v>
      </c>
      <c r="G394" s="339">
        <v>1792</v>
      </c>
      <c r="H394" s="339">
        <v>1792</v>
      </c>
      <c r="I394" s="72">
        <f t="shared" si="50"/>
        <v>0.59733333333333338</v>
      </c>
      <c r="J394" s="37">
        <f t="shared" si="49"/>
        <v>1204.8273066666668</v>
      </c>
      <c r="K394" s="37">
        <f t="shared" si="47"/>
        <v>443.01500066133343</v>
      </c>
      <c r="L394" s="342">
        <v>372.32981333333339</v>
      </c>
      <c r="M394" s="37">
        <f t="shared" si="51"/>
        <v>59.665858560000011</v>
      </c>
      <c r="N394" s="117">
        <f t="shared" si="46"/>
        <v>72.732681584640019</v>
      </c>
      <c r="O394" s="45">
        <f t="shared" si="52"/>
        <v>0.48011033684702992</v>
      </c>
    </row>
    <row r="395" spans="1:15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40">
        <f t="shared" si="48"/>
        <v>3911</v>
      </c>
      <c r="G395" s="339">
        <v>1760</v>
      </c>
      <c r="H395" s="339">
        <v>1670</v>
      </c>
      <c r="I395" s="72">
        <f t="shared" si="50"/>
        <v>0.55666666666666664</v>
      </c>
      <c r="J395" s="37">
        <f t="shared" si="49"/>
        <v>1122.8022333333333</v>
      </c>
      <c r="K395" s="37">
        <f t="shared" si="47"/>
        <v>412.85438119666668</v>
      </c>
      <c r="L395" s="342">
        <v>86.745366666666655</v>
      </c>
      <c r="M395" s="37">
        <f t="shared" si="51"/>
        <v>55.603785600000009</v>
      </c>
      <c r="N395" s="117">
        <f t="shared" si="46"/>
        <v>67.78101464640001</v>
      </c>
      <c r="O395" s="45">
        <f t="shared" si="52"/>
        <v>0.42904775423080205</v>
      </c>
    </row>
    <row r="396" spans="1:15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40">
        <f t="shared" si="48"/>
        <v>3338</v>
      </c>
      <c r="G396" s="339">
        <v>1385</v>
      </c>
      <c r="H396" s="339">
        <v>1385</v>
      </c>
      <c r="I396" s="72">
        <f t="shared" si="50"/>
        <v>0.46166666666666667</v>
      </c>
      <c r="J396" s="37">
        <f t="shared" si="49"/>
        <v>931.18628333333334</v>
      </c>
      <c r="K396" s="37">
        <f t="shared" si="47"/>
        <v>342.39719638166667</v>
      </c>
      <c r="L396" s="342">
        <v>359.70758333333333</v>
      </c>
      <c r="M396" s="37">
        <f t="shared" si="51"/>
        <v>46.114516800000004</v>
      </c>
      <c r="N396" s="117">
        <f t="shared" si="46"/>
        <v>56.213595979200008</v>
      </c>
      <c r="O396" s="45">
        <f t="shared" si="52"/>
        <v>0.50311730972089075</v>
      </c>
    </row>
    <row r="397" spans="1:15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40">
        <f t="shared" si="48"/>
        <v>3353</v>
      </c>
      <c r="G397" s="339">
        <v>1485</v>
      </c>
      <c r="H397" s="339">
        <v>1485</v>
      </c>
      <c r="I397" s="72">
        <f t="shared" si="50"/>
        <v>0.495</v>
      </c>
      <c r="J397" s="37">
        <f t="shared" si="49"/>
        <v>998.41994999999997</v>
      </c>
      <c r="K397" s="37">
        <f t="shared" si="47"/>
        <v>367.11901561500002</v>
      </c>
      <c r="L397" s="342">
        <v>385.67924999999997</v>
      </c>
      <c r="M397" s="37">
        <f t="shared" si="51"/>
        <v>49.444084799999999</v>
      </c>
      <c r="N397" s="117">
        <f t="shared" si="46"/>
        <v>60.272339371200005</v>
      </c>
      <c r="O397" s="45">
        <f t="shared" si="52"/>
        <v>0.53703021187444078</v>
      </c>
    </row>
    <row r="398" spans="1:15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40">
        <f t="shared" si="48"/>
        <v>4050</v>
      </c>
      <c r="G398" s="339">
        <v>2021</v>
      </c>
      <c r="H398" s="339">
        <v>2021</v>
      </c>
      <c r="I398" s="72">
        <f t="shared" si="50"/>
        <v>0.67366666666666664</v>
      </c>
      <c r="J398" s="37">
        <f t="shared" si="49"/>
        <v>1358.7924033333334</v>
      </c>
      <c r="K398" s="37">
        <f t="shared" si="47"/>
        <v>499.62796670566672</v>
      </c>
      <c r="L398" s="342">
        <v>314.93243000000001</v>
      </c>
      <c r="M398" s="37">
        <f t="shared" si="51"/>
        <v>67.29056928</v>
      </c>
      <c r="N398" s="117">
        <f t="shared" si="46"/>
        <v>82.027203952320008</v>
      </c>
      <c r="O398" s="45">
        <f t="shared" si="52"/>
        <v>0.55324527637506171</v>
      </c>
    </row>
    <row r="399" spans="1:15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40">
        <f t="shared" si="48"/>
        <v>4035</v>
      </c>
      <c r="G399" s="339">
        <v>1887</v>
      </c>
      <c r="H399" s="339">
        <v>1887</v>
      </c>
      <c r="I399" s="72">
        <f t="shared" si="50"/>
        <v>0.629</v>
      </c>
      <c r="J399" s="37">
        <f t="shared" si="49"/>
        <v>1268.69929</v>
      </c>
      <c r="K399" s="37">
        <f t="shared" si="47"/>
        <v>466.50072893300006</v>
      </c>
      <c r="L399" s="342">
        <v>343.05974499999996</v>
      </c>
      <c r="M399" s="37">
        <f t="shared" si="51"/>
        <v>62.82894816000001</v>
      </c>
      <c r="N399" s="117">
        <f t="shared" si="46"/>
        <v>76.588487807040011</v>
      </c>
      <c r="O399" s="45">
        <f t="shared" si="52"/>
        <v>0.53062917276158617</v>
      </c>
    </row>
    <row r="400" spans="1:15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40">
        <f t="shared" si="48"/>
        <v>4018</v>
      </c>
      <c r="G400" s="339">
        <v>1961</v>
      </c>
      <c r="H400" s="339">
        <v>1961</v>
      </c>
      <c r="I400" s="72">
        <f t="shared" si="50"/>
        <v>0.65366666666666662</v>
      </c>
      <c r="J400" s="37">
        <f t="shared" si="49"/>
        <v>1318.4522033333333</v>
      </c>
      <c r="K400" s="37">
        <f t="shared" si="47"/>
        <v>484.79487516566667</v>
      </c>
      <c r="L400" s="342">
        <v>305.58262999999999</v>
      </c>
      <c r="M400" s="37">
        <f t="shared" si="51"/>
        <v>65.292828479999997</v>
      </c>
      <c r="N400" s="117">
        <f t="shared" si="46"/>
        <v>79.591957917119998</v>
      </c>
      <c r="O400" s="45">
        <f t="shared" si="52"/>
        <v>0.54109570357864611</v>
      </c>
    </row>
    <row r="401" spans="1:15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40">
        <f t="shared" si="48"/>
        <v>4031</v>
      </c>
      <c r="G401" s="339">
        <v>1771</v>
      </c>
      <c r="H401" s="339">
        <v>1771</v>
      </c>
      <c r="I401" s="72">
        <f t="shared" si="50"/>
        <v>0.59033333333333338</v>
      </c>
      <c r="J401" s="37">
        <f t="shared" si="49"/>
        <v>1190.7082366666668</v>
      </c>
      <c r="K401" s="37">
        <f t="shared" ref="K401:K464" si="53">J401*0.3677</f>
        <v>437.82341862233341</v>
      </c>
      <c r="L401" s="342">
        <v>275.97493000000003</v>
      </c>
      <c r="M401" s="37">
        <f t="shared" si="51"/>
        <v>58.966649280000006</v>
      </c>
      <c r="N401" s="117">
        <f t="shared" si="46"/>
        <v>71.880345472320016</v>
      </c>
      <c r="O401" s="45">
        <f t="shared" si="52"/>
        <v>0.48709333529372373</v>
      </c>
    </row>
    <row r="402" spans="1:15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40">
        <f t="shared" si="48"/>
        <v>4302</v>
      </c>
      <c r="G402" s="339">
        <v>2086</v>
      </c>
      <c r="H402" s="339">
        <v>2086</v>
      </c>
      <c r="I402" s="72">
        <f t="shared" si="50"/>
        <v>0.69533333333333336</v>
      </c>
      <c r="J402" s="37">
        <f t="shared" si="49"/>
        <v>1402.4942866666668</v>
      </c>
      <c r="K402" s="37">
        <f t="shared" si="53"/>
        <v>515.69714920733338</v>
      </c>
      <c r="L402" s="342">
        <v>325.06137999999999</v>
      </c>
      <c r="M402" s="37">
        <f t="shared" si="51"/>
        <v>69.454788480000019</v>
      </c>
      <c r="N402" s="117">
        <f t="shared" si="46"/>
        <v>84.665387157120023</v>
      </c>
      <c r="O402" s="45">
        <f t="shared" si="52"/>
        <v>0.53758893639098093</v>
      </c>
    </row>
    <row r="403" spans="1:15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40">
        <f t="shared" si="48"/>
        <v>4275</v>
      </c>
      <c r="G403" s="339">
        <v>2086</v>
      </c>
      <c r="H403" s="339">
        <v>2086</v>
      </c>
      <c r="I403" s="72">
        <f t="shared" si="50"/>
        <v>0.69533333333333336</v>
      </c>
      <c r="J403" s="37">
        <f t="shared" si="49"/>
        <v>1402.4942866666668</v>
      </c>
      <c r="K403" s="37">
        <f t="shared" si="53"/>
        <v>515.69714920733338</v>
      </c>
      <c r="L403" s="342">
        <v>270.88448333333332</v>
      </c>
      <c r="M403" s="37">
        <f t="shared" si="51"/>
        <v>69.454788480000019</v>
      </c>
      <c r="N403" s="117">
        <f t="shared" si="46"/>
        <v>84.665387157120023</v>
      </c>
      <c r="O403" s="45">
        <f t="shared" si="52"/>
        <v>0.52831127665200772</v>
      </c>
    </row>
    <row r="404" spans="1:15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40">
        <f t="shared" si="48"/>
        <v>4125</v>
      </c>
      <c r="G404" s="339">
        <v>893</v>
      </c>
      <c r="H404" s="339">
        <v>893</v>
      </c>
      <c r="I404" s="72">
        <f t="shared" si="50"/>
        <v>0.29766666666666669</v>
      </c>
      <c r="J404" s="37">
        <f t="shared" si="49"/>
        <v>600.39664333333337</v>
      </c>
      <c r="K404" s="37">
        <f t="shared" si="53"/>
        <v>220.7658457536667</v>
      </c>
      <c r="L404" s="342">
        <v>231.92698333333334</v>
      </c>
      <c r="M404" s="37">
        <f t="shared" si="51"/>
        <v>29.733042240000003</v>
      </c>
      <c r="N404" s="117">
        <f t="shared" si="46"/>
        <v>36.244578490560009</v>
      </c>
      <c r="O404" s="45">
        <f t="shared" si="52"/>
        <v>0.26250242779644445</v>
      </c>
    </row>
    <row r="405" spans="1:15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40">
        <f t="shared" si="48"/>
        <v>3975</v>
      </c>
      <c r="G405" s="339">
        <v>1185</v>
      </c>
      <c r="H405" s="339">
        <v>1185</v>
      </c>
      <c r="I405" s="72">
        <f t="shared" si="50"/>
        <v>0.39500000000000002</v>
      </c>
      <c r="J405" s="37">
        <f t="shared" si="49"/>
        <v>796.71895000000006</v>
      </c>
      <c r="K405" s="37">
        <f t="shared" si="53"/>
        <v>292.95355791500003</v>
      </c>
      <c r="L405" s="342">
        <v>307.76425</v>
      </c>
      <c r="M405" s="37">
        <f t="shared" si="51"/>
        <v>39.455380800000015</v>
      </c>
      <c r="N405" s="117">
        <f t="shared" si="46"/>
        <v>48.096109195200022</v>
      </c>
      <c r="O405" s="45">
        <f t="shared" si="52"/>
        <v>0.36148229904779877</v>
      </c>
    </row>
    <row r="406" spans="1:15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40">
        <f t="shared" si="48"/>
        <v>3357</v>
      </c>
      <c r="G406" s="339">
        <v>1145</v>
      </c>
      <c r="H406" s="339">
        <v>1145</v>
      </c>
      <c r="I406" s="72">
        <f t="shared" si="50"/>
        <v>0.38166666666666665</v>
      </c>
      <c r="J406" s="37">
        <f t="shared" si="49"/>
        <v>769.8254833333333</v>
      </c>
      <c r="K406" s="37">
        <f t="shared" si="53"/>
        <v>283.06483022166668</v>
      </c>
      <c r="L406" s="342">
        <v>297.37558333333334</v>
      </c>
      <c r="M406" s="37">
        <f t="shared" si="51"/>
        <v>38.123553600000008</v>
      </c>
      <c r="N406" s="117">
        <f t="shared" si="46"/>
        <v>46.472611838400013</v>
      </c>
      <c r="O406" s="45">
        <f t="shared" si="52"/>
        <v>0.41358041420563996</v>
      </c>
    </row>
    <row r="407" spans="1:15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40">
        <f t="shared" si="48"/>
        <v>6146</v>
      </c>
      <c r="G407" s="339">
        <v>2382</v>
      </c>
      <c r="H407" s="339">
        <v>2382</v>
      </c>
      <c r="I407" s="72">
        <f t="shared" si="50"/>
        <v>0.79400000000000004</v>
      </c>
      <c r="J407" s="37">
        <f t="shared" si="49"/>
        <v>1601.50594</v>
      </c>
      <c r="K407" s="37">
        <f t="shared" si="53"/>
        <v>588.87373413800003</v>
      </c>
      <c r="L407" s="342">
        <v>371.18705999999997</v>
      </c>
      <c r="M407" s="37">
        <f t="shared" si="51"/>
        <v>79.31030976000001</v>
      </c>
      <c r="N407" s="117">
        <f t="shared" si="46"/>
        <v>96.679267597440017</v>
      </c>
      <c r="O407" s="45">
        <f t="shared" si="52"/>
        <v>0.42969037486137335</v>
      </c>
    </row>
    <row r="408" spans="1:15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40">
        <f t="shared" si="48"/>
        <v>983</v>
      </c>
      <c r="G408" s="339">
        <v>540</v>
      </c>
      <c r="H408" s="339">
        <v>540</v>
      </c>
      <c r="I408" s="72">
        <f t="shared" si="50"/>
        <v>0.18</v>
      </c>
      <c r="J408" s="37">
        <f t="shared" si="49"/>
        <v>363.06180000000001</v>
      </c>
      <c r="K408" s="37">
        <f t="shared" si="53"/>
        <v>133.49782386000001</v>
      </c>
      <c r="L408" s="342">
        <v>140.24699999999999</v>
      </c>
      <c r="M408" s="37">
        <f t="shared" si="51"/>
        <v>17.979667200000005</v>
      </c>
      <c r="N408" s="117">
        <f t="shared" si="46"/>
        <v>21.917214316800006</v>
      </c>
      <c r="O408" s="45">
        <f t="shared" si="52"/>
        <v>0.66611016384537125</v>
      </c>
    </row>
    <row r="409" spans="1:15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40">
        <f t="shared" si="48"/>
        <v>3815</v>
      </c>
      <c r="G409" s="339">
        <v>1023</v>
      </c>
      <c r="H409" s="339">
        <v>1023</v>
      </c>
      <c r="I409" s="72">
        <f t="shared" si="50"/>
        <v>0.34100000000000003</v>
      </c>
      <c r="J409" s="37">
        <f t="shared" si="49"/>
        <v>687.80041000000006</v>
      </c>
      <c r="K409" s="37">
        <f t="shared" si="53"/>
        <v>252.90421075700004</v>
      </c>
      <c r="L409" s="342">
        <v>53.138030000000008</v>
      </c>
      <c r="M409" s="37">
        <f t="shared" si="51"/>
        <v>34.061480640000013</v>
      </c>
      <c r="N409" s="117">
        <f t="shared" si="46"/>
        <v>41.520944900160018</v>
      </c>
      <c r="O409" s="45">
        <f t="shared" si="52"/>
        <v>0.269437518059502</v>
      </c>
    </row>
    <row r="410" spans="1:15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40">
        <f t="shared" si="48"/>
        <v>4215</v>
      </c>
      <c r="G410" s="339">
        <v>1066</v>
      </c>
      <c r="H410" s="339">
        <v>1066</v>
      </c>
      <c r="I410" s="72">
        <f t="shared" si="50"/>
        <v>0.35533333333333333</v>
      </c>
      <c r="J410" s="37">
        <f t="shared" si="49"/>
        <v>716.71088666666662</v>
      </c>
      <c r="K410" s="37">
        <f t="shared" si="53"/>
        <v>263.53459302733336</v>
      </c>
      <c r="L410" s="342">
        <v>276.85796666666664</v>
      </c>
      <c r="M410" s="37">
        <f t="shared" si="51"/>
        <v>35.493194880000004</v>
      </c>
      <c r="N410" s="117">
        <f t="shared" si="46"/>
        <v>43.266204558720005</v>
      </c>
      <c r="O410" s="45">
        <f t="shared" si="52"/>
        <v>0.30666586980798732</v>
      </c>
    </row>
    <row r="411" spans="1:15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40">
        <f t="shared" si="48"/>
        <v>12662</v>
      </c>
      <c r="G411" s="339">
        <v>4062</v>
      </c>
      <c r="H411" s="339">
        <v>4062</v>
      </c>
      <c r="I411" s="72">
        <f t="shared" si="50"/>
        <v>1.3540000000000001</v>
      </c>
      <c r="J411" s="37">
        <f t="shared" si="49"/>
        <v>2731.0315399999999</v>
      </c>
      <c r="K411" s="37">
        <f t="shared" si="53"/>
        <v>1004.2002972580001</v>
      </c>
      <c r="L411" s="342">
        <v>843.97528000000011</v>
      </c>
      <c r="M411" s="37">
        <f t="shared" si="51"/>
        <v>135.24705216000004</v>
      </c>
      <c r="N411" s="117">
        <f t="shared" si="46"/>
        <v>164.86615658304007</v>
      </c>
      <c r="O411" s="45">
        <f t="shared" si="52"/>
        <v>0.37233092476844099</v>
      </c>
    </row>
    <row r="412" spans="1:15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40">
        <f t="shared" si="48"/>
        <v>3976</v>
      </c>
      <c r="G412" s="339">
        <v>1265</v>
      </c>
      <c r="H412" s="339">
        <v>1265</v>
      </c>
      <c r="I412" s="72">
        <f t="shared" si="50"/>
        <v>0.42166666666666669</v>
      </c>
      <c r="J412" s="37">
        <f t="shared" si="49"/>
        <v>850.50588333333337</v>
      </c>
      <c r="K412" s="37">
        <f t="shared" si="53"/>
        <v>312.73101330166668</v>
      </c>
      <c r="L412" s="342">
        <v>65.708316666666676</v>
      </c>
      <c r="M412" s="37">
        <f t="shared" si="51"/>
        <v>42.119035200000006</v>
      </c>
      <c r="N412" s="117">
        <f t="shared" si="46"/>
        <v>51.343103908800011</v>
      </c>
      <c r="O412" s="45">
        <f t="shared" si="52"/>
        <v>0.31968416712818581</v>
      </c>
    </row>
    <row r="413" spans="1:15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40">
        <f t="shared" si="48"/>
        <v>12839</v>
      </c>
      <c r="G413" s="339">
        <v>3787</v>
      </c>
      <c r="H413" s="339">
        <v>3787</v>
      </c>
      <c r="I413" s="72">
        <f t="shared" si="50"/>
        <v>1.2623333333333333</v>
      </c>
      <c r="J413" s="37">
        <f t="shared" si="49"/>
        <v>2546.1389566666667</v>
      </c>
      <c r="K413" s="37">
        <f t="shared" si="53"/>
        <v>936.21529436633341</v>
      </c>
      <c r="L413" s="342">
        <v>983.54701666666665</v>
      </c>
      <c r="M413" s="37">
        <f t="shared" si="51"/>
        <v>126.09074016000001</v>
      </c>
      <c r="N413" s="117">
        <f t="shared" ref="N413:N476" si="54">M413*1.219</f>
        <v>153.70461225504002</v>
      </c>
      <c r="O413" s="45">
        <f t="shared" si="52"/>
        <v>0.35765963142453977</v>
      </c>
    </row>
    <row r="414" spans="1:15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40">
        <f t="shared" si="48"/>
        <v>10313</v>
      </c>
      <c r="G414" s="339">
        <v>4027</v>
      </c>
      <c r="H414" s="339">
        <v>3932</v>
      </c>
      <c r="I414" s="72">
        <f t="shared" si="50"/>
        <v>1.3106666666666666</v>
      </c>
      <c r="J414" s="37">
        <f t="shared" si="49"/>
        <v>2643.6277733333332</v>
      </c>
      <c r="K414" s="37">
        <f t="shared" si="53"/>
        <v>972.06193225466666</v>
      </c>
      <c r="L414" s="342">
        <v>1021.2059333333333</v>
      </c>
      <c r="M414" s="37">
        <f t="shared" si="51"/>
        <v>130.91861376</v>
      </c>
      <c r="N414" s="117">
        <f t="shared" si="54"/>
        <v>159.58979017344001</v>
      </c>
      <c r="O414" s="45">
        <f t="shared" si="52"/>
        <v>0.46231108820724653</v>
      </c>
    </row>
    <row r="415" spans="1:15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40">
        <f t="shared" si="48"/>
        <v>6385</v>
      </c>
      <c r="G415" s="339">
        <v>2081</v>
      </c>
      <c r="H415" s="339">
        <v>2081</v>
      </c>
      <c r="I415" s="72">
        <f t="shared" si="50"/>
        <v>0.69366666666666665</v>
      </c>
      <c r="J415" s="37">
        <f t="shared" si="49"/>
        <v>1399.1326033333332</v>
      </c>
      <c r="K415" s="37">
        <f t="shared" si="53"/>
        <v>514.46105824566666</v>
      </c>
      <c r="L415" s="342">
        <v>540.4703833333333</v>
      </c>
      <c r="M415" s="37">
        <f t="shared" si="51"/>
        <v>69.288310080000016</v>
      </c>
      <c r="N415" s="117">
        <f t="shared" si="54"/>
        <v>84.462449987520031</v>
      </c>
      <c r="O415" s="45">
        <f t="shared" si="52"/>
        <v>0.39520005559785948</v>
      </c>
    </row>
    <row r="416" spans="1:15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40">
        <f t="shared" si="48"/>
        <v>3041.2</v>
      </c>
      <c r="G416" s="339">
        <v>608</v>
      </c>
      <c r="H416" s="339">
        <v>608</v>
      </c>
      <c r="I416" s="72">
        <f t="shared" si="50"/>
        <v>0.20266666666666666</v>
      </c>
      <c r="J416" s="37">
        <f t="shared" si="49"/>
        <v>408.78069333333332</v>
      </c>
      <c r="K416" s="37">
        <f t="shared" si="53"/>
        <v>150.30866093866666</v>
      </c>
      <c r="L416" s="342">
        <v>110.53541333333331</v>
      </c>
      <c r="M416" s="37">
        <f t="shared" si="51"/>
        <v>20.243773440000002</v>
      </c>
      <c r="N416" s="117">
        <f t="shared" si="54"/>
        <v>24.677159823360004</v>
      </c>
      <c r="O416" s="45">
        <f t="shared" si="52"/>
        <v>0.22684089867333074</v>
      </c>
    </row>
    <row r="417" spans="1:15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40">
        <f t="shared" si="48"/>
        <v>3886</v>
      </c>
      <c r="G417" s="339">
        <v>656</v>
      </c>
      <c r="H417" s="339">
        <v>685</v>
      </c>
      <c r="I417" s="72">
        <f t="shared" si="50"/>
        <v>0.22833333333333333</v>
      </c>
      <c r="J417" s="37">
        <f t="shared" si="49"/>
        <v>460.55061666666666</v>
      </c>
      <c r="K417" s="37">
        <f t="shared" si="53"/>
        <v>169.34446174833334</v>
      </c>
      <c r="L417" s="342">
        <v>177.90591666666666</v>
      </c>
      <c r="M417" s="37">
        <f t="shared" si="51"/>
        <v>22.807540800000002</v>
      </c>
      <c r="N417" s="117">
        <f t="shared" si="54"/>
        <v>27.802392235200003</v>
      </c>
      <c r="O417" s="45">
        <f t="shared" si="52"/>
        <v>0.21374383321710411</v>
      </c>
    </row>
    <row r="418" spans="1:15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40">
        <f t="shared" si="48"/>
        <v>4071</v>
      </c>
      <c r="G418" s="339">
        <v>631</v>
      </c>
      <c r="H418" s="339">
        <v>631</v>
      </c>
      <c r="I418" s="72">
        <f t="shared" si="50"/>
        <v>0.21033333333333334</v>
      </c>
      <c r="J418" s="37">
        <f t="shared" si="49"/>
        <v>424.24443666666667</v>
      </c>
      <c r="K418" s="37">
        <f t="shared" si="53"/>
        <v>155.99467936233336</v>
      </c>
      <c r="L418" s="342">
        <v>163.88121666666666</v>
      </c>
      <c r="M418" s="37">
        <f t="shared" si="51"/>
        <v>21.00957408</v>
      </c>
      <c r="N418" s="117">
        <f t="shared" si="54"/>
        <v>25.610670803520001</v>
      </c>
      <c r="O418" s="45">
        <f t="shared" si="52"/>
        <v>0.18794642760394661</v>
      </c>
    </row>
    <row r="419" spans="1:15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40">
        <f t="shared" si="48"/>
        <v>352.6</v>
      </c>
      <c r="G419" s="339">
        <v>52</v>
      </c>
      <c r="H419" s="339">
        <v>70</v>
      </c>
      <c r="I419" s="72">
        <f t="shared" si="50"/>
        <v>2.3333333333333334E-2</v>
      </c>
      <c r="J419" s="37">
        <f t="shared" si="49"/>
        <v>47.063566666666667</v>
      </c>
      <c r="K419" s="37">
        <f t="shared" si="53"/>
        <v>17.305273463333336</v>
      </c>
      <c r="L419" s="342">
        <v>18.180166666666668</v>
      </c>
      <c r="M419" s="37">
        <f t="shared" si="51"/>
        <v>2.3306976000000006</v>
      </c>
      <c r="N419" s="117">
        <f t="shared" si="54"/>
        <v>2.8411203744000009</v>
      </c>
      <c r="O419" s="45">
        <f t="shared" si="52"/>
        <v>0.24072519681414251</v>
      </c>
    </row>
    <row r="420" spans="1:15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40">
        <f t="shared" si="48"/>
        <v>656.95</v>
      </c>
      <c r="G420" s="339">
        <v>144</v>
      </c>
      <c r="H420" s="339">
        <v>144</v>
      </c>
      <c r="I420" s="72">
        <f t="shared" si="50"/>
        <v>4.8000000000000001E-2</v>
      </c>
      <c r="J420" s="37">
        <f t="shared" si="49"/>
        <v>96.816479999999999</v>
      </c>
      <c r="K420" s="37">
        <f t="shared" si="53"/>
        <v>35.599419696000005</v>
      </c>
      <c r="L420" s="342">
        <v>37.3992</v>
      </c>
      <c r="M420" s="37">
        <f t="shared" si="51"/>
        <v>4.7945779200000009</v>
      </c>
      <c r="N420" s="117">
        <f t="shared" si="54"/>
        <v>5.8445904844800012</v>
      </c>
      <c r="O420" s="45">
        <f t="shared" si="52"/>
        <v>0.26578838209300554</v>
      </c>
    </row>
    <row r="421" spans="1:15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40">
        <f t="shared" si="48"/>
        <v>485.16</v>
      </c>
      <c r="G421" s="339">
        <v>124</v>
      </c>
      <c r="H421" s="339">
        <v>124</v>
      </c>
      <c r="I421" s="72">
        <f t="shared" si="50"/>
        <v>4.1333333333333333E-2</v>
      </c>
      <c r="J421" s="37">
        <f t="shared" si="49"/>
        <v>83.369746666666671</v>
      </c>
      <c r="K421" s="37">
        <f t="shared" si="53"/>
        <v>30.655055849333337</v>
      </c>
      <c r="L421" s="342">
        <v>32.204866666666668</v>
      </c>
      <c r="M421" s="37">
        <f t="shared" si="51"/>
        <v>4.1286643200000004</v>
      </c>
      <c r="N421" s="117">
        <f t="shared" si="54"/>
        <v>5.0328418060800004</v>
      </c>
      <c r="O421" s="45">
        <f t="shared" si="52"/>
        <v>0.30991494249869461</v>
      </c>
    </row>
    <row r="422" spans="1:15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40">
        <f t="shared" si="48"/>
        <v>286.92</v>
      </c>
      <c r="G422" s="339">
        <v>124</v>
      </c>
      <c r="H422" s="339">
        <v>102</v>
      </c>
      <c r="I422" s="72">
        <f t="shared" si="50"/>
        <v>3.4000000000000002E-2</v>
      </c>
      <c r="J422" s="37">
        <f t="shared" si="49"/>
        <v>68.578340000000011</v>
      </c>
      <c r="K422" s="37">
        <f t="shared" si="53"/>
        <v>25.216255618000005</v>
      </c>
      <c r="L422" s="342">
        <v>26.491099999999999</v>
      </c>
      <c r="M422" s="37">
        <f t="shared" si="51"/>
        <v>3.3961593600000004</v>
      </c>
      <c r="N422" s="117">
        <f t="shared" si="54"/>
        <v>4.1399182598400008</v>
      </c>
      <c r="O422" s="45">
        <f t="shared" si="52"/>
        <v>0.43106738804544825</v>
      </c>
    </row>
    <row r="423" spans="1:15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40">
        <f t="shared" si="48"/>
        <v>226.94</v>
      </c>
      <c r="G423" s="339">
        <v>94</v>
      </c>
      <c r="H423" s="339">
        <v>94</v>
      </c>
      <c r="I423" s="72">
        <f t="shared" si="50"/>
        <v>3.1333333333333331E-2</v>
      </c>
      <c r="J423" s="37">
        <f t="shared" si="49"/>
        <v>63.199646666666659</v>
      </c>
      <c r="K423" s="37">
        <f t="shared" si="53"/>
        <v>23.238510079333331</v>
      </c>
      <c r="L423" s="342">
        <v>24.413366666666665</v>
      </c>
      <c r="M423" s="37">
        <f t="shared" si="51"/>
        <v>3.12979392</v>
      </c>
      <c r="N423" s="117">
        <f t="shared" si="54"/>
        <v>3.8152187884800002</v>
      </c>
      <c r="O423" s="45">
        <f t="shared" si="52"/>
        <v>0.50225309479451241</v>
      </c>
    </row>
    <row r="424" spans="1:15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40">
        <f t="shared" si="48"/>
        <v>307.14999999999998</v>
      </c>
      <c r="G424" s="339">
        <v>124</v>
      </c>
      <c r="H424" s="339">
        <v>104</v>
      </c>
      <c r="I424" s="72">
        <f t="shared" si="50"/>
        <v>3.4666666666666665E-2</v>
      </c>
      <c r="J424" s="37">
        <f t="shared" si="49"/>
        <v>69.92301333333333</v>
      </c>
      <c r="K424" s="37">
        <f t="shared" si="53"/>
        <v>25.710692002666669</v>
      </c>
      <c r="L424" s="342">
        <v>27.010533333333331</v>
      </c>
      <c r="M424" s="37">
        <f t="shared" si="51"/>
        <v>3.4627507200000003</v>
      </c>
      <c r="N424" s="117">
        <f t="shared" si="54"/>
        <v>4.2210931276800006</v>
      </c>
      <c r="O424" s="45">
        <f t="shared" si="52"/>
        <v>0.41057134751532909</v>
      </c>
    </row>
    <row r="425" spans="1:15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40">
        <f t="shared" si="48"/>
        <v>329.65</v>
      </c>
      <c r="G425" s="339">
        <v>108</v>
      </c>
      <c r="H425" s="339">
        <v>99</v>
      </c>
      <c r="I425" s="72">
        <f t="shared" si="50"/>
        <v>3.3000000000000002E-2</v>
      </c>
      <c r="J425" s="37">
        <f t="shared" si="49"/>
        <v>66.561329999999998</v>
      </c>
      <c r="K425" s="37">
        <f t="shared" si="53"/>
        <v>24.474601041</v>
      </c>
      <c r="L425" s="342">
        <v>25.711950000000002</v>
      </c>
      <c r="M425" s="37">
        <f t="shared" si="51"/>
        <v>3.2962723200000008</v>
      </c>
      <c r="N425" s="117">
        <f t="shared" si="54"/>
        <v>4.0181559580800013</v>
      </c>
      <c r="O425" s="45">
        <f t="shared" si="52"/>
        <v>0.364156388172304</v>
      </c>
    </row>
    <row r="426" spans="1:15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40">
        <f t="shared" si="48"/>
        <v>255.16</v>
      </c>
      <c r="G426" s="339">
        <v>108</v>
      </c>
      <c r="H426" s="339">
        <v>99</v>
      </c>
      <c r="I426" s="72">
        <f t="shared" si="50"/>
        <v>3.3000000000000002E-2</v>
      </c>
      <c r="J426" s="37">
        <f t="shared" si="49"/>
        <v>66.561329999999998</v>
      </c>
      <c r="K426" s="37">
        <f t="shared" si="53"/>
        <v>24.474601041</v>
      </c>
      <c r="L426" s="342">
        <v>25.711950000000002</v>
      </c>
      <c r="M426" s="37">
        <f t="shared" si="51"/>
        <v>3.2962723200000008</v>
      </c>
      <c r="N426" s="117">
        <f t="shared" si="54"/>
        <v>4.0181559580800013</v>
      </c>
      <c r="O426" s="45">
        <f t="shared" si="52"/>
        <v>0.47046619125646655</v>
      </c>
    </row>
    <row r="427" spans="1:15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40">
        <f t="shared" si="48"/>
        <v>509.32</v>
      </c>
      <c r="G427" s="339">
        <v>88</v>
      </c>
      <c r="H427" s="339">
        <v>58</v>
      </c>
      <c r="I427" s="72">
        <f t="shared" si="50"/>
        <v>1.9333333333333334E-2</v>
      </c>
      <c r="J427" s="37">
        <f t="shared" si="49"/>
        <v>38.99552666666667</v>
      </c>
      <c r="K427" s="37">
        <f t="shared" si="53"/>
        <v>14.338655155333337</v>
      </c>
      <c r="L427" s="342">
        <v>15.063566666666667</v>
      </c>
      <c r="M427" s="37">
        <f t="shared" si="51"/>
        <v>1.9311494400000004</v>
      </c>
      <c r="N427" s="117">
        <f t="shared" si="54"/>
        <v>2.3540711673600008</v>
      </c>
      <c r="O427" s="45">
        <f t="shared" si="52"/>
        <v>0.13808391174245402</v>
      </c>
    </row>
    <row r="428" spans="1:15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40">
        <f t="shared" si="48"/>
        <v>509.19</v>
      </c>
      <c r="G428" s="339">
        <v>181</v>
      </c>
      <c r="H428" s="339">
        <v>141</v>
      </c>
      <c r="I428" s="72">
        <f t="shared" si="50"/>
        <v>4.7E-2</v>
      </c>
      <c r="J428" s="37">
        <f t="shared" si="49"/>
        <v>94.799469999999999</v>
      </c>
      <c r="K428" s="37">
        <f t="shared" si="53"/>
        <v>34.857765119</v>
      </c>
      <c r="L428" s="342">
        <v>29.296040000000001</v>
      </c>
      <c r="M428" s="37">
        <f t="shared" si="51"/>
        <v>4.6946908800000005</v>
      </c>
      <c r="N428" s="117">
        <f t="shared" si="54"/>
        <v>5.7228281827200007</v>
      </c>
      <c r="O428" s="45">
        <f t="shared" si="52"/>
        <v>0.32138880574834544</v>
      </c>
    </row>
    <row r="429" spans="1:15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40">
        <f t="shared" si="48"/>
        <v>291.43</v>
      </c>
      <c r="G429" s="339">
        <v>124</v>
      </c>
      <c r="H429" s="339">
        <v>95</v>
      </c>
      <c r="I429" s="72">
        <f t="shared" si="50"/>
        <v>3.1666666666666669E-2</v>
      </c>
      <c r="J429" s="37">
        <f t="shared" si="49"/>
        <v>63.87198333333334</v>
      </c>
      <c r="K429" s="37">
        <f t="shared" si="53"/>
        <v>23.48572827166667</v>
      </c>
      <c r="L429" s="342">
        <v>24.673083333333334</v>
      </c>
      <c r="M429" s="37">
        <f t="shared" si="51"/>
        <v>3.1630896000000011</v>
      </c>
      <c r="N429" s="117">
        <f t="shared" si="54"/>
        <v>3.8558062224000014</v>
      </c>
      <c r="O429" s="45">
        <f t="shared" si="52"/>
        <v>0.39527119561587121</v>
      </c>
    </row>
    <row r="430" spans="1:15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40">
        <f t="shared" si="48"/>
        <v>449.48</v>
      </c>
      <c r="G430" s="339">
        <v>112</v>
      </c>
      <c r="H430" s="339">
        <v>79</v>
      </c>
      <c r="I430" s="72">
        <f t="shared" si="50"/>
        <v>2.6333333333333334E-2</v>
      </c>
      <c r="J430" s="37">
        <f t="shared" si="49"/>
        <v>53.114596666666664</v>
      </c>
      <c r="K430" s="37">
        <f t="shared" si="53"/>
        <v>19.530237194333335</v>
      </c>
      <c r="L430" s="342">
        <v>20.517616666666665</v>
      </c>
      <c r="M430" s="37">
        <f t="shared" si="51"/>
        <v>2.6303587200000003</v>
      </c>
      <c r="N430" s="117">
        <f t="shared" si="54"/>
        <v>3.2064072796800005</v>
      </c>
      <c r="O430" s="45">
        <f t="shared" si="52"/>
        <v>0.21311918049227255</v>
      </c>
    </row>
    <row r="431" spans="1:15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40">
        <f t="shared" si="48"/>
        <v>467.46</v>
      </c>
      <c r="G431" s="339">
        <v>124</v>
      </c>
      <c r="H431" s="339">
        <v>86</v>
      </c>
      <c r="I431" s="72">
        <f t="shared" si="50"/>
        <v>2.8666666666666667E-2</v>
      </c>
      <c r="J431" s="37">
        <f t="shared" si="49"/>
        <v>57.820953333333335</v>
      </c>
      <c r="K431" s="37">
        <f t="shared" si="53"/>
        <v>21.260764540666671</v>
      </c>
      <c r="L431" s="342">
        <v>22.335633333333334</v>
      </c>
      <c r="M431" s="37">
        <f t="shared" si="51"/>
        <v>2.8634284800000001</v>
      </c>
      <c r="N431" s="117">
        <f t="shared" si="54"/>
        <v>3.4905193171200004</v>
      </c>
      <c r="O431" s="45">
        <f t="shared" si="52"/>
        <v>0.22307957833254896</v>
      </c>
    </row>
    <row r="432" spans="1:15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40">
        <f t="shared" si="48"/>
        <v>558.4</v>
      </c>
      <c r="G432" s="339">
        <v>0</v>
      </c>
      <c r="H432" s="339"/>
      <c r="I432" s="72">
        <f t="shared" si="50"/>
        <v>0</v>
      </c>
      <c r="J432" s="37">
        <f t="shared" si="49"/>
        <v>0</v>
      </c>
      <c r="K432" s="37">
        <f t="shared" si="53"/>
        <v>0</v>
      </c>
      <c r="L432" s="342">
        <v>0</v>
      </c>
      <c r="M432" s="37">
        <f t="shared" si="51"/>
        <v>0</v>
      </c>
      <c r="N432" s="117">
        <f t="shared" si="54"/>
        <v>0</v>
      </c>
      <c r="O432" s="45">
        <f t="shared" si="52"/>
        <v>0</v>
      </c>
    </row>
    <row r="433" spans="1:15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40">
        <f t="shared" si="48"/>
        <v>331.42</v>
      </c>
      <c r="G433" s="339">
        <v>0</v>
      </c>
      <c r="H433" s="339"/>
      <c r="I433" s="72">
        <f t="shared" si="50"/>
        <v>0</v>
      </c>
      <c r="J433" s="37">
        <f t="shared" si="49"/>
        <v>0</v>
      </c>
      <c r="K433" s="37">
        <f t="shared" si="53"/>
        <v>0</v>
      </c>
      <c r="L433" s="342">
        <v>0</v>
      </c>
      <c r="M433" s="37">
        <f t="shared" si="51"/>
        <v>0</v>
      </c>
      <c r="N433" s="117">
        <f t="shared" si="54"/>
        <v>0</v>
      </c>
      <c r="O433" s="45">
        <f t="shared" si="52"/>
        <v>0</v>
      </c>
    </row>
    <row r="434" spans="1:15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40">
        <f t="shared" si="48"/>
        <v>154.9</v>
      </c>
      <c r="G434" s="339">
        <v>75</v>
      </c>
      <c r="H434" s="339">
        <v>75</v>
      </c>
      <c r="I434" s="72">
        <f t="shared" si="50"/>
        <v>2.5000000000000001E-2</v>
      </c>
      <c r="J434" s="37">
        <f t="shared" si="49"/>
        <v>50.425250000000005</v>
      </c>
      <c r="K434" s="37">
        <f t="shared" si="53"/>
        <v>18.541364425000005</v>
      </c>
      <c r="L434" s="342">
        <v>13.635125</v>
      </c>
      <c r="M434" s="37">
        <f t="shared" si="51"/>
        <v>2.4971760000000005</v>
      </c>
      <c r="N434" s="117">
        <f t="shared" si="54"/>
        <v>3.0440575440000006</v>
      </c>
      <c r="O434" s="45">
        <f t="shared" si="52"/>
        <v>0.54937969932214337</v>
      </c>
    </row>
    <row r="435" spans="1:15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40">
        <f t="shared" si="48"/>
        <v>119.9</v>
      </c>
      <c r="G435" s="339">
        <v>80</v>
      </c>
      <c r="H435" s="339">
        <v>76</v>
      </c>
      <c r="I435" s="72">
        <f t="shared" si="50"/>
        <v>2.5333333333333333E-2</v>
      </c>
      <c r="J435" s="37">
        <f t="shared" si="49"/>
        <v>51.097586666666665</v>
      </c>
      <c r="K435" s="37">
        <f t="shared" si="53"/>
        <v>18.788582617333333</v>
      </c>
      <c r="L435" s="342">
        <v>14.606465333333331</v>
      </c>
      <c r="M435" s="37">
        <f t="shared" si="51"/>
        <v>2.5304716800000002</v>
      </c>
      <c r="N435" s="117">
        <f t="shared" si="54"/>
        <v>3.0846449779200005</v>
      </c>
      <c r="O435" s="45">
        <f t="shared" si="52"/>
        <v>0.72579738363080348</v>
      </c>
    </row>
    <row r="436" spans="1:15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40">
        <f t="shared" si="48"/>
        <v>300.3</v>
      </c>
      <c r="G436" s="339">
        <v>106</v>
      </c>
      <c r="H436" s="339">
        <v>106</v>
      </c>
      <c r="I436" s="72">
        <f t="shared" si="50"/>
        <v>3.5333333333333335E-2</v>
      </c>
      <c r="J436" s="37">
        <f t="shared" si="49"/>
        <v>71.267686666666663</v>
      </c>
      <c r="K436" s="37">
        <f t="shared" si="53"/>
        <v>26.205128387333335</v>
      </c>
      <c r="L436" s="342">
        <v>27.529966666666667</v>
      </c>
      <c r="M436" s="37">
        <f t="shared" si="51"/>
        <v>3.5293420800000002</v>
      </c>
      <c r="N436" s="117">
        <f t="shared" si="54"/>
        <v>4.3022679955200003</v>
      </c>
      <c r="O436" s="45">
        <f t="shared" si="52"/>
        <v>0.4280124002686202</v>
      </c>
    </row>
    <row r="437" spans="1:15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40">
        <f t="shared" si="48"/>
        <v>226.84</v>
      </c>
      <c r="G437" s="339">
        <v>67</v>
      </c>
      <c r="H437" s="339">
        <v>49</v>
      </c>
      <c r="I437" s="72">
        <f t="shared" si="50"/>
        <v>1.6333333333333332E-2</v>
      </c>
      <c r="J437" s="37">
        <f t="shared" si="49"/>
        <v>32.944496666666666</v>
      </c>
      <c r="K437" s="37">
        <f t="shared" si="53"/>
        <v>12.113691424333334</v>
      </c>
      <c r="L437" s="342">
        <v>15.271339999999997</v>
      </c>
      <c r="M437" s="37">
        <f t="shared" si="51"/>
        <v>1.6314883199999999</v>
      </c>
      <c r="N437" s="117">
        <f t="shared" si="54"/>
        <v>1.98878426208</v>
      </c>
      <c r="O437" s="45">
        <f t="shared" si="52"/>
        <v>0.27314854704196789</v>
      </c>
    </row>
    <row r="438" spans="1:15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40">
        <f t="shared" si="48"/>
        <v>216.3</v>
      </c>
      <c r="G438" s="339">
        <v>88</v>
      </c>
      <c r="H438" s="339">
        <v>48</v>
      </c>
      <c r="I438" s="72">
        <f t="shared" si="50"/>
        <v>1.6E-2</v>
      </c>
      <c r="J438" s="37">
        <f t="shared" si="49"/>
        <v>32.27216</v>
      </c>
      <c r="K438" s="37">
        <f t="shared" si="53"/>
        <v>11.866473232000001</v>
      </c>
      <c r="L438" s="342">
        <v>14.959679999999999</v>
      </c>
      <c r="M438" s="37">
        <f t="shared" si="51"/>
        <v>1.5981926400000004</v>
      </c>
      <c r="N438" s="117">
        <f t="shared" si="54"/>
        <v>1.9481968281600006</v>
      </c>
      <c r="O438" s="45">
        <f t="shared" si="52"/>
        <v>0.28061260227461859</v>
      </c>
    </row>
    <row r="439" spans="1:15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40">
        <f t="shared" si="48"/>
        <v>307.64999999999998</v>
      </c>
      <c r="G439" s="339">
        <v>42</v>
      </c>
      <c r="H439" s="339">
        <v>42</v>
      </c>
      <c r="I439" s="72">
        <f t="shared" si="50"/>
        <v>1.4E-2</v>
      </c>
      <c r="J439" s="37">
        <f t="shared" si="49"/>
        <v>28.238140000000001</v>
      </c>
      <c r="K439" s="37">
        <f t="shared" si="53"/>
        <v>10.383164078000002</v>
      </c>
      <c r="L439" s="342">
        <v>13.089719999999998</v>
      </c>
      <c r="M439" s="37">
        <f t="shared" si="51"/>
        <v>1.3984185600000001</v>
      </c>
      <c r="N439" s="117">
        <f t="shared" si="54"/>
        <v>1.7046722246400001</v>
      </c>
      <c r="O439" s="45">
        <f t="shared" si="52"/>
        <v>0.17262942511945395</v>
      </c>
    </row>
    <row r="440" spans="1:15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40">
        <f t="shared" si="48"/>
        <v>350.66</v>
      </c>
      <c r="G440" s="339"/>
      <c r="H440" s="339">
        <v>0</v>
      </c>
      <c r="I440" s="72">
        <f t="shared" si="50"/>
        <v>0</v>
      </c>
      <c r="J440" s="37">
        <f t="shared" si="49"/>
        <v>0</v>
      </c>
      <c r="K440" s="37">
        <f t="shared" si="53"/>
        <v>0</v>
      </c>
      <c r="L440" s="342">
        <v>0</v>
      </c>
      <c r="M440" s="37">
        <f t="shared" si="51"/>
        <v>0</v>
      </c>
      <c r="N440" s="117">
        <f t="shared" si="54"/>
        <v>0</v>
      </c>
      <c r="O440" s="45">
        <f t="shared" si="52"/>
        <v>0</v>
      </c>
    </row>
    <row r="441" spans="1:15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40">
        <f t="shared" si="48"/>
        <v>485.8</v>
      </c>
      <c r="G441" s="339">
        <v>0</v>
      </c>
      <c r="H441" s="339">
        <v>0</v>
      </c>
      <c r="I441" s="72">
        <f t="shared" si="50"/>
        <v>0</v>
      </c>
      <c r="J441" s="37">
        <f t="shared" si="49"/>
        <v>0</v>
      </c>
      <c r="K441" s="37">
        <f t="shared" si="53"/>
        <v>0</v>
      </c>
      <c r="L441" s="342">
        <v>0</v>
      </c>
      <c r="M441" s="37">
        <f t="shared" si="51"/>
        <v>0</v>
      </c>
      <c r="N441" s="117">
        <f t="shared" si="54"/>
        <v>0</v>
      </c>
      <c r="O441" s="45">
        <f t="shared" si="52"/>
        <v>0</v>
      </c>
    </row>
    <row r="442" spans="1:15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40">
        <f t="shared" si="48"/>
        <v>402.96</v>
      </c>
      <c r="G442" s="339">
        <v>106</v>
      </c>
      <c r="H442" s="339">
        <v>76</v>
      </c>
      <c r="I442" s="72">
        <f t="shared" si="50"/>
        <v>2.5333333333333333E-2</v>
      </c>
      <c r="J442" s="37">
        <f t="shared" si="49"/>
        <v>51.097586666666665</v>
      </c>
      <c r="K442" s="37">
        <f t="shared" si="53"/>
        <v>18.788582617333333</v>
      </c>
      <c r="L442" s="342">
        <v>19.738466666666664</v>
      </c>
      <c r="M442" s="37">
        <f t="shared" si="51"/>
        <v>2.5304716800000002</v>
      </c>
      <c r="N442" s="117">
        <f t="shared" si="54"/>
        <v>3.0846449779200005</v>
      </c>
      <c r="O442" s="45">
        <f t="shared" si="52"/>
        <v>0.22869542294685993</v>
      </c>
    </row>
    <row r="443" spans="1:15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40">
        <f t="shared" si="48"/>
        <v>526.67999999999995</v>
      </c>
      <c r="G443" s="339">
        <v>136</v>
      </c>
      <c r="H443" s="339">
        <v>40</v>
      </c>
      <c r="I443" s="72">
        <f t="shared" si="50"/>
        <v>1.3333333333333334E-2</v>
      </c>
      <c r="J443" s="37">
        <f t="shared" si="49"/>
        <v>26.893466666666669</v>
      </c>
      <c r="K443" s="37">
        <f t="shared" si="53"/>
        <v>9.888727693333335</v>
      </c>
      <c r="L443" s="342">
        <v>10.388666666666667</v>
      </c>
      <c r="M443" s="37">
        <f t="shared" si="51"/>
        <v>1.3318272000000002</v>
      </c>
      <c r="N443" s="117">
        <f t="shared" si="54"/>
        <v>1.6234973568000004</v>
      </c>
      <c r="O443" s="45">
        <f t="shared" si="52"/>
        <v>9.2091380395433048E-2</v>
      </c>
    </row>
    <row r="444" spans="1:15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40">
        <f t="shared" si="48"/>
        <v>198.5</v>
      </c>
      <c r="G444" s="339"/>
      <c r="H444" s="339"/>
      <c r="I444" s="72">
        <f t="shared" si="50"/>
        <v>0</v>
      </c>
      <c r="J444" s="37">
        <f t="shared" si="49"/>
        <v>0</v>
      </c>
      <c r="K444" s="37">
        <f t="shared" si="53"/>
        <v>0</v>
      </c>
      <c r="L444" s="342">
        <v>0</v>
      </c>
      <c r="M444" s="37">
        <f t="shared" si="51"/>
        <v>0</v>
      </c>
      <c r="N444" s="117">
        <f t="shared" si="54"/>
        <v>0</v>
      </c>
      <c r="O444" s="45">
        <f t="shared" si="52"/>
        <v>0</v>
      </c>
    </row>
    <row r="445" spans="1:15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40">
        <f t="shared" si="48"/>
        <v>879.8</v>
      </c>
      <c r="G445" s="339">
        <v>90</v>
      </c>
      <c r="H445" s="339">
        <v>60</v>
      </c>
      <c r="I445" s="72">
        <f t="shared" si="50"/>
        <v>0.02</v>
      </c>
      <c r="J445" s="37">
        <f t="shared" si="49"/>
        <v>40.340200000000003</v>
      </c>
      <c r="K445" s="37">
        <f t="shared" si="53"/>
        <v>14.833091540000002</v>
      </c>
      <c r="L445" s="342">
        <v>15.583</v>
      </c>
      <c r="M445" s="37">
        <f t="shared" si="51"/>
        <v>1.9977408000000003</v>
      </c>
      <c r="N445" s="117">
        <f t="shared" si="54"/>
        <v>2.4352460352000005</v>
      </c>
      <c r="O445" s="45">
        <f t="shared" si="52"/>
        <v>8.2693830802455112E-2</v>
      </c>
    </row>
    <row r="446" spans="1:15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40">
        <f t="shared" si="48"/>
        <v>1786.8</v>
      </c>
      <c r="G446" s="339">
        <v>348</v>
      </c>
      <c r="H446" s="339">
        <v>187</v>
      </c>
      <c r="I446" s="72">
        <f t="shared" si="50"/>
        <v>6.2333333333333331E-2</v>
      </c>
      <c r="J446" s="37">
        <f t="shared" si="49"/>
        <v>125.72695666666667</v>
      </c>
      <c r="K446" s="37">
        <f t="shared" si="53"/>
        <v>46.229801966333333</v>
      </c>
      <c r="L446" s="342">
        <v>48.56701666666666</v>
      </c>
      <c r="M446" s="37">
        <f t="shared" si="51"/>
        <v>6.2262921600000007</v>
      </c>
      <c r="N446" s="117">
        <f t="shared" si="54"/>
        <v>7.5898501430400014</v>
      </c>
      <c r="O446" s="45">
        <f t="shared" si="52"/>
        <v>0.1269028808258712</v>
      </c>
    </row>
    <row r="447" spans="1:15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40">
        <f t="shared" si="48"/>
        <v>776.28</v>
      </c>
      <c r="G447" s="339">
        <v>0</v>
      </c>
      <c r="H447" s="339"/>
      <c r="I447" s="72">
        <f t="shared" si="50"/>
        <v>0</v>
      </c>
      <c r="J447" s="37">
        <f t="shared" si="49"/>
        <v>0</v>
      </c>
      <c r="K447" s="37">
        <f t="shared" si="53"/>
        <v>0</v>
      </c>
      <c r="L447" s="342">
        <v>0</v>
      </c>
      <c r="M447" s="37">
        <f t="shared" si="51"/>
        <v>0</v>
      </c>
      <c r="N447" s="117">
        <f t="shared" si="54"/>
        <v>0</v>
      </c>
      <c r="O447" s="45">
        <f t="shared" si="52"/>
        <v>0</v>
      </c>
    </row>
    <row r="448" spans="1:15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40">
        <f t="shared" ref="F448:F510" si="55">C448+D448+E448</f>
        <v>475.29</v>
      </c>
      <c r="G448" s="339">
        <v>0</v>
      </c>
      <c r="H448" s="339"/>
      <c r="I448" s="72">
        <f t="shared" si="50"/>
        <v>0</v>
      </c>
      <c r="J448" s="37">
        <f t="shared" si="49"/>
        <v>0</v>
      </c>
      <c r="K448" s="37">
        <f t="shared" si="53"/>
        <v>0</v>
      </c>
      <c r="L448" s="342">
        <v>0</v>
      </c>
      <c r="M448" s="37">
        <f t="shared" si="51"/>
        <v>0</v>
      </c>
      <c r="N448" s="117">
        <f t="shared" si="54"/>
        <v>0</v>
      </c>
      <c r="O448" s="45">
        <f t="shared" si="52"/>
        <v>0</v>
      </c>
    </row>
    <row r="449" spans="1:15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40">
        <f t="shared" si="55"/>
        <v>487.96</v>
      </c>
      <c r="G449" s="339">
        <v>148</v>
      </c>
      <c r="H449" s="339">
        <v>71</v>
      </c>
      <c r="I449" s="72">
        <f t="shared" si="50"/>
        <v>2.3666666666666666E-2</v>
      </c>
      <c r="J449" s="37">
        <f t="shared" si="49"/>
        <v>47.735903333333333</v>
      </c>
      <c r="K449" s="37">
        <f t="shared" si="53"/>
        <v>17.552491655666667</v>
      </c>
      <c r="L449" s="342">
        <v>22.127859999999995</v>
      </c>
      <c r="M449" s="37">
        <f t="shared" si="51"/>
        <v>2.3639932800000003</v>
      </c>
      <c r="N449" s="117">
        <f t="shared" si="54"/>
        <v>2.8817078083200007</v>
      </c>
      <c r="O449" s="45">
        <f t="shared" si="52"/>
        <v>0.1839909998135093</v>
      </c>
    </row>
    <row r="450" spans="1:15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40">
        <f t="shared" si="55"/>
        <v>1058.94</v>
      </c>
      <c r="G450" s="339">
        <v>131</v>
      </c>
      <c r="H450" s="339">
        <v>44</v>
      </c>
      <c r="I450" s="72">
        <f t="shared" si="50"/>
        <v>1.4666666666666666E-2</v>
      </c>
      <c r="J450" s="37">
        <f t="shared" ref="J450:J513" si="56">I450*2017.01</f>
        <v>29.582813333333334</v>
      </c>
      <c r="K450" s="37">
        <f t="shared" si="53"/>
        <v>10.877600462666667</v>
      </c>
      <c r="L450" s="342">
        <v>11.427533333333333</v>
      </c>
      <c r="M450" s="37">
        <f t="shared" si="51"/>
        <v>1.4650099200000002</v>
      </c>
      <c r="N450" s="117">
        <f t="shared" si="54"/>
        <v>1.7858470924800003</v>
      </c>
      <c r="O450" s="45">
        <f t="shared" si="52"/>
        <v>5.0383361710137804E-2</v>
      </c>
    </row>
    <row r="451" spans="1:15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40">
        <f t="shared" si="55"/>
        <v>435.39</v>
      </c>
      <c r="G451" s="339">
        <v>256</v>
      </c>
      <c r="H451" s="339">
        <v>168</v>
      </c>
      <c r="I451" s="72">
        <f t="shared" ref="I451:I513" si="57">H451/3000</f>
        <v>5.6000000000000001E-2</v>
      </c>
      <c r="J451" s="37">
        <f t="shared" si="56"/>
        <v>112.95256000000001</v>
      </c>
      <c r="K451" s="37">
        <f t="shared" si="53"/>
        <v>41.532656312000007</v>
      </c>
      <c r="L451" s="342">
        <v>43.632399999999997</v>
      </c>
      <c r="M451" s="37">
        <f t="shared" ref="M451:M514" si="58">I451*84.08*1.1*1.08</f>
        <v>5.5936742400000004</v>
      </c>
      <c r="N451" s="117">
        <f t="shared" si="54"/>
        <v>6.8186888985600005</v>
      </c>
      <c r="O451" s="45">
        <f t="shared" si="52"/>
        <v>0.46788233664530654</v>
      </c>
    </row>
    <row r="452" spans="1:15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40">
        <f t="shared" si="55"/>
        <v>539.61</v>
      </c>
      <c r="G452" s="339">
        <v>290</v>
      </c>
      <c r="H452" s="339">
        <v>186</v>
      </c>
      <c r="I452" s="72">
        <f t="shared" si="57"/>
        <v>6.2E-2</v>
      </c>
      <c r="J452" s="37">
        <f t="shared" si="56"/>
        <v>125.05462</v>
      </c>
      <c r="K452" s="37">
        <f t="shared" si="53"/>
        <v>45.982583774000005</v>
      </c>
      <c r="L452" s="342">
        <v>48.307299999999998</v>
      </c>
      <c r="M452" s="37">
        <f t="shared" si="58"/>
        <v>6.1929964800000006</v>
      </c>
      <c r="N452" s="117">
        <f t="shared" si="54"/>
        <v>7.5492627091200015</v>
      </c>
      <c r="O452" s="45">
        <f t="shared" si="52"/>
        <v>0.4179639003243083</v>
      </c>
    </row>
    <row r="453" spans="1:15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40">
        <f t="shared" si="55"/>
        <v>466.35</v>
      </c>
      <c r="G453" s="339">
        <v>208</v>
      </c>
      <c r="H453" s="339">
        <v>160</v>
      </c>
      <c r="I453" s="72">
        <f t="shared" si="57"/>
        <v>5.3333333333333337E-2</v>
      </c>
      <c r="J453" s="37">
        <f t="shared" si="56"/>
        <v>107.57386666666667</v>
      </c>
      <c r="K453" s="37">
        <f t="shared" si="53"/>
        <v>39.55491077333334</v>
      </c>
      <c r="L453" s="342">
        <v>49.865600000000001</v>
      </c>
      <c r="M453" s="37">
        <f t="shared" si="58"/>
        <v>5.3273088000000008</v>
      </c>
      <c r="N453" s="117">
        <f t="shared" si="54"/>
        <v>6.4939894272000016</v>
      </c>
      <c r="O453" s="45">
        <f t="shared" si="52"/>
        <v>0.43384086252814413</v>
      </c>
    </row>
    <row r="454" spans="1:15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40">
        <f t="shared" si="55"/>
        <v>270.3</v>
      </c>
      <c r="G454" s="339">
        <v>66</v>
      </c>
      <c r="H454" s="339">
        <v>62</v>
      </c>
      <c r="I454" s="72">
        <f t="shared" si="57"/>
        <v>2.0666666666666667E-2</v>
      </c>
      <c r="J454" s="37">
        <f t="shared" si="56"/>
        <v>41.684873333333336</v>
      </c>
      <c r="K454" s="37">
        <f t="shared" si="53"/>
        <v>15.327527924666668</v>
      </c>
      <c r="L454" s="342">
        <v>19.32292</v>
      </c>
      <c r="M454" s="37">
        <f t="shared" si="58"/>
        <v>2.0643321600000002</v>
      </c>
      <c r="N454" s="117">
        <f t="shared" si="54"/>
        <v>2.5164209030400002</v>
      </c>
      <c r="O454" s="45">
        <f t="shared" si="52"/>
        <v>0.29004681249722536</v>
      </c>
    </row>
    <row r="455" spans="1:15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40">
        <f t="shared" si="55"/>
        <v>1056.99</v>
      </c>
      <c r="G455" s="339">
        <v>124</v>
      </c>
      <c r="H455" s="339">
        <v>124</v>
      </c>
      <c r="I455" s="72">
        <f t="shared" si="57"/>
        <v>4.1333333333333333E-2</v>
      </c>
      <c r="J455" s="37">
        <f t="shared" si="56"/>
        <v>83.369746666666671</v>
      </c>
      <c r="K455" s="37">
        <f t="shared" si="53"/>
        <v>30.655055849333337</v>
      </c>
      <c r="L455" s="342">
        <v>32.204866666666668</v>
      </c>
      <c r="M455" s="37">
        <f t="shared" si="58"/>
        <v>4.1286643200000004</v>
      </c>
      <c r="N455" s="117">
        <f t="shared" si="54"/>
        <v>5.0328418060800004</v>
      </c>
      <c r="O455" s="45">
        <f t="shared" ref="O455:O518" si="59">(J455+K455+L455+M455)/F455</f>
        <v>0.14225142480313596</v>
      </c>
    </row>
    <row r="456" spans="1:15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40">
        <f t="shared" si="55"/>
        <v>353.79999999999995</v>
      </c>
      <c r="G456" s="339">
        <v>130</v>
      </c>
      <c r="H456" s="339">
        <v>98</v>
      </c>
      <c r="I456" s="72">
        <f t="shared" si="57"/>
        <v>3.2666666666666663E-2</v>
      </c>
      <c r="J456" s="37">
        <f t="shared" si="56"/>
        <v>65.888993333333332</v>
      </c>
      <c r="K456" s="37">
        <f t="shared" si="53"/>
        <v>24.227382848666668</v>
      </c>
      <c r="L456" s="342">
        <v>25.452233333333329</v>
      </c>
      <c r="M456" s="37">
        <f t="shared" si="58"/>
        <v>3.2629766399999998</v>
      </c>
      <c r="N456" s="117">
        <f t="shared" si="54"/>
        <v>3.9775685241600001</v>
      </c>
      <c r="O456" s="45">
        <f t="shared" si="59"/>
        <v>0.33587220507443</v>
      </c>
    </row>
    <row r="457" spans="1:15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40">
        <f t="shared" si="55"/>
        <v>239.3</v>
      </c>
      <c r="G457" s="339">
        <v>115</v>
      </c>
      <c r="H457" s="339">
        <v>61</v>
      </c>
      <c r="I457" s="72">
        <f t="shared" si="57"/>
        <v>2.0333333333333332E-2</v>
      </c>
      <c r="J457" s="37">
        <f t="shared" si="56"/>
        <v>41.012536666666662</v>
      </c>
      <c r="K457" s="37">
        <f t="shared" si="53"/>
        <v>15.080309732333333</v>
      </c>
      <c r="L457" s="342">
        <v>19.011259999999996</v>
      </c>
      <c r="M457" s="37">
        <f t="shared" si="58"/>
        <v>2.03103648</v>
      </c>
      <c r="N457" s="117">
        <f t="shared" si="54"/>
        <v>2.4758334691200004</v>
      </c>
      <c r="O457" s="45">
        <f t="shared" si="59"/>
        <v>0.3223365770121186</v>
      </c>
    </row>
    <row r="458" spans="1:15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40">
        <f t="shared" si="55"/>
        <v>144.6</v>
      </c>
      <c r="G458" s="339">
        <v>57</v>
      </c>
      <c r="H458" s="339">
        <v>57</v>
      </c>
      <c r="I458" s="72">
        <f t="shared" si="57"/>
        <v>1.9E-2</v>
      </c>
      <c r="J458" s="37">
        <f t="shared" si="56"/>
        <v>38.323189999999997</v>
      </c>
      <c r="K458" s="37">
        <f t="shared" si="53"/>
        <v>14.091436963</v>
      </c>
      <c r="L458" s="342">
        <v>20.725389999999997</v>
      </c>
      <c r="M458" s="37">
        <f t="shared" si="58"/>
        <v>1.8978537600000001</v>
      </c>
      <c r="N458" s="117">
        <f t="shared" si="54"/>
        <v>2.31348373344</v>
      </c>
      <c r="O458" s="45">
        <f t="shared" si="59"/>
        <v>0.51893409905255883</v>
      </c>
    </row>
    <row r="459" spans="1:15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40">
        <f t="shared" si="55"/>
        <v>375.5</v>
      </c>
      <c r="G459" s="339">
        <v>250</v>
      </c>
      <c r="H459" s="339">
        <v>250</v>
      </c>
      <c r="I459" s="72">
        <f t="shared" si="57"/>
        <v>8.3333333333333329E-2</v>
      </c>
      <c r="J459" s="37">
        <f t="shared" si="56"/>
        <v>168.08416666666665</v>
      </c>
      <c r="K459" s="37">
        <f t="shared" si="53"/>
        <v>61.80454808333333</v>
      </c>
      <c r="L459" s="342">
        <v>64.92916666666666</v>
      </c>
      <c r="M459" s="37">
        <f t="shared" si="58"/>
        <v>8.3239200000000011</v>
      </c>
      <c r="N459" s="117">
        <f t="shared" si="54"/>
        <v>10.146858480000002</v>
      </c>
      <c r="O459" s="45">
        <f t="shared" si="59"/>
        <v>0.8073017347980469</v>
      </c>
    </row>
    <row r="460" spans="1:15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40">
        <f t="shared" si="55"/>
        <v>993.91</v>
      </c>
      <c r="G460" s="339">
        <v>108</v>
      </c>
      <c r="H460" s="339">
        <v>108</v>
      </c>
      <c r="I460" s="72">
        <f t="shared" si="57"/>
        <v>3.5999999999999997E-2</v>
      </c>
      <c r="J460" s="37">
        <f t="shared" si="56"/>
        <v>72.612359999999995</v>
      </c>
      <c r="K460" s="37">
        <f t="shared" si="53"/>
        <v>26.699564771999999</v>
      </c>
      <c r="L460" s="342">
        <v>28.049399999999999</v>
      </c>
      <c r="M460" s="37">
        <f t="shared" si="58"/>
        <v>3.5959334400000005</v>
      </c>
      <c r="N460" s="117">
        <f t="shared" si="54"/>
        <v>4.3834428633600009</v>
      </c>
      <c r="O460" s="45">
        <f t="shared" si="59"/>
        <v>0.13175967463049976</v>
      </c>
    </row>
    <row r="461" spans="1:15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40">
        <f t="shared" si="55"/>
        <v>716.19999999999993</v>
      </c>
      <c r="G461" s="339">
        <v>270</v>
      </c>
      <c r="H461" s="339">
        <v>270</v>
      </c>
      <c r="I461" s="72">
        <f t="shared" si="57"/>
        <v>0.09</v>
      </c>
      <c r="J461" s="37">
        <f t="shared" si="56"/>
        <v>181.5309</v>
      </c>
      <c r="K461" s="37">
        <f t="shared" si="53"/>
        <v>66.748911930000006</v>
      </c>
      <c r="L461" s="342">
        <v>70.123499999999993</v>
      </c>
      <c r="M461" s="37">
        <f t="shared" si="58"/>
        <v>8.9898336000000025</v>
      </c>
      <c r="N461" s="117">
        <f t="shared" si="54"/>
        <v>10.958607158400003</v>
      </c>
      <c r="O461" s="45">
        <f t="shared" si="59"/>
        <v>0.45712530791678302</v>
      </c>
    </row>
    <row r="462" spans="1:15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40">
        <f t="shared" si="55"/>
        <v>472.2</v>
      </c>
      <c r="G462" s="339">
        <v>129</v>
      </c>
      <c r="H462" s="339">
        <v>73</v>
      </c>
      <c r="I462" s="72">
        <f t="shared" si="57"/>
        <v>2.4333333333333332E-2</v>
      </c>
      <c r="J462" s="37">
        <f t="shared" si="56"/>
        <v>49.080576666666666</v>
      </c>
      <c r="K462" s="37">
        <f t="shared" si="53"/>
        <v>18.046928040333334</v>
      </c>
      <c r="L462" s="342">
        <v>22.751179999999998</v>
      </c>
      <c r="M462" s="37">
        <f t="shared" si="58"/>
        <v>2.4305846400000002</v>
      </c>
      <c r="N462" s="117">
        <f t="shared" si="54"/>
        <v>2.9628826761600005</v>
      </c>
      <c r="O462" s="45">
        <f t="shared" si="59"/>
        <v>0.19548765215374841</v>
      </c>
    </row>
    <row r="463" spans="1:15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40">
        <f t="shared" si="55"/>
        <v>337.29999999999995</v>
      </c>
      <c r="G463" s="339">
        <v>69</v>
      </c>
      <c r="H463" s="339">
        <v>65</v>
      </c>
      <c r="I463" s="72">
        <f t="shared" si="57"/>
        <v>2.1666666666666667E-2</v>
      </c>
      <c r="J463" s="37">
        <f t="shared" si="56"/>
        <v>43.701883333333335</v>
      </c>
      <c r="K463" s="37">
        <f t="shared" si="53"/>
        <v>16.069182501666667</v>
      </c>
      <c r="L463" s="342">
        <v>16.881583333333335</v>
      </c>
      <c r="M463" s="37">
        <f t="shared" si="58"/>
        <v>2.1642192000000002</v>
      </c>
      <c r="N463" s="117">
        <f t="shared" si="54"/>
        <v>2.6381832048000007</v>
      </c>
      <c r="O463" s="45">
        <f t="shared" si="59"/>
        <v>0.23366993290344903</v>
      </c>
    </row>
    <row r="464" spans="1:15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40">
        <f t="shared" si="55"/>
        <v>395.5</v>
      </c>
      <c r="G464" s="339">
        <v>70</v>
      </c>
      <c r="H464" s="339">
        <v>37</v>
      </c>
      <c r="I464" s="72">
        <f t="shared" si="57"/>
        <v>1.2333333333333333E-2</v>
      </c>
      <c r="J464" s="37">
        <f t="shared" si="56"/>
        <v>24.876456666666666</v>
      </c>
      <c r="K464" s="37">
        <f t="shared" si="53"/>
        <v>9.147073116333333</v>
      </c>
      <c r="L464" s="342">
        <v>11.531419999999999</v>
      </c>
      <c r="M464" s="37">
        <f t="shared" si="58"/>
        <v>1.2319401600000004</v>
      </c>
      <c r="N464" s="117">
        <f t="shared" si="54"/>
        <v>1.5017350550400006</v>
      </c>
      <c r="O464" s="45">
        <f t="shared" si="59"/>
        <v>0.11829807823767383</v>
      </c>
    </row>
    <row r="465" spans="1:15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40">
        <f t="shared" si="55"/>
        <v>464.09999999999997</v>
      </c>
      <c r="G465" s="339">
        <v>60</v>
      </c>
      <c r="H465" s="339">
        <v>28</v>
      </c>
      <c r="I465" s="72">
        <f t="shared" si="57"/>
        <v>9.3333333333333341E-3</v>
      </c>
      <c r="J465" s="37">
        <f t="shared" si="56"/>
        <v>18.825426666666669</v>
      </c>
      <c r="K465" s="37">
        <f t="shared" ref="K465:K526" si="60">J465*0.3677</f>
        <v>6.9221093853333349</v>
      </c>
      <c r="L465" s="342">
        <v>7.2720666666666673</v>
      </c>
      <c r="M465" s="37">
        <f t="shared" si="58"/>
        <v>0.93227904000000017</v>
      </c>
      <c r="N465" s="117">
        <f t="shared" si="54"/>
        <v>1.1364481497600003</v>
      </c>
      <c r="O465" s="45">
        <f t="shared" si="59"/>
        <v>7.3156392498743103E-2</v>
      </c>
    </row>
    <row r="466" spans="1:15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40">
        <f t="shared" si="55"/>
        <v>350.27000000000004</v>
      </c>
      <c r="G466" s="339">
        <v>165</v>
      </c>
      <c r="H466" s="339">
        <v>81</v>
      </c>
      <c r="I466" s="72">
        <f t="shared" si="57"/>
        <v>2.7E-2</v>
      </c>
      <c r="J466" s="37">
        <f t="shared" si="56"/>
        <v>54.459269999999997</v>
      </c>
      <c r="K466" s="37">
        <f t="shared" si="60"/>
        <v>20.024673579000002</v>
      </c>
      <c r="L466" s="342">
        <v>23.140755000000002</v>
      </c>
      <c r="M466" s="37">
        <f t="shared" si="58"/>
        <v>2.6969500800000001</v>
      </c>
      <c r="N466" s="117">
        <f t="shared" si="54"/>
        <v>3.2875821475200002</v>
      </c>
      <c r="O466" s="45">
        <f t="shared" si="59"/>
        <v>0.28641233522425552</v>
      </c>
    </row>
    <row r="467" spans="1:15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40">
        <f t="shared" si="55"/>
        <v>396.61</v>
      </c>
      <c r="G467" s="339">
        <v>143</v>
      </c>
      <c r="H467" s="339">
        <v>112</v>
      </c>
      <c r="I467" s="72">
        <f t="shared" si="57"/>
        <v>3.7333333333333336E-2</v>
      </c>
      <c r="J467" s="37">
        <f t="shared" si="56"/>
        <v>75.301706666666675</v>
      </c>
      <c r="K467" s="37">
        <f t="shared" si="60"/>
        <v>27.688437541333339</v>
      </c>
      <c r="L467" s="342">
        <v>29.088266666666669</v>
      </c>
      <c r="M467" s="37">
        <f t="shared" si="58"/>
        <v>3.7291161600000007</v>
      </c>
      <c r="N467" s="117">
        <f t="shared" si="54"/>
        <v>4.5457925990400012</v>
      </c>
      <c r="O467" s="45">
        <f t="shared" si="59"/>
        <v>0.34242083415614</v>
      </c>
    </row>
    <row r="468" spans="1:15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40">
        <f t="shared" si="55"/>
        <v>380.01000000000005</v>
      </c>
      <c r="G468" s="339">
        <v>123</v>
      </c>
      <c r="H468" s="339">
        <v>83</v>
      </c>
      <c r="I468" s="72">
        <f t="shared" si="57"/>
        <v>2.7666666666666666E-2</v>
      </c>
      <c r="J468" s="37">
        <f t="shared" si="56"/>
        <v>55.803943333333329</v>
      </c>
      <c r="K468" s="37">
        <f t="shared" si="60"/>
        <v>20.519109963666665</v>
      </c>
      <c r="L468" s="342">
        <v>21.556483333333333</v>
      </c>
      <c r="M468" s="37">
        <f t="shared" si="58"/>
        <v>2.76354144</v>
      </c>
      <c r="N468" s="117">
        <f t="shared" si="54"/>
        <v>3.3687570153600004</v>
      </c>
      <c r="O468" s="45">
        <f t="shared" si="59"/>
        <v>0.26484323588940639</v>
      </c>
    </row>
    <row r="469" spans="1:15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40">
        <f t="shared" si="55"/>
        <v>501.9</v>
      </c>
      <c r="G469" s="339">
        <v>152</v>
      </c>
      <c r="H469" s="339">
        <v>117</v>
      </c>
      <c r="I469" s="72">
        <f t="shared" si="57"/>
        <v>3.9E-2</v>
      </c>
      <c r="J469" s="37">
        <f t="shared" si="56"/>
        <v>78.663389999999993</v>
      </c>
      <c r="K469" s="37">
        <f t="shared" si="60"/>
        <v>28.924528502999998</v>
      </c>
      <c r="L469" s="342">
        <v>30.386849999999999</v>
      </c>
      <c r="M469" s="37">
        <f t="shared" si="58"/>
        <v>3.8955945600000006</v>
      </c>
      <c r="N469" s="117">
        <f t="shared" si="54"/>
        <v>4.7487297686400014</v>
      </c>
      <c r="O469" s="45">
        <f t="shared" si="59"/>
        <v>0.28266659307232522</v>
      </c>
    </row>
    <row r="470" spans="1:15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40">
        <f t="shared" si="55"/>
        <v>406.9</v>
      </c>
      <c r="G470" s="339">
        <v>153</v>
      </c>
      <c r="H470" s="339">
        <v>101</v>
      </c>
      <c r="I470" s="72">
        <f t="shared" si="57"/>
        <v>3.3666666666666664E-2</v>
      </c>
      <c r="J470" s="37">
        <f t="shared" si="56"/>
        <v>67.906003333333331</v>
      </c>
      <c r="K470" s="37">
        <f t="shared" si="60"/>
        <v>24.969037425666667</v>
      </c>
      <c r="L470" s="342">
        <v>26.23138333333333</v>
      </c>
      <c r="M470" s="37">
        <f t="shared" si="58"/>
        <v>3.3628636800000002</v>
      </c>
      <c r="N470" s="117">
        <f t="shared" si="54"/>
        <v>4.099330825920001</v>
      </c>
      <c r="O470" s="45">
        <f t="shared" si="59"/>
        <v>0.3009812921413943</v>
      </c>
    </row>
    <row r="471" spans="1:15" s="6" customFormat="1" ht="17.25" customHeight="1">
      <c r="A471" s="448">
        <v>86</v>
      </c>
      <c r="B471" s="111" t="s">
        <v>838</v>
      </c>
      <c r="C471" s="330">
        <v>583.66999999999996</v>
      </c>
      <c r="D471" s="330"/>
      <c r="E471" s="330"/>
      <c r="F471" s="40">
        <f t="shared" si="55"/>
        <v>583.66999999999996</v>
      </c>
      <c r="G471" s="339">
        <v>157</v>
      </c>
      <c r="H471" s="339">
        <v>149</v>
      </c>
      <c r="I471" s="72">
        <f t="shared" si="57"/>
        <v>4.9666666666666665E-2</v>
      </c>
      <c r="J471" s="37">
        <f t="shared" si="56"/>
        <v>100.17816333333333</v>
      </c>
      <c r="K471" s="37">
        <f t="shared" si="60"/>
        <v>36.835510657666667</v>
      </c>
      <c r="L471" s="342">
        <v>38.697783333333334</v>
      </c>
      <c r="M471" s="37">
        <f t="shared" si="58"/>
        <v>4.9610563200000009</v>
      </c>
      <c r="N471" s="117">
        <f t="shared" si="54"/>
        <v>6.0475276540800014</v>
      </c>
      <c r="O471" s="45">
        <f t="shared" si="59"/>
        <v>0.30954565703965142</v>
      </c>
    </row>
    <row r="472" spans="1:15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40">
        <f t="shared" si="55"/>
        <v>634.80999999999995</v>
      </c>
      <c r="G472" s="339">
        <v>157</v>
      </c>
      <c r="H472" s="339">
        <v>128</v>
      </c>
      <c r="I472" s="72">
        <f t="shared" si="57"/>
        <v>4.2666666666666665E-2</v>
      </c>
      <c r="J472" s="37">
        <f t="shared" si="56"/>
        <v>86.059093333333337</v>
      </c>
      <c r="K472" s="37">
        <f t="shared" si="60"/>
        <v>31.643928618666671</v>
      </c>
      <c r="L472" s="342">
        <v>33.243733333333331</v>
      </c>
      <c r="M472" s="37">
        <f t="shared" si="58"/>
        <v>4.2618470400000001</v>
      </c>
      <c r="N472" s="117">
        <f t="shared" si="54"/>
        <v>5.1951915417600008</v>
      </c>
      <c r="O472" s="45">
        <f t="shared" si="59"/>
        <v>0.24449615211690637</v>
      </c>
    </row>
    <row r="473" spans="1:15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40">
        <f t="shared" si="55"/>
        <v>312.74</v>
      </c>
      <c r="G473" s="339">
        <v>0</v>
      </c>
      <c r="H473" s="339"/>
      <c r="I473" s="72">
        <f t="shared" si="57"/>
        <v>0</v>
      </c>
      <c r="J473" s="37">
        <f t="shared" si="56"/>
        <v>0</v>
      </c>
      <c r="K473" s="37">
        <f t="shared" si="60"/>
        <v>0</v>
      </c>
      <c r="L473" s="342">
        <v>0</v>
      </c>
      <c r="M473" s="37">
        <f t="shared" si="58"/>
        <v>0</v>
      </c>
      <c r="N473" s="117">
        <f t="shared" si="54"/>
        <v>0</v>
      </c>
      <c r="O473" s="45">
        <f t="shared" si="59"/>
        <v>0</v>
      </c>
    </row>
    <row r="474" spans="1:15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40">
        <f t="shared" si="55"/>
        <v>359.3</v>
      </c>
      <c r="G474" s="339">
        <v>193</v>
      </c>
      <c r="H474" s="339">
        <v>152</v>
      </c>
      <c r="I474" s="72">
        <f t="shared" si="57"/>
        <v>5.0666666666666665E-2</v>
      </c>
      <c r="J474" s="37">
        <f t="shared" si="56"/>
        <v>102.19517333333333</v>
      </c>
      <c r="K474" s="37">
        <f t="shared" si="60"/>
        <v>37.577165234666666</v>
      </c>
      <c r="L474" s="342">
        <v>39.476933333333328</v>
      </c>
      <c r="M474" s="37">
        <f t="shared" si="58"/>
        <v>5.0609433600000004</v>
      </c>
      <c r="N474" s="117">
        <f t="shared" si="54"/>
        <v>6.1692899558400009</v>
      </c>
      <c r="O474" s="45">
        <f t="shared" si="59"/>
        <v>0.51297026234715659</v>
      </c>
    </row>
    <row r="475" spans="1:15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40">
        <f t="shared" si="55"/>
        <v>417.17</v>
      </c>
      <c r="G475" s="339">
        <v>138</v>
      </c>
      <c r="H475" s="339">
        <v>117</v>
      </c>
      <c r="I475" s="72">
        <f t="shared" si="57"/>
        <v>3.9E-2</v>
      </c>
      <c r="J475" s="37">
        <f t="shared" si="56"/>
        <v>78.663389999999993</v>
      </c>
      <c r="K475" s="37">
        <f t="shared" si="60"/>
        <v>28.924528502999998</v>
      </c>
      <c r="L475" s="342">
        <v>30.386849999999999</v>
      </c>
      <c r="M475" s="37">
        <f t="shared" si="58"/>
        <v>3.8955945600000006</v>
      </c>
      <c r="N475" s="117">
        <f t="shared" si="54"/>
        <v>4.7487297686400014</v>
      </c>
      <c r="O475" s="45">
        <f t="shared" si="59"/>
        <v>0.3400780570582736</v>
      </c>
    </row>
    <row r="476" spans="1:15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40">
        <f t="shared" si="55"/>
        <v>249.3</v>
      </c>
      <c r="G476" s="339">
        <v>0</v>
      </c>
      <c r="H476" s="339"/>
      <c r="I476" s="72">
        <f t="shared" si="57"/>
        <v>0</v>
      </c>
      <c r="J476" s="37">
        <f t="shared" si="56"/>
        <v>0</v>
      </c>
      <c r="K476" s="37">
        <f t="shared" si="60"/>
        <v>0</v>
      </c>
      <c r="L476" s="342">
        <v>0</v>
      </c>
      <c r="M476" s="37">
        <f t="shared" si="58"/>
        <v>0</v>
      </c>
      <c r="N476" s="117">
        <f t="shared" si="54"/>
        <v>0</v>
      </c>
      <c r="O476" s="45">
        <f t="shared" si="59"/>
        <v>0</v>
      </c>
    </row>
    <row r="477" spans="1:15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40">
        <f t="shared" si="55"/>
        <v>534.94000000000005</v>
      </c>
      <c r="G477" s="339">
        <v>141</v>
      </c>
      <c r="H477" s="339">
        <v>141</v>
      </c>
      <c r="I477" s="72">
        <f t="shared" si="57"/>
        <v>4.7E-2</v>
      </c>
      <c r="J477" s="37">
        <f t="shared" si="56"/>
        <v>94.799469999999999</v>
      </c>
      <c r="K477" s="37">
        <f t="shared" si="60"/>
        <v>34.857765119</v>
      </c>
      <c r="L477" s="342">
        <v>36.620049999999999</v>
      </c>
      <c r="M477" s="37">
        <f t="shared" si="58"/>
        <v>4.6946908800000005</v>
      </c>
      <c r="N477" s="117">
        <f t="shared" ref="N477:N540" si="61">M477*1.219</f>
        <v>5.7228281827200007</v>
      </c>
      <c r="O477" s="45">
        <f t="shared" si="59"/>
        <v>0.31960963098478329</v>
      </c>
    </row>
    <row r="478" spans="1:15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40">
        <f t="shared" si="55"/>
        <v>382.94</v>
      </c>
      <c r="G478" s="339"/>
      <c r="H478" s="339">
        <v>0</v>
      </c>
      <c r="I478" s="72">
        <f t="shared" si="57"/>
        <v>0</v>
      </c>
      <c r="J478" s="37">
        <f t="shared" si="56"/>
        <v>0</v>
      </c>
      <c r="K478" s="37">
        <f t="shared" si="60"/>
        <v>0</v>
      </c>
      <c r="L478" s="342">
        <v>0</v>
      </c>
      <c r="M478" s="37">
        <f t="shared" si="58"/>
        <v>0</v>
      </c>
      <c r="N478" s="117">
        <f t="shared" si="61"/>
        <v>0</v>
      </c>
      <c r="O478" s="45">
        <f t="shared" si="59"/>
        <v>0</v>
      </c>
    </row>
    <row r="479" spans="1:15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40">
        <f t="shared" si="55"/>
        <v>367.5</v>
      </c>
      <c r="G479" s="339">
        <v>118</v>
      </c>
      <c r="H479" s="339">
        <v>118</v>
      </c>
      <c r="I479" s="72">
        <f t="shared" si="57"/>
        <v>3.9333333333333331E-2</v>
      </c>
      <c r="J479" s="37">
        <f t="shared" si="56"/>
        <v>79.335726666666659</v>
      </c>
      <c r="K479" s="37">
        <f t="shared" si="60"/>
        <v>29.171746695333333</v>
      </c>
      <c r="L479" s="342">
        <v>30.646566666666665</v>
      </c>
      <c r="M479" s="37">
        <f t="shared" si="58"/>
        <v>3.9288902399999999</v>
      </c>
      <c r="N479" s="117">
        <f t="shared" si="61"/>
        <v>4.7893172025600004</v>
      </c>
      <c r="O479" s="45">
        <f t="shared" si="59"/>
        <v>0.3893413068535147</v>
      </c>
    </row>
    <row r="480" spans="1:15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40">
        <f t="shared" si="55"/>
        <v>131.4</v>
      </c>
      <c r="G480" s="339">
        <v>86</v>
      </c>
      <c r="H480" s="339">
        <v>86</v>
      </c>
      <c r="I480" s="72">
        <f t="shared" si="57"/>
        <v>2.8666666666666667E-2</v>
      </c>
      <c r="J480" s="37">
        <f t="shared" si="56"/>
        <v>57.820953333333335</v>
      </c>
      <c r="K480" s="37">
        <f t="shared" si="60"/>
        <v>21.260764540666671</v>
      </c>
      <c r="L480" s="342">
        <v>17.868506666666669</v>
      </c>
      <c r="M480" s="37">
        <f t="shared" si="58"/>
        <v>2.8634284800000001</v>
      </c>
      <c r="N480" s="117">
        <f t="shared" si="61"/>
        <v>3.4905193171200004</v>
      </c>
      <c r="O480" s="45">
        <f t="shared" si="59"/>
        <v>0.75961684186199907</v>
      </c>
    </row>
    <row r="481" spans="1:15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40">
        <f t="shared" si="55"/>
        <v>471.36</v>
      </c>
      <c r="G481" s="339">
        <v>75</v>
      </c>
      <c r="H481" s="339">
        <v>75</v>
      </c>
      <c r="I481" s="72">
        <f t="shared" si="57"/>
        <v>2.5000000000000001E-2</v>
      </c>
      <c r="J481" s="37">
        <f t="shared" si="56"/>
        <v>50.425250000000005</v>
      </c>
      <c r="K481" s="37">
        <f t="shared" si="60"/>
        <v>18.541364425000005</v>
      </c>
      <c r="L481" s="342">
        <v>19.478750000000002</v>
      </c>
      <c r="M481" s="37">
        <f t="shared" si="58"/>
        <v>2.4971760000000005</v>
      </c>
      <c r="N481" s="117">
        <f t="shared" si="61"/>
        <v>3.0440575440000006</v>
      </c>
      <c r="O481" s="45">
        <f t="shared" si="59"/>
        <v>0.19293648257170742</v>
      </c>
    </row>
    <row r="482" spans="1:15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40">
        <f t="shared" si="55"/>
        <v>530.79999999999995</v>
      </c>
      <c r="G482" s="339">
        <v>100</v>
      </c>
      <c r="H482" s="339">
        <v>89</v>
      </c>
      <c r="I482" s="72">
        <f t="shared" si="57"/>
        <v>2.9666666666666668E-2</v>
      </c>
      <c r="J482" s="37">
        <f t="shared" si="56"/>
        <v>59.837963333333335</v>
      </c>
      <c r="K482" s="37">
        <f t="shared" si="60"/>
        <v>22.002419117666669</v>
      </c>
      <c r="L482" s="342">
        <v>23.114783333333332</v>
      </c>
      <c r="M482" s="37">
        <f t="shared" si="58"/>
        <v>2.9633155200000005</v>
      </c>
      <c r="N482" s="117">
        <f t="shared" si="61"/>
        <v>3.6122816188800009</v>
      </c>
      <c r="O482" s="45">
        <f t="shared" si="59"/>
        <v>0.20331288866679229</v>
      </c>
    </row>
    <row r="483" spans="1:15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40">
        <f t="shared" si="55"/>
        <v>330.15</v>
      </c>
      <c r="G483" s="339">
        <v>154</v>
      </c>
      <c r="H483" s="339">
        <v>153</v>
      </c>
      <c r="I483" s="72">
        <f t="shared" si="57"/>
        <v>5.0999999999999997E-2</v>
      </c>
      <c r="J483" s="37">
        <f t="shared" si="56"/>
        <v>102.86751</v>
      </c>
      <c r="K483" s="37">
        <f t="shared" si="60"/>
        <v>37.824383427000001</v>
      </c>
      <c r="L483" s="342">
        <v>39.736649999999997</v>
      </c>
      <c r="M483" s="37">
        <f t="shared" si="58"/>
        <v>5.0942390400000006</v>
      </c>
      <c r="N483" s="117">
        <f t="shared" si="61"/>
        <v>6.2098773897600008</v>
      </c>
      <c r="O483" s="45">
        <f t="shared" si="59"/>
        <v>0.56193482497955471</v>
      </c>
    </row>
    <row r="484" spans="1:15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40">
        <f t="shared" si="55"/>
        <v>242.1</v>
      </c>
      <c r="G484" s="339"/>
      <c r="H484" s="339"/>
      <c r="I484" s="72">
        <f t="shared" si="57"/>
        <v>0</v>
      </c>
      <c r="J484" s="37">
        <f t="shared" si="56"/>
        <v>0</v>
      </c>
      <c r="K484" s="37">
        <f t="shared" si="60"/>
        <v>0</v>
      </c>
      <c r="L484" s="342">
        <v>0</v>
      </c>
      <c r="M484" s="37">
        <f t="shared" si="58"/>
        <v>0</v>
      </c>
      <c r="N484" s="117">
        <f t="shared" si="61"/>
        <v>0</v>
      </c>
      <c r="O484" s="45">
        <f t="shared" si="59"/>
        <v>0</v>
      </c>
    </row>
    <row r="485" spans="1:15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40">
        <f t="shared" si="55"/>
        <v>528.74</v>
      </c>
      <c r="G485" s="339">
        <v>113</v>
      </c>
      <c r="H485" s="339">
        <v>106</v>
      </c>
      <c r="I485" s="72">
        <f t="shared" si="57"/>
        <v>3.5333333333333335E-2</v>
      </c>
      <c r="J485" s="37">
        <f t="shared" si="56"/>
        <v>71.267686666666663</v>
      </c>
      <c r="K485" s="37">
        <f t="shared" si="60"/>
        <v>26.205128387333335</v>
      </c>
      <c r="L485" s="342">
        <v>27.529966666666667</v>
      </c>
      <c r="M485" s="37">
        <f t="shared" si="58"/>
        <v>3.5293420800000002</v>
      </c>
      <c r="N485" s="117">
        <f t="shared" si="61"/>
        <v>4.3022679955200003</v>
      </c>
      <c r="O485" s="45">
        <f t="shared" si="59"/>
        <v>0.24309135643353377</v>
      </c>
    </row>
    <row r="486" spans="1:15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40">
        <f t="shared" si="55"/>
        <v>140.6</v>
      </c>
      <c r="G486" s="339"/>
      <c r="H486" s="339"/>
      <c r="I486" s="72">
        <f t="shared" si="57"/>
        <v>0</v>
      </c>
      <c r="J486" s="37">
        <f t="shared" si="56"/>
        <v>0</v>
      </c>
      <c r="K486" s="37">
        <f t="shared" si="60"/>
        <v>0</v>
      </c>
      <c r="L486" s="342">
        <v>0</v>
      </c>
      <c r="M486" s="37">
        <f t="shared" si="58"/>
        <v>0</v>
      </c>
      <c r="N486" s="117">
        <f t="shared" si="61"/>
        <v>0</v>
      </c>
      <c r="O486" s="45">
        <f t="shared" si="59"/>
        <v>0</v>
      </c>
    </row>
    <row r="487" spans="1:15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40">
        <f t="shared" si="55"/>
        <v>183.6</v>
      </c>
      <c r="G487" s="339"/>
      <c r="H487" s="339">
        <v>0</v>
      </c>
      <c r="I487" s="72">
        <f t="shared" si="57"/>
        <v>0</v>
      </c>
      <c r="J487" s="37">
        <f t="shared" si="56"/>
        <v>0</v>
      </c>
      <c r="K487" s="37">
        <f t="shared" si="60"/>
        <v>0</v>
      </c>
      <c r="L487" s="342">
        <v>0</v>
      </c>
      <c r="M487" s="37">
        <f t="shared" si="58"/>
        <v>0</v>
      </c>
      <c r="N487" s="117">
        <f t="shared" si="61"/>
        <v>0</v>
      </c>
      <c r="O487" s="45">
        <f t="shared" si="59"/>
        <v>0</v>
      </c>
    </row>
    <row r="488" spans="1:15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40">
        <f t="shared" si="55"/>
        <v>384.7</v>
      </c>
      <c r="G488" s="339">
        <v>168</v>
      </c>
      <c r="H488" s="339">
        <v>168</v>
      </c>
      <c r="I488" s="72">
        <f t="shared" si="57"/>
        <v>5.6000000000000001E-2</v>
      </c>
      <c r="J488" s="37">
        <f t="shared" si="56"/>
        <v>112.95256000000001</v>
      </c>
      <c r="K488" s="37">
        <f t="shared" si="60"/>
        <v>41.532656312000007</v>
      </c>
      <c r="L488" s="342">
        <v>43.632399999999997</v>
      </c>
      <c r="M488" s="37">
        <f t="shared" si="58"/>
        <v>5.5936742400000004</v>
      </c>
      <c r="N488" s="117">
        <f t="shared" si="61"/>
        <v>6.8186888985600005</v>
      </c>
      <c r="O488" s="45">
        <f t="shared" si="59"/>
        <v>0.52953285820639462</v>
      </c>
    </row>
    <row r="489" spans="1:15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40">
        <f>C489+E489</f>
        <v>1900.8700000000001</v>
      </c>
      <c r="G489" s="339">
        <v>1020</v>
      </c>
      <c r="H489" s="339">
        <v>762</v>
      </c>
      <c r="I489" s="72">
        <f t="shared" si="57"/>
        <v>0.254</v>
      </c>
      <c r="J489" s="37">
        <f t="shared" si="56"/>
        <v>512.32054000000005</v>
      </c>
      <c r="K489" s="37">
        <f t="shared" si="60"/>
        <v>188.38026255800003</v>
      </c>
      <c r="L489" s="342">
        <v>197.9041</v>
      </c>
      <c r="M489" s="37">
        <f t="shared" si="58"/>
        <v>25.371308160000002</v>
      </c>
      <c r="N489" s="117">
        <f t="shared" si="61"/>
        <v>30.927624647040005</v>
      </c>
      <c r="O489" s="45">
        <f t="shared" si="59"/>
        <v>0.48608069500702311</v>
      </c>
    </row>
    <row r="490" spans="1:15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40">
        <f>C490+D490+E490</f>
        <v>362.4</v>
      </c>
      <c r="G490" s="339">
        <v>0</v>
      </c>
      <c r="H490" s="339">
        <v>0</v>
      </c>
      <c r="I490" s="72">
        <f t="shared" si="57"/>
        <v>0</v>
      </c>
      <c r="J490" s="37">
        <f t="shared" si="56"/>
        <v>0</v>
      </c>
      <c r="K490" s="37">
        <f t="shared" si="60"/>
        <v>0</v>
      </c>
      <c r="L490" s="342">
        <v>0</v>
      </c>
      <c r="M490" s="37">
        <f t="shared" si="58"/>
        <v>0</v>
      </c>
      <c r="N490" s="117">
        <f t="shared" si="61"/>
        <v>0</v>
      </c>
      <c r="O490" s="45">
        <f t="shared" si="59"/>
        <v>0</v>
      </c>
    </row>
    <row r="491" spans="1:15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40">
        <f t="shared" si="55"/>
        <v>196.1</v>
      </c>
      <c r="G491" s="339">
        <v>90</v>
      </c>
      <c r="H491" s="339">
        <v>80</v>
      </c>
      <c r="I491" s="72">
        <f t="shared" si="57"/>
        <v>2.6666666666666668E-2</v>
      </c>
      <c r="J491" s="37">
        <f t="shared" si="56"/>
        <v>53.786933333333337</v>
      </c>
      <c r="K491" s="37">
        <f t="shared" si="60"/>
        <v>19.77745538666667</v>
      </c>
      <c r="L491" s="342">
        <v>20.777333333333335</v>
      </c>
      <c r="M491" s="37">
        <f t="shared" si="58"/>
        <v>2.6636544000000004</v>
      </c>
      <c r="N491" s="117">
        <f t="shared" si="61"/>
        <v>3.2469947136000008</v>
      </c>
      <c r="O491" s="45">
        <f t="shared" si="59"/>
        <v>0.4946730058813531</v>
      </c>
    </row>
    <row r="492" spans="1:15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40">
        <f t="shared" si="55"/>
        <v>98.48</v>
      </c>
      <c r="G492" s="339"/>
      <c r="H492" s="339">
        <v>0</v>
      </c>
      <c r="I492" s="72">
        <f t="shared" si="57"/>
        <v>0</v>
      </c>
      <c r="J492" s="37">
        <f t="shared" si="56"/>
        <v>0</v>
      </c>
      <c r="K492" s="37">
        <f t="shared" si="60"/>
        <v>0</v>
      </c>
      <c r="L492" s="342">
        <v>0</v>
      </c>
      <c r="M492" s="37">
        <f t="shared" si="58"/>
        <v>0</v>
      </c>
      <c r="N492" s="117">
        <f t="shared" si="61"/>
        <v>0</v>
      </c>
      <c r="O492" s="45">
        <f t="shared" si="59"/>
        <v>0</v>
      </c>
    </row>
    <row r="493" spans="1:15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40">
        <f t="shared" si="55"/>
        <v>2328.6</v>
      </c>
      <c r="G493" s="339">
        <v>454</v>
      </c>
      <c r="H493" s="339">
        <v>317</v>
      </c>
      <c r="I493" s="72">
        <f t="shared" si="57"/>
        <v>0.10566666666666667</v>
      </c>
      <c r="J493" s="37">
        <f t="shared" si="56"/>
        <v>213.13072333333335</v>
      </c>
      <c r="K493" s="37">
        <f t="shared" si="60"/>
        <v>78.368166969666675</v>
      </c>
      <c r="L493" s="37">
        <v>82.330183333333338</v>
      </c>
      <c r="M493" s="37">
        <f t="shared" si="58"/>
        <v>10.554730560000001</v>
      </c>
      <c r="N493" s="117">
        <f t="shared" si="61"/>
        <v>12.866216552640003</v>
      </c>
      <c r="O493" s="45">
        <f t="shared" si="59"/>
        <v>0.16507077393984945</v>
      </c>
    </row>
    <row r="494" spans="1:15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40">
        <f t="shared" si="55"/>
        <v>479.01</v>
      </c>
      <c r="G494" s="339">
        <v>195</v>
      </c>
      <c r="H494" s="339">
        <v>177</v>
      </c>
      <c r="I494" s="72">
        <f t="shared" si="57"/>
        <v>5.8999999999999997E-2</v>
      </c>
      <c r="J494" s="37">
        <f t="shared" si="56"/>
        <v>119.00358999999999</v>
      </c>
      <c r="K494" s="37">
        <f t="shared" si="60"/>
        <v>43.757620042999996</v>
      </c>
      <c r="L494" s="37">
        <v>45.969849999999994</v>
      </c>
      <c r="M494" s="37">
        <f t="shared" si="58"/>
        <v>5.8933353600000009</v>
      </c>
      <c r="N494" s="117">
        <f t="shared" si="61"/>
        <v>7.1839758038400019</v>
      </c>
      <c r="O494" s="45">
        <f t="shared" si="59"/>
        <v>0.44805827728648667</v>
      </c>
    </row>
    <row r="495" spans="1:15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40">
        <f t="shared" si="55"/>
        <v>479.14</v>
      </c>
      <c r="G495" s="339">
        <v>73</v>
      </c>
      <c r="H495" s="339">
        <v>73</v>
      </c>
      <c r="I495" s="72">
        <f t="shared" si="57"/>
        <v>2.4333333333333332E-2</v>
      </c>
      <c r="J495" s="37">
        <f t="shared" si="56"/>
        <v>49.080576666666666</v>
      </c>
      <c r="K495" s="37">
        <f t="shared" si="60"/>
        <v>18.046928040333334</v>
      </c>
      <c r="L495" s="37">
        <v>18.959316666666666</v>
      </c>
      <c r="M495" s="37">
        <f t="shared" si="58"/>
        <v>2.4305846400000002</v>
      </c>
      <c r="N495" s="117">
        <f t="shared" si="61"/>
        <v>2.9628826761600005</v>
      </c>
      <c r="O495" s="45">
        <f t="shared" si="59"/>
        <v>0.18474225907598338</v>
      </c>
    </row>
    <row r="496" spans="1:15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40">
        <f t="shared" si="55"/>
        <v>1158.5899999999999</v>
      </c>
      <c r="G496" s="339">
        <v>290</v>
      </c>
      <c r="H496" s="339">
        <v>230</v>
      </c>
      <c r="I496" s="72">
        <f t="shared" si="57"/>
        <v>7.6666666666666661E-2</v>
      </c>
      <c r="J496" s="37">
        <f t="shared" si="56"/>
        <v>154.63743333333332</v>
      </c>
      <c r="K496" s="37">
        <f t="shared" si="60"/>
        <v>56.860184236666669</v>
      </c>
      <c r="L496" s="37">
        <v>59.734833333333327</v>
      </c>
      <c r="M496" s="37">
        <f t="shared" si="58"/>
        <v>7.6580064000000005</v>
      </c>
      <c r="N496" s="117">
        <f t="shared" si="61"/>
        <v>9.3351098016000016</v>
      </c>
      <c r="O496" s="45">
        <f t="shared" si="59"/>
        <v>0.24071540174119688</v>
      </c>
    </row>
    <row r="497" spans="1:15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40">
        <f t="shared" si="55"/>
        <v>368.99</v>
      </c>
      <c r="G497" s="339">
        <v>203</v>
      </c>
      <c r="H497" s="339">
        <v>158</v>
      </c>
      <c r="I497" s="72">
        <f t="shared" si="57"/>
        <v>5.2666666666666667E-2</v>
      </c>
      <c r="J497" s="37">
        <f t="shared" si="56"/>
        <v>106.22919333333333</v>
      </c>
      <c r="K497" s="37">
        <f t="shared" si="60"/>
        <v>39.06047438866667</v>
      </c>
      <c r="L497" s="37">
        <v>41.035233333333331</v>
      </c>
      <c r="M497" s="37">
        <f t="shared" si="58"/>
        <v>5.2607174400000005</v>
      </c>
      <c r="N497" s="117">
        <f t="shared" si="61"/>
        <v>6.412814559360001</v>
      </c>
      <c r="O497" s="45">
        <f t="shared" si="59"/>
        <v>0.51921628904667694</v>
      </c>
    </row>
    <row r="498" spans="1:15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40">
        <f t="shared" si="55"/>
        <v>346.24</v>
      </c>
      <c r="G498" s="339">
        <v>108</v>
      </c>
      <c r="H498" s="339">
        <v>92</v>
      </c>
      <c r="I498" s="72">
        <f t="shared" si="57"/>
        <v>3.0666666666666665E-2</v>
      </c>
      <c r="J498" s="37">
        <f t="shared" si="56"/>
        <v>61.854973333333326</v>
      </c>
      <c r="K498" s="37">
        <f t="shared" si="60"/>
        <v>22.744073694666668</v>
      </c>
      <c r="L498" s="37">
        <v>23.893933333333333</v>
      </c>
      <c r="M498" s="37">
        <f t="shared" si="58"/>
        <v>3.0632025600000001</v>
      </c>
      <c r="N498" s="117">
        <f t="shared" si="61"/>
        <v>3.7340439206400005</v>
      </c>
      <c r="O498" s="45">
        <f t="shared" si="59"/>
        <v>0.32219322701401726</v>
      </c>
    </row>
    <row r="499" spans="1:15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40">
        <f t="shared" si="55"/>
        <v>151.5</v>
      </c>
      <c r="G499" s="339">
        <v>0</v>
      </c>
      <c r="H499" s="339">
        <v>0</v>
      </c>
      <c r="I499" s="72">
        <f t="shared" si="57"/>
        <v>0</v>
      </c>
      <c r="J499" s="37">
        <f t="shared" si="56"/>
        <v>0</v>
      </c>
      <c r="K499" s="37">
        <f t="shared" si="60"/>
        <v>0</v>
      </c>
      <c r="L499" s="37">
        <v>0</v>
      </c>
      <c r="M499" s="37">
        <f t="shared" si="58"/>
        <v>0</v>
      </c>
      <c r="N499" s="117">
        <f t="shared" si="61"/>
        <v>0</v>
      </c>
      <c r="O499" s="45">
        <f t="shared" si="59"/>
        <v>0</v>
      </c>
    </row>
    <row r="500" spans="1:15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40">
        <f t="shared" si="55"/>
        <v>123.6</v>
      </c>
      <c r="G500" s="339">
        <v>44</v>
      </c>
      <c r="H500" s="339">
        <v>0</v>
      </c>
      <c r="I500" s="72">
        <f t="shared" si="57"/>
        <v>0</v>
      </c>
      <c r="J500" s="37">
        <f t="shared" si="56"/>
        <v>0</v>
      </c>
      <c r="K500" s="37">
        <f t="shared" si="60"/>
        <v>0</v>
      </c>
      <c r="L500" s="37">
        <v>0</v>
      </c>
      <c r="M500" s="37">
        <f t="shared" si="58"/>
        <v>0</v>
      </c>
      <c r="N500" s="117">
        <f t="shared" si="61"/>
        <v>0</v>
      </c>
      <c r="O500" s="45">
        <f t="shared" si="59"/>
        <v>0</v>
      </c>
    </row>
    <row r="501" spans="1:15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40">
        <f t="shared" si="55"/>
        <v>624.51</v>
      </c>
      <c r="G501" s="339">
        <v>355</v>
      </c>
      <c r="H501" s="339">
        <v>245</v>
      </c>
      <c r="I501" s="72">
        <f t="shared" si="57"/>
        <v>8.1666666666666665E-2</v>
      </c>
      <c r="J501" s="37">
        <f t="shared" si="56"/>
        <v>164.72248333333334</v>
      </c>
      <c r="K501" s="37">
        <f t="shared" si="60"/>
        <v>60.568457121666675</v>
      </c>
      <c r="L501" s="37">
        <v>63.630583333333327</v>
      </c>
      <c r="M501" s="37">
        <f t="shared" si="58"/>
        <v>8.1574416000000003</v>
      </c>
      <c r="N501" s="117">
        <f t="shared" si="61"/>
        <v>9.9439213104000004</v>
      </c>
      <c r="O501" s="45">
        <f t="shared" si="59"/>
        <v>0.47569929286694107</v>
      </c>
    </row>
    <row r="502" spans="1:15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40">
        <f t="shared" si="55"/>
        <v>202.5</v>
      </c>
      <c r="G502" s="339">
        <v>0</v>
      </c>
      <c r="H502" s="339">
        <v>0</v>
      </c>
      <c r="I502" s="72">
        <f t="shared" si="57"/>
        <v>0</v>
      </c>
      <c r="J502" s="37">
        <f t="shared" si="56"/>
        <v>0</v>
      </c>
      <c r="K502" s="37">
        <f t="shared" si="60"/>
        <v>0</v>
      </c>
      <c r="L502" s="37">
        <v>0</v>
      </c>
      <c r="M502" s="37">
        <f t="shared" si="58"/>
        <v>0</v>
      </c>
      <c r="N502" s="117">
        <f t="shared" si="61"/>
        <v>0</v>
      </c>
      <c r="O502" s="45">
        <f t="shared" si="59"/>
        <v>0</v>
      </c>
    </row>
    <row r="503" spans="1:15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40">
        <f t="shared" si="55"/>
        <v>132.5</v>
      </c>
      <c r="G503" s="339">
        <v>0</v>
      </c>
      <c r="H503" s="339">
        <v>0</v>
      </c>
      <c r="I503" s="72">
        <f t="shared" si="57"/>
        <v>0</v>
      </c>
      <c r="J503" s="37">
        <f t="shared" si="56"/>
        <v>0</v>
      </c>
      <c r="K503" s="37">
        <f t="shared" si="60"/>
        <v>0</v>
      </c>
      <c r="L503" s="37">
        <v>0</v>
      </c>
      <c r="M503" s="37">
        <f t="shared" si="58"/>
        <v>0</v>
      </c>
      <c r="N503" s="117">
        <f t="shared" si="61"/>
        <v>0</v>
      </c>
      <c r="O503" s="45">
        <f t="shared" si="59"/>
        <v>0</v>
      </c>
    </row>
    <row r="504" spans="1:15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40">
        <f t="shared" si="55"/>
        <v>156.1</v>
      </c>
      <c r="G504" s="339"/>
      <c r="H504" s="339"/>
      <c r="I504" s="72">
        <f t="shared" si="57"/>
        <v>0</v>
      </c>
      <c r="J504" s="37">
        <f t="shared" si="56"/>
        <v>0</v>
      </c>
      <c r="K504" s="37">
        <f t="shared" si="60"/>
        <v>0</v>
      </c>
      <c r="L504" s="37">
        <v>0</v>
      </c>
      <c r="M504" s="37">
        <f t="shared" si="58"/>
        <v>0</v>
      </c>
      <c r="N504" s="117">
        <f t="shared" si="61"/>
        <v>0</v>
      </c>
      <c r="O504" s="45">
        <f t="shared" si="59"/>
        <v>0</v>
      </c>
    </row>
    <row r="505" spans="1:15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40">
        <f t="shared" si="55"/>
        <v>138</v>
      </c>
      <c r="G505" s="339">
        <v>92</v>
      </c>
      <c r="H505" s="339">
        <v>67</v>
      </c>
      <c r="I505" s="72">
        <f t="shared" si="57"/>
        <v>2.2333333333333334E-2</v>
      </c>
      <c r="J505" s="37">
        <f t="shared" si="56"/>
        <v>45.046556666666667</v>
      </c>
      <c r="K505" s="37">
        <f t="shared" si="60"/>
        <v>16.563618886333334</v>
      </c>
      <c r="L505" s="37">
        <v>20.881219999999999</v>
      </c>
      <c r="M505" s="37">
        <f t="shared" si="58"/>
        <v>2.2308105600000006</v>
      </c>
      <c r="N505" s="117">
        <f t="shared" si="61"/>
        <v>2.7193580726400008</v>
      </c>
      <c r="O505" s="45">
        <f t="shared" si="59"/>
        <v>0.61392902980434783</v>
      </c>
    </row>
    <row r="506" spans="1:15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40">
        <f t="shared" si="55"/>
        <v>137.69999999999999</v>
      </c>
      <c r="G506" s="339">
        <v>0</v>
      </c>
      <c r="H506" s="339">
        <v>0</v>
      </c>
      <c r="I506" s="72">
        <f t="shared" si="57"/>
        <v>0</v>
      </c>
      <c r="J506" s="37">
        <f t="shared" si="56"/>
        <v>0</v>
      </c>
      <c r="K506" s="37">
        <f t="shared" si="60"/>
        <v>0</v>
      </c>
      <c r="L506" s="37">
        <v>0</v>
      </c>
      <c r="M506" s="37">
        <f t="shared" si="58"/>
        <v>0</v>
      </c>
      <c r="N506" s="117">
        <f t="shared" si="61"/>
        <v>0</v>
      </c>
      <c r="O506" s="45">
        <f t="shared" si="59"/>
        <v>0</v>
      </c>
    </row>
    <row r="507" spans="1:15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40">
        <f t="shared" si="55"/>
        <v>184.88</v>
      </c>
      <c r="G507" s="339">
        <v>0</v>
      </c>
      <c r="H507" s="339"/>
      <c r="I507" s="72">
        <f t="shared" si="57"/>
        <v>0</v>
      </c>
      <c r="J507" s="37">
        <f t="shared" si="56"/>
        <v>0</v>
      </c>
      <c r="K507" s="37">
        <f t="shared" si="60"/>
        <v>0</v>
      </c>
      <c r="L507" s="37">
        <v>0</v>
      </c>
      <c r="M507" s="37">
        <f t="shared" si="58"/>
        <v>0</v>
      </c>
      <c r="N507" s="117">
        <f t="shared" si="61"/>
        <v>0</v>
      </c>
      <c r="O507" s="45">
        <f t="shared" si="59"/>
        <v>0</v>
      </c>
    </row>
    <row r="508" spans="1:15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40">
        <f t="shared" si="55"/>
        <v>657.19</v>
      </c>
      <c r="G508" s="339">
        <v>126</v>
      </c>
      <c r="H508" s="339">
        <v>74</v>
      </c>
      <c r="I508" s="72">
        <f t="shared" si="57"/>
        <v>2.4666666666666667E-2</v>
      </c>
      <c r="J508" s="37">
        <f t="shared" si="56"/>
        <v>49.752913333333332</v>
      </c>
      <c r="K508" s="37">
        <f t="shared" si="60"/>
        <v>18.294146232666666</v>
      </c>
      <c r="L508" s="37">
        <v>23.062839999999998</v>
      </c>
      <c r="M508" s="37">
        <f t="shared" si="58"/>
        <v>2.4638803200000008</v>
      </c>
      <c r="N508" s="117">
        <f t="shared" si="61"/>
        <v>3.0034701100800012</v>
      </c>
      <c r="O508" s="45">
        <f t="shared" si="59"/>
        <v>0.1423846678829562</v>
      </c>
    </row>
    <row r="509" spans="1:15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40">
        <f t="shared" si="55"/>
        <v>815.3</v>
      </c>
      <c r="G509" s="339">
        <v>135</v>
      </c>
      <c r="H509" s="339">
        <v>45</v>
      </c>
      <c r="I509" s="72">
        <f t="shared" si="57"/>
        <v>1.4999999999999999E-2</v>
      </c>
      <c r="J509" s="37">
        <f t="shared" si="56"/>
        <v>30.25515</v>
      </c>
      <c r="K509" s="37">
        <f t="shared" si="60"/>
        <v>11.124818655</v>
      </c>
      <c r="L509" s="37">
        <v>11.687249999999999</v>
      </c>
      <c r="M509" s="37">
        <f t="shared" si="58"/>
        <v>1.4983055999999999</v>
      </c>
      <c r="N509" s="117">
        <f t="shared" si="61"/>
        <v>1.8264345263999999</v>
      </c>
      <c r="O509" s="45">
        <f t="shared" si="59"/>
        <v>6.692692782411383E-2</v>
      </c>
    </row>
    <row r="510" spans="1:15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40">
        <f t="shared" si="55"/>
        <v>800.4</v>
      </c>
      <c r="G510" s="339">
        <v>160</v>
      </c>
      <c r="H510" s="339">
        <v>160</v>
      </c>
      <c r="I510" s="72">
        <f t="shared" si="57"/>
        <v>5.3333333333333337E-2</v>
      </c>
      <c r="J510" s="37">
        <f t="shared" si="56"/>
        <v>107.57386666666667</v>
      </c>
      <c r="K510" s="37">
        <f t="shared" si="60"/>
        <v>39.55491077333334</v>
      </c>
      <c r="L510" s="37">
        <v>41.55466666666667</v>
      </c>
      <c r="M510" s="37">
        <f t="shared" si="58"/>
        <v>5.3273088000000008</v>
      </c>
      <c r="N510" s="117">
        <f t="shared" si="61"/>
        <v>6.4939894272000016</v>
      </c>
      <c r="O510" s="45">
        <f t="shared" si="59"/>
        <v>0.24239224501082796</v>
      </c>
    </row>
    <row r="511" spans="1:15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40">
        <f t="shared" ref="F511:F535" si="62">C511+D511+E511</f>
        <v>285.10000000000002</v>
      </c>
      <c r="G511" s="339">
        <v>20</v>
      </c>
      <c r="H511" s="339">
        <v>20</v>
      </c>
      <c r="I511" s="72">
        <f t="shared" si="57"/>
        <v>6.6666666666666671E-3</v>
      </c>
      <c r="J511" s="37">
        <f t="shared" si="56"/>
        <v>13.446733333333334</v>
      </c>
      <c r="K511" s="37">
        <f t="shared" si="60"/>
        <v>4.9443638466666675</v>
      </c>
      <c r="L511" s="37">
        <v>5.1943333333333337</v>
      </c>
      <c r="M511" s="37">
        <f t="shared" si="58"/>
        <v>0.66591360000000011</v>
      </c>
      <c r="N511" s="117">
        <f t="shared" si="61"/>
        <v>0.8117486784000002</v>
      </c>
      <c r="O511" s="45">
        <f t="shared" si="59"/>
        <v>8.5062588962936975E-2</v>
      </c>
    </row>
    <row r="512" spans="1:15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40">
        <f t="shared" si="62"/>
        <v>415.84</v>
      </c>
      <c r="G512" s="339">
        <v>76</v>
      </c>
      <c r="H512" s="339">
        <v>76</v>
      </c>
      <c r="I512" s="72">
        <f t="shared" si="57"/>
        <v>2.5333333333333333E-2</v>
      </c>
      <c r="J512" s="37">
        <f t="shared" si="56"/>
        <v>51.097586666666665</v>
      </c>
      <c r="K512" s="37">
        <f t="shared" si="60"/>
        <v>18.788582617333333</v>
      </c>
      <c r="L512" s="37">
        <v>19.738466666666664</v>
      </c>
      <c r="M512" s="37">
        <f t="shared" si="58"/>
        <v>2.5304716800000002</v>
      </c>
      <c r="N512" s="117">
        <f t="shared" si="61"/>
        <v>3.0846449779200005</v>
      </c>
      <c r="O512" s="45">
        <f t="shared" si="59"/>
        <v>0.22161193639540852</v>
      </c>
    </row>
    <row r="513" spans="1:15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40">
        <f t="shared" si="62"/>
        <v>516.34</v>
      </c>
      <c r="G513" s="339">
        <v>36</v>
      </c>
      <c r="H513" s="339">
        <v>36</v>
      </c>
      <c r="I513" s="72">
        <f t="shared" si="57"/>
        <v>1.2E-2</v>
      </c>
      <c r="J513" s="37">
        <f t="shared" si="56"/>
        <v>24.20412</v>
      </c>
      <c r="K513" s="37">
        <f t="shared" si="60"/>
        <v>8.8998549240000013</v>
      </c>
      <c r="L513" s="37">
        <v>9.3498000000000001</v>
      </c>
      <c r="M513" s="37">
        <f t="shared" si="58"/>
        <v>1.1986444800000002</v>
      </c>
      <c r="N513" s="117">
        <f t="shared" si="61"/>
        <v>1.4611476211200003</v>
      </c>
      <c r="O513" s="45">
        <f t="shared" si="59"/>
        <v>8.4542006050276938E-2</v>
      </c>
    </row>
    <row r="514" spans="1:15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40">
        <f t="shared" si="62"/>
        <v>605.14</v>
      </c>
      <c r="G514" s="339">
        <v>112</v>
      </c>
      <c r="H514" s="339">
        <v>108</v>
      </c>
      <c r="I514" s="72">
        <f t="shared" ref="I514:I535" si="63">H514/3000</f>
        <v>3.5999999999999997E-2</v>
      </c>
      <c r="J514" s="37">
        <f t="shared" ref="J514:J534" si="64">I514*2017.01</f>
        <v>72.612359999999995</v>
      </c>
      <c r="K514" s="37">
        <f t="shared" si="60"/>
        <v>26.699564771999999</v>
      </c>
      <c r="L514" s="37">
        <v>28.049399999999999</v>
      </c>
      <c r="M514" s="37">
        <f t="shared" si="58"/>
        <v>3.5959334400000005</v>
      </c>
      <c r="N514" s="117">
        <f t="shared" si="61"/>
        <v>4.3834428633600009</v>
      </c>
      <c r="O514" s="45">
        <f t="shared" si="59"/>
        <v>0.21640820010576065</v>
      </c>
    </row>
    <row r="515" spans="1:15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40">
        <f t="shared" si="62"/>
        <v>476.1</v>
      </c>
      <c r="G515" s="339">
        <v>112</v>
      </c>
      <c r="H515" s="339">
        <v>87</v>
      </c>
      <c r="I515" s="72">
        <f t="shared" si="63"/>
        <v>2.9000000000000001E-2</v>
      </c>
      <c r="J515" s="37">
        <f t="shared" si="64"/>
        <v>58.493290000000002</v>
      </c>
      <c r="K515" s="37">
        <f t="shared" si="60"/>
        <v>21.507982733000002</v>
      </c>
      <c r="L515" s="37">
        <v>27.114419999999999</v>
      </c>
      <c r="M515" s="37">
        <f t="shared" ref="M515:M535" si="65">I515*84.08*1.1*1.08</f>
        <v>2.8967241600000007</v>
      </c>
      <c r="N515" s="117">
        <f t="shared" si="61"/>
        <v>3.5311067510400012</v>
      </c>
      <c r="O515" s="45">
        <f t="shared" si="59"/>
        <v>0.23106997877126656</v>
      </c>
    </row>
    <row r="516" spans="1:15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40">
        <f t="shared" si="62"/>
        <v>417.52</v>
      </c>
      <c r="G516" s="339">
        <v>155</v>
      </c>
      <c r="H516" s="339">
        <v>155</v>
      </c>
      <c r="I516" s="72">
        <f t="shared" si="63"/>
        <v>5.1666666666666666E-2</v>
      </c>
      <c r="J516" s="37">
        <f t="shared" si="64"/>
        <v>104.21218333333333</v>
      </c>
      <c r="K516" s="37">
        <f t="shared" si="60"/>
        <v>38.318819811666671</v>
      </c>
      <c r="L516" s="37">
        <v>40.256083333333329</v>
      </c>
      <c r="M516" s="37">
        <f t="shared" si="65"/>
        <v>5.1608304000000009</v>
      </c>
      <c r="N516" s="117">
        <f t="shared" si="61"/>
        <v>6.2910522576000014</v>
      </c>
      <c r="O516" s="45">
        <f t="shared" si="59"/>
        <v>0.45015308698585299</v>
      </c>
    </row>
    <row r="517" spans="1:15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40">
        <f t="shared" si="62"/>
        <v>273.56</v>
      </c>
      <c r="G517" s="339">
        <v>181</v>
      </c>
      <c r="H517" s="339">
        <v>181</v>
      </c>
      <c r="I517" s="72">
        <f t="shared" si="63"/>
        <v>6.0333333333333336E-2</v>
      </c>
      <c r="J517" s="37">
        <f t="shared" si="64"/>
        <v>121.69293666666667</v>
      </c>
      <c r="K517" s="37">
        <f t="shared" si="60"/>
        <v>44.746492812333337</v>
      </c>
      <c r="L517" s="37">
        <v>42.307845</v>
      </c>
      <c r="M517" s="37">
        <f t="shared" si="65"/>
        <v>6.0265180800000007</v>
      </c>
      <c r="N517" s="117">
        <f t="shared" si="61"/>
        <v>7.3463255395200013</v>
      </c>
      <c r="O517" s="45">
        <f t="shared" si="59"/>
        <v>0.78510671355095774</v>
      </c>
    </row>
    <row r="518" spans="1:15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40">
        <f t="shared" si="62"/>
        <v>645.95000000000005</v>
      </c>
      <c r="G518" s="339">
        <v>106</v>
      </c>
      <c r="H518" s="339">
        <v>76</v>
      </c>
      <c r="I518" s="72">
        <f t="shared" si="63"/>
        <v>2.5333333333333333E-2</v>
      </c>
      <c r="J518" s="37">
        <f t="shared" si="64"/>
        <v>51.097586666666665</v>
      </c>
      <c r="K518" s="37">
        <f t="shared" si="60"/>
        <v>18.788582617333333</v>
      </c>
      <c r="L518" s="37">
        <v>23.686159999999997</v>
      </c>
      <c r="M518" s="37">
        <f t="shared" si="65"/>
        <v>2.5304716800000002</v>
      </c>
      <c r="N518" s="117">
        <f t="shared" si="61"/>
        <v>3.0846449779200005</v>
      </c>
      <c r="O518" s="45">
        <f t="shared" si="59"/>
        <v>0.14877746104806874</v>
      </c>
    </row>
    <row r="519" spans="1:15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40">
        <f t="shared" si="62"/>
        <v>867.68</v>
      </c>
      <c r="G519" s="339">
        <v>106</v>
      </c>
      <c r="H519" s="339">
        <v>106</v>
      </c>
      <c r="I519" s="72">
        <f t="shared" si="63"/>
        <v>3.5333333333333335E-2</v>
      </c>
      <c r="J519" s="37">
        <f t="shared" si="64"/>
        <v>71.267686666666663</v>
      </c>
      <c r="K519" s="37">
        <f t="shared" si="60"/>
        <v>26.205128387333335</v>
      </c>
      <c r="L519" s="37">
        <v>27.529966666666667</v>
      </c>
      <c r="M519" s="37">
        <f t="shared" si="65"/>
        <v>3.5293420800000002</v>
      </c>
      <c r="N519" s="117">
        <f t="shared" si="61"/>
        <v>4.3022679955200003</v>
      </c>
      <c r="O519" s="45">
        <f t="shared" ref="O519:O537" si="66">(J519+K519+L519+M519)/F519</f>
        <v>0.14813309492055443</v>
      </c>
    </row>
    <row r="520" spans="1:15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40">
        <f t="shared" si="62"/>
        <v>556.85</v>
      </c>
      <c r="G520" s="339">
        <v>66</v>
      </c>
      <c r="H520" s="339">
        <v>66</v>
      </c>
      <c r="I520" s="72">
        <f t="shared" si="63"/>
        <v>2.1999999999999999E-2</v>
      </c>
      <c r="J520" s="37">
        <f t="shared" si="64"/>
        <v>44.374219999999994</v>
      </c>
      <c r="K520" s="37">
        <f t="shared" si="60"/>
        <v>16.316400693999999</v>
      </c>
      <c r="L520" s="37">
        <v>17.141299999999998</v>
      </c>
      <c r="M520" s="37">
        <f t="shared" si="65"/>
        <v>2.1975148800000004</v>
      </c>
      <c r="N520" s="117">
        <f t="shared" si="61"/>
        <v>2.6787706387200005</v>
      </c>
      <c r="O520" s="45">
        <f t="shared" si="66"/>
        <v>0.14371812081170871</v>
      </c>
    </row>
    <row r="521" spans="1:15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40">
        <f t="shared" si="62"/>
        <v>335.18</v>
      </c>
      <c r="G521" s="339">
        <v>0</v>
      </c>
      <c r="H521" s="339">
        <v>0</v>
      </c>
      <c r="I521" s="72">
        <f t="shared" si="63"/>
        <v>0</v>
      </c>
      <c r="J521" s="37">
        <f t="shared" si="64"/>
        <v>0</v>
      </c>
      <c r="K521" s="37">
        <f t="shared" si="60"/>
        <v>0</v>
      </c>
      <c r="L521" s="37">
        <v>0</v>
      </c>
      <c r="M521" s="37">
        <f t="shared" si="65"/>
        <v>0</v>
      </c>
      <c r="N521" s="117">
        <f t="shared" si="61"/>
        <v>0</v>
      </c>
      <c r="O521" s="45">
        <f t="shared" si="66"/>
        <v>0</v>
      </c>
    </row>
    <row r="522" spans="1:15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40">
        <f t="shared" si="62"/>
        <v>274.58999999999997</v>
      </c>
      <c r="G522" s="339">
        <v>70</v>
      </c>
      <c r="H522" s="339">
        <v>40</v>
      </c>
      <c r="I522" s="72">
        <f t="shared" si="63"/>
        <v>1.3333333333333334E-2</v>
      </c>
      <c r="J522" s="37">
        <f t="shared" si="64"/>
        <v>26.893466666666669</v>
      </c>
      <c r="K522" s="37">
        <f t="shared" si="60"/>
        <v>9.888727693333335</v>
      </c>
      <c r="L522" s="37">
        <v>10.388666666666667</v>
      </c>
      <c r="M522" s="37">
        <f t="shared" si="65"/>
        <v>1.3318272000000002</v>
      </c>
      <c r="N522" s="117">
        <f t="shared" si="61"/>
        <v>1.6234973568000004</v>
      </c>
      <c r="O522" s="45">
        <f t="shared" si="66"/>
        <v>0.17663676108622556</v>
      </c>
    </row>
    <row r="523" spans="1:15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40">
        <f t="shared" si="62"/>
        <v>345.54</v>
      </c>
      <c r="G523" s="339">
        <v>82</v>
      </c>
      <c r="H523" s="339">
        <v>82</v>
      </c>
      <c r="I523" s="72">
        <f t="shared" si="63"/>
        <v>2.7333333333333334E-2</v>
      </c>
      <c r="J523" s="37">
        <f t="shared" si="64"/>
        <v>55.13160666666667</v>
      </c>
      <c r="K523" s="37">
        <f t="shared" si="60"/>
        <v>20.271891771333337</v>
      </c>
      <c r="L523" s="37">
        <v>21.296766666666667</v>
      </c>
      <c r="M523" s="37">
        <f t="shared" si="65"/>
        <v>2.7302457600000007</v>
      </c>
      <c r="N523" s="117">
        <f t="shared" si="61"/>
        <v>3.328169581440001</v>
      </c>
      <c r="O523" s="45">
        <f t="shared" si="66"/>
        <v>0.28775398178117345</v>
      </c>
    </row>
    <row r="524" spans="1:15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40">
        <f t="shared" si="62"/>
        <v>212.4</v>
      </c>
      <c r="G524" s="339">
        <v>95</v>
      </c>
      <c r="H524" s="339">
        <v>81</v>
      </c>
      <c r="I524" s="72">
        <f t="shared" si="63"/>
        <v>2.7E-2</v>
      </c>
      <c r="J524" s="37">
        <f t="shared" si="64"/>
        <v>54.459269999999997</v>
      </c>
      <c r="K524" s="37">
        <f t="shared" si="60"/>
        <v>20.024673579000002</v>
      </c>
      <c r="L524" s="37">
        <v>21.037050000000001</v>
      </c>
      <c r="M524" s="37">
        <f t="shared" si="65"/>
        <v>2.6969500800000001</v>
      </c>
      <c r="N524" s="117">
        <f t="shared" si="61"/>
        <v>3.2875821475200002</v>
      </c>
      <c r="O524" s="45">
        <f t="shared" si="66"/>
        <v>0.46241969707627112</v>
      </c>
    </row>
    <row r="525" spans="1:15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40">
        <f t="shared" si="62"/>
        <v>257.2</v>
      </c>
      <c r="G525" s="339">
        <v>0</v>
      </c>
      <c r="H525" s="339">
        <v>0</v>
      </c>
      <c r="I525" s="72">
        <f t="shared" si="63"/>
        <v>0</v>
      </c>
      <c r="J525" s="37">
        <f t="shared" si="64"/>
        <v>0</v>
      </c>
      <c r="K525" s="37">
        <f t="shared" si="60"/>
        <v>0</v>
      </c>
      <c r="L525" s="37">
        <v>0</v>
      </c>
      <c r="M525" s="37">
        <f t="shared" si="65"/>
        <v>0</v>
      </c>
      <c r="N525" s="117">
        <f t="shared" si="61"/>
        <v>0</v>
      </c>
      <c r="O525" s="45">
        <f t="shared" si="66"/>
        <v>0</v>
      </c>
    </row>
    <row r="526" spans="1:15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40">
        <f t="shared" si="62"/>
        <v>406.14</v>
      </c>
      <c r="G526" s="339">
        <v>189</v>
      </c>
      <c r="H526" s="339">
        <v>152</v>
      </c>
      <c r="I526" s="72">
        <f t="shared" si="63"/>
        <v>5.0666666666666665E-2</v>
      </c>
      <c r="J526" s="37">
        <f t="shared" si="64"/>
        <v>102.19517333333333</v>
      </c>
      <c r="K526" s="37">
        <f t="shared" si="60"/>
        <v>37.577165234666666</v>
      </c>
      <c r="L526" s="37">
        <v>47.372319999999995</v>
      </c>
      <c r="M526" s="37">
        <f t="shared" si="65"/>
        <v>5.0609433600000004</v>
      </c>
      <c r="N526" s="117">
        <f t="shared" si="61"/>
        <v>6.1692899558400009</v>
      </c>
      <c r="O526" s="45">
        <f t="shared" si="66"/>
        <v>0.47324962310533319</v>
      </c>
    </row>
    <row r="527" spans="1:15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40">
        <f t="shared" si="62"/>
        <v>253.51</v>
      </c>
      <c r="G527" s="339">
        <v>80</v>
      </c>
      <c r="H527" s="339">
        <v>80</v>
      </c>
      <c r="I527" s="72">
        <f t="shared" si="63"/>
        <v>2.6666666666666668E-2</v>
      </c>
      <c r="J527" s="37">
        <f t="shared" si="64"/>
        <v>53.786933333333337</v>
      </c>
      <c r="K527" s="37">
        <f t="shared" ref="K527:K534" si="67">J527*0.3677</f>
        <v>19.77745538666667</v>
      </c>
      <c r="L527" s="37">
        <v>20.777333333333335</v>
      </c>
      <c r="M527" s="37">
        <f t="shared" si="65"/>
        <v>2.6636544000000004</v>
      </c>
      <c r="N527" s="117">
        <f t="shared" si="61"/>
        <v>3.2469947136000008</v>
      </c>
      <c r="O527" s="45">
        <f t="shared" si="66"/>
        <v>0.3826491122769648</v>
      </c>
    </row>
    <row r="528" spans="1:15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40">
        <f t="shared" si="62"/>
        <v>354.64</v>
      </c>
      <c r="G528" s="339">
        <v>107</v>
      </c>
      <c r="H528" s="339">
        <v>92</v>
      </c>
      <c r="I528" s="72">
        <f t="shared" si="63"/>
        <v>3.0666666666666665E-2</v>
      </c>
      <c r="J528" s="37">
        <f t="shared" si="64"/>
        <v>61.854973333333326</v>
      </c>
      <c r="K528" s="37">
        <f t="shared" si="67"/>
        <v>22.744073694666668</v>
      </c>
      <c r="L528" s="37">
        <v>23.893933333333333</v>
      </c>
      <c r="M528" s="37">
        <f t="shared" si="65"/>
        <v>3.0632025600000001</v>
      </c>
      <c r="N528" s="117">
        <f t="shared" si="61"/>
        <v>3.7340439206400005</v>
      </c>
      <c r="O528" s="45">
        <f t="shared" si="66"/>
        <v>0.31456176100082711</v>
      </c>
    </row>
    <row r="529" spans="1:15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40">
        <f t="shared" si="62"/>
        <v>286.98</v>
      </c>
      <c r="G529" s="339">
        <v>88</v>
      </c>
      <c r="H529" s="339">
        <v>54</v>
      </c>
      <c r="I529" s="72">
        <f t="shared" si="63"/>
        <v>1.7999999999999999E-2</v>
      </c>
      <c r="J529" s="37">
        <f t="shared" si="64"/>
        <v>36.306179999999998</v>
      </c>
      <c r="K529" s="37">
        <f t="shared" si="67"/>
        <v>13.349782385999999</v>
      </c>
      <c r="L529" s="37">
        <v>16.829639999999998</v>
      </c>
      <c r="M529" s="37">
        <f t="shared" si="65"/>
        <v>1.7979667200000002</v>
      </c>
      <c r="N529" s="117">
        <f t="shared" si="61"/>
        <v>2.1917214316800004</v>
      </c>
      <c r="O529" s="45">
        <f t="shared" si="66"/>
        <v>0.23793842464980136</v>
      </c>
    </row>
    <row r="530" spans="1:15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40">
        <f t="shared" si="62"/>
        <v>128.9</v>
      </c>
      <c r="G530" s="339"/>
      <c r="H530" s="339">
        <v>0</v>
      </c>
      <c r="I530" s="72">
        <f t="shared" si="63"/>
        <v>0</v>
      </c>
      <c r="J530" s="37">
        <f t="shared" si="64"/>
        <v>0</v>
      </c>
      <c r="K530" s="37">
        <f t="shared" si="67"/>
        <v>0</v>
      </c>
      <c r="L530" s="37">
        <v>0</v>
      </c>
      <c r="M530" s="37">
        <f t="shared" si="65"/>
        <v>0</v>
      </c>
      <c r="N530" s="117">
        <f t="shared" si="61"/>
        <v>0</v>
      </c>
      <c r="O530" s="45">
        <f t="shared" si="66"/>
        <v>0</v>
      </c>
    </row>
    <row r="531" spans="1:15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40">
        <f t="shared" si="62"/>
        <v>2048.73</v>
      </c>
      <c r="G531" s="339">
        <v>720</v>
      </c>
      <c r="H531" s="339">
        <v>720</v>
      </c>
      <c r="I531" s="72">
        <f t="shared" si="63"/>
        <v>0.24</v>
      </c>
      <c r="J531" s="37">
        <f t="shared" si="64"/>
        <v>484.08240000000001</v>
      </c>
      <c r="K531" s="37">
        <f t="shared" si="67"/>
        <v>177.99709848000001</v>
      </c>
      <c r="L531" s="37">
        <v>186.99599999999998</v>
      </c>
      <c r="M531" s="37">
        <f t="shared" si="65"/>
        <v>23.972889599999998</v>
      </c>
      <c r="N531" s="117">
        <f t="shared" si="61"/>
        <v>29.222952422399999</v>
      </c>
      <c r="O531" s="45">
        <f t="shared" si="66"/>
        <v>0.42614126218681819</v>
      </c>
    </row>
    <row r="532" spans="1:15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40">
        <f t="shared" si="62"/>
        <v>2056.27</v>
      </c>
      <c r="G532" s="339">
        <v>720</v>
      </c>
      <c r="H532" s="339">
        <v>720</v>
      </c>
      <c r="I532" s="72">
        <f t="shared" si="63"/>
        <v>0.24</v>
      </c>
      <c r="J532" s="37">
        <f t="shared" si="64"/>
        <v>484.08240000000001</v>
      </c>
      <c r="K532" s="37">
        <f t="shared" si="67"/>
        <v>177.99709848000001</v>
      </c>
      <c r="L532" s="37">
        <v>186.99599999999998</v>
      </c>
      <c r="M532" s="37">
        <f t="shared" si="65"/>
        <v>23.972889599999998</v>
      </c>
      <c r="N532" s="117">
        <f t="shared" si="61"/>
        <v>29.222952422399999</v>
      </c>
      <c r="O532" s="45">
        <f t="shared" si="66"/>
        <v>0.42457867307308866</v>
      </c>
    </row>
    <row r="533" spans="1:15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40">
        <f t="shared" si="62"/>
        <v>75.900000000000006</v>
      </c>
      <c r="G533" s="339">
        <v>0</v>
      </c>
      <c r="H533" s="339">
        <v>0</v>
      </c>
      <c r="I533" s="72">
        <f t="shared" si="63"/>
        <v>0</v>
      </c>
      <c r="J533" s="37">
        <f t="shared" si="64"/>
        <v>0</v>
      </c>
      <c r="K533" s="37">
        <f t="shared" si="67"/>
        <v>0</v>
      </c>
      <c r="L533" s="37">
        <v>0</v>
      </c>
      <c r="M533" s="37">
        <f t="shared" si="65"/>
        <v>0</v>
      </c>
      <c r="N533" s="117">
        <f t="shared" si="61"/>
        <v>0</v>
      </c>
      <c r="O533" s="45">
        <f t="shared" si="66"/>
        <v>0</v>
      </c>
    </row>
    <row r="534" spans="1:15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40">
        <f t="shared" si="62"/>
        <v>903</v>
      </c>
      <c r="G534" s="353">
        <v>168.4</v>
      </c>
      <c r="H534" s="353">
        <v>168.4</v>
      </c>
      <c r="I534" s="72">
        <f>H534/3000</f>
        <v>5.6133333333333334E-2</v>
      </c>
      <c r="J534" s="37">
        <f t="shared" si="64"/>
        <v>113.22149466666667</v>
      </c>
      <c r="K534" s="37">
        <f t="shared" si="67"/>
        <v>41.63154358893334</v>
      </c>
      <c r="L534" s="37">
        <v>43.736286666666665</v>
      </c>
      <c r="M534" s="37">
        <f t="shared" si="65"/>
        <v>5.6069925120000015</v>
      </c>
      <c r="N534" s="117">
        <f t="shared" si="61"/>
        <v>6.8349238721280026</v>
      </c>
      <c r="O534" s="45">
        <f t="shared" si="66"/>
        <v>0.22613102705898858</v>
      </c>
    </row>
    <row r="535" spans="1:15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 t="shared" si="62"/>
        <v>243872.61000000004</v>
      </c>
      <c r="G535" s="353">
        <f>SUM(G386:G534)</f>
        <v>78943.399999999994</v>
      </c>
      <c r="H535" s="9">
        <f>SUM(H386:H534)</f>
        <v>74534.399999999994</v>
      </c>
      <c r="I535" s="72">
        <f t="shared" si="63"/>
        <v>24.844799999999999</v>
      </c>
      <c r="J535" s="37">
        <f>I535*2017.01</f>
        <v>50112.210048000001</v>
      </c>
      <c r="K535" s="64">
        <f>J535*0.3677</f>
        <v>18426.259634649603</v>
      </c>
      <c r="L535" s="37">
        <f>SUM(L91:L534)</f>
        <v>42612.949052000033</v>
      </c>
      <c r="M535" s="37">
        <f t="shared" si="65"/>
        <v>2481.6735313920008</v>
      </c>
      <c r="N535" s="117">
        <f t="shared" si="61"/>
        <v>3025.1600347668491</v>
      </c>
      <c r="O535" s="45">
        <f t="shared" si="66"/>
        <v>0.46595266383560507</v>
      </c>
    </row>
    <row r="536" spans="1:15" s="6" customFormat="1" ht="15.75">
      <c r="A536" s="9" t="s">
        <v>621</v>
      </c>
      <c r="B536" s="8"/>
      <c r="C536" s="8"/>
      <c r="D536" s="8"/>
      <c r="E536" s="8"/>
      <c r="F536" s="40">
        <f t="shared" ref="F536:F594" si="68">C536+D536+E536</f>
        <v>0</v>
      </c>
      <c r="G536" s="353"/>
      <c r="H536" s="8"/>
      <c r="I536" s="41"/>
      <c r="J536" s="37"/>
      <c r="K536" s="37"/>
      <c r="L536" s="37"/>
      <c r="M536" s="37"/>
      <c r="N536" s="117">
        <f t="shared" si="61"/>
        <v>0</v>
      </c>
      <c r="O536" s="45" t="e">
        <f t="shared" si="66"/>
        <v>#DIV/0!</v>
      </c>
    </row>
    <row r="537" spans="1:15" s="969" customFormat="1" ht="15.75">
      <c r="A537" s="958">
        <v>1</v>
      </c>
      <c r="B537" s="959" t="s">
        <v>246</v>
      </c>
      <c r="C537" s="960">
        <v>4327</v>
      </c>
      <c r="D537" s="960">
        <v>114</v>
      </c>
      <c r="E537" s="960">
        <v>272.8</v>
      </c>
      <c r="F537" s="961">
        <f t="shared" si="68"/>
        <v>4713.8</v>
      </c>
      <c r="G537" s="962">
        <v>796</v>
      </c>
      <c r="H537" s="963">
        <v>796</v>
      </c>
      <c r="I537" s="964">
        <f>H537/3000</f>
        <v>0.26533333333333331</v>
      </c>
      <c r="J537" s="965">
        <f t="shared" ref="J537:J600" si="69">I537*2017.01</f>
        <v>535.17998666666665</v>
      </c>
      <c r="K537" s="966">
        <f t="shared" ref="K537:K596" si="70">J537*0.3677</f>
        <v>196.78568109733334</v>
      </c>
      <c r="L537" s="965">
        <v>248.08135999999999</v>
      </c>
      <c r="M537" s="966">
        <f>I537*84.08*1.1*1.08</f>
        <v>26.50336128</v>
      </c>
      <c r="N537" s="967">
        <f t="shared" si="61"/>
        <v>32.307597400319999</v>
      </c>
      <c r="O537" s="968">
        <f t="shared" si="66"/>
        <v>0.2135326889227375</v>
      </c>
    </row>
    <row r="538" spans="1:15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95">
        <f t="shared" si="68"/>
        <v>14312.59</v>
      </c>
      <c r="G538" s="738">
        <v>4826.2</v>
      </c>
      <c r="H538" s="740">
        <v>4826.2</v>
      </c>
      <c r="I538" s="72">
        <f t="shared" ref="I538:I601" si="71">H538/3000</f>
        <v>1.6087333333333333</v>
      </c>
      <c r="J538" s="37">
        <f t="shared" si="69"/>
        <v>3244.8312206666665</v>
      </c>
      <c r="K538" s="96">
        <f t="shared" si="70"/>
        <v>1193.1244398391334</v>
      </c>
      <c r="L538" s="37">
        <v>1504.1334920000002</v>
      </c>
      <c r="M538" s="262">
        <f t="shared" ref="M538:M601" si="72">I538*84.08*1.1*1.08</f>
        <v>160.69161081600001</v>
      </c>
      <c r="N538" s="117">
        <f t="shared" si="61"/>
        <v>195.88307358470402</v>
      </c>
      <c r="O538" s="45">
        <f t="shared" ref="O538:O543" si="73">(J538+K538+L538+M538)/C538</f>
        <v>0.4263924812575362</v>
      </c>
    </row>
    <row r="539" spans="1:15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95">
        <f t="shared" si="68"/>
        <v>4226.7</v>
      </c>
      <c r="G539" s="738">
        <v>1341.1</v>
      </c>
      <c r="H539" s="740">
        <v>1341.1</v>
      </c>
      <c r="I539" s="72">
        <f t="shared" si="71"/>
        <v>0.44703333333333328</v>
      </c>
      <c r="J539" s="37">
        <f t="shared" si="69"/>
        <v>901.67070366666655</v>
      </c>
      <c r="K539" s="96">
        <f t="shared" si="70"/>
        <v>331.5443177382333</v>
      </c>
      <c r="L539" s="37">
        <v>417.96722599999998</v>
      </c>
      <c r="M539" s="262">
        <f t="shared" si="72"/>
        <v>44.652836447999995</v>
      </c>
      <c r="N539" s="117">
        <f t="shared" si="61"/>
        <v>54.431807630111997</v>
      </c>
      <c r="O539" s="45">
        <f t="shared" si="73"/>
        <v>0.40121964744431821</v>
      </c>
    </row>
    <row r="540" spans="1:15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95">
        <f t="shared" si="68"/>
        <v>4136.82</v>
      </c>
      <c r="G540" s="738">
        <v>1822</v>
      </c>
      <c r="H540" s="740">
        <v>1622</v>
      </c>
      <c r="I540" s="72">
        <f t="shared" si="71"/>
        <v>0.54066666666666663</v>
      </c>
      <c r="J540" s="37">
        <f t="shared" si="69"/>
        <v>1090.5300733333333</v>
      </c>
      <c r="K540" s="96">
        <f t="shared" si="70"/>
        <v>400.9879079646667</v>
      </c>
      <c r="L540" s="37">
        <v>505.51252000000005</v>
      </c>
      <c r="M540" s="262">
        <f t="shared" si="72"/>
        <v>54.005592960000001</v>
      </c>
      <c r="N540" s="117">
        <f t="shared" si="61"/>
        <v>65.832817818240002</v>
      </c>
      <c r="O540" s="45">
        <f t="shared" si="73"/>
        <v>0.49580017846026664</v>
      </c>
    </row>
    <row r="541" spans="1:15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95">
        <f t="shared" si="68"/>
        <v>7984.78</v>
      </c>
      <c r="G541" s="738">
        <v>3532</v>
      </c>
      <c r="H541" s="740">
        <v>2850</v>
      </c>
      <c r="I541" s="72">
        <f t="shared" si="71"/>
        <v>0.95</v>
      </c>
      <c r="J541" s="37">
        <f t="shared" si="69"/>
        <v>1916.1595</v>
      </c>
      <c r="K541" s="96">
        <f t="shared" si="70"/>
        <v>704.57184815000005</v>
      </c>
      <c r="L541" s="37">
        <v>888.23100000000011</v>
      </c>
      <c r="M541" s="262">
        <f t="shared" si="72"/>
        <v>94.892687999999993</v>
      </c>
      <c r="N541" s="117">
        <f t="shared" ref="N541:N604" si="74">M541*1.219</f>
        <v>115.674186672</v>
      </c>
      <c r="O541" s="45">
        <f t="shared" si="73"/>
        <v>0.45134055492449388</v>
      </c>
    </row>
    <row r="542" spans="1:15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95">
        <f t="shared" si="68"/>
        <v>4209.92</v>
      </c>
      <c r="G542" s="738">
        <v>1551</v>
      </c>
      <c r="H542" s="740">
        <v>1551</v>
      </c>
      <c r="I542" s="72">
        <f t="shared" si="71"/>
        <v>0.51700000000000002</v>
      </c>
      <c r="J542" s="37">
        <f t="shared" si="69"/>
        <v>1042.7941700000001</v>
      </c>
      <c r="K542" s="96">
        <f t="shared" si="70"/>
        <v>383.43541630900006</v>
      </c>
      <c r="L542" s="37">
        <v>483.38466000000011</v>
      </c>
      <c r="M542" s="262">
        <f t="shared" si="72"/>
        <v>51.641599680000013</v>
      </c>
      <c r="N542" s="117">
        <f t="shared" si="74"/>
        <v>62.951110009920022</v>
      </c>
      <c r="O542" s="45">
        <f t="shared" si="73"/>
        <v>0.46586534803250429</v>
      </c>
    </row>
    <row r="543" spans="1:15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95">
        <f t="shared" si="68"/>
        <v>8071.9</v>
      </c>
      <c r="G543" s="738">
        <v>3333</v>
      </c>
      <c r="H543" s="740">
        <v>2750</v>
      </c>
      <c r="I543" s="72">
        <f t="shared" si="71"/>
        <v>0.91666666666666663</v>
      </c>
      <c r="J543" s="37">
        <f t="shared" si="69"/>
        <v>1848.9258333333332</v>
      </c>
      <c r="K543" s="96">
        <f t="shared" si="70"/>
        <v>679.8500289166667</v>
      </c>
      <c r="L543" s="37">
        <v>857.06500000000005</v>
      </c>
      <c r="M543" s="262">
        <f t="shared" si="72"/>
        <v>91.563119999999998</v>
      </c>
      <c r="N543" s="117">
        <f t="shared" si="74"/>
        <v>111.61544328000001</v>
      </c>
      <c r="O543" s="45">
        <f t="shared" si="73"/>
        <v>0.43080364997708098</v>
      </c>
    </row>
    <row r="544" spans="1:15" s="969" customFormat="1" ht="15.75">
      <c r="A544" s="958">
        <v>8</v>
      </c>
      <c r="B544" s="970" t="s">
        <v>253</v>
      </c>
      <c r="C544" s="971">
        <v>4206.5</v>
      </c>
      <c r="D544" s="971"/>
      <c r="E544" s="971">
        <v>254.7</v>
      </c>
      <c r="F544" s="961">
        <f t="shared" si="68"/>
        <v>4461.2</v>
      </c>
      <c r="G544" s="962">
        <v>849.2</v>
      </c>
      <c r="H544" s="963">
        <v>849.2</v>
      </c>
      <c r="I544" s="964">
        <f t="shared" si="71"/>
        <v>0.28306666666666669</v>
      </c>
      <c r="J544" s="965">
        <f t="shared" si="69"/>
        <v>570.94829733333336</v>
      </c>
      <c r="K544" s="966">
        <f t="shared" si="70"/>
        <v>209.9376889294667</v>
      </c>
      <c r="L544" s="965">
        <v>264.66167200000007</v>
      </c>
      <c r="M544" s="966">
        <f t="shared" si="72"/>
        <v>28.27469145600001</v>
      </c>
      <c r="N544" s="967">
        <f t="shared" si="74"/>
        <v>34.466848884864014</v>
      </c>
      <c r="O544" s="968">
        <f>(J544+K544+L544+M544)/F544</f>
        <v>0.24070257996027983</v>
      </c>
    </row>
    <row r="545" spans="1:15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95">
        <f t="shared" si="68"/>
        <v>10161.57</v>
      </c>
      <c r="G545" s="738">
        <v>2844</v>
      </c>
      <c r="H545" s="740">
        <v>2844</v>
      </c>
      <c r="I545" s="72">
        <f t="shared" si="71"/>
        <v>0.94799999999999995</v>
      </c>
      <c r="J545" s="37">
        <f t="shared" si="69"/>
        <v>1912.1254799999999</v>
      </c>
      <c r="K545" s="96">
        <f t="shared" si="70"/>
        <v>703.08853899600001</v>
      </c>
      <c r="L545" s="37">
        <v>886.36104000000012</v>
      </c>
      <c r="M545" s="262">
        <f t="shared" si="72"/>
        <v>94.692913920000009</v>
      </c>
      <c r="N545" s="117">
        <f t="shared" si="74"/>
        <v>115.43066206848002</v>
      </c>
      <c r="O545" s="45">
        <f>(J545+K545+L545+M545)/C545</f>
        <v>0.35390869451433199</v>
      </c>
    </row>
    <row r="546" spans="1:15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95">
        <f t="shared" si="68"/>
        <v>7889.76</v>
      </c>
      <c r="G546" s="738">
        <v>3725</v>
      </c>
      <c r="H546" s="740">
        <v>3025</v>
      </c>
      <c r="I546" s="72">
        <f t="shared" si="71"/>
        <v>1.0083333333333333</v>
      </c>
      <c r="J546" s="37">
        <f t="shared" si="69"/>
        <v>2033.8184166666665</v>
      </c>
      <c r="K546" s="96">
        <f t="shared" si="70"/>
        <v>747.83503180833338</v>
      </c>
      <c r="L546" s="37">
        <v>942.77150000000006</v>
      </c>
      <c r="M546" s="262">
        <f t="shared" si="72"/>
        <v>100.71943200000001</v>
      </c>
      <c r="N546" s="117">
        <f t="shared" si="74"/>
        <v>122.77698760800003</v>
      </c>
      <c r="O546" s="45">
        <f>(J546+K546+L546+M546)/C546</f>
        <v>0.48482392119342027</v>
      </c>
    </row>
    <row r="547" spans="1:15" s="969" customFormat="1" ht="15.75">
      <c r="A547" s="958">
        <v>11</v>
      </c>
      <c r="B547" s="970" t="s">
        <v>256</v>
      </c>
      <c r="C547" s="971">
        <v>7062.05</v>
      </c>
      <c r="D547" s="971"/>
      <c r="E547" s="971">
        <v>22.5</v>
      </c>
      <c r="F547" s="961">
        <f t="shared" si="68"/>
        <v>7084.55</v>
      </c>
      <c r="G547" s="962">
        <v>3871</v>
      </c>
      <c r="H547" s="963">
        <v>2984</v>
      </c>
      <c r="I547" s="964">
        <f t="shared" si="71"/>
        <v>0.9946666666666667</v>
      </c>
      <c r="J547" s="965">
        <f t="shared" si="69"/>
        <v>2006.2526133333333</v>
      </c>
      <c r="K547" s="966">
        <f t="shared" si="70"/>
        <v>737.69908592266677</v>
      </c>
      <c r="L547" s="965">
        <v>929.99344000000019</v>
      </c>
      <c r="M547" s="966">
        <f t="shared" si="72"/>
        <v>99.354309120000025</v>
      </c>
      <c r="N547" s="967">
        <f t="shared" si="74"/>
        <v>121.11290281728004</v>
      </c>
      <c r="O547" s="968">
        <f>(J547+K547+L547+M547)/F547</f>
        <v>0.53260961506037785</v>
      </c>
    </row>
    <row r="548" spans="1:15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95">
        <f t="shared" si="68"/>
        <v>4792.88</v>
      </c>
      <c r="G548" s="738">
        <v>1869</v>
      </c>
      <c r="H548" s="740">
        <v>1609</v>
      </c>
      <c r="I548" s="72">
        <f t="shared" si="71"/>
        <v>0.53633333333333333</v>
      </c>
      <c r="J548" s="37">
        <f t="shared" si="69"/>
        <v>1081.7896966666667</v>
      </c>
      <c r="K548" s="96">
        <f t="shared" si="70"/>
        <v>397.77407146433336</v>
      </c>
      <c r="L548" s="37">
        <v>501.46094000000011</v>
      </c>
      <c r="M548" s="262">
        <f t="shared" si="72"/>
        <v>53.572749120000012</v>
      </c>
      <c r="N548" s="117">
        <f t="shared" si="74"/>
        <v>65.305181177280019</v>
      </c>
      <c r="O548" s="45">
        <f>(J548+K548+L548+M548)/C548</f>
        <v>0.42450415141856257</v>
      </c>
    </row>
    <row r="549" spans="1:15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95">
        <f t="shared" si="68"/>
        <v>4816.47</v>
      </c>
      <c r="G549" s="738">
        <v>1684</v>
      </c>
      <c r="H549" s="740">
        <v>1684</v>
      </c>
      <c r="I549" s="72">
        <f t="shared" si="71"/>
        <v>0.56133333333333335</v>
      </c>
      <c r="J549" s="37">
        <f t="shared" si="69"/>
        <v>1132.2149466666667</v>
      </c>
      <c r="K549" s="96">
        <f t="shared" si="70"/>
        <v>416.3154358893334</v>
      </c>
      <c r="L549" s="37">
        <v>524.83544000000006</v>
      </c>
      <c r="M549" s="262">
        <f t="shared" si="72"/>
        <v>56.069925120000015</v>
      </c>
      <c r="N549" s="117">
        <f t="shared" si="74"/>
        <v>68.349238721280017</v>
      </c>
      <c r="O549" s="45">
        <f>(J549+K549+L549+M549)/C549</f>
        <v>0.44211543883300425</v>
      </c>
    </row>
    <row r="550" spans="1:15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95">
        <f t="shared" si="68"/>
        <v>5818.22</v>
      </c>
      <c r="G550" s="738">
        <v>3666</v>
      </c>
      <c r="H550" s="740">
        <v>3002</v>
      </c>
      <c r="I550" s="72">
        <f t="shared" si="71"/>
        <v>1.0006666666666666</v>
      </c>
      <c r="J550" s="37">
        <f t="shared" si="69"/>
        <v>2018.3546733333333</v>
      </c>
      <c r="K550" s="96">
        <f t="shared" si="70"/>
        <v>742.14901338466666</v>
      </c>
      <c r="L550" s="37">
        <v>311.86777333333333</v>
      </c>
      <c r="M550" s="262">
        <f t="shared" si="72"/>
        <v>99.953631360000003</v>
      </c>
      <c r="N550" s="117">
        <f t="shared" si="74"/>
        <v>121.84347662784</v>
      </c>
      <c r="O550" s="45">
        <f>(J550+K550+L550+M550)/C550</f>
        <v>0.54523979695015534</v>
      </c>
    </row>
    <row r="551" spans="1:15" s="969" customFormat="1" ht="15.75">
      <c r="A551" s="958">
        <v>15</v>
      </c>
      <c r="B551" s="970" t="s">
        <v>260</v>
      </c>
      <c r="C551" s="971">
        <v>14736.69</v>
      </c>
      <c r="D551" s="971">
        <v>1007.3</v>
      </c>
      <c r="E551" s="971">
        <v>671</v>
      </c>
      <c r="F551" s="961">
        <f t="shared" si="68"/>
        <v>16414.989999999998</v>
      </c>
      <c r="G551" s="962">
        <v>4850.2</v>
      </c>
      <c r="H551" s="963">
        <v>4850.2</v>
      </c>
      <c r="I551" s="964">
        <f t="shared" si="71"/>
        <v>1.6167333333333334</v>
      </c>
      <c r="J551" s="965">
        <f t="shared" si="69"/>
        <v>3260.9673006666667</v>
      </c>
      <c r="K551" s="966">
        <f t="shared" si="70"/>
        <v>1199.0576764551333</v>
      </c>
      <c r="L551" s="965">
        <v>1511.6133320000001</v>
      </c>
      <c r="M551" s="966">
        <f t="shared" si="72"/>
        <v>161.490707136</v>
      </c>
      <c r="N551" s="967">
        <f t="shared" si="74"/>
        <v>196.857171998784</v>
      </c>
      <c r="O551" s="968">
        <f>(J551+K551+L551+M551)/F551</f>
        <v>0.37362977475208947</v>
      </c>
    </row>
    <row r="552" spans="1:15" s="969" customFormat="1" ht="15.75">
      <c r="A552" s="958">
        <v>16</v>
      </c>
      <c r="B552" s="970" t="s">
        <v>261</v>
      </c>
      <c r="C552" s="971">
        <v>14399.02</v>
      </c>
      <c r="D552" s="971">
        <v>210.8</v>
      </c>
      <c r="E552" s="971">
        <v>266.8</v>
      </c>
      <c r="F552" s="961">
        <f t="shared" si="68"/>
        <v>14876.619999999999</v>
      </c>
      <c r="G552" s="962">
        <v>4635.5</v>
      </c>
      <c r="H552" s="963">
        <v>4035.4</v>
      </c>
      <c r="I552" s="964">
        <f t="shared" si="71"/>
        <v>1.3451333333333333</v>
      </c>
      <c r="J552" s="965">
        <f t="shared" si="69"/>
        <v>2713.1473846666668</v>
      </c>
      <c r="K552" s="966">
        <f t="shared" si="70"/>
        <v>997.62429334193348</v>
      </c>
      <c r="L552" s="965">
        <v>1257.6727640000001</v>
      </c>
      <c r="M552" s="966">
        <f t="shared" si="72"/>
        <v>134.36138707200001</v>
      </c>
      <c r="N552" s="967">
        <f t="shared" si="74"/>
        <v>163.78653084076802</v>
      </c>
      <c r="O552" s="968">
        <f>(J552+K552+L552+M552)/F552</f>
        <v>0.34300841381177988</v>
      </c>
    </row>
    <row r="553" spans="1:15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95">
        <f t="shared" si="68"/>
        <v>351.06</v>
      </c>
      <c r="G553" s="738">
        <v>0</v>
      </c>
      <c r="H553" s="740"/>
      <c r="I553" s="72">
        <f t="shared" si="71"/>
        <v>0</v>
      </c>
      <c r="J553" s="37">
        <f t="shared" si="69"/>
        <v>0</v>
      </c>
      <c r="K553" s="96">
        <f t="shared" si="70"/>
        <v>0</v>
      </c>
      <c r="L553" s="37">
        <v>0</v>
      </c>
      <c r="M553" s="262">
        <f t="shared" si="72"/>
        <v>0</v>
      </c>
      <c r="N553" s="117">
        <f t="shared" si="74"/>
        <v>0</v>
      </c>
      <c r="O553" s="45">
        <f>(J553+K553+L553+M553)/C553</f>
        <v>0</v>
      </c>
    </row>
    <row r="554" spans="1:15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95">
        <f t="shared" si="68"/>
        <v>377.1</v>
      </c>
      <c r="G554" s="738">
        <v>0</v>
      </c>
      <c r="H554" s="740"/>
      <c r="I554" s="72">
        <f t="shared" si="71"/>
        <v>0</v>
      </c>
      <c r="J554" s="37">
        <f t="shared" si="69"/>
        <v>0</v>
      </c>
      <c r="K554" s="96">
        <f t="shared" si="70"/>
        <v>0</v>
      </c>
      <c r="L554" s="37">
        <v>0</v>
      </c>
      <c r="M554" s="262">
        <f t="shared" si="72"/>
        <v>0</v>
      </c>
      <c r="N554" s="117">
        <f t="shared" si="74"/>
        <v>0</v>
      </c>
      <c r="O554" s="45">
        <f t="shared" ref="O554:O601" si="75">(J554+K554+L554+M554)/C554</f>
        <v>0</v>
      </c>
    </row>
    <row r="555" spans="1:15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95">
        <f t="shared" si="68"/>
        <v>82.9</v>
      </c>
      <c r="G555" s="738">
        <v>0</v>
      </c>
      <c r="H555" s="740"/>
      <c r="I555" s="72">
        <f t="shared" si="71"/>
        <v>0</v>
      </c>
      <c r="J555" s="37">
        <f t="shared" si="69"/>
        <v>0</v>
      </c>
      <c r="K555" s="96">
        <f t="shared" si="70"/>
        <v>0</v>
      </c>
      <c r="L555" s="37">
        <v>0</v>
      </c>
      <c r="M555" s="262">
        <f t="shared" si="72"/>
        <v>0</v>
      </c>
      <c r="N555" s="117">
        <f t="shared" si="74"/>
        <v>0</v>
      </c>
      <c r="O555" s="45">
        <f t="shared" si="75"/>
        <v>0</v>
      </c>
    </row>
    <row r="556" spans="1:15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95">
        <f t="shared" si="68"/>
        <v>56.1</v>
      </c>
      <c r="G556" s="738">
        <v>0</v>
      </c>
      <c r="H556" s="740"/>
      <c r="I556" s="72">
        <f t="shared" si="71"/>
        <v>0</v>
      </c>
      <c r="J556" s="37">
        <f t="shared" si="69"/>
        <v>0</v>
      </c>
      <c r="K556" s="96">
        <f t="shared" si="70"/>
        <v>0</v>
      </c>
      <c r="L556" s="37">
        <v>0</v>
      </c>
      <c r="M556" s="262">
        <f t="shared" si="72"/>
        <v>0</v>
      </c>
      <c r="N556" s="117">
        <f t="shared" si="74"/>
        <v>0</v>
      </c>
      <c r="O556" s="45">
        <f t="shared" si="75"/>
        <v>0</v>
      </c>
    </row>
    <row r="557" spans="1:15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95">
        <f t="shared" si="68"/>
        <v>87</v>
      </c>
      <c r="G557" s="738">
        <v>0</v>
      </c>
      <c r="H557" s="740"/>
      <c r="I557" s="72">
        <f t="shared" si="71"/>
        <v>0</v>
      </c>
      <c r="J557" s="37">
        <f t="shared" si="69"/>
        <v>0</v>
      </c>
      <c r="K557" s="96">
        <f t="shared" si="70"/>
        <v>0</v>
      </c>
      <c r="L557" s="37">
        <v>0</v>
      </c>
      <c r="M557" s="262">
        <f t="shared" si="72"/>
        <v>0</v>
      </c>
      <c r="N557" s="117">
        <f t="shared" si="74"/>
        <v>0</v>
      </c>
      <c r="O557" s="45">
        <f t="shared" si="75"/>
        <v>0</v>
      </c>
    </row>
    <row r="558" spans="1:15" s="969" customFormat="1" ht="15.75">
      <c r="A558" s="958">
        <v>22</v>
      </c>
      <c r="B558" s="970" t="s">
        <v>267</v>
      </c>
      <c r="C558" s="971">
        <v>4314.8999999999996</v>
      </c>
      <c r="D558" s="971"/>
      <c r="E558" s="971">
        <v>94.6</v>
      </c>
      <c r="F558" s="961">
        <f t="shared" si="68"/>
        <v>4409.5</v>
      </c>
      <c r="G558" s="962">
        <v>1162.5999999999999</v>
      </c>
      <c r="H558" s="963">
        <v>1162.5999999999999</v>
      </c>
      <c r="I558" s="964">
        <f t="shared" si="71"/>
        <v>0.38753333333333329</v>
      </c>
      <c r="J558" s="965">
        <f t="shared" si="69"/>
        <v>781.65860866666651</v>
      </c>
      <c r="K558" s="966">
        <f t="shared" si="70"/>
        <v>287.41587040673329</v>
      </c>
      <c r="L558" s="965">
        <v>362.335916</v>
      </c>
      <c r="M558" s="966">
        <f t="shared" si="72"/>
        <v>38.709557568000001</v>
      </c>
      <c r="N558" s="967">
        <f t="shared" si="74"/>
        <v>47.186950675392005</v>
      </c>
      <c r="O558" s="968">
        <f>(J558+K558+L558+M558)/F558</f>
        <v>0.33339833374337219</v>
      </c>
    </row>
    <row r="559" spans="1:15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95">
        <f t="shared" si="68"/>
        <v>354.7</v>
      </c>
      <c r="G559" s="738"/>
      <c r="H559" s="740"/>
      <c r="I559" s="72">
        <f t="shared" si="71"/>
        <v>0</v>
      </c>
      <c r="J559" s="37">
        <f t="shared" si="69"/>
        <v>0</v>
      </c>
      <c r="K559" s="96">
        <f t="shared" si="70"/>
        <v>0</v>
      </c>
      <c r="L559" s="37">
        <v>0</v>
      </c>
      <c r="M559" s="262">
        <f t="shared" si="72"/>
        <v>0</v>
      </c>
      <c r="N559" s="117">
        <f t="shared" si="74"/>
        <v>0</v>
      </c>
      <c r="O559" s="45">
        <f t="shared" si="75"/>
        <v>0</v>
      </c>
    </row>
    <row r="560" spans="1:15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95">
        <f t="shared" si="68"/>
        <v>352.4</v>
      </c>
      <c r="G560" s="738"/>
      <c r="H560" s="740"/>
      <c r="I560" s="72">
        <f t="shared" si="71"/>
        <v>0</v>
      </c>
      <c r="J560" s="37">
        <f t="shared" si="69"/>
        <v>0</v>
      </c>
      <c r="K560" s="96">
        <f t="shared" si="70"/>
        <v>0</v>
      </c>
      <c r="L560" s="37">
        <v>0</v>
      </c>
      <c r="M560" s="262">
        <f t="shared" si="72"/>
        <v>0</v>
      </c>
      <c r="N560" s="117">
        <f t="shared" si="74"/>
        <v>0</v>
      </c>
      <c r="O560" s="45">
        <f t="shared" si="75"/>
        <v>0</v>
      </c>
    </row>
    <row r="561" spans="1:15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95">
        <f t="shared" si="68"/>
        <v>216.7</v>
      </c>
      <c r="G561" s="738"/>
      <c r="H561" s="740"/>
      <c r="I561" s="72">
        <f t="shared" si="71"/>
        <v>0</v>
      </c>
      <c r="J561" s="37">
        <f t="shared" si="69"/>
        <v>0</v>
      </c>
      <c r="K561" s="96">
        <f t="shared" si="70"/>
        <v>0</v>
      </c>
      <c r="L561" s="37">
        <v>0</v>
      </c>
      <c r="M561" s="262">
        <f t="shared" si="72"/>
        <v>0</v>
      </c>
      <c r="N561" s="117">
        <f t="shared" si="74"/>
        <v>0</v>
      </c>
      <c r="O561" s="45">
        <f t="shared" si="75"/>
        <v>0</v>
      </c>
    </row>
    <row r="562" spans="1:15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95">
        <f t="shared" si="68"/>
        <v>42.7</v>
      </c>
      <c r="G562" s="738"/>
      <c r="H562" s="740"/>
      <c r="I562" s="72">
        <f t="shared" si="71"/>
        <v>0</v>
      </c>
      <c r="J562" s="37">
        <f t="shared" si="69"/>
        <v>0</v>
      </c>
      <c r="K562" s="96">
        <f t="shared" si="70"/>
        <v>0</v>
      </c>
      <c r="L562" s="37">
        <v>0</v>
      </c>
      <c r="M562" s="262">
        <f t="shared" si="72"/>
        <v>0</v>
      </c>
      <c r="N562" s="117">
        <f t="shared" si="74"/>
        <v>0</v>
      </c>
      <c r="O562" s="45">
        <f t="shared" si="75"/>
        <v>0</v>
      </c>
    </row>
    <row r="563" spans="1:15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95">
        <f t="shared" si="68"/>
        <v>79.7</v>
      </c>
      <c r="G563" s="738"/>
      <c r="H563" s="740"/>
      <c r="I563" s="72">
        <f t="shared" si="71"/>
        <v>0</v>
      </c>
      <c r="J563" s="37">
        <f t="shared" si="69"/>
        <v>0</v>
      </c>
      <c r="K563" s="96">
        <f t="shared" si="70"/>
        <v>0</v>
      </c>
      <c r="L563" s="37">
        <v>0</v>
      </c>
      <c r="M563" s="262">
        <f t="shared" si="72"/>
        <v>0</v>
      </c>
      <c r="N563" s="117">
        <f t="shared" si="74"/>
        <v>0</v>
      </c>
      <c r="O563" s="45">
        <f t="shared" si="75"/>
        <v>0</v>
      </c>
    </row>
    <row r="564" spans="1:15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95">
        <f t="shared" si="68"/>
        <v>23.5</v>
      </c>
      <c r="G564" s="738"/>
      <c r="H564" s="740"/>
      <c r="I564" s="72">
        <f t="shared" si="71"/>
        <v>0</v>
      </c>
      <c r="J564" s="37">
        <f t="shared" si="69"/>
        <v>0</v>
      </c>
      <c r="K564" s="96">
        <f t="shared" si="70"/>
        <v>0</v>
      </c>
      <c r="L564" s="37">
        <v>0</v>
      </c>
      <c r="M564" s="262">
        <f t="shared" si="72"/>
        <v>0</v>
      </c>
      <c r="N564" s="117">
        <f t="shared" si="74"/>
        <v>0</v>
      </c>
      <c r="O564" s="45">
        <f t="shared" si="75"/>
        <v>0</v>
      </c>
    </row>
    <row r="565" spans="1:15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95">
        <f t="shared" si="68"/>
        <v>29</v>
      </c>
      <c r="G565" s="738"/>
      <c r="H565" s="740"/>
      <c r="I565" s="72">
        <f t="shared" si="71"/>
        <v>0</v>
      </c>
      <c r="J565" s="37">
        <f t="shared" si="69"/>
        <v>0</v>
      </c>
      <c r="K565" s="96">
        <f t="shared" si="70"/>
        <v>0</v>
      </c>
      <c r="L565" s="37">
        <v>0</v>
      </c>
      <c r="M565" s="262">
        <f t="shared" si="72"/>
        <v>0</v>
      </c>
      <c r="N565" s="117">
        <f t="shared" si="74"/>
        <v>0</v>
      </c>
      <c r="O565" s="45">
        <f t="shared" si="75"/>
        <v>0</v>
      </c>
    </row>
    <row r="566" spans="1:15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95">
        <f t="shared" si="68"/>
        <v>84.7</v>
      </c>
      <c r="G566" s="738"/>
      <c r="H566" s="740"/>
      <c r="I566" s="72">
        <f t="shared" si="71"/>
        <v>0</v>
      </c>
      <c r="J566" s="37">
        <f t="shared" si="69"/>
        <v>0</v>
      </c>
      <c r="K566" s="96">
        <f t="shared" si="70"/>
        <v>0</v>
      </c>
      <c r="L566" s="37">
        <v>0</v>
      </c>
      <c r="M566" s="262">
        <f t="shared" si="72"/>
        <v>0</v>
      </c>
      <c r="N566" s="117">
        <f t="shared" si="74"/>
        <v>0</v>
      </c>
      <c r="O566" s="45">
        <f t="shared" si="75"/>
        <v>0</v>
      </c>
    </row>
    <row r="567" spans="1:15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95">
        <f t="shared" si="68"/>
        <v>177.23</v>
      </c>
      <c r="G567" s="738"/>
      <c r="H567" s="740"/>
      <c r="I567" s="72">
        <f t="shared" si="71"/>
        <v>0</v>
      </c>
      <c r="J567" s="37">
        <f t="shared" si="69"/>
        <v>0</v>
      </c>
      <c r="K567" s="96">
        <f t="shared" si="70"/>
        <v>0</v>
      </c>
      <c r="L567" s="37">
        <v>0</v>
      </c>
      <c r="M567" s="262">
        <f t="shared" si="72"/>
        <v>0</v>
      </c>
      <c r="N567" s="117">
        <f t="shared" si="74"/>
        <v>0</v>
      </c>
      <c r="O567" s="45">
        <f t="shared" si="75"/>
        <v>0</v>
      </c>
    </row>
    <row r="568" spans="1:15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95">
        <f t="shared" si="68"/>
        <v>108.36</v>
      </c>
      <c r="G568" s="738"/>
      <c r="H568" s="740"/>
      <c r="I568" s="72">
        <f t="shared" si="71"/>
        <v>0</v>
      </c>
      <c r="J568" s="37">
        <f t="shared" si="69"/>
        <v>0</v>
      </c>
      <c r="K568" s="96">
        <f t="shared" si="70"/>
        <v>0</v>
      </c>
      <c r="L568" s="37">
        <v>0</v>
      </c>
      <c r="M568" s="262">
        <f t="shared" si="72"/>
        <v>0</v>
      </c>
      <c r="N568" s="117">
        <f t="shared" si="74"/>
        <v>0</v>
      </c>
      <c r="O568" s="45">
        <f t="shared" si="75"/>
        <v>0</v>
      </c>
    </row>
    <row r="569" spans="1:15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95">
        <f t="shared" si="68"/>
        <v>76.2</v>
      </c>
      <c r="G569" s="738"/>
      <c r="H569" s="740"/>
      <c r="I569" s="72">
        <f t="shared" si="71"/>
        <v>0</v>
      </c>
      <c r="J569" s="37">
        <f t="shared" si="69"/>
        <v>0</v>
      </c>
      <c r="K569" s="96">
        <f t="shared" si="70"/>
        <v>0</v>
      </c>
      <c r="L569" s="37">
        <v>0</v>
      </c>
      <c r="M569" s="262">
        <f t="shared" si="72"/>
        <v>0</v>
      </c>
      <c r="N569" s="117">
        <f t="shared" si="74"/>
        <v>0</v>
      </c>
      <c r="O569" s="45">
        <f t="shared" si="75"/>
        <v>0</v>
      </c>
    </row>
    <row r="570" spans="1:15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95">
        <f t="shared" si="68"/>
        <v>98.5</v>
      </c>
      <c r="G570" s="738"/>
      <c r="H570" s="740"/>
      <c r="I570" s="72">
        <f t="shared" si="71"/>
        <v>0</v>
      </c>
      <c r="J570" s="37">
        <f t="shared" si="69"/>
        <v>0</v>
      </c>
      <c r="K570" s="96">
        <f t="shared" si="70"/>
        <v>0</v>
      </c>
      <c r="L570" s="37">
        <v>0</v>
      </c>
      <c r="M570" s="262">
        <f t="shared" si="72"/>
        <v>0</v>
      </c>
      <c r="N570" s="117">
        <f t="shared" si="74"/>
        <v>0</v>
      </c>
      <c r="O570" s="45">
        <f t="shared" si="75"/>
        <v>0</v>
      </c>
    </row>
    <row r="571" spans="1:15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95">
        <f t="shared" si="68"/>
        <v>93.4</v>
      </c>
      <c r="G571" s="738"/>
      <c r="H571" s="740"/>
      <c r="I571" s="72">
        <f t="shared" si="71"/>
        <v>0</v>
      </c>
      <c r="J571" s="37">
        <f t="shared" si="69"/>
        <v>0</v>
      </c>
      <c r="K571" s="96">
        <f t="shared" si="70"/>
        <v>0</v>
      </c>
      <c r="L571" s="37">
        <v>0</v>
      </c>
      <c r="M571" s="262">
        <f t="shared" si="72"/>
        <v>0</v>
      </c>
      <c r="N571" s="117">
        <f t="shared" si="74"/>
        <v>0</v>
      </c>
      <c r="O571" s="45">
        <f t="shared" si="75"/>
        <v>0</v>
      </c>
    </row>
    <row r="572" spans="1:15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95">
        <f t="shared" si="68"/>
        <v>92.7</v>
      </c>
      <c r="G572" s="738"/>
      <c r="H572" s="740"/>
      <c r="I572" s="72">
        <f t="shared" si="71"/>
        <v>0</v>
      </c>
      <c r="J572" s="37">
        <f t="shared" si="69"/>
        <v>0</v>
      </c>
      <c r="K572" s="96">
        <f t="shared" si="70"/>
        <v>0</v>
      </c>
      <c r="L572" s="37">
        <v>0</v>
      </c>
      <c r="M572" s="262">
        <f t="shared" si="72"/>
        <v>0</v>
      </c>
      <c r="N572" s="117">
        <f t="shared" si="74"/>
        <v>0</v>
      </c>
      <c r="O572" s="45">
        <f t="shared" si="75"/>
        <v>0</v>
      </c>
    </row>
    <row r="573" spans="1:15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95">
        <f t="shared" si="68"/>
        <v>346.6</v>
      </c>
      <c r="G573" s="738"/>
      <c r="H573" s="740"/>
      <c r="I573" s="72">
        <f t="shared" si="71"/>
        <v>0</v>
      </c>
      <c r="J573" s="37">
        <f t="shared" si="69"/>
        <v>0</v>
      </c>
      <c r="K573" s="96">
        <f t="shared" si="70"/>
        <v>0</v>
      </c>
      <c r="L573" s="37">
        <v>0</v>
      </c>
      <c r="M573" s="262">
        <f t="shared" si="72"/>
        <v>0</v>
      </c>
      <c r="N573" s="117">
        <f t="shared" si="74"/>
        <v>0</v>
      </c>
      <c r="O573" s="45">
        <f t="shared" si="75"/>
        <v>0</v>
      </c>
    </row>
    <row r="574" spans="1:15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95">
        <f t="shared" si="68"/>
        <v>195</v>
      </c>
      <c r="G574" s="738"/>
      <c r="H574" s="740"/>
      <c r="I574" s="72">
        <f t="shared" si="71"/>
        <v>0</v>
      </c>
      <c r="J574" s="37">
        <f t="shared" si="69"/>
        <v>0</v>
      </c>
      <c r="K574" s="96">
        <f t="shared" si="70"/>
        <v>0</v>
      </c>
      <c r="L574" s="37">
        <v>0</v>
      </c>
      <c r="M574" s="262">
        <f t="shared" si="72"/>
        <v>0</v>
      </c>
      <c r="N574" s="117">
        <f t="shared" si="74"/>
        <v>0</v>
      </c>
      <c r="O574" s="45">
        <f t="shared" si="75"/>
        <v>0</v>
      </c>
    </row>
    <row r="575" spans="1:15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95">
        <f t="shared" si="68"/>
        <v>68.099999999999994</v>
      </c>
      <c r="G575" s="738"/>
      <c r="H575" s="740"/>
      <c r="I575" s="72">
        <f t="shared" si="71"/>
        <v>0</v>
      </c>
      <c r="J575" s="37">
        <f t="shared" si="69"/>
        <v>0</v>
      </c>
      <c r="K575" s="96">
        <f t="shared" si="70"/>
        <v>0</v>
      </c>
      <c r="L575" s="37">
        <v>0</v>
      </c>
      <c r="M575" s="262">
        <f t="shared" si="72"/>
        <v>0</v>
      </c>
      <c r="N575" s="117">
        <f t="shared" si="74"/>
        <v>0</v>
      </c>
      <c r="O575" s="45">
        <f t="shared" si="75"/>
        <v>0</v>
      </c>
    </row>
    <row r="576" spans="1:15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95">
        <f t="shared" si="68"/>
        <v>293.2</v>
      </c>
      <c r="G576" s="738"/>
      <c r="H576" s="740"/>
      <c r="I576" s="72">
        <f t="shared" si="71"/>
        <v>0</v>
      </c>
      <c r="J576" s="37">
        <f t="shared" si="69"/>
        <v>0</v>
      </c>
      <c r="K576" s="96">
        <f t="shared" si="70"/>
        <v>0</v>
      </c>
      <c r="L576" s="37">
        <v>0</v>
      </c>
      <c r="M576" s="262">
        <f t="shared" si="72"/>
        <v>0</v>
      </c>
      <c r="N576" s="117">
        <f t="shared" si="74"/>
        <v>0</v>
      </c>
      <c r="O576" s="45">
        <f t="shared" si="75"/>
        <v>0</v>
      </c>
    </row>
    <row r="577" spans="1:15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95">
        <f t="shared" si="68"/>
        <v>95.9</v>
      </c>
      <c r="G577" s="738"/>
      <c r="H577" s="740"/>
      <c r="I577" s="72">
        <f t="shared" si="71"/>
        <v>0</v>
      </c>
      <c r="J577" s="37">
        <f t="shared" si="69"/>
        <v>0</v>
      </c>
      <c r="K577" s="96">
        <f t="shared" si="70"/>
        <v>0</v>
      </c>
      <c r="L577" s="37">
        <v>0</v>
      </c>
      <c r="M577" s="262">
        <f t="shared" si="72"/>
        <v>0</v>
      </c>
      <c r="N577" s="117">
        <f t="shared" si="74"/>
        <v>0</v>
      </c>
      <c r="O577" s="45">
        <f t="shared" si="75"/>
        <v>0</v>
      </c>
    </row>
    <row r="578" spans="1:15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95">
        <f t="shared" si="68"/>
        <v>4501</v>
      </c>
      <c r="G578" s="738">
        <v>2052</v>
      </c>
      <c r="H578" s="740">
        <v>1702</v>
      </c>
      <c r="I578" s="72">
        <f t="shared" si="71"/>
        <v>0.56733333333333336</v>
      </c>
      <c r="J578" s="37">
        <f t="shared" si="69"/>
        <v>1144.3170066666667</v>
      </c>
      <c r="K578" s="96">
        <f t="shared" si="70"/>
        <v>420.76536335133335</v>
      </c>
      <c r="L578" s="37">
        <v>530.44532000000015</v>
      </c>
      <c r="M578" s="262">
        <f t="shared" si="72"/>
        <v>56.66924736</v>
      </c>
      <c r="N578" s="117">
        <f t="shared" si="74"/>
        <v>69.079812531840005</v>
      </c>
      <c r="O578" s="45">
        <f>(J578+K578+L578+M578)/C578</f>
        <v>0.47815972836658527</v>
      </c>
    </row>
    <row r="579" spans="1:15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95">
        <f t="shared" si="68"/>
        <v>195.86</v>
      </c>
      <c r="G579" s="738"/>
      <c r="H579" s="740"/>
      <c r="I579" s="72">
        <f t="shared" si="71"/>
        <v>0</v>
      </c>
      <c r="J579" s="37">
        <f t="shared" si="69"/>
        <v>0</v>
      </c>
      <c r="K579" s="96">
        <f t="shared" si="70"/>
        <v>0</v>
      </c>
      <c r="L579" s="37">
        <v>0</v>
      </c>
      <c r="M579" s="262">
        <f t="shared" si="72"/>
        <v>0</v>
      </c>
      <c r="N579" s="117">
        <f t="shared" si="74"/>
        <v>0</v>
      </c>
      <c r="O579" s="45">
        <f t="shared" si="75"/>
        <v>0</v>
      </c>
    </row>
    <row r="580" spans="1:15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95">
        <f t="shared" si="68"/>
        <v>148</v>
      </c>
      <c r="G580" s="738"/>
      <c r="H580" s="740"/>
      <c r="I580" s="72">
        <f t="shared" si="71"/>
        <v>0</v>
      </c>
      <c r="J580" s="37">
        <f t="shared" si="69"/>
        <v>0</v>
      </c>
      <c r="K580" s="96">
        <f t="shared" si="70"/>
        <v>0</v>
      </c>
      <c r="L580" s="37">
        <v>0</v>
      </c>
      <c r="M580" s="262">
        <f t="shared" si="72"/>
        <v>0</v>
      </c>
      <c r="N580" s="117">
        <f t="shared" si="74"/>
        <v>0</v>
      </c>
      <c r="O580" s="45">
        <f t="shared" si="75"/>
        <v>0</v>
      </c>
    </row>
    <row r="581" spans="1:15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95">
        <f t="shared" si="68"/>
        <v>74.95</v>
      </c>
      <c r="G581" s="738"/>
      <c r="H581" s="740"/>
      <c r="I581" s="72">
        <f t="shared" si="71"/>
        <v>0</v>
      </c>
      <c r="J581" s="37">
        <f t="shared" si="69"/>
        <v>0</v>
      </c>
      <c r="K581" s="96">
        <f t="shared" si="70"/>
        <v>0</v>
      </c>
      <c r="L581" s="37">
        <v>0</v>
      </c>
      <c r="M581" s="262">
        <f t="shared" si="72"/>
        <v>0</v>
      </c>
      <c r="N581" s="117">
        <f t="shared" si="74"/>
        <v>0</v>
      </c>
      <c r="O581" s="45">
        <f t="shared" si="75"/>
        <v>0</v>
      </c>
    </row>
    <row r="582" spans="1:15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95">
        <f t="shared" si="68"/>
        <v>87.3</v>
      </c>
      <c r="G582" s="738"/>
      <c r="H582" s="740"/>
      <c r="I582" s="72">
        <f t="shared" si="71"/>
        <v>0</v>
      </c>
      <c r="J582" s="37">
        <f t="shared" si="69"/>
        <v>0</v>
      </c>
      <c r="K582" s="96">
        <f t="shared" si="70"/>
        <v>0</v>
      </c>
      <c r="L582" s="37">
        <v>0</v>
      </c>
      <c r="M582" s="262">
        <f t="shared" si="72"/>
        <v>0</v>
      </c>
      <c r="N582" s="117">
        <f t="shared" si="74"/>
        <v>0</v>
      </c>
      <c r="O582" s="45">
        <f t="shared" si="75"/>
        <v>0</v>
      </c>
    </row>
    <row r="583" spans="1:15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95">
        <f t="shared" si="68"/>
        <v>92.6</v>
      </c>
      <c r="G583" s="738"/>
      <c r="H583" s="740"/>
      <c r="I583" s="72">
        <f t="shared" si="71"/>
        <v>0</v>
      </c>
      <c r="J583" s="37">
        <f t="shared" si="69"/>
        <v>0</v>
      </c>
      <c r="K583" s="96">
        <f t="shared" si="70"/>
        <v>0</v>
      </c>
      <c r="L583" s="37">
        <v>0</v>
      </c>
      <c r="M583" s="262">
        <f t="shared" si="72"/>
        <v>0</v>
      </c>
      <c r="N583" s="117">
        <f t="shared" si="74"/>
        <v>0</v>
      </c>
      <c r="O583" s="45">
        <f t="shared" si="75"/>
        <v>0</v>
      </c>
    </row>
    <row r="584" spans="1:15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95">
        <f t="shared" si="68"/>
        <v>110.7</v>
      </c>
      <c r="G584" s="738"/>
      <c r="H584" s="740"/>
      <c r="I584" s="72">
        <f t="shared" si="71"/>
        <v>0</v>
      </c>
      <c r="J584" s="37">
        <f t="shared" si="69"/>
        <v>0</v>
      </c>
      <c r="K584" s="96">
        <f t="shared" si="70"/>
        <v>0</v>
      </c>
      <c r="L584" s="37">
        <v>0</v>
      </c>
      <c r="M584" s="262">
        <f t="shared" si="72"/>
        <v>0</v>
      </c>
      <c r="N584" s="117">
        <f t="shared" si="74"/>
        <v>0</v>
      </c>
      <c r="O584" s="45">
        <f t="shared" si="75"/>
        <v>0</v>
      </c>
    </row>
    <row r="585" spans="1:15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95">
        <f t="shared" si="68"/>
        <v>78.7</v>
      </c>
      <c r="G585" s="738"/>
      <c r="H585" s="740"/>
      <c r="I585" s="72">
        <f t="shared" si="71"/>
        <v>0</v>
      </c>
      <c r="J585" s="37">
        <f t="shared" si="69"/>
        <v>0</v>
      </c>
      <c r="K585" s="96">
        <f t="shared" si="70"/>
        <v>0</v>
      </c>
      <c r="L585" s="37">
        <v>0</v>
      </c>
      <c r="M585" s="262">
        <f t="shared" si="72"/>
        <v>0</v>
      </c>
      <c r="N585" s="117">
        <f t="shared" si="74"/>
        <v>0</v>
      </c>
      <c r="O585" s="45">
        <f t="shared" si="75"/>
        <v>0</v>
      </c>
    </row>
    <row r="586" spans="1:15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95">
        <f t="shared" si="68"/>
        <v>114</v>
      </c>
      <c r="G586" s="738"/>
      <c r="H586" s="740"/>
      <c r="I586" s="72">
        <f t="shared" si="71"/>
        <v>0</v>
      </c>
      <c r="J586" s="37">
        <f t="shared" si="69"/>
        <v>0</v>
      </c>
      <c r="K586" s="96">
        <f t="shared" si="70"/>
        <v>0</v>
      </c>
      <c r="L586" s="37">
        <v>0</v>
      </c>
      <c r="M586" s="262">
        <f t="shared" si="72"/>
        <v>0</v>
      </c>
      <c r="N586" s="117">
        <f t="shared" si="74"/>
        <v>0</v>
      </c>
      <c r="O586" s="45">
        <f t="shared" si="75"/>
        <v>0</v>
      </c>
    </row>
    <row r="587" spans="1:15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95">
        <f t="shared" si="68"/>
        <v>25.1</v>
      </c>
      <c r="G587" s="738"/>
      <c r="H587" s="740"/>
      <c r="I587" s="72">
        <f t="shared" si="71"/>
        <v>0</v>
      </c>
      <c r="J587" s="37">
        <f t="shared" si="69"/>
        <v>0</v>
      </c>
      <c r="K587" s="96">
        <f t="shared" si="70"/>
        <v>0</v>
      </c>
      <c r="L587" s="37">
        <v>0</v>
      </c>
      <c r="M587" s="262">
        <f t="shared" si="72"/>
        <v>0</v>
      </c>
      <c r="N587" s="117">
        <f t="shared" si="74"/>
        <v>0</v>
      </c>
      <c r="O587" s="45">
        <f t="shared" si="75"/>
        <v>0</v>
      </c>
    </row>
    <row r="588" spans="1:15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95">
        <f t="shared" si="68"/>
        <v>66.599999999999994</v>
      </c>
      <c r="G588" s="738"/>
      <c r="H588" s="740"/>
      <c r="I588" s="72">
        <f t="shared" si="71"/>
        <v>0</v>
      </c>
      <c r="J588" s="37">
        <f t="shared" si="69"/>
        <v>0</v>
      </c>
      <c r="K588" s="96">
        <f t="shared" si="70"/>
        <v>0</v>
      </c>
      <c r="L588" s="37">
        <v>0</v>
      </c>
      <c r="M588" s="262">
        <f t="shared" si="72"/>
        <v>0</v>
      </c>
      <c r="N588" s="117">
        <f t="shared" si="74"/>
        <v>0</v>
      </c>
      <c r="O588" s="45">
        <f t="shared" si="75"/>
        <v>0</v>
      </c>
    </row>
    <row r="589" spans="1:15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95">
        <f t="shared" si="68"/>
        <v>156.4</v>
      </c>
      <c r="G589" s="738"/>
      <c r="H589" s="740"/>
      <c r="I589" s="72">
        <f t="shared" si="71"/>
        <v>0</v>
      </c>
      <c r="J589" s="37">
        <f t="shared" si="69"/>
        <v>0</v>
      </c>
      <c r="K589" s="96">
        <f t="shared" si="70"/>
        <v>0</v>
      </c>
      <c r="L589" s="37">
        <v>0</v>
      </c>
      <c r="M589" s="262">
        <f t="shared" si="72"/>
        <v>0</v>
      </c>
      <c r="N589" s="117">
        <f t="shared" si="74"/>
        <v>0</v>
      </c>
      <c r="O589" s="45">
        <f t="shared" si="75"/>
        <v>0</v>
      </c>
    </row>
    <row r="590" spans="1:15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95">
        <f t="shared" si="68"/>
        <v>72.7</v>
      </c>
      <c r="G590" s="738"/>
      <c r="H590" s="740"/>
      <c r="I590" s="72">
        <f t="shared" si="71"/>
        <v>0</v>
      </c>
      <c r="J590" s="37">
        <f t="shared" si="69"/>
        <v>0</v>
      </c>
      <c r="K590" s="96">
        <f t="shared" si="70"/>
        <v>0</v>
      </c>
      <c r="L590" s="37">
        <v>0</v>
      </c>
      <c r="M590" s="262">
        <f t="shared" si="72"/>
        <v>0</v>
      </c>
      <c r="N590" s="117">
        <f t="shared" si="74"/>
        <v>0</v>
      </c>
      <c r="O590" s="45">
        <f t="shared" si="75"/>
        <v>0</v>
      </c>
    </row>
    <row r="591" spans="1:15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95">
        <f t="shared" si="68"/>
        <v>59.6</v>
      </c>
      <c r="G591" s="738"/>
      <c r="H591" s="740"/>
      <c r="I591" s="72">
        <f t="shared" si="71"/>
        <v>0</v>
      </c>
      <c r="J591" s="37">
        <f t="shared" si="69"/>
        <v>0</v>
      </c>
      <c r="K591" s="96">
        <f t="shared" si="70"/>
        <v>0</v>
      </c>
      <c r="L591" s="37">
        <v>0</v>
      </c>
      <c r="M591" s="262">
        <f t="shared" si="72"/>
        <v>0</v>
      </c>
      <c r="N591" s="117">
        <f t="shared" si="74"/>
        <v>0</v>
      </c>
      <c r="O591" s="45">
        <f t="shared" si="75"/>
        <v>0</v>
      </c>
    </row>
    <row r="592" spans="1:15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95">
        <f t="shared" si="68"/>
        <v>176</v>
      </c>
      <c r="G592" s="738"/>
      <c r="H592" s="740"/>
      <c r="I592" s="72">
        <f t="shared" si="71"/>
        <v>0</v>
      </c>
      <c r="J592" s="37">
        <f t="shared" si="69"/>
        <v>0</v>
      </c>
      <c r="K592" s="96">
        <f t="shared" si="70"/>
        <v>0</v>
      </c>
      <c r="L592" s="37">
        <v>0</v>
      </c>
      <c r="M592" s="262">
        <f t="shared" si="72"/>
        <v>0</v>
      </c>
      <c r="N592" s="117">
        <f t="shared" si="74"/>
        <v>0</v>
      </c>
      <c r="O592" s="45">
        <f t="shared" si="75"/>
        <v>0</v>
      </c>
    </row>
    <row r="593" spans="1:15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95">
        <f t="shared" si="68"/>
        <v>149</v>
      </c>
      <c r="G593" s="738"/>
      <c r="H593" s="740"/>
      <c r="I593" s="72">
        <f t="shared" si="71"/>
        <v>0</v>
      </c>
      <c r="J593" s="37">
        <f t="shared" si="69"/>
        <v>0</v>
      </c>
      <c r="K593" s="96">
        <f t="shared" si="70"/>
        <v>0</v>
      </c>
      <c r="L593" s="37">
        <v>0</v>
      </c>
      <c r="M593" s="262">
        <f t="shared" si="72"/>
        <v>0</v>
      </c>
      <c r="N593" s="117">
        <f t="shared" si="74"/>
        <v>0</v>
      </c>
      <c r="O593" s="45">
        <f t="shared" si="75"/>
        <v>0</v>
      </c>
    </row>
    <row r="594" spans="1:15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95">
        <f t="shared" si="68"/>
        <v>224.8</v>
      </c>
      <c r="G594" s="738"/>
      <c r="H594" s="740"/>
      <c r="I594" s="72">
        <f t="shared" si="71"/>
        <v>0</v>
      </c>
      <c r="J594" s="37">
        <f t="shared" si="69"/>
        <v>0</v>
      </c>
      <c r="K594" s="96">
        <f t="shared" si="70"/>
        <v>0</v>
      </c>
      <c r="L594" s="37">
        <v>0</v>
      </c>
      <c r="M594" s="262">
        <f t="shared" si="72"/>
        <v>0</v>
      </c>
      <c r="N594" s="117">
        <f t="shared" si="74"/>
        <v>0</v>
      </c>
      <c r="O594" s="45">
        <f t="shared" si="75"/>
        <v>0</v>
      </c>
    </row>
    <row r="595" spans="1:15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95">
        <f t="shared" ref="F595:F653" si="76">C595+D595+E595</f>
        <v>243.4</v>
      </c>
      <c r="G595" s="738"/>
      <c r="H595" s="740"/>
      <c r="I595" s="72">
        <f t="shared" si="71"/>
        <v>0</v>
      </c>
      <c r="J595" s="37">
        <f t="shared" si="69"/>
        <v>0</v>
      </c>
      <c r="K595" s="96">
        <f t="shared" si="70"/>
        <v>0</v>
      </c>
      <c r="L595" s="37">
        <v>0</v>
      </c>
      <c r="M595" s="262">
        <f t="shared" si="72"/>
        <v>0</v>
      </c>
      <c r="N595" s="117">
        <f t="shared" si="74"/>
        <v>0</v>
      </c>
      <c r="O595" s="45">
        <f t="shared" si="75"/>
        <v>0</v>
      </c>
    </row>
    <row r="596" spans="1:15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95">
        <f t="shared" si="76"/>
        <v>169.9</v>
      </c>
      <c r="G596" s="738"/>
      <c r="H596" s="740"/>
      <c r="I596" s="72">
        <f t="shared" si="71"/>
        <v>0</v>
      </c>
      <c r="J596" s="37">
        <f t="shared" si="69"/>
        <v>0</v>
      </c>
      <c r="K596" s="96">
        <f t="shared" si="70"/>
        <v>0</v>
      </c>
      <c r="L596" s="37">
        <v>0</v>
      </c>
      <c r="M596" s="262">
        <f t="shared" si="72"/>
        <v>0</v>
      </c>
      <c r="N596" s="117">
        <f t="shared" si="74"/>
        <v>0</v>
      </c>
      <c r="O596" s="45">
        <f t="shared" si="75"/>
        <v>0</v>
      </c>
    </row>
    <row r="597" spans="1:15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95">
        <f t="shared" si="76"/>
        <v>377.1</v>
      </c>
      <c r="G597" s="738"/>
      <c r="H597" s="740"/>
      <c r="I597" s="72">
        <f t="shared" si="71"/>
        <v>0</v>
      </c>
      <c r="J597" s="37">
        <f t="shared" si="69"/>
        <v>0</v>
      </c>
      <c r="K597" s="96">
        <f t="shared" ref="K597:K655" si="77">J597*0.3677</f>
        <v>0</v>
      </c>
      <c r="L597" s="37">
        <v>0</v>
      </c>
      <c r="M597" s="262">
        <f t="shared" si="72"/>
        <v>0</v>
      </c>
      <c r="N597" s="117">
        <f t="shared" si="74"/>
        <v>0</v>
      </c>
      <c r="O597" s="45">
        <f t="shared" si="75"/>
        <v>0</v>
      </c>
    </row>
    <row r="598" spans="1:15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95">
        <f t="shared" si="76"/>
        <v>87.1</v>
      </c>
      <c r="G598" s="738"/>
      <c r="H598" s="740"/>
      <c r="I598" s="72">
        <f t="shared" si="71"/>
        <v>0</v>
      </c>
      <c r="J598" s="37">
        <f t="shared" si="69"/>
        <v>0</v>
      </c>
      <c r="K598" s="96">
        <f t="shared" si="77"/>
        <v>0</v>
      </c>
      <c r="L598" s="37">
        <v>0</v>
      </c>
      <c r="M598" s="262">
        <f t="shared" si="72"/>
        <v>0</v>
      </c>
      <c r="N598" s="117">
        <f t="shared" si="74"/>
        <v>0</v>
      </c>
      <c r="O598" s="45">
        <f t="shared" si="75"/>
        <v>0</v>
      </c>
    </row>
    <row r="599" spans="1:15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95">
        <f t="shared" si="76"/>
        <v>348.2</v>
      </c>
      <c r="G599" s="738"/>
      <c r="H599" s="740"/>
      <c r="I599" s="72">
        <f t="shared" si="71"/>
        <v>0</v>
      </c>
      <c r="J599" s="37">
        <f t="shared" si="69"/>
        <v>0</v>
      </c>
      <c r="K599" s="96">
        <f t="shared" si="77"/>
        <v>0</v>
      </c>
      <c r="L599" s="37">
        <v>0</v>
      </c>
      <c r="M599" s="262">
        <f t="shared" si="72"/>
        <v>0</v>
      </c>
      <c r="N599" s="117">
        <f t="shared" si="74"/>
        <v>0</v>
      </c>
      <c r="O599" s="45">
        <f t="shared" si="75"/>
        <v>0</v>
      </c>
    </row>
    <row r="600" spans="1:15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95">
        <f t="shared" si="76"/>
        <v>227.7</v>
      </c>
      <c r="G600" s="738"/>
      <c r="H600" s="740"/>
      <c r="I600" s="72">
        <f t="shared" si="71"/>
        <v>0</v>
      </c>
      <c r="J600" s="37">
        <f t="shared" si="69"/>
        <v>0</v>
      </c>
      <c r="K600" s="96">
        <f t="shared" si="77"/>
        <v>0</v>
      </c>
      <c r="L600" s="37">
        <v>0</v>
      </c>
      <c r="M600" s="262">
        <f t="shared" si="72"/>
        <v>0</v>
      </c>
      <c r="N600" s="117">
        <f t="shared" si="74"/>
        <v>0</v>
      </c>
      <c r="O600" s="45">
        <f t="shared" si="75"/>
        <v>0</v>
      </c>
    </row>
    <row r="601" spans="1:15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95">
        <f t="shared" si="76"/>
        <v>409.2</v>
      </c>
      <c r="G601" s="738"/>
      <c r="H601" s="740"/>
      <c r="I601" s="72">
        <f t="shared" si="71"/>
        <v>0</v>
      </c>
      <c r="J601" s="37">
        <f t="shared" ref="J601:J664" si="78">I601*2017.01</f>
        <v>0</v>
      </c>
      <c r="K601" s="96">
        <f t="shared" si="77"/>
        <v>0</v>
      </c>
      <c r="L601" s="37">
        <v>0</v>
      </c>
      <c r="M601" s="262">
        <f t="shared" si="72"/>
        <v>0</v>
      </c>
      <c r="N601" s="117">
        <f t="shared" si="74"/>
        <v>0</v>
      </c>
      <c r="O601" s="45">
        <f t="shared" si="75"/>
        <v>0</v>
      </c>
    </row>
    <row r="602" spans="1:15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95">
        <f t="shared" si="76"/>
        <v>177.6</v>
      </c>
      <c r="G602" s="738"/>
      <c r="H602" s="740"/>
      <c r="I602" s="72">
        <f t="shared" ref="I602:I665" si="79">H602/3000</f>
        <v>0</v>
      </c>
      <c r="J602" s="37">
        <f t="shared" si="78"/>
        <v>0</v>
      </c>
      <c r="K602" s="96">
        <f t="shared" si="77"/>
        <v>0</v>
      </c>
      <c r="L602" s="37">
        <v>0</v>
      </c>
      <c r="M602" s="262">
        <f t="shared" ref="M602:M665" si="80">I602*84.08*1.1*1.08</f>
        <v>0</v>
      </c>
      <c r="N602" s="117">
        <f t="shared" si="74"/>
        <v>0</v>
      </c>
      <c r="O602" s="45">
        <f t="shared" ref="O602:O665" si="81">(J602+K602+L602+M602)/C602</f>
        <v>0</v>
      </c>
    </row>
    <row r="603" spans="1:15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95">
        <f t="shared" si="76"/>
        <v>383.9</v>
      </c>
      <c r="G603" s="738"/>
      <c r="H603" s="740"/>
      <c r="I603" s="72">
        <f t="shared" si="79"/>
        <v>0</v>
      </c>
      <c r="J603" s="37">
        <f t="shared" si="78"/>
        <v>0</v>
      </c>
      <c r="K603" s="96">
        <f t="shared" si="77"/>
        <v>0</v>
      </c>
      <c r="L603" s="37">
        <v>0</v>
      </c>
      <c r="M603" s="262">
        <f t="shared" si="80"/>
        <v>0</v>
      </c>
      <c r="N603" s="117">
        <f t="shared" si="74"/>
        <v>0</v>
      </c>
      <c r="O603" s="45">
        <f t="shared" si="81"/>
        <v>0</v>
      </c>
    </row>
    <row r="604" spans="1:15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95">
        <f t="shared" si="76"/>
        <v>123.2</v>
      </c>
      <c r="G604" s="738"/>
      <c r="H604" s="740"/>
      <c r="I604" s="72">
        <f t="shared" si="79"/>
        <v>0</v>
      </c>
      <c r="J604" s="37">
        <f t="shared" si="78"/>
        <v>0</v>
      </c>
      <c r="K604" s="96">
        <f t="shared" si="77"/>
        <v>0</v>
      </c>
      <c r="L604" s="37">
        <v>0</v>
      </c>
      <c r="M604" s="262">
        <f t="shared" si="80"/>
        <v>0</v>
      </c>
      <c r="N604" s="117">
        <f t="shared" si="74"/>
        <v>0</v>
      </c>
      <c r="O604" s="45">
        <f t="shared" si="81"/>
        <v>0</v>
      </c>
    </row>
    <row r="605" spans="1:15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95">
        <f t="shared" si="76"/>
        <v>423.7</v>
      </c>
      <c r="G605" s="738"/>
      <c r="H605" s="740"/>
      <c r="I605" s="72">
        <f t="shared" si="79"/>
        <v>0</v>
      </c>
      <c r="J605" s="37">
        <f t="shared" si="78"/>
        <v>0</v>
      </c>
      <c r="K605" s="96">
        <f t="shared" si="77"/>
        <v>0</v>
      </c>
      <c r="L605" s="37">
        <v>0</v>
      </c>
      <c r="M605" s="262">
        <f t="shared" si="80"/>
        <v>0</v>
      </c>
      <c r="N605" s="117">
        <f t="shared" ref="N605:N668" si="82">M605*1.219</f>
        <v>0</v>
      </c>
      <c r="O605" s="45">
        <f t="shared" si="81"/>
        <v>0</v>
      </c>
    </row>
    <row r="606" spans="1:15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95">
        <f t="shared" si="76"/>
        <v>138.80000000000001</v>
      </c>
      <c r="G606" s="738"/>
      <c r="H606" s="740"/>
      <c r="I606" s="72">
        <f t="shared" si="79"/>
        <v>0</v>
      </c>
      <c r="J606" s="37">
        <f t="shared" si="78"/>
        <v>0</v>
      </c>
      <c r="K606" s="96">
        <f t="shared" si="77"/>
        <v>0</v>
      </c>
      <c r="L606" s="37">
        <v>0</v>
      </c>
      <c r="M606" s="262">
        <f t="shared" si="80"/>
        <v>0</v>
      </c>
      <c r="N606" s="117">
        <f t="shared" si="82"/>
        <v>0</v>
      </c>
      <c r="O606" s="45">
        <f t="shared" si="81"/>
        <v>0</v>
      </c>
    </row>
    <row r="607" spans="1:15" s="969" customFormat="1" ht="15.75">
      <c r="A607" s="958">
        <v>71</v>
      </c>
      <c r="B607" s="970" t="s">
        <v>316</v>
      </c>
      <c r="C607" s="971">
        <v>67.900000000000006</v>
      </c>
      <c r="D607" s="971"/>
      <c r="E607" s="971">
        <v>273.7</v>
      </c>
      <c r="F607" s="961">
        <f t="shared" si="76"/>
        <v>341.6</v>
      </c>
      <c r="G607" s="962"/>
      <c r="H607" s="963"/>
      <c r="I607" s="964">
        <f t="shared" si="79"/>
        <v>0</v>
      </c>
      <c r="J607" s="965">
        <f t="shared" si="78"/>
        <v>0</v>
      </c>
      <c r="K607" s="966">
        <f t="shared" si="77"/>
        <v>0</v>
      </c>
      <c r="L607" s="965">
        <v>0</v>
      </c>
      <c r="M607" s="966">
        <f t="shared" si="80"/>
        <v>0</v>
      </c>
      <c r="N607" s="967">
        <f t="shared" si="82"/>
        <v>0</v>
      </c>
      <c r="O607" s="45">
        <f>(J607+K607+L607+M607)/C607</f>
        <v>0</v>
      </c>
    </row>
    <row r="608" spans="1:15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95">
        <f t="shared" si="76"/>
        <v>353.3</v>
      </c>
      <c r="G608" s="738"/>
      <c r="H608" s="740"/>
      <c r="I608" s="72">
        <f t="shared" si="79"/>
        <v>0</v>
      </c>
      <c r="J608" s="37">
        <f t="shared" si="78"/>
        <v>0</v>
      </c>
      <c r="K608" s="96">
        <f t="shared" si="77"/>
        <v>0</v>
      </c>
      <c r="L608" s="37">
        <v>0</v>
      </c>
      <c r="M608" s="262">
        <f t="shared" si="80"/>
        <v>0</v>
      </c>
      <c r="N608" s="117">
        <f t="shared" si="82"/>
        <v>0</v>
      </c>
      <c r="O608" s="45">
        <f t="shared" si="81"/>
        <v>0</v>
      </c>
    </row>
    <row r="609" spans="1:15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95">
        <f t="shared" si="76"/>
        <v>354.5</v>
      </c>
      <c r="G609" s="738"/>
      <c r="H609" s="740"/>
      <c r="I609" s="72">
        <f t="shared" si="79"/>
        <v>0</v>
      </c>
      <c r="J609" s="37">
        <f t="shared" si="78"/>
        <v>0</v>
      </c>
      <c r="K609" s="96">
        <f t="shared" si="77"/>
        <v>0</v>
      </c>
      <c r="L609" s="37">
        <v>0</v>
      </c>
      <c r="M609" s="262">
        <f t="shared" si="80"/>
        <v>0</v>
      </c>
      <c r="N609" s="117">
        <f t="shared" si="82"/>
        <v>0</v>
      </c>
      <c r="O609" s="45">
        <f t="shared" si="81"/>
        <v>0</v>
      </c>
    </row>
    <row r="610" spans="1:15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95">
        <f t="shared" si="76"/>
        <v>404.4</v>
      </c>
      <c r="G610" s="738"/>
      <c r="H610" s="740"/>
      <c r="I610" s="72">
        <f t="shared" si="79"/>
        <v>0</v>
      </c>
      <c r="J610" s="37">
        <f t="shared" si="78"/>
        <v>0</v>
      </c>
      <c r="K610" s="96">
        <f t="shared" si="77"/>
        <v>0</v>
      </c>
      <c r="L610" s="37">
        <v>0</v>
      </c>
      <c r="M610" s="262">
        <f t="shared" si="80"/>
        <v>0</v>
      </c>
      <c r="N610" s="117">
        <f t="shared" si="82"/>
        <v>0</v>
      </c>
      <c r="O610" s="45">
        <f t="shared" si="81"/>
        <v>0</v>
      </c>
    </row>
    <row r="611" spans="1:15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95">
        <f t="shared" si="76"/>
        <v>348.3</v>
      </c>
      <c r="G611" s="738"/>
      <c r="H611" s="740"/>
      <c r="I611" s="72">
        <f t="shared" si="79"/>
        <v>0</v>
      </c>
      <c r="J611" s="37">
        <f t="shared" si="78"/>
        <v>0</v>
      </c>
      <c r="K611" s="96">
        <f t="shared" si="77"/>
        <v>0</v>
      </c>
      <c r="L611" s="37">
        <v>0</v>
      </c>
      <c r="M611" s="262">
        <f t="shared" si="80"/>
        <v>0</v>
      </c>
      <c r="N611" s="117">
        <f t="shared" si="82"/>
        <v>0</v>
      </c>
      <c r="O611" s="45">
        <f t="shared" si="81"/>
        <v>0</v>
      </c>
    </row>
    <row r="612" spans="1:15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95">
        <f t="shared" si="76"/>
        <v>73.400000000000006</v>
      </c>
      <c r="G612" s="738"/>
      <c r="H612" s="740"/>
      <c r="I612" s="72">
        <f t="shared" si="79"/>
        <v>0</v>
      </c>
      <c r="J612" s="37">
        <f t="shared" si="78"/>
        <v>0</v>
      </c>
      <c r="K612" s="96">
        <f t="shared" si="77"/>
        <v>0</v>
      </c>
      <c r="L612" s="37">
        <v>0</v>
      </c>
      <c r="M612" s="262">
        <f t="shared" si="80"/>
        <v>0</v>
      </c>
      <c r="N612" s="117">
        <f t="shared" si="82"/>
        <v>0</v>
      </c>
      <c r="O612" s="45">
        <f t="shared" si="81"/>
        <v>0</v>
      </c>
    </row>
    <row r="613" spans="1:15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95">
        <f t="shared" si="76"/>
        <v>117.2</v>
      </c>
      <c r="G613" s="738"/>
      <c r="H613" s="740"/>
      <c r="I613" s="72">
        <f t="shared" si="79"/>
        <v>0</v>
      </c>
      <c r="J613" s="37">
        <f t="shared" si="78"/>
        <v>0</v>
      </c>
      <c r="K613" s="96">
        <f t="shared" si="77"/>
        <v>0</v>
      </c>
      <c r="L613" s="37">
        <v>0</v>
      </c>
      <c r="M613" s="262">
        <f t="shared" si="80"/>
        <v>0</v>
      </c>
      <c r="N613" s="117">
        <f t="shared" si="82"/>
        <v>0</v>
      </c>
      <c r="O613" s="45">
        <f t="shared" si="81"/>
        <v>0</v>
      </c>
    </row>
    <row r="614" spans="1:15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95">
        <f t="shared" si="76"/>
        <v>65.900000000000006</v>
      </c>
      <c r="G614" s="738"/>
      <c r="H614" s="740"/>
      <c r="I614" s="72">
        <f t="shared" si="79"/>
        <v>0</v>
      </c>
      <c r="J614" s="37">
        <f t="shared" si="78"/>
        <v>0</v>
      </c>
      <c r="K614" s="96">
        <f t="shared" si="77"/>
        <v>0</v>
      </c>
      <c r="L614" s="37">
        <v>0</v>
      </c>
      <c r="M614" s="262">
        <f t="shared" si="80"/>
        <v>0</v>
      </c>
      <c r="N614" s="117">
        <f t="shared" si="82"/>
        <v>0</v>
      </c>
      <c r="O614" s="45">
        <f t="shared" si="81"/>
        <v>0</v>
      </c>
    </row>
    <row r="615" spans="1:15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95">
        <f t="shared" si="76"/>
        <v>212.3</v>
      </c>
      <c r="G615" s="738"/>
      <c r="H615" s="740"/>
      <c r="I615" s="72">
        <f t="shared" si="79"/>
        <v>0</v>
      </c>
      <c r="J615" s="37">
        <f t="shared" si="78"/>
        <v>0</v>
      </c>
      <c r="K615" s="96">
        <f t="shared" si="77"/>
        <v>0</v>
      </c>
      <c r="L615" s="37">
        <v>0</v>
      </c>
      <c r="M615" s="262">
        <f t="shared" si="80"/>
        <v>0</v>
      </c>
      <c r="N615" s="117">
        <f t="shared" si="82"/>
        <v>0</v>
      </c>
      <c r="O615" s="45">
        <f t="shared" si="81"/>
        <v>0</v>
      </c>
    </row>
    <row r="616" spans="1:15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95">
        <f t="shared" si="76"/>
        <v>200.1</v>
      </c>
      <c r="G616" s="738"/>
      <c r="H616" s="740"/>
      <c r="I616" s="72">
        <f t="shared" si="79"/>
        <v>0</v>
      </c>
      <c r="J616" s="37">
        <f t="shared" si="78"/>
        <v>0</v>
      </c>
      <c r="K616" s="96">
        <f t="shared" si="77"/>
        <v>0</v>
      </c>
      <c r="L616" s="37">
        <v>0</v>
      </c>
      <c r="M616" s="262">
        <f t="shared" si="80"/>
        <v>0</v>
      </c>
      <c r="N616" s="117">
        <f t="shared" si="82"/>
        <v>0</v>
      </c>
      <c r="O616" s="45">
        <f t="shared" si="81"/>
        <v>0</v>
      </c>
    </row>
    <row r="617" spans="1:15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95">
        <f t="shared" si="76"/>
        <v>79.099999999999994</v>
      </c>
      <c r="G617" s="738"/>
      <c r="H617" s="740"/>
      <c r="I617" s="72">
        <f t="shared" si="79"/>
        <v>0</v>
      </c>
      <c r="J617" s="37">
        <f t="shared" si="78"/>
        <v>0</v>
      </c>
      <c r="K617" s="96">
        <f t="shared" si="77"/>
        <v>0</v>
      </c>
      <c r="L617" s="37">
        <v>0</v>
      </c>
      <c r="M617" s="262">
        <f t="shared" si="80"/>
        <v>0</v>
      </c>
      <c r="N617" s="117">
        <f t="shared" si="82"/>
        <v>0</v>
      </c>
      <c r="O617" s="45">
        <f t="shared" si="81"/>
        <v>0</v>
      </c>
    </row>
    <row r="618" spans="1:15" s="969" customFormat="1" ht="15.75">
      <c r="A618" s="958">
        <v>82</v>
      </c>
      <c r="B618" s="970" t="s">
        <v>327</v>
      </c>
      <c r="C618" s="971">
        <v>2958.8</v>
      </c>
      <c r="D618" s="971">
        <v>298.39999999999998</v>
      </c>
      <c r="E618" s="971"/>
      <c r="F618" s="961">
        <f t="shared" si="76"/>
        <v>3257.2000000000003</v>
      </c>
      <c r="G618" s="962">
        <v>1933</v>
      </c>
      <c r="H618" s="963">
        <v>1684</v>
      </c>
      <c r="I618" s="964">
        <f t="shared" si="79"/>
        <v>0.56133333333333335</v>
      </c>
      <c r="J618" s="965">
        <f t="shared" si="78"/>
        <v>1132.2149466666667</v>
      </c>
      <c r="K618" s="966">
        <f t="shared" si="77"/>
        <v>416.3154358893334</v>
      </c>
      <c r="L618" s="965">
        <v>524.83544000000006</v>
      </c>
      <c r="M618" s="966">
        <f t="shared" si="80"/>
        <v>56.069925120000015</v>
      </c>
      <c r="N618" s="967">
        <f t="shared" si="82"/>
        <v>68.349238721280017</v>
      </c>
      <c r="O618" s="968">
        <f>(J618+K618+L618+M618)/F618</f>
        <v>0.65376266353800805</v>
      </c>
    </row>
    <row r="619" spans="1:15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95">
        <f t="shared" si="76"/>
        <v>4789.17</v>
      </c>
      <c r="G619" s="738">
        <v>1225</v>
      </c>
      <c r="H619" s="740">
        <v>1225</v>
      </c>
      <c r="I619" s="72">
        <f t="shared" si="79"/>
        <v>0.40833333333333333</v>
      </c>
      <c r="J619" s="37">
        <f t="shared" si="78"/>
        <v>823.6124166666666</v>
      </c>
      <c r="K619" s="96">
        <f t="shared" si="77"/>
        <v>302.84228560833333</v>
      </c>
      <c r="L619" s="37">
        <v>381.78350000000006</v>
      </c>
      <c r="M619" s="262">
        <f t="shared" si="80"/>
        <v>40.787208000000007</v>
      </c>
      <c r="N619" s="117">
        <f t="shared" si="82"/>
        <v>49.719606552000009</v>
      </c>
      <c r="O619" s="45">
        <f>(J619+K619+L619+M619)/C619</f>
        <v>0.3234433963035348</v>
      </c>
    </row>
    <row r="620" spans="1:15" s="969" customFormat="1" ht="15.75">
      <c r="A620" s="958">
        <v>84</v>
      </c>
      <c r="B620" s="970" t="s">
        <v>329</v>
      </c>
      <c r="C620" s="971">
        <v>6299.44</v>
      </c>
      <c r="D620" s="971">
        <v>16.920000000000002</v>
      </c>
      <c r="E620" s="971"/>
      <c r="F620" s="961">
        <f t="shared" si="76"/>
        <v>6316.36</v>
      </c>
      <c r="G620" s="962">
        <v>2658.6</v>
      </c>
      <c r="H620" s="963">
        <v>2120</v>
      </c>
      <c r="I620" s="964">
        <f t="shared" si="79"/>
        <v>0.70666666666666667</v>
      </c>
      <c r="J620" s="965">
        <f t="shared" si="78"/>
        <v>1425.3537333333334</v>
      </c>
      <c r="K620" s="966">
        <f t="shared" si="77"/>
        <v>524.10256774666675</v>
      </c>
      <c r="L620" s="965">
        <v>660.71920000000011</v>
      </c>
      <c r="M620" s="966">
        <f t="shared" si="80"/>
        <v>70.5868416</v>
      </c>
      <c r="N620" s="967">
        <f t="shared" si="82"/>
        <v>86.045359910400009</v>
      </c>
      <c r="O620" s="968">
        <f>(J620+K620+L620+M620)/F620</f>
        <v>0.42441569870621693</v>
      </c>
    </row>
    <row r="621" spans="1:15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95">
        <f t="shared" si="76"/>
        <v>4812.1099999999997</v>
      </c>
      <c r="G621" s="738">
        <v>1326</v>
      </c>
      <c r="H621" s="740">
        <v>1326</v>
      </c>
      <c r="I621" s="72">
        <f t="shared" si="79"/>
        <v>0.442</v>
      </c>
      <c r="J621" s="37">
        <f t="shared" si="78"/>
        <v>891.51841999999999</v>
      </c>
      <c r="K621" s="96">
        <f t="shared" si="77"/>
        <v>327.811323034</v>
      </c>
      <c r="L621" s="37">
        <v>413.26116000000007</v>
      </c>
      <c r="M621" s="262">
        <f t="shared" si="80"/>
        <v>44.150071680000003</v>
      </c>
      <c r="N621" s="117">
        <f t="shared" si="82"/>
        <v>53.818937377920008</v>
      </c>
      <c r="O621" s="45">
        <f t="shared" si="81"/>
        <v>0.34844194640479959</v>
      </c>
    </row>
    <row r="622" spans="1:15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95">
        <f t="shared" si="76"/>
        <v>11145.01</v>
      </c>
      <c r="G622" s="738">
        <v>5794.6</v>
      </c>
      <c r="H622" s="861">
        <v>4200</v>
      </c>
      <c r="I622" s="72">
        <f t="shared" si="79"/>
        <v>1.4</v>
      </c>
      <c r="J622" s="37">
        <f t="shared" si="78"/>
        <v>2823.8139999999999</v>
      </c>
      <c r="K622" s="96">
        <f t="shared" si="77"/>
        <v>1038.3164078</v>
      </c>
      <c r="L622" s="37">
        <v>872.64800000000002</v>
      </c>
      <c r="M622" s="262">
        <f t="shared" si="80"/>
        <v>139.84185600000001</v>
      </c>
      <c r="N622" s="117">
        <f t="shared" si="82"/>
        <v>170.46722246400003</v>
      </c>
      <c r="O622" s="45">
        <f t="shared" si="81"/>
        <v>0.43738141677755332</v>
      </c>
    </row>
    <row r="623" spans="1:15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95">
        <f t="shared" si="76"/>
        <v>74.5</v>
      </c>
      <c r="G623" s="738">
        <v>0</v>
      </c>
      <c r="H623" s="740">
        <v>1</v>
      </c>
      <c r="I623" s="72">
        <f t="shared" si="79"/>
        <v>3.3333333333333332E-4</v>
      </c>
      <c r="J623" s="37">
        <f t="shared" si="78"/>
        <v>0.67233666666666669</v>
      </c>
      <c r="K623" s="96">
        <f t="shared" si="77"/>
        <v>0.24721819233333336</v>
      </c>
      <c r="L623" s="37">
        <v>0.31166000000000005</v>
      </c>
      <c r="M623" s="262">
        <f t="shared" si="80"/>
        <v>3.3295680000000001E-2</v>
      </c>
      <c r="N623" s="117">
        <f t="shared" si="82"/>
        <v>4.0587433920000006E-2</v>
      </c>
      <c r="O623" s="45">
        <f t="shared" si="81"/>
        <v>1.6973295825503356E-2</v>
      </c>
    </row>
    <row r="624" spans="1:15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95">
        <f t="shared" si="76"/>
        <v>227.9</v>
      </c>
      <c r="G624" s="738">
        <v>0</v>
      </c>
      <c r="H624" s="740">
        <v>0</v>
      </c>
      <c r="I624" s="72">
        <f t="shared" si="79"/>
        <v>0</v>
      </c>
      <c r="J624" s="37">
        <f t="shared" si="78"/>
        <v>0</v>
      </c>
      <c r="K624" s="96">
        <f t="shared" si="77"/>
        <v>0</v>
      </c>
      <c r="L624" s="37">
        <v>0</v>
      </c>
      <c r="M624" s="262">
        <f t="shared" si="80"/>
        <v>0</v>
      </c>
      <c r="N624" s="117">
        <f t="shared" si="82"/>
        <v>0</v>
      </c>
      <c r="O624" s="45">
        <f t="shared" si="81"/>
        <v>0</v>
      </c>
    </row>
    <row r="625" spans="1:15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95">
        <f t="shared" si="76"/>
        <v>374.6</v>
      </c>
      <c r="G625" s="738">
        <v>0</v>
      </c>
      <c r="H625" s="740">
        <v>0</v>
      </c>
      <c r="I625" s="72">
        <f t="shared" si="79"/>
        <v>0</v>
      </c>
      <c r="J625" s="37">
        <f t="shared" si="78"/>
        <v>0</v>
      </c>
      <c r="K625" s="96">
        <f t="shared" si="77"/>
        <v>0</v>
      </c>
      <c r="L625" s="37">
        <v>0</v>
      </c>
      <c r="M625" s="262">
        <f t="shared" si="80"/>
        <v>0</v>
      </c>
      <c r="N625" s="117">
        <f t="shared" si="82"/>
        <v>0</v>
      </c>
      <c r="O625" s="45">
        <f t="shared" si="81"/>
        <v>0</v>
      </c>
    </row>
    <row r="626" spans="1:15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95">
        <f t="shared" si="76"/>
        <v>738.4</v>
      </c>
      <c r="G626" s="738">
        <v>218</v>
      </c>
      <c r="H626" s="740">
        <v>185</v>
      </c>
      <c r="I626" s="72">
        <f t="shared" si="79"/>
        <v>6.1666666666666668E-2</v>
      </c>
      <c r="J626" s="37">
        <f t="shared" si="78"/>
        <v>124.38228333333333</v>
      </c>
      <c r="K626" s="96">
        <f t="shared" si="77"/>
        <v>45.73536558166667</v>
      </c>
      <c r="L626" s="37">
        <v>38.438066666666671</v>
      </c>
      <c r="M626" s="262">
        <f t="shared" si="80"/>
        <v>6.1597008000000004</v>
      </c>
      <c r="N626" s="117">
        <f t="shared" si="82"/>
        <v>7.5086752752000008</v>
      </c>
      <c r="O626" s="45">
        <f t="shared" si="81"/>
        <v>0.3033132029688751</v>
      </c>
    </row>
    <row r="627" spans="1:15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95">
        <f t="shared" si="76"/>
        <v>442.3</v>
      </c>
      <c r="G627" s="738">
        <v>245</v>
      </c>
      <c r="H627" s="740">
        <v>200</v>
      </c>
      <c r="I627" s="72">
        <f t="shared" si="79"/>
        <v>6.6666666666666666E-2</v>
      </c>
      <c r="J627" s="37">
        <f t="shared" si="78"/>
        <v>134.46733333333333</v>
      </c>
      <c r="K627" s="96">
        <f t="shared" si="77"/>
        <v>49.44363846666667</v>
      </c>
      <c r="L627" s="37">
        <v>41.554666666666662</v>
      </c>
      <c r="M627" s="262">
        <f t="shared" si="80"/>
        <v>6.6591360000000011</v>
      </c>
      <c r="N627" s="117">
        <f t="shared" si="82"/>
        <v>8.1174867840000022</v>
      </c>
      <c r="O627" s="45">
        <f t="shared" si="81"/>
        <v>0.70022556400201097</v>
      </c>
    </row>
    <row r="628" spans="1:15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95">
        <f t="shared" si="76"/>
        <v>1043.4000000000001</v>
      </c>
      <c r="G628" s="738">
        <v>434</v>
      </c>
      <c r="H628" s="740">
        <v>315</v>
      </c>
      <c r="I628" s="72">
        <f t="shared" si="79"/>
        <v>0.105</v>
      </c>
      <c r="J628" s="37">
        <f t="shared" si="78"/>
        <v>211.78604999999999</v>
      </c>
      <c r="K628" s="96">
        <f t="shared" si="77"/>
        <v>77.873730585000004</v>
      </c>
      <c r="L628" s="37">
        <v>98.172900000000013</v>
      </c>
      <c r="M628" s="262">
        <f t="shared" si="80"/>
        <v>10.488139200000003</v>
      </c>
      <c r="N628" s="117">
        <f t="shared" si="82"/>
        <v>12.785041684800005</v>
      </c>
      <c r="O628" s="45">
        <f t="shared" si="81"/>
        <v>0.42419682618210863</v>
      </c>
    </row>
    <row r="629" spans="1:15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95">
        <f t="shared" si="76"/>
        <v>473.6</v>
      </c>
      <c r="G629" s="738">
        <v>224</v>
      </c>
      <c r="H629" s="740">
        <v>170</v>
      </c>
      <c r="I629" s="72">
        <f t="shared" si="79"/>
        <v>5.6666666666666664E-2</v>
      </c>
      <c r="J629" s="37">
        <f t="shared" si="78"/>
        <v>114.29723333333332</v>
      </c>
      <c r="K629" s="96">
        <f t="shared" si="77"/>
        <v>42.027092696666664</v>
      </c>
      <c r="L629" s="37">
        <v>52.982200000000006</v>
      </c>
      <c r="M629" s="262">
        <f t="shared" si="80"/>
        <v>5.6602655999999998</v>
      </c>
      <c r="N629" s="117">
        <f t="shared" si="82"/>
        <v>6.8998637664000002</v>
      </c>
      <c r="O629" s="45">
        <f t="shared" si="81"/>
        <v>0.49497304082431492</v>
      </c>
    </row>
    <row r="630" spans="1:15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95">
        <f t="shared" si="76"/>
        <v>345.2</v>
      </c>
      <c r="G630" s="738">
        <v>146</v>
      </c>
      <c r="H630" s="740">
        <v>100</v>
      </c>
      <c r="I630" s="72">
        <f t="shared" si="79"/>
        <v>3.3333333333333333E-2</v>
      </c>
      <c r="J630" s="37">
        <f t="shared" si="78"/>
        <v>67.233666666666664</v>
      </c>
      <c r="K630" s="96">
        <f t="shared" si="77"/>
        <v>24.721819233333335</v>
      </c>
      <c r="L630" s="37">
        <v>31.166</v>
      </c>
      <c r="M630" s="262">
        <f t="shared" si="80"/>
        <v>3.3295680000000005</v>
      </c>
      <c r="N630" s="117">
        <f t="shared" si="82"/>
        <v>4.0587433920000011</v>
      </c>
      <c r="O630" s="45">
        <f t="shared" si="81"/>
        <v>0.36631243887601389</v>
      </c>
    </row>
    <row r="631" spans="1:15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95">
        <f t="shared" si="76"/>
        <v>864.9</v>
      </c>
      <c r="G631" s="738">
        <v>252</v>
      </c>
      <c r="H631" s="740">
        <v>110</v>
      </c>
      <c r="I631" s="72">
        <f t="shared" si="79"/>
        <v>3.6666666666666667E-2</v>
      </c>
      <c r="J631" s="37">
        <f t="shared" si="78"/>
        <v>73.957033333333328</v>
      </c>
      <c r="K631" s="96">
        <f t="shared" si="77"/>
        <v>27.194001156666666</v>
      </c>
      <c r="L631" s="37">
        <v>34.282600000000009</v>
      </c>
      <c r="M631" s="262">
        <f t="shared" si="80"/>
        <v>3.6625248000000004</v>
      </c>
      <c r="N631" s="117">
        <f t="shared" si="82"/>
        <v>4.4646177312000006</v>
      </c>
      <c r="O631" s="45">
        <f t="shared" si="81"/>
        <v>0.16082340072840792</v>
      </c>
    </row>
    <row r="632" spans="1:15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95">
        <f t="shared" si="76"/>
        <v>1116.9000000000001</v>
      </c>
      <c r="G632" s="738">
        <v>276</v>
      </c>
      <c r="H632" s="740">
        <v>100</v>
      </c>
      <c r="I632" s="72">
        <f t="shared" si="79"/>
        <v>3.3333333333333333E-2</v>
      </c>
      <c r="J632" s="37">
        <f t="shared" si="78"/>
        <v>67.233666666666664</v>
      </c>
      <c r="K632" s="96">
        <f t="shared" si="77"/>
        <v>24.721819233333335</v>
      </c>
      <c r="L632" s="37">
        <v>31.166</v>
      </c>
      <c r="M632" s="262">
        <f t="shared" si="80"/>
        <v>3.3295680000000005</v>
      </c>
      <c r="N632" s="117">
        <f t="shared" si="82"/>
        <v>4.0587433920000011</v>
      </c>
      <c r="O632" s="45">
        <f t="shared" si="81"/>
        <v>0.11321609266720385</v>
      </c>
    </row>
    <row r="633" spans="1:15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95">
        <f t="shared" si="76"/>
        <v>506.2</v>
      </c>
      <c r="G633" s="738">
        <v>240</v>
      </c>
      <c r="H633" s="740">
        <v>200</v>
      </c>
      <c r="I633" s="72">
        <f t="shared" si="79"/>
        <v>6.6666666666666666E-2</v>
      </c>
      <c r="J633" s="37">
        <f t="shared" si="78"/>
        <v>134.46733333333333</v>
      </c>
      <c r="K633" s="96">
        <f t="shared" si="77"/>
        <v>49.44363846666667</v>
      </c>
      <c r="L633" s="37">
        <v>51.943333333333328</v>
      </c>
      <c r="M633" s="262">
        <f t="shared" si="80"/>
        <v>6.6591360000000011</v>
      </c>
      <c r="N633" s="117">
        <f t="shared" si="82"/>
        <v>8.1174867840000022</v>
      </c>
      <c r="O633" s="45">
        <f t="shared" si="81"/>
        <v>0.51271340620155037</v>
      </c>
    </row>
    <row r="634" spans="1:15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95">
        <f t="shared" si="76"/>
        <v>369.5</v>
      </c>
      <c r="G634" s="738">
        <v>245</v>
      </c>
      <c r="H634" s="740">
        <v>150</v>
      </c>
      <c r="I634" s="72">
        <f t="shared" si="79"/>
        <v>0.05</v>
      </c>
      <c r="J634" s="37">
        <f t="shared" si="78"/>
        <v>100.85050000000001</v>
      </c>
      <c r="K634" s="96">
        <f t="shared" si="77"/>
        <v>37.082728850000009</v>
      </c>
      <c r="L634" s="37">
        <v>46.749000000000009</v>
      </c>
      <c r="M634" s="262">
        <f t="shared" si="80"/>
        <v>4.994352000000001</v>
      </c>
      <c r="N634" s="117">
        <f t="shared" si="82"/>
        <v>6.0881150880000012</v>
      </c>
      <c r="O634" s="45">
        <f t="shared" si="81"/>
        <v>0.51333310108254415</v>
      </c>
    </row>
    <row r="635" spans="1:15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95">
        <f t="shared" si="76"/>
        <v>510.1</v>
      </c>
      <c r="G635" s="738">
        <v>195</v>
      </c>
      <c r="H635" s="740">
        <v>100</v>
      </c>
      <c r="I635" s="72">
        <f t="shared" si="79"/>
        <v>3.3333333333333333E-2</v>
      </c>
      <c r="J635" s="37">
        <f t="shared" si="78"/>
        <v>67.233666666666664</v>
      </c>
      <c r="K635" s="96">
        <f t="shared" si="77"/>
        <v>24.721819233333335</v>
      </c>
      <c r="L635" s="37">
        <v>31.166</v>
      </c>
      <c r="M635" s="262">
        <f t="shared" si="80"/>
        <v>3.3295680000000005</v>
      </c>
      <c r="N635" s="117">
        <f t="shared" si="82"/>
        <v>4.0587433920000011</v>
      </c>
      <c r="O635" s="45">
        <f t="shared" si="81"/>
        <v>0.24789463614977453</v>
      </c>
    </row>
    <row r="636" spans="1:15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95">
        <f t="shared" si="76"/>
        <v>312</v>
      </c>
      <c r="G636" s="738">
        <v>205</v>
      </c>
      <c r="H636" s="740">
        <v>150</v>
      </c>
      <c r="I636" s="72">
        <f t="shared" si="79"/>
        <v>0.05</v>
      </c>
      <c r="J636" s="37">
        <f t="shared" si="78"/>
        <v>100.85050000000001</v>
      </c>
      <c r="K636" s="96">
        <f t="shared" si="77"/>
        <v>37.082728850000009</v>
      </c>
      <c r="L636" s="37">
        <v>46.749000000000009</v>
      </c>
      <c r="M636" s="262">
        <f t="shared" si="80"/>
        <v>4.994352000000001</v>
      </c>
      <c r="N636" s="117">
        <f t="shared" si="82"/>
        <v>6.0881150880000012</v>
      </c>
      <c r="O636" s="45">
        <f t="shared" si="81"/>
        <v>0.60793775913461556</v>
      </c>
    </row>
    <row r="637" spans="1:15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95">
        <f t="shared" si="76"/>
        <v>488.2</v>
      </c>
      <c r="G637" s="738">
        <v>234</v>
      </c>
      <c r="H637" s="740">
        <v>130</v>
      </c>
      <c r="I637" s="72">
        <f t="shared" si="79"/>
        <v>4.3333333333333335E-2</v>
      </c>
      <c r="J637" s="37">
        <f t="shared" si="78"/>
        <v>87.403766666666669</v>
      </c>
      <c r="K637" s="96">
        <f t="shared" si="77"/>
        <v>32.138365003333334</v>
      </c>
      <c r="L637" s="37">
        <v>40.515800000000013</v>
      </c>
      <c r="M637" s="262">
        <f t="shared" si="80"/>
        <v>4.3284384000000005</v>
      </c>
      <c r="N637" s="117">
        <f t="shared" si="82"/>
        <v>5.2763664096000014</v>
      </c>
      <c r="O637" s="45">
        <f t="shared" si="81"/>
        <v>0.33671931599754207</v>
      </c>
    </row>
    <row r="638" spans="1:15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95">
        <f t="shared" si="76"/>
        <v>223.7</v>
      </c>
      <c r="G638" s="738">
        <v>145</v>
      </c>
      <c r="H638" s="740">
        <v>100</v>
      </c>
      <c r="I638" s="72">
        <f t="shared" si="79"/>
        <v>3.3333333333333333E-2</v>
      </c>
      <c r="J638" s="37">
        <f t="shared" si="78"/>
        <v>67.233666666666664</v>
      </c>
      <c r="K638" s="96">
        <f t="shared" si="77"/>
        <v>24.721819233333335</v>
      </c>
      <c r="L638" s="37">
        <v>20.777333333333331</v>
      </c>
      <c r="M638" s="262">
        <f t="shared" si="80"/>
        <v>3.3295680000000005</v>
      </c>
      <c r="N638" s="117">
        <f t="shared" si="82"/>
        <v>4.0587433920000011</v>
      </c>
      <c r="O638" s="45">
        <f t="shared" si="81"/>
        <v>0.51883051959469528</v>
      </c>
    </row>
    <row r="639" spans="1:15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95">
        <f t="shared" si="76"/>
        <v>388.5</v>
      </c>
      <c r="G639" s="738">
        <v>255</v>
      </c>
      <c r="H639" s="740">
        <v>170</v>
      </c>
      <c r="I639" s="72">
        <f t="shared" si="79"/>
        <v>5.6666666666666664E-2</v>
      </c>
      <c r="J639" s="37">
        <f t="shared" si="78"/>
        <v>114.29723333333332</v>
      </c>
      <c r="K639" s="96">
        <f t="shared" si="77"/>
        <v>42.027092696666664</v>
      </c>
      <c r="L639" s="37">
        <v>52.982200000000006</v>
      </c>
      <c r="M639" s="262">
        <f t="shared" si="80"/>
        <v>5.6602655999999998</v>
      </c>
      <c r="N639" s="117">
        <f t="shared" si="82"/>
        <v>6.8998637664000002</v>
      </c>
      <c r="O639" s="45">
        <f t="shared" si="81"/>
        <v>0.55332507498069494</v>
      </c>
    </row>
    <row r="640" spans="1:15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95">
        <f t="shared" si="76"/>
        <v>528.32000000000005</v>
      </c>
      <c r="G640" s="738">
        <v>238</v>
      </c>
      <c r="H640" s="740">
        <v>150</v>
      </c>
      <c r="I640" s="72">
        <f t="shared" si="79"/>
        <v>0.05</v>
      </c>
      <c r="J640" s="37">
        <f t="shared" si="78"/>
        <v>100.85050000000001</v>
      </c>
      <c r="K640" s="96">
        <f t="shared" si="77"/>
        <v>37.082728850000009</v>
      </c>
      <c r="L640" s="37">
        <v>46.749000000000009</v>
      </c>
      <c r="M640" s="262">
        <f t="shared" si="80"/>
        <v>4.994352000000001</v>
      </c>
      <c r="N640" s="117">
        <f t="shared" si="82"/>
        <v>6.0881150880000012</v>
      </c>
      <c r="O640" s="45">
        <f t="shared" si="81"/>
        <v>0.35901836169367057</v>
      </c>
    </row>
    <row r="641" spans="1:15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95">
        <f t="shared" si="76"/>
        <v>262.17</v>
      </c>
      <c r="G641" s="738">
        <v>170</v>
      </c>
      <c r="H641" s="740">
        <v>140</v>
      </c>
      <c r="I641" s="72">
        <f t="shared" si="79"/>
        <v>4.6666666666666669E-2</v>
      </c>
      <c r="J641" s="37">
        <f t="shared" si="78"/>
        <v>94.127133333333333</v>
      </c>
      <c r="K641" s="96">
        <f t="shared" si="77"/>
        <v>34.610546926666672</v>
      </c>
      <c r="L641" s="37">
        <v>43.632400000000011</v>
      </c>
      <c r="M641" s="262">
        <f t="shared" si="80"/>
        <v>4.6613952000000012</v>
      </c>
      <c r="N641" s="117">
        <f t="shared" si="82"/>
        <v>5.6822407488000017</v>
      </c>
      <c r="O641" s="45">
        <f t="shared" si="81"/>
        <v>0.67525451218674915</v>
      </c>
    </row>
    <row r="642" spans="1:15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95">
        <f t="shared" si="76"/>
        <v>513.29999999999995</v>
      </c>
      <c r="G642" s="738">
        <v>214</v>
      </c>
      <c r="H642" s="740">
        <v>120</v>
      </c>
      <c r="I642" s="72">
        <f t="shared" si="79"/>
        <v>0.04</v>
      </c>
      <c r="J642" s="37">
        <f t="shared" si="78"/>
        <v>80.680400000000006</v>
      </c>
      <c r="K642" s="96">
        <f t="shared" si="77"/>
        <v>29.666183080000003</v>
      </c>
      <c r="L642" s="37">
        <v>37.399200000000008</v>
      </c>
      <c r="M642" s="262">
        <f t="shared" si="80"/>
        <v>3.9954816000000006</v>
      </c>
      <c r="N642" s="117">
        <f t="shared" si="82"/>
        <v>4.870492070400001</v>
      </c>
      <c r="O642" s="45">
        <f t="shared" si="81"/>
        <v>0.29561906230274704</v>
      </c>
    </row>
    <row r="643" spans="1:15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95">
        <f t="shared" si="76"/>
        <v>577.70000000000005</v>
      </c>
      <c r="G643" s="738">
        <v>246</v>
      </c>
      <c r="H643" s="740">
        <v>150</v>
      </c>
      <c r="I643" s="72">
        <f t="shared" si="79"/>
        <v>0.05</v>
      </c>
      <c r="J643" s="37">
        <f t="shared" si="78"/>
        <v>100.85050000000001</v>
      </c>
      <c r="K643" s="96">
        <f t="shared" si="77"/>
        <v>37.082728850000009</v>
      </c>
      <c r="L643" s="37">
        <v>46.749000000000009</v>
      </c>
      <c r="M643" s="262">
        <f t="shared" si="80"/>
        <v>4.994352000000001</v>
      </c>
      <c r="N643" s="117">
        <f t="shared" si="82"/>
        <v>6.0881150880000012</v>
      </c>
      <c r="O643" s="45">
        <f t="shared" si="81"/>
        <v>0.32833058828111483</v>
      </c>
    </row>
    <row r="644" spans="1:15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95">
        <f t="shared" si="76"/>
        <v>432.4</v>
      </c>
      <c r="G644" s="738">
        <v>288</v>
      </c>
      <c r="H644" s="740">
        <v>170</v>
      </c>
      <c r="I644" s="72">
        <f t="shared" si="79"/>
        <v>5.6666666666666664E-2</v>
      </c>
      <c r="J644" s="37">
        <f t="shared" si="78"/>
        <v>114.29723333333332</v>
      </c>
      <c r="K644" s="96">
        <f t="shared" si="77"/>
        <v>42.027092696666664</v>
      </c>
      <c r="L644" s="37">
        <v>52.982200000000006</v>
      </c>
      <c r="M644" s="262">
        <f t="shared" si="80"/>
        <v>5.6602655999999998</v>
      </c>
      <c r="N644" s="117">
        <f t="shared" si="82"/>
        <v>6.8998637664000002</v>
      </c>
      <c r="O644" s="45">
        <f t="shared" si="81"/>
        <v>0.49714799174375579</v>
      </c>
    </row>
    <row r="645" spans="1:15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95">
        <f t="shared" si="76"/>
        <v>488.9</v>
      </c>
      <c r="G645" s="738">
        <v>228</v>
      </c>
      <c r="H645" s="740">
        <v>137</v>
      </c>
      <c r="I645" s="72">
        <f t="shared" si="79"/>
        <v>4.5666666666666668E-2</v>
      </c>
      <c r="J645" s="37">
        <f t="shared" si="78"/>
        <v>92.110123333333334</v>
      </c>
      <c r="K645" s="96">
        <f t="shared" si="77"/>
        <v>33.868892349666666</v>
      </c>
      <c r="L645" s="37">
        <v>42.697420000000008</v>
      </c>
      <c r="M645" s="262">
        <f t="shared" si="80"/>
        <v>4.5615081600000007</v>
      </c>
      <c r="N645" s="117">
        <f t="shared" si="82"/>
        <v>5.5604784470400013</v>
      </c>
      <c r="O645" s="45">
        <f t="shared" si="81"/>
        <v>0.35434228644508081</v>
      </c>
    </row>
    <row r="646" spans="1:15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95">
        <f t="shared" si="76"/>
        <v>540.1</v>
      </c>
      <c r="G646" s="738">
        <v>227</v>
      </c>
      <c r="H646" s="740">
        <v>130</v>
      </c>
      <c r="I646" s="72">
        <f t="shared" si="79"/>
        <v>4.3333333333333335E-2</v>
      </c>
      <c r="J646" s="37">
        <f t="shared" si="78"/>
        <v>87.403766666666669</v>
      </c>
      <c r="K646" s="96">
        <f t="shared" si="77"/>
        <v>32.138365003333334</v>
      </c>
      <c r="L646" s="37">
        <v>40.515800000000013</v>
      </c>
      <c r="M646" s="262">
        <f t="shared" si="80"/>
        <v>4.3284384000000005</v>
      </c>
      <c r="N646" s="117">
        <f t="shared" si="82"/>
        <v>5.2763664096000014</v>
      </c>
      <c r="O646" s="45">
        <f t="shared" si="81"/>
        <v>0.30436284034438071</v>
      </c>
    </row>
    <row r="647" spans="1:15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95">
        <f t="shared" si="76"/>
        <v>236.8</v>
      </c>
      <c r="G647" s="738">
        <v>155</v>
      </c>
      <c r="H647" s="740">
        <v>110</v>
      </c>
      <c r="I647" s="72">
        <f t="shared" si="79"/>
        <v>3.6666666666666667E-2</v>
      </c>
      <c r="J647" s="37">
        <f t="shared" si="78"/>
        <v>73.957033333333328</v>
      </c>
      <c r="K647" s="96">
        <f t="shared" si="77"/>
        <v>27.194001156666666</v>
      </c>
      <c r="L647" s="37">
        <v>34.282600000000009</v>
      </c>
      <c r="M647" s="262">
        <f t="shared" si="80"/>
        <v>3.6625248000000004</v>
      </c>
      <c r="N647" s="117">
        <f t="shared" si="82"/>
        <v>4.4646177312000006</v>
      </c>
      <c r="O647" s="45">
        <f t="shared" si="81"/>
        <v>0.58739932132601347</v>
      </c>
    </row>
    <row r="648" spans="1:15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95">
        <f t="shared" si="76"/>
        <v>375.5</v>
      </c>
      <c r="G648" s="738">
        <v>245</v>
      </c>
      <c r="H648" s="740">
        <v>170</v>
      </c>
      <c r="I648" s="72">
        <f t="shared" si="79"/>
        <v>5.6666666666666664E-2</v>
      </c>
      <c r="J648" s="37">
        <f t="shared" si="78"/>
        <v>114.29723333333332</v>
      </c>
      <c r="K648" s="96">
        <f t="shared" si="77"/>
        <v>42.027092696666664</v>
      </c>
      <c r="L648" s="37">
        <v>52.982200000000006</v>
      </c>
      <c r="M648" s="262">
        <f t="shared" si="80"/>
        <v>5.6602655999999998</v>
      </c>
      <c r="N648" s="117">
        <f t="shared" si="82"/>
        <v>6.8998637664000002</v>
      </c>
      <c r="O648" s="45">
        <f t="shared" si="81"/>
        <v>0.57248146905459385</v>
      </c>
    </row>
    <row r="649" spans="1:15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95">
        <f t="shared" si="76"/>
        <v>618.54</v>
      </c>
      <c r="G649" s="738">
        <v>360</v>
      </c>
      <c r="H649" s="740">
        <v>270</v>
      </c>
      <c r="I649" s="72">
        <f t="shared" si="79"/>
        <v>0.09</v>
      </c>
      <c r="J649" s="37">
        <f t="shared" si="78"/>
        <v>181.5309</v>
      </c>
      <c r="K649" s="96">
        <f t="shared" si="77"/>
        <v>66.748911930000006</v>
      </c>
      <c r="L649" s="37">
        <v>42.074099999999994</v>
      </c>
      <c r="M649" s="262">
        <f t="shared" si="80"/>
        <v>8.9898336000000025</v>
      </c>
      <c r="N649" s="117">
        <f t="shared" si="82"/>
        <v>10.958607158400003</v>
      </c>
      <c r="O649" s="45">
        <f t="shared" ref="O649:O655" si="83">(J649+K649+L649+M649)/C649</f>
        <v>0.5416613808808628</v>
      </c>
    </row>
    <row r="650" spans="1:15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95">
        <f t="shared" si="76"/>
        <v>473.5</v>
      </c>
      <c r="G650" s="738">
        <v>234</v>
      </c>
      <c r="H650" s="740">
        <v>155</v>
      </c>
      <c r="I650" s="72">
        <f t="shared" si="79"/>
        <v>5.1666666666666666E-2</v>
      </c>
      <c r="J650" s="37">
        <f t="shared" si="78"/>
        <v>104.21218333333333</v>
      </c>
      <c r="K650" s="96">
        <f t="shared" si="77"/>
        <v>38.318819811666671</v>
      </c>
      <c r="L650" s="37">
        <v>48.307300000000005</v>
      </c>
      <c r="M650" s="262">
        <f t="shared" si="80"/>
        <v>5.1608304000000009</v>
      </c>
      <c r="N650" s="117">
        <f t="shared" si="82"/>
        <v>6.2910522576000014</v>
      </c>
      <c r="O650" s="45">
        <f t="shared" si="83"/>
        <v>0.41393692406546989</v>
      </c>
    </row>
    <row r="651" spans="1:15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95">
        <f t="shared" si="76"/>
        <v>281.8</v>
      </c>
      <c r="G651" s="738">
        <v>180</v>
      </c>
      <c r="H651" s="740">
        <v>130</v>
      </c>
      <c r="I651" s="72">
        <f t="shared" si="79"/>
        <v>4.3333333333333335E-2</v>
      </c>
      <c r="J651" s="37">
        <f t="shared" si="78"/>
        <v>87.403766666666669</v>
      </c>
      <c r="K651" s="96">
        <f t="shared" si="77"/>
        <v>32.138365003333334</v>
      </c>
      <c r="L651" s="37">
        <v>40.515800000000013</v>
      </c>
      <c r="M651" s="262">
        <f t="shared" si="80"/>
        <v>4.3284384000000005</v>
      </c>
      <c r="N651" s="117">
        <f t="shared" si="82"/>
        <v>5.2763664096000014</v>
      </c>
      <c r="O651" s="45">
        <f t="shared" si="83"/>
        <v>0.5833441095457772</v>
      </c>
    </row>
    <row r="652" spans="1:15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95">
        <f t="shared" si="76"/>
        <v>295.89999999999998</v>
      </c>
      <c r="G652" s="738">
        <v>120</v>
      </c>
      <c r="H652" s="740">
        <v>100</v>
      </c>
      <c r="I652" s="72">
        <f t="shared" si="79"/>
        <v>3.3333333333333333E-2</v>
      </c>
      <c r="J652" s="37">
        <f t="shared" si="78"/>
        <v>67.233666666666664</v>
      </c>
      <c r="K652" s="96">
        <f t="shared" si="77"/>
        <v>24.721819233333335</v>
      </c>
      <c r="L652" s="37">
        <v>31.166</v>
      </c>
      <c r="M652" s="262">
        <f t="shared" si="80"/>
        <v>3.3295680000000005</v>
      </c>
      <c r="N652" s="117">
        <f t="shared" si="82"/>
        <v>4.0587433920000011</v>
      </c>
      <c r="O652" s="45">
        <f t="shared" si="83"/>
        <v>0.42734387935113216</v>
      </c>
    </row>
    <row r="653" spans="1:15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95">
        <f t="shared" si="76"/>
        <v>346.1</v>
      </c>
      <c r="G653" s="738">
        <v>229</v>
      </c>
      <c r="H653" s="740">
        <v>170</v>
      </c>
      <c r="I653" s="72">
        <f t="shared" si="79"/>
        <v>5.6666666666666664E-2</v>
      </c>
      <c r="J653" s="37">
        <f t="shared" si="78"/>
        <v>114.29723333333332</v>
      </c>
      <c r="K653" s="96">
        <f t="shared" si="77"/>
        <v>42.027092696666664</v>
      </c>
      <c r="L653" s="37">
        <v>52.982200000000006</v>
      </c>
      <c r="M653" s="262">
        <f t="shared" si="80"/>
        <v>5.6602655999999998</v>
      </c>
      <c r="N653" s="117">
        <f t="shared" si="82"/>
        <v>6.8998637664000002</v>
      </c>
      <c r="O653" s="45">
        <f t="shared" si="83"/>
        <v>0.62111179321005483</v>
      </c>
    </row>
    <row r="654" spans="1:15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95">
        <f t="shared" ref="F654:F716" si="84">C654+D654+E654</f>
        <v>665.4</v>
      </c>
      <c r="G654" s="738">
        <v>308</v>
      </c>
      <c r="H654" s="740">
        <v>180</v>
      </c>
      <c r="I654" s="72">
        <f t="shared" si="79"/>
        <v>0.06</v>
      </c>
      <c r="J654" s="37">
        <f t="shared" si="78"/>
        <v>121.0206</v>
      </c>
      <c r="K654" s="96">
        <f t="shared" si="77"/>
        <v>44.499274620000001</v>
      </c>
      <c r="L654" s="37">
        <v>42.074099999999994</v>
      </c>
      <c r="M654" s="262">
        <f t="shared" si="80"/>
        <v>5.9932223999999996</v>
      </c>
      <c r="N654" s="117">
        <f t="shared" si="82"/>
        <v>7.3057381055999997</v>
      </c>
      <c r="O654" s="45">
        <f t="shared" si="83"/>
        <v>0.3377406657495256</v>
      </c>
    </row>
    <row r="655" spans="1:15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95">
        <f t="shared" si="84"/>
        <v>415.51</v>
      </c>
      <c r="G655" s="738">
        <v>152</v>
      </c>
      <c r="H655" s="740">
        <v>60</v>
      </c>
      <c r="I655" s="72">
        <f t="shared" si="79"/>
        <v>0.02</v>
      </c>
      <c r="J655" s="37">
        <f t="shared" si="78"/>
        <v>40.340200000000003</v>
      </c>
      <c r="K655" s="96">
        <f t="shared" si="77"/>
        <v>14.833091540000002</v>
      </c>
      <c r="L655" s="37">
        <v>18.699600000000004</v>
      </c>
      <c r="M655" s="262">
        <f t="shared" si="80"/>
        <v>1.9977408000000003</v>
      </c>
      <c r="N655" s="117">
        <f t="shared" si="82"/>
        <v>2.4352460352000005</v>
      </c>
      <c r="O655" s="45">
        <f t="shared" si="83"/>
        <v>0.18259640523693776</v>
      </c>
    </row>
    <row r="656" spans="1:15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95">
        <f t="shared" si="84"/>
        <v>1654.8</v>
      </c>
      <c r="G656" s="738">
        <v>900</v>
      </c>
      <c r="H656" s="861">
        <v>720</v>
      </c>
      <c r="I656" s="72">
        <f t="shared" si="79"/>
        <v>0.24</v>
      </c>
      <c r="J656" s="37">
        <f t="shared" si="78"/>
        <v>484.08240000000001</v>
      </c>
      <c r="K656" s="96">
        <f t="shared" ref="K656:K718" si="85">J656*0.3677</f>
        <v>177.99709848000001</v>
      </c>
      <c r="L656" s="37">
        <v>112.19760000000001</v>
      </c>
      <c r="M656" s="262">
        <f t="shared" si="80"/>
        <v>23.972889599999998</v>
      </c>
      <c r="N656" s="117">
        <f t="shared" si="82"/>
        <v>29.222952422399999</v>
      </c>
      <c r="O656" s="45">
        <f>(J656+K656+L656+M656)/C656</f>
        <v>0.52997609087770547</v>
      </c>
    </row>
    <row r="657" spans="1:15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95">
        <f t="shared" si="84"/>
        <v>3220.9</v>
      </c>
      <c r="G657" s="738">
        <v>2140</v>
      </c>
      <c r="H657" s="861">
        <v>1880</v>
      </c>
      <c r="I657" s="72">
        <f t="shared" si="79"/>
        <v>0.62666666666666671</v>
      </c>
      <c r="J657" s="37">
        <f t="shared" si="78"/>
        <v>1263.9929333333334</v>
      </c>
      <c r="K657" s="96">
        <f t="shared" si="85"/>
        <v>464.77020158666676</v>
      </c>
      <c r="L657" s="37">
        <v>292.96040000000005</v>
      </c>
      <c r="M657" s="262">
        <f t="shared" si="80"/>
        <v>62.595878400000011</v>
      </c>
      <c r="N657" s="117">
        <f t="shared" si="82"/>
        <v>76.304375769600014</v>
      </c>
      <c r="O657" s="45">
        <f>(J657+K657+L657+M657)/C657</f>
        <v>0.64712329265733182</v>
      </c>
    </row>
    <row r="658" spans="1:15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95">
        <f t="shared" si="84"/>
        <v>3593.47</v>
      </c>
      <c r="G658" s="738">
        <v>2335</v>
      </c>
      <c r="H658" s="861">
        <v>2255</v>
      </c>
      <c r="I658" s="72">
        <f t="shared" si="79"/>
        <v>0.75166666666666671</v>
      </c>
      <c r="J658" s="37">
        <f t="shared" si="78"/>
        <v>1516.1191833333335</v>
      </c>
      <c r="K658" s="96">
        <f t="shared" si="85"/>
        <v>557.47702371166679</v>
      </c>
      <c r="L658" s="37">
        <v>351.39665000000002</v>
      </c>
      <c r="M658" s="262">
        <f t="shared" si="80"/>
        <v>75.081758400000012</v>
      </c>
      <c r="N658" s="117">
        <f t="shared" si="82"/>
        <v>91.524663489600016</v>
      </c>
      <c r="O658" s="45">
        <f>(J658+K658+L658+M658)/C658</f>
        <v>0.69572714269076985</v>
      </c>
    </row>
    <row r="659" spans="1:15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95">
        <f t="shared" si="84"/>
        <v>5258.9</v>
      </c>
      <c r="G659" s="738">
        <v>1966</v>
      </c>
      <c r="H659" s="740">
        <v>1966</v>
      </c>
      <c r="I659" s="72">
        <f t="shared" si="79"/>
        <v>0.65533333333333332</v>
      </c>
      <c r="J659" s="37">
        <f t="shared" si="78"/>
        <v>1321.8138866666666</v>
      </c>
      <c r="K659" s="96">
        <f t="shared" si="85"/>
        <v>486.03096612733333</v>
      </c>
      <c r="L659" s="37">
        <v>612.72356000000002</v>
      </c>
      <c r="M659" s="262">
        <f t="shared" si="80"/>
        <v>65.45930688</v>
      </c>
      <c r="N659" s="117">
        <f t="shared" si="82"/>
        <v>79.794895086720004</v>
      </c>
      <c r="O659" s="45">
        <f>(J659+K659+L659+M659)/C659</f>
        <v>0.47272770345015119</v>
      </c>
    </row>
    <row r="660" spans="1:15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95">
        <f t="shared" si="84"/>
        <v>3743.95</v>
      </c>
      <c r="G660" s="738">
        <v>2445</v>
      </c>
      <c r="H660" s="861">
        <v>2245</v>
      </c>
      <c r="I660" s="72">
        <f t="shared" si="79"/>
        <v>0.74833333333333329</v>
      </c>
      <c r="J660" s="37">
        <f t="shared" si="78"/>
        <v>1509.3958166666666</v>
      </c>
      <c r="K660" s="96">
        <f t="shared" si="85"/>
        <v>555.00484178833335</v>
      </c>
      <c r="L660" s="37">
        <v>349.83835000000005</v>
      </c>
      <c r="M660" s="262">
        <f t="shared" si="80"/>
        <v>74.748801600000007</v>
      </c>
      <c r="N660" s="117">
        <f t="shared" si="82"/>
        <v>91.118789150400019</v>
      </c>
      <c r="O660" s="45">
        <f>(J660+K660+L660+M660)/C660</f>
        <v>0.66480263092589376</v>
      </c>
    </row>
    <row r="661" spans="1:15" s="969" customFormat="1" ht="15.75">
      <c r="A661" s="958">
        <v>125</v>
      </c>
      <c r="B661" s="972" t="s">
        <v>1137</v>
      </c>
      <c r="C661" s="971">
        <v>3126.07</v>
      </c>
      <c r="D661" s="971"/>
      <c r="E661" s="971">
        <v>59.5</v>
      </c>
      <c r="F661" s="961">
        <f t="shared" si="84"/>
        <v>3185.57</v>
      </c>
      <c r="G661" s="962">
        <v>2070</v>
      </c>
      <c r="H661" s="973">
        <v>1970</v>
      </c>
      <c r="I661" s="964">
        <f t="shared" si="79"/>
        <v>0.65666666666666662</v>
      </c>
      <c r="J661" s="965">
        <f t="shared" si="78"/>
        <v>1324.5032333333331</v>
      </c>
      <c r="K661" s="966">
        <f t="shared" si="85"/>
        <v>487.01983889666661</v>
      </c>
      <c r="L661" s="965">
        <v>306.98510000000005</v>
      </c>
      <c r="M661" s="966">
        <f t="shared" si="80"/>
        <v>65.592489599999993</v>
      </c>
      <c r="N661" s="967">
        <f t="shared" si="82"/>
        <v>79.9572448224</v>
      </c>
      <c r="O661" s="968">
        <f>(J661+K661+L661+M661)/F661</f>
        <v>0.68562318888927243</v>
      </c>
    </row>
    <row r="662" spans="1:15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95">
        <f t="shared" si="84"/>
        <v>272.89999999999998</v>
      </c>
      <c r="G662" s="738">
        <v>180</v>
      </c>
      <c r="H662" s="740">
        <v>130</v>
      </c>
      <c r="I662" s="72">
        <f t="shared" si="79"/>
        <v>4.3333333333333335E-2</v>
      </c>
      <c r="J662" s="37">
        <f t="shared" si="78"/>
        <v>87.403766666666669</v>
      </c>
      <c r="K662" s="96">
        <f t="shared" si="85"/>
        <v>32.138365003333334</v>
      </c>
      <c r="L662" s="37">
        <v>40.515800000000013</v>
      </c>
      <c r="M662" s="262">
        <f t="shared" si="80"/>
        <v>4.3284384000000005</v>
      </c>
      <c r="N662" s="117">
        <f t="shared" si="82"/>
        <v>5.2763664096000014</v>
      </c>
      <c r="O662" s="45">
        <f t="shared" si="81"/>
        <v>0.60236852352510095</v>
      </c>
    </row>
    <row r="663" spans="1:15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95">
        <f t="shared" si="84"/>
        <v>604.1</v>
      </c>
      <c r="G663" s="738">
        <v>174</v>
      </c>
      <c r="H663" s="740">
        <v>115</v>
      </c>
      <c r="I663" s="72">
        <f t="shared" si="79"/>
        <v>3.833333333333333E-2</v>
      </c>
      <c r="J663" s="37">
        <f t="shared" si="78"/>
        <v>77.31871666666666</v>
      </c>
      <c r="K663" s="96">
        <f t="shared" si="85"/>
        <v>28.430092118333334</v>
      </c>
      <c r="L663" s="37">
        <v>35.840900000000005</v>
      </c>
      <c r="M663" s="262">
        <f t="shared" si="80"/>
        <v>3.8290032000000003</v>
      </c>
      <c r="N663" s="117">
        <f t="shared" si="82"/>
        <v>4.6675549008000008</v>
      </c>
      <c r="O663" s="45">
        <f t="shared" si="81"/>
        <v>0.24071960268995196</v>
      </c>
    </row>
    <row r="664" spans="1:15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95">
        <f t="shared" si="84"/>
        <v>464.8</v>
      </c>
      <c r="G664" s="738">
        <v>300</v>
      </c>
      <c r="H664" s="740">
        <v>200</v>
      </c>
      <c r="I664" s="72">
        <f t="shared" si="79"/>
        <v>6.6666666666666666E-2</v>
      </c>
      <c r="J664" s="37">
        <f t="shared" si="78"/>
        <v>134.46733333333333</v>
      </c>
      <c r="K664" s="96">
        <f t="shared" si="85"/>
        <v>49.44363846666667</v>
      </c>
      <c r="L664" s="37">
        <v>62.332000000000001</v>
      </c>
      <c r="M664" s="262">
        <f t="shared" si="80"/>
        <v>6.6591360000000011</v>
      </c>
      <c r="N664" s="117">
        <f t="shared" si="82"/>
        <v>8.1174867840000022</v>
      </c>
      <c r="O664" s="45">
        <f t="shared" si="81"/>
        <v>0.54410952624784847</v>
      </c>
    </row>
    <row r="665" spans="1:15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95">
        <f t="shared" si="84"/>
        <v>83.39</v>
      </c>
      <c r="G665" s="738">
        <v>20</v>
      </c>
      <c r="H665" s="740">
        <v>20</v>
      </c>
      <c r="I665" s="72">
        <f t="shared" si="79"/>
        <v>6.6666666666666671E-3</v>
      </c>
      <c r="J665" s="37">
        <f t="shared" ref="J665:J728" si="86">I665*2017.01</f>
        <v>13.446733333333334</v>
      </c>
      <c r="K665" s="96">
        <f t="shared" si="85"/>
        <v>4.9443638466666675</v>
      </c>
      <c r="L665" s="37">
        <v>6.233200000000001</v>
      </c>
      <c r="M665" s="262">
        <f t="shared" si="80"/>
        <v>0.66591360000000011</v>
      </c>
      <c r="N665" s="117">
        <f t="shared" si="82"/>
        <v>0.8117486784000002</v>
      </c>
      <c r="O665" s="45">
        <f t="shared" si="81"/>
        <v>0.30327630147499701</v>
      </c>
    </row>
    <row r="666" spans="1:15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95">
        <f t="shared" si="84"/>
        <v>489.6</v>
      </c>
      <c r="G666" s="738">
        <v>176</v>
      </c>
      <c r="H666" s="740">
        <v>132</v>
      </c>
      <c r="I666" s="72">
        <f t="shared" ref="I666:I729" si="87">H666/3000</f>
        <v>4.3999999999999997E-2</v>
      </c>
      <c r="J666" s="37">
        <f t="shared" si="86"/>
        <v>88.748439999999988</v>
      </c>
      <c r="K666" s="96">
        <f t="shared" si="85"/>
        <v>32.632801387999997</v>
      </c>
      <c r="L666" s="37">
        <v>41.139119999999998</v>
      </c>
      <c r="M666" s="262">
        <f t="shared" ref="M666:M729" si="88">I666*84.08*1.1*1.08</f>
        <v>4.3950297600000008</v>
      </c>
      <c r="N666" s="117">
        <f t="shared" si="82"/>
        <v>5.3575412774400011</v>
      </c>
      <c r="O666" s="45">
        <f t="shared" ref="O666:O726" si="89">(J666+K666+L666+M666)/C666</f>
        <v>0.3409219590441176</v>
      </c>
    </row>
    <row r="667" spans="1:15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95">
        <f t="shared" si="84"/>
        <v>127.92</v>
      </c>
      <c r="G667" s="738">
        <v>75</v>
      </c>
      <c r="H667" s="740">
        <v>53</v>
      </c>
      <c r="I667" s="72">
        <f t="shared" si="87"/>
        <v>1.7666666666666667E-2</v>
      </c>
      <c r="J667" s="37">
        <f t="shared" si="86"/>
        <v>35.633843333333331</v>
      </c>
      <c r="K667" s="96">
        <f t="shared" si="85"/>
        <v>13.102564193666668</v>
      </c>
      <c r="L667" s="37">
        <v>16.517980000000001</v>
      </c>
      <c r="M667" s="262">
        <f t="shared" si="88"/>
        <v>1.7646710400000001</v>
      </c>
      <c r="N667" s="117">
        <f t="shared" si="82"/>
        <v>2.1511339977600001</v>
      </c>
      <c r="O667" s="45">
        <f t="shared" si="89"/>
        <v>0.52391384120544093</v>
      </c>
    </row>
    <row r="668" spans="1:15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95">
        <f t="shared" si="84"/>
        <v>129.1</v>
      </c>
      <c r="G668" s="738">
        <v>75</v>
      </c>
      <c r="H668" s="740">
        <v>60</v>
      </c>
      <c r="I668" s="72">
        <f t="shared" si="87"/>
        <v>0.02</v>
      </c>
      <c r="J668" s="37">
        <f t="shared" si="86"/>
        <v>40.340200000000003</v>
      </c>
      <c r="K668" s="96">
        <f t="shared" si="85"/>
        <v>14.833091540000002</v>
      </c>
      <c r="L668" s="37">
        <v>18.699600000000004</v>
      </c>
      <c r="M668" s="262">
        <f t="shared" si="88"/>
        <v>1.9977408000000003</v>
      </c>
      <c r="N668" s="117">
        <f t="shared" si="82"/>
        <v>2.4352460352000005</v>
      </c>
      <c r="O668" s="45">
        <f t="shared" si="89"/>
        <v>0.58768886398140985</v>
      </c>
    </row>
    <row r="669" spans="1:15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95">
        <f t="shared" si="84"/>
        <v>136.4</v>
      </c>
      <c r="G669" s="738">
        <v>75</v>
      </c>
      <c r="H669" s="740">
        <v>65</v>
      </c>
      <c r="I669" s="72">
        <f t="shared" si="87"/>
        <v>2.1666666666666667E-2</v>
      </c>
      <c r="J669" s="37">
        <f t="shared" si="86"/>
        <v>43.701883333333335</v>
      </c>
      <c r="K669" s="96">
        <f t="shared" si="85"/>
        <v>16.069182501666667</v>
      </c>
      <c r="L669" s="37">
        <v>20.257900000000006</v>
      </c>
      <c r="M669" s="262">
        <f t="shared" si="88"/>
        <v>2.1642192000000002</v>
      </c>
      <c r="N669" s="117">
        <f t="shared" ref="N669:N732" si="90">M669*1.219</f>
        <v>2.6381832048000007</v>
      </c>
      <c r="O669" s="45">
        <f t="shared" si="89"/>
        <v>0.60258933310117313</v>
      </c>
    </row>
    <row r="670" spans="1:15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95">
        <f t="shared" si="84"/>
        <v>68.2</v>
      </c>
      <c r="G670" s="738">
        <v>40</v>
      </c>
      <c r="H670" s="740">
        <v>28</v>
      </c>
      <c r="I670" s="72">
        <f t="shared" si="87"/>
        <v>9.3333333333333341E-3</v>
      </c>
      <c r="J670" s="37">
        <f t="shared" si="86"/>
        <v>18.825426666666669</v>
      </c>
      <c r="K670" s="96">
        <f t="shared" si="85"/>
        <v>6.9221093853333349</v>
      </c>
      <c r="L670" s="37">
        <v>8.7264800000000022</v>
      </c>
      <c r="M670" s="262">
        <f t="shared" si="88"/>
        <v>0.93227904000000017</v>
      </c>
      <c r="N670" s="117">
        <f t="shared" si="90"/>
        <v>1.1364481497600003</v>
      </c>
      <c r="O670" s="45">
        <f t="shared" si="89"/>
        <v>0.51915388697947218</v>
      </c>
    </row>
    <row r="671" spans="1:15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95">
        <f t="shared" si="84"/>
        <v>117.1</v>
      </c>
      <c r="G671" s="738">
        <v>75</v>
      </c>
      <c r="H671" s="740">
        <v>58</v>
      </c>
      <c r="I671" s="72">
        <f t="shared" si="87"/>
        <v>1.9333333333333334E-2</v>
      </c>
      <c r="J671" s="37">
        <f t="shared" si="86"/>
        <v>38.99552666666667</v>
      </c>
      <c r="K671" s="96">
        <f t="shared" si="85"/>
        <v>14.338655155333337</v>
      </c>
      <c r="L671" s="37">
        <v>18.076280000000004</v>
      </c>
      <c r="M671" s="262">
        <f t="shared" si="88"/>
        <v>1.9311494400000004</v>
      </c>
      <c r="N671" s="117">
        <f t="shared" si="90"/>
        <v>2.3540711673600008</v>
      </c>
      <c r="O671" s="45">
        <f t="shared" si="89"/>
        <v>0.6263160654312554</v>
      </c>
    </row>
    <row r="672" spans="1:15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95">
        <f t="shared" si="84"/>
        <v>291.16000000000003</v>
      </c>
      <c r="G672" s="738">
        <v>190</v>
      </c>
      <c r="H672" s="740">
        <v>32.6</v>
      </c>
      <c r="I672" s="72">
        <f t="shared" si="87"/>
        <v>1.0866666666666667E-2</v>
      </c>
      <c r="J672" s="37">
        <f t="shared" si="86"/>
        <v>21.918175333333334</v>
      </c>
      <c r="K672" s="96">
        <f t="shared" si="85"/>
        <v>8.0593130700666666</v>
      </c>
      <c r="L672" s="37">
        <v>10.160116</v>
      </c>
      <c r="M672" s="262">
        <f t="shared" si="88"/>
        <v>1.0854391680000002</v>
      </c>
      <c r="N672" s="117">
        <f t="shared" si="90"/>
        <v>1.3231503457920004</v>
      </c>
      <c r="O672" s="45">
        <f t="shared" si="89"/>
        <v>0.14158209771740624</v>
      </c>
    </row>
    <row r="673" spans="1:15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95">
        <f t="shared" si="84"/>
        <v>455.20000000000005</v>
      </c>
      <c r="G673" s="738">
        <v>215</v>
      </c>
      <c r="H673" s="740">
        <v>62.4</v>
      </c>
      <c r="I673" s="72">
        <f t="shared" si="87"/>
        <v>2.0799999999999999E-2</v>
      </c>
      <c r="J673" s="37">
        <f t="shared" si="86"/>
        <v>41.953807999999995</v>
      </c>
      <c r="K673" s="96">
        <f t="shared" si="85"/>
        <v>15.426415201599999</v>
      </c>
      <c r="L673" s="37">
        <v>19.447583999999999</v>
      </c>
      <c r="M673" s="262">
        <f t="shared" si="88"/>
        <v>2.0776504320000004</v>
      </c>
      <c r="N673" s="117">
        <f t="shared" si="90"/>
        <v>2.5326558766080005</v>
      </c>
      <c r="O673" s="45">
        <f t="shared" si="89"/>
        <v>0.19971009271981774</v>
      </c>
    </row>
    <row r="674" spans="1:15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95">
        <f t="shared" si="84"/>
        <v>120</v>
      </c>
      <c r="G674" s="738">
        <v>80</v>
      </c>
      <c r="H674" s="740">
        <v>60</v>
      </c>
      <c r="I674" s="72">
        <f t="shared" si="87"/>
        <v>0.02</v>
      </c>
      <c r="J674" s="37">
        <f t="shared" si="86"/>
        <v>40.340200000000003</v>
      </c>
      <c r="K674" s="96">
        <f t="shared" si="85"/>
        <v>14.833091540000002</v>
      </c>
      <c r="L674" s="37">
        <v>18.699600000000004</v>
      </c>
      <c r="M674" s="262">
        <f t="shared" si="88"/>
        <v>1.9977408000000003</v>
      </c>
      <c r="N674" s="117">
        <f t="shared" si="90"/>
        <v>2.4352460352000005</v>
      </c>
      <c r="O674" s="45">
        <f t="shared" si="89"/>
        <v>0.63225526950000011</v>
      </c>
    </row>
    <row r="675" spans="1:15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95">
        <f t="shared" si="84"/>
        <v>390.8</v>
      </c>
      <c r="G675" s="738">
        <v>80</v>
      </c>
      <c r="H675" s="740">
        <v>70</v>
      </c>
      <c r="I675" s="72">
        <f t="shared" si="87"/>
        <v>2.3333333333333334E-2</v>
      </c>
      <c r="J675" s="37">
        <f t="shared" si="86"/>
        <v>47.063566666666667</v>
      </c>
      <c r="K675" s="96">
        <f t="shared" si="85"/>
        <v>17.305273463333336</v>
      </c>
      <c r="L675" s="37">
        <v>21.816200000000006</v>
      </c>
      <c r="M675" s="262">
        <f t="shared" si="88"/>
        <v>2.3306976000000006</v>
      </c>
      <c r="N675" s="117">
        <f t="shared" si="90"/>
        <v>2.8411203744000009</v>
      </c>
      <c r="O675" s="45">
        <f t="shared" si="89"/>
        <v>0.22649881711873082</v>
      </c>
    </row>
    <row r="676" spans="1:15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95">
        <f t="shared" si="84"/>
        <v>105.1</v>
      </c>
      <c r="G676" s="738">
        <v>65</v>
      </c>
      <c r="H676" s="740">
        <v>49</v>
      </c>
      <c r="I676" s="72">
        <f t="shared" si="87"/>
        <v>1.6333333333333332E-2</v>
      </c>
      <c r="J676" s="37">
        <f t="shared" si="86"/>
        <v>32.944496666666666</v>
      </c>
      <c r="K676" s="96">
        <f t="shared" si="85"/>
        <v>12.113691424333334</v>
      </c>
      <c r="L676" s="37">
        <v>15.271339999999999</v>
      </c>
      <c r="M676" s="262">
        <f t="shared" si="88"/>
        <v>1.6314883199999999</v>
      </c>
      <c r="N676" s="117">
        <f t="shared" si="90"/>
        <v>1.98878426208</v>
      </c>
      <c r="O676" s="45">
        <f t="shared" si="89"/>
        <v>0.58954344824928651</v>
      </c>
    </row>
    <row r="677" spans="1:15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95">
        <f t="shared" si="84"/>
        <v>168.5</v>
      </c>
      <c r="G677" s="738">
        <v>90</v>
      </c>
      <c r="H677" s="740">
        <v>63</v>
      </c>
      <c r="I677" s="72">
        <f t="shared" si="87"/>
        <v>2.1000000000000001E-2</v>
      </c>
      <c r="J677" s="37">
        <f t="shared" si="86"/>
        <v>42.357210000000002</v>
      </c>
      <c r="K677" s="96">
        <f t="shared" si="85"/>
        <v>15.574746117000002</v>
      </c>
      <c r="L677" s="37">
        <v>19.634580000000003</v>
      </c>
      <c r="M677" s="262">
        <f t="shared" si="88"/>
        <v>2.0976278400000008</v>
      </c>
      <c r="N677" s="117">
        <f t="shared" si="90"/>
        <v>2.557008336960001</v>
      </c>
      <c r="O677" s="45">
        <f t="shared" si="89"/>
        <v>0.47278435582789324</v>
      </c>
    </row>
    <row r="678" spans="1:15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95">
        <f t="shared" si="84"/>
        <v>73.3</v>
      </c>
      <c r="G678" s="738">
        <v>48</v>
      </c>
      <c r="H678" s="740">
        <v>33</v>
      </c>
      <c r="I678" s="72">
        <f t="shared" si="87"/>
        <v>1.0999999999999999E-2</v>
      </c>
      <c r="J678" s="37">
        <f t="shared" si="86"/>
        <v>22.187109999999997</v>
      </c>
      <c r="K678" s="96">
        <f t="shared" si="85"/>
        <v>8.1582003469999993</v>
      </c>
      <c r="L678" s="37">
        <v>10.28478</v>
      </c>
      <c r="M678" s="262">
        <f t="shared" si="88"/>
        <v>1.0987574400000002</v>
      </c>
      <c r="N678" s="117">
        <f t="shared" si="90"/>
        <v>1.3393853193600003</v>
      </c>
      <c r="O678" s="45">
        <f t="shared" si="89"/>
        <v>0.56928851005457015</v>
      </c>
    </row>
    <row r="679" spans="1:15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95">
        <f t="shared" si="84"/>
        <v>87.3</v>
      </c>
      <c r="G679" s="738">
        <v>16</v>
      </c>
      <c r="H679" s="740">
        <v>10</v>
      </c>
      <c r="I679" s="72">
        <f t="shared" si="87"/>
        <v>3.3333333333333335E-3</v>
      </c>
      <c r="J679" s="37">
        <f t="shared" si="86"/>
        <v>6.7233666666666672</v>
      </c>
      <c r="K679" s="96">
        <f t="shared" si="85"/>
        <v>2.4721819233333338</v>
      </c>
      <c r="L679" s="37">
        <v>3.1166000000000005</v>
      </c>
      <c r="M679" s="262">
        <f t="shared" si="88"/>
        <v>0.33295680000000005</v>
      </c>
      <c r="N679" s="117">
        <f t="shared" si="90"/>
        <v>0.4058743392000001</v>
      </c>
      <c r="O679" s="45">
        <f t="shared" si="89"/>
        <v>0.14484656804123713</v>
      </c>
    </row>
    <row r="680" spans="1:15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95">
        <f t="shared" si="84"/>
        <v>227.3</v>
      </c>
      <c r="G680" s="738">
        <v>150</v>
      </c>
      <c r="H680" s="740">
        <v>105</v>
      </c>
      <c r="I680" s="72">
        <f t="shared" si="87"/>
        <v>3.5000000000000003E-2</v>
      </c>
      <c r="J680" s="37">
        <f t="shared" si="86"/>
        <v>70.59535000000001</v>
      </c>
      <c r="K680" s="96">
        <f t="shared" si="85"/>
        <v>25.957910195000007</v>
      </c>
      <c r="L680" s="37">
        <v>32.724300000000007</v>
      </c>
      <c r="M680" s="262">
        <f t="shared" si="88"/>
        <v>3.4960464000000004</v>
      </c>
      <c r="N680" s="117">
        <f t="shared" si="90"/>
        <v>4.2616805616000004</v>
      </c>
      <c r="O680" s="45">
        <f t="shared" si="89"/>
        <v>0.58413377296524438</v>
      </c>
    </row>
    <row r="681" spans="1:15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95">
        <f t="shared" si="84"/>
        <v>53.5</v>
      </c>
      <c r="G681" s="738">
        <v>10</v>
      </c>
      <c r="H681" s="740">
        <v>7</v>
      </c>
      <c r="I681" s="72">
        <f t="shared" si="87"/>
        <v>2.3333333333333335E-3</v>
      </c>
      <c r="J681" s="37">
        <f t="shared" si="86"/>
        <v>4.7063566666666672</v>
      </c>
      <c r="K681" s="96">
        <f t="shared" si="85"/>
        <v>1.7305273463333337</v>
      </c>
      <c r="L681" s="37">
        <v>2.1816200000000006</v>
      </c>
      <c r="M681" s="262">
        <f t="shared" si="88"/>
        <v>0.23306976000000004</v>
      </c>
      <c r="N681" s="117">
        <f t="shared" si="90"/>
        <v>0.28411203744000008</v>
      </c>
      <c r="O681" s="45">
        <f t="shared" si="89"/>
        <v>0.16544997706542058</v>
      </c>
    </row>
    <row r="682" spans="1:15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95">
        <f t="shared" si="84"/>
        <v>1851.82</v>
      </c>
      <c r="G682" s="738">
        <v>1043</v>
      </c>
      <c r="H682" s="740">
        <v>868</v>
      </c>
      <c r="I682" s="72">
        <f t="shared" si="87"/>
        <v>0.28933333333333333</v>
      </c>
      <c r="J682" s="37">
        <f t="shared" si="86"/>
        <v>583.58822666666663</v>
      </c>
      <c r="K682" s="96">
        <f t="shared" si="85"/>
        <v>214.58539094533333</v>
      </c>
      <c r="L682" s="37">
        <v>270.52088000000003</v>
      </c>
      <c r="M682" s="262">
        <f t="shared" si="88"/>
        <v>28.900650240000004</v>
      </c>
      <c r="N682" s="117">
        <f t="shared" si="90"/>
        <v>35.22989264256001</v>
      </c>
      <c r="O682" s="45">
        <f t="shared" si="89"/>
        <v>0.59271157447916101</v>
      </c>
    </row>
    <row r="683" spans="1:15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95">
        <f t="shared" si="84"/>
        <v>933.25</v>
      </c>
      <c r="G683" s="738">
        <v>590</v>
      </c>
      <c r="H683" s="740">
        <v>405</v>
      </c>
      <c r="I683" s="72">
        <f t="shared" si="87"/>
        <v>0.13500000000000001</v>
      </c>
      <c r="J683" s="37">
        <f t="shared" si="86"/>
        <v>272.29635000000002</v>
      </c>
      <c r="K683" s="96">
        <f t="shared" si="85"/>
        <v>100.12336789500002</v>
      </c>
      <c r="L683" s="37">
        <v>126.22230000000003</v>
      </c>
      <c r="M683" s="262">
        <f t="shared" si="88"/>
        <v>13.484750400000003</v>
      </c>
      <c r="N683" s="117">
        <f t="shared" si="90"/>
        <v>16.437910737600006</v>
      </c>
      <c r="O683" s="45">
        <f t="shared" si="89"/>
        <v>0.54875624783819987</v>
      </c>
    </row>
    <row r="684" spans="1:15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95">
        <f t="shared" si="84"/>
        <v>1158.5</v>
      </c>
      <c r="G684" s="738">
        <v>552</v>
      </c>
      <c r="H684" s="740">
        <v>552</v>
      </c>
      <c r="I684" s="72">
        <f t="shared" si="87"/>
        <v>0.184</v>
      </c>
      <c r="J684" s="37">
        <f t="shared" si="86"/>
        <v>371.12984</v>
      </c>
      <c r="K684" s="96">
        <f t="shared" si="85"/>
        <v>136.46444216800001</v>
      </c>
      <c r="L684" s="37">
        <v>172.03632000000002</v>
      </c>
      <c r="M684" s="262">
        <f t="shared" si="88"/>
        <v>18.37921536</v>
      </c>
      <c r="N684" s="117">
        <f t="shared" si="90"/>
        <v>22.404263523840001</v>
      </c>
      <c r="O684" s="45">
        <f t="shared" si="89"/>
        <v>0.60251171128873537</v>
      </c>
    </row>
    <row r="685" spans="1:15" s="263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261">
        <f t="shared" si="84"/>
        <v>3775.6499999999996</v>
      </c>
      <c r="G685" s="860">
        <v>1758</v>
      </c>
      <c r="H685" s="862">
        <v>1420</v>
      </c>
      <c r="I685" s="72">
        <f t="shared" si="87"/>
        <v>0.47333333333333333</v>
      </c>
      <c r="J685" s="37">
        <f t="shared" si="86"/>
        <v>954.71806666666669</v>
      </c>
      <c r="K685" s="262">
        <f t="shared" si="85"/>
        <v>351.04983311333336</v>
      </c>
      <c r="L685" s="37">
        <v>221.27859999999998</v>
      </c>
      <c r="M685" s="262">
        <f t="shared" si="88"/>
        <v>47.279865600000001</v>
      </c>
      <c r="N685" s="117">
        <f t="shared" si="90"/>
        <v>57.634156166400004</v>
      </c>
      <c r="O685" s="45">
        <f t="shared" si="89"/>
        <v>0.42968008989751499</v>
      </c>
    </row>
    <row r="686" spans="1:15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95">
        <f t="shared" si="84"/>
        <v>79.3</v>
      </c>
      <c r="G686" s="738">
        <v>22</v>
      </c>
      <c r="H686" s="740">
        <v>20</v>
      </c>
      <c r="I686" s="72">
        <f t="shared" si="87"/>
        <v>6.6666666666666671E-3</v>
      </c>
      <c r="J686" s="37">
        <f t="shared" si="86"/>
        <v>13.446733333333334</v>
      </c>
      <c r="K686" s="96">
        <f t="shared" si="85"/>
        <v>4.9443638466666675</v>
      </c>
      <c r="L686" s="37">
        <v>6.233200000000001</v>
      </c>
      <c r="M686" s="262">
        <f t="shared" si="88"/>
        <v>0.66591360000000011</v>
      </c>
      <c r="N686" s="117">
        <f t="shared" si="90"/>
        <v>0.8117486784000002</v>
      </c>
      <c r="O686" s="45">
        <f t="shared" si="89"/>
        <v>0.31891816872635564</v>
      </c>
    </row>
    <row r="687" spans="1:15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95">
        <f t="shared" si="84"/>
        <v>377.9</v>
      </c>
      <c r="G687" s="738">
        <v>116</v>
      </c>
      <c r="H687" s="740">
        <v>81</v>
      </c>
      <c r="I687" s="72">
        <f t="shared" si="87"/>
        <v>2.7E-2</v>
      </c>
      <c r="J687" s="37">
        <f t="shared" si="86"/>
        <v>54.459269999999997</v>
      </c>
      <c r="K687" s="96">
        <f t="shared" si="85"/>
        <v>20.024673579000002</v>
      </c>
      <c r="L687" s="37">
        <v>25.244460000000004</v>
      </c>
      <c r="M687" s="262">
        <f t="shared" si="88"/>
        <v>2.6969500800000001</v>
      </c>
      <c r="N687" s="117">
        <f t="shared" si="90"/>
        <v>3.2875821475200002</v>
      </c>
      <c r="O687" s="45">
        <f t="shared" si="89"/>
        <v>0.27103824731145804</v>
      </c>
    </row>
    <row r="688" spans="1:15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95">
        <f t="shared" si="84"/>
        <v>86.1</v>
      </c>
      <c r="G688" s="738">
        <v>24</v>
      </c>
      <c r="H688" s="740">
        <v>15</v>
      </c>
      <c r="I688" s="72">
        <f t="shared" si="87"/>
        <v>5.0000000000000001E-3</v>
      </c>
      <c r="J688" s="37">
        <f t="shared" si="86"/>
        <v>10.085050000000001</v>
      </c>
      <c r="K688" s="96">
        <f t="shared" si="85"/>
        <v>3.7082728850000004</v>
      </c>
      <c r="L688" s="37">
        <v>4.6749000000000009</v>
      </c>
      <c r="M688" s="262">
        <f t="shared" si="88"/>
        <v>0.49943520000000008</v>
      </c>
      <c r="N688" s="117">
        <f t="shared" si="90"/>
        <v>0.60881150880000012</v>
      </c>
      <c r="O688" s="45">
        <f t="shared" si="89"/>
        <v>0.22029800331010457</v>
      </c>
    </row>
    <row r="689" spans="1:15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95">
        <f t="shared" si="84"/>
        <v>59.7</v>
      </c>
      <c r="G689" s="738">
        <v>0</v>
      </c>
      <c r="H689" s="740">
        <v>0</v>
      </c>
      <c r="I689" s="72">
        <f>H689/3000</f>
        <v>0</v>
      </c>
      <c r="J689" s="37">
        <f t="shared" si="86"/>
        <v>0</v>
      </c>
      <c r="K689" s="96">
        <f t="shared" si="85"/>
        <v>0</v>
      </c>
      <c r="L689" s="37">
        <v>0</v>
      </c>
      <c r="M689" s="262">
        <f t="shared" si="88"/>
        <v>0</v>
      </c>
      <c r="N689" s="117">
        <f t="shared" si="90"/>
        <v>0</v>
      </c>
      <c r="O689" s="45">
        <f t="shared" si="89"/>
        <v>0</v>
      </c>
    </row>
    <row r="690" spans="1:15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95">
        <f t="shared" si="84"/>
        <v>66.099999999999994</v>
      </c>
      <c r="G690" s="738">
        <v>20</v>
      </c>
      <c r="H690" s="740">
        <v>12</v>
      </c>
      <c r="I690" s="72">
        <f t="shared" si="87"/>
        <v>4.0000000000000001E-3</v>
      </c>
      <c r="J690" s="37">
        <f t="shared" si="86"/>
        <v>8.0680399999999999</v>
      </c>
      <c r="K690" s="96">
        <f t="shared" si="85"/>
        <v>2.9666183080000001</v>
      </c>
      <c r="L690" s="37">
        <v>3.7399200000000006</v>
      </c>
      <c r="M690" s="262">
        <f t="shared" si="88"/>
        <v>0.3995481600000001</v>
      </c>
      <c r="N690" s="117">
        <f t="shared" si="90"/>
        <v>0.48704920704000015</v>
      </c>
      <c r="O690" s="45">
        <f t="shared" si="89"/>
        <v>0.22956318408472018</v>
      </c>
    </row>
    <row r="691" spans="1:15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95">
        <f t="shared" si="84"/>
        <v>111.6</v>
      </c>
      <c r="G691" s="738">
        <v>24</v>
      </c>
      <c r="H691" s="740">
        <v>15</v>
      </c>
      <c r="I691" s="72">
        <f t="shared" si="87"/>
        <v>5.0000000000000001E-3</v>
      </c>
      <c r="J691" s="37">
        <f t="shared" si="86"/>
        <v>10.085050000000001</v>
      </c>
      <c r="K691" s="96">
        <f t="shared" si="85"/>
        <v>3.7082728850000004</v>
      </c>
      <c r="L691" s="37">
        <v>4.6749000000000009</v>
      </c>
      <c r="M691" s="262">
        <f t="shared" si="88"/>
        <v>0.49943520000000008</v>
      </c>
      <c r="N691" s="117">
        <f t="shared" si="90"/>
        <v>0.60881150880000012</v>
      </c>
      <c r="O691" s="45">
        <f t="shared" si="89"/>
        <v>0.16996109395161293</v>
      </c>
    </row>
    <row r="692" spans="1:15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95">
        <f t="shared" si="84"/>
        <v>119.2</v>
      </c>
      <c r="G692" s="738">
        <v>24</v>
      </c>
      <c r="H692" s="740">
        <v>17</v>
      </c>
      <c r="I692" s="72">
        <f t="shared" si="87"/>
        <v>5.6666666666666671E-3</v>
      </c>
      <c r="J692" s="37">
        <f t="shared" si="86"/>
        <v>11.429723333333333</v>
      </c>
      <c r="K692" s="96">
        <f t="shared" si="85"/>
        <v>4.2027092696666672</v>
      </c>
      <c r="L692" s="37">
        <v>5.2982200000000006</v>
      </c>
      <c r="M692" s="262">
        <f t="shared" si="88"/>
        <v>0.56602656000000007</v>
      </c>
      <c r="N692" s="117">
        <f t="shared" si="90"/>
        <v>0.68998637664000018</v>
      </c>
      <c r="O692" s="45">
        <f t="shared" si="89"/>
        <v>0.18034126814597318</v>
      </c>
    </row>
    <row r="693" spans="1:15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95">
        <f t="shared" si="84"/>
        <v>139.6</v>
      </c>
      <c r="G693" s="738">
        <v>0</v>
      </c>
      <c r="H693" s="740">
        <v>0</v>
      </c>
      <c r="I693" s="72">
        <f t="shared" si="87"/>
        <v>0</v>
      </c>
      <c r="J693" s="37">
        <f t="shared" si="86"/>
        <v>0</v>
      </c>
      <c r="K693" s="96">
        <f t="shared" si="85"/>
        <v>0</v>
      </c>
      <c r="L693" s="37">
        <v>0</v>
      </c>
      <c r="M693" s="262">
        <f t="shared" si="88"/>
        <v>0</v>
      </c>
      <c r="N693" s="117">
        <f t="shared" si="90"/>
        <v>0</v>
      </c>
      <c r="O693" s="45">
        <f t="shared" si="89"/>
        <v>0</v>
      </c>
    </row>
    <row r="694" spans="1:15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95">
        <f t="shared" si="84"/>
        <v>66.5</v>
      </c>
      <c r="G694" s="738">
        <v>24</v>
      </c>
      <c r="H694" s="740">
        <v>17</v>
      </c>
      <c r="I694" s="72">
        <f t="shared" si="87"/>
        <v>5.6666666666666671E-3</v>
      </c>
      <c r="J694" s="37">
        <f t="shared" si="86"/>
        <v>11.429723333333333</v>
      </c>
      <c r="K694" s="96">
        <f t="shared" si="85"/>
        <v>4.2027092696666672</v>
      </c>
      <c r="L694" s="37">
        <v>5.2982200000000006</v>
      </c>
      <c r="M694" s="262">
        <f t="shared" si="88"/>
        <v>0.56602656000000007</v>
      </c>
      <c r="N694" s="117">
        <f t="shared" si="90"/>
        <v>0.68998637664000018</v>
      </c>
      <c r="O694" s="45">
        <f t="shared" si="89"/>
        <v>0.32325833327819553</v>
      </c>
    </row>
    <row r="695" spans="1:15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95">
        <f t="shared" si="84"/>
        <v>67</v>
      </c>
      <c r="G695" s="738">
        <v>28</v>
      </c>
      <c r="H695" s="740">
        <v>20</v>
      </c>
      <c r="I695" s="72">
        <f t="shared" si="87"/>
        <v>6.6666666666666671E-3</v>
      </c>
      <c r="J695" s="37">
        <f t="shared" si="86"/>
        <v>13.446733333333334</v>
      </c>
      <c r="K695" s="96">
        <f t="shared" si="85"/>
        <v>4.9443638466666675</v>
      </c>
      <c r="L695" s="37">
        <v>6.233200000000001</v>
      </c>
      <c r="M695" s="262">
        <f t="shared" si="88"/>
        <v>0.66591360000000011</v>
      </c>
      <c r="N695" s="117">
        <f t="shared" si="90"/>
        <v>0.8117486784000002</v>
      </c>
      <c r="O695" s="45">
        <f t="shared" si="89"/>
        <v>0.37746583253731347</v>
      </c>
    </row>
    <row r="696" spans="1:15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95">
        <f t="shared" si="84"/>
        <v>212.2</v>
      </c>
      <c r="G696" s="738">
        <v>28</v>
      </c>
      <c r="H696" s="740">
        <v>28</v>
      </c>
      <c r="I696" s="72">
        <f t="shared" si="87"/>
        <v>9.3333333333333341E-3</v>
      </c>
      <c r="J696" s="37">
        <f t="shared" si="86"/>
        <v>18.825426666666669</v>
      </c>
      <c r="K696" s="96">
        <f t="shared" si="85"/>
        <v>6.9221093853333349</v>
      </c>
      <c r="L696" s="37">
        <v>8.7264800000000022</v>
      </c>
      <c r="M696" s="262">
        <f t="shared" si="88"/>
        <v>0.93227904000000017</v>
      </c>
      <c r="N696" s="117">
        <f t="shared" si="90"/>
        <v>1.1364481497600003</v>
      </c>
      <c r="O696" s="45">
        <f t="shared" si="89"/>
        <v>0.16685341702167772</v>
      </c>
    </row>
    <row r="697" spans="1:15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95">
        <f t="shared" si="84"/>
        <v>41.6</v>
      </c>
      <c r="G697" s="738">
        <v>28</v>
      </c>
      <c r="H697" s="740">
        <v>25</v>
      </c>
      <c r="I697" s="72">
        <f t="shared" si="87"/>
        <v>8.3333333333333332E-3</v>
      </c>
      <c r="J697" s="37">
        <f t="shared" si="86"/>
        <v>16.808416666666666</v>
      </c>
      <c r="K697" s="96">
        <f t="shared" si="85"/>
        <v>6.1804548083333337</v>
      </c>
      <c r="L697" s="37">
        <v>7.7915000000000001</v>
      </c>
      <c r="M697" s="262">
        <f t="shared" si="88"/>
        <v>0.83239200000000013</v>
      </c>
      <c r="N697" s="117">
        <f t="shared" si="90"/>
        <v>1.0146858480000003</v>
      </c>
      <c r="O697" s="45">
        <f t="shared" si="89"/>
        <v>0.75992219891826918</v>
      </c>
    </row>
    <row r="698" spans="1:15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95">
        <f t="shared" si="84"/>
        <v>466.8</v>
      </c>
      <c r="G698" s="738">
        <v>192</v>
      </c>
      <c r="H698" s="740">
        <v>88</v>
      </c>
      <c r="I698" s="72">
        <f t="shared" si="87"/>
        <v>2.9333333333333333E-2</v>
      </c>
      <c r="J698" s="37">
        <f t="shared" si="86"/>
        <v>59.165626666666668</v>
      </c>
      <c r="K698" s="96">
        <f t="shared" si="85"/>
        <v>21.755200925333334</v>
      </c>
      <c r="L698" s="37">
        <v>27.426080000000002</v>
      </c>
      <c r="M698" s="262">
        <f t="shared" si="88"/>
        <v>2.9300198400000004</v>
      </c>
      <c r="N698" s="117">
        <f t="shared" si="90"/>
        <v>3.5716941849600006</v>
      </c>
      <c r="O698" s="45">
        <f t="shared" si="89"/>
        <v>0.23838244951156812</v>
      </c>
    </row>
    <row r="699" spans="1:15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95">
        <f t="shared" si="84"/>
        <v>681.36</v>
      </c>
      <c r="G699" s="738">
        <v>135</v>
      </c>
      <c r="H699" s="740">
        <v>25</v>
      </c>
      <c r="I699" s="72">
        <f t="shared" si="87"/>
        <v>8.3333333333333332E-3</v>
      </c>
      <c r="J699" s="37">
        <f t="shared" si="86"/>
        <v>16.808416666666666</v>
      </c>
      <c r="K699" s="96">
        <f t="shared" si="85"/>
        <v>6.1804548083333337</v>
      </c>
      <c r="L699" s="37">
        <v>7.7915000000000001</v>
      </c>
      <c r="M699" s="262">
        <f t="shared" si="88"/>
        <v>0.83239200000000013</v>
      </c>
      <c r="N699" s="117">
        <f t="shared" si="90"/>
        <v>1.0146858480000003</v>
      </c>
      <c r="O699" s="45">
        <f t="shared" si="89"/>
        <v>4.6396564921627331E-2</v>
      </c>
    </row>
    <row r="700" spans="1:15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95">
        <f t="shared" si="84"/>
        <v>58.2</v>
      </c>
      <c r="G700" s="738">
        <v>36.200000000000003</v>
      </c>
      <c r="H700" s="740">
        <v>29</v>
      </c>
      <c r="I700" s="72">
        <f t="shared" si="87"/>
        <v>9.6666666666666672E-3</v>
      </c>
      <c r="J700" s="37">
        <f t="shared" si="86"/>
        <v>19.497763333333335</v>
      </c>
      <c r="K700" s="96">
        <f t="shared" si="85"/>
        <v>7.1693275776666683</v>
      </c>
      <c r="L700" s="37">
        <v>9.0381400000000021</v>
      </c>
      <c r="M700" s="262">
        <f t="shared" si="88"/>
        <v>0.96557472000000022</v>
      </c>
      <c r="N700" s="117">
        <f t="shared" si="90"/>
        <v>1.1770355836800004</v>
      </c>
      <c r="O700" s="45">
        <f t="shared" si="89"/>
        <v>0.63008257097938147</v>
      </c>
    </row>
    <row r="701" spans="1:15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95">
        <f t="shared" si="84"/>
        <v>504.2</v>
      </c>
      <c r="G701" s="738">
        <v>226</v>
      </c>
      <c r="H701" s="740">
        <v>90</v>
      </c>
      <c r="I701" s="72">
        <f t="shared" si="87"/>
        <v>0.03</v>
      </c>
      <c r="J701" s="37">
        <f t="shared" si="86"/>
        <v>60.510300000000001</v>
      </c>
      <c r="K701" s="96">
        <f t="shared" si="85"/>
        <v>22.249637310000001</v>
      </c>
      <c r="L701" s="37">
        <v>28.049400000000002</v>
      </c>
      <c r="M701" s="262">
        <f t="shared" si="88"/>
        <v>2.9966111999999998</v>
      </c>
      <c r="N701" s="117">
        <f t="shared" si="90"/>
        <v>3.6528690527999998</v>
      </c>
      <c r="O701" s="45">
        <f t="shared" si="89"/>
        <v>0.22571588359777867</v>
      </c>
    </row>
    <row r="702" spans="1:15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95">
        <f t="shared" si="84"/>
        <v>166.6</v>
      </c>
      <c r="G702" s="738">
        <v>24</v>
      </c>
      <c r="H702" s="740">
        <v>19</v>
      </c>
      <c r="I702" s="72">
        <f t="shared" si="87"/>
        <v>6.3333333333333332E-3</v>
      </c>
      <c r="J702" s="37">
        <f t="shared" si="86"/>
        <v>12.774396666666666</v>
      </c>
      <c r="K702" s="96">
        <f t="shared" si="85"/>
        <v>4.6971456543333332</v>
      </c>
      <c r="L702" s="37">
        <v>5.9215400000000002</v>
      </c>
      <c r="M702" s="262">
        <f t="shared" si="88"/>
        <v>0.63261792000000006</v>
      </c>
      <c r="N702" s="117">
        <f t="shared" si="90"/>
        <v>0.77116124448000012</v>
      </c>
      <c r="O702" s="45">
        <f t="shared" si="89"/>
        <v>0.1442118862004802</v>
      </c>
    </row>
    <row r="703" spans="1:15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95">
        <f t="shared" si="84"/>
        <v>37.799999999999997</v>
      </c>
      <c r="G703" s="738">
        <v>25</v>
      </c>
      <c r="H703" s="740">
        <v>22</v>
      </c>
      <c r="I703" s="72">
        <f t="shared" si="87"/>
        <v>7.3333333333333332E-3</v>
      </c>
      <c r="J703" s="37">
        <f t="shared" si="86"/>
        <v>14.791406666666667</v>
      </c>
      <c r="K703" s="96">
        <f t="shared" si="85"/>
        <v>5.4388002313333335</v>
      </c>
      <c r="L703" s="37">
        <v>6.8565200000000006</v>
      </c>
      <c r="M703" s="262">
        <f t="shared" si="88"/>
        <v>0.73250496000000009</v>
      </c>
      <c r="N703" s="117">
        <f t="shared" si="90"/>
        <v>0.89292354624000014</v>
      </c>
      <c r="O703" s="45">
        <f t="shared" si="89"/>
        <v>0.73595851476190477</v>
      </c>
    </row>
    <row r="704" spans="1:15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95">
        <f t="shared" si="84"/>
        <v>55.5</v>
      </c>
      <c r="G704" s="738">
        <v>0</v>
      </c>
      <c r="H704" s="740"/>
      <c r="I704" s="72">
        <f t="shared" si="87"/>
        <v>0</v>
      </c>
      <c r="J704" s="37">
        <f t="shared" si="86"/>
        <v>0</v>
      </c>
      <c r="K704" s="96">
        <f t="shared" si="85"/>
        <v>0</v>
      </c>
      <c r="L704" s="741">
        <v>0</v>
      </c>
      <c r="M704" s="262">
        <f t="shared" si="88"/>
        <v>0</v>
      </c>
      <c r="N704" s="117">
        <f t="shared" si="90"/>
        <v>0</v>
      </c>
      <c r="O704" s="45">
        <f t="shared" si="89"/>
        <v>0</v>
      </c>
    </row>
    <row r="705" spans="1:15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95">
        <f t="shared" si="84"/>
        <v>146.19999999999999</v>
      </c>
      <c r="G705" s="738">
        <v>48</v>
      </c>
      <c r="H705" s="740">
        <v>35</v>
      </c>
      <c r="I705" s="72">
        <f t="shared" si="87"/>
        <v>1.1666666666666667E-2</v>
      </c>
      <c r="J705" s="37">
        <f t="shared" si="86"/>
        <v>23.531783333333333</v>
      </c>
      <c r="K705" s="96">
        <f t="shared" si="85"/>
        <v>8.6526367316666679</v>
      </c>
      <c r="L705" s="741">
        <v>10.908100000000003</v>
      </c>
      <c r="M705" s="262">
        <f t="shared" si="88"/>
        <v>1.1653488000000003</v>
      </c>
      <c r="N705" s="117">
        <f t="shared" si="90"/>
        <v>1.4205601872000004</v>
      </c>
      <c r="O705" s="45">
        <f t="shared" si="89"/>
        <v>0.30272140126538993</v>
      </c>
    </row>
    <row r="706" spans="1:15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95">
        <f t="shared" si="84"/>
        <v>47.9</v>
      </c>
      <c r="G706" s="738">
        <v>24</v>
      </c>
      <c r="H706" s="740">
        <v>20</v>
      </c>
      <c r="I706" s="72">
        <f t="shared" si="87"/>
        <v>6.6666666666666671E-3</v>
      </c>
      <c r="J706" s="37">
        <f t="shared" si="86"/>
        <v>13.446733333333334</v>
      </c>
      <c r="K706" s="96">
        <f t="shared" si="85"/>
        <v>4.9443638466666675</v>
      </c>
      <c r="L706" s="741">
        <v>6.233200000000001</v>
      </c>
      <c r="M706" s="262">
        <f t="shared" si="88"/>
        <v>0.66591360000000011</v>
      </c>
      <c r="N706" s="117">
        <f t="shared" si="90"/>
        <v>0.8117486784000002</v>
      </c>
      <c r="O706" s="45">
        <f t="shared" si="89"/>
        <v>0.52797934822546977</v>
      </c>
    </row>
    <row r="707" spans="1:15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95">
        <f t="shared" si="84"/>
        <v>72.400000000000006</v>
      </c>
      <c r="G707" s="738">
        <v>24</v>
      </c>
      <c r="H707" s="740">
        <v>17</v>
      </c>
      <c r="I707" s="72">
        <f t="shared" si="87"/>
        <v>5.6666666666666671E-3</v>
      </c>
      <c r="J707" s="37">
        <f t="shared" si="86"/>
        <v>11.429723333333333</v>
      </c>
      <c r="K707" s="96">
        <f t="shared" si="85"/>
        <v>4.2027092696666672</v>
      </c>
      <c r="L707" s="741">
        <v>5.2982200000000006</v>
      </c>
      <c r="M707" s="262">
        <f t="shared" si="88"/>
        <v>0.56602656000000007</v>
      </c>
      <c r="N707" s="117">
        <f t="shared" si="90"/>
        <v>0.68998637664000018</v>
      </c>
      <c r="O707" s="45">
        <f t="shared" si="89"/>
        <v>0.2969154580524862</v>
      </c>
    </row>
    <row r="708" spans="1:15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95">
        <f t="shared" si="84"/>
        <v>73</v>
      </c>
      <c r="G708" s="738">
        <v>0</v>
      </c>
      <c r="H708" s="740">
        <v>0</v>
      </c>
      <c r="I708" s="72">
        <f t="shared" si="87"/>
        <v>0</v>
      </c>
      <c r="J708" s="37">
        <f t="shared" si="86"/>
        <v>0</v>
      </c>
      <c r="K708" s="96">
        <f t="shared" si="85"/>
        <v>0</v>
      </c>
      <c r="L708" s="741">
        <v>0</v>
      </c>
      <c r="M708" s="262">
        <f t="shared" si="88"/>
        <v>0</v>
      </c>
      <c r="N708" s="117">
        <f t="shared" si="90"/>
        <v>0</v>
      </c>
      <c r="O708" s="45">
        <f t="shared" si="89"/>
        <v>0</v>
      </c>
    </row>
    <row r="709" spans="1:15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95">
        <f t="shared" si="84"/>
        <v>110</v>
      </c>
      <c r="G709" s="738">
        <v>0</v>
      </c>
      <c r="H709" s="740">
        <v>0</v>
      </c>
      <c r="I709" s="72">
        <f t="shared" si="87"/>
        <v>0</v>
      </c>
      <c r="J709" s="37">
        <f t="shared" si="86"/>
        <v>0</v>
      </c>
      <c r="K709" s="96">
        <f t="shared" si="85"/>
        <v>0</v>
      </c>
      <c r="L709" s="741">
        <v>0</v>
      </c>
      <c r="M709" s="262">
        <f t="shared" si="88"/>
        <v>0</v>
      </c>
      <c r="N709" s="117">
        <f t="shared" si="90"/>
        <v>0</v>
      </c>
      <c r="O709" s="45">
        <f t="shared" si="89"/>
        <v>0</v>
      </c>
    </row>
    <row r="710" spans="1:15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95">
        <f t="shared" si="84"/>
        <v>382</v>
      </c>
      <c r="G710" s="738">
        <v>198</v>
      </c>
      <c r="H710" s="740">
        <v>185</v>
      </c>
      <c r="I710" s="72">
        <f t="shared" si="87"/>
        <v>6.1666666666666668E-2</v>
      </c>
      <c r="J710" s="37">
        <f t="shared" si="86"/>
        <v>124.38228333333333</v>
      </c>
      <c r="K710" s="96">
        <f t="shared" si="85"/>
        <v>45.73536558166667</v>
      </c>
      <c r="L710" s="741">
        <v>57.657100000000014</v>
      </c>
      <c r="M710" s="262">
        <f t="shared" si="88"/>
        <v>6.1597008000000004</v>
      </c>
      <c r="N710" s="117">
        <f t="shared" si="90"/>
        <v>7.5086752752000008</v>
      </c>
      <c r="O710" s="45">
        <f t="shared" si="89"/>
        <v>0.61239384742146608</v>
      </c>
    </row>
    <row r="711" spans="1:15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95">
        <f t="shared" si="84"/>
        <v>226.9</v>
      </c>
      <c r="G711" s="738">
        <v>152</v>
      </c>
      <c r="H711" s="740">
        <v>116</v>
      </c>
      <c r="I711" s="72">
        <f t="shared" si="87"/>
        <v>3.8666666666666669E-2</v>
      </c>
      <c r="J711" s="37">
        <f t="shared" si="86"/>
        <v>77.99105333333334</v>
      </c>
      <c r="K711" s="96">
        <f t="shared" si="85"/>
        <v>28.677310310666673</v>
      </c>
      <c r="L711" s="741">
        <v>36.152560000000008</v>
      </c>
      <c r="M711" s="262">
        <f t="shared" si="88"/>
        <v>3.8622988800000009</v>
      </c>
      <c r="N711" s="117">
        <f t="shared" si="90"/>
        <v>4.7081423347200015</v>
      </c>
      <c r="O711" s="45">
        <f t="shared" si="89"/>
        <v>0.64646638397531953</v>
      </c>
    </row>
    <row r="712" spans="1:15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95">
        <f t="shared" si="84"/>
        <v>142.6</v>
      </c>
      <c r="G712" s="738">
        <v>85</v>
      </c>
      <c r="H712" s="740">
        <v>55</v>
      </c>
      <c r="I712" s="72">
        <f t="shared" si="87"/>
        <v>1.8333333333333333E-2</v>
      </c>
      <c r="J712" s="37">
        <f t="shared" si="86"/>
        <v>36.978516666666664</v>
      </c>
      <c r="K712" s="96">
        <f t="shared" si="85"/>
        <v>13.597000578333333</v>
      </c>
      <c r="L712" s="741">
        <v>17.141300000000005</v>
      </c>
      <c r="M712" s="262">
        <f t="shared" si="88"/>
        <v>1.8312624000000002</v>
      </c>
      <c r="N712" s="117">
        <f t="shared" si="90"/>
        <v>2.2323088656000003</v>
      </c>
      <c r="O712" s="45">
        <f t="shared" si="89"/>
        <v>0.48771444351332399</v>
      </c>
    </row>
    <row r="713" spans="1:15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95">
        <f t="shared" si="84"/>
        <v>428.31</v>
      </c>
      <c r="G713" s="738">
        <v>212</v>
      </c>
      <c r="H713" s="740">
        <v>320</v>
      </c>
      <c r="I713" s="72">
        <f t="shared" si="87"/>
        <v>0.10666666666666667</v>
      </c>
      <c r="J713" s="37">
        <f t="shared" si="86"/>
        <v>215.14773333333335</v>
      </c>
      <c r="K713" s="96">
        <f t="shared" si="85"/>
        <v>79.10982154666668</v>
      </c>
      <c r="L713" s="741">
        <v>83.109333333333339</v>
      </c>
      <c r="M713" s="262">
        <f t="shared" si="88"/>
        <v>10.654617600000002</v>
      </c>
      <c r="N713" s="117">
        <f t="shared" si="90"/>
        <v>12.987978854400003</v>
      </c>
      <c r="O713" s="45">
        <f t="shared" si="89"/>
        <v>0.90593613460655453</v>
      </c>
    </row>
    <row r="714" spans="1:15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95">
        <f t="shared" si="84"/>
        <v>744.3</v>
      </c>
      <c r="G714" s="738">
        <v>198</v>
      </c>
      <c r="H714" s="740">
        <v>150</v>
      </c>
      <c r="I714" s="72">
        <f t="shared" si="87"/>
        <v>0.05</v>
      </c>
      <c r="J714" s="37">
        <f t="shared" si="86"/>
        <v>100.85050000000001</v>
      </c>
      <c r="K714" s="96">
        <f t="shared" si="85"/>
        <v>37.082728850000009</v>
      </c>
      <c r="L714" s="741">
        <v>46.749000000000009</v>
      </c>
      <c r="M714" s="262">
        <f t="shared" si="88"/>
        <v>4.994352000000001</v>
      </c>
      <c r="N714" s="117">
        <f t="shared" si="90"/>
        <v>6.0881150880000012</v>
      </c>
      <c r="O714" s="45">
        <f t="shared" si="89"/>
        <v>0.25483888331318028</v>
      </c>
    </row>
    <row r="715" spans="1:15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95">
        <f t="shared" si="84"/>
        <v>1084.5899999999999</v>
      </c>
      <c r="G715" s="738">
        <v>405</v>
      </c>
      <c r="H715" s="740">
        <v>500</v>
      </c>
      <c r="I715" s="72">
        <f t="shared" si="87"/>
        <v>0.16666666666666666</v>
      </c>
      <c r="J715" s="37">
        <f t="shared" si="86"/>
        <v>336.16833333333329</v>
      </c>
      <c r="K715" s="96">
        <f t="shared" si="85"/>
        <v>123.60909616666666</v>
      </c>
      <c r="L715" s="741">
        <v>155.83000000000001</v>
      </c>
      <c r="M715" s="262">
        <f t="shared" si="88"/>
        <v>16.647840000000002</v>
      </c>
      <c r="N715" s="117">
        <f t="shared" si="90"/>
        <v>20.293716960000005</v>
      </c>
      <c r="O715" s="45">
        <f t="shared" si="89"/>
        <v>0.58294403369015013</v>
      </c>
    </row>
    <row r="716" spans="1:15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95">
        <f t="shared" si="84"/>
        <v>1069.71</v>
      </c>
      <c r="G716" s="738">
        <v>440</v>
      </c>
      <c r="H716" s="740">
        <v>500</v>
      </c>
      <c r="I716" s="72">
        <f t="shared" si="87"/>
        <v>0.16666666666666666</v>
      </c>
      <c r="J716" s="37">
        <f t="shared" si="86"/>
        <v>336.16833333333329</v>
      </c>
      <c r="K716" s="96">
        <f t="shared" si="85"/>
        <v>123.60909616666666</v>
      </c>
      <c r="L716" s="741">
        <v>155.83000000000001</v>
      </c>
      <c r="M716" s="262">
        <f t="shared" si="88"/>
        <v>16.647840000000002</v>
      </c>
      <c r="N716" s="117">
        <f t="shared" si="90"/>
        <v>20.293716960000005</v>
      </c>
      <c r="O716" s="45">
        <f t="shared" si="89"/>
        <v>0.59105296715932343</v>
      </c>
    </row>
    <row r="717" spans="1:15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95">
        <f t="shared" ref="F717:F747" si="91">C717+D717+E717</f>
        <v>196.8</v>
      </c>
      <c r="G717" s="738">
        <v>119</v>
      </c>
      <c r="H717" s="740">
        <v>158</v>
      </c>
      <c r="I717" s="72">
        <f t="shared" si="87"/>
        <v>5.2666666666666667E-2</v>
      </c>
      <c r="J717" s="37">
        <f t="shared" si="86"/>
        <v>106.22919333333333</v>
      </c>
      <c r="K717" s="96">
        <f t="shared" si="85"/>
        <v>39.06047438866667</v>
      </c>
      <c r="L717" s="741">
        <v>49.242280000000001</v>
      </c>
      <c r="M717" s="262">
        <f t="shared" si="88"/>
        <v>5.2607174400000005</v>
      </c>
      <c r="N717" s="117">
        <f t="shared" si="90"/>
        <v>6.412814559360001</v>
      </c>
      <c r="O717" s="45">
        <f t="shared" si="89"/>
        <v>1.0152066319207316</v>
      </c>
    </row>
    <row r="718" spans="1:15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95">
        <f t="shared" si="91"/>
        <v>625.9</v>
      </c>
      <c r="G718" s="738">
        <v>360</v>
      </c>
      <c r="H718" s="740">
        <v>360</v>
      </c>
      <c r="I718" s="72">
        <f t="shared" si="87"/>
        <v>0.12</v>
      </c>
      <c r="J718" s="37">
        <f t="shared" si="86"/>
        <v>242.0412</v>
      </c>
      <c r="K718" s="96">
        <f t="shared" si="85"/>
        <v>88.998549240000003</v>
      </c>
      <c r="L718" s="741">
        <v>112.19760000000001</v>
      </c>
      <c r="M718" s="262">
        <f t="shared" si="88"/>
        <v>11.986444799999999</v>
      </c>
      <c r="N718" s="117">
        <f t="shared" si="90"/>
        <v>14.611476211199999</v>
      </c>
      <c r="O718" s="45">
        <f t="shared" si="89"/>
        <v>0.7273107429940886</v>
      </c>
    </row>
    <row r="719" spans="1:15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95">
        <f t="shared" si="91"/>
        <v>127.5</v>
      </c>
      <c r="G719" s="738"/>
      <c r="H719" s="740"/>
      <c r="I719" s="72">
        <f t="shared" si="87"/>
        <v>0</v>
      </c>
      <c r="J719" s="37">
        <f t="shared" si="86"/>
        <v>0</v>
      </c>
      <c r="K719" s="96">
        <f t="shared" ref="K719:K744" si="92">J719*0.3677</f>
        <v>0</v>
      </c>
      <c r="L719" s="741">
        <v>0</v>
      </c>
      <c r="M719" s="262">
        <f t="shared" si="88"/>
        <v>0</v>
      </c>
      <c r="N719" s="117">
        <f t="shared" si="90"/>
        <v>0</v>
      </c>
      <c r="O719" s="45">
        <f t="shared" si="89"/>
        <v>0</v>
      </c>
    </row>
    <row r="720" spans="1:15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95">
        <f t="shared" si="91"/>
        <v>561.25</v>
      </c>
      <c r="G720" s="738">
        <v>186</v>
      </c>
      <c r="H720" s="740">
        <v>135</v>
      </c>
      <c r="I720" s="72">
        <f t="shared" si="87"/>
        <v>4.4999999999999998E-2</v>
      </c>
      <c r="J720" s="37">
        <f t="shared" si="86"/>
        <v>90.765450000000001</v>
      </c>
      <c r="K720" s="96">
        <f t="shared" si="92"/>
        <v>33.374455965000003</v>
      </c>
      <c r="L720" s="741">
        <v>42.074100000000001</v>
      </c>
      <c r="M720" s="262">
        <f t="shared" si="88"/>
        <v>4.4949168000000013</v>
      </c>
      <c r="N720" s="117">
        <f t="shared" si="90"/>
        <v>5.4793035792000016</v>
      </c>
      <c r="O720" s="45">
        <f t="shared" si="89"/>
        <v>0.30415843699777284</v>
      </c>
    </row>
    <row r="721" spans="1:15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95">
        <f t="shared" si="91"/>
        <v>122.9</v>
      </c>
      <c r="G721" s="738"/>
      <c r="H721" s="740"/>
      <c r="I721" s="72">
        <f t="shared" si="87"/>
        <v>0</v>
      </c>
      <c r="J721" s="37">
        <f t="shared" si="86"/>
        <v>0</v>
      </c>
      <c r="K721" s="96">
        <f t="shared" si="92"/>
        <v>0</v>
      </c>
      <c r="L721" s="741">
        <v>0</v>
      </c>
      <c r="M721" s="262">
        <f t="shared" si="88"/>
        <v>0</v>
      </c>
      <c r="N721" s="117">
        <f t="shared" si="90"/>
        <v>0</v>
      </c>
      <c r="O721" s="45">
        <f t="shared" si="89"/>
        <v>0</v>
      </c>
    </row>
    <row r="722" spans="1:15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95">
        <f t="shared" si="91"/>
        <v>82.5</v>
      </c>
      <c r="G722" s="738"/>
      <c r="H722" s="740"/>
      <c r="I722" s="72">
        <f t="shared" si="87"/>
        <v>0</v>
      </c>
      <c r="J722" s="37">
        <f t="shared" si="86"/>
        <v>0</v>
      </c>
      <c r="K722" s="96">
        <f t="shared" si="92"/>
        <v>0</v>
      </c>
      <c r="L722" s="741">
        <v>0</v>
      </c>
      <c r="M722" s="262">
        <f t="shared" si="88"/>
        <v>0</v>
      </c>
      <c r="N722" s="117">
        <f t="shared" si="90"/>
        <v>0</v>
      </c>
      <c r="O722" s="45">
        <f t="shared" si="89"/>
        <v>0</v>
      </c>
    </row>
    <row r="723" spans="1:15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95">
        <f t="shared" si="91"/>
        <v>118.7</v>
      </c>
      <c r="G723" s="738">
        <v>36.9</v>
      </c>
      <c r="H723" s="740">
        <v>25</v>
      </c>
      <c r="I723" s="72">
        <f t="shared" si="87"/>
        <v>8.3333333333333332E-3</v>
      </c>
      <c r="J723" s="37">
        <f t="shared" si="86"/>
        <v>16.808416666666666</v>
      </c>
      <c r="K723" s="96">
        <f t="shared" si="92"/>
        <v>6.1804548083333337</v>
      </c>
      <c r="L723" s="741">
        <v>7.7915000000000001</v>
      </c>
      <c r="M723" s="262">
        <f t="shared" si="88"/>
        <v>0.83239200000000013</v>
      </c>
      <c r="N723" s="117">
        <f t="shared" si="90"/>
        <v>1.0146858480000003</v>
      </c>
      <c r="O723" s="45">
        <f t="shared" si="89"/>
        <v>0.26632488184498732</v>
      </c>
    </row>
    <row r="724" spans="1:15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95">
        <f t="shared" si="91"/>
        <v>113.8</v>
      </c>
      <c r="G724" s="738">
        <v>35.4</v>
      </c>
      <c r="H724" s="740">
        <v>28</v>
      </c>
      <c r="I724" s="72">
        <f t="shared" si="87"/>
        <v>9.3333333333333341E-3</v>
      </c>
      <c r="J724" s="37">
        <f t="shared" si="86"/>
        <v>18.825426666666669</v>
      </c>
      <c r="K724" s="96">
        <f t="shared" si="92"/>
        <v>6.9221093853333349</v>
      </c>
      <c r="L724" s="741">
        <v>8.7264800000000022</v>
      </c>
      <c r="M724" s="262">
        <f t="shared" si="88"/>
        <v>0.93227904000000017</v>
      </c>
      <c r="N724" s="117">
        <f t="shared" si="90"/>
        <v>1.1364481497600003</v>
      </c>
      <c r="O724" s="45">
        <f t="shared" si="89"/>
        <v>0.31112737339191571</v>
      </c>
    </row>
    <row r="725" spans="1:15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95">
        <f t="shared" si="91"/>
        <v>294</v>
      </c>
      <c r="G725" s="738"/>
      <c r="H725" s="740">
        <v>0</v>
      </c>
      <c r="I725" s="72">
        <f t="shared" si="87"/>
        <v>0</v>
      </c>
      <c r="J725" s="37">
        <f t="shared" si="86"/>
        <v>0</v>
      </c>
      <c r="K725" s="96">
        <f t="shared" si="92"/>
        <v>0</v>
      </c>
      <c r="L725" s="741">
        <v>0</v>
      </c>
      <c r="M725" s="262">
        <f t="shared" si="88"/>
        <v>0</v>
      </c>
      <c r="N725" s="117">
        <f t="shared" si="90"/>
        <v>0</v>
      </c>
      <c r="O725" s="45">
        <f t="shared" si="89"/>
        <v>0</v>
      </c>
    </row>
    <row r="726" spans="1:15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95">
        <f t="shared" si="91"/>
        <v>38.6</v>
      </c>
      <c r="G726" s="738">
        <v>36.9</v>
      </c>
      <c r="H726" s="740">
        <v>2</v>
      </c>
      <c r="I726" s="72">
        <f t="shared" si="87"/>
        <v>6.6666666666666664E-4</v>
      </c>
      <c r="J726" s="37">
        <f t="shared" si="86"/>
        <v>1.3446733333333334</v>
      </c>
      <c r="K726" s="96">
        <f t="shared" si="92"/>
        <v>0.49443638466666673</v>
      </c>
      <c r="L726" s="741">
        <v>0.6233200000000001</v>
      </c>
      <c r="M726" s="262">
        <f t="shared" si="88"/>
        <v>6.6591360000000002E-2</v>
      </c>
      <c r="N726" s="117">
        <f t="shared" si="90"/>
        <v>8.1174867840000012E-2</v>
      </c>
      <c r="O726" s="45">
        <f t="shared" si="89"/>
        <v>6.5518680777202076E-2</v>
      </c>
    </row>
    <row r="727" spans="1:15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95">
        <f t="shared" si="91"/>
        <v>295.8</v>
      </c>
      <c r="G727" s="738">
        <v>35.4</v>
      </c>
      <c r="H727" s="740">
        <v>15</v>
      </c>
      <c r="I727" s="72">
        <f t="shared" si="87"/>
        <v>5.0000000000000001E-3</v>
      </c>
      <c r="J727" s="37">
        <f t="shared" si="86"/>
        <v>10.085050000000001</v>
      </c>
      <c r="K727" s="96">
        <f t="shared" si="92"/>
        <v>3.7082728850000004</v>
      </c>
      <c r="L727" s="741">
        <v>4.6749000000000009</v>
      </c>
      <c r="M727" s="262">
        <f t="shared" si="88"/>
        <v>0.49943520000000008</v>
      </c>
      <c r="N727" s="117">
        <f t="shared" si="90"/>
        <v>0.60881150880000012</v>
      </c>
      <c r="O727" s="45">
        <f>(J727+K727+L727+M727)/C727</f>
        <v>6.4123252484787022E-2</v>
      </c>
    </row>
    <row r="728" spans="1:15" s="651" customFormat="1" ht="15.75">
      <c r="A728" s="958">
        <v>192</v>
      </c>
      <c r="B728" s="972" t="s">
        <v>1353</v>
      </c>
      <c r="C728" s="971">
        <v>2745.3</v>
      </c>
      <c r="D728" s="971"/>
      <c r="E728" s="971">
        <v>209</v>
      </c>
      <c r="F728" s="655">
        <f t="shared" si="91"/>
        <v>2954.3</v>
      </c>
      <c r="G728" s="962">
        <v>1386</v>
      </c>
      <c r="H728" s="963">
        <v>1386</v>
      </c>
      <c r="I728" s="964">
        <f t="shared" si="87"/>
        <v>0.46200000000000002</v>
      </c>
      <c r="J728" s="965">
        <f t="shared" si="86"/>
        <v>931.85862000000009</v>
      </c>
      <c r="K728" s="974">
        <f t="shared" si="92"/>
        <v>342.64441457400005</v>
      </c>
      <c r="L728" s="966">
        <v>431.96076000000011</v>
      </c>
      <c r="M728" s="966">
        <f t="shared" si="88"/>
        <v>46.147812480000013</v>
      </c>
      <c r="N728" s="967">
        <f t="shared" si="90"/>
        <v>56.254183413120018</v>
      </c>
      <c r="O728" s="968">
        <f>(J728+K728+L728+M728)/F728</f>
        <v>0.5932409054781167</v>
      </c>
    </row>
    <row r="729" spans="1:15" s="263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261">
        <f t="shared" si="91"/>
        <v>601.58000000000004</v>
      </c>
      <c r="G729" s="738">
        <v>241</v>
      </c>
      <c r="H729" s="740">
        <v>280</v>
      </c>
      <c r="I729" s="72">
        <f t="shared" si="87"/>
        <v>9.3333333333333338E-2</v>
      </c>
      <c r="J729" s="37">
        <f t="shared" ref="J729:J746" si="93">I729*2017.01</f>
        <v>188.25426666666667</v>
      </c>
      <c r="K729" s="262">
        <f t="shared" si="92"/>
        <v>69.221093853333343</v>
      </c>
      <c r="L729" s="741">
        <v>87.264800000000022</v>
      </c>
      <c r="M729" s="262">
        <f t="shared" si="88"/>
        <v>9.3227904000000024</v>
      </c>
      <c r="N729" s="117">
        <f t="shared" si="90"/>
        <v>11.364481497600003</v>
      </c>
      <c r="O729" s="45">
        <f t="shared" ref="O729:O743" si="94">(J729+K729+L729+M729)/C729</f>
        <v>0.5885550565510822</v>
      </c>
    </row>
    <row r="730" spans="1:15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95">
        <f t="shared" si="91"/>
        <v>392.31</v>
      </c>
      <c r="G730" s="738">
        <v>160</v>
      </c>
      <c r="H730" s="740">
        <v>137</v>
      </c>
      <c r="I730" s="72">
        <f t="shared" ref="I730:I746" si="95">H730/3000</f>
        <v>4.5666666666666668E-2</v>
      </c>
      <c r="J730" s="37">
        <f t="shared" si="93"/>
        <v>92.110123333333334</v>
      </c>
      <c r="K730" s="96">
        <f t="shared" si="92"/>
        <v>33.868892349666666</v>
      </c>
      <c r="L730" s="741">
        <v>42.697420000000008</v>
      </c>
      <c r="M730" s="262">
        <f t="shared" ref="M730:M747" si="96">I730*84.08*1.1*1.08</f>
        <v>4.5615081600000007</v>
      </c>
      <c r="N730" s="117">
        <f t="shared" si="90"/>
        <v>5.5604784470400013</v>
      </c>
      <c r="O730" s="45">
        <f t="shared" si="94"/>
        <v>0.4415843181234228</v>
      </c>
    </row>
    <row r="731" spans="1:15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95">
        <f t="shared" si="91"/>
        <v>600.88</v>
      </c>
      <c r="G731" s="738">
        <v>148</v>
      </c>
      <c r="H731" s="740">
        <v>112</v>
      </c>
      <c r="I731" s="72">
        <f t="shared" si="95"/>
        <v>3.7333333333333336E-2</v>
      </c>
      <c r="J731" s="37">
        <f t="shared" si="93"/>
        <v>75.301706666666675</v>
      </c>
      <c r="K731" s="96">
        <f t="shared" si="92"/>
        <v>27.688437541333339</v>
      </c>
      <c r="L731" s="741">
        <v>34.905920000000009</v>
      </c>
      <c r="M731" s="262">
        <f t="shared" si="96"/>
        <v>3.7291161600000007</v>
      </c>
      <c r="N731" s="117">
        <f t="shared" si="90"/>
        <v>4.5457925990400012</v>
      </c>
      <c r="O731" s="45">
        <f t="shared" si="94"/>
        <v>0.23569627940354151</v>
      </c>
    </row>
    <row r="732" spans="1:15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95">
        <f t="shared" si="91"/>
        <v>307.3</v>
      </c>
      <c r="G732" s="738">
        <v>108</v>
      </c>
      <c r="H732" s="740">
        <v>90</v>
      </c>
      <c r="I732" s="72">
        <f t="shared" si="95"/>
        <v>0.03</v>
      </c>
      <c r="J732" s="37">
        <f t="shared" si="93"/>
        <v>60.510300000000001</v>
      </c>
      <c r="K732" s="96">
        <f t="shared" si="92"/>
        <v>22.249637310000001</v>
      </c>
      <c r="L732" s="741">
        <v>28.049400000000002</v>
      </c>
      <c r="M732" s="262">
        <f t="shared" si="96"/>
        <v>2.9966111999999998</v>
      </c>
      <c r="N732" s="117">
        <f t="shared" si="90"/>
        <v>3.6528690527999998</v>
      </c>
      <c r="O732" s="45">
        <f t="shared" si="94"/>
        <v>0.3703415180930687</v>
      </c>
    </row>
    <row r="733" spans="1:15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95">
        <f t="shared" si="91"/>
        <v>800.1</v>
      </c>
      <c r="G733" s="738">
        <v>166</v>
      </c>
      <c r="H733" s="740">
        <v>145</v>
      </c>
      <c r="I733" s="72">
        <f t="shared" si="95"/>
        <v>4.8333333333333332E-2</v>
      </c>
      <c r="J733" s="37">
        <f t="shared" si="93"/>
        <v>97.488816666666665</v>
      </c>
      <c r="K733" s="96">
        <f t="shared" si="92"/>
        <v>35.846637888333333</v>
      </c>
      <c r="L733" s="741">
        <v>45.1907</v>
      </c>
      <c r="M733" s="262">
        <f t="shared" si="96"/>
        <v>4.8278736000000011</v>
      </c>
      <c r="N733" s="117">
        <f t="shared" ref="N733:N746" si="97">M733*1.219</f>
        <v>5.8851779184000019</v>
      </c>
      <c r="O733" s="45">
        <f t="shared" si="94"/>
        <v>0.24030672104193973</v>
      </c>
    </row>
    <row r="734" spans="1:15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95">
        <f t="shared" si="91"/>
        <v>325.2</v>
      </c>
      <c r="G734" s="738">
        <v>66</v>
      </c>
      <c r="H734" s="740">
        <v>66</v>
      </c>
      <c r="I734" s="72">
        <f t="shared" si="95"/>
        <v>2.1999999999999999E-2</v>
      </c>
      <c r="J734" s="37">
        <f t="shared" si="93"/>
        <v>44.374219999999994</v>
      </c>
      <c r="K734" s="96">
        <f t="shared" si="92"/>
        <v>16.316400693999999</v>
      </c>
      <c r="L734" s="741">
        <v>20.569559999999999</v>
      </c>
      <c r="M734" s="262">
        <f t="shared" si="96"/>
        <v>2.1975148800000004</v>
      </c>
      <c r="N734" s="117">
        <f t="shared" si="97"/>
        <v>2.6787706387200005</v>
      </c>
      <c r="O734" s="45">
        <f t="shared" si="94"/>
        <v>0.25663498023985237</v>
      </c>
    </row>
    <row r="735" spans="1:15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95">
        <f t="shared" si="91"/>
        <v>420.25</v>
      </c>
      <c r="G735" s="738">
        <v>157</v>
      </c>
      <c r="H735" s="740">
        <v>175</v>
      </c>
      <c r="I735" s="72">
        <f t="shared" si="95"/>
        <v>5.8333333333333334E-2</v>
      </c>
      <c r="J735" s="37">
        <f t="shared" si="93"/>
        <v>117.65891666666667</v>
      </c>
      <c r="K735" s="96">
        <f t="shared" si="92"/>
        <v>43.26318365833334</v>
      </c>
      <c r="L735" s="741">
        <v>54.540500000000009</v>
      </c>
      <c r="M735" s="262">
        <f t="shared" si="96"/>
        <v>5.8267440000000006</v>
      </c>
      <c r="N735" s="117">
        <f t="shared" si="97"/>
        <v>7.1028009360000013</v>
      </c>
      <c r="O735" s="45">
        <f t="shared" si="94"/>
        <v>0.60403806284973383</v>
      </c>
    </row>
    <row r="736" spans="1:15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95">
        <f t="shared" si="91"/>
        <v>468.48</v>
      </c>
      <c r="G736" s="738">
        <v>192</v>
      </c>
      <c r="H736" s="740">
        <v>165</v>
      </c>
      <c r="I736" s="72">
        <f t="shared" si="95"/>
        <v>5.5E-2</v>
      </c>
      <c r="J736" s="37">
        <f t="shared" si="93"/>
        <v>110.93555000000001</v>
      </c>
      <c r="K736" s="96">
        <f t="shared" si="92"/>
        <v>40.791001735000002</v>
      </c>
      <c r="L736" s="741">
        <v>51.423900000000003</v>
      </c>
      <c r="M736" s="262">
        <f t="shared" si="96"/>
        <v>5.4937871999999999</v>
      </c>
      <c r="N736" s="117">
        <f t="shared" si="97"/>
        <v>6.6969265968</v>
      </c>
      <c r="O736" s="45">
        <f t="shared" si="94"/>
        <v>0.44536423952996934</v>
      </c>
    </row>
    <row r="737" spans="1:15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95">
        <f t="shared" si="91"/>
        <v>1026.08</v>
      </c>
      <c r="G737" s="738">
        <v>135</v>
      </c>
      <c r="H737" s="740">
        <v>135</v>
      </c>
      <c r="I737" s="72">
        <f t="shared" si="95"/>
        <v>4.4999999999999998E-2</v>
      </c>
      <c r="J737" s="37">
        <f t="shared" si="93"/>
        <v>90.765450000000001</v>
      </c>
      <c r="K737" s="96">
        <f t="shared" si="92"/>
        <v>33.374455965000003</v>
      </c>
      <c r="L737" s="741">
        <v>42.074100000000001</v>
      </c>
      <c r="M737" s="262">
        <f t="shared" si="96"/>
        <v>4.4949168000000013</v>
      </c>
      <c r="N737" s="117">
        <f t="shared" si="97"/>
        <v>5.4793035792000016</v>
      </c>
      <c r="O737" s="45">
        <f t="shared" si="94"/>
        <v>0.17122602536159201</v>
      </c>
    </row>
    <row r="738" spans="1:15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95">
        <f t="shared" si="91"/>
        <v>1242.02</v>
      </c>
      <c r="G738" s="738">
        <v>394</v>
      </c>
      <c r="H738" s="740">
        <v>350</v>
      </c>
      <c r="I738" s="72">
        <f t="shared" si="95"/>
        <v>0.11666666666666667</v>
      </c>
      <c r="J738" s="37">
        <f t="shared" si="93"/>
        <v>235.31783333333334</v>
      </c>
      <c r="K738" s="96">
        <f t="shared" si="92"/>
        <v>86.526367316666679</v>
      </c>
      <c r="L738" s="741">
        <v>109.08100000000002</v>
      </c>
      <c r="M738" s="262">
        <f t="shared" si="96"/>
        <v>11.653488000000001</v>
      </c>
      <c r="N738" s="117">
        <f t="shared" si="97"/>
        <v>14.205601872000003</v>
      </c>
      <c r="O738" s="45">
        <f t="shared" si="94"/>
        <v>0.39688884483284315</v>
      </c>
    </row>
    <row r="739" spans="1:15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95">
        <f t="shared" si="91"/>
        <v>827.02</v>
      </c>
      <c r="G739" s="738">
        <v>196</v>
      </c>
      <c r="H739" s="740">
        <v>175</v>
      </c>
      <c r="I739" s="72">
        <f t="shared" si="95"/>
        <v>5.8333333333333334E-2</v>
      </c>
      <c r="J739" s="37">
        <f t="shared" si="93"/>
        <v>117.65891666666667</v>
      </c>
      <c r="K739" s="96">
        <f t="shared" si="92"/>
        <v>43.26318365833334</v>
      </c>
      <c r="L739" s="741">
        <v>54.540500000000009</v>
      </c>
      <c r="M739" s="262">
        <f t="shared" si="96"/>
        <v>5.8267440000000006</v>
      </c>
      <c r="N739" s="117">
        <f t="shared" si="97"/>
        <v>7.1028009360000013</v>
      </c>
      <c r="O739" s="45">
        <f t="shared" si="94"/>
        <v>0.32599119696679529</v>
      </c>
    </row>
    <row r="740" spans="1:15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95">
        <f t="shared" si="91"/>
        <v>487.41</v>
      </c>
      <c r="G740" s="738">
        <v>100</v>
      </c>
      <c r="H740" s="740">
        <v>95</v>
      </c>
      <c r="I740" s="72">
        <f t="shared" si="95"/>
        <v>3.1666666666666669E-2</v>
      </c>
      <c r="J740" s="37">
        <f t="shared" si="93"/>
        <v>63.87198333333334</v>
      </c>
      <c r="K740" s="96">
        <f t="shared" si="92"/>
        <v>23.48572827166667</v>
      </c>
      <c r="L740" s="741">
        <v>29.607700000000005</v>
      </c>
      <c r="M740" s="262">
        <f t="shared" si="96"/>
        <v>3.1630896000000011</v>
      </c>
      <c r="N740" s="117">
        <f t="shared" si="97"/>
        <v>3.8558062224000014</v>
      </c>
      <c r="O740" s="45">
        <f t="shared" si="94"/>
        <v>0.24646293921954826</v>
      </c>
    </row>
    <row r="741" spans="1:15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95">
        <f t="shared" si="91"/>
        <v>685</v>
      </c>
      <c r="G741" s="738">
        <v>227</v>
      </c>
      <c r="H741" s="740">
        <v>360</v>
      </c>
      <c r="I741" s="72">
        <f>H741/3000</f>
        <v>0.12</v>
      </c>
      <c r="J741" s="37">
        <f t="shared" si="93"/>
        <v>242.0412</v>
      </c>
      <c r="K741" s="96">
        <f t="shared" si="92"/>
        <v>88.998549240000003</v>
      </c>
      <c r="L741" s="741">
        <v>93.49799999999999</v>
      </c>
      <c r="M741" s="262">
        <f>I741*82.5*1.1*1.08</f>
        <v>11.761200000000001</v>
      </c>
      <c r="N741" s="117">
        <f t="shared" si="97"/>
        <v>14.336902800000003</v>
      </c>
      <c r="O741" s="45">
        <f t="shared" si="94"/>
        <v>0.99953940261168372</v>
      </c>
    </row>
    <row r="742" spans="1:15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95">
        <f t="shared" si="91"/>
        <v>636.55999999999995</v>
      </c>
      <c r="G742" s="738">
        <v>103</v>
      </c>
      <c r="H742" s="740">
        <v>90</v>
      </c>
      <c r="I742" s="72">
        <f t="shared" si="95"/>
        <v>0.03</v>
      </c>
      <c r="J742" s="37">
        <f t="shared" si="93"/>
        <v>60.510300000000001</v>
      </c>
      <c r="K742" s="96">
        <f t="shared" si="92"/>
        <v>22.249637310000001</v>
      </c>
      <c r="L742" s="741">
        <v>28.049400000000002</v>
      </c>
      <c r="M742" s="262">
        <f t="shared" si="96"/>
        <v>2.9966111999999998</v>
      </c>
      <c r="N742" s="117">
        <f t="shared" si="97"/>
        <v>3.6528690527999998</v>
      </c>
      <c r="O742" s="45">
        <f>(J742+K742+L742+M742)/C742</f>
        <v>0.17878275183800429</v>
      </c>
    </row>
    <row r="743" spans="1:15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95">
        <f t="shared" si="91"/>
        <v>505.1</v>
      </c>
      <c r="G743" s="738">
        <v>112</v>
      </c>
      <c r="H743" s="740">
        <v>93</v>
      </c>
      <c r="I743" s="72">
        <f t="shared" si="95"/>
        <v>3.1E-2</v>
      </c>
      <c r="J743" s="37">
        <f t="shared" si="93"/>
        <v>62.52731</v>
      </c>
      <c r="K743" s="96">
        <f t="shared" si="92"/>
        <v>22.991291887000003</v>
      </c>
      <c r="L743" s="741">
        <v>28.984380000000002</v>
      </c>
      <c r="M743" s="262">
        <f t="shared" si="96"/>
        <v>3.0964982400000003</v>
      </c>
      <c r="N743" s="117">
        <f t="shared" si="97"/>
        <v>3.7746313545600008</v>
      </c>
      <c r="O743" s="45">
        <f t="shared" si="94"/>
        <v>0.23757470732727273</v>
      </c>
    </row>
    <row r="744" spans="1:15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95">
        <f t="shared" si="91"/>
        <v>536.88</v>
      </c>
      <c r="G744" s="738">
        <v>175</v>
      </c>
      <c r="H744" s="740">
        <v>125</v>
      </c>
      <c r="I744" s="72">
        <f t="shared" si="95"/>
        <v>4.1666666666666664E-2</v>
      </c>
      <c r="J744" s="37">
        <f t="shared" si="93"/>
        <v>84.042083333333323</v>
      </c>
      <c r="K744" s="96">
        <f t="shared" si="92"/>
        <v>30.902274041666665</v>
      </c>
      <c r="L744" s="863">
        <v>25.971666666666664</v>
      </c>
      <c r="M744" s="262">
        <f t="shared" si="96"/>
        <v>4.1619600000000005</v>
      </c>
      <c r="N744" s="117">
        <f t="shared" si="97"/>
        <v>5.0734292400000012</v>
      </c>
      <c r="O744" s="45">
        <f>(J744+K744+L744+M744)/C744</f>
        <v>0.27022422895557041</v>
      </c>
    </row>
    <row r="745" spans="1:15" s="6" customFormat="1" ht="15.75">
      <c r="A745" s="248">
        <v>210</v>
      </c>
      <c r="B745" s="328" t="s">
        <v>1349</v>
      </c>
      <c r="C745" s="146"/>
      <c r="D745" s="146">
        <v>132.6</v>
      </c>
      <c r="E745" s="146"/>
      <c r="F745" s="95">
        <f t="shared" si="91"/>
        <v>132.6</v>
      </c>
      <c r="G745" s="16">
        <v>0</v>
      </c>
      <c r="H745" s="795">
        <v>0</v>
      </c>
      <c r="I745" s="72">
        <f t="shared" si="95"/>
        <v>0</v>
      </c>
      <c r="J745" s="37">
        <f t="shared" si="93"/>
        <v>0</v>
      </c>
      <c r="K745" s="96">
        <f>J745*0.3677</f>
        <v>0</v>
      </c>
      <c r="L745" s="37">
        <v>0</v>
      </c>
      <c r="M745" s="262">
        <f t="shared" si="96"/>
        <v>0</v>
      </c>
      <c r="N745" s="117">
        <f t="shared" si="97"/>
        <v>0</v>
      </c>
      <c r="O745" s="45">
        <v>0</v>
      </c>
    </row>
    <row r="746" spans="1:15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91"/>
        <v>380.2</v>
      </c>
      <c r="G746" s="16">
        <v>0</v>
      </c>
      <c r="H746" s="795">
        <v>0</v>
      </c>
      <c r="I746" s="72">
        <f t="shared" si="95"/>
        <v>0</v>
      </c>
      <c r="J746" s="37">
        <f t="shared" si="93"/>
        <v>0</v>
      </c>
      <c r="K746" s="96">
        <f>J746*0.3677</f>
        <v>0</v>
      </c>
      <c r="L746" s="37"/>
      <c r="M746" s="262">
        <f>I746*84.08*1.1*1.08</f>
        <v>0</v>
      </c>
      <c r="N746" s="117">
        <f t="shared" si="97"/>
        <v>0</v>
      </c>
      <c r="O746" s="45">
        <f>(J746+K746+L746+M746)/C746</f>
        <v>0</v>
      </c>
    </row>
    <row r="747" spans="1:15" s="69" customFormat="1" ht="15.75">
      <c r="A747" s="248"/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397">
        <f t="shared" si="91"/>
        <v>246324.39000000004</v>
      </c>
      <c r="G747" s="353">
        <f>SUM(G537:G745)</f>
        <v>93825.799999999974</v>
      </c>
      <c r="H747" s="389">
        <f>SUM(H537:H745)</f>
        <v>81318.7</v>
      </c>
      <c r="I747" s="72">
        <f>H747/3000</f>
        <v>27.106233333333332</v>
      </c>
      <c r="J747" s="37">
        <f>I747*2017.01</f>
        <v>54673.543695666667</v>
      </c>
      <c r="K747" s="64">
        <f>J747*0.3677</f>
        <v>20103.462016896636</v>
      </c>
      <c r="L747" s="37">
        <f>SUM(L536:L745)</f>
        <v>22483.889995333357</v>
      </c>
      <c r="M747" s="262">
        <f t="shared" si="96"/>
        <v>2707.5614132160003</v>
      </c>
      <c r="N747" s="37">
        <f>M747*1.08</f>
        <v>2924.1663262732804</v>
      </c>
      <c r="O747" s="45">
        <f t="shared" ref="O747:O774" si="98">(J747+K747+L747+M747)/F747</f>
        <v>0.40584067668294088</v>
      </c>
    </row>
    <row r="748" spans="1:15" s="6" customFormat="1" ht="15.75">
      <c r="A748" s="9" t="s">
        <v>622</v>
      </c>
      <c r="B748" s="106"/>
      <c r="C748" s="8"/>
      <c r="D748" s="8"/>
      <c r="E748" s="8"/>
      <c r="F748" s="40"/>
      <c r="G748" s="353"/>
      <c r="H748" s="8"/>
      <c r="I748" s="41"/>
      <c r="J748" s="37">
        <f>I748*2077.52</f>
        <v>0</v>
      </c>
      <c r="K748" s="37"/>
      <c r="L748" s="37">
        <v>0</v>
      </c>
      <c r="M748" s="37"/>
      <c r="N748" s="37"/>
      <c r="O748" s="45" t="e">
        <f t="shared" si="98"/>
        <v>#DIV/0!</v>
      </c>
    </row>
    <row r="749" spans="1:15" s="6" customFormat="1" ht="15.75">
      <c r="A749" s="8">
        <v>1</v>
      </c>
      <c r="B749" s="121" t="s">
        <v>336</v>
      </c>
      <c r="C749" s="8">
        <v>4275.08</v>
      </c>
      <c r="D749" s="142"/>
      <c r="E749" s="142"/>
      <c r="F749" s="40">
        <f>C749+D749+E749</f>
        <v>4275.08</v>
      </c>
      <c r="G749" s="366">
        <v>1940</v>
      </c>
      <c r="H749" s="339">
        <v>1940</v>
      </c>
      <c r="I749" s="41">
        <f>H749/3000</f>
        <v>0.64666666666666661</v>
      </c>
      <c r="J749" s="37">
        <f t="shared" ref="J749:J812" si="99">I749*2017.01</f>
        <v>1304.3331333333333</v>
      </c>
      <c r="K749" s="37">
        <f t="shared" ref="K749:K811" si="100">J749*0.3677</f>
        <v>479.6032931266667</v>
      </c>
      <c r="L749" s="37">
        <v>302.31019999999995</v>
      </c>
      <c r="M749" s="37">
        <f>I749*84.08*1.1</f>
        <v>59.808906666666658</v>
      </c>
      <c r="N749" s="37"/>
      <c r="O749" s="45">
        <f t="shared" si="98"/>
        <v>0.50199190029816199</v>
      </c>
    </row>
    <row r="750" spans="1:15" s="6" customFormat="1" ht="15.75">
      <c r="A750" s="8">
        <v>2</v>
      </c>
      <c r="B750" s="122" t="s">
        <v>337</v>
      </c>
      <c r="C750" s="8">
        <v>4574.41</v>
      </c>
      <c r="D750" s="55"/>
      <c r="E750" s="55"/>
      <c r="F750" s="40">
        <f>C750+D750+E750</f>
        <v>4574.41</v>
      </c>
      <c r="G750" s="366">
        <v>2645</v>
      </c>
      <c r="H750" s="339">
        <v>2645</v>
      </c>
      <c r="I750" s="41">
        <f t="shared" ref="I750:I812" si="101">H750/3000</f>
        <v>0.88166666666666671</v>
      </c>
      <c r="J750" s="37">
        <f t="shared" si="99"/>
        <v>1778.3304833333334</v>
      </c>
      <c r="K750" s="37">
        <f t="shared" si="100"/>
        <v>653.89211872166675</v>
      </c>
      <c r="L750" s="37">
        <v>412.17035000000004</v>
      </c>
      <c r="M750" s="37">
        <f t="shared" ref="M750:M812" si="102">I750*84.08*1.1</f>
        <v>81.54358666666667</v>
      </c>
      <c r="N750" s="37"/>
      <c r="O750" s="45">
        <f t="shared" si="98"/>
        <v>0.63963145820371736</v>
      </c>
    </row>
    <row r="751" spans="1:15" s="6" customFormat="1" ht="15.75">
      <c r="A751" s="8">
        <v>3</v>
      </c>
      <c r="B751" s="122" t="s">
        <v>338</v>
      </c>
      <c r="C751" s="8">
        <v>8527.85</v>
      </c>
      <c r="D751" s="55"/>
      <c r="E751" s="55"/>
      <c r="F751" s="40">
        <f>C751+D751+E751</f>
        <v>8527.85</v>
      </c>
      <c r="G751" s="366">
        <v>3312</v>
      </c>
      <c r="H751" s="339">
        <v>3312</v>
      </c>
      <c r="I751" s="41">
        <f t="shared" si="101"/>
        <v>1.1040000000000001</v>
      </c>
      <c r="J751" s="37">
        <f t="shared" si="99"/>
        <v>2226.7790400000004</v>
      </c>
      <c r="K751" s="37">
        <f t="shared" si="100"/>
        <v>818.78665300800014</v>
      </c>
      <c r="L751" s="37">
        <v>516.10896000000002</v>
      </c>
      <c r="M751" s="37">
        <f t="shared" si="102"/>
        <v>102.10675200000001</v>
      </c>
      <c r="N751" s="37"/>
      <c r="O751" s="45">
        <f t="shared" si="98"/>
        <v>0.42962545131633417</v>
      </c>
    </row>
    <row r="752" spans="1:15" s="6" customFormat="1" ht="15.75">
      <c r="A752" s="8">
        <v>4</v>
      </c>
      <c r="B752" s="122" t="s">
        <v>339</v>
      </c>
      <c r="C752" s="8">
        <v>5131.3999999999996</v>
      </c>
      <c r="D752" s="55"/>
      <c r="E752" s="55"/>
      <c r="F752" s="40">
        <f>C752+D752+E752</f>
        <v>5131.3999999999996</v>
      </c>
      <c r="G752" s="366">
        <v>2941</v>
      </c>
      <c r="H752" s="339">
        <v>2941</v>
      </c>
      <c r="I752" s="41">
        <f t="shared" si="101"/>
        <v>0.98033333333333328</v>
      </c>
      <c r="J752" s="37">
        <f t="shared" si="99"/>
        <v>1977.3421366666666</v>
      </c>
      <c r="K752" s="37">
        <f t="shared" si="100"/>
        <v>727.0687036523334</v>
      </c>
      <c r="L752" s="37">
        <v>305.53068666666667</v>
      </c>
      <c r="M752" s="37">
        <f t="shared" si="102"/>
        <v>90.669069333333326</v>
      </c>
      <c r="N752" s="37"/>
      <c r="O752" s="45">
        <f t="shared" si="98"/>
        <v>0.60424262312799637</v>
      </c>
    </row>
    <row r="753" spans="1:15" s="6" customFormat="1" ht="15.75">
      <c r="A753" s="8">
        <v>5</v>
      </c>
      <c r="B753" s="122" t="s">
        <v>340</v>
      </c>
      <c r="C753" s="8">
        <v>4290.1499999999996</v>
      </c>
      <c r="D753" s="55"/>
      <c r="E753" s="55"/>
      <c r="F753" s="40">
        <f>C753+D753+E753</f>
        <v>4290.1499999999996</v>
      </c>
      <c r="G753" s="366">
        <v>1603</v>
      </c>
      <c r="H753" s="339">
        <v>1603</v>
      </c>
      <c r="I753" s="41">
        <f t="shared" si="101"/>
        <v>0.53433333333333333</v>
      </c>
      <c r="J753" s="37">
        <f t="shared" si="99"/>
        <v>1077.7556766666667</v>
      </c>
      <c r="K753" s="37">
        <f t="shared" si="100"/>
        <v>396.29076231033338</v>
      </c>
      <c r="L753" s="37">
        <v>249.79548999999997</v>
      </c>
      <c r="M753" s="37">
        <f t="shared" si="102"/>
        <v>49.419421333333339</v>
      </c>
      <c r="N753" s="37"/>
      <c r="O753" s="45">
        <f t="shared" si="98"/>
        <v>0.41333318189581564</v>
      </c>
    </row>
    <row r="754" spans="1:15" s="6" customFormat="1" ht="15.75">
      <c r="A754" s="8">
        <v>6</v>
      </c>
      <c r="B754" s="122" t="s">
        <v>341</v>
      </c>
      <c r="C754" s="8">
        <v>5185.3900000000003</v>
      </c>
      <c r="D754" s="55"/>
      <c r="E754" s="55"/>
      <c r="F754" s="40">
        <f t="shared" ref="F754:F816" si="103">C754+D754+E754</f>
        <v>5185.3900000000003</v>
      </c>
      <c r="G754" s="366">
        <v>2953</v>
      </c>
      <c r="H754" s="339">
        <v>2953</v>
      </c>
      <c r="I754" s="41">
        <f t="shared" si="101"/>
        <v>0.98433333333333328</v>
      </c>
      <c r="J754" s="37">
        <f t="shared" si="99"/>
        <v>1985.4101766666665</v>
      </c>
      <c r="K754" s="37">
        <f t="shared" si="100"/>
        <v>730.03532196033336</v>
      </c>
      <c r="L754" s="37">
        <v>460.16598999999997</v>
      </c>
      <c r="M754" s="37">
        <f t="shared" si="102"/>
        <v>91.039021333333338</v>
      </c>
      <c r="N754" s="37"/>
      <c r="O754" s="45">
        <f t="shared" si="98"/>
        <v>0.62997200016977184</v>
      </c>
    </row>
    <row r="755" spans="1:15" s="6" customFormat="1" ht="15.75">
      <c r="A755" s="8">
        <v>7</v>
      </c>
      <c r="B755" s="122" t="s">
        <v>342</v>
      </c>
      <c r="C755" s="8">
        <v>4246.38</v>
      </c>
      <c r="D755" s="55"/>
      <c r="E755" s="55"/>
      <c r="F755" s="40">
        <f t="shared" si="103"/>
        <v>4246.38</v>
      </c>
      <c r="G755" s="366">
        <v>1868</v>
      </c>
      <c r="H755" s="339">
        <v>1868</v>
      </c>
      <c r="I755" s="41">
        <f t="shared" si="101"/>
        <v>0.6226666666666667</v>
      </c>
      <c r="J755" s="37">
        <f t="shared" si="99"/>
        <v>1255.9248933333333</v>
      </c>
      <c r="K755" s="37">
        <f t="shared" si="100"/>
        <v>461.80358327866668</v>
      </c>
      <c r="L755" s="37">
        <v>291.09044</v>
      </c>
      <c r="M755" s="37">
        <f t="shared" si="102"/>
        <v>57.589194666666671</v>
      </c>
      <c r="N755" s="37"/>
      <c r="O755" s="45">
        <f t="shared" si="98"/>
        <v>0.48662816593867403</v>
      </c>
    </row>
    <row r="756" spans="1:15" s="6" customFormat="1" ht="15.75">
      <c r="A756" s="8">
        <v>8</v>
      </c>
      <c r="B756" s="122" t="s">
        <v>343</v>
      </c>
      <c r="C756" s="8">
        <v>4446.42</v>
      </c>
      <c r="D756" s="55"/>
      <c r="E756" s="55"/>
      <c r="F756" s="40">
        <f t="shared" si="103"/>
        <v>4446.42</v>
      </c>
      <c r="G756" s="366">
        <v>1588</v>
      </c>
      <c r="H756" s="339">
        <v>1588</v>
      </c>
      <c r="I756" s="41">
        <f t="shared" si="101"/>
        <v>0.52933333333333332</v>
      </c>
      <c r="J756" s="37">
        <f t="shared" si="99"/>
        <v>1067.6706266666667</v>
      </c>
      <c r="K756" s="37">
        <f t="shared" si="100"/>
        <v>392.58248942533339</v>
      </c>
      <c r="L756" s="37">
        <v>247.45803999999995</v>
      </c>
      <c r="M756" s="37">
        <f t="shared" si="102"/>
        <v>48.956981333333339</v>
      </c>
      <c r="N756" s="37"/>
      <c r="O756" s="45">
        <f t="shared" si="98"/>
        <v>0.39507472020756779</v>
      </c>
    </row>
    <row r="757" spans="1:15" s="6" customFormat="1" ht="15.75">
      <c r="A757" s="8">
        <v>9</v>
      </c>
      <c r="B757" s="122" t="s">
        <v>344</v>
      </c>
      <c r="C757" s="8">
        <v>2920.24</v>
      </c>
      <c r="D757" s="55"/>
      <c r="E757" s="55"/>
      <c r="F757" s="40">
        <f t="shared" si="103"/>
        <v>2920.24</v>
      </c>
      <c r="G757" s="366">
        <v>721</v>
      </c>
      <c r="H757" s="339">
        <v>721</v>
      </c>
      <c r="I757" s="41">
        <f t="shared" si="101"/>
        <v>0.24033333333333334</v>
      </c>
      <c r="J757" s="37">
        <f t="shared" si="99"/>
        <v>484.7547366666667</v>
      </c>
      <c r="K757" s="37">
        <f t="shared" si="100"/>
        <v>178.24431667233335</v>
      </c>
      <c r="L757" s="37">
        <v>112.35343</v>
      </c>
      <c r="M757" s="37">
        <f t="shared" si="102"/>
        <v>22.227949333333335</v>
      </c>
      <c r="N757" s="37"/>
      <c r="O757" s="45">
        <f t="shared" si="98"/>
        <v>0.27312153544651585</v>
      </c>
    </row>
    <row r="758" spans="1:15" s="6" customFormat="1" ht="15.75">
      <c r="A758" s="8">
        <v>10</v>
      </c>
      <c r="B758" s="122" t="s">
        <v>345</v>
      </c>
      <c r="C758" s="8">
        <v>4278.99</v>
      </c>
      <c r="D758" s="55"/>
      <c r="E758" s="55"/>
      <c r="F758" s="40">
        <f t="shared" si="103"/>
        <v>4278.99</v>
      </c>
      <c r="G758" s="366">
        <v>1801</v>
      </c>
      <c r="H758" s="339">
        <v>1801</v>
      </c>
      <c r="I758" s="41">
        <f t="shared" si="101"/>
        <v>0.60033333333333339</v>
      </c>
      <c r="J758" s="37">
        <f t="shared" si="99"/>
        <v>1210.8783366666667</v>
      </c>
      <c r="K758" s="37">
        <f t="shared" si="100"/>
        <v>445.23996439233338</v>
      </c>
      <c r="L758" s="37">
        <v>467.7497166666667</v>
      </c>
      <c r="M758" s="37">
        <f t="shared" si="102"/>
        <v>55.523629333333339</v>
      </c>
      <c r="N758" s="37"/>
      <c r="O758" s="45">
        <f t="shared" si="98"/>
        <v>0.50932384676267062</v>
      </c>
    </row>
    <row r="759" spans="1:15" s="6" customFormat="1" ht="15.75">
      <c r="A759" s="8">
        <v>11</v>
      </c>
      <c r="B759" s="122" t="s">
        <v>346</v>
      </c>
      <c r="C759" s="8">
        <v>8595.7800000000007</v>
      </c>
      <c r="D759" s="55"/>
      <c r="E759" s="55"/>
      <c r="F759" s="40">
        <f t="shared" si="103"/>
        <v>8595.7800000000007</v>
      </c>
      <c r="G759" s="366">
        <v>2651</v>
      </c>
      <c r="H759" s="339">
        <v>2651</v>
      </c>
      <c r="I759" s="41">
        <f t="shared" si="101"/>
        <v>0.88366666666666671</v>
      </c>
      <c r="J759" s="37">
        <f t="shared" si="99"/>
        <v>1782.3645033333335</v>
      </c>
      <c r="K759" s="37">
        <f t="shared" si="100"/>
        <v>655.37542787566679</v>
      </c>
      <c r="L759" s="37">
        <v>688.5088833333333</v>
      </c>
      <c r="M759" s="37">
        <f t="shared" si="102"/>
        <v>81.728562666666676</v>
      </c>
      <c r="N759" s="37"/>
      <c r="O759" s="45">
        <f t="shared" si="98"/>
        <v>0.37320375547175472</v>
      </c>
    </row>
    <row r="760" spans="1:15" s="6" customFormat="1" ht="15.75">
      <c r="A760" s="8">
        <v>12</v>
      </c>
      <c r="B760" s="122" t="s">
        <v>347</v>
      </c>
      <c r="C760" s="8">
        <v>4516.6000000000004</v>
      </c>
      <c r="D760" s="55"/>
      <c r="E760" s="55"/>
      <c r="F760" s="40">
        <f t="shared" si="103"/>
        <v>4516.6000000000004</v>
      </c>
      <c r="G760" s="366">
        <v>1772</v>
      </c>
      <c r="H760" s="339">
        <v>1772</v>
      </c>
      <c r="I760" s="41">
        <f t="shared" si="101"/>
        <v>0.59066666666666667</v>
      </c>
      <c r="J760" s="37">
        <f t="shared" si="99"/>
        <v>1191.3805733333334</v>
      </c>
      <c r="K760" s="37">
        <f t="shared" si="100"/>
        <v>438.07063681466673</v>
      </c>
      <c r="L760" s="37">
        <v>460.21793333333335</v>
      </c>
      <c r="M760" s="37">
        <f t="shared" si="102"/>
        <v>54.629578666666667</v>
      </c>
      <c r="N760" s="37"/>
      <c r="O760" s="45">
        <f t="shared" si="98"/>
        <v>0.4747594921285922</v>
      </c>
    </row>
    <row r="761" spans="1:15" s="6" customFormat="1" ht="15.75">
      <c r="A761" s="8">
        <v>13</v>
      </c>
      <c r="B761" s="122" t="s">
        <v>348</v>
      </c>
      <c r="C761" s="8">
        <v>5874.29</v>
      </c>
      <c r="D761" s="55"/>
      <c r="E761" s="55"/>
      <c r="F761" s="40">
        <f t="shared" si="103"/>
        <v>5874.29</v>
      </c>
      <c r="G761" s="366">
        <v>2825</v>
      </c>
      <c r="H761" s="339">
        <v>2825</v>
      </c>
      <c r="I761" s="41">
        <f t="shared" si="101"/>
        <v>0.94166666666666665</v>
      </c>
      <c r="J761" s="37">
        <f t="shared" si="99"/>
        <v>1899.3510833333332</v>
      </c>
      <c r="K761" s="37">
        <f t="shared" si="100"/>
        <v>698.39139334166669</v>
      </c>
      <c r="L761" s="37">
        <v>733.69958333333329</v>
      </c>
      <c r="M761" s="37">
        <f t="shared" si="102"/>
        <v>87.092866666666666</v>
      </c>
      <c r="N761" s="37"/>
      <c r="O761" s="45">
        <f t="shared" si="98"/>
        <v>0.58194861450064606</v>
      </c>
    </row>
    <row r="762" spans="1:15" s="6" customFormat="1" ht="15.75">
      <c r="A762" s="8">
        <v>14</v>
      </c>
      <c r="B762" s="122" t="s">
        <v>349</v>
      </c>
      <c r="C762" s="8">
        <v>5810.95</v>
      </c>
      <c r="D762" s="55"/>
      <c r="E762" s="55"/>
      <c r="F762" s="40">
        <f t="shared" si="103"/>
        <v>5810.95</v>
      </c>
      <c r="G762" s="366">
        <v>2869</v>
      </c>
      <c r="H762" s="339">
        <v>2869</v>
      </c>
      <c r="I762" s="41">
        <f t="shared" si="101"/>
        <v>0.95633333333333337</v>
      </c>
      <c r="J762" s="37">
        <f t="shared" si="99"/>
        <v>1928.9338966666667</v>
      </c>
      <c r="K762" s="37">
        <f t="shared" si="100"/>
        <v>709.26899380433338</v>
      </c>
      <c r="L762" s="37">
        <v>745.12711666666667</v>
      </c>
      <c r="M762" s="37">
        <f t="shared" si="102"/>
        <v>88.449357333333339</v>
      </c>
      <c r="N762" s="37"/>
      <c r="O762" s="45">
        <f t="shared" si="98"/>
        <v>0.59745469578485444</v>
      </c>
    </row>
    <row r="763" spans="1:15" s="6" customFormat="1" ht="15.75">
      <c r="A763" s="8">
        <v>15</v>
      </c>
      <c r="B763" s="122" t="s">
        <v>350</v>
      </c>
      <c r="C763" s="8">
        <v>4315.22</v>
      </c>
      <c r="D763" s="55"/>
      <c r="E763" s="55">
        <v>220.4</v>
      </c>
      <c r="F763" s="40">
        <f t="shared" si="103"/>
        <v>4535.62</v>
      </c>
      <c r="G763" s="366">
        <v>2595</v>
      </c>
      <c r="H763" s="339">
        <v>2595</v>
      </c>
      <c r="I763" s="41">
        <f t="shared" si="101"/>
        <v>0.86499999999999999</v>
      </c>
      <c r="J763" s="37">
        <f t="shared" si="99"/>
        <v>1744.7136499999999</v>
      </c>
      <c r="K763" s="37">
        <f t="shared" si="100"/>
        <v>641.53120910500002</v>
      </c>
      <c r="L763" s="37">
        <v>296.54449</v>
      </c>
      <c r="M763" s="37">
        <f t="shared" si="102"/>
        <v>80.002119999999991</v>
      </c>
      <c r="N763" s="37"/>
      <c r="O763" s="45">
        <f t="shared" si="98"/>
        <v>0.60913204128762999</v>
      </c>
    </row>
    <row r="764" spans="1:15" s="6" customFormat="1" ht="15.75">
      <c r="A764" s="8">
        <v>16</v>
      </c>
      <c r="B764" s="122" t="s">
        <v>351</v>
      </c>
      <c r="C764" s="8">
        <v>6019.4</v>
      </c>
      <c r="D764" s="55"/>
      <c r="E764" s="55">
        <v>951.1</v>
      </c>
      <c r="F764" s="40">
        <f t="shared" si="103"/>
        <v>6970.5</v>
      </c>
      <c r="G764" s="366">
        <v>3995</v>
      </c>
      <c r="H764" s="339">
        <v>3995</v>
      </c>
      <c r="I764" s="41">
        <f t="shared" si="101"/>
        <v>1.3316666666666668</v>
      </c>
      <c r="J764" s="37">
        <f t="shared" si="99"/>
        <v>2685.9849833333337</v>
      </c>
      <c r="K764" s="37">
        <f t="shared" si="100"/>
        <v>987.6366783716669</v>
      </c>
      <c r="L764" s="37">
        <v>1037.5680833333333</v>
      </c>
      <c r="M764" s="37">
        <f t="shared" si="102"/>
        <v>123.16318666666669</v>
      </c>
      <c r="N764" s="37"/>
      <c r="O764" s="45">
        <f t="shared" si="98"/>
        <v>0.69354464266623639</v>
      </c>
    </row>
    <row r="765" spans="1:15" s="6" customFormat="1" ht="15.75">
      <c r="A765" s="8">
        <v>17</v>
      </c>
      <c r="B765" s="122" t="s">
        <v>352</v>
      </c>
      <c r="C765" s="8">
        <v>7260.15</v>
      </c>
      <c r="D765" s="55"/>
      <c r="E765" s="55">
        <v>68.5</v>
      </c>
      <c r="F765" s="40">
        <f t="shared" si="103"/>
        <v>7328.65</v>
      </c>
      <c r="G765" s="366">
        <v>3166</v>
      </c>
      <c r="H765" s="339">
        <v>3166</v>
      </c>
      <c r="I765" s="41">
        <f t="shared" si="101"/>
        <v>1.0553333333333332</v>
      </c>
      <c r="J765" s="37">
        <f t="shared" si="99"/>
        <v>2128.6178866666664</v>
      </c>
      <c r="K765" s="37">
        <f t="shared" si="100"/>
        <v>782.69279692733335</v>
      </c>
      <c r="L765" s="37">
        <v>822.26296666666656</v>
      </c>
      <c r="M765" s="37">
        <f t="shared" si="102"/>
        <v>97.605669333333324</v>
      </c>
      <c r="N765" s="37"/>
      <c r="O765" s="45">
        <f t="shared" si="98"/>
        <v>0.52276740185354742</v>
      </c>
    </row>
    <row r="766" spans="1:15" s="6" customFormat="1" ht="15.75">
      <c r="A766" s="8">
        <v>18</v>
      </c>
      <c r="B766" s="122" t="s">
        <v>353</v>
      </c>
      <c r="C766" s="8">
        <v>6364.4</v>
      </c>
      <c r="D766" s="55"/>
      <c r="E766" s="55">
        <v>171.2</v>
      </c>
      <c r="F766" s="40">
        <f t="shared" si="103"/>
        <v>6535.5999999999995</v>
      </c>
      <c r="G766" s="366">
        <v>3318</v>
      </c>
      <c r="H766" s="339">
        <v>3318</v>
      </c>
      <c r="I766" s="41">
        <f t="shared" si="101"/>
        <v>1.1060000000000001</v>
      </c>
      <c r="J766" s="37">
        <f t="shared" si="99"/>
        <v>2230.8130600000004</v>
      </c>
      <c r="K766" s="37">
        <f t="shared" si="100"/>
        <v>820.26996216200018</v>
      </c>
      <c r="L766" s="37">
        <v>861.73990000000003</v>
      </c>
      <c r="M766" s="37">
        <f t="shared" si="102"/>
        <v>102.29172800000001</v>
      </c>
      <c r="N766" s="37"/>
      <c r="O766" s="45">
        <f t="shared" si="98"/>
        <v>0.61434522464073704</v>
      </c>
    </row>
    <row r="767" spans="1:15" s="6" customFormat="1" ht="15.75">
      <c r="A767" s="8">
        <v>19</v>
      </c>
      <c r="B767" s="122" t="s">
        <v>354</v>
      </c>
      <c r="C767" s="8">
        <v>11062.33</v>
      </c>
      <c r="D767" s="55"/>
      <c r="E767" s="55"/>
      <c r="F767" s="40">
        <f t="shared" si="103"/>
        <v>11062.33</v>
      </c>
      <c r="G767" s="366">
        <v>5485</v>
      </c>
      <c r="H767" s="339">
        <v>5485</v>
      </c>
      <c r="I767" s="41">
        <f t="shared" si="101"/>
        <v>1.8283333333333334</v>
      </c>
      <c r="J767" s="37">
        <f t="shared" si="99"/>
        <v>3687.7666166666668</v>
      </c>
      <c r="K767" s="37">
        <f t="shared" si="100"/>
        <v>1355.9917849483334</v>
      </c>
      <c r="L767" s="37">
        <v>1424.5459166666667</v>
      </c>
      <c r="M767" s="37">
        <f t="shared" si="102"/>
        <v>169.09889333333336</v>
      </c>
      <c r="N767" s="37"/>
      <c r="O767" s="45">
        <f t="shared" si="98"/>
        <v>0.60000047111368049</v>
      </c>
    </row>
    <row r="768" spans="1:15" s="6" customFormat="1" ht="15.75">
      <c r="A768" s="8">
        <v>20</v>
      </c>
      <c r="B768" s="122" t="s">
        <v>355</v>
      </c>
      <c r="C768" s="8">
        <v>8492.94</v>
      </c>
      <c r="D768" s="55"/>
      <c r="E768" s="55"/>
      <c r="F768" s="40">
        <f t="shared" si="103"/>
        <v>8492.94</v>
      </c>
      <c r="G768" s="366">
        <v>3856</v>
      </c>
      <c r="H768" s="339">
        <v>3856</v>
      </c>
      <c r="I768" s="41">
        <f t="shared" si="101"/>
        <v>1.2853333333333334</v>
      </c>
      <c r="J768" s="37">
        <f t="shared" si="99"/>
        <v>2592.5301866666669</v>
      </c>
      <c r="K768" s="37">
        <f t="shared" si="100"/>
        <v>953.27334963733347</v>
      </c>
      <c r="L768" s="37">
        <v>1001.4674666666667</v>
      </c>
      <c r="M768" s="37">
        <f t="shared" si="102"/>
        <v>118.87790933333335</v>
      </c>
      <c r="N768" s="37"/>
      <c r="O768" s="45">
        <f t="shared" si="98"/>
        <v>0.54941503322806939</v>
      </c>
    </row>
    <row r="769" spans="1:15" s="6" customFormat="1" ht="15.75">
      <c r="A769" s="8">
        <v>21</v>
      </c>
      <c r="B769" s="122" t="s">
        <v>365</v>
      </c>
      <c r="C769" s="8">
        <v>3876.37</v>
      </c>
      <c r="D769" s="55"/>
      <c r="E769" s="55"/>
      <c r="F769" s="40">
        <f t="shared" si="103"/>
        <v>3876.37</v>
      </c>
      <c r="G769" s="366">
        <v>2578</v>
      </c>
      <c r="H769" s="339">
        <v>2578</v>
      </c>
      <c r="I769" s="41">
        <f t="shared" si="101"/>
        <v>0.85933333333333328</v>
      </c>
      <c r="J769" s="37">
        <f t="shared" si="99"/>
        <v>1733.2839266666665</v>
      </c>
      <c r="K769" s="37">
        <f t="shared" si="100"/>
        <v>637.32849983533333</v>
      </c>
      <c r="L769" s="37">
        <v>535.63965333333329</v>
      </c>
      <c r="M769" s="37">
        <f t="shared" si="102"/>
        <v>79.478021333333345</v>
      </c>
      <c r="N769" s="37"/>
      <c r="O769" s="45">
        <f t="shared" si="98"/>
        <v>0.77023867720797201</v>
      </c>
    </row>
    <row r="770" spans="1:15" s="6" customFormat="1" ht="15.75">
      <c r="A770" s="8">
        <v>22</v>
      </c>
      <c r="B770" s="122" t="s">
        <v>366</v>
      </c>
      <c r="C770" s="8">
        <v>5649.66</v>
      </c>
      <c r="D770" s="55"/>
      <c r="E770" s="55">
        <v>46.1</v>
      </c>
      <c r="F770" s="40">
        <f t="shared" si="103"/>
        <v>5695.76</v>
      </c>
      <c r="G770" s="366">
        <v>3749</v>
      </c>
      <c r="H770" s="339">
        <v>3749</v>
      </c>
      <c r="I770" s="41">
        <f t="shared" si="101"/>
        <v>1.2496666666666667</v>
      </c>
      <c r="J770" s="37">
        <f t="shared" si="99"/>
        <v>2520.5901633333333</v>
      </c>
      <c r="K770" s="37">
        <f t="shared" si="100"/>
        <v>926.82100305766676</v>
      </c>
      <c r="L770" s="37">
        <v>486.83889166666665</v>
      </c>
      <c r="M770" s="37">
        <f t="shared" si="102"/>
        <v>115.57917066666667</v>
      </c>
      <c r="N770" s="37"/>
      <c r="O770" s="45">
        <f t="shared" si="98"/>
        <v>0.71102525891616453</v>
      </c>
    </row>
    <row r="771" spans="1:15" s="6" customFormat="1" ht="15.75">
      <c r="A771" s="8">
        <v>23</v>
      </c>
      <c r="B771" s="122" t="s">
        <v>367</v>
      </c>
      <c r="C771" s="8">
        <v>5815.2</v>
      </c>
      <c r="D771" s="55"/>
      <c r="E771" s="55"/>
      <c r="F771" s="40">
        <f t="shared" si="103"/>
        <v>5815.2</v>
      </c>
      <c r="G771" s="366">
        <v>3825</v>
      </c>
      <c r="H771" s="339">
        <v>3825</v>
      </c>
      <c r="I771" s="41">
        <f t="shared" si="101"/>
        <v>1.2749999999999999</v>
      </c>
      <c r="J771" s="37">
        <f t="shared" si="99"/>
        <v>2571.6877499999996</v>
      </c>
      <c r="K771" s="37">
        <f t="shared" si="100"/>
        <v>945.60958567499995</v>
      </c>
      <c r="L771" s="37">
        <v>596.0497499999999</v>
      </c>
      <c r="M771" s="37">
        <f t="shared" si="102"/>
        <v>117.92219999999999</v>
      </c>
      <c r="N771" s="37"/>
      <c r="O771" s="45">
        <f t="shared" si="98"/>
        <v>0.72762231491178275</v>
      </c>
    </row>
    <row r="772" spans="1:15" s="6" customFormat="1" ht="15.75">
      <c r="A772" s="8">
        <v>24</v>
      </c>
      <c r="B772" s="122" t="s">
        <v>368</v>
      </c>
      <c r="C772" s="8">
        <v>5690.31</v>
      </c>
      <c r="D772" s="55"/>
      <c r="E772" s="55"/>
      <c r="F772" s="40">
        <f t="shared" si="103"/>
        <v>5690.31</v>
      </c>
      <c r="G772" s="366">
        <v>3730</v>
      </c>
      <c r="H772" s="339">
        <v>3730</v>
      </c>
      <c r="I772" s="41">
        <f t="shared" si="101"/>
        <v>1.2433333333333334</v>
      </c>
      <c r="J772" s="37">
        <f t="shared" si="99"/>
        <v>2507.8157666666666</v>
      </c>
      <c r="K772" s="37">
        <f t="shared" si="100"/>
        <v>922.12385740333343</v>
      </c>
      <c r="L772" s="37">
        <v>774.99453333333338</v>
      </c>
      <c r="M772" s="37">
        <f t="shared" si="102"/>
        <v>114.99341333333335</v>
      </c>
      <c r="N772" s="37"/>
      <c r="O772" s="45">
        <f t="shared" si="98"/>
        <v>0.75917262341360425</v>
      </c>
    </row>
    <row r="773" spans="1:15" s="6" customFormat="1" ht="15.75">
      <c r="A773" s="8">
        <v>25</v>
      </c>
      <c r="B773" s="122" t="s">
        <v>369</v>
      </c>
      <c r="C773" s="8">
        <v>3955.02</v>
      </c>
      <c r="D773" s="55"/>
      <c r="E773" s="55"/>
      <c r="F773" s="40">
        <f t="shared" si="103"/>
        <v>3955.02</v>
      </c>
      <c r="G773" s="366">
        <v>2641</v>
      </c>
      <c r="H773" s="339">
        <v>2641</v>
      </c>
      <c r="I773" s="41">
        <f t="shared" si="101"/>
        <v>0.8803333333333333</v>
      </c>
      <c r="J773" s="37">
        <f t="shared" si="99"/>
        <v>1775.6411366666666</v>
      </c>
      <c r="K773" s="37">
        <f t="shared" si="100"/>
        <v>652.90324595233335</v>
      </c>
      <c r="L773" s="37">
        <v>548.72937333333334</v>
      </c>
      <c r="M773" s="37">
        <f t="shared" si="102"/>
        <v>81.420269333333323</v>
      </c>
      <c r="N773" s="37"/>
      <c r="O773" s="45">
        <f t="shared" si="98"/>
        <v>0.7733700525624817</v>
      </c>
    </row>
    <row r="774" spans="1:15" s="6" customFormat="1" ht="15.75">
      <c r="A774" s="8">
        <v>26</v>
      </c>
      <c r="B774" s="122" t="s">
        <v>370</v>
      </c>
      <c r="C774" s="8">
        <v>3905.27</v>
      </c>
      <c r="D774" s="55"/>
      <c r="E774" s="55"/>
      <c r="F774" s="40">
        <f t="shared" si="103"/>
        <v>3905.27</v>
      </c>
      <c r="G774" s="366">
        <v>2621</v>
      </c>
      <c r="H774" s="339">
        <v>2621</v>
      </c>
      <c r="I774" s="41">
        <f t="shared" si="101"/>
        <v>0.8736666666666667</v>
      </c>
      <c r="J774" s="37">
        <f t="shared" si="99"/>
        <v>1762.1944033333334</v>
      </c>
      <c r="K774" s="37">
        <f t="shared" si="100"/>
        <v>647.9588821056667</v>
      </c>
      <c r="L774" s="37">
        <v>476.50216833333332</v>
      </c>
      <c r="M774" s="37">
        <f t="shared" si="102"/>
        <v>80.803682666666674</v>
      </c>
      <c r="N774" s="37"/>
      <c r="O774" s="45">
        <f t="shared" si="98"/>
        <v>0.75986017264849814</v>
      </c>
    </row>
    <row r="775" spans="1:15" s="6" customFormat="1" ht="15.75">
      <c r="A775" s="8">
        <v>27</v>
      </c>
      <c r="B775" s="122" t="s">
        <v>371</v>
      </c>
      <c r="C775" s="8">
        <v>4170.17</v>
      </c>
      <c r="D775" s="55"/>
      <c r="E775" s="55">
        <v>689.1</v>
      </c>
      <c r="F775" s="40">
        <f t="shared" si="103"/>
        <v>4859.2700000000004</v>
      </c>
      <c r="G775" s="366">
        <v>2600</v>
      </c>
      <c r="H775" s="339">
        <v>2600</v>
      </c>
      <c r="I775" s="41">
        <f t="shared" si="101"/>
        <v>0.8666666666666667</v>
      </c>
      <c r="J775" s="37">
        <f t="shared" si="99"/>
        <v>1748.0753333333334</v>
      </c>
      <c r="K775" s="37">
        <f t="shared" si="100"/>
        <v>642.76730006666673</v>
      </c>
      <c r="L775" s="37">
        <v>675.26333333333332</v>
      </c>
      <c r="M775" s="37">
        <f t="shared" si="102"/>
        <v>80.156266666666667</v>
      </c>
      <c r="N775" s="37"/>
      <c r="O775" s="45">
        <f t="shared" ref="O775:O838" si="104">(J775+K775+L775+M775)/F775</f>
        <v>0.64747631504320602</v>
      </c>
    </row>
    <row r="776" spans="1:15" s="6" customFormat="1" ht="15.75">
      <c r="A776" s="8">
        <v>28</v>
      </c>
      <c r="B776" s="122" t="s">
        <v>372</v>
      </c>
      <c r="C776" s="8">
        <v>4268.12</v>
      </c>
      <c r="D776" s="55">
        <v>216.9</v>
      </c>
      <c r="E776" s="55">
        <v>468.4</v>
      </c>
      <c r="F776" s="40">
        <f t="shared" si="103"/>
        <v>4953.4199999999992</v>
      </c>
      <c r="G776" s="366">
        <v>2680</v>
      </c>
      <c r="H776" s="339">
        <v>2680</v>
      </c>
      <c r="I776" s="41">
        <f t="shared" si="101"/>
        <v>0.89333333333333331</v>
      </c>
      <c r="J776" s="37">
        <f t="shared" si="99"/>
        <v>1801.8622666666665</v>
      </c>
      <c r="K776" s="37">
        <f t="shared" si="100"/>
        <v>662.54475545333332</v>
      </c>
      <c r="L776" s="37">
        <v>696.04066666666665</v>
      </c>
      <c r="M776" s="37">
        <f t="shared" si="102"/>
        <v>82.622613333333334</v>
      </c>
      <c r="N776" s="37"/>
      <c r="O776" s="45">
        <f t="shared" si="104"/>
        <v>0.65471337018060261</v>
      </c>
    </row>
    <row r="777" spans="1:15" s="6" customFormat="1" ht="15.75">
      <c r="A777" s="8">
        <v>29</v>
      </c>
      <c r="B777" s="122" t="s">
        <v>373</v>
      </c>
      <c r="C777" s="8">
        <v>10932.24</v>
      </c>
      <c r="D777" s="55"/>
      <c r="E777" s="55"/>
      <c r="F777" s="40">
        <f t="shared" si="103"/>
        <v>10932.24</v>
      </c>
      <c r="G777" s="366">
        <v>6351</v>
      </c>
      <c r="H777" s="339">
        <v>6351</v>
      </c>
      <c r="I777" s="41">
        <f t="shared" si="101"/>
        <v>2.117</v>
      </c>
      <c r="J777" s="37">
        <f t="shared" si="99"/>
        <v>4270.0101699999996</v>
      </c>
      <c r="K777" s="37">
        <f t="shared" si="100"/>
        <v>1570.082739509</v>
      </c>
      <c r="L777" s="37">
        <v>1649.46055</v>
      </c>
      <c r="M777" s="37">
        <f t="shared" si="102"/>
        <v>195.79709600000001</v>
      </c>
      <c r="N777" s="37"/>
      <c r="O777" s="45">
        <f t="shared" si="104"/>
        <v>0.70299870433772038</v>
      </c>
    </row>
    <row r="778" spans="1:15" s="6" customFormat="1" ht="15.75">
      <c r="A778" s="8">
        <v>30</v>
      </c>
      <c r="B778" s="122" t="s">
        <v>374</v>
      </c>
      <c r="C778" s="8">
        <v>4713.08</v>
      </c>
      <c r="D778" s="55"/>
      <c r="E778" s="55"/>
      <c r="F778" s="40">
        <f t="shared" si="103"/>
        <v>4713.08</v>
      </c>
      <c r="G778" s="366">
        <v>1745</v>
      </c>
      <c r="H778" s="339">
        <v>1745</v>
      </c>
      <c r="I778" s="41">
        <f t="shared" si="101"/>
        <v>0.58166666666666667</v>
      </c>
      <c r="J778" s="37">
        <f t="shared" si="99"/>
        <v>1173.2274833333333</v>
      </c>
      <c r="K778" s="37">
        <f t="shared" si="100"/>
        <v>431.39574562166672</v>
      </c>
      <c r="L778" s="37">
        <v>453.20558333333332</v>
      </c>
      <c r="M778" s="37">
        <f t="shared" si="102"/>
        <v>53.797186666666676</v>
      </c>
      <c r="N778" s="37"/>
      <c r="O778" s="45">
        <f t="shared" si="104"/>
        <v>0.44803525485563578</v>
      </c>
    </row>
    <row r="779" spans="1:15" s="6" customFormat="1" ht="15.75">
      <c r="A779" s="8">
        <v>31</v>
      </c>
      <c r="B779" s="122" t="s">
        <v>375</v>
      </c>
      <c r="C779" s="8">
        <v>4688.58</v>
      </c>
      <c r="D779" s="55"/>
      <c r="E779" s="55"/>
      <c r="F779" s="40">
        <f t="shared" si="103"/>
        <v>4688.58</v>
      </c>
      <c r="G779" s="366">
        <v>1885</v>
      </c>
      <c r="H779" s="339">
        <v>1885</v>
      </c>
      <c r="I779" s="41">
        <f t="shared" si="101"/>
        <v>0.6283333333333333</v>
      </c>
      <c r="J779" s="37">
        <f t="shared" si="99"/>
        <v>1267.3546166666665</v>
      </c>
      <c r="K779" s="37">
        <f t="shared" si="100"/>
        <v>466.00629254833331</v>
      </c>
      <c r="L779" s="37">
        <v>489.56591666666662</v>
      </c>
      <c r="M779" s="37">
        <f t="shared" si="102"/>
        <v>58.113293333333331</v>
      </c>
      <c r="N779" s="37"/>
      <c r="O779" s="45">
        <f t="shared" si="104"/>
        <v>0.48650980024122437</v>
      </c>
    </row>
    <row r="780" spans="1:15" s="6" customFormat="1" ht="15.75">
      <c r="A780" s="8">
        <v>32</v>
      </c>
      <c r="B780" s="122" t="s">
        <v>376</v>
      </c>
      <c r="C780" s="8">
        <v>2330.62</v>
      </c>
      <c r="D780" s="55"/>
      <c r="E780" s="55"/>
      <c r="F780" s="40">
        <f t="shared" si="103"/>
        <v>2330.62</v>
      </c>
      <c r="G780" s="366">
        <v>802</v>
      </c>
      <c r="H780" s="339">
        <v>802</v>
      </c>
      <c r="I780" s="41">
        <f t="shared" si="101"/>
        <v>0.26733333333333331</v>
      </c>
      <c r="J780" s="37">
        <f t="shared" si="99"/>
        <v>539.21400666666659</v>
      </c>
      <c r="K780" s="37">
        <f t="shared" si="100"/>
        <v>198.26899025133332</v>
      </c>
      <c r="L780" s="37">
        <v>208.29276666666664</v>
      </c>
      <c r="M780" s="37">
        <f t="shared" si="102"/>
        <v>24.725125333333331</v>
      </c>
      <c r="N780" s="37"/>
      <c r="O780" s="45">
        <f t="shared" si="104"/>
        <v>0.41641318143584105</v>
      </c>
    </row>
    <row r="781" spans="1:15" s="6" customFormat="1" ht="15.75">
      <c r="A781" s="8">
        <v>33</v>
      </c>
      <c r="B781" s="122" t="s">
        <v>377</v>
      </c>
      <c r="C781" s="8">
        <v>2305.7800000000002</v>
      </c>
      <c r="D781" s="55"/>
      <c r="E781" s="55"/>
      <c r="F781" s="40">
        <f t="shared" si="103"/>
        <v>2305.7800000000002</v>
      </c>
      <c r="G781" s="366">
        <v>932</v>
      </c>
      <c r="H781" s="339">
        <v>932</v>
      </c>
      <c r="I781" s="41">
        <f t="shared" si="101"/>
        <v>0.31066666666666665</v>
      </c>
      <c r="J781" s="37">
        <f t="shared" si="99"/>
        <v>626.61777333333328</v>
      </c>
      <c r="K781" s="37">
        <f t="shared" si="100"/>
        <v>230.40735525466667</v>
      </c>
      <c r="L781" s="37">
        <v>242.05593333333331</v>
      </c>
      <c r="M781" s="37">
        <f t="shared" si="102"/>
        <v>28.732938666666669</v>
      </c>
      <c r="N781" s="37"/>
      <c r="O781" s="45">
        <f t="shared" si="104"/>
        <v>0.48912472160743864</v>
      </c>
    </row>
    <row r="782" spans="1:15" s="6" customFormat="1" ht="15.75">
      <c r="A782" s="8">
        <v>34</v>
      </c>
      <c r="B782" s="122" t="s">
        <v>378</v>
      </c>
      <c r="C782" s="8">
        <v>2216.46</v>
      </c>
      <c r="D782" s="55"/>
      <c r="E782" s="55"/>
      <c r="F782" s="40">
        <f t="shared" si="103"/>
        <v>2216.46</v>
      </c>
      <c r="G782" s="366">
        <v>747</v>
      </c>
      <c r="H782" s="339">
        <v>747</v>
      </c>
      <c r="I782" s="41">
        <f t="shared" si="101"/>
        <v>0.249</v>
      </c>
      <c r="J782" s="37">
        <f t="shared" si="99"/>
        <v>502.23548999999997</v>
      </c>
      <c r="K782" s="37">
        <f t="shared" si="100"/>
        <v>184.67198967300001</v>
      </c>
      <c r="L782" s="37">
        <v>194.00835000000001</v>
      </c>
      <c r="M782" s="37">
        <f t="shared" si="102"/>
        <v>23.029512</v>
      </c>
      <c r="N782" s="37"/>
      <c r="O782" s="45">
        <f t="shared" si="104"/>
        <v>0.40783291450014886</v>
      </c>
    </row>
    <row r="783" spans="1:15" s="6" customFormat="1" ht="15.75">
      <c r="A783" s="8">
        <v>35</v>
      </c>
      <c r="B783" s="122" t="s">
        <v>379</v>
      </c>
      <c r="C783" s="8">
        <v>5733.87</v>
      </c>
      <c r="D783" s="55"/>
      <c r="E783" s="55">
        <v>119.9</v>
      </c>
      <c r="F783" s="40">
        <f t="shared" si="103"/>
        <v>5853.7699999999995</v>
      </c>
      <c r="G783" s="366">
        <v>3830</v>
      </c>
      <c r="H783" s="339">
        <v>3830</v>
      </c>
      <c r="I783" s="41">
        <f t="shared" si="101"/>
        <v>1.2766666666666666</v>
      </c>
      <c r="J783" s="37">
        <f t="shared" si="99"/>
        <v>2575.0494333333331</v>
      </c>
      <c r="K783" s="37">
        <f t="shared" si="100"/>
        <v>946.84567663666667</v>
      </c>
      <c r="L783" s="37">
        <v>596.82889999999986</v>
      </c>
      <c r="M783" s="37">
        <f t="shared" si="102"/>
        <v>118.07634666666667</v>
      </c>
      <c r="N783" s="37"/>
      <c r="O783" s="45">
        <f t="shared" si="104"/>
        <v>0.72377294574892193</v>
      </c>
    </row>
    <row r="784" spans="1:15" s="6" customFormat="1" ht="15.75">
      <c r="A784" s="8">
        <v>36</v>
      </c>
      <c r="B784" s="122" t="s">
        <v>380</v>
      </c>
      <c r="C784" s="8">
        <v>4616.67</v>
      </c>
      <c r="D784" s="55"/>
      <c r="E784" s="55">
        <v>516.1</v>
      </c>
      <c r="F784" s="40">
        <f t="shared" si="103"/>
        <v>5132.7700000000004</v>
      </c>
      <c r="G784" s="366">
        <v>2304</v>
      </c>
      <c r="H784" s="339">
        <v>2304</v>
      </c>
      <c r="I784" s="41">
        <f t="shared" si="101"/>
        <v>0.76800000000000002</v>
      </c>
      <c r="J784" s="37">
        <f t="shared" si="99"/>
        <v>1549.06368</v>
      </c>
      <c r="K784" s="37">
        <f t="shared" si="100"/>
        <v>569.59071513600009</v>
      </c>
      <c r="L784" s="37">
        <v>502.64524799999998</v>
      </c>
      <c r="M784" s="37">
        <f t="shared" si="102"/>
        <v>71.030784000000011</v>
      </c>
      <c r="N784" s="37"/>
      <c r="O784" s="45">
        <f t="shared" si="104"/>
        <v>0.52453751622145539</v>
      </c>
    </row>
    <row r="785" spans="1:15" s="6" customFormat="1" ht="15.75">
      <c r="A785" s="8">
        <v>37</v>
      </c>
      <c r="B785" s="122" t="s">
        <v>381</v>
      </c>
      <c r="C785" s="8">
        <v>4459.21</v>
      </c>
      <c r="D785" s="55"/>
      <c r="E785" s="55">
        <v>199.1</v>
      </c>
      <c r="F785" s="40">
        <f t="shared" si="103"/>
        <v>4658.3100000000004</v>
      </c>
      <c r="G785" s="366">
        <v>1622</v>
      </c>
      <c r="H785" s="339">
        <v>1622</v>
      </c>
      <c r="I785" s="41">
        <f t="shared" si="101"/>
        <v>0.54066666666666663</v>
      </c>
      <c r="J785" s="37">
        <f t="shared" si="99"/>
        <v>1090.5300733333333</v>
      </c>
      <c r="K785" s="37">
        <f t="shared" si="100"/>
        <v>400.9879079646667</v>
      </c>
      <c r="L785" s="37">
        <v>421.26043333333331</v>
      </c>
      <c r="M785" s="37">
        <f t="shared" si="102"/>
        <v>50.005178666666666</v>
      </c>
      <c r="N785" s="37"/>
      <c r="O785" s="45">
        <f t="shared" si="104"/>
        <v>0.42135100353948107</v>
      </c>
    </row>
    <row r="786" spans="1:15" s="6" customFormat="1" ht="15.75">
      <c r="A786" s="8">
        <v>38</v>
      </c>
      <c r="B786" s="122" t="s">
        <v>382</v>
      </c>
      <c r="C786" s="8">
        <v>4519.6099999999997</v>
      </c>
      <c r="D786" s="55"/>
      <c r="E786" s="55"/>
      <c r="F786" s="40">
        <f t="shared" si="103"/>
        <v>4519.6099999999997</v>
      </c>
      <c r="G786" s="366">
        <v>1460</v>
      </c>
      <c r="H786" s="339">
        <v>1460</v>
      </c>
      <c r="I786" s="41">
        <f t="shared" si="101"/>
        <v>0.48666666666666669</v>
      </c>
      <c r="J786" s="37">
        <f t="shared" si="99"/>
        <v>981.61153333333334</v>
      </c>
      <c r="K786" s="37">
        <f t="shared" si="100"/>
        <v>360.93856080666671</v>
      </c>
      <c r="L786" s="37">
        <v>379.18633333333332</v>
      </c>
      <c r="M786" s="37">
        <f t="shared" si="102"/>
        <v>45.010826666666674</v>
      </c>
      <c r="N786" s="37"/>
      <c r="O786" s="45">
        <f t="shared" si="104"/>
        <v>0.39090701501678243</v>
      </c>
    </row>
    <row r="787" spans="1:15" s="6" customFormat="1" ht="15.75">
      <c r="A787" s="8">
        <v>39</v>
      </c>
      <c r="B787" s="122" t="s">
        <v>383</v>
      </c>
      <c r="C787" s="8">
        <v>7164.75</v>
      </c>
      <c r="D787" s="55"/>
      <c r="E787" s="55"/>
      <c r="F787" s="40">
        <f t="shared" si="103"/>
        <v>7164.75</v>
      </c>
      <c r="G787" s="366">
        <v>2023</v>
      </c>
      <c r="H787" s="339">
        <v>2023</v>
      </c>
      <c r="I787" s="41">
        <f t="shared" si="101"/>
        <v>0.67433333333333334</v>
      </c>
      <c r="J787" s="37">
        <f t="shared" si="99"/>
        <v>1360.1370766666666</v>
      </c>
      <c r="K787" s="37">
        <f t="shared" si="100"/>
        <v>500.12240309033336</v>
      </c>
      <c r="L787" s="37">
        <v>525.4068166666666</v>
      </c>
      <c r="M787" s="37">
        <f t="shared" si="102"/>
        <v>62.367741333333342</v>
      </c>
      <c r="N787" s="37"/>
      <c r="O787" s="45">
        <f t="shared" si="104"/>
        <v>0.34167752367591336</v>
      </c>
    </row>
    <row r="788" spans="1:15" s="6" customFormat="1" ht="15.75">
      <c r="A788" s="8">
        <v>40</v>
      </c>
      <c r="B788" s="122" t="s">
        <v>384</v>
      </c>
      <c r="C788" s="8">
        <v>4422.5</v>
      </c>
      <c r="D788" s="55"/>
      <c r="E788" s="55"/>
      <c r="F788" s="40">
        <f t="shared" si="103"/>
        <v>4422.5</v>
      </c>
      <c r="G788" s="366">
        <v>1574</v>
      </c>
      <c r="H788" s="339">
        <v>1574</v>
      </c>
      <c r="I788" s="41">
        <f t="shared" si="101"/>
        <v>0.52466666666666661</v>
      </c>
      <c r="J788" s="37">
        <f t="shared" si="99"/>
        <v>1058.2579133333331</v>
      </c>
      <c r="K788" s="37">
        <f t="shared" si="100"/>
        <v>389.12143473266661</v>
      </c>
      <c r="L788" s="37">
        <v>408.79403333333329</v>
      </c>
      <c r="M788" s="37">
        <f t="shared" si="102"/>
        <v>48.52537066666666</v>
      </c>
      <c r="N788" s="37"/>
      <c r="O788" s="45">
        <f t="shared" si="104"/>
        <v>0.43068372008275857</v>
      </c>
    </row>
    <row r="789" spans="1:15" s="6" customFormat="1" ht="15.75">
      <c r="A789" s="8">
        <v>41</v>
      </c>
      <c r="B789" s="122" t="s">
        <v>385</v>
      </c>
      <c r="C789" s="8">
        <v>9048.7900000000009</v>
      </c>
      <c r="D789" s="55"/>
      <c r="E789" s="55"/>
      <c r="F789" s="40">
        <f t="shared" si="103"/>
        <v>9048.7900000000009</v>
      </c>
      <c r="G789" s="366">
        <v>2970</v>
      </c>
      <c r="H789" s="339">
        <v>2970</v>
      </c>
      <c r="I789" s="41">
        <f t="shared" si="101"/>
        <v>0.99</v>
      </c>
      <c r="J789" s="37">
        <f t="shared" si="99"/>
        <v>1996.8398999999999</v>
      </c>
      <c r="K789" s="37">
        <f t="shared" si="100"/>
        <v>734.23803123000005</v>
      </c>
      <c r="L789" s="37">
        <v>771.35849999999994</v>
      </c>
      <c r="M789" s="37">
        <f t="shared" si="102"/>
        <v>91.563119999999998</v>
      </c>
      <c r="N789" s="37"/>
      <c r="O789" s="45">
        <f t="shared" si="104"/>
        <v>0.39718012587649831</v>
      </c>
    </row>
    <row r="790" spans="1:15" s="6" customFormat="1" ht="15.75">
      <c r="A790" s="8">
        <v>42</v>
      </c>
      <c r="B790" s="122" t="s">
        <v>386</v>
      </c>
      <c r="C790" s="32">
        <v>4583.33</v>
      </c>
      <c r="D790" s="55"/>
      <c r="E790" s="55"/>
      <c r="F790" s="40">
        <f t="shared" si="103"/>
        <v>4583.33</v>
      </c>
      <c r="G790" s="366">
        <v>1967</v>
      </c>
      <c r="H790" s="339">
        <v>1967</v>
      </c>
      <c r="I790" s="41">
        <f t="shared" si="101"/>
        <v>0.65566666666666662</v>
      </c>
      <c r="J790" s="37">
        <f t="shared" si="99"/>
        <v>1322.4862233333333</v>
      </c>
      <c r="K790" s="37">
        <f t="shared" si="100"/>
        <v>486.27818431966671</v>
      </c>
      <c r="L790" s="37">
        <v>510.86268333333328</v>
      </c>
      <c r="M790" s="37">
        <f t="shared" si="102"/>
        <v>60.641298666666664</v>
      </c>
      <c r="N790" s="37"/>
      <c r="O790" s="45">
        <f t="shared" si="104"/>
        <v>0.51933166271095466</v>
      </c>
    </row>
    <row r="791" spans="1:15" s="6" customFormat="1" ht="15.75">
      <c r="A791" s="8">
        <v>43</v>
      </c>
      <c r="B791" s="122" t="s">
        <v>387</v>
      </c>
      <c r="C791" s="32">
        <v>2091.96</v>
      </c>
      <c r="D791" s="55"/>
      <c r="E791" s="55">
        <v>121.7</v>
      </c>
      <c r="F791" s="40">
        <f t="shared" si="103"/>
        <v>2213.66</v>
      </c>
      <c r="G791" s="366">
        <v>1195</v>
      </c>
      <c r="H791" s="339">
        <v>1195</v>
      </c>
      <c r="I791" s="41">
        <f t="shared" si="101"/>
        <v>0.39833333333333332</v>
      </c>
      <c r="J791" s="37">
        <f t="shared" si="99"/>
        <v>803.44231666666667</v>
      </c>
      <c r="K791" s="37">
        <f t="shared" si="100"/>
        <v>295.42573983833336</v>
      </c>
      <c r="L791" s="37">
        <v>291.73973166666661</v>
      </c>
      <c r="M791" s="37">
        <f t="shared" si="102"/>
        <v>36.841053333333335</v>
      </c>
      <c r="N791" s="37"/>
      <c r="O791" s="45">
        <f t="shared" si="104"/>
        <v>0.64483653384214368</v>
      </c>
    </row>
    <row r="792" spans="1:15" s="6" customFormat="1" ht="15.75">
      <c r="A792" s="8">
        <v>44</v>
      </c>
      <c r="B792" s="122" t="s">
        <v>388</v>
      </c>
      <c r="C792" s="32">
        <v>41.2</v>
      </c>
      <c r="D792" s="55"/>
      <c r="E792" s="55"/>
      <c r="F792" s="40">
        <f t="shared" si="103"/>
        <v>41.2</v>
      </c>
      <c r="G792" s="366"/>
      <c r="H792" s="339"/>
      <c r="I792" s="41">
        <f t="shared" si="101"/>
        <v>0</v>
      </c>
      <c r="J792" s="37">
        <f t="shared" si="99"/>
        <v>0</v>
      </c>
      <c r="K792" s="37">
        <f t="shared" si="100"/>
        <v>0</v>
      </c>
      <c r="L792" s="37">
        <v>0</v>
      </c>
      <c r="M792" s="37">
        <f t="shared" si="102"/>
        <v>0</v>
      </c>
      <c r="N792" s="37"/>
      <c r="O792" s="45">
        <f t="shared" si="104"/>
        <v>0</v>
      </c>
    </row>
    <row r="793" spans="1:15" s="6" customFormat="1" ht="15.75">
      <c r="A793" s="8">
        <v>45</v>
      </c>
      <c r="B793" s="122" t="s">
        <v>389</v>
      </c>
      <c r="C793" s="32">
        <v>21</v>
      </c>
      <c r="D793" s="55"/>
      <c r="E793" s="55"/>
      <c r="F793" s="40">
        <f t="shared" si="103"/>
        <v>21</v>
      </c>
      <c r="G793" s="366"/>
      <c r="H793" s="339"/>
      <c r="I793" s="41">
        <f t="shared" si="101"/>
        <v>0</v>
      </c>
      <c r="J793" s="37">
        <f t="shared" si="99"/>
        <v>0</v>
      </c>
      <c r="K793" s="37">
        <f t="shared" si="100"/>
        <v>0</v>
      </c>
      <c r="L793" s="37">
        <v>0</v>
      </c>
      <c r="M793" s="37">
        <f t="shared" si="102"/>
        <v>0</v>
      </c>
      <c r="N793" s="37"/>
      <c r="O793" s="45">
        <f t="shared" si="104"/>
        <v>0</v>
      </c>
    </row>
    <row r="794" spans="1:15" s="6" customFormat="1" ht="15.75">
      <c r="A794" s="8">
        <v>46</v>
      </c>
      <c r="B794" s="122" t="s">
        <v>390</v>
      </c>
      <c r="C794" s="32">
        <v>113.2</v>
      </c>
      <c r="D794" s="55"/>
      <c r="E794" s="55"/>
      <c r="F794" s="40">
        <f t="shared" si="103"/>
        <v>113.2</v>
      </c>
      <c r="G794" s="366"/>
      <c r="H794" s="339"/>
      <c r="I794" s="41">
        <f t="shared" si="101"/>
        <v>0</v>
      </c>
      <c r="J794" s="37">
        <f t="shared" si="99"/>
        <v>0</v>
      </c>
      <c r="K794" s="37">
        <f t="shared" si="100"/>
        <v>0</v>
      </c>
      <c r="L794" s="37">
        <v>0</v>
      </c>
      <c r="M794" s="37">
        <f t="shared" si="102"/>
        <v>0</v>
      </c>
      <c r="N794" s="37"/>
      <c r="O794" s="45">
        <f t="shared" si="104"/>
        <v>0</v>
      </c>
    </row>
    <row r="795" spans="1:15" s="6" customFormat="1" ht="15.75">
      <c r="A795" s="8">
        <v>47</v>
      </c>
      <c r="B795" s="122" t="s">
        <v>391</v>
      </c>
      <c r="C795" s="32">
        <v>149.19999999999999</v>
      </c>
      <c r="D795" s="55"/>
      <c r="E795" s="55"/>
      <c r="F795" s="40">
        <f t="shared" si="103"/>
        <v>149.19999999999999</v>
      </c>
      <c r="G795" s="366"/>
      <c r="H795" s="339"/>
      <c r="I795" s="41">
        <f t="shared" si="101"/>
        <v>0</v>
      </c>
      <c r="J795" s="37">
        <f t="shared" si="99"/>
        <v>0</v>
      </c>
      <c r="K795" s="37">
        <f t="shared" si="100"/>
        <v>0</v>
      </c>
      <c r="L795" s="37">
        <v>0</v>
      </c>
      <c r="M795" s="37">
        <f t="shared" si="102"/>
        <v>0</v>
      </c>
      <c r="N795" s="37"/>
      <c r="O795" s="45">
        <f t="shared" si="104"/>
        <v>0</v>
      </c>
    </row>
    <row r="796" spans="1:15" s="6" customFormat="1" ht="15.75">
      <c r="A796" s="8">
        <v>49</v>
      </c>
      <c r="B796" s="122" t="s">
        <v>808</v>
      </c>
      <c r="C796" s="32">
        <v>613.9</v>
      </c>
      <c r="D796" s="55"/>
      <c r="E796" s="55">
        <v>71.099999999999994</v>
      </c>
      <c r="F796" s="40">
        <f t="shared" si="103"/>
        <v>685</v>
      </c>
      <c r="G796" s="366"/>
      <c r="H796" s="339"/>
      <c r="I796" s="41">
        <f t="shared" si="101"/>
        <v>0</v>
      </c>
      <c r="J796" s="37">
        <f t="shared" si="99"/>
        <v>0</v>
      </c>
      <c r="K796" s="37">
        <f t="shared" si="100"/>
        <v>0</v>
      </c>
      <c r="L796" s="37">
        <v>0</v>
      </c>
      <c r="M796" s="37">
        <f t="shared" si="102"/>
        <v>0</v>
      </c>
      <c r="N796" s="37"/>
      <c r="O796" s="45">
        <f t="shared" si="104"/>
        <v>0</v>
      </c>
    </row>
    <row r="797" spans="1:15" s="6" customFormat="1" ht="15.75">
      <c r="A797" s="8">
        <v>50</v>
      </c>
      <c r="B797" s="122" t="s">
        <v>809</v>
      </c>
      <c r="C797" s="32">
        <v>451.16</v>
      </c>
      <c r="D797" s="55"/>
      <c r="E797" s="55">
        <v>29.4</v>
      </c>
      <c r="F797" s="40">
        <f t="shared" si="103"/>
        <v>480.56</v>
      </c>
      <c r="G797" s="366">
        <v>86</v>
      </c>
      <c r="H797" s="339">
        <v>86</v>
      </c>
      <c r="I797" s="41">
        <f t="shared" si="101"/>
        <v>2.8666666666666667E-2</v>
      </c>
      <c r="J797" s="37">
        <f t="shared" si="99"/>
        <v>57.820953333333335</v>
      </c>
      <c r="K797" s="37">
        <f t="shared" si="100"/>
        <v>21.260764540666671</v>
      </c>
      <c r="L797" s="37">
        <v>0</v>
      </c>
      <c r="M797" s="37">
        <f t="shared" si="102"/>
        <v>2.6513226666666667</v>
      </c>
      <c r="N797" s="37"/>
      <c r="O797" s="45">
        <f t="shared" si="104"/>
        <v>0.17007874259336334</v>
      </c>
    </row>
    <row r="798" spans="1:15" s="6" customFormat="1" ht="15.75">
      <c r="A798" s="8">
        <v>51</v>
      </c>
      <c r="B798" s="122" t="s">
        <v>810</v>
      </c>
      <c r="C798" s="32">
        <v>514.09</v>
      </c>
      <c r="D798" s="55"/>
      <c r="E798" s="55"/>
      <c r="F798" s="40">
        <f t="shared" si="103"/>
        <v>514.09</v>
      </c>
      <c r="G798" s="366">
        <v>0</v>
      </c>
      <c r="H798" s="339">
        <v>0</v>
      </c>
      <c r="I798" s="41">
        <f t="shared" si="101"/>
        <v>0</v>
      </c>
      <c r="J798" s="37">
        <f t="shared" si="99"/>
        <v>0</v>
      </c>
      <c r="K798" s="37">
        <f t="shared" si="100"/>
        <v>0</v>
      </c>
      <c r="L798" s="37">
        <v>22.335633333333334</v>
      </c>
      <c r="M798" s="37">
        <f t="shared" si="102"/>
        <v>0</v>
      </c>
      <c r="N798" s="37"/>
      <c r="O798" s="45">
        <v>0</v>
      </c>
    </row>
    <row r="799" spans="1:15" s="6" customFormat="1" ht="15.75">
      <c r="A799" s="8">
        <v>52</v>
      </c>
      <c r="B799" s="122" t="s">
        <v>811</v>
      </c>
      <c r="C799" s="32">
        <v>522.29999999999995</v>
      </c>
      <c r="D799" s="55"/>
      <c r="E799" s="55">
        <v>27.8</v>
      </c>
      <c r="F799" s="40">
        <f t="shared" si="103"/>
        <v>550.09999999999991</v>
      </c>
      <c r="G799" s="366">
        <v>345</v>
      </c>
      <c r="H799" s="339">
        <v>345</v>
      </c>
      <c r="I799" s="41">
        <f t="shared" si="101"/>
        <v>0.115</v>
      </c>
      <c r="J799" s="37">
        <f t="shared" si="99"/>
        <v>231.95615000000001</v>
      </c>
      <c r="K799" s="37">
        <f t="shared" si="100"/>
        <v>85.290276355000003</v>
      </c>
      <c r="L799" s="37">
        <v>0</v>
      </c>
      <c r="M799" s="37">
        <f t="shared" si="102"/>
        <v>10.63612</v>
      </c>
      <c r="N799" s="37"/>
      <c r="O799" s="45">
        <f t="shared" si="104"/>
        <v>0.59604171306126175</v>
      </c>
    </row>
    <row r="800" spans="1:15" s="6" customFormat="1" ht="15.75">
      <c r="A800" s="8">
        <v>53</v>
      </c>
      <c r="B800" s="122" t="s">
        <v>812</v>
      </c>
      <c r="C800" s="32">
        <v>1211.25</v>
      </c>
      <c r="D800" s="55"/>
      <c r="E800" s="55"/>
      <c r="F800" s="40">
        <f t="shared" si="103"/>
        <v>1211.25</v>
      </c>
      <c r="G800" s="366">
        <v>702</v>
      </c>
      <c r="H800" s="339">
        <v>702</v>
      </c>
      <c r="I800" s="41">
        <f t="shared" si="101"/>
        <v>0.23400000000000001</v>
      </c>
      <c r="J800" s="37">
        <f t="shared" si="99"/>
        <v>471.98034000000001</v>
      </c>
      <c r="K800" s="37">
        <f t="shared" si="100"/>
        <v>173.54717101800003</v>
      </c>
      <c r="L800" s="37">
        <v>89.602249999999998</v>
      </c>
      <c r="M800" s="37">
        <f t="shared" si="102"/>
        <v>21.642192000000001</v>
      </c>
      <c r="N800" s="37"/>
      <c r="O800" s="45">
        <f t="shared" si="104"/>
        <v>0.62478592612425188</v>
      </c>
    </row>
    <row r="801" spans="1:15" s="6" customFormat="1" ht="15.75">
      <c r="A801" s="8">
        <v>54</v>
      </c>
      <c r="B801" s="122" t="s">
        <v>813</v>
      </c>
      <c r="C801" s="32">
        <v>306.17</v>
      </c>
      <c r="D801" s="55"/>
      <c r="E801" s="55">
        <v>31.2</v>
      </c>
      <c r="F801" s="40">
        <f t="shared" si="103"/>
        <v>337.37</v>
      </c>
      <c r="G801" s="366">
        <v>111</v>
      </c>
      <c r="H801" s="339">
        <v>111</v>
      </c>
      <c r="I801" s="41">
        <f t="shared" si="101"/>
        <v>3.6999999999999998E-2</v>
      </c>
      <c r="J801" s="37">
        <f t="shared" si="99"/>
        <v>74.629369999999994</v>
      </c>
      <c r="K801" s="37">
        <f t="shared" si="100"/>
        <v>27.441219349000001</v>
      </c>
      <c r="L801" s="37">
        <v>28.828549999999996</v>
      </c>
      <c r="M801" s="37">
        <f t="shared" si="102"/>
        <v>3.4220560000000004</v>
      </c>
      <c r="N801" s="37"/>
      <c r="O801" s="45">
        <f t="shared" si="104"/>
        <v>0.39814208539289203</v>
      </c>
    </row>
    <row r="802" spans="1:15" s="6" customFormat="1" ht="15.75">
      <c r="A802" s="8">
        <v>55</v>
      </c>
      <c r="B802" s="122" t="s">
        <v>814</v>
      </c>
      <c r="C802" s="32">
        <v>209.58</v>
      </c>
      <c r="D802" s="55"/>
      <c r="E802" s="55">
        <v>29.1</v>
      </c>
      <c r="F802" s="40">
        <f t="shared" si="103"/>
        <v>238.68</v>
      </c>
      <c r="G802" s="366">
        <v>0</v>
      </c>
      <c r="H802" s="339">
        <v>0</v>
      </c>
      <c r="I802" s="41">
        <f t="shared" si="101"/>
        <v>0</v>
      </c>
      <c r="J802" s="37">
        <f t="shared" si="99"/>
        <v>0</v>
      </c>
      <c r="K802" s="37">
        <f t="shared" si="100"/>
        <v>0</v>
      </c>
      <c r="L802" s="37">
        <v>0</v>
      </c>
      <c r="M802" s="37">
        <f t="shared" si="102"/>
        <v>0</v>
      </c>
      <c r="N802" s="37"/>
      <c r="O802" s="45">
        <f t="shared" si="104"/>
        <v>0</v>
      </c>
    </row>
    <row r="803" spans="1:15" s="6" customFormat="1" ht="15.75">
      <c r="A803" s="8">
        <v>56</v>
      </c>
      <c r="B803" s="122" t="s">
        <v>815</v>
      </c>
      <c r="C803" s="32">
        <v>468.77</v>
      </c>
      <c r="D803" s="55"/>
      <c r="E803" s="55">
        <v>272.5</v>
      </c>
      <c r="F803" s="40">
        <f t="shared" si="103"/>
        <v>741.27</v>
      </c>
      <c r="G803" s="366">
        <v>192</v>
      </c>
      <c r="H803" s="339">
        <v>192</v>
      </c>
      <c r="I803" s="41">
        <f t="shared" si="101"/>
        <v>6.4000000000000001E-2</v>
      </c>
      <c r="J803" s="37">
        <f t="shared" si="99"/>
        <v>129.08864</v>
      </c>
      <c r="K803" s="37">
        <f t="shared" si="100"/>
        <v>47.465892928000002</v>
      </c>
      <c r="L803" s="37">
        <v>49.865600000000001</v>
      </c>
      <c r="M803" s="37">
        <f t="shared" si="102"/>
        <v>5.9192320000000009</v>
      </c>
      <c r="N803" s="37"/>
      <c r="O803" s="45">
        <f t="shared" si="104"/>
        <v>0.31343419392124328</v>
      </c>
    </row>
    <row r="804" spans="1:15" s="6" customFormat="1" ht="15.75">
      <c r="A804" s="8">
        <v>57</v>
      </c>
      <c r="B804" s="122" t="s">
        <v>816</v>
      </c>
      <c r="C804" s="32">
        <v>599.20000000000005</v>
      </c>
      <c r="D804" s="55"/>
      <c r="E804" s="55">
        <v>134.4</v>
      </c>
      <c r="F804" s="40">
        <f t="shared" si="103"/>
        <v>733.6</v>
      </c>
      <c r="G804" s="366">
        <v>240</v>
      </c>
      <c r="H804" s="339">
        <v>240</v>
      </c>
      <c r="I804" s="41">
        <f t="shared" si="101"/>
        <v>0.08</v>
      </c>
      <c r="J804" s="37">
        <f t="shared" si="99"/>
        <v>161.36080000000001</v>
      </c>
      <c r="K804" s="37">
        <f t="shared" si="100"/>
        <v>59.332366160000007</v>
      </c>
      <c r="L804" s="37">
        <v>62.332000000000001</v>
      </c>
      <c r="M804" s="37">
        <f t="shared" si="102"/>
        <v>7.3990400000000003</v>
      </c>
      <c r="N804" s="37"/>
      <c r="O804" s="45">
        <f t="shared" si="104"/>
        <v>0.39588904874591063</v>
      </c>
    </row>
    <row r="805" spans="1:15" s="6" customFormat="1" ht="15.75">
      <c r="A805" s="8">
        <v>58</v>
      </c>
      <c r="B805" s="122" t="s">
        <v>817</v>
      </c>
      <c r="C805" s="32">
        <v>220.5</v>
      </c>
      <c r="D805" s="55"/>
      <c r="E805" s="55"/>
      <c r="F805" s="40">
        <f t="shared" si="103"/>
        <v>220.5</v>
      </c>
      <c r="G805" s="366">
        <v>52</v>
      </c>
      <c r="H805" s="339">
        <v>52</v>
      </c>
      <c r="I805" s="41">
        <f t="shared" si="101"/>
        <v>1.7333333333333333E-2</v>
      </c>
      <c r="J805" s="37">
        <f t="shared" si="99"/>
        <v>34.961506666666665</v>
      </c>
      <c r="K805" s="37">
        <f t="shared" si="100"/>
        <v>12.855346001333334</v>
      </c>
      <c r="L805" s="37">
        <v>13.505266666666666</v>
      </c>
      <c r="M805" s="37">
        <f t="shared" si="102"/>
        <v>1.6031253333333333</v>
      </c>
      <c r="N805" s="37"/>
      <c r="O805" s="45">
        <f t="shared" si="104"/>
        <v>0.2853752592653061</v>
      </c>
    </row>
    <row r="806" spans="1:15" s="6" customFormat="1" ht="15.75">
      <c r="A806" s="8">
        <v>59</v>
      </c>
      <c r="B806" s="122" t="s">
        <v>818</v>
      </c>
      <c r="C806" s="32">
        <v>330.61</v>
      </c>
      <c r="D806" s="55"/>
      <c r="E806" s="55"/>
      <c r="F806" s="40">
        <f t="shared" si="103"/>
        <v>330.61</v>
      </c>
      <c r="G806" s="366">
        <v>135</v>
      </c>
      <c r="H806" s="339">
        <v>135</v>
      </c>
      <c r="I806" s="41">
        <f t="shared" si="101"/>
        <v>4.4999999999999998E-2</v>
      </c>
      <c r="J806" s="37">
        <f t="shared" si="99"/>
        <v>90.765450000000001</v>
      </c>
      <c r="K806" s="37">
        <f t="shared" si="100"/>
        <v>33.374455965000003</v>
      </c>
      <c r="L806" s="37">
        <v>35.061749999999996</v>
      </c>
      <c r="M806" s="37">
        <f t="shared" si="102"/>
        <v>4.1619600000000005</v>
      </c>
      <c r="N806" s="37"/>
      <c r="O806" s="45">
        <f t="shared" si="104"/>
        <v>0.49412787261425839</v>
      </c>
    </row>
    <row r="807" spans="1:15" s="6" customFormat="1" ht="15.75">
      <c r="A807" s="8">
        <v>60</v>
      </c>
      <c r="B807" s="122" t="s">
        <v>819</v>
      </c>
      <c r="C807" s="32">
        <v>949</v>
      </c>
      <c r="D807" s="55"/>
      <c r="E807" s="55">
        <v>88.5</v>
      </c>
      <c r="F807" s="40">
        <f t="shared" si="103"/>
        <v>1037.5</v>
      </c>
      <c r="G807" s="366">
        <v>209</v>
      </c>
      <c r="H807" s="339">
        <v>209</v>
      </c>
      <c r="I807" s="41">
        <f t="shared" si="101"/>
        <v>6.9666666666666668E-2</v>
      </c>
      <c r="J807" s="37">
        <f t="shared" si="99"/>
        <v>140.51836333333333</v>
      </c>
      <c r="K807" s="37">
        <f t="shared" si="100"/>
        <v>51.668602197666665</v>
      </c>
      <c r="L807" s="37">
        <v>54.280783333333332</v>
      </c>
      <c r="M807" s="37">
        <f t="shared" si="102"/>
        <v>6.4433306666666672</v>
      </c>
      <c r="N807" s="37"/>
      <c r="O807" s="45">
        <f t="shared" si="104"/>
        <v>0.24376971521060239</v>
      </c>
    </row>
    <row r="808" spans="1:15" s="6" customFormat="1" ht="15.75">
      <c r="A808" s="8">
        <v>61</v>
      </c>
      <c r="B808" s="122" t="s">
        <v>820</v>
      </c>
      <c r="C808" s="8">
        <v>211.8</v>
      </c>
      <c r="D808" s="55"/>
      <c r="E808" s="55">
        <v>18.3</v>
      </c>
      <c r="F808" s="40">
        <f t="shared" si="103"/>
        <v>230.10000000000002</v>
      </c>
      <c r="G808" s="366">
        <v>132</v>
      </c>
      <c r="H808" s="339">
        <v>132</v>
      </c>
      <c r="I808" s="41">
        <f t="shared" si="101"/>
        <v>4.3999999999999997E-2</v>
      </c>
      <c r="J808" s="37">
        <f t="shared" si="99"/>
        <v>88.748439999999988</v>
      </c>
      <c r="K808" s="37">
        <f t="shared" si="100"/>
        <v>32.632801387999997</v>
      </c>
      <c r="L808" s="37">
        <v>30.854339999999997</v>
      </c>
      <c r="M808" s="37">
        <f t="shared" si="102"/>
        <v>4.0694720000000002</v>
      </c>
      <c r="N808" s="37"/>
      <c r="O808" s="45">
        <f t="shared" si="104"/>
        <v>0.67929184436332013</v>
      </c>
    </row>
    <row r="809" spans="1:15" s="6" customFormat="1" ht="15.75">
      <c r="A809" s="8">
        <v>62</v>
      </c>
      <c r="B809" s="122" t="s">
        <v>821</v>
      </c>
      <c r="C809" s="8">
        <v>1331.77</v>
      </c>
      <c r="D809" s="55"/>
      <c r="E809" s="55"/>
      <c r="F809" s="40">
        <f t="shared" si="103"/>
        <v>1331.77</v>
      </c>
      <c r="G809" s="366">
        <v>777</v>
      </c>
      <c r="H809" s="339">
        <v>777</v>
      </c>
      <c r="I809" s="41">
        <f t="shared" si="101"/>
        <v>0.25900000000000001</v>
      </c>
      <c r="J809" s="37">
        <f t="shared" si="99"/>
        <v>522.40558999999996</v>
      </c>
      <c r="K809" s="37">
        <f t="shared" si="100"/>
        <v>192.08853544300001</v>
      </c>
      <c r="L809" s="37">
        <v>201.79984999999999</v>
      </c>
      <c r="M809" s="37">
        <f t="shared" si="102"/>
        <v>23.954392000000002</v>
      </c>
      <c r="N809" s="37"/>
      <c r="O809" s="45">
        <f t="shared" si="104"/>
        <v>0.70601407708763531</v>
      </c>
    </row>
    <row r="810" spans="1:15" s="6" customFormat="1" ht="15.75">
      <c r="A810" s="8">
        <v>63</v>
      </c>
      <c r="B810" s="122" t="s">
        <v>822</v>
      </c>
      <c r="C810" s="8">
        <v>483.9</v>
      </c>
      <c r="D810" s="55"/>
      <c r="E810" s="55"/>
      <c r="F810" s="40">
        <f t="shared" si="103"/>
        <v>483.9</v>
      </c>
      <c r="G810" s="366">
        <v>101</v>
      </c>
      <c r="H810" s="339">
        <v>101</v>
      </c>
      <c r="I810" s="41">
        <f t="shared" si="101"/>
        <v>3.3666666666666664E-2</v>
      </c>
      <c r="J810" s="37">
        <f t="shared" si="99"/>
        <v>67.906003333333331</v>
      </c>
      <c r="K810" s="37">
        <f t="shared" si="100"/>
        <v>24.969037425666667</v>
      </c>
      <c r="L810" s="37">
        <v>26.23</v>
      </c>
      <c r="M810" s="37">
        <f t="shared" si="102"/>
        <v>3.1137626666666667</v>
      </c>
      <c r="N810" s="37"/>
      <c r="O810" s="45">
        <f t="shared" si="104"/>
        <v>0.25257037285733969</v>
      </c>
    </row>
    <row r="811" spans="1:15" s="6" customFormat="1" ht="15.75">
      <c r="A811" s="8">
        <v>64</v>
      </c>
      <c r="B811" s="122" t="s">
        <v>823</v>
      </c>
      <c r="C811" s="8">
        <v>665.8</v>
      </c>
      <c r="D811" s="55"/>
      <c r="E811" s="55"/>
      <c r="F811" s="40">
        <f t="shared" si="103"/>
        <v>665.8</v>
      </c>
      <c r="G811" s="366">
        <v>258</v>
      </c>
      <c r="H811" s="339">
        <v>258</v>
      </c>
      <c r="I811" s="41">
        <f t="shared" si="101"/>
        <v>8.5999999999999993E-2</v>
      </c>
      <c r="J811" s="37">
        <f t="shared" si="99"/>
        <v>173.46285999999998</v>
      </c>
      <c r="K811" s="37">
        <f t="shared" si="100"/>
        <v>63.782293621999997</v>
      </c>
      <c r="L811" s="37">
        <v>26.23138333333333</v>
      </c>
      <c r="M811" s="37">
        <f t="shared" si="102"/>
        <v>7.9539679999999997</v>
      </c>
      <c r="N811" s="37"/>
      <c r="O811" s="45">
        <f t="shared" si="104"/>
        <v>0.4076757358896565</v>
      </c>
    </row>
    <row r="812" spans="1:15" s="6" customFormat="1" ht="15.75">
      <c r="A812" s="8">
        <v>65</v>
      </c>
      <c r="B812" s="122" t="s">
        <v>824</v>
      </c>
      <c r="C812" s="8">
        <v>59.2</v>
      </c>
      <c r="D812" s="55"/>
      <c r="E812" s="55"/>
      <c r="F812" s="40">
        <f t="shared" si="103"/>
        <v>59.2</v>
      </c>
      <c r="G812" s="366"/>
      <c r="H812" s="339"/>
      <c r="I812" s="41">
        <f t="shared" si="101"/>
        <v>0</v>
      </c>
      <c r="J812" s="37">
        <f t="shared" si="99"/>
        <v>0</v>
      </c>
      <c r="K812" s="37">
        <f t="shared" ref="K812:K873" si="105">J812*0.3677</f>
        <v>0</v>
      </c>
      <c r="L812" s="37">
        <v>0</v>
      </c>
      <c r="M812" s="37">
        <f t="shared" si="102"/>
        <v>0</v>
      </c>
      <c r="N812" s="37"/>
      <c r="O812" s="45">
        <f t="shared" si="104"/>
        <v>0</v>
      </c>
    </row>
    <row r="813" spans="1:15" s="6" customFormat="1" ht="15.75">
      <c r="A813" s="8">
        <v>66</v>
      </c>
      <c r="B813" s="122" t="s">
        <v>825</v>
      </c>
      <c r="C813" s="8">
        <v>363.78</v>
      </c>
      <c r="D813" s="55"/>
      <c r="E813" s="55">
        <v>58</v>
      </c>
      <c r="F813" s="40">
        <f t="shared" si="103"/>
        <v>421.78</v>
      </c>
      <c r="G813" s="366">
        <v>0</v>
      </c>
      <c r="H813" s="339">
        <v>0</v>
      </c>
      <c r="I813" s="41">
        <f t="shared" ref="I813:I874" si="106">H813/3000</f>
        <v>0</v>
      </c>
      <c r="J813" s="37">
        <f t="shared" ref="J813:J876" si="107">I813*2017.01</f>
        <v>0</v>
      </c>
      <c r="K813" s="37">
        <f t="shared" si="105"/>
        <v>0</v>
      </c>
      <c r="L813" s="37">
        <v>0</v>
      </c>
      <c r="M813" s="37">
        <f t="shared" ref="M813:M876" si="108">I813*84.08*1.1</f>
        <v>0</v>
      </c>
      <c r="N813" s="37"/>
      <c r="O813" s="45">
        <f t="shared" si="104"/>
        <v>0</v>
      </c>
    </row>
    <row r="814" spans="1:15" s="6" customFormat="1" ht="15.75">
      <c r="A814" s="8">
        <v>67</v>
      </c>
      <c r="B814" s="122" t="s">
        <v>826</v>
      </c>
      <c r="C814" s="8">
        <v>185.8</v>
      </c>
      <c r="D814" s="55"/>
      <c r="E814" s="55">
        <v>26.8</v>
      </c>
      <c r="F814" s="40">
        <f t="shared" si="103"/>
        <v>212.60000000000002</v>
      </c>
      <c r="G814" s="366">
        <v>0</v>
      </c>
      <c r="H814" s="339">
        <v>0</v>
      </c>
      <c r="I814" s="41">
        <f t="shared" si="106"/>
        <v>0</v>
      </c>
      <c r="J814" s="37">
        <f t="shared" si="107"/>
        <v>0</v>
      </c>
      <c r="K814" s="37">
        <f t="shared" si="105"/>
        <v>0</v>
      </c>
      <c r="L814" s="37">
        <v>0</v>
      </c>
      <c r="M814" s="37">
        <f t="shared" si="108"/>
        <v>0</v>
      </c>
      <c r="N814" s="37"/>
      <c r="O814" s="45">
        <f t="shared" si="104"/>
        <v>0</v>
      </c>
    </row>
    <row r="815" spans="1:15" s="6" customFormat="1" ht="15.75">
      <c r="A815" s="8">
        <v>68</v>
      </c>
      <c r="B815" s="122" t="s">
        <v>827</v>
      </c>
      <c r="C815" s="8">
        <v>205.2</v>
      </c>
      <c r="D815" s="55"/>
      <c r="E815" s="56"/>
      <c r="F815" s="40">
        <f t="shared" si="103"/>
        <v>205.2</v>
      </c>
      <c r="G815" s="366">
        <v>136</v>
      </c>
      <c r="H815" s="339">
        <v>136</v>
      </c>
      <c r="I815" s="41">
        <f t="shared" si="106"/>
        <v>4.5333333333333337E-2</v>
      </c>
      <c r="J815" s="37">
        <f t="shared" si="107"/>
        <v>91.437786666666668</v>
      </c>
      <c r="K815" s="37">
        <f t="shared" si="105"/>
        <v>33.621674157333338</v>
      </c>
      <c r="L815" s="37">
        <v>0</v>
      </c>
      <c r="M815" s="37">
        <f t="shared" si="108"/>
        <v>4.1927893333333337</v>
      </c>
      <c r="N815" s="37"/>
      <c r="O815" s="45">
        <f t="shared" si="104"/>
        <v>0.62988426002599107</v>
      </c>
    </row>
    <row r="816" spans="1:15" s="6" customFormat="1" ht="15.75">
      <c r="A816" s="8">
        <v>69</v>
      </c>
      <c r="B816" s="122" t="s">
        <v>828</v>
      </c>
      <c r="C816" s="8">
        <v>177.45</v>
      </c>
      <c r="D816" s="55"/>
      <c r="E816" s="55"/>
      <c r="F816" s="40">
        <f t="shared" si="103"/>
        <v>177.45</v>
      </c>
      <c r="G816" s="366">
        <v>73</v>
      </c>
      <c r="H816" s="339">
        <v>73</v>
      </c>
      <c r="I816" s="41">
        <f t="shared" si="106"/>
        <v>2.4333333333333332E-2</v>
      </c>
      <c r="J816" s="37">
        <f t="shared" si="107"/>
        <v>49.080576666666666</v>
      </c>
      <c r="K816" s="37">
        <f t="shared" si="105"/>
        <v>18.046928040333334</v>
      </c>
      <c r="L816" s="37">
        <v>35.321466666666666</v>
      </c>
      <c r="M816" s="37">
        <f t="shared" si="108"/>
        <v>2.2505413333333335</v>
      </c>
      <c r="N816" s="37"/>
      <c r="O816" s="45">
        <f t="shared" si="104"/>
        <v>0.59002261316990701</v>
      </c>
    </row>
    <row r="817" spans="1:15" s="6" customFormat="1" ht="15.75">
      <c r="A817" s="8">
        <v>70</v>
      </c>
      <c r="B817" s="122" t="s">
        <v>829</v>
      </c>
      <c r="C817" s="8">
        <v>200</v>
      </c>
      <c r="D817" s="55"/>
      <c r="E817" s="55"/>
      <c r="F817" s="40">
        <f t="shared" ref="F817:F871" si="109">C817+D817+E817</f>
        <v>200</v>
      </c>
      <c r="G817" s="366">
        <v>0</v>
      </c>
      <c r="H817" s="339">
        <v>0</v>
      </c>
      <c r="I817" s="41">
        <f t="shared" si="106"/>
        <v>0</v>
      </c>
      <c r="J817" s="37">
        <f t="shared" si="107"/>
        <v>0</v>
      </c>
      <c r="K817" s="37">
        <f t="shared" si="105"/>
        <v>0</v>
      </c>
      <c r="L817" s="37"/>
      <c r="M817" s="37">
        <f t="shared" si="108"/>
        <v>0</v>
      </c>
      <c r="N817" s="37"/>
      <c r="O817" s="45">
        <f t="shared" si="104"/>
        <v>0</v>
      </c>
    </row>
    <row r="818" spans="1:15" s="6" customFormat="1" ht="15.75">
      <c r="A818" s="8">
        <v>71</v>
      </c>
      <c r="B818" s="122" t="s">
        <v>830</v>
      </c>
      <c r="C818" s="8">
        <v>401.38</v>
      </c>
      <c r="D818" s="55"/>
      <c r="E818" s="55">
        <v>140.80000000000001</v>
      </c>
      <c r="F818" s="40">
        <f t="shared" si="109"/>
        <v>542.18000000000006</v>
      </c>
      <c r="G818" s="366">
        <v>250</v>
      </c>
      <c r="H818" s="339">
        <v>250</v>
      </c>
      <c r="I818" s="41">
        <f t="shared" si="106"/>
        <v>8.3333333333333329E-2</v>
      </c>
      <c r="J818" s="37">
        <f t="shared" si="107"/>
        <v>168.08416666666665</v>
      </c>
      <c r="K818" s="37">
        <f t="shared" si="105"/>
        <v>61.80454808333333</v>
      </c>
      <c r="L818" s="37">
        <v>0</v>
      </c>
      <c r="M818" s="37">
        <f t="shared" si="108"/>
        <v>7.7073333333333336</v>
      </c>
      <c r="N818" s="37"/>
      <c r="O818" s="45">
        <f t="shared" si="104"/>
        <v>0.43822355690607045</v>
      </c>
    </row>
    <row r="819" spans="1:15" s="6" customFormat="1" ht="15.75">
      <c r="A819" s="8">
        <v>72</v>
      </c>
      <c r="B819" s="122" t="s">
        <v>831</v>
      </c>
      <c r="C819" s="8">
        <v>204.3</v>
      </c>
      <c r="D819" s="55"/>
      <c r="E819" s="55"/>
      <c r="F819" s="40">
        <f t="shared" si="109"/>
        <v>204.3</v>
      </c>
      <c r="G819" s="366">
        <v>136</v>
      </c>
      <c r="H819" s="339">
        <v>136</v>
      </c>
      <c r="I819" s="41">
        <f t="shared" si="106"/>
        <v>4.5333333333333337E-2</v>
      </c>
      <c r="J819" s="37">
        <f t="shared" si="107"/>
        <v>91.437786666666668</v>
      </c>
      <c r="K819" s="37">
        <f t="shared" si="105"/>
        <v>33.621674157333338</v>
      </c>
      <c r="L819" s="37">
        <v>21.192879999999999</v>
      </c>
      <c r="M819" s="37">
        <f t="shared" si="108"/>
        <v>4.1927893333333337</v>
      </c>
      <c r="N819" s="37"/>
      <c r="O819" s="45">
        <f t="shared" si="104"/>
        <v>0.73639319705008977</v>
      </c>
    </row>
    <row r="820" spans="1:15" s="6" customFormat="1" ht="15.75">
      <c r="A820" s="8">
        <v>73</v>
      </c>
      <c r="B820" s="122" t="s">
        <v>832</v>
      </c>
      <c r="C820" s="8">
        <v>306.39999999999998</v>
      </c>
      <c r="D820" s="55"/>
      <c r="E820" s="55"/>
      <c r="F820" s="40">
        <f t="shared" si="109"/>
        <v>306.39999999999998</v>
      </c>
      <c r="G820" s="366">
        <v>172</v>
      </c>
      <c r="H820" s="339">
        <v>172</v>
      </c>
      <c r="I820" s="41">
        <f t="shared" si="106"/>
        <v>5.7333333333333333E-2</v>
      </c>
      <c r="J820" s="37">
        <f t="shared" si="107"/>
        <v>115.64190666666667</v>
      </c>
      <c r="K820" s="37">
        <f t="shared" si="105"/>
        <v>42.521529081333341</v>
      </c>
      <c r="L820" s="37">
        <v>44.671266666666668</v>
      </c>
      <c r="M820" s="37">
        <f t="shared" si="108"/>
        <v>5.3026453333333334</v>
      </c>
      <c r="N820" s="37"/>
      <c r="O820" s="45">
        <f t="shared" si="104"/>
        <v>0.67929943781984348</v>
      </c>
    </row>
    <row r="821" spans="1:15" s="6" customFormat="1" ht="15.75">
      <c r="A821" s="8">
        <v>74</v>
      </c>
      <c r="B821" s="122" t="s">
        <v>878</v>
      </c>
      <c r="C821" s="8">
        <v>301.42</v>
      </c>
      <c r="D821" s="55"/>
      <c r="E821" s="55"/>
      <c r="F821" s="40">
        <f t="shared" si="109"/>
        <v>301.42</v>
      </c>
      <c r="G821" s="366">
        <v>0</v>
      </c>
      <c r="H821" s="339">
        <v>0</v>
      </c>
      <c r="I821" s="41">
        <f t="shared" si="106"/>
        <v>0</v>
      </c>
      <c r="J821" s="37">
        <f t="shared" si="107"/>
        <v>0</v>
      </c>
      <c r="K821" s="37">
        <f t="shared" si="105"/>
        <v>0</v>
      </c>
      <c r="L821" s="37">
        <v>0</v>
      </c>
      <c r="M821" s="37">
        <f t="shared" si="108"/>
        <v>0</v>
      </c>
      <c r="N821" s="37"/>
      <c r="O821" s="45">
        <v>0</v>
      </c>
    </row>
    <row r="822" spans="1:15" s="6" customFormat="1" ht="15.75">
      <c r="A822" s="8">
        <v>75</v>
      </c>
      <c r="B822" s="122" t="s">
        <v>879</v>
      </c>
      <c r="C822" s="8">
        <v>394.72</v>
      </c>
      <c r="D822" s="55"/>
      <c r="E822" s="55"/>
      <c r="F822" s="40">
        <f t="shared" si="109"/>
        <v>394.72</v>
      </c>
      <c r="G822" s="366">
        <v>93</v>
      </c>
      <c r="H822" s="339">
        <v>93</v>
      </c>
      <c r="I822" s="41">
        <f t="shared" si="106"/>
        <v>3.1E-2</v>
      </c>
      <c r="J822" s="37">
        <f t="shared" si="107"/>
        <v>62.52731</v>
      </c>
      <c r="K822" s="37">
        <f t="shared" si="105"/>
        <v>22.991291887000003</v>
      </c>
      <c r="L822" s="37">
        <v>24.153649999999999</v>
      </c>
      <c r="M822" s="37">
        <f t="shared" si="108"/>
        <v>2.8671280000000001</v>
      </c>
      <c r="N822" s="37"/>
      <c r="O822" s="45">
        <f t="shared" si="104"/>
        <v>0.28511192715595862</v>
      </c>
    </row>
    <row r="823" spans="1:15" s="6" customFormat="1" ht="15.75">
      <c r="A823" s="8">
        <v>76</v>
      </c>
      <c r="B823" s="122" t="s">
        <v>880</v>
      </c>
      <c r="C823" s="8">
        <v>680.89</v>
      </c>
      <c r="D823" s="55"/>
      <c r="E823" s="55"/>
      <c r="F823" s="40">
        <f t="shared" si="109"/>
        <v>680.89</v>
      </c>
      <c r="G823" s="366">
        <v>111</v>
      </c>
      <c r="H823" s="339">
        <v>111</v>
      </c>
      <c r="I823" s="41">
        <f t="shared" si="106"/>
        <v>3.6999999999999998E-2</v>
      </c>
      <c r="J823" s="37">
        <f t="shared" si="107"/>
        <v>74.629369999999994</v>
      </c>
      <c r="K823" s="37">
        <f t="shared" si="105"/>
        <v>27.441219349000001</v>
      </c>
      <c r="L823" s="37">
        <v>28.828549999999996</v>
      </c>
      <c r="M823" s="37">
        <f t="shared" si="108"/>
        <v>3.4220560000000004</v>
      </c>
      <c r="N823" s="37"/>
      <c r="O823" s="45">
        <f>(J823+K823+L823+M823)/F823</f>
        <v>0.19727297412063621</v>
      </c>
    </row>
    <row r="824" spans="1:15" s="6" customFormat="1" ht="15.75">
      <c r="A824" s="8">
        <v>77</v>
      </c>
      <c r="B824" s="122" t="s">
        <v>881</v>
      </c>
      <c r="C824" s="8">
        <v>581.98</v>
      </c>
      <c r="D824" s="55"/>
      <c r="E824" s="55"/>
      <c r="F824" s="40">
        <f t="shared" si="109"/>
        <v>581.98</v>
      </c>
      <c r="G824" s="366">
        <v>65</v>
      </c>
      <c r="H824" s="339">
        <v>65</v>
      </c>
      <c r="I824" s="41">
        <f t="shared" si="106"/>
        <v>2.1666666666666667E-2</v>
      </c>
      <c r="J824" s="37">
        <f t="shared" si="107"/>
        <v>43.701883333333335</v>
      </c>
      <c r="K824" s="37">
        <f t="shared" si="105"/>
        <v>16.069182501666667</v>
      </c>
      <c r="L824" s="37">
        <v>16.881583333333335</v>
      </c>
      <c r="M824" s="37">
        <f t="shared" si="108"/>
        <v>2.0039066666666669</v>
      </c>
      <c r="N824" s="37"/>
      <c r="O824" s="45">
        <f t="shared" si="104"/>
        <v>0.13515336581153992</v>
      </c>
    </row>
    <row r="825" spans="1:15" s="6" customFormat="1" ht="15.75">
      <c r="A825" s="8">
        <v>78</v>
      </c>
      <c r="B825" s="122" t="s">
        <v>882</v>
      </c>
      <c r="C825" s="8">
        <v>260.39999999999998</v>
      </c>
      <c r="D825" s="55"/>
      <c r="E825" s="55"/>
      <c r="F825" s="40">
        <f t="shared" si="109"/>
        <v>260.39999999999998</v>
      </c>
      <c r="G825" s="366">
        <v>162</v>
      </c>
      <c r="H825" s="339">
        <v>162</v>
      </c>
      <c r="I825" s="41">
        <f t="shared" si="106"/>
        <v>5.3999999999999999E-2</v>
      </c>
      <c r="J825" s="37">
        <f t="shared" si="107"/>
        <v>108.91853999999999</v>
      </c>
      <c r="K825" s="37">
        <f t="shared" si="105"/>
        <v>40.049347158000003</v>
      </c>
      <c r="L825" s="37">
        <v>33.659280000000003</v>
      </c>
      <c r="M825" s="37">
        <f t="shared" si="108"/>
        <v>4.9943520000000001</v>
      </c>
      <c r="N825" s="37"/>
      <c r="O825" s="45">
        <f t="shared" si="104"/>
        <v>0.72051274638248852</v>
      </c>
    </row>
    <row r="826" spans="1:15" s="6" customFormat="1" ht="15.75">
      <c r="A826" s="8">
        <v>79</v>
      </c>
      <c r="B826" s="122" t="s">
        <v>883</v>
      </c>
      <c r="C826" s="8">
        <v>135.71</v>
      </c>
      <c r="D826" s="55"/>
      <c r="E826" s="55"/>
      <c r="F826" s="40">
        <f t="shared" si="109"/>
        <v>135.71</v>
      </c>
      <c r="G826" s="366">
        <v>0</v>
      </c>
      <c r="H826" s="339">
        <v>0</v>
      </c>
      <c r="I826" s="41">
        <f t="shared" si="106"/>
        <v>0</v>
      </c>
      <c r="J826" s="37">
        <f t="shared" si="107"/>
        <v>0</v>
      </c>
      <c r="K826" s="37">
        <f t="shared" si="105"/>
        <v>0</v>
      </c>
      <c r="L826" s="37">
        <v>0</v>
      </c>
      <c r="M826" s="37">
        <f t="shared" si="108"/>
        <v>0</v>
      </c>
      <c r="N826" s="37"/>
      <c r="O826" s="45">
        <f t="shared" si="104"/>
        <v>0</v>
      </c>
    </row>
    <row r="827" spans="1:15" s="6" customFormat="1" ht="15.75">
      <c r="A827" s="8">
        <v>80</v>
      </c>
      <c r="B827" s="122" t="s">
        <v>884</v>
      </c>
      <c r="C827" s="8">
        <v>201.8</v>
      </c>
      <c r="D827" s="55"/>
      <c r="E827" s="55"/>
      <c r="F827" s="40">
        <f t="shared" si="109"/>
        <v>201.8</v>
      </c>
      <c r="G827" s="366"/>
      <c r="H827" s="339"/>
      <c r="I827" s="41">
        <f t="shared" si="106"/>
        <v>0</v>
      </c>
      <c r="J827" s="37">
        <f t="shared" si="107"/>
        <v>0</v>
      </c>
      <c r="K827" s="37">
        <f t="shared" si="105"/>
        <v>0</v>
      </c>
      <c r="L827" s="37">
        <v>0</v>
      </c>
      <c r="M827" s="37">
        <f t="shared" si="108"/>
        <v>0</v>
      </c>
      <c r="N827" s="37"/>
      <c r="O827" s="45">
        <f t="shared" si="104"/>
        <v>0</v>
      </c>
    </row>
    <row r="828" spans="1:15" s="6" customFormat="1" ht="15.75">
      <c r="A828" s="8">
        <v>81</v>
      </c>
      <c r="B828" s="122" t="s">
        <v>885</v>
      </c>
      <c r="C828" s="8">
        <v>1437.1</v>
      </c>
      <c r="D828" s="55"/>
      <c r="E828" s="55"/>
      <c r="F828" s="40">
        <f t="shared" si="109"/>
        <v>1437.1</v>
      </c>
      <c r="G828" s="366">
        <v>360</v>
      </c>
      <c r="H828" s="339">
        <v>360</v>
      </c>
      <c r="I828" s="41">
        <f t="shared" si="106"/>
        <v>0.12</v>
      </c>
      <c r="J828" s="37">
        <f t="shared" si="107"/>
        <v>242.0412</v>
      </c>
      <c r="K828" s="37">
        <f t="shared" si="105"/>
        <v>88.998549240000003</v>
      </c>
      <c r="L828" s="37">
        <v>93.49799999999999</v>
      </c>
      <c r="M828" s="37">
        <f t="shared" si="108"/>
        <v>11.098559999999999</v>
      </c>
      <c r="N828" s="37"/>
      <c r="O828" s="45">
        <f t="shared" si="104"/>
        <v>0.30313569636072646</v>
      </c>
    </row>
    <row r="829" spans="1:15" s="6" customFormat="1" ht="15.75">
      <c r="A829" s="8">
        <v>82</v>
      </c>
      <c r="B829" s="122" t="s">
        <v>886</v>
      </c>
      <c r="C829" s="8">
        <v>197.86</v>
      </c>
      <c r="D829" s="55"/>
      <c r="E829" s="55">
        <v>16</v>
      </c>
      <c r="F829" s="40">
        <f t="shared" si="109"/>
        <v>213.86</v>
      </c>
      <c r="G829" s="366">
        <v>0</v>
      </c>
      <c r="H829" s="339">
        <v>0</v>
      </c>
      <c r="I829" s="41">
        <f t="shared" si="106"/>
        <v>0</v>
      </c>
      <c r="J829" s="37">
        <f t="shared" si="107"/>
        <v>0</v>
      </c>
      <c r="K829" s="37">
        <f t="shared" si="105"/>
        <v>0</v>
      </c>
      <c r="L829" s="37">
        <v>0</v>
      </c>
      <c r="M829" s="37">
        <f t="shared" si="108"/>
        <v>0</v>
      </c>
      <c r="N829" s="37"/>
      <c r="O829" s="45">
        <f t="shared" si="104"/>
        <v>0</v>
      </c>
    </row>
    <row r="830" spans="1:15" s="6" customFormat="1" ht="15.75">
      <c r="A830" s="8">
        <v>83</v>
      </c>
      <c r="B830" s="122" t="s">
        <v>887</v>
      </c>
      <c r="C830" s="8">
        <v>397.89</v>
      </c>
      <c r="D830" s="55"/>
      <c r="E830" s="55"/>
      <c r="F830" s="40">
        <f t="shared" si="109"/>
        <v>397.89</v>
      </c>
      <c r="G830" s="366">
        <v>96</v>
      </c>
      <c r="H830" s="339">
        <v>96</v>
      </c>
      <c r="I830" s="41">
        <f t="shared" si="106"/>
        <v>3.2000000000000001E-2</v>
      </c>
      <c r="J830" s="37">
        <f t="shared" si="107"/>
        <v>64.544319999999999</v>
      </c>
      <c r="K830" s="37">
        <f t="shared" si="105"/>
        <v>23.732946464000001</v>
      </c>
      <c r="L830" s="37">
        <v>24.9328</v>
      </c>
      <c r="M830" s="37">
        <f t="shared" si="108"/>
        <v>2.9596160000000005</v>
      </c>
      <c r="N830" s="37"/>
      <c r="O830" s="45">
        <f t="shared" si="104"/>
        <v>0.2919643179371183</v>
      </c>
    </row>
    <row r="831" spans="1:15" s="6" customFormat="1" ht="15.75">
      <c r="A831" s="8">
        <v>84</v>
      </c>
      <c r="B831" s="122" t="s">
        <v>888</v>
      </c>
      <c r="C831" s="8">
        <v>352.17</v>
      </c>
      <c r="D831" s="55"/>
      <c r="E831" s="55"/>
      <c r="F831" s="40">
        <f t="shared" si="109"/>
        <v>352.17</v>
      </c>
      <c r="G831" s="366">
        <v>118</v>
      </c>
      <c r="H831" s="339">
        <v>118</v>
      </c>
      <c r="I831" s="41">
        <f t="shared" si="106"/>
        <v>3.9333333333333331E-2</v>
      </c>
      <c r="J831" s="37">
        <f t="shared" si="107"/>
        <v>79.335726666666659</v>
      </c>
      <c r="K831" s="37">
        <f t="shared" si="105"/>
        <v>29.171746695333333</v>
      </c>
      <c r="L831" s="37">
        <v>30.646566666666665</v>
      </c>
      <c r="M831" s="37">
        <f t="shared" si="108"/>
        <v>3.6378613333333329</v>
      </c>
      <c r="N831" s="37"/>
      <c r="O831" s="45">
        <f t="shared" si="104"/>
        <v>0.40546299049322759</v>
      </c>
    </row>
    <row r="832" spans="1:15" s="6" customFormat="1" ht="15.75">
      <c r="A832" s="8">
        <v>85</v>
      </c>
      <c r="B832" s="122" t="s">
        <v>889</v>
      </c>
      <c r="C832" s="8">
        <v>653.07000000000005</v>
      </c>
      <c r="D832" s="55"/>
      <c r="E832" s="55"/>
      <c r="F832" s="40">
        <f t="shared" si="109"/>
        <v>653.07000000000005</v>
      </c>
      <c r="G832" s="366">
        <v>133</v>
      </c>
      <c r="H832" s="339">
        <v>133</v>
      </c>
      <c r="I832" s="41">
        <f t="shared" si="106"/>
        <v>4.4333333333333336E-2</v>
      </c>
      <c r="J832" s="37">
        <f t="shared" si="107"/>
        <v>89.420776666666669</v>
      </c>
      <c r="K832" s="37">
        <f t="shared" si="105"/>
        <v>32.880019580333339</v>
      </c>
      <c r="L832" s="37">
        <v>34.542316666666665</v>
      </c>
      <c r="M832" s="37">
        <f t="shared" si="108"/>
        <v>4.1003013333333342</v>
      </c>
      <c r="N832" s="37"/>
      <c r="O832" s="45">
        <f t="shared" si="104"/>
        <v>0.24644129151086408</v>
      </c>
    </row>
    <row r="833" spans="1:15" s="6" customFormat="1" ht="15.75">
      <c r="A833" s="8">
        <v>87</v>
      </c>
      <c r="B833" s="122" t="s">
        <v>916</v>
      </c>
      <c r="C833" s="17">
        <v>786.94</v>
      </c>
      <c r="D833" s="55"/>
      <c r="E833" s="55"/>
      <c r="F833" s="40">
        <f t="shared" si="109"/>
        <v>786.94</v>
      </c>
      <c r="G833" s="366">
        <v>322</v>
      </c>
      <c r="H833" s="339">
        <v>322</v>
      </c>
      <c r="I833" s="41">
        <f t="shared" si="106"/>
        <v>0.10733333333333334</v>
      </c>
      <c r="J833" s="37">
        <f t="shared" si="107"/>
        <v>216.49240666666668</v>
      </c>
      <c r="K833" s="37">
        <f t="shared" si="105"/>
        <v>79.60425793133335</v>
      </c>
      <c r="L833" s="37">
        <v>0</v>
      </c>
      <c r="M833" s="37">
        <f t="shared" si="108"/>
        <v>9.9270453333333339</v>
      </c>
      <c r="N833" s="37"/>
      <c r="O833" s="45">
        <f t="shared" si="104"/>
        <v>0.38887807193856372</v>
      </c>
    </row>
    <row r="834" spans="1:15" s="6" customFormat="1" ht="15.75">
      <c r="A834" s="8">
        <v>89</v>
      </c>
      <c r="B834" s="122" t="s">
        <v>918</v>
      </c>
      <c r="C834" s="8">
        <v>3273.28</v>
      </c>
      <c r="D834" s="55"/>
      <c r="E834" s="55">
        <v>69.5</v>
      </c>
      <c r="F834" s="40">
        <f t="shared" si="109"/>
        <v>3342.78</v>
      </c>
      <c r="G834" s="366">
        <v>808</v>
      </c>
      <c r="H834" s="339">
        <v>808</v>
      </c>
      <c r="I834" s="41">
        <f t="shared" si="106"/>
        <v>0.26933333333333331</v>
      </c>
      <c r="J834" s="37">
        <f t="shared" si="107"/>
        <v>543.24802666666665</v>
      </c>
      <c r="K834" s="37">
        <f t="shared" si="105"/>
        <v>199.75229940533333</v>
      </c>
      <c r="L834" s="37">
        <v>83.628766666666664</v>
      </c>
      <c r="M834" s="37">
        <f t="shared" si="108"/>
        <v>24.910101333333333</v>
      </c>
      <c r="N834" s="37"/>
      <c r="O834" s="45">
        <f t="shared" si="104"/>
        <v>0.25473982555597441</v>
      </c>
    </row>
    <row r="835" spans="1:15" s="6" customFormat="1" ht="15.75">
      <c r="A835" s="8">
        <v>90</v>
      </c>
      <c r="B835" s="122" t="s">
        <v>921</v>
      </c>
      <c r="C835" s="8">
        <v>139.80000000000001</v>
      </c>
      <c r="D835" s="55"/>
      <c r="E835" s="55"/>
      <c r="F835" s="40">
        <f t="shared" si="109"/>
        <v>139.80000000000001</v>
      </c>
      <c r="G835" s="366"/>
      <c r="H835" s="339"/>
      <c r="I835" s="41">
        <f t="shared" si="106"/>
        <v>0</v>
      </c>
      <c r="J835" s="37">
        <f t="shared" si="107"/>
        <v>0</v>
      </c>
      <c r="K835" s="37">
        <f t="shared" si="105"/>
        <v>0</v>
      </c>
      <c r="L835" s="37">
        <v>0</v>
      </c>
      <c r="M835" s="37">
        <f t="shared" si="108"/>
        <v>0</v>
      </c>
      <c r="N835" s="37"/>
      <c r="O835" s="45">
        <f t="shared" si="104"/>
        <v>0</v>
      </c>
    </row>
    <row r="836" spans="1:15" s="6" customFormat="1" ht="15.75">
      <c r="A836" s="8">
        <v>91</v>
      </c>
      <c r="B836" s="122" t="s">
        <v>922</v>
      </c>
      <c r="C836" s="8">
        <v>2876.7</v>
      </c>
      <c r="D836" s="55"/>
      <c r="E836" s="55">
        <v>258.60000000000002</v>
      </c>
      <c r="F836" s="40">
        <f t="shared" si="109"/>
        <v>3135.2999999999997</v>
      </c>
      <c r="G836" s="366">
        <v>1697</v>
      </c>
      <c r="H836" s="339">
        <v>1697</v>
      </c>
      <c r="I836" s="41">
        <f t="shared" si="106"/>
        <v>0.56566666666666665</v>
      </c>
      <c r="J836" s="37">
        <f t="shared" si="107"/>
        <v>1140.9553233333334</v>
      </c>
      <c r="K836" s="37">
        <f t="shared" si="105"/>
        <v>419.52927238966669</v>
      </c>
      <c r="L836" s="37">
        <v>209.85106666666664</v>
      </c>
      <c r="M836" s="37">
        <f t="shared" si="108"/>
        <v>52.31737866666667</v>
      </c>
      <c r="N836" s="37"/>
      <c r="O836" s="45">
        <f t="shared" si="104"/>
        <v>0.5813328998999564</v>
      </c>
    </row>
    <row r="837" spans="1:15" s="6" customFormat="1" ht="15.75">
      <c r="A837" s="8">
        <v>92</v>
      </c>
      <c r="B837" s="122" t="s">
        <v>923</v>
      </c>
      <c r="C837" s="8">
        <v>230.5</v>
      </c>
      <c r="D837" s="55"/>
      <c r="E837" s="55"/>
      <c r="F837" s="40">
        <f t="shared" si="109"/>
        <v>230.5</v>
      </c>
      <c r="G837" s="366">
        <v>66</v>
      </c>
      <c r="H837" s="339">
        <v>66</v>
      </c>
      <c r="I837" s="41">
        <f t="shared" si="106"/>
        <v>2.1999999999999999E-2</v>
      </c>
      <c r="J837" s="37">
        <f t="shared" si="107"/>
        <v>44.374219999999994</v>
      </c>
      <c r="K837" s="37">
        <f t="shared" si="105"/>
        <v>16.316400693999999</v>
      </c>
      <c r="L837" s="37">
        <v>0</v>
      </c>
      <c r="M837" s="37">
        <f t="shared" si="108"/>
        <v>2.0347360000000001</v>
      </c>
      <c r="N837" s="37"/>
      <c r="O837" s="45">
        <f t="shared" si="104"/>
        <v>0.27212736092841644</v>
      </c>
    </row>
    <row r="838" spans="1:15" s="6" customFormat="1" ht="15.75">
      <c r="A838" s="8">
        <v>93</v>
      </c>
      <c r="B838" s="122" t="s">
        <v>924</v>
      </c>
      <c r="C838" s="8">
        <v>65.900000000000006</v>
      </c>
      <c r="D838" s="55"/>
      <c r="E838" s="55"/>
      <c r="F838" s="40">
        <f t="shared" si="109"/>
        <v>65.900000000000006</v>
      </c>
      <c r="G838" s="366">
        <v>0</v>
      </c>
      <c r="H838" s="339">
        <v>0</v>
      </c>
      <c r="I838" s="41">
        <f t="shared" si="106"/>
        <v>0</v>
      </c>
      <c r="J838" s="37">
        <f t="shared" si="107"/>
        <v>0</v>
      </c>
      <c r="K838" s="37">
        <f t="shared" si="105"/>
        <v>0</v>
      </c>
      <c r="L838" s="37">
        <v>0</v>
      </c>
      <c r="M838" s="37">
        <f t="shared" si="108"/>
        <v>0</v>
      </c>
      <c r="N838" s="37"/>
      <c r="O838" s="45">
        <f t="shared" si="104"/>
        <v>0</v>
      </c>
    </row>
    <row r="839" spans="1:15" s="6" customFormat="1" ht="15.75">
      <c r="A839" s="8">
        <v>94</v>
      </c>
      <c r="B839" s="122" t="s">
        <v>16</v>
      </c>
      <c r="C839" s="8">
        <v>75.900000000000006</v>
      </c>
      <c r="D839" s="55"/>
      <c r="E839" s="55"/>
      <c r="F839" s="40">
        <f t="shared" si="109"/>
        <v>75.900000000000006</v>
      </c>
      <c r="G839" s="366">
        <v>0</v>
      </c>
      <c r="H839" s="339">
        <v>0</v>
      </c>
      <c r="I839" s="41">
        <f t="shared" si="106"/>
        <v>0</v>
      </c>
      <c r="J839" s="37">
        <f t="shared" si="107"/>
        <v>0</v>
      </c>
      <c r="K839" s="37">
        <f t="shared" si="105"/>
        <v>0</v>
      </c>
      <c r="L839" s="37">
        <v>0</v>
      </c>
      <c r="M839" s="37">
        <f t="shared" si="108"/>
        <v>0</v>
      </c>
      <c r="N839" s="37"/>
      <c r="O839" s="45">
        <f t="shared" ref="O839:O902" si="110">(J839+K839+L839+M839)/F839</f>
        <v>0</v>
      </c>
    </row>
    <row r="840" spans="1:15" s="6" customFormat="1" ht="15.75">
      <c r="A840" s="8">
        <v>95</v>
      </c>
      <c r="B840" s="122" t="s">
        <v>17</v>
      </c>
      <c r="C840" s="8">
        <v>115.8</v>
      </c>
      <c r="D840" s="55"/>
      <c r="E840" s="55"/>
      <c r="F840" s="40">
        <f t="shared" si="109"/>
        <v>115.8</v>
      </c>
      <c r="G840" s="366">
        <v>0</v>
      </c>
      <c r="H840" s="339">
        <v>0</v>
      </c>
      <c r="I840" s="41">
        <f t="shared" si="106"/>
        <v>0</v>
      </c>
      <c r="J840" s="37">
        <f t="shared" si="107"/>
        <v>0</v>
      </c>
      <c r="K840" s="37">
        <f t="shared" si="105"/>
        <v>0</v>
      </c>
      <c r="L840" s="37">
        <v>0</v>
      </c>
      <c r="M840" s="37">
        <f t="shared" si="108"/>
        <v>0</v>
      </c>
      <c r="N840" s="37"/>
      <c r="O840" s="45">
        <f t="shared" si="110"/>
        <v>0</v>
      </c>
    </row>
    <row r="841" spans="1:15" s="6" customFormat="1" ht="15.75">
      <c r="A841" s="8">
        <v>96</v>
      </c>
      <c r="B841" s="122" t="s">
        <v>18</v>
      </c>
      <c r="C841" s="8">
        <v>43.6</v>
      </c>
      <c r="D841" s="55"/>
      <c r="E841" s="55"/>
      <c r="F841" s="40">
        <f t="shared" si="109"/>
        <v>43.6</v>
      </c>
      <c r="G841" s="366">
        <v>0</v>
      </c>
      <c r="H841" s="339">
        <v>0</v>
      </c>
      <c r="I841" s="41">
        <f t="shared" si="106"/>
        <v>0</v>
      </c>
      <c r="J841" s="37">
        <f t="shared" si="107"/>
        <v>0</v>
      </c>
      <c r="K841" s="37">
        <f t="shared" si="105"/>
        <v>0</v>
      </c>
      <c r="L841" s="37">
        <v>0</v>
      </c>
      <c r="M841" s="37">
        <f t="shared" si="108"/>
        <v>0</v>
      </c>
      <c r="N841" s="37"/>
      <c r="O841" s="45">
        <f t="shared" si="110"/>
        <v>0</v>
      </c>
    </row>
    <row r="842" spans="1:15" s="6" customFormat="1" ht="15.75">
      <c r="A842" s="8">
        <v>97</v>
      </c>
      <c r="B842" s="122" t="s">
        <v>19</v>
      </c>
      <c r="C842" s="8">
        <v>229.9</v>
      </c>
      <c r="D842" s="55"/>
      <c r="E842" s="55"/>
      <c r="F842" s="40">
        <f t="shared" si="109"/>
        <v>229.9</v>
      </c>
      <c r="G842" s="366">
        <v>0</v>
      </c>
      <c r="H842" s="339">
        <v>0</v>
      </c>
      <c r="I842" s="41">
        <f t="shared" si="106"/>
        <v>0</v>
      </c>
      <c r="J842" s="37">
        <f t="shared" si="107"/>
        <v>0</v>
      </c>
      <c r="K842" s="37">
        <f t="shared" si="105"/>
        <v>0</v>
      </c>
      <c r="L842" s="37">
        <v>0</v>
      </c>
      <c r="M842" s="37">
        <f t="shared" si="108"/>
        <v>0</v>
      </c>
      <c r="N842" s="37"/>
      <c r="O842" s="45">
        <f t="shared" si="110"/>
        <v>0</v>
      </c>
    </row>
    <row r="843" spans="1:15" s="6" customFormat="1" ht="15.75">
      <c r="A843" s="8">
        <v>98</v>
      </c>
      <c r="B843" s="122" t="s">
        <v>20</v>
      </c>
      <c r="C843" s="8">
        <v>274.3</v>
      </c>
      <c r="D843" s="55"/>
      <c r="E843" s="55"/>
      <c r="F843" s="40">
        <f t="shared" si="109"/>
        <v>274.3</v>
      </c>
      <c r="G843" s="366">
        <v>0</v>
      </c>
      <c r="H843" s="339">
        <v>0</v>
      </c>
      <c r="I843" s="41">
        <f t="shared" si="106"/>
        <v>0</v>
      </c>
      <c r="J843" s="37">
        <f t="shared" si="107"/>
        <v>0</v>
      </c>
      <c r="K843" s="37">
        <f t="shared" si="105"/>
        <v>0</v>
      </c>
      <c r="L843" s="37">
        <v>0</v>
      </c>
      <c r="M843" s="37">
        <f t="shared" si="108"/>
        <v>0</v>
      </c>
      <c r="N843" s="37"/>
      <c r="O843" s="45">
        <f t="shared" si="110"/>
        <v>0</v>
      </c>
    </row>
    <row r="844" spans="1:15" s="6" customFormat="1" ht="15.75">
      <c r="A844" s="8">
        <v>99</v>
      </c>
      <c r="B844" s="122" t="s">
        <v>21</v>
      </c>
      <c r="C844" s="8">
        <v>282</v>
      </c>
      <c r="D844" s="55"/>
      <c r="E844" s="55"/>
      <c r="F844" s="40">
        <f t="shared" si="109"/>
        <v>282</v>
      </c>
      <c r="G844" s="366">
        <v>0</v>
      </c>
      <c r="H844" s="339">
        <v>0</v>
      </c>
      <c r="I844" s="41">
        <f t="shared" si="106"/>
        <v>0</v>
      </c>
      <c r="J844" s="37">
        <f t="shared" si="107"/>
        <v>0</v>
      </c>
      <c r="K844" s="37">
        <f t="shared" si="105"/>
        <v>0</v>
      </c>
      <c r="L844" s="37">
        <v>0</v>
      </c>
      <c r="M844" s="37">
        <f t="shared" si="108"/>
        <v>0</v>
      </c>
      <c r="N844" s="37"/>
      <c r="O844" s="45">
        <f t="shared" si="110"/>
        <v>0</v>
      </c>
    </row>
    <row r="845" spans="1:15" s="6" customFormat="1" ht="15.75">
      <c r="A845" s="8">
        <v>100</v>
      </c>
      <c r="B845" s="122" t="s">
        <v>22</v>
      </c>
      <c r="C845" s="8">
        <v>181.2</v>
      </c>
      <c r="D845" s="55"/>
      <c r="E845" s="55"/>
      <c r="F845" s="40">
        <f t="shared" si="109"/>
        <v>181.2</v>
      </c>
      <c r="G845" s="366">
        <v>22</v>
      </c>
      <c r="H845" s="339">
        <v>22</v>
      </c>
      <c r="I845" s="41">
        <f t="shared" si="106"/>
        <v>7.3333333333333332E-3</v>
      </c>
      <c r="J845" s="37">
        <f t="shared" si="107"/>
        <v>14.791406666666667</v>
      </c>
      <c r="K845" s="37">
        <f t="shared" si="105"/>
        <v>5.4388002313333335</v>
      </c>
      <c r="L845" s="37">
        <v>0</v>
      </c>
      <c r="M845" s="37">
        <f t="shared" si="108"/>
        <v>0.67824533333333337</v>
      </c>
      <c r="N845" s="37"/>
      <c r="O845" s="45">
        <f t="shared" si="110"/>
        <v>0.11538880922369389</v>
      </c>
    </row>
    <row r="846" spans="1:15" s="6" customFormat="1" ht="15.75">
      <c r="A846" s="8">
        <v>101</v>
      </c>
      <c r="B846" s="122" t="s">
        <v>23</v>
      </c>
      <c r="C846" s="8">
        <v>171</v>
      </c>
      <c r="D846" s="55"/>
      <c r="E846" s="55"/>
      <c r="F846" s="40">
        <f t="shared" si="109"/>
        <v>171</v>
      </c>
      <c r="G846" s="366">
        <v>22</v>
      </c>
      <c r="H846" s="339">
        <v>22</v>
      </c>
      <c r="I846" s="41">
        <f t="shared" si="106"/>
        <v>7.3333333333333332E-3</v>
      </c>
      <c r="J846" s="37">
        <f t="shared" si="107"/>
        <v>14.791406666666667</v>
      </c>
      <c r="K846" s="37">
        <f t="shared" si="105"/>
        <v>5.4388002313333335</v>
      </c>
      <c r="L846" s="37">
        <v>0</v>
      </c>
      <c r="M846" s="37">
        <f t="shared" si="108"/>
        <v>0.67824533333333337</v>
      </c>
      <c r="N846" s="37"/>
      <c r="O846" s="45">
        <f t="shared" si="110"/>
        <v>0.12227165047563351</v>
      </c>
    </row>
    <row r="847" spans="1:15" s="6" customFormat="1" ht="15.75">
      <c r="A847" s="8">
        <v>102</v>
      </c>
      <c r="B847" s="122" t="s">
        <v>24</v>
      </c>
      <c r="C847" s="8">
        <v>160.5</v>
      </c>
      <c r="D847" s="55"/>
      <c r="E847" s="55"/>
      <c r="F847" s="40">
        <f t="shared" si="109"/>
        <v>160.5</v>
      </c>
      <c r="G847" s="366">
        <v>22</v>
      </c>
      <c r="H847" s="339">
        <v>22</v>
      </c>
      <c r="I847" s="41">
        <f t="shared" si="106"/>
        <v>7.3333333333333332E-3</v>
      </c>
      <c r="J847" s="37">
        <f t="shared" si="107"/>
        <v>14.791406666666667</v>
      </c>
      <c r="K847" s="37">
        <f t="shared" si="105"/>
        <v>5.4388002313333335</v>
      </c>
      <c r="L847" s="37">
        <v>5.7137666666666664</v>
      </c>
      <c r="M847" s="37">
        <f t="shared" si="108"/>
        <v>0.67824533333333337</v>
      </c>
      <c r="N847" s="37"/>
      <c r="O847" s="45">
        <f t="shared" si="110"/>
        <v>0.16587052272897193</v>
      </c>
    </row>
    <row r="848" spans="1:15" s="6" customFormat="1" ht="15.75">
      <c r="A848" s="8">
        <v>103</v>
      </c>
      <c r="B848" s="122" t="s">
        <v>25</v>
      </c>
      <c r="C848" s="8">
        <v>165.6</v>
      </c>
      <c r="D848" s="55"/>
      <c r="E848" s="55"/>
      <c r="F848" s="40">
        <f t="shared" si="109"/>
        <v>165.6</v>
      </c>
      <c r="G848" s="366">
        <v>22</v>
      </c>
      <c r="H848" s="339">
        <v>22</v>
      </c>
      <c r="I848" s="41">
        <f t="shared" si="106"/>
        <v>7.3333333333333332E-3</v>
      </c>
      <c r="J848" s="37">
        <f t="shared" si="107"/>
        <v>14.791406666666667</v>
      </c>
      <c r="K848" s="37">
        <f t="shared" si="105"/>
        <v>5.4388002313333335</v>
      </c>
      <c r="L848" s="37">
        <v>5.7137666666666664</v>
      </c>
      <c r="M848" s="37">
        <f t="shared" si="108"/>
        <v>0.67824533333333337</v>
      </c>
      <c r="N848" s="37"/>
      <c r="O848" s="45">
        <f t="shared" si="110"/>
        <v>0.16076219141304346</v>
      </c>
    </row>
    <row r="849" spans="1:27" s="6" customFormat="1" ht="15.75">
      <c r="A849" s="8">
        <v>104</v>
      </c>
      <c r="B849" s="122" t="s">
        <v>26</v>
      </c>
      <c r="C849" s="8">
        <v>158.6</v>
      </c>
      <c r="D849" s="55"/>
      <c r="E849" s="55"/>
      <c r="F849" s="40">
        <f t="shared" si="109"/>
        <v>158.6</v>
      </c>
      <c r="G849" s="366">
        <v>22</v>
      </c>
      <c r="H849" s="339">
        <v>22</v>
      </c>
      <c r="I849" s="41">
        <f t="shared" si="106"/>
        <v>7.3333333333333332E-3</v>
      </c>
      <c r="J849" s="37">
        <f t="shared" si="107"/>
        <v>14.791406666666667</v>
      </c>
      <c r="K849" s="37">
        <f t="shared" si="105"/>
        <v>5.4388002313333335</v>
      </c>
      <c r="L849" s="37">
        <v>5.7137666666666664</v>
      </c>
      <c r="M849" s="37">
        <f t="shared" si="108"/>
        <v>0.67824533333333337</v>
      </c>
      <c r="N849" s="37"/>
      <c r="O849" s="45">
        <f t="shared" si="110"/>
        <v>0.1678576223076923</v>
      </c>
    </row>
    <row r="850" spans="1:27" s="6" customFormat="1" ht="15.75">
      <c r="A850" s="8">
        <v>105</v>
      </c>
      <c r="B850" s="122" t="s">
        <v>27</v>
      </c>
      <c r="C850" s="8">
        <v>414.61</v>
      </c>
      <c r="D850" s="55"/>
      <c r="E850" s="55"/>
      <c r="F850" s="40">
        <f t="shared" si="109"/>
        <v>414.61</v>
      </c>
      <c r="G850" s="366">
        <v>0</v>
      </c>
      <c r="H850" s="339">
        <v>0</v>
      </c>
      <c r="I850" s="41">
        <f t="shared" si="106"/>
        <v>0</v>
      </c>
      <c r="J850" s="37">
        <f t="shared" si="107"/>
        <v>0</v>
      </c>
      <c r="K850" s="37">
        <f t="shared" si="105"/>
        <v>0</v>
      </c>
      <c r="L850" s="37">
        <v>5.7137666666666664</v>
      </c>
      <c r="M850" s="37">
        <f t="shared" si="108"/>
        <v>0</v>
      </c>
      <c r="N850" s="37"/>
      <c r="O850" s="45">
        <f t="shared" si="110"/>
        <v>1.3781063328589919E-2</v>
      </c>
    </row>
    <row r="851" spans="1:27" s="6" customFormat="1" ht="15.75">
      <c r="A851" s="8">
        <v>106</v>
      </c>
      <c r="B851" s="122" t="s">
        <v>28</v>
      </c>
      <c r="C851" s="8">
        <v>148.1</v>
      </c>
      <c r="D851" s="55"/>
      <c r="E851" s="55"/>
      <c r="F851" s="40">
        <f t="shared" si="109"/>
        <v>148.1</v>
      </c>
      <c r="G851" s="366">
        <v>24</v>
      </c>
      <c r="H851" s="339">
        <v>24</v>
      </c>
      <c r="I851" s="41">
        <f t="shared" si="106"/>
        <v>8.0000000000000002E-3</v>
      </c>
      <c r="J851" s="37">
        <f t="shared" si="107"/>
        <v>16.13608</v>
      </c>
      <c r="K851" s="37">
        <f t="shared" si="105"/>
        <v>5.9332366160000003</v>
      </c>
      <c r="L851" s="37">
        <v>5.7137666666666664</v>
      </c>
      <c r="M851" s="37">
        <f t="shared" si="108"/>
        <v>0.73990400000000012</v>
      </c>
      <c r="N851" s="37"/>
      <c r="O851" s="45">
        <f t="shared" si="110"/>
        <v>0.19259275680396129</v>
      </c>
    </row>
    <row r="852" spans="1:27" s="6" customFormat="1" ht="15.75">
      <c r="A852" s="8">
        <v>107</v>
      </c>
      <c r="B852" s="122" t="s">
        <v>29</v>
      </c>
      <c r="C852" s="8">
        <v>27.8</v>
      </c>
      <c r="D852" s="55"/>
      <c r="E852" s="55"/>
      <c r="F852" s="40">
        <f t="shared" si="109"/>
        <v>27.8</v>
      </c>
      <c r="G852" s="366">
        <v>0</v>
      </c>
      <c r="H852" s="339">
        <v>0</v>
      </c>
      <c r="I852" s="41">
        <f t="shared" si="106"/>
        <v>0</v>
      </c>
      <c r="J852" s="37">
        <f t="shared" si="107"/>
        <v>0</v>
      </c>
      <c r="K852" s="37">
        <f t="shared" si="105"/>
        <v>0</v>
      </c>
      <c r="L852" s="37">
        <v>0</v>
      </c>
      <c r="M852" s="37">
        <f t="shared" si="108"/>
        <v>0</v>
      </c>
      <c r="N852" s="37"/>
      <c r="O852" s="45">
        <f t="shared" si="110"/>
        <v>0</v>
      </c>
    </row>
    <row r="853" spans="1:27" s="6" customFormat="1" ht="15.75">
      <c r="A853" s="8">
        <v>108</v>
      </c>
      <c r="B853" s="122" t="s">
        <v>30</v>
      </c>
      <c r="C853" s="8">
        <v>140.9</v>
      </c>
      <c r="D853" s="55"/>
      <c r="E853" s="55"/>
      <c r="F853" s="40">
        <f t="shared" si="109"/>
        <v>140.9</v>
      </c>
      <c r="G853" s="366">
        <v>0</v>
      </c>
      <c r="H853" s="339">
        <v>0</v>
      </c>
      <c r="I853" s="41">
        <f t="shared" si="106"/>
        <v>0</v>
      </c>
      <c r="J853" s="37">
        <f t="shared" si="107"/>
        <v>0</v>
      </c>
      <c r="K853" s="37">
        <f t="shared" si="105"/>
        <v>0</v>
      </c>
      <c r="L853" s="37">
        <v>0</v>
      </c>
      <c r="M853" s="37">
        <f t="shared" si="108"/>
        <v>0</v>
      </c>
      <c r="N853" s="37"/>
      <c r="O853" s="45">
        <f t="shared" si="110"/>
        <v>0</v>
      </c>
    </row>
    <row r="854" spans="1:27" s="6" customFormat="1" ht="15.75">
      <c r="A854" s="8">
        <v>109</v>
      </c>
      <c r="B854" s="122" t="s">
        <v>31</v>
      </c>
      <c r="C854" s="8">
        <v>66.599999999999994</v>
      </c>
      <c r="D854" s="55"/>
      <c r="E854" s="55"/>
      <c r="F854" s="40">
        <f t="shared" si="109"/>
        <v>66.599999999999994</v>
      </c>
      <c r="G854" s="366">
        <v>0</v>
      </c>
      <c r="H854" s="339">
        <v>0</v>
      </c>
      <c r="I854" s="41">
        <f t="shared" si="106"/>
        <v>0</v>
      </c>
      <c r="J854" s="37">
        <f t="shared" si="107"/>
        <v>0</v>
      </c>
      <c r="K854" s="37">
        <f t="shared" si="105"/>
        <v>0</v>
      </c>
      <c r="L854" s="37">
        <v>0</v>
      </c>
      <c r="M854" s="37">
        <f t="shared" si="108"/>
        <v>0</v>
      </c>
      <c r="N854" s="37"/>
      <c r="O854" s="45">
        <f t="shared" si="110"/>
        <v>0</v>
      </c>
    </row>
    <row r="855" spans="1:27" s="6" customFormat="1" ht="15.75">
      <c r="A855" s="8">
        <v>110</v>
      </c>
      <c r="B855" s="122" t="s">
        <v>32</v>
      </c>
      <c r="C855" s="8">
        <v>97.5</v>
      </c>
      <c r="D855" s="55"/>
      <c r="E855" s="55"/>
      <c r="F855" s="40">
        <f t="shared" si="109"/>
        <v>97.5</v>
      </c>
      <c r="G855" s="366">
        <v>0</v>
      </c>
      <c r="H855" s="339">
        <v>0</v>
      </c>
      <c r="I855" s="41">
        <f t="shared" si="106"/>
        <v>0</v>
      </c>
      <c r="J855" s="37">
        <f t="shared" si="107"/>
        <v>0</v>
      </c>
      <c r="K855" s="37">
        <f t="shared" si="105"/>
        <v>0</v>
      </c>
      <c r="L855" s="37">
        <v>0</v>
      </c>
      <c r="M855" s="37">
        <f t="shared" si="108"/>
        <v>0</v>
      </c>
      <c r="N855" s="37"/>
      <c r="O855" s="45">
        <f t="shared" si="110"/>
        <v>0</v>
      </c>
    </row>
    <row r="856" spans="1:27" s="6" customFormat="1" ht="15.75">
      <c r="A856" s="8">
        <v>111</v>
      </c>
      <c r="B856" s="122" t="s">
        <v>33</v>
      </c>
      <c r="C856" s="8">
        <v>522.6</v>
      </c>
      <c r="D856" s="55"/>
      <c r="E856" s="55"/>
      <c r="F856" s="40">
        <f t="shared" si="109"/>
        <v>522.6</v>
      </c>
      <c r="G856" s="366">
        <v>0</v>
      </c>
      <c r="H856" s="339">
        <v>0</v>
      </c>
      <c r="I856" s="41">
        <f t="shared" si="106"/>
        <v>0</v>
      </c>
      <c r="J856" s="37">
        <f t="shared" si="107"/>
        <v>0</v>
      </c>
      <c r="K856" s="37">
        <f t="shared" si="105"/>
        <v>0</v>
      </c>
      <c r="L856" s="37">
        <v>0</v>
      </c>
      <c r="M856" s="37">
        <f t="shared" si="108"/>
        <v>0</v>
      </c>
      <c r="N856" s="37"/>
      <c r="O856" s="45">
        <f t="shared" si="110"/>
        <v>0</v>
      </c>
    </row>
    <row r="857" spans="1:27" s="6" customFormat="1" ht="15.75">
      <c r="A857" s="8">
        <v>112</v>
      </c>
      <c r="B857" s="122" t="s">
        <v>34</v>
      </c>
      <c r="C857" s="8">
        <v>71.8</v>
      </c>
      <c r="D857" s="55"/>
      <c r="E857" s="55"/>
      <c r="F857" s="40">
        <f t="shared" si="109"/>
        <v>71.8</v>
      </c>
      <c r="G857" s="366">
        <v>0</v>
      </c>
      <c r="H857" s="339">
        <v>0</v>
      </c>
      <c r="I857" s="41">
        <f t="shared" si="106"/>
        <v>0</v>
      </c>
      <c r="J857" s="37">
        <f t="shared" si="107"/>
        <v>0</v>
      </c>
      <c r="K857" s="37">
        <f t="shared" si="105"/>
        <v>0</v>
      </c>
      <c r="L857" s="37">
        <v>0</v>
      </c>
      <c r="M857" s="37">
        <f t="shared" si="108"/>
        <v>0</v>
      </c>
      <c r="N857" s="37"/>
      <c r="O857" s="45">
        <f t="shared" si="110"/>
        <v>0</v>
      </c>
    </row>
    <row r="858" spans="1:27" s="6" customFormat="1" ht="15.75">
      <c r="A858" s="8">
        <v>113</v>
      </c>
      <c r="B858" s="122" t="s">
        <v>35</v>
      </c>
      <c r="C858" s="8">
        <v>199</v>
      </c>
      <c r="D858" s="55"/>
      <c r="E858" s="55"/>
      <c r="F858" s="40">
        <f t="shared" si="109"/>
        <v>199</v>
      </c>
      <c r="G858" s="366">
        <v>121</v>
      </c>
      <c r="H858" s="339">
        <v>121</v>
      </c>
      <c r="I858" s="41">
        <f>H858/3000</f>
        <v>4.0333333333333332E-2</v>
      </c>
      <c r="J858" s="37">
        <f t="shared" si="107"/>
        <v>81.352736666666658</v>
      </c>
      <c r="K858" s="37">
        <f t="shared" si="105"/>
        <v>29.913401272333331</v>
      </c>
      <c r="L858" s="37">
        <v>31.425716666666666</v>
      </c>
      <c r="M858" s="37">
        <v>0</v>
      </c>
      <c r="N858" s="37"/>
      <c r="O858" s="45">
        <f t="shared" si="110"/>
        <v>0.71704449550586258</v>
      </c>
      <c r="P858" s="6">
        <v>199</v>
      </c>
      <c r="S858" s="6">
        <v>199</v>
      </c>
      <c r="T858" s="6">
        <v>121</v>
      </c>
      <c r="U858" s="6">
        <v>121</v>
      </c>
      <c r="V858" s="6">
        <v>4.0333333333333332E-2</v>
      </c>
      <c r="W858" s="6">
        <v>62.851433333333333</v>
      </c>
      <c r="X858" s="6">
        <v>23.110472036666668</v>
      </c>
      <c r="Y858" s="6">
        <v>31.425716666666666</v>
      </c>
      <c r="Z858" s="6">
        <v>3.3912266666666664</v>
      </c>
      <c r="AA858" s="6">
        <v>0.60692888795644895</v>
      </c>
    </row>
    <row r="859" spans="1:27" s="6" customFormat="1" ht="15.75">
      <c r="A859" s="8">
        <v>114</v>
      </c>
      <c r="B859" s="122" t="s">
        <v>36</v>
      </c>
      <c r="C859" s="8">
        <v>128.5</v>
      </c>
      <c r="D859" s="55"/>
      <c r="E859" s="55"/>
      <c r="F859" s="40">
        <f t="shared" si="109"/>
        <v>128.5</v>
      </c>
      <c r="G859" s="366"/>
      <c r="H859" s="339"/>
      <c r="I859" s="41">
        <f t="shared" si="106"/>
        <v>0</v>
      </c>
      <c r="J859" s="37">
        <f t="shared" si="107"/>
        <v>0</v>
      </c>
      <c r="K859" s="37">
        <f t="shared" si="105"/>
        <v>0</v>
      </c>
      <c r="L859" s="37">
        <v>0</v>
      </c>
      <c r="M859" s="37">
        <f t="shared" si="108"/>
        <v>0</v>
      </c>
      <c r="N859" s="37"/>
      <c r="O859" s="45">
        <f t="shared" si="110"/>
        <v>0</v>
      </c>
    </row>
    <row r="860" spans="1:27" s="6" customFormat="1" ht="15.75">
      <c r="A860" s="8">
        <v>115</v>
      </c>
      <c r="B860" s="122" t="s">
        <v>37</v>
      </c>
      <c r="C860" s="8">
        <v>43.4</v>
      </c>
      <c r="D860" s="55"/>
      <c r="E860" s="55"/>
      <c r="F860" s="40">
        <f t="shared" si="109"/>
        <v>43.4</v>
      </c>
      <c r="G860" s="366">
        <v>0</v>
      </c>
      <c r="H860" s="339">
        <v>0</v>
      </c>
      <c r="I860" s="41">
        <f t="shared" si="106"/>
        <v>0</v>
      </c>
      <c r="J860" s="37">
        <f t="shared" si="107"/>
        <v>0</v>
      </c>
      <c r="K860" s="37">
        <f t="shared" si="105"/>
        <v>0</v>
      </c>
      <c r="L860" s="37">
        <v>0</v>
      </c>
      <c r="M860" s="37">
        <f t="shared" si="108"/>
        <v>0</v>
      </c>
      <c r="N860" s="37"/>
      <c r="O860" s="45">
        <f t="shared" si="110"/>
        <v>0</v>
      </c>
    </row>
    <row r="861" spans="1:27" s="6" customFormat="1" ht="15.75">
      <c r="A861" s="8">
        <v>116</v>
      </c>
      <c r="B861" s="122" t="s">
        <v>38</v>
      </c>
      <c r="C861" s="8">
        <v>35.4</v>
      </c>
      <c r="D861" s="55"/>
      <c r="E861" s="55"/>
      <c r="F861" s="40">
        <f t="shared" si="109"/>
        <v>35.4</v>
      </c>
      <c r="G861" s="366">
        <v>0</v>
      </c>
      <c r="H861" s="339">
        <v>0</v>
      </c>
      <c r="I861" s="41">
        <f t="shared" si="106"/>
        <v>0</v>
      </c>
      <c r="J861" s="37">
        <f t="shared" si="107"/>
        <v>0</v>
      </c>
      <c r="K861" s="37">
        <f t="shared" si="105"/>
        <v>0</v>
      </c>
      <c r="L861" s="37">
        <v>0</v>
      </c>
      <c r="M861" s="37">
        <f t="shared" si="108"/>
        <v>0</v>
      </c>
      <c r="N861" s="37"/>
      <c r="O861" s="45">
        <f t="shared" si="110"/>
        <v>0</v>
      </c>
    </row>
    <row r="862" spans="1:27" s="6" customFormat="1" ht="15.75">
      <c r="A862" s="8">
        <v>117</v>
      </c>
      <c r="B862" s="122" t="s">
        <v>39</v>
      </c>
      <c r="C862" s="8">
        <v>407.14</v>
      </c>
      <c r="D862" s="55"/>
      <c r="E862" s="55"/>
      <c r="F862" s="40">
        <f t="shared" si="109"/>
        <v>407.14</v>
      </c>
      <c r="G862" s="366">
        <v>0</v>
      </c>
      <c r="H862" s="339">
        <v>0</v>
      </c>
      <c r="I862" s="41">
        <f t="shared" si="106"/>
        <v>0</v>
      </c>
      <c r="J862" s="37">
        <f t="shared" si="107"/>
        <v>0</v>
      </c>
      <c r="K862" s="37">
        <f t="shared" si="105"/>
        <v>0</v>
      </c>
      <c r="L862" s="37">
        <v>0</v>
      </c>
      <c r="M862" s="37">
        <f t="shared" si="108"/>
        <v>0</v>
      </c>
      <c r="N862" s="37"/>
      <c r="O862" s="45">
        <f t="shared" si="110"/>
        <v>0</v>
      </c>
    </row>
    <row r="863" spans="1:27" s="6" customFormat="1" ht="15.75">
      <c r="A863" s="8">
        <v>118</v>
      </c>
      <c r="B863" s="122" t="s">
        <v>40</v>
      </c>
      <c r="C863" s="8">
        <v>207.4</v>
      </c>
      <c r="D863" s="55"/>
      <c r="E863" s="55"/>
      <c r="F863" s="40">
        <f t="shared" si="109"/>
        <v>207.4</v>
      </c>
      <c r="G863" s="366">
        <v>0</v>
      </c>
      <c r="H863" s="339">
        <v>0</v>
      </c>
      <c r="I863" s="41">
        <f t="shared" si="106"/>
        <v>0</v>
      </c>
      <c r="J863" s="37">
        <f t="shared" si="107"/>
        <v>0</v>
      </c>
      <c r="K863" s="37">
        <f t="shared" si="105"/>
        <v>0</v>
      </c>
      <c r="L863" s="37">
        <v>0</v>
      </c>
      <c r="M863" s="37">
        <f t="shared" si="108"/>
        <v>0</v>
      </c>
      <c r="N863" s="37"/>
      <c r="O863" s="45">
        <f t="shared" si="110"/>
        <v>0</v>
      </c>
    </row>
    <row r="864" spans="1:27" s="6" customFormat="1" ht="15.75">
      <c r="A864" s="8">
        <v>119</v>
      </c>
      <c r="B864" s="122" t="s">
        <v>41</v>
      </c>
      <c r="C864" s="8">
        <v>388.5</v>
      </c>
      <c r="D864" s="55"/>
      <c r="E864" s="55">
        <v>230.8</v>
      </c>
      <c r="F864" s="40">
        <f t="shared" si="109"/>
        <v>619.29999999999995</v>
      </c>
      <c r="G864" s="366">
        <v>183</v>
      </c>
      <c r="H864" s="339">
        <v>183</v>
      </c>
      <c r="I864" s="41">
        <f t="shared" si="106"/>
        <v>6.0999999999999999E-2</v>
      </c>
      <c r="J864" s="37">
        <f t="shared" si="107"/>
        <v>123.03761</v>
      </c>
      <c r="K864" s="37">
        <f t="shared" si="105"/>
        <v>45.240929197000007</v>
      </c>
      <c r="L864" s="37">
        <v>47.528149999999997</v>
      </c>
      <c r="M864" s="37">
        <f t="shared" si="108"/>
        <v>5.6417679999999999</v>
      </c>
      <c r="N864" s="37"/>
      <c r="O864" s="45">
        <f t="shared" si="110"/>
        <v>0.35757864879218482</v>
      </c>
    </row>
    <row r="865" spans="1:15" s="6" customFormat="1" ht="15.75">
      <c r="A865" s="8">
        <v>120</v>
      </c>
      <c r="B865" s="122" t="s">
        <v>42</v>
      </c>
      <c r="C865" s="8">
        <v>326.7</v>
      </c>
      <c r="D865" s="55"/>
      <c r="E865" s="55"/>
      <c r="F865" s="40">
        <f t="shared" si="109"/>
        <v>326.7</v>
      </c>
      <c r="G865" s="366">
        <v>173</v>
      </c>
      <c r="H865" s="339">
        <v>173</v>
      </c>
      <c r="I865" s="41">
        <f t="shared" si="106"/>
        <v>5.7666666666666665E-2</v>
      </c>
      <c r="J865" s="37">
        <f t="shared" si="107"/>
        <v>116.31424333333332</v>
      </c>
      <c r="K865" s="37">
        <f t="shared" si="105"/>
        <v>42.768747273666669</v>
      </c>
      <c r="L865" s="37">
        <v>31.45168833333333</v>
      </c>
      <c r="M865" s="37">
        <f t="shared" si="108"/>
        <v>5.3334746666666666</v>
      </c>
      <c r="N865" s="37"/>
      <c r="O865" s="45">
        <f t="shared" si="110"/>
        <v>0.59953521153045608</v>
      </c>
    </row>
    <row r="866" spans="1:15" s="6" customFormat="1" ht="15.75">
      <c r="A866" s="8">
        <v>121</v>
      </c>
      <c r="B866" s="122" t="s">
        <v>43</v>
      </c>
      <c r="C866" s="8">
        <v>485.4</v>
      </c>
      <c r="D866" s="55"/>
      <c r="E866" s="55"/>
      <c r="F866" s="40">
        <f t="shared" si="109"/>
        <v>485.4</v>
      </c>
      <c r="G866" s="367">
        <v>175</v>
      </c>
      <c r="H866" s="881">
        <v>175</v>
      </c>
      <c r="I866" s="41">
        <f t="shared" si="106"/>
        <v>5.8333333333333334E-2</v>
      </c>
      <c r="J866" s="37">
        <f t="shared" si="107"/>
        <v>117.65891666666667</v>
      </c>
      <c r="K866" s="37">
        <f t="shared" si="105"/>
        <v>43.26318365833334</v>
      </c>
      <c r="L866" s="37">
        <v>31.815291666666667</v>
      </c>
      <c r="M866" s="37">
        <f t="shared" si="108"/>
        <v>5.3951333333333338</v>
      </c>
      <c r="N866" s="37"/>
      <c r="O866" s="45">
        <f t="shared" si="110"/>
        <v>0.40818402415533583</v>
      </c>
    </row>
    <row r="867" spans="1:15" s="6" customFormat="1" ht="15.75">
      <c r="A867" s="8">
        <v>122</v>
      </c>
      <c r="B867" s="122" t="s">
        <v>44</v>
      </c>
      <c r="C867" s="8">
        <v>133.6</v>
      </c>
      <c r="D867" s="55"/>
      <c r="E867" s="55"/>
      <c r="F867" s="40">
        <f t="shared" si="109"/>
        <v>133.6</v>
      </c>
      <c r="G867" s="366"/>
      <c r="H867" s="339"/>
      <c r="I867" s="41">
        <f t="shared" si="106"/>
        <v>0</v>
      </c>
      <c r="J867" s="37">
        <f t="shared" si="107"/>
        <v>0</v>
      </c>
      <c r="K867" s="37">
        <f t="shared" si="105"/>
        <v>0</v>
      </c>
      <c r="L867" s="37">
        <v>0</v>
      </c>
      <c r="M867" s="37">
        <f t="shared" si="108"/>
        <v>0</v>
      </c>
      <c r="N867" s="37"/>
      <c r="O867" s="45">
        <f t="shared" si="110"/>
        <v>0</v>
      </c>
    </row>
    <row r="868" spans="1:15" s="6" customFormat="1" ht="15.75">
      <c r="A868" s="8">
        <v>123</v>
      </c>
      <c r="B868" s="122" t="s">
        <v>45</v>
      </c>
      <c r="C868" s="8">
        <v>562.28</v>
      </c>
      <c r="D868" s="55"/>
      <c r="E868" s="55"/>
      <c r="F868" s="40">
        <f t="shared" si="109"/>
        <v>562.28</v>
      </c>
      <c r="G868" s="366">
        <v>194</v>
      </c>
      <c r="H868" s="339">
        <v>194</v>
      </c>
      <c r="I868" s="41">
        <f t="shared" si="106"/>
        <v>6.4666666666666664E-2</v>
      </c>
      <c r="J868" s="37">
        <f t="shared" si="107"/>
        <v>130.43331333333333</v>
      </c>
      <c r="K868" s="37">
        <f t="shared" si="105"/>
        <v>47.960329312666673</v>
      </c>
      <c r="L868" s="37">
        <v>50.385033333333332</v>
      </c>
      <c r="M868" s="37">
        <f t="shared" si="108"/>
        <v>5.9808906666666664</v>
      </c>
      <c r="N868" s="37"/>
      <c r="O868" s="45">
        <f t="shared" si="110"/>
        <v>0.41751363492565979</v>
      </c>
    </row>
    <row r="869" spans="1:15" s="6" customFormat="1" ht="15.75">
      <c r="A869" s="8">
        <v>124</v>
      </c>
      <c r="B869" s="122" t="s">
        <v>46</v>
      </c>
      <c r="C869" s="8">
        <v>156.78</v>
      </c>
      <c r="D869" s="55"/>
      <c r="E869" s="55"/>
      <c r="F869" s="40">
        <f t="shared" si="109"/>
        <v>156.78</v>
      </c>
      <c r="G869" s="366">
        <v>0</v>
      </c>
      <c r="H869" s="339">
        <v>0</v>
      </c>
      <c r="I869" s="41">
        <f t="shared" si="106"/>
        <v>0</v>
      </c>
      <c r="J869" s="37">
        <f t="shared" si="107"/>
        <v>0</v>
      </c>
      <c r="K869" s="37">
        <f t="shared" si="105"/>
        <v>0</v>
      </c>
      <c r="L869" s="37">
        <v>0</v>
      </c>
      <c r="M869" s="37">
        <f t="shared" si="108"/>
        <v>0</v>
      </c>
      <c r="N869" s="37"/>
      <c r="O869" s="45">
        <f t="shared" si="110"/>
        <v>0</v>
      </c>
    </row>
    <row r="870" spans="1:15" s="6" customFormat="1" ht="15.75">
      <c r="A870" s="8">
        <v>125</v>
      </c>
      <c r="B870" s="122" t="s">
        <v>47</v>
      </c>
      <c r="C870" s="8">
        <v>169.82</v>
      </c>
      <c r="D870" s="55"/>
      <c r="E870" s="55"/>
      <c r="F870" s="40">
        <f t="shared" si="109"/>
        <v>169.82</v>
      </c>
      <c r="G870" s="366">
        <v>100</v>
      </c>
      <c r="H870" s="339">
        <v>100</v>
      </c>
      <c r="I870" s="41">
        <f t="shared" si="106"/>
        <v>3.3333333333333333E-2</v>
      </c>
      <c r="J870" s="37">
        <f t="shared" si="107"/>
        <v>67.233666666666664</v>
      </c>
      <c r="K870" s="37">
        <f t="shared" si="105"/>
        <v>24.721819233333335</v>
      </c>
      <c r="L870" s="37">
        <v>25.971666666666664</v>
      </c>
      <c r="M870" s="37">
        <f t="shared" si="108"/>
        <v>3.0829333333333335</v>
      </c>
      <c r="N870" s="37"/>
      <c r="O870" s="45">
        <f t="shared" si="110"/>
        <v>0.71257852961959722</v>
      </c>
    </row>
    <row r="871" spans="1:15" s="6" customFormat="1" ht="15.75">
      <c r="A871" s="8">
        <v>126</v>
      </c>
      <c r="B871" s="122" t="s">
        <v>48</v>
      </c>
      <c r="C871" s="8">
        <v>263.20999999999998</v>
      </c>
      <c r="D871" s="55"/>
      <c r="E871" s="55"/>
      <c r="F871" s="40">
        <f t="shared" si="109"/>
        <v>263.20999999999998</v>
      </c>
      <c r="G871" s="366">
        <v>91</v>
      </c>
      <c r="H871" s="339">
        <v>91</v>
      </c>
      <c r="I871" s="41">
        <f t="shared" si="106"/>
        <v>3.0333333333333334E-2</v>
      </c>
      <c r="J871" s="37">
        <f t="shared" si="107"/>
        <v>61.182636666666667</v>
      </c>
      <c r="K871" s="37">
        <f t="shared" si="105"/>
        <v>22.496855502333336</v>
      </c>
      <c r="L871" s="37">
        <v>23.634216666666667</v>
      </c>
      <c r="M871" s="37">
        <f t="shared" si="108"/>
        <v>2.8054693333333334</v>
      </c>
      <c r="N871" s="37"/>
      <c r="O871" s="45">
        <f t="shared" si="110"/>
        <v>0.41837003977432469</v>
      </c>
    </row>
    <row r="872" spans="1:15" s="6" customFormat="1" ht="15.75">
      <c r="A872" s="8">
        <v>127</v>
      </c>
      <c r="B872" s="122" t="s">
        <v>49</v>
      </c>
      <c r="C872" s="32">
        <v>83.5</v>
      </c>
      <c r="D872" s="55"/>
      <c r="E872" s="55"/>
      <c r="F872" s="40">
        <f t="shared" ref="F872:F878" si="111">C872+D872+E872</f>
        <v>83.5</v>
      </c>
      <c r="G872" s="366">
        <v>0</v>
      </c>
      <c r="H872" s="339">
        <v>0</v>
      </c>
      <c r="I872" s="41">
        <f t="shared" si="106"/>
        <v>0</v>
      </c>
      <c r="J872" s="37">
        <f t="shared" si="107"/>
        <v>0</v>
      </c>
      <c r="K872" s="37">
        <f t="shared" si="105"/>
        <v>0</v>
      </c>
      <c r="L872" s="37">
        <v>0</v>
      </c>
      <c r="M872" s="37">
        <f t="shared" si="108"/>
        <v>0</v>
      </c>
      <c r="N872" s="37"/>
      <c r="O872" s="45">
        <f t="shared" si="110"/>
        <v>0</v>
      </c>
    </row>
    <row r="873" spans="1:15" s="6" customFormat="1" ht="15.75">
      <c r="A873" s="32">
        <v>128</v>
      </c>
      <c r="B873" s="122" t="s">
        <v>1372</v>
      </c>
      <c r="C873" s="196">
        <v>1770.4</v>
      </c>
      <c r="D873" s="55"/>
      <c r="E873" s="55"/>
      <c r="F873" s="40">
        <f t="shared" si="111"/>
        <v>1770.4</v>
      </c>
      <c r="G873" s="368">
        <v>600</v>
      </c>
      <c r="H873" s="819">
        <v>600</v>
      </c>
      <c r="I873" s="41">
        <f t="shared" si="106"/>
        <v>0.2</v>
      </c>
      <c r="J873" s="37">
        <f t="shared" si="107"/>
        <v>403.40200000000004</v>
      </c>
      <c r="K873" s="37">
        <f t="shared" si="105"/>
        <v>148.33091540000004</v>
      </c>
      <c r="L873" s="37">
        <v>62.332000000000008</v>
      </c>
      <c r="M873" s="37">
        <f t="shared" si="108"/>
        <v>18.497600000000002</v>
      </c>
      <c r="N873" s="37"/>
      <c r="O873" s="45">
        <f t="shared" si="110"/>
        <v>0.35729920661997294</v>
      </c>
    </row>
    <row r="874" spans="1:15" s="6" customFormat="1" ht="15.75">
      <c r="A874" s="32">
        <v>129</v>
      </c>
      <c r="B874" s="122" t="s">
        <v>1373</v>
      </c>
      <c r="C874" s="196">
        <v>4227</v>
      </c>
      <c r="D874" s="55"/>
      <c r="E874" s="55">
        <v>534.20000000000005</v>
      </c>
      <c r="F874" s="40">
        <f t="shared" si="111"/>
        <v>4761.2</v>
      </c>
      <c r="G874" s="366">
        <v>2421.5</v>
      </c>
      <c r="H874" s="339">
        <v>2421.5</v>
      </c>
      <c r="I874" s="41">
        <f t="shared" si="106"/>
        <v>0.8071666666666667</v>
      </c>
      <c r="J874" s="37">
        <f t="shared" si="107"/>
        <v>1628.0632383333334</v>
      </c>
      <c r="K874" s="37">
        <f t="shared" ref="K874:K879" si="112">J874*0.3677</f>
        <v>598.63885273516678</v>
      </c>
      <c r="L874" s="37">
        <v>628.90390833333333</v>
      </c>
      <c r="M874" s="37">
        <f t="shared" si="108"/>
        <v>74.653230666666673</v>
      </c>
      <c r="N874" s="37"/>
      <c r="O874" s="45">
        <f t="shared" si="110"/>
        <v>0.6154455242519743</v>
      </c>
    </row>
    <row r="875" spans="1:15" s="6" customFormat="1" ht="18">
      <c r="A875" s="32">
        <v>130</v>
      </c>
      <c r="B875" s="105" t="s">
        <v>1382</v>
      </c>
      <c r="C875" s="158">
        <v>725.2</v>
      </c>
      <c r="D875" s="160"/>
      <c r="E875" s="160"/>
      <c r="F875" s="40">
        <f t="shared" si="111"/>
        <v>725.2</v>
      </c>
      <c r="G875" s="368">
        <v>336</v>
      </c>
      <c r="H875" s="819">
        <v>336</v>
      </c>
      <c r="I875" s="41">
        <f>H875/3000</f>
        <v>0.112</v>
      </c>
      <c r="J875" s="37">
        <f t="shared" si="107"/>
        <v>225.90512000000001</v>
      </c>
      <c r="K875" s="37">
        <f t="shared" si="112"/>
        <v>83.065312624000015</v>
      </c>
      <c r="L875" s="37">
        <v>87.264799999999994</v>
      </c>
      <c r="M875" s="37">
        <f t="shared" si="108"/>
        <v>10.358656</v>
      </c>
      <c r="N875" s="37"/>
      <c r="O875" s="45">
        <f t="shared" si="110"/>
        <v>0.56066449065637058</v>
      </c>
    </row>
    <row r="876" spans="1:15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0">
        <f t="shared" si="111"/>
        <v>2911.81</v>
      </c>
      <c r="G876" s="388">
        <v>1181</v>
      </c>
      <c r="H876" s="388">
        <v>1181</v>
      </c>
      <c r="I876" s="41">
        <f>H876/3000</f>
        <v>0.39366666666666666</v>
      </c>
      <c r="J876" s="37">
        <f t="shared" si="107"/>
        <v>794.02960333333328</v>
      </c>
      <c r="K876" s="37">
        <f t="shared" si="112"/>
        <v>291.96468514566669</v>
      </c>
      <c r="L876" s="37">
        <v>628.90390833333333</v>
      </c>
      <c r="M876" s="37">
        <f t="shared" si="108"/>
        <v>36.409442666666671</v>
      </c>
      <c r="N876" s="37"/>
      <c r="O876" s="45">
        <f t="shared" si="110"/>
        <v>0.60144983342972247</v>
      </c>
    </row>
    <row r="877" spans="1:15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0">
        <f t="shared" si="111"/>
        <v>2933</v>
      </c>
      <c r="G877" s="388">
        <v>1203</v>
      </c>
      <c r="H877" s="388">
        <v>1203</v>
      </c>
      <c r="I877" s="41">
        <f>H877/3000</f>
        <v>0.40100000000000002</v>
      </c>
      <c r="J877" s="37">
        <f>I877*2017.01</f>
        <v>808.82101</v>
      </c>
      <c r="K877" s="37">
        <f t="shared" si="112"/>
        <v>297.40348537700004</v>
      </c>
      <c r="L877" s="37">
        <v>87.264799999999994</v>
      </c>
      <c r="M877" s="37">
        <f>I877*84.08*1.1</f>
        <v>37.087688</v>
      </c>
      <c r="N877" s="37"/>
      <c r="O877" s="45">
        <f t="shared" si="110"/>
        <v>0.41956255826014321</v>
      </c>
    </row>
    <row r="878" spans="1:15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0">
        <f t="shared" si="111"/>
        <v>3120.67</v>
      </c>
      <c r="G878" s="388">
        <v>1141.5999999999999</v>
      </c>
      <c r="H878" s="388">
        <v>1141.5999999999999</v>
      </c>
      <c r="I878" s="41">
        <f>H878/3000</f>
        <v>0.38053333333333328</v>
      </c>
      <c r="J878" s="37">
        <f>I878*2017.01</f>
        <v>767.53953866666654</v>
      </c>
      <c r="K878" s="37">
        <f t="shared" si="112"/>
        <v>282.22428836773332</v>
      </c>
      <c r="L878" s="37">
        <v>87.264799999999994</v>
      </c>
      <c r="M878" s="37">
        <v>230</v>
      </c>
      <c r="N878" s="37"/>
      <c r="O878" s="45">
        <f t="shared" si="110"/>
        <v>0.43805613122643527</v>
      </c>
    </row>
    <row r="879" spans="1:15" s="69" customFormat="1" ht="15.75">
      <c r="A879" s="63"/>
      <c r="B879" s="63" t="s">
        <v>583</v>
      </c>
      <c r="C879" s="88">
        <f t="shared" ref="C879:H879" si="113">SUM(C749:C875)</f>
        <v>265493.51999999984</v>
      </c>
      <c r="D879" s="88">
        <f t="shared" si="113"/>
        <v>216.9</v>
      </c>
      <c r="E879" s="88">
        <f t="shared" si="113"/>
        <v>5608.6</v>
      </c>
      <c r="F879" s="88">
        <f t="shared" si="113"/>
        <v>271319.01999999996</v>
      </c>
      <c r="G879" s="358">
        <f t="shared" si="113"/>
        <v>122401.5</v>
      </c>
      <c r="H879" s="9">
        <f t="shared" si="113"/>
        <v>122401.5</v>
      </c>
      <c r="I879" s="72">
        <f>H879/3000</f>
        <v>40.8005</v>
      </c>
      <c r="J879" s="37">
        <f>I879*2017.01</f>
        <v>82295.016504999992</v>
      </c>
      <c r="K879" s="64">
        <f t="shared" si="112"/>
        <v>30259.8775688885</v>
      </c>
      <c r="L879" s="37">
        <f>SUM(L748:L875)</f>
        <v>26243.162697999989</v>
      </c>
      <c r="M879" s="37">
        <f>I879*84.08*1.1</f>
        <v>3773.5566440000002</v>
      </c>
      <c r="N879" s="37"/>
      <c r="O879" s="45">
        <f t="shared" si="110"/>
        <v>0.52547592651590924</v>
      </c>
    </row>
    <row r="880" spans="1:15" s="6" customFormat="1" ht="21" customHeight="1">
      <c r="A880" s="28" t="s">
        <v>623</v>
      </c>
      <c r="B880" s="8"/>
      <c r="C880" s="8"/>
      <c r="D880" s="8"/>
      <c r="E880" s="8"/>
      <c r="F880" s="40"/>
      <c r="G880" s="353"/>
      <c r="H880" s="8"/>
      <c r="I880" s="41"/>
      <c r="J880" s="37">
        <f>I880*2077.52</f>
        <v>0</v>
      </c>
      <c r="K880" s="37"/>
      <c r="L880" s="37">
        <v>0</v>
      </c>
      <c r="M880" s="37"/>
      <c r="N880" s="37"/>
      <c r="O880" s="45" t="e">
        <f t="shared" si="110"/>
        <v>#DIV/0!</v>
      </c>
    </row>
    <row r="881" spans="1:15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8">
        <f t="shared" ref="F881:F942" si="114">C881+D881+E881</f>
        <v>4265.91</v>
      </c>
      <c r="G881" s="339">
        <v>2780</v>
      </c>
      <c r="H881" s="870">
        <v>1870</v>
      </c>
      <c r="I881" s="41">
        <f>H881/3000</f>
        <v>0.62333333333333329</v>
      </c>
      <c r="J881" s="37">
        <f t="shared" ref="J881:J944" si="115">I881*2017.01</f>
        <v>1257.2695666666666</v>
      </c>
      <c r="K881" s="37">
        <f>J881*0.3677</f>
        <v>462.29801966333332</v>
      </c>
      <c r="L881" s="37">
        <v>485.6701666666666</v>
      </c>
      <c r="M881" s="37">
        <f>I881*84.08*1.1*1.08</f>
        <v>62.262921599999999</v>
      </c>
      <c r="N881" s="37">
        <f>M881*1.219</f>
        <v>75.898501430400003</v>
      </c>
      <c r="O881" s="45">
        <f t="shared" si="110"/>
        <v>0.53153973585862491</v>
      </c>
    </row>
    <row r="882" spans="1:15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8">
        <f t="shared" si="114"/>
        <v>9865.73</v>
      </c>
      <c r="G882" s="339">
        <v>4777</v>
      </c>
      <c r="H882" s="871">
        <v>3800</v>
      </c>
      <c r="I882" s="41">
        <f t="shared" ref="I882:I944" si="116">H882/3000</f>
        <v>1.2666666666666666</v>
      </c>
      <c r="J882" s="37">
        <f t="shared" si="115"/>
        <v>2554.8793333333333</v>
      </c>
      <c r="K882" s="37">
        <f t="shared" ref="K882:K944" si="117">J882*0.3677</f>
        <v>939.4291308666667</v>
      </c>
      <c r="L882" s="37">
        <v>986.92333333333329</v>
      </c>
      <c r="M882" s="37">
        <f t="shared" ref="M882:M945" si="118">I882*84.08*1.1*1.08</f>
        <v>126.523584</v>
      </c>
      <c r="N882" s="37">
        <f t="shared" ref="N882:N945" si="119">M882*1.219</f>
        <v>154.23224889600002</v>
      </c>
      <c r="O882" s="45">
        <f t="shared" si="110"/>
        <v>0.46704657248204984</v>
      </c>
    </row>
    <row r="883" spans="1:15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8">
        <f t="shared" si="114"/>
        <v>4252.49</v>
      </c>
      <c r="G883" s="339">
        <v>2802</v>
      </c>
      <c r="H883" s="871">
        <v>2062.6</v>
      </c>
      <c r="I883" s="41">
        <f t="shared" si="116"/>
        <v>0.68753333333333333</v>
      </c>
      <c r="J883" s="37">
        <f t="shared" si="115"/>
        <v>1386.7616086666667</v>
      </c>
      <c r="K883" s="37">
        <f t="shared" si="117"/>
        <v>509.91224350673338</v>
      </c>
      <c r="L883" s="37">
        <v>535.69159666666667</v>
      </c>
      <c r="M883" s="37">
        <f t="shared" si="118"/>
        <v>68.675669568000018</v>
      </c>
      <c r="N883" s="37">
        <f t="shared" si="119"/>
        <v>83.715641203392025</v>
      </c>
      <c r="O883" s="45">
        <f t="shared" si="110"/>
        <v>0.58813568483595891</v>
      </c>
    </row>
    <row r="884" spans="1:15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8">
        <f t="shared" si="114"/>
        <v>5951.3</v>
      </c>
      <c r="G884" s="339">
        <v>3223</v>
      </c>
      <c r="H884" s="871">
        <v>2578.6</v>
      </c>
      <c r="I884" s="41">
        <f t="shared" si="116"/>
        <v>0.85953333333333326</v>
      </c>
      <c r="J884" s="37">
        <f t="shared" si="115"/>
        <v>1733.6873286666664</v>
      </c>
      <c r="K884" s="37">
        <f t="shared" si="117"/>
        <v>637.47683075073326</v>
      </c>
      <c r="L884" s="37">
        <v>669.70539666666662</v>
      </c>
      <c r="M884" s="37">
        <f t="shared" si="118"/>
        <v>85.856240448000008</v>
      </c>
      <c r="N884" s="37">
        <f t="shared" si="119"/>
        <v>104.65875710611202</v>
      </c>
      <c r="O884" s="45">
        <f t="shared" si="110"/>
        <v>0.52538534379582047</v>
      </c>
    </row>
    <row r="885" spans="1:15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8">
        <f t="shared" si="114"/>
        <v>4295.57</v>
      </c>
      <c r="G885" s="339">
        <v>2806</v>
      </c>
      <c r="H885" s="871">
        <v>2085.6</v>
      </c>
      <c r="I885" s="41">
        <f t="shared" si="116"/>
        <v>0.69519999999999993</v>
      </c>
      <c r="J885" s="37">
        <f t="shared" si="115"/>
        <v>1402.2253519999999</v>
      </c>
      <c r="K885" s="37">
        <f t="shared" si="117"/>
        <v>515.59826193039999</v>
      </c>
      <c r="L885" s="37">
        <v>541.66507999999988</v>
      </c>
      <c r="M885" s="37">
        <f t="shared" si="118"/>
        <v>69.441470207999998</v>
      </c>
      <c r="N885" s="37">
        <f t="shared" si="119"/>
        <v>84.649152183552005</v>
      </c>
      <c r="O885" s="45">
        <f t="shared" si="110"/>
        <v>0.588729822616882</v>
      </c>
    </row>
    <row r="886" spans="1:15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8">
        <f t="shared" si="114"/>
        <v>7972.34</v>
      </c>
      <c r="G886" s="339">
        <v>5300</v>
      </c>
      <c r="H886" s="871">
        <v>4400</v>
      </c>
      <c r="I886" s="41">
        <f t="shared" si="116"/>
        <v>1.4666666666666666</v>
      </c>
      <c r="J886" s="37">
        <f t="shared" si="115"/>
        <v>2958.2813333333329</v>
      </c>
      <c r="K886" s="37">
        <f t="shared" si="117"/>
        <v>1087.7600462666667</v>
      </c>
      <c r="L886" s="37">
        <v>1142.7533333333333</v>
      </c>
      <c r="M886" s="37">
        <f t="shared" si="118"/>
        <v>146.50099200000002</v>
      </c>
      <c r="N886" s="37">
        <f t="shared" si="119"/>
        <v>178.58470924800005</v>
      </c>
      <c r="O886" s="45">
        <f t="shared" si="110"/>
        <v>0.66922581135944181</v>
      </c>
    </row>
    <row r="887" spans="1:15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8">
        <f t="shared" si="114"/>
        <v>3946.89</v>
      </c>
      <c r="G887" s="339">
        <v>2580</v>
      </c>
      <c r="H887" s="871">
        <v>1836</v>
      </c>
      <c r="I887" s="41">
        <f t="shared" si="116"/>
        <v>0.61199999999999999</v>
      </c>
      <c r="J887" s="37">
        <f t="shared" si="115"/>
        <v>1234.41012</v>
      </c>
      <c r="K887" s="37">
        <f t="shared" si="117"/>
        <v>453.89260112400001</v>
      </c>
      <c r="L887" s="37">
        <v>476.83979999999997</v>
      </c>
      <c r="M887" s="37">
        <f t="shared" si="118"/>
        <v>61.130868479999997</v>
      </c>
      <c r="N887" s="37">
        <f t="shared" si="119"/>
        <v>74.518528677120003</v>
      </c>
      <c r="O887" s="45">
        <f t="shared" si="110"/>
        <v>0.56405762248352509</v>
      </c>
    </row>
    <row r="888" spans="1:15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8">
        <f t="shared" si="114"/>
        <v>8036.22</v>
      </c>
      <c r="G888" s="339">
        <v>5275</v>
      </c>
      <c r="H888" s="871">
        <v>3845</v>
      </c>
      <c r="I888" s="41">
        <f t="shared" si="116"/>
        <v>1.2816666666666667</v>
      </c>
      <c r="J888" s="37">
        <f t="shared" si="115"/>
        <v>2585.1344833333333</v>
      </c>
      <c r="K888" s="37">
        <f t="shared" si="117"/>
        <v>950.55394952166671</v>
      </c>
      <c r="L888" s="37">
        <v>998.61058333333335</v>
      </c>
      <c r="M888" s="37">
        <f t="shared" si="118"/>
        <v>128.02188960000004</v>
      </c>
      <c r="N888" s="37">
        <f t="shared" si="119"/>
        <v>156.05868342240007</v>
      </c>
      <c r="O888" s="45">
        <f t="shared" si="110"/>
        <v>0.58016342332444026</v>
      </c>
    </row>
    <row r="889" spans="1:15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8">
        <f t="shared" si="114"/>
        <v>3993.05</v>
      </c>
      <c r="G889" s="339">
        <v>2630</v>
      </c>
      <c r="H889" s="871">
        <v>1930</v>
      </c>
      <c r="I889" s="41">
        <f t="shared" si="116"/>
        <v>0.64333333333333331</v>
      </c>
      <c r="J889" s="37">
        <f t="shared" si="115"/>
        <v>1297.6097666666667</v>
      </c>
      <c r="K889" s="37">
        <f t="shared" si="117"/>
        <v>477.13111120333338</v>
      </c>
      <c r="L889" s="37">
        <v>501.25316666666663</v>
      </c>
      <c r="M889" s="37">
        <f t="shared" si="118"/>
        <v>64.260662400000001</v>
      </c>
      <c r="N889" s="37">
        <f t="shared" si="119"/>
        <v>78.333747465600013</v>
      </c>
      <c r="O889" s="45">
        <f t="shared" si="110"/>
        <v>0.58608199419908746</v>
      </c>
    </row>
    <row r="890" spans="1:15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8">
        <f t="shared" si="114"/>
        <v>8196.09</v>
      </c>
      <c r="G890" s="339">
        <v>5265</v>
      </c>
      <c r="H890" s="871">
        <v>4398</v>
      </c>
      <c r="I890" s="41">
        <f t="shared" si="116"/>
        <v>1.466</v>
      </c>
      <c r="J890" s="37">
        <f t="shared" si="115"/>
        <v>2956.9366599999998</v>
      </c>
      <c r="K890" s="37">
        <f t="shared" si="117"/>
        <v>1087.265609882</v>
      </c>
      <c r="L890" s="37">
        <v>1142.2338999999999</v>
      </c>
      <c r="M890" s="37">
        <f t="shared" si="118"/>
        <v>146.43440064000001</v>
      </c>
      <c r="N890" s="37">
        <f t="shared" si="119"/>
        <v>178.50353438016003</v>
      </c>
      <c r="O890" s="45">
        <f t="shared" si="110"/>
        <v>0.65066032346179703</v>
      </c>
    </row>
    <row r="891" spans="1:15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8">
        <f t="shared" si="114"/>
        <v>3935.64</v>
      </c>
      <c r="G891" s="339">
        <v>2464</v>
      </c>
      <c r="H891" s="871">
        <v>1464</v>
      </c>
      <c r="I891" s="41">
        <f t="shared" si="116"/>
        <v>0.48799999999999999</v>
      </c>
      <c r="J891" s="37">
        <f t="shared" si="115"/>
        <v>984.30088000000001</v>
      </c>
      <c r="K891" s="37">
        <f t="shared" si="117"/>
        <v>361.92743357600006</v>
      </c>
      <c r="L891" s="37">
        <v>380.22519999999997</v>
      </c>
      <c r="M891" s="37">
        <f t="shared" si="118"/>
        <v>48.744875520000001</v>
      </c>
      <c r="N891" s="37">
        <f t="shared" si="119"/>
        <v>59.420003258880008</v>
      </c>
      <c r="O891" s="45">
        <f t="shared" si="110"/>
        <v>0.45105710611133137</v>
      </c>
    </row>
    <row r="892" spans="1:15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8">
        <f t="shared" si="114"/>
        <v>4128.3999999999996</v>
      </c>
      <c r="G892" s="339">
        <v>2145</v>
      </c>
      <c r="H892" s="871">
        <v>2144</v>
      </c>
      <c r="I892" s="41">
        <f t="shared" si="116"/>
        <v>0.71466666666666667</v>
      </c>
      <c r="J892" s="37">
        <f t="shared" si="115"/>
        <v>1441.4898133333334</v>
      </c>
      <c r="K892" s="37">
        <f t="shared" si="117"/>
        <v>530.03580436266668</v>
      </c>
      <c r="L892" s="37">
        <v>556.83253333333334</v>
      </c>
      <c r="M892" s="37">
        <f t="shared" si="118"/>
        <v>71.385937920000018</v>
      </c>
      <c r="N892" s="37">
        <f t="shared" si="119"/>
        <v>87.019458324480027</v>
      </c>
      <c r="O892" s="45">
        <f t="shared" si="110"/>
        <v>0.6297219477156607</v>
      </c>
    </row>
    <row r="893" spans="1:15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8">
        <f t="shared" si="114"/>
        <v>18171.13</v>
      </c>
      <c r="G893" s="339">
        <v>11625</v>
      </c>
      <c r="H893" s="871">
        <v>9385</v>
      </c>
      <c r="I893" s="41">
        <f t="shared" si="116"/>
        <v>3.1283333333333334</v>
      </c>
      <c r="J893" s="37">
        <f t="shared" si="115"/>
        <v>6309.8796166666671</v>
      </c>
      <c r="K893" s="37">
        <f t="shared" si="117"/>
        <v>2320.1427350483336</v>
      </c>
      <c r="L893" s="37">
        <v>2437.4409166666665</v>
      </c>
      <c r="M893" s="37">
        <f t="shared" si="118"/>
        <v>312.47995680000002</v>
      </c>
      <c r="N893" s="37">
        <f t="shared" si="119"/>
        <v>380.91306733920004</v>
      </c>
      <c r="O893" s="45">
        <f t="shared" si="110"/>
        <v>0.62626502728127897</v>
      </c>
    </row>
    <row r="894" spans="1:15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8">
        <f t="shared" si="114"/>
        <v>3212.3</v>
      </c>
      <c r="G894" s="339">
        <v>1296</v>
      </c>
      <c r="H894" s="871">
        <v>906</v>
      </c>
      <c r="I894" s="41">
        <f t="shared" si="116"/>
        <v>0.30199999999999999</v>
      </c>
      <c r="J894" s="37">
        <f t="shared" si="115"/>
        <v>609.13702000000001</v>
      </c>
      <c r="K894" s="37">
        <f t="shared" si="117"/>
        <v>223.97968225400001</v>
      </c>
      <c r="L894" s="37">
        <v>235.30329999999998</v>
      </c>
      <c r="M894" s="37">
        <f t="shared" si="118"/>
        <v>30.165886080000003</v>
      </c>
      <c r="N894" s="37">
        <f t="shared" si="119"/>
        <v>36.772215131520007</v>
      </c>
      <c r="O894" s="45">
        <f t="shared" si="110"/>
        <v>0.34199355238738605</v>
      </c>
    </row>
    <row r="895" spans="1:15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8">
        <f t="shared" si="114"/>
        <v>4181.6099999999997</v>
      </c>
      <c r="G895" s="339">
        <v>845</v>
      </c>
      <c r="H895" s="871">
        <v>845</v>
      </c>
      <c r="I895" s="41">
        <f t="shared" si="116"/>
        <v>0.28166666666666668</v>
      </c>
      <c r="J895" s="37">
        <f t="shared" si="115"/>
        <v>568.12448333333339</v>
      </c>
      <c r="K895" s="37">
        <f t="shared" si="117"/>
        <v>208.89937252166669</v>
      </c>
      <c r="L895" s="37">
        <v>219.46058333333335</v>
      </c>
      <c r="M895" s="37">
        <f t="shared" si="118"/>
        <v>28.134849600000006</v>
      </c>
      <c r="N895" s="37">
        <f t="shared" si="119"/>
        <v>34.296381662400009</v>
      </c>
      <c r="O895" s="45">
        <f t="shared" si="110"/>
        <v>0.24502985423995388</v>
      </c>
    </row>
    <row r="896" spans="1:15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8">
        <f t="shared" si="114"/>
        <v>6299.01</v>
      </c>
      <c r="G896" s="339">
        <v>3125</v>
      </c>
      <c r="H896" s="871">
        <v>2368</v>
      </c>
      <c r="I896" s="41">
        <f t="shared" si="116"/>
        <v>0.78933333333333333</v>
      </c>
      <c r="J896" s="37">
        <f t="shared" si="115"/>
        <v>1592.0932266666666</v>
      </c>
      <c r="K896" s="37">
        <f t="shared" si="117"/>
        <v>585.41267944533331</v>
      </c>
      <c r="L896" s="37">
        <v>615.00906666666663</v>
      </c>
      <c r="M896" s="37">
        <f t="shared" si="118"/>
        <v>78.844170240000025</v>
      </c>
      <c r="N896" s="37">
        <f t="shared" si="119"/>
        <v>96.111043522560038</v>
      </c>
      <c r="O896" s="45">
        <f t="shared" si="110"/>
        <v>0.45584292500228868</v>
      </c>
    </row>
    <row r="897" spans="1:15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8">
        <f t="shared" si="114"/>
        <v>147.65</v>
      </c>
      <c r="G897" s="339"/>
      <c r="H897" s="871">
        <v>0</v>
      </c>
      <c r="I897" s="41">
        <f t="shared" si="116"/>
        <v>0</v>
      </c>
      <c r="J897" s="37">
        <f t="shared" si="115"/>
        <v>0</v>
      </c>
      <c r="K897" s="37">
        <f t="shared" si="117"/>
        <v>0</v>
      </c>
      <c r="L897" s="37">
        <v>0</v>
      </c>
      <c r="M897" s="37">
        <f t="shared" si="118"/>
        <v>0</v>
      </c>
      <c r="N897" s="37">
        <f t="shared" si="119"/>
        <v>0</v>
      </c>
      <c r="O897" s="45">
        <f t="shared" si="110"/>
        <v>0</v>
      </c>
    </row>
    <row r="898" spans="1:15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8">
        <f t="shared" si="114"/>
        <v>4248.3</v>
      </c>
      <c r="G898" s="339">
        <v>1136</v>
      </c>
      <c r="H898" s="871">
        <v>1136</v>
      </c>
      <c r="I898" s="41">
        <f t="shared" si="116"/>
        <v>0.37866666666666665</v>
      </c>
      <c r="J898" s="37">
        <f t="shared" si="115"/>
        <v>763.77445333333333</v>
      </c>
      <c r="K898" s="37">
        <f t="shared" si="117"/>
        <v>280.83986649066668</v>
      </c>
      <c r="L898" s="37">
        <v>295.03813333333329</v>
      </c>
      <c r="M898" s="37">
        <f t="shared" si="118"/>
        <v>37.823892480000005</v>
      </c>
      <c r="N898" s="37">
        <f t="shared" si="119"/>
        <v>46.107324933120012</v>
      </c>
      <c r="O898" s="45">
        <f t="shared" si="110"/>
        <v>0.32424177803764637</v>
      </c>
    </row>
    <row r="899" spans="1:15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8">
        <f t="shared" si="114"/>
        <v>4085.47</v>
      </c>
      <c r="G899" s="339">
        <v>1433</v>
      </c>
      <c r="H899" s="871">
        <v>1321</v>
      </c>
      <c r="I899" s="41">
        <f t="shared" si="116"/>
        <v>0.44033333333333335</v>
      </c>
      <c r="J899" s="37">
        <f t="shared" si="115"/>
        <v>888.15673666666669</v>
      </c>
      <c r="K899" s="37">
        <f t="shared" si="117"/>
        <v>326.57523207233339</v>
      </c>
      <c r="L899" s="37">
        <v>343.08571666666666</v>
      </c>
      <c r="M899" s="37">
        <f t="shared" si="118"/>
        <v>43.983593280000001</v>
      </c>
      <c r="N899" s="37">
        <f t="shared" si="119"/>
        <v>53.616000208320003</v>
      </c>
      <c r="O899" s="45">
        <f t="shared" si="110"/>
        <v>0.39207270612332651</v>
      </c>
    </row>
    <row r="900" spans="1:15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8">
        <f t="shared" si="114"/>
        <v>4100.95</v>
      </c>
      <c r="G900" s="339">
        <v>2134</v>
      </c>
      <c r="H900" s="871">
        <v>1590</v>
      </c>
      <c r="I900" s="41">
        <f t="shared" si="116"/>
        <v>0.53</v>
      </c>
      <c r="J900" s="37">
        <f t="shared" si="115"/>
        <v>1069.0153</v>
      </c>
      <c r="K900" s="37">
        <f t="shared" si="117"/>
        <v>393.07692581000003</v>
      </c>
      <c r="L900" s="37">
        <v>412.9495</v>
      </c>
      <c r="M900" s="37">
        <f t="shared" si="118"/>
        <v>52.94013120000001</v>
      </c>
      <c r="N900" s="37">
        <f t="shared" si="119"/>
        <v>64.534019932800021</v>
      </c>
      <c r="O900" s="45">
        <f t="shared" si="110"/>
        <v>0.47013054463234127</v>
      </c>
    </row>
    <row r="901" spans="1:15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8">
        <f t="shared" si="114"/>
        <v>7076.23</v>
      </c>
      <c r="G901" s="339">
        <v>2586</v>
      </c>
      <c r="H901" s="871">
        <v>2586</v>
      </c>
      <c r="I901" s="41">
        <f t="shared" si="116"/>
        <v>0.86199999999999999</v>
      </c>
      <c r="J901" s="37">
        <f t="shared" si="115"/>
        <v>1738.6626200000001</v>
      </c>
      <c r="K901" s="37">
        <f t="shared" si="117"/>
        <v>639.30624537400001</v>
      </c>
      <c r="L901" s="37">
        <v>671.62729999999999</v>
      </c>
      <c r="M901" s="37">
        <f t="shared" si="118"/>
        <v>86.102628480000007</v>
      </c>
      <c r="N901" s="37">
        <f t="shared" si="119"/>
        <v>104.95910411712002</v>
      </c>
      <c r="O901" s="45">
        <f t="shared" si="110"/>
        <v>0.4431312710092804</v>
      </c>
    </row>
    <row r="902" spans="1:15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8">
        <f t="shared" si="114"/>
        <v>4062.74</v>
      </c>
      <c r="G902" s="339">
        <v>1005</v>
      </c>
      <c r="H902" s="871">
        <v>705</v>
      </c>
      <c r="I902" s="41">
        <f t="shared" si="116"/>
        <v>0.23499999999999999</v>
      </c>
      <c r="J902" s="37">
        <f t="shared" si="115"/>
        <v>473.99734999999998</v>
      </c>
      <c r="K902" s="37">
        <f t="shared" si="117"/>
        <v>174.28882559500002</v>
      </c>
      <c r="L902" s="37">
        <v>183.10024999999999</v>
      </c>
      <c r="M902" s="37">
        <f t="shared" si="118"/>
        <v>23.473454399999998</v>
      </c>
      <c r="N902" s="37">
        <f t="shared" si="119"/>
        <v>28.6141409136</v>
      </c>
      <c r="O902" s="45">
        <f t="shared" si="110"/>
        <v>0.21041461673525749</v>
      </c>
    </row>
    <row r="903" spans="1:15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8">
        <f t="shared" si="114"/>
        <v>6379.08</v>
      </c>
      <c r="G903" s="339">
        <v>1529</v>
      </c>
      <c r="H903" s="871">
        <v>1529</v>
      </c>
      <c r="I903" s="41">
        <f t="shared" si="116"/>
        <v>0.50966666666666671</v>
      </c>
      <c r="J903" s="37">
        <f t="shared" si="115"/>
        <v>1028.0027633333334</v>
      </c>
      <c r="K903" s="37">
        <f t="shared" si="117"/>
        <v>377.99661607766672</v>
      </c>
      <c r="L903" s="37">
        <v>397.10678333333334</v>
      </c>
      <c r="M903" s="37">
        <f t="shared" si="118"/>
        <v>50.90909472000002</v>
      </c>
      <c r="N903" s="37">
        <f t="shared" si="119"/>
        <v>62.05818646368003</v>
      </c>
      <c r="O903" s="45">
        <f t="shared" ref="O903:O966" si="120">(J903+K903+L903+M903)/F903</f>
        <v>0.29063991319505844</v>
      </c>
    </row>
    <row r="904" spans="1:15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8">
        <f t="shared" si="114"/>
        <v>6509.3399999999992</v>
      </c>
      <c r="G904" s="339">
        <v>1952</v>
      </c>
      <c r="H904" s="871">
        <v>1952</v>
      </c>
      <c r="I904" s="41">
        <f t="shared" si="116"/>
        <v>0.65066666666666662</v>
      </c>
      <c r="J904" s="37">
        <f t="shared" si="115"/>
        <v>1312.4011733333332</v>
      </c>
      <c r="K904" s="37">
        <f t="shared" si="117"/>
        <v>482.56991143466666</v>
      </c>
      <c r="L904" s="37">
        <v>506.96693333333326</v>
      </c>
      <c r="M904" s="37">
        <f t="shared" si="118"/>
        <v>64.993167360000001</v>
      </c>
      <c r="N904" s="37">
        <f t="shared" si="119"/>
        <v>79.226671011840011</v>
      </c>
      <c r="O904" s="45">
        <f t="shared" si="120"/>
        <v>0.36362076423436679</v>
      </c>
    </row>
    <row r="905" spans="1:15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8">
        <f t="shared" si="114"/>
        <v>4249.6000000000004</v>
      </c>
      <c r="G905" s="339">
        <v>712</v>
      </c>
      <c r="H905" s="871">
        <v>712</v>
      </c>
      <c r="I905" s="41">
        <f t="shared" si="116"/>
        <v>0.23733333333333334</v>
      </c>
      <c r="J905" s="37">
        <f t="shared" si="115"/>
        <v>478.70370666666668</v>
      </c>
      <c r="K905" s="37">
        <f t="shared" si="117"/>
        <v>176.01935294133335</v>
      </c>
      <c r="L905" s="37">
        <v>184.91826666666665</v>
      </c>
      <c r="M905" s="37">
        <f t="shared" si="118"/>
        <v>23.706524160000004</v>
      </c>
      <c r="N905" s="37">
        <f t="shared" si="119"/>
        <v>28.898252951040007</v>
      </c>
      <c r="O905" s="45">
        <f t="shared" si="120"/>
        <v>0.20315979161207329</v>
      </c>
    </row>
    <row r="906" spans="1:15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8">
        <f t="shared" si="114"/>
        <v>2807.52</v>
      </c>
      <c r="G906" s="339">
        <v>1062</v>
      </c>
      <c r="H906" s="871">
        <v>1062</v>
      </c>
      <c r="I906" s="41">
        <f t="shared" si="116"/>
        <v>0.35399999999999998</v>
      </c>
      <c r="J906" s="37">
        <f t="shared" si="115"/>
        <v>714.02153999999996</v>
      </c>
      <c r="K906" s="37">
        <f t="shared" si="117"/>
        <v>262.54572025800002</v>
      </c>
      <c r="L906" s="37">
        <v>275.81909999999999</v>
      </c>
      <c r="M906" s="37">
        <f t="shared" si="118"/>
        <v>35.360012160000004</v>
      </c>
      <c r="N906" s="37">
        <f t="shared" si="119"/>
        <v>43.10385482304001</v>
      </c>
      <c r="O906" s="45">
        <f t="shared" si="120"/>
        <v>0.45867754189391347</v>
      </c>
    </row>
    <row r="907" spans="1:15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8">
        <f t="shared" si="114"/>
        <v>4226.7</v>
      </c>
      <c r="G907" s="339">
        <v>1354</v>
      </c>
      <c r="H907" s="871">
        <v>1354</v>
      </c>
      <c r="I907" s="41">
        <f t="shared" si="116"/>
        <v>0.45133333333333331</v>
      </c>
      <c r="J907" s="37">
        <f t="shared" si="115"/>
        <v>910.34384666666665</v>
      </c>
      <c r="K907" s="37">
        <f t="shared" si="117"/>
        <v>334.73343241933333</v>
      </c>
      <c r="L907" s="37">
        <v>351.65636666666666</v>
      </c>
      <c r="M907" s="37">
        <f t="shared" si="118"/>
        <v>45.082350720000001</v>
      </c>
      <c r="N907" s="37">
        <f t="shared" si="119"/>
        <v>54.955385527680008</v>
      </c>
      <c r="O907" s="45">
        <f t="shared" si="120"/>
        <v>0.38843920705814627</v>
      </c>
    </row>
    <row r="908" spans="1:15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8">
        <f t="shared" si="114"/>
        <v>4709.3599999999997</v>
      </c>
      <c r="G908" s="339">
        <v>1274</v>
      </c>
      <c r="H908" s="871">
        <v>1274</v>
      </c>
      <c r="I908" s="41">
        <f t="shared" si="116"/>
        <v>0.42466666666666669</v>
      </c>
      <c r="J908" s="37">
        <f t="shared" si="115"/>
        <v>856.55691333333334</v>
      </c>
      <c r="K908" s="37">
        <f t="shared" si="117"/>
        <v>314.95597703266668</v>
      </c>
      <c r="L908" s="37">
        <v>330.87903333333333</v>
      </c>
      <c r="M908" s="37">
        <f t="shared" si="118"/>
        <v>42.418696320000009</v>
      </c>
      <c r="N908" s="37">
        <f t="shared" si="119"/>
        <v>51.708390814080012</v>
      </c>
      <c r="O908" s="45">
        <f t="shared" si="120"/>
        <v>0.32802984270035279</v>
      </c>
    </row>
    <row r="909" spans="1:15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8">
        <f t="shared" si="114"/>
        <v>5750.25</v>
      </c>
      <c r="G909" s="339">
        <v>1501.5</v>
      </c>
      <c r="H909" s="871">
        <v>1501.5</v>
      </c>
      <c r="I909" s="41">
        <f t="shared" si="116"/>
        <v>0.50049999999999994</v>
      </c>
      <c r="J909" s="37">
        <f t="shared" si="115"/>
        <v>1009.5135049999999</v>
      </c>
      <c r="K909" s="37">
        <f t="shared" si="117"/>
        <v>371.19811578849999</v>
      </c>
      <c r="L909" s="37">
        <v>389.96457499999997</v>
      </c>
      <c r="M909" s="37">
        <f t="shared" si="118"/>
        <v>49.993463519999999</v>
      </c>
      <c r="N909" s="37">
        <f t="shared" si="119"/>
        <v>60.94203203088</v>
      </c>
      <c r="O909" s="45">
        <f t="shared" si="120"/>
        <v>0.3166244353390722</v>
      </c>
    </row>
    <row r="910" spans="1:15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8">
        <f t="shared" si="114"/>
        <v>3555.12</v>
      </c>
      <c r="G910" s="339">
        <v>2154</v>
      </c>
      <c r="H910" s="871">
        <v>1208</v>
      </c>
      <c r="I910" s="41">
        <f t="shared" si="116"/>
        <v>0.40266666666666667</v>
      </c>
      <c r="J910" s="37">
        <f t="shared" si="115"/>
        <v>812.1826933333333</v>
      </c>
      <c r="K910" s="37">
        <f t="shared" si="117"/>
        <v>298.6395763386667</v>
      </c>
      <c r="L910" s="37">
        <v>313.73773333333332</v>
      </c>
      <c r="M910" s="37">
        <f t="shared" si="118"/>
        <v>40.221181440000016</v>
      </c>
      <c r="N910" s="37">
        <f t="shared" si="119"/>
        <v>49.029620175360023</v>
      </c>
      <c r="O910" s="45">
        <f t="shared" si="120"/>
        <v>0.41202018059737316</v>
      </c>
    </row>
    <row r="911" spans="1:15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8">
        <f t="shared" si="114"/>
        <v>342.6</v>
      </c>
      <c r="G911" s="339"/>
      <c r="H911" s="871">
        <v>0</v>
      </c>
      <c r="I911" s="41">
        <f t="shared" si="116"/>
        <v>0</v>
      </c>
      <c r="J911" s="37">
        <f t="shared" si="115"/>
        <v>0</v>
      </c>
      <c r="K911" s="37">
        <f t="shared" si="117"/>
        <v>0</v>
      </c>
      <c r="L911" s="37">
        <v>0</v>
      </c>
      <c r="M911" s="37">
        <f t="shared" si="118"/>
        <v>0</v>
      </c>
      <c r="N911" s="37">
        <f t="shared" si="119"/>
        <v>0</v>
      </c>
      <c r="O911" s="45">
        <f t="shared" si="120"/>
        <v>0</v>
      </c>
    </row>
    <row r="912" spans="1:15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8">
        <f t="shared" si="114"/>
        <v>361.6</v>
      </c>
      <c r="G912" s="339"/>
      <c r="H912" s="871">
        <v>0</v>
      </c>
      <c r="I912" s="41">
        <f t="shared" si="116"/>
        <v>0</v>
      </c>
      <c r="J912" s="37">
        <f t="shared" si="115"/>
        <v>0</v>
      </c>
      <c r="K912" s="37">
        <f t="shared" si="117"/>
        <v>0</v>
      </c>
      <c r="L912" s="37">
        <v>0</v>
      </c>
      <c r="M912" s="37">
        <f t="shared" si="118"/>
        <v>0</v>
      </c>
      <c r="N912" s="37">
        <f t="shared" si="119"/>
        <v>0</v>
      </c>
      <c r="O912" s="45">
        <f t="shared" si="120"/>
        <v>0</v>
      </c>
    </row>
    <row r="913" spans="1:15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8">
        <f t="shared" si="114"/>
        <v>7926.65</v>
      </c>
      <c r="G913" s="339">
        <v>1920</v>
      </c>
      <c r="H913" s="871">
        <v>1920</v>
      </c>
      <c r="I913" s="41">
        <f t="shared" si="116"/>
        <v>0.64</v>
      </c>
      <c r="J913" s="37">
        <f t="shared" si="115"/>
        <v>1290.8864000000001</v>
      </c>
      <c r="K913" s="37">
        <f t="shared" si="117"/>
        <v>474.65892928000005</v>
      </c>
      <c r="L913" s="37">
        <v>498.65600000000001</v>
      </c>
      <c r="M913" s="37">
        <f t="shared" si="118"/>
        <v>63.92770560000001</v>
      </c>
      <c r="N913" s="37">
        <f t="shared" si="119"/>
        <v>77.927873126400016</v>
      </c>
      <c r="O913" s="45">
        <f t="shared" si="120"/>
        <v>0.29370907443623728</v>
      </c>
    </row>
    <row r="914" spans="1:15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8">
        <f t="shared" si="114"/>
        <v>4021.5</v>
      </c>
      <c r="G914" s="339">
        <v>1753</v>
      </c>
      <c r="H914" s="871">
        <v>1024</v>
      </c>
      <c r="I914" s="41">
        <f t="shared" si="116"/>
        <v>0.34133333333333332</v>
      </c>
      <c r="J914" s="37">
        <f t="shared" si="115"/>
        <v>688.47274666666669</v>
      </c>
      <c r="K914" s="37">
        <f t="shared" si="117"/>
        <v>253.15142894933336</v>
      </c>
      <c r="L914" s="37">
        <v>265.94986666666665</v>
      </c>
      <c r="M914" s="37">
        <f t="shared" si="118"/>
        <v>34.094776320000001</v>
      </c>
      <c r="N914" s="37">
        <f t="shared" si="119"/>
        <v>41.561532334080006</v>
      </c>
      <c r="O914" s="45">
        <f t="shared" si="120"/>
        <v>0.30875763237664217</v>
      </c>
    </row>
    <row r="915" spans="1:15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8">
        <f t="shared" si="114"/>
        <v>4138.7700000000004</v>
      </c>
      <c r="G915" s="339">
        <v>1753</v>
      </c>
      <c r="H915" s="871">
        <v>1059</v>
      </c>
      <c r="I915" s="41">
        <f t="shared" si="116"/>
        <v>0.35299999999999998</v>
      </c>
      <c r="J915" s="37">
        <f t="shared" si="115"/>
        <v>712.00452999999993</v>
      </c>
      <c r="K915" s="37">
        <f t="shared" si="117"/>
        <v>261.804065681</v>
      </c>
      <c r="L915" s="37">
        <v>275.03994999999998</v>
      </c>
      <c r="M915" s="37">
        <f t="shared" si="118"/>
        <v>35.260125119999998</v>
      </c>
      <c r="N915" s="37">
        <f t="shared" si="119"/>
        <v>42.982092521280002</v>
      </c>
      <c r="O915" s="45">
        <f t="shared" si="120"/>
        <v>0.31026335621476903</v>
      </c>
    </row>
    <row r="916" spans="1:15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8">
        <f t="shared" si="114"/>
        <v>361.5</v>
      </c>
      <c r="G916" s="339"/>
      <c r="H916" s="871">
        <v>0</v>
      </c>
      <c r="I916" s="41">
        <f t="shared" si="116"/>
        <v>0</v>
      </c>
      <c r="J916" s="37">
        <f t="shared" si="115"/>
        <v>0</v>
      </c>
      <c r="K916" s="37">
        <f t="shared" si="117"/>
        <v>0</v>
      </c>
      <c r="L916" s="37">
        <v>0</v>
      </c>
      <c r="M916" s="37">
        <f t="shared" si="118"/>
        <v>0</v>
      </c>
      <c r="N916" s="37">
        <f t="shared" si="119"/>
        <v>0</v>
      </c>
      <c r="O916" s="45">
        <f t="shared" si="120"/>
        <v>0</v>
      </c>
    </row>
    <row r="917" spans="1:15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8">
        <f t="shared" si="114"/>
        <v>5864.56</v>
      </c>
      <c r="G917" s="339">
        <v>3625</v>
      </c>
      <c r="H917" s="871">
        <v>2053</v>
      </c>
      <c r="I917" s="41">
        <f t="shared" si="116"/>
        <v>0.68433333333333335</v>
      </c>
      <c r="J917" s="37">
        <f t="shared" si="115"/>
        <v>1380.3071766666667</v>
      </c>
      <c r="K917" s="37">
        <f t="shared" si="117"/>
        <v>507.53894886033339</v>
      </c>
      <c r="L917" s="37">
        <v>533.19831666666664</v>
      </c>
      <c r="M917" s="37">
        <f t="shared" si="118"/>
        <v>68.356031040000019</v>
      </c>
      <c r="N917" s="37">
        <f t="shared" si="119"/>
        <v>83.326001837760032</v>
      </c>
      <c r="O917" s="45">
        <f t="shared" si="120"/>
        <v>0.42448205376595455</v>
      </c>
    </row>
    <row r="918" spans="1:15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8">
        <f t="shared" si="114"/>
        <v>135.35</v>
      </c>
      <c r="G918" s="339"/>
      <c r="H918" s="871">
        <v>0</v>
      </c>
      <c r="I918" s="41">
        <f t="shared" si="116"/>
        <v>0</v>
      </c>
      <c r="J918" s="37">
        <f t="shared" si="115"/>
        <v>0</v>
      </c>
      <c r="K918" s="37">
        <f t="shared" si="117"/>
        <v>0</v>
      </c>
      <c r="L918" s="37">
        <v>0</v>
      </c>
      <c r="M918" s="37">
        <f t="shared" si="118"/>
        <v>0</v>
      </c>
      <c r="N918" s="37">
        <f t="shared" si="119"/>
        <v>0</v>
      </c>
      <c r="O918" s="45">
        <f t="shared" si="120"/>
        <v>0</v>
      </c>
    </row>
    <row r="919" spans="1:15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8">
        <f t="shared" si="114"/>
        <v>37.4</v>
      </c>
      <c r="G919" s="339"/>
      <c r="H919" s="871">
        <v>0</v>
      </c>
      <c r="I919" s="41">
        <f t="shared" si="116"/>
        <v>0</v>
      </c>
      <c r="J919" s="37">
        <f t="shared" si="115"/>
        <v>0</v>
      </c>
      <c r="K919" s="37">
        <f t="shared" si="117"/>
        <v>0</v>
      </c>
      <c r="L919" s="37">
        <v>0</v>
      </c>
      <c r="M919" s="37">
        <f t="shared" si="118"/>
        <v>0</v>
      </c>
      <c r="N919" s="37">
        <f t="shared" si="119"/>
        <v>0</v>
      </c>
      <c r="O919" s="45">
        <f t="shared" si="120"/>
        <v>0</v>
      </c>
    </row>
    <row r="920" spans="1:15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8">
        <f t="shared" si="114"/>
        <v>236.9</v>
      </c>
      <c r="G920" s="339"/>
      <c r="H920" s="871">
        <v>0</v>
      </c>
      <c r="I920" s="41">
        <f t="shared" si="116"/>
        <v>0</v>
      </c>
      <c r="J920" s="37">
        <f t="shared" si="115"/>
        <v>0</v>
      </c>
      <c r="K920" s="37">
        <f t="shared" si="117"/>
        <v>0</v>
      </c>
      <c r="L920" s="37">
        <v>0</v>
      </c>
      <c r="M920" s="37">
        <f t="shared" si="118"/>
        <v>0</v>
      </c>
      <c r="N920" s="37">
        <f t="shared" si="119"/>
        <v>0</v>
      </c>
      <c r="O920" s="45">
        <f t="shared" si="120"/>
        <v>0</v>
      </c>
    </row>
    <row r="921" spans="1:15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8">
        <f t="shared" si="114"/>
        <v>362.6</v>
      </c>
      <c r="G921" s="339"/>
      <c r="H921" s="871">
        <v>0</v>
      </c>
      <c r="I921" s="41">
        <f t="shared" si="116"/>
        <v>0</v>
      </c>
      <c r="J921" s="37">
        <f t="shared" si="115"/>
        <v>0</v>
      </c>
      <c r="K921" s="37">
        <f t="shared" si="117"/>
        <v>0</v>
      </c>
      <c r="L921" s="37">
        <v>0</v>
      </c>
      <c r="M921" s="37">
        <f t="shared" si="118"/>
        <v>0</v>
      </c>
      <c r="N921" s="37">
        <f t="shared" si="119"/>
        <v>0</v>
      </c>
      <c r="O921" s="45">
        <f t="shared" si="120"/>
        <v>0</v>
      </c>
    </row>
    <row r="922" spans="1:15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8">
        <f t="shared" si="114"/>
        <v>494.9</v>
      </c>
      <c r="G922" s="339"/>
      <c r="H922" s="871">
        <v>0</v>
      </c>
      <c r="I922" s="41">
        <f t="shared" si="116"/>
        <v>0</v>
      </c>
      <c r="J922" s="37">
        <f t="shared" si="115"/>
        <v>0</v>
      </c>
      <c r="K922" s="37">
        <f t="shared" si="117"/>
        <v>0</v>
      </c>
      <c r="L922" s="37">
        <v>0</v>
      </c>
      <c r="M922" s="37">
        <f t="shared" si="118"/>
        <v>0</v>
      </c>
      <c r="N922" s="37">
        <f t="shared" si="119"/>
        <v>0</v>
      </c>
      <c r="O922" s="45">
        <f t="shared" si="120"/>
        <v>0</v>
      </c>
    </row>
    <row r="923" spans="1:15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8">
        <f t="shared" si="114"/>
        <v>277.2</v>
      </c>
      <c r="G923" s="339"/>
      <c r="H923" s="871">
        <v>0</v>
      </c>
      <c r="I923" s="41">
        <f t="shared" si="116"/>
        <v>0</v>
      </c>
      <c r="J923" s="37">
        <f t="shared" si="115"/>
        <v>0</v>
      </c>
      <c r="K923" s="37">
        <f t="shared" si="117"/>
        <v>0</v>
      </c>
      <c r="L923" s="37">
        <v>0</v>
      </c>
      <c r="M923" s="37">
        <f t="shared" si="118"/>
        <v>0</v>
      </c>
      <c r="N923" s="37">
        <f t="shared" si="119"/>
        <v>0</v>
      </c>
      <c r="O923" s="45">
        <f t="shared" si="120"/>
        <v>0</v>
      </c>
    </row>
    <row r="924" spans="1:15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8">
        <f t="shared" si="114"/>
        <v>7127.52</v>
      </c>
      <c r="G924" s="339">
        <v>2730</v>
      </c>
      <c r="H924" s="871">
        <v>2083</v>
      </c>
      <c r="I924" s="41">
        <f t="shared" si="116"/>
        <v>0.69433333333333336</v>
      </c>
      <c r="J924" s="37">
        <f t="shared" si="115"/>
        <v>1400.4772766666667</v>
      </c>
      <c r="K924" s="37">
        <f t="shared" si="117"/>
        <v>514.95549463033342</v>
      </c>
      <c r="L924" s="37">
        <v>540.98981666666668</v>
      </c>
      <c r="M924" s="37">
        <f t="shared" si="118"/>
        <v>69.35490144000002</v>
      </c>
      <c r="N924" s="37">
        <f t="shared" si="119"/>
        <v>84.543624855360036</v>
      </c>
      <c r="O924" s="45">
        <f t="shared" si="120"/>
        <v>0.35436975124638959</v>
      </c>
    </row>
    <row r="925" spans="1:15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8">
        <f t="shared" si="114"/>
        <v>52.9</v>
      </c>
      <c r="G925" s="339"/>
      <c r="H925" s="871">
        <v>0</v>
      </c>
      <c r="I925" s="41">
        <f t="shared" si="116"/>
        <v>0</v>
      </c>
      <c r="J925" s="37">
        <f t="shared" si="115"/>
        <v>0</v>
      </c>
      <c r="K925" s="37">
        <f t="shared" si="117"/>
        <v>0</v>
      </c>
      <c r="L925" s="37">
        <v>0</v>
      </c>
      <c r="M925" s="37">
        <f t="shared" si="118"/>
        <v>0</v>
      </c>
      <c r="N925" s="37">
        <f t="shared" si="119"/>
        <v>0</v>
      </c>
      <c r="O925" s="45">
        <f t="shared" si="120"/>
        <v>0</v>
      </c>
    </row>
    <row r="926" spans="1:15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8">
        <f t="shared" si="114"/>
        <v>119.9</v>
      </c>
      <c r="G926" s="339"/>
      <c r="H926" s="871">
        <v>0</v>
      </c>
      <c r="I926" s="41">
        <f t="shared" si="116"/>
        <v>0</v>
      </c>
      <c r="J926" s="37">
        <f t="shared" si="115"/>
        <v>0</v>
      </c>
      <c r="K926" s="37">
        <f t="shared" si="117"/>
        <v>0</v>
      </c>
      <c r="L926" s="37">
        <v>0</v>
      </c>
      <c r="M926" s="37">
        <f t="shared" si="118"/>
        <v>0</v>
      </c>
      <c r="N926" s="37">
        <f t="shared" si="119"/>
        <v>0</v>
      </c>
      <c r="O926" s="45">
        <f t="shared" si="120"/>
        <v>0</v>
      </c>
    </row>
    <row r="927" spans="1:15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8">
        <f t="shared" si="114"/>
        <v>75.3</v>
      </c>
      <c r="G927" s="339"/>
      <c r="H927" s="871">
        <v>0</v>
      </c>
      <c r="I927" s="41">
        <f t="shared" si="116"/>
        <v>0</v>
      </c>
      <c r="J927" s="37">
        <f t="shared" si="115"/>
        <v>0</v>
      </c>
      <c r="K927" s="37">
        <f t="shared" si="117"/>
        <v>0</v>
      </c>
      <c r="L927" s="37">
        <v>0</v>
      </c>
      <c r="M927" s="37">
        <f t="shared" si="118"/>
        <v>0</v>
      </c>
      <c r="N927" s="37">
        <f t="shared" si="119"/>
        <v>0</v>
      </c>
      <c r="O927" s="45">
        <f t="shared" si="120"/>
        <v>0</v>
      </c>
    </row>
    <row r="928" spans="1:15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8">
        <f t="shared" si="114"/>
        <v>120.8</v>
      </c>
      <c r="G928" s="339"/>
      <c r="H928" s="871">
        <v>0</v>
      </c>
      <c r="I928" s="41">
        <f t="shared" si="116"/>
        <v>0</v>
      </c>
      <c r="J928" s="37">
        <f t="shared" si="115"/>
        <v>0</v>
      </c>
      <c r="K928" s="37">
        <f t="shared" si="117"/>
        <v>0</v>
      </c>
      <c r="L928" s="37">
        <v>0</v>
      </c>
      <c r="M928" s="37">
        <f t="shared" si="118"/>
        <v>0</v>
      </c>
      <c r="N928" s="37">
        <f t="shared" si="119"/>
        <v>0</v>
      </c>
      <c r="O928" s="45">
        <f t="shared" si="120"/>
        <v>0</v>
      </c>
    </row>
    <row r="929" spans="1:15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8">
        <f t="shared" si="114"/>
        <v>429.7</v>
      </c>
      <c r="G929" s="339"/>
      <c r="H929" s="871">
        <v>0</v>
      </c>
      <c r="I929" s="41">
        <f t="shared" si="116"/>
        <v>0</v>
      </c>
      <c r="J929" s="37">
        <f t="shared" si="115"/>
        <v>0</v>
      </c>
      <c r="K929" s="37">
        <f t="shared" si="117"/>
        <v>0</v>
      </c>
      <c r="L929" s="37">
        <v>0</v>
      </c>
      <c r="M929" s="37">
        <f t="shared" si="118"/>
        <v>0</v>
      </c>
      <c r="N929" s="37">
        <f t="shared" si="119"/>
        <v>0</v>
      </c>
      <c r="O929" s="45">
        <f t="shared" si="120"/>
        <v>0</v>
      </c>
    </row>
    <row r="930" spans="1:15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8">
        <f t="shared" si="114"/>
        <v>249.1</v>
      </c>
      <c r="G930" s="339"/>
      <c r="H930" s="871">
        <v>0</v>
      </c>
      <c r="I930" s="41">
        <f t="shared" si="116"/>
        <v>0</v>
      </c>
      <c r="J930" s="37">
        <f t="shared" si="115"/>
        <v>0</v>
      </c>
      <c r="K930" s="37">
        <f t="shared" si="117"/>
        <v>0</v>
      </c>
      <c r="L930" s="37">
        <v>0</v>
      </c>
      <c r="M930" s="37">
        <f t="shared" si="118"/>
        <v>0</v>
      </c>
      <c r="N930" s="37">
        <f t="shared" si="119"/>
        <v>0</v>
      </c>
      <c r="O930" s="45">
        <f t="shared" si="120"/>
        <v>0</v>
      </c>
    </row>
    <row r="931" spans="1:15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8">
        <f t="shared" si="114"/>
        <v>103</v>
      </c>
      <c r="G931" s="339"/>
      <c r="H931" s="871">
        <v>0</v>
      </c>
      <c r="I931" s="41">
        <f t="shared" si="116"/>
        <v>0</v>
      </c>
      <c r="J931" s="37">
        <f t="shared" si="115"/>
        <v>0</v>
      </c>
      <c r="K931" s="37">
        <f t="shared" si="117"/>
        <v>0</v>
      </c>
      <c r="L931" s="37">
        <v>0</v>
      </c>
      <c r="M931" s="37">
        <f t="shared" si="118"/>
        <v>0</v>
      </c>
      <c r="N931" s="37">
        <f t="shared" si="119"/>
        <v>0</v>
      </c>
      <c r="O931" s="45">
        <f t="shared" si="120"/>
        <v>0</v>
      </c>
    </row>
    <row r="932" spans="1:15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8">
        <f t="shared" si="114"/>
        <v>176.5</v>
      </c>
      <c r="G932" s="339"/>
      <c r="H932" s="871">
        <v>0</v>
      </c>
      <c r="I932" s="41">
        <f t="shared" si="116"/>
        <v>0</v>
      </c>
      <c r="J932" s="37">
        <f t="shared" si="115"/>
        <v>0</v>
      </c>
      <c r="K932" s="37">
        <f t="shared" si="117"/>
        <v>0</v>
      </c>
      <c r="L932" s="37">
        <v>0</v>
      </c>
      <c r="M932" s="37">
        <f t="shared" si="118"/>
        <v>0</v>
      </c>
      <c r="N932" s="37">
        <f t="shared" si="119"/>
        <v>0</v>
      </c>
      <c r="O932" s="45">
        <f t="shared" si="120"/>
        <v>0</v>
      </c>
    </row>
    <row r="933" spans="1:15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8">
        <f t="shared" si="114"/>
        <v>109.5</v>
      </c>
      <c r="G933" s="339"/>
      <c r="H933" s="871">
        <v>0</v>
      </c>
      <c r="I933" s="41">
        <f t="shared" si="116"/>
        <v>0</v>
      </c>
      <c r="J933" s="37">
        <f t="shared" si="115"/>
        <v>0</v>
      </c>
      <c r="K933" s="37">
        <f t="shared" si="117"/>
        <v>0</v>
      </c>
      <c r="L933" s="37">
        <v>0</v>
      </c>
      <c r="M933" s="37">
        <f t="shared" si="118"/>
        <v>0</v>
      </c>
      <c r="N933" s="37">
        <f t="shared" si="119"/>
        <v>0</v>
      </c>
      <c r="O933" s="45">
        <f t="shared" si="120"/>
        <v>0</v>
      </c>
    </row>
    <row r="934" spans="1:15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8">
        <f t="shared" si="114"/>
        <v>111.4</v>
      </c>
      <c r="G934" s="339"/>
      <c r="H934" s="871">
        <v>0</v>
      </c>
      <c r="I934" s="41">
        <f t="shared" si="116"/>
        <v>0</v>
      </c>
      <c r="J934" s="37">
        <f t="shared" si="115"/>
        <v>0</v>
      </c>
      <c r="K934" s="37">
        <f t="shared" si="117"/>
        <v>0</v>
      </c>
      <c r="L934" s="37">
        <v>0</v>
      </c>
      <c r="M934" s="37">
        <f t="shared" si="118"/>
        <v>0</v>
      </c>
      <c r="N934" s="37">
        <f t="shared" si="119"/>
        <v>0</v>
      </c>
      <c r="O934" s="45">
        <f t="shared" si="120"/>
        <v>0</v>
      </c>
    </row>
    <row r="935" spans="1:15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8">
        <f t="shared" si="114"/>
        <v>92.9</v>
      </c>
      <c r="G935" s="339"/>
      <c r="H935" s="871">
        <v>0</v>
      </c>
      <c r="I935" s="41">
        <f t="shared" si="116"/>
        <v>0</v>
      </c>
      <c r="J935" s="37">
        <f t="shared" si="115"/>
        <v>0</v>
      </c>
      <c r="K935" s="37">
        <f t="shared" si="117"/>
        <v>0</v>
      </c>
      <c r="L935" s="37">
        <v>0</v>
      </c>
      <c r="M935" s="37">
        <f t="shared" si="118"/>
        <v>0</v>
      </c>
      <c r="N935" s="37">
        <f t="shared" si="119"/>
        <v>0</v>
      </c>
      <c r="O935" s="45">
        <f t="shared" si="120"/>
        <v>0</v>
      </c>
    </row>
    <row r="936" spans="1:15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8">
        <f t="shared" si="114"/>
        <v>101.8</v>
      </c>
      <c r="G936" s="339"/>
      <c r="H936" s="871">
        <v>0</v>
      </c>
      <c r="I936" s="41">
        <f t="shared" si="116"/>
        <v>0</v>
      </c>
      <c r="J936" s="37">
        <f t="shared" si="115"/>
        <v>0</v>
      </c>
      <c r="K936" s="37">
        <f t="shared" si="117"/>
        <v>0</v>
      </c>
      <c r="L936" s="37">
        <v>0</v>
      </c>
      <c r="M936" s="37">
        <f t="shared" si="118"/>
        <v>0</v>
      </c>
      <c r="N936" s="37">
        <f t="shared" si="119"/>
        <v>0</v>
      </c>
      <c r="O936" s="45">
        <f t="shared" si="120"/>
        <v>0</v>
      </c>
    </row>
    <row r="937" spans="1:15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8">
        <f t="shared" si="114"/>
        <v>202</v>
      </c>
      <c r="G937" s="339"/>
      <c r="H937" s="871">
        <v>0</v>
      </c>
      <c r="I937" s="41">
        <f t="shared" si="116"/>
        <v>0</v>
      </c>
      <c r="J937" s="37">
        <f t="shared" si="115"/>
        <v>0</v>
      </c>
      <c r="K937" s="37">
        <f t="shared" si="117"/>
        <v>0</v>
      </c>
      <c r="L937" s="37">
        <v>0</v>
      </c>
      <c r="M937" s="37">
        <f t="shared" si="118"/>
        <v>0</v>
      </c>
      <c r="N937" s="37">
        <f t="shared" si="119"/>
        <v>0</v>
      </c>
      <c r="O937" s="45">
        <f t="shared" si="120"/>
        <v>0</v>
      </c>
    </row>
    <row r="938" spans="1:15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8">
        <f t="shared" si="114"/>
        <v>214.1</v>
      </c>
      <c r="G938" s="339"/>
      <c r="H938" s="871">
        <v>0</v>
      </c>
      <c r="I938" s="41">
        <f t="shared" si="116"/>
        <v>0</v>
      </c>
      <c r="J938" s="37">
        <f t="shared" si="115"/>
        <v>0</v>
      </c>
      <c r="K938" s="37">
        <f t="shared" si="117"/>
        <v>0</v>
      </c>
      <c r="L938" s="37">
        <v>0</v>
      </c>
      <c r="M938" s="37">
        <f t="shared" si="118"/>
        <v>0</v>
      </c>
      <c r="N938" s="37">
        <f t="shared" si="119"/>
        <v>0</v>
      </c>
      <c r="O938" s="45">
        <f t="shared" si="120"/>
        <v>0</v>
      </c>
    </row>
    <row r="939" spans="1:15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8">
        <f t="shared" si="114"/>
        <v>161.19999999999999</v>
      </c>
      <c r="G939" s="339"/>
      <c r="H939" s="871">
        <v>0</v>
      </c>
      <c r="I939" s="41">
        <f t="shared" si="116"/>
        <v>0</v>
      </c>
      <c r="J939" s="37">
        <f t="shared" si="115"/>
        <v>0</v>
      </c>
      <c r="K939" s="37">
        <f t="shared" si="117"/>
        <v>0</v>
      </c>
      <c r="L939" s="37">
        <v>0</v>
      </c>
      <c r="M939" s="37">
        <f t="shared" si="118"/>
        <v>0</v>
      </c>
      <c r="N939" s="37">
        <f t="shared" si="119"/>
        <v>0</v>
      </c>
      <c r="O939" s="45">
        <f t="shared" si="120"/>
        <v>0</v>
      </c>
    </row>
    <row r="940" spans="1:15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8">
        <f t="shared" si="114"/>
        <v>134.9</v>
      </c>
      <c r="G940" s="339"/>
      <c r="H940" s="871">
        <v>0</v>
      </c>
      <c r="I940" s="41">
        <f t="shared" si="116"/>
        <v>0</v>
      </c>
      <c r="J940" s="37">
        <f t="shared" si="115"/>
        <v>0</v>
      </c>
      <c r="K940" s="37">
        <f t="shared" si="117"/>
        <v>0</v>
      </c>
      <c r="L940" s="37">
        <v>0</v>
      </c>
      <c r="M940" s="37">
        <f t="shared" si="118"/>
        <v>0</v>
      </c>
      <c r="N940" s="37">
        <f t="shared" si="119"/>
        <v>0</v>
      </c>
      <c r="O940" s="45">
        <f t="shared" si="120"/>
        <v>0</v>
      </c>
    </row>
    <row r="941" spans="1:15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8">
        <f t="shared" si="114"/>
        <v>80.599999999999994</v>
      </c>
      <c r="G941" s="339"/>
      <c r="H941" s="871">
        <v>0</v>
      </c>
      <c r="I941" s="41">
        <f t="shared" si="116"/>
        <v>0</v>
      </c>
      <c r="J941" s="37">
        <f t="shared" si="115"/>
        <v>0</v>
      </c>
      <c r="K941" s="37">
        <f t="shared" si="117"/>
        <v>0</v>
      </c>
      <c r="L941" s="37">
        <v>0</v>
      </c>
      <c r="M941" s="37">
        <f t="shared" si="118"/>
        <v>0</v>
      </c>
      <c r="N941" s="37">
        <f t="shared" si="119"/>
        <v>0</v>
      </c>
      <c r="O941" s="45">
        <f t="shared" si="120"/>
        <v>0</v>
      </c>
    </row>
    <row r="942" spans="1:15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8">
        <f t="shared" si="114"/>
        <v>249.4</v>
      </c>
      <c r="G942" s="339"/>
      <c r="H942" s="871">
        <v>0</v>
      </c>
      <c r="I942" s="41">
        <f t="shared" si="116"/>
        <v>0</v>
      </c>
      <c r="J942" s="37">
        <f t="shared" si="115"/>
        <v>0</v>
      </c>
      <c r="K942" s="37">
        <f t="shared" si="117"/>
        <v>0</v>
      </c>
      <c r="L942" s="37">
        <v>0</v>
      </c>
      <c r="M942" s="37">
        <f t="shared" si="118"/>
        <v>0</v>
      </c>
      <c r="N942" s="37">
        <f t="shared" si="119"/>
        <v>0</v>
      </c>
      <c r="O942" s="45">
        <f t="shared" si="120"/>
        <v>0</v>
      </c>
    </row>
    <row r="943" spans="1:15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8">
        <f t="shared" ref="F943:F1001" si="121">C943+D943+E943</f>
        <v>110.5</v>
      </c>
      <c r="G943" s="339"/>
      <c r="H943" s="871">
        <v>0</v>
      </c>
      <c r="I943" s="41">
        <f t="shared" si="116"/>
        <v>0</v>
      </c>
      <c r="J943" s="37">
        <f t="shared" si="115"/>
        <v>0</v>
      </c>
      <c r="K943" s="37">
        <f t="shared" si="117"/>
        <v>0</v>
      </c>
      <c r="L943" s="37">
        <v>0</v>
      </c>
      <c r="M943" s="37">
        <f t="shared" si="118"/>
        <v>0</v>
      </c>
      <c r="N943" s="37">
        <f t="shared" si="119"/>
        <v>0</v>
      </c>
      <c r="O943" s="45">
        <f t="shared" si="120"/>
        <v>0</v>
      </c>
    </row>
    <row r="944" spans="1:15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8">
        <f t="shared" si="121"/>
        <v>168.5</v>
      </c>
      <c r="G944" s="339"/>
      <c r="H944" s="871">
        <v>0</v>
      </c>
      <c r="I944" s="41">
        <f t="shared" si="116"/>
        <v>0</v>
      </c>
      <c r="J944" s="37">
        <f t="shared" si="115"/>
        <v>0</v>
      </c>
      <c r="K944" s="37">
        <f t="shared" si="117"/>
        <v>0</v>
      </c>
      <c r="L944" s="37">
        <v>0</v>
      </c>
      <c r="M944" s="37">
        <f t="shared" si="118"/>
        <v>0</v>
      </c>
      <c r="N944" s="37">
        <f t="shared" si="119"/>
        <v>0</v>
      </c>
      <c r="O944" s="45">
        <f t="shared" si="120"/>
        <v>0</v>
      </c>
    </row>
    <row r="945" spans="1:15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8">
        <f t="shared" si="121"/>
        <v>130</v>
      </c>
      <c r="G945" s="339"/>
      <c r="H945" s="871">
        <v>0</v>
      </c>
      <c r="I945" s="41">
        <f t="shared" ref="I945:I1003" si="122">H945/3000</f>
        <v>0</v>
      </c>
      <c r="J945" s="37">
        <f t="shared" ref="J945:J1008" si="123">I945*2017.01</f>
        <v>0</v>
      </c>
      <c r="K945" s="37">
        <f t="shared" ref="K945:K1003" si="124">J945*0.3677</f>
        <v>0</v>
      </c>
      <c r="L945" s="37">
        <v>0</v>
      </c>
      <c r="M945" s="37">
        <f t="shared" si="118"/>
        <v>0</v>
      </c>
      <c r="N945" s="37">
        <f t="shared" si="119"/>
        <v>0</v>
      </c>
      <c r="O945" s="45">
        <f t="shared" si="120"/>
        <v>0</v>
      </c>
    </row>
    <row r="946" spans="1:15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8">
        <f t="shared" si="121"/>
        <v>175.8</v>
      </c>
      <c r="G946" s="339"/>
      <c r="H946" s="871">
        <v>0</v>
      </c>
      <c r="I946" s="41">
        <f t="shared" si="122"/>
        <v>0</v>
      </c>
      <c r="J946" s="37">
        <f t="shared" si="123"/>
        <v>0</v>
      </c>
      <c r="K946" s="37">
        <f t="shared" si="124"/>
        <v>0</v>
      </c>
      <c r="L946" s="37">
        <v>0</v>
      </c>
      <c r="M946" s="37">
        <f t="shared" ref="M946:M1009" si="125">I946*84.08*1.1*1.08</f>
        <v>0</v>
      </c>
      <c r="N946" s="37">
        <f t="shared" ref="N946:N1009" si="126">M946*1.219</f>
        <v>0</v>
      </c>
      <c r="O946" s="45">
        <f t="shared" si="120"/>
        <v>0</v>
      </c>
    </row>
    <row r="947" spans="1:15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8">
        <f t="shared" si="121"/>
        <v>129.80000000000001</v>
      </c>
      <c r="G947" s="339"/>
      <c r="H947" s="871">
        <v>0</v>
      </c>
      <c r="I947" s="41">
        <f t="shared" si="122"/>
        <v>0</v>
      </c>
      <c r="J947" s="37">
        <f t="shared" si="123"/>
        <v>0</v>
      </c>
      <c r="K947" s="37">
        <f t="shared" si="124"/>
        <v>0</v>
      </c>
      <c r="L947" s="37">
        <v>0</v>
      </c>
      <c r="M947" s="37">
        <f t="shared" si="125"/>
        <v>0</v>
      </c>
      <c r="N947" s="37">
        <f t="shared" si="126"/>
        <v>0</v>
      </c>
      <c r="O947" s="45">
        <f t="shared" si="120"/>
        <v>0</v>
      </c>
    </row>
    <row r="948" spans="1:15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8">
        <f t="shared" si="121"/>
        <v>152.30000000000001</v>
      </c>
      <c r="G948" s="339"/>
      <c r="H948" s="871">
        <v>0</v>
      </c>
      <c r="I948" s="41">
        <f t="shared" si="122"/>
        <v>0</v>
      </c>
      <c r="J948" s="37">
        <f t="shared" si="123"/>
        <v>0</v>
      </c>
      <c r="K948" s="37">
        <f t="shared" si="124"/>
        <v>0</v>
      </c>
      <c r="L948" s="37">
        <v>0</v>
      </c>
      <c r="M948" s="37">
        <f t="shared" si="125"/>
        <v>0</v>
      </c>
      <c r="N948" s="37">
        <f t="shared" si="126"/>
        <v>0</v>
      </c>
      <c r="O948" s="45">
        <f t="shared" si="120"/>
        <v>0</v>
      </c>
    </row>
    <row r="949" spans="1:15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8">
        <f t="shared" si="121"/>
        <v>239.4</v>
      </c>
      <c r="G949" s="339"/>
      <c r="H949" s="871">
        <v>0</v>
      </c>
      <c r="I949" s="41">
        <f t="shared" si="122"/>
        <v>0</v>
      </c>
      <c r="J949" s="37">
        <f t="shared" si="123"/>
        <v>0</v>
      </c>
      <c r="K949" s="37">
        <f t="shared" si="124"/>
        <v>0</v>
      </c>
      <c r="L949" s="37">
        <v>0</v>
      </c>
      <c r="M949" s="37">
        <f t="shared" si="125"/>
        <v>0</v>
      </c>
      <c r="N949" s="37">
        <f t="shared" si="126"/>
        <v>0</v>
      </c>
      <c r="O949" s="45">
        <f t="shared" si="120"/>
        <v>0</v>
      </c>
    </row>
    <row r="950" spans="1:15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8">
        <f t="shared" si="121"/>
        <v>84.2</v>
      </c>
      <c r="G950" s="339"/>
      <c r="H950" s="871">
        <v>0</v>
      </c>
      <c r="I950" s="41">
        <f t="shared" si="122"/>
        <v>0</v>
      </c>
      <c r="J950" s="37">
        <f t="shared" si="123"/>
        <v>0</v>
      </c>
      <c r="K950" s="37">
        <f t="shared" si="124"/>
        <v>0</v>
      </c>
      <c r="L950" s="37">
        <v>0</v>
      </c>
      <c r="M950" s="37">
        <f t="shared" si="125"/>
        <v>0</v>
      </c>
      <c r="N950" s="37">
        <f t="shared" si="126"/>
        <v>0</v>
      </c>
      <c r="O950" s="45">
        <f t="shared" si="120"/>
        <v>0</v>
      </c>
    </row>
    <row r="951" spans="1:15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8">
        <f t="shared" si="121"/>
        <v>193.9</v>
      </c>
      <c r="G951" s="339"/>
      <c r="H951" s="871">
        <v>0</v>
      </c>
      <c r="I951" s="41">
        <f t="shared" si="122"/>
        <v>0</v>
      </c>
      <c r="J951" s="37">
        <f t="shared" si="123"/>
        <v>0</v>
      </c>
      <c r="K951" s="37">
        <f t="shared" si="124"/>
        <v>0</v>
      </c>
      <c r="L951" s="37">
        <v>0</v>
      </c>
      <c r="M951" s="37">
        <f t="shared" si="125"/>
        <v>0</v>
      </c>
      <c r="N951" s="37">
        <f t="shared" si="126"/>
        <v>0</v>
      </c>
      <c r="O951" s="45">
        <f t="shared" si="120"/>
        <v>0</v>
      </c>
    </row>
    <row r="952" spans="1:15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8">
        <f t="shared" si="121"/>
        <v>252.4</v>
      </c>
      <c r="G952" s="339"/>
      <c r="H952" s="871">
        <v>0</v>
      </c>
      <c r="I952" s="41">
        <f t="shared" si="122"/>
        <v>0</v>
      </c>
      <c r="J952" s="37">
        <f t="shared" si="123"/>
        <v>0</v>
      </c>
      <c r="K952" s="37">
        <f t="shared" si="124"/>
        <v>0</v>
      </c>
      <c r="L952" s="37">
        <v>0</v>
      </c>
      <c r="M952" s="37">
        <f t="shared" si="125"/>
        <v>0</v>
      </c>
      <c r="N952" s="37">
        <f t="shared" si="126"/>
        <v>0</v>
      </c>
      <c r="O952" s="45">
        <f t="shared" si="120"/>
        <v>0</v>
      </c>
    </row>
    <row r="953" spans="1:15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8">
        <f t="shared" si="121"/>
        <v>79</v>
      </c>
      <c r="G953" s="339"/>
      <c r="H953" s="871">
        <v>0</v>
      </c>
      <c r="I953" s="41">
        <f t="shared" si="122"/>
        <v>0</v>
      </c>
      <c r="J953" s="37">
        <f t="shared" si="123"/>
        <v>0</v>
      </c>
      <c r="K953" s="37">
        <f t="shared" si="124"/>
        <v>0</v>
      </c>
      <c r="L953" s="37">
        <v>0</v>
      </c>
      <c r="M953" s="37">
        <f t="shared" si="125"/>
        <v>0</v>
      </c>
      <c r="N953" s="37">
        <f t="shared" si="126"/>
        <v>0</v>
      </c>
      <c r="O953" s="45">
        <f t="shared" si="120"/>
        <v>0</v>
      </c>
    </row>
    <row r="954" spans="1:15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8">
        <f t="shared" si="121"/>
        <v>549.69000000000005</v>
      </c>
      <c r="G954" s="339"/>
      <c r="H954" s="871">
        <v>0</v>
      </c>
      <c r="I954" s="41">
        <f t="shared" si="122"/>
        <v>0</v>
      </c>
      <c r="J954" s="37">
        <f t="shared" si="123"/>
        <v>0</v>
      </c>
      <c r="K954" s="37">
        <f t="shared" si="124"/>
        <v>0</v>
      </c>
      <c r="L954" s="37">
        <v>0</v>
      </c>
      <c r="M954" s="37">
        <f t="shared" si="125"/>
        <v>0</v>
      </c>
      <c r="N954" s="37">
        <f t="shared" si="126"/>
        <v>0</v>
      </c>
      <c r="O954" s="45">
        <f t="shared" si="120"/>
        <v>0</v>
      </c>
    </row>
    <row r="955" spans="1:15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8">
        <f t="shared" si="121"/>
        <v>192.1</v>
      </c>
      <c r="G955" s="339"/>
      <c r="H955" s="871">
        <v>0</v>
      </c>
      <c r="I955" s="41">
        <f t="shared" si="122"/>
        <v>0</v>
      </c>
      <c r="J955" s="37">
        <f t="shared" si="123"/>
        <v>0</v>
      </c>
      <c r="K955" s="37">
        <f t="shared" si="124"/>
        <v>0</v>
      </c>
      <c r="L955" s="37">
        <v>0</v>
      </c>
      <c r="M955" s="37">
        <f t="shared" si="125"/>
        <v>0</v>
      </c>
      <c r="N955" s="37">
        <f t="shared" si="126"/>
        <v>0</v>
      </c>
      <c r="O955" s="45">
        <f t="shared" si="120"/>
        <v>0</v>
      </c>
    </row>
    <row r="956" spans="1:15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8">
        <f t="shared" si="121"/>
        <v>166.8</v>
      </c>
      <c r="G956" s="339"/>
      <c r="H956" s="871">
        <v>0</v>
      </c>
      <c r="I956" s="41">
        <f t="shared" si="122"/>
        <v>0</v>
      </c>
      <c r="J956" s="37">
        <f t="shared" si="123"/>
        <v>0</v>
      </c>
      <c r="K956" s="37">
        <f t="shared" si="124"/>
        <v>0</v>
      </c>
      <c r="L956" s="37">
        <v>0</v>
      </c>
      <c r="M956" s="37">
        <f t="shared" si="125"/>
        <v>0</v>
      </c>
      <c r="N956" s="37">
        <f t="shared" si="126"/>
        <v>0</v>
      </c>
      <c r="O956" s="45">
        <f t="shared" si="120"/>
        <v>0</v>
      </c>
    </row>
    <row r="957" spans="1:15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8">
        <f t="shared" si="121"/>
        <v>119.9</v>
      </c>
      <c r="G957" s="339"/>
      <c r="H957" s="871">
        <v>0</v>
      </c>
      <c r="I957" s="41">
        <f t="shared" si="122"/>
        <v>0</v>
      </c>
      <c r="J957" s="37">
        <f t="shared" si="123"/>
        <v>0</v>
      </c>
      <c r="K957" s="37">
        <f t="shared" si="124"/>
        <v>0</v>
      </c>
      <c r="L957" s="37">
        <v>0</v>
      </c>
      <c r="M957" s="37">
        <f t="shared" si="125"/>
        <v>0</v>
      </c>
      <c r="N957" s="37">
        <f t="shared" si="126"/>
        <v>0</v>
      </c>
      <c r="O957" s="45">
        <f t="shared" si="120"/>
        <v>0</v>
      </c>
    </row>
    <row r="958" spans="1:15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8">
        <f t="shared" si="121"/>
        <v>188.7</v>
      </c>
      <c r="G958" s="339"/>
      <c r="H958" s="871"/>
      <c r="I958" s="41">
        <f t="shared" si="122"/>
        <v>0</v>
      </c>
      <c r="J958" s="37">
        <f t="shared" si="123"/>
        <v>0</v>
      </c>
      <c r="K958" s="37">
        <f t="shared" si="124"/>
        <v>0</v>
      </c>
      <c r="L958" s="37">
        <v>0</v>
      </c>
      <c r="M958" s="37">
        <f t="shared" si="125"/>
        <v>0</v>
      </c>
      <c r="N958" s="37">
        <f t="shared" si="126"/>
        <v>0</v>
      </c>
      <c r="O958" s="45">
        <f t="shared" si="120"/>
        <v>0</v>
      </c>
    </row>
    <row r="959" spans="1:15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8">
        <f t="shared" si="121"/>
        <v>4734.5</v>
      </c>
      <c r="G959" s="339">
        <v>1689</v>
      </c>
      <c r="H959" s="871">
        <v>1689</v>
      </c>
      <c r="I959" s="41">
        <f t="shared" si="122"/>
        <v>0.56299999999999994</v>
      </c>
      <c r="J959" s="37">
        <f t="shared" si="123"/>
        <v>1135.5766299999998</v>
      </c>
      <c r="K959" s="37">
        <f t="shared" si="124"/>
        <v>417.55152685099995</v>
      </c>
      <c r="L959" s="37">
        <v>438.66144999999995</v>
      </c>
      <c r="M959" s="37">
        <f t="shared" si="125"/>
        <v>56.236403520000003</v>
      </c>
      <c r="N959" s="37">
        <f t="shared" si="126"/>
        <v>68.552175890880008</v>
      </c>
      <c r="O959" s="45">
        <f t="shared" si="120"/>
        <v>0.43257493090526977</v>
      </c>
    </row>
    <row r="960" spans="1:15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8">
        <f t="shared" si="121"/>
        <v>66.3</v>
      </c>
      <c r="G960" s="339"/>
      <c r="H960" s="871">
        <v>0</v>
      </c>
      <c r="I960" s="41">
        <f t="shared" si="122"/>
        <v>0</v>
      </c>
      <c r="J960" s="37">
        <f t="shared" si="123"/>
        <v>0</v>
      </c>
      <c r="K960" s="37">
        <f t="shared" si="124"/>
        <v>0</v>
      </c>
      <c r="L960" s="37">
        <v>0</v>
      </c>
      <c r="M960" s="37">
        <f t="shared" si="125"/>
        <v>0</v>
      </c>
      <c r="N960" s="37">
        <f t="shared" si="126"/>
        <v>0</v>
      </c>
      <c r="O960" s="45">
        <f t="shared" si="120"/>
        <v>0</v>
      </c>
    </row>
    <row r="961" spans="1:15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8">
        <f t="shared" si="121"/>
        <v>19.8</v>
      </c>
      <c r="G961" s="339"/>
      <c r="H961" s="871">
        <v>0</v>
      </c>
      <c r="I961" s="41">
        <f t="shared" si="122"/>
        <v>0</v>
      </c>
      <c r="J961" s="37">
        <f t="shared" si="123"/>
        <v>0</v>
      </c>
      <c r="K961" s="37">
        <f t="shared" si="124"/>
        <v>0</v>
      </c>
      <c r="L961" s="37">
        <v>0</v>
      </c>
      <c r="M961" s="37">
        <f t="shared" si="125"/>
        <v>0</v>
      </c>
      <c r="N961" s="37">
        <f t="shared" si="126"/>
        <v>0</v>
      </c>
      <c r="O961" s="45">
        <f t="shared" si="120"/>
        <v>0</v>
      </c>
    </row>
    <row r="962" spans="1:15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8">
        <f t="shared" si="121"/>
        <v>61.2</v>
      </c>
      <c r="G962" s="339"/>
      <c r="H962" s="871">
        <v>0</v>
      </c>
      <c r="I962" s="41">
        <f t="shared" si="122"/>
        <v>0</v>
      </c>
      <c r="J962" s="37">
        <f t="shared" si="123"/>
        <v>0</v>
      </c>
      <c r="K962" s="37">
        <f t="shared" si="124"/>
        <v>0</v>
      </c>
      <c r="L962" s="37">
        <v>0</v>
      </c>
      <c r="M962" s="37">
        <f t="shared" si="125"/>
        <v>0</v>
      </c>
      <c r="N962" s="37">
        <f t="shared" si="126"/>
        <v>0</v>
      </c>
      <c r="O962" s="45">
        <f t="shared" si="120"/>
        <v>0</v>
      </c>
    </row>
    <row r="963" spans="1:15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8">
        <f t="shared" si="121"/>
        <v>47.1</v>
      </c>
      <c r="G963" s="339"/>
      <c r="H963" s="871">
        <v>0</v>
      </c>
      <c r="I963" s="41">
        <f t="shared" si="122"/>
        <v>0</v>
      </c>
      <c r="J963" s="37">
        <f t="shared" si="123"/>
        <v>0</v>
      </c>
      <c r="K963" s="37">
        <f t="shared" si="124"/>
        <v>0</v>
      </c>
      <c r="L963" s="37">
        <v>0</v>
      </c>
      <c r="M963" s="37">
        <f t="shared" si="125"/>
        <v>0</v>
      </c>
      <c r="N963" s="37">
        <f t="shared" si="126"/>
        <v>0</v>
      </c>
      <c r="O963" s="45">
        <f t="shared" si="120"/>
        <v>0</v>
      </c>
    </row>
    <row r="964" spans="1:15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8">
        <f t="shared" si="121"/>
        <v>282.8</v>
      </c>
      <c r="G964" s="339"/>
      <c r="H964" s="871">
        <v>0</v>
      </c>
      <c r="I964" s="41">
        <f t="shared" si="122"/>
        <v>0</v>
      </c>
      <c r="J964" s="37">
        <f t="shared" si="123"/>
        <v>0</v>
      </c>
      <c r="K964" s="37">
        <f t="shared" si="124"/>
        <v>0</v>
      </c>
      <c r="L964" s="37">
        <v>0</v>
      </c>
      <c r="M964" s="37">
        <f t="shared" si="125"/>
        <v>0</v>
      </c>
      <c r="N964" s="37">
        <f t="shared" si="126"/>
        <v>0</v>
      </c>
      <c r="O964" s="45">
        <f t="shared" si="120"/>
        <v>0</v>
      </c>
    </row>
    <row r="965" spans="1:15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8">
        <f t="shared" si="121"/>
        <v>46.6</v>
      </c>
      <c r="G965" s="339"/>
      <c r="H965" s="871">
        <v>0</v>
      </c>
      <c r="I965" s="41">
        <f t="shared" si="122"/>
        <v>0</v>
      </c>
      <c r="J965" s="37">
        <f t="shared" si="123"/>
        <v>0</v>
      </c>
      <c r="K965" s="37">
        <f t="shared" si="124"/>
        <v>0</v>
      </c>
      <c r="L965" s="37">
        <v>0</v>
      </c>
      <c r="M965" s="37">
        <f t="shared" si="125"/>
        <v>0</v>
      </c>
      <c r="N965" s="37">
        <f t="shared" si="126"/>
        <v>0</v>
      </c>
      <c r="O965" s="45">
        <f t="shared" si="120"/>
        <v>0</v>
      </c>
    </row>
    <row r="966" spans="1:15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8">
        <f t="shared" si="121"/>
        <v>3266.45</v>
      </c>
      <c r="G966" s="339">
        <v>1009</v>
      </c>
      <c r="H966" s="871">
        <v>1009</v>
      </c>
      <c r="I966" s="41">
        <f t="shared" si="122"/>
        <v>0.33633333333333332</v>
      </c>
      <c r="J966" s="37">
        <f t="shared" si="123"/>
        <v>678.38769666666667</v>
      </c>
      <c r="K966" s="37">
        <f t="shared" si="124"/>
        <v>249.44315606433335</v>
      </c>
      <c r="L966" s="37">
        <v>262.05411666666663</v>
      </c>
      <c r="M966" s="37">
        <f t="shared" si="125"/>
        <v>33.595341120000001</v>
      </c>
      <c r="N966" s="37">
        <f t="shared" si="126"/>
        <v>40.952720825280004</v>
      </c>
      <c r="O966" s="45">
        <f t="shared" si="120"/>
        <v>0.37455963217488919</v>
      </c>
    </row>
    <row r="967" spans="1:15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8">
        <f t="shared" si="121"/>
        <v>3257.47</v>
      </c>
      <c r="G967" s="339">
        <v>806</v>
      </c>
      <c r="H967" s="871">
        <v>806</v>
      </c>
      <c r="I967" s="41">
        <f t="shared" si="122"/>
        <v>0.26866666666666666</v>
      </c>
      <c r="J967" s="37">
        <f t="shared" si="123"/>
        <v>541.90335333333337</v>
      </c>
      <c r="K967" s="37">
        <f t="shared" si="124"/>
        <v>199.25786302066669</v>
      </c>
      <c r="L967" s="37">
        <v>209.33163333333331</v>
      </c>
      <c r="M967" s="37">
        <f t="shared" si="125"/>
        <v>26.836318080000002</v>
      </c>
      <c r="N967" s="37">
        <f t="shared" si="126"/>
        <v>32.713471739520003</v>
      </c>
      <c r="O967" s="45">
        <f t="shared" ref="O967:O1030" si="127">(J967+K967+L967+M967)/F967</f>
        <v>0.3000270663328698</v>
      </c>
    </row>
    <row r="968" spans="1:15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8">
        <f t="shared" si="121"/>
        <v>24.3</v>
      </c>
      <c r="G968" s="339"/>
      <c r="H968" s="871">
        <v>0</v>
      </c>
      <c r="I968" s="41">
        <f t="shared" si="122"/>
        <v>0</v>
      </c>
      <c r="J968" s="37">
        <f t="shared" si="123"/>
        <v>0</v>
      </c>
      <c r="K968" s="37">
        <f t="shared" si="124"/>
        <v>0</v>
      </c>
      <c r="L968" s="37">
        <v>0</v>
      </c>
      <c r="M968" s="37">
        <f t="shared" si="125"/>
        <v>0</v>
      </c>
      <c r="N968" s="37">
        <f t="shared" si="126"/>
        <v>0</v>
      </c>
      <c r="O968" s="45">
        <f t="shared" si="127"/>
        <v>0</v>
      </c>
    </row>
    <row r="969" spans="1:15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8">
        <f t="shared" si="121"/>
        <v>4572.4000000000005</v>
      </c>
      <c r="G969" s="339">
        <v>539</v>
      </c>
      <c r="H969" s="871">
        <v>539</v>
      </c>
      <c r="I969" s="41">
        <f t="shared" si="122"/>
        <v>0.17966666666666667</v>
      </c>
      <c r="J969" s="37">
        <f t="shared" si="123"/>
        <v>362.38946333333331</v>
      </c>
      <c r="K969" s="37">
        <f t="shared" si="124"/>
        <v>133.25060566766666</v>
      </c>
      <c r="L969" s="37">
        <v>139.98728333333332</v>
      </c>
      <c r="M969" s="37">
        <f t="shared" si="125"/>
        <v>17.946371520000003</v>
      </c>
      <c r="N969" s="37">
        <f t="shared" si="126"/>
        <v>21.876626882880004</v>
      </c>
      <c r="O969" s="45">
        <f t="shared" si="127"/>
        <v>0.14293887758164928</v>
      </c>
    </row>
    <row r="970" spans="1:15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8">
        <f t="shared" si="121"/>
        <v>140.30000000000001</v>
      </c>
      <c r="G970" s="339">
        <v>140.30000000000001</v>
      </c>
      <c r="H970" s="871">
        <v>0</v>
      </c>
      <c r="I970" s="41">
        <f t="shared" si="122"/>
        <v>0</v>
      </c>
      <c r="J970" s="37">
        <f t="shared" si="123"/>
        <v>0</v>
      </c>
      <c r="K970" s="37">
        <f t="shared" si="124"/>
        <v>0</v>
      </c>
      <c r="L970" s="37">
        <v>0</v>
      </c>
      <c r="M970" s="37">
        <f t="shared" si="125"/>
        <v>0</v>
      </c>
      <c r="N970" s="37">
        <f t="shared" si="126"/>
        <v>0</v>
      </c>
      <c r="O970" s="45">
        <f t="shared" si="127"/>
        <v>0</v>
      </c>
    </row>
    <row r="971" spans="1:15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8">
        <f t="shared" si="121"/>
        <v>427.4</v>
      </c>
      <c r="G971" s="339"/>
      <c r="H971" s="871">
        <v>0</v>
      </c>
      <c r="I971" s="41">
        <f t="shared" si="122"/>
        <v>0</v>
      </c>
      <c r="J971" s="37">
        <f t="shared" si="123"/>
        <v>0</v>
      </c>
      <c r="K971" s="37">
        <f t="shared" si="124"/>
        <v>0</v>
      </c>
      <c r="L971" s="37">
        <v>0</v>
      </c>
      <c r="M971" s="37">
        <f t="shared" si="125"/>
        <v>0</v>
      </c>
      <c r="N971" s="37">
        <f t="shared" si="126"/>
        <v>0</v>
      </c>
      <c r="O971" s="45">
        <f t="shared" si="127"/>
        <v>0</v>
      </c>
    </row>
    <row r="972" spans="1:15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8">
        <f t="shared" si="121"/>
        <v>954</v>
      </c>
      <c r="G972" s="339"/>
      <c r="H972" s="872">
        <v>0</v>
      </c>
      <c r="I972" s="41">
        <f t="shared" si="122"/>
        <v>0</v>
      </c>
      <c r="J972" s="37">
        <f t="shared" si="123"/>
        <v>0</v>
      </c>
      <c r="K972" s="37">
        <f t="shared" si="124"/>
        <v>0</v>
      </c>
      <c r="L972" s="37">
        <v>0</v>
      </c>
      <c r="M972" s="37">
        <f t="shared" si="125"/>
        <v>0</v>
      </c>
      <c r="N972" s="37">
        <f t="shared" si="126"/>
        <v>0</v>
      </c>
      <c r="O972" s="45">
        <f t="shared" si="127"/>
        <v>0</v>
      </c>
    </row>
    <row r="973" spans="1:15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8">
        <f t="shared" si="121"/>
        <v>202.5</v>
      </c>
      <c r="G973" s="339">
        <v>135</v>
      </c>
      <c r="H973" s="872">
        <v>96</v>
      </c>
      <c r="I973" s="41">
        <f t="shared" si="122"/>
        <v>3.2000000000000001E-2</v>
      </c>
      <c r="J973" s="37">
        <f t="shared" si="123"/>
        <v>64.544319999999999</v>
      </c>
      <c r="K973" s="37">
        <f t="shared" si="124"/>
        <v>23.732946464000001</v>
      </c>
      <c r="L973" s="37">
        <v>24.9328</v>
      </c>
      <c r="M973" s="37">
        <f t="shared" si="125"/>
        <v>3.1963852800000008</v>
      </c>
      <c r="N973" s="37">
        <f t="shared" si="126"/>
        <v>3.8963936563200012</v>
      </c>
      <c r="O973" s="45">
        <f t="shared" si="127"/>
        <v>0.57484667527901234</v>
      </c>
    </row>
    <row r="974" spans="1:15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8">
        <f t="shared" si="121"/>
        <v>308.2</v>
      </c>
      <c r="G974" s="339">
        <v>18</v>
      </c>
      <c r="H974" s="872">
        <v>18</v>
      </c>
      <c r="I974" s="41">
        <f t="shared" si="122"/>
        <v>6.0000000000000001E-3</v>
      </c>
      <c r="J974" s="37">
        <f t="shared" si="123"/>
        <v>12.10206</v>
      </c>
      <c r="K974" s="37">
        <f t="shared" si="124"/>
        <v>4.4499274620000007</v>
      </c>
      <c r="L974" s="37">
        <v>4.6749000000000001</v>
      </c>
      <c r="M974" s="37">
        <f t="shared" si="125"/>
        <v>0.59932224000000012</v>
      </c>
      <c r="N974" s="37">
        <f t="shared" si="126"/>
        <v>0.73057381056000015</v>
      </c>
      <c r="O974" s="45">
        <f t="shared" si="127"/>
        <v>7.0818331284879951E-2</v>
      </c>
    </row>
    <row r="975" spans="1:15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8">
        <f t="shared" si="121"/>
        <v>44.1</v>
      </c>
      <c r="G975" s="339">
        <v>25</v>
      </c>
      <c r="H975" s="872">
        <v>0</v>
      </c>
      <c r="I975" s="41">
        <f t="shared" si="122"/>
        <v>0</v>
      </c>
      <c r="J975" s="37">
        <f t="shared" si="123"/>
        <v>0</v>
      </c>
      <c r="K975" s="37">
        <f t="shared" si="124"/>
        <v>0</v>
      </c>
      <c r="L975" s="37">
        <v>0</v>
      </c>
      <c r="M975" s="37">
        <f t="shared" si="125"/>
        <v>0</v>
      </c>
      <c r="N975" s="37">
        <f t="shared" si="126"/>
        <v>0</v>
      </c>
      <c r="O975" s="45">
        <f t="shared" si="127"/>
        <v>0</v>
      </c>
    </row>
    <row r="976" spans="1:15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8">
        <f t="shared" si="121"/>
        <v>236.79</v>
      </c>
      <c r="G976" s="873">
        <v>160</v>
      </c>
      <c r="H976" s="872">
        <v>108</v>
      </c>
      <c r="I976" s="41">
        <f t="shared" si="122"/>
        <v>3.5999999999999997E-2</v>
      </c>
      <c r="J976" s="37">
        <f t="shared" si="123"/>
        <v>72.612359999999995</v>
      </c>
      <c r="K976" s="37">
        <f t="shared" si="124"/>
        <v>26.699564771999999</v>
      </c>
      <c r="L976" s="37">
        <v>28.049399999999999</v>
      </c>
      <c r="M976" s="37">
        <f t="shared" si="125"/>
        <v>3.5959334400000005</v>
      </c>
      <c r="N976" s="37">
        <f t="shared" si="126"/>
        <v>4.3834428633600009</v>
      </c>
      <c r="O976" s="45">
        <f t="shared" si="127"/>
        <v>0.55305231729380466</v>
      </c>
    </row>
    <row r="977" spans="1:15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8">
        <f t="shared" si="121"/>
        <v>571.4</v>
      </c>
      <c r="G977" s="873">
        <v>297</v>
      </c>
      <c r="H977" s="872">
        <v>223.8</v>
      </c>
      <c r="I977" s="41">
        <f t="shared" si="122"/>
        <v>7.46E-2</v>
      </c>
      <c r="J977" s="37">
        <f t="shared" si="123"/>
        <v>150.46894599999999</v>
      </c>
      <c r="K977" s="37">
        <f t="shared" si="124"/>
        <v>55.327431444200002</v>
      </c>
      <c r="L977" s="37">
        <v>58.124589999999998</v>
      </c>
      <c r="M977" s="37">
        <f t="shared" si="125"/>
        <v>7.4515731840000008</v>
      </c>
      <c r="N977" s="37">
        <f t="shared" si="126"/>
        <v>9.0834677112960023</v>
      </c>
      <c r="O977" s="45">
        <f t="shared" si="127"/>
        <v>0.4749256923839692</v>
      </c>
    </row>
    <row r="978" spans="1:15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8">
        <f t="shared" si="121"/>
        <v>654.29999999999995</v>
      </c>
      <c r="G978" s="873">
        <v>326</v>
      </c>
      <c r="H978" s="874">
        <v>124.6</v>
      </c>
      <c r="I978" s="41">
        <f t="shared" si="122"/>
        <v>4.1533333333333332E-2</v>
      </c>
      <c r="J978" s="37">
        <f t="shared" si="123"/>
        <v>83.773148666666657</v>
      </c>
      <c r="K978" s="37">
        <f t="shared" si="124"/>
        <v>30.803386764733332</v>
      </c>
      <c r="L978" s="37">
        <v>32.360696666666662</v>
      </c>
      <c r="M978" s="37">
        <f t="shared" si="125"/>
        <v>4.1486417280000003</v>
      </c>
      <c r="N978" s="37">
        <f t="shared" si="126"/>
        <v>5.0571942664320009</v>
      </c>
      <c r="O978" s="45">
        <f t="shared" si="127"/>
        <v>0.23091223265484742</v>
      </c>
    </row>
    <row r="979" spans="1:15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8">
        <f t="shared" si="121"/>
        <v>559.79999999999995</v>
      </c>
      <c r="G979" s="873">
        <v>249</v>
      </c>
      <c r="H979" s="874">
        <v>99</v>
      </c>
      <c r="I979" s="41">
        <f t="shared" si="122"/>
        <v>3.3000000000000002E-2</v>
      </c>
      <c r="J979" s="37">
        <f t="shared" si="123"/>
        <v>66.561329999999998</v>
      </c>
      <c r="K979" s="37">
        <f t="shared" si="124"/>
        <v>24.474601041</v>
      </c>
      <c r="L979" s="37">
        <v>25.711950000000002</v>
      </c>
      <c r="M979" s="37">
        <f t="shared" si="125"/>
        <v>3.2962723200000008</v>
      </c>
      <c r="N979" s="37">
        <f t="shared" si="126"/>
        <v>4.0181559580800013</v>
      </c>
      <c r="O979" s="45">
        <f t="shared" si="127"/>
        <v>0.21444114569667741</v>
      </c>
    </row>
    <row r="980" spans="1:15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8">
        <f t="shared" si="121"/>
        <v>681</v>
      </c>
      <c r="G980" s="873">
        <v>245</v>
      </c>
      <c r="H980" s="874">
        <v>109.2</v>
      </c>
      <c r="I980" s="41">
        <f t="shared" si="122"/>
        <v>3.6400000000000002E-2</v>
      </c>
      <c r="J980" s="37">
        <f t="shared" si="123"/>
        <v>73.419164000000009</v>
      </c>
      <c r="K980" s="37">
        <f t="shared" si="124"/>
        <v>26.996226602800004</v>
      </c>
      <c r="L980" s="37">
        <v>28.361060000000002</v>
      </c>
      <c r="M980" s="37">
        <f t="shared" si="125"/>
        <v>3.6358882560000008</v>
      </c>
      <c r="N980" s="37">
        <f t="shared" si="126"/>
        <v>4.4321477840640009</v>
      </c>
      <c r="O980" s="45">
        <f t="shared" si="127"/>
        <v>0.19443808936681353</v>
      </c>
    </row>
    <row r="981" spans="1:15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8">
        <f t="shared" si="121"/>
        <v>373.3</v>
      </c>
      <c r="G981" s="873">
        <v>245</v>
      </c>
      <c r="H981" s="872">
        <v>200</v>
      </c>
      <c r="I981" s="41">
        <f t="shared" si="122"/>
        <v>6.6666666666666666E-2</v>
      </c>
      <c r="J981" s="37">
        <f t="shared" si="123"/>
        <v>134.46733333333333</v>
      </c>
      <c r="K981" s="37">
        <f t="shared" si="124"/>
        <v>49.44363846666667</v>
      </c>
      <c r="L981" s="37">
        <v>51.943333333333328</v>
      </c>
      <c r="M981" s="37">
        <f t="shared" si="125"/>
        <v>6.6591360000000011</v>
      </c>
      <c r="N981" s="37">
        <f t="shared" si="126"/>
        <v>8.1174867840000022</v>
      </c>
      <c r="O981" s="45">
        <f t="shared" si="127"/>
        <v>0.64964757871238499</v>
      </c>
    </row>
    <row r="982" spans="1:15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8">
        <f t="shared" si="121"/>
        <v>395.4</v>
      </c>
      <c r="G982" s="873">
        <v>160</v>
      </c>
      <c r="H982" s="874">
        <v>100</v>
      </c>
      <c r="I982" s="41">
        <f t="shared" si="122"/>
        <v>3.3333333333333333E-2</v>
      </c>
      <c r="J982" s="37">
        <f t="shared" si="123"/>
        <v>67.233666666666664</v>
      </c>
      <c r="K982" s="37">
        <f t="shared" si="124"/>
        <v>24.721819233333335</v>
      </c>
      <c r="L982" s="37">
        <v>25.971666666666664</v>
      </c>
      <c r="M982" s="37">
        <f t="shared" si="125"/>
        <v>3.3295680000000005</v>
      </c>
      <c r="N982" s="37">
        <f t="shared" si="126"/>
        <v>4.0587433920000011</v>
      </c>
      <c r="O982" s="45">
        <f t="shared" si="127"/>
        <v>0.30666848904063393</v>
      </c>
    </row>
    <row r="983" spans="1:15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8">
        <f t="shared" si="121"/>
        <v>359.5</v>
      </c>
      <c r="G983" s="873">
        <v>161</v>
      </c>
      <c r="H983" s="872">
        <v>29.4</v>
      </c>
      <c r="I983" s="41">
        <f t="shared" si="122"/>
        <v>9.7999999999999997E-3</v>
      </c>
      <c r="J983" s="37">
        <f t="shared" si="123"/>
        <v>19.766697999999998</v>
      </c>
      <c r="K983" s="37">
        <f t="shared" si="124"/>
        <v>7.2682148546000001</v>
      </c>
      <c r="L983" s="37">
        <v>7.6356699999999993</v>
      </c>
      <c r="M983" s="37">
        <f t="shared" si="125"/>
        <v>0.97889299200000013</v>
      </c>
      <c r="N983" s="37">
        <f t="shared" si="126"/>
        <v>1.1932705572480002</v>
      </c>
      <c r="O983" s="45">
        <f t="shared" si="127"/>
        <v>9.9164049642837274E-2</v>
      </c>
    </row>
    <row r="984" spans="1:15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8">
        <f t="shared" si="121"/>
        <v>581.70000000000005</v>
      </c>
      <c r="G984" s="873">
        <v>301</v>
      </c>
      <c r="H984" s="874">
        <v>115.2</v>
      </c>
      <c r="I984" s="41">
        <f t="shared" si="122"/>
        <v>3.8400000000000004E-2</v>
      </c>
      <c r="J984" s="37">
        <f t="shared" si="123"/>
        <v>77.453184000000007</v>
      </c>
      <c r="K984" s="37">
        <f t="shared" si="124"/>
        <v>28.479535756800004</v>
      </c>
      <c r="L984" s="37">
        <v>29.919360000000001</v>
      </c>
      <c r="M984" s="37">
        <f t="shared" si="125"/>
        <v>3.8356623360000008</v>
      </c>
      <c r="N984" s="37">
        <f t="shared" si="126"/>
        <v>4.6756723875840009</v>
      </c>
      <c r="O984" s="45">
        <f t="shared" si="127"/>
        <v>0.24013708456730276</v>
      </c>
    </row>
    <row r="985" spans="1:15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8">
        <f t="shared" si="121"/>
        <v>397</v>
      </c>
      <c r="G985" s="339">
        <v>265</v>
      </c>
      <c r="H985" s="872">
        <v>136.19999999999999</v>
      </c>
      <c r="I985" s="41">
        <f t="shared" si="122"/>
        <v>4.5399999999999996E-2</v>
      </c>
      <c r="J985" s="37">
        <f t="shared" si="123"/>
        <v>91.572253999999987</v>
      </c>
      <c r="K985" s="37">
        <f t="shared" si="124"/>
        <v>33.671117795800001</v>
      </c>
      <c r="L985" s="37">
        <v>35.373409999999993</v>
      </c>
      <c r="M985" s="37">
        <f t="shared" si="125"/>
        <v>4.5348716160000002</v>
      </c>
      <c r="N985" s="37">
        <f t="shared" si="126"/>
        <v>5.5280084999040007</v>
      </c>
      <c r="O985" s="45">
        <f t="shared" si="127"/>
        <v>0.41599912698186392</v>
      </c>
    </row>
    <row r="986" spans="1:15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8">
        <f t="shared" si="121"/>
        <v>271.5</v>
      </c>
      <c r="G986" s="339">
        <v>170</v>
      </c>
      <c r="H986" s="872">
        <v>100</v>
      </c>
      <c r="I986" s="41">
        <f t="shared" si="122"/>
        <v>3.3333333333333333E-2</v>
      </c>
      <c r="J986" s="37">
        <f t="shared" si="123"/>
        <v>67.233666666666664</v>
      </c>
      <c r="K986" s="37">
        <f t="shared" si="124"/>
        <v>24.721819233333335</v>
      </c>
      <c r="L986" s="37">
        <v>25.971666666666664</v>
      </c>
      <c r="M986" s="37">
        <f t="shared" si="125"/>
        <v>3.3295680000000005</v>
      </c>
      <c r="N986" s="37">
        <f t="shared" si="126"/>
        <v>4.0587433920000011</v>
      </c>
      <c r="O986" s="45">
        <f t="shared" si="127"/>
        <v>0.44661775531000608</v>
      </c>
    </row>
    <row r="987" spans="1:15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8">
        <f t="shared" si="121"/>
        <v>258.60000000000002</v>
      </c>
      <c r="G987" s="339">
        <v>45</v>
      </c>
      <c r="H987" s="872">
        <v>45</v>
      </c>
      <c r="I987" s="41">
        <f t="shared" si="122"/>
        <v>1.4999999999999999E-2</v>
      </c>
      <c r="J987" s="37">
        <f t="shared" si="123"/>
        <v>30.25515</v>
      </c>
      <c r="K987" s="37">
        <f t="shared" si="124"/>
        <v>11.124818655</v>
      </c>
      <c r="L987" s="37">
        <v>11.687249999999999</v>
      </c>
      <c r="M987" s="37">
        <f t="shared" si="125"/>
        <v>1.4983055999999999</v>
      </c>
      <c r="N987" s="37">
        <f t="shared" si="126"/>
        <v>1.8264345263999999</v>
      </c>
      <c r="O987" s="45">
        <f t="shared" si="127"/>
        <v>0.21100357407192574</v>
      </c>
    </row>
    <row r="988" spans="1:15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8">
        <f t="shared" si="121"/>
        <v>737.4</v>
      </c>
      <c r="G988" s="339">
        <v>297</v>
      </c>
      <c r="H988" s="872">
        <v>197</v>
      </c>
      <c r="I988" s="41">
        <f t="shared" si="122"/>
        <v>6.5666666666666665E-2</v>
      </c>
      <c r="J988" s="37">
        <f t="shared" si="123"/>
        <v>132.45032333333333</v>
      </c>
      <c r="K988" s="37">
        <f t="shared" si="124"/>
        <v>48.701983889666671</v>
      </c>
      <c r="L988" s="37">
        <v>51.164183333333334</v>
      </c>
      <c r="M988" s="37">
        <f t="shared" si="125"/>
        <v>6.5592489600000006</v>
      </c>
      <c r="N988" s="37">
        <f t="shared" si="126"/>
        <v>7.9957244822400009</v>
      </c>
      <c r="O988" s="45">
        <f t="shared" si="127"/>
        <v>0.32394323232483502</v>
      </c>
    </row>
    <row r="989" spans="1:15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8">
        <f t="shared" si="121"/>
        <v>473.4</v>
      </c>
      <c r="G989" s="339">
        <v>80</v>
      </c>
      <c r="H989" s="872">
        <v>60</v>
      </c>
      <c r="I989" s="41">
        <f t="shared" si="122"/>
        <v>0.02</v>
      </c>
      <c r="J989" s="37">
        <f t="shared" si="123"/>
        <v>40.340200000000003</v>
      </c>
      <c r="K989" s="37">
        <f t="shared" si="124"/>
        <v>14.833091540000002</v>
      </c>
      <c r="L989" s="37">
        <v>15.583</v>
      </c>
      <c r="M989" s="37">
        <f t="shared" si="125"/>
        <v>1.9977408000000003</v>
      </c>
      <c r="N989" s="37">
        <f t="shared" si="126"/>
        <v>2.4352460352000005</v>
      </c>
      <c r="O989" s="45">
        <f t="shared" si="127"/>
        <v>0.15368405648500214</v>
      </c>
    </row>
    <row r="990" spans="1:15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8">
        <f t="shared" si="121"/>
        <v>320.60000000000002</v>
      </c>
      <c r="G990" s="339">
        <v>210</v>
      </c>
      <c r="H990" s="872">
        <v>140</v>
      </c>
      <c r="I990" s="41">
        <f t="shared" si="122"/>
        <v>4.6666666666666669E-2</v>
      </c>
      <c r="J990" s="37">
        <f t="shared" si="123"/>
        <v>94.127133333333333</v>
      </c>
      <c r="K990" s="37">
        <f t="shared" si="124"/>
        <v>34.610546926666672</v>
      </c>
      <c r="L990" s="37">
        <v>36.360333333333337</v>
      </c>
      <c r="M990" s="37">
        <f t="shared" si="125"/>
        <v>4.6613952000000012</v>
      </c>
      <c r="N990" s="37">
        <f t="shared" si="126"/>
        <v>5.6822407488000017</v>
      </c>
      <c r="O990" s="45">
        <f t="shared" si="127"/>
        <v>0.52950532998544386</v>
      </c>
    </row>
    <row r="991" spans="1:15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8">
        <f t="shared" si="121"/>
        <v>963.8</v>
      </c>
      <c r="G991" s="339">
        <v>435</v>
      </c>
      <c r="H991" s="872">
        <v>330</v>
      </c>
      <c r="I991" s="41">
        <f t="shared" si="122"/>
        <v>0.11</v>
      </c>
      <c r="J991" s="37">
        <f t="shared" si="123"/>
        <v>221.87110000000001</v>
      </c>
      <c r="K991" s="37">
        <f t="shared" si="124"/>
        <v>81.582003470000004</v>
      </c>
      <c r="L991" s="37">
        <v>85.706499999999991</v>
      </c>
      <c r="M991" s="37">
        <f t="shared" si="125"/>
        <v>10.9875744</v>
      </c>
      <c r="N991" s="37">
        <f t="shared" si="126"/>
        <v>13.3938531936</v>
      </c>
      <c r="O991" s="45">
        <f t="shared" si="127"/>
        <v>0.41517656969288241</v>
      </c>
    </row>
    <row r="992" spans="1:15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8">
        <f t="shared" si="121"/>
        <v>143.69999999999999</v>
      </c>
      <c r="G992" s="339">
        <v>78</v>
      </c>
      <c r="H992" s="872">
        <v>38</v>
      </c>
      <c r="I992" s="41">
        <f t="shared" si="122"/>
        <v>1.2666666666666666E-2</v>
      </c>
      <c r="J992" s="37">
        <f t="shared" si="123"/>
        <v>25.548793333333332</v>
      </c>
      <c r="K992" s="37">
        <f t="shared" si="124"/>
        <v>9.3942913086666664</v>
      </c>
      <c r="L992" s="37">
        <v>9.869233333333332</v>
      </c>
      <c r="M992" s="37">
        <f t="shared" si="125"/>
        <v>1.2652358400000001</v>
      </c>
      <c r="N992" s="37">
        <f t="shared" si="126"/>
        <v>1.5423224889600002</v>
      </c>
      <c r="O992" s="45">
        <f t="shared" si="127"/>
        <v>0.32065103559730929</v>
      </c>
    </row>
    <row r="993" spans="1:15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8">
        <f t="shared" si="121"/>
        <v>136.80000000000001</v>
      </c>
      <c r="G993" s="339">
        <v>90</v>
      </c>
      <c r="H993" s="872">
        <v>45</v>
      </c>
      <c r="I993" s="41">
        <f t="shared" si="122"/>
        <v>1.4999999999999999E-2</v>
      </c>
      <c r="J993" s="37">
        <f t="shared" si="123"/>
        <v>30.25515</v>
      </c>
      <c r="K993" s="37">
        <f t="shared" si="124"/>
        <v>11.124818655</v>
      </c>
      <c r="L993" s="37">
        <v>11.687249999999999</v>
      </c>
      <c r="M993" s="37">
        <f t="shared" si="125"/>
        <v>1.4983055999999999</v>
      </c>
      <c r="N993" s="37">
        <f t="shared" si="126"/>
        <v>1.8264345263999999</v>
      </c>
      <c r="O993" s="45">
        <f t="shared" si="127"/>
        <v>0.39887079133771924</v>
      </c>
    </row>
    <row r="994" spans="1:15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8">
        <f t="shared" si="121"/>
        <v>128.1</v>
      </c>
      <c r="G994" s="339">
        <v>85</v>
      </c>
      <c r="H994" s="872">
        <v>45</v>
      </c>
      <c r="I994" s="41">
        <f t="shared" si="122"/>
        <v>1.4999999999999999E-2</v>
      </c>
      <c r="J994" s="37">
        <f t="shared" si="123"/>
        <v>30.25515</v>
      </c>
      <c r="K994" s="37">
        <f t="shared" si="124"/>
        <v>11.124818655</v>
      </c>
      <c r="L994" s="37">
        <v>11.687249999999999</v>
      </c>
      <c r="M994" s="37">
        <f t="shared" si="125"/>
        <v>1.4983055999999999</v>
      </c>
      <c r="N994" s="37">
        <f t="shared" si="126"/>
        <v>1.8264345263999999</v>
      </c>
      <c r="O994" s="45">
        <f t="shared" si="127"/>
        <v>0.42596037669789227</v>
      </c>
    </row>
    <row r="995" spans="1:15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8">
        <f t="shared" si="121"/>
        <v>72.5</v>
      </c>
      <c r="G995" s="339">
        <v>34</v>
      </c>
      <c r="H995" s="872">
        <v>14</v>
      </c>
      <c r="I995" s="41">
        <f t="shared" si="122"/>
        <v>4.6666666666666671E-3</v>
      </c>
      <c r="J995" s="37">
        <f t="shared" si="123"/>
        <v>9.4127133333333344</v>
      </c>
      <c r="K995" s="37">
        <f t="shared" si="124"/>
        <v>3.4610546926666674</v>
      </c>
      <c r="L995" s="37">
        <v>3.6360333333333337</v>
      </c>
      <c r="M995" s="37">
        <f t="shared" si="125"/>
        <v>0.46613952000000008</v>
      </c>
      <c r="N995" s="37">
        <f t="shared" si="126"/>
        <v>0.56822407488000015</v>
      </c>
      <c r="O995" s="45">
        <f t="shared" si="127"/>
        <v>0.23415090868045982</v>
      </c>
    </row>
    <row r="996" spans="1:15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8">
        <f t="shared" si="121"/>
        <v>237.6</v>
      </c>
      <c r="G996" s="339">
        <v>58</v>
      </c>
      <c r="H996" s="872">
        <v>20</v>
      </c>
      <c r="I996" s="41">
        <f t="shared" si="122"/>
        <v>6.6666666666666671E-3</v>
      </c>
      <c r="J996" s="37">
        <f t="shared" si="123"/>
        <v>13.446733333333334</v>
      </c>
      <c r="K996" s="37">
        <f t="shared" si="124"/>
        <v>4.9443638466666675</v>
      </c>
      <c r="L996" s="37">
        <v>5.1943333333333337</v>
      </c>
      <c r="M996" s="37">
        <f t="shared" si="125"/>
        <v>0.66591360000000011</v>
      </c>
      <c r="N996" s="37">
        <f t="shared" si="126"/>
        <v>0.8117486784000002</v>
      </c>
      <c r="O996" s="45">
        <f t="shared" si="127"/>
        <v>0.10206794660493829</v>
      </c>
    </row>
    <row r="997" spans="1:15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8">
        <f t="shared" si="121"/>
        <v>106.4</v>
      </c>
      <c r="G997" s="339">
        <v>44</v>
      </c>
      <c r="H997" s="872">
        <v>22</v>
      </c>
      <c r="I997" s="41">
        <f t="shared" si="122"/>
        <v>7.3333333333333332E-3</v>
      </c>
      <c r="J997" s="37">
        <f t="shared" si="123"/>
        <v>14.791406666666667</v>
      </c>
      <c r="K997" s="37">
        <f t="shared" si="124"/>
        <v>5.4388002313333335</v>
      </c>
      <c r="L997" s="37">
        <v>5.7137666666666664</v>
      </c>
      <c r="M997" s="37">
        <f t="shared" si="125"/>
        <v>0.73250496000000009</v>
      </c>
      <c r="N997" s="37">
        <f t="shared" si="126"/>
        <v>0.89292354624000014</v>
      </c>
      <c r="O997" s="45">
        <f t="shared" si="127"/>
        <v>0.25071878312656637</v>
      </c>
    </row>
    <row r="998" spans="1:15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8">
        <f t="shared" si="121"/>
        <v>348.62</v>
      </c>
      <c r="G998" s="339">
        <v>135</v>
      </c>
      <c r="H998" s="872">
        <v>80</v>
      </c>
      <c r="I998" s="41">
        <f t="shared" si="122"/>
        <v>2.6666666666666668E-2</v>
      </c>
      <c r="J998" s="37">
        <f t="shared" si="123"/>
        <v>53.786933333333337</v>
      </c>
      <c r="K998" s="37">
        <f t="shared" si="124"/>
        <v>19.77745538666667</v>
      </c>
      <c r="L998" s="37">
        <v>20.777333333333335</v>
      </c>
      <c r="M998" s="37">
        <f t="shared" si="125"/>
        <v>2.6636544000000004</v>
      </c>
      <c r="N998" s="37">
        <f t="shared" si="126"/>
        <v>3.2469947136000008</v>
      </c>
      <c r="O998" s="45">
        <f t="shared" si="127"/>
        <v>0.27825533949094527</v>
      </c>
    </row>
    <row r="999" spans="1:15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8">
        <f t="shared" si="121"/>
        <v>360.12</v>
      </c>
      <c r="G999" s="339">
        <v>235</v>
      </c>
      <c r="H999" s="872">
        <v>135</v>
      </c>
      <c r="I999" s="41">
        <f t="shared" si="122"/>
        <v>4.4999999999999998E-2</v>
      </c>
      <c r="J999" s="37">
        <f t="shared" si="123"/>
        <v>90.765450000000001</v>
      </c>
      <c r="K999" s="37">
        <f t="shared" si="124"/>
        <v>33.374455965000003</v>
      </c>
      <c r="L999" s="37">
        <v>35.061749999999996</v>
      </c>
      <c r="M999" s="37">
        <f t="shared" si="125"/>
        <v>4.4949168000000013</v>
      </c>
      <c r="N999" s="37">
        <f t="shared" si="126"/>
        <v>5.4793035792000016</v>
      </c>
      <c r="O999" s="45">
        <f t="shared" si="127"/>
        <v>0.45456118173108961</v>
      </c>
    </row>
    <row r="1000" spans="1:15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8">
        <f t="shared" si="121"/>
        <v>301.69</v>
      </c>
      <c r="G1000" s="339">
        <v>200</v>
      </c>
      <c r="H1000" s="872">
        <v>120</v>
      </c>
      <c r="I1000" s="41">
        <f t="shared" si="122"/>
        <v>0.04</v>
      </c>
      <c r="J1000" s="37">
        <f t="shared" si="123"/>
        <v>80.680400000000006</v>
      </c>
      <c r="K1000" s="37">
        <f t="shared" si="124"/>
        <v>29.666183080000003</v>
      </c>
      <c r="L1000" s="37">
        <v>31.166</v>
      </c>
      <c r="M1000" s="37">
        <f t="shared" si="125"/>
        <v>3.9954816000000006</v>
      </c>
      <c r="N1000" s="37">
        <f t="shared" si="126"/>
        <v>4.870492070400001</v>
      </c>
      <c r="O1000" s="45">
        <f t="shared" si="127"/>
        <v>0.48230986999900566</v>
      </c>
    </row>
    <row r="1001" spans="1:15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8">
        <f t="shared" si="121"/>
        <v>136.1</v>
      </c>
      <c r="G1001" s="339">
        <v>85</v>
      </c>
      <c r="H1001" s="872">
        <v>65</v>
      </c>
      <c r="I1001" s="41">
        <f t="shared" si="122"/>
        <v>2.1666666666666667E-2</v>
      </c>
      <c r="J1001" s="37">
        <f t="shared" si="123"/>
        <v>43.701883333333335</v>
      </c>
      <c r="K1001" s="37">
        <f t="shared" si="124"/>
        <v>16.069182501666667</v>
      </c>
      <c r="L1001" s="37">
        <v>16.881583333333335</v>
      </c>
      <c r="M1001" s="37">
        <f t="shared" si="125"/>
        <v>2.1642192000000002</v>
      </c>
      <c r="N1001" s="37">
        <f t="shared" si="126"/>
        <v>2.6381832048000007</v>
      </c>
      <c r="O1001" s="45">
        <f t="shared" si="127"/>
        <v>0.57910998066372776</v>
      </c>
    </row>
    <row r="1002" spans="1:15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8">
        <f t="shared" ref="F1002:F1063" si="128">C1002+D1002+E1002</f>
        <v>113.9</v>
      </c>
      <c r="G1002" s="339">
        <v>65</v>
      </c>
      <c r="H1002" s="872">
        <v>25</v>
      </c>
      <c r="I1002" s="41">
        <f t="shared" si="122"/>
        <v>8.3333333333333332E-3</v>
      </c>
      <c r="J1002" s="37">
        <f t="shared" si="123"/>
        <v>16.808416666666666</v>
      </c>
      <c r="K1002" s="37">
        <f t="shared" si="124"/>
        <v>6.1804548083333337</v>
      </c>
      <c r="L1002" s="37">
        <v>6.492916666666666</v>
      </c>
      <c r="M1002" s="37">
        <f t="shared" si="125"/>
        <v>0.83239200000000013</v>
      </c>
      <c r="N1002" s="37">
        <f t="shared" si="126"/>
        <v>1.0146858480000003</v>
      </c>
      <c r="O1002" s="45">
        <f t="shared" si="127"/>
        <v>0.26614732345624814</v>
      </c>
    </row>
    <row r="1003" spans="1:15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8">
        <f t="shared" si="128"/>
        <v>566.45000000000005</v>
      </c>
      <c r="G1003" s="339">
        <v>370</v>
      </c>
      <c r="H1003" s="872">
        <v>270</v>
      </c>
      <c r="I1003" s="41">
        <f t="shared" si="122"/>
        <v>0.09</v>
      </c>
      <c r="J1003" s="37">
        <f t="shared" si="123"/>
        <v>181.5309</v>
      </c>
      <c r="K1003" s="37">
        <f t="shared" si="124"/>
        <v>66.748911930000006</v>
      </c>
      <c r="L1003" s="37">
        <v>70.123499999999993</v>
      </c>
      <c r="M1003" s="37">
        <f t="shared" si="125"/>
        <v>8.9898336000000025</v>
      </c>
      <c r="N1003" s="37">
        <f t="shared" si="126"/>
        <v>10.958607158400003</v>
      </c>
      <c r="O1003" s="45">
        <f t="shared" si="127"/>
        <v>0.57797359966457751</v>
      </c>
    </row>
    <row r="1004" spans="1:15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8">
        <f t="shared" si="128"/>
        <v>760.45</v>
      </c>
      <c r="G1004" s="339">
        <v>238</v>
      </c>
      <c r="H1004" s="872">
        <v>138</v>
      </c>
      <c r="I1004" s="41">
        <f t="shared" ref="I1004:I1065" si="129">H1004/3000</f>
        <v>4.5999999999999999E-2</v>
      </c>
      <c r="J1004" s="37">
        <f t="shared" si="123"/>
        <v>92.78246</v>
      </c>
      <c r="K1004" s="37">
        <f t="shared" ref="K1004:K1065" si="130">J1004*0.3677</f>
        <v>34.116110542000001</v>
      </c>
      <c r="L1004" s="37">
        <v>35.840899999999998</v>
      </c>
      <c r="M1004" s="37">
        <f t="shared" si="125"/>
        <v>4.59480384</v>
      </c>
      <c r="N1004" s="37">
        <f t="shared" si="126"/>
        <v>5.6010658809600002</v>
      </c>
      <c r="O1004" s="45">
        <f t="shared" si="127"/>
        <v>0.22004638619501607</v>
      </c>
    </row>
    <row r="1005" spans="1:15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8">
        <f t="shared" si="128"/>
        <v>275.3</v>
      </c>
      <c r="G1005" s="339">
        <v>136</v>
      </c>
      <c r="H1005" s="872">
        <v>136</v>
      </c>
      <c r="I1005" s="41">
        <f t="shared" si="129"/>
        <v>4.5333333333333337E-2</v>
      </c>
      <c r="J1005" s="37">
        <f t="shared" si="123"/>
        <v>91.437786666666668</v>
      </c>
      <c r="K1005" s="37">
        <f t="shared" si="130"/>
        <v>33.621674157333338</v>
      </c>
      <c r="L1005" s="37">
        <v>35.321466666666666</v>
      </c>
      <c r="M1005" s="37">
        <f t="shared" si="125"/>
        <v>4.5282124800000005</v>
      </c>
      <c r="N1005" s="37">
        <f t="shared" si="126"/>
        <v>5.5198910131200014</v>
      </c>
      <c r="O1005" s="45">
        <f t="shared" si="127"/>
        <v>0.59901612775396551</v>
      </c>
    </row>
    <row r="1006" spans="1:15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8">
        <f t="shared" si="128"/>
        <v>384.4</v>
      </c>
      <c r="G1006" s="339">
        <v>250</v>
      </c>
      <c r="H1006" s="872">
        <v>150</v>
      </c>
      <c r="I1006" s="41">
        <f t="shared" si="129"/>
        <v>0.05</v>
      </c>
      <c r="J1006" s="37">
        <f t="shared" si="123"/>
        <v>100.85050000000001</v>
      </c>
      <c r="K1006" s="37">
        <f t="shared" si="130"/>
        <v>37.082728850000009</v>
      </c>
      <c r="L1006" s="37">
        <v>38.957500000000003</v>
      </c>
      <c r="M1006" s="37">
        <f t="shared" si="125"/>
        <v>4.994352000000001</v>
      </c>
      <c r="N1006" s="37">
        <f t="shared" si="126"/>
        <v>6.0881150880000012</v>
      </c>
      <c r="O1006" s="45">
        <f t="shared" si="127"/>
        <v>0.47316618327263282</v>
      </c>
    </row>
    <row r="1007" spans="1:15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8">
        <f t="shared" si="128"/>
        <v>207.2</v>
      </c>
      <c r="G1007" s="339">
        <v>135</v>
      </c>
      <c r="H1007" s="872">
        <v>100</v>
      </c>
      <c r="I1007" s="41">
        <f t="shared" si="129"/>
        <v>3.3333333333333333E-2</v>
      </c>
      <c r="J1007" s="37">
        <f t="shared" si="123"/>
        <v>67.233666666666664</v>
      </c>
      <c r="K1007" s="37">
        <f t="shared" si="130"/>
        <v>24.721819233333335</v>
      </c>
      <c r="L1007" s="37">
        <v>25.971666666666664</v>
      </c>
      <c r="M1007" s="37">
        <f t="shared" si="125"/>
        <v>3.3295680000000005</v>
      </c>
      <c r="N1007" s="37">
        <f t="shared" si="126"/>
        <v>4.0587433920000011</v>
      </c>
      <c r="O1007" s="45">
        <f t="shared" si="127"/>
        <v>0.58521583285070788</v>
      </c>
    </row>
    <row r="1008" spans="1:15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8">
        <f t="shared" si="128"/>
        <v>603.70000000000005</v>
      </c>
      <c r="G1008" s="339">
        <v>327</v>
      </c>
      <c r="H1008" s="872">
        <v>127.7</v>
      </c>
      <c r="I1008" s="41">
        <f t="shared" si="129"/>
        <v>4.2566666666666669E-2</v>
      </c>
      <c r="J1008" s="37">
        <f t="shared" si="123"/>
        <v>85.857392333333337</v>
      </c>
      <c r="K1008" s="37">
        <f t="shared" si="130"/>
        <v>31.569763160966669</v>
      </c>
      <c r="L1008" s="37">
        <v>33.165818333333334</v>
      </c>
      <c r="M1008" s="37">
        <f t="shared" si="125"/>
        <v>4.2518583360000006</v>
      </c>
      <c r="N1008" s="37">
        <f t="shared" si="126"/>
        <v>5.1830153115840014</v>
      </c>
      <c r="O1008" s="45">
        <f t="shared" si="127"/>
        <v>0.25649301335702057</v>
      </c>
    </row>
    <row r="1009" spans="1:15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8">
        <f t="shared" si="128"/>
        <v>477.8</v>
      </c>
      <c r="G1009" s="339">
        <v>259</v>
      </c>
      <c r="H1009" s="872">
        <v>110</v>
      </c>
      <c r="I1009" s="41">
        <f t="shared" si="129"/>
        <v>3.6666666666666667E-2</v>
      </c>
      <c r="J1009" s="37">
        <f t="shared" ref="J1009:J1072" si="131">I1009*2017.01</f>
        <v>73.957033333333328</v>
      </c>
      <c r="K1009" s="37">
        <f t="shared" si="130"/>
        <v>27.194001156666666</v>
      </c>
      <c r="L1009" s="37">
        <v>28.568833333333334</v>
      </c>
      <c r="M1009" s="37">
        <f t="shared" si="125"/>
        <v>3.6625248000000004</v>
      </c>
      <c r="N1009" s="37">
        <f t="shared" si="126"/>
        <v>4.4646177312000006</v>
      </c>
      <c r="O1009" s="45">
        <f t="shared" si="127"/>
        <v>0.27915946551555743</v>
      </c>
    </row>
    <row r="1010" spans="1:15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8">
        <f t="shared" si="128"/>
        <v>481.5</v>
      </c>
      <c r="G1010" s="339">
        <v>285</v>
      </c>
      <c r="H1010" s="872">
        <v>139.4</v>
      </c>
      <c r="I1010" s="41">
        <f t="shared" si="129"/>
        <v>4.646666666666667E-2</v>
      </c>
      <c r="J1010" s="37">
        <f t="shared" si="131"/>
        <v>93.723731333333333</v>
      </c>
      <c r="K1010" s="37">
        <f t="shared" si="130"/>
        <v>34.462216011266669</v>
      </c>
      <c r="L1010" s="37">
        <v>36.204503333333335</v>
      </c>
      <c r="M1010" s="37">
        <f t="shared" ref="M1010:M1073" si="132">I1010*84.08*1.1*1.08</f>
        <v>4.6414177920000013</v>
      </c>
      <c r="N1010" s="37">
        <f t="shared" ref="N1010:N1073" si="133">M1010*1.219</f>
        <v>5.6578882884480022</v>
      </c>
      <c r="O1010" s="45">
        <f t="shared" si="127"/>
        <v>0.35105268633423337</v>
      </c>
    </row>
    <row r="1011" spans="1:15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8">
        <f t="shared" si="128"/>
        <v>539.4</v>
      </c>
      <c r="G1011" s="339">
        <v>349</v>
      </c>
      <c r="H1011" s="872">
        <v>199</v>
      </c>
      <c r="I1011" s="41">
        <f t="shared" si="129"/>
        <v>6.6333333333333327E-2</v>
      </c>
      <c r="J1011" s="37">
        <f t="shared" si="131"/>
        <v>133.79499666666666</v>
      </c>
      <c r="K1011" s="37">
        <f t="shared" si="130"/>
        <v>49.196420274333335</v>
      </c>
      <c r="L1011" s="37">
        <v>51.683616666666659</v>
      </c>
      <c r="M1011" s="37">
        <f t="shared" si="132"/>
        <v>6.62584032</v>
      </c>
      <c r="N1011" s="37">
        <f t="shared" si="133"/>
        <v>8.0768993500799997</v>
      </c>
      <c r="O1011" s="45">
        <f t="shared" si="127"/>
        <v>0.44735052637683853</v>
      </c>
    </row>
    <row r="1012" spans="1:15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8">
        <f t="shared" si="128"/>
        <v>120.6</v>
      </c>
      <c r="G1012" s="339">
        <v>80</v>
      </c>
      <c r="H1012" s="872">
        <v>46</v>
      </c>
      <c r="I1012" s="41">
        <f t="shared" si="129"/>
        <v>1.5333333333333332E-2</v>
      </c>
      <c r="J1012" s="37">
        <f t="shared" si="131"/>
        <v>30.927486666666663</v>
      </c>
      <c r="K1012" s="37">
        <f t="shared" si="130"/>
        <v>11.372036847333334</v>
      </c>
      <c r="L1012" s="37">
        <v>11.946966666666667</v>
      </c>
      <c r="M1012" s="37">
        <f t="shared" si="132"/>
        <v>1.5316012800000001</v>
      </c>
      <c r="N1012" s="37">
        <f t="shared" si="133"/>
        <v>1.8670219603200002</v>
      </c>
      <c r="O1012" s="45">
        <f t="shared" si="127"/>
        <v>0.4625049043173024</v>
      </c>
    </row>
    <row r="1013" spans="1:15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8">
        <f t="shared" si="128"/>
        <v>98.1</v>
      </c>
      <c r="G1013" s="339">
        <v>65</v>
      </c>
      <c r="H1013" s="872">
        <v>35</v>
      </c>
      <c r="I1013" s="41">
        <f t="shared" si="129"/>
        <v>1.1666666666666667E-2</v>
      </c>
      <c r="J1013" s="37">
        <f t="shared" si="131"/>
        <v>23.531783333333333</v>
      </c>
      <c r="K1013" s="37">
        <f t="shared" si="130"/>
        <v>8.6526367316666679</v>
      </c>
      <c r="L1013" s="37">
        <v>9.0900833333333342</v>
      </c>
      <c r="M1013" s="37">
        <f t="shared" si="132"/>
        <v>1.1653488000000003</v>
      </c>
      <c r="N1013" s="37">
        <f t="shared" si="133"/>
        <v>1.4205601872000004</v>
      </c>
      <c r="O1013" s="45">
        <f t="shared" si="127"/>
        <v>0.43261826909616036</v>
      </c>
    </row>
    <row r="1014" spans="1:15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8">
        <f t="shared" si="128"/>
        <v>95.2</v>
      </c>
      <c r="G1014" s="339">
        <v>60</v>
      </c>
      <c r="H1014" s="872">
        <v>40</v>
      </c>
      <c r="I1014" s="41">
        <f t="shared" si="129"/>
        <v>1.3333333333333334E-2</v>
      </c>
      <c r="J1014" s="37">
        <f t="shared" si="131"/>
        <v>26.893466666666669</v>
      </c>
      <c r="K1014" s="37">
        <f t="shared" si="130"/>
        <v>9.888727693333335</v>
      </c>
      <c r="L1014" s="37">
        <v>10.388666666666667</v>
      </c>
      <c r="M1014" s="37">
        <f t="shared" si="132"/>
        <v>1.3318272000000002</v>
      </c>
      <c r="N1014" s="37">
        <f t="shared" si="133"/>
        <v>1.6234973568000004</v>
      </c>
      <c r="O1014" s="45">
        <f t="shared" si="127"/>
        <v>0.50948201918767511</v>
      </c>
    </row>
    <row r="1015" spans="1:15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8">
        <f t="shared" si="128"/>
        <v>2329.16</v>
      </c>
      <c r="G1015" s="339">
        <v>1362</v>
      </c>
      <c r="H1015" s="872">
        <v>567</v>
      </c>
      <c r="I1015" s="41">
        <f t="shared" si="129"/>
        <v>0.189</v>
      </c>
      <c r="J1015" s="37">
        <f t="shared" si="131"/>
        <v>381.21489000000003</v>
      </c>
      <c r="K1015" s="37">
        <f t="shared" si="130"/>
        <v>140.17271505300002</v>
      </c>
      <c r="L1015" s="37">
        <v>147.25934999999998</v>
      </c>
      <c r="M1015" s="37">
        <f t="shared" si="132"/>
        <v>18.878650560000001</v>
      </c>
      <c r="N1015" s="37">
        <f t="shared" si="133"/>
        <v>23.013075032640003</v>
      </c>
      <c r="O1015" s="45">
        <f t="shared" si="127"/>
        <v>0.29518178468331935</v>
      </c>
    </row>
    <row r="1016" spans="1:15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8">
        <f t="shared" si="128"/>
        <v>188</v>
      </c>
      <c r="G1016" s="339">
        <v>63</v>
      </c>
      <c r="H1016" s="872">
        <v>33</v>
      </c>
      <c r="I1016" s="41">
        <f t="shared" si="129"/>
        <v>1.0999999999999999E-2</v>
      </c>
      <c r="J1016" s="37">
        <f t="shared" si="131"/>
        <v>22.187109999999997</v>
      </c>
      <c r="K1016" s="37">
        <f t="shared" si="130"/>
        <v>8.1582003469999993</v>
      </c>
      <c r="L1016" s="37">
        <v>8.5706499999999988</v>
      </c>
      <c r="M1016" s="37">
        <f t="shared" si="132"/>
        <v>1.0987574400000002</v>
      </c>
      <c r="N1016" s="37">
        <f t="shared" si="133"/>
        <v>1.3393853193600003</v>
      </c>
      <c r="O1016" s="45">
        <f t="shared" si="127"/>
        <v>0.21284424354787232</v>
      </c>
    </row>
    <row r="1017" spans="1:15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8">
        <f t="shared" si="128"/>
        <v>110.1</v>
      </c>
      <c r="G1017" s="339">
        <v>63</v>
      </c>
      <c r="H1017" s="872">
        <v>33</v>
      </c>
      <c r="I1017" s="41">
        <f t="shared" si="129"/>
        <v>1.0999999999999999E-2</v>
      </c>
      <c r="J1017" s="37">
        <f t="shared" si="131"/>
        <v>22.187109999999997</v>
      </c>
      <c r="K1017" s="37">
        <f t="shared" si="130"/>
        <v>8.1582003469999993</v>
      </c>
      <c r="L1017" s="37">
        <v>8.5706499999999988</v>
      </c>
      <c r="M1017" s="37">
        <f t="shared" si="132"/>
        <v>1.0987574400000002</v>
      </c>
      <c r="N1017" s="37">
        <f t="shared" si="133"/>
        <v>1.3393853193600003</v>
      </c>
      <c r="O1017" s="45">
        <f t="shared" si="127"/>
        <v>0.36343976191643956</v>
      </c>
    </row>
    <row r="1018" spans="1:15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8">
        <f t="shared" si="128"/>
        <v>215.8</v>
      </c>
      <c r="G1018" s="339">
        <v>63</v>
      </c>
      <c r="H1018" s="872">
        <v>33</v>
      </c>
      <c r="I1018" s="41">
        <f t="shared" si="129"/>
        <v>1.0999999999999999E-2</v>
      </c>
      <c r="J1018" s="37">
        <f t="shared" si="131"/>
        <v>22.187109999999997</v>
      </c>
      <c r="K1018" s="37">
        <f t="shared" si="130"/>
        <v>8.1582003469999993</v>
      </c>
      <c r="L1018" s="37">
        <v>8.5706499999999988</v>
      </c>
      <c r="M1018" s="37">
        <f t="shared" si="132"/>
        <v>1.0987574400000002</v>
      </c>
      <c r="N1018" s="37">
        <f t="shared" si="133"/>
        <v>1.3393853193600003</v>
      </c>
      <c r="O1018" s="45">
        <f t="shared" si="127"/>
        <v>0.18542501291473584</v>
      </c>
    </row>
    <row r="1019" spans="1:15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8">
        <f t="shared" si="128"/>
        <v>1481.3</v>
      </c>
      <c r="G1019" s="339">
        <v>980</v>
      </c>
      <c r="H1019" s="872">
        <v>726</v>
      </c>
      <c r="I1019" s="41">
        <f t="shared" si="129"/>
        <v>0.24199999999999999</v>
      </c>
      <c r="J1019" s="37">
        <f t="shared" si="131"/>
        <v>488.11642000000001</v>
      </c>
      <c r="K1019" s="37">
        <f t="shared" si="130"/>
        <v>179.48040763400002</v>
      </c>
      <c r="L1019" s="37">
        <v>188.55429999999998</v>
      </c>
      <c r="M1019" s="37">
        <f t="shared" si="132"/>
        <v>24.172663680000003</v>
      </c>
      <c r="N1019" s="37">
        <f t="shared" si="133"/>
        <v>29.466477025920007</v>
      </c>
      <c r="O1019" s="45">
        <f t="shared" si="127"/>
        <v>0.59429135982852899</v>
      </c>
    </row>
    <row r="1020" spans="1:15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8">
        <f t="shared" si="128"/>
        <v>152.6</v>
      </c>
      <c r="G1020" s="339">
        <v>100</v>
      </c>
      <c r="H1020" s="872">
        <v>50</v>
      </c>
      <c r="I1020" s="41">
        <f t="shared" si="129"/>
        <v>1.6666666666666666E-2</v>
      </c>
      <c r="J1020" s="37">
        <f t="shared" si="131"/>
        <v>33.616833333333332</v>
      </c>
      <c r="K1020" s="37">
        <f t="shared" si="130"/>
        <v>12.360909616666667</v>
      </c>
      <c r="L1020" s="37">
        <v>12.985833333333332</v>
      </c>
      <c r="M1020" s="37">
        <f t="shared" si="132"/>
        <v>1.6647840000000003</v>
      </c>
      <c r="N1020" s="37">
        <f t="shared" si="133"/>
        <v>2.0293716960000006</v>
      </c>
      <c r="O1020" s="45">
        <f t="shared" si="127"/>
        <v>0.39730249202708606</v>
      </c>
    </row>
    <row r="1021" spans="1:15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8">
        <f t="shared" si="128"/>
        <v>110.9</v>
      </c>
      <c r="G1021" s="339">
        <v>72</v>
      </c>
      <c r="H1021" s="872">
        <v>35</v>
      </c>
      <c r="I1021" s="41">
        <f t="shared" si="129"/>
        <v>1.1666666666666667E-2</v>
      </c>
      <c r="J1021" s="37">
        <f t="shared" si="131"/>
        <v>23.531783333333333</v>
      </c>
      <c r="K1021" s="37">
        <f t="shared" si="130"/>
        <v>8.6526367316666679</v>
      </c>
      <c r="L1021" s="37">
        <v>9.0900833333333342</v>
      </c>
      <c r="M1021" s="37">
        <f t="shared" si="132"/>
        <v>1.1653488000000003</v>
      </c>
      <c r="N1021" s="37">
        <f t="shared" si="133"/>
        <v>1.4205601872000004</v>
      </c>
      <c r="O1021" s="45">
        <f t="shared" si="127"/>
        <v>0.38268577275323107</v>
      </c>
    </row>
    <row r="1022" spans="1:15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8">
        <f t="shared" si="128"/>
        <v>59.5</v>
      </c>
      <c r="G1022" s="339">
        <v>39</v>
      </c>
      <c r="H1022" s="872">
        <v>11</v>
      </c>
      <c r="I1022" s="41">
        <f t="shared" si="129"/>
        <v>3.6666666666666666E-3</v>
      </c>
      <c r="J1022" s="37">
        <f t="shared" si="131"/>
        <v>7.3957033333333335</v>
      </c>
      <c r="K1022" s="37">
        <f t="shared" si="130"/>
        <v>2.7194001156666667</v>
      </c>
      <c r="L1022" s="37">
        <v>2.8568833333333332</v>
      </c>
      <c r="M1022" s="37">
        <f t="shared" si="132"/>
        <v>0.36625248000000005</v>
      </c>
      <c r="N1022" s="37">
        <f t="shared" si="133"/>
        <v>0.44646177312000007</v>
      </c>
      <c r="O1022" s="45">
        <f t="shared" si="127"/>
        <v>0.22417208844257699</v>
      </c>
    </row>
    <row r="1023" spans="1:15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8">
        <f t="shared" si="128"/>
        <v>38.700000000000003</v>
      </c>
      <c r="G1023" s="339">
        <v>16</v>
      </c>
      <c r="H1023" s="872">
        <v>8</v>
      </c>
      <c r="I1023" s="41">
        <f t="shared" si="129"/>
        <v>2.6666666666666666E-3</v>
      </c>
      <c r="J1023" s="37">
        <f t="shared" si="131"/>
        <v>5.3786933333333335</v>
      </c>
      <c r="K1023" s="37">
        <f t="shared" si="130"/>
        <v>1.9777455386666669</v>
      </c>
      <c r="L1023" s="37">
        <v>2.0777333333333332</v>
      </c>
      <c r="M1023" s="37">
        <f t="shared" si="132"/>
        <v>0.26636544000000001</v>
      </c>
      <c r="N1023" s="37">
        <f t="shared" si="133"/>
        <v>0.32469947136000005</v>
      </c>
      <c r="O1023" s="45">
        <f t="shared" si="127"/>
        <v>0.25065988747631346</v>
      </c>
    </row>
    <row r="1024" spans="1:15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8">
        <f t="shared" si="128"/>
        <v>72.3</v>
      </c>
      <c r="G1024" s="339">
        <v>21</v>
      </c>
      <c r="H1024" s="872">
        <v>5</v>
      </c>
      <c r="I1024" s="41">
        <f t="shared" si="129"/>
        <v>1.6666666666666668E-3</v>
      </c>
      <c r="J1024" s="37">
        <f t="shared" si="131"/>
        <v>3.3616833333333336</v>
      </c>
      <c r="K1024" s="37">
        <f t="shared" si="130"/>
        <v>1.2360909616666669</v>
      </c>
      <c r="L1024" s="37">
        <v>1.2985833333333334</v>
      </c>
      <c r="M1024" s="37">
        <f t="shared" si="132"/>
        <v>0.16647840000000003</v>
      </c>
      <c r="N1024" s="37">
        <f t="shared" si="133"/>
        <v>0.20293716960000005</v>
      </c>
      <c r="O1024" s="45">
        <f t="shared" si="127"/>
        <v>8.3856653227293687E-2</v>
      </c>
    </row>
    <row r="1025" spans="1:15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8">
        <f t="shared" si="128"/>
        <v>99.09</v>
      </c>
      <c r="G1025" s="339">
        <v>42</v>
      </c>
      <c r="H1025" s="872">
        <v>22</v>
      </c>
      <c r="I1025" s="41">
        <f t="shared" si="129"/>
        <v>7.3333333333333332E-3</v>
      </c>
      <c r="J1025" s="37">
        <f t="shared" si="131"/>
        <v>14.791406666666667</v>
      </c>
      <c r="K1025" s="37">
        <f t="shared" si="130"/>
        <v>5.4388002313333335</v>
      </c>
      <c r="L1025" s="37">
        <v>5.7137666666666664</v>
      </c>
      <c r="M1025" s="37">
        <f t="shared" si="132"/>
        <v>0.73250496000000009</v>
      </c>
      <c r="N1025" s="37">
        <f t="shared" si="133"/>
        <v>0.89292354624000014</v>
      </c>
      <c r="O1025" s="45">
        <f t="shared" si="127"/>
        <v>0.26921463845662186</v>
      </c>
    </row>
    <row r="1026" spans="1:15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8">
        <f t="shared" si="128"/>
        <v>78.7</v>
      </c>
      <c r="G1026" s="339">
        <v>24</v>
      </c>
      <c r="H1026" s="872">
        <v>11</v>
      </c>
      <c r="I1026" s="41">
        <f t="shared" si="129"/>
        <v>3.6666666666666666E-3</v>
      </c>
      <c r="J1026" s="37">
        <f t="shared" si="131"/>
        <v>7.3957033333333335</v>
      </c>
      <c r="K1026" s="37">
        <f t="shared" si="130"/>
        <v>2.7194001156666667</v>
      </c>
      <c r="L1026" s="37">
        <v>2.8568833333333332</v>
      </c>
      <c r="M1026" s="37">
        <f t="shared" si="132"/>
        <v>0.36625248000000005</v>
      </c>
      <c r="N1026" s="37">
        <f t="shared" si="133"/>
        <v>0.44646177312000007</v>
      </c>
      <c r="O1026" s="45">
        <f t="shared" si="127"/>
        <v>0.16948207448962302</v>
      </c>
    </row>
    <row r="1027" spans="1:15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8">
        <f t="shared" si="128"/>
        <v>557.9</v>
      </c>
      <c r="G1027" s="339">
        <v>125</v>
      </c>
      <c r="H1027" s="872">
        <v>31</v>
      </c>
      <c r="I1027" s="41">
        <f t="shared" si="129"/>
        <v>1.0333333333333333E-2</v>
      </c>
      <c r="J1027" s="37">
        <f t="shared" si="131"/>
        <v>20.842436666666668</v>
      </c>
      <c r="K1027" s="37">
        <f t="shared" si="130"/>
        <v>7.6637639623333342</v>
      </c>
      <c r="L1027" s="37">
        <v>8.0512166666666669</v>
      </c>
      <c r="M1027" s="37">
        <f t="shared" si="132"/>
        <v>1.0321660800000001</v>
      </c>
      <c r="N1027" s="37">
        <f t="shared" si="133"/>
        <v>1.2582104515200001</v>
      </c>
      <c r="O1027" s="45">
        <f t="shared" si="127"/>
        <v>6.7376919476011238E-2</v>
      </c>
    </row>
    <row r="1028" spans="1:15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8">
        <f t="shared" si="128"/>
        <v>122.5</v>
      </c>
      <c r="G1028" s="339">
        <v>11</v>
      </c>
      <c r="H1028" s="872">
        <v>0</v>
      </c>
      <c r="I1028" s="41">
        <f t="shared" si="129"/>
        <v>0</v>
      </c>
      <c r="J1028" s="37">
        <f t="shared" si="131"/>
        <v>0</v>
      </c>
      <c r="K1028" s="37">
        <f t="shared" si="130"/>
        <v>0</v>
      </c>
      <c r="L1028" s="37">
        <v>0</v>
      </c>
      <c r="M1028" s="37">
        <f t="shared" si="132"/>
        <v>0</v>
      </c>
      <c r="N1028" s="37">
        <f t="shared" si="133"/>
        <v>0</v>
      </c>
      <c r="O1028" s="45">
        <f t="shared" si="127"/>
        <v>0</v>
      </c>
    </row>
    <row r="1029" spans="1:15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8">
        <f t="shared" si="128"/>
        <v>275.5</v>
      </c>
      <c r="G1029" s="339">
        <v>155</v>
      </c>
      <c r="H1029" s="872">
        <v>85</v>
      </c>
      <c r="I1029" s="41">
        <f t="shared" si="129"/>
        <v>2.8333333333333332E-2</v>
      </c>
      <c r="J1029" s="37">
        <f t="shared" si="131"/>
        <v>57.148616666666662</v>
      </c>
      <c r="K1029" s="37">
        <f t="shared" si="130"/>
        <v>21.013546348333332</v>
      </c>
      <c r="L1029" s="37">
        <v>23.400471666666665</v>
      </c>
      <c r="M1029" s="37">
        <f t="shared" si="132"/>
        <v>2.8301327999999999</v>
      </c>
      <c r="N1029" s="37">
        <f t="shared" si="133"/>
        <v>3.4499318832000001</v>
      </c>
      <c r="O1029" s="45">
        <f t="shared" si="127"/>
        <v>0.37892111608590434</v>
      </c>
    </row>
    <row r="1030" spans="1:15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8">
        <f t="shared" si="128"/>
        <v>189.1</v>
      </c>
      <c r="G1030" s="339">
        <v>83</v>
      </c>
      <c r="H1030" s="872">
        <v>50</v>
      </c>
      <c r="I1030" s="41">
        <f t="shared" si="129"/>
        <v>1.6666666666666666E-2</v>
      </c>
      <c r="J1030" s="37">
        <f t="shared" si="131"/>
        <v>33.616833333333332</v>
      </c>
      <c r="K1030" s="37">
        <f t="shared" si="130"/>
        <v>12.360909616666667</v>
      </c>
      <c r="L1030" s="37">
        <v>12.985833333333332</v>
      </c>
      <c r="M1030" s="37">
        <f t="shared" si="132"/>
        <v>1.6647840000000003</v>
      </c>
      <c r="N1030" s="37">
        <f t="shared" si="133"/>
        <v>2.0293716960000006</v>
      </c>
      <c r="O1030" s="45">
        <f t="shared" si="127"/>
        <v>0.32061533729948877</v>
      </c>
    </row>
    <row r="1031" spans="1:15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8">
        <f t="shared" si="128"/>
        <v>590.4</v>
      </c>
      <c r="G1031" s="339">
        <v>380</v>
      </c>
      <c r="H1031" s="872">
        <v>155</v>
      </c>
      <c r="I1031" s="41">
        <f t="shared" si="129"/>
        <v>5.1666666666666666E-2</v>
      </c>
      <c r="J1031" s="37">
        <f t="shared" si="131"/>
        <v>104.21218333333333</v>
      </c>
      <c r="K1031" s="37">
        <f t="shared" si="130"/>
        <v>38.318819811666671</v>
      </c>
      <c r="L1031" s="37">
        <v>40.256083333333329</v>
      </c>
      <c r="M1031" s="37">
        <f t="shared" si="132"/>
        <v>5.1608304000000009</v>
      </c>
      <c r="N1031" s="37">
        <f t="shared" si="133"/>
        <v>6.2910522576000014</v>
      </c>
      <c r="O1031" s="45">
        <f t="shared" ref="O1031:O1094" si="134">(J1031+K1031+L1031+M1031)/F1031</f>
        <v>0.31833996761235323</v>
      </c>
    </row>
    <row r="1032" spans="1:15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8">
        <f t="shared" si="128"/>
        <v>761.4</v>
      </c>
      <c r="G1032" s="339">
        <v>500</v>
      </c>
      <c r="H1032" s="872">
        <v>210</v>
      </c>
      <c r="I1032" s="41">
        <f t="shared" si="129"/>
        <v>7.0000000000000007E-2</v>
      </c>
      <c r="J1032" s="37">
        <f t="shared" si="131"/>
        <v>141.19070000000002</v>
      </c>
      <c r="K1032" s="37">
        <f t="shared" si="130"/>
        <v>51.915820390000015</v>
      </c>
      <c r="L1032" s="37">
        <v>54.540500000000002</v>
      </c>
      <c r="M1032" s="37">
        <f t="shared" si="132"/>
        <v>6.9920928000000009</v>
      </c>
      <c r="N1032" s="37">
        <f t="shared" si="133"/>
        <v>8.5233611232000008</v>
      </c>
      <c r="O1032" s="45">
        <f t="shared" si="134"/>
        <v>0.33443539951405316</v>
      </c>
    </row>
    <row r="1033" spans="1:15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8">
        <f t="shared" si="128"/>
        <v>577.12</v>
      </c>
      <c r="G1033" s="875">
        <v>330</v>
      </c>
      <c r="H1033" s="872">
        <v>170</v>
      </c>
      <c r="I1033" s="41">
        <f>H1033/3000</f>
        <v>5.6666666666666664E-2</v>
      </c>
      <c r="J1033" s="37">
        <f t="shared" si="131"/>
        <v>114.29723333333332</v>
      </c>
      <c r="K1033" s="37">
        <f t="shared" si="130"/>
        <v>42.027092696666664</v>
      </c>
      <c r="L1033" s="37">
        <v>44.151833333333329</v>
      </c>
      <c r="M1033" s="37">
        <f t="shared" si="132"/>
        <v>5.6602655999999998</v>
      </c>
      <c r="N1033" s="37">
        <f t="shared" si="133"/>
        <v>6.8998637664000002</v>
      </c>
      <c r="O1033" s="45">
        <f t="shared" si="134"/>
        <v>0.35718121874711201</v>
      </c>
    </row>
    <row r="1034" spans="1:15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8">
        <f t="shared" si="128"/>
        <v>136.80000000000001</v>
      </c>
      <c r="G1034" s="339">
        <v>68</v>
      </c>
      <c r="H1034" s="872">
        <v>58</v>
      </c>
      <c r="I1034" s="41">
        <f t="shared" si="129"/>
        <v>1.9333333333333334E-2</v>
      </c>
      <c r="J1034" s="37">
        <f t="shared" si="131"/>
        <v>38.99552666666667</v>
      </c>
      <c r="K1034" s="37">
        <f t="shared" si="130"/>
        <v>14.338655155333337</v>
      </c>
      <c r="L1034" s="37">
        <v>15.063566666666667</v>
      </c>
      <c r="M1034" s="37">
        <f t="shared" si="132"/>
        <v>1.9311494400000004</v>
      </c>
      <c r="N1034" s="37">
        <f t="shared" si="133"/>
        <v>2.3540711673600008</v>
      </c>
      <c r="O1034" s="45">
        <f t="shared" si="134"/>
        <v>0.51410013105750496</v>
      </c>
    </row>
    <row r="1035" spans="1:15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8">
        <f t="shared" si="128"/>
        <v>578</v>
      </c>
      <c r="G1035" s="737">
        <v>242</v>
      </c>
      <c r="H1035" s="872">
        <v>126</v>
      </c>
      <c r="I1035" s="41">
        <f t="shared" si="129"/>
        <v>4.2000000000000003E-2</v>
      </c>
      <c r="J1035" s="37">
        <f t="shared" si="131"/>
        <v>84.714420000000004</v>
      </c>
      <c r="K1035" s="37">
        <f t="shared" si="130"/>
        <v>31.149492234000004</v>
      </c>
      <c r="L1035" s="37">
        <v>32.724299999999999</v>
      </c>
      <c r="M1035" s="37">
        <f t="shared" si="132"/>
        <v>4.1952556800000016</v>
      </c>
      <c r="N1035" s="37">
        <f t="shared" si="133"/>
        <v>5.1140166739200019</v>
      </c>
      <c r="O1035" s="45">
        <f t="shared" si="134"/>
        <v>0.26433125936678203</v>
      </c>
    </row>
    <row r="1036" spans="1:15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8">
        <f t="shared" si="128"/>
        <v>150</v>
      </c>
      <c r="G1036" s="339">
        <v>98</v>
      </c>
      <c r="H1036" s="872">
        <v>34.200000000000003</v>
      </c>
      <c r="I1036" s="41">
        <f t="shared" si="129"/>
        <v>1.14E-2</v>
      </c>
      <c r="J1036" s="37">
        <f t="shared" si="131"/>
        <v>22.993914</v>
      </c>
      <c r="K1036" s="37">
        <f t="shared" si="130"/>
        <v>8.4548621778000008</v>
      </c>
      <c r="L1036" s="37">
        <v>8.8823100000000004</v>
      </c>
      <c r="M1036" s="37">
        <f t="shared" si="132"/>
        <v>1.138712256</v>
      </c>
      <c r="N1036" s="37">
        <f t="shared" si="133"/>
        <v>1.3880902400640001</v>
      </c>
      <c r="O1036" s="45">
        <f t="shared" si="134"/>
        <v>0.27646532289199999</v>
      </c>
    </row>
    <row r="1037" spans="1:15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8">
        <f t="shared" si="128"/>
        <v>106.6</v>
      </c>
      <c r="G1037" s="873">
        <v>70</v>
      </c>
      <c r="H1037" s="872">
        <v>20</v>
      </c>
      <c r="I1037" s="41">
        <f t="shared" si="129"/>
        <v>6.6666666666666671E-3</v>
      </c>
      <c r="J1037" s="37">
        <f t="shared" si="131"/>
        <v>13.446733333333334</v>
      </c>
      <c r="K1037" s="37">
        <f t="shared" si="130"/>
        <v>4.9443638466666675</v>
      </c>
      <c r="L1037" s="37">
        <v>7.2720666666666665</v>
      </c>
      <c r="M1037" s="37">
        <f t="shared" si="132"/>
        <v>0.66591360000000011</v>
      </c>
      <c r="N1037" s="37">
        <f t="shared" si="133"/>
        <v>0.8117486784000002</v>
      </c>
      <c r="O1037" s="45">
        <f t="shared" si="134"/>
        <v>0.24698946948092562</v>
      </c>
    </row>
    <row r="1038" spans="1:15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8">
        <f t="shared" si="128"/>
        <v>128.4</v>
      </c>
      <c r="G1038" s="339">
        <v>80</v>
      </c>
      <c r="H1038" s="872">
        <v>30</v>
      </c>
      <c r="I1038" s="41">
        <f t="shared" si="129"/>
        <v>0.01</v>
      </c>
      <c r="J1038" s="37">
        <f t="shared" si="131"/>
        <v>20.170100000000001</v>
      </c>
      <c r="K1038" s="37">
        <f t="shared" si="130"/>
        <v>7.4165457700000008</v>
      </c>
      <c r="L1038" s="37">
        <v>7.7915000000000001</v>
      </c>
      <c r="M1038" s="37">
        <f t="shared" si="132"/>
        <v>0.99887040000000016</v>
      </c>
      <c r="N1038" s="37">
        <f t="shared" si="133"/>
        <v>1.2176230176000002</v>
      </c>
      <c r="O1038" s="45">
        <f t="shared" si="134"/>
        <v>0.28331009478193148</v>
      </c>
    </row>
    <row r="1039" spans="1:15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8">
        <f t="shared" si="128"/>
        <v>57.7</v>
      </c>
      <c r="G1039" s="873">
        <v>28</v>
      </c>
      <c r="H1039" s="872">
        <v>20</v>
      </c>
      <c r="I1039" s="41">
        <f t="shared" si="129"/>
        <v>6.6666666666666671E-3</v>
      </c>
      <c r="J1039" s="37">
        <f t="shared" si="131"/>
        <v>13.446733333333334</v>
      </c>
      <c r="K1039" s="37">
        <f t="shared" si="130"/>
        <v>4.9443638466666675</v>
      </c>
      <c r="L1039" s="37">
        <v>5.1943333333333337</v>
      </c>
      <c r="M1039" s="37">
        <f t="shared" si="132"/>
        <v>0.66591360000000011</v>
      </c>
      <c r="N1039" s="37">
        <f t="shared" si="133"/>
        <v>0.8117486784000002</v>
      </c>
      <c r="O1039" s="45">
        <f t="shared" si="134"/>
        <v>0.42030059121894858</v>
      </c>
    </row>
    <row r="1040" spans="1:15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8">
        <f t="shared" si="128"/>
        <v>256.5</v>
      </c>
      <c r="G1040" s="339">
        <v>110</v>
      </c>
      <c r="H1040" s="872">
        <v>90</v>
      </c>
      <c r="I1040" s="41">
        <f t="shared" si="129"/>
        <v>0.03</v>
      </c>
      <c r="J1040" s="37">
        <f t="shared" si="131"/>
        <v>60.510300000000001</v>
      </c>
      <c r="K1040" s="37">
        <f t="shared" si="130"/>
        <v>22.249637310000001</v>
      </c>
      <c r="L1040" s="37">
        <v>23.374499999999998</v>
      </c>
      <c r="M1040" s="37">
        <f t="shared" si="132"/>
        <v>2.9966111999999998</v>
      </c>
      <c r="N1040" s="37">
        <f t="shared" si="133"/>
        <v>3.6528690527999998</v>
      </c>
      <c r="O1040" s="45">
        <f t="shared" si="134"/>
        <v>0.42546217742690057</v>
      </c>
    </row>
    <row r="1041" spans="1:15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8">
        <f t="shared" si="128"/>
        <v>118.5</v>
      </c>
      <c r="G1041" s="873">
        <v>60</v>
      </c>
      <c r="H1041" s="872">
        <v>30</v>
      </c>
      <c r="I1041" s="41">
        <f t="shared" si="129"/>
        <v>0.01</v>
      </c>
      <c r="J1041" s="37">
        <f t="shared" si="131"/>
        <v>20.170100000000001</v>
      </c>
      <c r="K1041" s="37">
        <f t="shared" si="130"/>
        <v>7.4165457700000008</v>
      </c>
      <c r="L1041" s="37">
        <v>7.7915000000000001</v>
      </c>
      <c r="M1041" s="37">
        <f t="shared" si="132"/>
        <v>0.99887040000000016</v>
      </c>
      <c r="N1041" s="37">
        <f t="shared" si="133"/>
        <v>1.2176230176000002</v>
      </c>
      <c r="O1041" s="45">
        <f t="shared" si="134"/>
        <v>0.30697903940928273</v>
      </c>
    </row>
    <row r="1042" spans="1:15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8">
        <f t="shared" si="128"/>
        <v>142.1</v>
      </c>
      <c r="G1042" s="339">
        <v>90</v>
      </c>
      <c r="H1042" s="872">
        <v>45</v>
      </c>
      <c r="I1042" s="41">
        <f t="shared" si="129"/>
        <v>1.4999999999999999E-2</v>
      </c>
      <c r="J1042" s="37">
        <f t="shared" si="131"/>
        <v>30.25515</v>
      </c>
      <c r="K1042" s="37">
        <f t="shared" si="130"/>
        <v>11.124818655</v>
      </c>
      <c r="L1042" s="37">
        <v>11.687249999999999</v>
      </c>
      <c r="M1042" s="37">
        <f t="shared" si="132"/>
        <v>1.4983055999999999</v>
      </c>
      <c r="N1042" s="37">
        <f t="shared" si="133"/>
        <v>1.8264345263999999</v>
      </c>
      <c r="O1042" s="45">
        <f t="shared" si="134"/>
        <v>0.38399383712174529</v>
      </c>
    </row>
    <row r="1043" spans="1:15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8">
        <f t="shared" si="128"/>
        <v>259.7</v>
      </c>
      <c r="G1043" s="873">
        <v>127</v>
      </c>
      <c r="H1043" s="872">
        <v>63</v>
      </c>
      <c r="I1043" s="41">
        <f t="shared" si="129"/>
        <v>2.1000000000000001E-2</v>
      </c>
      <c r="J1043" s="37">
        <f t="shared" si="131"/>
        <v>42.357210000000002</v>
      </c>
      <c r="K1043" s="37">
        <f t="shared" si="130"/>
        <v>15.574746117000002</v>
      </c>
      <c r="L1043" s="37">
        <v>16.36215</v>
      </c>
      <c r="M1043" s="37">
        <f t="shared" si="132"/>
        <v>2.0976278400000008</v>
      </c>
      <c r="N1043" s="37">
        <f t="shared" si="133"/>
        <v>2.557008336960001</v>
      </c>
      <c r="O1043" s="45">
        <f t="shared" si="134"/>
        <v>0.29415376956873324</v>
      </c>
    </row>
    <row r="1044" spans="1:15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8">
        <f t="shared" si="128"/>
        <v>309.39999999999998</v>
      </c>
      <c r="G1044" s="339">
        <v>125</v>
      </c>
      <c r="H1044" s="872">
        <v>125</v>
      </c>
      <c r="I1044" s="41">
        <f t="shared" si="129"/>
        <v>4.1666666666666664E-2</v>
      </c>
      <c r="J1044" s="37">
        <f t="shared" si="131"/>
        <v>84.042083333333323</v>
      </c>
      <c r="K1044" s="37">
        <f t="shared" si="130"/>
        <v>30.902274041666665</v>
      </c>
      <c r="L1044" s="37">
        <v>32.46458333333333</v>
      </c>
      <c r="M1044" s="37">
        <f t="shared" si="132"/>
        <v>4.1619600000000005</v>
      </c>
      <c r="N1044" s="37">
        <f t="shared" si="133"/>
        <v>5.0734292400000012</v>
      </c>
      <c r="O1044" s="45">
        <f t="shared" si="134"/>
        <v>0.48988655691122601</v>
      </c>
    </row>
    <row r="1045" spans="1:15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8">
        <f t="shared" si="128"/>
        <v>432.1</v>
      </c>
      <c r="G1045" s="875">
        <v>166</v>
      </c>
      <c r="H1045" s="872">
        <v>86</v>
      </c>
      <c r="I1045" s="41">
        <f t="shared" si="129"/>
        <v>2.8666666666666667E-2</v>
      </c>
      <c r="J1045" s="37">
        <f t="shared" si="131"/>
        <v>57.820953333333335</v>
      </c>
      <c r="K1045" s="37">
        <f t="shared" si="130"/>
        <v>21.260764540666671</v>
      </c>
      <c r="L1045" s="37">
        <v>22.335633333333334</v>
      </c>
      <c r="M1045" s="37">
        <f t="shared" si="132"/>
        <v>2.8634284800000001</v>
      </c>
      <c r="N1045" s="37">
        <f t="shared" si="133"/>
        <v>3.4905193171200004</v>
      </c>
      <c r="O1045" s="45">
        <f t="shared" si="134"/>
        <v>0.24133482917688806</v>
      </c>
    </row>
    <row r="1046" spans="1:15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8">
        <f t="shared" si="128"/>
        <v>241.89999999999998</v>
      </c>
      <c r="G1046" s="339">
        <v>74</v>
      </c>
      <c r="H1046" s="872">
        <v>55</v>
      </c>
      <c r="I1046" s="41">
        <f t="shared" si="129"/>
        <v>1.8333333333333333E-2</v>
      </c>
      <c r="J1046" s="37">
        <f t="shared" si="131"/>
        <v>36.978516666666664</v>
      </c>
      <c r="K1046" s="37">
        <f t="shared" si="130"/>
        <v>13.597000578333333</v>
      </c>
      <c r="L1046" s="37">
        <v>14.284416666666667</v>
      </c>
      <c r="M1046" s="37">
        <f t="shared" si="132"/>
        <v>1.8312624000000002</v>
      </c>
      <c r="N1046" s="37">
        <f t="shared" si="133"/>
        <v>2.2323088656000003</v>
      </c>
      <c r="O1046" s="45">
        <f t="shared" si="134"/>
        <v>0.27569738037067665</v>
      </c>
    </row>
    <row r="1047" spans="1:15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8">
        <f t="shared" si="128"/>
        <v>278.3</v>
      </c>
      <c r="G1047" s="873">
        <v>171</v>
      </c>
      <c r="H1047" s="872">
        <v>90</v>
      </c>
      <c r="I1047" s="41">
        <f t="shared" si="129"/>
        <v>0.03</v>
      </c>
      <c r="J1047" s="37">
        <f t="shared" si="131"/>
        <v>60.510300000000001</v>
      </c>
      <c r="K1047" s="37">
        <f t="shared" si="130"/>
        <v>22.249637310000001</v>
      </c>
      <c r="L1047" s="37">
        <v>23.374499999999998</v>
      </c>
      <c r="M1047" s="37">
        <f t="shared" si="132"/>
        <v>2.9966111999999998</v>
      </c>
      <c r="N1047" s="37">
        <f t="shared" si="133"/>
        <v>3.6528690527999998</v>
      </c>
      <c r="O1047" s="45">
        <f t="shared" si="134"/>
        <v>0.39213456166007904</v>
      </c>
    </row>
    <row r="1048" spans="1:15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8">
        <f t="shared" si="128"/>
        <v>150</v>
      </c>
      <c r="G1048" s="339">
        <v>100</v>
      </c>
      <c r="H1048" s="872">
        <v>40</v>
      </c>
      <c r="I1048" s="41">
        <f t="shared" si="129"/>
        <v>1.3333333333333334E-2</v>
      </c>
      <c r="J1048" s="37">
        <f t="shared" si="131"/>
        <v>26.893466666666669</v>
      </c>
      <c r="K1048" s="37">
        <f t="shared" si="130"/>
        <v>9.888727693333335</v>
      </c>
      <c r="L1048" s="37">
        <v>10.388666666666667</v>
      </c>
      <c r="M1048" s="37">
        <f t="shared" si="132"/>
        <v>1.3318272000000002</v>
      </c>
      <c r="N1048" s="37">
        <f t="shared" si="133"/>
        <v>1.6234973568000004</v>
      </c>
      <c r="O1048" s="45">
        <f t="shared" si="134"/>
        <v>0.32335125484444449</v>
      </c>
    </row>
    <row r="1049" spans="1:15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8">
        <f t="shared" si="128"/>
        <v>140.6</v>
      </c>
      <c r="G1049" s="339">
        <v>89</v>
      </c>
      <c r="H1049" s="872">
        <v>40</v>
      </c>
      <c r="I1049" s="41">
        <f t="shared" si="129"/>
        <v>1.3333333333333334E-2</v>
      </c>
      <c r="J1049" s="37">
        <f t="shared" si="131"/>
        <v>26.893466666666669</v>
      </c>
      <c r="K1049" s="37">
        <f t="shared" si="130"/>
        <v>9.888727693333335</v>
      </c>
      <c r="L1049" s="37">
        <v>10.388666666666667</v>
      </c>
      <c r="M1049" s="37">
        <f t="shared" si="132"/>
        <v>1.3318272000000002</v>
      </c>
      <c r="N1049" s="37">
        <f t="shared" si="133"/>
        <v>1.6234973568000004</v>
      </c>
      <c r="O1049" s="45">
        <f t="shared" si="134"/>
        <v>0.34496933304883837</v>
      </c>
    </row>
    <row r="1050" spans="1:15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8">
        <f t="shared" si="128"/>
        <v>209.1</v>
      </c>
      <c r="G1050" s="339">
        <v>135</v>
      </c>
      <c r="H1050" s="872">
        <v>70</v>
      </c>
      <c r="I1050" s="41">
        <f t="shared" si="129"/>
        <v>2.3333333333333334E-2</v>
      </c>
      <c r="J1050" s="37">
        <f t="shared" si="131"/>
        <v>47.063566666666667</v>
      </c>
      <c r="K1050" s="37">
        <f t="shared" si="130"/>
        <v>17.305273463333336</v>
      </c>
      <c r="L1050" s="37">
        <v>18.180166666666668</v>
      </c>
      <c r="M1050" s="37">
        <f t="shared" si="132"/>
        <v>2.3306976000000006</v>
      </c>
      <c r="N1050" s="37">
        <f t="shared" si="133"/>
        <v>2.8411203744000009</v>
      </c>
      <c r="O1050" s="45">
        <f t="shared" si="134"/>
        <v>0.40592876325522076</v>
      </c>
    </row>
    <row r="1051" spans="1:15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8">
        <f t="shared" si="128"/>
        <v>463.5</v>
      </c>
      <c r="G1051" s="339">
        <v>310</v>
      </c>
      <c r="H1051" s="872">
        <v>124</v>
      </c>
      <c r="I1051" s="41">
        <f t="shared" si="129"/>
        <v>4.1333333333333333E-2</v>
      </c>
      <c r="J1051" s="37">
        <f t="shared" si="131"/>
        <v>83.369746666666671</v>
      </c>
      <c r="K1051" s="37">
        <f t="shared" si="130"/>
        <v>30.655055849333337</v>
      </c>
      <c r="L1051" s="37">
        <v>32.204866666666668</v>
      </c>
      <c r="M1051" s="37">
        <f t="shared" si="132"/>
        <v>4.1286643200000004</v>
      </c>
      <c r="N1051" s="37">
        <f t="shared" si="133"/>
        <v>5.0328418060800004</v>
      </c>
      <c r="O1051" s="45">
        <f t="shared" si="134"/>
        <v>0.32439769903487958</v>
      </c>
    </row>
    <row r="1052" spans="1:15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8">
        <f t="shared" si="128"/>
        <v>126</v>
      </c>
      <c r="G1052" s="339">
        <v>85</v>
      </c>
      <c r="H1052" s="872">
        <v>11</v>
      </c>
      <c r="I1052" s="41">
        <f t="shared" si="129"/>
        <v>3.6666666666666666E-3</v>
      </c>
      <c r="J1052" s="37">
        <f t="shared" si="131"/>
        <v>7.3957033333333335</v>
      </c>
      <c r="K1052" s="37">
        <f t="shared" si="130"/>
        <v>2.7194001156666667</v>
      </c>
      <c r="L1052" s="37">
        <v>2.8568833333333332</v>
      </c>
      <c r="M1052" s="37">
        <f t="shared" si="132"/>
        <v>0.36625248000000005</v>
      </c>
      <c r="N1052" s="37">
        <f t="shared" si="133"/>
        <v>0.44646177312000007</v>
      </c>
      <c r="O1052" s="45">
        <f t="shared" si="134"/>
        <v>0.10585904176455026</v>
      </c>
    </row>
    <row r="1053" spans="1:15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8">
        <f t="shared" si="128"/>
        <v>725.1</v>
      </c>
      <c r="G1053" s="339">
        <v>171</v>
      </c>
      <c r="H1053" s="872">
        <v>140</v>
      </c>
      <c r="I1053" s="41">
        <f t="shared" si="129"/>
        <v>4.6666666666666669E-2</v>
      </c>
      <c r="J1053" s="37">
        <f t="shared" si="131"/>
        <v>94.127133333333333</v>
      </c>
      <c r="K1053" s="37">
        <f t="shared" si="130"/>
        <v>34.610546926666672</v>
      </c>
      <c r="L1053" s="37">
        <v>36.360333333333337</v>
      </c>
      <c r="M1053" s="37">
        <f t="shared" si="132"/>
        <v>4.6613952000000012</v>
      </c>
      <c r="N1053" s="37">
        <f t="shared" si="133"/>
        <v>5.6822407488000017</v>
      </c>
      <c r="O1053" s="45">
        <f t="shared" si="134"/>
        <v>0.23411861645750007</v>
      </c>
    </row>
    <row r="1054" spans="1:15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8">
        <f t="shared" si="128"/>
        <v>466.88</v>
      </c>
      <c r="G1054" s="339">
        <v>396.6</v>
      </c>
      <c r="H1054" s="876">
        <v>326.60000000000002</v>
      </c>
      <c r="I1054" s="41">
        <f t="shared" si="129"/>
        <v>0.10886666666666668</v>
      </c>
      <c r="J1054" s="37">
        <f t="shared" si="131"/>
        <v>219.58515533333338</v>
      </c>
      <c r="K1054" s="37">
        <f t="shared" si="130"/>
        <v>80.741461616066687</v>
      </c>
      <c r="L1054" s="37">
        <v>84.823463333333336</v>
      </c>
      <c r="M1054" s="37">
        <f t="shared" si="132"/>
        <v>10.874369088000002</v>
      </c>
      <c r="N1054" s="37">
        <f t="shared" si="133"/>
        <v>13.255855918272003</v>
      </c>
      <c r="O1054" s="45">
        <f t="shared" si="134"/>
        <v>0.84823605502641664</v>
      </c>
    </row>
    <row r="1055" spans="1:15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8">
        <f t="shared" si="128"/>
        <v>138.1</v>
      </c>
      <c r="G1055" s="339">
        <v>90</v>
      </c>
      <c r="H1055" s="874">
        <v>50</v>
      </c>
      <c r="I1055" s="41">
        <f t="shared" si="129"/>
        <v>1.6666666666666666E-2</v>
      </c>
      <c r="J1055" s="37">
        <f t="shared" si="131"/>
        <v>33.616833333333332</v>
      </c>
      <c r="K1055" s="37">
        <f t="shared" si="130"/>
        <v>12.360909616666667</v>
      </c>
      <c r="L1055" s="37">
        <v>12.985833333333332</v>
      </c>
      <c r="M1055" s="37">
        <f t="shared" si="132"/>
        <v>1.6647840000000003</v>
      </c>
      <c r="N1055" s="37">
        <f t="shared" si="133"/>
        <v>2.0293716960000006</v>
      </c>
      <c r="O1055" s="45">
        <f t="shared" si="134"/>
        <v>0.43901781523050926</v>
      </c>
    </row>
    <row r="1056" spans="1:15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8">
        <f t="shared" si="128"/>
        <v>139.30000000000001</v>
      </c>
      <c r="G1056" s="339">
        <v>26</v>
      </c>
      <c r="H1056" s="874">
        <v>0</v>
      </c>
      <c r="I1056" s="41">
        <f t="shared" si="129"/>
        <v>0</v>
      </c>
      <c r="J1056" s="37">
        <f t="shared" si="131"/>
        <v>0</v>
      </c>
      <c r="K1056" s="37">
        <f t="shared" si="130"/>
        <v>0</v>
      </c>
      <c r="L1056" s="37">
        <v>0</v>
      </c>
      <c r="M1056" s="37">
        <f t="shared" si="132"/>
        <v>0</v>
      </c>
      <c r="N1056" s="37">
        <f t="shared" si="133"/>
        <v>0</v>
      </c>
      <c r="O1056" s="45">
        <f t="shared" si="134"/>
        <v>0</v>
      </c>
    </row>
    <row r="1057" spans="1:15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8">
        <f t="shared" si="128"/>
        <v>807</v>
      </c>
      <c r="G1057" s="339">
        <v>480</v>
      </c>
      <c r="H1057" s="877">
        <v>160</v>
      </c>
      <c r="I1057" s="41">
        <f t="shared" si="129"/>
        <v>5.3333333333333337E-2</v>
      </c>
      <c r="J1057" s="37">
        <f t="shared" si="131"/>
        <v>107.57386666666667</v>
      </c>
      <c r="K1057" s="37">
        <f t="shared" si="130"/>
        <v>39.55491077333334</v>
      </c>
      <c r="L1057" s="37">
        <v>41.55466666666667</v>
      </c>
      <c r="M1057" s="37">
        <f t="shared" si="132"/>
        <v>5.3273088000000008</v>
      </c>
      <c r="N1057" s="37">
        <f t="shared" si="133"/>
        <v>6.4939894272000016</v>
      </c>
      <c r="O1057" s="45">
        <f t="shared" si="134"/>
        <v>0.24040985490293268</v>
      </c>
    </row>
    <row r="1058" spans="1:15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8">
        <f t="shared" si="128"/>
        <v>1555.2</v>
      </c>
      <c r="G1058" s="339">
        <v>940</v>
      </c>
      <c r="H1058" s="878">
        <v>540</v>
      </c>
      <c r="I1058" s="41">
        <f t="shared" si="129"/>
        <v>0.18</v>
      </c>
      <c r="J1058" s="37">
        <f t="shared" si="131"/>
        <v>363.06180000000001</v>
      </c>
      <c r="K1058" s="37">
        <f t="shared" si="130"/>
        <v>133.49782386000001</v>
      </c>
      <c r="L1058" s="37">
        <v>140.24699999999999</v>
      </c>
      <c r="M1058" s="37">
        <f t="shared" si="132"/>
        <v>17.979667200000005</v>
      </c>
      <c r="N1058" s="37">
        <f t="shared" si="133"/>
        <v>21.917214316800006</v>
      </c>
      <c r="O1058" s="45">
        <f t="shared" si="134"/>
        <v>0.42103027974537033</v>
      </c>
    </row>
    <row r="1059" spans="1:15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8">
        <f t="shared" si="128"/>
        <v>1514.3</v>
      </c>
      <c r="G1059" s="339">
        <v>1010</v>
      </c>
      <c r="H1059" s="878">
        <v>641</v>
      </c>
      <c r="I1059" s="41">
        <f t="shared" si="129"/>
        <v>0.21366666666666667</v>
      </c>
      <c r="J1059" s="37">
        <f t="shared" si="131"/>
        <v>430.96780333333334</v>
      </c>
      <c r="K1059" s="37">
        <f t="shared" si="130"/>
        <v>158.46686128566668</v>
      </c>
      <c r="L1059" s="37">
        <v>166.47838333333334</v>
      </c>
      <c r="M1059" s="37">
        <f t="shared" si="132"/>
        <v>21.342530880000002</v>
      </c>
      <c r="N1059" s="37">
        <f t="shared" si="133"/>
        <v>26.016545142720005</v>
      </c>
      <c r="O1059" s="45">
        <f t="shared" si="134"/>
        <v>0.51327714378414679</v>
      </c>
    </row>
    <row r="1060" spans="1:15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8">
        <f t="shared" si="128"/>
        <v>394</v>
      </c>
      <c r="G1060" s="339">
        <v>241</v>
      </c>
      <c r="H1060" s="878">
        <v>141</v>
      </c>
      <c r="I1060" s="41">
        <f t="shared" si="129"/>
        <v>4.7E-2</v>
      </c>
      <c r="J1060" s="37">
        <f t="shared" si="131"/>
        <v>94.799469999999999</v>
      </c>
      <c r="K1060" s="37">
        <f t="shared" si="130"/>
        <v>34.857765119</v>
      </c>
      <c r="L1060" s="37">
        <v>36.620049999999999</v>
      </c>
      <c r="M1060" s="37">
        <f t="shared" si="132"/>
        <v>4.6946908800000005</v>
      </c>
      <c r="N1060" s="37">
        <f t="shared" si="133"/>
        <v>5.7228281827200007</v>
      </c>
      <c r="O1060" s="45">
        <f t="shared" si="134"/>
        <v>0.43393902537817258</v>
      </c>
    </row>
    <row r="1061" spans="1:15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8">
        <f t="shared" si="128"/>
        <v>572.5</v>
      </c>
      <c r="G1061" s="339">
        <v>166</v>
      </c>
      <c r="H1061" s="878">
        <v>25.4</v>
      </c>
      <c r="I1061" s="41">
        <f t="shared" si="129"/>
        <v>8.4666666666666657E-3</v>
      </c>
      <c r="J1061" s="37">
        <f t="shared" si="131"/>
        <v>17.077351333333333</v>
      </c>
      <c r="K1061" s="37">
        <f t="shared" si="130"/>
        <v>6.2793420852666673</v>
      </c>
      <c r="L1061" s="37">
        <v>6.596803333333332</v>
      </c>
      <c r="M1061" s="37">
        <f t="shared" si="132"/>
        <v>0.84571027200000004</v>
      </c>
      <c r="N1061" s="37">
        <f t="shared" si="133"/>
        <v>1.0309208215680001</v>
      </c>
      <c r="O1061" s="45">
        <f t="shared" si="134"/>
        <v>5.3797741526521101E-2</v>
      </c>
    </row>
    <row r="1062" spans="1:15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8">
        <f t="shared" si="128"/>
        <v>351.9</v>
      </c>
      <c r="G1062" s="339">
        <v>152</v>
      </c>
      <c r="H1062" s="878">
        <v>80</v>
      </c>
      <c r="I1062" s="41">
        <f t="shared" si="129"/>
        <v>2.6666666666666668E-2</v>
      </c>
      <c r="J1062" s="37">
        <f t="shared" si="131"/>
        <v>53.786933333333337</v>
      </c>
      <c r="K1062" s="37">
        <f t="shared" si="130"/>
        <v>19.77745538666667</v>
      </c>
      <c r="L1062" s="37">
        <v>20.777333333333335</v>
      </c>
      <c r="M1062" s="37">
        <f t="shared" si="132"/>
        <v>2.6636544000000004</v>
      </c>
      <c r="N1062" s="37">
        <f t="shared" si="133"/>
        <v>3.2469947136000008</v>
      </c>
      <c r="O1062" s="45">
        <f t="shared" si="134"/>
        <v>0.27566176883584353</v>
      </c>
    </row>
    <row r="1063" spans="1:15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8">
        <f t="shared" si="128"/>
        <v>449.4</v>
      </c>
      <c r="G1063" s="339">
        <v>242</v>
      </c>
      <c r="H1063" s="878">
        <v>142</v>
      </c>
      <c r="I1063" s="41">
        <f t="shared" si="129"/>
        <v>4.7333333333333331E-2</v>
      </c>
      <c r="J1063" s="37">
        <f t="shared" si="131"/>
        <v>95.471806666666666</v>
      </c>
      <c r="K1063" s="37">
        <f t="shared" si="130"/>
        <v>35.104983311333335</v>
      </c>
      <c r="L1063" s="37">
        <v>36.879766666666661</v>
      </c>
      <c r="M1063" s="37">
        <f t="shared" si="132"/>
        <v>4.7279865600000006</v>
      </c>
      <c r="N1063" s="37">
        <f t="shared" si="133"/>
        <v>5.7634156166400015</v>
      </c>
      <c r="O1063" s="45">
        <f t="shared" si="134"/>
        <v>0.38314317580032636</v>
      </c>
    </row>
    <row r="1064" spans="1:15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8">
        <f t="shared" ref="F1064:F1126" si="135">C1064+D1064+E1064</f>
        <v>1394.3</v>
      </c>
      <c r="G1064" s="339">
        <v>313</v>
      </c>
      <c r="H1064" s="878">
        <v>113</v>
      </c>
      <c r="I1064" s="41">
        <f t="shared" si="129"/>
        <v>3.7666666666666668E-2</v>
      </c>
      <c r="J1064" s="37">
        <f t="shared" si="131"/>
        <v>75.974043333333341</v>
      </c>
      <c r="K1064" s="37">
        <f t="shared" si="130"/>
        <v>27.935655733666671</v>
      </c>
      <c r="L1064" s="37">
        <v>29.347983333333332</v>
      </c>
      <c r="M1064" s="37">
        <f t="shared" si="132"/>
        <v>3.7624118400000004</v>
      </c>
      <c r="N1064" s="37">
        <f t="shared" si="133"/>
        <v>4.5863800329600011</v>
      </c>
      <c r="O1064" s="45">
        <f t="shared" si="134"/>
        <v>9.8271601692844698E-2</v>
      </c>
    </row>
    <row r="1065" spans="1:15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8">
        <f t="shared" si="135"/>
        <v>398.7</v>
      </c>
      <c r="G1065" s="339">
        <v>144</v>
      </c>
      <c r="H1065" s="878">
        <v>44</v>
      </c>
      <c r="I1065" s="41">
        <f t="shared" si="129"/>
        <v>1.4666666666666666E-2</v>
      </c>
      <c r="J1065" s="37">
        <f t="shared" si="131"/>
        <v>29.582813333333334</v>
      </c>
      <c r="K1065" s="37">
        <f t="shared" si="130"/>
        <v>10.877600462666667</v>
      </c>
      <c r="L1065" s="37">
        <v>11.427533333333333</v>
      </c>
      <c r="M1065" s="37">
        <f t="shared" si="132"/>
        <v>1.4650099200000002</v>
      </c>
      <c r="N1065" s="37">
        <f t="shared" si="133"/>
        <v>1.7858470924800003</v>
      </c>
      <c r="O1065" s="45">
        <f t="shared" si="134"/>
        <v>0.13381729884457819</v>
      </c>
    </row>
    <row r="1066" spans="1:15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8">
        <f t="shared" si="135"/>
        <v>359.4</v>
      </c>
      <c r="G1066" s="339">
        <v>235</v>
      </c>
      <c r="H1066" s="877">
        <v>185</v>
      </c>
      <c r="I1066" s="41">
        <f t="shared" ref="I1066:I1128" si="136">H1066/3000</f>
        <v>6.1666666666666668E-2</v>
      </c>
      <c r="J1066" s="37">
        <f t="shared" si="131"/>
        <v>124.38228333333333</v>
      </c>
      <c r="K1066" s="37">
        <f t="shared" ref="K1066:K1128" si="137">J1066*0.3677</f>
        <v>45.73536558166667</v>
      </c>
      <c r="L1066" s="37">
        <v>48.047583333333336</v>
      </c>
      <c r="M1066" s="37">
        <f t="shared" si="132"/>
        <v>6.1597008000000004</v>
      </c>
      <c r="N1066" s="37">
        <f t="shared" si="133"/>
        <v>7.5086752752000008</v>
      </c>
      <c r="O1066" s="45">
        <f t="shared" si="134"/>
        <v>0.62416508917176783</v>
      </c>
    </row>
    <row r="1067" spans="1:15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8">
        <f t="shared" si="135"/>
        <v>694.9</v>
      </c>
      <c r="G1067" s="339">
        <v>373</v>
      </c>
      <c r="H1067" s="878">
        <v>215</v>
      </c>
      <c r="I1067" s="41">
        <f t="shared" si="136"/>
        <v>7.166666666666667E-2</v>
      </c>
      <c r="J1067" s="37">
        <f t="shared" si="131"/>
        <v>144.55238333333335</v>
      </c>
      <c r="K1067" s="37">
        <f t="shared" si="137"/>
        <v>53.151911351666676</v>
      </c>
      <c r="L1067" s="37">
        <v>55.839083333333335</v>
      </c>
      <c r="M1067" s="37">
        <f t="shared" si="132"/>
        <v>7.1585712000000008</v>
      </c>
      <c r="N1067" s="37">
        <f t="shared" si="133"/>
        <v>8.726298292800001</v>
      </c>
      <c r="O1067" s="45">
        <f t="shared" si="134"/>
        <v>0.37516469883196629</v>
      </c>
    </row>
    <row r="1068" spans="1:15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8">
        <f t="shared" si="135"/>
        <v>629.6</v>
      </c>
      <c r="G1068" s="339">
        <v>229</v>
      </c>
      <c r="H1068" s="878">
        <v>99</v>
      </c>
      <c r="I1068" s="41">
        <f t="shared" si="136"/>
        <v>3.3000000000000002E-2</v>
      </c>
      <c r="J1068" s="37">
        <f t="shared" si="131"/>
        <v>66.561329999999998</v>
      </c>
      <c r="K1068" s="37">
        <f t="shared" si="137"/>
        <v>24.474601041</v>
      </c>
      <c r="L1068" s="37">
        <v>25.711950000000002</v>
      </c>
      <c r="M1068" s="37">
        <f t="shared" si="132"/>
        <v>3.2962723200000008</v>
      </c>
      <c r="N1068" s="37">
        <f t="shared" si="133"/>
        <v>4.0181559580800013</v>
      </c>
      <c r="O1068" s="45">
        <f t="shared" si="134"/>
        <v>0.1906673338008259</v>
      </c>
    </row>
    <row r="1069" spans="1:15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8">
        <f t="shared" si="135"/>
        <v>969.07</v>
      </c>
      <c r="G1069" s="339">
        <v>354</v>
      </c>
      <c r="H1069" s="878">
        <v>52</v>
      </c>
      <c r="I1069" s="41">
        <f t="shared" si="136"/>
        <v>1.7333333333333333E-2</v>
      </c>
      <c r="J1069" s="37">
        <f t="shared" si="131"/>
        <v>34.961506666666665</v>
      </c>
      <c r="K1069" s="37">
        <f t="shared" si="137"/>
        <v>12.855346001333334</v>
      </c>
      <c r="L1069" s="37">
        <v>13.505266666666666</v>
      </c>
      <c r="M1069" s="37">
        <f t="shared" si="132"/>
        <v>1.7313753600000001</v>
      </c>
      <c r="N1069" s="37">
        <f t="shared" si="133"/>
        <v>2.1105465638400003</v>
      </c>
      <c r="O1069" s="45">
        <f t="shared" si="134"/>
        <v>6.5065985630209017E-2</v>
      </c>
    </row>
    <row r="1070" spans="1:15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8">
        <f t="shared" si="135"/>
        <v>315.7</v>
      </c>
      <c r="G1070" s="339">
        <v>176</v>
      </c>
      <c r="H1070" s="878">
        <v>140</v>
      </c>
      <c r="I1070" s="41">
        <f t="shared" si="136"/>
        <v>4.6666666666666669E-2</v>
      </c>
      <c r="J1070" s="37">
        <f t="shared" si="131"/>
        <v>94.127133333333333</v>
      </c>
      <c r="K1070" s="37">
        <f t="shared" si="137"/>
        <v>34.610546926666672</v>
      </c>
      <c r="L1070" s="37">
        <v>36.360333333333337</v>
      </c>
      <c r="M1070" s="37">
        <f t="shared" si="132"/>
        <v>4.6613952000000012</v>
      </c>
      <c r="N1070" s="37">
        <f t="shared" si="133"/>
        <v>5.6822407488000017</v>
      </c>
      <c r="O1070" s="45">
        <f t="shared" si="134"/>
        <v>0.53772381626016252</v>
      </c>
    </row>
    <row r="1071" spans="1:15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8">
        <f t="shared" si="135"/>
        <v>677.4</v>
      </c>
      <c r="G1071" s="339">
        <v>430</v>
      </c>
      <c r="H1071" s="877">
        <v>230</v>
      </c>
      <c r="I1071" s="41">
        <f t="shared" si="136"/>
        <v>7.6666666666666661E-2</v>
      </c>
      <c r="J1071" s="37">
        <f t="shared" si="131"/>
        <v>154.63743333333332</v>
      </c>
      <c r="K1071" s="37">
        <f t="shared" si="137"/>
        <v>56.860184236666669</v>
      </c>
      <c r="L1071" s="37">
        <v>59.734833333333327</v>
      </c>
      <c r="M1071" s="37">
        <f t="shared" si="132"/>
        <v>7.6580064000000005</v>
      </c>
      <c r="N1071" s="37">
        <f t="shared" si="133"/>
        <v>9.3351098016000016</v>
      </c>
      <c r="O1071" s="45">
        <f t="shared" si="134"/>
        <v>0.41170720003444539</v>
      </c>
    </row>
    <row r="1072" spans="1:15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8">
        <f t="shared" si="135"/>
        <v>255.8</v>
      </c>
      <c r="G1072" s="339">
        <v>140</v>
      </c>
      <c r="H1072" s="878">
        <v>70</v>
      </c>
      <c r="I1072" s="41">
        <f t="shared" si="136"/>
        <v>2.3333333333333334E-2</v>
      </c>
      <c r="J1072" s="37">
        <f t="shared" si="131"/>
        <v>47.063566666666667</v>
      </c>
      <c r="K1072" s="37">
        <f t="shared" si="137"/>
        <v>17.305273463333336</v>
      </c>
      <c r="L1072" s="37">
        <v>18.180166666666668</v>
      </c>
      <c r="M1072" s="37">
        <f t="shared" si="132"/>
        <v>2.3306976000000006</v>
      </c>
      <c r="N1072" s="37">
        <f t="shared" si="133"/>
        <v>2.8411203744000009</v>
      </c>
      <c r="O1072" s="45">
        <f t="shared" si="134"/>
        <v>0.33182058012770388</v>
      </c>
    </row>
    <row r="1073" spans="1:15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8">
        <f t="shared" si="135"/>
        <v>352.5</v>
      </c>
      <c r="G1073" s="339">
        <v>110</v>
      </c>
      <c r="H1073" s="878">
        <v>110</v>
      </c>
      <c r="I1073" s="41">
        <f t="shared" si="136"/>
        <v>3.6666666666666667E-2</v>
      </c>
      <c r="J1073" s="37">
        <f t="shared" ref="J1073:J1136" si="138">I1073*2017.01</f>
        <v>73.957033333333328</v>
      </c>
      <c r="K1073" s="37">
        <f t="shared" si="137"/>
        <v>27.194001156666666</v>
      </c>
      <c r="L1073" s="37">
        <v>28.568833333333334</v>
      </c>
      <c r="M1073" s="37">
        <f t="shared" si="132"/>
        <v>3.6625248000000004</v>
      </c>
      <c r="N1073" s="37">
        <f t="shared" si="133"/>
        <v>4.4646177312000006</v>
      </c>
      <c r="O1073" s="45">
        <f t="shared" si="134"/>
        <v>0.37838976630732862</v>
      </c>
    </row>
    <row r="1074" spans="1:15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8">
        <f t="shared" si="135"/>
        <v>642.9</v>
      </c>
      <c r="G1074" s="339">
        <v>269</v>
      </c>
      <c r="H1074" s="878">
        <v>120</v>
      </c>
      <c r="I1074" s="41">
        <f t="shared" si="136"/>
        <v>0.04</v>
      </c>
      <c r="J1074" s="37">
        <f t="shared" si="138"/>
        <v>80.680400000000006</v>
      </c>
      <c r="K1074" s="37">
        <f t="shared" si="137"/>
        <v>29.666183080000003</v>
      </c>
      <c r="L1074" s="37">
        <v>31.166</v>
      </c>
      <c r="M1074" s="37">
        <f t="shared" ref="M1074:M1137" si="139">I1074*84.08*1.1*1.08</f>
        <v>3.9954816000000006</v>
      </c>
      <c r="N1074" s="37">
        <f t="shared" ref="N1074:N1137" si="140">M1074*1.219</f>
        <v>4.870492070400001</v>
      </c>
      <c r="O1074" s="45">
        <f t="shared" si="134"/>
        <v>0.2263307896717997</v>
      </c>
    </row>
    <row r="1075" spans="1:15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8">
        <f t="shared" si="135"/>
        <v>324.39999999999998</v>
      </c>
      <c r="G1075" s="339">
        <v>212</v>
      </c>
      <c r="H1075" s="878">
        <v>143.19999999999999</v>
      </c>
      <c r="I1075" s="41">
        <f t="shared" si="136"/>
        <v>4.7733333333333329E-2</v>
      </c>
      <c r="J1075" s="37">
        <f t="shared" si="138"/>
        <v>96.278610666666651</v>
      </c>
      <c r="K1075" s="37">
        <f t="shared" si="137"/>
        <v>35.401645142133333</v>
      </c>
      <c r="L1075" s="37">
        <v>37.191426666666665</v>
      </c>
      <c r="M1075" s="37">
        <f t="shared" si="139"/>
        <v>4.7679413760000005</v>
      </c>
      <c r="N1075" s="37">
        <f t="shared" si="140"/>
        <v>5.8121205373440006</v>
      </c>
      <c r="O1075" s="45">
        <f t="shared" si="134"/>
        <v>0.53526394528812171</v>
      </c>
    </row>
    <row r="1076" spans="1:15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8">
        <f t="shared" si="135"/>
        <v>505</v>
      </c>
      <c r="G1076" s="339">
        <v>330</v>
      </c>
      <c r="H1076" s="877">
        <v>247.2</v>
      </c>
      <c r="I1076" s="41">
        <f t="shared" si="136"/>
        <v>8.2400000000000001E-2</v>
      </c>
      <c r="J1076" s="37">
        <f t="shared" si="138"/>
        <v>166.20162400000001</v>
      </c>
      <c r="K1076" s="37">
        <f t="shared" si="137"/>
        <v>61.112337144800009</v>
      </c>
      <c r="L1076" s="37">
        <v>64.20196</v>
      </c>
      <c r="M1076" s="37">
        <f t="shared" si="139"/>
        <v>8.2306920960000021</v>
      </c>
      <c r="N1076" s="37">
        <f t="shared" si="140"/>
        <v>10.033213665024004</v>
      </c>
      <c r="O1076" s="45">
        <f t="shared" si="134"/>
        <v>0.59355764998178218</v>
      </c>
    </row>
    <row r="1077" spans="1:15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8">
        <f t="shared" si="135"/>
        <v>548.70000000000005</v>
      </c>
      <c r="G1077" s="339">
        <v>360</v>
      </c>
      <c r="H1077" s="877">
        <v>200</v>
      </c>
      <c r="I1077" s="41">
        <f t="shared" si="136"/>
        <v>6.6666666666666666E-2</v>
      </c>
      <c r="J1077" s="37">
        <f t="shared" si="138"/>
        <v>134.46733333333333</v>
      </c>
      <c r="K1077" s="37">
        <f t="shared" si="137"/>
        <v>49.44363846666667</v>
      </c>
      <c r="L1077" s="37">
        <v>51.943333333333328</v>
      </c>
      <c r="M1077" s="37">
        <f t="shared" si="139"/>
        <v>6.6591360000000011</v>
      </c>
      <c r="N1077" s="37">
        <f t="shared" si="140"/>
        <v>8.1174867840000022</v>
      </c>
      <c r="O1077" s="45">
        <f t="shared" si="134"/>
        <v>0.44197820509082064</v>
      </c>
    </row>
    <row r="1078" spans="1:15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8">
        <f t="shared" si="135"/>
        <v>222.33</v>
      </c>
      <c r="G1078" s="339">
        <v>143</v>
      </c>
      <c r="H1078" s="878">
        <v>73</v>
      </c>
      <c r="I1078" s="41">
        <f t="shared" si="136"/>
        <v>2.4333333333333332E-2</v>
      </c>
      <c r="J1078" s="37">
        <f t="shared" si="138"/>
        <v>49.080576666666666</v>
      </c>
      <c r="K1078" s="37">
        <f t="shared" si="137"/>
        <v>18.046928040333334</v>
      </c>
      <c r="L1078" s="37">
        <v>18.959316666666666</v>
      </c>
      <c r="M1078" s="37">
        <f t="shared" si="139"/>
        <v>2.4305846400000002</v>
      </c>
      <c r="N1078" s="37">
        <f t="shared" si="140"/>
        <v>2.9628826761600005</v>
      </c>
      <c r="O1078" s="45">
        <f t="shared" si="134"/>
        <v>0.39813523147423502</v>
      </c>
    </row>
    <row r="1079" spans="1:15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8">
        <f t="shared" si="135"/>
        <v>461.2</v>
      </c>
      <c r="G1079" s="339">
        <v>300</v>
      </c>
      <c r="H1079" s="878">
        <v>143</v>
      </c>
      <c r="I1079" s="41">
        <f t="shared" si="136"/>
        <v>4.766666666666667E-2</v>
      </c>
      <c r="J1079" s="37">
        <f t="shared" si="138"/>
        <v>96.144143333333332</v>
      </c>
      <c r="K1079" s="37">
        <f t="shared" si="137"/>
        <v>35.35220150366667</v>
      </c>
      <c r="L1079" s="37">
        <v>37.139483333333338</v>
      </c>
      <c r="M1079" s="37">
        <f t="shared" si="139"/>
        <v>4.7612822400000017</v>
      </c>
      <c r="N1079" s="37">
        <f t="shared" si="140"/>
        <v>5.8040030505600022</v>
      </c>
      <c r="O1079" s="45">
        <f t="shared" si="134"/>
        <v>0.37596945015250083</v>
      </c>
    </row>
    <row r="1080" spans="1:15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8">
        <f t="shared" si="135"/>
        <v>446.5</v>
      </c>
      <c r="G1080" s="339">
        <v>260</v>
      </c>
      <c r="H1080" s="877">
        <v>130</v>
      </c>
      <c r="I1080" s="41">
        <f t="shared" si="136"/>
        <v>4.3333333333333335E-2</v>
      </c>
      <c r="J1080" s="37">
        <f t="shared" si="138"/>
        <v>87.403766666666669</v>
      </c>
      <c r="K1080" s="37">
        <f t="shared" si="137"/>
        <v>32.138365003333334</v>
      </c>
      <c r="L1080" s="37">
        <v>33.76316666666667</v>
      </c>
      <c r="M1080" s="37">
        <f t="shared" si="139"/>
        <v>4.3284384000000005</v>
      </c>
      <c r="N1080" s="37">
        <f t="shared" si="140"/>
        <v>5.2763664096000014</v>
      </c>
      <c r="O1080" s="45">
        <f t="shared" si="134"/>
        <v>0.35304308339678991</v>
      </c>
    </row>
    <row r="1081" spans="1:15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8">
        <f t="shared" si="135"/>
        <v>291.5</v>
      </c>
      <c r="G1081" s="339">
        <v>190</v>
      </c>
      <c r="H1081" s="878">
        <v>90</v>
      </c>
      <c r="I1081" s="41">
        <f t="shared" si="136"/>
        <v>0.03</v>
      </c>
      <c r="J1081" s="37">
        <f t="shared" si="138"/>
        <v>60.510300000000001</v>
      </c>
      <c r="K1081" s="37">
        <f t="shared" si="137"/>
        <v>22.249637310000001</v>
      </c>
      <c r="L1081" s="37">
        <v>23.374499999999998</v>
      </c>
      <c r="M1081" s="37">
        <f t="shared" si="139"/>
        <v>2.9966111999999998</v>
      </c>
      <c r="N1081" s="37">
        <f t="shared" si="140"/>
        <v>3.6528690527999998</v>
      </c>
      <c r="O1081" s="45">
        <f t="shared" si="134"/>
        <v>0.3743775249056604</v>
      </c>
    </row>
    <row r="1082" spans="1:15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8">
        <f t="shared" si="135"/>
        <v>361.5</v>
      </c>
      <c r="G1082" s="339">
        <v>150</v>
      </c>
      <c r="H1082" s="878">
        <v>60</v>
      </c>
      <c r="I1082" s="41">
        <f t="shared" si="136"/>
        <v>0.02</v>
      </c>
      <c r="J1082" s="37">
        <f t="shared" si="138"/>
        <v>40.340200000000003</v>
      </c>
      <c r="K1082" s="37">
        <f t="shared" si="137"/>
        <v>14.833091540000002</v>
      </c>
      <c r="L1082" s="37">
        <v>15.583</v>
      </c>
      <c r="M1082" s="37">
        <f t="shared" si="139"/>
        <v>1.9977408000000003</v>
      </c>
      <c r="N1082" s="37">
        <f t="shared" si="140"/>
        <v>2.4352460352000005</v>
      </c>
      <c r="O1082" s="45">
        <f t="shared" si="134"/>
        <v>0.20125596774550486</v>
      </c>
    </row>
    <row r="1083" spans="1:15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8">
        <f t="shared" si="135"/>
        <v>485.90000000000003</v>
      </c>
      <c r="G1083" s="339">
        <v>263</v>
      </c>
      <c r="H1083" s="878">
        <v>150</v>
      </c>
      <c r="I1083" s="41">
        <f t="shared" si="136"/>
        <v>0.05</v>
      </c>
      <c r="J1083" s="37">
        <f t="shared" si="138"/>
        <v>100.85050000000001</v>
      </c>
      <c r="K1083" s="37">
        <f t="shared" si="137"/>
        <v>37.082728850000009</v>
      </c>
      <c r="L1083" s="37">
        <v>38.957500000000003</v>
      </c>
      <c r="M1083" s="37">
        <f t="shared" si="139"/>
        <v>4.994352000000001</v>
      </c>
      <c r="N1083" s="37">
        <f t="shared" si="140"/>
        <v>6.0881150880000012</v>
      </c>
      <c r="O1083" s="45">
        <f t="shared" si="134"/>
        <v>0.3743261593949373</v>
      </c>
    </row>
    <row r="1084" spans="1:15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8">
        <f t="shared" si="135"/>
        <v>430.5</v>
      </c>
      <c r="G1084" s="339">
        <v>223</v>
      </c>
      <c r="H1084" s="878">
        <v>138.19999999999999</v>
      </c>
      <c r="I1084" s="41">
        <f t="shared" si="136"/>
        <v>4.6066666666666665E-2</v>
      </c>
      <c r="J1084" s="37">
        <f t="shared" si="138"/>
        <v>92.916927333333334</v>
      </c>
      <c r="K1084" s="37">
        <f t="shared" si="137"/>
        <v>34.165554180466671</v>
      </c>
      <c r="L1084" s="37">
        <v>35.892843333333332</v>
      </c>
      <c r="M1084" s="37">
        <f t="shared" si="139"/>
        <v>4.6014629760000005</v>
      </c>
      <c r="N1084" s="37">
        <f t="shared" si="140"/>
        <v>5.6091833677440013</v>
      </c>
      <c r="O1084" s="45">
        <f t="shared" si="134"/>
        <v>0.38926083118033289</v>
      </c>
    </row>
    <row r="1085" spans="1:15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8">
        <f t="shared" si="135"/>
        <v>96.4</v>
      </c>
      <c r="G1085" s="339">
        <v>60</v>
      </c>
      <c r="H1085" s="878">
        <v>40</v>
      </c>
      <c r="I1085" s="41">
        <f t="shared" si="136"/>
        <v>1.3333333333333334E-2</v>
      </c>
      <c r="J1085" s="37">
        <f t="shared" si="138"/>
        <v>26.893466666666669</v>
      </c>
      <c r="K1085" s="37">
        <f t="shared" si="137"/>
        <v>9.888727693333335</v>
      </c>
      <c r="L1085" s="37">
        <v>10.388666666666667</v>
      </c>
      <c r="M1085" s="37">
        <f t="shared" si="139"/>
        <v>1.3318272000000002</v>
      </c>
      <c r="N1085" s="37">
        <f t="shared" si="140"/>
        <v>1.6234973568000004</v>
      </c>
      <c r="O1085" s="45">
        <f t="shared" si="134"/>
        <v>0.50313991936376212</v>
      </c>
    </row>
    <row r="1086" spans="1:15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8">
        <f t="shared" si="135"/>
        <v>76.2</v>
      </c>
      <c r="G1086" s="339">
        <v>11</v>
      </c>
      <c r="H1086" s="878">
        <v>0</v>
      </c>
      <c r="I1086" s="41">
        <f t="shared" si="136"/>
        <v>0</v>
      </c>
      <c r="J1086" s="37">
        <f t="shared" si="138"/>
        <v>0</v>
      </c>
      <c r="K1086" s="37">
        <f t="shared" si="137"/>
        <v>0</v>
      </c>
      <c r="L1086" s="37">
        <v>0</v>
      </c>
      <c r="M1086" s="37">
        <f t="shared" si="139"/>
        <v>0</v>
      </c>
      <c r="N1086" s="37">
        <f t="shared" si="140"/>
        <v>0</v>
      </c>
      <c r="O1086" s="45">
        <f t="shared" si="134"/>
        <v>0</v>
      </c>
    </row>
    <row r="1087" spans="1:15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8">
        <f t="shared" si="135"/>
        <v>84.3</v>
      </c>
      <c r="G1087" s="339">
        <v>55</v>
      </c>
      <c r="H1087" s="878">
        <v>35</v>
      </c>
      <c r="I1087" s="41">
        <f t="shared" si="136"/>
        <v>1.1666666666666667E-2</v>
      </c>
      <c r="J1087" s="37">
        <f t="shared" si="138"/>
        <v>23.531783333333333</v>
      </c>
      <c r="K1087" s="37">
        <f t="shared" si="137"/>
        <v>8.6526367316666679</v>
      </c>
      <c r="L1087" s="37">
        <v>9.0900833333333342</v>
      </c>
      <c r="M1087" s="37">
        <f t="shared" si="139"/>
        <v>1.1653488000000003</v>
      </c>
      <c r="N1087" s="37">
        <f t="shared" si="140"/>
        <v>1.4205601872000004</v>
      </c>
      <c r="O1087" s="45">
        <f t="shared" si="134"/>
        <v>0.50343834161723999</v>
      </c>
    </row>
    <row r="1088" spans="1:15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8">
        <f t="shared" si="135"/>
        <v>236.4</v>
      </c>
      <c r="G1088" s="339">
        <v>61</v>
      </c>
      <c r="H1088" s="878">
        <v>51</v>
      </c>
      <c r="I1088" s="41">
        <f t="shared" si="136"/>
        <v>1.7000000000000001E-2</v>
      </c>
      <c r="J1088" s="37">
        <f t="shared" si="138"/>
        <v>34.289170000000006</v>
      </c>
      <c r="K1088" s="37">
        <f t="shared" si="137"/>
        <v>12.608127809000003</v>
      </c>
      <c r="L1088" s="37">
        <v>13.24555</v>
      </c>
      <c r="M1088" s="37">
        <f t="shared" si="139"/>
        <v>1.6980796800000002</v>
      </c>
      <c r="N1088" s="37">
        <f t="shared" si="140"/>
        <v>2.0699591299200004</v>
      </c>
      <c r="O1088" s="45">
        <f t="shared" si="134"/>
        <v>0.2615944479230119</v>
      </c>
    </row>
    <row r="1089" spans="1:15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8">
        <f t="shared" si="135"/>
        <v>84.3</v>
      </c>
      <c r="G1089" s="339">
        <v>24</v>
      </c>
      <c r="H1089" s="878">
        <v>0</v>
      </c>
      <c r="I1089" s="41">
        <f t="shared" si="136"/>
        <v>0</v>
      </c>
      <c r="J1089" s="37">
        <f t="shared" si="138"/>
        <v>0</v>
      </c>
      <c r="K1089" s="37">
        <f t="shared" si="137"/>
        <v>0</v>
      </c>
      <c r="L1089" s="37">
        <v>0</v>
      </c>
      <c r="M1089" s="37">
        <f t="shared" si="139"/>
        <v>0</v>
      </c>
      <c r="N1089" s="37">
        <f t="shared" si="140"/>
        <v>0</v>
      </c>
      <c r="O1089" s="45">
        <f t="shared" si="134"/>
        <v>0</v>
      </c>
    </row>
    <row r="1090" spans="1:15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8">
        <f t="shared" si="135"/>
        <v>84.3</v>
      </c>
      <c r="G1090" s="339">
        <v>56</v>
      </c>
      <c r="H1090" s="878">
        <v>24</v>
      </c>
      <c r="I1090" s="41">
        <f t="shared" si="136"/>
        <v>8.0000000000000002E-3</v>
      </c>
      <c r="J1090" s="37">
        <f t="shared" si="138"/>
        <v>16.13608</v>
      </c>
      <c r="K1090" s="37">
        <f t="shared" si="137"/>
        <v>5.9332366160000003</v>
      </c>
      <c r="L1090" s="37">
        <v>6.2332000000000001</v>
      </c>
      <c r="M1090" s="37">
        <f t="shared" si="139"/>
        <v>0.79909632000000019</v>
      </c>
      <c r="N1090" s="37">
        <f t="shared" si="140"/>
        <v>0.97409841408000031</v>
      </c>
      <c r="O1090" s="45">
        <f t="shared" si="134"/>
        <v>0.34521486282325031</v>
      </c>
    </row>
    <row r="1091" spans="1:15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8">
        <f t="shared" si="135"/>
        <v>176.6</v>
      </c>
      <c r="G1091" s="339">
        <v>115</v>
      </c>
      <c r="H1091" s="878">
        <v>45</v>
      </c>
      <c r="I1091" s="41">
        <f t="shared" si="136"/>
        <v>1.4999999999999999E-2</v>
      </c>
      <c r="J1091" s="37">
        <f t="shared" si="138"/>
        <v>30.25515</v>
      </c>
      <c r="K1091" s="37">
        <f t="shared" si="137"/>
        <v>11.124818655</v>
      </c>
      <c r="L1091" s="37">
        <v>11.687249999999999</v>
      </c>
      <c r="M1091" s="37">
        <f t="shared" si="139"/>
        <v>1.4983055999999999</v>
      </c>
      <c r="N1091" s="37">
        <f t="shared" si="140"/>
        <v>1.8264345263999999</v>
      </c>
      <c r="O1091" s="45">
        <f t="shared" si="134"/>
        <v>0.30897805353907137</v>
      </c>
    </row>
    <row r="1092" spans="1:15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8">
        <f t="shared" si="135"/>
        <v>111.5</v>
      </c>
      <c r="G1092" s="339">
        <v>21</v>
      </c>
      <c r="H1092" s="878">
        <v>0</v>
      </c>
      <c r="I1092" s="41">
        <f t="shared" si="136"/>
        <v>0</v>
      </c>
      <c r="J1092" s="37">
        <f t="shared" si="138"/>
        <v>0</v>
      </c>
      <c r="K1092" s="37">
        <f t="shared" si="137"/>
        <v>0</v>
      </c>
      <c r="L1092" s="37">
        <v>0</v>
      </c>
      <c r="M1092" s="37">
        <f t="shared" si="139"/>
        <v>0</v>
      </c>
      <c r="N1092" s="37">
        <f t="shared" si="140"/>
        <v>0</v>
      </c>
      <c r="O1092" s="45">
        <f t="shared" si="134"/>
        <v>0</v>
      </c>
    </row>
    <row r="1093" spans="1:15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8">
        <f t="shared" si="135"/>
        <v>94.2</v>
      </c>
      <c r="G1093" s="339">
        <v>40</v>
      </c>
      <c r="H1093" s="878">
        <v>5</v>
      </c>
      <c r="I1093" s="41">
        <f t="shared" si="136"/>
        <v>1.6666666666666668E-3</v>
      </c>
      <c r="J1093" s="37">
        <f t="shared" si="138"/>
        <v>3.3616833333333336</v>
      </c>
      <c r="K1093" s="37">
        <f t="shared" si="137"/>
        <v>1.2360909616666669</v>
      </c>
      <c r="L1093" s="37">
        <v>1.2985833333333334</v>
      </c>
      <c r="M1093" s="37">
        <f t="shared" si="139"/>
        <v>0.16647840000000003</v>
      </c>
      <c r="N1093" s="37">
        <f t="shared" si="140"/>
        <v>0.20293716960000005</v>
      </c>
      <c r="O1093" s="45">
        <f t="shared" si="134"/>
        <v>6.4361316648973821E-2</v>
      </c>
    </row>
    <row r="1094" spans="1:15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8">
        <f t="shared" si="135"/>
        <v>131.4</v>
      </c>
      <c r="G1094" s="339">
        <v>85</v>
      </c>
      <c r="H1094" s="878">
        <v>35</v>
      </c>
      <c r="I1094" s="41">
        <f t="shared" si="136"/>
        <v>1.1666666666666667E-2</v>
      </c>
      <c r="J1094" s="37">
        <f t="shared" si="138"/>
        <v>23.531783333333333</v>
      </c>
      <c r="K1094" s="37">
        <f t="shared" si="137"/>
        <v>8.6526367316666679</v>
      </c>
      <c r="L1094" s="37">
        <v>9.0900833333333342</v>
      </c>
      <c r="M1094" s="37">
        <f t="shared" si="139"/>
        <v>1.1653488000000003</v>
      </c>
      <c r="N1094" s="37">
        <f t="shared" si="140"/>
        <v>1.4205601872000004</v>
      </c>
      <c r="O1094" s="45">
        <f t="shared" si="134"/>
        <v>0.32298213240740736</v>
      </c>
    </row>
    <row r="1095" spans="1:15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8">
        <f t="shared" si="135"/>
        <v>87.9</v>
      </c>
      <c r="G1095" s="339">
        <v>15</v>
      </c>
      <c r="H1095" s="877">
        <v>0</v>
      </c>
      <c r="I1095" s="41">
        <f t="shared" si="136"/>
        <v>0</v>
      </c>
      <c r="J1095" s="37">
        <f t="shared" si="138"/>
        <v>0</v>
      </c>
      <c r="K1095" s="37">
        <f t="shared" si="137"/>
        <v>0</v>
      </c>
      <c r="L1095" s="37">
        <v>0</v>
      </c>
      <c r="M1095" s="37">
        <f t="shared" si="139"/>
        <v>0</v>
      </c>
      <c r="N1095" s="37">
        <f t="shared" si="140"/>
        <v>0</v>
      </c>
      <c r="O1095" s="45">
        <f t="shared" ref="O1095:O1158" si="141">(J1095+K1095+L1095+M1095)/F1095</f>
        <v>0</v>
      </c>
    </row>
    <row r="1096" spans="1:15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8">
        <f t="shared" si="135"/>
        <v>69.599999999999994</v>
      </c>
      <c r="G1096" s="339">
        <v>45</v>
      </c>
      <c r="H1096" s="878">
        <v>15</v>
      </c>
      <c r="I1096" s="41">
        <f t="shared" si="136"/>
        <v>5.0000000000000001E-3</v>
      </c>
      <c r="J1096" s="37">
        <f t="shared" si="138"/>
        <v>10.085050000000001</v>
      </c>
      <c r="K1096" s="37">
        <f t="shared" si="137"/>
        <v>3.7082728850000004</v>
      </c>
      <c r="L1096" s="37">
        <v>3.89575</v>
      </c>
      <c r="M1096" s="37">
        <f t="shared" si="139"/>
        <v>0.49943520000000008</v>
      </c>
      <c r="N1096" s="37">
        <f t="shared" si="140"/>
        <v>0.60881150880000012</v>
      </c>
      <c r="O1096" s="45">
        <f t="shared" si="141"/>
        <v>0.26132913915229888</v>
      </c>
    </row>
    <row r="1097" spans="1:15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8">
        <f t="shared" si="135"/>
        <v>101.5</v>
      </c>
      <c r="G1097" s="339">
        <v>24</v>
      </c>
      <c r="H1097" s="878">
        <v>14</v>
      </c>
      <c r="I1097" s="41">
        <f t="shared" si="136"/>
        <v>4.6666666666666671E-3</v>
      </c>
      <c r="J1097" s="37">
        <f t="shared" si="138"/>
        <v>9.4127133333333344</v>
      </c>
      <c r="K1097" s="37">
        <f t="shared" si="137"/>
        <v>3.4610546926666674</v>
      </c>
      <c r="L1097" s="37">
        <v>3.6360333333333337</v>
      </c>
      <c r="M1097" s="37">
        <f t="shared" si="139"/>
        <v>0.46613952000000008</v>
      </c>
      <c r="N1097" s="37">
        <f t="shared" si="140"/>
        <v>0.56822407488000015</v>
      </c>
      <c r="O1097" s="45">
        <f t="shared" si="141"/>
        <v>0.16725064905747131</v>
      </c>
    </row>
    <row r="1098" spans="1:15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8">
        <f t="shared" si="135"/>
        <v>237.8</v>
      </c>
      <c r="G1098" s="339">
        <v>40</v>
      </c>
      <c r="H1098" s="878">
        <v>40</v>
      </c>
      <c r="I1098" s="41">
        <f t="shared" si="136"/>
        <v>1.3333333333333334E-2</v>
      </c>
      <c r="J1098" s="37">
        <f t="shared" si="138"/>
        <v>26.893466666666669</v>
      </c>
      <c r="K1098" s="37">
        <f t="shared" si="137"/>
        <v>9.888727693333335</v>
      </c>
      <c r="L1098" s="37">
        <v>10.388666666666667</v>
      </c>
      <c r="M1098" s="37">
        <f t="shared" si="139"/>
        <v>1.3318272000000002</v>
      </c>
      <c r="N1098" s="37">
        <f t="shared" si="140"/>
        <v>1.6234973568000004</v>
      </c>
      <c r="O1098" s="45">
        <f t="shared" si="141"/>
        <v>0.20396420616764788</v>
      </c>
    </row>
    <row r="1099" spans="1:15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8">
        <f t="shared" si="135"/>
        <v>96.6</v>
      </c>
      <c r="G1099" s="339">
        <v>24</v>
      </c>
      <c r="H1099" s="877">
        <v>0</v>
      </c>
      <c r="I1099" s="41">
        <f t="shared" si="136"/>
        <v>0</v>
      </c>
      <c r="J1099" s="37">
        <f t="shared" si="138"/>
        <v>0</v>
      </c>
      <c r="K1099" s="37">
        <f t="shared" si="137"/>
        <v>0</v>
      </c>
      <c r="L1099" s="37">
        <v>0</v>
      </c>
      <c r="M1099" s="37">
        <f t="shared" si="139"/>
        <v>0</v>
      </c>
      <c r="N1099" s="37">
        <f t="shared" si="140"/>
        <v>0</v>
      </c>
      <c r="O1099" s="45">
        <f t="shared" si="141"/>
        <v>0</v>
      </c>
    </row>
    <row r="1100" spans="1:15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8">
        <f t="shared" si="135"/>
        <v>120.2</v>
      </c>
      <c r="G1100" s="339">
        <v>41</v>
      </c>
      <c r="H1100" s="878">
        <v>20</v>
      </c>
      <c r="I1100" s="41">
        <f t="shared" si="136"/>
        <v>6.6666666666666671E-3</v>
      </c>
      <c r="J1100" s="37">
        <f t="shared" si="138"/>
        <v>13.446733333333334</v>
      </c>
      <c r="K1100" s="37">
        <f t="shared" si="137"/>
        <v>4.9443638466666675</v>
      </c>
      <c r="L1100" s="37">
        <v>5.1943333333333337</v>
      </c>
      <c r="M1100" s="37">
        <f t="shared" si="139"/>
        <v>0.66591360000000011</v>
      </c>
      <c r="N1100" s="37">
        <f t="shared" si="140"/>
        <v>0.8117486784000002</v>
      </c>
      <c r="O1100" s="45">
        <f t="shared" si="141"/>
        <v>0.20175827049362174</v>
      </c>
    </row>
    <row r="1101" spans="1:15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8">
        <f t="shared" si="135"/>
        <v>340.3</v>
      </c>
      <c r="G1101" s="339">
        <v>185</v>
      </c>
      <c r="H1101" s="878">
        <v>92.4</v>
      </c>
      <c r="I1101" s="41">
        <f t="shared" si="136"/>
        <v>3.0800000000000001E-2</v>
      </c>
      <c r="J1101" s="37">
        <f t="shared" si="138"/>
        <v>62.123908</v>
      </c>
      <c r="K1101" s="37">
        <f t="shared" si="137"/>
        <v>22.8429609716</v>
      </c>
      <c r="L1101" s="37">
        <v>23.997820000000001</v>
      </c>
      <c r="M1101" s="37">
        <f t="shared" si="139"/>
        <v>3.0765208320000004</v>
      </c>
      <c r="N1101" s="37">
        <f t="shared" si="140"/>
        <v>3.7502788942080008</v>
      </c>
      <c r="O1101" s="45">
        <f t="shared" si="141"/>
        <v>0.32924246195592127</v>
      </c>
    </row>
    <row r="1102" spans="1:15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8">
        <f t="shared" si="135"/>
        <v>264.89999999999998</v>
      </c>
      <c r="G1102" s="339">
        <v>175</v>
      </c>
      <c r="H1102" s="878">
        <v>100</v>
      </c>
      <c r="I1102" s="41">
        <f t="shared" si="136"/>
        <v>3.3333333333333333E-2</v>
      </c>
      <c r="J1102" s="37">
        <f t="shared" si="138"/>
        <v>67.233666666666664</v>
      </c>
      <c r="K1102" s="37">
        <f t="shared" si="137"/>
        <v>24.721819233333335</v>
      </c>
      <c r="L1102" s="37">
        <v>25.971666666666664</v>
      </c>
      <c r="M1102" s="37">
        <f t="shared" si="139"/>
        <v>3.3295680000000005</v>
      </c>
      <c r="N1102" s="37">
        <f t="shared" si="140"/>
        <v>4.0587433920000011</v>
      </c>
      <c r="O1102" s="45">
        <f t="shared" si="141"/>
        <v>0.45774526450232794</v>
      </c>
    </row>
    <row r="1103" spans="1:15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8">
        <f t="shared" si="135"/>
        <v>299.7</v>
      </c>
      <c r="G1103" s="339">
        <v>195</v>
      </c>
      <c r="H1103" s="878">
        <v>100</v>
      </c>
      <c r="I1103" s="41">
        <f t="shared" si="136"/>
        <v>3.3333333333333333E-2</v>
      </c>
      <c r="J1103" s="37">
        <f t="shared" si="138"/>
        <v>67.233666666666664</v>
      </c>
      <c r="K1103" s="37">
        <f t="shared" si="137"/>
        <v>24.721819233333335</v>
      </c>
      <c r="L1103" s="37">
        <v>25.971666666666664</v>
      </c>
      <c r="M1103" s="37">
        <f t="shared" si="139"/>
        <v>3.3295680000000005</v>
      </c>
      <c r="N1103" s="37">
        <f t="shared" si="140"/>
        <v>4.0587433920000011</v>
      </c>
      <c r="O1103" s="45">
        <f t="shared" si="141"/>
        <v>0.40459366221777332</v>
      </c>
    </row>
    <row r="1104" spans="1:15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8">
        <f t="shared" si="135"/>
        <v>143.69999999999999</v>
      </c>
      <c r="G1104" s="339">
        <v>80</v>
      </c>
      <c r="H1104" s="878">
        <v>43.2</v>
      </c>
      <c r="I1104" s="41">
        <f t="shared" si="136"/>
        <v>1.4400000000000001E-2</v>
      </c>
      <c r="J1104" s="37">
        <f t="shared" si="138"/>
        <v>29.044944000000001</v>
      </c>
      <c r="K1104" s="37">
        <f t="shared" si="137"/>
        <v>10.679825908800002</v>
      </c>
      <c r="L1104" s="37">
        <v>11.219760000000001</v>
      </c>
      <c r="M1104" s="37">
        <f t="shared" si="139"/>
        <v>1.4383733760000004</v>
      </c>
      <c r="N1104" s="37">
        <f t="shared" si="140"/>
        <v>1.7533771453440006</v>
      </c>
      <c r="O1104" s="45">
        <f t="shared" si="141"/>
        <v>0.36452959836325682</v>
      </c>
    </row>
    <row r="1105" spans="1:15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8">
        <f t="shared" si="135"/>
        <v>295.10000000000002</v>
      </c>
      <c r="G1105" s="339">
        <v>190</v>
      </c>
      <c r="H1105" s="877">
        <v>100</v>
      </c>
      <c r="I1105" s="41">
        <f t="shared" si="136"/>
        <v>3.3333333333333333E-2</v>
      </c>
      <c r="J1105" s="37">
        <f t="shared" si="138"/>
        <v>67.233666666666664</v>
      </c>
      <c r="K1105" s="37">
        <f t="shared" si="137"/>
        <v>24.721819233333335</v>
      </c>
      <c r="L1105" s="37">
        <v>25.971666666666664</v>
      </c>
      <c r="M1105" s="37">
        <f t="shared" si="139"/>
        <v>3.3295680000000005</v>
      </c>
      <c r="N1105" s="37">
        <f t="shared" si="140"/>
        <v>4.0587433920000011</v>
      </c>
      <c r="O1105" s="45">
        <f t="shared" si="141"/>
        <v>0.41090044244888735</v>
      </c>
    </row>
    <row r="1106" spans="1:15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8">
        <f t="shared" si="135"/>
        <v>148.69999999999999</v>
      </c>
      <c r="G1106" s="339">
        <v>98</v>
      </c>
      <c r="H1106" s="878">
        <v>58</v>
      </c>
      <c r="I1106" s="41">
        <f t="shared" si="136"/>
        <v>1.9333333333333334E-2</v>
      </c>
      <c r="J1106" s="37">
        <f t="shared" si="138"/>
        <v>38.99552666666667</v>
      </c>
      <c r="K1106" s="37">
        <f t="shared" si="137"/>
        <v>14.338655155333337</v>
      </c>
      <c r="L1106" s="37">
        <v>15.063566666666667</v>
      </c>
      <c r="M1106" s="37">
        <f t="shared" si="139"/>
        <v>1.9311494400000004</v>
      </c>
      <c r="N1106" s="37">
        <f t="shared" si="140"/>
        <v>2.3540711673600008</v>
      </c>
      <c r="O1106" s="45">
        <f t="shared" si="141"/>
        <v>0.47295829138309808</v>
      </c>
    </row>
    <row r="1107" spans="1:15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8">
        <f t="shared" si="135"/>
        <v>339.7</v>
      </c>
      <c r="G1107" s="339">
        <v>225</v>
      </c>
      <c r="H1107" s="878">
        <v>105</v>
      </c>
      <c r="I1107" s="41">
        <f t="shared" si="136"/>
        <v>3.5000000000000003E-2</v>
      </c>
      <c r="J1107" s="37">
        <f t="shared" si="138"/>
        <v>70.59535000000001</v>
      </c>
      <c r="K1107" s="37">
        <f t="shared" si="137"/>
        <v>25.957910195000007</v>
      </c>
      <c r="L1107" s="37">
        <v>27.270250000000001</v>
      </c>
      <c r="M1107" s="37">
        <f t="shared" si="139"/>
        <v>3.4960464000000004</v>
      </c>
      <c r="N1107" s="37">
        <f t="shared" si="140"/>
        <v>4.2616805616000004</v>
      </c>
      <c r="O1107" s="45">
        <f t="shared" si="141"/>
        <v>0.37479998997644987</v>
      </c>
    </row>
    <row r="1108" spans="1:15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8">
        <f t="shared" si="135"/>
        <v>197.6</v>
      </c>
      <c r="G1108" s="339">
        <v>64</v>
      </c>
      <c r="H1108" s="878">
        <v>24</v>
      </c>
      <c r="I1108" s="41">
        <f t="shared" si="136"/>
        <v>8.0000000000000002E-3</v>
      </c>
      <c r="J1108" s="37">
        <f t="shared" si="138"/>
        <v>16.13608</v>
      </c>
      <c r="K1108" s="37">
        <f t="shared" si="137"/>
        <v>5.9332366160000003</v>
      </c>
      <c r="L1108" s="37">
        <v>6.2332000000000001</v>
      </c>
      <c r="M1108" s="37">
        <f t="shared" si="139"/>
        <v>0.79909632000000019</v>
      </c>
      <c r="N1108" s="37">
        <f t="shared" si="140"/>
        <v>0.97409841408000031</v>
      </c>
      <c r="O1108" s="45">
        <f t="shared" si="141"/>
        <v>0.14727536910931174</v>
      </c>
    </row>
    <row r="1109" spans="1:15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8">
        <f t="shared" si="135"/>
        <v>251</v>
      </c>
      <c r="G1109" s="339">
        <v>165</v>
      </c>
      <c r="H1109" s="878">
        <v>85</v>
      </c>
      <c r="I1109" s="41">
        <f t="shared" si="136"/>
        <v>2.8333333333333332E-2</v>
      </c>
      <c r="J1109" s="37">
        <f t="shared" si="138"/>
        <v>57.148616666666662</v>
      </c>
      <c r="K1109" s="37">
        <f t="shared" si="137"/>
        <v>21.013546348333332</v>
      </c>
      <c r="L1109" s="37">
        <v>22.075916666666664</v>
      </c>
      <c r="M1109" s="37">
        <f t="shared" si="139"/>
        <v>2.8301327999999999</v>
      </c>
      <c r="N1109" s="37">
        <f t="shared" si="140"/>
        <v>3.4499318832000001</v>
      </c>
      <c r="O1109" s="45">
        <f t="shared" si="141"/>
        <v>0.41063032861221771</v>
      </c>
    </row>
    <row r="1110" spans="1:15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8">
        <f t="shared" si="135"/>
        <v>172.7</v>
      </c>
      <c r="G1110" s="339">
        <v>34</v>
      </c>
      <c r="H1110" s="878">
        <v>0</v>
      </c>
      <c r="I1110" s="41">
        <f t="shared" si="136"/>
        <v>0</v>
      </c>
      <c r="J1110" s="37">
        <f t="shared" si="138"/>
        <v>0</v>
      </c>
      <c r="K1110" s="37">
        <f t="shared" si="137"/>
        <v>0</v>
      </c>
      <c r="L1110" s="37">
        <v>0</v>
      </c>
      <c r="M1110" s="37">
        <f t="shared" si="139"/>
        <v>0</v>
      </c>
      <c r="N1110" s="37">
        <f t="shared" si="140"/>
        <v>0</v>
      </c>
      <c r="O1110" s="45">
        <f t="shared" si="141"/>
        <v>0</v>
      </c>
    </row>
    <row r="1111" spans="1:15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8">
        <f t="shared" si="135"/>
        <v>294.2</v>
      </c>
      <c r="G1111" s="339">
        <v>72</v>
      </c>
      <c r="H1111" s="878">
        <v>32</v>
      </c>
      <c r="I1111" s="41">
        <f t="shared" si="136"/>
        <v>1.0666666666666666E-2</v>
      </c>
      <c r="J1111" s="37">
        <f t="shared" si="138"/>
        <v>21.514773333333334</v>
      </c>
      <c r="K1111" s="37">
        <f t="shared" si="137"/>
        <v>7.9109821546666677</v>
      </c>
      <c r="L1111" s="37">
        <v>8.3109333333333328</v>
      </c>
      <c r="M1111" s="37">
        <f t="shared" si="139"/>
        <v>1.06546176</v>
      </c>
      <c r="N1111" s="37">
        <f t="shared" si="140"/>
        <v>1.2987978854400002</v>
      </c>
      <c r="O1111" s="45">
        <f t="shared" si="141"/>
        <v>0.13189038266938591</v>
      </c>
    </row>
    <row r="1112" spans="1:15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8">
        <f t="shared" si="135"/>
        <v>200.9</v>
      </c>
      <c r="G1112" s="339">
        <v>120</v>
      </c>
      <c r="H1112" s="878">
        <v>40</v>
      </c>
      <c r="I1112" s="41">
        <f t="shared" si="136"/>
        <v>1.3333333333333334E-2</v>
      </c>
      <c r="J1112" s="37">
        <f t="shared" si="138"/>
        <v>26.893466666666669</v>
      </c>
      <c r="K1112" s="37">
        <f t="shared" si="137"/>
        <v>9.888727693333335</v>
      </c>
      <c r="L1112" s="37">
        <v>10.388666666666667</v>
      </c>
      <c r="M1112" s="37">
        <f t="shared" si="139"/>
        <v>1.3318272000000002</v>
      </c>
      <c r="N1112" s="37">
        <f t="shared" si="140"/>
        <v>1.6234973568000004</v>
      </c>
      <c r="O1112" s="45">
        <f t="shared" si="141"/>
        <v>0.24142701954537915</v>
      </c>
    </row>
    <row r="1113" spans="1:15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8">
        <f t="shared" si="135"/>
        <v>297.8</v>
      </c>
      <c r="G1113" s="339">
        <v>195</v>
      </c>
      <c r="H1113" s="878">
        <v>115</v>
      </c>
      <c r="I1113" s="41">
        <f t="shared" si="136"/>
        <v>3.833333333333333E-2</v>
      </c>
      <c r="J1113" s="37">
        <f t="shared" si="138"/>
        <v>77.31871666666666</v>
      </c>
      <c r="K1113" s="37">
        <f t="shared" si="137"/>
        <v>28.430092118333334</v>
      </c>
      <c r="L1113" s="37">
        <v>29.867416666666664</v>
      </c>
      <c r="M1113" s="37">
        <f t="shared" si="139"/>
        <v>3.8290032000000003</v>
      </c>
      <c r="N1113" s="37">
        <f t="shared" si="140"/>
        <v>4.6675549008000008</v>
      </c>
      <c r="O1113" s="45">
        <f t="shared" si="141"/>
        <v>0.46825127149653001</v>
      </c>
    </row>
    <row r="1114" spans="1:15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8">
        <f t="shared" si="135"/>
        <v>124.6</v>
      </c>
      <c r="G1114" s="339">
        <v>67</v>
      </c>
      <c r="H1114" s="878">
        <v>47</v>
      </c>
      <c r="I1114" s="41">
        <f t="shared" si="136"/>
        <v>1.5666666666666666E-2</v>
      </c>
      <c r="J1114" s="37">
        <f t="shared" si="138"/>
        <v>31.59982333333333</v>
      </c>
      <c r="K1114" s="37">
        <f t="shared" si="137"/>
        <v>11.619255039666665</v>
      </c>
      <c r="L1114" s="37">
        <v>12.206683333333332</v>
      </c>
      <c r="M1114" s="37">
        <f t="shared" si="139"/>
        <v>1.56489696</v>
      </c>
      <c r="N1114" s="37">
        <f t="shared" si="140"/>
        <v>1.9076093942400001</v>
      </c>
      <c r="O1114" s="45">
        <f t="shared" si="141"/>
        <v>0.45738891385500263</v>
      </c>
    </row>
    <row r="1115" spans="1:15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8">
        <f t="shared" si="135"/>
        <v>132.19999999999999</v>
      </c>
      <c r="G1115" s="339">
        <v>0</v>
      </c>
      <c r="H1115" s="877">
        <v>0</v>
      </c>
      <c r="I1115" s="41">
        <f t="shared" si="136"/>
        <v>0</v>
      </c>
      <c r="J1115" s="37">
        <f t="shared" si="138"/>
        <v>0</v>
      </c>
      <c r="K1115" s="37">
        <f t="shared" si="137"/>
        <v>0</v>
      </c>
      <c r="L1115" s="37">
        <v>0</v>
      </c>
      <c r="M1115" s="37">
        <f t="shared" si="139"/>
        <v>0</v>
      </c>
      <c r="N1115" s="37">
        <f t="shared" si="140"/>
        <v>0</v>
      </c>
      <c r="O1115" s="45">
        <f t="shared" si="141"/>
        <v>0</v>
      </c>
    </row>
    <row r="1116" spans="1:15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8">
        <f t="shared" si="135"/>
        <v>225.4</v>
      </c>
      <c r="G1116" s="339">
        <v>58</v>
      </c>
      <c r="H1116" s="878">
        <v>29</v>
      </c>
      <c r="I1116" s="41">
        <f t="shared" si="136"/>
        <v>9.6666666666666672E-3</v>
      </c>
      <c r="J1116" s="37">
        <f t="shared" si="138"/>
        <v>19.497763333333335</v>
      </c>
      <c r="K1116" s="37">
        <f t="shared" si="137"/>
        <v>7.1693275776666683</v>
      </c>
      <c r="L1116" s="37">
        <v>7.5317833333333333</v>
      </c>
      <c r="M1116" s="37">
        <f t="shared" si="139"/>
        <v>0.96557472000000022</v>
      </c>
      <c r="N1116" s="37">
        <f t="shared" si="140"/>
        <v>1.1770355836800004</v>
      </c>
      <c r="O1116" s="45">
        <f t="shared" si="141"/>
        <v>0.15600909034753033</v>
      </c>
    </row>
    <row r="1117" spans="1:15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8">
        <f t="shared" si="135"/>
        <v>415.6</v>
      </c>
      <c r="G1117" s="339">
        <v>154</v>
      </c>
      <c r="H1117" s="878">
        <v>77</v>
      </c>
      <c r="I1117" s="41">
        <f t="shared" si="136"/>
        <v>2.5666666666666667E-2</v>
      </c>
      <c r="J1117" s="37">
        <f t="shared" si="138"/>
        <v>51.769923333333338</v>
      </c>
      <c r="K1117" s="37">
        <f t="shared" si="137"/>
        <v>19.035800809666672</v>
      </c>
      <c r="L1117" s="37">
        <v>19.998183333333333</v>
      </c>
      <c r="M1117" s="37">
        <f t="shared" si="139"/>
        <v>2.5637673599999999</v>
      </c>
      <c r="N1117" s="37">
        <f t="shared" si="140"/>
        <v>3.1252324118400003</v>
      </c>
      <c r="O1117" s="45">
        <f t="shared" si="141"/>
        <v>0.22465754291706769</v>
      </c>
    </row>
    <row r="1118" spans="1:15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8">
        <f t="shared" si="135"/>
        <v>1495</v>
      </c>
      <c r="G1118" s="339">
        <v>1000</v>
      </c>
      <c r="H1118" s="878">
        <v>600</v>
      </c>
      <c r="I1118" s="41">
        <f t="shared" si="136"/>
        <v>0.2</v>
      </c>
      <c r="J1118" s="37">
        <f t="shared" si="138"/>
        <v>403.40200000000004</v>
      </c>
      <c r="K1118" s="37">
        <f t="shared" si="137"/>
        <v>148.33091540000004</v>
      </c>
      <c r="L1118" s="37">
        <v>155.83000000000001</v>
      </c>
      <c r="M1118" s="37">
        <f t="shared" si="139"/>
        <v>19.977408000000004</v>
      </c>
      <c r="N1118" s="37">
        <f t="shared" si="140"/>
        <v>24.352460352000005</v>
      </c>
      <c r="O1118" s="45">
        <f t="shared" si="141"/>
        <v>0.48664904575250845</v>
      </c>
    </row>
    <row r="1119" spans="1:15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8">
        <f t="shared" si="135"/>
        <v>288.60000000000002</v>
      </c>
      <c r="G1119" s="339">
        <v>161</v>
      </c>
      <c r="H1119" s="878">
        <v>100</v>
      </c>
      <c r="I1119" s="41">
        <f t="shared" si="136"/>
        <v>3.3333333333333333E-2</v>
      </c>
      <c r="J1119" s="37">
        <f t="shared" si="138"/>
        <v>67.233666666666664</v>
      </c>
      <c r="K1119" s="37">
        <f t="shared" si="137"/>
        <v>24.721819233333335</v>
      </c>
      <c r="L1119" s="37">
        <v>25.971666666666664</v>
      </c>
      <c r="M1119" s="37">
        <f t="shared" si="139"/>
        <v>3.3295680000000005</v>
      </c>
      <c r="N1119" s="37">
        <f t="shared" si="140"/>
        <v>4.0587433920000011</v>
      </c>
      <c r="O1119" s="45">
        <f t="shared" si="141"/>
        <v>0.42015495691845683</v>
      </c>
    </row>
    <row r="1120" spans="1:15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8">
        <f t="shared" si="135"/>
        <v>272.10000000000002</v>
      </c>
      <c r="G1120" s="339">
        <v>180</v>
      </c>
      <c r="H1120" s="878">
        <v>100</v>
      </c>
      <c r="I1120" s="41">
        <f t="shared" si="136"/>
        <v>3.3333333333333333E-2</v>
      </c>
      <c r="J1120" s="37">
        <f t="shared" si="138"/>
        <v>67.233666666666664</v>
      </c>
      <c r="K1120" s="37">
        <f t="shared" si="137"/>
        <v>24.721819233333335</v>
      </c>
      <c r="L1120" s="37">
        <v>25.971666666666664</v>
      </c>
      <c r="M1120" s="37">
        <f t="shared" si="139"/>
        <v>3.3295680000000005</v>
      </c>
      <c r="N1120" s="37">
        <f t="shared" si="140"/>
        <v>4.0587433920000011</v>
      </c>
      <c r="O1120" s="45">
        <f t="shared" si="141"/>
        <v>0.44563293115276242</v>
      </c>
    </row>
    <row r="1121" spans="1:15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8">
        <f t="shared" si="135"/>
        <v>313.7</v>
      </c>
      <c r="G1121" s="339">
        <v>140</v>
      </c>
      <c r="H1121" s="878">
        <v>100</v>
      </c>
      <c r="I1121" s="41">
        <f t="shared" si="136"/>
        <v>3.3333333333333333E-2</v>
      </c>
      <c r="J1121" s="37">
        <f t="shared" si="138"/>
        <v>67.233666666666664</v>
      </c>
      <c r="K1121" s="37">
        <f t="shared" si="137"/>
        <v>24.721819233333335</v>
      </c>
      <c r="L1121" s="37">
        <v>25.971666666666664</v>
      </c>
      <c r="M1121" s="37">
        <f t="shared" si="139"/>
        <v>3.3295680000000005</v>
      </c>
      <c r="N1121" s="37">
        <f t="shared" si="140"/>
        <v>4.0587433920000011</v>
      </c>
      <c r="O1121" s="45">
        <f t="shared" si="141"/>
        <v>0.38653720295399002</v>
      </c>
    </row>
    <row r="1122" spans="1:15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8">
        <f t="shared" si="135"/>
        <v>860.41000000000008</v>
      </c>
      <c r="G1122" s="339">
        <v>311</v>
      </c>
      <c r="H1122" s="878">
        <v>211</v>
      </c>
      <c r="I1122" s="41">
        <f t="shared" si="136"/>
        <v>7.0333333333333331E-2</v>
      </c>
      <c r="J1122" s="37">
        <f t="shared" si="138"/>
        <v>141.86303666666666</v>
      </c>
      <c r="K1122" s="37">
        <f t="shared" si="137"/>
        <v>52.163038582333336</v>
      </c>
      <c r="L1122" s="37">
        <v>54.800216666666664</v>
      </c>
      <c r="M1122" s="37">
        <f t="shared" si="139"/>
        <v>7.025388480000001</v>
      </c>
      <c r="N1122" s="37">
        <f t="shared" si="140"/>
        <v>8.5639485571200016</v>
      </c>
      <c r="O1122" s="45">
        <f t="shared" si="141"/>
        <v>0.2973601892070834</v>
      </c>
    </row>
    <row r="1123" spans="1:15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8">
        <f t="shared" si="135"/>
        <v>294</v>
      </c>
      <c r="G1123" s="339">
        <v>195</v>
      </c>
      <c r="H1123" s="877">
        <v>136.80000000000001</v>
      </c>
      <c r="I1123" s="41">
        <f t="shared" si="136"/>
        <v>4.5600000000000002E-2</v>
      </c>
      <c r="J1123" s="37">
        <f t="shared" si="138"/>
        <v>91.975656000000001</v>
      </c>
      <c r="K1123" s="37">
        <f t="shared" si="137"/>
        <v>33.819448711200003</v>
      </c>
      <c r="L1123" s="37">
        <v>35.529240000000001</v>
      </c>
      <c r="M1123" s="37">
        <f t="shared" si="139"/>
        <v>4.5548490240000001</v>
      </c>
      <c r="N1123" s="37">
        <f t="shared" si="140"/>
        <v>5.5523609602560002</v>
      </c>
      <c r="O1123" s="45">
        <f t="shared" si="141"/>
        <v>0.56421494467755107</v>
      </c>
    </row>
    <row r="1124" spans="1:15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8">
        <f t="shared" si="135"/>
        <v>1119.54</v>
      </c>
      <c r="G1124" s="339">
        <v>304</v>
      </c>
      <c r="H1124" s="878">
        <v>113.4</v>
      </c>
      <c r="I1124" s="41">
        <f t="shared" si="136"/>
        <v>3.78E-2</v>
      </c>
      <c r="J1124" s="37">
        <f t="shared" si="138"/>
        <v>76.242977999999994</v>
      </c>
      <c r="K1124" s="37">
        <f t="shared" si="137"/>
        <v>28.0345430106</v>
      </c>
      <c r="L1124" s="37">
        <v>29.45187</v>
      </c>
      <c r="M1124" s="37">
        <f t="shared" si="139"/>
        <v>3.7757301120000006</v>
      </c>
      <c r="N1124" s="37">
        <f t="shared" si="140"/>
        <v>4.6026150065280014</v>
      </c>
      <c r="O1124" s="45">
        <f t="shared" si="141"/>
        <v>0.12282287468299481</v>
      </c>
    </row>
    <row r="1125" spans="1:15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8">
        <f t="shared" si="135"/>
        <v>542.66</v>
      </c>
      <c r="G1125" s="339">
        <v>261</v>
      </c>
      <c r="H1125" s="878">
        <v>161</v>
      </c>
      <c r="I1125" s="41">
        <f t="shared" si="136"/>
        <v>5.3666666666666668E-2</v>
      </c>
      <c r="J1125" s="37">
        <f t="shared" si="138"/>
        <v>108.24620333333334</v>
      </c>
      <c r="K1125" s="37">
        <f t="shared" si="137"/>
        <v>39.802128965666675</v>
      </c>
      <c r="L1125" s="37">
        <v>41.814383333333332</v>
      </c>
      <c r="M1125" s="37">
        <f t="shared" si="139"/>
        <v>5.360604480000001</v>
      </c>
      <c r="N1125" s="37">
        <f t="shared" si="140"/>
        <v>6.5345768611200015</v>
      </c>
      <c r="O1125" s="45">
        <f t="shared" si="141"/>
        <v>0.35975255244966159</v>
      </c>
    </row>
    <row r="1126" spans="1:15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8">
        <f t="shared" si="135"/>
        <v>507.72</v>
      </c>
      <c r="G1126" s="339">
        <v>278</v>
      </c>
      <c r="H1126" s="878">
        <v>178</v>
      </c>
      <c r="I1126" s="41">
        <f t="shared" si="136"/>
        <v>5.9333333333333335E-2</v>
      </c>
      <c r="J1126" s="37">
        <f t="shared" si="138"/>
        <v>119.67592666666667</v>
      </c>
      <c r="K1126" s="37">
        <f t="shared" si="137"/>
        <v>44.004838235333338</v>
      </c>
      <c r="L1126" s="37">
        <v>46.229566666666663</v>
      </c>
      <c r="M1126" s="37">
        <f t="shared" si="139"/>
        <v>5.9266310400000011</v>
      </c>
      <c r="N1126" s="37">
        <f t="shared" si="140"/>
        <v>7.2245632377600018</v>
      </c>
      <c r="O1126" s="45">
        <f t="shared" si="141"/>
        <v>0.42511022336852333</v>
      </c>
    </row>
    <row r="1127" spans="1:15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8">
        <f t="shared" ref="F1127:F1146" si="142">C1127+D1127+E1127</f>
        <v>517.03</v>
      </c>
      <c r="G1127" s="339">
        <v>258</v>
      </c>
      <c r="H1127" s="878">
        <v>160.6</v>
      </c>
      <c r="I1127" s="41">
        <f t="shared" si="136"/>
        <v>5.3533333333333329E-2</v>
      </c>
      <c r="J1127" s="37">
        <f t="shared" si="138"/>
        <v>107.97726866666666</v>
      </c>
      <c r="K1127" s="37">
        <f t="shared" si="137"/>
        <v>39.703241688733335</v>
      </c>
      <c r="L1127" s="37">
        <v>41.710496666666664</v>
      </c>
      <c r="M1127" s="37">
        <f t="shared" si="139"/>
        <v>5.3472862079999999</v>
      </c>
      <c r="N1127" s="37">
        <f t="shared" si="140"/>
        <v>6.5183418875520003</v>
      </c>
      <c r="O1127" s="45">
        <f t="shared" si="141"/>
        <v>0.37664795704324061</v>
      </c>
    </row>
    <row r="1128" spans="1:15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8">
        <f t="shared" si="142"/>
        <v>497.81</v>
      </c>
      <c r="G1128" s="339">
        <v>259</v>
      </c>
      <c r="H1128" s="878">
        <v>180</v>
      </c>
      <c r="I1128" s="41">
        <f t="shared" si="136"/>
        <v>0.06</v>
      </c>
      <c r="J1128" s="37">
        <f t="shared" si="138"/>
        <v>121.0206</v>
      </c>
      <c r="K1128" s="37">
        <f t="shared" si="137"/>
        <v>44.499274620000001</v>
      </c>
      <c r="L1128" s="37">
        <v>46.748999999999995</v>
      </c>
      <c r="M1128" s="37">
        <f t="shared" si="139"/>
        <v>5.9932223999999996</v>
      </c>
      <c r="N1128" s="37">
        <f t="shared" si="140"/>
        <v>7.3057381055999997</v>
      </c>
      <c r="O1128" s="45">
        <f t="shared" si="141"/>
        <v>0.4384445813061208</v>
      </c>
    </row>
    <row r="1129" spans="1:15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8">
        <f t="shared" si="142"/>
        <v>301.3</v>
      </c>
      <c r="G1129" s="339">
        <v>200</v>
      </c>
      <c r="H1129" s="877">
        <v>114</v>
      </c>
      <c r="I1129" s="41">
        <f t="shared" ref="I1129:I1145" si="143">H1129/3000</f>
        <v>3.7999999999999999E-2</v>
      </c>
      <c r="J1129" s="37">
        <f t="shared" si="138"/>
        <v>76.646379999999994</v>
      </c>
      <c r="K1129" s="37">
        <f t="shared" ref="K1129:K1145" si="144">J1129*0.3677</f>
        <v>28.182873925999999</v>
      </c>
      <c r="L1129" s="37">
        <v>29.607699999999998</v>
      </c>
      <c r="M1129" s="37">
        <f t="shared" si="139"/>
        <v>3.7957075200000001</v>
      </c>
      <c r="N1129" s="37">
        <f t="shared" si="140"/>
        <v>4.62696746688</v>
      </c>
      <c r="O1129" s="45">
        <f t="shared" si="141"/>
        <v>0.45878745916362429</v>
      </c>
    </row>
    <row r="1130" spans="1:15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8">
        <f t="shared" si="142"/>
        <v>493.5</v>
      </c>
      <c r="G1130" s="339">
        <v>320</v>
      </c>
      <c r="H1130" s="877">
        <v>170</v>
      </c>
      <c r="I1130" s="41">
        <f t="shared" si="143"/>
        <v>5.6666666666666664E-2</v>
      </c>
      <c r="J1130" s="37">
        <f t="shared" si="138"/>
        <v>114.29723333333332</v>
      </c>
      <c r="K1130" s="37">
        <f t="shared" si="144"/>
        <v>42.027092696666664</v>
      </c>
      <c r="L1130" s="37">
        <v>44.151833333333329</v>
      </c>
      <c r="M1130" s="37">
        <f t="shared" si="139"/>
        <v>5.6602655999999998</v>
      </c>
      <c r="N1130" s="37">
        <f t="shared" si="140"/>
        <v>6.8998637664000002</v>
      </c>
      <c r="O1130" s="45">
        <f t="shared" si="141"/>
        <v>0.41770298878081724</v>
      </c>
    </row>
    <row r="1131" spans="1:15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8">
        <f t="shared" si="142"/>
        <v>264.8</v>
      </c>
      <c r="G1131" s="339">
        <v>145</v>
      </c>
      <c r="H1131" s="877">
        <v>86.6</v>
      </c>
      <c r="I1131" s="41">
        <f t="shared" si="143"/>
        <v>2.8866666666666665E-2</v>
      </c>
      <c r="J1131" s="37">
        <f t="shared" si="138"/>
        <v>58.224355333333328</v>
      </c>
      <c r="K1131" s="37">
        <f t="shared" si="144"/>
        <v>21.409095456066666</v>
      </c>
      <c r="L1131" s="37">
        <v>22.491463333333332</v>
      </c>
      <c r="M1131" s="37">
        <f t="shared" si="139"/>
        <v>2.883405888</v>
      </c>
      <c r="N1131" s="37">
        <f t="shared" si="140"/>
        <v>3.5148717774720004</v>
      </c>
      <c r="O1131" s="45">
        <f t="shared" si="141"/>
        <v>0.39655709973841891</v>
      </c>
    </row>
    <row r="1132" spans="1:15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8">
        <f t="shared" si="142"/>
        <v>544.79999999999995</v>
      </c>
      <c r="G1132" s="339">
        <v>61</v>
      </c>
      <c r="H1132" s="877">
        <v>0</v>
      </c>
      <c r="I1132" s="41">
        <f t="shared" si="143"/>
        <v>0</v>
      </c>
      <c r="J1132" s="37">
        <f t="shared" si="138"/>
        <v>0</v>
      </c>
      <c r="K1132" s="37">
        <f t="shared" si="144"/>
        <v>0</v>
      </c>
      <c r="L1132" s="37">
        <v>0</v>
      </c>
      <c r="M1132" s="37">
        <f t="shared" si="139"/>
        <v>0</v>
      </c>
      <c r="N1132" s="37">
        <f t="shared" si="140"/>
        <v>0</v>
      </c>
      <c r="O1132" s="45">
        <f t="shared" si="141"/>
        <v>0</v>
      </c>
    </row>
    <row r="1133" spans="1:15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8">
        <f t="shared" si="142"/>
        <v>205</v>
      </c>
      <c r="G1133" s="339">
        <v>135</v>
      </c>
      <c r="H1133" s="877">
        <v>66</v>
      </c>
      <c r="I1133" s="41">
        <f t="shared" si="143"/>
        <v>2.1999999999999999E-2</v>
      </c>
      <c r="J1133" s="37">
        <f t="shared" si="138"/>
        <v>44.374219999999994</v>
      </c>
      <c r="K1133" s="37">
        <f t="shared" si="144"/>
        <v>16.316400693999999</v>
      </c>
      <c r="L1133" s="37">
        <v>17.141299999999998</v>
      </c>
      <c r="M1133" s="37">
        <f t="shared" si="139"/>
        <v>2.1975148800000004</v>
      </c>
      <c r="N1133" s="37">
        <f t="shared" si="140"/>
        <v>2.6787706387200005</v>
      </c>
      <c r="O1133" s="45">
        <f t="shared" si="141"/>
        <v>0.39038749060487798</v>
      </c>
    </row>
    <row r="1134" spans="1:15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8">
        <f t="shared" si="142"/>
        <v>577.32000000000005</v>
      </c>
      <c r="G1134" s="339">
        <v>253</v>
      </c>
      <c r="H1134" s="877">
        <v>78</v>
      </c>
      <c r="I1134" s="41">
        <f t="shared" si="143"/>
        <v>2.5999999999999999E-2</v>
      </c>
      <c r="J1134" s="37">
        <f t="shared" si="138"/>
        <v>52.442259999999997</v>
      </c>
      <c r="K1134" s="37">
        <f t="shared" si="144"/>
        <v>19.283019002</v>
      </c>
      <c r="L1134" s="37">
        <v>20.257899999999999</v>
      </c>
      <c r="M1134" s="37">
        <f t="shared" si="139"/>
        <v>2.5970630400000005</v>
      </c>
      <c r="N1134" s="37">
        <f t="shared" si="140"/>
        <v>3.1658198457600011</v>
      </c>
      <c r="O1134" s="45">
        <f t="shared" si="141"/>
        <v>0.16382637366105449</v>
      </c>
    </row>
    <row r="1135" spans="1:15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8">
        <f t="shared" si="142"/>
        <v>353</v>
      </c>
      <c r="G1135" s="339">
        <v>235</v>
      </c>
      <c r="H1135" s="878">
        <v>135</v>
      </c>
      <c r="I1135" s="41">
        <f t="shared" si="143"/>
        <v>4.4999999999999998E-2</v>
      </c>
      <c r="J1135" s="37">
        <f t="shared" si="138"/>
        <v>90.765450000000001</v>
      </c>
      <c r="K1135" s="37">
        <f t="shared" si="144"/>
        <v>33.374455965000003</v>
      </c>
      <c r="L1135" s="37">
        <v>35.061749999999996</v>
      </c>
      <c r="M1135" s="37">
        <f t="shared" si="139"/>
        <v>4.4949168000000013</v>
      </c>
      <c r="N1135" s="37">
        <f t="shared" si="140"/>
        <v>5.4793035792000016</v>
      </c>
      <c r="O1135" s="45">
        <f t="shared" si="141"/>
        <v>0.46372966788951836</v>
      </c>
    </row>
    <row r="1136" spans="1:15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8">
        <f t="shared" si="142"/>
        <v>646.29999999999995</v>
      </c>
      <c r="G1136" s="339">
        <v>173</v>
      </c>
      <c r="H1136" s="878">
        <v>0</v>
      </c>
      <c r="I1136" s="41">
        <f t="shared" si="143"/>
        <v>0</v>
      </c>
      <c r="J1136" s="37">
        <f t="shared" si="138"/>
        <v>0</v>
      </c>
      <c r="K1136" s="37">
        <f t="shared" si="144"/>
        <v>0</v>
      </c>
      <c r="L1136" s="37">
        <v>0</v>
      </c>
      <c r="M1136" s="37">
        <f t="shared" si="139"/>
        <v>0</v>
      </c>
      <c r="N1136" s="37">
        <f t="shared" si="140"/>
        <v>0</v>
      </c>
      <c r="O1136" s="45">
        <f t="shared" si="141"/>
        <v>0</v>
      </c>
    </row>
    <row r="1137" spans="1:15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8">
        <f t="shared" si="142"/>
        <v>281.89999999999998</v>
      </c>
      <c r="G1137" s="339">
        <v>185</v>
      </c>
      <c r="H1137" s="877">
        <v>100</v>
      </c>
      <c r="I1137" s="41">
        <f t="shared" si="143"/>
        <v>3.3333333333333333E-2</v>
      </c>
      <c r="J1137" s="37">
        <f t="shared" ref="J1137:J1145" si="145">I1137*2017.01</f>
        <v>67.233666666666664</v>
      </c>
      <c r="K1137" s="37">
        <f t="shared" si="144"/>
        <v>24.721819233333335</v>
      </c>
      <c r="L1137" s="37">
        <v>25.971666666666664</v>
      </c>
      <c r="M1137" s="37">
        <f t="shared" si="139"/>
        <v>3.3295680000000005</v>
      </c>
      <c r="N1137" s="37">
        <f t="shared" si="140"/>
        <v>4.0587433920000011</v>
      </c>
      <c r="O1137" s="45">
        <f t="shared" si="141"/>
        <v>0.43014090303890268</v>
      </c>
    </row>
    <row r="1138" spans="1:15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8">
        <f t="shared" si="142"/>
        <v>305.10000000000002</v>
      </c>
      <c r="G1138" s="339">
        <v>160</v>
      </c>
      <c r="H1138" s="877">
        <v>100.4</v>
      </c>
      <c r="I1138" s="41">
        <f t="shared" si="143"/>
        <v>3.3466666666666665E-2</v>
      </c>
      <c r="J1138" s="37">
        <f t="shared" si="145"/>
        <v>67.502601333333331</v>
      </c>
      <c r="K1138" s="37">
        <f t="shared" si="144"/>
        <v>24.820706510266668</v>
      </c>
      <c r="L1138" s="37">
        <v>26.075553333333332</v>
      </c>
      <c r="M1138" s="37">
        <f t="shared" ref="M1138:M1146" si="146">I1138*84.08*1.1*1.08</f>
        <v>3.3428862720000003</v>
      </c>
      <c r="N1138" s="37">
        <f t="shared" ref="N1138:N1146" si="147">M1138*1.219</f>
        <v>4.0749783655680005</v>
      </c>
      <c r="O1138" s="45">
        <f t="shared" si="141"/>
        <v>0.39902244329378339</v>
      </c>
    </row>
    <row r="1139" spans="1:15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8">
        <f t="shared" si="142"/>
        <v>369.45</v>
      </c>
      <c r="G1139" s="339">
        <v>240</v>
      </c>
      <c r="H1139" s="877">
        <v>151.80000000000001</v>
      </c>
      <c r="I1139" s="41">
        <f t="shared" si="143"/>
        <v>5.0600000000000006E-2</v>
      </c>
      <c r="J1139" s="37">
        <f t="shared" si="145"/>
        <v>102.06070600000001</v>
      </c>
      <c r="K1139" s="37">
        <f t="shared" si="144"/>
        <v>37.52772159620001</v>
      </c>
      <c r="L1139" s="37">
        <v>39.424990000000001</v>
      </c>
      <c r="M1139" s="37">
        <f t="shared" si="146"/>
        <v>5.0542842240000008</v>
      </c>
      <c r="N1139" s="37">
        <f t="shared" si="147"/>
        <v>6.1611724690560017</v>
      </c>
      <c r="O1139" s="45">
        <f t="shared" si="141"/>
        <v>0.49822087378589802</v>
      </c>
    </row>
    <row r="1140" spans="1:15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8">
        <f t="shared" si="142"/>
        <v>453.11</v>
      </c>
      <c r="G1140" s="339">
        <v>256</v>
      </c>
      <c r="H1140" s="878">
        <v>146</v>
      </c>
      <c r="I1140" s="41">
        <f t="shared" si="143"/>
        <v>4.8666666666666664E-2</v>
      </c>
      <c r="J1140" s="37">
        <f t="shared" si="145"/>
        <v>98.161153333333331</v>
      </c>
      <c r="K1140" s="37">
        <f t="shared" si="144"/>
        <v>36.093856080666669</v>
      </c>
      <c r="L1140" s="37">
        <v>37.918633333333332</v>
      </c>
      <c r="M1140" s="37">
        <f t="shared" si="146"/>
        <v>4.8611692800000004</v>
      </c>
      <c r="N1140" s="37">
        <f t="shared" si="147"/>
        <v>5.9257653523200009</v>
      </c>
      <c r="O1140" s="45">
        <f t="shared" si="141"/>
        <v>0.39071045006142735</v>
      </c>
    </row>
    <row r="1141" spans="1:15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8">
        <f t="shared" si="142"/>
        <v>729</v>
      </c>
      <c r="G1141" s="339">
        <v>235</v>
      </c>
      <c r="H1141" s="878">
        <v>235</v>
      </c>
      <c r="I1141" s="41">
        <f t="shared" si="143"/>
        <v>7.8333333333333338E-2</v>
      </c>
      <c r="J1141" s="37">
        <f t="shared" si="145"/>
        <v>157.99911666666668</v>
      </c>
      <c r="K1141" s="37">
        <f t="shared" si="144"/>
        <v>58.096275198333345</v>
      </c>
      <c r="L1141" s="37">
        <v>61.033416666666668</v>
      </c>
      <c r="M1141" s="37">
        <f t="shared" si="146"/>
        <v>7.8244848000000013</v>
      </c>
      <c r="N1141" s="37">
        <f t="shared" si="147"/>
        <v>9.5380469712000018</v>
      </c>
      <c r="O1141" s="45">
        <f t="shared" si="141"/>
        <v>0.39088243255372657</v>
      </c>
    </row>
    <row r="1142" spans="1:15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8">
        <f t="shared" si="142"/>
        <v>422.76</v>
      </c>
      <c r="G1142" s="339">
        <v>280</v>
      </c>
      <c r="H1142" s="877">
        <v>160</v>
      </c>
      <c r="I1142" s="41">
        <f t="shared" si="143"/>
        <v>5.3333333333333337E-2</v>
      </c>
      <c r="J1142" s="37">
        <f t="shared" si="145"/>
        <v>107.57386666666667</v>
      </c>
      <c r="K1142" s="37">
        <f t="shared" si="144"/>
        <v>39.55491077333334</v>
      </c>
      <c r="L1142" s="37">
        <v>41.55466666666667</v>
      </c>
      <c r="M1142" s="37">
        <f t="shared" si="146"/>
        <v>5.3273088000000008</v>
      </c>
      <c r="N1142" s="37">
        <f t="shared" si="147"/>
        <v>6.4939894272000016</v>
      </c>
      <c r="O1142" s="45">
        <f t="shared" si="141"/>
        <v>0.45891463929100834</v>
      </c>
    </row>
    <row r="1143" spans="1:15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8">
        <f t="shared" si="142"/>
        <v>152.30000000000001</v>
      </c>
      <c r="G1143" s="339">
        <v>75</v>
      </c>
      <c r="H1143" s="878">
        <v>40</v>
      </c>
      <c r="I1143" s="41">
        <f t="shared" si="143"/>
        <v>1.3333333333333334E-2</v>
      </c>
      <c r="J1143" s="37">
        <f t="shared" si="145"/>
        <v>26.893466666666669</v>
      </c>
      <c r="K1143" s="37">
        <f t="shared" si="144"/>
        <v>9.888727693333335</v>
      </c>
      <c r="L1143" s="37">
        <v>10.388666666666667</v>
      </c>
      <c r="M1143" s="37">
        <f t="shared" si="146"/>
        <v>1.3318272000000002</v>
      </c>
      <c r="N1143" s="37">
        <f t="shared" si="147"/>
        <v>1.6234973568000004</v>
      </c>
      <c r="O1143" s="45">
        <f t="shared" si="141"/>
        <v>0.31846807765375357</v>
      </c>
    </row>
    <row r="1144" spans="1:15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8">
        <f t="shared" si="142"/>
        <v>252.6</v>
      </c>
      <c r="G1144" s="339">
        <v>116</v>
      </c>
      <c r="H1144" s="342">
        <v>58</v>
      </c>
      <c r="I1144" s="41">
        <f t="shared" si="143"/>
        <v>1.9333333333333334E-2</v>
      </c>
      <c r="J1144" s="37">
        <f t="shared" si="145"/>
        <v>38.99552666666667</v>
      </c>
      <c r="K1144" s="37">
        <f t="shared" si="144"/>
        <v>14.338655155333337</v>
      </c>
      <c r="L1144" s="37">
        <v>15.063566666666667</v>
      </c>
      <c r="M1144" s="37">
        <f t="shared" si="146"/>
        <v>1.9311494400000004</v>
      </c>
      <c r="N1144" s="37">
        <f t="shared" si="147"/>
        <v>2.3540711673600008</v>
      </c>
      <c r="O1144" s="45">
        <f t="shared" si="141"/>
        <v>0.27842002347057276</v>
      </c>
    </row>
    <row r="1145" spans="1:15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8">
        <f t="shared" si="142"/>
        <v>143.69999999999999</v>
      </c>
      <c r="G1145" s="339"/>
      <c r="H1145" s="342"/>
      <c r="I1145" s="41">
        <f t="shared" si="143"/>
        <v>0</v>
      </c>
      <c r="J1145" s="37">
        <f t="shared" si="145"/>
        <v>0</v>
      </c>
      <c r="K1145" s="37">
        <f t="shared" si="144"/>
        <v>0</v>
      </c>
      <c r="L1145" s="37">
        <v>0</v>
      </c>
      <c r="M1145" s="37">
        <f t="shared" si="146"/>
        <v>0</v>
      </c>
      <c r="N1145" s="37">
        <f t="shared" si="147"/>
        <v>0</v>
      </c>
      <c r="O1145" s="45">
        <f t="shared" si="141"/>
        <v>0</v>
      </c>
    </row>
    <row r="1146" spans="1:15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9">
        <f t="shared" si="142"/>
        <v>282420.12999999971</v>
      </c>
      <c r="G1146" s="353">
        <f>SUM(G881:G1145)</f>
        <v>127207.40000000001</v>
      </c>
      <c r="H1146" s="390">
        <f>SUM(H881:H1145)</f>
        <v>93805.799999999974</v>
      </c>
      <c r="I1146" s="72">
        <f>G1146/3000</f>
        <v>42.402466666666669</v>
      </c>
      <c r="J1146" s="37">
        <f>I1146*2017.01</f>
        <v>85526.199291333338</v>
      </c>
      <c r="K1146" s="64">
        <f>J1146*0.3677</f>
        <v>31447.98347942327</v>
      </c>
      <c r="L1146" s="37">
        <f>SUM(L880:L1145)</f>
        <v>24366.331978333339</v>
      </c>
      <c r="M1146" s="37">
        <f t="shared" si="146"/>
        <v>4235.4568840320007</v>
      </c>
      <c r="N1146" s="37">
        <f t="shared" si="147"/>
        <v>5163.0219416350092</v>
      </c>
      <c r="O1146" s="45">
        <f t="shared" si="141"/>
        <v>0.51545890738426503</v>
      </c>
    </row>
    <row r="1147" spans="1:15" s="6" customFormat="1" ht="15.75">
      <c r="A1147" s="9" t="s">
        <v>617</v>
      </c>
      <c r="B1147" s="8"/>
      <c r="C1147" s="8"/>
      <c r="D1147" s="8"/>
      <c r="E1147" s="8"/>
      <c r="F1147" s="40"/>
      <c r="G1147" s="353"/>
      <c r="H1147" s="8"/>
      <c r="I1147" s="41"/>
      <c r="J1147" s="37">
        <f>I1147*2077.52</f>
        <v>0</v>
      </c>
      <c r="K1147" s="37"/>
      <c r="L1147" s="37"/>
      <c r="M1147" s="37"/>
      <c r="N1147" s="37"/>
      <c r="O1147" s="45" t="e">
        <f t="shared" si="141"/>
        <v>#DIV/0!</v>
      </c>
    </row>
    <row r="1148" spans="1:15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40">
        <f t="shared" ref="F1148:F1201" si="148">C1148+D1148+E1148</f>
        <v>219.1</v>
      </c>
      <c r="G1148" s="369">
        <v>87.4</v>
      </c>
      <c r="H1148" s="339">
        <v>61.1</v>
      </c>
      <c r="I1148" s="41">
        <f t="shared" ref="I1148:I1201" si="149">H1148/3000</f>
        <v>2.0366666666666668E-2</v>
      </c>
      <c r="J1148" s="37">
        <f t="shared" ref="J1148:J1201" si="150">I1148*2017.01</f>
        <v>41.079770333333336</v>
      </c>
      <c r="K1148" s="37">
        <f t="shared" ref="K1148:K1201" si="151">J1148*0.3677</f>
        <v>15.105031551566668</v>
      </c>
      <c r="L1148" s="37">
        <v>15.868688333333335</v>
      </c>
      <c r="M1148" s="37">
        <f>I1148*84.08*1.1</f>
        <v>1.8836722666666668</v>
      </c>
      <c r="N1148" s="37"/>
      <c r="O1148" s="45">
        <f t="shared" si="141"/>
        <v>0.33745852343633043</v>
      </c>
    </row>
    <row r="1149" spans="1:15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40">
        <f t="shared" si="148"/>
        <v>265.10000000000002</v>
      </c>
      <c r="G1149" s="369">
        <v>87.4</v>
      </c>
      <c r="H1149" s="339">
        <v>61.1</v>
      </c>
      <c r="I1149" s="41">
        <f t="shared" si="149"/>
        <v>2.0366666666666668E-2</v>
      </c>
      <c r="J1149" s="37">
        <f t="shared" si="150"/>
        <v>41.079770333333336</v>
      </c>
      <c r="K1149" s="37">
        <f t="shared" si="151"/>
        <v>15.105031551566668</v>
      </c>
      <c r="L1149" s="37">
        <v>15.868688333333335</v>
      </c>
      <c r="M1149" s="37">
        <f t="shared" ref="M1149:M1202" si="152">I1149*84.08*1.1</f>
        <v>1.8836722666666668</v>
      </c>
      <c r="N1149" s="37"/>
      <c r="O1149" s="45">
        <f t="shared" si="141"/>
        <v>0.27890291393775929</v>
      </c>
    </row>
    <row r="1150" spans="1:15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40">
        <f t="shared" si="148"/>
        <v>352.7</v>
      </c>
      <c r="G1150" s="369">
        <v>87.4</v>
      </c>
      <c r="H1150" s="339">
        <v>61.1</v>
      </c>
      <c r="I1150" s="41">
        <f t="shared" si="149"/>
        <v>2.0366666666666668E-2</v>
      </c>
      <c r="J1150" s="37">
        <f t="shared" si="150"/>
        <v>41.079770333333336</v>
      </c>
      <c r="K1150" s="37">
        <f t="shared" si="151"/>
        <v>15.105031551566668</v>
      </c>
      <c r="L1150" s="37">
        <v>15.868688333333335</v>
      </c>
      <c r="M1150" s="37">
        <f t="shared" si="152"/>
        <v>1.8836722666666668</v>
      </c>
      <c r="N1150" s="37"/>
      <c r="O1150" s="45">
        <f t="shared" si="141"/>
        <v>0.20963187548880069</v>
      </c>
    </row>
    <row r="1151" spans="1:15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40">
        <f t="shared" si="148"/>
        <v>350.15</v>
      </c>
      <c r="G1151" s="369">
        <v>87.4</v>
      </c>
      <c r="H1151" s="339">
        <v>61.1</v>
      </c>
      <c r="I1151" s="41">
        <f t="shared" si="149"/>
        <v>2.0366666666666668E-2</v>
      </c>
      <c r="J1151" s="37">
        <f t="shared" si="150"/>
        <v>41.079770333333336</v>
      </c>
      <c r="K1151" s="37">
        <f t="shared" si="151"/>
        <v>15.105031551566668</v>
      </c>
      <c r="L1151" s="37">
        <v>15.868688333333335</v>
      </c>
      <c r="M1151" s="37">
        <f t="shared" si="152"/>
        <v>1.8836722666666668</v>
      </c>
      <c r="N1151" s="37"/>
      <c r="O1151" s="45">
        <f t="shared" si="141"/>
        <v>0.21115853915436242</v>
      </c>
    </row>
    <row r="1152" spans="1:15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40">
        <f t="shared" si="148"/>
        <v>348.6</v>
      </c>
      <c r="G1152" s="369">
        <v>87.4</v>
      </c>
      <c r="H1152" s="339">
        <v>61.1</v>
      </c>
      <c r="I1152" s="41">
        <f t="shared" si="149"/>
        <v>2.0366666666666668E-2</v>
      </c>
      <c r="J1152" s="37">
        <f t="shared" si="150"/>
        <v>41.079770333333336</v>
      </c>
      <c r="K1152" s="37">
        <f t="shared" si="151"/>
        <v>15.105031551566668</v>
      </c>
      <c r="L1152" s="37">
        <v>15.868688333333335</v>
      </c>
      <c r="M1152" s="37">
        <f t="shared" si="152"/>
        <v>1.8836722666666668</v>
      </c>
      <c r="N1152" s="37"/>
      <c r="O1152" s="45">
        <f t="shared" si="141"/>
        <v>0.21209742537263337</v>
      </c>
    </row>
    <row r="1153" spans="1:15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40">
        <f t="shared" si="148"/>
        <v>430.37</v>
      </c>
      <c r="G1153" s="369">
        <v>67</v>
      </c>
      <c r="H1153" s="339">
        <v>61.1</v>
      </c>
      <c r="I1153" s="41">
        <f t="shared" si="149"/>
        <v>2.0366666666666668E-2</v>
      </c>
      <c r="J1153" s="37">
        <f t="shared" si="150"/>
        <v>41.079770333333336</v>
      </c>
      <c r="K1153" s="37">
        <f t="shared" si="151"/>
        <v>15.105031551566668</v>
      </c>
      <c r="L1153" s="37">
        <v>15.868688333333335</v>
      </c>
      <c r="M1153" s="37">
        <f t="shared" si="152"/>
        <v>1.8836722666666668</v>
      </c>
      <c r="N1153" s="37"/>
      <c r="O1153" s="45">
        <f t="shared" si="141"/>
        <v>0.17179906239956316</v>
      </c>
    </row>
    <row r="1154" spans="1:15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40">
        <f t="shared" si="148"/>
        <v>79.3</v>
      </c>
      <c r="G1154" s="369">
        <v>10</v>
      </c>
      <c r="H1154" s="339">
        <v>10</v>
      </c>
      <c r="I1154" s="41">
        <f t="shared" si="149"/>
        <v>3.3333333333333335E-3</v>
      </c>
      <c r="J1154" s="37">
        <f t="shared" si="150"/>
        <v>6.7233666666666672</v>
      </c>
      <c r="K1154" s="37">
        <f t="shared" si="151"/>
        <v>2.4721819233333338</v>
      </c>
      <c r="L1154" s="37">
        <v>2.5971666666666668</v>
      </c>
      <c r="M1154" s="37">
        <f t="shared" si="152"/>
        <v>0.30829333333333336</v>
      </c>
      <c r="N1154" s="37"/>
      <c r="O1154" s="45">
        <f t="shared" si="141"/>
        <v>0.15259783846153849</v>
      </c>
    </row>
    <row r="1155" spans="1:15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40">
        <f t="shared" si="148"/>
        <v>70.099999999999994</v>
      </c>
      <c r="G1155" s="369">
        <v>21.43</v>
      </c>
      <c r="H1155" s="339">
        <v>21.43</v>
      </c>
      <c r="I1155" s="41">
        <f t="shared" si="149"/>
        <v>7.1433333333333331E-3</v>
      </c>
      <c r="J1155" s="37">
        <f t="shared" si="150"/>
        <v>14.408174766666667</v>
      </c>
      <c r="K1155" s="37">
        <f t="shared" si="151"/>
        <v>5.2978858617033335</v>
      </c>
      <c r="L1155" s="37">
        <v>5.5657281666666663</v>
      </c>
      <c r="M1155" s="37">
        <f t="shared" si="152"/>
        <v>0.66067261333333338</v>
      </c>
      <c r="N1155" s="37"/>
      <c r="O1155" s="45">
        <f>(J1155+K1155+L1155+M1155)/90</f>
        <v>0.28813846009299998</v>
      </c>
    </row>
    <row r="1156" spans="1:15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40">
        <f t="shared" si="148"/>
        <v>326.92</v>
      </c>
      <c r="G1156" s="369">
        <v>21.43</v>
      </c>
      <c r="H1156" s="339">
        <v>21.43</v>
      </c>
      <c r="I1156" s="41">
        <f t="shared" si="149"/>
        <v>7.1433333333333331E-3</v>
      </c>
      <c r="J1156" s="37">
        <f t="shared" si="150"/>
        <v>14.408174766666667</v>
      </c>
      <c r="K1156" s="37">
        <f t="shared" si="151"/>
        <v>5.2978858617033335</v>
      </c>
      <c r="L1156" s="37">
        <v>5.5657281666666663</v>
      </c>
      <c r="M1156" s="37">
        <f t="shared" si="152"/>
        <v>0.66067261333333338</v>
      </c>
      <c r="N1156" s="37"/>
      <c r="O1156" s="45">
        <f t="shared" si="141"/>
        <v>7.9323569706258409E-2</v>
      </c>
    </row>
    <row r="1157" spans="1:15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40">
        <f t="shared" si="148"/>
        <v>322.55</v>
      </c>
      <c r="G1157" s="369">
        <v>21.43</v>
      </c>
      <c r="H1157" s="339">
        <v>21.43</v>
      </c>
      <c r="I1157" s="41">
        <f t="shared" si="149"/>
        <v>7.1433333333333331E-3</v>
      </c>
      <c r="J1157" s="37">
        <f t="shared" si="150"/>
        <v>14.408174766666667</v>
      </c>
      <c r="K1157" s="37">
        <f t="shared" si="151"/>
        <v>5.2978858617033335</v>
      </c>
      <c r="L1157" s="37">
        <v>5.5657281666666663</v>
      </c>
      <c r="M1157" s="37">
        <f t="shared" si="152"/>
        <v>0.66067261333333338</v>
      </c>
      <c r="N1157" s="37"/>
      <c r="O1157" s="45">
        <f t="shared" si="141"/>
        <v>8.0398268201426135E-2</v>
      </c>
    </row>
    <row r="1158" spans="1:15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40">
        <f t="shared" si="148"/>
        <v>415.5</v>
      </c>
      <c r="G1158" s="369">
        <v>21.43</v>
      </c>
      <c r="H1158" s="339">
        <v>21.43</v>
      </c>
      <c r="I1158" s="41">
        <f t="shared" si="149"/>
        <v>7.1433333333333331E-3</v>
      </c>
      <c r="J1158" s="37">
        <f t="shared" si="150"/>
        <v>14.408174766666667</v>
      </c>
      <c r="K1158" s="37">
        <f t="shared" si="151"/>
        <v>5.2978858617033335</v>
      </c>
      <c r="L1158" s="37">
        <v>5.5657281666666663</v>
      </c>
      <c r="M1158" s="37">
        <f t="shared" si="152"/>
        <v>0.66067261333333338</v>
      </c>
      <c r="N1158" s="37"/>
      <c r="O1158" s="45">
        <f t="shared" si="141"/>
        <v>6.2412662836028879E-2</v>
      </c>
    </row>
    <row r="1159" spans="1:15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40">
        <f t="shared" si="148"/>
        <v>372.82</v>
      </c>
      <c r="G1159" s="369">
        <v>21.43</v>
      </c>
      <c r="H1159" s="339">
        <v>21.43</v>
      </c>
      <c r="I1159" s="41">
        <f t="shared" si="149"/>
        <v>7.1433333333333331E-3</v>
      </c>
      <c r="J1159" s="37">
        <f t="shared" si="150"/>
        <v>14.408174766666667</v>
      </c>
      <c r="K1159" s="37">
        <f t="shared" si="151"/>
        <v>5.2978858617033335</v>
      </c>
      <c r="L1159" s="37">
        <v>5.5657281666666663</v>
      </c>
      <c r="M1159" s="37">
        <f t="shared" si="152"/>
        <v>0.66067261333333338</v>
      </c>
      <c r="N1159" s="37"/>
      <c r="O1159" s="45">
        <f t="shared" ref="O1159:O1222" si="153">(J1159+K1159+L1159+M1159)/F1159</f>
        <v>6.9557591889839607E-2</v>
      </c>
    </row>
    <row r="1160" spans="1:15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40">
        <f t="shared" si="148"/>
        <v>282.76</v>
      </c>
      <c r="G1160" s="369">
        <v>21.43</v>
      </c>
      <c r="H1160" s="339">
        <v>0</v>
      </c>
      <c r="I1160" s="41">
        <f>H1160/3000</f>
        <v>0</v>
      </c>
      <c r="J1160" s="37">
        <f t="shared" si="150"/>
        <v>0</v>
      </c>
      <c r="K1160" s="37">
        <f t="shared" si="151"/>
        <v>0</v>
      </c>
      <c r="L1160" s="37">
        <v>0</v>
      </c>
      <c r="M1160" s="37">
        <f t="shared" si="152"/>
        <v>0</v>
      </c>
      <c r="N1160" s="37"/>
      <c r="O1160" s="45">
        <f t="shared" si="153"/>
        <v>0</v>
      </c>
    </row>
    <row r="1161" spans="1:15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40">
        <f t="shared" si="148"/>
        <v>180.5</v>
      </c>
      <c r="G1161" s="369">
        <v>10</v>
      </c>
      <c r="H1161" s="339">
        <v>10</v>
      </c>
      <c r="I1161" s="41">
        <f t="shared" si="149"/>
        <v>3.3333333333333335E-3</v>
      </c>
      <c r="J1161" s="37">
        <f t="shared" si="150"/>
        <v>6.7233666666666672</v>
      </c>
      <c r="K1161" s="37">
        <f t="shared" si="151"/>
        <v>2.4721819233333338</v>
      </c>
      <c r="L1161" s="37">
        <v>2.5971666666666668</v>
      </c>
      <c r="M1161" s="37">
        <f t="shared" si="152"/>
        <v>0.30829333333333336</v>
      </c>
      <c r="N1161" s="37"/>
      <c r="O1161" s="45">
        <f t="shared" si="153"/>
        <v>6.7041598836565103E-2</v>
      </c>
    </row>
    <row r="1162" spans="1:15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40">
        <f t="shared" si="148"/>
        <v>5520.77</v>
      </c>
      <c r="G1162" s="369">
        <v>1849</v>
      </c>
      <c r="H1162" s="339">
        <v>1849</v>
      </c>
      <c r="I1162" s="41">
        <f t="shared" si="149"/>
        <v>0.61633333333333329</v>
      </c>
      <c r="J1162" s="37">
        <f t="shared" si="150"/>
        <v>1243.1504966666666</v>
      </c>
      <c r="K1162" s="37">
        <f t="shared" si="151"/>
        <v>457.10643762433335</v>
      </c>
      <c r="L1162" s="37">
        <v>480.21611666666661</v>
      </c>
      <c r="M1162" s="37">
        <f t="shared" si="152"/>
        <v>57.003437333333338</v>
      </c>
      <c r="N1162" s="37"/>
      <c r="O1162" s="45">
        <f t="shared" si="153"/>
        <v>0.4052834094321987</v>
      </c>
    </row>
    <row r="1163" spans="1:15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40">
        <f t="shared" si="148"/>
        <v>5310.85</v>
      </c>
      <c r="G1163" s="369">
        <v>1703</v>
      </c>
      <c r="H1163" s="339">
        <v>1703</v>
      </c>
      <c r="I1163" s="41">
        <f t="shared" si="149"/>
        <v>0.56766666666666665</v>
      </c>
      <c r="J1163" s="37">
        <f t="shared" si="150"/>
        <v>1144.9893433333334</v>
      </c>
      <c r="K1163" s="37">
        <f t="shared" si="151"/>
        <v>421.01258154366673</v>
      </c>
      <c r="L1163" s="37">
        <v>442.29748333333333</v>
      </c>
      <c r="M1163" s="37">
        <f t="shared" si="152"/>
        <v>52.502354666666669</v>
      </c>
      <c r="N1163" s="37"/>
      <c r="O1163" s="45">
        <f t="shared" si="153"/>
        <v>0.38803614541495246</v>
      </c>
    </row>
    <row r="1164" spans="1:15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40">
        <f t="shared" si="148"/>
        <v>5405.43</v>
      </c>
      <c r="G1164" s="369">
        <v>1916</v>
      </c>
      <c r="H1164" s="339">
        <v>1916</v>
      </c>
      <c r="I1164" s="41">
        <f>H1164/3000</f>
        <v>0.63866666666666672</v>
      </c>
      <c r="J1164" s="37">
        <f t="shared" si="150"/>
        <v>1288.1970533333333</v>
      </c>
      <c r="K1164" s="37">
        <f t="shared" si="151"/>
        <v>473.67005651066671</v>
      </c>
      <c r="L1164" s="37">
        <v>497.61713333333336</v>
      </c>
      <c r="M1164" s="37">
        <f t="shared" si="152"/>
        <v>59.069002666666677</v>
      </c>
      <c r="N1164" s="37"/>
      <c r="O1164" s="45">
        <f t="shared" si="153"/>
        <v>0.42893039884782519</v>
      </c>
    </row>
    <row r="1165" spans="1:15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40">
        <f t="shared" si="148"/>
        <v>349.2</v>
      </c>
      <c r="G1165" s="369">
        <v>13.2</v>
      </c>
      <c r="H1165" s="339">
        <v>13.2</v>
      </c>
      <c r="I1165" s="41">
        <f t="shared" si="149"/>
        <v>4.3999999999999994E-3</v>
      </c>
      <c r="J1165" s="37">
        <f t="shared" si="150"/>
        <v>8.8748439999999995</v>
      </c>
      <c r="K1165" s="37">
        <f t="shared" si="151"/>
        <v>3.2632801387999999</v>
      </c>
      <c r="L1165" s="37">
        <v>3.4282599999999994</v>
      </c>
      <c r="M1165" s="37">
        <f t="shared" si="152"/>
        <v>0.40694719999999995</v>
      </c>
      <c r="N1165" s="37"/>
      <c r="O1165" s="45">
        <f t="shared" si="153"/>
        <v>4.5742644154639168E-2</v>
      </c>
    </row>
    <row r="1166" spans="1:15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40">
        <f t="shared" si="148"/>
        <v>433.4</v>
      </c>
      <c r="G1166" s="369">
        <v>13.2</v>
      </c>
      <c r="H1166" s="339">
        <v>13.16</v>
      </c>
      <c r="I1166" s="41">
        <f t="shared" si="149"/>
        <v>4.3866666666666663E-3</v>
      </c>
      <c r="J1166" s="37">
        <f t="shared" si="150"/>
        <v>8.8479505333333321</v>
      </c>
      <c r="K1166" s="37">
        <f t="shared" si="151"/>
        <v>3.2533914111066666</v>
      </c>
      <c r="L1166" s="37">
        <v>3.4178713333333328</v>
      </c>
      <c r="M1166" s="37">
        <f t="shared" si="152"/>
        <v>0.40571402666666662</v>
      </c>
      <c r="N1166" s="37"/>
      <c r="O1166" s="45">
        <f t="shared" si="153"/>
        <v>3.6744179290355325E-2</v>
      </c>
    </row>
    <row r="1167" spans="1:15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40">
        <f t="shared" si="148"/>
        <v>360.2</v>
      </c>
      <c r="G1167" s="369">
        <v>13.2</v>
      </c>
      <c r="H1167" s="339">
        <v>13.16</v>
      </c>
      <c r="I1167" s="41">
        <f t="shared" si="149"/>
        <v>4.3866666666666663E-3</v>
      </c>
      <c r="J1167" s="37">
        <f t="shared" si="150"/>
        <v>8.8479505333333321</v>
      </c>
      <c r="K1167" s="37">
        <f t="shared" si="151"/>
        <v>3.2533914111066666</v>
      </c>
      <c r="L1167" s="37">
        <v>3.4178713333333328</v>
      </c>
      <c r="M1167" s="37">
        <f t="shared" si="152"/>
        <v>0.40571402666666662</v>
      </c>
      <c r="N1167" s="37"/>
      <c r="O1167" s="45">
        <f t="shared" si="153"/>
        <v>4.4211347319378119E-2</v>
      </c>
    </row>
    <row r="1168" spans="1:15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40">
        <f t="shared" si="148"/>
        <v>31.8</v>
      </c>
      <c r="G1168" s="369">
        <v>13.2</v>
      </c>
      <c r="H1168" s="339">
        <v>10.16</v>
      </c>
      <c r="I1168" s="41">
        <f t="shared" si="149"/>
        <v>3.3866666666666667E-3</v>
      </c>
      <c r="J1168" s="37">
        <f t="shared" si="150"/>
        <v>6.8309405333333331</v>
      </c>
      <c r="K1168" s="37">
        <f t="shared" si="151"/>
        <v>2.5117368341066668</v>
      </c>
      <c r="L1168" s="37">
        <v>2.6387213333333333</v>
      </c>
      <c r="M1168" s="37">
        <f t="shared" si="152"/>
        <v>0.31322602666666671</v>
      </c>
      <c r="N1168" s="37"/>
      <c r="O1168" s="45">
        <f t="shared" si="153"/>
        <v>0.3866234191018868</v>
      </c>
    </row>
    <row r="1169" spans="1:15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40">
        <f t="shared" si="148"/>
        <v>357.19</v>
      </c>
      <c r="G1169" s="369">
        <v>13.2</v>
      </c>
      <c r="H1169" s="339">
        <v>13.16</v>
      </c>
      <c r="I1169" s="41">
        <f t="shared" si="149"/>
        <v>4.3866666666666663E-3</v>
      </c>
      <c r="J1169" s="37">
        <f t="shared" si="150"/>
        <v>8.8479505333333321</v>
      </c>
      <c r="K1169" s="37">
        <f t="shared" si="151"/>
        <v>3.2533914111066666</v>
      </c>
      <c r="L1169" s="37">
        <v>3.4178713333333328</v>
      </c>
      <c r="M1169" s="37">
        <f t="shared" si="152"/>
        <v>0.40571402666666662</v>
      </c>
      <c r="N1169" s="37"/>
      <c r="O1169" s="45">
        <f t="shared" si="153"/>
        <v>4.4583911376130346E-2</v>
      </c>
    </row>
    <row r="1170" spans="1:15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40">
        <f t="shared" si="148"/>
        <v>306.39999999999998</v>
      </c>
      <c r="G1170" s="369">
        <v>13.2</v>
      </c>
      <c r="H1170" s="339">
        <v>13.16</v>
      </c>
      <c r="I1170" s="41">
        <f t="shared" si="149"/>
        <v>4.3866666666666663E-3</v>
      </c>
      <c r="J1170" s="37">
        <f t="shared" si="150"/>
        <v>8.8479505333333321</v>
      </c>
      <c r="K1170" s="37">
        <f t="shared" si="151"/>
        <v>3.2533914111066666</v>
      </c>
      <c r="L1170" s="37">
        <v>3.4178713333333328</v>
      </c>
      <c r="M1170" s="37">
        <f t="shared" si="152"/>
        <v>0.40571402666666662</v>
      </c>
      <c r="N1170" s="37"/>
      <c r="O1170" s="45">
        <f t="shared" si="153"/>
        <v>5.1974305823890336E-2</v>
      </c>
    </row>
    <row r="1171" spans="1:15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40">
        <f t="shared" si="148"/>
        <v>407.2</v>
      </c>
      <c r="G1171" s="369">
        <v>13.2</v>
      </c>
      <c r="H1171" s="339">
        <v>13.16</v>
      </c>
      <c r="I1171" s="41">
        <f t="shared" si="149"/>
        <v>4.3866666666666663E-3</v>
      </c>
      <c r="J1171" s="37">
        <f t="shared" si="150"/>
        <v>8.8479505333333321</v>
      </c>
      <c r="K1171" s="37">
        <f t="shared" si="151"/>
        <v>3.2533914111066666</v>
      </c>
      <c r="L1171" s="37">
        <v>3.4178713333333328</v>
      </c>
      <c r="M1171" s="37">
        <f t="shared" si="152"/>
        <v>0.40571402666666662</v>
      </c>
      <c r="N1171" s="37"/>
      <c r="O1171" s="45">
        <f t="shared" si="153"/>
        <v>3.9108367643516696E-2</v>
      </c>
    </row>
    <row r="1172" spans="1:15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40">
        <f t="shared" si="148"/>
        <v>52.3</v>
      </c>
      <c r="G1172" s="369">
        <v>10</v>
      </c>
      <c r="H1172" s="339">
        <v>7</v>
      </c>
      <c r="I1172" s="41">
        <f t="shared" si="149"/>
        <v>2.3333333333333335E-3</v>
      </c>
      <c r="J1172" s="37">
        <f t="shared" si="150"/>
        <v>4.7063566666666672</v>
      </c>
      <c r="K1172" s="37">
        <f t="shared" si="151"/>
        <v>1.7305273463333337</v>
      </c>
      <c r="L1172" s="37">
        <v>1.8180166666666668</v>
      </c>
      <c r="M1172" s="37">
        <f t="shared" si="152"/>
        <v>0.21580533333333335</v>
      </c>
      <c r="N1172" s="37"/>
      <c r="O1172" s="45">
        <f t="shared" si="153"/>
        <v>0.16196378609942644</v>
      </c>
    </row>
    <row r="1173" spans="1:15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40">
        <f t="shared" si="148"/>
        <v>122.2</v>
      </c>
      <c r="G1173" s="369">
        <v>13.2</v>
      </c>
      <c r="H1173" s="339">
        <v>13.16</v>
      </c>
      <c r="I1173" s="41">
        <f t="shared" si="149"/>
        <v>4.3866666666666663E-3</v>
      </c>
      <c r="J1173" s="37">
        <f t="shared" si="150"/>
        <v>8.8479505333333321</v>
      </c>
      <c r="K1173" s="37">
        <f t="shared" si="151"/>
        <v>3.2533914111066666</v>
      </c>
      <c r="L1173" s="37">
        <v>3.4178713333333328</v>
      </c>
      <c r="M1173" s="37">
        <f t="shared" si="152"/>
        <v>0.40571402666666662</v>
      </c>
      <c r="N1173" s="37"/>
      <c r="O1173" s="45">
        <f t="shared" si="153"/>
        <v>0.13031855404615381</v>
      </c>
    </row>
    <row r="1174" spans="1:15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40">
        <f t="shared" si="148"/>
        <v>77.900000000000006</v>
      </c>
      <c r="G1174" s="369">
        <v>13.2</v>
      </c>
      <c r="H1174" s="339">
        <v>13.16</v>
      </c>
      <c r="I1174" s="41">
        <f t="shared" si="149"/>
        <v>4.3866666666666663E-3</v>
      </c>
      <c r="J1174" s="37">
        <f t="shared" si="150"/>
        <v>8.8479505333333321</v>
      </c>
      <c r="K1174" s="37">
        <f t="shared" si="151"/>
        <v>3.2533914111066666</v>
      </c>
      <c r="L1174" s="37">
        <v>3.4178713333333328</v>
      </c>
      <c r="M1174" s="37">
        <f t="shared" si="152"/>
        <v>0.40571402666666662</v>
      </c>
      <c r="N1174" s="37"/>
      <c r="O1174" s="45">
        <f t="shared" si="153"/>
        <v>0.20442782162310649</v>
      </c>
    </row>
    <row r="1175" spans="1:15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40">
        <f t="shared" si="148"/>
        <v>205.19</v>
      </c>
      <c r="G1175" s="369">
        <v>20</v>
      </c>
      <c r="H1175" s="339">
        <v>20</v>
      </c>
      <c r="I1175" s="41">
        <f t="shared" si="149"/>
        <v>6.6666666666666671E-3</v>
      </c>
      <c r="J1175" s="37">
        <f t="shared" si="150"/>
        <v>13.446733333333334</v>
      </c>
      <c r="K1175" s="37">
        <f t="shared" si="151"/>
        <v>4.9443638466666675</v>
      </c>
      <c r="L1175" s="37">
        <v>5.1943333333333337</v>
      </c>
      <c r="M1175" s="37">
        <f t="shared" si="152"/>
        <v>0.61658666666666673</v>
      </c>
      <c r="N1175" s="37"/>
      <c r="O1175" s="45">
        <f t="shared" si="153"/>
        <v>0.11794930152541548</v>
      </c>
    </row>
    <row r="1176" spans="1:15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40">
        <f t="shared" si="148"/>
        <v>289.10000000000002</v>
      </c>
      <c r="G1176" s="369">
        <v>20</v>
      </c>
      <c r="H1176" s="339">
        <v>20</v>
      </c>
      <c r="I1176" s="41">
        <f t="shared" si="149"/>
        <v>6.6666666666666671E-3</v>
      </c>
      <c r="J1176" s="37">
        <f t="shared" si="150"/>
        <v>13.446733333333334</v>
      </c>
      <c r="K1176" s="37">
        <f t="shared" si="151"/>
        <v>4.9443638466666675</v>
      </c>
      <c r="L1176" s="37">
        <v>5.1943333333333337</v>
      </c>
      <c r="M1176" s="37">
        <f t="shared" si="152"/>
        <v>0.61658666666666673</v>
      </c>
      <c r="N1176" s="37"/>
      <c r="O1176" s="45">
        <f t="shared" si="153"/>
        <v>8.3715036942234519E-2</v>
      </c>
    </row>
    <row r="1177" spans="1:15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40">
        <f t="shared" si="148"/>
        <v>117.92</v>
      </c>
      <c r="G1177" s="369">
        <v>20</v>
      </c>
      <c r="H1177" s="339">
        <v>20</v>
      </c>
      <c r="I1177" s="41">
        <f t="shared" si="149"/>
        <v>6.6666666666666671E-3</v>
      </c>
      <c r="J1177" s="37">
        <f t="shared" si="150"/>
        <v>13.446733333333334</v>
      </c>
      <c r="K1177" s="37">
        <f t="shared" si="151"/>
        <v>4.9443638466666675</v>
      </c>
      <c r="L1177" s="37">
        <v>5.1943333333333337</v>
      </c>
      <c r="M1177" s="37">
        <f t="shared" si="152"/>
        <v>0.61658666666666673</v>
      </c>
      <c r="N1177" s="37"/>
      <c r="O1177" s="45">
        <f t="shared" si="153"/>
        <v>0.20524098694029852</v>
      </c>
    </row>
    <row r="1178" spans="1:15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40">
        <f t="shared" si="148"/>
        <v>242.85</v>
      </c>
      <c r="G1178" s="369">
        <v>20</v>
      </c>
      <c r="H1178" s="339">
        <v>20</v>
      </c>
      <c r="I1178" s="41">
        <f t="shared" si="149"/>
        <v>6.6666666666666671E-3</v>
      </c>
      <c r="J1178" s="37">
        <f t="shared" si="150"/>
        <v>13.446733333333334</v>
      </c>
      <c r="K1178" s="37">
        <f t="shared" si="151"/>
        <v>4.9443638466666675</v>
      </c>
      <c r="L1178" s="37">
        <v>5.1943333333333337</v>
      </c>
      <c r="M1178" s="37">
        <f t="shared" si="152"/>
        <v>0.61658666666666673</v>
      </c>
      <c r="N1178" s="37"/>
      <c r="O1178" s="45">
        <f t="shared" si="153"/>
        <v>9.9658295985176046E-2</v>
      </c>
    </row>
    <row r="1179" spans="1:15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40">
        <f t="shared" si="148"/>
        <v>415.2</v>
      </c>
      <c r="G1179" s="369">
        <v>20</v>
      </c>
      <c r="H1179" s="339">
        <v>0</v>
      </c>
      <c r="I1179" s="41">
        <f t="shared" si="149"/>
        <v>0</v>
      </c>
      <c r="J1179" s="37">
        <f t="shared" si="150"/>
        <v>0</v>
      </c>
      <c r="K1179" s="37">
        <f t="shared" si="151"/>
        <v>0</v>
      </c>
      <c r="L1179" s="37">
        <v>0</v>
      </c>
      <c r="M1179" s="37">
        <f t="shared" si="152"/>
        <v>0</v>
      </c>
      <c r="N1179" s="37"/>
      <c r="O1179" s="45">
        <f t="shared" si="153"/>
        <v>0</v>
      </c>
    </row>
    <row r="1180" spans="1:15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40">
        <f t="shared" si="148"/>
        <v>8111.75</v>
      </c>
      <c r="G1180" s="369">
        <v>3352</v>
      </c>
      <c r="H1180" s="339">
        <v>2600</v>
      </c>
      <c r="I1180" s="41">
        <f t="shared" si="149"/>
        <v>0.8666666666666667</v>
      </c>
      <c r="J1180" s="37">
        <f t="shared" si="150"/>
        <v>1748.0753333333334</v>
      </c>
      <c r="K1180" s="37">
        <f t="shared" si="151"/>
        <v>642.76730006666673</v>
      </c>
      <c r="L1180" s="37">
        <v>675.26333333333332</v>
      </c>
      <c r="M1180" s="37">
        <f t="shared" si="152"/>
        <v>80.156266666666667</v>
      </c>
      <c r="N1180" s="37"/>
      <c r="O1180" s="45">
        <f t="shared" si="153"/>
        <v>0.38786479284987829</v>
      </c>
    </row>
    <row r="1181" spans="1:15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40">
        <f t="shared" si="148"/>
        <v>6280.23</v>
      </c>
      <c r="G1181" s="369">
        <v>1223</v>
      </c>
      <c r="H1181" s="339">
        <v>1223</v>
      </c>
      <c r="I1181" s="41">
        <f t="shared" si="149"/>
        <v>0.40766666666666668</v>
      </c>
      <c r="J1181" s="37">
        <f t="shared" si="150"/>
        <v>822.26774333333333</v>
      </c>
      <c r="K1181" s="37">
        <f t="shared" si="151"/>
        <v>302.34784922366669</v>
      </c>
      <c r="L1181" s="37">
        <v>317.63348333333334</v>
      </c>
      <c r="M1181" s="37">
        <f t="shared" si="152"/>
        <v>37.704274666666663</v>
      </c>
      <c r="N1181" s="37"/>
      <c r="O1181" s="45">
        <f t="shared" si="153"/>
        <v>0.23565273096001263</v>
      </c>
    </row>
    <row r="1182" spans="1:15" s="6" customFormat="1" ht="18">
      <c r="A1182" s="105">
        <v>37</v>
      </c>
      <c r="B1182" s="32" t="s">
        <v>514</v>
      </c>
      <c r="C1182" s="330">
        <v>8361.6299999999992</v>
      </c>
      <c r="D1182" s="330"/>
      <c r="E1182" s="330"/>
      <c r="F1182" s="40">
        <f t="shared" si="148"/>
        <v>8361.6299999999992</v>
      </c>
      <c r="G1182" s="369">
        <v>2256</v>
      </c>
      <c r="H1182" s="339">
        <v>1838.6</v>
      </c>
      <c r="I1182" s="41">
        <f t="shared" si="149"/>
        <v>0.61286666666666667</v>
      </c>
      <c r="J1182" s="37">
        <f t="shared" si="150"/>
        <v>1236.1581953333334</v>
      </c>
      <c r="K1182" s="37">
        <f t="shared" si="151"/>
        <v>454.53536842406675</v>
      </c>
      <c r="L1182" s="37">
        <v>477.51506333333333</v>
      </c>
      <c r="M1182" s="37">
        <f t="shared" si="152"/>
        <v>56.682812266666673</v>
      </c>
      <c r="N1182" s="37"/>
      <c r="O1182" s="45">
        <f t="shared" si="153"/>
        <v>0.2660834597270389</v>
      </c>
    </row>
    <row r="1183" spans="1:15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40">
        <f t="shared" si="148"/>
        <v>6675.9</v>
      </c>
      <c r="G1183" s="369">
        <v>2280</v>
      </c>
      <c r="H1183" s="339">
        <v>1725</v>
      </c>
      <c r="I1183" s="41">
        <f t="shared" si="149"/>
        <v>0.57499999999999996</v>
      </c>
      <c r="J1183" s="37">
        <f t="shared" si="150"/>
        <v>1159.7807499999999</v>
      </c>
      <c r="K1183" s="37">
        <f t="shared" si="151"/>
        <v>426.45138177500002</v>
      </c>
      <c r="L1183" s="37">
        <v>448.01125000000002</v>
      </c>
      <c r="M1183" s="37">
        <f t="shared" si="152"/>
        <v>53.180599999999998</v>
      </c>
      <c r="N1183" s="37"/>
      <c r="O1183" s="45">
        <f t="shared" si="153"/>
        <v>0.31268053472565499</v>
      </c>
    </row>
    <row r="1184" spans="1:15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40">
        <f t="shared" si="148"/>
        <v>4537.7299999999996</v>
      </c>
      <c r="G1184" s="369">
        <v>1487</v>
      </c>
      <c r="H1184" s="339">
        <v>1134.8</v>
      </c>
      <c r="I1184" s="41">
        <f t="shared" si="149"/>
        <v>0.37826666666666664</v>
      </c>
      <c r="J1184" s="37">
        <f t="shared" si="150"/>
        <v>762.96764933333327</v>
      </c>
      <c r="K1184" s="37">
        <f t="shared" si="151"/>
        <v>280.54320465986666</v>
      </c>
      <c r="L1184" s="37">
        <v>294.72647333333333</v>
      </c>
      <c r="M1184" s="37">
        <f t="shared" si="152"/>
        <v>34.985127466666668</v>
      </c>
      <c r="N1184" s="37"/>
      <c r="O1184" s="45">
        <f t="shared" si="153"/>
        <v>0.3026232179510901</v>
      </c>
    </row>
    <row r="1185" spans="1:15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40">
        <f t="shared" si="148"/>
        <v>4352.13</v>
      </c>
      <c r="G1185" s="369">
        <v>2132</v>
      </c>
      <c r="H1185" s="339">
        <v>1606.8</v>
      </c>
      <c r="I1185" s="41">
        <f t="shared" si="149"/>
        <v>0.53559999999999997</v>
      </c>
      <c r="J1185" s="37">
        <f t="shared" si="150"/>
        <v>1080.3105559999999</v>
      </c>
      <c r="K1185" s="37">
        <f t="shared" si="151"/>
        <v>397.23019144120002</v>
      </c>
      <c r="L1185" s="37">
        <v>417.31273999999996</v>
      </c>
      <c r="M1185" s="37">
        <f t="shared" si="152"/>
        <v>49.536572799999995</v>
      </c>
      <c r="N1185" s="37"/>
      <c r="O1185" s="45">
        <f t="shared" si="153"/>
        <v>0.44676745874806123</v>
      </c>
    </row>
    <row r="1186" spans="1:15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40">
        <f t="shared" si="148"/>
        <v>4529.3500000000004</v>
      </c>
      <c r="G1186" s="369">
        <v>1665</v>
      </c>
      <c r="H1186" s="339">
        <v>1229.9000000000001</v>
      </c>
      <c r="I1186" s="41">
        <f t="shared" si="149"/>
        <v>0.4099666666666667</v>
      </c>
      <c r="J1186" s="37">
        <f t="shared" si="150"/>
        <v>826.90686633333337</v>
      </c>
      <c r="K1186" s="37">
        <f t="shared" si="151"/>
        <v>304.05365475076673</v>
      </c>
      <c r="L1186" s="37">
        <v>319.42552833333338</v>
      </c>
      <c r="M1186" s="37">
        <f t="shared" si="152"/>
        <v>37.916997066666674</v>
      </c>
      <c r="N1186" s="37"/>
      <c r="O1186" s="45">
        <f t="shared" si="153"/>
        <v>0.32859086767065915</v>
      </c>
    </row>
    <row r="1187" spans="1:15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40">
        <f t="shared" si="148"/>
        <v>4151.1900000000005</v>
      </c>
      <c r="G1187" s="369">
        <v>1985</v>
      </c>
      <c r="H1187" s="339">
        <v>1466.5</v>
      </c>
      <c r="I1187" s="41">
        <f t="shared" si="149"/>
        <v>0.48883333333333334</v>
      </c>
      <c r="J1187" s="37">
        <f t="shared" si="150"/>
        <v>985.98172166666666</v>
      </c>
      <c r="K1187" s="37">
        <f t="shared" si="151"/>
        <v>362.54547905683336</v>
      </c>
      <c r="L1187" s="37">
        <v>380.87449166666664</v>
      </c>
      <c r="M1187" s="37">
        <f t="shared" si="152"/>
        <v>45.211217333333337</v>
      </c>
      <c r="N1187" s="37"/>
      <c r="O1187" s="45">
        <f t="shared" si="153"/>
        <v>0.42749498570855582</v>
      </c>
    </row>
    <row r="1188" spans="1:15" s="6" customFormat="1" ht="18">
      <c r="A1188" s="105">
        <v>43</v>
      </c>
      <c r="B1188" s="32" t="s">
        <v>520</v>
      </c>
      <c r="C1188" s="330">
        <v>8136.02</v>
      </c>
      <c r="D1188" s="330"/>
      <c r="E1188" s="330"/>
      <c r="F1188" s="40">
        <f t="shared" si="148"/>
        <v>8136.02</v>
      </c>
      <c r="G1188" s="369">
        <v>2849</v>
      </c>
      <c r="H1188" s="339">
        <f>2849-600</f>
        <v>2249</v>
      </c>
      <c r="I1188" s="41">
        <f t="shared" si="149"/>
        <v>0.7496666666666667</v>
      </c>
      <c r="J1188" s="37">
        <f t="shared" si="150"/>
        <v>1512.0851633333334</v>
      </c>
      <c r="K1188" s="37">
        <f t="shared" si="151"/>
        <v>555.99371455766675</v>
      </c>
      <c r="L1188" s="37">
        <v>584.10278333333338</v>
      </c>
      <c r="M1188" s="37">
        <f t="shared" si="152"/>
        <v>69.33517066666667</v>
      </c>
      <c r="N1188" s="37"/>
      <c r="O1188" s="45">
        <f t="shared" si="153"/>
        <v>0.3345022298237959</v>
      </c>
    </row>
    <row r="1189" spans="1:15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40">
        <f t="shared" si="148"/>
        <v>6240.13</v>
      </c>
      <c r="G1189" s="369">
        <v>2282</v>
      </c>
      <c r="H1189" s="339">
        <v>2282</v>
      </c>
      <c r="I1189" s="41">
        <f t="shared" si="149"/>
        <v>0.76066666666666671</v>
      </c>
      <c r="J1189" s="37">
        <f t="shared" si="150"/>
        <v>1534.2722733333335</v>
      </c>
      <c r="K1189" s="37">
        <f t="shared" si="151"/>
        <v>564.1519149046668</v>
      </c>
      <c r="L1189" s="37">
        <v>592.67343333333338</v>
      </c>
      <c r="M1189" s="37">
        <f t="shared" si="152"/>
        <v>70.352538666666675</v>
      </c>
      <c r="N1189" s="37"/>
      <c r="O1189" s="45">
        <f t="shared" si="153"/>
        <v>0.44253087038859767</v>
      </c>
    </row>
    <row r="1190" spans="1:15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40">
        <f t="shared" si="148"/>
        <v>6278.0199999999995</v>
      </c>
      <c r="G1190" s="369">
        <v>2452</v>
      </c>
      <c r="H1190" s="339">
        <v>2452</v>
      </c>
      <c r="I1190" s="41">
        <f t="shared" si="149"/>
        <v>0.81733333333333336</v>
      </c>
      <c r="J1190" s="37">
        <f t="shared" si="150"/>
        <v>1648.5695066666667</v>
      </c>
      <c r="K1190" s="37">
        <f t="shared" si="151"/>
        <v>606.17900760133341</v>
      </c>
      <c r="L1190" s="37">
        <v>636.82526666666672</v>
      </c>
      <c r="M1190" s="37">
        <f t="shared" si="152"/>
        <v>75.593525333333332</v>
      </c>
      <c r="N1190" s="37"/>
      <c r="O1190" s="45">
        <f t="shared" si="153"/>
        <v>0.47262788367478925</v>
      </c>
    </row>
    <row r="1191" spans="1:15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40">
        <f t="shared" si="148"/>
        <v>3988.11</v>
      </c>
      <c r="G1191" s="369">
        <v>1746</v>
      </c>
      <c r="H1191" s="339">
        <v>1560</v>
      </c>
      <c r="I1191" s="41">
        <f t="shared" si="149"/>
        <v>0.52</v>
      </c>
      <c r="J1191" s="37">
        <f t="shared" si="150"/>
        <v>1048.8452</v>
      </c>
      <c r="K1191" s="37">
        <f t="shared" si="151"/>
        <v>385.66038004000001</v>
      </c>
      <c r="L1191" s="37">
        <v>405.15800000000002</v>
      </c>
      <c r="M1191" s="37">
        <f t="shared" si="152"/>
        <v>48.093760000000003</v>
      </c>
      <c r="N1191" s="37"/>
      <c r="O1191" s="45">
        <f t="shared" si="153"/>
        <v>0.47334635705634998</v>
      </c>
    </row>
    <row r="1192" spans="1:15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40">
        <f t="shared" si="148"/>
        <v>4150.55</v>
      </c>
      <c r="G1192" s="369">
        <v>1782</v>
      </c>
      <c r="H1192" s="339">
        <v>1582</v>
      </c>
      <c r="I1192" s="41">
        <f t="shared" si="149"/>
        <v>0.52733333333333332</v>
      </c>
      <c r="J1192" s="37">
        <f t="shared" si="150"/>
        <v>1063.6366066666667</v>
      </c>
      <c r="K1192" s="37">
        <f t="shared" si="151"/>
        <v>391.09918027133335</v>
      </c>
      <c r="L1192" s="37">
        <v>410.87176666666664</v>
      </c>
      <c r="M1192" s="37">
        <f t="shared" si="152"/>
        <v>48.772005333333333</v>
      </c>
      <c r="N1192" s="37"/>
      <c r="O1192" s="45">
        <f t="shared" si="153"/>
        <v>0.46123515171194174</v>
      </c>
    </row>
    <row r="1193" spans="1:15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40">
        <f t="shared" si="148"/>
        <v>14374.02</v>
      </c>
      <c r="G1193" s="369">
        <v>5757</v>
      </c>
      <c r="H1193" s="339">
        <v>4000.6</v>
      </c>
      <c r="I1193" s="41">
        <f t="shared" si="149"/>
        <v>1.3335333333333332</v>
      </c>
      <c r="J1193" s="37">
        <f t="shared" si="150"/>
        <v>2689.7500686666663</v>
      </c>
      <c r="K1193" s="37">
        <f t="shared" si="151"/>
        <v>989.02110024873321</v>
      </c>
      <c r="L1193" s="37">
        <v>1039.0224966666665</v>
      </c>
      <c r="M1193" s="37">
        <f t="shared" si="152"/>
        <v>123.33583093333334</v>
      </c>
      <c r="N1193" s="37"/>
      <c r="O1193" s="45">
        <f t="shared" si="153"/>
        <v>0.33679718662666386</v>
      </c>
    </row>
    <row r="1194" spans="1:15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40">
        <f t="shared" si="148"/>
        <v>4120.28</v>
      </c>
      <c r="G1194" s="369">
        <v>1824</v>
      </c>
      <c r="H1194" s="339">
        <v>1400</v>
      </c>
      <c r="I1194" s="41">
        <f t="shared" si="149"/>
        <v>0.46666666666666667</v>
      </c>
      <c r="J1194" s="37">
        <f t="shared" si="150"/>
        <v>941.27133333333336</v>
      </c>
      <c r="K1194" s="37">
        <f t="shared" si="151"/>
        <v>346.10546926666672</v>
      </c>
      <c r="L1194" s="37">
        <v>363.60333333333335</v>
      </c>
      <c r="M1194" s="37">
        <f t="shared" si="152"/>
        <v>43.16106666666667</v>
      </c>
      <c r="N1194" s="37"/>
      <c r="O1194" s="45">
        <f t="shared" si="153"/>
        <v>0.41117137733357922</v>
      </c>
    </row>
    <row r="1195" spans="1:15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40">
        <f t="shared" si="148"/>
        <v>14371.39</v>
      </c>
      <c r="G1195" s="369">
        <v>6014</v>
      </c>
      <c r="H1195" s="339">
        <v>4725.3999999999996</v>
      </c>
      <c r="I1195" s="41">
        <f t="shared" si="149"/>
        <v>1.5751333333333333</v>
      </c>
      <c r="J1195" s="37">
        <f t="shared" si="150"/>
        <v>3177.0596846666667</v>
      </c>
      <c r="K1195" s="37">
        <f t="shared" si="151"/>
        <v>1168.2048460519334</v>
      </c>
      <c r="L1195" s="37">
        <v>1227.2651366666666</v>
      </c>
      <c r="M1195" s="37">
        <f t="shared" si="152"/>
        <v>145.68093173333332</v>
      </c>
      <c r="N1195" s="37"/>
      <c r="O1195" s="45">
        <f t="shared" si="153"/>
        <v>0.39788848532526089</v>
      </c>
    </row>
    <row r="1196" spans="1:15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40">
        <f t="shared" si="148"/>
        <v>11511.4</v>
      </c>
      <c r="G1196" s="369">
        <v>2157</v>
      </c>
      <c r="H1196" s="339">
        <v>2157</v>
      </c>
      <c r="I1196" s="41">
        <f t="shared" si="149"/>
        <v>0.71899999999999997</v>
      </c>
      <c r="J1196" s="37">
        <f t="shared" si="150"/>
        <v>1450.23019</v>
      </c>
      <c r="K1196" s="37">
        <f t="shared" si="151"/>
        <v>533.24964086300008</v>
      </c>
      <c r="L1196" s="37">
        <v>560.20884999999998</v>
      </c>
      <c r="M1196" s="37">
        <f t="shared" si="152"/>
        <v>66.498872000000006</v>
      </c>
      <c r="N1196" s="37"/>
      <c r="O1196" s="45">
        <f t="shared" si="153"/>
        <v>0.22674805435159931</v>
      </c>
    </row>
    <row r="1197" spans="1:15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40">
        <f t="shared" si="148"/>
        <v>6924.2000000000007</v>
      </c>
      <c r="G1197" s="370">
        <v>1852.9</v>
      </c>
      <c r="H1197" s="339">
        <v>1807</v>
      </c>
      <c r="I1197" s="41">
        <f t="shared" si="149"/>
        <v>0.60233333333333339</v>
      </c>
      <c r="J1197" s="37">
        <f t="shared" si="150"/>
        <v>1214.9123566666667</v>
      </c>
      <c r="K1197" s="37">
        <f t="shared" si="151"/>
        <v>446.72327354633336</v>
      </c>
      <c r="L1197" s="37">
        <v>469.30801666666667</v>
      </c>
      <c r="M1197" s="37">
        <f t="shared" si="152"/>
        <v>55.708605333333338</v>
      </c>
      <c r="N1197" s="37"/>
      <c r="O1197" s="45">
        <f t="shared" si="153"/>
        <v>0.31579854022313042</v>
      </c>
    </row>
    <row r="1198" spans="1:15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40">
        <f t="shared" si="148"/>
        <v>10867.230000000001</v>
      </c>
      <c r="G1198" s="369">
        <v>2833</v>
      </c>
      <c r="H1198" s="339">
        <v>2833</v>
      </c>
      <c r="I1198" s="41">
        <f t="shared" si="149"/>
        <v>0.94433333333333336</v>
      </c>
      <c r="J1198" s="37">
        <f t="shared" si="150"/>
        <v>1904.7297766666668</v>
      </c>
      <c r="K1198" s="37">
        <f t="shared" si="151"/>
        <v>700.36913888033348</v>
      </c>
      <c r="L1198" s="37">
        <v>735.77731666666671</v>
      </c>
      <c r="M1198" s="37">
        <f t="shared" si="152"/>
        <v>87.339501333333345</v>
      </c>
      <c r="N1198" s="37"/>
      <c r="O1198" s="45">
        <f t="shared" si="153"/>
        <v>0.31546362169080805</v>
      </c>
    </row>
    <row r="1199" spans="1:15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40">
        <f t="shared" si="148"/>
        <v>7546</v>
      </c>
      <c r="G1199" s="370">
        <v>937.28</v>
      </c>
      <c r="H1199" s="339">
        <v>1807</v>
      </c>
      <c r="I1199" s="41">
        <f t="shared" si="149"/>
        <v>0.60233333333333339</v>
      </c>
      <c r="J1199" s="37">
        <f t="shared" si="150"/>
        <v>1214.9123566666667</v>
      </c>
      <c r="K1199" s="37">
        <f t="shared" si="151"/>
        <v>446.72327354633336</v>
      </c>
      <c r="L1199" s="37">
        <v>469.30801666666667</v>
      </c>
      <c r="M1199" s="37">
        <f t="shared" si="152"/>
        <v>55.708605333333338</v>
      </c>
      <c r="N1199" s="37"/>
      <c r="O1199" s="45">
        <f t="shared" si="153"/>
        <v>0.28977633875072883</v>
      </c>
    </row>
    <row r="1200" spans="1:15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40">
        <f t="shared" si="148"/>
        <v>2503.4</v>
      </c>
      <c r="G1200" s="369">
        <v>1139.5999999999999</v>
      </c>
      <c r="H1200" s="339">
        <v>1139.5999999999999</v>
      </c>
      <c r="I1200" s="41">
        <f t="shared" si="149"/>
        <v>0.37986666666666663</v>
      </c>
      <c r="J1200" s="37">
        <f t="shared" si="150"/>
        <v>766.19486533333327</v>
      </c>
      <c r="K1200" s="37">
        <f t="shared" si="151"/>
        <v>281.72985198306668</v>
      </c>
      <c r="L1200" s="37">
        <v>295.97311333333329</v>
      </c>
      <c r="M1200" s="37">
        <f t="shared" si="152"/>
        <v>35.13310826666666</v>
      </c>
      <c r="N1200" s="37"/>
      <c r="O1200" s="45">
        <f t="shared" si="153"/>
        <v>0.55086320161236701</v>
      </c>
    </row>
    <row r="1201" spans="1:16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40">
        <f t="shared" si="148"/>
        <v>1175</v>
      </c>
      <c r="G1201" s="369">
        <v>435</v>
      </c>
      <c r="H1201" s="339">
        <v>435</v>
      </c>
      <c r="I1201" s="41">
        <f t="shared" si="149"/>
        <v>0.14499999999999999</v>
      </c>
      <c r="J1201" s="37">
        <f t="shared" si="150"/>
        <v>292.46644999999995</v>
      </c>
      <c r="K1201" s="37">
        <f t="shared" si="151"/>
        <v>107.53991366499999</v>
      </c>
      <c r="L1201" s="37">
        <v>112.97675</v>
      </c>
      <c r="M1201" s="37">
        <f t="shared" si="152"/>
        <v>13.41076</v>
      </c>
      <c r="N1201" s="37"/>
      <c r="O1201" s="45">
        <f t="shared" si="153"/>
        <v>0.44799478609787224</v>
      </c>
    </row>
    <row r="1202" spans="1:16" s="114" customFormat="1" ht="15.75">
      <c r="A1202" s="112"/>
      <c r="B1202" s="112" t="s">
        <v>681</v>
      </c>
      <c r="C1202" s="153">
        <f t="shared" ref="C1202:H1202" si="154">SUM(C1148:C1201)</f>
        <v>166904.80000000002</v>
      </c>
      <c r="D1202" s="153">
        <f t="shared" si="154"/>
        <v>178</v>
      </c>
      <c r="E1202" s="153">
        <f t="shared" si="154"/>
        <v>6124.4299999999994</v>
      </c>
      <c r="F1202" s="112">
        <f t="shared" si="154"/>
        <v>173207.23</v>
      </c>
      <c r="G1202" s="371">
        <f>SUM(G1148:G1201)</f>
        <v>56790.159999999996</v>
      </c>
      <c r="H1202" s="9">
        <f t="shared" si="154"/>
        <v>49418.43</v>
      </c>
      <c r="I1202" s="116">
        <f>H1202/3000</f>
        <v>16.472809999999999</v>
      </c>
      <c r="J1202" s="37">
        <f>I1202*2017.01</f>
        <v>33225.822498099995</v>
      </c>
      <c r="K1202" s="113">
        <f>J1202*0.3677</f>
        <v>12217.134932551369</v>
      </c>
      <c r="L1202" s="37">
        <f>SUM(L1148:L1201)</f>
        <v>12834.789911499998</v>
      </c>
      <c r="M1202" s="37">
        <f t="shared" si="152"/>
        <v>1523.53725128</v>
      </c>
      <c r="N1202" s="37"/>
      <c r="O1202" s="45">
        <f t="shared" si="153"/>
        <v>0.34525859338222409</v>
      </c>
    </row>
    <row r="1203" spans="1:16" s="6" customFormat="1" ht="15.75">
      <c r="A1203" s="1044" t="s">
        <v>618</v>
      </c>
      <c r="B1203" s="1045"/>
      <c r="C1203" s="8"/>
      <c r="D1203" s="8"/>
      <c r="E1203" s="8"/>
      <c r="F1203" s="40">
        <f t="shared" ref="F1203:G1231" si="155">C1203+D1203+E1203</f>
        <v>0</v>
      </c>
      <c r="G1203" s="353"/>
      <c r="H1203" s="8"/>
      <c r="I1203" s="41"/>
      <c r="J1203" s="37"/>
      <c r="K1203" s="37"/>
      <c r="L1203" s="37"/>
      <c r="M1203" s="37"/>
      <c r="N1203" s="37"/>
      <c r="O1203" s="45" t="e">
        <f t="shared" si="153"/>
        <v>#DIV/0!</v>
      </c>
    </row>
    <row r="1204" spans="1:16" s="6" customFormat="1" ht="15.75">
      <c r="A1204" s="8">
        <v>1</v>
      </c>
      <c r="B1204" s="8" t="s">
        <v>532</v>
      </c>
      <c r="C1204" s="386">
        <v>3898.29</v>
      </c>
      <c r="D1204" s="8">
        <v>123.1</v>
      </c>
      <c r="E1204" s="8">
        <v>374.5</v>
      </c>
      <c r="F1204" s="40">
        <f t="shared" si="155"/>
        <v>4395.8899999999994</v>
      </c>
      <c r="G1204" s="339">
        <f t="shared" si="155"/>
        <v>4893.49</v>
      </c>
      <c r="H1204" s="339">
        <v>1650</v>
      </c>
      <c r="I1204" s="41">
        <f>H1204/3000</f>
        <v>0.55000000000000004</v>
      </c>
      <c r="J1204" s="37">
        <f t="shared" ref="J1204:J1231" si="156">I1204*2017.01</f>
        <v>1109.3555000000001</v>
      </c>
      <c r="K1204" s="37">
        <f t="shared" ref="K1204:K1231" si="157">J1204*0.3677</f>
        <v>407.91001735000009</v>
      </c>
      <c r="L1204" s="37">
        <v>428.53250000000003</v>
      </c>
      <c r="M1204" s="37">
        <f>I1204*84.08*1.1</f>
        <v>50.868400000000001</v>
      </c>
      <c r="N1204" s="37"/>
      <c r="O1204" s="45">
        <f t="shared" si="153"/>
        <v>0.45421209751608904</v>
      </c>
      <c r="P1204" s="6">
        <v>0.41043144715222507</v>
      </c>
    </row>
    <row r="1205" spans="1:16" s="6" customFormat="1" ht="15.75">
      <c r="A1205" s="8">
        <v>2</v>
      </c>
      <c r="B1205" s="8" t="s">
        <v>533</v>
      </c>
      <c r="C1205" s="330">
        <v>3600.73</v>
      </c>
      <c r="D1205" s="8"/>
      <c r="E1205" s="8">
        <v>290.5</v>
      </c>
      <c r="F1205" s="40">
        <f t="shared" si="155"/>
        <v>3891.23</v>
      </c>
      <c r="G1205" s="339">
        <f t="shared" si="155"/>
        <v>4181.7299999999996</v>
      </c>
      <c r="H1205" s="339">
        <v>1063</v>
      </c>
      <c r="I1205" s="41">
        <f t="shared" ref="I1205:I1231" si="158">H1205/3000</f>
        <v>0.35433333333333333</v>
      </c>
      <c r="J1205" s="37">
        <f t="shared" si="156"/>
        <v>714.69387666666671</v>
      </c>
      <c r="K1205" s="37">
        <f t="shared" si="157"/>
        <v>262.79293845033339</v>
      </c>
      <c r="L1205" s="37">
        <v>276.07881666666668</v>
      </c>
      <c r="M1205" s="37">
        <f t="shared" ref="M1205:M1232" si="159">I1205*84.08*1.1</f>
        <v>32.771581333333337</v>
      </c>
      <c r="N1205" s="37"/>
      <c r="O1205" s="45">
        <f t="shared" si="153"/>
        <v>0.33057342103062531</v>
      </c>
      <c r="P1205" s="6">
        <v>0.40128434706956906</v>
      </c>
    </row>
    <row r="1206" spans="1:16" s="6" customFormat="1" ht="15.75">
      <c r="A1206" s="8">
        <v>3</v>
      </c>
      <c r="B1206" s="8" t="s">
        <v>534</v>
      </c>
      <c r="C1206" s="330">
        <v>5868.42</v>
      </c>
      <c r="D1206" s="8">
        <v>489.8</v>
      </c>
      <c r="E1206" s="8"/>
      <c r="F1206" s="40">
        <f t="shared" si="155"/>
        <v>6358.22</v>
      </c>
      <c r="G1206" s="339">
        <f t="shared" si="155"/>
        <v>6848.02</v>
      </c>
      <c r="H1206" s="339">
        <v>2717</v>
      </c>
      <c r="I1206" s="41">
        <f t="shared" si="158"/>
        <v>0.90566666666666662</v>
      </c>
      <c r="J1206" s="37">
        <f t="shared" si="156"/>
        <v>1826.7387233333332</v>
      </c>
      <c r="K1206" s="37">
        <f t="shared" si="157"/>
        <v>671.69182856966665</v>
      </c>
      <c r="L1206" s="37">
        <v>705.6501833333333</v>
      </c>
      <c r="M1206" s="37">
        <f t="shared" si="159"/>
        <v>83.763298666666657</v>
      </c>
      <c r="N1206" s="37"/>
      <c r="O1206" s="45">
        <f t="shared" si="153"/>
        <v>0.51710133243313372</v>
      </c>
      <c r="P1206" s="6">
        <v>0.36692638450302434</v>
      </c>
    </row>
    <row r="1207" spans="1:16" s="6" customFormat="1" ht="15.75">
      <c r="A1207" s="8">
        <v>4</v>
      </c>
      <c r="B1207" s="8" t="s">
        <v>535</v>
      </c>
      <c r="C1207" s="330">
        <v>4090.86</v>
      </c>
      <c r="D1207" s="8"/>
      <c r="E1207" s="8"/>
      <c r="F1207" s="40">
        <f t="shared" si="155"/>
        <v>4090.86</v>
      </c>
      <c r="G1207" s="339">
        <f t="shared" si="155"/>
        <v>4090.86</v>
      </c>
      <c r="H1207" s="339">
        <v>1289</v>
      </c>
      <c r="I1207" s="41">
        <f t="shared" si="158"/>
        <v>0.42966666666666664</v>
      </c>
      <c r="J1207" s="37">
        <f t="shared" si="156"/>
        <v>866.64196333333325</v>
      </c>
      <c r="K1207" s="37">
        <f t="shared" si="157"/>
        <v>318.66424991766667</v>
      </c>
      <c r="L1207" s="37">
        <v>334.77478333333329</v>
      </c>
      <c r="M1207" s="37">
        <f t="shared" si="159"/>
        <v>39.739010666666672</v>
      </c>
      <c r="N1207" s="37"/>
      <c r="O1207" s="45">
        <f t="shared" si="153"/>
        <v>0.38129391063272755</v>
      </c>
      <c r="P1207" s="6">
        <v>0.36871267884526776</v>
      </c>
    </row>
    <row r="1208" spans="1:16" s="6" customFormat="1" ht="15.75">
      <c r="A1208" s="8">
        <v>5</v>
      </c>
      <c r="B1208" s="8" t="s">
        <v>536</v>
      </c>
      <c r="C1208" s="330">
        <v>3274.15</v>
      </c>
      <c r="D1208" s="8"/>
      <c r="E1208" s="8"/>
      <c r="F1208" s="40">
        <f t="shared" si="155"/>
        <v>3274.15</v>
      </c>
      <c r="G1208" s="339">
        <f t="shared" si="155"/>
        <v>3274.15</v>
      </c>
      <c r="H1208" s="339">
        <v>1153</v>
      </c>
      <c r="I1208" s="41">
        <f t="shared" si="158"/>
        <v>0.38433333333333336</v>
      </c>
      <c r="J1208" s="37">
        <f t="shared" si="156"/>
        <v>775.20417666666674</v>
      </c>
      <c r="K1208" s="37">
        <f t="shared" si="157"/>
        <v>285.04257576033336</v>
      </c>
      <c r="L1208" s="37">
        <v>299.45331666666669</v>
      </c>
      <c r="M1208" s="37">
        <f t="shared" si="159"/>
        <v>35.546221333333342</v>
      </c>
      <c r="N1208" s="37"/>
      <c r="O1208" s="45">
        <f t="shared" si="153"/>
        <v>0.42614000287922055</v>
      </c>
      <c r="P1208" s="6">
        <v>0.40686670112853712</v>
      </c>
    </row>
    <row r="1209" spans="1:16" s="6" customFormat="1" ht="15.75">
      <c r="A1209" s="8">
        <v>6</v>
      </c>
      <c r="B1209" s="8" t="s">
        <v>537</v>
      </c>
      <c r="C1209" s="330">
        <v>6596</v>
      </c>
      <c r="D1209" s="8"/>
      <c r="E1209" s="8"/>
      <c r="F1209" s="40">
        <f t="shared" si="155"/>
        <v>6596</v>
      </c>
      <c r="G1209" s="339">
        <f t="shared" si="155"/>
        <v>6596</v>
      </c>
      <c r="H1209" s="339">
        <v>2310</v>
      </c>
      <c r="I1209" s="41">
        <f t="shared" si="158"/>
        <v>0.77</v>
      </c>
      <c r="J1209" s="37">
        <f t="shared" si="156"/>
        <v>1553.0977</v>
      </c>
      <c r="K1209" s="37">
        <f t="shared" si="157"/>
        <v>571.07402429000001</v>
      </c>
      <c r="L1209" s="37">
        <v>599.94550000000004</v>
      </c>
      <c r="M1209" s="37">
        <f t="shared" si="159"/>
        <v>71.215760000000017</v>
      </c>
      <c r="N1209" s="37"/>
      <c r="O1209" s="45">
        <f t="shared" si="153"/>
        <v>0.42379214437386298</v>
      </c>
      <c r="P1209" s="6">
        <v>0.49047960585419725</v>
      </c>
    </row>
    <row r="1210" spans="1:16" s="6" customFormat="1" ht="15.75">
      <c r="A1210" s="8">
        <v>7</v>
      </c>
      <c r="B1210" s="8" t="s">
        <v>538</v>
      </c>
      <c r="C1210" s="330">
        <v>7101.2</v>
      </c>
      <c r="D1210" s="8"/>
      <c r="E1210" s="8"/>
      <c r="F1210" s="40">
        <f t="shared" si="155"/>
        <v>7101.2</v>
      </c>
      <c r="G1210" s="339">
        <f t="shared" si="155"/>
        <v>7101.2</v>
      </c>
      <c r="H1210" s="339">
        <v>2765</v>
      </c>
      <c r="I1210" s="41">
        <f t="shared" si="158"/>
        <v>0.92166666666666663</v>
      </c>
      <c r="J1210" s="37">
        <f t="shared" si="156"/>
        <v>1859.0108833333334</v>
      </c>
      <c r="K1210" s="37">
        <f t="shared" si="157"/>
        <v>683.55830180166674</v>
      </c>
      <c r="L1210" s="37">
        <v>718.11658333333332</v>
      </c>
      <c r="M1210" s="37">
        <f t="shared" si="159"/>
        <v>85.243106666666662</v>
      </c>
      <c r="N1210" s="37"/>
      <c r="O1210" s="45">
        <f t="shared" si="153"/>
        <v>0.47117795233692905</v>
      </c>
      <c r="P1210" s="6">
        <v>0.44268216970035912</v>
      </c>
    </row>
    <row r="1211" spans="1:16" s="6" customFormat="1" ht="15.75">
      <c r="A1211" s="8">
        <v>8</v>
      </c>
      <c r="B1211" s="8" t="s">
        <v>539</v>
      </c>
      <c r="C1211" s="330">
        <v>7470.48</v>
      </c>
      <c r="D1211" s="8"/>
      <c r="E1211" s="8"/>
      <c r="F1211" s="40">
        <f t="shared" si="155"/>
        <v>7470.48</v>
      </c>
      <c r="G1211" s="339">
        <f t="shared" si="155"/>
        <v>7470.48</v>
      </c>
      <c r="H1211" s="339">
        <v>3689</v>
      </c>
      <c r="I1211" s="41">
        <f t="shared" si="158"/>
        <v>1.2296666666666667</v>
      </c>
      <c r="J1211" s="37">
        <f t="shared" si="156"/>
        <v>2480.2499633333332</v>
      </c>
      <c r="K1211" s="37">
        <f t="shared" si="157"/>
        <v>911.9879115176667</v>
      </c>
      <c r="L1211" s="37">
        <v>958.09478333333334</v>
      </c>
      <c r="M1211" s="37">
        <f t="shared" si="159"/>
        <v>113.72941066666667</v>
      </c>
      <c r="N1211" s="37"/>
      <c r="O1211" s="45">
        <f t="shared" si="153"/>
        <v>0.59756027308164938</v>
      </c>
      <c r="P1211" s="6">
        <v>0.3349413459790434</v>
      </c>
    </row>
    <row r="1212" spans="1:16" s="6" customFormat="1" ht="15.75">
      <c r="A1212" s="8">
        <v>9</v>
      </c>
      <c r="B1212" s="8" t="s">
        <v>540</v>
      </c>
      <c r="C1212" s="330">
        <v>2276.6</v>
      </c>
      <c r="D1212" s="8"/>
      <c r="E1212" s="8"/>
      <c r="F1212" s="40">
        <f t="shared" si="155"/>
        <v>2276.6</v>
      </c>
      <c r="G1212" s="339">
        <f t="shared" si="155"/>
        <v>2276.6</v>
      </c>
      <c r="H1212" s="339">
        <v>637</v>
      </c>
      <c r="I1212" s="41">
        <f t="shared" si="158"/>
        <v>0.21233333333333335</v>
      </c>
      <c r="J1212" s="37">
        <f t="shared" si="156"/>
        <v>428.27845666666667</v>
      </c>
      <c r="K1212" s="37">
        <f t="shared" si="157"/>
        <v>157.47798851633334</v>
      </c>
      <c r="L1212" s="37">
        <v>165.43951666666666</v>
      </c>
      <c r="M1212" s="37">
        <f t="shared" si="159"/>
        <v>19.638285333333336</v>
      </c>
      <c r="N1212" s="37"/>
      <c r="O1212" s="45">
        <f t="shared" si="153"/>
        <v>0.33859011121101645</v>
      </c>
      <c r="P1212" s="6">
        <v>0.52477348870809859</v>
      </c>
    </row>
    <row r="1213" spans="1:16" s="6" customFormat="1" ht="15.75">
      <c r="A1213" s="8">
        <v>10</v>
      </c>
      <c r="B1213" s="8" t="s">
        <v>541</v>
      </c>
      <c r="C1213" s="330">
        <v>4642.43</v>
      </c>
      <c r="D1213" s="8"/>
      <c r="E1213" s="8"/>
      <c r="F1213" s="40">
        <f t="shared" si="155"/>
        <v>4642.43</v>
      </c>
      <c r="G1213" s="339">
        <f t="shared" si="155"/>
        <v>4642.43</v>
      </c>
      <c r="H1213" s="339">
        <v>2068</v>
      </c>
      <c r="I1213" s="41">
        <f t="shared" si="158"/>
        <v>0.68933333333333335</v>
      </c>
      <c r="J1213" s="37">
        <f t="shared" si="156"/>
        <v>1390.3922266666666</v>
      </c>
      <c r="K1213" s="37">
        <f t="shared" si="157"/>
        <v>511.24722174533332</v>
      </c>
      <c r="L1213" s="37">
        <v>537.09406666666666</v>
      </c>
      <c r="M1213" s="37">
        <f t="shared" si="159"/>
        <v>63.755061333333344</v>
      </c>
      <c r="N1213" s="37"/>
      <c r="O1213" s="45">
        <f t="shared" si="153"/>
        <v>0.53904713187102438</v>
      </c>
      <c r="P1213" s="6">
        <v>0.38715398332031153</v>
      </c>
    </row>
    <row r="1214" spans="1:16" s="6" customFormat="1" ht="15.75">
      <c r="A1214" s="8">
        <v>11</v>
      </c>
      <c r="B1214" s="8" t="s">
        <v>542</v>
      </c>
      <c r="C1214" s="330">
        <v>3634.2</v>
      </c>
      <c r="D1214" s="8"/>
      <c r="E1214" s="8"/>
      <c r="F1214" s="40">
        <f t="shared" si="155"/>
        <v>3634.2</v>
      </c>
      <c r="G1214" s="339">
        <f t="shared" si="155"/>
        <v>3634.2</v>
      </c>
      <c r="H1214" s="339">
        <v>2003</v>
      </c>
      <c r="I1214" s="41">
        <f t="shared" si="158"/>
        <v>0.66766666666666663</v>
      </c>
      <c r="J1214" s="37">
        <f t="shared" si="156"/>
        <v>1346.6903433333332</v>
      </c>
      <c r="K1214" s="37">
        <f t="shared" si="157"/>
        <v>495.17803924366666</v>
      </c>
      <c r="L1214" s="37">
        <v>520.21248333333324</v>
      </c>
      <c r="M1214" s="37">
        <f t="shared" si="159"/>
        <v>61.751154666666665</v>
      </c>
      <c r="N1214" s="37"/>
      <c r="O1214" s="45">
        <f t="shared" si="153"/>
        <v>0.66695064129024262</v>
      </c>
      <c r="P1214" s="6">
        <v>0.29576714910401458</v>
      </c>
    </row>
    <row r="1215" spans="1:16" s="6" customFormat="1" ht="15.75">
      <c r="A1215" s="8">
        <v>12</v>
      </c>
      <c r="B1215" s="8" t="s">
        <v>543</v>
      </c>
      <c r="C1215" s="330">
        <v>5551.35</v>
      </c>
      <c r="D1215" s="32"/>
      <c r="E1215" s="32"/>
      <c r="F1215" s="40">
        <f>C1215+D1215+E1215</f>
        <v>5551.35</v>
      </c>
      <c r="G1215" s="339">
        <f t="shared" si="155"/>
        <v>5551.35</v>
      </c>
      <c r="H1215" s="339">
        <v>2580</v>
      </c>
      <c r="I1215" s="41">
        <f>H1215/3000</f>
        <v>0.86</v>
      </c>
      <c r="J1215" s="37">
        <f t="shared" si="156"/>
        <v>1734.6286</v>
      </c>
      <c r="K1215" s="37">
        <f t="shared" si="157"/>
        <v>637.82293622000009</v>
      </c>
      <c r="L1215" s="37">
        <v>670.06899999999996</v>
      </c>
      <c r="M1215" s="37">
        <f t="shared" si="159"/>
        <v>79.53967999999999</v>
      </c>
      <c r="N1215" s="37"/>
      <c r="O1215" s="45">
        <f t="shared" si="153"/>
        <v>0.56239657312545588</v>
      </c>
      <c r="P1215" s="6">
        <v>0.41454672806528825</v>
      </c>
    </row>
    <row r="1216" spans="1:16" s="6" customFormat="1" ht="15.75">
      <c r="A1216" s="8">
        <v>13</v>
      </c>
      <c r="B1216" s="8" t="s">
        <v>545</v>
      </c>
      <c r="C1216" s="330">
        <v>4556.37</v>
      </c>
      <c r="D1216" s="8"/>
      <c r="E1216" s="8"/>
      <c r="F1216" s="40">
        <f t="shared" si="155"/>
        <v>4556.37</v>
      </c>
      <c r="G1216" s="339">
        <f t="shared" si="155"/>
        <v>4556.37</v>
      </c>
      <c r="H1216" s="339">
        <v>1880</v>
      </c>
      <c r="I1216" s="41">
        <f t="shared" si="158"/>
        <v>0.62666666666666671</v>
      </c>
      <c r="J1216" s="37">
        <f t="shared" si="156"/>
        <v>1263.9929333333334</v>
      </c>
      <c r="K1216" s="37">
        <f t="shared" si="157"/>
        <v>464.77020158666676</v>
      </c>
      <c r="L1216" s="37">
        <v>488.26733333333334</v>
      </c>
      <c r="M1216" s="37">
        <f t="shared" si="159"/>
        <v>57.959146666666676</v>
      </c>
      <c r="N1216" s="37"/>
      <c r="O1216" s="45">
        <f t="shared" si="153"/>
        <v>0.49929869938569515</v>
      </c>
      <c r="P1216" s="6">
        <v>0.39910726906977012</v>
      </c>
    </row>
    <row r="1217" spans="1:16" s="6" customFormat="1" ht="15.75">
      <c r="A1217" s="8">
        <v>14</v>
      </c>
      <c r="B1217" s="8" t="s">
        <v>546</v>
      </c>
      <c r="C1217" s="330">
        <v>4596.6099999999997</v>
      </c>
      <c r="D1217" s="8"/>
      <c r="E1217" s="8"/>
      <c r="F1217" s="40">
        <f t="shared" si="155"/>
        <v>4596.6099999999997</v>
      </c>
      <c r="G1217" s="339">
        <f t="shared" si="155"/>
        <v>4596.6099999999997</v>
      </c>
      <c r="H1217" s="339">
        <v>2682</v>
      </c>
      <c r="I1217" s="41">
        <f t="shared" si="158"/>
        <v>0.89400000000000002</v>
      </c>
      <c r="J1217" s="37">
        <f t="shared" si="156"/>
        <v>1803.20694</v>
      </c>
      <c r="K1217" s="37">
        <f t="shared" si="157"/>
        <v>663.03919183800008</v>
      </c>
      <c r="L1217" s="37">
        <v>696.56010000000003</v>
      </c>
      <c r="M1217" s="37">
        <f t="shared" si="159"/>
        <v>82.684272000000007</v>
      </c>
      <c r="N1217" s="37"/>
      <c r="O1217" s="45">
        <f t="shared" si="153"/>
        <v>0.70606175068974752</v>
      </c>
      <c r="P1217" s="6">
        <v>0.27370925241645472</v>
      </c>
    </row>
    <row r="1218" spans="1:16" s="6" customFormat="1" ht="15.75">
      <c r="A1218" s="8">
        <v>15</v>
      </c>
      <c r="B1218" s="8" t="s">
        <v>567</v>
      </c>
      <c r="C1218" s="330">
        <v>4490.43</v>
      </c>
      <c r="D1218" s="8"/>
      <c r="E1218" s="8"/>
      <c r="F1218" s="40">
        <f t="shared" si="155"/>
        <v>4490.43</v>
      </c>
      <c r="G1218" s="339">
        <f t="shared" si="155"/>
        <v>4490.43</v>
      </c>
      <c r="H1218" s="339">
        <v>2159</v>
      </c>
      <c r="I1218" s="41">
        <f t="shared" si="158"/>
        <v>0.71966666666666668</v>
      </c>
      <c r="J1218" s="37">
        <f t="shared" si="156"/>
        <v>1451.5748633333333</v>
      </c>
      <c r="K1218" s="37">
        <f t="shared" si="157"/>
        <v>533.74407724766672</v>
      </c>
      <c r="L1218" s="37">
        <v>560.72828333333337</v>
      </c>
      <c r="M1218" s="37">
        <f t="shared" si="159"/>
        <v>66.560530666666679</v>
      </c>
      <c r="N1218" s="37"/>
      <c r="O1218" s="45">
        <f t="shared" si="153"/>
        <v>0.58181683147961327</v>
      </c>
      <c r="P1218" s="6">
        <v>0.34767600237510393</v>
      </c>
    </row>
    <row r="1219" spans="1:16" s="6" customFormat="1" ht="15.75">
      <c r="A1219" s="8">
        <v>16</v>
      </c>
      <c r="B1219" s="8" t="s">
        <v>568</v>
      </c>
      <c r="C1219" s="330">
        <v>4338.5</v>
      </c>
      <c r="D1219" s="8"/>
      <c r="E1219" s="8"/>
      <c r="F1219" s="40">
        <f t="shared" si="155"/>
        <v>4338.5</v>
      </c>
      <c r="G1219" s="339">
        <f t="shared" si="155"/>
        <v>4338.5</v>
      </c>
      <c r="H1219" s="339">
        <v>2037</v>
      </c>
      <c r="I1219" s="41">
        <f t="shared" si="158"/>
        <v>0.67900000000000005</v>
      </c>
      <c r="J1219" s="37">
        <f t="shared" si="156"/>
        <v>1369.54979</v>
      </c>
      <c r="K1219" s="37">
        <f t="shared" si="157"/>
        <v>503.58345778300003</v>
      </c>
      <c r="L1219" s="37">
        <v>529.04285000000004</v>
      </c>
      <c r="M1219" s="37">
        <f t="shared" si="159"/>
        <v>62.799352000000013</v>
      </c>
      <c r="N1219" s="37"/>
      <c r="O1219" s="45">
        <f t="shared" si="153"/>
        <v>0.56816306322069843</v>
      </c>
      <c r="P1219" s="6">
        <v>0.35172822020722538</v>
      </c>
    </row>
    <row r="1220" spans="1:16" s="6" customFormat="1" ht="15.75">
      <c r="A1220" s="8">
        <v>17</v>
      </c>
      <c r="B1220" s="8" t="s">
        <v>569</v>
      </c>
      <c r="C1220" s="330">
        <v>3131.06</v>
      </c>
      <c r="D1220" s="8"/>
      <c r="E1220" s="8"/>
      <c r="F1220" s="40">
        <f t="shared" si="155"/>
        <v>3131.06</v>
      </c>
      <c r="G1220" s="339">
        <f t="shared" si="155"/>
        <v>3131.06</v>
      </c>
      <c r="H1220" s="339">
        <v>1653</v>
      </c>
      <c r="I1220" s="41">
        <f t="shared" si="158"/>
        <v>0.55100000000000005</v>
      </c>
      <c r="J1220" s="37">
        <f t="shared" si="156"/>
        <v>1111.3725100000001</v>
      </c>
      <c r="K1220" s="37">
        <f t="shared" si="157"/>
        <v>408.65167192700011</v>
      </c>
      <c r="L1220" s="37">
        <v>429.31165000000004</v>
      </c>
      <c r="M1220" s="37">
        <f t="shared" si="159"/>
        <v>50.960888000000004</v>
      </c>
      <c r="N1220" s="37"/>
      <c r="O1220" s="45">
        <f t="shared" si="153"/>
        <v>0.63885608066501454</v>
      </c>
      <c r="P1220" s="6">
        <v>0.35004825652000399</v>
      </c>
    </row>
    <row r="1221" spans="1:16" s="6" customFormat="1" ht="15.75">
      <c r="A1221" s="8">
        <v>18</v>
      </c>
      <c r="B1221" s="8" t="s">
        <v>570</v>
      </c>
      <c r="C1221" s="330">
        <v>3376.98</v>
      </c>
      <c r="D1221" s="8"/>
      <c r="E1221" s="8"/>
      <c r="F1221" s="40">
        <f t="shared" si="155"/>
        <v>3376.98</v>
      </c>
      <c r="G1221" s="339">
        <f t="shared" si="155"/>
        <v>3376.98</v>
      </c>
      <c r="H1221" s="339">
        <v>1699</v>
      </c>
      <c r="I1221" s="41">
        <f t="shared" si="158"/>
        <v>0.56633333333333336</v>
      </c>
      <c r="J1221" s="37">
        <f t="shared" si="156"/>
        <v>1142.2999966666666</v>
      </c>
      <c r="K1221" s="37">
        <f t="shared" si="157"/>
        <v>420.02370877433333</v>
      </c>
      <c r="L1221" s="37">
        <v>441.25861666666668</v>
      </c>
      <c r="M1221" s="37">
        <f t="shared" si="159"/>
        <v>52.379037333333336</v>
      </c>
      <c r="N1221" s="37"/>
      <c r="O1221" s="45">
        <f t="shared" si="153"/>
        <v>0.60881656374660198</v>
      </c>
      <c r="P1221" s="6">
        <v>0.33394920172405379</v>
      </c>
    </row>
    <row r="1222" spans="1:16" s="263" customFormat="1" ht="15.75">
      <c r="A1222" s="264">
        <v>20</v>
      </c>
      <c r="B1222" s="264" t="s">
        <v>571</v>
      </c>
      <c r="C1222" s="330">
        <v>50.5</v>
      </c>
      <c r="D1222" s="264"/>
      <c r="E1222" s="264"/>
      <c r="F1222" s="265">
        <f t="shared" si="155"/>
        <v>50.5</v>
      </c>
      <c r="G1222" s="880">
        <f t="shared" si="155"/>
        <v>50.5</v>
      </c>
      <c r="H1222" s="880"/>
      <c r="I1222" s="266">
        <f t="shared" si="158"/>
        <v>0</v>
      </c>
      <c r="J1222" s="37">
        <f t="shared" si="156"/>
        <v>0</v>
      </c>
      <c r="K1222" s="267">
        <f t="shared" si="157"/>
        <v>0</v>
      </c>
      <c r="L1222" s="37">
        <v>0</v>
      </c>
      <c r="M1222" s="37">
        <f t="shared" si="159"/>
        <v>0</v>
      </c>
      <c r="N1222" s="37"/>
      <c r="O1222" s="45">
        <f t="shared" si="153"/>
        <v>0</v>
      </c>
    </row>
    <row r="1223" spans="1:16" s="6" customFormat="1" ht="15.75">
      <c r="A1223" s="8">
        <v>22</v>
      </c>
      <c r="B1223" s="8" t="s">
        <v>356</v>
      </c>
      <c r="C1223" s="330">
        <v>306.8</v>
      </c>
      <c r="D1223" s="8"/>
      <c r="E1223" s="8"/>
      <c r="F1223" s="40">
        <f t="shared" si="155"/>
        <v>306.8</v>
      </c>
      <c r="G1223" s="339">
        <f t="shared" si="155"/>
        <v>306.8</v>
      </c>
      <c r="H1223" s="339">
        <v>52</v>
      </c>
      <c r="I1223" s="41">
        <f>H1223/3000</f>
        <v>1.7333333333333333E-2</v>
      </c>
      <c r="J1223" s="37">
        <f t="shared" si="156"/>
        <v>34.961506666666665</v>
      </c>
      <c r="K1223" s="37">
        <f t="shared" si="157"/>
        <v>12.855346001333334</v>
      </c>
      <c r="L1223" s="37">
        <v>13.505266666666666</v>
      </c>
      <c r="M1223" s="37">
        <f t="shared" si="159"/>
        <v>1.6031253333333333</v>
      </c>
      <c r="N1223" s="37"/>
      <c r="O1223" s="45">
        <f t="shared" ref="O1223:O1232" si="160">(J1223+K1223+L1223+M1223)/F1223</f>
        <v>0.20510184050847455</v>
      </c>
      <c r="P1223" s="6">
        <v>0</v>
      </c>
    </row>
    <row r="1224" spans="1:16" s="6" customFormat="1" ht="15.75">
      <c r="A1224" s="8">
        <v>23</v>
      </c>
      <c r="B1224" s="8" t="s">
        <v>357</v>
      </c>
      <c r="C1224" s="330">
        <v>304.18</v>
      </c>
      <c r="D1224" s="8"/>
      <c r="E1224" s="8"/>
      <c r="F1224" s="40">
        <f t="shared" si="155"/>
        <v>304.18</v>
      </c>
      <c r="G1224" s="339">
        <f t="shared" si="155"/>
        <v>304.18</v>
      </c>
      <c r="H1224" s="339">
        <v>75</v>
      </c>
      <c r="I1224" s="41">
        <f>H1224/3000</f>
        <v>2.5000000000000001E-2</v>
      </c>
      <c r="J1224" s="37">
        <f t="shared" si="156"/>
        <v>50.425250000000005</v>
      </c>
      <c r="K1224" s="37">
        <f t="shared" si="157"/>
        <v>18.541364425000005</v>
      </c>
      <c r="L1224" s="37">
        <v>19.478750000000002</v>
      </c>
      <c r="M1224" s="37">
        <f t="shared" si="159"/>
        <v>2.3122000000000003</v>
      </c>
      <c r="N1224" s="37"/>
      <c r="O1224" s="45">
        <f t="shared" si="160"/>
        <v>0.2983679545828129</v>
      </c>
      <c r="P1224" s="6">
        <v>0</v>
      </c>
    </row>
    <row r="1225" spans="1:16" s="6" customFormat="1" ht="15.75">
      <c r="A1225" s="8">
        <v>24</v>
      </c>
      <c r="B1225" s="8" t="s">
        <v>358</v>
      </c>
      <c r="C1225" s="330">
        <v>823.48</v>
      </c>
      <c r="D1225" s="8"/>
      <c r="E1225" s="8"/>
      <c r="F1225" s="40">
        <f t="shared" si="155"/>
        <v>823.48</v>
      </c>
      <c r="G1225" s="339">
        <f t="shared" si="155"/>
        <v>823.48</v>
      </c>
      <c r="H1225" s="339">
        <v>253</v>
      </c>
      <c r="I1225" s="41">
        <f t="shared" si="158"/>
        <v>8.433333333333333E-2</v>
      </c>
      <c r="J1225" s="37">
        <f t="shared" si="156"/>
        <v>170.10117666666665</v>
      </c>
      <c r="K1225" s="37">
        <f t="shared" si="157"/>
        <v>62.546202660333329</v>
      </c>
      <c r="L1225" s="37">
        <v>65.708316666666661</v>
      </c>
      <c r="M1225" s="37">
        <f t="shared" si="159"/>
        <v>7.7998213333333331</v>
      </c>
      <c r="N1225" s="37"/>
      <c r="O1225" s="45">
        <f t="shared" si="160"/>
        <v>0.37178257799460823</v>
      </c>
      <c r="P1225" s="6">
        <v>0</v>
      </c>
    </row>
    <row r="1226" spans="1:16" s="6" customFormat="1" ht="15.75">
      <c r="A1226" s="8">
        <v>25</v>
      </c>
      <c r="B1226" s="8" t="s">
        <v>359</v>
      </c>
      <c r="C1226" s="330">
        <v>733.47</v>
      </c>
      <c r="D1226" s="8"/>
      <c r="E1226" s="8">
        <v>70</v>
      </c>
      <c r="F1226" s="40">
        <f t="shared" si="155"/>
        <v>803.47</v>
      </c>
      <c r="G1226" s="339">
        <f t="shared" si="155"/>
        <v>873.47</v>
      </c>
      <c r="H1226" s="339">
        <v>200</v>
      </c>
      <c r="I1226" s="41">
        <f t="shared" si="158"/>
        <v>6.6666666666666666E-2</v>
      </c>
      <c r="J1226" s="37">
        <f t="shared" si="156"/>
        <v>134.46733333333333</v>
      </c>
      <c r="K1226" s="37">
        <f t="shared" si="157"/>
        <v>49.44363846666667</v>
      </c>
      <c r="L1226" s="37">
        <v>51.943333333333328</v>
      </c>
      <c r="M1226" s="37">
        <f t="shared" si="159"/>
        <v>6.1658666666666671</v>
      </c>
      <c r="N1226" s="37"/>
      <c r="O1226" s="45">
        <f t="shared" si="160"/>
        <v>0.30121867873100422</v>
      </c>
      <c r="P1226" s="6">
        <v>0</v>
      </c>
    </row>
    <row r="1227" spans="1:16" s="6" customFormat="1" ht="15.75">
      <c r="A1227" s="8">
        <v>26</v>
      </c>
      <c r="B1227" s="8" t="s">
        <v>360</v>
      </c>
      <c r="C1227" s="330">
        <v>4465.32</v>
      </c>
      <c r="D1227" s="8"/>
      <c r="E1227" s="8"/>
      <c r="F1227" s="40">
        <f t="shared" si="155"/>
        <v>4465.32</v>
      </c>
      <c r="G1227" s="339">
        <f t="shared" si="155"/>
        <v>4465.32</v>
      </c>
      <c r="H1227" s="339">
        <v>1695</v>
      </c>
      <c r="I1227" s="41">
        <f t="shared" si="158"/>
        <v>0.56499999999999995</v>
      </c>
      <c r="J1227" s="37">
        <f t="shared" si="156"/>
        <v>1139.6106499999999</v>
      </c>
      <c r="K1227" s="37">
        <f t="shared" si="157"/>
        <v>419.03483600499999</v>
      </c>
      <c r="L1227" s="37">
        <v>440.21974999999992</v>
      </c>
      <c r="M1227" s="37">
        <f t="shared" si="159"/>
        <v>52.255719999999997</v>
      </c>
      <c r="N1227" s="37"/>
      <c r="O1227" s="45">
        <f t="shared" si="160"/>
        <v>0.45934467317123967</v>
      </c>
      <c r="P1227" s="6">
        <v>0.42618689605992088</v>
      </c>
    </row>
    <row r="1228" spans="1:16" s="6" customFormat="1" ht="15.75">
      <c r="A1228" s="8">
        <v>27</v>
      </c>
      <c r="B1228" s="8" t="s">
        <v>361</v>
      </c>
      <c r="C1228" s="330">
        <v>2218.6799999999998</v>
      </c>
      <c r="D1228" s="8"/>
      <c r="E1228" s="8"/>
      <c r="F1228" s="40">
        <f t="shared" si="155"/>
        <v>2218.6799999999998</v>
      </c>
      <c r="G1228" s="339">
        <f t="shared" si="155"/>
        <v>2218.6799999999998</v>
      </c>
      <c r="H1228" s="339">
        <v>1023</v>
      </c>
      <c r="I1228" s="41">
        <f t="shared" si="158"/>
        <v>0.34100000000000003</v>
      </c>
      <c r="J1228" s="37">
        <f t="shared" si="156"/>
        <v>687.80041000000006</v>
      </c>
      <c r="K1228" s="37">
        <f t="shared" si="157"/>
        <v>252.90421075700004</v>
      </c>
      <c r="L1228" s="37">
        <v>265.69015000000002</v>
      </c>
      <c r="M1228" s="37">
        <f t="shared" si="159"/>
        <v>31.538408000000008</v>
      </c>
      <c r="N1228" s="37"/>
      <c r="O1228" s="45">
        <f t="shared" si="160"/>
        <v>0.55795931759289319</v>
      </c>
      <c r="P1228" s="6">
        <v>0.42887231838622197</v>
      </c>
    </row>
    <row r="1229" spans="1:16" s="6" customFormat="1" ht="15.75">
      <c r="A1229" s="8">
        <v>28</v>
      </c>
      <c r="B1229" s="8" t="s">
        <v>362</v>
      </c>
      <c r="C1229" s="330">
        <v>120.8</v>
      </c>
      <c r="D1229" s="8"/>
      <c r="E1229" s="8"/>
      <c r="F1229" s="40">
        <f t="shared" si="155"/>
        <v>120.8</v>
      </c>
      <c r="G1229" s="339">
        <f t="shared" si="155"/>
        <v>120.8</v>
      </c>
      <c r="H1229" s="339"/>
      <c r="I1229" s="41">
        <f t="shared" si="158"/>
        <v>0</v>
      </c>
      <c r="J1229" s="37">
        <f t="shared" si="156"/>
        <v>0</v>
      </c>
      <c r="K1229" s="37">
        <f t="shared" si="157"/>
        <v>0</v>
      </c>
      <c r="L1229" s="37">
        <v>0</v>
      </c>
      <c r="M1229" s="37">
        <f t="shared" si="159"/>
        <v>0</v>
      </c>
      <c r="N1229" s="37"/>
      <c r="O1229" s="45">
        <f t="shared" si="160"/>
        <v>0</v>
      </c>
      <c r="P1229" s="6">
        <v>0</v>
      </c>
    </row>
    <row r="1230" spans="1:16" s="6" customFormat="1" ht="15.75">
      <c r="A1230" s="8">
        <v>30</v>
      </c>
      <c r="B1230" s="8" t="s">
        <v>363</v>
      </c>
      <c r="C1230" s="330">
        <v>174.6</v>
      </c>
      <c r="D1230" s="8"/>
      <c r="E1230" s="8"/>
      <c r="F1230" s="40">
        <f t="shared" si="155"/>
        <v>174.6</v>
      </c>
      <c r="G1230" s="339">
        <f t="shared" si="155"/>
        <v>174.6</v>
      </c>
      <c r="H1230" s="339"/>
      <c r="I1230" s="41">
        <f t="shared" si="158"/>
        <v>0</v>
      </c>
      <c r="J1230" s="37">
        <f t="shared" si="156"/>
        <v>0</v>
      </c>
      <c r="K1230" s="37">
        <f t="shared" si="157"/>
        <v>0</v>
      </c>
      <c r="L1230" s="37">
        <v>0</v>
      </c>
      <c r="M1230" s="37">
        <f t="shared" si="159"/>
        <v>0</v>
      </c>
      <c r="N1230" s="37"/>
      <c r="O1230" s="45">
        <f t="shared" si="160"/>
        <v>0</v>
      </c>
    </row>
    <row r="1231" spans="1:16" s="6" customFormat="1" ht="15.75">
      <c r="A1231" s="8">
        <v>31</v>
      </c>
      <c r="B1231" s="8" t="s">
        <v>364</v>
      </c>
      <c r="C1231" s="330">
        <v>139.19999999999999</v>
      </c>
      <c r="D1231" s="8"/>
      <c r="E1231" s="8"/>
      <c r="F1231" s="40">
        <f t="shared" si="155"/>
        <v>139.19999999999999</v>
      </c>
      <c r="G1231" s="339">
        <f t="shared" si="155"/>
        <v>139.19999999999999</v>
      </c>
      <c r="H1231" s="339"/>
      <c r="I1231" s="41">
        <f t="shared" si="158"/>
        <v>0</v>
      </c>
      <c r="J1231" s="37">
        <f t="shared" si="156"/>
        <v>0</v>
      </c>
      <c r="K1231" s="37">
        <f t="shared" si="157"/>
        <v>0</v>
      </c>
      <c r="L1231" s="37">
        <v>0</v>
      </c>
      <c r="M1231" s="37">
        <f t="shared" si="159"/>
        <v>0</v>
      </c>
      <c r="N1231" s="37"/>
      <c r="O1231" s="45">
        <f t="shared" si="160"/>
        <v>0</v>
      </c>
    </row>
    <row r="1232" spans="1:16" s="69" customFormat="1" ht="15.75">
      <c r="A1232" s="63"/>
      <c r="B1232" s="63" t="s">
        <v>572</v>
      </c>
      <c r="C1232" s="63">
        <f t="shared" ref="C1232:H1232" si="161">SUM(C1204:C1231)</f>
        <v>91831.689999999973</v>
      </c>
      <c r="D1232" s="63">
        <f t="shared" si="161"/>
        <v>612.9</v>
      </c>
      <c r="E1232" s="63">
        <f t="shared" si="161"/>
        <v>735</v>
      </c>
      <c r="F1232" s="63">
        <f t="shared" si="161"/>
        <v>93179.589999999967</v>
      </c>
      <c r="G1232" s="372">
        <f t="shared" si="161"/>
        <v>94527.489999999962</v>
      </c>
      <c r="H1232" s="9">
        <f t="shared" si="161"/>
        <v>39332</v>
      </c>
      <c r="I1232" s="72">
        <f>G1232/3000</f>
        <v>31.509163333333319</v>
      </c>
      <c r="J1232" s="37">
        <f>I1232*2017.01</f>
        <v>63554.297534966638</v>
      </c>
      <c r="K1232" s="64">
        <f>J1232*0.3677</f>
        <v>23368.915203607234</v>
      </c>
      <c r="L1232" s="37">
        <v>0</v>
      </c>
      <c r="M1232" s="37">
        <f t="shared" si="159"/>
        <v>2914.2194983733325</v>
      </c>
      <c r="N1232" s="37"/>
      <c r="O1232" s="45">
        <f t="shared" si="160"/>
        <v>0.9641320833988134</v>
      </c>
    </row>
    <row r="1233" spans="1:15" s="6" customFormat="1" ht="15.75">
      <c r="F1233" s="34"/>
      <c r="G1233" s="354"/>
      <c r="I1233" s="34"/>
      <c r="J1233" s="34"/>
      <c r="K1233" s="34"/>
      <c r="L1233" s="34"/>
      <c r="M1233" s="34"/>
      <c r="N1233" s="34"/>
      <c r="O1233" s="110"/>
    </row>
    <row r="1234" spans="1:15" s="67" customFormat="1" ht="15.75">
      <c r="A1234" s="63" t="s">
        <v>624</v>
      </c>
      <c r="B1234" s="63"/>
      <c r="C1234" s="65">
        <f>C90+C384+C535+C747+C879+C1146+C1202+C1232</f>
        <v>2121462.1399999997</v>
      </c>
      <c r="D1234" s="65">
        <f>D90+D384+D535+D747+D879+D1146+D1202+D1232</f>
        <v>11999.569999999998</v>
      </c>
      <c r="E1234" s="65">
        <f>E90+E384+E535+E747+E879+E1146+E1202+E1232</f>
        <v>26249.05</v>
      </c>
      <c r="F1234" s="65">
        <f>F1232+F1202+F1146+F879+F747+F535+F384+F90+F67</f>
        <v>1907493.9300000002</v>
      </c>
      <c r="G1234" s="353">
        <f t="shared" ref="G1234:O1234" si="162">G90+G384+G535+G747+G879+G1146+G1202+G1232</f>
        <v>806318.13000000012</v>
      </c>
      <c r="H1234" s="387">
        <f t="shared" si="162"/>
        <v>538789.31000000006</v>
      </c>
      <c r="I1234" s="65">
        <f t="shared" si="162"/>
        <v>209.12880000000001</v>
      </c>
      <c r="J1234" s="65">
        <f t="shared" si="162"/>
        <v>421814.8808879999</v>
      </c>
      <c r="K1234" s="65">
        <f t="shared" si="162"/>
        <v>155101.33170251758</v>
      </c>
      <c r="L1234" s="65">
        <f t="shared" si="162"/>
        <v>148606.39420350004</v>
      </c>
      <c r="M1234" s="65">
        <f t="shared" si="162"/>
        <v>25778.446687573334</v>
      </c>
      <c r="N1234" s="65"/>
      <c r="O1234" s="65">
        <f t="shared" si="162"/>
        <v>3.8061613957068099</v>
      </c>
    </row>
    <row r="1235" spans="1:15" s="6" customFormat="1" ht="15.75">
      <c r="C1235" s="6">
        <v>536.88</v>
      </c>
      <c r="F1235" s="34">
        <v>536.88</v>
      </c>
      <c r="G1235" s="354">
        <v>175</v>
      </c>
      <c r="H1235" s="6">
        <v>125</v>
      </c>
      <c r="I1235" s="34">
        <v>4.1666666666666664E-2</v>
      </c>
      <c r="J1235" s="34">
        <v>64.92916666666666</v>
      </c>
      <c r="K1235" s="34">
        <v>23.874454583333332</v>
      </c>
      <c r="L1235" s="34">
        <v>25.971666666666664</v>
      </c>
      <c r="M1235" s="34">
        <v>3.503333333333333</v>
      </c>
      <c r="N1235" s="34"/>
      <c r="O1235" s="34">
        <v>0.22030737082774546</v>
      </c>
    </row>
    <row r="1236" spans="1:15" s="6" customFormat="1" ht="15.75">
      <c r="F1236" s="34"/>
      <c r="G1236" s="354"/>
      <c r="I1236" s="34"/>
      <c r="J1236" s="34"/>
      <c r="K1236" s="34"/>
      <c r="L1236" s="34"/>
      <c r="M1236" s="34"/>
      <c r="N1236" s="34"/>
      <c r="O1236" s="34"/>
    </row>
    <row r="1237" spans="1:15" s="6" customFormat="1" ht="15.75">
      <c r="F1237" s="34"/>
      <c r="G1237" s="354"/>
      <c r="I1237" s="34"/>
      <c r="J1237" s="34"/>
      <c r="K1237" s="34"/>
      <c r="L1237" s="34"/>
      <c r="M1237" s="34"/>
      <c r="N1237" s="34"/>
      <c r="O1237" s="34"/>
    </row>
    <row r="1238" spans="1:15" s="6" customFormat="1" ht="15.75">
      <c r="F1238" s="34"/>
      <c r="G1238" s="354"/>
      <c r="I1238" s="34"/>
      <c r="J1238" s="34"/>
      <c r="K1238" s="34"/>
      <c r="L1238" s="34"/>
      <c r="M1238" s="34"/>
      <c r="N1238" s="34"/>
      <c r="O1238" s="34"/>
    </row>
    <row r="1239" spans="1:15" s="6" customFormat="1" ht="15.75">
      <c r="F1239" s="34"/>
      <c r="G1239" s="354"/>
      <c r="I1239" s="34"/>
      <c r="J1239" s="34"/>
      <c r="K1239" s="34"/>
      <c r="L1239" s="34"/>
      <c r="M1239" s="34"/>
      <c r="N1239" s="34"/>
      <c r="O1239" s="34"/>
    </row>
    <row r="1240" spans="1:15" s="6" customFormat="1" ht="15.75">
      <c r="F1240" s="34"/>
      <c r="G1240" s="354"/>
      <c r="I1240" s="34"/>
      <c r="J1240" s="34"/>
      <c r="K1240" s="34"/>
      <c r="L1240" s="34"/>
      <c r="M1240" s="34"/>
      <c r="N1240" s="34"/>
      <c r="O1240" s="34"/>
    </row>
    <row r="1241" spans="1:15" s="6" customFormat="1" ht="15.75">
      <c r="F1241" s="34"/>
      <c r="G1241" s="354"/>
      <c r="I1241" s="34"/>
      <c r="J1241" s="34"/>
      <c r="K1241" s="34"/>
      <c r="L1241" s="34"/>
      <c r="M1241" s="34"/>
      <c r="N1241" s="34"/>
      <c r="O1241" s="34"/>
    </row>
    <row r="1242" spans="1:15" s="6" customFormat="1" ht="15.75">
      <c r="F1242" s="34"/>
      <c r="G1242" s="354"/>
      <c r="I1242" s="34"/>
      <c r="J1242" s="34"/>
      <c r="K1242" s="34"/>
      <c r="L1242" s="34"/>
      <c r="M1242" s="34"/>
      <c r="N1242" s="34"/>
      <c r="O1242" s="34"/>
    </row>
    <row r="1243" spans="1:15" s="6" customFormat="1" ht="15.75">
      <c r="F1243" s="34"/>
      <c r="G1243" s="354"/>
      <c r="I1243" s="34"/>
      <c r="J1243" s="34"/>
      <c r="K1243" s="34"/>
      <c r="L1243" s="34"/>
      <c r="M1243" s="34"/>
      <c r="N1243" s="34"/>
      <c r="O1243" s="34"/>
    </row>
    <row r="1244" spans="1:15" s="6" customFormat="1" ht="15.75">
      <c r="F1244" s="34"/>
      <c r="G1244" s="354"/>
      <c r="I1244" s="34"/>
      <c r="J1244" s="34"/>
      <c r="K1244" s="34"/>
      <c r="L1244" s="34"/>
      <c r="M1244" s="34"/>
      <c r="N1244" s="34"/>
      <c r="O1244" s="34"/>
    </row>
    <row r="1245" spans="1:15" s="6" customFormat="1" ht="15.75">
      <c r="F1245" s="34"/>
      <c r="G1245" s="354"/>
      <c r="I1245" s="34"/>
      <c r="J1245" s="34"/>
      <c r="K1245" s="34"/>
      <c r="L1245" s="34"/>
      <c r="M1245" s="34"/>
      <c r="N1245" s="34"/>
      <c r="O1245" s="34"/>
    </row>
    <row r="1246" spans="1:15" s="6" customFormat="1" ht="15.75">
      <c r="F1246" s="34"/>
      <c r="G1246" s="354"/>
      <c r="I1246" s="34"/>
      <c r="J1246" s="34"/>
      <c r="K1246" s="34"/>
      <c r="L1246" s="34"/>
      <c r="M1246" s="34"/>
      <c r="N1246" s="34"/>
      <c r="O1246" s="34"/>
    </row>
    <row r="1247" spans="1:15" s="6" customFormat="1" ht="15.75">
      <c r="F1247" s="34"/>
      <c r="G1247" s="354"/>
      <c r="I1247" s="34"/>
      <c r="J1247" s="34"/>
      <c r="K1247" s="34"/>
      <c r="L1247" s="34"/>
      <c r="M1247" s="34"/>
      <c r="N1247" s="34"/>
      <c r="O1247" s="34"/>
    </row>
    <row r="1248" spans="1:15" s="6" customFormat="1" ht="15.75">
      <c r="F1248" s="34"/>
      <c r="G1248" s="354"/>
      <c r="I1248" s="34"/>
      <c r="J1248" s="34"/>
      <c r="K1248" s="34"/>
      <c r="L1248" s="34"/>
      <c r="M1248" s="34"/>
      <c r="N1248" s="34"/>
      <c r="O1248" s="34"/>
    </row>
    <row r="1249" spans="6:15" s="6" customFormat="1" ht="15.75">
      <c r="F1249" s="34"/>
      <c r="G1249" s="354"/>
      <c r="I1249" s="34"/>
      <c r="J1249" s="34"/>
      <c r="K1249" s="34"/>
      <c r="L1249" s="34"/>
      <c r="M1249" s="34"/>
      <c r="N1249" s="34"/>
      <c r="O1249" s="34"/>
    </row>
    <row r="1250" spans="6:15" s="6" customFormat="1" ht="15.75">
      <c r="F1250" s="34"/>
      <c r="G1250" s="354"/>
      <c r="I1250" s="34"/>
      <c r="J1250" s="34"/>
      <c r="K1250" s="34"/>
      <c r="L1250" s="34"/>
      <c r="M1250" s="34"/>
      <c r="N1250" s="34"/>
      <c r="O1250" s="34"/>
    </row>
    <row r="1251" spans="6:15" s="6" customFormat="1" ht="15.75">
      <c r="F1251" s="34"/>
      <c r="G1251" s="354"/>
      <c r="I1251" s="34"/>
      <c r="J1251" s="34"/>
      <c r="K1251" s="34"/>
      <c r="L1251" s="34"/>
      <c r="M1251" s="34"/>
      <c r="N1251" s="34"/>
      <c r="O1251" s="34"/>
    </row>
    <row r="1252" spans="6:15" s="6" customFormat="1" ht="15.75">
      <c r="F1252" s="34"/>
      <c r="G1252" s="354"/>
      <c r="I1252" s="34"/>
      <c r="J1252" s="34"/>
      <c r="K1252" s="34"/>
      <c r="L1252" s="34"/>
      <c r="M1252" s="34"/>
      <c r="N1252" s="34"/>
      <c r="O1252" s="34"/>
    </row>
    <row r="1253" spans="6:15" s="6" customFormat="1" ht="15.75">
      <c r="F1253" s="34"/>
      <c r="G1253" s="354"/>
      <c r="I1253" s="34"/>
      <c r="J1253" s="34"/>
      <c r="K1253" s="34"/>
      <c r="L1253" s="34"/>
      <c r="M1253" s="34"/>
      <c r="N1253" s="34"/>
      <c r="O1253" s="34"/>
    </row>
    <row r="1254" spans="6:15" s="6" customFormat="1" ht="15.75">
      <c r="F1254" s="34"/>
      <c r="G1254" s="354"/>
      <c r="I1254" s="34"/>
      <c r="J1254" s="34"/>
      <c r="K1254" s="34"/>
      <c r="L1254" s="34"/>
      <c r="M1254" s="34"/>
      <c r="N1254" s="34"/>
      <c r="O1254" s="34"/>
    </row>
    <row r="1255" spans="6:15" s="6" customFormat="1" ht="15.75">
      <c r="F1255" s="34"/>
      <c r="G1255" s="354"/>
      <c r="I1255" s="34"/>
      <c r="J1255" s="34"/>
      <c r="K1255" s="34"/>
      <c r="L1255" s="34"/>
      <c r="M1255" s="34"/>
      <c r="N1255" s="34"/>
      <c r="O1255" s="34"/>
    </row>
    <row r="1256" spans="6:15" s="6" customFormat="1" ht="15.75">
      <c r="F1256" s="34"/>
      <c r="G1256" s="354"/>
      <c r="I1256" s="34"/>
      <c r="J1256" s="34"/>
      <c r="K1256" s="34"/>
      <c r="L1256" s="34"/>
      <c r="M1256" s="34"/>
      <c r="N1256" s="34"/>
      <c r="O1256" s="34"/>
    </row>
    <row r="1257" spans="6:15" s="6" customFormat="1" ht="15.75">
      <c r="F1257" s="34"/>
      <c r="G1257" s="354"/>
      <c r="I1257" s="34"/>
      <c r="J1257" s="34"/>
      <c r="K1257" s="34"/>
      <c r="L1257" s="34"/>
      <c r="M1257" s="34"/>
      <c r="N1257" s="34"/>
      <c r="O1257" s="34"/>
    </row>
    <row r="1258" spans="6:15" s="6" customFormat="1" ht="15.75">
      <c r="F1258" s="34"/>
      <c r="G1258" s="354"/>
      <c r="I1258" s="34"/>
      <c r="J1258" s="34"/>
      <c r="K1258" s="34"/>
      <c r="L1258" s="34"/>
      <c r="M1258" s="34"/>
      <c r="N1258" s="34"/>
      <c r="O1258" s="34"/>
    </row>
    <row r="1259" spans="6:15" s="6" customFormat="1" ht="15.75">
      <c r="F1259" s="34"/>
      <c r="G1259" s="354"/>
      <c r="I1259" s="34"/>
      <c r="J1259" s="34"/>
      <c r="K1259" s="34"/>
      <c r="L1259" s="34"/>
      <c r="M1259" s="34"/>
      <c r="N1259" s="34"/>
      <c r="O1259" s="34"/>
    </row>
    <row r="1260" spans="6:15" s="6" customFormat="1" ht="15.75">
      <c r="F1260" s="34"/>
      <c r="G1260" s="354"/>
      <c r="I1260" s="34"/>
      <c r="J1260" s="34"/>
      <c r="K1260" s="34"/>
      <c r="L1260" s="34"/>
      <c r="M1260" s="34"/>
      <c r="N1260" s="34"/>
      <c r="O1260" s="34"/>
    </row>
    <row r="1261" spans="6:15" s="6" customFormat="1" ht="15.75">
      <c r="F1261" s="34"/>
      <c r="G1261" s="354"/>
      <c r="I1261" s="34"/>
      <c r="J1261" s="34"/>
      <c r="K1261" s="34"/>
      <c r="L1261" s="34"/>
      <c r="M1261" s="34"/>
      <c r="N1261" s="34"/>
      <c r="O1261" s="34"/>
    </row>
    <row r="1262" spans="6:15" s="6" customFormat="1" ht="15.75">
      <c r="F1262" s="34"/>
      <c r="G1262" s="354"/>
      <c r="I1262" s="34"/>
      <c r="J1262" s="34"/>
      <c r="K1262" s="34"/>
      <c r="L1262" s="34"/>
      <c r="M1262" s="34"/>
      <c r="N1262" s="34"/>
      <c r="O1262" s="34"/>
    </row>
    <row r="1263" spans="6:15" s="6" customFormat="1" ht="15.75">
      <c r="F1263" s="34"/>
      <c r="G1263" s="354"/>
      <c r="I1263" s="34"/>
      <c r="J1263" s="34"/>
      <c r="K1263" s="34"/>
      <c r="L1263" s="34"/>
      <c r="M1263" s="34"/>
      <c r="N1263" s="34"/>
      <c r="O1263" s="34"/>
    </row>
    <row r="1264" spans="6:15" s="6" customFormat="1" ht="15.75">
      <c r="F1264" s="34"/>
      <c r="G1264" s="354"/>
      <c r="I1264" s="34"/>
      <c r="J1264" s="34"/>
      <c r="K1264" s="34"/>
      <c r="L1264" s="34"/>
      <c r="M1264" s="34"/>
      <c r="N1264" s="34"/>
      <c r="O1264" s="34"/>
    </row>
    <row r="1265" spans="6:15" s="6" customFormat="1" ht="15.75">
      <c r="F1265" s="34"/>
      <c r="G1265" s="354"/>
      <c r="I1265" s="34"/>
      <c r="J1265" s="34"/>
      <c r="K1265" s="34"/>
      <c r="L1265" s="34"/>
      <c r="M1265" s="34"/>
      <c r="N1265" s="34"/>
      <c r="O1265" s="34"/>
    </row>
    <row r="1266" spans="6:15" s="6" customFormat="1" ht="15.75">
      <c r="F1266" s="34"/>
      <c r="G1266" s="354"/>
      <c r="I1266" s="34"/>
      <c r="J1266" s="34"/>
      <c r="K1266" s="34"/>
      <c r="L1266" s="34"/>
      <c r="M1266" s="34"/>
      <c r="N1266" s="34"/>
      <c r="O1266" s="34"/>
    </row>
    <row r="1267" spans="6:15" s="6" customFormat="1" ht="15.75">
      <c r="F1267" s="34"/>
      <c r="G1267" s="354"/>
      <c r="I1267" s="34"/>
      <c r="J1267" s="34"/>
      <c r="K1267" s="34"/>
      <c r="L1267" s="34"/>
      <c r="M1267" s="34"/>
      <c r="N1267" s="34"/>
      <c r="O1267" s="34"/>
    </row>
    <row r="1268" spans="6:15" s="6" customFormat="1" ht="15.75">
      <c r="F1268" s="34"/>
      <c r="G1268" s="354"/>
      <c r="I1268" s="34"/>
      <c r="J1268" s="34"/>
      <c r="K1268" s="34"/>
      <c r="L1268" s="34"/>
      <c r="M1268" s="34"/>
      <c r="N1268" s="34"/>
      <c r="O1268" s="34"/>
    </row>
    <row r="1269" spans="6:15" s="6" customFormat="1" ht="15.75">
      <c r="F1269" s="34"/>
      <c r="G1269" s="354"/>
      <c r="I1269" s="34"/>
      <c r="J1269" s="34"/>
      <c r="K1269" s="34"/>
      <c r="L1269" s="34"/>
      <c r="M1269" s="34"/>
      <c r="N1269" s="34"/>
      <c r="O1269" s="34"/>
    </row>
    <row r="1270" spans="6:15" s="6" customFormat="1" ht="15.75">
      <c r="F1270" s="34"/>
      <c r="G1270" s="354"/>
      <c r="I1270" s="34"/>
      <c r="J1270" s="34"/>
      <c r="K1270" s="34"/>
      <c r="L1270" s="34"/>
      <c r="M1270" s="34"/>
      <c r="N1270" s="34"/>
      <c r="O1270" s="34"/>
    </row>
    <row r="1271" spans="6:15" s="6" customFormat="1" ht="15.75">
      <c r="F1271" s="34"/>
      <c r="G1271" s="354"/>
      <c r="I1271" s="34"/>
      <c r="J1271" s="34"/>
      <c r="K1271" s="34"/>
      <c r="L1271" s="34"/>
      <c r="M1271" s="34"/>
      <c r="N1271" s="34"/>
      <c r="O1271" s="34"/>
    </row>
    <row r="1272" spans="6:15" s="6" customFormat="1" ht="15.75">
      <c r="F1272" s="34"/>
      <c r="G1272" s="354"/>
      <c r="I1272" s="34"/>
      <c r="J1272" s="34"/>
      <c r="K1272" s="34"/>
      <c r="L1272" s="34"/>
      <c r="M1272" s="34"/>
      <c r="N1272" s="34"/>
      <c r="O1272" s="34"/>
    </row>
    <row r="1273" spans="6:15" s="6" customFormat="1" ht="15.75">
      <c r="F1273" s="34"/>
      <c r="G1273" s="354"/>
      <c r="I1273" s="34"/>
      <c r="J1273" s="34"/>
      <c r="K1273" s="34"/>
      <c r="L1273" s="34"/>
      <c r="M1273" s="34"/>
      <c r="N1273" s="34"/>
      <c r="O1273" s="34"/>
    </row>
    <row r="1274" spans="6:15" s="6" customFormat="1" ht="15.75">
      <c r="F1274" s="34"/>
      <c r="G1274" s="354"/>
      <c r="I1274" s="34"/>
      <c r="J1274" s="34"/>
      <c r="K1274" s="34"/>
      <c r="L1274" s="34"/>
      <c r="M1274" s="34"/>
      <c r="N1274" s="34"/>
      <c r="O1274" s="34"/>
    </row>
    <row r="1275" spans="6:15" s="6" customFormat="1" ht="15.75">
      <c r="F1275" s="34"/>
      <c r="G1275" s="354"/>
      <c r="I1275" s="34"/>
      <c r="J1275" s="34"/>
      <c r="K1275" s="34"/>
      <c r="L1275" s="34"/>
      <c r="M1275" s="34"/>
      <c r="N1275" s="34"/>
      <c r="O1275" s="34"/>
    </row>
    <row r="1276" spans="6:15" s="6" customFormat="1" ht="15.75">
      <c r="F1276" s="34"/>
      <c r="G1276" s="354"/>
      <c r="I1276" s="34"/>
      <c r="J1276" s="34"/>
      <c r="K1276" s="34"/>
      <c r="L1276" s="34"/>
      <c r="M1276" s="34"/>
      <c r="N1276" s="34"/>
      <c r="O1276" s="34"/>
    </row>
    <row r="1277" spans="6:15" s="6" customFormat="1" ht="15.75">
      <c r="F1277" s="34"/>
      <c r="G1277" s="354"/>
      <c r="I1277" s="34"/>
      <c r="J1277" s="34"/>
      <c r="K1277" s="34"/>
      <c r="L1277" s="34"/>
      <c r="M1277" s="34"/>
      <c r="N1277" s="34"/>
      <c r="O1277" s="34"/>
    </row>
    <row r="1278" spans="6:15" s="6" customFormat="1" ht="15.75">
      <c r="F1278" s="34"/>
      <c r="G1278" s="354"/>
      <c r="I1278" s="34"/>
      <c r="J1278" s="34"/>
      <c r="K1278" s="34"/>
      <c r="L1278" s="34"/>
      <c r="M1278" s="34"/>
      <c r="N1278" s="34"/>
      <c r="O1278" s="34"/>
    </row>
    <row r="1279" spans="6:15" s="6" customFormat="1" ht="15.75">
      <c r="F1279" s="34"/>
      <c r="G1279" s="354"/>
      <c r="I1279" s="34"/>
      <c r="J1279" s="34"/>
      <c r="K1279" s="34"/>
      <c r="L1279" s="34"/>
      <c r="M1279" s="34"/>
      <c r="N1279" s="34"/>
      <c r="O1279" s="34"/>
    </row>
    <row r="1280" spans="6:15" s="6" customFormat="1" ht="15.75">
      <c r="F1280" s="34"/>
      <c r="G1280" s="354"/>
      <c r="I1280" s="34"/>
      <c r="J1280" s="34"/>
      <c r="K1280" s="34"/>
      <c r="L1280" s="34"/>
      <c r="M1280" s="34"/>
      <c r="N1280" s="34"/>
      <c r="O1280" s="34"/>
    </row>
    <row r="1281" spans="6:15" s="6" customFormat="1" ht="15.75">
      <c r="F1281" s="34"/>
      <c r="G1281" s="354"/>
      <c r="I1281" s="34"/>
      <c r="J1281" s="34"/>
      <c r="K1281" s="34"/>
      <c r="L1281" s="34"/>
      <c r="M1281" s="34"/>
      <c r="N1281" s="34"/>
      <c r="O1281" s="34"/>
    </row>
    <row r="1282" spans="6:15" s="6" customFormat="1" ht="15.75">
      <c r="F1282" s="34"/>
      <c r="G1282" s="354"/>
      <c r="I1282" s="34"/>
      <c r="J1282" s="34"/>
      <c r="K1282" s="34"/>
      <c r="L1282" s="34"/>
      <c r="M1282" s="34"/>
      <c r="N1282" s="34"/>
      <c r="O1282" s="34"/>
    </row>
    <row r="1283" spans="6:15" s="6" customFormat="1" ht="15.75">
      <c r="F1283" s="34"/>
      <c r="G1283" s="354"/>
      <c r="I1283" s="34"/>
      <c r="J1283" s="34"/>
      <c r="K1283" s="34"/>
      <c r="L1283" s="34"/>
      <c r="M1283" s="34"/>
      <c r="N1283" s="34"/>
      <c r="O1283" s="34"/>
    </row>
    <row r="1284" spans="6:15" s="6" customFormat="1" ht="15.75">
      <c r="F1284" s="34"/>
      <c r="G1284" s="354"/>
      <c r="I1284" s="34"/>
      <c r="J1284" s="34"/>
      <c r="K1284" s="34"/>
      <c r="L1284" s="34"/>
      <c r="M1284" s="34"/>
      <c r="N1284" s="34"/>
      <c r="O1284" s="34"/>
    </row>
    <row r="1285" spans="6:15" s="6" customFormat="1" ht="15.75">
      <c r="F1285" s="34"/>
      <c r="G1285" s="354"/>
      <c r="I1285" s="34"/>
      <c r="J1285" s="34"/>
      <c r="K1285" s="34"/>
      <c r="L1285" s="34"/>
      <c r="M1285" s="34"/>
      <c r="N1285" s="34"/>
      <c r="O1285" s="34"/>
    </row>
    <row r="1286" spans="6:15" s="6" customFormat="1" ht="15.75">
      <c r="F1286" s="34"/>
      <c r="G1286" s="354"/>
      <c r="I1286" s="34"/>
      <c r="J1286" s="34"/>
      <c r="K1286" s="34"/>
      <c r="L1286" s="34"/>
      <c r="M1286" s="34"/>
      <c r="N1286" s="34"/>
      <c r="O1286" s="34"/>
    </row>
    <row r="1287" spans="6:15" s="6" customFormat="1" ht="15.75">
      <c r="F1287" s="34"/>
      <c r="G1287" s="354"/>
      <c r="I1287" s="34"/>
      <c r="J1287" s="34"/>
      <c r="K1287" s="34"/>
      <c r="L1287" s="34"/>
      <c r="M1287" s="34"/>
      <c r="N1287" s="34"/>
      <c r="O1287" s="34"/>
    </row>
    <row r="1288" spans="6:15" s="6" customFormat="1" ht="15.75">
      <c r="F1288" s="34"/>
      <c r="G1288" s="354"/>
      <c r="I1288" s="34"/>
      <c r="J1288" s="34"/>
      <c r="K1288" s="34"/>
      <c r="L1288" s="34"/>
      <c r="M1288" s="34"/>
      <c r="N1288" s="34"/>
      <c r="O1288" s="34"/>
    </row>
    <row r="1289" spans="6:15" s="6" customFormat="1" ht="15.75">
      <c r="F1289" s="34"/>
      <c r="G1289" s="354"/>
      <c r="I1289" s="34"/>
      <c r="J1289" s="34"/>
      <c r="K1289" s="34"/>
      <c r="L1289" s="34"/>
      <c r="M1289" s="34"/>
      <c r="N1289" s="34"/>
      <c r="O1289" s="34"/>
    </row>
    <row r="1290" spans="6:15" s="6" customFormat="1" ht="15.75">
      <c r="F1290" s="34"/>
      <c r="G1290" s="354"/>
      <c r="I1290" s="34"/>
      <c r="J1290" s="34"/>
      <c r="K1290" s="34"/>
      <c r="L1290" s="34"/>
      <c r="M1290" s="34"/>
      <c r="N1290" s="34"/>
      <c r="O1290" s="34"/>
    </row>
    <row r="1291" spans="6:15" s="6" customFormat="1" ht="15.75">
      <c r="F1291" s="34"/>
      <c r="G1291" s="354"/>
      <c r="I1291" s="34"/>
      <c r="J1291" s="34"/>
      <c r="K1291" s="34"/>
      <c r="L1291" s="34"/>
      <c r="M1291" s="34"/>
      <c r="N1291" s="34"/>
      <c r="O1291" s="34"/>
    </row>
    <row r="1292" spans="6:15" s="6" customFormat="1" ht="15.75">
      <c r="F1292" s="34"/>
      <c r="G1292" s="354"/>
      <c r="I1292" s="34"/>
      <c r="J1292" s="34"/>
      <c r="K1292" s="34"/>
      <c r="L1292" s="34"/>
      <c r="M1292" s="34"/>
      <c r="N1292" s="34"/>
      <c r="O1292" s="34"/>
    </row>
    <row r="1293" spans="6:15" s="6" customFormat="1" ht="15.75">
      <c r="F1293" s="34"/>
      <c r="G1293" s="354"/>
      <c r="I1293" s="34"/>
      <c r="J1293" s="34"/>
      <c r="K1293" s="34"/>
      <c r="L1293" s="34"/>
      <c r="M1293" s="34"/>
      <c r="N1293" s="34"/>
      <c r="O1293" s="34"/>
    </row>
    <row r="1294" spans="6:15" s="6" customFormat="1" ht="15.75">
      <c r="F1294" s="34"/>
      <c r="G1294" s="354"/>
      <c r="I1294" s="34"/>
      <c r="J1294" s="34"/>
      <c r="K1294" s="34"/>
      <c r="L1294" s="34"/>
      <c r="M1294" s="34"/>
      <c r="N1294" s="34"/>
      <c r="O1294" s="34"/>
    </row>
    <row r="1295" spans="6:15" s="6" customFormat="1" ht="15.75">
      <c r="F1295" s="34"/>
      <c r="G1295" s="354"/>
      <c r="I1295" s="34"/>
      <c r="J1295" s="34"/>
      <c r="K1295" s="34"/>
      <c r="L1295" s="34"/>
      <c r="M1295" s="34"/>
      <c r="N1295" s="34"/>
      <c r="O1295" s="34"/>
    </row>
    <row r="1296" spans="6:15" s="6" customFormat="1" ht="15.75">
      <c r="F1296" s="34"/>
      <c r="G1296" s="354"/>
      <c r="I1296" s="34"/>
      <c r="J1296" s="34"/>
      <c r="K1296" s="34"/>
      <c r="L1296" s="34"/>
      <c r="M1296" s="34"/>
      <c r="N1296" s="34"/>
      <c r="O1296" s="34"/>
    </row>
    <row r="1297" spans="6:15" s="6" customFormat="1" ht="15.75">
      <c r="F1297" s="34"/>
      <c r="G1297" s="354"/>
      <c r="I1297" s="34"/>
      <c r="J1297" s="34"/>
      <c r="K1297" s="34"/>
      <c r="L1297" s="34"/>
      <c r="M1297" s="34"/>
      <c r="N1297" s="34"/>
      <c r="O1297" s="34"/>
    </row>
    <row r="1298" spans="6:15" s="6" customFormat="1" ht="15.75">
      <c r="F1298" s="34"/>
      <c r="G1298" s="354"/>
      <c r="I1298" s="34"/>
      <c r="J1298" s="34"/>
      <c r="K1298" s="34"/>
      <c r="L1298" s="34"/>
      <c r="M1298" s="34"/>
      <c r="N1298" s="34"/>
      <c r="O1298" s="34"/>
    </row>
    <row r="1299" spans="6:15" s="6" customFormat="1" ht="15.75">
      <c r="F1299" s="34"/>
      <c r="G1299" s="354"/>
      <c r="I1299" s="34"/>
      <c r="J1299" s="34"/>
      <c r="K1299" s="34"/>
      <c r="L1299" s="34"/>
      <c r="M1299" s="34"/>
      <c r="N1299" s="34"/>
      <c r="O1299" s="34"/>
    </row>
    <row r="1300" spans="6:15" s="6" customFormat="1" ht="15.75">
      <c r="F1300" s="34"/>
      <c r="G1300" s="354"/>
      <c r="I1300" s="34"/>
      <c r="J1300" s="34"/>
      <c r="K1300" s="34"/>
      <c r="L1300" s="34"/>
      <c r="M1300" s="34"/>
      <c r="N1300" s="34"/>
      <c r="O1300" s="34"/>
    </row>
    <row r="1301" spans="6:15" s="6" customFormat="1" ht="15.75">
      <c r="F1301" s="34"/>
      <c r="G1301" s="354"/>
      <c r="I1301" s="34"/>
      <c r="J1301" s="34"/>
      <c r="K1301" s="34"/>
      <c r="L1301" s="34"/>
      <c r="M1301" s="34"/>
      <c r="N1301" s="34"/>
      <c r="O1301" s="34"/>
    </row>
    <row r="1302" spans="6:15" s="6" customFormat="1" ht="15.75">
      <c r="F1302" s="34"/>
      <c r="G1302" s="354"/>
      <c r="I1302" s="34"/>
      <c r="J1302" s="34"/>
      <c r="K1302" s="34"/>
      <c r="L1302" s="34"/>
      <c r="M1302" s="34"/>
      <c r="N1302" s="34"/>
      <c r="O1302" s="34"/>
    </row>
    <row r="1303" spans="6:15" s="6" customFormat="1" ht="15.75">
      <c r="F1303" s="34"/>
      <c r="G1303" s="354"/>
      <c r="I1303" s="34"/>
      <c r="J1303" s="34"/>
      <c r="K1303" s="34"/>
      <c r="L1303" s="34"/>
      <c r="M1303" s="34"/>
      <c r="N1303" s="34"/>
      <c r="O1303" s="34"/>
    </row>
    <row r="1304" spans="6:15" s="6" customFormat="1" ht="15.75">
      <c r="F1304" s="34"/>
      <c r="G1304" s="354"/>
      <c r="I1304" s="34"/>
      <c r="J1304" s="34"/>
      <c r="K1304" s="34"/>
      <c r="L1304" s="34"/>
      <c r="M1304" s="34"/>
      <c r="N1304" s="34"/>
      <c r="O1304" s="34"/>
    </row>
    <row r="1305" spans="6:15" s="6" customFormat="1" ht="15.75">
      <c r="F1305" s="34"/>
      <c r="G1305" s="354"/>
      <c r="I1305" s="34"/>
      <c r="J1305" s="34"/>
      <c r="K1305" s="34"/>
      <c r="L1305" s="34"/>
      <c r="M1305" s="34"/>
      <c r="N1305" s="34"/>
      <c r="O1305" s="34"/>
    </row>
    <row r="1306" spans="6:15" s="6" customFormat="1" ht="15.75">
      <c r="F1306" s="34"/>
      <c r="G1306" s="354"/>
      <c r="I1306" s="34"/>
      <c r="J1306" s="34"/>
      <c r="K1306" s="34"/>
      <c r="L1306" s="34"/>
      <c r="M1306" s="34"/>
      <c r="N1306" s="34"/>
      <c r="O1306" s="34"/>
    </row>
    <row r="1307" spans="6:15" s="6" customFormat="1" ht="15.75">
      <c r="F1307" s="34"/>
      <c r="G1307" s="354"/>
      <c r="I1307" s="34"/>
      <c r="J1307" s="34"/>
      <c r="K1307" s="34"/>
      <c r="L1307" s="34"/>
      <c r="M1307" s="34"/>
      <c r="N1307" s="34"/>
      <c r="O1307" s="34"/>
    </row>
    <row r="1308" spans="6:15" s="6" customFormat="1" ht="15.75">
      <c r="F1308" s="34"/>
      <c r="G1308" s="354"/>
      <c r="I1308" s="34"/>
      <c r="J1308" s="34"/>
      <c r="K1308" s="34"/>
      <c r="L1308" s="34"/>
      <c r="M1308" s="34"/>
      <c r="N1308" s="34"/>
      <c r="O1308" s="34"/>
    </row>
    <row r="1309" spans="6:15" s="6" customFormat="1" ht="15.75">
      <c r="F1309" s="34"/>
      <c r="G1309" s="354"/>
      <c r="I1309" s="34"/>
      <c r="J1309" s="34"/>
      <c r="K1309" s="34"/>
      <c r="L1309" s="34"/>
      <c r="M1309" s="34"/>
      <c r="N1309" s="34"/>
      <c r="O1309" s="34"/>
    </row>
    <row r="1310" spans="6:15" s="6" customFormat="1" ht="15.75">
      <c r="F1310" s="34"/>
      <c r="G1310" s="354"/>
      <c r="I1310" s="34"/>
      <c r="J1310" s="34"/>
      <c r="K1310" s="34"/>
      <c r="L1310" s="34"/>
      <c r="M1310" s="34"/>
      <c r="N1310" s="34"/>
      <c r="O1310" s="34"/>
    </row>
    <row r="1311" spans="6:15" s="6" customFormat="1" ht="15.75">
      <c r="F1311" s="34"/>
      <c r="G1311" s="354"/>
      <c r="I1311" s="34"/>
      <c r="J1311" s="34"/>
      <c r="K1311" s="34"/>
      <c r="L1311" s="34"/>
      <c r="M1311" s="34"/>
      <c r="N1311" s="34"/>
      <c r="O1311" s="34"/>
    </row>
    <row r="1312" spans="6:15" s="6" customFormat="1" ht="15.75">
      <c r="F1312" s="34"/>
      <c r="G1312" s="354"/>
      <c r="I1312" s="34"/>
      <c r="J1312" s="34"/>
      <c r="K1312" s="34"/>
      <c r="L1312" s="34"/>
      <c r="M1312" s="34"/>
      <c r="N1312" s="34"/>
      <c r="O1312" s="34"/>
    </row>
    <row r="1313" spans="6:15" s="6" customFormat="1" ht="15.75">
      <c r="F1313" s="34"/>
      <c r="G1313" s="354"/>
      <c r="I1313" s="34"/>
      <c r="J1313" s="34"/>
      <c r="K1313" s="34"/>
      <c r="L1313" s="34"/>
      <c r="M1313" s="34"/>
      <c r="N1313" s="34"/>
      <c r="O1313" s="34"/>
    </row>
    <row r="1314" spans="6:15" s="6" customFormat="1" ht="15.75">
      <c r="F1314" s="34"/>
      <c r="G1314" s="354"/>
      <c r="I1314" s="34"/>
      <c r="J1314" s="34"/>
      <c r="K1314" s="34"/>
      <c r="L1314" s="34"/>
      <c r="M1314" s="34"/>
      <c r="N1314" s="34"/>
      <c r="O1314" s="34"/>
    </row>
    <row r="1315" spans="6:15" s="6" customFormat="1" ht="15.75">
      <c r="F1315" s="34"/>
      <c r="G1315" s="354"/>
      <c r="I1315" s="34"/>
      <c r="J1315" s="34"/>
      <c r="K1315" s="34"/>
      <c r="L1315" s="34"/>
      <c r="M1315" s="34"/>
      <c r="N1315" s="34"/>
      <c r="O1315" s="34"/>
    </row>
    <row r="1316" spans="6:15" s="6" customFormat="1" ht="15.75">
      <c r="F1316" s="34"/>
      <c r="G1316" s="354"/>
      <c r="I1316" s="34"/>
      <c r="J1316" s="34"/>
      <c r="K1316" s="34"/>
      <c r="L1316" s="34"/>
      <c r="M1316" s="34"/>
      <c r="N1316" s="34"/>
      <c r="O1316" s="34"/>
    </row>
    <row r="1317" spans="6:15" s="6" customFormat="1" ht="15.75">
      <c r="F1317" s="34"/>
      <c r="G1317" s="354"/>
      <c r="I1317" s="34"/>
      <c r="J1317" s="34"/>
      <c r="K1317" s="34"/>
      <c r="L1317" s="34"/>
      <c r="M1317" s="34"/>
      <c r="N1317" s="34"/>
      <c r="O1317" s="34"/>
    </row>
    <row r="1318" spans="6:15" s="6" customFormat="1" ht="15.75">
      <c r="F1318" s="34"/>
      <c r="G1318" s="354"/>
      <c r="I1318" s="34"/>
      <c r="J1318" s="34"/>
      <c r="K1318" s="34"/>
      <c r="L1318" s="34"/>
      <c r="M1318" s="34"/>
      <c r="N1318" s="34"/>
      <c r="O1318" s="34"/>
    </row>
    <row r="1319" spans="6:15" s="6" customFormat="1" ht="15.75">
      <c r="F1319" s="34"/>
      <c r="G1319" s="354"/>
      <c r="I1319" s="34"/>
      <c r="J1319" s="34"/>
      <c r="K1319" s="34"/>
      <c r="L1319" s="34"/>
      <c r="M1319" s="34"/>
      <c r="N1319" s="34"/>
      <c r="O1319" s="34"/>
    </row>
    <row r="1320" spans="6:15" s="6" customFormat="1" ht="15.75">
      <c r="F1320" s="34"/>
      <c r="G1320" s="354"/>
      <c r="I1320" s="34"/>
      <c r="J1320" s="34"/>
      <c r="K1320" s="34"/>
      <c r="L1320" s="34"/>
      <c r="M1320" s="34"/>
      <c r="N1320" s="34"/>
      <c r="O1320" s="34"/>
    </row>
    <row r="1321" spans="6:15" s="6" customFormat="1" ht="15.75">
      <c r="F1321" s="34"/>
      <c r="G1321" s="354"/>
      <c r="I1321" s="34"/>
      <c r="J1321" s="34"/>
      <c r="K1321" s="34"/>
      <c r="L1321" s="34"/>
      <c r="M1321" s="34"/>
      <c r="N1321" s="34"/>
      <c r="O1321" s="34"/>
    </row>
    <row r="1322" spans="6:15" s="6" customFormat="1" ht="15.75">
      <c r="F1322" s="34"/>
      <c r="G1322" s="354"/>
      <c r="I1322" s="34"/>
      <c r="J1322" s="34"/>
      <c r="K1322" s="34"/>
      <c r="L1322" s="34"/>
      <c r="M1322" s="34"/>
      <c r="N1322" s="34"/>
      <c r="O1322" s="34"/>
    </row>
    <row r="1323" spans="6:15" s="6" customFormat="1" ht="15.75">
      <c r="F1323" s="34"/>
      <c r="G1323" s="354"/>
      <c r="I1323" s="34"/>
      <c r="J1323" s="34"/>
      <c r="K1323" s="34"/>
      <c r="L1323" s="34"/>
      <c r="M1323" s="34"/>
      <c r="N1323" s="34"/>
      <c r="O1323" s="34"/>
    </row>
    <row r="1324" spans="6:15" s="6" customFormat="1" ht="15.75">
      <c r="F1324" s="34"/>
      <c r="G1324" s="354"/>
      <c r="I1324" s="34"/>
      <c r="J1324" s="34"/>
      <c r="K1324" s="34"/>
      <c r="L1324" s="34"/>
      <c r="M1324" s="34"/>
      <c r="N1324" s="34"/>
      <c r="O1324" s="34"/>
    </row>
    <row r="1325" spans="6:15" s="6" customFormat="1" ht="15.75">
      <c r="F1325" s="34"/>
      <c r="G1325" s="354"/>
      <c r="I1325" s="34"/>
      <c r="J1325" s="34"/>
      <c r="K1325" s="34"/>
      <c r="L1325" s="34"/>
      <c r="M1325" s="34"/>
      <c r="N1325" s="34"/>
      <c r="O1325" s="34"/>
    </row>
    <row r="1326" spans="6:15" s="6" customFormat="1" ht="15.75">
      <c r="F1326" s="34"/>
      <c r="G1326" s="354"/>
      <c r="I1326" s="34"/>
      <c r="J1326" s="34"/>
      <c r="K1326" s="34"/>
      <c r="L1326" s="34"/>
      <c r="M1326" s="34"/>
      <c r="N1326" s="34"/>
      <c r="O1326" s="34"/>
    </row>
    <row r="1327" spans="6:15" s="6" customFormat="1" ht="15.75">
      <c r="F1327" s="34"/>
      <c r="G1327" s="354"/>
      <c r="I1327" s="34"/>
      <c r="J1327" s="34"/>
      <c r="K1327" s="34"/>
      <c r="L1327" s="34"/>
      <c r="M1327" s="34"/>
      <c r="N1327" s="34"/>
      <c r="O1327" s="34"/>
    </row>
    <row r="1328" spans="6:15" s="6" customFormat="1" ht="15.75">
      <c r="F1328" s="34"/>
      <c r="G1328" s="354"/>
      <c r="I1328" s="34"/>
      <c r="J1328" s="34"/>
      <c r="K1328" s="34"/>
      <c r="L1328" s="34"/>
      <c r="M1328" s="34"/>
      <c r="N1328" s="34"/>
      <c r="O1328" s="34"/>
    </row>
    <row r="1329" spans="6:15" s="6" customFormat="1" ht="15.75">
      <c r="F1329" s="34"/>
      <c r="G1329" s="354"/>
      <c r="I1329" s="34"/>
      <c r="J1329" s="34"/>
      <c r="K1329" s="34"/>
      <c r="L1329" s="34"/>
      <c r="M1329" s="34"/>
      <c r="N1329" s="34"/>
      <c r="O1329" s="34"/>
    </row>
    <row r="1330" spans="6:15" s="6" customFormat="1" ht="15.75">
      <c r="F1330" s="34"/>
      <c r="G1330" s="354"/>
      <c r="I1330" s="34"/>
      <c r="J1330" s="34"/>
      <c r="K1330" s="34"/>
      <c r="L1330" s="34"/>
      <c r="M1330" s="34"/>
      <c r="N1330" s="34"/>
      <c r="O1330" s="34"/>
    </row>
    <row r="1331" spans="6:15" s="6" customFormat="1" ht="15.75">
      <c r="F1331" s="34"/>
      <c r="G1331" s="354"/>
      <c r="I1331" s="34"/>
      <c r="J1331" s="34"/>
      <c r="K1331" s="34"/>
      <c r="L1331" s="34"/>
      <c r="M1331" s="34"/>
      <c r="N1331" s="34"/>
      <c r="O1331" s="34"/>
    </row>
    <row r="1332" spans="6:15" s="6" customFormat="1" ht="15.75">
      <c r="F1332" s="34"/>
      <c r="G1332" s="354"/>
      <c r="I1332" s="34"/>
      <c r="J1332" s="34"/>
      <c r="K1332" s="34"/>
      <c r="L1332" s="34"/>
      <c r="M1332" s="34"/>
      <c r="N1332" s="34"/>
      <c r="O1332" s="34"/>
    </row>
    <row r="1333" spans="6:15" s="6" customFormat="1" ht="15.75">
      <c r="F1333" s="34"/>
      <c r="G1333" s="354"/>
      <c r="I1333" s="34"/>
      <c r="J1333" s="34"/>
      <c r="K1333" s="34"/>
      <c r="L1333" s="34"/>
      <c r="M1333" s="34"/>
      <c r="N1333" s="34"/>
      <c r="O1333" s="34"/>
    </row>
    <row r="1334" spans="6:15" s="6" customFormat="1" ht="15.75">
      <c r="F1334" s="34"/>
      <c r="G1334" s="354"/>
      <c r="I1334" s="34"/>
      <c r="J1334" s="34"/>
      <c r="K1334" s="34"/>
      <c r="L1334" s="34"/>
      <c r="M1334" s="34"/>
      <c r="N1334" s="34"/>
      <c r="O1334" s="34"/>
    </row>
    <row r="1335" spans="6:15" s="6" customFormat="1" ht="15.75">
      <c r="F1335" s="34"/>
      <c r="G1335" s="354"/>
      <c r="I1335" s="34"/>
      <c r="J1335" s="34"/>
      <c r="K1335" s="34"/>
      <c r="L1335" s="34"/>
      <c r="M1335" s="34"/>
      <c r="N1335" s="34"/>
      <c r="O1335" s="34"/>
    </row>
    <row r="1336" spans="6:15" s="6" customFormat="1" ht="15.75">
      <c r="F1336" s="34"/>
      <c r="G1336" s="354"/>
      <c r="I1336" s="34"/>
      <c r="J1336" s="34"/>
      <c r="K1336" s="34"/>
      <c r="L1336" s="34"/>
      <c r="M1336" s="34"/>
      <c r="N1336" s="34"/>
      <c r="O1336" s="34"/>
    </row>
    <row r="1337" spans="6:15" s="6" customFormat="1" ht="15.75">
      <c r="F1337" s="34"/>
      <c r="G1337" s="354"/>
      <c r="I1337" s="34"/>
      <c r="J1337" s="34"/>
      <c r="K1337" s="34"/>
      <c r="L1337" s="34"/>
      <c r="M1337" s="34"/>
      <c r="N1337" s="34"/>
      <c r="O1337" s="34"/>
    </row>
  </sheetData>
  <mergeCells count="1">
    <mergeCell ref="A1203:B1203"/>
  </mergeCells>
  <phoneticPr fontId="0" type="noConversion"/>
  <pageMargins left="0.15748031496062992" right="0.15748031496062992" top="0.19685039370078741" bottom="0.19685039370078741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323"/>
  <sheetViews>
    <sheetView view="pageBreakPreview" zoomScaleNormal="100" workbookViewId="0">
      <pane ySplit="2850" topLeftCell="A1212" activePane="bottomLeft"/>
      <selection activeCell="Q370" sqref="Q370"/>
      <selection pane="bottomLeft" activeCell="J1206" sqref="J1206"/>
    </sheetView>
  </sheetViews>
  <sheetFormatPr defaultRowHeight="12.75"/>
  <cols>
    <col min="1" max="1" width="9.28515625" style="162" bestFit="1" customWidth="1"/>
    <col min="2" max="2" width="22.7109375" style="162" customWidth="1"/>
    <col min="3" max="3" width="13.85546875" style="127" customWidth="1"/>
    <col min="4" max="5" width="12.7109375" style="127" customWidth="1"/>
    <col min="6" max="6" width="12.7109375" style="336" customWidth="1"/>
    <col min="7" max="7" width="11" style="127" customWidth="1"/>
    <col min="8" max="8" width="11.5703125" style="127" customWidth="1"/>
    <col min="9" max="9" width="13.140625" style="118" customWidth="1"/>
    <col min="10" max="10" width="9.140625" style="128"/>
    <col min="11" max="11" width="9.5703125" style="128" bestFit="1" customWidth="1"/>
    <col min="12" max="24" width="9.140625" style="92"/>
  </cols>
  <sheetData>
    <row r="1" spans="1:24" s="6" customFormat="1" ht="15.75">
      <c r="A1" s="129" t="s">
        <v>664</v>
      </c>
      <c r="B1" s="127"/>
      <c r="C1" s="127"/>
      <c r="D1" s="127"/>
      <c r="E1" s="127"/>
      <c r="F1" s="336"/>
      <c r="G1" s="127"/>
      <c r="H1" s="127"/>
      <c r="I1" s="118"/>
      <c r="J1" s="128"/>
      <c r="K1" s="128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 s="6" customFormat="1" ht="15.75">
      <c r="A2" s="129" t="s">
        <v>672</v>
      </c>
      <c r="B2" s="127"/>
      <c r="C2" s="127"/>
      <c r="D2" s="127"/>
      <c r="E2" s="127"/>
      <c r="F2" s="336"/>
      <c r="G2" s="127"/>
      <c r="H2" s="127"/>
      <c r="I2" s="118"/>
      <c r="J2" s="128"/>
      <c r="K2" s="128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24" s="2" customFormat="1" ht="98.25" customHeight="1">
      <c r="A3" s="133" t="s">
        <v>574</v>
      </c>
      <c r="B3" s="133" t="s">
        <v>674</v>
      </c>
      <c r="C3" s="134" t="s">
        <v>1331</v>
      </c>
      <c r="D3" s="134" t="s">
        <v>610</v>
      </c>
      <c r="E3" s="134" t="s">
        <v>611</v>
      </c>
      <c r="F3" s="633" t="s">
        <v>575</v>
      </c>
      <c r="G3" s="134" t="s">
        <v>584</v>
      </c>
      <c r="H3" s="134" t="s">
        <v>585</v>
      </c>
      <c r="I3" s="135" t="s">
        <v>586</v>
      </c>
      <c r="J3" s="194"/>
      <c r="K3" s="194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</row>
    <row r="4" spans="1:24" s="6" customFormat="1" ht="16.5" thickBot="1">
      <c r="A4" s="168">
        <v>1</v>
      </c>
      <c r="B4" s="168">
        <v>2</v>
      </c>
      <c r="C4" s="168">
        <v>3</v>
      </c>
      <c r="D4" s="168">
        <v>4</v>
      </c>
      <c r="E4" s="168">
        <v>5</v>
      </c>
      <c r="F4" s="634"/>
      <c r="G4" s="168">
        <v>6</v>
      </c>
      <c r="H4" s="168">
        <v>7</v>
      </c>
      <c r="I4" s="169">
        <v>8</v>
      </c>
      <c r="J4" s="128"/>
      <c r="K4" s="128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</row>
    <row r="5" spans="1:24" s="6" customFormat="1" ht="16.5" thickBot="1">
      <c r="A5" s="137" t="s">
        <v>620</v>
      </c>
      <c r="B5" s="138"/>
      <c r="C5" s="138"/>
      <c r="D5" s="138"/>
      <c r="E5" s="138"/>
      <c r="F5" s="635"/>
      <c r="G5" s="138"/>
      <c r="H5" s="138"/>
      <c r="I5" s="202"/>
      <c r="J5" s="128"/>
      <c r="K5" s="128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</row>
    <row r="6" spans="1:24" s="6" customFormat="1" ht="15.75">
      <c r="A6" s="308">
        <v>1</v>
      </c>
      <c r="B6" s="304" t="s">
        <v>683</v>
      </c>
      <c r="C6" s="142">
        <v>9570.0499999999993</v>
      </c>
      <c r="D6" s="142"/>
      <c r="E6" s="142"/>
      <c r="F6" s="611">
        <f>C6+D6+E6</f>
        <v>9570.0499999999993</v>
      </c>
      <c r="G6" s="142">
        <v>611.20000000000005</v>
      </c>
      <c r="H6" s="142">
        <v>3.5000000000000003E-2</v>
      </c>
      <c r="I6" s="170">
        <f>G6*H6/F6</f>
        <v>2.2353070255641304E-3</v>
      </c>
      <c r="J6" s="128"/>
      <c r="K6" s="128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</row>
    <row r="7" spans="1:24" s="6" customFormat="1" ht="15.75">
      <c r="A7" s="309">
        <v>2</v>
      </c>
      <c r="B7" s="305" t="s">
        <v>684</v>
      </c>
      <c r="C7" s="55">
        <v>4259.1400000000003</v>
      </c>
      <c r="D7" s="55"/>
      <c r="E7" s="55"/>
      <c r="F7" s="611">
        <f>C7+D7+E7</f>
        <v>4259.1400000000003</v>
      </c>
      <c r="G7" s="55">
        <v>415.4</v>
      </c>
      <c r="H7" s="55">
        <v>3.5000000000000003E-2</v>
      </c>
      <c r="I7" s="170">
        <f t="shared" ref="I7:I66" si="0">G7*H7/F7</f>
        <v>3.413599928624088E-3</v>
      </c>
      <c r="J7" s="128"/>
      <c r="K7" s="128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4" s="6" customFormat="1" ht="15.75">
      <c r="A8" s="309">
        <v>3</v>
      </c>
      <c r="B8" s="305" t="s">
        <v>685</v>
      </c>
      <c r="C8" s="55">
        <v>8696.41</v>
      </c>
      <c r="D8" s="55"/>
      <c r="E8" s="55"/>
      <c r="F8" s="611">
        <f t="shared" ref="F8:F77" si="1">C8+D8+E8</f>
        <v>8696.41</v>
      </c>
      <c r="G8" s="55">
        <v>606.70000000000005</v>
      </c>
      <c r="H8" s="55">
        <v>3.5000000000000003E-2</v>
      </c>
      <c r="I8" s="170">
        <f t="shared" si="0"/>
        <v>2.4417547010778017E-3</v>
      </c>
      <c r="J8" s="128"/>
      <c r="K8" s="128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</row>
    <row r="9" spans="1:24" s="6" customFormat="1" ht="15.75">
      <c r="A9" s="309">
        <v>4</v>
      </c>
      <c r="B9" s="305" t="s">
        <v>686</v>
      </c>
      <c r="C9" s="55">
        <v>2719.72</v>
      </c>
      <c r="D9" s="55"/>
      <c r="E9" s="55"/>
      <c r="F9" s="611">
        <f t="shared" si="1"/>
        <v>2719.72</v>
      </c>
      <c r="G9" s="55">
        <v>451.5</v>
      </c>
      <c r="H9" s="55">
        <v>3.5000000000000003E-2</v>
      </c>
      <c r="I9" s="170">
        <f t="shared" si="0"/>
        <v>5.8103407703734219E-3</v>
      </c>
      <c r="J9" s="128"/>
      <c r="K9" s="128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</row>
    <row r="10" spans="1:24" s="6" customFormat="1" ht="15.75">
      <c r="A10" s="308">
        <v>5</v>
      </c>
      <c r="B10" s="305" t="s">
        <v>687</v>
      </c>
      <c r="C10" s="55">
        <v>4138.7</v>
      </c>
      <c r="D10" s="55"/>
      <c r="E10" s="55"/>
      <c r="F10" s="611">
        <f t="shared" si="1"/>
        <v>4138.7</v>
      </c>
      <c r="G10" s="55">
        <v>412.5</v>
      </c>
      <c r="H10" s="55">
        <v>3.5000000000000003E-2</v>
      </c>
      <c r="I10" s="170">
        <f t="shared" si="0"/>
        <v>3.4884142363544113E-3</v>
      </c>
      <c r="J10" s="128"/>
      <c r="K10" s="128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</row>
    <row r="11" spans="1:24" s="6" customFormat="1" ht="15.75">
      <c r="A11" s="309">
        <v>6</v>
      </c>
      <c r="B11" s="305" t="s">
        <v>688</v>
      </c>
      <c r="C11" s="55">
        <v>4166.1899999999996</v>
      </c>
      <c r="D11" s="55"/>
      <c r="E11" s="55"/>
      <c r="F11" s="611">
        <f t="shared" si="1"/>
        <v>4166.1899999999996</v>
      </c>
      <c r="G11" s="55">
        <v>417.6</v>
      </c>
      <c r="H11" s="55">
        <v>3.5000000000000003E-2</v>
      </c>
      <c r="I11" s="170">
        <f t="shared" si="0"/>
        <v>3.508241342809618E-3</v>
      </c>
      <c r="J11" s="128"/>
      <c r="K11" s="12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</row>
    <row r="12" spans="1:24" s="6" customFormat="1" ht="15.75">
      <c r="A12" s="309">
        <v>7</v>
      </c>
      <c r="B12" s="305" t="s">
        <v>689</v>
      </c>
      <c r="C12" s="55">
        <v>3572.8</v>
      </c>
      <c r="D12" s="55"/>
      <c r="E12" s="55"/>
      <c r="F12" s="611">
        <f t="shared" si="1"/>
        <v>3572.8</v>
      </c>
      <c r="G12" s="55">
        <v>385</v>
      </c>
      <c r="H12" s="55">
        <v>3.5000000000000003E-2</v>
      </c>
      <c r="I12" s="170">
        <f t="shared" si="0"/>
        <v>3.7715517241379312E-3</v>
      </c>
      <c r="J12" s="128"/>
      <c r="K12" s="128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</row>
    <row r="13" spans="1:24" s="6" customFormat="1" ht="15.75">
      <c r="A13" s="309">
        <v>8</v>
      </c>
      <c r="B13" s="305" t="s">
        <v>690</v>
      </c>
      <c r="C13" s="55">
        <v>6443.05</v>
      </c>
      <c r="D13" s="55"/>
      <c r="E13" s="55"/>
      <c r="F13" s="611">
        <f t="shared" si="1"/>
        <v>6443.05</v>
      </c>
      <c r="G13" s="55">
        <v>530.20000000000005</v>
      </c>
      <c r="H13" s="55">
        <v>3.5000000000000003E-2</v>
      </c>
      <c r="I13" s="170">
        <f t="shared" si="0"/>
        <v>2.8801576892931147E-3</v>
      </c>
      <c r="J13" s="128"/>
      <c r="K13" s="128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</row>
    <row r="14" spans="1:24" s="6" customFormat="1" ht="15.75">
      <c r="A14" s="308">
        <v>9</v>
      </c>
      <c r="B14" s="305" t="s">
        <v>691</v>
      </c>
      <c r="C14" s="55">
        <v>6459.7</v>
      </c>
      <c r="D14" s="55"/>
      <c r="E14" s="55"/>
      <c r="F14" s="611">
        <f t="shared" si="1"/>
        <v>6459.7</v>
      </c>
      <c r="G14" s="55">
        <v>517.20000000000005</v>
      </c>
      <c r="H14" s="55">
        <v>3.5000000000000003E-2</v>
      </c>
      <c r="I14" s="170">
        <f t="shared" si="0"/>
        <v>2.8022973203089933E-3</v>
      </c>
      <c r="J14" s="128"/>
      <c r="K14" s="128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</row>
    <row r="15" spans="1:24" s="6" customFormat="1" ht="15.75">
      <c r="A15" s="309">
        <v>10</v>
      </c>
      <c r="B15" s="305" t="s">
        <v>692</v>
      </c>
      <c r="C15" s="55">
        <v>4374.04</v>
      </c>
      <c r="D15" s="55"/>
      <c r="E15" s="55"/>
      <c r="F15" s="611">
        <f t="shared" si="1"/>
        <v>4374.04</v>
      </c>
      <c r="G15" s="55">
        <v>393.8</v>
      </c>
      <c r="H15" s="55">
        <v>3.5000000000000003E-2</v>
      </c>
      <c r="I15" s="170">
        <f t="shared" si="0"/>
        <v>3.1510914394930092E-3</v>
      </c>
      <c r="J15" s="128"/>
      <c r="K15" s="128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</row>
    <row r="16" spans="1:24" s="6" customFormat="1" ht="15.75">
      <c r="A16" s="309">
        <v>11</v>
      </c>
      <c r="B16" s="305" t="s">
        <v>693</v>
      </c>
      <c r="C16" s="55">
        <v>3413.87</v>
      </c>
      <c r="D16" s="55"/>
      <c r="E16" s="55">
        <v>85.7</v>
      </c>
      <c r="F16" s="611">
        <f t="shared" si="1"/>
        <v>3499.5699999999997</v>
      </c>
      <c r="G16" s="55">
        <v>392.4</v>
      </c>
      <c r="H16" s="55">
        <v>3.5000000000000003E-2</v>
      </c>
      <c r="I16" s="170">
        <f t="shared" si="0"/>
        <v>3.924482150664225E-3</v>
      </c>
      <c r="J16" s="128"/>
      <c r="K16" s="128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</row>
    <row r="17" spans="1:24" s="6" customFormat="1" ht="15.75">
      <c r="A17" s="309">
        <v>12</v>
      </c>
      <c r="B17" s="305" t="s">
        <v>694</v>
      </c>
      <c r="C17" s="55">
        <v>3466.61</v>
      </c>
      <c r="D17" s="55">
        <v>97.8</v>
      </c>
      <c r="E17" s="55"/>
      <c r="F17" s="611">
        <f t="shared" si="1"/>
        <v>3564.4100000000003</v>
      </c>
      <c r="G17" s="55">
        <v>372.4</v>
      </c>
      <c r="H17" s="55">
        <v>3.5000000000000003E-2</v>
      </c>
      <c r="I17" s="170">
        <f t="shared" si="0"/>
        <v>3.6567061589435558E-3</v>
      </c>
      <c r="J17" s="128"/>
      <c r="K17" s="128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</row>
    <row r="18" spans="1:24" s="6" customFormat="1" ht="15.75">
      <c r="A18" s="308">
        <v>13</v>
      </c>
      <c r="B18" s="305" t="s">
        <v>695</v>
      </c>
      <c r="C18" s="55">
        <v>5767.21</v>
      </c>
      <c r="D18" s="55">
        <v>261.60000000000002</v>
      </c>
      <c r="E18" s="55">
        <v>456.05</v>
      </c>
      <c r="F18" s="611">
        <f t="shared" si="1"/>
        <v>6484.8600000000006</v>
      </c>
      <c r="G18" s="55">
        <v>513.4</v>
      </c>
      <c r="H18" s="55">
        <v>3.5000000000000003E-2</v>
      </c>
      <c r="I18" s="170">
        <f t="shared" si="0"/>
        <v>2.7709156404301712E-3</v>
      </c>
      <c r="J18" s="128"/>
      <c r="K18" s="128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</row>
    <row r="19" spans="1:24" s="6" customFormat="1" ht="15.75">
      <c r="A19" s="309">
        <v>14</v>
      </c>
      <c r="B19" s="305" t="s">
        <v>696</v>
      </c>
      <c r="C19" s="55">
        <v>5966.95</v>
      </c>
      <c r="D19" s="55"/>
      <c r="E19" s="55">
        <v>49.5</v>
      </c>
      <c r="F19" s="611">
        <f t="shared" si="1"/>
        <v>6016.45</v>
      </c>
      <c r="G19" s="55">
        <v>550.6</v>
      </c>
      <c r="H19" s="55">
        <v>3.5000000000000003E-2</v>
      </c>
      <c r="I19" s="170">
        <f t="shared" si="0"/>
        <v>3.2030516334383241E-3</v>
      </c>
      <c r="J19" s="128"/>
      <c r="K19" s="128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</row>
    <row r="20" spans="1:24" s="6" customFormat="1" ht="15.75">
      <c r="A20" s="309">
        <v>15</v>
      </c>
      <c r="B20" s="305" t="s">
        <v>697</v>
      </c>
      <c r="C20" s="55">
        <v>8566.1200000000008</v>
      </c>
      <c r="D20" s="55"/>
      <c r="E20" s="55"/>
      <c r="F20" s="611">
        <f t="shared" si="1"/>
        <v>8566.1200000000008</v>
      </c>
      <c r="G20" s="55">
        <v>627</v>
      </c>
      <c r="H20" s="55">
        <v>3.5000000000000003E-2</v>
      </c>
      <c r="I20" s="170">
        <f t="shared" si="0"/>
        <v>2.5618366308200213E-3</v>
      </c>
      <c r="J20" s="128"/>
      <c r="K20" s="128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</row>
    <row r="21" spans="1:24" s="6" customFormat="1" ht="15.75">
      <c r="A21" s="309">
        <v>16</v>
      </c>
      <c r="B21" s="305" t="s">
        <v>698</v>
      </c>
      <c r="C21" s="55">
        <v>5774.55</v>
      </c>
      <c r="D21" s="55">
        <v>201.5</v>
      </c>
      <c r="E21" s="55"/>
      <c r="F21" s="611">
        <f t="shared" si="1"/>
        <v>5976.05</v>
      </c>
      <c r="G21" s="55">
        <v>751.4</v>
      </c>
      <c r="H21" s="55">
        <v>3.5000000000000003E-2</v>
      </c>
      <c r="I21" s="170">
        <f t="shared" si="0"/>
        <v>4.4007329255946661E-3</v>
      </c>
      <c r="J21" s="128"/>
      <c r="K21" s="128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</row>
    <row r="22" spans="1:24" s="6" customFormat="1" ht="15.75">
      <c r="A22" s="308">
        <v>17</v>
      </c>
      <c r="B22" s="305" t="s">
        <v>699</v>
      </c>
      <c r="C22" s="55">
        <v>3226.62</v>
      </c>
      <c r="D22" s="55"/>
      <c r="E22" s="55"/>
      <c r="F22" s="611">
        <f t="shared" si="1"/>
        <v>3226.62</v>
      </c>
      <c r="G22" s="55">
        <v>450.7</v>
      </c>
      <c r="H22" s="55">
        <v>3.5000000000000003E-2</v>
      </c>
      <c r="I22" s="170">
        <f t="shared" si="0"/>
        <v>4.8888620289962879E-3</v>
      </c>
      <c r="J22" s="128"/>
      <c r="K22" s="128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</row>
    <row r="23" spans="1:24" s="6" customFormat="1" ht="15.75">
      <c r="A23" s="309">
        <v>18</v>
      </c>
      <c r="B23" s="305" t="s">
        <v>700</v>
      </c>
      <c r="C23" s="55">
        <v>3233.9</v>
      </c>
      <c r="D23" s="55"/>
      <c r="E23" s="55"/>
      <c r="F23" s="611">
        <f t="shared" si="1"/>
        <v>3233.9</v>
      </c>
      <c r="G23" s="55">
        <v>490.5</v>
      </c>
      <c r="H23" s="55">
        <v>3.5000000000000003E-2</v>
      </c>
      <c r="I23" s="170">
        <f t="shared" si="0"/>
        <v>5.3086057082779303E-3</v>
      </c>
      <c r="J23" s="128"/>
      <c r="K23" s="128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</row>
    <row r="24" spans="1:24" s="6" customFormat="1" ht="15.75">
      <c r="A24" s="309">
        <v>19</v>
      </c>
      <c r="B24" s="305" t="s">
        <v>701</v>
      </c>
      <c r="C24" s="55">
        <v>6095.4</v>
      </c>
      <c r="D24" s="55"/>
      <c r="E24" s="55"/>
      <c r="F24" s="611">
        <f t="shared" si="1"/>
        <v>6095.4</v>
      </c>
      <c r="G24" s="55">
        <v>776.6</v>
      </c>
      <c r="H24" s="55">
        <v>3.5000000000000003E-2</v>
      </c>
      <c r="I24" s="170">
        <f t="shared" si="0"/>
        <v>4.459264363290351E-3</v>
      </c>
      <c r="J24" s="128"/>
      <c r="K24" s="128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</row>
    <row r="25" spans="1:24" s="6" customFormat="1" ht="15.75">
      <c r="A25" s="309">
        <v>20</v>
      </c>
      <c r="B25" s="305" t="s">
        <v>702</v>
      </c>
      <c r="C25" s="55">
        <v>6384.91</v>
      </c>
      <c r="D25" s="55"/>
      <c r="E25" s="55"/>
      <c r="F25" s="611">
        <f t="shared" si="1"/>
        <v>6384.91</v>
      </c>
      <c r="G25" s="55">
        <v>507.4</v>
      </c>
      <c r="H25" s="55">
        <v>3.5000000000000003E-2</v>
      </c>
      <c r="I25" s="170">
        <f t="shared" si="0"/>
        <v>2.7814017738699527E-3</v>
      </c>
      <c r="J25" s="128"/>
      <c r="K25" s="128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</row>
    <row r="26" spans="1:24" s="6" customFormat="1" ht="15.75">
      <c r="A26" s="308">
        <v>21</v>
      </c>
      <c r="B26" s="305" t="s">
        <v>703</v>
      </c>
      <c r="C26" s="55">
        <v>3929.49</v>
      </c>
      <c r="D26" s="55">
        <v>464.4</v>
      </c>
      <c r="E26" s="55"/>
      <c r="F26" s="611">
        <f t="shared" si="1"/>
        <v>4393.8899999999994</v>
      </c>
      <c r="G26" s="55">
        <v>423.7</v>
      </c>
      <c r="H26" s="55">
        <v>3.5000000000000003E-2</v>
      </c>
      <c r="I26" s="170">
        <f t="shared" si="0"/>
        <v>3.3750275951377941E-3</v>
      </c>
      <c r="J26" s="128"/>
      <c r="K26" s="128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</row>
    <row r="27" spans="1:24" s="6" customFormat="1" ht="15.75">
      <c r="A27" s="309">
        <v>22</v>
      </c>
      <c r="B27" s="305" t="s">
        <v>704</v>
      </c>
      <c r="C27" s="55">
        <v>7174.09</v>
      </c>
      <c r="D27" s="55"/>
      <c r="E27" s="55"/>
      <c r="F27" s="611">
        <f t="shared" si="1"/>
        <v>7174.09</v>
      </c>
      <c r="G27" s="55">
        <v>561</v>
      </c>
      <c r="H27" s="55">
        <v>3.5000000000000003E-2</v>
      </c>
      <c r="I27" s="170">
        <f t="shared" si="0"/>
        <v>2.7369324889986047E-3</v>
      </c>
      <c r="J27" s="128"/>
      <c r="K27" s="128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</row>
    <row r="28" spans="1:24" s="6" customFormat="1" ht="15.75">
      <c r="A28" s="309">
        <v>23</v>
      </c>
      <c r="B28" s="305" t="s">
        <v>705</v>
      </c>
      <c r="C28" s="55">
        <v>3836.07</v>
      </c>
      <c r="D28" s="55"/>
      <c r="E28" s="55">
        <v>416</v>
      </c>
      <c r="F28" s="611">
        <f t="shared" si="1"/>
        <v>4252.07</v>
      </c>
      <c r="G28" s="55">
        <v>423</v>
      </c>
      <c r="H28" s="55">
        <v>3.5000000000000003E-2</v>
      </c>
      <c r="I28" s="170">
        <f t="shared" si="0"/>
        <v>3.4818335540101652E-3</v>
      </c>
      <c r="J28" s="128"/>
      <c r="K28" s="128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</row>
    <row r="29" spans="1:24" s="6" customFormat="1" ht="15.75">
      <c r="A29" s="309">
        <v>24</v>
      </c>
      <c r="B29" s="305" t="s">
        <v>706</v>
      </c>
      <c r="C29" s="55">
        <v>2413.89</v>
      </c>
      <c r="D29" s="55"/>
      <c r="E29" s="55"/>
      <c r="F29" s="611">
        <f t="shared" si="1"/>
        <v>2413.89</v>
      </c>
      <c r="G29" s="55">
        <v>519.5</v>
      </c>
      <c r="H29" s="55">
        <v>3.5000000000000003E-2</v>
      </c>
      <c r="I29" s="170">
        <f t="shared" si="0"/>
        <v>7.5324476260310129E-3</v>
      </c>
      <c r="J29" s="128"/>
      <c r="K29" s="128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</row>
    <row r="30" spans="1:24" s="6" customFormat="1" ht="15.75">
      <c r="A30" s="308">
        <v>25</v>
      </c>
      <c r="B30" s="305" t="s">
        <v>707</v>
      </c>
      <c r="C30" s="55">
        <v>6323.28</v>
      </c>
      <c r="D30" s="55"/>
      <c r="E30" s="55"/>
      <c r="F30" s="611">
        <f t="shared" si="1"/>
        <v>6323.28</v>
      </c>
      <c r="G30" s="55">
        <v>502.8</v>
      </c>
      <c r="H30" s="55">
        <v>3.5000000000000003E-2</v>
      </c>
      <c r="I30" s="170">
        <f t="shared" si="0"/>
        <v>2.7830493035260187E-3</v>
      </c>
      <c r="J30" s="128"/>
      <c r="K30" s="128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1:24" s="6" customFormat="1" ht="15.75">
      <c r="A31" s="309">
        <v>26</v>
      </c>
      <c r="B31" s="305" t="s">
        <v>708</v>
      </c>
      <c r="C31" s="55">
        <v>4396.59</v>
      </c>
      <c r="D31" s="55"/>
      <c r="E31" s="55"/>
      <c r="F31" s="611">
        <f t="shared" si="1"/>
        <v>4396.59</v>
      </c>
      <c r="G31" s="55">
        <v>412.6</v>
      </c>
      <c r="H31" s="55">
        <v>3.5000000000000003E-2</v>
      </c>
      <c r="I31" s="170">
        <f t="shared" si="0"/>
        <v>3.2845910125802046E-3</v>
      </c>
      <c r="J31" s="128"/>
      <c r="K31" s="128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</row>
    <row r="32" spans="1:24" s="6" customFormat="1" ht="15.75">
      <c r="A32" s="309">
        <v>27</v>
      </c>
      <c r="B32" s="305" t="s">
        <v>709</v>
      </c>
      <c r="C32" s="55">
        <v>6702.46</v>
      </c>
      <c r="D32" s="55"/>
      <c r="E32" s="55"/>
      <c r="F32" s="611">
        <f t="shared" si="1"/>
        <v>6702.46</v>
      </c>
      <c r="G32" s="55">
        <v>632.4</v>
      </c>
      <c r="H32" s="55">
        <v>3.5000000000000003E-2</v>
      </c>
      <c r="I32" s="170">
        <f t="shared" si="0"/>
        <v>3.3023695777371293E-3</v>
      </c>
      <c r="J32" s="128"/>
      <c r="K32" s="128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1:24" s="6" customFormat="1" ht="15.75">
      <c r="A33" s="309">
        <v>28</v>
      </c>
      <c r="B33" s="305" t="s">
        <v>710</v>
      </c>
      <c r="C33" s="55">
        <v>6185.24</v>
      </c>
      <c r="D33" s="55"/>
      <c r="E33" s="55"/>
      <c r="F33" s="611">
        <f t="shared" si="1"/>
        <v>6185.24</v>
      </c>
      <c r="G33" s="55">
        <v>528.20000000000005</v>
      </c>
      <c r="H33" s="55">
        <v>3.5000000000000003E-2</v>
      </c>
      <c r="I33" s="170">
        <f t="shared" si="0"/>
        <v>2.9888896793010462E-3</v>
      </c>
      <c r="J33" s="128"/>
      <c r="K33" s="128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</row>
    <row r="34" spans="1:24" s="6" customFormat="1" ht="15.75">
      <c r="A34" s="308">
        <v>29</v>
      </c>
      <c r="B34" s="305" t="s">
        <v>711</v>
      </c>
      <c r="C34" s="55">
        <v>6856.85</v>
      </c>
      <c r="D34" s="55"/>
      <c r="E34" s="55"/>
      <c r="F34" s="611">
        <f t="shared" si="1"/>
        <v>6856.85</v>
      </c>
      <c r="G34" s="55">
        <v>526.79999999999995</v>
      </c>
      <c r="H34" s="55">
        <v>3.5000000000000003E-2</v>
      </c>
      <c r="I34" s="170">
        <f t="shared" si="0"/>
        <v>2.6889898422745133E-3</v>
      </c>
      <c r="J34" s="128"/>
      <c r="K34" s="128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</row>
    <row r="35" spans="1:24" s="6" customFormat="1" ht="15.75">
      <c r="A35" s="309">
        <v>30</v>
      </c>
      <c r="B35" s="305" t="s">
        <v>712</v>
      </c>
      <c r="C35" s="55">
        <v>6358.97</v>
      </c>
      <c r="D35" s="55"/>
      <c r="E35" s="55"/>
      <c r="F35" s="611">
        <f t="shared" si="1"/>
        <v>6358.97</v>
      </c>
      <c r="G35" s="55">
        <v>536.6</v>
      </c>
      <c r="H35" s="55">
        <v>3.5000000000000003E-2</v>
      </c>
      <c r="I35" s="170">
        <f t="shared" si="0"/>
        <v>2.9534657342305437E-3</v>
      </c>
      <c r="J35" s="128"/>
      <c r="K35" s="128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</row>
    <row r="36" spans="1:24" s="6" customFormat="1" ht="15.75">
      <c r="A36" s="309">
        <v>31</v>
      </c>
      <c r="B36" s="305" t="s">
        <v>713</v>
      </c>
      <c r="C36" s="55">
        <v>4302.43</v>
      </c>
      <c r="D36" s="55"/>
      <c r="E36" s="55"/>
      <c r="F36" s="611">
        <f t="shared" si="1"/>
        <v>4302.43</v>
      </c>
      <c r="G36" s="55">
        <v>415.7</v>
      </c>
      <c r="H36" s="55">
        <v>3.5000000000000003E-2</v>
      </c>
      <c r="I36" s="170">
        <f t="shared" si="0"/>
        <v>3.3816936010580066E-3</v>
      </c>
      <c r="J36" s="128"/>
      <c r="K36" s="128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</row>
    <row r="37" spans="1:24" s="6" customFormat="1" ht="15.75">
      <c r="A37" s="309">
        <v>32</v>
      </c>
      <c r="B37" s="305" t="s">
        <v>714</v>
      </c>
      <c r="C37" s="55">
        <v>4355.7</v>
      </c>
      <c r="D37" s="55"/>
      <c r="E37" s="55"/>
      <c r="F37" s="611">
        <f t="shared" si="1"/>
        <v>4355.7</v>
      </c>
      <c r="G37" s="55">
        <v>412.8</v>
      </c>
      <c r="H37" s="55">
        <v>3.5000000000000003E-2</v>
      </c>
      <c r="I37" s="170">
        <f t="shared" si="0"/>
        <v>3.317032853502308E-3</v>
      </c>
      <c r="J37" s="128"/>
      <c r="K37" s="128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</row>
    <row r="38" spans="1:24" s="6" customFormat="1" ht="15.75">
      <c r="A38" s="308">
        <v>33</v>
      </c>
      <c r="B38" s="305" t="s">
        <v>715</v>
      </c>
      <c r="C38" s="55">
        <v>61.3</v>
      </c>
      <c r="D38" s="55"/>
      <c r="E38" s="55"/>
      <c r="F38" s="611">
        <f t="shared" si="1"/>
        <v>61.3</v>
      </c>
      <c r="G38" s="55">
        <v>0</v>
      </c>
      <c r="H38" s="55">
        <v>3.5000000000000003E-2</v>
      </c>
      <c r="I38" s="170">
        <f t="shared" si="0"/>
        <v>0</v>
      </c>
      <c r="J38" s="128"/>
      <c r="K38" s="128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</row>
    <row r="39" spans="1:24" s="6" customFormat="1" ht="15.75">
      <c r="A39" s="309">
        <v>34</v>
      </c>
      <c r="B39" s="305" t="s">
        <v>716</v>
      </c>
      <c r="C39" s="55">
        <v>105.7</v>
      </c>
      <c r="D39" s="55"/>
      <c r="E39" s="55"/>
      <c r="F39" s="611">
        <f t="shared" si="1"/>
        <v>105.7</v>
      </c>
      <c r="G39" s="55">
        <v>0</v>
      </c>
      <c r="H39" s="55">
        <v>3.5000000000000003E-2</v>
      </c>
      <c r="I39" s="170">
        <f t="shared" si="0"/>
        <v>0</v>
      </c>
      <c r="J39" s="128"/>
      <c r="K39" s="128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s="6" customFormat="1" ht="15.75">
      <c r="A40" s="309">
        <v>35</v>
      </c>
      <c r="B40" s="305" t="s">
        <v>717</v>
      </c>
      <c r="C40" s="55">
        <v>124.1</v>
      </c>
      <c r="D40" s="55"/>
      <c r="E40" s="55"/>
      <c r="F40" s="611">
        <f t="shared" si="1"/>
        <v>124.1</v>
      </c>
      <c r="G40" s="55">
        <v>0</v>
      </c>
      <c r="H40" s="55">
        <v>3.5000000000000003E-2</v>
      </c>
      <c r="I40" s="170">
        <f t="shared" si="0"/>
        <v>0</v>
      </c>
      <c r="J40" s="128"/>
      <c r="K40" s="128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</row>
    <row r="41" spans="1:24" s="6" customFormat="1" ht="15.75">
      <c r="A41" s="309">
        <v>36</v>
      </c>
      <c r="B41" s="305" t="s">
        <v>718</v>
      </c>
      <c r="C41" s="55">
        <v>2349.19</v>
      </c>
      <c r="D41" s="55"/>
      <c r="E41" s="55"/>
      <c r="F41" s="611">
        <f t="shared" si="1"/>
        <v>2349.19</v>
      </c>
      <c r="G41" s="55">
        <v>520.5</v>
      </c>
      <c r="H41" s="55">
        <v>3.5000000000000003E-2</v>
      </c>
      <c r="I41" s="170">
        <f t="shared" si="0"/>
        <v>7.7548005908419501E-3</v>
      </c>
      <c r="J41" s="128"/>
      <c r="K41" s="128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</row>
    <row r="42" spans="1:24" s="6" customFormat="1" ht="15.75">
      <c r="A42" s="308">
        <v>37</v>
      </c>
      <c r="B42" s="305" t="s">
        <v>719</v>
      </c>
      <c r="C42" s="55">
        <v>3321.01</v>
      </c>
      <c r="D42" s="55"/>
      <c r="E42" s="55"/>
      <c r="F42" s="611">
        <f t="shared" si="1"/>
        <v>3321.01</v>
      </c>
      <c r="G42" s="55">
        <v>462.5</v>
      </c>
      <c r="H42" s="55">
        <v>3.5000000000000003E-2</v>
      </c>
      <c r="I42" s="170">
        <f t="shared" si="0"/>
        <v>4.8742701768437913E-3</v>
      </c>
      <c r="J42" s="128"/>
      <c r="K42" s="128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</row>
    <row r="43" spans="1:24" s="6" customFormat="1" ht="15.75">
      <c r="A43" s="309">
        <v>38</v>
      </c>
      <c r="B43" s="305" t="s">
        <v>720</v>
      </c>
      <c r="C43" s="55">
        <v>3969.9</v>
      </c>
      <c r="D43" s="55"/>
      <c r="E43" s="55"/>
      <c r="F43" s="611">
        <f t="shared" si="1"/>
        <v>3969.9</v>
      </c>
      <c r="G43" s="55">
        <v>428.2</v>
      </c>
      <c r="H43" s="55">
        <v>3.5000000000000003E-2</v>
      </c>
      <c r="I43" s="170">
        <f t="shared" si="0"/>
        <v>3.7751580644348726E-3</v>
      </c>
      <c r="J43" s="128"/>
      <c r="K43" s="128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</row>
    <row r="44" spans="1:24" s="6" customFormat="1" ht="15.75">
      <c r="A44" s="309">
        <v>39</v>
      </c>
      <c r="B44" s="305" t="s">
        <v>721</v>
      </c>
      <c r="C44" s="55">
        <v>6582.1</v>
      </c>
      <c r="D44" s="55"/>
      <c r="E44" s="55"/>
      <c r="F44" s="611">
        <f t="shared" si="1"/>
        <v>6582.1</v>
      </c>
      <c r="G44" s="55">
        <v>550.6</v>
      </c>
      <c r="H44" s="55">
        <v>3.5000000000000003E-2</v>
      </c>
      <c r="I44" s="170">
        <f t="shared" si="0"/>
        <v>2.9277890035095187E-3</v>
      </c>
      <c r="J44" s="128"/>
      <c r="K44" s="128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</row>
    <row r="45" spans="1:24" s="6" customFormat="1" ht="15.75">
      <c r="A45" s="309">
        <v>40</v>
      </c>
      <c r="B45" s="305" t="s">
        <v>722</v>
      </c>
      <c r="C45" s="55">
        <v>8461.27</v>
      </c>
      <c r="D45" s="55">
        <v>287.3</v>
      </c>
      <c r="E45" s="55"/>
      <c r="F45" s="611">
        <f t="shared" si="1"/>
        <v>8748.57</v>
      </c>
      <c r="G45" s="55">
        <v>754.8</v>
      </c>
      <c r="H45" s="55">
        <v>3.5000000000000003E-2</v>
      </c>
      <c r="I45" s="170">
        <f t="shared" si="0"/>
        <v>3.0196935041955429E-3</v>
      </c>
      <c r="J45" s="128"/>
      <c r="K45" s="128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</row>
    <row r="46" spans="1:24" s="6" customFormat="1" ht="15.75">
      <c r="A46" s="308">
        <v>41</v>
      </c>
      <c r="B46" s="305" t="s">
        <v>723</v>
      </c>
      <c r="C46" s="55">
        <v>3715.24</v>
      </c>
      <c r="D46" s="55"/>
      <c r="E46" s="55">
        <v>109.3</v>
      </c>
      <c r="F46" s="611">
        <f t="shared" si="1"/>
        <v>3824.54</v>
      </c>
      <c r="G46" s="55">
        <v>430</v>
      </c>
      <c r="H46" s="55">
        <v>3.5000000000000003E-2</v>
      </c>
      <c r="I46" s="170">
        <f t="shared" si="0"/>
        <v>3.9351137653155675E-3</v>
      </c>
      <c r="J46" s="128"/>
      <c r="K46" s="128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</row>
    <row r="47" spans="1:24" s="6" customFormat="1" ht="15.75">
      <c r="A47" s="309">
        <v>42</v>
      </c>
      <c r="B47" s="305" t="s">
        <v>724</v>
      </c>
      <c r="C47" s="55">
        <v>355.8</v>
      </c>
      <c r="D47" s="55"/>
      <c r="E47" s="55"/>
      <c r="F47" s="611">
        <f t="shared" si="1"/>
        <v>355.8</v>
      </c>
      <c r="G47" s="55">
        <v>0</v>
      </c>
      <c r="H47" s="55">
        <v>3.5000000000000003E-2</v>
      </c>
      <c r="I47" s="170">
        <f t="shared" si="0"/>
        <v>0</v>
      </c>
      <c r="J47" s="128"/>
      <c r="K47" s="128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</row>
    <row r="48" spans="1:24" s="6" customFormat="1" ht="15.75">
      <c r="A48" s="309">
        <v>43</v>
      </c>
      <c r="B48" s="305" t="s">
        <v>725</v>
      </c>
      <c r="C48" s="55">
        <v>907.4</v>
      </c>
      <c r="D48" s="55"/>
      <c r="E48" s="55"/>
      <c r="F48" s="611">
        <f t="shared" si="1"/>
        <v>907.4</v>
      </c>
      <c r="G48" s="55">
        <v>0</v>
      </c>
      <c r="H48" s="55">
        <v>3.5000000000000003E-2</v>
      </c>
      <c r="I48" s="170">
        <f t="shared" si="0"/>
        <v>0</v>
      </c>
      <c r="J48" s="128"/>
      <c r="K48" s="128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</row>
    <row r="49" spans="1:24" s="6" customFormat="1" ht="15.75">
      <c r="A49" s="309">
        <v>44</v>
      </c>
      <c r="B49" s="305" t="s">
        <v>726</v>
      </c>
      <c r="C49" s="55">
        <v>2273.6</v>
      </c>
      <c r="D49" s="55"/>
      <c r="E49" s="55"/>
      <c r="F49" s="611">
        <f t="shared" si="1"/>
        <v>2273.6</v>
      </c>
      <c r="G49" s="55">
        <v>414.1</v>
      </c>
      <c r="H49" s="55">
        <v>3.5000000000000003E-2</v>
      </c>
      <c r="I49" s="170">
        <f t="shared" si="0"/>
        <v>6.3746921182266025E-3</v>
      </c>
      <c r="J49" s="128"/>
      <c r="K49" s="128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</row>
    <row r="50" spans="1:24" s="6" customFormat="1" ht="15.75">
      <c r="A50" s="308">
        <v>45</v>
      </c>
      <c r="B50" s="305" t="s">
        <v>727</v>
      </c>
      <c r="C50" s="55">
        <v>154.1</v>
      </c>
      <c r="D50" s="55"/>
      <c r="E50" s="55"/>
      <c r="F50" s="611">
        <f t="shared" si="1"/>
        <v>154.1</v>
      </c>
      <c r="G50" s="55">
        <v>0</v>
      </c>
      <c r="H50" s="55">
        <v>3.5000000000000003E-2</v>
      </c>
      <c r="I50" s="170">
        <f t="shared" si="0"/>
        <v>0</v>
      </c>
      <c r="J50" s="128"/>
      <c r="K50" s="128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</row>
    <row r="51" spans="1:24" s="6" customFormat="1" ht="15.75">
      <c r="A51" s="309">
        <v>46</v>
      </c>
      <c r="B51" s="305" t="s">
        <v>728</v>
      </c>
      <c r="C51" s="55">
        <v>93.9</v>
      </c>
      <c r="D51" s="55"/>
      <c r="E51" s="55"/>
      <c r="F51" s="611">
        <f t="shared" si="1"/>
        <v>93.9</v>
      </c>
      <c r="G51" s="55">
        <v>0</v>
      </c>
      <c r="H51" s="55">
        <v>3.5000000000000003E-2</v>
      </c>
      <c r="I51" s="170">
        <f t="shared" si="0"/>
        <v>0</v>
      </c>
      <c r="J51" s="128"/>
      <c r="K51" s="128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</row>
    <row r="52" spans="1:24" s="6" customFormat="1" ht="15.75">
      <c r="A52" s="309">
        <v>47</v>
      </c>
      <c r="B52" s="305" t="s">
        <v>729</v>
      </c>
      <c r="C52" s="55">
        <v>296.10000000000002</v>
      </c>
      <c r="D52" s="55"/>
      <c r="E52" s="55"/>
      <c r="F52" s="611">
        <f t="shared" si="1"/>
        <v>296.10000000000002</v>
      </c>
      <c r="G52" s="55">
        <v>0</v>
      </c>
      <c r="H52" s="55">
        <v>3.5000000000000003E-2</v>
      </c>
      <c r="I52" s="170">
        <f t="shared" si="0"/>
        <v>0</v>
      </c>
      <c r="J52" s="128"/>
      <c r="K52" s="128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</row>
    <row r="53" spans="1:24" s="6" customFormat="1" ht="15.75">
      <c r="A53" s="309">
        <v>48</v>
      </c>
      <c r="B53" s="305" t="s">
        <v>647</v>
      </c>
      <c r="C53" s="55">
        <v>4177.21</v>
      </c>
      <c r="D53" s="55">
        <v>6.6</v>
      </c>
      <c r="E53" s="55"/>
      <c r="F53" s="611">
        <f t="shared" si="1"/>
        <v>4183.8100000000004</v>
      </c>
      <c r="G53" s="55">
        <v>542.79999999999995</v>
      </c>
      <c r="H53" s="55">
        <v>3.5000000000000003E-2</v>
      </c>
      <c r="I53" s="170">
        <f t="shared" si="0"/>
        <v>4.5408371795086291E-3</v>
      </c>
      <c r="J53" s="128"/>
      <c r="K53" s="128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</row>
    <row r="54" spans="1:24" s="6" customFormat="1" ht="15.75">
      <c r="A54" s="308">
        <v>49</v>
      </c>
      <c r="B54" s="305" t="s">
        <v>648</v>
      </c>
      <c r="C54" s="55">
        <v>4140.68</v>
      </c>
      <c r="D54" s="55"/>
      <c r="E54" s="55"/>
      <c r="F54" s="611">
        <f t="shared" si="1"/>
        <v>4140.68</v>
      </c>
      <c r="G54" s="55">
        <v>555.6</v>
      </c>
      <c r="H54" s="55">
        <v>3.5000000000000003E-2</v>
      </c>
      <c r="I54" s="170">
        <f t="shared" si="0"/>
        <v>4.6963300713892403E-3</v>
      </c>
      <c r="J54" s="128"/>
      <c r="K54" s="128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</row>
    <row r="55" spans="1:24" s="6" customFormat="1" ht="15.75">
      <c r="A55" s="309">
        <v>50</v>
      </c>
      <c r="B55" s="305" t="s">
        <v>1354</v>
      </c>
      <c r="C55" s="145">
        <v>7831.81</v>
      </c>
      <c r="D55" s="55"/>
      <c r="E55" s="55"/>
      <c r="F55" s="611">
        <f t="shared" si="1"/>
        <v>7831.81</v>
      </c>
      <c r="G55" s="55">
        <v>697.8</v>
      </c>
      <c r="H55" s="55">
        <v>3.5000000000000003E-2</v>
      </c>
      <c r="I55" s="170">
        <f t="shared" si="0"/>
        <v>3.1184362235549636E-3</v>
      </c>
      <c r="J55" s="128"/>
      <c r="K55" s="128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</row>
    <row r="56" spans="1:24" s="6" customFormat="1" ht="15.75">
      <c r="A56" s="309">
        <v>51</v>
      </c>
      <c r="B56" s="305" t="s">
        <v>1374</v>
      </c>
      <c r="C56" s="145">
        <v>996.1</v>
      </c>
      <c r="D56" s="55"/>
      <c r="E56" s="55"/>
      <c r="F56" s="611">
        <f t="shared" si="1"/>
        <v>996.1</v>
      </c>
      <c r="G56" s="198"/>
      <c r="H56" s="55">
        <v>3.5000000000000003E-2</v>
      </c>
      <c r="I56" s="170">
        <f t="shared" si="0"/>
        <v>0</v>
      </c>
      <c r="J56" s="128"/>
      <c r="K56" s="128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</row>
    <row r="57" spans="1:24" s="6" customFormat="1" ht="15.75">
      <c r="A57" s="309">
        <v>52</v>
      </c>
      <c r="B57" s="305" t="s">
        <v>1376</v>
      </c>
      <c r="C57" s="145">
        <v>533.79999999999995</v>
      </c>
      <c r="D57" s="55"/>
      <c r="E57" s="55"/>
      <c r="F57" s="611">
        <f t="shared" si="1"/>
        <v>533.79999999999995</v>
      </c>
      <c r="G57" s="199"/>
      <c r="H57" s="55">
        <v>3.5000000000000003E-2</v>
      </c>
      <c r="I57" s="170">
        <f t="shared" si="0"/>
        <v>0</v>
      </c>
      <c r="J57" s="128"/>
      <c r="K57" s="128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</row>
    <row r="58" spans="1:24" s="6" customFormat="1" ht="15.75">
      <c r="A58" s="308">
        <v>53</v>
      </c>
      <c r="B58" s="305" t="s">
        <v>1375</v>
      </c>
      <c r="C58" s="145">
        <v>987.3</v>
      </c>
      <c r="D58" s="55"/>
      <c r="E58" s="55"/>
      <c r="F58" s="611">
        <f t="shared" si="1"/>
        <v>987.3</v>
      </c>
      <c r="G58" s="199"/>
      <c r="H58" s="55">
        <v>3.5000000000000003E-2</v>
      </c>
      <c r="I58" s="170">
        <f t="shared" si="0"/>
        <v>0</v>
      </c>
      <c r="J58" s="128"/>
      <c r="K58" s="128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</row>
    <row r="59" spans="1:24" s="6" customFormat="1" ht="15.75">
      <c r="A59" s="309">
        <v>54</v>
      </c>
      <c r="B59" s="305" t="s">
        <v>1377</v>
      </c>
      <c r="C59" s="145">
        <v>442.6</v>
      </c>
      <c r="D59" s="55"/>
      <c r="E59" s="55"/>
      <c r="F59" s="611">
        <f t="shared" si="1"/>
        <v>442.6</v>
      </c>
      <c r="G59" s="199"/>
      <c r="H59" s="55">
        <v>3.5000000000000003E-2</v>
      </c>
      <c r="I59" s="170">
        <f t="shared" si="0"/>
        <v>0</v>
      </c>
      <c r="J59" s="128"/>
      <c r="K59" s="128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</row>
    <row r="60" spans="1:24" s="6" customFormat="1" ht="15.75">
      <c r="A60" s="309">
        <v>55</v>
      </c>
      <c r="B60" s="283" t="s">
        <v>1407</v>
      </c>
      <c r="C60" s="278">
        <v>7013.2</v>
      </c>
      <c r="D60" s="278"/>
      <c r="E60" s="278"/>
      <c r="F60" s="636">
        <f>C60+D60+E60</f>
        <v>7013.2</v>
      </c>
      <c r="G60" s="282">
        <v>425</v>
      </c>
      <c r="H60" s="55">
        <v>3.5000000000000003E-2</v>
      </c>
      <c r="I60" s="170">
        <f t="shared" si="0"/>
        <v>2.1210003992471341E-3</v>
      </c>
      <c r="J60" s="128"/>
      <c r="K60" s="128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</row>
    <row r="61" spans="1:24" s="6" customFormat="1" ht="15.75">
      <c r="A61" s="309">
        <v>56</v>
      </c>
      <c r="B61" s="283" t="s">
        <v>1390</v>
      </c>
      <c r="C61" s="278">
        <v>8402.66</v>
      </c>
      <c r="D61" s="278"/>
      <c r="E61" s="278"/>
      <c r="F61" s="636">
        <f t="shared" ref="F61:F66" si="2">C61+D61+E61</f>
        <v>8402.66</v>
      </c>
      <c r="G61" s="278">
        <v>1640</v>
      </c>
      <c r="H61" s="55">
        <v>3.5000000000000003E-2</v>
      </c>
      <c r="I61" s="170">
        <f t="shared" si="0"/>
        <v>6.8311701294590053E-3</v>
      </c>
      <c r="J61" s="128"/>
      <c r="K61" s="128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</row>
    <row r="62" spans="1:24" s="6" customFormat="1" ht="15.75">
      <c r="A62" s="308">
        <v>57</v>
      </c>
      <c r="B62" s="306" t="s">
        <v>1386</v>
      </c>
      <c r="C62" s="293">
        <v>2601.63</v>
      </c>
      <c r="D62" s="293"/>
      <c r="E62" s="293"/>
      <c r="F62" s="636">
        <f t="shared" si="2"/>
        <v>2601.63</v>
      </c>
      <c r="G62" s="293">
        <v>360</v>
      </c>
      <c r="H62" s="55">
        <v>3.5000000000000003E-2</v>
      </c>
      <c r="I62" s="170">
        <f t="shared" si="0"/>
        <v>4.8431175839761999E-3</v>
      </c>
      <c r="J62" s="128"/>
      <c r="K62" s="128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</row>
    <row r="63" spans="1:24" s="6" customFormat="1" ht="15.75">
      <c r="A63" s="309">
        <v>58</v>
      </c>
      <c r="B63" s="306" t="s">
        <v>1385</v>
      </c>
      <c r="C63" s="293">
        <v>2594.2600000000002</v>
      </c>
      <c r="D63" s="293"/>
      <c r="E63" s="293"/>
      <c r="F63" s="636">
        <f t="shared" si="2"/>
        <v>2594.2600000000002</v>
      </c>
      <c r="G63" s="293">
        <v>409</v>
      </c>
      <c r="H63" s="55">
        <v>3.5000000000000003E-2</v>
      </c>
      <c r="I63" s="170">
        <f t="shared" si="0"/>
        <v>5.517951169119518E-3</v>
      </c>
      <c r="J63" s="128"/>
      <c r="K63" s="128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</row>
    <row r="64" spans="1:24" s="6" customFormat="1" ht="15.75">
      <c r="A64" s="309">
        <v>59</v>
      </c>
      <c r="B64" s="306" t="s">
        <v>1388</v>
      </c>
      <c r="C64" s="293">
        <v>2653.52</v>
      </c>
      <c r="D64" s="293"/>
      <c r="E64" s="293"/>
      <c r="F64" s="636">
        <f t="shared" si="2"/>
        <v>2653.52</v>
      </c>
      <c r="G64" s="293">
        <v>725</v>
      </c>
      <c r="H64" s="55">
        <v>3.5000000000000003E-2</v>
      </c>
      <c r="I64" s="170">
        <f t="shared" si="0"/>
        <v>9.5627694534052895E-3</v>
      </c>
      <c r="J64" s="128"/>
      <c r="K64" s="128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</row>
    <row r="65" spans="1:24" s="6" customFormat="1" ht="15.75">
      <c r="A65" s="309">
        <v>60</v>
      </c>
      <c r="B65" s="307" t="s">
        <v>1389</v>
      </c>
      <c r="C65" s="293">
        <v>2150.9</v>
      </c>
      <c r="D65" s="293"/>
      <c r="E65" s="293"/>
      <c r="F65" s="636">
        <f t="shared" si="2"/>
        <v>2150.9</v>
      </c>
      <c r="G65" s="293">
        <v>651</v>
      </c>
      <c r="H65" s="55">
        <v>3.5000000000000003E-2</v>
      </c>
      <c r="I65" s="170">
        <f t="shared" si="0"/>
        <v>1.0593240039053421E-2</v>
      </c>
      <c r="J65" s="128"/>
      <c r="K65" s="128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</row>
    <row r="66" spans="1:24" s="6" customFormat="1" ht="16.5" thickBot="1">
      <c r="A66" s="308">
        <v>61</v>
      </c>
      <c r="B66" s="307" t="s">
        <v>1397</v>
      </c>
      <c r="C66" s="320">
        <v>3353.7</v>
      </c>
      <c r="D66" s="320"/>
      <c r="E66" s="320"/>
      <c r="F66" s="637">
        <f t="shared" si="2"/>
        <v>3353.7</v>
      </c>
      <c r="G66" s="320">
        <v>1034</v>
      </c>
      <c r="H66" s="55">
        <v>3.5000000000000003E-2</v>
      </c>
      <c r="I66" s="170">
        <f t="shared" si="0"/>
        <v>1.0791066583176792E-2</v>
      </c>
      <c r="J66" s="128"/>
      <c r="K66" s="128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</row>
    <row r="67" spans="1:24" s="6" customFormat="1" ht="16.5" thickBot="1">
      <c r="A67" s="377"/>
      <c r="B67" s="206" t="s">
        <v>749</v>
      </c>
      <c r="C67" s="207">
        <f>SUM(C6:C66)</f>
        <v>249781.08</v>
      </c>
      <c r="D67" s="207">
        <f>SUM(D6:D66)</f>
        <v>1319.2</v>
      </c>
      <c r="E67" s="207">
        <f>SUM(E6:E66)</f>
        <v>1116.55</v>
      </c>
      <c r="F67" s="207">
        <f>SUM(F6:F66)</f>
        <v>252216.83000000002</v>
      </c>
      <c r="G67" s="207">
        <f>SUM(G6:G66)</f>
        <v>26669.499999999993</v>
      </c>
      <c r="H67" s="206">
        <v>3.5000000000000003E-2</v>
      </c>
      <c r="I67" s="277">
        <f>G67*H67/F67</f>
        <v>3.7009128217177253E-3</v>
      </c>
      <c r="J67" s="128"/>
      <c r="K67" s="128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</row>
    <row r="68" spans="1:24" s="209" customFormat="1" ht="21" thickBot="1">
      <c r="A68" s="1048" t="s">
        <v>984</v>
      </c>
      <c r="B68" s="1049"/>
      <c r="C68" s="1049"/>
      <c r="D68" s="1049"/>
      <c r="E68" s="1049"/>
      <c r="F68" s="1049"/>
      <c r="G68" s="1049"/>
      <c r="H68" s="1049"/>
      <c r="I68" s="1049"/>
      <c r="J68" s="1049"/>
      <c r="K68" s="1049"/>
      <c r="L68" s="1049"/>
      <c r="M68" s="1050"/>
    </row>
    <row r="69" spans="1:24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611">
        <f>C69+D69+E69</f>
        <v>6328.85</v>
      </c>
      <c r="G69" s="437">
        <v>367</v>
      </c>
      <c r="H69" s="55">
        <v>3.5000000000000003E-2</v>
      </c>
      <c r="I69" s="170">
        <f t="shared" ref="I69:I87" si="3">G69*H69/F69</f>
        <v>2.0295946340962417E-3</v>
      </c>
      <c r="J69" s="128"/>
      <c r="K69" s="128"/>
      <c r="L69" s="342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</row>
    <row r="70" spans="1:24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611">
        <f t="shared" si="1"/>
        <v>7565.74</v>
      </c>
      <c r="G70" s="438">
        <v>400</v>
      </c>
      <c r="H70" s="55">
        <v>3.5000000000000003E-2</v>
      </c>
      <c r="I70" s="170">
        <f t="shared" si="3"/>
        <v>1.8504468829222259E-3</v>
      </c>
      <c r="J70" s="128"/>
      <c r="K70" s="128"/>
      <c r="L70" s="342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</row>
    <row r="71" spans="1:24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611">
        <f t="shared" si="1"/>
        <v>7217.2</v>
      </c>
      <c r="G71" s="438">
        <v>408</v>
      </c>
      <c r="H71" s="55">
        <v>3.5000000000000003E-2</v>
      </c>
      <c r="I71" s="170">
        <f t="shared" si="3"/>
        <v>1.9786066618633267E-3</v>
      </c>
      <c r="J71" s="128"/>
      <c r="K71" s="128"/>
      <c r="L71" s="342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</row>
    <row r="72" spans="1:24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611">
        <f t="shared" si="1"/>
        <v>6435.2</v>
      </c>
      <c r="G72" s="438">
        <v>369</v>
      </c>
      <c r="H72" s="55">
        <v>3.5000000000000003E-2</v>
      </c>
      <c r="I72" s="170">
        <f t="shared" si="3"/>
        <v>2.0069306315266037E-3</v>
      </c>
      <c r="J72" s="128"/>
      <c r="K72" s="128"/>
      <c r="L72" s="342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</row>
    <row r="73" spans="1:24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611">
        <f t="shared" si="1"/>
        <v>8881.51</v>
      </c>
      <c r="G73" s="438">
        <v>464</v>
      </c>
      <c r="H73" s="55">
        <v>3.5000000000000003E-2</v>
      </c>
      <c r="I73" s="170">
        <f t="shared" si="3"/>
        <v>1.8285178984204264E-3</v>
      </c>
      <c r="J73" s="128"/>
      <c r="K73" s="128"/>
      <c r="L73" s="342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</row>
    <row r="74" spans="1:24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611">
        <f t="shared" si="1"/>
        <v>7938.92</v>
      </c>
      <c r="G74" s="438">
        <v>444</v>
      </c>
      <c r="H74" s="55">
        <v>3.5000000000000003E-2</v>
      </c>
      <c r="I74" s="170">
        <f t="shared" si="3"/>
        <v>1.9574450932872481E-3</v>
      </c>
      <c r="J74" s="128"/>
      <c r="K74" s="128"/>
      <c r="L74" s="342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</row>
    <row r="75" spans="1:24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611">
        <f t="shared" si="1"/>
        <v>7102.99</v>
      </c>
      <c r="G75" s="438">
        <v>393</v>
      </c>
      <c r="H75" s="55">
        <v>3.5000000000000003E-2</v>
      </c>
      <c r="I75" s="170">
        <f t="shared" si="3"/>
        <v>1.9365084281408253E-3</v>
      </c>
      <c r="J75" s="128"/>
      <c r="K75" s="128"/>
      <c r="L75" s="342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</row>
    <row r="76" spans="1:24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611">
        <f t="shared" si="1"/>
        <v>2982.2</v>
      </c>
      <c r="G76" s="438">
        <v>372</v>
      </c>
      <c r="H76" s="55">
        <v>3.5000000000000003E-2</v>
      </c>
      <c r="I76" s="170">
        <f t="shared" si="3"/>
        <v>4.365904365904367E-3</v>
      </c>
      <c r="J76" s="128"/>
      <c r="K76" s="128"/>
      <c r="L76" s="342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</row>
    <row r="77" spans="1:24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611">
        <f t="shared" si="1"/>
        <v>2528.85</v>
      </c>
      <c r="G77" s="438">
        <v>403</v>
      </c>
      <c r="H77" s="55">
        <v>3.5000000000000003E-2</v>
      </c>
      <c r="I77" s="170">
        <f t="shared" si="3"/>
        <v>5.5776341024576402E-3</v>
      </c>
      <c r="J77" s="128"/>
      <c r="K77" s="128"/>
      <c r="L77" s="342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</row>
    <row r="78" spans="1:24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611">
        <f t="shared" ref="F78:F143" si="4">C78+D78+E78</f>
        <v>4250.83</v>
      </c>
      <c r="G78" s="438">
        <v>343</v>
      </c>
      <c r="H78" s="55">
        <v>3.5000000000000003E-2</v>
      </c>
      <c r="I78" s="170">
        <f t="shared" si="3"/>
        <v>2.8241543416226951E-3</v>
      </c>
      <c r="J78" s="128"/>
      <c r="K78" s="128"/>
      <c r="L78" s="342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</row>
    <row r="79" spans="1:24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611">
        <f t="shared" si="4"/>
        <v>2862.08</v>
      </c>
      <c r="G79" s="438">
        <v>345</v>
      </c>
      <c r="H79" s="55">
        <v>3.5000000000000003E-2</v>
      </c>
      <c r="I79" s="170">
        <f t="shared" si="3"/>
        <v>4.2189596377459754E-3</v>
      </c>
      <c r="J79" s="128"/>
      <c r="K79" s="128"/>
      <c r="L79" s="342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</row>
    <row r="80" spans="1:24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611">
        <f t="shared" si="4"/>
        <v>6415.24</v>
      </c>
      <c r="G80" s="438">
        <v>347</v>
      </c>
      <c r="H80" s="55">
        <v>3.5000000000000003E-2</v>
      </c>
      <c r="I80" s="170">
        <f t="shared" si="3"/>
        <v>1.8931481908704899E-3</v>
      </c>
      <c r="J80" s="128"/>
      <c r="K80" s="128"/>
      <c r="L80" s="342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</row>
    <row r="81" spans="1:24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611">
        <f t="shared" si="4"/>
        <v>2523.4899999999998</v>
      </c>
      <c r="G81" s="438">
        <v>427</v>
      </c>
      <c r="H81" s="55">
        <v>3.5000000000000003E-2</v>
      </c>
      <c r="I81" s="170">
        <f t="shared" si="3"/>
        <v>5.9223535658948535E-3</v>
      </c>
      <c r="J81" s="128"/>
      <c r="K81" s="128"/>
      <c r="L81" s="342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</row>
    <row r="82" spans="1:24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611">
        <f t="shared" si="4"/>
        <v>2727.04</v>
      </c>
      <c r="G82" s="438">
        <v>416</v>
      </c>
      <c r="H82" s="55">
        <v>3.5000000000000003E-2</v>
      </c>
      <c r="I82" s="170">
        <f t="shared" si="3"/>
        <v>5.339122271767192E-3</v>
      </c>
      <c r="J82" s="128"/>
      <c r="K82" s="128"/>
      <c r="L82" s="342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</row>
    <row r="83" spans="1:24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611">
        <f t="shared" si="4"/>
        <v>11075.779999999999</v>
      </c>
      <c r="G83" s="438">
        <v>504</v>
      </c>
      <c r="H83" s="55">
        <v>3.5000000000000003E-2</v>
      </c>
      <c r="I83" s="170">
        <f t="shared" si="3"/>
        <v>1.5926643541132094E-3</v>
      </c>
      <c r="J83" s="128"/>
      <c r="K83" s="128"/>
      <c r="L83" s="342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</row>
    <row r="84" spans="1:24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611">
        <f t="shared" si="4"/>
        <v>6438.12</v>
      </c>
      <c r="G84" s="438">
        <v>434</v>
      </c>
      <c r="H84" s="55">
        <v>3.5000000000000003E-2</v>
      </c>
      <c r="I84" s="170">
        <f t="shared" si="3"/>
        <v>2.3593844165688124E-3</v>
      </c>
      <c r="J84" s="128"/>
      <c r="K84" s="128"/>
      <c r="L84" s="342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</row>
    <row r="85" spans="1:24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611">
        <f t="shared" si="4"/>
        <v>6322.5</v>
      </c>
      <c r="G85" s="438">
        <v>452</v>
      </c>
      <c r="H85" s="55">
        <v>3.5000000000000003E-2</v>
      </c>
      <c r="I85" s="170">
        <f t="shared" si="3"/>
        <v>2.5021747726374065E-3</v>
      </c>
      <c r="J85" s="128"/>
      <c r="K85" s="128"/>
      <c r="L85" s="342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</row>
    <row r="86" spans="1:24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611">
        <f t="shared" si="4"/>
        <v>3207.6099999999997</v>
      </c>
      <c r="G86" s="438">
        <v>524</v>
      </c>
      <c r="H86" s="55">
        <v>3.5000000000000003E-2</v>
      </c>
      <c r="I86" s="170">
        <f t="shared" si="3"/>
        <v>5.7176527071557967E-3</v>
      </c>
      <c r="J86" s="128"/>
      <c r="K86" s="128"/>
      <c r="L86" s="342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</row>
    <row r="87" spans="1:24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611">
        <f t="shared" si="4"/>
        <v>2997.37</v>
      </c>
      <c r="G87" s="689">
        <v>512</v>
      </c>
      <c r="H87" s="55">
        <v>3.5000000000000003E-2</v>
      </c>
      <c r="I87" s="170">
        <f t="shared" si="3"/>
        <v>5.9785745503558125E-3</v>
      </c>
      <c r="J87" s="128"/>
      <c r="K87" s="128"/>
      <c r="L87" s="342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</row>
    <row r="88" spans="1:24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611">
        <f t="shared" si="4"/>
        <v>6397.6</v>
      </c>
      <c r="G88" s="278">
        <v>796</v>
      </c>
      <c r="H88" s="160">
        <v>3.5000000000000003E-2</v>
      </c>
      <c r="I88" s="170">
        <f>G88*H88/F88</f>
        <v>4.3547580342628489E-3</v>
      </c>
      <c r="J88" s="128"/>
      <c r="K88" s="128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</row>
    <row r="89" spans="1:24" s="6" customFormat="1" ht="16.5" thickBot="1">
      <c r="A89" s="275">
        <v>21</v>
      </c>
      <c r="B89" s="287" t="s">
        <v>1378</v>
      </c>
      <c r="C89" s="411">
        <v>566.29999999999995</v>
      </c>
      <c r="D89" s="411"/>
      <c r="E89" s="411"/>
      <c r="F89" s="798">
        <f t="shared" si="4"/>
        <v>566.29999999999995</v>
      </c>
      <c r="G89" s="278">
        <v>300</v>
      </c>
      <c r="H89" s="160">
        <v>3.5000000000000003E-2</v>
      </c>
      <c r="I89" s="170">
        <f>G89*H89/F89</f>
        <v>1.8541409147095185E-2</v>
      </c>
      <c r="J89" s="128"/>
      <c r="K89" s="128"/>
      <c r="L89" s="93"/>
      <c r="M89" s="93"/>
      <c r="N89" s="93"/>
      <c r="O89" s="93"/>
      <c r="P89" s="93"/>
      <c r="Q89" s="93"/>
      <c r="R89" s="93">
        <v>2</v>
      </c>
      <c r="S89" s="93"/>
      <c r="T89" s="93"/>
      <c r="U89" s="93"/>
      <c r="V89" s="93"/>
      <c r="W89" s="93"/>
      <c r="X89" s="93"/>
    </row>
    <row r="90" spans="1:24" s="33" customFormat="1" ht="16.5" thickBot="1">
      <c r="A90" s="205"/>
      <c r="B90" s="206" t="s">
        <v>749</v>
      </c>
      <c r="C90" s="207">
        <f>SUM(C69:C89)</f>
        <v>112321.67</v>
      </c>
      <c r="D90" s="207">
        <f>SUM(D69:D88)</f>
        <v>0</v>
      </c>
      <c r="E90" s="207">
        <f>SUM(E69:E88)</f>
        <v>443.75</v>
      </c>
      <c r="F90" s="207">
        <f>SUM(F69:F89)</f>
        <v>112765.42</v>
      </c>
      <c r="G90" s="207">
        <f>SUM(G69:G89)</f>
        <v>9020</v>
      </c>
      <c r="H90" s="281">
        <v>3.5000000000000003E-2</v>
      </c>
      <c r="I90" s="170">
        <f>G90*H90/F90</f>
        <v>2.7996171166657299E-3</v>
      </c>
      <c r="J90" s="130"/>
      <c r="K90" s="130"/>
    </row>
    <row r="91" spans="1:24" s="5" customFormat="1" ht="16.5" thickBot="1">
      <c r="A91" s="203" t="s">
        <v>50</v>
      </c>
      <c r="B91" s="204"/>
      <c r="C91" s="204"/>
      <c r="D91" s="204"/>
      <c r="E91" s="204"/>
      <c r="F91" s="611">
        <f t="shared" si="4"/>
        <v>0</v>
      </c>
      <c r="G91" s="204"/>
      <c r="H91" s="204"/>
      <c r="I91" s="204"/>
      <c r="J91" s="131"/>
      <c r="K91" s="13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</row>
    <row r="92" spans="1:24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611">
        <f t="shared" si="4"/>
        <v>689.3</v>
      </c>
      <c r="G92" s="833">
        <v>163.19999999999999</v>
      </c>
      <c r="H92" s="160">
        <v>3.5000000000000003E-2</v>
      </c>
      <c r="I92" s="201">
        <f t="shared" ref="I92:I155" si="5">G92*H92/F92</f>
        <v>8.2866676338314241E-3</v>
      </c>
      <c r="J92" s="128"/>
      <c r="K92" s="128"/>
      <c r="L92" s="93">
        <v>8.7264800000000005</v>
      </c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</row>
    <row r="93" spans="1:24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611">
        <f t="shared" si="4"/>
        <v>356.29999999999995</v>
      </c>
      <c r="G93" s="834">
        <v>95.9</v>
      </c>
      <c r="H93" s="160">
        <v>3.5000000000000003E-2</v>
      </c>
      <c r="I93" s="201">
        <f t="shared" si="5"/>
        <v>9.4204322200392952E-3</v>
      </c>
      <c r="J93" s="128"/>
      <c r="K93" s="128"/>
      <c r="L93" s="93">
        <v>12.726116666666664</v>
      </c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</row>
    <row r="94" spans="1:24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611">
        <f t="shared" si="4"/>
        <v>425.13</v>
      </c>
      <c r="G94" s="834">
        <v>98.2</v>
      </c>
      <c r="H94" s="160">
        <v>3.5000000000000003E-2</v>
      </c>
      <c r="I94" s="201">
        <f t="shared" si="5"/>
        <v>8.0845858913744031E-3</v>
      </c>
      <c r="J94" s="128"/>
      <c r="K94" s="128"/>
      <c r="L94" s="93">
        <v>14.544133333333335</v>
      </c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</row>
    <row r="95" spans="1:24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611">
        <f t="shared" si="4"/>
        <v>690.66</v>
      </c>
      <c r="G95" s="834">
        <v>119.9</v>
      </c>
      <c r="H95" s="160">
        <v>3.5000000000000003E-2</v>
      </c>
      <c r="I95" s="201">
        <f t="shared" si="5"/>
        <v>6.0760721628587153E-3</v>
      </c>
      <c r="J95" s="128"/>
      <c r="K95" s="128"/>
      <c r="L95" s="93">
        <v>12.4664</v>
      </c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</row>
    <row r="96" spans="1:24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611">
        <f t="shared" si="4"/>
        <v>618.05999999999995</v>
      </c>
      <c r="G96" s="834">
        <v>142.30000000000001</v>
      </c>
      <c r="H96" s="160">
        <v>3.5000000000000003E-2</v>
      </c>
      <c r="I96" s="201">
        <f t="shared" si="5"/>
        <v>8.0582791314759115E-3</v>
      </c>
      <c r="J96" s="128"/>
      <c r="K96" s="128"/>
      <c r="L96" s="93">
        <v>13.505266666666666</v>
      </c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</row>
    <row r="97" spans="1:24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611">
        <f t="shared" si="4"/>
        <v>1327.4</v>
      </c>
      <c r="G97" s="834">
        <v>259.60000000000002</v>
      </c>
      <c r="H97" s="160">
        <v>3.5000000000000003E-2</v>
      </c>
      <c r="I97" s="201">
        <f t="shared" si="5"/>
        <v>6.8449600723218332E-3</v>
      </c>
      <c r="J97" s="128"/>
      <c r="K97" s="128"/>
      <c r="L97" s="93">
        <v>28.309116666666668</v>
      </c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</row>
    <row r="98" spans="1:24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611">
        <f t="shared" si="4"/>
        <v>1528.3</v>
      </c>
      <c r="G98" s="834">
        <v>286.3</v>
      </c>
      <c r="H98" s="160">
        <v>3.5000000000000003E-2</v>
      </c>
      <c r="I98" s="201">
        <f t="shared" si="5"/>
        <v>6.5566315513969787E-3</v>
      </c>
      <c r="J98" s="128"/>
      <c r="K98" s="128"/>
      <c r="L98" s="93">
        <v>17.660733333333333</v>
      </c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</row>
    <row r="99" spans="1:24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611">
        <f t="shared" si="4"/>
        <v>736.94</v>
      </c>
      <c r="G99" s="834">
        <v>136</v>
      </c>
      <c r="H99" s="160">
        <v>3.5000000000000003E-2</v>
      </c>
      <c r="I99" s="201">
        <f t="shared" si="5"/>
        <v>6.459141856867588E-3</v>
      </c>
      <c r="J99" s="128"/>
      <c r="K99" s="128"/>
      <c r="L99" s="93">
        <v>10.12895</v>
      </c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</row>
    <row r="100" spans="1:24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611">
        <f t="shared" si="4"/>
        <v>588.29</v>
      </c>
      <c r="G100" s="834">
        <v>152.6</v>
      </c>
      <c r="H100" s="160">
        <v>3.5000000000000003E-2</v>
      </c>
      <c r="I100" s="201">
        <f t="shared" si="5"/>
        <v>9.0788556664230229E-3</v>
      </c>
      <c r="J100" s="128"/>
      <c r="K100" s="128"/>
      <c r="L100" s="93">
        <v>8.8303666666666665</v>
      </c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</row>
    <row r="101" spans="1:24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611">
        <f t="shared" si="4"/>
        <v>264.32</v>
      </c>
      <c r="G101" s="834">
        <v>75.3</v>
      </c>
      <c r="H101" s="160">
        <v>3.5000000000000003E-2</v>
      </c>
      <c r="I101" s="201">
        <f t="shared" si="5"/>
        <v>9.9708686440677964E-3</v>
      </c>
      <c r="J101" s="128"/>
      <c r="K101" s="128"/>
      <c r="L101" s="93">
        <v>0</v>
      </c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</row>
    <row r="102" spans="1:24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611">
        <f t="shared" si="4"/>
        <v>202.70000000000002</v>
      </c>
      <c r="G102" s="834">
        <v>38</v>
      </c>
      <c r="H102" s="160">
        <v>3.5000000000000003E-2</v>
      </c>
      <c r="I102" s="201">
        <f t="shared" si="5"/>
        <v>6.5614208189442528E-3</v>
      </c>
      <c r="J102" s="128"/>
      <c r="K102" s="128"/>
      <c r="L102" s="93">
        <v>18.6996</v>
      </c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</row>
    <row r="103" spans="1:24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611">
        <f t="shared" si="4"/>
        <v>366.9</v>
      </c>
      <c r="G103" s="834">
        <v>97.5</v>
      </c>
      <c r="H103" s="160">
        <v>3.5000000000000003E-2</v>
      </c>
      <c r="I103" s="201">
        <f t="shared" si="5"/>
        <v>9.3008994276369602E-3</v>
      </c>
      <c r="J103" s="128"/>
      <c r="K103" s="128"/>
      <c r="L103" s="93">
        <v>46.229566666666663</v>
      </c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</row>
    <row r="104" spans="1:24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611">
        <f t="shared" si="4"/>
        <v>580.66999999999996</v>
      </c>
      <c r="G104" s="834">
        <v>155.30000000000001</v>
      </c>
      <c r="H104" s="160">
        <v>3.5000000000000003E-2</v>
      </c>
      <c r="I104" s="201">
        <f t="shared" si="5"/>
        <v>9.360738457299329E-3</v>
      </c>
      <c r="J104" s="128"/>
      <c r="K104" s="128"/>
      <c r="L104" s="93">
        <v>24.776970000000002</v>
      </c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</row>
    <row r="105" spans="1:24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611">
        <f t="shared" si="4"/>
        <v>612.9</v>
      </c>
      <c r="G105" s="834">
        <v>158.69999999999999</v>
      </c>
      <c r="H105" s="160">
        <v>3.5000000000000003E-2</v>
      </c>
      <c r="I105" s="201">
        <f t="shared" si="5"/>
        <v>9.0626529613313765E-3</v>
      </c>
      <c r="J105" s="128"/>
      <c r="K105" s="128"/>
      <c r="L105" s="93">
        <v>32.724299999999999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</row>
    <row r="106" spans="1:24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611">
        <f t="shared" si="4"/>
        <v>851.5</v>
      </c>
      <c r="G106" s="834">
        <v>155.4</v>
      </c>
      <c r="H106" s="160">
        <v>3.5000000000000003E-2</v>
      </c>
      <c r="I106" s="201">
        <f t="shared" si="5"/>
        <v>6.3875513799177934E-3</v>
      </c>
      <c r="J106" s="128"/>
      <c r="K106" s="128"/>
      <c r="L106" s="93">
        <v>61.29313333333333</v>
      </c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</row>
    <row r="107" spans="1:24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611">
        <f t="shared" si="4"/>
        <v>545.6</v>
      </c>
      <c r="G107" s="834">
        <v>146.69999999999999</v>
      </c>
      <c r="H107" s="160">
        <v>3.5000000000000003E-2</v>
      </c>
      <c r="I107" s="201">
        <f t="shared" si="5"/>
        <v>9.4107404692082113E-3</v>
      </c>
      <c r="J107" s="128"/>
      <c r="K107" s="128"/>
      <c r="L107" s="93">
        <v>31.166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</row>
    <row r="108" spans="1:24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611">
        <f t="shared" si="4"/>
        <v>564.81000000000006</v>
      </c>
      <c r="G108" s="834">
        <v>146.6</v>
      </c>
      <c r="H108" s="160">
        <v>3.5000000000000003E-2</v>
      </c>
      <c r="I108" s="201">
        <f t="shared" si="5"/>
        <v>9.0844708840140918E-3</v>
      </c>
      <c r="J108" s="128"/>
      <c r="K108" s="128"/>
      <c r="L108" s="93">
        <v>31.166</v>
      </c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</row>
    <row r="109" spans="1:24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611">
        <f t="shared" si="4"/>
        <v>536.25</v>
      </c>
      <c r="G109" s="834">
        <v>135.19999999999999</v>
      </c>
      <c r="H109" s="160">
        <v>3.5000000000000003E-2</v>
      </c>
      <c r="I109" s="201">
        <f t="shared" si="5"/>
        <v>8.8242424242424254E-3</v>
      </c>
      <c r="J109" s="128"/>
      <c r="K109" s="128"/>
      <c r="L109" s="93">
        <v>31.166</v>
      </c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</row>
    <row r="110" spans="1:24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611">
        <f t="shared" si="4"/>
        <v>603.17000000000007</v>
      </c>
      <c r="G110" s="834">
        <v>118.5</v>
      </c>
      <c r="H110" s="160">
        <v>3.5000000000000003E-2</v>
      </c>
      <c r="I110" s="201">
        <f t="shared" si="5"/>
        <v>6.8761708970936876E-3</v>
      </c>
      <c r="J110" s="128"/>
      <c r="K110" s="128"/>
      <c r="L110" s="93">
        <v>31.166</v>
      </c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</row>
    <row r="111" spans="1:24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611">
        <f t="shared" si="4"/>
        <v>226.9</v>
      </c>
      <c r="G111" s="834">
        <v>36.799999999999997</v>
      </c>
      <c r="H111" s="160">
        <v>3.5000000000000003E-2</v>
      </c>
      <c r="I111" s="201">
        <f t="shared" si="5"/>
        <v>5.6765094755398858E-3</v>
      </c>
      <c r="J111" s="128"/>
      <c r="K111" s="128"/>
      <c r="L111" s="93">
        <v>27.270250000000001</v>
      </c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</row>
    <row r="112" spans="1:24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611">
        <f t="shared" si="4"/>
        <v>385.59999999999997</v>
      </c>
      <c r="G112" s="834">
        <v>90.7</v>
      </c>
      <c r="H112" s="160">
        <v>3.5000000000000003E-2</v>
      </c>
      <c r="I112" s="201">
        <f t="shared" si="5"/>
        <v>8.2326244813278032E-3</v>
      </c>
      <c r="J112" s="128"/>
      <c r="K112" s="128"/>
      <c r="L112" s="93">
        <v>23.374499999999998</v>
      </c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</row>
    <row r="113" spans="1:24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611">
        <f t="shared" si="4"/>
        <v>340.18</v>
      </c>
      <c r="G113" s="834">
        <v>90.7</v>
      </c>
      <c r="H113" s="160">
        <v>3.5000000000000003E-2</v>
      </c>
      <c r="I113" s="201">
        <f t="shared" si="5"/>
        <v>9.3318243282967863E-3</v>
      </c>
      <c r="J113" s="128"/>
      <c r="K113" s="128"/>
      <c r="L113" s="93">
        <v>30.386849999999999</v>
      </c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</row>
    <row r="114" spans="1:24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611">
        <f t="shared" si="4"/>
        <v>304.7</v>
      </c>
      <c r="G114" s="834">
        <v>25.4</v>
      </c>
      <c r="H114" s="160">
        <v>3.5000000000000003E-2</v>
      </c>
      <c r="I114" s="201">
        <f t="shared" si="5"/>
        <v>2.9176238923531344E-3</v>
      </c>
      <c r="J114" s="128"/>
      <c r="K114" s="128"/>
      <c r="L114" s="93">
        <v>31.166</v>
      </c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</row>
    <row r="115" spans="1:24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611">
        <f t="shared" si="4"/>
        <v>979.97</v>
      </c>
      <c r="G115" s="834">
        <v>91.3</v>
      </c>
      <c r="H115" s="160">
        <v>3.5000000000000003E-2</v>
      </c>
      <c r="I115" s="201">
        <f t="shared" si="5"/>
        <v>3.2608141065542822E-3</v>
      </c>
      <c r="J115" s="128"/>
      <c r="K115" s="128"/>
      <c r="L115" s="93">
        <v>77.915000000000006</v>
      </c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</row>
    <row r="116" spans="1:24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611">
        <f t="shared" si="4"/>
        <v>1330.1</v>
      </c>
      <c r="G116" s="834">
        <v>180.8</v>
      </c>
      <c r="H116" s="160">
        <v>3.5000000000000003E-2</v>
      </c>
      <c r="I116" s="201">
        <f t="shared" si="5"/>
        <v>4.7575370272911824E-3</v>
      </c>
      <c r="J116" s="128"/>
      <c r="K116" s="128"/>
      <c r="L116" s="93">
        <v>151.46676000000002</v>
      </c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</row>
    <row r="117" spans="1:24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611">
        <f t="shared" si="4"/>
        <v>820.65</v>
      </c>
      <c r="G117" s="834">
        <v>250.1</v>
      </c>
      <c r="H117" s="160">
        <v>3.5000000000000003E-2</v>
      </c>
      <c r="I117" s="201">
        <f t="shared" si="5"/>
        <v>1.0666544812039238E-2</v>
      </c>
      <c r="J117" s="128"/>
      <c r="K117" s="128"/>
      <c r="L117" s="93">
        <v>74.175080000000008</v>
      </c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</row>
    <row r="118" spans="1:24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611">
        <f t="shared" si="4"/>
        <v>1463.87</v>
      </c>
      <c r="G118" s="834">
        <v>200.6</v>
      </c>
      <c r="H118" s="160">
        <v>3.5000000000000003E-2</v>
      </c>
      <c r="I118" s="201">
        <f t="shared" si="5"/>
        <v>4.7961909185924986E-3</v>
      </c>
      <c r="J118" s="128"/>
      <c r="K118" s="128"/>
      <c r="L118" s="93">
        <v>128.55975000000001</v>
      </c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</row>
    <row r="119" spans="1:24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611">
        <f t="shared" si="4"/>
        <v>595.18000000000006</v>
      </c>
      <c r="G119" s="834">
        <v>160.1</v>
      </c>
      <c r="H119" s="160">
        <v>3.5000000000000003E-2</v>
      </c>
      <c r="I119" s="201">
        <f t="shared" si="5"/>
        <v>9.4147988843711148E-3</v>
      </c>
      <c r="J119" s="128"/>
      <c r="K119" s="128"/>
      <c r="L119" s="93">
        <v>8.8303666666666665</v>
      </c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</row>
    <row r="120" spans="1:24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611">
        <f t="shared" si="4"/>
        <v>142</v>
      </c>
      <c r="G120" s="834">
        <v>10.8</v>
      </c>
      <c r="H120" s="160">
        <v>3.5000000000000003E-2</v>
      </c>
      <c r="I120" s="201">
        <f t="shared" si="5"/>
        <v>2.6619718309859159E-3</v>
      </c>
      <c r="J120" s="128"/>
      <c r="K120" s="128"/>
      <c r="L120" s="93">
        <v>21.037050000000001</v>
      </c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</row>
    <row r="121" spans="1:24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611">
        <f t="shared" si="4"/>
        <v>576.93999999999994</v>
      </c>
      <c r="G121" s="834">
        <v>220</v>
      </c>
      <c r="H121" s="160">
        <v>3.5000000000000003E-2</v>
      </c>
      <c r="I121" s="201">
        <f t="shared" si="5"/>
        <v>1.3346275175928176E-2</v>
      </c>
      <c r="J121" s="128"/>
      <c r="K121" s="128"/>
      <c r="L121" s="93">
        <v>49.865600000000001</v>
      </c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</row>
    <row r="122" spans="1:24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611">
        <f t="shared" si="4"/>
        <v>587.76</v>
      </c>
      <c r="G122" s="834">
        <v>280</v>
      </c>
      <c r="H122" s="160">
        <v>3.5000000000000003E-2</v>
      </c>
      <c r="I122" s="201">
        <f t="shared" si="5"/>
        <v>1.6673472165509733E-2</v>
      </c>
      <c r="J122" s="128"/>
      <c r="K122" s="128"/>
      <c r="L122" s="93">
        <v>25.971666666666664</v>
      </c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</row>
    <row r="123" spans="1:24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611">
        <f t="shared" si="4"/>
        <v>1891.7</v>
      </c>
      <c r="G123" s="834">
        <v>39.9</v>
      </c>
      <c r="H123" s="160">
        <v>3.5000000000000003E-2</v>
      </c>
      <c r="I123" s="201">
        <f t="shared" si="5"/>
        <v>7.3822487709467673E-4</v>
      </c>
      <c r="J123" s="128"/>
      <c r="K123" s="128"/>
      <c r="L123" s="93">
        <v>114.27533333333334</v>
      </c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</row>
    <row r="124" spans="1:24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611">
        <f t="shared" si="4"/>
        <v>262.7</v>
      </c>
      <c r="G124" s="834">
        <v>174</v>
      </c>
      <c r="H124" s="160">
        <v>3.5000000000000003E-2</v>
      </c>
      <c r="I124" s="201">
        <f t="shared" si="5"/>
        <v>2.3182337266844311E-2</v>
      </c>
      <c r="J124" s="128"/>
      <c r="K124" s="128"/>
      <c r="L124" s="93">
        <v>12.985833333333332</v>
      </c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</row>
    <row r="125" spans="1:24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611">
        <f t="shared" si="4"/>
        <v>1857.4</v>
      </c>
      <c r="G125" s="834">
        <v>174</v>
      </c>
      <c r="H125" s="160">
        <v>3.5000000000000003E-2</v>
      </c>
      <c r="I125" s="201">
        <f t="shared" si="5"/>
        <v>3.2787767847528805E-3</v>
      </c>
      <c r="J125" s="128"/>
      <c r="K125" s="128"/>
      <c r="L125" s="93">
        <v>148.0385</v>
      </c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</row>
    <row r="126" spans="1:24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611">
        <f t="shared" si="4"/>
        <v>2470.1999999999998</v>
      </c>
      <c r="G126" s="834">
        <v>74.599999999999994</v>
      </c>
      <c r="H126" s="160">
        <v>3.5000000000000003E-2</v>
      </c>
      <c r="I126" s="201">
        <f t="shared" si="5"/>
        <v>1.0569994332442719E-3</v>
      </c>
      <c r="J126" s="128"/>
      <c r="K126" s="128"/>
      <c r="L126" s="93">
        <v>285.68833333333333</v>
      </c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</row>
    <row r="127" spans="1:24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611">
        <f t="shared" si="4"/>
        <v>121.8</v>
      </c>
      <c r="G127" s="834">
        <v>146.69999999999999</v>
      </c>
      <c r="H127" s="160">
        <v>3.5000000000000003E-2</v>
      </c>
      <c r="I127" s="201">
        <f t="shared" si="5"/>
        <v>4.2155172413793102E-2</v>
      </c>
      <c r="J127" s="128"/>
      <c r="K127" s="128"/>
      <c r="L127" s="93">
        <v>5.7137666666666664</v>
      </c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</row>
    <row r="128" spans="1:24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611">
        <f t="shared" si="4"/>
        <v>1831.3</v>
      </c>
      <c r="G128" s="834">
        <v>128.5</v>
      </c>
      <c r="H128" s="160">
        <v>3.5000000000000003E-2</v>
      </c>
      <c r="I128" s="201">
        <f t="shared" si="5"/>
        <v>2.4559056408016166E-3</v>
      </c>
      <c r="J128" s="128"/>
      <c r="K128" s="128"/>
      <c r="L128" s="93">
        <v>128.55975000000001</v>
      </c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</row>
    <row r="129" spans="1:24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611">
        <f t="shared" si="4"/>
        <v>1844.3</v>
      </c>
      <c r="G129" s="834">
        <v>88.3</v>
      </c>
      <c r="H129" s="160">
        <v>3.5000000000000003E-2</v>
      </c>
      <c r="I129" s="201">
        <f t="shared" si="5"/>
        <v>1.6757035189502792E-3</v>
      </c>
      <c r="J129" s="128"/>
      <c r="K129" s="128"/>
      <c r="L129" s="93">
        <v>103.88666666666666</v>
      </c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</row>
    <row r="130" spans="1:24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611">
        <f t="shared" si="4"/>
        <v>193.76</v>
      </c>
      <c r="G130" s="834">
        <v>71.2</v>
      </c>
      <c r="H130" s="160">
        <v>3.5000000000000003E-2</v>
      </c>
      <c r="I130" s="201">
        <f t="shared" si="5"/>
        <v>1.286127167630058E-2</v>
      </c>
      <c r="J130" s="128"/>
      <c r="K130" s="128"/>
      <c r="L130" s="93">
        <v>8.5706499999999988</v>
      </c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</row>
    <row r="131" spans="1:24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611">
        <f t="shared" si="4"/>
        <v>1841.4</v>
      </c>
      <c r="G131" s="834">
        <v>44.5</v>
      </c>
      <c r="H131" s="160">
        <v>3.5000000000000003E-2</v>
      </c>
      <c r="I131" s="201">
        <f t="shared" si="5"/>
        <v>8.4582382969479745E-4</v>
      </c>
      <c r="J131" s="128"/>
      <c r="K131" s="128"/>
      <c r="L131" s="93">
        <v>167.77696666666665</v>
      </c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</row>
    <row r="132" spans="1:24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611">
        <f t="shared" si="4"/>
        <v>262.3</v>
      </c>
      <c r="G132" s="834">
        <v>201.3</v>
      </c>
      <c r="H132" s="160">
        <v>3.5000000000000003E-2</v>
      </c>
      <c r="I132" s="201">
        <f t="shared" si="5"/>
        <v>2.6860465116279073E-2</v>
      </c>
      <c r="J132" s="128"/>
      <c r="K132" s="128"/>
      <c r="L132" s="93">
        <v>44.93098333333333</v>
      </c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</row>
    <row r="133" spans="1:24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611">
        <f t="shared" si="4"/>
        <v>94.7</v>
      </c>
      <c r="G133" s="834">
        <v>38.799999999999997</v>
      </c>
      <c r="H133" s="160">
        <v>3.5000000000000003E-2</v>
      </c>
      <c r="I133" s="201">
        <f t="shared" si="5"/>
        <v>1.4340021119324182E-2</v>
      </c>
      <c r="J133" s="128"/>
      <c r="K133" s="128"/>
      <c r="L133" s="93">
        <v>5.4540499999999996</v>
      </c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</row>
    <row r="134" spans="1:24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611">
        <f t="shared" si="4"/>
        <v>38</v>
      </c>
      <c r="G134" s="834">
        <v>33.6</v>
      </c>
      <c r="H134" s="160">
        <v>3.5000000000000003E-2</v>
      </c>
      <c r="I134" s="201">
        <f t="shared" si="5"/>
        <v>3.0947368421052637E-2</v>
      </c>
      <c r="J134" s="128"/>
      <c r="K134" s="128"/>
      <c r="L134" s="93">
        <v>0.64929166666666671</v>
      </c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</row>
    <row r="135" spans="1:24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611">
        <f t="shared" si="4"/>
        <v>1812.3999999999999</v>
      </c>
      <c r="G135" s="834">
        <v>84.1</v>
      </c>
      <c r="H135" s="160">
        <v>3.5000000000000003E-2</v>
      </c>
      <c r="I135" s="201">
        <f t="shared" si="5"/>
        <v>1.6240896049437212E-3</v>
      </c>
      <c r="J135" s="128"/>
      <c r="K135" s="128"/>
      <c r="L135" s="93">
        <v>125.96258333333331</v>
      </c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</row>
    <row r="136" spans="1:24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611">
        <f t="shared" si="4"/>
        <v>155.80000000000001</v>
      </c>
      <c r="G136" s="834">
        <v>30.8</v>
      </c>
      <c r="H136" s="160">
        <v>3.5000000000000003E-2</v>
      </c>
      <c r="I136" s="201">
        <f t="shared" si="5"/>
        <v>6.9191270860077024E-3</v>
      </c>
      <c r="J136" s="128"/>
      <c r="K136" s="128"/>
      <c r="L136" s="93">
        <v>25.971666666666664</v>
      </c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</row>
    <row r="137" spans="1:24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611">
        <f t="shared" si="4"/>
        <v>378.1</v>
      </c>
      <c r="G137" s="834">
        <v>137.80000000000001</v>
      </c>
      <c r="H137" s="160">
        <v>3.5000000000000003E-2</v>
      </c>
      <c r="I137" s="201">
        <f t="shared" si="5"/>
        <v>1.2755884686590852E-2</v>
      </c>
      <c r="J137" s="128"/>
      <c r="K137" s="128"/>
      <c r="L137" s="93">
        <v>38.438066666666664</v>
      </c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</row>
    <row r="138" spans="1:24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611">
        <f t="shared" si="4"/>
        <v>120.9</v>
      </c>
      <c r="G138" s="834">
        <v>18.2</v>
      </c>
      <c r="H138" s="160">
        <v>3.5000000000000003E-2</v>
      </c>
      <c r="I138" s="201">
        <f t="shared" si="5"/>
        <v>5.2688172043010755E-3</v>
      </c>
      <c r="J138" s="128"/>
      <c r="K138" s="128"/>
      <c r="L138" s="93">
        <v>0</v>
      </c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</row>
    <row r="139" spans="1:24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611">
        <f t="shared" si="4"/>
        <v>2549</v>
      </c>
      <c r="G139" s="834">
        <v>411.2</v>
      </c>
      <c r="H139" s="160">
        <v>3.5000000000000003E-2</v>
      </c>
      <c r="I139" s="201">
        <f t="shared" si="5"/>
        <v>5.6461357395056894E-3</v>
      </c>
      <c r="J139" s="128"/>
      <c r="K139" s="128"/>
      <c r="L139" s="93">
        <v>298.67416666666668</v>
      </c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</row>
    <row r="140" spans="1:24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611">
        <f t="shared" si="4"/>
        <v>2593.29</v>
      </c>
      <c r="G140" s="834">
        <v>415.9</v>
      </c>
      <c r="H140" s="160">
        <v>3.5000000000000003E-2</v>
      </c>
      <c r="I140" s="201">
        <f t="shared" si="5"/>
        <v>5.613140065322428E-3</v>
      </c>
      <c r="J140" s="128"/>
      <c r="K140" s="128"/>
      <c r="L140" s="93">
        <v>259.45695000000001</v>
      </c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</row>
    <row r="141" spans="1:24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611">
        <f t="shared" si="4"/>
        <v>385.82</v>
      </c>
      <c r="G141" s="834">
        <v>111.4</v>
      </c>
      <c r="H141" s="160">
        <v>3.5000000000000003E-2</v>
      </c>
      <c r="I141" s="201">
        <f t="shared" si="5"/>
        <v>1.0105748794774766E-2</v>
      </c>
      <c r="J141" s="128"/>
      <c r="K141" s="128"/>
      <c r="L141" s="93">
        <v>0</v>
      </c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</row>
    <row r="142" spans="1:24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611">
        <f t="shared" si="4"/>
        <v>1699.75</v>
      </c>
      <c r="G142" s="834">
        <v>110.2</v>
      </c>
      <c r="H142" s="160">
        <v>3.5000000000000003E-2</v>
      </c>
      <c r="I142" s="201">
        <f t="shared" si="5"/>
        <v>2.2691572290042656E-3</v>
      </c>
      <c r="J142" s="128"/>
      <c r="K142" s="128"/>
      <c r="L142" s="93">
        <v>191.67089999999999</v>
      </c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</row>
    <row r="143" spans="1:24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611">
        <f t="shared" si="4"/>
        <v>224.06</v>
      </c>
      <c r="G143" s="834">
        <v>37.9</v>
      </c>
      <c r="H143" s="160">
        <v>3.5000000000000003E-2</v>
      </c>
      <c r="I143" s="201">
        <f t="shared" si="5"/>
        <v>5.920289208247791E-3</v>
      </c>
      <c r="J143" s="128"/>
      <c r="K143" s="128"/>
      <c r="L143" s="93">
        <v>29.347983333333332</v>
      </c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</row>
    <row r="144" spans="1:24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611">
        <f t="shared" ref="F144:F206" si="6">C144+D144+E144</f>
        <v>138.9</v>
      </c>
      <c r="G144" s="834">
        <v>55</v>
      </c>
      <c r="H144" s="160">
        <v>3.5000000000000003E-2</v>
      </c>
      <c r="I144" s="201">
        <f t="shared" si="5"/>
        <v>1.3858891288696905E-2</v>
      </c>
      <c r="J144" s="128"/>
      <c r="K144" s="128"/>
      <c r="L144" s="93">
        <v>11.427533333333333</v>
      </c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</row>
    <row r="145" spans="1:24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611">
        <f t="shared" si="6"/>
        <v>8410.83</v>
      </c>
      <c r="G145" s="834">
        <v>695.7</v>
      </c>
      <c r="H145" s="160">
        <v>3.5000000000000003E-2</v>
      </c>
      <c r="I145" s="201">
        <f t="shared" si="5"/>
        <v>2.8950174953007021E-3</v>
      </c>
      <c r="J145" s="128"/>
      <c r="K145" s="128"/>
      <c r="L145" s="93">
        <v>153.23283333333333</v>
      </c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</row>
    <row r="146" spans="1:24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611">
        <f t="shared" si="6"/>
        <v>953.56</v>
      </c>
      <c r="G146" s="834">
        <v>130</v>
      </c>
      <c r="H146" s="160">
        <v>3.5000000000000003E-2</v>
      </c>
      <c r="I146" s="201">
        <f t="shared" si="5"/>
        <v>4.7715927681530271E-3</v>
      </c>
      <c r="J146" s="128"/>
      <c r="K146" s="128"/>
      <c r="L146" s="93">
        <v>46.748999999999995</v>
      </c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</row>
    <row r="147" spans="1:24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611">
        <f t="shared" si="6"/>
        <v>1720.1</v>
      </c>
      <c r="G147" s="834">
        <v>250</v>
      </c>
      <c r="H147" s="160">
        <v>3.5000000000000003E-2</v>
      </c>
      <c r="I147" s="201">
        <f t="shared" si="5"/>
        <v>5.086913551537702E-3</v>
      </c>
      <c r="J147" s="128"/>
      <c r="K147" s="128"/>
      <c r="L147" s="93">
        <v>66.487466666666663</v>
      </c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</row>
    <row r="148" spans="1:24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611">
        <f t="shared" si="6"/>
        <v>1033.02</v>
      </c>
      <c r="G148" s="834">
        <v>255.2</v>
      </c>
      <c r="H148" s="160">
        <v>3.5000000000000003E-2</v>
      </c>
      <c r="I148" s="201">
        <f t="shared" si="5"/>
        <v>8.6464928074964677E-3</v>
      </c>
      <c r="J148" s="128"/>
      <c r="K148" s="128"/>
      <c r="L148" s="93">
        <v>109.081</v>
      </c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</row>
    <row r="149" spans="1:24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611">
        <f t="shared" si="6"/>
        <v>220.38</v>
      </c>
      <c r="G149" s="834">
        <v>55.2</v>
      </c>
      <c r="H149" s="160">
        <v>3.5000000000000003E-2</v>
      </c>
      <c r="I149" s="201">
        <f t="shared" si="5"/>
        <v>8.7666757419003552E-3</v>
      </c>
      <c r="J149" s="128"/>
      <c r="K149" s="128"/>
      <c r="L149" s="93">
        <v>24.673083333333334</v>
      </c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</row>
    <row r="150" spans="1:24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611">
        <f t="shared" si="6"/>
        <v>1973.5500000000002</v>
      </c>
      <c r="G150" s="834">
        <v>407.9</v>
      </c>
      <c r="H150" s="160">
        <v>3.5000000000000003E-2</v>
      </c>
      <c r="I150" s="201">
        <f t="shared" si="5"/>
        <v>7.233918573129639E-3</v>
      </c>
      <c r="J150" s="128"/>
      <c r="K150" s="128"/>
      <c r="L150" s="93">
        <v>124.664</v>
      </c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</row>
    <row r="151" spans="1:24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611">
        <f t="shared" si="6"/>
        <v>1290.5</v>
      </c>
      <c r="G151" s="834">
        <v>302.10000000000002</v>
      </c>
      <c r="H151" s="160">
        <v>3.5000000000000003E-2</v>
      </c>
      <c r="I151" s="201">
        <f t="shared" si="5"/>
        <v>8.1933359163115088E-3</v>
      </c>
      <c r="J151" s="128"/>
      <c r="K151" s="128"/>
      <c r="L151" s="93">
        <v>129.59861666666666</v>
      </c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</row>
    <row r="152" spans="1:24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611">
        <f t="shared" si="6"/>
        <v>231.77</v>
      </c>
      <c r="G152" s="834">
        <v>93.3</v>
      </c>
      <c r="H152" s="160">
        <v>3.5000000000000003E-2</v>
      </c>
      <c r="I152" s="201">
        <f t="shared" si="5"/>
        <v>1.4089398973119904E-2</v>
      </c>
      <c r="J152" s="128"/>
      <c r="K152" s="128"/>
      <c r="L152" s="93">
        <v>30.906283333333334</v>
      </c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</row>
    <row r="153" spans="1:24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611">
        <f t="shared" si="6"/>
        <v>1422.83</v>
      </c>
      <c r="G153" s="834">
        <v>299.2</v>
      </c>
      <c r="H153" s="160">
        <v>3.5000000000000003E-2</v>
      </c>
      <c r="I153" s="201">
        <f t="shared" si="5"/>
        <v>7.3599797586500161E-3</v>
      </c>
      <c r="J153" s="128"/>
      <c r="K153" s="128"/>
      <c r="L153" s="93">
        <v>98.692333333333337</v>
      </c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</row>
    <row r="154" spans="1:24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611">
        <f t="shared" si="6"/>
        <v>377.6</v>
      </c>
      <c r="G154" s="834">
        <v>51.7</v>
      </c>
      <c r="H154" s="160">
        <v>3.5000000000000003E-2</v>
      </c>
      <c r="I154" s="201">
        <f t="shared" si="5"/>
        <v>4.792108050847458E-3</v>
      </c>
      <c r="J154" s="128"/>
      <c r="K154" s="128"/>
      <c r="L154" s="93">
        <v>61.812566666666669</v>
      </c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</row>
    <row r="155" spans="1:24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611">
        <f t="shared" si="6"/>
        <v>1852.5099999999998</v>
      </c>
      <c r="G155" s="834">
        <v>372.9</v>
      </c>
      <c r="H155" s="160">
        <v>3.5000000000000003E-2</v>
      </c>
      <c r="I155" s="201">
        <f t="shared" si="5"/>
        <v>7.0453060982126961E-3</v>
      </c>
      <c r="J155" s="128"/>
      <c r="K155" s="128"/>
      <c r="L155" s="93">
        <v>186.99599999999998</v>
      </c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</row>
    <row r="156" spans="1:24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611">
        <f t="shared" si="6"/>
        <v>2010.19</v>
      </c>
      <c r="G156" s="834">
        <v>257.60000000000002</v>
      </c>
      <c r="H156" s="160">
        <v>3.5000000000000003E-2</v>
      </c>
      <c r="I156" s="201">
        <f t="shared" ref="I156:I219" si="7">G156*H156/F156</f>
        <v>4.4851481700734766E-3</v>
      </c>
      <c r="J156" s="128"/>
      <c r="K156" s="128"/>
      <c r="L156" s="93">
        <v>186.99599999999998</v>
      </c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</row>
    <row r="157" spans="1:24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611">
        <f t="shared" si="6"/>
        <v>1464.32</v>
      </c>
      <c r="G157" s="834">
        <v>308</v>
      </c>
      <c r="H157" s="160">
        <v>3.5000000000000003E-2</v>
      </c>
      <c r="I157" s="201">
        <f t="shared" si="7"/>
        <v>7.3617788461538469E-3</v>
      </c>
      <c r="J157" s="128"/>
      <c r="K157" s="128"/>
      <c r="L157" s="93">
        <v>127.26116666666665</v>
      </c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</row>
    <row r="158" spans="1:24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611">
        <f t="shared" si="6"/>
        <v>152.11000000000001</v>
      </c>
      <c r="G158" s="834">
        <v>60.9</v>
      </c>
      <c r="H158" s="160">
        <v>3.5000000000000003E-2</v>
      </c>
      <c r="I158" s="201">
        <f t="shared" si="7"/>
        <v>1.4012885411872985E-2</v>
      </c>
      <c r="J158" s="128"/>
      <c r="K158" s="128"/>
      <c r="L158" s="93">
        <v>0</v>
      </c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</row>
    <row r="159" spans="1:24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611">
        <f t="shared" si="6"/>
        <v>2553.5700000000002</v>
      </c>
      <c r="G159" s="834">
        <v>157.1</v>
      </c>
      <c r="H159" s="160">
        <v>3.5000000000000003E-2</v>
      </c>
      <c r="I159" s="201">
        <f t="shared" si="7"/>
        <v>2.1532599458796899E-3</v>
      </c>
      <c r="J159" s="128"/>
      <c r="K159" s="128"/>
      <c r="L159" s="93">
        <v>276.59824999999995</v>
      </c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</row>
    <row r="160" spans="1:24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611">
        <f t="shared" si="6"/>
        <v>101.99</v>
      </c>
      <c r="G160" s="834">
        <v>80</v>
      </c>
      <c r="H160" s="160">
        <v>3.5000000000000003E-2</v>
      </c>
      <c r="I160" s="201">
        <f t="shared" si="7"/>
        <v>2.7453671928620457E-2</v>
      </c>
      <c r="J160" s="128"/>
      <c r="K160" s="128"/>
      <c r="L160" s="93">
        <v>0</v>
      </c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</row>
    <row r="161" spans="1:24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611">
        <f t="shared" si="6"/>
        <v>166.1</v>
      </c>
      <c r="G161" s="834">
        <v>85.3</v>
      </c>
      <c r="H161" s="160">
        <v>3.5000000000000003E-2</v>
      </c>
      <c r="I161" s="201">
        <f t="shared" si="7"/>
        <v>1.7974111980734498E-2</v>
      </c>
      <c r="J161" s="128"/>
      <c r="K161" s="128"/>
      <c r="L161" s="93">
        <v>0</v>
      </c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</row>
    <row r="162" spans="1:24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611">
        <f t="shared" si="6"/>
        <v>315.39999999999998</v>
      </c>
      <c r="G162" s="834">
        <v>70</v>
      </c>
      <c r="H162" s="160">
        <v>3.5000000000000003E-2</v>
      </c>
      <c r="I162" s="201">
        <f t="shared" si="7"/>
        <v>7.7679137603043763E-3</v>
      </c>
      <c r="J162" s="128"/>
      <c r="K162" s="128"/>
      <c r="L162" s="93">
        <v>0</v>
      </c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</row>
    <row r="163" spans="1:24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611">
        <f t="shared" si="6"/>
        <v>1497.91</v>
      </c>
      <c r="G163" s="834">
        <v>18.600000000000001</v>
      </c>
      <c r="H163" s="160">
        <v>3.5000000000000003E-2</v>
      </c>
      <c r="I163" s="201">
        <f t="shared" si="7"/>
        <v>4.3460555040022438E-4</v>
      </c>
      <c r="J163" s="128"/>
      <c r="K163" s="128"/>
      <c r="L163" s="93">
        <v>158.42716666666666</v>
      </c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</row>
    <row r="164" spans="1:24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611">
        <f t="shared" si="6"/>
        <v>165.93</v>
      </c>
      <c r="G164" s="834">
        <v>28.4</v>
      </c>
      <c r="H164" s="160">
        <v>3.5000000000000003E-2</v>
      </c>
      <c r="I164" s="201">
        <f t="shared" si="7"/>
        <v>5.9904779123726871E-3</v>
      </c>
      <c r="J164" s="128"/>
      <c r="K164" s="128"/>
      <c r="L164" s="93">
        <v>0</v>
      </c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</row>
    <row r="165" spans="1:24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611">
        <f t="shared" si="6"/>
        <v>977.29000000000008</v>
      </c>
      <c r="G165" s="834">
        <v>70.7</v>
      </c>
      <c r="H165" s="160">
        <v>3.5000000000000003E-2</v>
      </c>
      <c r="I165" s="201">
        <f t="shared" si="7"/>
        <v>2.5320017599688937E-3</v>
      </c>
      <c r="J165" s="128"/>
      <c r="K165" s="128"/>
      <c r="L165" s="93">
        <v>32.204866666666668</v>
      </c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</row>
    <row r="166" spans="1:24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611">
        <f t="shared" si="6"/>
        <v>144.9</v>
      </c>
      <c r="G166" s="834">
        <v>34.9</v>
      </c>
      <c r="H166" s="160">
        <v>3.5000000000000003E-2</v>
      </c>
      <c r="I166" s="201">
        <f t="shared" si="7"/>
        <v>8.4299516908212559E-3</v>
      </c>
      <c r="J166" s="128"/>
      <c r="K166" s="128"/>
      <c r="L166" s="93">
        <v>0</v>
      </c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</row>
    <row r="167" spans="1:24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611">
        <f t="shared" si="6"/>
        <v>231.9</v>
      </c>
      <c r="G167" s="834">
        <v>30</v>
      </c>
      <c r="H167" s="160">
        <v>3.5000000000000003E-2</v>
      </c>
      <c r="I167" s="201">
        <f t="shared" si="7"/>
        <v>4.527813712807245E-3</v>
      </c>
      <c r="J167" s="128"/>
      <c r="K167" s="128"/>
      <c r="L167" s="93">
        <v>0</v>
      </c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</row>
    <row r="168" spans="1:24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611">
        <f t="shared" si="6"/>
        <v>3146.6</v>
      </c>
      <c r="G168" s="834">
        <v>347.2</v>
      </c>
      <c r="H168" s="160">
        <v>3.5000000000000003E-2</v>
      </c>
      <c r="I168" s="201">
        <f t="shared" si="7"/>
        <v>3.8619462276743154E-3</v>
      </c>
      <c r="J168" s="128"/>
      <c r="K168" s="128"/>
      <c r="L168" s="93">
        <v>414.24808333333328</v>
      </c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</row>
    <row r="169" spans="1:24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611">
        <f t="shared" si="6"/>
        <v>848.35</v>
      </c>
      <c r="G169" s="834">
        <v>104.7</v>
      </c>
      <c r="H169" s="160">
        <v>3.5000000000000003E-2</v>
      </c>
      <c r="I169" s="201">
        <f t="shared" si="7"/>
        <v>4.3195615017386692E-3</v>
      </c>
      <c r="J169" s="128"/>
      <c r="K169" s="128"/>
      <c r="L169" s="93">
        <v>22.075916666666664</v>
      </c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</row>
    <row r="170" spans="1:24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611">
        <f t="shared" si="6"/>
        <v>885.4</v>
      </c>
      <c r="G170" s="834">
        <v>81.8</v>
      </c>
      <c r="H170" s="160">
        <v>3.5000000000000003E-2</v>
      </c>
      <c r="I170" s="201">
        <f t="shared" si="7"/>
        <v>3.2335667494917553E-3</v>
      </c>
      <c r="J170" s="128"/>
      <c r="K170" s="128"/>
      <c r="L170" s="93">
        <v>12.4664</v>
      </c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</row>
    <row r="171" spans="1:24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611">
        <f t="shared" si="6"/>
        <v>877.79</v>
      </c>
      <c r="G171" s="834">
        <v>89.6</v>
      </c>
      <c r="H171" s="160">
        <v>3.5000000000000003E-2</v>
      </c>
      <c r="I171" s="201">
        <f t="shared" si="7"/>
        <v>3.5726084826666975E-3</v>
      </c>
      <c r="J171" s="128"/>
      <c r="K171" s="128"/>
      <c r="L171" s="93">
        <v>17.141299999999998</v>
      </c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</row>
    <row r="172" spans="1:24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611">
        <f t="shared" si="6"/>
        <v>949.9</v>
      </c>
      <c r="G172" s="834">
        <v>67</v>
      </c>
      <c r="H172" s="160">
        <v>3.5000000000000003E-2</v>
      </c>
      <c r="I172" s="201">
        <f t="shared" si="7"/>
        <v>2.4686809137803981E-3</v>
      </c>
      <c r="J172" s="128"/>
      <c r="K172" s="128"/>
      <c r="L172" s="93">
        <v>34.022883333333333</v>
      </c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</row>
    <row r="173" spans="1:24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611">
        <f t="shared" si="6"/>
        <v>1056</v>
      </c>
      <c r="G173" s="834">
        <v>123.2</v>
      </c>
      <c r="H173" s="160">
        <v>3.5000000000000003E-2</v>
      </c>
      <c r="I173" s="201">
        <f t="shared" si="7"/>
        <v>4.0833333333333338E-3</v>
      </c>
      <c r="J173" s="128"/>
      <c r="K173" s="128"/>
      <c r="L173" s="93">
        <v>18.180166666666668</v>
      </c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</row>
    <row r="174" spans="1:24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611">
        <f t="shared" si="6"/>
        <v>998.3</v>
      </c>
      <c r="G174" s="834">
        <v>143.19999999999999</v>
      </c>
      <c r="H174" s="160">
        <v>3.5000000000000003E-2</v>
      </c>
      <c r="I174" s="201">
        <f t="shared" si="7"/>
        <v>5.0205349093458886E-3</v>
      </c>
      <c r="J174" s="128"/>
      <c r="K174" s="128"/>
      <c r="L174" s="93">
        <v>22.075916666666664</v>
      </c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</row>
    <row r="175" spans="1:24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611">
        <f t="shared" si="6"/>
        <v>304</v>
      </c>
      <c r="G175" s="834">
        <v>23.7</v>
      </c>
      <c r="H175" s="160">
        <v>3.5000000000000003E-2</v>
      </c>
      <c r="I175" s="201">
        <f t="shared" si="7"/>
        <v>2.7286184210526315E-3</v>
      </c>
      <c r="J175" s="128"/>
      <c r="K175" s="128"/>
      <c r="L175" s="93">
        <v>42.853249999999996</v>
      </c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</row>
    <row r="176" spans="1:24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611">
        <f t="shared" si="6"/>
        <v>1347.46</v>
      </c>
      <c r="G176" s="834">
        <v>123.5</v>
      </c>
      <c r="H176" s="160">
        <v>3.5000000000000003E-2</v>
      </c>
      <c r="I176" s="201">
        <f t="shared" si="7"/>
        <v>3.2078874326510625E-3</v>
      </c>
      <c r="J176" s="128"/>
      <c r="K176" s="128"/>
      <c r="L176" s="93">
        <v>12.4664</v>
      </c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</row>
    <row r="177" spans="1:24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611">
        <f t="shared" si="6"/>
        <v>930.9</v>
      </c>
      <c r="G177" s="834">
        <v>142.6</v>
      </c>
      <c r="H177" s="160">
        <v>3.5000000000000003E-2</v>
      </c>
      <c r="I177" s="201">
        <f t="shared" si="7"/>
        <v>5.361478139434956E-3</v>
      </c>
      <c r="J177" s="128"/>
      <c r="K177" s="128"/>
      <c r="L177" s="93">
        <v>13.24555</v>
      </c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</row>
    <row r="178" spans="1:24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611">
        <f t="shared" si="6"/>
        <v>791.4</v>
      </c>
      <c r="G178" s="834">
        <v>119.9</v>
      </c>
      <c r="H178" s="160">
        <v>3.5000000000000003E-2</v>
      </c>
      <c r="I178" s="201">
        <f t="shared" si="7"/>
        <v>5.3026282537275721E-3</v>
      </c>
      <c r="J178" s="128"/>
      <c r="K178" s="128"/>
      <c r="L178" s="93">
        <v>44.151833333333329</v>
      </c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</row>
    <row r="179" spans="1:24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611">
        <f t="shared" si="6"/>
        <v>574.42999999999995</v>
      </c>
      <c r="G179" s="834">
        <v>114.1</v>
      </c>
      <c r="H179" s="160">
        <v>3.5000000000000003E-2</v>
      </c>
      <c r="I179" s="201">
        <f t="shared" si="7"/>
        <v>6.9521090472294284E-3</v>
      </c>
      <c r="J179" s="128"/>
      <c r="K179" s="128"/>
      <c r="L179" s="93">
        <v>32.46458333333333</v>
      </c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</row>
    <row r="180" spans="1:24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611">
        <f t="shared" si="6"/>
        <v>326.89999999999998</v>
      </c>
      <c r="G180" s="834">
        <v>71.099999999999994</v>
      </c>
      <c r="H180" s="160">
        <v>3.5000000000000003E-2</v>
      </c>
      <c r="I180" s="201">
        <f t="shared" si="7"/>
        <v>7.6124197002141337E-3</v>
      </c>
      <c r="J180" s="128"/>
      <c r="K180" s="128"/>
      <c r="L180" s="93">
        <v>9.0381399999999985</v>
      </c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</row>
    <row r="181" spans="1:24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611">
        <f t="shared" si="6"/>
        <v>323.60000000000002</v>
      </c>
      <c r="G181" s="834">
        <v>74.2</v>
      </c>
      <c r="H181" s="160">
        <v>3.5000000000000003E-2</v>
      </c>
      <c r="I181" s="201">
        <f t="shared" si="7"/>
        <v>8.0253399258343634E-3</v>
      </c>
      <c r="J181" s="128"/>
      <c r="K181" s="128"/>
      <c r="L181" s="93">
        <v>14.803849999999999</v>
      </c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</row>
    <row r="182" spans="1:24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611">
        <f t="shared" si="6"/>
        <v>483.2</v>
      </c>
      <c r="G182" s="834">
        <v>24.9</v>
      </c>
      <c r="H182" s="160">
        <v>3.5000000000000003E-2</v>
      </c>
      <c r="I182" s="201">
        <f t="shared" si="7"/>
        <v>1.8036009933774836E-3</v>
      </c>
      <c r="J182" s="128"/>
      <c r="K182" s="128"/>
      <c r="L182" s="93">
        <v>76.616416666666666</v>
      </c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</row>
    <row r="183" spans="1:24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611">
        <f t="shared" si="6"/>
        <v>408.2</v>
      </c>
      <c r="G183" s="834">
        <v>80.8</v>
      </c>
      <c r="H183" s="160">
        <v>3.5000000000000003E-2</v>
      </c>
      <c r="I183" s="201">
        <f t="shared" si="7"/>
        <v>6.9279764821166103E-3</v>
      </c>
      <c r="J183" s="128"/>
      <c r="K183" s="128"/>
      <c r="L183" s="93">
        <v>67.006899999999987</v>
      </c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</row>
    <row r="184" spans="1:24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611">
        <f t="shared" si="6"/>
        <v>482.97</v>
      </c>
      <c r="G184" s="834">
        <v>45.1</v>
      </c>
      <c r="H184" s="160">
        <v>3.5000000000000003E-2</v>
      </c>
      <c r="I184" s="201">
        <f t="shared" si="7"/>
        <v>3.2683189432055823E-3</v>
      </c>
      <c r="J184" s="128"/>
      <c r="K184" s="128"/>
      <c r="L184" s="93">
        <v>71.681799999999996</v>
      </c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</row>
    <row r="185" spans="1:24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611">
        <f t="shared" si="6"/>
        <v>699.05</v>
      </c>
      <c r="G185" s="834">
        <v>101.4</v>
      </c>
      <c r="H185" s="160">
        <v>3.5000000000000003E-2</v>
      </c>
      <c r="I185" s="201">
        <f t="shared" si="7"/>
        <v>5.0768900650883355E-3</v>
      </c>
      <c r="J185" s="128"/>
      <c r="K185" s="128"/>
      <c r="L185" s="93">
        <v>112.45731666666667</v>
      </c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</row>
    <row r="186" spans="1:24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611">
        <f t="shared" si="6"/>
        <v>6095.81</v>
      </c>
      <c r="G186" s="834">
        <v>599.4</v>
      </c>
      <c r="H186" s="160">
        <v>3.5000000000000003E-2</v>
      </c>
      <c r="I186" s="201">
        <f t="shared" si="7"/>
        <v>3.4415442738536801E-3</v>
      </c>
      <c r="J186" s="128"/>
      <c r="K186" s="128"/>
      <c r="L186" s="93">
        <v>319.45149999999995</v>
      </c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</row>
    <row r="187" spans="1:24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611">
        <f t="shared" si="6"/>
        <v>166.2</v>
      </c>
      <c r="G187" s="834">
        <v>72</v>
      </c>
      <c r="H187" s="160">
        <v>3.5000000000000003E-2</v>
      </c>
      <c r="I187" s="201">
        <f t="shared" si="7"/>
        <v>1.5162454873646213E-2</v>
      </c>
      <c r="J187" s="128"/>
      <c r="K187" s="128"/>
      <c r="L187" s="93">
        <v>28.309116666666668</v>
      </c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</row>
    <row r="188" spans="1:24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611">
        <f t="shared" si="6"/>
        <v>273.2</v>
      </c>
      <c r="G188" s="834">
        <v>87.3</v>
      </c>
      <c r="H188" s="160">
        <v>3.5000000000000003E-2</v>
      </c>
      <c r="I188" s="201">
        <f t="shared" si="7"/>
        <v>1.1184114202049782E-2</v>
      </c>
      <c r="J188" s="128"/>
      <c r="K188" s="128"/>
      <c r="L188" s="93">
        <v>16.36215</v>
      </c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</row>
    <row r="189" spans="1:24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611">
        <f t="shared" si="6"/>
        <v>4159.58</v>
      </c>
      <c r="G189" s="834">
        <v>416.5</v>
      </c>
      <c r="H189" s="160">
        <v>3.5000000000000003E-2</v>
      </c>
      <c r="I189" s="201">
        <f t="shared" si="7"/>
        <v>3.5045605565946565E-3</v>
      </c>
      <c r="J189" s="128"/>
      <c r="K189" s="128"/>
      <c r="L189" s="93">
        <v>294.25898333333333</v>
      </c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</row>
    <row r="190" spans="1:24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611">
        <f t="shared" si="6"/>
        <v>2240.77</v>
      </c>
      <c r="G190" s="834">
        <v>245.6</v>
      </c>
      <c r="H190" s="160">
        <v>3.5000000000000003E-2</v>
      </c>
      <c r="I190" s="201">
        <f t="shared" si="7"/>
        <v>3.8361813126737685E-3</v>
      </c>
      <c r="J190" s="128"/>
      <c r="K190" s="128"/>
      <c r="L190" s="93">
        <v>133.23465000000002</v>
      </c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</row>
    <row r="191" spans="1:24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611">
        <f t="shared" si="6"/>
        <v>454.48</v>
      </c>
      <c r="G191" s="834">
        <v>55</v>
      </c>
      <c r="H191" s="160">
        <v>3.5000000000000003E-2</v>
      </c>
      <c r="I191" s="201">
        <f t="shared" si="7"/>
        <v>4.2356099278296078E-3</v>
      </c>
      <c r="J191" s="128"/>
      <c r="K191" s="128"/>
      <c r="L191" s="93">
        <v>17.141299999999998</v>
      </c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</row>
    <row r="192" spans="1:24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611">
        <f t="shared" si="6"/>
        <v>166.2</v>
      </c>
      <c r="G192" s="834">
        <v>34.299999999999997</v>
      </c>
      <c r="H192" s="160">
        <v>3.5000000000000003E-2</v>
      </c>
      <c r="I192" s="201">
        <f t="shared" si="7"/>
        <v>7.223225030084237E-3</v>
      </c>
      <c r="J192" s="128"/>
      <c r="K192" s="128"/>
      <c r="L192" s="93">
        <v>0</v>
      </c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</row>
    <row r="193" spans="1:24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611">
        <f t="shared" si="6"/>
        <v>338.6</v>
      </c>
      <c r="G193" s="834">
        <v>8.1999999999999993</v>
      </c>
      <c r="H193" s="160">
        <v>3.5000000000000003E-2</v>
      </c>
      <c r="I193" s="201">
        <f t="shared" si="7"/>
        <v>8.4760779681039566E-4</v>
      </c>
      <c r="J193" s="128"/>
      <c r="K193" s="128"/>
      <c r="L193" s="93">
        <v>0</v>
      </c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</row>
    <row r="194" spans="1:24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611">
        <f t="shared" si="6"/>
        <v>453.7</v>
      </c>
      <c r="G194" s="834">
        <v>17.8</v>
      </c>
      <c r="H194" s="160">
        <v>3.5000000000000003E-2</v>
      </c>
      <c r="I194" s="201">
        <f t="shared" si="7"/>
        <v>1.3731540665638091E-3</v>
      </c>
      <c r="J194" s="128"/>
      <c r="K194" s="128"/>
      <c r="L194" s="93">
        <v>25.971666666666664</v>
      </c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</row>
    <row r="195" spans="1:24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611">
        <f t="shared" si="6"/>
        <v>135</v>
      </c>
      <c r="G195" s="834">
        <v>19.5</v>
      </c>
      <c r="H195" s="160">
        <v>3.5000000000000003E-2</v>
      </c>
      <c r="I195" s="201">
        <f t="shared" si="7"/>
        <v>5.0555555555555562E-3</v>
      </c>
      <c r="J195" s="128"/>
      <c r="K195" s="128"/>
      <c r="L195" s="93">
        <v>0</v>
      </c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</row>
    <row r="196" spans="1:24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611">
        <f t="shared" si="6"/>
        <v>89.9</v>
      </c>
      <c r="G196" s="834">
        <v>53.5</v>
      </c>
      <c r="H196" s="160">
        <v>3.5000000000000003E-2</v>
      </c>
      <c r="I196" s="201">
        <f t="shared" si="7"/>
        <v>2.0828698553948834E-2</v>
      </c>
      <c r="J196" s="128"/>
      <c r="K196" s="128"/>
      <c r="L196" s="93">
        <v>0</v>
      </c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</row>
    <row r="197" spans="1:24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611">
        <f t="shared" si="6"/>
        <v>224.08</v>
      </c>
      <c r="G197" s="834">
        <v>37.6</v>
      </c>
      <c r="H197" s="160">
        <v>3.5000000000000003E-2</v>
      </c>
      <c r="I197" s="201">
        <f t="shared" si="7"/>
        <v>5.8729025348089976E-3</v>
      </c>
      <c r="J197" s="128"/>
      <c r="K197" s="128"/>
      <c r="L197" s="93">
        <v>0</v>
      </c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</row>
    <row r="198" spans="1:24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611">
        <f t="shared" si="6"/>
        <v>653.71</v>
      </c>
      <c r="G198" s="834">
        <v>27</v>
      </c>
      <c r="H198" s="160">
        <v>3.5000000000000003E-2</v>
      </c>
      <c r="I198" s="201">
        <f t="shared" si="7"/>
        <v>1.44559514157654E-3</v>
      </c>
      <c r="J198" s="128"/>
      <c r="K198" s="128"/>
      <c r="L198" s="93">
        <v>0</v>
      </c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</row>
    <row r="199" spans="1:24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611">
        <f t="shared" si="6"/>
        <v>182.11</v>
      </c>
      <c r="G199" s="834">
        <v>44.2</v>
      </c>
      <c r="H199" s="160">
        <v>3.5000000000000003E-2</v>
      </c>
      <c r="I199" s="201">
        <f t="shared" si="7"/>
        <v>8.4948657404865201E-3</v>
      </c>
      <c r="J199" s="128"/>
      <c r="K199" s="128"/>
      <c r="L199" s="93">
        <v>0</v>
      </c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</row>
    <row r="200" spans="1:24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611">
        <f t="shared" si="6"/>
        <v>2379.1</v>
      </c>
      <c r="G200" s="834">
        <v>270</v>
      </c>
      <c r="H200" s="160">
        <v>3.5000000000000003E-2</v>
      </c>
      <c r="I200" s="201">
        <f t="shared" si="7"/>
        <v>3.9720902862426972E-3</v>
      </c>
      <c r="J200" s="128"/>
      <c r="K200" s="128"/>
      <c r="L200" s="93">
        <v>172.71158333333335</v>
      </c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</row>
    <row r="201" spans="1:24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611">
        <f t="shared" si="6"/>
        <v>140.19999999999999</v>
      </c>
      <c r="G201" s="834">
        <v>12.2</v>
      </c>
      <c r="H201" s="160">
        <v>3.5000000000000003E-2</v>
      </c>
      <c r="I201" s="201">
        <f t="shared" si="7"/>
        <v>3.0456490727532098E-3</v>
      </c>
      <c r="J201" s="128"/>
      <c r="K201" s="128"/>
      <c r="L201" s="93">
        <v>0</v>
      </c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</row>
    <row r="202" spans="1:24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611">
        <f t="shared" si="6"/>
        <v>116.79</v>
      </c>
      <c r="G202" s="834">
        <v>10.5</v>
      </c>
      <c r="H202" s="160">
        <v>3.5000000000000003E-2</v>
      </c>
      <c r="I202" s="201">
        <f t="shared" si="7"/>
        <v>3.1466735165681997E-3</v>
      </c>
      <c r="J202" s="128"/>
      <c r="K202" s="128"/>
      <c r="L202" s="93">
        <v>0</v>
      </c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</row>
    <row r="203" spans="1:24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611">
        <f t="shared" si="6"/>
        <v>59.7</v>
      </c>
      <c r="G203" s="834">
        <v>12.6</v>
      </c>
      <c r="H203" s="160">
        <v>3.5000000000000003E-2</v>
      </c>
      <c r="I203" s="201">
        <f t="shared" si="7"/>
        <v>7.386934673366834E-3</v>
      </c>
      <c r="J203" s="128"/>
      <c r="K203" s="128"/>
      <c r="L203" s="93">
        <v>0</v>
      </c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</row>
    <row r="204" spans="1:24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611">
        <f t="shared" si="6"/>
        <v>137.5</v>
      </c>
      <c r="G204" s="834">
        <v>9.1999999999999993</v>
      </c>
      <c r="H204" s="160">
        <v>3.5000000000000003E-2</v>
      </c>
      <c r="I204" s="201">
        <f t="shared" si="7"/>
        <v>2.3418181818181819E-3</v>
      </c>
      <c r="J204" s="128"/>
      <c r="K204" s="128"/>
      <c r="L204" s="93">
        <v>0</v>
      </c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</row>
    <row r="205" spans="1:24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611">
        <f t="shared" si="6"/>
        <v>1908.3000000000002</v>
      </c>
      <c r="G205" s="834">
        <v>236.4</v>
      </c>
      <c r="H205" s="160">
        <v>3.5000000000000003E-2</v>
      </c>
      <c r="I205" s="201">
        <f t="shared" si="7"/>
        <v>4.3357962584499293E-3</v>
      </c>
      <c r="J205" s="128"/>
      <c r="K205" s="128"/>
      <c r="L205" s="93">
        <v>93.238283333333328</v>
      </c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</row>
    <row r="206" spans="1:24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611">
        <f t="shared" si="6"/>
        <v>140.4</v>
      </c>
      <c r="G206" s="834">
        <v>21.3</v>
      </c>
      <c r="H206" s="160">
        <v>3.5000000000000003E-2</v>
      </c>
      <c r="I206" s="201">
        <f t="shared" si="7"/>
        <v>5.3098290598290604E-3</v>
      </c>
      <c r="J206" s="128"/>
      <c r="K206" s="128"/>
      <c r="L206" s="93">
        <v>7.7915000000000001</v>
      </c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</row>
    <row r="207" spans="1:24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611">
        <f t="shared" ref="F207:F268" si="8">C207+D207+E207</f>
        <v>290.7</v>
      </c>
      <c r="G207" s="834">
        <v>18.2</v>
      </c>
      <c r="H207" s="160">
        <v>3.5000000000000003E-2</v>
      </c>
      <c r="I207" s="201">
        <f t="shared" si="7"/>
        <v>2.1912624699002409E-3</v>
      </c>
      <c r="J207" s="128"/>
      <c r="K207" s="128"/>
      <c r="L207" s="93">
        <v>38.438066666666664</v>
      </c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</row>
    <row r="208" spans="1:24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611">
        <f t="shared" si="8"/>
        <v>2427.7199999999998</v>
      </c>
      <c r="G208" s="834">
        <v>284.8</v>
      </c>
      <c r="H208" s="160">
        <v>3.5000000000000003E-2</v>
      </c>
      <c r="I208" s="201">
        <f t="shared" si="7"/>
        <v>4.1059100720017144E-3</v>
      </c>
      <c r="J208" s="128"/>
      <c r="K208" s="128"/>
      <c r="L208" s="93">
        <v>181.80166666666668</v>
      </c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</row>
    <row r="209" spans="1:24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611">
        <f t="shared" si="8"/>
        <v>93</v>
      </c>
      <c r="G209" s="834">
        <v>29.8</v>
      </c>
      <c r="H209" s="160">
        <v>3.5000000000000003E-2</v>
      </c>
      <c r="I209" s="201">
        <f t="shared" si="7"/>
        <v>1.1215053763440862E-2</v>
      </c>
      <c r="J209" s="128"/>
      <c r="K209" s="128"/>
      <c r="L209" s="93">
        <v>0</v>
      </c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</row>
    <row r="210" spans="1:24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611">
        <f t="shared" si="8"/>
        <v>1473.7</v>
      </c>
      <c r="G210" s="834">
        <v>58.6</v>
      </c>
      <c r="H210" s="160">
        <v>3.5000000000000003E-2</v>
      </c>
      <c r="I210" s="201">
        <f t="shared" si="7"/>
        <v>1.3917350885526228E-3</v>
      </c>
      <c r="J210" s="128"/>
      <c r="K210" s="128"/>
      <c r="L210" s="93">
        <v>124.92371666666666</v>
      </c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</row>
    <row r="211" spans="1:24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611">
        <f t="shared" si="8"/>
        <v>2507</v>
      </c>
      <c r="G211" s="834">
        <v>194.8</v>
      </c>
      <c r="H211" s="160">
        <v>3.5000000000000003E-2</v>
      </c>
      <c r="I211" s="201">
        <f t="shared" si="7"/>
        <v>2.7195851615476672E-3</v>
      </c>
      <c r="J211" s="128"/>
      <c r="K211" s="128"/>
      <c r="L211" s="93">
        <v>129.85833333333332</v>
      </c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</row>
    <row r="212" spans="1:24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611">
        <f t="shared" si="8"/>
        <v>3505.3</v>
      </c>
      <c r="G212" s="834">
        <v>275.2</v>
      </c>
      <c r="H212" s="160">
        <v>3.5000000000000003E-2</v>
      </c>
      <c r="I212" s="201">
        <f t="shared" si="7"/>
        <v>2.7478389866773169E-3</v>
      </c>
      <c r="J212" s="128"/>
      <c r="K212" s="128"/>
      <c r="L212" s="93">
        <v>398.40536666666662</v>
      </c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</row>
    <row r="213" spans="1:24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611">
        <f t="shared" si="8"/>
        <v>191.78</v>
      </c>
      <c r="G213" s="834"/>
      <c r="H213" s="160">
        <v>3.5000000000000003E-2</v>
      </c>
      <c r="I213" s="201">
        <f t="shared" si="7"/>
        <v>0</v>
      </c>
      <c r="J213" s="128"/>
      <c r="K213" s="128"/>
      <c r="L213" s="93">
        <v>0</v>
      </c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</row>
    <row r="214" spans="1:24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611">
        <f t="shared" si="8"/>
        <v>3560.1</v>
      </c>
      <c r="G214" s="834">
        <v>229.2</v>
      </c>
      <c r="H214" s="160">
        <v>3.5000000000000003E-2</v>
      </c>
      <c r="I214" s="201">
        <f t="shared" si="7"/>
        <v>2.2533074913626025E-3</v>
      </c>
      <c r="J214" s="128"/>
      <c r="K214" s="128"/>
      <c r="L214" s="93">
        <v>349.05919999999998</v>
      </c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</row>
    <row r="215" spans="1:24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611">
        <f t="shared" si="8"/>
        <v>291.19</v>
      </c>
      <c r="G215" s="834"/>
      <c r="H215" s="160">
        <v>3.5000000000000003E-2</v>
      </c>
      <c r="I215" s="201">
        <f t="shared" si="7"/>
        <v>0</v>
      </c>
      <c r="J215" s="128"/>
      <c r="K215" s="128"/>
      <c r="L215" s="93">
        <v>14.803849999999999</v>
      </c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</row>
    <row r="216" spans="1:24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611">
        <f t="shared" si="8"/>
        <v>173.45</v>
      </c>
      <c r="G216" s="834"/>
      <c r="H216" s="160">
        <v>3.5000000000000003E-2</v>
      </c>
      <c r="I216" s="201">
        <f t="shared" si="7"/>
        <v>0</v>
      </c>
      <c r="J216" s="128"/>
      <c r="K216" s="128"/>
      <c r="L216" s="93">
        <v>0</v>
      </c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</row>
    <row r="217" spans="1:24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611">
        <f t="shared" si="8"/>
        <v>209.66</v>
      </c>
      <c r="G217" s="839"/>
      <c r="H217" s="160">
        <v>3.5000000000000003E-2</v>
      </c>
      <c r="I217" s="201">
        <f t="shared" si="7"/>
        <v>0</v>
      </c>
      <c r="J217" s="128"/>
      <c r="K217" s="128"/>
      <c r="L217" s="342">
        <f t="shared" ref="L217:L250" si="9">J217*0.5</f>
        <v>0</v>
      </c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</row>
    <row r="218" spans="1:24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611">
        <f t="shared" si="8"/>
        <v>408.46</v>
      </c>
      <c r="G218" s="834"/>
      <c r="H218" s="160">
        <v>3.5000000000000003E-2</v>
      </c>
      <c r="I218" s="201">
        <f t="shared" si="7"/>
        <v>0</v>
      </c>
      <c r="J218" s="128"/>
      <c r="K218" s="128"/>
      <c r="L218" s="342">
        <f t="shared" si="9"/>
        <v>0</v>
      </c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</row>
    <row r="219" spans="1:24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611">
        <f t="shared" si="8"/>
        <v>67.3</v>
      </c>
      <c r="G219" s="834"/>
      <c r="H219" s="160">
        <v>3.5000000000000003E-2</v>
      </c>
      <c r="I219" s="201">
        <f t="shared" si="7"/>
        <v>0</v>
      </c>
      <c r="J219" s="128"/>
      <c r="K219" s="128"/>
      <c r="L219" s="342">
        <f t="shared" si="9"/>
        <v>0</v>
      </c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</row>
    <row r="220" spans="1:24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611">
        <f t="shared" si="8"/>
        <v>352.8</v>
      </c>
      <c r="G220" s="834"/>
      <c r="H220" s="160">
        <v>3.5000000000000003E-2</v>
      </c>
      <c r="I220" s="201">
        <f t="shared" ref="I220:I283" si="10">G220*H220/F220</f>
        <v>0</v>
      </c>
      <c r="J220" s="128"/>
      <c r="K220" s="128"/>
      <c r="L220" s="342">
        <f t="shared" si="9"/>
        <v>0</v>
      </c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</row>
    <row r="221" spans="1:24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611">
        <f t="shared" si="8"/>
        <v>111.58</v>
      </c>
      <c r="G221" s="834"/>
      <c r="H221" s="160">
        <v>3.5000000000000003E-2</v>
      </c>
      <c r="I221" s="201">
        <f t="shared" si="10"/>
        <v>0</v>
      </c>
      <c r="J221" s="128"/>
      <c r="K221" s="128"/>
      <c r="L221" s="342">
        <f t="shared" si="9"/>
        <v>0</v>
      </c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</row>
    <row r="222" spans="1:24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611">
        <f t="shared" si="8"/>
        <v>115.8</v>
      </c>
      <c r="G222" s="834"/>
      <c r="H222" s="160">
        <v>3.5000000000000003E-2</v>
      </c>
      <c r="I222" s="201">
        <f t="shared" si="10"/>
        <v>0</v>
      </c>
      <c r="J222" s="128"/>
      <c r="K222" s="128"/>
      <c r="L222" s="342">
        <f t="shared" si="9"/>
        <v>0</v>
      </c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</row>
    <row r="223" spans="1:24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611">
        <f t="shared" si="8"/>
        <v>141.30000000000001</v>
      </c>
      <c r="G223" s="834">
        <v>108</v>
      </c>
      <c r="H223" s="160">
        <v>3.5000000000000003E-2</v>
      </c>
      <c r="I223" s="201">
        <f t="shared" si="10"/>
        <v>2.6751592356687899E-2</v>
      </c>
      <c r="J223" s="128"/>
      <c r="K223" s="128"/>
      <c r="L223" s="342">
        <f t="shared" si="9"/>
        <v>0</v>
      </c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</row>
    <row r="224" spans="1:24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611">
        <f t="shared" si="8"/>
        <v>161.1</v>
      </c>
      <c r="G224" s="834">
        <v>36</v>
      </c>
      <c r="H224" s="160">
        <v>3.5000000000000003E-2</v>
      </c>
      <c r="I224" s="201">
        <f t="shared" si="10"/>
        <v>7.8212290502793318E-3</v>
      </c>
      <c r="J224" s="128"/>
      <c r="K224" s="128"/>
      <c r="L224" s="342">
        <f t="shared" si="9"/>
        <v>0</v>
      </c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</row>
    <row r="225" spans="1:24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611">
        <f t="shared" si="8"/>
        <v>308.8</v>
      </c>
      <c r="G225" s="834">
        <v>88</v>
      </c>
      <c r="H225" s="160">
        <v>3.5000000000000003E-2</v>
      </c>
      <c r="I225" s="201">
        <f t="shared" si="10"/>
        <v>9.9740932642487044E-3</v>
      </c>
      <c r="J225" s="128"/>
      <c r="K225" s="128"/>
      <c r="L225" s="342">
        <f t="shared" si="9"/>
        <v>0</v>
      </c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</row>
    <row r="226" spans="1:24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611">
        <f t="shared" si="8"/>
        <v>343.31</v>
      </c>
      <c r="G226" s="834">
        <v>8</v>
      </c>
      <c r="H226" s="160">
        <v>3.5000000000000003E-2</v>
      </c>
      <c r="I226" s="201">
        <f t="shared" si="10"/>
        <v>8.1558940898896046E-4</v>
      </c>
      <c r="J226" s="128"/>
      <c r="K226" s="128"/>
      <c r="L226" s="342">
        <f t="shared" si="9"/>
        <v>0</v>
      </c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</row>
    <row r="227" spans="1:24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611">
        <f t="shared" si="8"/>
        <v>146.82</v>
      </c>
      <c r="G227" s="834">
        <v>44</v>
      </c>
      <c r="H227" s="160">
        <v>3.5000000000000003E-2</v>
      </c>
      <c r="I227" s="201">
        <f t="shared" si="10"/>
        <v>1.048903419152704E-2</v>
      </c>
      <c r="J227" s="128"/>
      <c r="K227" s="128"/>
      <c r="L227" s="342">
        <f t="shared" si="9"/>
        <v>0</v>
      </c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</row>
    <row r="228" spans="1:24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611">
        <f t="shared" si="8"/>
        <v>218.19</v>
      </c>
      <c r="G228" s="834">
        <v>45</v>
      </c>
      <c r="H228" s="160">
        <v>3.5000000000000003E-2</v>
      </c>
      <c r="I228" s="201">
        <f t="shared" si="10"/>
        <v>7.2184793070259878E-3</v>
      </c>
      <c r="J228" s="128"/>
      <c r="K228" s="128"/>
      <c r="L228" s="342">
        <f t="shared" si="9"/>
        <v>0</v>
      </c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</row>
    <row r="229" spans="1:24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611">
        <f t="shared" si="8"/>
        <v>109.6</v>
      </c>
      <c r="G229" s="834">
        <v>25</v>
      </c>
      <c r="H229" s="160">
        <v>3.5000000000000003E-2</v>
      </c>
      <c r="I229" s="201">
        <f t="shared" si="10"/>
        <v>7.9835766423357671E-3</v>
      </c>
      <c r="J229" s="128"/>
      <c r="K229" s="128"/>
      <c r="L229" s="342">
        <f t="shared" si="9"/>
        <v>0</v>
      </c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</row>
    <row r="230" spans="1:24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611">
        <f t="shared" si="8"/>
        <v>41.4</v>
      </c>
      <c r="G230" s="834">
        <v>31</v>
      </c>
      <c r="H230" s="160">
        <v>3.5000000000000003E-2</v>
      </c>
      <c r="I230" s="201">
        <f t="shared" si="10"/>
        <v>2.6207729468599041E-2</v>
      </c>
      <c r="J230" s="128"/>
      <c r="K230" s="128"/>
      <c r="L230" s="342">
        <f t="shared" si="9"/>
        <v>0</v>
      </c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</row>
    <row r="231" spans="1:24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611">
        <f t="shared" si="8"/>
        <v>143.4</v>
      </c>
      <c r="G231" s="834"/>
      <c r="H231" s="160">
        <v>3.5000000000000003E-2</v>
      </c>
      <c r="I231" s="201">
        <f t="shared" si="10"/>
        <v>0</v>
      </c>
      <c r="J231" s="128"/>
      <c r="K231" s="128"/>
      <c r="L231" s="342">
        <f t="shared" si="9"/>
        <v>0</v>
      </c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</row>
    <row r="232" spans="1:24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611">
        <f t="shared" si="8"/>
        <v>473.2</v>
      </c>
      <c r="G232" s="834">
        <v>99</v>
      </c>
      <c r="H232" s="160">
        <v>3.5000000000000003E-2</v>
      </c>
      <c r="I232" s="201">
        <f t="shared" si="10"/>
        <v>7.3224852071005929E-3</v>
      </c>
      <c r="J232" s="128"/>
      <c r="K232" s="128"/>
      <c r="L232" s="342">
        <f t="shared" si="9"/>
        <v>0</v>
      </c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</row>
    <row r="233" spans="1:24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611">
        <f t="shared" si="8"/>
        <v>306.10000000000002</v>
      </c>
      <c r="G233" s="834">
        <v>8</v>
      </c>
      <c r="H233" s="160">
        <v>3.5000000000000003E-2</v>
      </c>
      <c r="I233" s="201">
        <f t="shared" si="10"/>
        <v>9.1473374714145703E-4</v>
      </c>
      <c r="J233" s="128"/>
      <c r="K233" s="128"/>
      <c r="L233" s="342">
        <f t="shared" si="9"/>
        <v>0</v>
      </c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</row>
    <row r="234" spans="1:24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611">
        <f t="shared" si="8"/>
        <v>239.7</v>
      </c>
      <c r="G234" s="834">
        <v>16.399999999999999</v>
      </c>
      <c r="H234" s="160">
        <v>3.5000000000000003E-2</v>
      </c>
      <c r="I234" s="201">
        <f t="shared" si="10"/>
        <v>2.3946599916562371E-3</v>
      </c>
      <c r="J234" s="128"/>
      <c r="K234" s="128"/>
      <c r="L234" s="342">
        <f t="shared" si="9"/>
        <v>0</v>
      </c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</row>
    <row r="235" spans="1:24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611">
        <f t="shared" si="8"/>
        <v>193.7</v>
      </c>
      <c r="G235" s="834">
        <v>76.5</v>
      </c>
      <c r="H235" s="160">
        <v>3.5000000000000003E-2</v>
      </c>
      <c r="I235" s="201">
        <f t="shared" si="10"/>
        <v>1.3822922044398556E-2</v>
      </c>
      <c r="J235" s="128"/>
      <c r="K235" s="128"/>
      <c r="L235" s="342">
        <f t="shared" si="9"/>
        <v>0</v>
      </c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</row>
    <row r="236" spans="1:24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611">
        <f t="shared" si="8"/>
        <v>83.9</v>
      </c>
      <c r="G236" s="834">
        <v>11.8</v>
      </c>
      <c r="H236" s="160">
        <v>3.5000000000000003E-2</v>
      </c>
      <c r="I236" s="201">
        <f t="shared" si="10"/>
        <v>4.9225268176400485E-3</v>
      </c>
      <c r="J236" s="128"/>
      <c r="K236" s="128"/>
      <c r="L236" s="342">
        <f t="shared" si="9"/>
        <v>0</v>
      </c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</row>
    <row r="237" spans="1:24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611">
        <f t="shared" si="8"/>
        <v>2111.66</v>
      </c>
      <c r="G237" s="834">
        <v>35</v>
      </c>
      <c r="H237" s="160">
        <v>3.5000000000000003E-2</v>
      </c>
      <c r="I237" s="201">
        <f t="shared" si="10"/>
        <v>5.8011232868927776E-4</v>
      </c>
      <c r="J237" s="128"/>
      <c r="K237" s="128"/>
      <c r="L237" s="342">
        <f t="shared" si="9"/>
        <v>0</v>
      </c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</row>
    <row r="238" spans="1:24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611">
        <f t="shared" si="8"/>
        <v>424.8</v>
      </c>
      <c r="G238" s="834">
        <v>123</v>
      </c>
      <c r="H238" s="160">
        <v>3.5000000000000003E-2</v>
      </c>
      <c r="I238" s="201">
        <f t="shared" si="10"/>
        <v>1.0134180790960453E-2</v>
      </c>
      <c r="J238" s="128"/>
      <c r="K238" s="128"/>
      <c r="L238" s="342">
        <f t="shared" si="9"/>
        <v>0</v>
      </c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</row>
    <row r="239" spans="1:24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611">
        <f t="shared" si="8"/>
        <v>105.5</v>
      </c>
      <c r="G239" s="834">
        <v>20</v>
      </c>
      <c r="H239" s="160">
        <v>3.5000000000000003E-2</v>
      </c>
      <c r="I239" s="201">
        <f t="shared" si="10"/>
        <v>6.6350710900473942E-3</v>
      </c>
      <c r="J239" s="128"/>
      <c r="K239" s="128"/>
      <c r="L239" s="342">
        <f t="shared" si="9"/>
        <v>0</v>
      </c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</row>
    <row r="240" spans="1:24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611">
        <f t="shared" si="8"/>
        <v>158.6</v>
      </c>
      <c r="G240" s="834"/>
      <c r="H240" s="160">
        <v>3.5000000000000003E-2</v>
      </c>
      <c r="I240" s="201">
        <f t="shared" si="10"/>
        <v>0</v>
      </c>
      <c r="J240" s="128"/>
      <c r="K240" s="128"/>
      <c r="L240" s="342">
        <f t="shared" si="9"/>
        <v>0</v>
      </c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</row>
    <row r="241" spans="1:24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611">
        <f t="shared" si="8"/>
        <v>84.9</v>
      </c>
      <c r="G241" s="834"/>
      <c r="H241" s="160">
        <v>3.5000000000000003E-2</v>
      </c>
      <c r="I241" s="201">
        <f t="shared" si="10"/>
        <v>0</v>
      </c>
      <c r="J241" s="128"/>
      <c r="K241" s="128"/>
      <c r="L241" s="342">
        <f t="shared" si="9"/>
        <v>0</v>
      </c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1:24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611">
        <f t="shared" si="8"/>
        <v>191.6</v>
      </c>
      <c r="G242" s="834"/>
      <c r="H242" s="160">
        <v>3.5000000000000003E-2</v>
      </c>
      <c r="I242" s="201">
        <f t="shared" si="10"/>
        <v>0</v>
      </c>
      <c r="J242" s="128"/>
      <c r="K242" s="128"/>
      <c r="L242" s="342">
        <f t="shared" si="9"/>
        <v>0</v>
      </c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</row>
    <row r="243" spans="1:24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611">
        <f t="shared" si="8"/>
        <v>220.11</v>
      </c>
      <c r="G243" s="834"/>
      <c r="H243" s="160">
        <v>3.5000000000000003E-2</v>
      </c>
      <c r="I243" s="201">
        <f t="shared" si="10"/>
        <v>0</v>
      </c>
      <c r="J243" s="128"/>
      <c r="K243" s="128"/>
      <c r="L243" s="342">
        <f t="shared" si="9"/>
        <v>0</v>
      </c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1:24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611">
        <f t="shared" si="8"/>
        <v>154.1</v>
      </c>
      <c r="G244" s="834"/>
      <c r="H244" s="160">
        <v>3.5000000000000003E-2</v>
      </c>
      <c r="I244" s="201">
        <f t="shared" si="10"/>
        <v>0</v>
      </c>
      <c r="J244" s="128"/>
      <c r="K244" s="128"/>
      <c r="L244" s="342">
        <f t="shared" si="9"/>
        <v>0</v>
      </c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</row>
    <row r="245" spans="1:24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611">
        <f t="shared" si="8"/>
        <v>219.1</v>
      </c>
      <c r="G245" s="834"/>
      <c r="H245" s="160">
        <v>3.5000000000000003E-2</v>
      </c>
      <c r="I245" s="201">
        <f t="shared" si="10"/>
        <v>0</v>
      </c>
      <c r="J245" s="128"/>
      <c r="K245" s="128"/>
      <c r="L245" s="342">
        <f t="shared" si="9"/>
        <v>0</v>
      </c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</row>
    <row r="246" spans="1:24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611">
        <f t="shared" si="8"/>
        <v>255.8</v>
      </c>
      <c r="G246" s="834"/>
      <c r="H246" s="160">
        <v>3.5000000000000003E-2</v>
      </c>
      <c r="I246" s="201">
        <f t="shared" si="10"/>
        <v>0</v>
      </c>
      <c r="J246" s="128"/>
      <c r="K246" s="128"/>
      <c r="L246" s="342">
        <f t="shared" si="9"/>
        <v>0</v>
      </c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</row>
    <row r="247" spans="1:24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611">
        <f t="shared" si="8"/>
        <v>58.3</v>
      </c>
      <c r="G247" s="834"/>
      <c r="H247" s="160">
        <v>3.5000000000000003E-2</v>
      </c>
      <c r="I247" s="201">
        <f t="shared" si="10"/>
        <v>0</v>
      </c>
      <c r="J247" s="128"/>
      <c r="K247" s="128"/>
      <c r="L247" s="342">
        <f t="shared" si="9"/>
        <v>0</v>
      </c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</row>
    <row r="248" spans="1:24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611">
        <f t="shared" si="8"/>
        <v>47.2</v>
      </c>
      <c r="G248" s="834"/>
      <c r="H248" s="160">
        <v>3.5000000000000003E-2</v>
      </c>
      <c r="I248" s="201">
        <f t="shared" si="10"/>
        <v>0</v>
      </c>
      <c r="J248" s="128"/>
      <c r="K248" s="128"/>
      <c r="L248" s="342">
        <f t="shared" si="9"/>
        <v>0</v>
      </c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</row>
    <row r="249" spans="1:24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611">
        <f t="shared" si="8"/>
        <v>101.5</v>
      </c>
      <c r="G249" s="834"/>
      <c r="H249" s="160">
        <v>3.5000000000000003E-2</v>
      </c>
      <c r="I249" s="201">
        <f t="shared" si="10"/>
        <v>0</v>
      </c>
      <c r="J249" s="128"/>
      <c r="K249" s="128"/>
      <c r="L249" s="342">
        <f t="shared" si="9"/>
        <v>0</v>
      </c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</row>
    <row r="250" spans="1:24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611">
        <f t="shared" si="8"/>
        <v>57.8</v>
      </c>
      <c r="G250" s="834"/>
      <c r="H250" s="160">
        <v>3.5000000000000003E-2</v>
      </c>
      <c r="I250" s="201">
        <f t="shared" si="10"/>
        <v>0</v>
      </c>
      <c r="J250" s="128"/>
      <c r="K250" s="128"/>
      <c r="L250" s="342">
        <f t="shared" si="9"/>
        <v>0</v>
      </c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</row>
    <row r="251" spans="1:24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611">
        <f t="shared" si="8"/>
        <v>670.84999999999991</v>
      </c>
      <c r="G251" s="834">
        <v>65.3</v>
      </c>
      <c r="H251" s="160">
        <v>3.5000000000000003E-2</v>
      </c>
      <c r="I251" s="201">
        <f t="shared" si="10"/>
        <v>3.4068718789595298E-3</v>
      </c>
      <c r="J251" s="128"/>
      <c r="K251" s="128"/>
      <c r="L251" s="93">
        <v>32.984016666666669</v>
      </c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</row>
    <row r="252" spans="1:24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611">
        <f t="shared" si="8"/>
        <v>648.9</v>
      </c>
      <c r="G252" s="834">
        <v>49.7</v>
      </c>
      <c r="H252" s="160">
        <v>3.5000000000000003E-2</v>
      </c>
      <c r="I252" s="201">
        <f t="shared" si="10"/>
        <v>2.6806903991370016E-3</v>
      </c>
      <c r="J252" s="128"/>
      <c r="K252" s="128"/>
      <c r="L252" s="93">
        <v>37.658916666666663</v>
      </c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</row>
    <row r="253" spans="1:24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611">
        <f t="shared" si="8"/>
        <v>753.1</v>
      </c>
      <c r="G253" s="834">
        <v>72.3</v>
      </c>
      <c r="H253" s="160">
        <v>3.5000000000000003E-2</v>
      </c>
      <c r="I253" s="201">
        <f t="shared" si="10"/>
        <v>3.3601115389722477E-3</v>
      </c>
      <c r="J253" s="128"/>
      <c r="K253" s="128"/>
      <c r="L253" s="93">
        <v>35.061749999999996</v>
      </c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</row>
    <row r="254" spans="1:24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611">
        <f t="shared" si="8"/>
        <v>276.60000000000002</v>
      </c>
      <c r="G254" s="834">
        <v>21</v>
      </c>
      <c r="H254" s="160">
        <v>3.5000000000000003E-2</v>
      </c>
      <c r="I254" s="201">
        <f t="shared" si="10"/>
        <v>2.6572668112798264E-3</v>
      </c>
      <c r="J254" s="128"/>
      <c r="K254" s="128"/>
      <c r="L254" s="93">
        <v>38.957500000000003</v>
      </c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</row>
    <row r="255" spans="1:24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611">
        <f t="shared" si="8"/>
        <v>238.8</v>
      </c>
      <c r="G255" s="834">
        <v>30</v>
      </c>
      <c r="H255" s="160">
        <v>3.5000000000000003E-2</v>
      </c>
      <c r="I255" s="201">
        <f t="shared" si="10"/>
        <v>4.3969849246231155E-3</v>
      </c>
      <c r="J255" s="128"/>
      <c r="K255" s="128"/>
      <c r="L255" s="93">
        <v>34.542316666666665</v>
      </c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</row>
    <row r="256" spans="1:24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611">
        <f t="shared" si="8"/>
        <v>754.13</v>
      </c>
      <c r="G256" s="834">
        <v>80.3</v>
      </c>
      <c r="H256" s="160">
        <v>3.5000000000000003E-2</v>
      </c>
      <c r="I256" s="201">
        <f t="shared" si="10"/>
        <v>3.7268110272764645E-3</v>
      </c>
      <c r="J256" s="128"/>
      <c r="K256" s="128"/>
      <c r="L256" s="93">
        <v>9.0900833333333342</v>
      </c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</row>
    <row r="257" spans="1:24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611">
        <f t="shared" si="8"/>
        <v>911.08</v>
      </c>
      <c r="G257" s="834">
        <v>80.3</v>
      </c>
      <c r="H257" s="160">
        <v>3.5000000000000003E-2</v>
      </c>
      <c r="I257" s="201">
        <f t="shared" si="10"/>
        <v>3.0848004566009571E-3</v>
      </c>
      <c r="J257" s="128"/>
      <c r="K257" s="128"/>
      <c r="L257" s="93">
        <v>10.908099999999999</v>
      </c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</row>
    <row r="258" spans="1:24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611">
        <f t="shared" si="8"/>
        <v>707.90000000000009</v>
      </c>
      <c r="G258" s="834">
        <v>66</v>
      </c>
      <c r="H258" s="160">
        <v>3.5000000000000003E-2</v>
      </c>
      <c r="I258" s="201">
        <f t="shared" si="10"/>
        <v>3.2631727645147618E-3</v>
      </c>
      <c r="J258" s="128"/>
      <c r="K258" s="128"/>
      <c r="L258" s="93">
        <v>18.959316666666666</v>
      </c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</row>
    <row r="259" spans="1:24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611">
        <f t="shared" si="8"/>
        <v>814.34</v>
      </c>
      <c r="G259" s="834">
        <v>84</v>
      </c>
      <c r="H259" s="160">
        <v>3.5000000000000003E-2</v>
      </c>
      <c r="I259" s="201">
        <f t="shared" si="10"/>
        <v>3.6102856300808022E-3</v>
      </c>
      <c r="J259" s="128"/>
      <c r="K259" s="128"/>
      <c r="L259" s="93">
        <v>35.061749999999996</v>
      </c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</row>
    <row r="260" spans="1:24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611">
        <f t="shared" si="8"/>
        <v>562.29999999999995</v>
      </c>
      <c r="G260" s="834">
        <v>78.599999999999994</v>
      </c>
      <c r="H260" s="160">
        <v>3.5000000000000003E-2</v>
      </c>
      <c r="I260" s="201">
        <f t="shared" si="10"/>
        <v>4.892406188867153E-3</v>
      </c>
      <c r="J260" s="128"/>
      <c r="K260" s="128"/>
      <c r="L260" s="93">
        <v>5.4540499999999996</v>
      </c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</row>
    <row r="261" spans="1:24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611">
        <f t="shared" si="8"/>
        <v>410.5</v>
      </c>
      <c r="G261" s="834">
        <v>64</v>
      </c>
      <c r="H261" s="160">
        <v>3.5000000000000003E-2</v>
      </c>
      <c r="I261" s="201">
        <f t="shared" si="10"/>
        <v>5.4567600487210721E-3</v>
      </c>
      <c r="J261" s="128"/>
      <c r="K261" s="128"/>
      <c r="L261" s="93">
        <v>10.908099999999999</v>
      </c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</row>
    <row r="262" spans="1:24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611">
        <f t="shared" si="8"/>
        <v>523.27</v>
      </c>
      <c r="G262" s="834">
        <v>88.3</v>
      </c>
      <c r="H262" s="160">
        <v>3.5000000000000003E-2</v>
      </c>
      <c r="I262" s="201">
        <f t="shared" si="10"/>
        <v>5.906128767175646E-3</v>
      </c>
      <c r="J262" s="128"/>
      <c r="K262" s="128"/>
      <c r="L262" s="93">
        <v>28.049399999999999</v>
      </c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</row>
    <row r="263" spans="1:24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611">
        <f t="shared" si="8"/>
        <v>684.1</v>
      </c>
      <c r="G263" s="834">
        <v>88.3</v>
      </c>
      <c r="H263" s="160">
        <v>3.5000000000000003E-2</v>
      </c>
      <c r="I263" s="201">
        <f t="shared" si="10"/>
        <v>4.5176143838620087E-3</v>
      </c>
      <c r="J263" s="128"/>
      <c r="K263" s="128"/>
      <c r="L263" s="93">
        <v>14.284416666666667</v>
      </c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</row>
    <row r="264" spans="1:24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611">
        <f t="shared" si="8"/>
        <v>659.08</v>
      </c>
      <c r="G264" s="834">
        <v>83.7</v>
      </c>
      <c r="H264" s="160">
        <v>3.5000000000000003E-2</v>
      </c>
      <c r="I264" s="201">
        <f t="shared" si="10"/>
        <v>4.4448321903259088E-3</v>
      </c>
      <c r="J264" s="128"/>
      <c r="K264" s="128"/>
      <c r="L264" s="93">
        <v>11.99891</v>
      </c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</row>
    <row r="265" spans="1:24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611">
        <f t="shared" si="8"/>
        <v>466.5</v>
      </c>
      <c r="G265" s="834">
        <v>138.69999999999999</v>
      </c>
      <c r="H265" s="160">
        <v>3.5000000000000003E-2</v>
      </c>
      <c r="I265" s="201">
        <f t="shared" si="10"/>
        <v>1.0406216505894962E-2</v>
      </c>
      <c r="J265" s="128"/>
      <c r="K265" s="128"/>
      <c r="L265" s="93">
        <v>11.946966666666667</v>
      </c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</row>
    <row r="266" spans="1:24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611">
        <f t="shared" si="8"/>
        <v>412.04</v>
      </c>
      <c r="G266" s="834">
        <v>50.7</v>
      </c>
      <c r="H266" s="160">
        <v>3.5000000000000003E-2</v>
      </c>
      <c r="I266" s="201">
        <f t="shared" si="10"/>
        <v>4.306620716435298E-3</v>
      </c>
      <c r="J266" s="128"/>
      <c r="K266" s="128"/>
      <c r="L266" s="93">
        <v>18.180166666666668</v>
      </c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</row>
    <row r="267" spans="1:24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611">
        <f t="shared" si="8"/>
        <v>303.5</v>
      </c>
      <c r="G267" s="834">
        <v>58</v>
      </c>
      <c r="H267" s="160">
        <v>3.5000000000000003E-2</v>
      </c>
      <c r="I267" s="201">
        <f t="shared" si="10"/>
        <v>6.6886326194398691E-3</v>
      </c>
      <c r="J267" s="128"/>
      <c r="K267" s="128"/>
      <c r="L267" s="93">
        <v>6.492916666666666</v>
      </c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</row>
    <row r="268" spans="1:24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611">
        <f t="shared" si="8"/>
        <v>654.13</v>
      </c>
      <c r="G268" s="834">
        <v>71</v>
      </c>
      <c r="H268" s="160">
        <v>3.5000000000000003E-2</v>
      </c>
      <c r="I268" s="201">
        <f t="shared" si="10"/>
        <v>3.7989390488129275E-3</v>
      </c>
      <c r="J268" s="128"/>
      <c r="K268" s="128"/>
      <c r="L268" s="93">
        <v>29.088266666666669</v>
      </c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</row>
    <row r="269" spans="1:24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611">
        <f t="shared" ref="F269:F332" si="11">C269+D269+E269</f>
        <v>642.62</v>
      </c>
      <c r="G269" s="834">
        <v>88.7</v>
      </c>
      <c r="H269" s="160">
        <v>3.5000000000000003E-2</v>
      </c>
      <c r="I269" s="201">
        <f t="shared" si="10"/>
        <v>4.8310043260402728E-3</v>
      </c>
      <c r="J269" s="128"/>
      <c r="K269" s="128"/>
      <c r="L269" s="93">
        <v>31.166</v>
      </c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</row>
    <row r="270" spans="1:24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611">
        <f t="shared" si="11"/>
        <v>278.7</v>
      </c>
      <c r="G270" s="834">
        <v>11.7</v>
      </c>
      <c r="H270" s="160">
        <v>3.5000000000000003E-2</v>
      </c>
      <c r="I270" s="201">
        <f t="shared" si="10"/>
        <v>1.4693218514531755E-3</v>
      </c>
      <c r="J270" s="128"/>
      <c r="K270" s="128"/>
      <c r="L270" s="93">
        <v>56.358516666666667</v>
      </c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</row>
    <row r="271" spans="1:24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611">
        <f t="shared" si="11"/>
        <v>3583.55</v>
      </c>
      <c r="G271" s="834">
        <v>369.8</v>
      </c>
      <c r="H271" s="160">
        <v>3.5000000000000003E-2</v>
      </c>
      <c r="I271" s="201">
        <f t="shared" si="10"/>
        <v>3.6117816132047831E-3</v>
      </c>
      <c r="J271" s="128"/>
      <c r="K271" s="128"/>
      <c r="L271" s="93">
        <v>103.88666666666666</v>
      </c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</row>
    <row r="272" spans="1:24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611">
        <f t="shared" si="11"/>
        <v>513.5</v>
      </c>
      <c r="G272" s="834">
        <v>68.5</v>
      </c>
      <c r="H272" s="160">
        <v>3.5000000000000003E-2</v>
      </c>
      <c r="I272" s="201">
        <f t="shared" si="10"/>
        <v>4.6689386562804294E-3</v>
      </c>
      <c r="J272" s="128"/>
      <c r="K272" s="128"/>
      <c r="L272" s="93">
        <v>21.556483333333333</v>
      </c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</row>
    <row r="273" spans="1:24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611">
        <f t="shared" si="11"/>
        <v>420.4</v>
      </c>
      <c r="G273" s="834">
        <v>61.3</v>
      </c>
      <c r="H273" s="160">
        <v>3.5000000000000003E-2</v>
      </c>
      <c r="I273" s="201">
        <f t="shared" si="10"/>
        <v>5.1034728829686023E-3</v>
      </c>
      <c r="J273" s="128"/>
      <c r="K273" s="128"/>
      <c r="L273" s="93">
        <v>18.543770000000002</v>
      </c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</row>
    <row r="274" spans="1:24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611">
        <f t="shared" si="11"/>
        <v>344.2</v>
      </c>
      <c r="G274" s="834">
        <v>72</v>
      </c>
      <c r="H274" s="160">
        <v>3.5000000000000003E-2</v>
      </c>
      <c r="I274" s="201">
        <f t="shared" si="10"/>
        <v>7.3213248111563059E-3</v>
      </c>
      <c r="J274" s="128"/>
      <c r="K274" s="128"/>
      <c r="L274" s="93">
        <v>14.024699999999999</v>
      </c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</row>
    <row r="275" spans="1:24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611">
        <f t="shared" si="11"/>
        <v>349.5</v>
      </c>
      <c r="G275" s="834">
        <v>65.8</v>
      </c>
      <c r="H275" s="160">
        <v>3.5000000000000003E-2</v>
      </c>
      <c r="I275" s="201">
        <f t="shared" si="10"/>
        <v>6.589413447782546E-3</v>
      </c>
      <c r="J275" s="128"/>
      <c r="K275" s="128"/>
      <c r="L275" s="93">
        <v>28.309116666666668</v>
      </c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</row>
    <row r="276" spans="1:24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611">
        <f t="shared" si="11"/>
        <v>437.7</v>
      </c>
      <c r="G276" s="834">
        <v>59</v>
      </c>
      <c r="H276" s="160">
        <v>3.5000000000000003E-2</v>
      </c>
      <c r="I276" s="201">
        <f t="shared" si="10"/>
        <v>4.7178432716472483E-3</v>
      </c>
      <c r="J276" s="128"/>
      <c r="K276" s="128"/>
      <c r="L276" s="93">
        <v>8.3109333333333328</v>
      </c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</row>
    <row r="277" spans="1:24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611">
        <f t="shared" si="11"/>
        <v>555.74</v>
      </c>
      <c r="G277" s="834">
        <v>68.599999999999994</v>
      </c>
      <c r="H277" s="160">
        <v>3.5000000000000003E-2</v>
      </c>
      <c r="I277" s="201">
        <f t="shared" si="10"/>
        <v>4.3203656386079821E-3</v>
      </c>
      <c r="J277" s="128"/>
      <c r="K277" s="128"/>
      <c r="L277" s="93">
        <v>18.180166666666668</v>
      </c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</row>
    <row r="278" spans="1:24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611">
        <f t="shared" si="11"/>
        <v>396.6</v>
      </c>
      <c r="G278" s="834">
        <v>72.3</v>
      </c>
      <c r="H278" s="160">
        <v>3.5000000000000003E-2</v>
      </c>
      <c r="I278" s="201">
        <f t="shared" si="10"/>
        <v>6.3804841149773068E-3</v>
      </c>
      <c r="J278" s="128"/>
      <c r="K278" s="128"/>
      <c r="L278" s="93">
        <v>23.374499999999998</v>
      </c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</row>
    <row r="279" spans="1:24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611">
        <f t="shared" si="11"/>
        <v>1778.9</v>
      </c>
      <c r="G279" s="834">
        <v>218</v>
      </c>
      <c r="H279" s="160">
        <v>3.5000000000000003E-2</v>
      </c>
      <c r="I279" s="201">
        <f t="shared" si="10"/>
        <v>4.289167463038957E-3</v>
      </c>
      <c r="J279" s="128"/>
      <c r="K279" s="128"/>
      <c r="L279" s="93">
        <v>73.759533333333323</v>
      </c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</row>
    <row r="280" spans="1:24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611">
        <f t="shared" si="11"/>
        <v>731.78</v>
      </c>
      <c r="G280" s="834">
        <v>79.3</v>
      </c>
      <c r="H280" s="160">
        <v>3.5000000000000003E-2</v>
      </c>
      <c r="I280" s="201">
        <f t="shared" si="10"/>
        <v>3.7928065812129329E-3</v>
      </c>
      <c r="J280" s="128"/>
      <c r="K280" s="128"/>
      <c r="L280" s="93">
        <v>107.26298333333332</v>
      </c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</row>
    <row r="281" spans="1:24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611">
        <f t="shared" si="11"/>
        <v>185.4</v>
      </c>
      <c r="G281" s="834">
        <v>37.299999999999997</v>
      </c>
      <c r="H281" s="160">
        <v>3.5000000000000003E-2</v>
      </c>
      <c r="I281" s="201">
        <f t="shared" si="10"/>
        <v>7.0415318230852217E-3</v>
      </c>
      <c r="J281" s="128"/>
      <c r="K281" s="128"/>
      <c r="L281" s="93">
        <v>12.4664</v>
      </c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</row>
    <row r="282" spans="1:24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611">
        <f t="shared" si="11"/>
        <v>478.6</v>
      </c>
      <c r="G282" s="834">
        <v>51.2</v>
      </c>
      <c r="H282" s="160">
        <v>3.5000000000000003E-2</v>
      </c>
      <c r="I282" s="201">
        <f t="shared" si="10"/>
        <v>3.7442540743836193E-3</v>
      </c>
      <c r="J282" s="128"/>
      <c r="K282" s="128"/>
      <c r="L282" s="93">
        <v>18.180166666666668</v>
      </c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</row>
    <row r="283" spans="1:24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611">
        <f t="shared" si="11"/>
        <v>496.38</v>
      </c>
      <c r="G283" s="834">
        <v>50.3</v>
      </c>
      <c r="H283" s="160">
        <v>3.5000000000000003E-2</v>
      </c>
      <c r="I283" s="201">
        <f t="shared" si="10"/>
        <v>3.5466779483460257E-3</v>
      </c>
      <c r="J283" s="128"/>
      <c r="K283" s="128"/>
      <c r="L283" s="93">
        <v>18.180166666666668</v>
      </c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</row>
    <row r="284" spans="1:24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611">
        <f t="shared" si="11"/>
        <v>260.8</v>
      </c>
      <c r="G284" s="834">
        <v>35.299999999999997</v>
      </c>
      <c r="H284" s="160">
        <v>3.5000000000000003E-2</v>
      </c>
      <c r="I284" s="201">
        <f t="shared" ref="I284:I347" si="12">G284*H284/F284</f>
        <v>4.7373466257668714E-3</v>
      </c>
      <c r="J284" s="128"/>
      <c r="K284" s="128"/>
      <c r="L284" s="93">
        <v>8.3109333333333328</v>
      </c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</row>
    <row r="285" spans="1:24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611">
        <f t="shared" si="11"/>
        <v>282.8</v>
      </c>
      <c r="G285" s="834">
        <v>51.5</v>
      </c>
      <c r="H285" s="160">
        <v>3.5000000000000003E-2</v>
      </c>
      <c r="I285" s="201">
        <f t="shared" si="12"/>
        <v>6.3737623762376242E-3</v>
      </c>
      <c r="J285" s="128"/>
      <c r="K285" s="128"/>
      <c r="L285" s="93">
        <v>24.9328</v>
      </c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</row>
    <row r="286" spans="1:24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611">
        <f t="shared" si="11"/>
        <v>227.3</v>
      </c>
      <c r="G286" s="834">
        <v>67</v>
      </c>
      <c r="H286" s="160">
        <v>3.5000000000000003E-2</v>
      </c>
      <c r="I286" s="201">
        <f t="shared" si="12"/>
        <v>1.0316761988561372E-2</v>
      </c>
      <c r="J286" s="128"/>
      <c r="K286" s="128"/>
      <c r="L286" s="93">
        <v>28.049399999999999</v>
      </c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</row>
    <row r="287" spans="1:24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611">
        <f t="shared" si="11"/>
        <v>7849.73</v>
      </c>
      <c r="G287" s="834">
        <v>949.2</v>
      </c>
      <c r="H287" s="160">
        <v>3.5000000000000003E-2</v>
      </c>
      <c r="I287" s="201">
        <f t="shared" si="12"/>
        <v>4.232247478575697E-3</v>
      </c>
      <c r="J287" s="128"/>
      <c r="K287" s="128"/>
      <c r="L287" s="93">
        <v>406.97601666666662</v>
      </c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</row>
    <row r="288" spans="1:24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611">
        <f t="shared" si="11"/>
        <v>454.20000000000005</v>
      </c>
      <c r="G288" s="834">
        <v>32</v>
      </c>
      <c r="H288" s="160">
        <v>3.5000000000000003E-2</v>
      </c>
      <c r="I288" s="201">
        <f t="shared" si="12"/>
        <v>2.4658740642888597E-3</v>
      </c>
      <c r="J288" s="128"/>
      <c r="K288" s="128"/>
      <c r="L288" s="93">
        <v>24.673083333333334</v>
      </c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</row>
    <row r="289" spans="1:24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611">
        <f t="shared" si="11"/>
        <v>493.90000000000003</v>
      </c>
      <c r="G289" s="834">
        <v>69</v>
      </c>
      <c r="H289" s="160">
        <v>3.5000000000000003E-2</v>
      </c>
      <c r="I289" s="201">
        <f t="shared" si="12"/>
        <v>4.88965377606803E-3</v>
      </c>
      <c r="J289" s="128"/>
      <c r="K289" s="128"/>
      <c r="L289" s="93">
        <v>20.777333333333335</v>
      </c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</row>
    <row r="290" spans="1:24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611">
        <f t="shared" si="11"/>
        <v>698.82</v>
      </c>
      <c r="G290" s="834">
        <v>79.7</v>
      </c>
      <c r="H290" s="160">
        <v>3.5000000000000003E-2</v>
      </c>
      <c r="I290" s="201">
        <f t="shared" si="12"/>
        <v>3.9917289144557975E-3</v>
      </c>
      <c r="J290" s="128"/>
      <c r="K290" s="128"/>
      <c r="L290" s="93">
        <v>8.8303666666666665</v>
      </c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</row>
    <row r="291" spans="1:24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611">
        <f t="shared" si="11"/>
        <v>559.52</v>
      </c>
      <c r="G291" s="834">
        <v>60.3</v>
      </c>
      <c r="H291" s="160">
        <v>3.5000000000000003E-2</v>
      </c>
      <c r="I291" s="201">
        <f t="shared" si="12"/>
        <v>3.771983128395768E-3</v>
      </c>
      <c r="J291" s="128"/>
      <c r="K291" s="128"/>
      <c r="L291" s="93">
        <v>9.1939700000000002</v>
      </c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</row>
    <row r="292" spans="1:24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611">
        <f t="shared" si="11"/>
        <v>958</v>
      </c>
      <c r="G292" s="834">
        <v>105</v>
      </c>
      <c r="H292" s="160">
        <v>3.5000000000000003E-2</v>
      </c>
      <c r="I292" s="201">
        <f t="shared" si="12"/>
        <v>3.8361169102296452E-3</v>
      </c>
      <c r="J292" s="128"/>
      <c r="K292" s="128"/>
      <c r="L292" s="93">
        <v>30.127133333333333</v>
      </c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</row>
    <row r="293" spans="1:24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611">
        <f t="shared" si="11"/>
        <v>700</v>
      </c>
      <c r="G293" s="834">
        <v>74</v>
      </c>
      <c r="H293" s="160">
        <v>3.5000000000000003E-2</v>
      </c>
      <c r="I293" s="201">
        <f t="shared" si="12"/>
        <v>3.7000000000000006E-3</v>
      </c>
      <c r="J293" s="128"/>
      <c r="K293" s="128"/>
      <c r="L293" s="93">
        <v>27.789683333333333</v>
      </c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</row>
    <row r="294" spans="1:24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611">
        <f t="shared" si="11"/>
        <v>209.86</v>
      </c>
      <c r="G294" s="834">
        <v>48</v>
      </c>
      <c r="H294" s="160">
        <v>3.5000000000000003E-2</v>
      </c>
      <c r="I294" s="201">
        <f t="shared" si="12"/>
        <v>8.0053368912608412E-3</v>
      </c>
      <c r="J294" s="128"/>
      <c r="K294" s="128"/>
      <c r="L294" s="93">
        <v>26.491099999999999</v>
      </c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</row>
    <row r="295" spans="1:24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611">
        <f t="shared" si="11"/>
        <v>577.53</v>
      </c>
      <c r="G295" s="834">
        <v>49</v>
      </c>
      <c r="H295" s="160">
        <v>3.5000000000000003E-2</v>
      </c>
      <c r="I295" s="201">
        <f t="shared" si="12"/>
        <v>2.9695427077381263E-3</v>
      </c>
      <c r="J295" s="128"/>
      <c r="K295" s="128"/>
      <c r="L295" s="93">
        <v>53.241916666666661</v>
      </c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</row>
    <row r="296" spans="1:24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611">
        <f t="shared" si="11"/>
        <v>265.16000000000003</v>
      </c>
      <c r="G296" s="834">
        <v>35.700000000000003</v>
      </c>
      <c r="H296" s="160">
        <v>3.5000000000000003E-2</v>
      </c>
      <c r="I296" s="201">
        <f t="shared" si="12"/>
        <v>4.7122492080253434E-3</v>
      </c>
      <c r="J296" s="128"/>
      <c r="K296" s="128"/>
      <c r="L296" s="93">
        <v>16.36215</v>
      </c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</row>
    <row r="297" spans="1:24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611">
        <f t="shared" si="11"/>
        <v>134.88</v>
      </c>
      <c r="G297" s="834">
        <v>12</v>
      </c>
      <c r="H297" s="160">
        <v>3.5000000000000003E-2</v>
      </c>
      <c r="I297" s="201">
        <f t="shared" si="12"/>
        <v>3.1138790035587192E-3</v>
      </c>
      <c r="J297" s="128"/>
      <c r="K297" s="128"/>
      <c r="L297" s="93">
        <v>19.478750000000002</v>
      </c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</row>
    <row r="298" spans="1:24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611">
        <f t="shared" si="11"/>
        <v>427.34000000000003</v>
      </c>
      <c r="G298" s="834">
        <v>54</v>
      </c>
      <c r="H298" s="160">
        <v>3.5000000000000003E-2</v>
      </c>
      <c r="I298" s="201">
        <f t="shared" si="12"/>
        <v>4.4227079140731033E-3</v>
      </c>
      <c r="J298" s="128"/>
      <c r="K298" s="128"/>
      <c r="L298" s="93">
        <v>7.2720666666666673</v>
      </c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</row>
    <row r="299" spans="1:24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611">
        <f t="shared" si="11"/>
        <v>603</v>
      </c>
      <c r="G299" s="834">
        <v>65.7</v>
      </c>
      <c r="H299" s="160">
        <v>3.5000000000000003E-2</v>
      </c>
      <c r="I299" s="201">
        <f t="shared" si="12"/>
        <v>3.8134328358208958E-3</v>
      </c>
      <c r="J299" s="128"/>
      <c r="K299" s="128"/>
      <c r="L299" s="93">
        <v>27.789683333333333</v>
      </c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</row>
    <row r="300" spans="1:24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611">
        <f t="shared" si="11"/>
        <v>375.70000000000005</v>
      </c>
      <c r="G300" s="834">
        <v>44</v>
      </c>
      <c r="H300" s="160">
        <v>3.5000000000000003E-2</v>
      </c>
      <c r="I300" s="201">
        <f t="shared" si="12"/>
        <v>4.099015171679531E-3</v>
      </c>
      <c r="J300" s="128"/>
      <c r="K300" s="128"/>
      <c r="L300" s="93">
        <v>28.309116666666668</v>
      </c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</row>
    <row r="301" spans="1:24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611">
        <f t="shared" si="11"/>
        <v>607.62</v>
      </c>
      <c r="G301" s="834">
        <v>65</v>
      </c>
      <c r="H301" s="160">
        <v>3.5000000000000003E-2</v>
      </c>
      <c r="I301" s="201">
        <f t="shared" si="12"/>
        <v>3.744116388532307E-3</v>
      </c>
      <c r="J301" s="128"/>
      <c r="K301" s="128"/>
      <c r="L301" s="93">
        <v>22.075916666666664</v>
      </c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</row>
    <row r="302" spans="1:24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611">
        <f t="shared" si="11"/>
        <v>400.32000000000005</v>
      </c>
      <c r="G302" s="834">
        <v>55.7</v>
      </c>
      <c r="H302" s="160">
        <v>3.5000000000000003E-2</v>
      </c>
      <c r="I302" s="201">
        <f t="shared" si="12"/>
        <v>4.8698541167066347E-3</v>
      </c>
      <c r="J302" s="128"/>
      <c r="K302" s="128"/>
      <c r="L302" s="93">
        <v>30.646566666666665</v>
      </c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</row>
    <row r="303" spans="1:24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611">
        <f t="shared" si="11"/>
        <v>311.52000000000004</v>
      </c>
      <c r="G303" s="834">
        <v>55.7</v>
      </c>
      <c r="H303" s="160">
        <v>3.5000000000000003E-2</v>
      </c>
      <c r="I303" s="201">
        <f t="shared" si="12"/>
        <v>6.258025166923472E-3</v>
      </c>
      <c r="J303" s="128"/>
      <c r="K303" s="128"/>
      <c r="L303" s="93">
        <v>11.687249999999999</v>
      </c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</row>
    <row r="304" spans="1:24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611">
        <f t="shared" si="11"/>
        <v>451.70000000000005</v>
      </c>
      <c r="G304" s="834">
        <v>65.3</v>
      </c>
      <c r="H304" s="160">
        <v>3.5000000000000003E-2</v>
      </c>
      <c r="I304" s="201">
        <f t="shared" si="12"/>
        <v>5.0597741864069077E-3</v>
      </c>
      <c r="J304" s="128"/>
      <c r="K304" s="128"/>
      <c r="L304" s="93">
        <v>4.934616666666666</v>
      </c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</row>
    <row r="305" spans="1:24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611">
        <f t="shared" si="11"/>
        <v>529.70000000000005</v>
      </c>
      <c r="G305" s="834">
        <v>72</v>
      </c>
      <c r="H305" s="160">
        <v>3.5000000000000003E-2</v>
      </c>
      <c r="I305" s="201">
        <f t="shared" si="12"/>
        <v>4.7574098546346996E-3</v>
      </c>
      <c r="J305" s="128"/>
      <c r="K305" s="128"/>
      <c r="L305" s="93">
        <v>63.630583333333327</v>
      </c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</row>
    <row r="306" spans="1:24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611">
        <f t="shared" si="11"/>
        <v>306.10000000000002</v>
      </c>
      <c r="G306" s="834">
        <v>68</v>
      </c>
      <c r="H306" s="160">
        <v>3.5000000000000003E-2</v>
      </c>
      <c r="I306" s="201">
        <f t="shared" si="12"/>
        <v>7.7752368507023857E-3</v>
      </c>
      <c r="J306" s="128"/>
      <c r="K306" s="128"/>
      <c r="L306" s="93">
        <v>32.984016666666669</v>
      </c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</row>
    <row r="307" spans="1:24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611">
        <f t="shared" si="11"/>
        <v>551.6</v>
      </c>
      <c r="G307" s="834">
        <v>108.7</v>
      </c>
      <c r="H307" s="160">
        <v>3.5000000000000003E-2</v>
      </c>
      <c r="I307" s="201">
        <f t="shared" si="12"/>
        <v>6.897208121827412E-3</v>
      </c>
      <c r="J307" s="128"/>
      <c r="K307" s="128"/>
      <c r="L307" s="93">
        <v>17.401016666666667</v>
      </c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</row>
    <row r="308" spans="1:24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611">
        <f t="shared" si="11"/>
        <v>329.2</v>
      </c>
      <c r="G308" s="834">
        <v>50.7</v>
      </c>
      <c r="H308" s="160">
        <v>3.5000000000000003E-2</v>
      </c>
      <c r="I308" s="201">
        <f t="shared" si="12"/>
        <v>5.3903402187120298E-3</v>
      </c>
      <c r="J308" s="128"/>
      <c r="K308" s="128"/>
      <c r="L308" s="93">
        <v>11.687249999999999</v>
      </c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</row>
    <row r="309" spans="1:24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611">
        <f t="shared" si="11"/>
        <v>631.40000000000009</v>
      </c>
      <c r="G309" s="834">
        <v>87</v>
      </c>
      <c r="H309" s="160">
        <v>3.5000000000000003E-2</v>
      </c>
      <c r="I309" s="201">
        <f t="shared" si="12"/>
        <v>4.8226164079822617E-3</v>
      </c>
      <c r="J309" s="128"/>
      <c r="K309" s="128"/>
      <c r="L309" s="93">
        <v>20.569559999999999</v>
      </c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</row>
    <row r="310" spans="1:24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611">
        <f t="shared" si="11"/>
        <v>373.3</v>
      </c>
      <c r="G310" s="834">
        <v>56.7</v>
      </c>
      <c r="H310" s="160">
        <v>3.5000000000000003E-2</v>
      </c>
      <c r="I310" s="201">
        <f t="shared" si="12"/>
        <v>5.316099651754622E-3</v>
      </c>
      <c r="J310" s="128"/>
      <c r="K310" s="128"/>
      <c r="L310" s="93">
        <v>15.323283333333332</v>
      </c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</row>
    <row r="311" spans="1:24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611">
        <f t="shared" si="11"/>
        <v>918.4</v>
      </c>
      <c r="G311" s="834">
        <v>81.7</v>
      </c>
      <c r="H311" s="160">
        <v>3.5000000000000003E-2</v>
      </c>
      <c r="I311" s="201">
        <f t="shared" si="12"/>
        <v>3.1135670731707319E-3</v>
      </c>
      <c r="J311" s="128"/>
      <c r="K311" s="128"/>
      <c r="L311" s="93">
        <v>33.503449999999994</v>
      </c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</row>
    <row r="312" spans="1:24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611">
        <f t="shared" si="11"/>
        <v>778.80000000000007</v>
      </c>
      <c r="G312" s="834">
        <v>79</v>
      </c>
      <c r="H312" s="160">
        <v>3.5000000000000003E-2</v>
      </c>
      <c r="I312" s="201">
        <f t="shared" si="12"/>
        <v>3.5503338469440164E-3</v>
      </c>
      <c r="J312" s="128"/>
      <c r="K312" s="128"/>
      <c r="L312" s="93">
        <v>12.154739999999999</v>
      </c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</row>
    <row r="313" spans="1:24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611">
        <f t="shared" si="11"/>
        <v>806.91</v>
      </c>
      <c r="G313" s="834">
        <v>100</v>
      </c>
      <c r="H313" s="160">
        <v>3.5000000000000003E-2</v>
      </c>
      <c r="I313" s="201">
        <f t="shared" si="12"/>
        <v>4.3375345453644156E-3</v>
      </c>
      <c r="J313" s="128"/>
      <c r="K313" s="128"/>
      <c r="L313" s="93">
        <v>8.103159999999999</v>
      </c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</row>
    <row r="314" spans="1:24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611">
        <f t="shared" si="11"/>
        <v>805</v>
      </c>
      <c r="G314" s="834">
        <v>78.5</v>
      </c>
      <c r="H314" s="160">
        <v>3.5000000000000003E-2</v>
      </c>
      <c r="I314" s="201">
        <f t="shared" si="12"/>
        <v>3.4130434782608694E-3</v>
      </c>
      <c r="J314" s="128"/>
      <c r="K314" s="128"/>
      <c r="L314" s="93">
        <v>14.803849999999999</v>
      </c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</row>
    <row r="315" spans="1:24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611">
        <f t="shared" si="11"/>
        <v>491.9</v>
      </c>
      <c r="G315" s="834">
        <v>61.3</v>
      </c>
      <c r="H315" s="160">
        <v>3.5000000000000003E-2</v>
      </c>
      <c r="I315" s="201">
        <f t="shared" si="12"/>
        <v>4.3616588737548289E-3</v>
      </c>
      <c r="J315" s="128"/>
      <c r="K315" s="128"/>
      <c r="L315" s="93">
        <v>13.764983333333333</v>
      </c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</row>
    <row r="316" spans="1:24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611">
        <f t="shared" si="11"/>
        <v>640.20000000000005</v>
      </c>
      <c r="G316" s="834">
        <v>74.3</v>
      </c>
      <c r="H316" s="160">
        <v>3.5000000000000003E-2</v>
      </c>
      <c r="I316" s="201">
        <f t="shared" si="12"/>
        <v>4.0620118712902222E-3</v>
      </c>
      <c r="J316" s="128"/>
      <c r="K316" s="128"/>
      <c r="L316" s="93">
        <v>18.180166666666668</v>
      </c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</row>
    <row r="317" spans="1:24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611">
        <f t="shared" si="11"/>
        <v>537.94000000000005</v>
      </c>
      <c r="G317" s="834">
        <v>65.8</v>
      </c>
      <c r="H317" s="160">
        <v>3.5000000000000003E-2</v>
      </c>
      <c r="I317" s="201">
        <f t="shared" si="12"/>
        <v>4.2811465962746768E-3</v>
      </c>
      <c r="J317" s="128"/>
      <c r="K317" s="128"/>
      <c r="L317" s="93">
        <v>6.7526333333333328</v>
      </c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</row>
    <row r="318" spans="1:24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611">
        <f t="shared" si="11"/>
        <v>929.9</v>
      </c>
      <c r="G318" s="834">
        <v>84.8</v>
      </c>
      <c r="H318" s="160">
        <v>3.5000000000000003E-2</v>
      </c>
      <c r="I318" s="201">
        <f t="shared" si="12"/>
        <v>3.1917410474244542E-3</v>
      </c>
      <c r="J318" s="128"/>
      <c r="K318" s="128"/>
      <c r="L318" s="93">
        <v>11.946966666666667</v>
      </c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</row>
    <row r="319" spans="1:24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611">
        <f t="shared" si="11"/>
        <v>1417.36</v>
      </c>
      <c r="G319" s="834">
        <v>108.9</v>
      </c>
      <c r="H319" s="160">
        <v>3.5000000000000003E-2</v>
      </c>
      <c r="I319" s="201">
        <f t="shared" si="12"/>
        <v>2.689154484393521E-3</v>
      </c>
      <c r="J319" s="128"/>
      <c r="K319" s="128"/>
      <c r="L319" s="93">
        <v>75.317833333333326</v>
      </c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</row>
    <row r="320" spans="1:24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611">
        <f t="shared" si="11"/>
        <v>785.9799999999999</v>
      </c>
      <c r="G320" s="834">
        <v>82.3</v>
      </c>
      <c r="H320" s="160">
        <v>3.5000000000000003E-2</v>
      </c>
      <c r="I320" s="201">
        <f t="shared" si="12"/>
        <v>3.6648515229395157E-3</v>
      </c>
      <c r="J320" s="128"/>
      <c r="K320" s="128"/>
      <c r="L320" s="93">
        <v>16.881583333333335</v>
      </c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</row>
    <row r="321" spans="1:24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611">
        <f t="shared" si="11"/>
        <v>485.67999999999995</v>
      </c>
      <c r="G321" s="834">
        <v>74.7</v>
      </c>
      <c r="H321" s="160">
        <v>3.5000000000000003E-2</v>
      </c>
      <c r="I321" s="201">
        <f t="shared" si="12"/>
        <v>5.3831741064075123E-3</v>
      </c>
      <c r="J321" s="128"/>
      <c r="K321" s="128"/>
      <c r="L321" s="93">
        <v>8.8303666666666665</v>
      </c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</row>
    <row r="322" spans="1:24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611">
        <f t="shared" si="11"/>
        <v>461.17</v>
      </c>
      <c r="G322" s="834">
        <v>58</v>
      </c>
      <c r="H322" s="160">
        <v>3.5000000000000003E-2</v>
      </c>
      <c r="I322" s="201">
        <f t="shared" si="12"/>
        <v>4.4018474749007962E-3</v>
      </c>
      <c r="J322" s="128"/>
      <c r="K322" s="128"/>
      <c r="L322" s="93">
        <v>8.8303666666666665</v>
      </c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</row>
    <row r="323" spans="1:24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611">
        <f t="shared" si="11"/>
        <v>305.37</v>
      </c>
      <c r="G323" s="834">
        <v>25</v>
      </c>
      <c r="H323" s="160">
        <v>3.5000000000000003E-2</v>
      </c>
      <c r="I323" s="201">
        <f t="shared" si="12"/>
        <v>2.8653764285948196E-3</v>
      </c>
      <c r="J323" s="128"/>
      <c r="K323" s="128"/>
      <c r="L323" s="93">
        <v>0</v>
      </c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</row>
    <row r="324" spans="1:24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611">
        <f t="shared" si="11"/>
        <v>170.8</v>
      </c>
      <c r="G324" s="834"/>
      <c r="H324" s="160">
        <v>3.5000000000000003E-2</v>
      </c>
      <c r="I324" s="201">
        <f t="shared" si="12"/>
        <v>0</v>
      </c>
      <c r="J324" s="128"/>
      <c r="K324" s="128"/>
      <c r="L324" s="93">
        <v>10.908099999999999</v>
      </c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</row>
    <row r="325" spans="1:24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611">
        <f t="shared" si="11"/>
        <v>678.2</v>
      </c>
      <c r="G325" s="834">
        <v>70</v>
      </c>
      <c r="H325" s="160">
        <v>3.5000000000000003E-2</v>
      </c>
      <c r="I325" s="201">
        <f t="shared" si="12"/>
        <v>3.6125036862282513E-3</v>
      </c>
      <c r="J325" s="128"/>
      <c r="K325" s="128"/>
      <c r="L325" s="93">
        <v>63.370866666666657</v>
      </c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</row>
    <row r="326" spans="1:24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611">
        <f t="shared" si="11"/>
        <v>2613.27</v>
      </c>
      <c r="G326" s="834">
        <v>207.3</v>
      </c>
      <c r="H326" s="160">
        <v>3.5000000000000003E-2</v>
      </c>
      <c r="I326" s="201">
        <f t="shared" si="12"/>
        <v>2.7764065710776161E-3</v>
      </c>
      <c r="J326" s="128"/>
      <c r="K326" s="128"/>
      <c r="L326" s="93">
        <v>270.62476666666663</v>
      </c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</row>
    <row r="327" spans="1:24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611">
        <f t="shared" si="11"/>
        <v>2055.4499999999998</v>
      </c>
      <c r="G327" s="834">
        <v>85</v>
      </c>
      <c r="H327" s="160">
        <v>3.5000000000000003E-2</v>
      </c>
      <c r="I327" s="201">
        <f t="shared" si="12"/>
        <v>1.4473716217859838E-3</v>
      </c>
      <c r="J327" s="128"/>
      <c r="K327" s="128"/>
      <c r="L327" s="93">
        <v>63.630583333333327</v>
      </c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</row>
    <row r="328" spans="1:24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611">
        <f t="shared" si="11"/>
        <v>3486.96</v>
      </c>
      <c r="G328" s="834">
        <v>348.2</v>
      </c>
      <c r="H328" s="160">
        <v>3.5000000000000003E-2</v>
      </c>
      <c r="I328" s="201">
        <f t="shared" si="12"/>
        <v>3.4950214513501734E-3</v>
      </c>
      <c r="J328" s="128"/>
      <c r="K328" s="128"/>
      <c r="L328" s="93">
        <v>392.17216666666661</v>
      </c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</row>
    <row r="329" spans="1:24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611">
        <f t="shared" si="11"/>
        <v>394.94</v>
      </c>
      <c r="G329" s="834">
        <v>44.7</v>
      </c>
      <c r="H329" s="160">
        <v>3.5000000000000003E-2</v>
      </c>
      <c r="I329" s="201">
        <f t="shared" si="12"/>
        <v>3.9613612194257363E-3</v>
      </c>
      <c r="J329" s="128"/>
      <c r="K329" s="128"/>
      <c r="L329" s="93">
        <v>27.529966666666667</v>
      </c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</row>
    <row r="330" spans="1:24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611">
        <f t="shared" si="11"/>
        <v>351.67</v>
      </c>
      <c r="G330" s="834">
        <v>39.700000000000003</v>
      </c>
      <c r="H330" s="160">
        <v>3.5000000000000003E-2</v>
      </c>
      <c r="I330" s="201">
        <f t="shared" si="12"/>
        <v>3.9511473824892654E-3</v>
      </c>
      <c r="J330" s="128"/>
      <c r="K330" s="128"/>
      <c r="L330" s="93">
        <v>24.673083333333334</v>
      </c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</row>
    <row r="331" spans="1:24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611">
        <f t="shared" si="11"/>
        <v>615.6</v>
      </c>
      <c r="G331" s="834">
        <v>69.3</v>
      </c>
      <c r="H331" s="160">
        <v>3.5000000000000003E-2</v>
      </c>
      <c r="I331" s="201">
        <f t="shared" si="12"/>
        <v>3.9400584795321637E-3</v>
      </c>
      <c r="J331" s="128"/>
      <c r="K331" s="128"/>
      <c r="L331" s="93">
        <v>33.503449999999994</v>
      </c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</row>
    <row r="332" spans="1:24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611">
        <f t="shared" si="11"/>
        <v>571.49</v>
      </c>
      <c r="G332" s="834">
        <v>119.3</v>
      </c>
      <c r="H332" s="160">
        <v>3.5000000000000003E-2</v>
      </c>
      <c r="I332" s="201">
        <f t="shared" si="12"/>
        <v>7.3063395684963874E-3</v>
      </c>
      <c r="J332" s="128"/>
      <c r="K332" s="128"/>
      <c r="L332" s="93">
        <v>12.206683333333332</v>
      </c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</row>
    <row r="333" spans="1:24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611">
        <f t="shared" ref="F333:F400" si="13">C333+D333+E333</f>
        <v>339.26</v>
      </c>
      <c r="G333" s="834">
        <v>53.3</v>
      </c>
      <c r="H333" s="160">
        <v>3.5000000000000003E-2</v>
      </c>
      <c r="I333" s="201">
        <f t="shared" si="12"/>
        <v>5.4987325355184821E-3</v>
      </c>
      <c r="J333" s="128"/>
      <c r="K333" s="128"/>
      <c r="L333" s="93">
        <v>16.881583333333335</v>
      </c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</row>
    <row r="334" spans="1:24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611">
        <f t="shared" si="13"/>
        <v>364.76</v>
      </c>
      <c r="G334" s="834">
        <v>83.3</v>
      </c>
      <c r="H334" s="160">
        <v>3.5000000000000003E-2</v>
      </c>
      <c r="I334" s="201">
        <f t="shared" si="12"/>
        <v>7.9929268560149144E-3</v>
      </c>
      <c r="J334" s="128"/>
      <c r="K334" s="128"/>
      <c r="L334" s="93">
        <v>14.024699999999999</v>
      </c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</row>
    <row r="335" spans="1:24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611">
        <f t="shared" si="13"/>
        <v>329.3</v>
      </c>
      <c r="G335" s="834">
        <v>54</v>
      </c>
      <c r="H335" s="160">
        <v>3.5000000000000003E-2</v>
      </c>
      <c r="I335" s="201">
        <f t="shared" si="12"/>
        <v>5.7394473124810202E-3</v>
      </c>
      <c r="J335" s="128"/>
      <c r="K335" s="128"/>
      <c r="L335" s="93">
        <v>6.492916666666666</v>
      </c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</row>
    <row r="336" spans="1:24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611">
        <f t="shared" si="13"/>
        <v>445.65</v>
      </c>
      <c r="G336" s="834">
        <v>60.7</v>
      </c>
      <c r="H336" s="160">
        <v>3.5000000000000003E-2</v>
      </c>
      <c r="I336" s="201">
        <f t="shared" si="12"/>
        <v>4.7671939863121295E-3</v>
      </c>
      <c r="J336" s="128"/>
      <c r="K336" s="128"/>
      <c r="L336" s="93">
        <v>9.609516666666666</v>
      </c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</row>
    <row r="337" spans="1:24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611">
        <f t="shared" si="13"/>
        <v>515.54999999999995</v>
      </c>
      <c r="G337" s="834">
        <v>64</v>
      </c>
      <c r="H337" s="160">
        <v>3.5000000000000003E-2</v>
      </c>
      <c r="I337" s="201">
        <f t="shared" si="12"/>
        <v>4.3448744059742033E-3</v>
      </c>
      <c r="J337" s="128"/>
      <c r="K337" s="128"/>
      <c r="L337" s="93">
        <v>27.789683333333333</v>
      </c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</row>
    <row r="338" spans="1:24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611">
        <f t="shared" si="13"/>
        <v>969.83999999999992</v>
      </c>
      <c r="G338" s="834">
        <v>110</v>
      </c>
      <c r="H338" s="160">
        <v>3.5000000000000003E-2</v>
      </c>
      <c r="I338" s="201">
        <f t="shared" si="12"/>
        <v>3.9697269652726229E-3</v>
      </c>
      <c r="J338" s="128"/>
      <c r="K338" s="128"/>
      <c r="L338" s="93">
        <v>33.76316666666667</v>
      </c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</row>
    <row r="339" spans="1:24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611">
        <f t="shared" si="13"/>
        <v>505.24</v>
      </c>
      <c r="G339" s="834">
        <v>58</v>
      </c>
      <c r="H339" s="160">
        <v>3.5000000000000003E-2</v>
      </c>
      <c r="I339" s="201">
        <f t="shared" si="12"/>
        <v>4.0178924867389759E-3</v>
      </c>
      <c r="J339" s="128"/>
      <c r="K339" s="128"/>
      <c r="L339" s="93">
        <v>27.789683333333333</v>
      </c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</row>
    <row r="340" spans="1:24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611">
        <f t="shared" si="13"/>
        <v>497.67999999999995</v>
      </c>
      <c r="G340" s="834">
        <v>48.7</v>
      </c>
      <c r="H340" s="160">
        <v>3.5000000000000003E-2</v>
      </c>
      <c r="I340" s="201">
        <f t="shared" si="12"/>
        <v>3.424891496543965E-3</v>
      </c>
      <c r="J340" s="128"/>
      <c r="K340" s="128"/>
      <c r="L340" s="93">
        <v>13.24555</v>
      </c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</row>
    <row r="341" spans="1:24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611">
        <f t="shared" si="13"/>
        <v>244.79999999999998</v>
      </c>
      <c r="G341" s="834">
        <v>42.7</v>
      </c>
      <c r="H341" s="160">
        <v>3.5000000000000003E-2</v>
      </c>
      <c r="I341" s="201">
        <f t="shared" si="12"/>
        <v>6.1049836601307196E-3</v>
      </c>
      <c r="J341" s="128"/>
      <c r="K341" s="128"/>
      <c r="L341" s="93">
        <v>5.7137666666666664</v>
      </c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</row>
    <row r="342" spans="1:24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611">
        <f t="shared" si="13"/>
        <v>607.48</v>
      </c>
      <c r="G342" s="834">
        <v>60</v>
      </c>
      <c r="H342" s="160">
        <v>3.5000000000000003E-2</v>
      </c>
      <c r="I342" s="201">
        <f t="shared" si="12"/>
        <v>3.4569039309936128E-3</v>
      </c>
      <c r="J342" s="128"/>
      <c r="K342" s="128"/>
      <c r="L342" s="93">
        <v>5.7137666666666664</v>
      </c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</row>
    <row r="343" spans="1:24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611">
        <f t="shared" si="13"/>
        <v>480.34999999999997</v>
      </c>
      <c r="G343" s="834">
        <v>65.5</v>
      </c>
      <c r="H343" s="160">
        <v>3.5000000000000003E-2</v>
      </c>
      <c r="I343" s="201">
        <f t="shared" si="12"/>
        <v>4.7725616737795372E-3</v>
      </c>
      <c r="J343" s="128"/>
      <c r="K343" s="128"/>
      <c r="L343" s="93">
        <v>4.934616666666666</v>
      </c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</row>
    <row r="344" spans="1:24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611">
        <f t="shared" si="13"/>
        <v>1165.33</v>
      </c>
      <c r="G344" s="834">
        <v>90.8</v>
      </c>
      <c r="H344" s="160">
        <v>3.5000000000000003E-2</v>
      </c>
      <c r="I344" s="201">
        <f t="shared" si="12"/>
        <v>2.7271245055048789E-3</v>
      </c>
      <c r="J344" s="128"/>
      <c r="K344" s="128"/>
      <c r="L344" s="93">
        <v>18.6996</v>
      </c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</row>
    <row r="345" spans="1:24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611">
        <f t="shared" si="13"/>
        <v>1416.02</v>
      </c>
      <c r="G345" s="834">
        <v>227</v>
      </c>
      <c r="H345" s="160">
        <v>3.5000000000000003E-2</v>
      </c>
      <c r="I345" s="201">
        <f t="shared" si="12"/>
        <v>5.6107964576771526E-3</v>
      </c>
      <c r="J345" s="128"/>
      <c r="K345" s="128"/>
      <c r="L345" s="93">
        <v>49.346166666666669</v>
      </c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</row>
    <row r="346" spans="1:24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611">
        <f t="shared" si="13"/>
        <v>1501.81</v>
      </c>
      <c r="G346" s="834">
        <v>107.3</v>
      </c>
      <c r="H346" s="160">
        <v>3.5000000000000003E-2</v>
      </c>
      <c r="I346" s="201">
        <f t="shared" si="12"/>
        <v>2.5006492166119551E-3</v>
      </c>
      <c r="J346" s="128"/>
      <c r="K346" s="128"/>
      <c r="L346" s="93">
        <v>57.137666666666668</v>
      </c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</row>
    <row r="347" spans="1:24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611">
        <f t="shared" si="13"/>
        <v>970</v>
      </c>
      <c r="G347" s="834">
        <v>180</v>
      </c>
      <c r="H347" s="160">
        <v>3.5000000000000003E-2</v>
      </c>
      <c r="I347" s="201">
        <f t="shared" si="12"/>
        <v>6.4948453608247433E-3</v>
      </c>
      <c r="J347" s="128"/>
      <c r="K347" s="128"/>
      <c r="L347" s="93">
        <v>33.76316666666667</v>
      </c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</row>
    <row r="348" spans="1:24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611">
        <f t="shared" si="13"/>
        <v>2158</v>
      </c>
      <c r="G348" s="834">
        <v>201.2</v>
      </c>
      <c r="H348" s="160">
        <v>3.5000000000000003E-2</v>
      </c>
      <c r="I348" s="201">
        <f t="shared" ref="I348:I379" si="14">G348*H348/F348</f>
        <v>3.2632066728452273E-3</v>
      </c>
      <c r="J348" s="128"/>
      <c r="K348" s="128"/>
      <c r="L348" s="93">
        <v>42.333816666666664</v>
      </c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</row>
    <row r="349" spans="1:24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611">
        <f t="shared" si="13"/>
        <v>729.1</v>
      </c>
      <c r="G349" s="834">
        <v>95.3</v>
      </c>
      <c r="H349" s="160">
        <v>3.5000000000000003E-2</v>
      </c>
      <c r="I349" s="201">
        <f t="shared" si="14"/>
        <v>4.5748182690988895E-3</v>
      </c>
      <c r="J349" s="128"/>
      <c r="K349" s="128"/>
      <c r="L349" s="93">
        <v>24.413366666666665</v>
      </c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</row>
    <row r="350" spans="1:24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611">
        <f t="shared" si="13"/>
        <v>1052.04</v>
      </c>
      <c r="G350" s="834">
        <v>91.5</v>
      </c>
      <c r="H350" s="160">
        <v>3.5000000000000003E-2</v>
      </c>
      <c r="I350" s="201">
        <f t="shared" si="14"/>
        <v>3.044085776206228E-3</v>
      </c>
      <c r="J350" s="128"/>
      <c r="K350" s="128"/>
      <c r="L350" s="93">
        <v>8.0512166666666669</v>
      </c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</row>
    <row r="351" spans="1:24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611">
        <f t="shared" si="13"/>
        <v>608.6</v>
      </c>
      <c r="G351" s="834">
        <v>91.3</v>
      </c>
      <c r="H351" s="160">
        <v>3.5000000000000003E-2</v>
      </c>
      <c r="I351" s="201">
        <f t="shared" si="14"/>
        <v>5.2505750903713436E-3</v>
      </c>
      <c r="J351" s="128"/>
      <c r="K351" s="128"/>
      <c r="L351" s="93">
        <v>8.3109333333333328</v>
      </c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</row>
    <row r="352" spans="1:24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611">
        <f t="shared" si="13"/>
        <v>415.8</v>
      </c>
      <c r="G352" s="834">
        <v>56.7</v>
      </c>
      <c r="H352" s="160">
        <v>3.5000000000000003E-2</v>
      </c>
      <c r="I352" s="201">
        <f t="shared" si="14"/>
        <v>4.7727272727272731E-3</v>
      </c>
      <c r="J352" s="128"/>
      <c r="K352" s="128"/>
      <c r="L352" s="93">
        <v>14.544133333333335</v>
      </c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</row>
    <row r="353" spans="1:24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611">
        <f t="shared" si="13"/>
        <v>460.4</v>
      </c>
      <c r="G353" s="834">
        <v>59</v>
      </c>
      <c r="H353" s="160">
        <v>3.5000000000000003E-2</v>
      </c>
      <c r="I353" s="201">
        <f t="shared" si="14"/>
        <v>4.485230234578628E-3</v>
      </c>
      <c r="J353" s="128"/>
      <c r="K353" s="128"/>
      <c r="L353" s="93">
        <v>11.687249999999999</v>
      </c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</row>
    <row r="354" spans="1:24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611">
        <f t="shared" si="13"/>
        <v>573</v>
      </c>
      <c r="G354" s="834">
        <v>146</v>
      </c>
      <c r="H354" s="160">
        <v>3.5000000000000003E-2</v>
      </c>
      <c r="I354" s="201">
        <f t="shared" si="14"/>
        <v>8.9179755671902269E-3</v>
      </c>
      <c r="J354" s="128"/>
      <c r="K354" s="128"/>
      <c r="L354" s="93">
        <v>9.0900833333333342</v>
      </c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</row>
    <row r="355" spans="1:24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611">
        <f t="shared" si="13"/>
        <v>791.22</v>
      </c>
      <c r="G355" s="834">
        <v>63.8</v>
      </c>
      <c r="H355" s="160">
        <v>3.5000000000000003E-2</v>
      </c>
      <c r="I355" s="201">
        <f t="shared" si="14"/>
        <v>2.8222239073835342E-3</v>
      </c>
      <c r="J355" s="128"/>
      <c r="K355" s="128"/>
      <c r="L355" s="93">
        <v>19.998183333333333</v>
      </c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</row>
    <row r="356" spans="1:24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611">
        <f t="shared" si="13"/>
        <v>765.5</v>
      </c>
      <c r="G356" s="834">
        <v>96.3</v>
      </c>
      <c r="H356" s="160">
        <v>3.5000000000000003E-2</v>
      </c>
      <c r="I356" s="201">
        <f t="shared" si="14"/>
        <v>4.403004572175049E-3</v>
      </c>
      <c r="J356" s="128"/>
      <c r="K356" s="128"/>
      <c r="L356" s="93">
        <v>27.737739999999999</v>
      </c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</row>
    <row r="357" spans="1:24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611">
        <f t="shared" si="13"/>
        <v>806.19999999999993</v>
      </c>
      <c r="G357" s="834">
        <v>98</v>
      </c>
      <c r="H357" s="160">
        <v>3.5000000000000003E-2</v>
      </c>
      <c r="I357" s="201">
        <f t="shared" si="14"/>
        <v>4.254527412552717E-3</v>
      </c>
      <c r="J357" s="128"/>
      <c r="K357" s="128"/>
      <c r="L357" s="93">
        <v>9.1939700000000002</v>
      </c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</row>
    <row r="358" spans="1:24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611">
        <f t="shared" si="13"/>
        <v>753</v>
      </c>
      <c r="G358" s="834">
        <v>66.3</v>
      </c>
      <c r="H358" s="160">
        <v>3.5000000000000003E-2</v>
      </c>
      <c r="I358" s="201">
        <f t="shared" si="14"/>
        <v>3.0816733067729083E-3</v>
      </c>
      <c r="J358" s="128"/>
      <c r="K358" s="128"/>
      <c r="L358" s="93">
        <v>10.648383333333333</v>
      </c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</row>
    <row r="359" spans="1:24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611">
        <f t="shared" si="13"/>
        <v>612.20000000000005</v>
      </c>
      <c r="G359" s="834">
        <v>54</v>
      </c>
      <c r="H359" s="160">
        <v>3.5000000000000003E-2</v>
      </c>
      <c r="I359" s="201">
        <f t="shared" si="14"/>
        <v>3.0872263966024173E-3</v>
      </c>
      <c r="J359" s="128"/>
      <c r="K359" s="128"/>
      <c r="L359" s="93">
        <v>12.206683333333332</v>
      </c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</row>
    <row r="360" spans="1:24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611">
        <f t="shared" si="13"/>
        <v>611.79999999999995</v>
      </c>
      <c r="G360" s="834">
        <v>54.5</v>
      </c>
      <c r="H360" s="160">
        <v>3.5000000000000003E-2</v>
      </c>
      <c r="I360" s="201">
        <f t="shared" si="14"/>
        <v>3.117848970251717E-3</v>
      </c>
      <c r="J360" s="128"/>
      <c r="K360" s="128"/>
      <c r="L360" s="93">
        <v>8.4148199999999989</v>
      </c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</row>
    <row r="361" spans="1:24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611">
        <f t="shared" si="13"/>
        <v>510.4</v>
      </c>
      <c r="G361" s="834">
        <v>68</v>
      </c>
      <c r="H361" s="160">
        <v>3.5000000000000003E-2</v>
      </c>
      <c r="I361" s="201">
        <f t="shared" si="14"/>
        <v>4.6630094043887153E-3</v>
      </c>
      <c r="J361" s="128"/>
      <c r="K361" s="128"/>
      <c r="L361" s="93">
        <v>18.6996</v>
      </c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</row>
    <row r="362" spans="1:24" s="6" customFormat="1" ht="15.75">
      <c r="A362" s="268">
        <v>271</v>
      </c>
      <c r="B362" s="122" t="s">
        <v>1314</v>
      </c>
      <c r="C362" s="55">
        <v>564</v>
      </c>
      <c r="D362" s="260">
        <v>87.5</v>
      </c>
      <c r="E362" s="256"/>
      <c r="F362" s="611">
        <f t="shared" si="13"/>
        <v>651.5</v>
      </c>
      <c r="G362" s="834">
        <v>47</v>
      </c>
      <c r="H362" s="160">
        <v>3.5000000000000003E-2</v>
      </c>
      <c r="I362" s="201">
        <f t="shared" si="14"/>
        <v>2.524942440521873E-3</v>
      </c>
      <c r="J362" s="128"/>
      <c r="K362" s="128"/>
      <c r="L362" s="93">
        <v>4.934616666666666</v>
      </c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</row>
    <row r="363" spans="1:24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611">
        <f t="shared" si="13"/>
        <v>789.90000000000009</v>
      </c>
      <c r="G363" s="834">
        <v>100.3</v>
      </c>
      <c r="H363" s="160">
        <v>3.5000000000000003E-2</v>
      </c>
      <c r="I363" s="201">
        <f t="shared" si="14"/>
        <v>4.444233447271807E-3</v>
      </c>
      <c r="J363" s="128"/>
      <c r="K363" s="128"/>
      <c r="L363" s="93">
        <v>23.686160000000001</v>
      </c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</row>
    <row r="364" spans="1:24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611">
        <f t="shared" si="13"/>
        <v>770.6</v>
      </c>
      <c r="G364" s="834">
        <v>100.7</v>
      </c>
      <c r="H364" s="160">
        <v>3.5000000000000003E-2</v>
      </c>
      <c r="I364" s="201">
        <f t="shared" si="14"/>
        <v>4.5737087983389576E-3</v>
      </c>
      <c r="J364" s="128"/>
      <c r="K364" s="128"/>
      <c r="L364" s="93">
        <v>26.491099999999999</v>
      </c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</row>
    <row r="365" spans="1:24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611">
        <f t="shared" si="13"/>
        <v>958.2</v>
      </c>
      <c r="G365" s="834">
        <v>110</v>
      </c>
      <c r="H365" s="160">
        <v>3.5000000000000003E-2</v>
      </c>
      <c r="I365" s="201">
        <f t="shared" si="14"/>
        <v>4.0179503235232734E-3</v>
      </c>
      <c r="J365" s="128"/>
      <c r="K365" s="128"/>
      <c r="L365" s="93">
        <v>25.971666666666664</v>
      </c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</row>
    <row r="366" spans="1:24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611">
        <f t="shared" si="13"/>
        <v>1194.4199999999998</v>
      </c>
      <c r="G366" s="834">
        <v>109</v>
      </c>
      <c r="H366" s="160">
        <v>3.5000000000000003E-2</v>
      </c>
      <c r="I366" s="201">
        <f t="shared" si="14"/>
        <v>3.1940188543393452E-3</v>
      </c>
      <c r="J366" s="128"/>
      <c r="K366" s="128"/>
      <c r="L366" s="93">
        <v>21.816199999999998</v>
      </c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</row>
    <row r="367" spans="1:24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611">
        <f t="shared" si="13"/>
        <v>437.85999999999996</v>
      </c>
      <c r="G367" s="834">
        <v>51</v>
      </c>
      <c r="H367" s="160">
        <v>3.5000000000000003E-2</v>
      </c>
      <c r="I367" s="201">
        <f t="shared" si="14"/>
        <v>4.0766455031288548E-3</v>
      </c>
      <c r="J367" s="128"/>
      <c r="K367" s="128"/>
      <c r="L367" s="93">
        <v>27.010533333333338</v>
      </c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</row>
    <row r="368" spans="1:24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611">
        <f t="shared" si="13"/>
        <v>712.5</v>
      </c>
      <c r="G368" s="834">
        <v>70.3</v>
      </c>
      <c r="H368" s="160">
        <v>3.5000000000000003E-2</v>
      </c>
      <c r="I368" s="201">
        <f t="shared" si="14"/>
        <v>3.4533333333333334E-3</v>
      </c>
      <c r="J368" s="128"/>
      <c r="K368" s="128"/>
      <c r="L368" s="93">
        <v>18.439883333333331</v>
      </c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</row>
    <row r="369" spans="1:24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611">
        <f t="shared" si="13"/>
        <v>1035.06</v>
      </c>
      <c r="G369" s="834">
        <v>129.30000000000001</v>
      </c>
      <c r="H369" s="160">
        <v>3.5000000000000003E-2</v>
      </c>
      <c r="I369" s="201">
        <f t="shared" si="14"/>
        <v>4.3722103066488908E-3</v>
      </c>
      <c r="J369" s="128"/>
      <c r="K369" s="128"/>
      <c r="L369" s="93">
        <v>25</v>
      </c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</row>
    <row r="370" spans="1:24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611">
        <f t="shared" si="13"/>
        <v>684.4</v>
      </c>
      <c r="G370" s="834">
        <v>90.7</v>
      </c>
      <c r="H370" s="160">
        <v>3.5000000000000003E-2</v>
      </c>
      <c r="I370" s="201">
        <f t="shared" si="14"/>
        <v>4.6383693746347172E-3</v>
      </c>
      <c r="J370" s="128"/>
      <c r="K370" s="128"/>
      <c r="L370" s="93">
        <v>16.36215</v>
      </c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</row>
    <row r="371" spans="1:24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611">
        <f t="shared" si="13"/>
        <v>858.85</v>
      </c>
      <c r="G371" s="834">
        <v>85.7</v>
      </c>
      <c r="H371" s="160">
        <v>3.5000000000000003E-2</v>
      </c>
      <c r="I371" s="201">
        <f t="shared" si="14"/>
        <v>3.4924608488094548E-3</v>
      </c>
      <c r="J371" s="128"/>
      <c r="K371" s="128"/>
      <c r="L371" s="93">
        <v>21.816199999999998</v>
      </c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</row>
    <row r="372" spans="1:24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611">
        <f t="shared" si="13"/>
        <v>827.7</v>
      </c>
      <c r="G372" s="834">
        <v>89.3</v>
      </c>
      <c r="H372" s="160">
        <v>3.5000000000000003E-2</v>
      </c>
      <c r="I372" s="201">
        <f t="shared" si="14"/>
        <v>3.776126615923644E-3</v>
      </c>
      <c r="J372" s="128"/>
      <c r="K372" s="128"/>
      <c r="L372" s="93">
        <v>17.764620000000001</v>
      </c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</row>
    <row r="373" spans="1:24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611">
        <f t="shared" si="13"/>
        <v>837.19</v>
      </c>
      <c r="G373" s="834">
        <v>97</v>
      </c>
      <c r="H373" s="160">
        <v>3.5000000000000003E-2</v>
      </c>
      <c r="I373" s="201">
        <f t="shared" si="14"/>
        <v>4.0552323845244216E-3</v>
      </c>
      <c r="J373" s="128"/>
      <c r="K373" s="128"/>
      <c r="L373" s="93">
        <v>12.77806</v>
      </c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</row>
    <row r="374" spans="1:24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611">
        <f t="shared" si="13"/>
        <v>325.10000000000002</v>
      </c>
      <c r="G374" s="834">
        <v>55.7</v>
      </c>
      <c r="H374" s="160">
        <v>3.5000000000000003E-2</v>
      </c>
      <c r="I374" s="201">
        <f t="shared" si="14"/>
        <v>5.9966164257151651E-3</v>
      </c>
      <c r="J374" s="128"/>
      <c r="K374" s="128"/>
      <c r="L374" s="93">
        <v>8.3109333333333328</v>
      </c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</row>
    <row r="375" spans="1:24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611">
        <f t="shared" si="13"/>
        <v>513</v>
      </c>
      <c r="G375" s="834">
        <v>59.3</v>
      </c>
      <c r="H375" s="160">
        <v>3.5000000000000003E-2</v>
      </c>
      <c r="I375" s="201">
        <f t="shared" si="14"/>
        <v>4.0458089668615983E-3</v>
      </c>
      <c r="J375" s="128"/>
      <c r="K375" s="128"/>
      <c r="L375" s="93">
        <v>19.998183333333333</v>
      </c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</row>
    <row r="376" spans="1:24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611">
        <f t="shared" si="13"/>
        <v>1023.42</v>
      </c>
      <c r="G376" s="834">
        <v>103.5</v>
      </c>
      <c r="H376" s="160">
        <v>3.5000000000000003E-2</v>
      </c>
      <c r="I376" s="201">
        <f t="shared" si="14"/>
        <v>3.5396025092337465E-3</v>
      </c>
      <c r="J376" s="128"/>
      <c r="K376" s="128"/>
      <c r="L376" s="93">
        <v>4.934616666666666</v>
      </c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</row>
    <row r="377" spans="1:24" s="6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611">
        <f t="shared" si="13"/>
        <v>74.599999999999994</v>
      </c>
      <c r="G377" s="835">
        <v>0</v>
      </c>
      <c r="H377" s="160">
        <v>3.5000000000000003E-2</v>
      </c>
      <c r="I377" s="201">
        <f t="shared" si="14"/>
        <v>0</v>
      </c>
      <c r="J377" s="128"/>
      <c r="K377" s="128"/>
      <c r="L377" s="93">
        <v>0</v>
      </c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</row>
    <row r="378" spans="1:24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611">
        <f t="shared" si="13"/>
        <v>577.79999999999995</v>
      </c>
      <c r="G378" s="834">
        <v>0</v>
      </c>
      <c r="H378" s="160">
        <v>3.5000000000000003E-2</v>
      </c>
      <c r="I378" s="201">
        <f t="shared" si="14"/>
        <v>0</v>
      </c>
      <c r="J378" s="128"/>
      <c r="K378" s="128"/>
      <c r="L378" s="93">
        <v>5.1943333333333337</v>
      </c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</row>
    <row r="379" spans="1:24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611">
        <f t="shared" si="13"/>
        <v>379.4</v>
      </c>
      <c r="G379" s="834">
        <v>0</v>
      </c>
      <c r="H379" s="160">
        <v>3.5000000000000003E-2</v>
      </c>
      <c r="I379" s="201">
        <f t="shared" si="14"/>
        <v>0</v>
      </c>
      <c r="J379" s="128"/>
      <c r="K379" s="128"/>
      <c r="L379" s="93">
        <v>5.1943333333333337</v>
      </c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</row>
    <row r="380" spans="1:24" s="6" customFormat="1" ht="15.75">
      <c r="A380" s="268">
        <v>289</v>
      </c>
      <c r="B380" s="291" t="s">
        <v>1395</v>
      </c>
      <c r="C380" s="295">
        <f>1893+1096.4</f>
        <v>2989.4</v>
      </c>
      <c r="D380" s="288"/>
      <c r="E380" s="288"/>
      <c r="F380" s="611">
        <f t="shared" si="13"/>
        <v>2989.4</v>
      </c>
      <c r="G380" s="840">
        <f>126.7+129</f>
        <v>255.7</v>
      </c>
      <c r="H380" s="160">
        <v>3.5000000000000003E-2</v>
      </c>
      <c r="I380" s="201">
        <f>G380*H380/F380</f>
        <v>2.9937445641265805E-3</v>
      </c>
      <c r="J380" s="128"/>
      <c r="K380" s="128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</row>
    <row r="381" spans="1:24" s="6" customFormat="1" ht="15.75">
      <c r="A381" s="268">
        <v>290</v>
      </c>
      <c r="B381" s="292" t="s">
        <v>1396</v>
      </c>
      <c r="C381" s="294">
        <v>527.29999999999995</v>
      </c>
      <c r="D381" s="288"/>
      <c r="E381" s="288"/>
      <c r="F381" s="611">
        <f t="shared" si="13"/>
        <v>527.29999999999995</v>
      </c>
      <c r="G381" s="836">
        <v>22</v>
      </c>
      <c r="H381" s="160">
        <v>3.5000000000000003E-2</v>
      </c>
      <c r="I381" s="201">
        <f>G381*H381/F381</f>
        <v>1.4602692964157029E-3</v>
      </c>
      <c r="J381" s="128"/>
      <c r="K381" s="128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</row>
    <row r="382" spans="1:24" s="6" customFormat="1" ht="15.75">
      <c r="A382" s="268">
        <v>291</v>
      </c>
      <c r="B382" s="301" t="s">
        <v>1400</v>
      </c>
      <c r="C382" s="295">
        <v>2299.1999999999998</v>
      </c>
      <c r="D382" s="288"/>
      <c r="E382" s="288"/>
      <c r="F382" s="611">
        <f t="shared" si="13"/>
        <v>2299.1999999999998</v>
      </c>
      <c r="G382" s="837">
        <v>236.3</v>
      </c>
      <c r="H382" s="160">
        <v>3.5000000000000003E-2</v>
      </c>
      <c r="I382" s="201">
        <f>G382*H382/F382</f>
        <v>3.5971207376478786E-3</v>
      </c>
      <c r="J382" s="128"/>
      <c r="K382" s="128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</row>
    <row r="383" spans="1:24" s="6" customFormat="1" ht="15.75">
      <c r="A383" s="268">
        <v>292</v>
      </c>
      <c r="B383" s="302" t="s">
        <v>1401</v>
      </c>
      <c r="C383" s="294">
        <v>292.60000000000002</v>
      </c>
      <c r="D383" s="288"/>
      <c r="E383" s="288"/>
      <c r="F383" s="611">
        <f t="shared" si="13"/>
        <v>292.60000000000002</v>
      </c>
      <c r="G383" s="838">
        <v>16.5</v>
      </c>
      <c r="H383" s="160">
        <v>3.5000000000000003E-2</v>
      </c>
      <c r="I383" s="201">
        <f>G383*H383/F383</f>
        <v>1.9736842105263159E-3</v>
      </c>
      <c r="J383" s="128"/>
      <c r="K383" s="128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</row>
    <row r="384" spans="1:24" s="33" customFormat="1" ht="16.5" thickBot="1">
      <c r="A384" s="186"/>
      <c r="B384" s="186" t="s">
        <v>244</v>
      </c>
      <c r="C384" s="186">
        <f>SUM(C92:C383)</f>
        <v>223930.76000000007</v>
      </c>
      <c r="D384" s="186">
        <f>SUM(D92:D383)</f>
        <v>4473.8499999999995</v>
      </c>
      <c r="E384" s="186">
        <f>SUM(E92:E383)</f>
        <v>3784.1</v>
      </c>
      <c r="F384" s="612">
        <f>C384+D384+E384</f>
        <v>232188.71000000008</v>
      </c>
      <c r="G384" s="186">
        <f>SUM(G92:G383)</f>
        <v>28588.999999999996</v>
      </c>
      <c r="H384" s="186">
        <v>3.5000000000000003E-2</v>
      </c>
      <c r="I384" s="188">
        <f>G384*H384/F384</f>
        <v>4.3094903279319637E-3</v>
      </c>
      <c r="J384" s="130"/>
      <c r="K384" s="130"/>
    </row>
    <row r="385" spans="1:24" s="6" customFormat="1" ht="16.5" thickBot="1">
      <c r="A385" s="137" t="s">
        <v>668</v>
      </c>
      <c r="B385" s="138"/>
      <c r="C385" s="138"/>
      <c r="D385" s="138"/>
      <c r="E385" s="138"/>
      <c r="F385" s="611">
        <f t="shared" si="13"/>
        <v>0</v>
      </c>
      <c r="G385" s="138"/>
      <c r="H385" s="138"/>
      <c r="I385" s="138"/>
      <c r="J385" s="128"/>
      <c r="K385" s="128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</row>
    <row r="386" spans="1:24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625">
        <f t="shared" si="13"/>
        <v>4235</v>
      </c>
      <c r="G386" s="437">
        <v>299</v>
      </c>
      <c r="H386" s="142">
        <v>3.5000000000000003E-2</v>
      </c>
      <c r="I386" s="170">
        <f t="shared" ref="I386:I449" si="15">G386*H386/F386</f>
        <v>2.4710743801652896E-3</v>
      </c>
      <c r="J386" s="128"/>
      <c r="K386" s="128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</row>
    <row r="387" spans="1:24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625">
        <f t="shared" si="13"/>
        <v>12601</v>
      </c>
      <c r="G387" s="438">
        <v>1025</v>
      </c>
      <c r="H387" s="55">
        <v>3.5000000000000003E-2</v>
      </c>
      <c r="I387" s="164">
        <f t="shared" si="15"/>
        <v>2.8469962701372907E-3</v>
      </c>
      <c r="J387" s="128"/>
      <c r="K387" s="128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</row>
    <row r="388" spans="1:24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625">
        <f t="shared" si="13"/>
        <v>12482</v>
      </c>
      <c r="G388" s="438">
        <v>1025</v>
      </c>
      <c r="H388" s="55">
        <v>3.5000000000000003E-2</v>
      </c>
      <c r="I388" s="164">
        <f t="shared" si="15"/>
        <v>2.8741387598141322E-3</v>
      </c>
      <c r="J388" s="128"/>
      <c r="K388" s="128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</row>
    <row r="389" spans="1:24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625">
        <f t="shared" si="13"/>
        <v>6092</v>
      </c>
      <c r="G389" s="438">
        <v>526</v>
      </c>
      <c r="H389" s="55">
        <v>3.5000000000000003E-2</v>
      </c>
      <c r="I389" s="164">
        <f t="shared" si="15"/>
        <v>3.0219960604070911E-3</v>
      </c>
      <c r="J389" s="128"/>
      <c r="K389" s="128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</row>
    <row r="390" spans="1:24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625">
        <f t="shared" si="13"/>
        <v>12853.2</v>
      </c>
      <c r="G390" s="438">
        <v>1025</v>
      </c>
      <c r="H390" s="55">
        <v>3.5000000000000003E-2</v>
      </c>
      <c r="I390" s="164">
        <f t="shared" si="15"/>
        <v>2.7911337254535834E-3</v>
      </c>
      <c r="J390" s="128"/>
      <c r="K390" s="128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</row>
    <row r="391" spans="1:24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625">
        <f t="shared" si="13"/>
        <v>6317.1</v>
      </c>
      <c r="G391" s="438">
        <v>454</v>
      </c>
      <c r="H391" s="55">
        <v>3.5000000000000003E-2</v>
      </c>
      <c r="I391" s="164">
        <f t="shared" si="15"/>
        <v>2.5153947222617975E-3</v>
      </c>
      <c r="J391" s="128"/>
      <c r="K391" s="128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</row>
    <row r="392" spans="1:24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625">
        <f t="shared" si="13"/>
        <v>6243.1</v>
      </c>
      <c r="G392" s="438">
        <v>454</v>
      </c>
      <c r="H392" s="55">
        <v>3.5000000000000003E-2</v>
      </c>
      <c r="I392" s="164">
        <f t="shared" si="15"/>
        <v>2.5452099117425639E-3</v>
      </c>
      <c r="J392" s="128"/>
      <c r="K392" s="128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</row>
    <row r="393" spans="1:24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625">
        <f t="shared" si="13"/>
        <v>3918</v>
      </c>
      <c r="G393" s="438">
        <v>349</v>
      </c>
      <c r="H393" s="55">
        <v>3.5000000000000003E-2</v>
      </c>
      <c r="I393" s="164">
        <f t="shared" si="15"/>
        <v>3.1176620724859628E-3</v>
      </c>
      <c r="J393" s="128"/>
      <c r="K393" s="128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</row>
    <row r="394" spans="1:24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625">
        <f t="shared" si="13"/>
        <v>4332</v>
      </c>
      <c r="G394" s="438">
        <v>299</v>
      </c>
      <c r="H394" s="55">
        <v>3.5000000000000003E-2</v>
      </c>
      <c r="I394" s="164">
        <f t="shared" si="15"/>
        <v>2.4157433056325025E-3</v>
      </c>
      <c r="J394" s="128"/>
      <c r="K394" s="128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</row>
    <row r="395" spans="1:24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625">
        <f t="shared" si="13"/>
        <v>3911</v>
      </c>
      <c r="G395" s="438">
        <v>349</v>
      </c>
      <c r="H395" s="55">
        <v>3.5000000000000003E-2</v>
      </c>
      <c r="I395" s="164">
        <f t="shared" si="15"/>
        <v>3.1232421375607267E-3</v>
      </c>
      <c r="J395" s="128"/>
      <c r="K395" s="128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</row>
    <row r="396" spans="1:24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625">
        <f t="shared" si="13"/>
        <v>3338</v>
      </c>
      <c r="G396" s="438">
        <v>261</v>
      </c>
      <c r="H396" s="55">
        <v>3.5000000000000003E-2</v>
      </c>
      <c r="I396" s="164">
        <f t="shared" si="15"/>
        <v>2.7366686638705816E-3</v>
      </c>
      <c r="J396" s="128"/>
      <c r="K396" s="128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</row>
    <row r="397" spans="1:24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625">
        <f t="shared" si="13"/>
        <v>3353</v>
      </c>
      <c r="G397" s="438">
        <v>261</v>
      </c>
      <c r="H397" s="55">
        <v>3.5000000000000003E-2</v>
      </c>
      <c r="I397" s="164">
        <f t="shared" si="15"/>
        <v>2.7244258872651363E-3</v>
      </c>
      <c r="J397" s="128"/>
      <c r="K397" s="128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</row>
    <row r="398" spans="1:24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625">
        <f t="shared" si="13"/>
        <v>4050</v>
      </c>
      <c r="G398" s="438">
        <v>258</v>
      </c>
      <c r="H398" s="55">
        <v>3.5000000000000003E-2</v>
      </c>
      <c r="I398" s="164">
        <f t="shared" si="15"/>
        <v>2.22962962962963E-3</v>
      </c>
      <c r="J398" s="128"/>
      <c r="K398" s="128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</row>
    <row r="399" spans="1:24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625">
        <f t="shared" si="13"/>
        <v>4035</v>
      </c>
      <c r="G399" s="438">
        <v>258</v>
      </c>
      <c r="H399" s="55">
        <v>3.5000000000000003E-2</v>
      </c>
      <c r="I399" s="164">
        <f t="shared" si="15"/>
        <v>2.2379182156133832E-3</v>
      </c>
      <c r="J399" s="128"/>
      <c r="K399" s="128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</row>
    <row r="400" spans="1:24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625">
        <f t="shared" si="13"/>
        <v>4018</v>
      </c>
      <c r="G400" s="438">
        <v>258</v>
      </c>
      <c r="H400" s="55">
        <v>3.5000000000000003E-2</v>
      </c>
      <c r="I400" s="164">
        <f t="shared" si="15"/>
        <v>2.2473867595818819E-3</v>
      </c>
      <c r="J400" s="128"/>
      <c r="K400" s="128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</row>
    <row r="401" spans="1:24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625">
        <f t="shared" ref="F401:F464" si="16">C401+D401+E401</f>
        <v>4031</v>
      </c>
      <c r="G401" s="438">
        <v>258</v>
      </c>
      <c r="H401" s="55">
        <v>3.5000000000000003E-2</v>
      </c>
      <c r="I401" s="164">
        <f t="shared" si="15"/>
        <v>2.2401389233440835E-3</v>
      </c>
      <c r="J401" s="128"/>
      <c r="K401" s="128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</row>
    <row r="402" spans="1:24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625">
        <f t="shared" si="16"/>
        <v>4302</v>
      </c>
      <c r="G402" s="438">
        <v>195</v>
      </c>
      <c r="H402" s="55">
        <v>3.5000000000000003E-2</v>
      </c>
      <c r="I402" s="164">
        <f t="shared" si="15"/>
        <v>1.5864714086471412E-3</v>
      </c>
      <c r="J402" s="128"/>
      <c r="K402" s="128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</row>
    <row r="403" spans="1:24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625">
        <f t="shared" si="16"/>
        <v>4275</v>
      </c>
      <c r="G403" s="438">
        <v>195</v>
      </c>
      <c r="H403" s="55">
        <v>3.5000000000000003E-2</v>
      </c>
      <c r="I403" s="164">
        <f t="shared" si="15"/>
        <v>1.5964912280701756E-3</v>
      </c>
      <c r="J403" s="128"/>
      <c r="K403" s="128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</row>
    <row r="404" spans="1:24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625">
        <f t="shared" si="16"/>
        <v>4125</v>
      </c>
      <c r="G404" s="438">
        <v>639</v>
      </c>
      <c r="H404" s="55">
        <v>3.5000000000000003E-2</v>
      </c>
      <c r="I404" s="164">
        <f t="shared" si="15"/>
        <v>5.4218181818181822E-3</v>
      </c>
      <c r="J404" s="128"/>
      <c r="K404" s="128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</row>
    <row r="405" spans="1:24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625">
        <f t="shared" si="16"/>
        <v>3975</v>
      </c>
      <c r="G405" s="438">
        <v>258</v>
      </c>
      <c r="H405" s="55">
        <v>3.5000000000000003E-2</v>
      </c>
      <c r="I405" s="164">
        <f t="shared" si="15"/>
        <v>2.2716981132075474E-3</v>
      </c>
      <c r="J405" s="128"/>
      <c r="K405" s="128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</row>
    <row r="406" spans="1:24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625">
        <f t="shared" si="16"/>
        <v>3357</v>
      </c>
      <c r="G406" s="438">
        <v>123</v>
      </c>
      <c r="H406" s="55">
        <v>3.5000000000000003E-2</v>
      </c>
      <c r="I406" s="164">
        <f t="shared" si="15"/>
        <v>1.2823949955317248E-3</v>
      </c>
      <c r="J406" s="128"/>
      <c r="K406" s="128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</row>
    <row r="407" spans="1:24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625">
        <f t="shared" si="16"/>
        <v>6146</v>
      </c>
      <c r="G407" s="438">
        <v>1099</v>
      </c>
      <c r="H407" s="55">
        <v>3.5000000000000003E-2</v>
      </c>
      <c r="I407" s="164">
        <f t="shared" si="15"/>
        <v>6.2585421412300691E-3</v>
      </c>
      <c r="J407" s="128"/>
      <c r="K407" s="128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</row>
    <row r="408" spans="1:24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625">
        <f t="shared" si="16"/>
        <v>983</v>
      </c>
      <c r="G408" s="438">
        <v>60</v>
      </c>
      <c r="H408" s="55">
        <v>3.5000000000000003E-2</v>
      </c>
      <c r="I408" s="164">
        <f t="shared" si="15"/>
        <v>2.1363173957273654E-3</v>
      </c>
      <c r="J408" s="128"/>
      <c r="K408" s="128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</row>
    <row r="409" spans="1:24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625">
        <f t="shared" si="16"/>
        <v>3815</v>
      </c>
      <c r="G409" s="438">
        <v>699</v>
      </c>
      <c r="H409" s="55">
        <v>3.5000000000000003E-2</v>
      </c>
      <c r="I409" s="164">
        <f t="shared" si="15"/>
        <v>6.4128440366972485E-3</v>
      </c>
      <c r="J409" s="128"/>
      <c r="K409" s="128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</row>
    <row r="410" spans="1:24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625">
        <f t="shared" si="16"/>
        <v>4215</v>
      </c>
      <c r="G410" s="438">
        <v>636</v>
      </c>
      <c r="H410" s="55">
        <v>3.5000000000000003E-2</v>
      </c>
      <c r="I410" s="164">
        <f t="shared" si="15"/>
        <v>5.2811387900355876E-3</v>
      </c>
      <c r="J410" s="128"/>
      <c r="K410" s="128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</row>
    <row r="411" spans="1:24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625">
        <f t="shared" si="16"/>
        <v>12662</v>
      </c>
      <c r="G411" s="438">
        <v>1075</v>
      </c>
      <c r="H411" s="55">
        <v>3.5000000000000003E-2</v>
      </c>
      <c r="I411" s="164">
        <f t="shared" si="15"/>
        <v>2.9714894961301538E-3</v>
      </c>
      <c r="J411" s="128"/>
      <c r="K411" s="128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</row>
    <row r="412" spans="1:24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625">
        <f t="shared" si="16"/>
        <v>3976</v>
      </c>
      <c r="G412" s="438">
        <v>372</v>
      </c>
      <c r="H412" s="55">
        <v>3.5000000000000003E-2</v>
      </c>
      <c r="I412" s="164">
        <f t="shared" si="15"/>
        <v>3.2746478873239438E-3</v>
      </c>
      <c r="J412" s="128"/>
      <c r="K412" s="128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</row>
    <row r="413" spans="1:24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625">
        <f t="shared" si="16"/>
        <v>12839</v>
      </c>
      <c r="G413" s="438">
        <v>1171</v>
      </c>
      <c r="H413" s="55">
        <v>3.5000000000000003E-2</v>
      </c>
      <c r="I413" s="164">
        <f t="shared" si="15"/>
        <v>3.1922268089415069E-3</v>
      </c>
      <c r="J413" s="128"/>
      <c r="K413" s="128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</row>
    <row r="414" spans="1:24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625">
        <f t="shared" si="16"/>
        <v>10313</v>
      </c>
      <c r="G414" s="438">
        <v>984</v>
      </c>
      <c r="H414" s="55">
        <v>3.5000000000000003E-2</v>
      </c>
      <c r="I414" s="164">
        <f t="shared" si="15"/>
        <v>3.3394744497236501E-3</v>
      </c>
      <c r="J414" s="128"/>
      <c r="K414" s="128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</row>
    <row r="415" spans="1:24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625">
        <f t="shared" si="16"/>
        <v>6385</v>
      </c>
      <c r="G415" s="438">
        <v>516</v>
      </c>
      <c r="H415" s="55">
        <v>3.5000000000000003E-2</v>
      </c>
      <c r="I415" s="164">
        <f t="shared" si="15"/>
        <v>2.8285043069694602E-3</v>
      </c>
      <c r="J415" s="128"/>
      <c r="K415" s="128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</row>
    <row r="416" spans="1:24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625">
        <f t="shared" si="16"/>
        <v>3041.2</v>
      </c>
      <c r="G416" s="438">
        <v>643</v>
      </c>
      <c r="H416" s="55">
        <v>3.5000000000000003E-2</v>
      </c>
      <c r="I416" s="164">
        <f t="shared" si="15"/>
        <v>7.4000394581086428E-3</v>
      </c>
      <c r="J416" s="128"/>
      <c r="K416" s="128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</row>
    <row r="417" spans="1:24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625">
        <f t="shared" si="16"/>
        <v>3886</v>
      </c>
      <c r="G417" s="438">
        <v>379</v>
      </c>
      <c r="H417" s="55">
        <v>3.5000000000000003E-2</v>
      </c>
      <c r="I417" s="164">
        <f t="shared" si="15"/>
        <v>3.4135357694287187E-3</v>
      </c>
      <c r="J417" s="128"/>
      <c r="K417" s="128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</row>
    <row r="418" spans="1:24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625">
        <f t="shared" si="16"/>
        <v>4071</v>
      </c>
      <c r="G418" s="438">
        <v>479</v>
      </c>
      <c r="H418" s="55">
        <v>3.5000000000000003E-2</v>
      </c>
      <c r="I418" s="164">
        <f t="shared" si="15"/>
        <v>4.118152788012773E-3</v>
      </c>
      <c r="J418" s="128"/>
      <c r="K418" s="128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</row>
    <row r="419" spans="1:24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625">
        <f t="shared" si="16"/>
        <v>352.6</v>
      </c>
      <c r="G419" s="438">
        <v>29</v>
      </c>
      <c r="H419" s="55">
        <v>3.5000000000000003E-2</v>
      </c>
      <c r="I419" s="164">
        <f t="shared" si="15"/>
        <v>2.8786159954622805E-3</v>
      </c>
      <c r="J419" s="128"/>
      <c r="K419" s="128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</row>
    <row r="420" spans="1:24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625">
        <f t="shared" si="16"/>
        <v>656.95</v>
      </c>
      <c r="G420" s="438">
        <v>14</v>
      </c>
      <c r="H420" s="55">
        <v>3.5000000000000003E-2</v>
      </c>
      <c r="I420" s="164">
        <f t="shared" si="15"/>
        <v>7.458710708577518E-4</v>
      </c>
      <c r="J420" s="128"/>
      <c r="K420" s="128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</row>
    <row r="421" spans="1:24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625">
        <f t="shared" si="16"/>
        <v>485.16</v>
      </c>
      <c r="G421" s="438">
        <v>20</v>
      </c>
      <c r="H421" s="55">
        <v>3.5000000000000003E-2</v>
      </c>
      <c r="I421" s="164">
        <f t="shared" si="15"/>
        <v>1.4428229862313464E-3</v>
      </c>
      <c r="J421" s="128"/>
      <c r="K421" s="128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</row>
    <row r="422" spans="1:24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625">
        <f t="shared" si="16"/>
        <v>286.92</v>
      </c>
      <c r="G422" s="438">
        <v>28</v>
      </c>
      <c r="H422" s="55">
        <v>3.5000000000000003E-2</v>
      </c>
      <c r="I422" s="164">
        <f t="shared" si="15"/>
        <v>3.4155862261257496E-3</v>
      </c>
      <c r="J422" s="128"/>
      <c r="K422" s="128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</row>
    <row r="423" spans="1:24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625">
        <f t="shared" si="16"/>
        <v>226.94</v>
      </c>
      <c r="G423" s="438">
        <v>30</v>
      </c>
      <c r="H423" s="55">
        <v>3.5000000000000003E-2</v>
      </c>
      <c r="I423" s="164">
        <f t="shared" si="15"/>
        <v>4.6267735965453425E-3</v>
      </c>
      <c r="J423" s="128"/>
      <c r="K423" s="128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</row>
    <row r="424" spans="1:24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625">
        <f t="shared" si="16"/>
        <v>307.14999999999998</v>
      </c>
      <c r="G424" s="438">
        <v>55</v>
      </c>
      <c r="H424" s="55">
        <v>3.5000000000000003E-2</v>
      </c>
      <c r="I424" s="164">
        <f t="shared" si="15"/>
        <v>6.2672961093928059E-3</v>
      </c>
      <c r="J424" s="128"/>
      <c r="K424" s="128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</row>
    <row r="425" spans="1:24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625">
        <f t="shared" si="16"/>
        <v>329.65</v>
      </c>
      <c r="G425" s="438">
        <v>16</v>
      </c>
      <c r="H425" s="55">
        <v>3.5000000000000003E-2</v>
      </c>
      <c r="I425" s="164">
        <f t="shared" si="15"/>
        <v>1.6987714242378282E-3</v>
      </c>
      <c r="J425" s="128"/>
      <c r="K425" s="128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</row>
    <row r="426" spans="1:24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625">
        <f t="shared" si="16"/>
        <v>255.16</v>
      </c>
      <c r="G426" s="438">
        <v>63</v>
      </c>
      <c r="H426" s="55">
        <v>3.5000000000000003E-2</v>
      </c>
      <c r="I426" s="164">
        <f t="shared" si="15"/>
        <v>8.6416366201599003E-3</v>
      </c>
      <c r="J426" s="128"/>
      <c r="K426" s="128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</row>
    <row r="427" spans="1:24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625">
        <f t="shared" si="16"/>
        <v>509.32</v>
      </c>
      <c r="G427" s="438">
        <v>87</v>
      </c>
      <c r="H427" s="55">
        <v>3.5000000000000003E-2</v>
      </c>
      <c r="I427" s="164">
        <f t="shared" si="15"/>
        <v>5.9785596481583296E-3</v>
      </c>
      <c r="J427" s="128"/>
      <c r="K427" s="128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</row>
    <row r="428" spans="1:24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625">
        <f t="shared" si="16"/>
        <v>509.19</v>
      </c>
      <c r="G428" s="438">
        <v>52</v>
      </c>
      <c r="H428" s="55">
        <v>3.5000000000000003E-2</v>
      </c>
      <c r="I428" s="164">
        <f t="shared" si="15"/>
        <v>3.5743042872012419E-3</v>
      </c>
      <c r="J428" s="128"/>
      <c r="K428" s="128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</row>
    <row r="429" spans="1:24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625">
        <f t="shared" si="16"/>
        <v>291.43</v>
      </c>
      <c r="G429" s="438">
        <v>44</v>
      </c>
      <c r="H429" s="55">
        <v>3.5000000000000003E-2</v>
      </c>
      <c r="I429" s="164">
        <f t="shared" si="15"/>
        <v>5.2842878221185195E-3</v>
      </c>
      <c r="J429" s="128"/>
      <c r="K429" s="128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</row>
    <row r="430" spans="1:24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625">
        <f t="shared" si="16"/>
        <v>449.48</v>
      </c>
      <c r="G430" s="438">
        <v>43</v>
      </c>
      <c r="H430" s="55">
        <v>3.5000000000000003E-2</v>
      </c>
      <c r="I430" s="164">
        <f t="shared" si="15"/>
        <v>3.3483136068345647E-3</v>
      </c>
      <c r="J430" s="128"/>
      <c r="K430" s="128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</row>
    <row r="431" spans="1:24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625">
        <f t="shared" si="16"/>
        <v>467.46</v>
      </c>
      <c r="G431" s="438">
        <v>63</v>
      </c>
      <c r="H431" s="55">
        <v>3.5000000000000003E-2</v>
      </c>
      <c r="I431" s="164">
        <f t="shared" si="15"/>
        <v>4.7169811320754724E-3</v>
      </c>
      <c r="J431" s="128"/>
      <c r="K431" s="128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</row>
    <row r="432" spans="1:24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625">
        <f t="shared" si="16"/>
        <v>558.4</v>
      </c>
      <c r="G432" s="438">
        <v>39</v>
      </c>
      <c r="H432" s="55">
        <v>3.5000000000000003E-2</v>
      </c>
      <c r="I432" s="164">
        <f t="shared" si="15"/>
        <v>2.4444842406876797E-3</v>
      </c>
      <c r="J432" s="128"/>
      <c r="K432" s="128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</row>
    <row r="433" spans="1:24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625">
        <f t="shared" si="16"/>
        <v>331.42</v>
      </c>
      <c r="G433" s="438">
        <v>83</v>
      </c>
      <c r="H433" s="55">
        <v>3.5000000000000003E-2</v>
      </c>
      <c r="I433" s="164">
        <f t="shared" si="15"/>
        <v>8.7653128960231731E-3</v>
      </c>
      <c r="J433" s="128"/>
      <c r="K433" s="128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</row>
    <row r="434" spans="1:24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625">
        <f t="shared" si="16"/>
        <v>154.9</v>
      </c>
      <c r="G434" s="438"/>
      <c r="H434" s="55">
        <v>3.5000000000000003E-2</v>
      </c>
      <c r="I434" s="164">
        <f t="shared" si="15"/>
        <v>0</v>
      </c>
      <c r="J434" s="128"/>
      <c r="K434" s="128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</row>
    <row r="435" spans="1:24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625">
        <f t="shared" si="16"/>
        <v>119.9</v>
      </c>
      <c r="G435" s="438"/>
      <c r="H435" s="55">
        <v>3.5000000000000003E-2</v>
      </c>
      <c r="I435" s="164">
        <f t="shared" si="15"/>
        <v>0</v>
      </c>
      <c r="J435" s="128"/>
      <c r="K435" s="128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</row>
    <row r="436" spans="1:24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625">
        <f t="shared" si="16"/>
        <v>300.3</v>
      </c>
      <c r="G436" s="438">
        <v>38</v>
      </c>
      <c r="H436" s="55">
        <v>3.5000000000000003E-2</v>
      </c>
      <c r="I436" s="164">
        <f t="shared" si="15"/>
        <v>4.4289044289044293E-3</v>
      </c>
      <c r="J436" s="128"/>
      <c r="K436" s="128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</row>
    <row r="437" spans="1:24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625">
        <f t="shared" si="16"/>
        <v>226.84</v>
      </c>
      <c r="G437" s="438">
        <v>36</v>
      </c>
      <c r="H437" s="55">
        <v>3.5000000000000003E-2</v>
      </c>
      <c r="I437" s="164">
        <f t="shared" si="15"/>
        <v>5.5545759125374726E-3</v>
      </c>
      <c r="J437" s="128"/>
      <c r="K437" s="128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</row>
    <row r="438" spans="1:24" s="67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625">
        <f t="shared" si="16"/>
        <v>216.3</v>
      </c>
      <c r="G438" s="438">
        <v>41</v>
      </c>
      <c r="H438" s="55">
        <v>3.5000000000000003E-2</v>
      </c>
      <c r="I438" s="164">
        <f t="shared" si="15"/>
        <v>6.6343042071197412E-3</v>
      </c>
      <c r="J438" s="128"/>
      <c r="K438" s="128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</row>
    <row r="439" spans="1:24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625">
        <f t="shared" si="16"/>
        <v>307.64999999999998</v>
      </c>
      <c r="G439" s="438">
        <v>47</v>
      </c>
      <c r="H439" s="55">
        <v>3.5000000000000003E-2</v>
      </c>
      <c r="I439" s="164">
        <f t="shared" si="15"/>
        <v>5.3469852104664406E-3</v>
      </c>
      <c r="J439" s="128"/>
      <c r="K439" s="128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</row>
    <row r="440" spans="1:24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625">
        <f t="shared" si="16"/>
        <v>350.66</v>
      </c>
      <c r="G440" s="438">
        <v>53</v>
      </c>
      <c r="H440" s="55">
        <v>3.5000000000000003E-2</v>
      </c>
      <c r="I440" s="164">
        <f t="shared" si="15"/>
        <v>5.2900245251810869E-3</v>
      </c>
      <c r="J440" s="128"/>
      <c r="K440" s="128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</row>
    <row r="441" spans="1:24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625">
        <f t="shared" si="16"/>
        <v>485.8</v>
      </c>
      <c r="G441" s="438">
        <v>48</v>
      </c>
      <c r="H441" s="55">
        <v>3.5000000000000003E-2</v>
      </c>
      <c r="I441" s="164">
        <f t="shared" si="15"/>
        <v>3.4582132564841502E-3</v>
      </c>
      <c r="J441" s="128"/>
      <c r="K441" s="128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</row>
    <row r="442" spans="1:24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625">
        <f t="shared" si="16"/>
        <v>402.96</v>
      </c>
      <c r="G442" s="438">
        <v>39</v>
      </c>
      <c r="H442" s="55">
        <v>3.5000000000000003E-2</v>
      </c>
      <c r="I442" s="164">
        <f t="shared" si="15"/>
        <v>3.3874329958308524E-3</v>
      </c>
      <c r="J442" s="128"/>
      <c r="K442" s="128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</row>
    <row r="443" spans="1:24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625">
        <f t="shared" si="16"/>
        <v>526.67999999999995</v>
      </c>
      <c r="G443" s="438">
        <v>45</v>
      </c>
      <c r="H443" s="55">
        <v>3.5000000000000003E-2</v>
      </c>
      <c r="I443" s="164">
        <f t="shared" si="15"/>
        <v>2.9904306220095698E-3</v>
      </c>
      <c r="J443" s="128"/>
      <c r="K443" s="128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</row>
    <row r="444" spans="1:24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625">
        <f t="shared" si="16"/>
        <v>198.5</v>
      </c>
      <c r="G444" s="438"/>
      <c r="H444" s="55">
        <v>3.5000000000000003E-2</v>
      </c>
      <c r="I444" s="164">
        <f t="shared" si="15"/>
        <v>0</v>
      </c>
      <c r="J444" s="128"/>
      <c r="K444" s="128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</row>
    <row r="445" spans="1:24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625">
        <f t="shared" si="16"/>
        <v>879.8</v>
      </c>
      <c r="G445" s="438">
        <v>49</v>
      </c>
      <c r="H445" s="55">
        <v>3.5000000000000003E-2</v>
      </c>
      <c r="I445" s="164">
        <f t="shared" si="15"/>
        <v>1.949306660604683E-3</v>
      </c>
      <c r="J445" s="128"/>
      <c r="K445" s="128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</row>
    <row r="446" spans="1:24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625">
        <f t="shared" si="16"/>
        <v>1786.8</v>
      </c>
      <c r="G446" s="438">
        <v>143</v>
      </c>
      <c r="H446" s="55">
        <v>3.5000000000000003E-2</v>
      </c>
      <c r="I446" s="164">
        <f t="shared" si="15"/>
        <v>2.801096933064697E-3</v>
      </c>
      <c r="J446" s="128"/>
      <c r="K446" s="128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</row>
    <row r="447" spans="1:24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625">
        <f t="shared" si="16"/>
        <v>776.28</v>
      </c>
      <c r="G447" s="438">
        <v>41</v>
      </c>
      <c r="H447" s="55">
        <v>3.5000000000000003E-2</v>
      </c>
      <c r="I447" s="164">
        <f t="shared" si="15"/>
        <v>1.8485597980110271E-3</v>
      </c>
      <c r="J447" s="128"/>
      <c r="K447" s="128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</row>
    <row r="448" spans="1:24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625">
        <f t="shared" si="16"/>
        <v>475.29</v>
      </c>
      <c r="G448" s="438">
        <v>52</v>
      </c>
      <c r="H448" s="55">
        <v>3.5000000000000003E-2</v>
      </c>
      <c r="I448" s="164">
        <f t="shared" si="15"/>
        <v>3.8292410949104763E-3</v>
      </c>
      <c r="J448" s="128"/>
      <c r="K448" s="128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</row>
    <row r="449" spans="1:24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625">
        <f t="shared" si="16"/>
        <v>487.96</v>
      </c>
      <c r="G449" s="438">
        <v>39</v>
      </c>
      <c r="H449" s="55">
        <v>3.5000000000000003E-2</v>
      </c>
      <c r="I449" s="164">
        <f t="shared" si="15"/>
        <v>2.7973604393802774E-3</v>
      </c>
      <c r="J449" s="128"/>
      <c r="K449" s="128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</row>
    <row r="450" spans="1:24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625">
        <f t="shared" si="16"/>
        <v>1058.94</v>
      </c>
      <c r="G450" s="438">
        <v>63</v>
      </c>
      <c r="H450" s="55">
        <v>3.5000000000000003E-2</v>
      </c>
      <c r="I450" s="164">
        <f t="shared" ref="I450:I511" si="17">G450*H450/F450</f>
        <v>2.0822709501954785E-3</v>
      </c>
      <c r="J450" s="128"/>
      <c r="K450" s="128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</row>
    <row r="451" spans="1:24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625">
        <f t="shared" si="16"/>
        <v>435.39</v>
      </c>
      <c r="G451" s="438">
        <v>196</v>
      </c>
      <c r="H451" s="55">
        <v>3.5000000000000003E-2</v>
      </c>
      <c r="I451" s="164">
        <f t="shared" si="17"/>
        <v>1.575598888352971E-2</v>
      </c>
      <c r="J451" s="128"/>
      <c r="K451" s="128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</row>
    <row r="452" spans="1:24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625">
        <f t="shared" si="16"/>
        <v>539.61</v>
      </c>
      <c r="G452" s="438">
        <v>54</v>
      </c>
      <c r="H452" s="55">
        <v>3.5000000000000003E-2</v>
      </c>
      <c r="I452" s="164">
        <f t="shared" si="17"/>
        <v>3.5025296047145162E-3</v>
      </c>
      <c r="J452" s="128"/>
      <c r="K452" s="128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</row>
    <row r="453" spans="1:24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625">
        <f t="shared" si="16"/>
        <v>466.35</v>
      </c>
      <c r="G453" s="438">
        <v>40</v>
      </c>
      <c r="H453" s="55">
        <v>3.5000000000000003E-2</v>
      </c>
      <c r="I453" s="164">
        <f t="shared" si="17"/>
        <v>3.0020370966012651E-3</v>
      </c>
      <c r="J453" s="128"/>
      <c r="K453" s="128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</row>
    <row r="454" spans="1:24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625">
        <f t="shared" si="16"/>
        <v>270.3</v>
      </c>
      <c r="G454" s="438">
        <v>47</v>
      </c>
      <c r="H454" s="55">
        <v>3.5000000000000003E-2</v>
      </c>
      <c r="I454" s="164">
        <f t="shared" si="17"/>
        <v>6.0858305586385508E-3</v>
      </c>
      <c r="J454" s="128"/>
      <c r="K454" s="128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</row>
    <row r="455" spans="1:24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625">
        <f t="shared" si="16"/>
        <v>1056.99</v>
      </c>
      <c r="G455" s="438">
        <v>133</v>
      </c>
      <c r="H455" s="55">
        <v>3.5000000000000003E-2</v>
      </c>
      <c r="I455" s="164">
        <f t="shared" si="17"/>
        <v>4.40401517516722E-3</v>
      </c>
      <c r="J455" s="128"/>
      <c r="K455" s="128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</row>
    <row r="456" spans="1:24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625">
        <f t="shared" si="16"/>
        <v>353.79999999999995</v>
      </c>
      <c r="G456" s="438">
        <v>95</v>
      </c>
      <c r="H456" s="55">
        <v>3.5000000000000003E-2</v>
      </c>
      <c r="I456" s="164">
        <f t="shared" si="17"/>
        <v>9.3979649519502564E-3</v>
      </c>
      <c r="J456" s="128"/>
      <c r="K456" s="128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</row>
    <row r="457" spans="1:24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625">
        <f t="shared" si="16"/>
        <v>239.3</v>
      </c>
      <c r="G457" s="438">
        <v>41</v>
      </c>
      <c r="H457" s="55">
        <v>3.5000000000000003E-2</v>
      </c>
      <c r="I457" s="164">
        <f t="shared" si="17"/>
        <v>5.9966569160050144E-3</v>
      </c>
      <c r="J457" s="128"/>
      <c r="K457" s="128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</row>
    <row r="458" spans="1:24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625">
        <f t="shared" si="16"/>
        <v>144.6</v>
      </c>
      <c r="G458" s="438">
        <v>40</v>
      </c>
      <c r="H458" s="55">
        <v>3.5000000000000003E-2</v>
      </c>
      <c r="I458" s="164">
        <f t="shared" si="17"/>
        <v>9.681881051175659E-3</v>
      </c>
      <c r="J458" s="128"/>
      <c r="K458" s="128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</row>
    <row r="459" spans="1:24" s="67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625">
        <f t="shared" si="16"/>
        <v>375.5</v>
      </c>
      <c r="G459" s="438">
        <v>23</v>
      </c>
      <c r="H459" s="55">
        <v>3.5000000000000003E-2</v>
      </c>
      <c r="I459" s="164">
        <f t="shared" si="17"/>
        <v>2.1438082556591211E-3</v>
      </c>
      <c r="J459" s="128"/>
      <c r="K459" s="128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</row>
    <row r="460" spans="1:24" s="5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625">
        <f t="shared" si="16"/>
        <v>993.91</v>
      </c>
      <c r="G460" s="438">
        <v>48</v>
      </c>
      <c r="H460" s="55">
        <v>3.5000000000000003E-2</v>
      </c>
      <c r="I460" s="164">
        <f t="shared" si="17"/>
        <v>1.6902938897888141E-3</v>
      </c>
      <c r="J460" s="131"/>
      <c r="K460" s="13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</row>
    <row r="461" spans="1:24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625">
        <f t="shared" si="16"/>
        <v>716.19999999999993</v>
      </c>
      <c r="G461" s="438">
        <v>80</v>
      </c>
      <c r="H461" s="55">
        <v>3.5000000000000003E-2</v>
      </c>
      <c r="I461" s="164">
        <f t="shared" si="17"/>
        <v>3.9095224797542592E-3</v>
      </c>
      <c r="J461" s="128"/>
      <c r="K461" s="128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</row>
    <row r="462" spans="1:24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625">
        <f t="shared" si="16"/>
        <v>472.2</v>
      </c>
      <c r="G462" s="438">
        <v>59</v>
      </c>
      <c r="H462" s="55">
        <v>3.5000000000000003E-2</v>
      </c>
      <c r="I462" s="164">
        <f t="shared" si="17"/>
        <v>4.3731469716221947E-3</v>
      </c>
      <c r="J462" s="128"/>
      <c r="K462" s="128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</row>
    <row r="463" spans="1:24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625">
        <f t="shared" si="16"/>
        <v>337.29999999999995</v>
      </c>
      <c r="G463" s="438">
        <v>36</v>
      </c>
      <c r="H463" s="55">
        <v>3.5000000000000003E-2</v>
      </c>
      <c r="I463" s="164">
        <f t="shared" si="17"/>
        <v>3.7355469908093696E-3</v>
      </c>
      <c r="J463" s="128"/>
      <c r="K463" s="128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</row>
    <row r="464" spans="1:24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625">
        <f t="shared" si="16"/>
        <v>395.5</v>
      </c>
      <c r="G464" s="438">
        <v>37</v>
      </c>
      <c r="H464" s="55">
        <v>3.5000000000000003E-2</v>
      </c>
      <c r="I464" s="164">
        <f t="shared" si="17"/>
        <v>3.2743362831858412E-3</v>
      </c>
      <c r="J464" s="128"/>
      <c r="K464" s="128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</row>
    <row r="465" spans="1:24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625">
        <f t="shared" ref="F465:F527" si="18">C465+D465+E465</f>
        <v>464.09999999999997</v>
      </c>
      <c r="G465" s="438">
        <v>40</v>
      </c>
      <c r="H465" s="55">
        <v>3.5000000000000003E-2</v>
      </c>
      <c r="I465" s="164">
        <f t="shared" si="17"/>
        <v>3.0165912518853701E-3</v>
      </c>
      <c r="J465" s="128"/>
      <c r="K465" s="128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</row>
    <row r="466" spans="1:24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625">
        <f t="shared" si="18"/>
        <v>350.27000000000004</v>
      </c>
      <c r="G466" s="438">
        <v>44</v>
      </c>
      <c r="H466" s="55">
        <v>3.5000000000000003E-2</v>
      </c>
      <c r="I466" s="164">
        <f t="shared" si="17"/>
        <v>4.3966083307163039E-3</v>
      </c>
      <c r="J466" s="128"/>
      <c r="K466" s="128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</row>
    <row r="467" spans="1:24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625">
        <f t="shared" si="18"/>
        <v>396.61</v>
      </c>
      <c r="G467" s="438">
        <v>42</v>
      </c>
      <c r="H467" s="55">
        <v>3.5000000000000003E-2</v>
      </c>
      <c r="I467" s="164">
        <f t="shared" si="17"/>
        <v>3.7064118403469406E-3</v>
      </c>
      <c r="J467" s="128"/>
      <c r="K467" s="128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</row>
    <row r="468" spans="1:24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625">
        <f t="shared" si="18"/>
        <v>380.01000000000005</v>
      </c>
      <c r="G468" s="438">
        <v>59</v>
      </c>
      <c r="H468" s="55">
        <v>3.5000000000000003E-2</v>
      </c>
      <c r="I468" s="164">
        <f t="shared" si="17"/>
        <v>5.4340675245388281E-3</v>
      </c>
      <c r="J468" s="128"/>
      <c r="K468" s="128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</row>
    <row r="469" spans="1:24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625">
        <f t="shared" si="18"/>
        <v>501.9</v>
      </c>
      <c r="G469" s="438">
        <v>47</v>
      </c>
      <c r="H469" s="55">
        <v>3.5000000000000003E-2</v>
      </c>
      <c r="I469" s="164">
        <f t="shared" si="17"/>
        <v>3.2775453277545333E-3</v>
      </c>
      <c r="J469" s="128"/>
      <c r="K469" s="128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</row>
    <row r="470" spans="1:24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625">
        <f t="shared" si="18"/>
        <v>406.9</v>
      </c>
      <c r="G470" s="438">
        <v>40</v>
      </c>
      <c r="H470" s="55">
        <v>3.5000000000000003E-2</v>
      </c>
      <c r="I470" s="164">
        <f t="shared" si="17"/>
        <v>3.440648808060949E-3</v>
      </c>
      <c r="J470" s="128"/>
      <c r="K470" s="128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</row>
    <row r="471" spans="1:24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625">
        <f t="shared" si="18"/>
        <v>583.66999999999996</v>
      </c>
      <c r="G471" s="438">
        <v>46</v>
      </c>
      <c r="H471" s="55">
        <v>3.5000000000000003E-2</v>
      </c>
      <c r="I471" s="164">
        <f t="shared" si="17"/>
        <v>2.7584080045231041E-3</v>
      </c>
      <c r="J471" s="128"/>
      <c r="K471" s="128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</row>
    <row r="472" spans="1:24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625">
        <f t="shared" si="18"/>
        <v>634.80999999999995</v>
      </c>
      <c r="G472" s="438">
        <v>44</v>
      </c>
      <c r="H472" s="55">
        <v>3.5000000000000003E-2</v>
      </c>
      <c r="I472" s="164">
        <f t="shared" si="17"/>
        <v>2.4259227170334435E-3</v>
      </c>
      <c r="J472" s="128"/>
      <c r="K472" s="128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</row>
    <row r="473" spans="1:24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625">
        <f t="shared" si="18"/>
        <v>312.74</v>
      </c>
      <c r="G473" s="438">
        <v>42</v>
      </c>
      <c r="H473" s="55">
        <v>3.5000000000000003E-2</v>
      </c>
      <c r="I473" s="164">
        <f t="shared" si="17"/>
        <v>4.7003901004028913E-3</v>
      </c>
      <c r="J473" s="128"/>
      <c r="K473" s="128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</row>
    <row r="474" spans="1:24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625">
        <f t="shared" si="18"/>
        <v>359.3</v>
      </c>
      <c r="G474" s="438">
        <v>47</v>
      </c>
      <c r="H474" s="55">
        <v>3.5000000000000003E-2</v>
      </c>
      <c r="I474" s="164">
        <f t="shared" si="17"/>
        <v>4.5783467854160877E-3</v>
      </c>
      <c r="J474" s="128"/>
      <c r="K474" s="128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</row>
    <row r="475" spans="1:24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625">
        <f t="shared" si="18"/>
        <v>417.17</v>
      </c>
      <c r="G475" s="438">
        <v>50</v>
      </c>
      <c r="H475" s="55">
        <v>3.5000000000000003E-2</v>
      </c>
      <c r="I475" s="164">
        <f t="shared" si="17"/>
        <v>4.1949325215140118E-3</v>
      </c>
      <c r="J475" s="128"/>
      <c r="K475" s="128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</row>
    <row r="476" spans="1:24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625">
        <f t="shared" si="18"/>
        <v>249.3</v>
      </c>
      <c r="G476" s="438">
        <v>45</v>
      </c>
      <c r="H476" s="55">
        <v>3.5000000000000003E-2</v>
      </c>
      <c r="I476" s="164">
        <f t="shared" si="17"/>
        <v>6.317689530685921E-3</v>
      </c>
      <c r="J476" s="128"/>
      <c r="K476" s="128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</row>
    <row r="477" spans="1:24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625">
        <f t="shared" si="18"/>
        <v>534.94000000000005</v>
      </c>
      <c r="G477" s="438">
        <v>79</v>
      </c>
      <c r="H477" s="55">
        <v>3.5000000000000003E-2</v>
      </c>
      <c r="I477" s="164">
        <f t="shared" si="17"/>
        <v>5.1688039780162258E-3</v>
      </c>
      <c r="J477" s="128"/>
      <c r="K477" s="128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</row>
    <row r="478" spans="1:24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625">
        <f t="shared" si="18"/>
        <v>382.94</v>
      </c>
      <c r="G478" s="438">
        <v>83</v>
      </c>
      <c r="H478" s="55">
        <v>3.5000000000000003E-2</v>
      </c>
      <c r="I478" s="164">
        <f t="shared" si="17"/>
        <v>7.5860448111975771E-3</v>
      </c>
      <c r="J478" s="128"/>
      <c r="K478" s="128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</row>
    <row r="479" spans="1:24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625">
        <f t="shared" si="18"/>
        <v>367.5</v>
      </c>
      <c r="G479" s="438">
        <v>86</v>
      </c>
      <c r="H479" s="55">
        <v>3.5000000000000003E-2</v>
      </c>
      <c r="I479" s="164">
        <f t="shared" si="17"/>
        <v>8.1904761904761907E-3</v>
      </c>
      <c r="J479" s="128"/>
      <c r="K479" s="128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</row>
    <row r="480" spans="1:24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625">
        <f t="shared" si="18"/>
        <v>131.4</v>
      </c>
      <c r="G480" s="438"/>
      <c r="H480" s="55">
        <v>3.5000000000000003E-2</v>
      </c>
      <c r="I480" s="164">
        <f t="shared" si="17"/>
        <v>0</v>
      </c>
      <c r="J480" s="128"/>
      <c r="K480" s="128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</row>
    <row r="481" spans="1:24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625">
        <f t="shared" si="18"/>
        <v>471.36</v>
      </c>
      <c r="G481" s="438">
        <v>73</v>
      </c>
      <c r="H481" s="55">
        <v>3.5000000000000003E-2</v>
      </c>
      <c r="I481" s="164">
        <f t="shared" si="17"/>
        <v>5.4204854039375423E-3</v>
      </c>
      <c r="J481" s="128"/>
      <c r="K481" s="128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</row>
    <row r="482" spans="1:24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625">
        <f t="shared" si="18"/>
        <v>530.79999999999995</v>
      </c>
      <c r="G482" s="438">
        <v>44</v>
      </c>
      <c r="H482" s="55">
        <v>3.5000000000000003E-2</v>
      </c>
      <c r="I482" s="164">
        <f t="shared" si="17"/>
        <v>2.9012810851544841E-3</v>
      </c>
      <c r="J482" s="128"/>
      <c r="K482" s="128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</row>
    <row r="483" spans="1:24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625">
        <f t="shared" si="18"/>
        <v>330.15</v>
      </c>
      <c r="G483" s="438">
        <v>83</v>
      </c>
      <c r="H483" s="55">
        <v>3.5000000000000003E-2</v>
      </c>
      <c r="I483" s="164">
        <f t="shared" si="17"/>
        <v>8.7990307436013951E-3</v>
      </c>
      <c r="J483" s="128"/>
      <c r="K483" s="128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</row>
    <row r="484" spans="1:24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625">
        <f t="shared" si="18"/>
        <v>242.1</v>
      </c>
      <c r="G484" s="438"/>
      <c r="H484" s="55">
        <v>3.5000000000000003E-2</v>
      </c>
      <c r="I484" s="164">
        <f t="shared" si="17"/>
        <v>0</v>
      </c>
      <c r="J484" s="128"/>
      <c r="K484" s="128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</row>
    <row r="485" spans="1:24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625">
        <f t="shared" si="18"/>
        <v>528.74</v>
      </c>
      <c r="G485" s="438">
        <v>44</v>
      </c>
      <c r="H485" s="55">
        <v>3.5000000000000003E-2</v>
      </c>
      <c r="I485" s="164">
        <f t="shared" si="17"/>
        <v>2.9125846351704052E-3</v>
      </c>
      <c r="J485" s="128"/>
      <c r="K485" s="128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</row>
    <row r="486" spans="1:24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625">
        <f t="shared" si="18"/>
        <v>140.6</v>
      </c>
      <c r="G486" s="438"/>
      <c r="H486" s="55">
        <v>3.5000000000000003E-2</v>
      </c>
      <c r="I486" s="164">
        <f t="shared" si="17"/>
        <v>0</v>
      </c>
      <c r="J486" s="128"/>
      <c r="K486" s="128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</row>
    <row r="487" spans="1:24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625">
        <f t="shared" si="18"/>
        <v>183.6</v>
      </c>
      <c r="G487" s="438"/>
      <c r="H487" s="55">
        <v>3.5000000000000003E-2</v>
      </c>
      <c r="I487" s="164">
        <f t="shared" si="17"/>
        <v>0</v>
      </c>
      <c r="J487" s="128"/>
      <c r="K487" s="128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</row>
    <row r="488" spans="1:24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625">
        <f t="shared" si="18"/>
        <v>384.7</v>
      </c>
      <c r="G488" s="438">
        <v>82</v>
      </c>
      <c r="H488" s="55">
        <v>3.5000000000000003E-2</v>
      </c>
      <c r="I488" s="164">
        <f t="shared" si="17"/>
        <v>7.4603587210813624E-3</v>
      </c>
      <c r="J488" s="128"/>
      <c r="K488" s="128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</row>
    <row r="489" spans="1:24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625">
        <f>C489+E489</f>
        <v>1900.8700000000001</v>
      </c>
      <c r="G489" s="438">
        <v>198</v>
      </c>
      <c r="H489" s="55">
        <v>3.5000000000000003E-2</v>
      </c>
      <c r="I489" s="164">
        <f t="shared" si="17"/>
        <v>3.6456990746342463E-3</v>
      </c>
      <c r="J489" s="128"/>
      <c r="K489" s="128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</row>
    <row r="490" spans="1:24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625">
        <f>C490+D490+E490</f>
        <v>362.4</v>
      </c>
      <c r="G490" s="438">
        <v>45</v>
      </c>
      <c r="H490" s="55">
        <v>3.5000000000000003E-2</v>
      </c>
      <c r="I490" s="164">
        <f t="shared" si="17"/>
        <v>4.3460264900662257E-3</v>
      </c>
      <c r="J490" s="128"/>
      <c r="K490" s="128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</row>
    <row r="491" spans="1:24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625">
        <f t="shared" si="18"/>
        <v>196.1</v>
      </c>
      <c r="G491" s="438">
        <v>12</v>
      </c>
      <c r="H491" s="55">
        <v>3.5000000000000003E-2</v>
      </c>
      <c r="I491" s="164">
        <f t="shared" si="17"/>
        <v>2.1417644059153495E-3</v>
      </c>
      <c r="J491" s="128"/>
      <c r="K491" s="128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</row>
    <row r="492" spans="1:24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625">
        <f t="shared" si="18"/>
        <v>98.48</v>
      </c>
      <c r="G492" s="438"/>
      <c r="H492" s="55">
        <v>3.5000000000000003E-2</v>
      </c>
      <c r="I492" s="164">
        <f t="shared" si="17"/>
        <v>0</v>
      </c>
      <c r="J492" s="128"/>
      <c r="K492" s="128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</row>
    <row r="493" spans="1:24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625">
        <f t="shared" si="18"/>
        <v>2328.6</v>
      </c>
      <c r="G493" s="438">
        <v>175</v>
      </c>
      <c r="H493" s="55">
        <v>3.5000000000000003E-2</v>
      </c>
      <c r="I493" s="164">
        <f t="shared" si="17"/>
        <v>2.6303358241003181E-3</v>
      </c>
      <c r="J493" s="128"/>
      <c r="K493" s="128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</row>
    <row r="494" spans="1:24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625">
        <f t="shared" si="18"/>
        <v>479.01</v>
      </c>
      <c r="G494" s="438">
        <v>30</v>
      </c>
      <c r="H494" s="55">
        <v>3.5000000000000003E-2</v>
      </c>
      <c r="I494" s="164">
        <f t="shared" si="17"/>
        <v>2.1920210434020169E-3</v>
      </c>
      <c r="J494" s="128"/>
      <c r="K494" s="128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</row>
    <row r="495" spans="1:24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625">
        <f t="shared" si="18"/>
        <v>479.14</v>
      </c>
      <c r="G495" s="438">
        <v>24</v>
      </c>
      <c r="H495" s="55">
        <v>3.5000000000000003E-2</v>
      </c>
      <c r="I495" s="164">
        <f t="shared" si="17"/>
        <v>1.7531410443711653E-3</v>
      </c>
      <c r="J495" s="128"/>
      <c r="K495" s="128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</row>
    <row r="496" spans="1:24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625">
        <f t="shared" si="18"/>
        <v>1158.5899999999999</v>
      </c>
      <c r="G496" s="438">
        <v>80</v>
      </c>
      <c r="H496" s="55">
        <v>3.5000000000000003E-2</v>
      </c>
      <c r="I496" s="164">
        <f t="shared" si="17"/>
        <v>2.416730681259117E-3</v>
      </c>
      <c r="J496" s="128"/>
      <c r="K496" s="128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</row>
    <row r="497" spans="1:24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625">
        <f t="shared" si="18"/>
        <v>368.99</v>
      </c>
      <c r="G497" s="438">
        <v>32</v>
      </c>
      <c r="H497" s="55">
        <v>3.5000000000000003E-2</v>
      </c>
      <c r="I497" s="164">
        <f t="shared" si="17"/>
        <v>3.0353126100978347E-3</v>
      </c>
      <c r="J497" s="128"/>
      <c r="K497" s="128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</row>
    <row r="498" spans="1:24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625">
        <f t="shared" si="18"/>
        <v>346.24</v>
      </c>
      <c r="G498" s="438">
        <v>37</v>
      </c>
      <c r="H498" s="55">
        <v>3.5000000000000003E-2</v>
      </c>
      <c r="I498" s="164">
        <f t="shared" si="17"/>
        <v>3.7401802218114608E-3</v>
      </c>
      <c r="J498" s="128"/>
      <c r="K498" s="128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</row>
    <row r="499" spans="1:24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625">
        <f t="shared" si="18"/>
        <v>151.5</v>
      </c>
      <c r="G499" s="55"/>
      <c r="H499" s="55">
        <v>3.5000000000000003E-2</v>
      </c>
      <c r="I499" s="164">
        <f t="shared" si="17"/>
        <v>0</v>
      </c>
      <c r="J499" s="128"/>
      <c r="K499" s="128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</row>
    <row r="500" spans="1:24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625">
        <f t="shared" si="18"/>
        <v>123.6</v>
      </c>
      <c r="G500" s="55"/>
      <c r="H500" s="55">
        <v>3.5000000000000003E-2</v>
      </c>
      <c r="I500" s="164">
        <f t="shared" si="17"/>
        <v>0</v>
      </c>
      <c r="J500" s="128"/>
      <c r="K500" s="128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</row>
    <row r="501" spans="1:24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625">
        <f t="shared" si="18"/>
        <v>624.51</v>
      </c>
      <c r="G501" s="55">
        <v>22</v>
      </c>
      <c r="H501" s="55">
        <v>3.5000000000000003E-2</v>
      </c>
      <c r="I501" s="164">
        <f t="shared" si="17"/>
        <v>1.2329666458503468E-3</v>
      </c>
      <c r="J501" s="128"/>
      <c r="K501" s="128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</row>
    <row r="502" spans="1:24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625">
        <f t="shared" si="18"/>
        <v>202.5</v>
      </c>
      <c r="G502" s="55"/>
      <c r="H502" s="55">
        <v>3.5000000000000003E-2</v>
      </c>
      <c r="I502" s="164">
        <f t="shared" si="17"/>
        <v>0</v>
      </c>
      <c r="J502" s="128"/>
      <c r="K502" s="128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</row>
    <row r="503" spans="1:24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625">
        <f t="shared" si="18"/>
        <v>132.5</v>
      </c>
      <c r="G503" s="55"/>
      <c r="H503" s="55">
        <v>3.5000000000000003E-2</v>
      </c>
      <c r="I503" s="164">
        <f t="shared" si="17"/>
        <v>0</v>
      </c>
      <c r="J503" s="128"/>
      <c r="K503" s="128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</row>
    <row r="504" spans="1:24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625">
        <f t="shared" si="18"/>
        <v>156.1</v>
      </c>
      <c r="G504" s="55"/>
      <c r="H504" s="55">
        <v>3.5000000000000003E-2</v>
      </c>
      <c r="I504" s="164">
        <f t="shared" si="17"/>
        <v>0</v>
      </c>
      <c r="J504" s="128"/>
      <c r="K504" s="128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</row>
    <row r="505" spans="1:24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625">
        <f t="shared" si="18"/>
        <v>138</v>
      </c>
      <c r="G505" s="55">
        <v>18</v>
      </c>
      <c r="H505" s="55">
        <v>3.5000000000000003E-2</v>
      </c>
      <c r="I505" s="164">
        <f t="shared" si="17"/>
        <v>4.5652173913043491E-3</v>
      </c>
      <c r="J505" s="128"/>
      <c r="K505" s="128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</row>
    <row r="506" spans="1:24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625">
        <f t="shared" si="18"/>
        <v>137.69999999999999</v>
      </c>
      <c r="G506" s="55">
        <v>21</v>
      </c>
      <c r="H506" s="55">
        <v>3.5000000000000003E-2</v>
      </c>
      <c r="I506" s="164">
        <f t="shared" si="17"/>
        <v>5.3376906318082801E-3</v>
      </c>
      <c r="J506" s="128"/>
      <c r="K506" s="128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</row>
    <row r="507" spans="1:24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625">
        <f t="shared" si="18"/>
        <v>184.88</v>
      </c>
      <c r="G507" s="55">
        <v>45</v>
      </c>
      <c r="H507" s="55">
        <v>3.5000000000000003E-2</v>
      </c>
      <c r="I507" s="164">
        <f t="shared" si="17"/>
        <v>8.5190393768931217E-3</v>
      </c>
      <c r="J507" s="128"/>
      <c r="K507" s="128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</row>
    <row r="508" spans="1:24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625">
        <f t="shared" si="18"/>
        <v>657.19</v>
      </c>
      <c r="G508" s="55">
        <v>41</v>
      </c>
      <c r="H508" s="55">
        <v>3.5000000000000003E-2</v>
      </c>
      <c r="I508" s="164">
        <f t="shared" si="17"/>
        <v>2.1835390069842816E-3</v>
      </c>
      <c r="J508" s="128"/>
      <c r="K508" s="128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</row>
    <row r="509" spans="1:24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625">
        <f t="shared" si="18"/>
        <v>815.3</v>
      </c>
      <c r="G509" s="55">
        <v>76</v>
      </c>
      <c r="H509" s="55">
        <v>3.5000000000000003E-2</v>
      </c>
      <c r="I509" s="164">
        <f t="shared" si="17"/>
        <v>3.2626027229240772E-3</v>
      </c>
      <c r="J509" s="128"/>
      <c r="K509" s="128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</row>
    <row r="510" spans="1:24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625">
        <f t="shared" si="18"/>
        <v>800.4</v>
      </c>
      <c r="G510" s="55">
        <v>57</v>
      </c>
      <c r="H510" s="55">
        <v>3.5000000000000003E-2</v>
      </c>
      <c r="I510" s="164">
        <f t="shared" si="17"/>
        <v>2.4925037481259371E-3</v>
      </c>
      <c r="J510" s="128"/>
      <c r="K510" s="128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</row>
    <row r="511" spans="1:24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625">
        <f t="shared" si="18"/>
        <v>285.10000000000002</v>
      </c>
      <c r="G511" s="55">
        <v>29</v>
      </c>
      <c r="H511" s="55">
        <v>3.5000000000000003E-2</v>
      </c>
      <c r="I511" s="164">
        <f t="shared" si="17"/>
        <v>3.5601543318133991E-3</v>
      </c>
      <c r="J511" s="128"/>
      <c r="K511" s="128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</row>
    <row r="512" spans="1:24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625">
        <f t="shared" si="18"/>
        <v>415.84</v>
      </c>
      <c r="G512" s="55">
        <v>54</v>
      </c>
      <c r="H512" s="55">
        <v>3.5000000000000003E-2</v>
      </c>
      <c r="I512" s="164">
        <f t="shared" ref="I512:I534" si="19">G512*H512/F512</f>
        <v>4.5450173143516742E-3</v>
      </c>
      <c r="J512" s="128"/>
      <c r="K512" s="128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</row>
    <row r="513" spans="1:24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625">
        <f t="shared" si="18"/>
        <v>516.34</v>
      </c>
      <c r="G513" s="55">
        <v>54</v>
      </c>
      <c r="H513" s="55">
        <v>3.5000000000000003E-2</v>
      </c>
      <c r="I513" s="164">
        <f t="shared" si="19"/>
        <v>3.6603788201572608E-3</v>
      </c>
      <c r="J513" s="128"/>
      <c r="K513" s="128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</row>
    <row r="514" spans="1:24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625">
        <f t="shared" si="18"/>
        <v>605.14</v>
      </c>
      <c r="G514" s="55">
        <v>44</v>
      </c>
      <c r="H514" s="55">
        <v>3.5000000000000003E-2</v>
      </c>
      <c r="I514" s="164">
        <f t="shared" si="19"/>
        <v>2.5448656509237532E-3</v>
      </c>
      <c r="J514" s="128"/>
      <c r="K514" s="128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1:24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625">
        <f t="shared" si="18"/>
        <v>476.1</v>
      </c>
      <c r="G515" s="55">
        <v>48</v>
      </c>
      <c r="H515" s="55">
        <v>3.5000000000000003E-2</v>
      </c>
      <c r="I515" s="164">
        <f t="shared" si="19"/>
        <v>3.5286704473850034E-3</v>
      </c>
      <c r="J515" s="128"/>
      <c r="K515" s="128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</row>
    <row r="516" spans="1:24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625">
        <f t="shared" si="18"/>
        <v>417.52</v>
      </c>
      <c r="G516" s="55">
        <v>70</v>
      </c>
      <c r="H516" s="55">
        <v>3.5000000000000003E-2</v>
      </c>
      <c r="I516" s="164">
        <f t="shared" si="19"/>
        <v>5.867982372101936E-3</v>
      </c>
      <c r="J516" s="128"/>
      <c r="K516" s="128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1:24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625">
        <f t="shared" si="18"/>
        <v>273.56</v>
      </c>
      <c r="G517" s="55">
        <v>38</v>
      </c>
      <c r="H517" s="55">
        <v>3.5000000000000003E-2</v>
      </c>
      <c r="I517" s="164">
        <f t="shared" si="19"/>
        <v>4.8618219037871039E-3</v>
      </c>
      <c r="J517" s="128"/>
      <c r="K517" s="128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</row>
    <row r="518" spans="1:24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625">
        <f t="shared" si="18"/>
        <v>645.95000000000005</v>
      </c>
      <c r="G518" s="55">
        <v>57</v>
      </c>
      <c r="H518" s="55">
        <v>3.5000000000000003E-2</v>
      </c>
      <c r="I518" s="164">
        <f t="shared" si="19"/>
        <v>3.0884743401192044E-3</v>
      </c>
      <c r="J518" s="128"/>
      <c r="K518" s="128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</row>
    <row r="519" spans="1:24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625">
        <f t="shared" si="18"/>
        <v>867.68</v>
      </c>
      <c r="G519" s="55">
        <v>65</v>
      </c>
      <c r="H519" s="55">
        <v>3.5000000000000003E-2</v>
      </c>
      <c r="I519" s="164">
        <f t="shared" si="19"/>
        <v>2.6219343536787762E-3</v>
      </c>
      <c r="J519" s="128"/>
      <c r="K519" s="128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</row>
    <row r="520" spans="1:24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625">
        <f t="shared" si="18"/>
        <v>556.85</v>
      </c>
      <c r="G520" s="55">
        <v>39</v>
      </c>
      <c r="H520" s="55">
        <v>3.5000000000000003E-2</v>
      </c>
      <c r="I520" s="164">
        <f t="shared" si="19"/>
        <v>2.451288497800126E-3</v>
      </c>
      <c r="J520" s="128"/>
      <c r="K520" s="128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</row>
    <row r="521" spans="1:24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625">
        <f t="shared" si="18"/>
        <v>335.18</v>
      </c>
      <c r="G521" s="55">
        <v>41</v>
      </c>
      <c r="H521" s="55">
        <v>3.5000000000000003E-2</v>
      </c>
      <c r="I521" s="164">
        <f t="shared" si="19"/>
        <v>4.2812816993854051E-3</v>
      </c>
      <c r="J521" s="128"/>
      <c r="K521" s="128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</row>
    <row r="522" spans="1:24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625">
        <f t="shared" si="18"/>
        <v>274.58999999999997</v>
      </c>
      <c r="G522" s="55">
        <v>38</v>
      </c>
      <c r="H522" s="55">
        <v>3.5000000000000003E-2</v>
      </c>
      <c r="I522" s="164">
        <f t="shared" si="19"/>
        <v>4.8435849812447657E-3</v>
      </c>
      <c r="J522" s="128"/>
      <c r="K522" s="128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</row>
    <row r="523" spans="1:24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625">
        <f t="shared" si="18"/>
        <v>345.54</v>
      </c>
      <c r="G523" s="55">
        <v>36</v>
      </c>
      <c r="H523" s="55">
        <v>3.5000000000000003E-2</v>
      </c>
      <c r="I523" s="164">
        <f t="shared" si="19"/>
        <v>3.6464664004167394E-3</v>
      </c>
      <c r="J523" s="128"/>
      <c r="K523" s="128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</row>
    <row r="524" spans="1:24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625">
        <f t="shared" si="18"/>
        <v>212.4</v>
      </c>
      <c r="G524" s="55">
        <v>31</v>
      </c>
      <c r="H524" s="55">
        <v>3.5000000000000003E-2</v>
      </c>
      <c r="I524" s="164">
        <f t="shared" si="19"/>
        <v>5.1082862523540501E-3</v>
      </c>
      <c r="J524" s="128"/>
      <c r="K524" s="128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</row>
    <row r="525" spans="1:24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625">
        <f t="shared" si="18"/>
        <v>257.2</v>
      </c>
      <c r="G525" s="55"/>
      <c r="H525" s="55">
        <v>3.5000000000000003E-2</v>
      </c>
      <c r="I525" s="164">
        <f t="shared" si="19"/>
        <v>0</v>
      </c>
      <c r="J525" s="128"/>
      <c r="K525" s="128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</row>
    <row r="526" spans="1:24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625">
        <f t="shared" si="18"/>
        <v>406.14</v>
      </c>
      <c r="G526" s="55">
        <v>46</v>
      </c>
      <c r="H526" s="55">
        <v>3.5000000000000003E-2</v>
      </c>
      <c r="I526" s="164">
        <f t="shared" si="19"/>
        <v>3.9641502930024136E-3</v>
      </c>
      <c r="J526" s="128"/>
      <c r="K526" s="128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</row>
    <row r="527" spans="1:24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625">
        <f t="shared" si="18"/>
        <v>253.51</v>
      </c>
      <c r="G527" s="55">
        <v>37</v>
      </c>
      <c r="H527" s="55">
        <v>3.5000000000000003E-2</v>
      </c>
      <c r="I527" s="164">
        <f t="shared" si="19"/>
        <v>5.1082797522780171E-3</v>
      </c>
      <c r="J527" s="128"/>
      <c r="K527" s="128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</row>
    <row r="528" spans="1:24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625">
        <f t="shared" ref="F528:F535" si="20">C528+D528+E528</f>
        <v>354.64</v>
      </c>
      <c r="G528" s="55">
        <v>45</v>
      </c>
      <c r="H528" s="55">
        <v>3.5000000000000003E-2</v>
      </c>
      <c r="I528" s="164">
        <f t="shared" si="19"/>
        <v>4.4411233927362966E-3</v>
      </c>
      <c r="J528" s="128"/>
      <c r="K528" s="128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</row>
    <row r="529" spans="1:24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625">
        <f t="shared" si="20"/>
        <v>286.98</v>
      </c>
      <c r="G529" s="55">
        <v>44</v>
      </c>
      <c r="H529" s="55">
        <v>3.5000000000000003E-2</v>
      </c>
      <c r="I529" s="164">
        <f t="shared" si="19"/>
        <v>5.3662276116802562E-3</v>
      </c>
      <c r="J529" s="128"/>
      <c r="K529" s="128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</row>
    <row r="530" spans="1:24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625">
        <f t="shared" si="20"/>
        <v>128.9</v>
      </c>
      <c r="G530" s="55"/>
      <c r="H530" s="55">
        <v>3.5000000000000003E-2</v>
      </c>
      <c r="I530" s="164">
        <f t="shared" si="19"/>
        <v>0</v>
      </c>
      <c r="J530" s="128"/>
      <c r="K530" s="128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</row>
    <row r="531" spans="1:24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625">
        <f t="shared" si="20"/>
        <v>2048.73</v>
      </c>
      <c r="G531" s="55">
        <v>120</v>
      </c>
      <c r="H531" s="55">
        <v>3.5000000000000003E-2</v>
      </c>
      <c r="I531" s="164">
        <f t="shared" si="19"/>
        <v>2.050050519102078E-3</v>
      </c>
      <c r="J531" s="128"/>
      <c r="K531" s="128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</row>
    <row r="532" spans="1:24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625">
        <f t="shared" si="20"/>
        <v>2056.27</v>
      </c>
      <c r="G532" s="55">
        <v>120</v>
      </c>
      <c r="H532" s="55">
        <v>3.5000000000000003E-2</v>
      </c>
      <c r="I532" s="164">
        <f t="shared" si="19"/>
        <v>2.0425333249038309E-3</v>
      </c>
      <c r="J532" s="128"/>
      <c r="K532" s="128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</row>
    <row r="533" spans="1:24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625">
        <f t="shared" si="20"/>
        <v>75.900000000000006</v>
      </c>
      <c r="G533" s="55">
        <v>0</v>
      </c>
      <c r="H533" s="55">
        <v>3.5000000000000003E-2</v>
      </c>
      <c r="I533" s="164">
        <f t="shared" si="19"/>
        <v>0</v>
      </c>
      <c r="J533" s="128"/>
      <c r="K533" s="128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</row>
    <row r="534" spans="1:24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625">
        <f t="shared" si="20"/>
        <v>903</v>
      </c>
      <c r="G534" s="303">
        <v>41.25</v>
      </c>
      <c r="H534" s="55">
        <v>3.5000000000000003E-2</v>
      </c>
      <c r="I534" s="164">
        <f t="shared" si="19"/>
        <v>1.5988372093023258E-3</v>
      </c>
      <c r="J534" s="128"/>
      <c r="K534" s="128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</row>
    <row r="535" spans="1:24" s="33" customFormat="1" ht="16.5" thickBot="1">
      <c r="A535" s="186"/>
      <c r="B535" s="186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14">
        <f t="shared" si="20"/>
        <v>243872.61000000004</v>
      </c>
      <c r="G535" s="186">
        <f>SUM(G386:G534)</f>
        <v>22341.25</v>
      </c>
      <c r="H535" s="186">
        <v>3.5000000000000003E-2</v>
      </c>
      <c r="I535" s="188">
        <f t="shared" ref="I535:I581" si="21">G535*H535/F535</f>
        <v>3.2063615098062875E-3</v>
      </c>
      <c r="J535" s="130"/>
      <c r="K535" s="130"/>
    </row>
    <row r="536" spans="1:24" s="6" customFormat="1" ht="16.5" thickBot="1">
      <c r="A536" s="137" t="s">
        <v>245</v>
      </c>
      <c r="B536" s="138"/>
      <c r="C536" s="138"/>
      <c r="D536" s="138"/>
      <c r="E536" s="138"/>
      <c r="F536" s="611">
        <f t="shared" ref="F536:F587" si="22">C536+D536+E536</f>
        <v>0</v>
      </c>
      <c r="G536" s="138"/>
      <c r="H536" s="138"/>
      <c r="I536" s="138"/>
      <c r="J536" s="128"/>
      <c r="K536" s="211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</row>
    <row r="537" spans="1:24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611">
        <f t="shared" si="22"/>
        <v>4713.8</v>
      </c>
      <c r="G537" s="142">
        <v>322</v>
      </c>
      <c r="H537" s="142">
        <v>3.5000000000000003E-2</v>
      </c>
      <c r="I537" s="170">
        <f t="shared" si="21"/>
        <v>2.390852390852391E-3</v>
      </c>
      <c r="J537" s="128"/>
      <c r="K537" s="128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</row>
    <row r="538" spans="1:24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611">
        <f t="shared" si="22"/>
        <v>14312.59</v>
      </c>
      <c r="G538" s="55">
        <v>886.1</v>
      </c>
      <c r="H538" s="55">
        <v>3.5000000000000003E-2</v>
      </c>
      <c r="I538" s="164">
        <f t="shared" si="21"/>
        <v>2.166868470346737E-3</v>
      </c>
      <c r="J538" s="128"/>
      <c r="K538" s="128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</row>
    <row r="539" spans="1:24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611">
        <f t="shared" si="22"/>
        <v>4226.7</v>
      </c>
      <c r="G539" s="55">
        <v>150</v>
      </c>
      <c r="H539" s="55">
        <v>3.5000000000000003E-2</v>
      </c>
      <c r="I539" s="164">
        <f t="shared" si="21"/>
        <v>1.2421037688977218E-3</v>
      </c>
      <c r="J539" s="128"/>
      <c r="K539" s="128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</row>
    <row r="540" spans="1:24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611">
        <f t="shared" si="22"/>
        <v>4136.82</v>
      </c>
      <c r="G540" s="55">
        <v>150</v>
      </c>
      <c r="H540" s="55">
        <v>3.5000000000000003E-2</v>
      </c>
      <c r="I540" s="164">
        <f t="shared" si="21"/>
        <v>1.2690907508666079E-3</v>
      </c>
      <c r="J540" s="128"/>
      <c r="K540" s="128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</row>
    <row r="541" spans="1:24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611">
        <f t="shared" si="22"/>
        <v>7984.78</v>
      </c>
      <c r="G541" s="55">
        <v>480</v>
      </c>
      <c r="H541" s="55">
        <v>3.5000000000000003E-2</v>
      </c>
      <c r="I541" s="164">
        <f t="shared" si="21"/>
        <v>2.1040028654515219E-3</v>
      </c>
      <c r="J541" s="128"/>
      <c r="K541" s="128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</row>
    <row r="542" spans="1:24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611">
        <f t="shared" si="22"/>
        <v>4209.92</v>
      </c>
      <c r="G542" s="55">
        <v>150</v>
      </c>
      <c r="H542" s="55">
        <v>3.5000000000000003E-2</v>
      </c>
      <c r="I542" s="164">
        <f t="shared" si="21"/>
        <v>1.247054575858924E-3</v>
      </c>
      <c r="J542" s="128"/>
      <c r="K542" s="128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</row>
    <row r="543" spans="1:24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611">
        <f t="shared" si="22"/>
        <v>8071.9</v>
      </c>
      <c r="G543" s="55">
        <v>520</v>
      </c>
      <c r="H543" s="55">
        <v>3.5000000000000003E-2</v>
      </c>
      <c r="I543" s="164">
        <f t="shared" si="21"/>
        <v>2.2547355641174944E-3</v>
      </c>
      <c r="J543" s="128"/>
      <c r="K543" s="128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</row>
    <row r="544" spans="1:24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611">
        <f t="shared" si="22"/>
        <v>4461.2</v>
      </c>
      <c r="G544" s="55">
        <v>315</v>
      </c>
      <c r="H544" s="55">
        <v>3.5000000000000003E-2</v>
      </c>
      <c r="I544" s="164">
        <f t="shared" si="21"/>
        <v>2.4713081682058639E-3</v>
      </c>
      <c r="J544" s="128"/>
      <c r="K544" s="128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</row>
    <row r="545" spans="1:24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611">
        <f t="shared" si="22"/>
        <v>10161.57</v>
      </c>
      <c r="G545" s="55">
        <v>475</v>
      </c>
      <c r="H545" s="55">
        <v>3.5000000000000003E-2</v>
      </c>
      <c r="I545" s="164">
        <f t="shared" si="21"/>
        <v>1.6360660803399474E-3</v>
      </c>
      <c r="J545" s="128"/>
      <c r="K545" s="128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</row>
    <row r="546" spans="1:24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611">
        <f t="shared" si="22"/>
        <v>7889.76</v>
      </c>
      <c r="G546" s="55">
        <v>580</v>
      </c>
      <c r="H546" s="55">
        <v>3.5000000000000003E-2</v>
      </c>
      <c r="I546" s="164">
        <f t="shared" si="21"/>
        <v>2.5729553243698162E-3</v>
      </c>
      <c r="J546" s="128"/>
      <c r="K546" s="128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</row>
    <row r="547" spans="1:24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611">
        <f t="shared" si="22"/>
        <v>7084.55</v>
      </c>
      <c r="G547" s="55">
        <v>506</v>
      </c>
      <c r="H547" s="55">
        <v>3.5000000000000003E-2</v>
      </c>
      <c r="I547" s="164">
        <f t="shared" si="21"/>
        <v>2.4998059156897756E-3</v>
      </c>
      <c r="J547" s="128"/>
      <c r="K547" s="128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</row>
    <row r="548" spans="1:24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611">
        <f t="shared" si="22"/>
        <v>4792.88</v>
      </c>
      <c r="G548" s="55">
        <v>220</v>
      </c>
      <c r="H548" s="55">
        <v>3.5000000000000003E-2</v>
      </c>
      <c r="I548" s="164">
        <f t="shared" si="21"/>
        <v>1.6065497154111935E-3</v>
      </c>
      <c r="J548" s="128"/>
      <c r="K548" s="128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</row>
    <row r="549" spans="1:24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611">
        <f t="shared" si="22"/>
        <v>4816.47</v>
      </c>
      <c r="G549" s="55">
        <v>220</v>
      </c>
      <c r="H549" s="55">
        <v>3.5000000000000003E-2</v>
      </c>
      <c r="I549" s="164">
        <f t="shared" si="21"/>
        <v>1.5986811918272097E-3</v>
      </c>
      <c r="J549" s="128"/>
      <c r="K549" s="128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</row>
    <row r="550" spans="1:24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611">
        <f t="shared" si="22"/>
        <v>5818.22</v>
      </c>
      <c r="G550" s="55">
        <v>540</v>
      </c>
      <c r="H550" s="55">
        <v>3.5000000000000003E-2</v>
      </c>
      <c r="I550" s="164">
        <f t="shared" si="21"/>
        <v>3.2484161822688043E-3</v>
      </c>
      <c r="J550" s="128"/>
      <c r="K550" s="128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</row>
    <row r="551" spans="1:24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611">
        <f t="shared" si="22"/>
        <v>16414.989999999998</v>
      </c>
      <c r="G551" s="55">
        <v>884</v>
      </c>
      <c r="H551" s="55">
        <v>3.5000000000000003E-2</v>
      </c>
      <c r="I551" s="164">
        <f t="shared" si="21"/>
        <v>1.8848625555056692E-3</v>
      </c>
      <c r="J551" s="128"/>
      <c r="K551" s="128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</row>
    <row r="552" spans="1:24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611">
        <f t="shared" si="22"/>
        <v>14876.619999999999</v>
      </c>
      <c r="G552" s="55">
        <v>1384</v>
      </c>
      <c r="H552" s="55">
        <v>3.5000000000000003E-2</v>
      </c>
      <c r="I552" s="164">
        <f t="shared" si="21"/>
        <v>3.2561159725797936E-3</v>
      </c>
      <c r="J552" s="128"/>
      <c r="K552" s="128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</row>
    <row r="553" spans="1:24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611">
        <f t="shared" si="22"/>
        <v>351.06</v>
      </c>
      <c r="G553" s="55">
        <v>0</v>
      </c>
      <c r="H553" s="55">
        <v>3.5000000000000003E-2</v>
      </c>
      <c r="I553" s="164">
        <f t="shared" si="21"/>
        <v>0</v>
      </c>
      <c r="J553" s="128"/>
      <c r="K553" s="128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</row>
    <row r="554" spans="1:24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611">
        <f t="shared" si="22"/>
        <v>377.1</v>
      </c>
      <c r="G554" s="55">
        <v>0</v>
      </c>
      <c r="H554" s="55">
        <v>3.5000000000000003E-2</v>
      </c>
      <c r="I554" s="164">
        <f t="shared" si="21"/>
        <v>0</v>
      </c>
      <c r="J554" s="128"/>
      <c r="K554" s="128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</row>
    <row r="555" spans="1:24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611">
        <f t="shared" si="22"/>
        <v>82.9</v>
      </c>
      <c r="G555" s="55">
        <v>0</v>
      </c>
      <c r="H555" s="55">
        <v>3.5000000000000003E-2</v>
      </c>
      <c r="I555" s="164">
        <f t="shared" si="21"/>
        <v>0</v>
      </c>
      <c r="J555" s="128"/>
      <c r="K555" s="128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</row>
    <row r="556" spans="1:24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611">
        <f t="shared" si="22"/>
        <v>56.1</v>
      </c>
      <c r="G556" s="55">
        <v>0</v>
      </c>
      <c r="H556" s="55">
        <v>3.5000000000000003E-2</v>
      </c>
      <c r="I556" s="164">
        <f t="shared" si="21"/>
        <v>0</v>
      </c>
      <c r="J556" s="128"/>
      <c r="K556" s="128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</row>
    <row r="557" spans="1:24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611">
        <f t="shared" si="22"/>
        <v>87</v>
      </c>
      <c r="G557" s="55">
        <v>0</v>
      </c>
      <c r="H557" s="55">
        <v>3.5000000000000003E-2</v>
      </c>
      <c r="I557" s="164">
        <f t="shared" si="21"/>
        <v>0</v>
      </c>
      <c r="J557" s="128"/>
      <c r="K557" s="128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</row>
    <row r="558" spans="1:24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611">
        <f t="shared" si="22"/>
        <v>4409.5</v>
      </c>
      <c r="G558" s="55">
        <v>322</v>
      </c>
      <c r="H558" s="55">
        <v>3.5000000000000003E-2</v>
      </c>
      <c r="I558" s="164">
        <f t="shared" si="21"/>
        <v>2.5558453339380887E-3</v>
      </c>
      <c r="J558" s="128"/>
      <c r="K558" s="128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</row>
    <row r="559" spans="1:24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611">
        <f t="shared" si="22"/>
        <v>354.7</v>
      </c>
      <c r="G559" s="55">
        <v>0</v>
      </c>
      <c r="H559" s="55">
        <v>3.5000000000000003E-2</v>
      </c>
      <c r="I559" s="164">
        <f t="shared" si="21"/>
        <v>0</v>
      </c>
      <c r="J559" s="128"/>
      <c r="K559" s="128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</row>
    <row r="560" spans="1:24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611">
        <f t="shared" si="22"/>
        <v>352.4</v>
      </c>
      <c r="G560" s="55">
        <v>0</v>
      </c>
      <c r="H560" s="55">
        <v>3.5000000000000003E-2</v>
      </c>
      <c r="I560" s="164">
        <f t="shared" si="21"/>
        <v>0</v>
      </c>
      <c r="J560" s="128"/>
      <c r="K560" s="128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</row>
    <row r="561" spans="1:24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611">
        <f t="shared" si="22"/>
        <v>216.7</v>
      </c>
      <c r="G561" s="55">
        <v>0</v>
      </c>
      <c r="H561" s="55">
        <v>3.5000000000000003E-2</v>
      </c>
      <c r="I561" s="164">
        <f t="shared" si="21"/>
        <v>0</v>
      </c>
      <c r="J561" s="128"/>
      <c r="K561" s="128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</row>
    <row r="562" spans="1:24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611">
        <f t="shared" si="22"/>
        <v>42.7</v>
      </c>
      <c r="G562" s="55">
        <v>0</v>
      </c>
      <c r="H562" s="55">
        <v>3.5000000000000003E-2</v>
      </c>
      <c r="I562" s="164">
        <f t="shared" si="21"/>
        <v>0</v>
      </c>
      <c r="J562" s="128"/>
      <c r="K562" s="128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</row>
    <row r="563" spans="1:24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611">
        <f t="shared" si="22"/>
        <v>79.7</v>
      </c>
      <c r="G563" s="55">
        <v>0</v>
      </c>
      <c r="H563" s="55">
        <v>3.5000000000000003E-2</v>
      </c>
      <c r="I563" s="164">
        <f t="shared" si="21"/>
        <v>0</v>
      </c>
      <c r="J563" s="128"/>
      <c r="K563" s="128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</row>
    <row r="564" spans="1:24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611">
        <f t="shared" si="22"/>
        <v>23.5</v>
      </c>
      <c r="G564" s="55">
        <v>0</v>
      </c>
      <c r="H564" s="55">
        <v>3.5000000000000003E-2</v>
      </c>
      <c r="I564" s="164">
        <f t="shared" si="21"/>
        <v>0</v>
      </c>
      <c r="J564" s="128"/>
      <c r="K564" s="128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</row>
    <row r="565" spans="1:24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611">
        <f t="shared" si="22"/>
        <v>29</v>
      </c>
      <c r="G565" s="55">
        <v>0</v>
      </c>
      <c r="H565" s="55">
        <v>3.5000000000000003E-2</v>
      </c>
      <c r="I565" s="164">
        <f t="shared" si="21"/>
        <v>0</v>
      </c>
      <c r="J565" s="128"/>
      <c r="K565" s="128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</row>
    <row r="566" spans="1:24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611">
        <f t="shared" si="22"/>
        <v>84.7</v>
      </c>
      <c r="G566" s="55">
        <v>0</v>
      </c>
      <c r="H566" s="55">
        <v>3.5000000000000003E-2</v>
      </c>
      <c r="I566" s="164">
        <f t="shared" si="21"/>
        <v>0</v>
      </c>
      <c r="J566" s="128"/>
      <c r="K566" s="128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</row>
    <row r="567" spans="1:24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611">
        <f t="shared" si="22"/>
        <v>177.23</v>
      </c>
      <c r="G567" s="55">
        <v>0</v>
      </c>
      <c r="H567" s="55">
        <v>3.5000000000000003E-2</v>
      </c>
      <c r="I567" s="164">
        <f t="shared" si="21"/>
        <v>0</v>
      </c>
      <c r="J567" s="128"/>
      <c r="K567" s="128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</row>
    <row r="568" spans="1:24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611">
        <f t="shared" si="22"/>
        <v>108.36</v>
      </c>
      <c r="G568" s="55">
        <v>0</v>
      </c>
      <c r="H568" s="55">
        <v>3.5000000000000003E-2</v>
      </c>
      <c r="I568" s="164">
        <f t="shared" si="21"/>
        <v>0</v>
      </c>
      <c r="J568" s="128"/>
      <c r="K568" s="128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</row>
    <row r="569" spans="1:24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611">
        <f t="shared" si="22"/>
        <v>76.2</v>
      </c>
      <c r="G569" s="55">
        <v>0</v>
      </c>
      <c r="H569" s="55">
        <v>3.5000000000000003E-2</v>
      </c>
      <c r="I569" s="164">
        <f t="shared" si="21"/>
        <v>0</v>
      </c>
      <c r="J569" s="128"/>
      <c r="K569" s="128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</row>
    <row r="570" spans="1:24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611">
        <f t="shared" si="22"/>
        <v>98.5</v>
      </c>
      <c r="G570" s="55">
        <v>0</v>
      </c>
      <c r="H570" s="55">
        <v>3.5000000000000003E-2</v>
      </c>
      <c r="I570" s="164">
        <f t="shared" si="21"/>
        <v>0</v>
      </c>
      <c r="J570" s="128"/>
      <c r="K570" s="128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</row>
    <row r="571" spans="1:24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611">
        <f t="shared" si="22"/>
        <v>93.4</v>
      </c>
      <c r="G571" s="55">
        <v>0</v>
      </c>
      <c r="H571" s="55">
        <v>3.5000000000000003E-2</v>
      </c>
      <c r="I571" s="164">
        <f t="shared" si="21"/>
        <v>0</v>
      </c>
      <c r="J571" s="128"/>
      <c r="K571" s="128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</row>
    <row r="572" spans="1:24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611">
        <f t="shared" si="22"/>
        <v>92.7</v>
      </c>
      <c r="G572" s="55">
        <v>0</v>
      </c>
      <c r="H572" s="55">
        <v>3.5000000000000003E-2</v>
      </c>
      <c r="I572" s="164">
        <f t="shared" si="21"/>
        <v>0</v>
      </c>
      <c r="J572" s="128"/>
      <c r="K572" s="128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</row>
    <row r="573" spans="1:24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611">
        <f t="shared" si="22"/>
        <v>346.6</v>
      </c>
      <c r="G573" s="55">
        <v>0</v>
      </c>
      <c r="H573" s="55">
        <v>3.5000000000000003E-2</v>
      </c>
      <c r="I573" s="164">
        <f t="shared" si="21"/>
        <v>0</v>
      </c>
      <c r="J573" s="128"/>
      <c r="K573" s="128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</row>
    <row r="574" spans="1:24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611">
        <f t="shared" si="22"/>
        <v>195</v>
      </c>
      <c r="G574" s="55">
        <v>0</v>
      </c>
      <c r="H574" s="55">
        <v>3.5000000000000003E-2</v>
      </c>
      <c r="I574" s="164">
        <f t="shared" si="21"/>
        <v>0</v>
      </c>
      <c r="J574" s="128"/>
      <c r="K574" s="128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</row>
    <row r="575" spans="1:24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611">
        <f t="shared" si="22"/>
        <v>68.099999999999994</v>
      </c>
      <c r="G575" s="55">
        <v>0</v>
      </c>
      <c r="H575" s="55">
        <v>3.5000000000000003E-2</v>
      </c>
      <c r="I575" s="164">
        <f t="shared" si="21"/>
        <v>0</v>
      </c>
      <c r="J575" s="128"/>
      <c r="K575" s="128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</row>
    <row r="576" spans="1:24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611">
        <f t="shared" si="22"/>
        <v>293.2</v>
      </c>
      <c r="G576" s="55">
        <v>0</v>
      </c>
      <c r="H576" s="55">
        <v>3.5000000000000003E-2</v>
      </c>
      <c r="I576" s="164">
        <f t="shared" si="21"/>
        <v>0</v>
      </c>
      <c r="J576" s="128"/>
      <c r="K576" s="128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</row>
    <row r="577" spans="1:24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611">
        <f t="shared" si="22"/>
        <v>95.9</v>
      </c>
      <c r="G577" s="55">
        <v>0</v>
      </c>
      <c r="H577" s="55">
        <v>3.5000000000000003E-2</v>
      </c>
      <c r="I577" s="164">
        <f t="shared" si="21"/>
        <v>0</v>
      </c>
      <c r="J577" s="128"/>
      <c r="K577" s="128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</row>
    <row r="578" spans="1:24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611">
        <f t="shared" si="22"/>
        <v>4501</v>
      </c>
      <c r="G578" s="55">
        <v>202.3</v>
      </c>
      <c r="H578" s="55">
        <v>3.5000000000000003E-2</v>
      </c>
      <c r="I578" s="164">
        <f t="shared" si="21"/>
        <v>1.5730948678071542E-3</v>
      </c>
      <c r="J578" s="128"/>
      <c r="K578" s="128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</row>
    <row r="579" spans="1:24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611">
        <f t="shared" si="22"/>
        <v>195.86</v>
      </c>
      <c r="G579" s="55">
        <v>0</v>
      </c>
      <c r="H579" s="55">
        <v>3.5000000000000003E-2</v>
      </c>
      <c r="I579" s="164">
        <f t="shared" si="21"/>
        <v>0</v>
      </c>
      <c r="J579" s="128"/>
      <c r="K579" s="128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</row>
    <row r="580" spans="1:24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611">
        <f t="shared" si="22"/>
        <v>148</v>
      </c>
      <c r="G580" s="55">
        <v>0</v>
      </c>
      <c r="H580" s="55">
        <v>3.5000000000000003E-2</v>
      </c>
      <c r="I580" s="164">
        <f t="shared" si="21"/>
        <v>0</v>
      </c>
      <c r="J580" s="128"/>
      <c r="K580" s="128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</row>
    <row r="581" spans="1:24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611">
        <f t="shared" si="22"/>
        <v>74.95</v>
      </c>
      <c r="G581" s="55">
        <v>0</v>
      </c>
      <c r="H581" s="55">
        <v>3.5000000000000003E-2</v>
      </c>
      <c r="I581" s="164">
        <f t="shared" si="21"/>
        <v>0</v>
      </c>
      <c r="J581" s="128"/>
      <c r="K581" s="128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</row>
    <row r="582" spans="1:24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611">
        <f t="shared" si="22"/>
        <v>87.3</v>
      </c>
      <c r="G582" s="55">
        <v>0</v>
      </c>
      <c r="H582" s="55">
        <v>3.5000000000000003E-2</v>
      </c>
      <c r="I582" s="164">
        <f t="shared" ref="I582:I638" si="23">G582*H582/F582</f>
        <v>0</v>
      </c>
      <c r="J582" s="128"/>
      <c r="K582" s="128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</row>
    <row r="583" spans="1:24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611">
        <f t="shared" si="22"/>
        <v>92.6</v>
      </c>
      <c r="G583" s="55">
        <v>0</v>
      </c>
      <c r="H583" s="55">
        <v>3.5000000000000003E-2</v>
      </c>
      <c r="I583" s="164">
        <f t="shared" si="23"/>
        <v>0</v>
      </c>
      <c r="J583" s="128"/>
      <c r="K583" s="128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</row>
    <row r="584" spans="1:24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611">
        <f t="shared" si="22"/>
        <v>110.7</v>
      </c>
      <c r="G584" s="55">
        <v>0</v>
      </c>
      <c r="H584" s="55">
        <v>3.5000000000000003E-2</v>
      </c>
      <c r="I584" s="164">
        <f t="shared" si="23"/>
        <v>0</v>
      </c>
      <c r="J584" s="128"/>
      <c r="K584" s="128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</row>
    <row r="585" spans="1:24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611">
        <f t="shared" si="22"/>
        <v>78.7</v>
      </c>
      <c r="G585" s="55">
        <v>0</v>
      </c>
      <c r="H585" s="55">
        <v>3.5000000000000003E-2</v>
      </c>
      <c r="I585" s="164">
        <f t="shared" si="23"/>
        <v>0</v>
      </c>
      <c r="J585" s="128"/>
      <c r="K585" s="128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</row>
    <row r="586" spans="1:24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611">
        <f t="shared" si="22"/>
        <v>114</v>
      </c>
      <c r="G586" s="55">
        <v>0</v>
      </c>
      <c r="H586" s="55">
        <v>3.5000000000000003E-2</v>
      </c>
      <c r="I586" s="164">
        <f t="shared" si="23"/>
        <v>0</v>
      </c>
      <c r="J586" s="128"/>
      <c r="K586" s="128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</row>
    <row r="587" spans="1:24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611">
        <f t="shared" si="22"/>
        <v>25.1</v>
      </c>
      <c r="G587" s="55">
        <v>0</v>
      </c>
      <c r="H587" s="55">
        <v>3.5000000000000003E-2</v>
      </c>
      <c r="I587" s="164">
        <f t="shared" si="23"/>
        <v>0</v>
      </c>
      <c r="J587" s="128"/>
      <c r="K587" s="128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</row>
    <row r="588" spans="1:24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611">
        <f t="shared" ref="F588:F647" si="24">C588+D588+E588</f>
        <v>66.599999999999994</v>
      </c>
      <c r="G588" s="55">
        <v>0</v>
      </c>
      <c r="H588" s="55">
        <v>3.5000000000000003E-2</v>
      </c>
      <c r="I588" s="164">
        <f t="shared" si="23"/>
        <v>0</v>
      </c>
      <c r="J588" s="128"/>
      <c r="K588" s="128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</row>
    <row r="589" spans="1:24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611">
        <f t="shared" si="24"/>
        <v>156.4</v>
      </c>
      <c r="G589" s="55">
        <v>0</v>
      </c>
      <c r="H589" s="55">
        <v>3.5000000000000003E-2</v>
      </c>
      <c r="I589" s="164">
        <f t="shared" si="23"/>
        <v>0</v>
      </c>
      <c r="J589" s="128"/>
      <c r="K589" s="128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</row>
    <row r="590" spans="1:24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611">
        <f t="shared" si="24"/>
        <v>72.7</v>
      </c>
      <c r="G590" s="55">
        <v>0</v>
      </c>
      <c r="H590" s="55">
        <v>3.5000000000000003E-2</v>
      </c>
      <c r="I590" s="164">
        <f t="shared" si="23"/>
        <v>0</v>
      </c>
      <c r="J590" s="128"/>
      <c r="K590" s="128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</row>
    <row r="591" spans="1:24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611">
        <f t="shared" si="24"/>
        <v>59.6</v>
      </c>
      <c r="G591" s="55">
        <v>0</v>
      </c>
      <c r="H591" s="55">
        <v>3.5000000000000003E-2</v>
      </c>
      <c r="I591" s="164">
        <f t="shared" si="23"/>
        <v>0</v>
      </c>
      <c r="J591" s="128"/>
      <c r="K591" s="128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</row>
    <row r="592" spans="1:24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611">
        <f t="shared" si="24"/>
        <v>176</v>
      </c>
      <c r="G592" s="55">
        <v>0</v>
      </c>
      <c r="H592" s="55">
        <v>3.5000000000000003E-2</v>
      </c>
      <c r="I592" s="164">
        <f t="shared" si="23"/>
        <v>0</v>
      </c>
      <c r="J592" s="128"/>
      <c r="K592" s="128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</row>
    <row r="593" spans="1:24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611">
        <f t="shared" si="24"/>
        <v>149</v>
      </c>
      <c r="G593" s="55">
        <v>0</v>
      </c>
      <c r="H593" s="55">
        <v>3.5000000000000003E-2</v>
      </c>
      <c r="I593" s="164">
        <f t="shared" si="23"/>
        <v>0</v>
      </c>
      <c r="J593" s="128"/>
      <c r="K593" s="128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</row>
    <row r="594" spans="1:24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611">
        <f t="shared" si="24"/>
        <v>224.8</v>
      </c>
      <c r="G594" s="55">
        <v>0</v>
      </c>
      <c r="H594" s="55">
        <v>3.5000000000000003E-2</v>
      </c>
      <c r="I594" s="164">
        <f t="shared" si="23"/>
        <v>0</v>
      </c>
      <c r="J594" s="128"/>
      <c r="K594" s="128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</row>
    <row r="595" spans="1:24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611">
        <f t="shared" si="24"/>
        <v>243.4</v>
      </c>
      <c r="G595" s="55">
        <v>0</v>
      </c>
      <c r="H595" s="55">
        <v>3.5000000000000003E-2</v>
      </c>
      <c r="I595" s="164">
        <f t="shared" si="23"/>
        <v>0</v>
      </c>
      <c r="J595" s="128"/>
      <c r="K595" s="128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</row>
    <row r="596" spans="1:24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611">
        <f t="shared" si="24"/>
        <v>169.9</v>
      </c>
      <c r="G596" s="55">
        <v>0</v>
      </c>
      <c r="H596" s="55">
        <v>3.5000000000000003E-2</v>
      </c>
      <c r="I596" s="164">
        <f t="shared" si="23"/>
        <v>0</v>
      </c>
      <c r="J596" s="128"/>
      <c r="K596" s="128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</row>
    <row r="597" spans="1:24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611">
        <f t="shared" si="24"/>
        <v>377.1</v>
      </c>
      <c r="G597" s="55">
        <v>0</v>
      </c>
      <c r="H597" s="55">
        <v>3.5000000000000003E-2</v>
      </c>
      <c r="I597" s="164">
        <f t="shared" si="23"/>
        <v>0</v>
      </c>
      <c r="J597" s="128"/>
      <c r="K597" s="128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</row>
    <row r="598" spans="1:24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611">
        <f t="shared" si="24"/>
        <v>87.1</v>
      </c>
      <c r="G598" s="55">
        <v>0</v>
      </c>
      <c r="H598" s="55">
        <v>3.5000000000000003E-2</v>
      </c>
      <c r="I598" s="164">
        <f t="shared" si="23"/>
        <v>0</v>
      </c>
      <c r="J598" s="128"/>
      <c r="K598" s="128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</row>
    <row r="599" spans="1:24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611">
        <f t="shared" si="24"/>
        <v>348.2</v>
      </c>
      <c r="G599" s="55">
        <v>0</v>
      </c>
      <c r="H599" s="55">
        <v>3.5000000000000003E-2</v>
      </c>
      <c r="I599" s="164">
        <f t="shared" si="23"/>
        <v>0</v>
      </c>
      <c r="J599" s="128"/>
      <c r="K599" s="128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</row>
    <row r="600" spans="1:24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611">
        <f t="shared" si="24"/>
        <v>227.7</v>
      </c>
      <c r="G600" s="55">
        <v>0</v>
      </c>
      <c r="H600" s="55">
        <v>3.5000000000000003E-2</v>
      </c>
      <c r="I600" s="164">
        <f t="shared" si="23"/>
        <v>0</v>
      </c>
      <c r="J600" s="128"/>
      <c r="K600" s="128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</row>
    <row r="601" spans="1:24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611">
        <f t="shared" si="24"/>
        <v>409.2</v>
      </c>
      <c r="G601" s="55">
        <v>0</v>
      </c>
      <c r="H601" s="55">
        <v>3.5000000000000003E-2</v>
      </c>
      <c r="I601" s="164">
        <f t="shared" si="23"/>
        <v>0</v>
      </c>
      <c r="J601" s="128"/>
      <c r="K601" s="128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</row>
    <row r="602" spans="1:24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611">
        <f t="shared" si="24"/>
        <v>177.6</v>
      </c>
      <c r="G602" s="55">
        <v>0</v>
      </c>
      <c r="H602" s="55">
        <v>3.5000000000000003E-2</v>
      </c>
      <c r="I602" s="164">
        <f t="shared" si="23"/>
        <v>0</v>
      </c>
      <c r="J602" s="128"/>
      <c r="K602" s="128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</row>
    <row r="603" spans="1:24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611">
        <f t="shared" si="24"/>
        <v>383.9</v>
      </c>
      <c r="G603" s="55">
        <v>0</v>
      </c>
      <c r="H603" s="55">
        <v>3.5000000000000003E-2</v>
      </c>
      <c r="I603" s="164">
        <f t="shared" si="23"/>
        <v>0</v>
      </c>
      <c r="J603" s="128"/>
      <c r="K603" s="128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</row>
    <row r="604" spans="1:24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611">
        <f t="shared" si="24"/>
        <v>123.2</v>
      </c>
      <c r="G604" s="55">
        <v>0</v>
      </c>
      <c r="H604" s="55">
        <v>3.5000000000000003E-2</v>
      </c>
      <c r="I604" s="164">
        <f t="shared" si="23"/>
        <v>0</v>
      </c>
      <c r="J604" s="128"/>
      <c r="K604" s="128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</row>
    <row r="605" spans="1:24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611">
        <f t="shared" si="24"/>
        <v>423.7</v>
      </c>
      <c r="G605" s="55">
        <v>0</v>
      </c>
      <c r="H605" s="55">
        <v>3.5000000000000003E-2</v>
      </c>
      <c r="I605" s="164">
        <f t="shared" si="23"/>
        <v>0</v>
      </c>
      <c r="J605" s="128"/>
      <c r="K605" s="128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</row>
    <row r="606" spans="1:24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611">
        <f t="shared" si="24"/>
        <v>138.80000000000001</v>
      </c>
      <c r="G606" s="55">
        <v>0</v>
      </c>
      <c r="H606" s="55">
        <v>3.5000000000000003E-2</v>
      </c>
      <c r="I606" s="164">
        <f t="shared" si="23"/>
        <v>0</v>
      </c>
      <c r="J606" s="128"/>
      <c r="K606" s="128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</row>
    <row r="607" spans="1:24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611">
        <f t="shared" si="24"/>
        <v>341.6</v>
      </c>
      <c r="G607" s="55">
        <v>0</v>
      </c>
      <c r="H607" s="55">
        <v>3.5000000000000003E-2</v>
      </c>
      <c r="I607" s="164">
        <f t="shared" si="23"/>
        <v>0</v>
      </c>
      <c r="J607" s="128"/>
      <c r="K607" s="128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</row>
    <row r="608" spans="1:24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611">
        <f t="shared" si="24"/>
        <v>353.3</v>
      </c>
      <c r="G608" s="55">
        <v>0</v>
      </c>
      <c r="H608" s="55">
        <v>3.5000000000000003E-2</v>
      </c>
      <c r="I608" s="164">
        <f t="shared" si="23"/>
        <v>0</v>
      </c>
      <c r="J608" s="128"/>
      <c r="K608" s="128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</row>
    <row r="609" spans="1:24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611">
        <f t="shared" si="24"/>
        <v>354.5</v>
      </c>
      <c r="G609" s="55">
        <v>0</v>
      </c>
      <c r="H609" s="55">
        <v>3.5000000000000003E-2</v>
      </c>
      <c r="I609" s="164">
        <f t="shared" si="23"/>
        <v>0</v>
      </c>
      <c r="J609" s="128"/>
      <c r="K609" s="128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</row>
    <row r="610" spans="1:24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611">
        <f t="shared" si="24"/>
        <v>404.4</v>
      </c>
      <c r="G610" s="55">
        <v>0</v>
      </c>
      <c r="H610" s="55">
        <v>3.5000000000000003E-2</v>
      </c>
      <c r="I610" s="164">
        <f t="shared" si="23"/>
        <v>0</v>
      </c>
      <c r="J610" s="128"/>
      <c r="K610" s="128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</row>
    <row r="611" spans="1:24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611">
        <f t="shared" si="24"/>
        <v>348.3</v>
      </c>
      <c r="G611" s="55">
        <v>0</v>
      </c>
      <c r="H611" s="55">
        <v>3.5000000000000003E-2</v>
      </c>
      <c r="I611" s="164">
        <f t="shared" si="23"/>
        <v>0</v>
      </c>
      <c r="J611" s="128"/>
      <c r="K611" s="128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</row>
    <row r="612" spans="1:24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611">
        <f t="shared" si="24"/>
        <v>73.400000000000006</v>
      </c>
      <c r="G612" s="55">
        <v>0</v>
      </c>
      <c r="H612" s="55">
        <v>3.5000000000000003E-2</v>
      </c>
      <c r="I612" s="164">
        <f t="shared" si="23"/>
        <v>0</v>
      </c>
      <c r="J612" s="128"/>
      <c r="K612" s="128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</row>
    <row r="613" spans="1:24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611">
        <f t="shared" si="24"/>
        <v>117.2</v>
      </c>
      <c r="G613" s="55">
        <v>0</v>
      </c>
      <c r="H613" s="55">
        <v>3.5000000000000003E-2</v>
      </c>
      <c r="I613" s="164">
        <f t="shared" si="23"/>
        <v>0</v>
      </c>
      <c r="J613" s="128"/>
      <c r="K613" s="128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</row>
    <row r="614" spans="1:24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611">
        <f t="shared" si="24"/>
        <v>65.900000000000006</v>
      </c>
      <c r="G614" s="55">
        <v>0</v>
      </c>
      <c r="H614" s="55">
        <v>3.5000000000000003E-2</v>
      </c>
      <c r="I614" s="164">
        <f t="shared" si="23"/>
        <v>0</v>
      </c>
      <c r="J614" s="128"/>
      <c r="K614" s="128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</row>
    <row r="615" spans="1:24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611">
        <f t="shared" si="24"/>
        <v>212.3</v>
      </c>
      <c r="G615" s="55">
        <v>0</v>
      </c>
      <c r="H615" s="55">
        <v>3.5000000000000003E-2</v>
      </c>
      <c r="I615" s="164">
        <f t="shared" si="23"/>
        <v>0</v>
      </c>
      <c r="J615" s="128"/>
      <c r="K615" s="128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</row>
    <row r="616" spans="1:24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611">
        <f t="shared" si="24"/>
        <v>200.1</v>
      </c>
      <c r="G616" s="55">
        <v>0</v>
      </c>
      <c r="H616" s="55">
        <v>3.5000000000000003E-2</v>
      </c>
      <c r="I616" s="164">
        <f t="shared" si="23"/>
        <v>0</v>
      </c>
      <c r="J616" s="128"/>
      <c r="K616" s="128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</row>
    <row r="617" spans="1:24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611">
        <f t="shared" si="24"/>
        <v>79.099999999999994</v>
      </c>
      <c r="G617" s="55">
        <v>0</v>
      </c>
      <c r="H617" s="55">
        <v>3.5000000000000003E-2</v>
      </c>
      <c r="I617" s="164">
        <f t="shared" si="23"/>
        <v>0</v>
      </c>
      <c r="J617" s="128"/>
      <c r="K617" s="128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</row>
    <row r="618" spans="1:24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611">
        <f t="shared" si="24"/>
        <v>3257.2000000000003</v>
      </c>
      <c r="G618" s="55">
        <v>205</v>
      </c>
      <c r="H618" s="55">
        <v>3.5000000000000003E-2</v>
      </c>
      <c r="I618" s="164">
        <f t="shared" si="23"/>
        <v>2.2028122313643619E-3</v>
      </c>
      <c r="J618" s="128"/>
      <c r="K618" s="128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</row>
    <row r="619" spans="1:24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611">
        <f t="shared" si="24"/>
        <v>4789.17</v>
      </c>
      <c r="G619" s="55">
        <v>320</v>
      </c>
      <c r="H619" s="55">
        <v>3.5000000000000003E-2</v>
      </c>
      <c r="I619" s="164">
        <f t="shared" si="23"/>
        <v>2.3386098217436425E-3</v>
      </c>
      <c r="J619" s="128"/>
      <c r="K619" s="128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</row>
    <row r="620" spans="1:24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611">
        <f t="shared" si="24"/>
        <v>6316.36</v>
      </c>
      <c r="G620" s="55">
        <v>550</v>
      </c>
      <c r="H620" s="55">
        <v>3.5000000000000003E-2</v>
      </c>
      <c r="I620" s="164">
        <f t="shared" si="23"/>
        <v>3.0476413630635374E-3</v>
      </c>
      <c r="J620" s="128"/>
      <c r="K620" s="128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</row>
    <row r="621" spans="1:24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611">
        <f t="shared" si="24"/>
        <v>4812.1099999999997</v>
      </c>
      <c r="G621" s="55">
        <v>540</v>
      </c>
      <c r="H621" s="55">
        <v>3.5000000000000003E-2</v>
      </c>
      <c r="I621" s="164">
        <f t="shared" si="23"/>
        <v>3.9275910151679834E-3</v>
      </c>
      <c r="J621" s="128"/>
      <c r="K621" s="128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</row>
    <row r="622" spans="1:24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611">
        <f t="shared" si="24"/>
        <v>11145.01</v>
      </c>
      <c r="G622" s="55">
        <v>1060</v>
      </c>
      <c r="H622" s="55">
        <v>3.5000000000000003E-2</v>
      </c>
      <c r="I622" s="164">
        <f t="shared" si="23"/>
        <v>3.3288440297496369E-3</v>
      </c>
      <c r="J622" s="128"/>
      <c r="K622" s="128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</row>
    <row r="623" spans="1:24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611">
        <f t="shared" si="24"/>
        <v>74.5</v>
      </c>
      <c r="G623" s="55">
        <v>0</v>
      </c>
      <c r="H623" s="55">
        <v>3.5000000000000003E-2</v>
      </c>
      <c r="I623" s="164">
        <f t="shared" si="23"/>
        <v>0</v>
      </c>
      <c r="J623" s="128"/>
      <c r="K623" s="128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</row>
    <row r="624" spans="1:24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611">
        <f t="shared" si="24"/>
        <v>227.9</v>
      </c>
      <c r="G624" s="55">
        <v>0</v>
      </c>
      <c r="H624" s="55">
        <v>3.5000000000000003E-2</v>
      </c>
      <c r="I624" s="164">
        <f t="shared" si="23"/>
        <v>0</v>
      </c>
      <c r="J624" s="128"/>
      <c r="K624" s="128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</row>
    <row r="625" spans="1:24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611">
        <f t="shared" si="24"/>
        <v>374.6</v>
      </c>
      <c r="G625" s="55">
        <v>0</v>
      </c>
      <c r="H625" s="55">
        <v>3.5000000000000003E-2</v>
      </c>
      <c r="I625" s="164">
        <f t="shared" si="23"/>
        <v>0</v>
      </c>
      <c r="J625" s="128"/>
      <c r="K625" s="128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</row>
    <row r="626" spans="1:24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611">
        <f t="shared" si="24"/>
        <v>738.4</v>
      </c>
      <c r="G626" s="55">
        <v>30.8</v>
      </c>
      <c r="H626" s="55">
        <v>3.5000000000000003E-2</v>
      </c>
      <c r="I626" s="164">
        <f t="shared" si="23"/>
        <v>1.4599133261105094E-3</v>
      </c>
      <c r="J626" s="128"/>
      <c r="K626" s="128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</row>
    <row r="627" spans="1:24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611">
        <f t="shared" si="24"/>
        <v>442.3</v>
      </c>
      <c r="G627" s="55">
        <v>31.2</v>
      </c>
      <c r="H627" s="55">
        <v>3.5000000000000003E-2</v>
      </c>
      <c r="I627" s="164">
        <f t="shared" si="23"/>
        <v>2.4689125028261364E-3</v>
      </c>
      <c r="J627" s="128"/>
      <c r="K627" s="128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</row>
    <row r="628" spans="1:24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611">
        <f t="shared" si="24"/>
        <v>1043.4000000000001</v>
      </c>
      <c r="G628" s="55">
        <v>32.700000000000003</v>
      </c>
      <c r="H628" s="55">
        <v>3.5000000000000003E-2</v>
      </c>
      <c r="I628" s="164">
        <f t="shared" si="23"/>
        <v>1.0968947671075333E-3</v>
      </c>
      <c r="J628" s="128"/>
      <c r="K628" s="128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</row>
    <row r="629" spans="1:24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611">
        <f t="shared" si="24"/>
        <v>473.6</v>
      </c>
      <c r="G629" s="55">
        <v>19.399999999999999</v>
      </c>
      <c r="H629" s="55">
        <v>3.5000000000000003E-2</v>
      </c>
      <c r="I629" s="164">
        <f t="shared" si="23"/>
        <v>1.4336993243243244E-3</v>
      </c>
      <c r="J629" s="128"/>
      <c r="K629" s="128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</row>
    <row r="630" spans="1:24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611">
        <f t="shared" si="24"/>
        <v>345.2</v>
      </c>
      <c r="G630" s="55">
        <v>12.6</v>
      </c>
      <c r="H630" s="55">
        <v>3.5000000000000003E-2</v>
      </c>
      <c r="I630" s="164">
        <f t="shared" si="23"/>
        <v>1.2775202780996523E-3</v>
      </c>
      <c r="J630" s="128"/>
      <c r="K630" s="128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</row>
    <row r="631" spans="1:24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611">
        <f t="shared" si="24"/>
        <v>864.9</v>
      </c>
      <c r="G631" s="55">
        <v>28.2</v>
      </c>
      <c r="H631" s="55">
        <v>3.5000000000000003E-2</v>
      </c>
      <c r="I631" s="164">
        <f t="shared" si="23"/>
        <v>1.1411723898716616E-3</v>
      </c>
      <c r="J631" s="128"/>
      <c r="K631" s="128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</row>
    <row r="632" spans="1:24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611">
        <f t="shared" si="24"/>
        <v>1116.9000000000001</v>
      </c>
      <c r="G632" s="55">
        <v>42.5</v>
      </c>
      <c r="H632" s="55">
        <v>3.5000000000000003E-2</v>
      </c>
      <c r="I632" s="164">
        <f t="shared" si="23"/>
        <v>1.3318112633181126E-3</v>
      </c>
      <c r="J632" s="128"/>
      <c r="K632" s="128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</row>
    <row r="633" spans="1:24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611">
        <f t="shared" si="24"/>
        <v>506.2</v>
      </c>
      <c r="G633" s="55">
        <v>28.2</v>
      </c>
      <c r="H633" s="55">
        <v>3.5000000000000003E-2</v>
      </c>
      <c r="I633" s="164">
        <f t="shared" si="23"/>
        <v>1.949822204662189E-3</v>
      </c>
      <c r="J633" s="128"/>
      <c r="K633" s="128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</row>
    <row r="634" spans="1:24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611">
        <f t="shared" si="24"/>
        <v>369.5</v>
      </c>
      <c r="G634" s="55">
        <v>19.3</v>
      </c>
      <c r="H634" s="55">
        <v>3.5000000000000003E-2</v>
      </c>
      <c r="I634" s="164">
        <f t="shared" si="23"/>
        <v>1.8281461434370774E-3</v>
      </c>
      <c r="J634" s="128"/>
      <c r="K634" s="128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</row>
    <row r="635" spans="1:24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611">
        <f t="shared" si="24"/>
        <v>510.1</v>
      </c>
      <c r="G635" s="55">
        <v>25.2</v>
      </c>
      <c r="H635" s="55">
        <v>3.5000000000000003E-2</v>
      </c>
      <c r="I635" s="164">
        <f t="shared" si="23"/>
        <v>1.7290727308370906E-3</v>
      </c>
      <c r="J635" s="128"/>
      <c r="K635" s="128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</row>
    <row r="636" spans="1:24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611">
        <f t="shared" si="24"/>
        <v>312</v>
      </c>
      <c r="G636" s="55">
        <v>17.7</v>
      </c>
      <c r="H636" s="55">
        <v>3.5000000000000003E-2</v>
      </c>
      <c r="I636" s="164">
        <f t="shared" si="23"/>
        <v>1.9855769230769232E-3</v>
      </c>
      <c r="J636" s="128"/>
      <c r="K636" s="128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</row>
    <row r="637" spans="1:24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611">
        <f t="shared" si="24"/>
        <v>488.2</v>
      </c>
      <c r="G637" s="55">
        <v>46.1</v>
      </c>
      <c r="H637" s="55">
        <v>3.5000000000000003E-2</v>
      </c>
      <c r="I637" s="164">
        <f t="shared" si="23"/>
        <v>3.3049979516591565E-3</v>
      </c>
      <c r="J637" s="128"/>
      <c r="K637" s="128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</row>
    <row r="638" spans="1:24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611">
        <f t="shared" si="24"/>
        <v>223.7</v>
      </c>
      <c r="G638" s="55">
        <v>14.3</v>
      </c>
      <c r="H638" s="55">
        <v>3.5000000000000003E-2</v>
      </c>
      <c r="I638" s="164">
        <f t="shared" si="23"/>
        <v>2.2373714796602596E-3</v>
      </c>
      <c r="J638" s="128"/>
      <c r="K638" s="128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</row>
    <row r="639" spans="1:24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611">
        <f t="shared" si="24"/>
        <v>388.5</v>
      </c>
      <c r="G639" s="55">
        <v>18.5</v>
      </c>
      <c r="H639" s="55">
        <v>3.5000000000000003E-2</v>
      </c>
      <c r="I639" s="164">
        <f t="shared" ref="I639:I697" si="25">G639*H639/F639</f>
        <v>1.6666666666666668E-3</v>
      </c>
      <c r="J639" s="128"/>
      <c r="K639" s="128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</row>
    <row r="640" spans="1:24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611">
        <f t="shared" si="24"/>
        <v>528.32000000000005</v>
      </c>
      <c r="G640" s="55">
        <v>19</v>
      </c>
      <c r="H640" s="55">
        <v>3.5000000000000003E-2</v>
      </c>
      <c r="I640" s="164">
        <f t="shared" si="25"/>
        <v>1.2587068443367655E-3</v>
      </c>
      <c r="J640" s="128"/>
      <c r="K640" s="128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</row>
    <row r="641" spans="1:24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611">
        <f t="shared" si="24"/>
        <v>262.17</v>
      </c>
      <c r="G641" s="55">
        <v>30</v>
      </c>
      <c r="H641" s="55">
        <v>3.5000000000000003E-2</v>
      </c>
      <c r="I641" s="164">
        <f t="shared" si="25"/>
        <v>4.0050349010184233E-3</v>
      </c>
      <c r="J641" s="128"/>
      <c r="K641" s="128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</row>
    <row r="642" spans="1:24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611">
        <f t="shared" si="24"/>
        <v>513.29999999999995</v>
      </c>
      <c r="G642" s="55">
        <v>31.1</v>
      </c>
      <c r="H642" s="55">
        <v>3.5000000000000003E-2</v>
      </c>
      <c r="I642" s="164">
        <f t="shared" si="25"/>
        <v>2.1205922462497573E-3</v>
      </c>
      <c r="J642" s="128"/>
      <c r="K642" s="128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</row>
    <row r="643" spans="1:24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611">
        <f t="shared" si="24"/>
        <v>577.70000000000005</v>
      </c>
      <c r="G643" s="55">
        <v>17.399999999999999</v>
      </c>
      <c r="H643" s="55">
        <v>3.5000000000000003E-2</v>
      </c>
      <c r="I643" s="164">
        <f t="shared" si="25"/>
        <v>1.0541803704344815E-3</v>
      </c>
      <c r="J643" s="128"/>
      <c r="K643" s="128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</row>
    <row r="644" spans="1:24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611">
        <f t="shared" si="24"/>
        <v>432.4</v>
      </c>
      <c r="G644" s="55">
        <v>28.7</v>
      </c>
      <c r="H644" s="55">
        <v>3.5000000000000003E-2</v>
      </c>
      <c r="I644" s="164">
        <f t="shared" si="25"/>
        <v>2.3230804810360781E-3</v>
      </c>
      <c r="J644" s="128"/>
      <c r="K644" s="128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</row>
    <row r="645" spans="1:24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611">
        <f t="shared" si="24"/>
        <v>488.9</v>
      </c>
      <c r="G645" s="55">
        <v>22.2</v>
      </c>
      <c r="H645" s="55">
        <v>3.5000000000000003E-2</v>
      </c>
      <c r="I645" s="164">
        <f t="shared" si="25"/>
        <v>1.5892820617713235E-3</v>
      </c>
      <c r="J645" s="128"/>
      <c r="K645" s="128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</row>
    <row r="646" spans="1:24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611">
        <f t="shared" si="24"/>
        <v>540.1</v>
      </c>
      <c r="G646" s="55">
        <v>19.2</v>
      </c>
      <c r="H646" s="55">
        <v>3.5000000000000003E-2</v>
      </c>
      <c r="I646" s="164">
        <f t="shared" si="25"/>
        <v>1.244214034438067E-3</v>
      </c>
      <c r="J646" s="128"/>
      <c r="K646" s="128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</row>
    <row r="647" spans="1:24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611">
        <f t="shared" si="24"/>
        <v>236.8</v>
      </c>
      <c r="G647" s="55">
        <v>17.5</v>
      </c>
      <c r="H647" s="55">
        <v>3.5000000000000003E-2</v>
      </c>
      <c r="I647" s="164">
        <f t="shared" si="25"/>
        <v>2.586570945945946E-3</v>
      </c>
      <c r="J647" s="128"/>
      <c r="K647" s="128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</row>
    <row r="648" spans="1:24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611">
        <f t="shared" ref="F648:F709" si="26">C648+D648+E648</f>
        <v>375.5</v>
      </c>
      <c r="G648" s="55">
        <v>49.7</v>
      </c>
      <c r="H648" s="55">
        <v>3.5000000000000003E-2</v>
      </c>
      <c r="I648" s="164">
        <f t="shared" si="25"/>
        <v>4.6324900133155799E-3</v>
      </c>
      <c r="J648" s="128"/>
      <c r="K648" s="128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</row>
    <row r="649" spans="1:24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611">
        <f t="shared" si="26"/>
        <v>618.54</v>
      </c>
      <c r="G649" s="55">
        <v>28.2</v>
      </c>
      <c r="H649" s="55">
        <v>3.5000000000000003E-2</v>
      </c>
      <c r="I649" s="164">
        <f t="shared" si="25"/>
        <v>1.5956930837132605E-3</v>
      </c>
      <c r="J649" s="128"/>
      <c r="K649" s="128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</row>
    <row r="650" spans="1:24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611">
        <f t="shared" si="26"/>
        <v>473.5</v>
      </c>
      <c r="G650" s="55">
        <v>17.600000000000001</v>
      </c>
      <c r="H650" s="55">
        <v>3.5000000000000003E-2</v>
      </c>
      <c r="I650" s="164">
        <f t="shared" si="25"/>
        <v>1.3009503695881734E-3</v>
      </c>
      <c r="J650" s="128"/>
      <c r="K650" s="128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</row>
    <row r="651" spans="1:24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611">
        <f t="shared" si="26"/>
        <v>281.8</v>
      </c>
      <c r="G651" s="55">
        <v>31.2</v>
      </c>
      <c r="H651" s="55">
        <v>3.5000000000000003E-2</v>
      </c>
      <c r="I651" s="164">
        <f t="shared" si="25"/>
        <v>3.8750887154009937E-3</v>
      </c>
      <c r="J651" s="128"/>
      <c r="K651" s="128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</row>
    <row r="652" spans="1:24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611">
        <f t="shared" si="26"/>
        <v>295.89999999999998</v>
      </c>
      <c r="G652" s="55">
        <v>27.5</v>
      </c>
      <c r="H652" s="55">
        <v>3.5000000000000003E-2</v>
      </c>
      <c r="I652" s="164">
        <f t="shared" si="25"/>
        <v>3.2527881040892198E-3</v>
      </c>
      <c r="J652" s="128"/>
      <c r="K652" s="128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</row>
    <row r="653" spans="1:24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611">
        <f t="shared" si="26"/>
        <v>346.1</v>
      </c>
      <c r="G653" s="55">
        <v>17.5</v>
      </c>
      <c r="H653" s="55">
        <v>3.5000000000000003E-2</v>
      </c>
      <c r="I653" s="164">
        <f t="shared" si="25"/>
        <v>1.7697197341808727E-3</v>
      </c>
      <c r="J653" s="128"/>
      <c r="K653" s="128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</row>
    <row r="654" spans="1:24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611">
        <f t="shared" si="26"/>
        <v>665.4</v>
      </c>
      <c r="G654" s="55">
        <v>23.3</v>
      </c>
      <c r="H654" s="55">
        <v>3.5000000000000003E-2</v>
      </c>
      <c r="I654" s="164">
        <f t="shared" si="25"/>
        <v>1.2255785993387437E-3</v>
      </c>
      <c r="J654" s="128"/>
      <c r="K654" s="128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</row>
    <row r="655" spans="1:24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611">
        <f t="shared" si="26"/>
        <v>415.51</v>
      </c>
      <c r="G655" s="55">
        <v>14.6</v>
      </c>
      <c r="H655" s="55">
        <v>3.5000000000000003E-2</v>
      </c>
      <c r="I655" s="164">
        <f t="shared" si="25"/>
        <v>1.2298139635628506E-3</v>
      </c>
      <c r="J655" s="128"/>
      <c r="K655" s="128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</row>
    <row r="656" spans="1:24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611">
        <f t="shared" si="26"/>
        <v>1654.8</v>
      </c>
      <c r="G656" s="55">
        <v>224</v>
      </c>
      <c r="H656" s="55">
        <v>3.5000000000000003E-2</v>
      </c>
      <c r="I656" s="164">
        <f t="shared" si="25"/>
        <v>4.7377326565143834E-3</v>
      </c>
      <c r="J656" s="128"/>
      <c r="K656" s="128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</row>
    <row r="657" spans="1:24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611">
        <f t="shared" si="26"/>
        <v>3220.9</v>
      </c>
      <c r="G657" s="55">
        <v>324</v>
      </c>
      <c r="H657" s="55">
        <v>3.5000000000000003E-2</v>
      </c>
      <c r="I657" s="164">
        <f t="shared" si="25"/>
        <v>3.5207550684591268E-3</v>
      </c>
      <c r="J657" s="128"/>
      <c r="K657" s="128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</row>
    <row r="658" spans="1:24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611">
        <f t="shared" si="26"/>
        <v>3593.47</v>
      </c>
      <c r="G658" s="55">
        <v>297</v>
      </c>
      <c r="H658" s="55">
        <v>3.5000000000000003E-2</v>
      </c>
      <c r="I658" s="164">
        <f t="shared" si="25"/>
        <v>2.8927471218627128E-3</v>
      </c>
      <c r="J658" s="128"/>
      <c r="K658" s="128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</row>
    <row r="659" spans="1:24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611">
        <f t="shared" si="26"/>
        <v>5258.9</v>
      </c>
      <c r="G659" s="55">
        <v>324</v>
      </c>
      <c r="H659" s="55">
        <v>3.5000000000000003E-2</v>
      </c>
      <c r="I659" s="164">
        <f t="shared" si="25"/>
        <v>2.1563444826864938E-3</v>
      </c>
      <c r="J659" s="128"/>
      <c r="K659" s="128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</row>
    <row r="660" spans="1:24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611">
        <f t="shared" si="26"/>
        <v>3743.95</v>
      </c>
      <c r="G660" s="55">
        <v>258</v>
      </c>
      <c r="H660" s="55">
        <v>3.5000000000000003E-2</v>
      </c>
      <c r="I660" s="164">
        <f t="shared" si="25"/>
        <v>2.411891184444237E-3</v>
      </c>
      <c r="J660" s="128"/>
      <c r="K660" s="128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</row>
    <row r="661" spans="1:24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611">
        <f t="shared" si="26"/>
        <v>3185.57</v>
      </c>
      <c r="G661" s="55">
        <v>224</v>
      </c>
      <c r="H661" s="55">
        <v>3.5000000000000003E-2</v>
      </c>
      <c r="I661" s="164">
        <f t="shared" si="25"/>
        <v>2.4610980138562331E-3</v>
      </c>
      <c r="J661" s="128"/>
      <c r="K661" s="128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</row>
    <row r="662" spans="1:24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611">
        <f t="shared" si="26"/>
        <v>272.89999999999998</v>
      </c>
      <c r="G662" s="55">
        <v>12.3</v>
      </c>
      <c r="H662" s="55">
        <v>3.5000000000000003E-2</v>
      </c>
      <c r="I662" s="164">
        <f t="shared" si="25"/>
        <v>1.5775009160864789E-3</v>
      </c>
      <c r="J662" s="128"/>
      <c r="K662" s="128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</row>
    <row r="663" spans="1:24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611">
        <f t="shared" si="26"/>
        <v>604.1</v>
      </c>
      <c r="G663" s="55">
        <v>23.4</v>
      </c>
      <c r="H663" s="55">
        <v>3.5000000000000003E-2</v>
      </c>
      <c r="I663" s="164">
        <f t="shared" si="25"/>
        <v>1.3557358053302433E-3</v>
      </c>
      <c r="J663" s="128"/>
      <c r="K663" s="128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</row>
    <row r="664" spans="1:24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611">
        <f t="shared" si="26"/>
        <v>464.8</v>
      </c>
      <c r="G664" s="55">
        <v>15</v>
      </c>
      <c r="H664" s="55">
        <v>3.5000000000000003E-2</v>
      </c>
      <c r="I664" s="164">
        <f t="shared" si="25"/>
        <v>1.1295180722891566E-3</v>
      </c>
      <c r="J664" s="128"/>
      <c r="K664" s="128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</row>
    <row r="665" spans="1:24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611">
        <f t="shared" si="26"/>
        <v>83.39</v>
      </c>
      <c r="G665" s="55"/>
      <c r="H665" s="55">
        <v>3.5000000000000003E-2</v>
      </c>
      <c r="I665" s="164">
        <f t="shared" si="25"/>
        <v>0</v>
      </c>
      <c r="J665" s="128"/>
      <c r="K665" s="128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</row>
    <row r="666" spans="1:24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611">
        <f t="shared" si="26"/>
        <v>489.6</v>
      </c>
      <c r="G666" s="55">
        <v>10.1</v>
      </c>
      <c r="H666" s="55">
        <v>3.5000000000000003E-2</v>
      </c>
      <c r="I666" s="164">
        <f t="shared" si="25"/>
        <v>7.2201797385620914E-4</v>
      </c>
      <c r="J666" s="128"/>
      <c r="K666" s="128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</row>
    <row r="667" spans="1:24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611">
        <f t="shared" si="26"/>
        <v>127.92</v>
      </c>
      <c r="G667" s="55">
        <v>25.9</v>
      </c>
      <c r="H667" s="55">
        <v>3.5000000000000003E-2</v>
      </c>
      <c r="I667" s="164">
        <f t="shared" si="25"/>
        <v>7.0864602876798003E-3</v>
      </c>
      <c r="J667" s="128"/>
      <c r="K667" s="128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</row>
    <row r="668" spans="1:24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611">
        <f t="shared" si="26"/>
        <v>129.1</v>
      </c>
      <c r="G668" s="55">
        <v>8.1999999999999993</v>
      </c>
      <c r="H668" s="55">
        <v>3.5000000000000003E-2</v>
      </c>
      <c r="I668" s="164">
        <f t="shared" si="25"/>
        <v>2.2230828814872191E-3</v>
      </c>
      <c r="J668" s="128"/>
      <c r="K668" s="128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</row>
    <row r="669" spans="1:24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611">
        <f t="shared" si="26"/>
        <v>136.4</v>
      </c>
      <c r="G669" s="55">
        <v>14.5</v>
      </c>
      <c r="H669" s="55">
        <v>3.5000000000000003E-2</v>
      </c>
      <c r="I669" s="164">
        <f t="shared" si="25"/>
        <v>3.7206744868035196E-3</v>
      </c>
      <c r="J669" s="128"/>
      <c r="K669" s="128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</row>
    <row r="670" spans="1:24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611">
        <f t="shared" si="26"/>
        <v>68.2</v>
      </c>
      <c r="G670" s="55">
        <v>8.4</v>
      </c>
      <c r="H670" s="55">
        <v>3.5000000000000003E-2</v>
      </c>
      <c r="I670" s="164">
        <f t="shared" si="25"/>
        <v>4.3108504398826986E-3</v>
      </c>
      <c r="J670" s="128"/>
      <c r="K670" s="128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</row>
    <row r="671" spans="1:24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611">
        <f t="shared" si="26"/>
        <v>117.1</v>
      </c>
      <c r="G671" s="55">
        <v>18.600000000000001</v>
      </c>
      <c r="H671" s="55">
        <v>3.5000000000000003E-2</v>
      </c>
      <c r="I671" s="164">
        <f t="shared" si="25"/>
        <v>5.5593509820666114E-3</v>
      </c>
      <c r="J671" s="128"/>
      <c r="K671" s="128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</row>
    <row r="672" spans="1:24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611">
        <f t="shared" si="26"/>
        <v>291.16000000000003</v>
      </c>
      <c r="G672" s="55">
        <v>11.5</v>
      </c>
      <c r="H672" s="55">
        <v>3.5000000000000003E-2</v>
      </c>
      <c r="I672" s="164">
        <f t="shared" si="25"/>
        <v>1.3824014287676879E-3</v>
      </c>
      <c r="J672" s="128"/>
      <c r="K672" s="128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</row>
    <row r="673" spans="1:24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611">
        <f t="shared" si="26"/>
        <v>455.20000000000005</v>
      </c>
      <c r="G673" s="55">
        <v>10</v>
      </c>
      <c r="H673" s="55">
        <v>3.5000000000000003E-2</v>
      </c>
      <c r="I673" s="164">
        <f t="shared" si="25"/>
        <v>7.688927943760984E-4</v>
      </c>
      <c r="J673" s="128"/>
      <c r="K673" s="128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</row>
    <row r="674" spans="1:24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611">
        <f t="shared" si="26"/>
        <v>120</v>
      </c>
      <c r="G674" s="55">
        <v>15.4</v>
      </c>
      <c r="H674" s="55">
        <v>3.5000000000000003E-2</v>
      </c>
      <c r="I674" s="164">
        <f t="shared" si="25"/>
        <v>4.4916666666666672E-3</v>
      </c>
      <c r="J674" s="128"/>
      <c r="K674" s="128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</row>
    <row r="675" spans="1:24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611">
        <f t="shared" si="26"/>
        <v>390.8</v>
      </c>
      <c r="G675" s="55">
        <v>21</v>
      </c>
      <c r="H675" s="55">
        <v>3.5000000000000003E-2</v>
      </c>
      <c r="I675" s="164">
        <f t="shared" si="25"/>
        <v>1.8807574206755376E-3</v>
      </c>
      <c r="J675" s="128"/>
      <c r="K675" s="128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</row>
    <row r="676" spans="1:24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611">
        <f t="shared" si="26"/>
        <v>105.1</v>
      </c>
      <c r="G676" s="55">
        <v>9.6</v>
      </c>
      <c r="H676" s="55">
        <v>3.5000000000000003E-2</v>
      </c>
      <c r="I676" s="164">
        <f t="shared" si="25"/>
        <v>3.196955280685062E-3</v>
      </c>
      <c r="J676" s="128"/>
      <c r="K676" s="128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</row>
    <row r="677" spans="1:24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611">
        <f t="shared" si="26"/>
        <v>168.5</v>
      </c>
      <c r="G677" s="55">
        <v>26.1</v>
      </c>
      <c r="H677" s="55">
        <v>3.5000000000000003E-2</v>
      </c>
      <c r="I677" s="164">
        <f t="shared" si="25"/>
        <v>5.4213649851632051E-3</v>
      </c>
      <c r="J677" s="128"/>
      <c r="K677" s="128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</row>
    <row r="678" spans="1:24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611">
        <f t="shared" si="26"/>
        <v>73.3</v>
      </c>
      <c r="G678" s="55">
        <v>8.6</v>
      </c>
      <c r="H678" s="55">
        <v>3.5000000000000003E-2</v>
      </c>
      <c r="I678" s="164">
        <f t="shared" si="25"/>
        <v>4.1064120054570257E-3</v>
      </c>
      <c r="J678" s="128"/>
      <c r="K678" s="128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</row>
    <row r="679" spans="1:24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611">
        <f t="shared" si="26"/>
        <v>87.3</v>
      </c>
      <c r="G679" s="55">
        <v>8.8000000000000007</v>
      </c>
      <c r="H679" s="55">
        <v>3.5000000000000003E-2</v>
      </c>
      <c r="I679" s="164">
        <f t="shared" si="25"/>
        <v>3.5280641466208483E-3</v>
      </c>
      <c r="J679" s="128"/>
      <c r="K679" s="128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</row>
    <row r="680" spans="1:24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611">
        <f t="shared" si="26"/>
        <v>227.3</v>
      </c>
      <c r="G680" s="55">
        <v>16.899999999999999</v>
      </c>
      <c r="H680" s="55">
        <v>3.5000000000000003E-2</v>
      </c>
      <c r="I680" s="164">
        <f t="shared" si="25"/>
        <v>2.6022877254729434E-3</v>
      </c>
      <c r="J680" s="128"/>
      <c r="K680" s="128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</row>
    <row r="681" spans="1:24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611">
        <f t="shared" si="26"/>
        <v>53.5</v>
      </c>
      <c r="G681" s="55">
        <v>7.6</v>
      </c>
      <c r="H681" s="55">
        <v>3.5000000000000003E-2</v>
      </c>
      <c r="I681" s="164">
        <f t="shared" si="25"/>
        <v>4.9719626168224298E-3</v>
      </c>
      <c r="J681" s="128"/>
      <c r="K681" s="128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</row>
    <row r="682" spans="1:24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611">
        <f t="shared" si="26"/>
        <v>1851.82</v>
      </c>
      <c r="G682" s="55">
        <v>68.400000000000006</v>
      </c>
      <c r="H682" s="55">
        <v>3.5000000000000003E-2</v>
      </c>
      <c r="I682" s="164">
        <f t="shared" si="25"/>
        <v>1.292782235854457E-3</v>
      </c>
      <c r="J682" s="128"/>
      <c r="K682" s="128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</row>
    <row r="683" spans="1:24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611">
        <f t="shared" si="26"/>
        <v>933.25</v>
      </c>
      <c r="G683" s="55">
        <v>0</v>
      </c>
      <c r="H683" s="55">
        <v>3.5000000000000003E-2</v>
      </c>
      <c r="I683" s="164">
        <f t="shared" si="25"/>
        <v>0</v>
      </c>
      <c r="J683" s="128"/>
      <c r="K683" s="128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</row>
    <row r="684" spans="1:24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611">
        <f t="shared" si="26"/>
        <v>1158.5</v>
      </c>
      <c r="G684" s="55">
        <v>0</v>
      </c>
      <c r="H684" s="55">
        <v>3.5000000000000003E-2</v>
      </c>
      <c r="I684" s="164">
        <f t="shared" si="25"/>
        <v>0</v>
      </c>
      <c r="J684" s="128"/>
      <c r="K684" s="128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</row>
    <row r="685" spans="1:24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611">
        <f t="shared" si="26"/>
        <v>3775.6499999999996</v>
      </c>
      <c r="G685" s="55">
        <v>304.89999999999998</v>
      </c>
      <c r="H685" s="55">
        <v>3.5000000000000003E-2</v>
      </c>
      <c r="I685" s="164">
        <f t="shared" si="25"/>
        <v>2.8264007521883652E-3</v>
      </c>
      <c r="J685" s="128"/>
      <c r="K685" s="128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</row>
    <row r="686" spans="1:24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611">
        <f t="shared" si="26"/>
        <v>79.3</v>
      </c>
      <c r="G686" s="55">
        <v>8.9</v>
      </c>
      <c r="H686" s="55">
        <v>3.5000000000000003E-2</v>
      </c>
      <c r="I686" s="164">
        <f t="shared" si="25"/>
        <v>3.928121059268601E-3</v>
      </c>
      <c r="J686" s="128"/>
      <c r="K686" s="128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</row>
    <row r="687" spans="1:24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611">
        <f t="shared" si="26"/>
        <v>377.9</v>
      </c>
      <c r="G687" s="55">
        <v>22</v>
      </c>
      <c r="H687" s="55">
        <v>3.5000000000000003E-2</v>
      </c>
      <c r="I687" s="164">
        <f t="shared" si="25"/>
        <v>2.0375760783276002E-3</v>
      </c>
      <c r="J687" s="128"/>
      <c r="K687" s="128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</row>
    <row r="688" spans="1:24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611">
        <f t="shared" si="26"/>
        <v>86.1</v>
      </c>
      <c r="G688" s="55">
        <v>10.4</v>
      </c>
      <c r="H688" s="55">
        <v>3.5000000000000003E-2</v>
      </c>
      <c r="I688" s="164">
        <f t="shared" si="25"/>
        <v>4.2276422764227651E-3</v>
      </c>
      <c r="J688" s="128"/>
      <c r="K688" s="128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</row>
    <row r="689" spans="1:24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611">
        <f t="shared" si="26"/>
        <v>59.7</v>
      </c>
      <c r="G689" s="55">
        <v>8.5</v>
      </c>
      <c r="H689" s="55">
        <v>3.5000000000000003E-2</v>
      </c>
      <c r="I689" s="164">
        <f t="shared" si="25"/>
        <v>4.9832495812395317E-3</v>
      </c>
      <c r="J689" s="128"/>
      <c r="K689" s="128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</row>
    <row r="690" spans="1:24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611">
        <f t="shared" si="26"/>
        <v>66.099999999999994</v>
      </c>
      <c r="G690" s="55">
        <v>9.6999999999999993</v>
      </c>
      <c r="H690" s="55">
        <v>3.5000000000000003E-2</v>
      </c>
      <c r="I690" s="164">
        <f t="shared" si="25"/>
        <v>5.1361573373676257E-3</v>
      </c>
      <c r="J690" s="128"/>
      <c r="K690" s="128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</row>
    <row r="691" spans="1:24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611">
        <f t="shared" si="26"/>
        <v>111.6</v>
      </c>
      <c r="G691" s="55">
        <v>12.2</v>
      </c>
      <c r="H691" s="55">
        <v>3.5000000000000003E-2</v>
      </c>
      <c r="I691" s="164">
        <f t="shared" si="25"/>
        <v>3.8261648745519716E-3</v>
      </c>
      <c r="J691" s="128"/>
      <c r="K691" s="128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</row>
    <row r="692" spans="1:24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611">
        <f t="shared" si="26"/>
        <v>119.2</v>
      </c>
      <c r="G692" s="55">
        <v>11</v>
      </c>
      <c r="H692" s="55">
        <v>3.5000000000000003E-2</v>
      </c>
      <c r="I692" s="164">
        <f t="shared" si="25"/>
        <v>3.2298657718120806E-3</v>
      </c>
      <c r="J692" s="128"/>
      <c r="K692" s="128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</row>
    <row r="693" spans="1:24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611">
        <f t="shared" si="26"/>
        <v>139.6</v>
      </c>
      <c r="G693" s="55">
        <v>18</v>
      </c>
      <c r="H693" s="55">
        <v>3.5000000000000003E-2</v>
      </c>
      <c r="I693" s="164">
        <f t="shared" si="25"/>
        <v>4.5128939828080238E-3</v>
      </c>
      <c r="J693" s="128"/>
      <c r="K693" s="128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</row>
    <row r="694" spans="1:24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611">
        <f t="shared" si="26"/>
        <v>66.5</v>
      </c>
      <c r="G694" s="55">
        <v>10.1</v>
      </c>
      <c r="H694" s="55">
        <v>3.5000000000000003E-2</v>
      </c>
      <c r="I694" s="164">
        <f t="shared" si="25"/>
        <v>5.3157894736842112E-3</v>
      </c>
      <c r="J694" s="128"/>
      <c r="K694" s="128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</row>
    <row r="695" spans="1:24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611">
        <f t="shared" si="26"/>
        <v>67</v>
      </c>
      <c r="G695" s="55">
        <v>12.8</v>
      </c>
      <c r="H695" s="55">
        <v>3.5000000000000003E-2</v>
      </c>
      <c r="I695" s="164">
        <f t="shared" si="25"/>
        <v>6.6865671641791052E-3</v>
      </c>
      <c r="J695" s="128"/>
      <c r="K695" s="128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</row>
    <row r="696" spans="1:24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611">
        <f t="shared" si="26"/>
        <v>212.2</v>
      </c>
      <c r="G696" s="55">
        <v>25</v>
      </c>
      <c r="H696" s="55">
        <v>3.5000000000000003E-2</v>
      </c>
      <c r="I696" s="164">
        <f t="shared" si="25"/>
        <v>4.123468426013196E-3</v>
      </c>
      <c r="J696" s="128"/>
      <c r="K696" s="128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</row>
    <row r="697" spans="1:24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611">
        <f t="shared" si="26"/>
        <v>41.6</v>
      </c>
      <c r="G697" s="55">
        <v>6.4</v>
      </c>
      <c r="H697" s="55">
        <v>3.5000000000000003E-2</v>
      </c>
      <c r="I697" s="164">
        <f t="shared" si="25"/>
        <v>5.3846153846153853E-3</v>
      </c>
      <c r="J697" s="128"/>
      <c r="K697" s="128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</row>
    <row r="698" spans="1:24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611">
        <f t="shared" si="26"/>
        <v>466.8</v>
      </c>
      <c r="G698" s="55">
        <v>80.3</v>
      </c>
      <c r="H698" s="55">
        <v>3.5000000000000003E-2</v>
      </c>
      <c r="I698" s="164">
        <f t="shared" ref="I698:I746" si="27">G698*H698/F698</f>
        <v>6.0207797772065131E-3</v>
      </c>
      <c r="J698" s="128"/>
      <c r="K698" s="128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</row>
    <row r="699" spans="1:24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611">
        <f t="shared" si="26"/>
        <v>681.36</v>
      </c>
      <c r="G699" s="55">
        <v>90.1</v>
      </c>
      <c r="H699" s="55">
        <v>3.5000000000000003E-2</v>
      </c>
      <c r="I699" s="164">
        <f t="shared" si="27"/>
        <v>4.6282435129740519E-3</v>
      </c>
      <c r="J699" s="128"/>
      <c r="K699" s="128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</row>
    <row r="700" spans="1:24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611">
        <f t="shared" si="26"/>
        <v>58.2</v>
      </c>
      <c r="G700" s="55">
        <v>8.6</v>
      </c>
      <c r="H700" s="55">
        <v>3.5000000000000003E-2</v>
      </c>
      <c r="I700" s="164">
        <f t="shared" si="27"/>
        <v>5.1718213058419239E-3</v>
      </c>
      <c r="J700" s="128"/>
      <c r="K700" s="128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</row>
    <row r="701" spans="1:24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611">
        <f t="shared" si="26"/>
        <v>504.2</v>
      </c>
      <c r="G701" s="55">
        <v>29.5</v>
      </c>
      <c r="H701" s="55">
        <v>3.5000000000000003E-2</v>
      </c>
      <c r="I701" s="164">
        <f t="shared" si="27"/>
        <v>2.0477984926616428E-3</v>
      </c>
      <c r="J701" s="128"/>
      <c r="K701" s="128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</row>
    <row r="702" spans="1:24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611">
        <f t="shared" si="26"/>
        <v>166.6</v>
      </c>
      <c r="G702" s="55">
        <v>12</v>
      </c>
      <c r="H702" s="55">
        <v>3.5000000000000003E-2</v>
      </c>
      <c r="I702" s="164">
        <f t="shared" si="27"/>
        <v>2.5210084033613447E-3</v>
      </c>
      <c r="J702" s="128"/>
      <c r="K702" s="128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</row>
    <row r="703" spans="1:24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611">
        <f t="shared" si="26"/>
        <v>37.799999999999997</v>
      </c>
      <c r="G703" s="55">
        <v>4.5999999999999996</v>
      </c>
      <c r="H703" s="55">
        <v>3.5000000000000003E-2</v>
      </c>
      <c r="I703" s="164">
        <f t="shared" si="27"/>
        <v>4.2592592592592595E-3</v>
      </c>
      <c r="J703" s="128"/>
      <c r="K703" s="128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</row>
    <row r="704" spans="1:24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611">
        <f t="shared" si="26"/>
        <v>55.5</v>
      </c>
      <c r="G704" s="55">
        <v>8.5</v>
      </c>
      <c r="H704" s="55">
        <v>3.5000000000000003E-2</v>
      </c>
      <c r="I704" s="164">
        <f t="shared" si="27"/>
        <v>5.3603603603603611E-3</v>
      </c>
      <c r="J704" s="128"/>
      <c r="K704" s="128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</row>
    <row r="705" spans="1:24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611">
        <f t="shared" si="26"/>
        <v>146.19999999999999</v>
      </c>
      <c r="G705" s="55">
        <v>12.6</v>
      </c>
      <c r="H705" s="55">
        <v>3.5000000000000003E-2</v>
      </c>
      <c r="I705" s="164">
        <f t="shared" si="27"/>
        <v>3.0164158686730507E-3</v>
      </c>
      <c r="J705" s="128"/>
      <c r="K705" s="128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</row>
    <row r="706" spans="1:24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611">
        <f t="shared" si="26"/>
        <v>47.9</v>
      </c>
      <c r="G706" s="55">
        <v>5.8</v>
      </c>
      <c r="H706" s="55">
        <v>3.5000000000000003E-2</v>
      </c>
      <c r="I706" s="164">
        <f t="shared" si="27"/>
        <v>4.2379958246346562E-3</v>
      </c>
      <c r="J706" s="128"/>
      <c r="K706" s="128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</row>
    <row r="707" spans="1:24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611">
        <f t="shared" si="26"/>
        <v>72.400000000000006</v>
      </c>
      <c r="G707" s="55">
        <v>12</v>
      </c>
      <c r="H707" s="55">
        <v>3.5000000000000003E-2</v>
      </c>
      <c r="I707" s="164">
        <f t="shared" si="27"/>
        <v>5.8011049723756909E-3</v>
      </c>
      <c r="J707" s="128"/>
      <c r="K707" s="128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</row>
    <row r="708" spans="1:24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611">
        <f t="shared" si="26"/>
        <v>73</v>
      </c>
      <c r="G708" s="55">
        <v>12.8</v>
      </c>
      <c r="H708" s="55">
        <v>3.5000000000000003E-2</v>
      </c>
      <c r="I708" s="164">
        <f t="shared" si="27"/>
        <v>6.1369863013698636E-3</v>
      </c>
      <c r="J708" s="128"/>
      <c r="K708" s="128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</row>
    <row r="709" spans="1:24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611">
        <f t="shared" si="26"/>
        <v>110</v>
      </c>
      <c r="G709" s="55">
        <v>8.8000000000000007</v>
      </c>
      <c r="H709" s="55">
        <v>3.5000000000000003E-2</v>
      </c>
      <c r="I709" s="164">
        <f t="shared" si="27"/>
        <v>2.8000000000000004E-3</v>
      </c>
      <c r="J709" s="128"/>
      <c r="K709" s="128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</row>
    <row r="710" spans="1:24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611">
        <f t="shared" ref="F710:F775" si="28">C710+D710+E710</f>
        <v>382</v>
      </c>
      <c r="G710" s="55">
        <v>20.8</v>
      </c>
      <c r="H710" s="55">
        <v>3.5000000000000003E-2</v>
      </c>
      <c r="I710" s="164">
        <f t="shared" si="27"/>
        <v>1.9057591623036652E-3</v>
      </c>
      <c r="J710" s="128"/>
      <c r="K710" s="128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</row>
    <row r="711" spans="1:24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611">
        <f t="shared" si="28"/>
        <v>226.9</v>
      </c>
      <c r="G711" s="55">
        <v>28</v>
      </c>
      <c r="H711" s="55">
        <v>3.5000000000000003E-2</v>
      </c>
      <c r="I711" s="164">
        <f t="shared" si="27"/>
        <v>4.3190832966064352E-3</v>
      </c>
      <c r="J711" s="128"/>
      <c r="K711" s="128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</row>
    <row r="712" spans="1:24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611">
        <f t="shared" si="28"/>
        <v>142.6</v>
      </c>
      <c r="G712" s="55">
        <v>24.5</v>
      </c>
      <c r="H712" s="55">
        <v>3.5000000000000003E-2</v>
      </c>
      <c r="I712" s="164">
        <f t="shared" si="27"/>
        <v>6.0133239831697063E-3</v>
      </c>
      <c r="J712" s="128"/>
      <c r="K712" s="128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</row>
    <row r="713" spans="1:24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611">
        <f t="shared" si="28"/>
        <v>428.31</v>
      </c>
      <c r="G713" s="55">
        <v>51.2</v>
      </c>
      <c r="H713" s="55">
        <v>3.5000000000000003E-2</v>
      </c>
      <c r="I713" s="164">
        <f t="shared" si="27"/>
        <v>4.1838855034904629E-3</v>
      </c>
      <c r="J713" s="128"/>
      <c r="K713" s="128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</row>
    <row r="714" spans="1:24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611">
        <f t="shared" si="28"/>
        <v>744.3</v>
      </c>
      <c r="G714" s="55">
        <v>85.6</v>
      </c>
      <c r="H714" s="55">
        <v>3.5000000000000003E-2</v>
      </c>
      <c r="I714" s="164">
        <f t="shared" si="27"/>
        <v>4.0252586322719339E-3</v>
      </c>
      <c r="J714" s="128"/>
      <c r="K714" s="128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</row>
    <row r="715" spans="1:24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611">
        <f t="shared" si="28"/>
        <v>1084.5899999999999</v>
      </c>
      <c r="G715" s="55">
        <v>98.6</v>
      </c>
      <c r="H715" s="55">
        <v>3.5000000000000003E-2</v>
      </c>
      <c r="I715" s="164">
        <f t="shared" si="27"/>
        <v>3.1818475184170981E-3</v>
      </c>
      <c r="J715" s="128"/>
      <c r="K715" s="128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</row>
    <row r="716" spans="1:24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611">
        <f t="shared" si="28"/>
        <v>1069.71</v>
      </c>
      <c r="G716" s="55">
        <v>86.4</v>
      </c>
      <c r="H716" s="55">
        <v>3.5000000000000003E-2</v>
      </c>
      <c r="I716" s="164">
        <f t="shared" si="27"/>
        <v>2.8269344027820626E-3</v>
      </c>
      <c r="J716" s="128"/>
      <c r="K716" s="128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</row>
    <row r="717" spans="1:24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611">
        <f t="shared" si="28"/>
        <v>196.8</v>
      </c>
      <c r="G717" s="55">
        <v>41</v>
      </c>
      <c r="H717" s="55">
        <v>3.5000000000000003E-2</v>
      </c>
      <c r="I717" s="164">
        <f t="shared" si="27"/>
        <v>7.2916666666666668E-3</v>
      </c>
      <c r="J717" s="128"/>
      <c r="K717" s="128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</row>
    <row r="718" spans="1:24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611">
        <f t="shared" si="28"/>
        <v>625.9</v>
      </c>
      <c r="G718" s="55">
        <v>0</v>
      </c>
      <c r="H718" s="55">
        <v>3.5000000000000003E-2</v>
      </c>
      <c r="I718" s="164">
        <f t="shared" si="27"/>
        <v>0</v>
      </c>
      <c r="J718" s="128"/>
      <c r="K718" s="128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</row>
    <row r="719" spans="1:24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611">
        <f t="shared" si="28"/>
        <v>127.5</v>
      </c>
      <c r="G719" s="55">
        <v>0</v>
      </c>
      <c r="H719" s="55">
        <v>3.5000000000000003E-2</v>
      </c>
      <c r="I719" s="164">
        <f t="shared" si="27"/>
        <v>0</v>
      </c>
      <c r="J719" s="128"/>
      <c r="K719" s="128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</row>
    <row r="720" spans="1:24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611">
        <f t="shared" si="28"/>
        <v>561.25</v>
      </c>
      <c r="G720" s="55">
        <v>36</v>
      </c>
      <c r="H720" s="55">
        <v>3.5000000000000003E-2</v>
      </c>
      <c r="I720" s="164">
        <f t="shared" si="27"/>
        <v>2.2449888641425395E-3</v>
      </c>
      <c r="J720" s="128"/>
      <c r="K720" s="128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</row>
    <row r="721" spans="1:24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611">
        <f t="shared" si="28"/>
        <v>122.9</v>
      </c>
      <c r="G721" s="55">
        <v>0</v>
      </c>
      <c r="H721" s="55">
        <v>3.5000000000000003E-2</v>
      </c>
      <c r="I721" s="164">
        <f t="shared" si="27"/>
        <v>0</v>
      </c>
      <c r="J721" s="128"/>
      <c r="K721" s="128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</row>
    <row r="722" spans="1:24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611">
        <f t="shared" si="28"/>
        <v>82.5</v>
      </c>
      <c r="G722" s="55">
        <v>0</v>
      </c>
      <c r="H722" s="55">
        <v>3.5000000000000003E-2</v>
      </c>
      <c r="I722" s="164">
        <f t="shared" si="27"/>
        <v>0</v>
      </c>
      <c r="J722" s="128"/>
      <c r="K722" s="128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</row>
    <row r="723" spans="1:24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611">
        <f t="shared" si="28"/>
        <v>118.7</v>
      </c>
      <c r="G723" s="55">
        <v>0</v>
      </c>
      <c r="H723" s="55">
        <v>3.5000000000000003E-2</v>
      </c>
      <c r="I723" s="164">
        <f t="shared" si="27"/>
        <v>0</v>
      </c>
      <c r="J723" s="128"/>
      <c r="K723" s="128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</row>
    <row r="724" spans="1:24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611">
        <f t="shared" si="28"/>
        <v>113.8</v>
      </c>
      <c r="G724" s="55">
        <v>0</v>
      </c>
      <c r="H724" s="55">
        <v>3.5000000000000003E-2</v>
      </c>
      <c r="I724" s="164">
        <f t="shared" si="27"/>
        <v>0</v>
      </c>
      <c r="J724" s="128"/>
      <c r="K724" s="128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</row>
    <row r="725" spans="1:24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611">
        <f t="shared" si="28"/>
        <v>294</v>
      </c>
      <c r="G725" s="55">
        <v>0</v>
      </c>
      <c r="H725" s="55">
        <v>3.5000000000000003E-2</v>
      </c>
      <c r="I725" s="164">
        <f t="shared" si="27"/>
        <v>0</v>
      </c>
      <c r="J725" s="128"/>
      <c r="K725" s="128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</row>
    <row r="726" spans="1:24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611">
        <f t="shared" si="28"/>
        <v>38.6</v>
      </c>
      <c r="G726" s="55">
        <v>0</v>
      </c>
      <c r="H726" s="55">
        <v>3.5000000000000003E-2</v>
      </c>
      <c r="I726" s="164">
        <f t="shared" si="27"/>
        <v>0</v>
      </c>
      <c r="J726" s="128"/>
      <c r="K726" s="128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</row>
    <row r="727" spans="1:24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611">
        <f t="shared" si="28"/>
        <v>295.8</v>
      </c>
      <c r="G727" s="55">
        <v>0</v>
      </c>
      <c r="H727" s="55">
        <v>3.5000000000000003E-2</v>
      </c>
      <c r="I727" s="164">
        <f t="shared" si="27"/>
        <v>0</v>
      </c>
      <c r="J727" s="128"/>
      <c r="K727" s="128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</row>
    <row r="728" spans="1:24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611">
        <f t="shared" si="28"/>
        <v>2954.3</v>
      </c>
      <c r="G728" s="55">
        <v>0</v>
      </c>
      <c r="H728" s="55">
        <v>3.5000000000000003E-2</v>
      </c>
      <c r="I728" s="164">
        <f t="shared" si="27"/>
        <v>0</v>
      </c>
      <c r="J728" s="128"/>
      <c r="K728" s="128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</row>
    <row r="729" spans="1:24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611">
        <f t="shared" si="28"/>
        <v>601.58000000000004</v>
      </c>
      <c r="G729" s="55">
        <v>115</v>
      </c>
      <c r="H729" s="55">
        <v>3.5000000000000003E-2</v>
      </c>
      <c r="I729" s="164">
        <f t="shared" si="27"/>
        <v>6.6907144519432167E-3</v>
      </c>
      <c r="J729" s="128"/>
      <c r="K729" s="128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</row>
    <row r="730" spans="1:24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611">
        <f t="shared" si="28"/>
        <v>392.31</v>
      </c>
      <c r="G730" s="55">
        <v>50</v>
      </c>
      <c r="H730" s="55">
        <v>3.5000000000000003E-2</v>
      </c>
      <c r="I730" s="164">
        <f t="shared" si="27"/>
        <v>4.4607580739721145E-3</v>
      </c>
      <c r="J730" s="128"/>
      <c r="K730" s="128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</row>
    <row r="731" spans="1:24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611">
        <f t="shared" si="28"/>
        <v>600.88</v>
      </c>
      <c r="G731" s="55">
        <v>103</v>
      </c>
      <c r="H731" s="55">
        <v>3.5000000000000003E-2</v>
      </c>
      <c r="I731" s="164">
        <f t="shared" si="27"/>
        <v>5.999534016775397E-3</v>
      </c>
      <c r="J731" s="128"/>
      <c r="K731" s="128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</row>
    <row r="732" spans="1:24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611">
        <f t="shared" si="28"/>
        <v>307.3</v>
      </c>
      <c r="G732" s="55">
        <v>53</v>
      </c>
      <c r="H732" s="55">
        <v>3.5000000000000003E-2</v>
      </c>
      <c r="I732" s="164">
        <f t="shared" si="27"/>
        <v>6.0364464692482921E-3</v>
      </c>
      <c r="J732" s="128"/>
      <c r="K732" s="128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</row>
    <row r="733" spans="1:24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611">
        <f t="shared" si="28"/>
        <v>800.1</v>
      </c>
      <c r="G733" s="55">
        <v>113</v>
      </c>
      <c r="H733" s="55">
        <v>3.5000000000000003E-2</v>
      </c>
      <c r="I733" s="164">
        <f t="shared" si="27"/>
        <v>4.9431321084864397E-3</v>
      </c>
      <c r="J733" s="128"/>
      <c r="K733" s="128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</row>
    <row r="734" spans="1:24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611">
        <f t="shared" si="28"/>
        <v>325.2</v>
      </c>
      <c r="G734" s="55">
        <v>45</v>
      </c>
      <c r="H734" s="55">
        <v>3.5000000000000003E-2</v>
      </c>
      <c r="I734" s="164">
        <f t="shared" si="27"/>
        <v>4.8431734317343177E-3</v>
      </c>
      <c r="J734" s="128"/>
      <c r="K734" s="128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</row>
    <row r="735" spans="1:24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611">
        <f t="shared" si="28"/>
        <v>420.25</v>
      </c>
      <c r="G735" s="55">
        <v>68</v>
      </c>
      <c r="H735" s="55">
        <v>3.5000000000000003E-2</v>
      </c>
      <c r="I735" s="164">
        <f t="shared" si="27"/>
        <v>5.6632956573468181E-3</v>
      </c>
      <c r="J735" s="128"/>
      <c r="K735" s="128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</row>
    <row r="736" spans="1:24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611">
        <f t="shared" si="28"/>
        <v>468.48</v>
      </c>
      <c r="G736" s="55">
        <v>61</v>
      </c>
      <c r="H736" s="55">
        <v>3.5000000000000003E-2</v>
      </c>
      <c r="I736" s="164">
        <f t="shared" si="27"/>
        <v>4.557291666666667E-3</v>
      </c>
      <c r="J736" s="128"/>
      <c r="K736" s="128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</row>
    <row r="737" spans="1:24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611">
        <f t="shared" si="28"/>
        <v>1026.08</v>
      </c>
      <c r="G737" s="55">
        <v>149</v>
      </c>
      <c r="H737" s="55">
        <v>3.5000000000000003E-2</v>
      </c>
      <c r="I737" s="164">
        <f t="shared" si="27"/>
        <v>5.0824497115234688E-3</v>
      </c>
      <c r="J737" s="128"/>
      <c r="K737" s="128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</row>
    <row r="738" spans="1:24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611">
        <f t="shared" si="28"/>
        <v>1242.02</v>
      </c>
      <c r="G738" s="55">
        <v>101</v>
      </c>
      <c r="H738" s="55">
        <v>3.5000000000000003E-2</v>
      </c>
      <c r="I738" s="164">
        <f t="shared" si="27"/>
        <v>2.8461699489541231E-3</v>
      </c>
      <c r="J738" s="128"/>
      <c r="K738" s="128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</row>
    <row r="739" spans="1:24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611">
        <f t="shared" si="28"/>
        <v>827.02</v>
      </c>
      <c r="G739" s="55">
        <v>78</v>
      </c>
      <c r="H739" s="55">
        <v>3.5000000000000003E-2</v>
      </c>
      <c r="I739" s="164">
        <f t="shared" si="27"/>
        <v>3.3010084399409936E-3</v>
      </c>
      <c r="J739" s="128"/>
      <c r="K739" s="128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</row>
    <row r="740" spans="1:24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611">
        <f t="shared" si="28"/>
        <v>487.41</v>
      </c>
      <c r="G740" s="55">
        <v>95</v>
      </c>
      <c r="H740" s="55">
        <v>3.5000000000000003E-2</v>
      </c>
      <c r="I740" s="164">
        <f t="shared" si="27"/>
        <v>6.8217722246158262E-3</v>
      </c>
      <c r="J740" s="128"/>
      <c r="K740" s="128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</row>
    <row r="741" spans="1:24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611">
        <f t="shared" si="28"/>
        <v>685</v>
      </c>
      <c r="G741" s="55">
        <v>122</v>
      </c>
      <c r="H741" s="55">
        <v>3.5000000000000003E-2</v>
      </c>
      <c r="I741" s="164">
        <f t="shared" si="27"/>
        <v>6.2335766423357673E-3</v>
      </c>
      <c r="J741" s="128"/>
      <c r="K741" s="128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</row>
    <row r="742" spans="1:24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611">
        <f t="shared" si="28"/>
        <v>636.55999999999995</v>
      </c>
      <c r="G742" s="55">
        <v>67</v>
      </c>
      <c r="H742" s="55">
        <v>3.5000000000000003E-2</v>
      </c>
      <c r="I742" s="164">
        <f>G742*H742/F742</f>
        <v>3.6838632650496423E-3</v>
      </c>
      <c r="J742" s="128"/>
      <c r="K742" s="128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</row>
    <row r="743" spans="1:24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611">
        <f t="shared" si="28"/>
        <v>505.1</v>
      </c>
      <c r="G743" s="55">
        <v>63</v>
      </c>
      <c r="H743" s="55">
        <v>3.5000000000000003E-2</v>
      </c>
      <c r="I743" s="164">
        <f t="shared" si="27"/>
        <v>4.3654721837259949E-3</v>
      </c>
      <c r="J743" s="128"/>
      <c r="K743" s="128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</row>
    <row r="744" spans="1:24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611">
        <f t="shared" si="28"/>
        <v>536.88</v>
      </c>
      <c r="G744" s="55">
        <v>80</v>
      </c>
      <c r="H744" s="55">
        <v>3.5000000000000003E-2</v>
      </c>
      <c r="I744" s="164">
        <f t="shared" si="27"/>
        <v>5.2153181344061997E-3</v>
      </c>
      <c r="J744" s="128"/>
      <c r="K744" s="128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</row>
    <row r="745" spans="1:24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611">
        <f t="shared" si="28"/>
        <v>132.6</v>
      </c>
      <c r="G745" s="160">
        <v>0</v>
      </c>
      <c r="H745" s="55">
        <v>3.5000000000000003E-2</v>
      </c>
      <c r="I745" s="164">
        <f>G745*H745/F745</f>
        <v>0</v>
      </c>
      <c r="J745" s="128"/>
      <c r="K745" s="128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</row>
    <row r="746" spans="1:24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28"/>
        <v>380.2</v>
      </c>
      <c r="G746" s="160">
        <v>5</v>
      </c>
      <c r="H746" s="55">
        <v>3.5000000000000003E-2</v>
      </c>
      <c r="I746" s="164">
        <f t="shared" si="27"/>
        <v>4.6028406102051556E-4</v>
      </c>
      <c r="J746" s="128"/>
      <c r="K746" s="128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</row>
    <row r="747" spans="1:24" s="33" customFormat="1" ht="16.5" thickBot="1">
      <c r="A747" s="248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12">
        <f t="shared" si="28"/>
        <v>246324.39000000004</v>
      </c>
      <c r="G747" s="186">
        <f>SUM(G537:G746)</f>
        <v>16319.700000000004</v>
      </c>
      <c r="H747" s="186">
        <v>3.5000000000000003E-2</v>
      </c>
      <c r="I747" s="188">
        <f>G747*H747/F747</f>
        <v>2.3188507642300468E-3</v>
      </c>
      <c r="J747" s="130"/>
      <c r="K747" s="130"/>
    </row>
    <row r="748" spans="1:24" s="209" customFormat="1" ht="16.5" thickBot="1">
      <c r="A748" s="137" t="s">
        <v>335</v>
      </c>
      <c r="B748" s="138"/>
      <c r="C748" s="138"/>
      <c r="D748" s="138"/>
      <c r="E748" s="138"/>
      <c r="F748" s="611">
        <f t="shared" si="28"/>
        <v>0</v>
      </c>
      <c r="G748" s="138"/>
      <c r="H748" s="138"/>
      <c r="I748" s="172"/>
      <c r="J748" s="212"/>
      <c r="K748" s="212"/>
    </row>
    <row r="749" spans="1:24" s="6" customFormat="1" ht="15.75">
      <c r="A749" s="142">
        <v>1</v>
      </c>
      <c r="B749" s="142" t="s">
        <v>336</v>
      </c>
      <c r="C749" s="8">
        <v>4275.08</v>
      </c>
      <c r="D749" s="142"/>
      <c r="E749" s="142"/>
      <c r="F749" s="611">
        <f t="shared" si="28"/>
        <v>4275.08</v>
      </c>
      <c r="G749" s="142">
        <v>350.1</v>
      </c>
      <c r="H749" s="142">
        <v>3.5000000000000003E-2</v>
      </c>
      <c r="I749" s="170">
        <f t="shared" ref="I749:I811" si="29">G749*H749/F749</f>
        <v>2.8662621518193818E-3</v>
      </c>
      <c r="J749" s="128"/>
      <c r="K749" s="128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</row>
    <row r="750" spans="1:24" s="6" customFormat="1" ht="15.75">
      <c r="A750" s="55">
        <v>2</v>
      </c>
      <c r="B750" s="55" t="s">
        <v>337</v>
      </c>
      <c r="C750" s="8">
        <v>4574.41</v>
      </c>
      <c r="D750" s="55"/>
      <c r="E750" s="55"/>
      <c r="F750" s="611">
        <f t="shared" si="28"/>
        <v>4574.41</v>
      </c>
      <c r="G750" s="55">
        <v>680.3</v>
      </c>
      <c r="H750" s="55">
        <v>3.5000000000000003E-2</v>
      </c>
      <c r="I750" s="164">
        <f t="shared" si="29"/>
        <v>5.2051521398387996E-3</v>
      </c>
      <c r="J750" s="128"/>
      <c r="K750" s="128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</row>
    <row r="751" spans="1:24" s="6" customFormat="1" ht="15.75">
      <c r="A751" s="55">
        <v>3</v>
      </c>
      <c r="B751" s="55" t="s">
        <v>338</v>
      </c>
      <c r="C751" s="8">
        <v>8527.85</v>
      </c>
      <c r="D751" s="55"/>
      <c r="E751" s="55"/>
      <c r="F751" s="611">
        <f t="shared" si="28"/>
        <v>8527.85</v>
      </c>
      <c r="G751" s="55">
        <v>390.2</v>
      </c>
      <c r="H751" s="55">
        <v>3.5000000000000003E-2</v>
      </c>
      <c r="I751" s="164">
        <f t="shared" si="29"/>
        <v>1.6014587498607504E-3</v>
      </c>
      <c r="J751" s="128"/>
      <c r="K751" s="128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</row>
    <row r="752" spans="1:24" s="6" customFormat="1" ht="15.75">
      <c r="A752" s="55">
        <v>4</v>
      </c>
      <c r="B752" s="55" t="s">
        <v>339</v>
      </c>
      <c r="C752" s="8">
        <v>5131.3999999999996</v>
      </c>
      <c r="D752" s="55"/>
      <c r="E752" s="55"/>
      <c r="F752" s="611">
        <f t="shared" si="28"/>
        <v>5131.3999999999996</v>
      </c>
      <c r="G752" s="55">
        <v>850.3</v>
      </c>
      <c r="H752" s="55">
        <v>3.5000000000000003E-2</v>
      </c>
      <c r="I752" s="164">
        <f t="shared" si="29"/>
        <v>5.799684296683167E-3</v>
      </c>
      <c r="J752" s="128"/>
      <c r="K752" s="128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</row>
    <row r="753" spans="1:24" s="6" customFormat="1" ht="15.75">
      <c r="A753" s="55">
        <v>5</v>
      </c>
      <c r="B753" s="55" t="s">
        <v>340</v>
      </c>
      <c r="C753" s="8">
        <v>4290.1499999999996</v>
      </c>
      <c r="D753" s="55"/>
      <c r="E753" s="55"/>
      <c r="F753" s="611">
        <f t="shared" si="28"/>
        <v>4290.1499999999996</v>
      </c>
      <c r="G753" s="55">
        <v>340.3</v>
      </c>
      <c r="H753" s="55">
        <v>3.5000000000000003E-2</v>
      </c>
      <c r="I753" s="164">
        <f t="shared" si="29"/>
        <v>2.7762432548978479E-3</v>
      </c>
      <c r="J753" s="128"/>
      <c r="K753" s="128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</row>
    <row r="754" spans="1:24" s="6" customFormat="1" ht="15.75">
      <c r="A754" s="55">
        <v>6</v>
      </c>
      <c r="B754" s="55" t="s">
        <v>341</v>
      </c>
      <c r="C754" s="8">
        <v>5185.3900000000003</v>
      </c>
      <c r="D754" s="55"/>
      <c r="E754" s="55"/>
      <c r="F754" s="611">
        <f t="shared" si="28"/>
        <v>5185.3900000000003</v>
      </c>
      <c r="G754" s="55">
        <v>988</v>
      </c>
      <c r="H754" s="55">
        <v>3.5000000000000003E-2</v>
      </c>
      <c r="I754" s="164">
        <f t="shared" si="29"/>
        <v>6.6687365849048968E-3</v>
      </c>
      <c r="J754" s="128"/>
      <c r="K754" s="128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</row>
    <row r="755" spans="1:24" s="6" customFormat="1" ht="15.75">
      <c r="A755" s="55">
        <v>7</v>
      </c>
      <c r="B755" s="55" t="s">
        <v>342</v>
      </c>
      <c r="C755" s="8">
        <v>4246.38</v>
      </c>
      <c r="D755" s="55"/>
      <c r="E755" s="55"/>
      <c r="F755" s="611">
        <f t="shared" si="28"/>
        <v>4246.38</v>
      </c>
      <c r="G755" s="55">
        <v>350.2</v>
      </c>
      <c r="H755" s="55">
        <v>3.5000000000000003E-2</v>
      </c>
      <c r="I755" s="164">
        <f>G755*H755/F755</f>
        <v>2.8864585835464561E-3</v>
      </c>
      <c r="J755" s="128"/>
      <c r="K755" s="128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</row>
    <row r="756" spans="1:24" s="6" customFormat="1" ht="15.75">
      <c r="A756" s="55">
        <v>8</v>
      </c>
      <c r="B756" s="55" t="s">
        <v>343</v>
      </c>
      <c r="C756" s="8">
        <v>4446.42</v>
      </c>
      <c r="D756" s="55"/>
      <c r="E756" s="55"/>
      <c r="F756" s="611">
        <f t="shared" si="28"/>
        <v>4446.42</v>
      </c>
      <c r="G756" s="55">
        <v>92.3</v>
      </c>
      <c r="H756" s="55">
        <v>3.5000000000000003E-2</v>
      </c>
      <c r="I756" s="164">
        <f t="shared" si="29"/>
        <v>7.265395531686166E-4</v>
      </c>
      <c r="J756" s="128"/>
      <c r="K756" s="128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</row>
    <row r="757" spans="1:24" s="6" customFormat="1" ht="15.75">
      <c r="A757" s="55">
        <v>9</v>
      </c>
      <c r="B757" s="55" t="s">
        <v>344</v>
      </c>
      <c r="C757" s="8">
        <v>2920.24</v>
      </c>
      <c r="D757" s="55"/>
      <c r="E757" s="55"/>
      <c r="F757" s="611">
        <f t="shared" si="28"/>
        <v>2920.24</v>
      </c>
      <c r="G757" s="55">
        <v>250.3</v>
      </c>
      <c r="H757" s="55">
        <v>3.5000000000000003E-2</v>
      </c>
      <c r="I757" s="164">
        <f t="shared" si="29"/>
        <v>2.9999246637262694E-3</v>
      </c>
      <c r="J757" s="128"/>
      <c r="K757" s="128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</row>
    <row r="758" spans="1:24" s="6" customFormat="1" ht="15.75">
      <c r="A758" s="55">
        <v>10</v>
      </c>
      <c r="B758" s="55" t="s">
        <v>345</v>
      </c>
      <c r="C758" s="8">
        <v>4278.99</v>
      </c>
      <c r="D758" s="55"/>
      <c r="E758" s="55"/>
      <c r="F758" s="611">
        <f t="shared" si="28"/>
        <v>4278.99</v>
      </c>
      <c r="G758" s="55">
        <v>390.3</v>
      </c>
      <c r="H758" s="55">
        <v>3.5000000000000003E-2</v>
      </c>
      <c r="I758" s="164">
        <f t="shared" si="29"/>
        <v>3.1924589681209827E-3</v>
      </c>
      <c r="J758" s="128"/>
      <c r="K758" s="128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</row>
    <row r="759" spans="1:24" s="6" customFormat="1" ht="15.75">
      <c r="A759" s="55">
        <v>11</v>
      </c>
      <c r="B759" s="55" t="s">
        <v>346</v>
      </c>
      <c r="C759" s="8">
        <v>8595.7800000000007</v>
      </c>
      <c r="D759" s="55"/>
      <c r="E759" s="55"/>
      <c r="F759" s="611">
        <f t="shared" si="28"/>
        <v>8595.7800000000007</v>
      </c>
      <c r="G759" s="55">
        <v>620.5</v>
      </c>
      <c r="H759" s="55">
        <v>3.5000000000000003E-2</v>
      </c>
      <c r="I759" s="164">
        <f t="shared" si="29"/>
        <v>2.5265304602956336E-3</v>
      </c>
      <c r="J759" s="128"/>
      <c r="K759" s="128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</row>
    <row r="760" spans="1:24" s="6" customFormat="1" ht="15.75">
      <c r="A760" s="55">
        <v>12</v>
      </c>
      <c r="B760" s="55" t="s">
        <v>347</v>
      </c>
      <c r="C760" s="8">
        <v>4516.6000000000004</v>
      </c>
      <c r="D760" s="55"/>
      <c r="E760" s="55"/>
      <c r="F760" s="611">
        <f t="shared" si="28"/>
        <v>4516.6000000000004</v>
      </c>
      <c r="G760" s="55">
        <v>340.3</v>
      </c>
      <c r="H760" s="55">
        <v>3.5000000000000003E-2</v>
      </c>
      <c r="I760" s="164">
        <f t="shared" si="29"/>
        <v>2.6370499933578355E-3</v>
      </c>
      <c r="J760" s="128"/>
      <c r="K760" s="128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</row>
    <row r="761" spans="1:24" s="6" customFormat="1" ht="15.75">
      <c r="A761" s="55">
        <v>13</v>
      </c>
      <c r="B761" s="55" t="s">
        <v>348</v>
      </c>
      <c r="C761" s="8">
        <v>5874.29</v>
      </c>
      <c r="D761" s="55"/>
      <c r="E761" s="55"/>
      <c r="F761" s="611">
        <f t="shared" si="28"/>
        <v>5874.29</v>
      </c>
      <c r="G761" s="55">
        <v>900.2</v>
      </c>
      <c r="H761" s="55">
        <v>3.5000000000000003E-2</v>
      </c>
      <c r="I761" s="164">
        <f t="shared" si="29"/>
        <v>5.3635418067545194E-3</v>
      </c>
      <c r="J761" s="128"/>
      <c r="K761" s="128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</row>
    <row r="762" spans="1:24" s="6" customFormat="1" ht="15.75">
      <c r="A762" s="55">
        <v>14</v>
      </c>
      <c r="B762" s="55" t="s">
        <v>349</v>
      </c>
      <c r="C762" s="8">
        <v>5810.95</v>
      </c>
      <c r="D762" s="55"/>
      <c r="E762" s="55"/>
      <c r="F762" s="611">
        <f t="shared" si="28"/>
        <v>5810.95</v>
      </c>
      <c r="G762" s="55">
        <v>900.2</v>
      </c>
      <c r="H762" s="55">
        <v>3.5000000000000003E-2</v>
      </c>
      <c r="I762" s="164">
        <f t="shared" si="29"/>
        <v>5.4220050077870242E-3</v>
      </c>
      <c r="J762" s="128"/>
      <c r="K762" s="128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</row>
    <row r="763" spans="1:24" s="6" customFormat="1" ht="15.75">
      <c r="A763" s="55">
        <v>15</v>
      </c>
      <c r="B763" s="55" t="s">
        <v>350</v>
      </c>
      <c r="C763" s="8">
        <v>4315.22</v>
      </c>
      <c r="D763" s="55"/>
      <c r="E763" s="55">
        <v>220.4</v>
      </c>
      <c r="F763" s="611">
        <f t="shared" si="28"/>
        <v>4535.62</v>
      </c>
      <c r="G763" s="55">
        <v>95</v>
      </c>
      <c r="H763" s="55">
        <v>3.5000000000000003E-2</v>
      </c>
      <c r="I763" s="164">
        <f t="shared" si="29"/>
        <v>7.3308610509698795E-4</v>
      </c>
      <c r="J763" s="128"/>
      <c r="K763" s="128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</row>
    <row r="764" spans="1:24" s="6" customFormat="1" ht="15.75">
      <c r="A764" s="55">
        <v>16</v>
      </c>
      <c r="B764" s="55" t="s">
        <v>351</v>
      </c>
      <c r="C764" s="8">
        <v>6019.4</v>
      </c>
      <c r="D764" s="55"/>
      <c r="E764" s="55">
        <v>951.1</v>
      </c>
      <c r="F764" s="611">
        <f t="shared" si="28"/>
        <v>6970.5</v>
      </c>
      <c r="G764" s="55">
        <v>900.2</v>
      </c>
      <c r="H764" s="55">
        <v>3.5000000000000003E-2</v>
      </c>
      <c r="I764" s="164">
        <f t="shared" si="29"/>
        <v>4.5200487769887386E-3</v>
      </c>
      <c r="J764" s="128"/>
      <c r="K764" s="128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</row>
    <row r="765" spans="1:24" s="6" customFormat="1" ht="15.75">
      <c r="A765" s="55">
        <v>17</v>
      </c>
      <c r="B765" s="55" t="s">
        <v>352</v>
      </c>
      <c r="C765" s="8">
        <v>7260.15</v>
      </c>
      <c r="D765" s="55"/>
      <c r="E765" s="55">
        <v>68.5</v>
      </c>
      <c r="F765" s="611">
        <f t="shared" si="28"/>
        <v>7328.65</v>
      </c>
      <c r="G765" s="55">
        <v>562.29999999999995</v>
      </c>
      <c r="H765" s="55">
        <v>3.5000000000000003E-2</v>
      </c>
      <c r="I765" s="164">
        <f t="shared" si="29"/>
        <v>2.6854195520320933E-3</v>
      </c>
      <c r="J765" s="128"/>
      <c r="K765" s="128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</row>
    <row r="766" spans="1:24" s="6" customFormat="1" ht="15.75">
      <c r="A766" s="55">
        <v>18</v>
      </c>
      <c r="B766" s="55" t="s">
        <v>353</v>
      </c>
      <c r="C766" s="8">
        <v>6364.4</v>
      </c>
      <c r="D766" s="55"/>
      <c r="E766" s="55">
        <v>171.2</v>
      </c>
      <c r="F766" s="611">
        <f t="shared" si="28"/>
        <v>6535.5999999999995</v>
      </c>
      <c r="G766" s="55">
        <v>580.29999999999995</v>
      </c>
      <c r="H766" s="55">
        <v>3.5000000000000003E-2</v>
      </c>
      <c r="I766" s="164">
        <f t="shared" si="29"/>
        <v>3.1076718281412576E-3</v>
      </c>
      <c r="J766" s="128"/>
      <c r="K766" s="128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</row>
    <row r="767" spans="1:24" s="6" customFormat="1" ht="15.75">
      <c r="A767" s="55">
        <v>19</v>
      </c>
      <c r="B767" s="55" t="s">
        <v>354</v>
      </c>
      <c r="C767" s="8">
        <v>11062.33</v>
      </c>
      <c r="D767" s="55"/>
      <c r="E767" s="55"/>
      <c r="F767" s="611">
        <f t="shared" si="28"/>
        <v>11062.33</v>
      </c>
      <c r="G767" s="55">
        <v>1315.2</v>
      </c>
      <c r="H767" s="55">
        <v>3.5000000000000003E-2</v>
      </c>
      <c r="I767" s="164">
        <f t="shared" si="29"/>
        <v>4.1611486910985299E-3</v>
      </c>
      <c r="J767" s="128"/>
      <c r="K767" s="128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</row>
    <row r="768" spans="1:24" s="6" customFormat="1" ht="15.75">
      <c r="A768" s="55">
        <v>20</v>
      </c>
      <c r="B768" s="55" t="s">
        <v>355</v>
      </c>
      <c r="C768" s="8">
        <v>8492.94</v>
      </c>
      <c r="D768" s="55"/>
      <c r="E768" s="55"/>
      <c r="F768" s="611">
        <f t="shared" si="28"/>
        <v>8492.94</v>
      </c>
      <c r="G768" s="55">
        <v>730.6</v>
      </c>
      <c r="H768" s="55">
        <v>3.5000000000000003E-2</v>
      </c>
      <c r="I768" s="164">
        <f t="shared" si="29"/>
        <v>3.0108537208552045E-3</v>
      </c>
      <c r="J768" s="128"/>
      <c r="K768" s="128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</row>
    <row r="769" spans="1:24" s="6" customFormat="1" ht="15.75">
      <c r="A769" s="55">
        <v>21</v>
      </c>
      <c r="B769" s="55" t="s">
        <v>365</v>
      </c>
      <c r="C769" s="8">
        <v>3876.37</v>
      </c>
      <c r="D769" s="55"/>
      <c r="E769" s="55"/>
      <c r="F769" s="611">
        <f t="shared" si="28"/>
        <v>3876.37</v>
      </c>
      <c r="G769" s="55">
        <v>890.3</v>
      </c>
      <c r="H769" s="55">
        <v>3.5000000000000003E-2</v>
      </c>
      <c r="I769" s="164">
        <f t="shared" si="29"/>
        <v>8.0385773287895649E-3</v>
      </c>
      <c r="J769" s="128"/>
      <c r="K769" s="128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</row>
    <row r="770" spans="1:24" s="6" customFormat="1" ht="15.75">
      <c r="A770" s="55">
        <v>22</v>
      </c>
      <c r="B770" s="55" t="s">
        <v>366</v>
      </c>
      <c r="C770" s="8">
        <v>5649.66</v>
      </c>
      <c r="D770" s="55"/>
      <c r="E770" s="55">
        <v>46.1</v>
      </c>
      <c r="F770" s="611">
        <f t="shared" si="28"/>
        <v>5695.76</v>
      </c>
      <c r="G770" s="55">
        <v>850.3</v>
      </c>
      <c r="H770" s="55">
        <v>3.5000000000000003E-2</v>
      </c>
      <c r="I770" s="164">
        <f t="shared" si="29"/>
        <v>5.2250270376560807E-3</v>
      </c>
      <c r="J770" s="128"/>
      <c r="K770" s="128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</row>
    <row r="771" spans="1:24" s="6" customFormat="1" ht="15.75">
      <c r="A771" s="55">
        <v>23</v>
      </c>
      <c r="B771" s="55" t="s">
        <v>367</v>
      </c>
      <c r="C771" s="8">
        <v>5815.2</v>
      </c>
      <c r="D771" s="55"/>
      <c r="E771" s="55"/>
      <c r="F771" s="611">
        <f t="shared" si="28"/>
        <v>5815.2</v>
      </c>
      <c r="G771" s="55">
        <v>892.3</v>
      </c>
      <c r="H771" s="55">
        <v>3.5000000000000003E-2</v>
      </c>
      <c r="I771" s="164">
        <f t="shared" si="29"/>
        <v>5.3704945659650578E-3</v>
      </c>
      <c r="J771" s="128"/>
      <c r="K771" s="128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</row>
    <row r="772" spans="1:24" s="6" customFormat="1" ht="15.75">
      <c r="A772" s="55">
        <v>24</v>
      </c>
      <c r="B772" s="55" t="s">
        <v>368</v>
      </c>
      <c r="C772" s="8">
        <v>5690.31</v>
      </c>
      <c r="D772" s="55"/>
      <c r="E772" s="55"/>
      <c r="F772" s="611">
        <f t="shared" si="28"/>
        <v>5690.31</v>
      </c>
      <c r="G772" s="55">
        <v>920.3</v>
      </c>
      <c r="H772" s="55">
        <v>3.5000000000000003E-2</v>
      </c>
      <c r="I772" s="164">
        <f t="shared" si="29"/>
        <v>5.660587911730644E-3</v>
      </c>
      <c r="J772" s="128"/>
      <c r="K772" s="128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</row>
    <row r="773" spans="1:24" s="6" customFormat="1" ht="15.75">
      <c r="A773" s="55">
        <v>25</v>
      </c>
      <c r="B773" s="55" t="s">
        <v>369</v>
      </c>
      <c r="C773" s="8">
        <v>3955.02</v>
      </c>
      <c r="D773" s="55"/>
      <c r="E773" s="55"/>
      <c r="F773" s="611">
        <f t="shared" si="28"/>
        <v>3955.02</v>
      </c>
      <c r="G773" s="55">
        <v>930.3</v>
      </c>
      <c r="H773" s="55">
        <v>3.5000000000000003E-2</v>
      </c>
      <c r="I773" s="164">
        <f t="shared" si="29"/>
        <v>8.2327017309646987E-3</v>
      </c>
      <c r="J773" s="128"/>
      <c r="K773" s="128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</row>
    <row r="774" spans="1:24" s="6" customFormat="1" ht="15.75">
      <c r="A774" s="55">
        <v>26</v>
      </c>
      <c r="B774" s="55" t="s">
        <v>370</v>
      </c>
      <c r="C774" s="8">
        <v>3905.27</v>
      </c>
      <c r="D774" s="55"/>
      <c r="E774" s="55"/>
      <c r="F774" s="611">
        <f t="shared" si="28"/>
        <v>3905.27</v>
      </c>
      <c r="G774" s="55">
        <v>894.5</v>
      </c>
      <c r="H774" s="55">
        <v>3.5000000000000003E-2</v>
      </c>
      <c r="I774" s="164">
        <f t="shared" si="29"/>
        <v>8.0167312375328727E-3</v>
      </c>
      <c r="J774" s="128"/>
      <c r="K774" s="128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</row>
    <row r="775" spans="1:24" s="6" customFormat="1" ht="15.75">
      <c r="A775" s="55">
        <v>27</v>
      </c>
      <c r="B775" s="55" t="s">
        <v>371</v>
      </c>
      <c r="C775" s="8">
        <v>4170.17</v>
      </c>
      <c r="D775" s="55"/>
      <c r="E775" s="55">
        <v>689.1</v>
      </c>
      <c r="F775" s="611">
        <f t="shared" si="28"/>
        <v>4859.2700000000004</v>
      </c>
      <c r="G775" s="55">
        <v>423.3</v>
      </c>
      <c r="H775" s="55">
        <v>3.5000000000000003E-2</v>
      </c>
      <c r="I775" s="164">
        <f t="shared" si="29"/>
        <v>3.0489147546853747E-3</v>
      </c>
      <c r="J775" s="128"/>
      <c r="K775" s="128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</row>
    <row r="776" spans="1:24" s="6" customFormat="1" ht="15.75">
      <c r="A776" s="55">
        <v>28</v>
      </c>
      <c r="B776" s="55" t="s">
        <v>372</v>
      </c>
      <c r="C776" s="8">
        <v>4268.12</v>
      </c>
      <c r="D776" s="55">
        <v>216.9</v>
      </c>
      <c r="E776" s="55">
        <v>468.4</v>
      </c>
      <c r="F776" s="611">
        <f t="shared" ref="F776:F836" si="30">C776+D776+E776</f>
        <v>4953.4199999999992</v>
      </c>
      <c r="G776" s="55">
        <v>420</v>
      </c>
      <c r="H776" s="55">
        <v>3.5000000000000003E-2</v>
      </c>
      <c r="I776" s="164">
        <f t="shared" si="29"/>
        <v>2.9676465956854059E-3</v>
      </c>
      <c r="J776" s="128"/>
      <c r="K776" s="128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</row>
    <row r="777" spans="1:24" s="6" customFormat="1" ht="15.75">
      <c r="A777" s="55">
        <v>29</v>
      </c>
      <c r="B777" s="55" t="s">
        <v>373</v>
      </c>
      <c r="C777" s="8">
        <v>10932.24</v>
      </c>
      <c r="D777" s="55"/>
      <c r="E777" s="55"/>
      <c r="F777" s="611">
        <f t="shared" si="30"/>
        <v>10932.24</v>
      </c>
      <c r="G777" s="55">
        <v>1315.2</v>
      </c>
      <c r="H777" s="55">
        <v>3.5000000000000003E-2</v>
      </c>
      <c r="I777" s="164">
        <f t="shared" si="29"/>
        <v>4.2106649689359187E-3</v>
      </c>
      <c r="J777" s="128"/>
      <c r="K777" s="128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</row>
    <row r="778" spans="1:24" s="6" customFormat="1" ht="15.75">
      <c r="A778" s="55">
        <v>30</v>
      </c>
      <c r="B778" s="55" t="s">
        <v>374</v>
      </c>
      <c r="C778" s="8">
        <v>4713.08</v>
      </c>
      <c r="D778" s="55"/>
      <c r="E778" s="55"/>
      <c r="F778" s="611">
        <f t="shared" si="30"/>
        <v>4713.08</v>
      </c>
      <c r="G778" s="55">
        <v>423</v>
      </c>
      <c r="H778" s="55">
        <v>3.5000000000000003E-2</v>
      </c>
      <c r="I778" s="164">
        <f t="shared" si="29"/>
        <v>3.1412579459716367E-3</v>
      </c>
      <c r="J778" s="128"/>
      <c r="K778" s="128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</row>
    <row r="779" spans="1:24" s="6" customFormat="1" ht="15.75">
      <c r="A779" s="55">
        <v>31</v>
      </c>
      <c r="B779" s="55" t="s">
        <v>375</v>
      </c>
      <c r="C779" s="8">
        <v>4688.58</v>
      </c>
      <c r="D779" s="55"/>
      <c r="E779" s="55"/>
      <c r="F779" s="611">
        <f t="shared" si="30"/>
        <v>4688.58</v>
      </c>
      <c r="G779" s="55">
        <v>420.6</v>
      </c>
      <c r="H779" s="55">
        <v>3.5000000000000003E-2</v>
      </c>
      <c r="I779" s="164">
        <f t="shared" si="29"/>
        <v>3.1397566000793422E-3</v>
      </c>
      <c r="J779" s="128"/>
      <c r="K779" s="128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</row>
    <row r="780" spans="1:24" s="6" customFormat="1" ht="15.75">
      <c r="A780" s="55">
        <v>32</v>
      </c>
      <c r="B780" s="55" t="s">
        <v>376</v>
      </c>
      <c r="C780" s="8">
        <v>2330.62</v>
      </c>
      <c r="D780" s="55"/>
      <c r="E780" s="55"/>
      <c r="F780" s="611">
        <f t="shared" si="30"/>
        <v>2330.62</v>
      </c>
      <c r="G780" s="55">
        <v>260.3</v>
      </c>
      <c r="H780" s="55">
        <v>3.5000000000000003E-2</v>
      </c>
      <c r="I780" s="164">
        <f t="shared" si="29"/>
        <v>3.9090456616694283E-3</v>
      </c>
      <c r="J780" s="128"/>
      <c r="K780" s="128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</row>
    <row r="781" spans="1:24" s="6" customFormat="1" ht="15.75">
      <c r="A781" s="55">
        <v>33</v>
      </c>
      <c r="B781" s="55" t="s">
        <v>377</v>
      </c>
      <c r="C781" s="8">
        <v>2305.7800000000002</v>
      </c>
      <c r="D781" s="55"/>
      <c r="E781" s="55"/>
      <c r="F781" s="611">
        <f t="shared" si="30"/>
        <v>2305.7800000000002</v>
      </c>
      <c r="G781" s="55">
        <v>260.3</v>
      </c>
      <c r="H781" s="55">
        <v>3.5000000000000003E-2</v>
      </c>
      <c r="I781" s="164">
        <f t="shared" si="29"/>
        <v>3.9511575258697716E-3</v>
      </c>
      <c r="J781" s="128"/>
      <c r="K781" s="128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</row>
    <row r="782" spans="1:24" s="6" customFormat="1" ht="15.75">
      <c r="A782" s="55">
        <v>34</v>
      </c>
      <c r="B782" s="55" t="s">
        <v>378</v>
      </c>
      <c r="C782" s="8">
        <v>2216.46</v>
      </c>
      <c r="D782" s="55"/>
      <c r="E782" s="55"/>
      <c r="F782" s="611">
        <f t="shared" si="30"/>
        <v>2216.46</v>
      </c>
      <c r="G782" s="55">
        <v>260.3</v>
      </c>
      <c r="H782" s="55">
        <v>3.5000000000000003E-2</v>
      </c>
      <c r="I782" s="164">
        <f t="shared" si="29"/>
        <v>4.1103832236990528E-3</v>
      </c>
      <c r="J782" s="128"/>
      <c r="K782" s="128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</row>
    <row r="783" spans="1:24" s="6" customFormat="1" ht="15.75">
      <c r="A783" s="55">
        <v>35</v>
      </c>
      <c r="B783" s="55" t="s">
        <v>379</v>
      </c>
      <c r="C783" s="8">
        <v>5733.87</v>
      </c>
      <c r="D783" s="55"/>
      <c r="E783" s="55">
        <v>119.9</v>
      </c>
      <c r="F783" s="611">
        <f t="shared" si="30"/>
        <v>5853.7699999999995</v>
      </c>
      <c r="G783" s="55">
        <v>950.3</v>
      </c>
      <c r="H783" s="55">
        <v>3.5000000000000003E-2</v>
      </c>
      <c r="I783" s="164">
        <f t="shared" si="29"/>
        <v>5.6818938906038332E-3</v>
      </c>
      <c r="J783" s="128"/>
      <c r="K783" s="128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</row>
    <row r="784" spans="1:24" s="6" customFormat="1" ht="15.75">
      <c r="A784" s="55">
        <v>36</v>
      </c>
      <c r="B784" s="55" t="s">
        <v>380</v>
      </c>
      <c r="C784" s="8">
        <v>4616.67</v>
      </c>
      <c r="D784" s="55"/>
      <c r="E784" s="55">
        <v>516.1</v>
      </c>
      <c r="F784" s="611">
        <f t="shared" si="30"/>
        <v>5132.7700000000004</v>
      </c>
      <c r="G784" s="55">
        <v>850.3</v>
      </c>
      <c r="H784" s="55">
        <v>3.5000000000000003E-2</v>
      </c>
      <c r="I784" s="164">
        <f t="shared" si="29"/>
        <v>5.7981362889823621E-3</v>
      </c>
      <c r="J784" s="128"/>
      <c r="K784" s="128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</row>
    <row r="785" spans="1:24" s="6" customFormat="1" ht="15.75">
      <c r="A785" s="55">
        <v>37</v>
      </c>
      <c r="B785" s="55" t="s">
        <v>381</v>
      </c>
      <c r="C785" s="8">
        <v>4459.21</v>
      </c>
      <c r="D785" s="55"/>
      <c r="E785" s="55">
        <v>199.1</v>
      </c>
      <c r="F785" s="611">
        <f t="shared" si="30"/>
        <v>4658.3100000000004</v>
      </c>
      <c r="G785" s="55">
        <v>90.3</v>
      </c>
      <c r="H785" s="55">
        <v>3.5000000000000003E-2</v>
      </c>
      <c r="I785" s="164">
        <f t="shared" si="29"/>
        <v>6.7846493685478205E-4</v>
      </c>
      <c r="J785" s="128"/>
      <c r="K785" s="128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</row>
    <row r="786" spans="1:24" s="6" customFormat="1" ht="15.75">
      <c r="A786" s="55">
        <v>38</v>
      </c>
      <c r="B786" s="55" t="s">
        <v>382</v>
      </c>
      <c r="C786" s="8">
        <v>4519.6099999999997</v>
      </c>
      <c r="D786" s="55"/>
      <c r="E786" s="55"/>
      <c r="F786" s="611">
        <f t="shared" si="30"/>
        <v>4519.6099999999997</v>
      </c>
      <c r="G786" s="55">
        <v>425.3</v>
      </c>
      <c r="H786" s="55">
        <v>3.5000000000000003E-2</v>
      </c>
      <c r="I786" s="164">
        <f t="shared" si="29"/>
        <v>3.2935363892017239E-3</v>
      </c>
      <c r="J786" s="128"/>
      <c r="K786" s="128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</row>
    <row r="787" spans="1:24" s="6" customFormat="1" ht="15.75">
      <c r="A787" s="55">
        <v>39</v>
      </c>
      <c r="B787" s="55" t="s">
        <v>383</v>
      </c>
      <c r="C787" s="8">
        <v>7164.75</v>
      </c>
      <c r="D787" s="55"/>
      <c r="E787" s="55"/>
      <c r="F787" s="611">
        <f t="shared" si="30"/>
        <v>7164.75</v>
      </c>
      <c r="G787" s="55">
        <v>426.3</v>
      </c>
      <c r="H787" s="55">
        <v>3.5000000000000003E-2</v>
      </c>
      <c r="I787" s="164">
        <f t="shared" si="29"/>
        <v>2.0824871768030987E-3</v>
      </c>
      <c r="J787" s="128"/>
      <c r="K787" s="128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</row>
    <row r="788" spans="1:24" s="6" customFormat="1" ht="15.75">
      <c r="A788" s="55">
        <v>40</v>
      </c>
      <c r="B788" s="55" t="s">
        <v>384</v>
      </c>
      <c r="C788" s="8">
        <v>4422.5</v>
      </c>
      <c r="D788" s="55"/>
      <c r="E788" s="55"/>
      <c r="F788" s="611">
        <f t="shared" si="30"/>
        <v>4422.5</v>
      </c>
      <c r="G788" s="55">
        <v>420.3</v>
      </c>
      <c r="H788" s="55">
        <v>3.5000000000000003E-2</v>
      </c>
      <c r="I788" s="164">
        <f t="shared" si="29"/>
        <v>3.3262860373092147E-3</v>
      </c>
      <c r="J788" s="128"/>
      <c r="K788" s="128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</row>
    <row r="789" spans="1:24" s="6" customFormat="1" ht="15.75">
      <c r="A789" s="55">
        <v>41</v>
      </c>
      <c r="B789" s="55" t="s">
        <v>385</v>
      </c>
      <c r="C789" s="8">
        <v>9048.7900000000009</v>
      </c>
      <c r="D789" s="55"/>
      <c r="E789" s="55"/>
      <c r="F789" s="611">
        <f t="shared" si="30"/>
        <v>9048.7900000000009</v>
      </c>
      <c r="G789" s="55">
        <v>420.3</v>
      </c>
      <c r="H789" s="55">
        <v>3.5000000000000003E-2</v>
      </c>
      <c r="I789" s="164">
        <f t="shared" si="29"/>
        <v>1.6256869703021068E-3</v>
      </c>
      <c r="J789" s="128"/>
      <c r="K789" s="128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</row>
    <row r="790" spans="1:24" s="6" customFormat="1" ht="15.75">
      <c r="A790" s="55">
        <v>42</v>
      </c>
      <c r="B790" s="55" t="s">
        <v>386</v>
      </c>
      <c r="C790" s="32">
        <v>4583.33</v>
      </c>
      <c r="D790" s="55"/>
      <c r="E790" s="55"/>
      <c r="F790" s="611">
        <f t="shared" si="30"/>
        <v>4583.33</v>
      </c>
      <c r="G790" s="55">
        <v>505.2</v>
      </c>
      <c r="H790" s="55">
        <v>3.5000000000000003E-2</v>
      </c>
      <c r="I790" s="164">
        <f t="shared" si="29"/>
        <v>3.857893714831793E-3</v>
      </c>
      <c r="J790" s="128"/>
      <c r="K790" s="128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</row>
    <row r="791" spans="1:24" s="6" customFormat="1" ht="15.75">
      <c r="A791" s="55">
        <v>43</v>
      </c>
      <c r="B791" s="55" t="s">
        <v>387</v>
      </c>
      <c r="C791" s="32">
        <v>2091.96</v>
      </c>
      <c r="D791" s="55"/>
      <c r="E791" s="55">
        <v>121.7</v>
      </c>
      <c r="F791" s="611">
        <f t="shared" si="30"/>
        <v>2213.66</v>
      </c>
      <c r="G791" s="55">
        <v>425.6</v>
      </c>
      <c r="H791" s="55">
        <v>3.5000000000000003E-2</v>
      </c>
      <c r="I791" s="164">
        <f t="shared" si="29"/>
        <v>6.7291273275932179E-3</v>
      </c>
      <c r="J791" s="128"/>
      <c r="K791" s="128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</row>
    <row r="792" spans="1:24" s="6" customFormat="1" ht="15.75">
      <c r="A792" s="55">
        <v>44</v>
      </c>
      <c r="B792" s="55" t="s">
        <v>388</v>
      </c>
      <c r="C792" s="32">
        <v>41.2</v>
      </c>
      <c r="D792" s="55"/>
      <c r="E792" s="55"/>
      <c r="F792" s="611">
        <f t="shared" si="30"/>
        <v>41.2</v>
      </c>
      <c r="G792" s="55"/>
      <c r="H792" s="55">
        <v>3.5000000000000003E-2</v>
      </c>
      <c r="I792" s="164">
        <f t="shared" si="29"/>
        <v>0</v>
      </c>
      <c r="J792" s="128"/>
      <c r="K792" s="128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</row>
    <row r="793" spans="1:24" s="6" customFormat="1" ht="15.75">
      <c r="A793" s="55">
        <v>45</v>
      </c>
      <c r="B793" s="55" t="s">
        <v>389</v>
      </c>
      <c r="C793" s="32">
        <v>21</v>
      </c>
      <c r="D793" s="55"/>
      <c r="E793" s="55"/>
      <c r="F793" s="611">
        <f t="shared" si="30"/>
        <v>21</v>
      </c>
      <c r="G793" s="55"/>
      <c r="H793" s="55">
        <v>3.5000000000000003E-2</v>
      </c>
      <c r="I793" s="164">
        <f t="shared" si="29"/>
        <v>0</v>
      </c>
      <c r="J793" s="128"/>
      <c r="K793" s="128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</row>
    <row r="794" spans="1:24" s="6" customFormat="1" ht="15.75">
      <c r="A794" s="55">
        <v>46</v>
      </c>
      <c r="B794" s="55" t="s">
        <v>390</v>
      </c>
      <c r="C794" s="32">
        <v>113.2</v>
      </c>
      <c r="D794" s="55"/>
      <c r="E794" s="55"/>
      <c r="F794" s="611">
        <f t="shared" si="30"/>
        <v>113.2</v>
      </c>
      <c r="G794" s="55"/>
      <c r="H794" s="55">
        <v>3.5000000000000003E-2</v>
      </c>
      <c r="I794" s="164">
        <f t="shared" si="29"/>
        <v>0</v>
      </c>
      <c r="J794" s="128"/>
      <c r="K794" s="128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</row>
    <row r="795" spans="1:24" s="6" customFormat="1" ht="15.75">
      <c r="A795" s="55">
        <v>47</v>
      </c>
      <c r="B795" s="55" t="s">
        <v>391</v>
      </c>
      <c r="C795" s="32">
        <v>149.19999999999999</v>
      </c>
      <c r="D795" s="55"/>
      <c r="E795" s="55"/>
      <c r="F795" s="611">
        <f t="shared" si="30"/>
        <v>149.19999999999999</v>
      </c>
      <c r="G795" s="55"/>
      <c r="H795" s="55">
        <v>3.5000000000000003E-2</v>
      </c>
      <c r="I795" s="164">
        <f t="shared" si="29"/>
        <v>0</v>
      </c>
      <c r="J795" s="128"/>
      <c r="K795" s="128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</row>
    <row r="796" spans="1:24" s="6" customFormat="1" ht="15.75">
      <c r="A796" s="55">
        <v>49</v>
      </c>
      <c r="B796" s="55" t="s">
        <v>808</v>
      </c>
      <c r="C796" s="32">
        <v>613.9</v>
      </c>
      <c r="D796" s="55"/>
      <c r="E796" s="55">
        <v>71.099999999999994</v>
      </c>
      <c r="F796" s="611">
        <f t="shared" si="30"/>
        <v>685</v>
      </c>
      <c r="G796" s="55">
        <v>90</v>
      </c>
      <c r="H796" s="55">
        <v>3.5000000000000003E-2</v>
      </c>
      <c r="I796" s="164">
        <f t="shared" si="29"/>
        <v>4.5985401459854016E-3</v>
      </c>
      <c r="J796" s="128"/>
      <c r="K796" s="128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</row>
    <row r="797" spans="1:24" s="6" customFormat="1" ht="15.75">
      <c r="A797" s="55">
        <v>50</v>
      </c>
      <c r="B797" s="55" t="s">
        <v>809</v>
      </c>
      <c r="C797" s="32">
        <v>451.16</v>
      </c>
      <c r="D797" s="55"/>
      <c r="E797" s="55">
        <v>29.4</v>
      </c>
      <c r="F797" s="611">
        <f t="shared" si="30"/>
        <v>480.56</v>
      </c>
      <c r="G797" s="55">
        <v>66</v>
      </c>
      <c r="H797" s="55">
        <v>3.5000000000000003E-2</v>
      </c>
      <c r="I797" s="164">
        <f t="shared" si="29"/>
        <v>4.8068919593807222E-3</v>
      </c>
      <c r="J797" s="128"/>
      <c r="K797" s="128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</row>
    <row r="798" spans="1:24" s="6" customFormat="1" ht="15.75">
      <c r="A798" s="55">
        <v>51</v>
      </c>
      <c r="B798" s="55" t="s">
        <v>810</v>
      </c>
      <c r="C798" s="32">
        <v>514.09</v>
      </c>
      <c r="D798" s="55"/>
      <c r="E798" s="55"/>
      <c r="F798" s="611">
        <f t="shared" si="30"/>
        <v>514.09</v>
      </c>
      <c r="G798" s="55">
        <v>154</v>
      </c>
      <c r="H798" s="55">
        <v>3.5000000000000003E-2</v>
      </c>
      <c r="I798" s="164">
        <f t="shared" si="29"/>
        <v>1.0484545507595948E-2</v>
      </c>
      <c r="J798" s="128"/>
      <c r="K798" s="128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</row>
    <row r="799" spans="1:24" s="6" customFormat="1" ht="15.75">
      <c r="A799" s="55">
        <v>52</v>
      </c>
      <c r="B799" s="55" t="s">
        <v>811</v>
      </c>
      <c r="C799" s="32">
        <v>522.29999999999995</v>
      </c>
      <c r="D799" s="55"/>
      <c r="E799" s="55">
        <v>27.8</v>
      </c>
      <c r="F799" s="611">
        <f t="shared" si="30"/>
        <v>550.09999999999991</v>
      </c>
      <c r="G799" s="55">
        <v>32</v>
      </c>
      <c r="H799" s="55">
        <v>3.5000000000000003E-2</v>
      </c>
      <c r="I799" s="164">
        <f t="shared" si="29"/>
        <v>2.0359934557353213E-3</v>
      </c>
      <c r="J799" s="128"/>
      <c r="K799" s="128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</row>
    <row r="800" spans="1:24" s="6" customFormat="1" ht="15.75">
      <c r="A800" s="55">
        <v>53</v>
      </c>
      <c r="B800" s="55" t="s">
        <v>812</v>
      </c>
      <c r="C800" s="32">
        <v>1211.25</v>
      </c>
      <c r="D800" s="55"/>
      <c r="E800" s="55"/>
      <c r="F800" s="611">
        <f t="shared" si="30"/>
        <v>1211.25</v>
      </c>
      <c r="G800" s="55">
        <v>194</v>
      </c>
      <c r="H800" s="55">
        <v>3.5000000000000003E-2</v>
      </c>
      <c r="I800" s="164">
        <f t="shared" si="29"/>
        <v>5.605779153766771E-3</v>
      </c>
      <c r="J800" s="128"/>
      <c r="K800" s="128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</row>
    <row r="801" spans="1:24" s="6" customFormat="1" ht="15.75">
      <c r="A801" s="55">
        <v>54</v>
      </c>
      <c r="B801" s="55" t="s">
        <v>813</v>
      </c>
      <c r="C801" s="32">
        <v>306.17</v>
      </c>
      <c r="D801" s="55"/>
      <c r="E801" s="55">
        <v>31.2</v>
      </c>
      <c r="F801" s="611">
        <f t="shared" si="30"/>
        <v>337.37</v>
      </c>
      <c r="G801" s="55">
        <v>27</v>
      </c>
      <c r="H801" s="55">
        <v>3.5000000000000003E-2</v>
      </c>
      <c r="I801" s="164">
        <f t="shared" si="29"/>
        <v>2.8010789341079527E-3</v>
      </c>
      <c r="J801" s="128"/>
      <c r="K801" s="128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</row>
    <row r="802" spans="1:24" s="6" customFormat="1" ht="15.75">
      <c r="A802" s="55">
        <v>55</v>
      </c>
      <c r="B802" s="55" t="s">
        <v>814</v>
      </c>
      <c r="C802" s="32">
        <v>209.58</v>
      </c>
      <c r="D802" s="55"/>
      <c r="E802" s="55">
        <v>29.1</v>
      </c>
      <c r="F802" s="611">
        <f t="shared" si="30"/>
        <v>238.68</v>
      </c>
      <c r="G802" s="55">
        <v>46</v>
      </c>
      <c r="H802" s="55">
        <v>3.5000000000000003E-2</v>
      </c>
      <c r="I802" s="164">
        <f t="shared" si="29"/>
        <v>6.7454332160214519E-3</v>
      </c>
      <c r="J802" s="128"/>
      <c r="K802" s="128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</row>
    <row r="803" spans="1:24" s="6" customFormat="1" ht="15.75">
      <c r="A803" s="55">
        <v>56</v>
      </c>
      <c r="B803" s="55" t="s">
        <v>815</v>
      </c>
      <c r="C803" s="32">
        <v>468.77</v>
      </c>
      <c r="D803" s="55"/>
      <c r="E803" s="55">
        <v>272.5</v>
      </c>
      <c r="F803" s="611">
        <f t="shared" si="30"/>
        <v>741.27</v>
      </c>
      <c r="G803" s="55">
        <v>75</v>
      </c>
      <c r="H803" s="55">
        <v>3.5000000000000003E-2</v>
      </c>
      <c r="I803" s="164">
        <f t="shared" si="29"/>
        <v>3.5412197984540051E-3</v>
      </c>
      <c r="J803" s="128"/>
      <c r="K803" s="128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</row>
    <row r="804" spans="1:24" s="6" customFormat="1" ht="15.75">
      <c r="A804" s="55">
        <v>57</v>
      </c>
      <c r="B804" s="55" t="s">
        <v>816</v>
      </c>
      <c r="C804" s="32">
        <v>599.20000000000005</v>
      </c>
      <c r="D804" s="55"/>
      <c r="E804" s="55">
        <v>134.4</v>
      </c>
      <c r="F804" s="611">
        <f t="shared" si="30"/>
        <v>733.6</v>
      </c>
      <c r="G804" s="55">
        <v>65</v>
      </c>
      <c r="H804" s="55">
        <v>3.5000000000000003E-2</v>
      </c>
      <c r="I804" s="164">
        <f t="shared" si="29"/>
        <v>3.1011450381679393E-3</v>
      </c>
      <c r="J804" s="128"/>
      <c r="K804" s="128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</row>
    <row r="805" spans="1:24" s="6" customFormat="1" ht="15.75">
      <c r="A805" s="55">
        <v>58</v>
      </c>
      <c r="B805" s="55" t="s">
        <v>817</v>
      </c>
      <c r="C805" s="32">
        <v>220.5</v>
      </c>
      <c r="D805" s="55"/>
      <c r="E805" s="55"/>
      <c r="F805" s="611">
        <f t="shared" si="30"/>
        <v>220.5</v>
      </c>
      <c r="G805" s="55">
        <v>50</v>
      </c>
      <c r="H805" s="55">
        <v>3.5000000000000003E-2</v>
      </c>
      <c r="I805" s="164">
        <f t="shared" si="29"/>
        <v>7.9365079365079378E-3</v>
      </c>
      <c r="J805" s="128"/>
      <c r="K805" s="128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</row>
    <row r="806" spans="1:24" s="6" customFormat="1" ht="15.75">
      <c r="A806" s="55">
        <v>59</v>
      </c>
      <c r="B806" s="55" t="s">
        <v>818</v>
      </c>
      <c r="C806" s="32">
        <v>330.61</v>
      </c>
      <c r="D806" s="55"/>
      <c r="E806" s="55"/>
      <c r="F806" s="611">
        <f t="shared" si="30"/>
        <v>330.61</v>
      </c>
      <c r="G806" s="55">
        <v>64</v>
      </c>
      <c r="H806" s="55">
        <v>3.5000000000000003E-2</v>
      </c>
      <c r="I806" s="164">
        <f t="shared" si="29"/>
        <v>6.7753546474698285E-3</v>
      </c>
      <c r="J806" s="128"/>
      <c r="K806" s="128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</row>
    <row r="807" spans="1:24" s="6" customFormat="1" ht="15.75">
      <c r="A807" s="55">
        <v>60</v>
      </c>
      <c r="B807" s="55" t="s">
        <v>819</v>
      </c>
      <c r="C807" s="32">
        <v>949</v>
      </c>
      <c r="D807" s="55"/>
      <c r="E807" s="55">
        <v>88.5</v>
      </c>
      <c r="F807" s="611">
        <f t="shared" si="30"/>
        <v>1037.5</v>
      </c>
      <c r="G807" s="55">
        <v>95</v>
      </c>
      <c r="H807" s="55">
        <v>3.5000000000000003E-2</v>
      </c>
      <c r="I807" s="164">
        <f t="shared" si="29"/>
        <v>3.2048192771084341E-3</v>
      </c>
      <c r="J807" s="128"/>
      <c r="K807" s="128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</row>
    <row r="808" spans="1:24" s="6" customFormat="1" ht="15.75">
      <c r="A808" s="55">
        <v>61</v>
      </c>
      <c r="B808" s="55" t="s">
        <v>820</v>
      </c>
      <c r="C808" s="8">
        <v>211.8</v>
      </c>
      <c r="D808" s="55"/>
      <c r="E808" s="55">
        <v>18.3</v>
      </c>
      <c r="F808" s="611">
        <f t="shared" si="30"/>
        <v>230.10000000000002</v>
      </c>
      <c r="G808" s="55">
        <v>34</v>
      </c>
      <c r="H808" s="55">
        <v>3.5000000000000003E-2</v>
      </c>
      <c r="I808" s="164">
        <f t="shared" si="29"/>
        <v>5.1716644936983924E-3</v>
      </c>
      <c r="J808" s="128"/>
      <c r="K808" s="128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</row>
    <row r="809" spans="1:24" s="6" customFormat="1" ht="15.75">
      <c r="A809" s="55">
        <v>62</v>
      </c>
      <c r="B809" s="55" t="s">
        <v>821</v>
      </c>
      <c r="C809" s="8">
        <v>1331.77</v>
      </c>
      <c r="D809" s="55"/>
      <c r="E809" s="55"/>
      <c r="F809" s="611">
        <f t="shared" si="30"/>
        <v>1331.77</v>
      </c>
      <c r="G809" s="55">
        <v>125</v>
      </c>
      <c r="H809" s="55">
        <v>3.5000000000000003E-2</v>
      </c>
      <c r="I809" s="164">
        <f t="shared" si="29"/>
        <v>3.2851017818392066E-3</v>
      </c>
      <c r="J809" s="128"/>
      <c r="K809" s="128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</row>
    <row r="810" spans="1:24" s="6" customFormat="1" ht="15.75">
      <c r="A810" s="55">
        <v>63</v>
      </c>
      <c r="B810" s="55" t="s">
        <v>822</v>
      </c>
      <c r="C810" s="8">
        <v>483.9</v>
      </c>
      <c r="D810" s="55"/>
      <c r="E810" s="55"/>
      <c r="F810" s="611">
        <f t="shared" si="30"/>
        <v>483.9</v>
      </c>
      <c r="G810" s="55">
        <v>30</v>
      </c>
      <c r="H810" s="55">
        <v>3.5000000000000003E-2</v>
      </c>
      <c r="I810" s="164">
        <f t="shared" si="29"/>
        <v>2.1698698078115317E-3</v>
      </c>
      <c r="J810" s="128"/>
      <c r="K810" s="128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</row>
    <row r="811" spans="1:24" s="6" customFormat="1" ht="15.75">
      <c r="A811" s="55">
        <v>64</v>
      </c>
      <c r="B811" s="55" t="s">
        <v>823</v>
      </c>
      <c r="C811" s="8">
        <v>665.8</v>
      </c>
      <c r="D811" s="55"/>
      <c r="E811" s="55"/>
      <c r="F811" s="611">
        <f t="shared" si="30"/>
        <v>665.8</v>
      </c>
      <c r="G811" s="55">
        <v>65</v>
      </c>
      <c r="H811" s="55">
        <v>3.5000000000000003E-2</v>
      </c>
      <c r="I811" s="164">
        <f t="shared" si="29"/>
        <v>3.4169420246320222E-3</v>
      </c>
      <c r="J811" s="128"/>
      <c r="K811" s="128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</row>
    <row r="812" spans="1:24" s="6" customFormat="1" ht="15.75">
      <c r="A812" s="55">
        <v>65</v>
      </c>
      <c r="B812" s="55" t="s">
        <v>824</v>
      </c>
      <c r="C812" s="8">
        <v>59.2</v>
      </c>
      <c r="D812" s="55"/>
      <c r="E812" s="55"/>
      <c r="F812" s="611">
        <f t="shared" si="30"/>
        <v>59.2</v>
      </c>
      <c r="G812" s="55"/>
      <c r="H812" s="55">
        <v>3.5000000000000003E-2</v>
      </c>
      <c r="I812" s="164">
        <f t="shared" ref="I812:I873" si="31">G812*H812/F812</f>
        <v>0</v>
      </c>
      <c r="J812" s="128"/>
      <c r="K812" s="128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</row>
    <row r="813" spans="1:24" s="6" customFormat="1" ht="15.75">
      <c r="A813" s="55">
        <v>66</v>
      </c>
      <c r="B813" s="55" t="s">
        <v>825</v>
      </c>
      <c r="C813" s="8">
        <v>363.78</v>
      </c>
      <c r="D813" s="55"/>
      <c r="E813" s="55">
        <v>58</v>
      </c>
      <c r="F813" s="611">
        <f t="shared" si="30"/>
        <v>421.78</v>
      </c>
      <c r="G813" s="55"/>
      <c r="H813" s="55">
        <v>3.5000000000000003E-2</v>
      </c>
      <c r="I813" s="164">
        <f t="shared" si="31"/>
        <v>0</v>
      </c>
      <c r="J813" s="128"/>
      <c r="K813" s="128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</row>
    <row r="814" spans="1:24" s="6" customFormat="1" ht="15.75">
      <c r="A814" s="55">
        <v>67</v>
      </c>
      <c r="B814" s="55" t="s">
        <v>826</v>
      </c>
      <c r="C814" s="8">
        <v>185.8</v>
      </c>
      <c r="D814" s="55"/>
      <c r="E814" s="55">
        <v>26.8</v>
      </c>
      <c r="F814" s="611">
        <f t="shared" si="30"/>
        <v>212.60000000000002</v>
      </c>
      <c r="G814" s="55">
        <v>32</v>
      </c>
      <c r="H814" s="55">
        <v>3.5000000000000003E-2</v>
      </c>
      <c r="I814" s="164">
        <f t="shared" si="31"/>
        <v>5.2681091251175916E-3</v>
      </c>
      <c r="J814" s="128"/>
      <c r="K814" s="128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</row>
    <row r="815" spans="1:24" s="6" customFormat="1" ht="15.75">
      <c r="A815" s="55">
        <v>68</v>
      </c>
      <c r="B815" s="56" t="s">
        <v>827</v>
      </c>
      <c r="C815" s="8">
        <v>205.2</v>
      </c>
      <c r="D815" s="55"/>
      <c r="E815" s="56"/>
      <c r="F815" s="611">
        <f t="shared" si="30"/>
        <v>205.2</v>
      </c>
      <c r="G815" s="55">
        <v>32</v>
      </c>
      <c r="H815" s="55">
        <v>3.5000000000000003E-2</v>
      </c>
      <c r="I815" s="164">
        <f t="shared" si="31"/>
        <v>5.4580896686159848E-3</v>
      </c>
      <c r="J815" s="128"/>
      <c r="K815" s="128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</row>
    <row r="816" spans="1:24" s="6" customFormat="1" ht="15.75">
      <c r="A816" s="55">
        <v>69</v>
      </c>
      <c r="B816" s="55" t="s">
        <v>828</v>
      </c>
      <c r="C816" s="8">
        <v>177.45</v>
      </c>
      <c r="D816" s="55"/>
      <c r="E816" s="55"/>
      <c r="F816" s="611">
        <f t="shared" si="30"/>
        <v>177.45</v>
      </c>
      <c r="G816" s="55">
        <v>57</v>
      </c>
      <c r="H816" s="55">
        <v>3.5000000000000003E-2</v>
      </c>
      <c r="I816" s="164">
        <f t="shared" si="31"/>
        <v>1.124260355029586E-2</v>
      </c>
      <c r="J816" s="128"/>
      <c r="K816" s="128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</row>
    <row r="817" spans="1:24" s="6" customFormat="1" ht="15.75">
      <c r="A817" s="55">
        <v>70</v>
      </c>
      <c r="B817" s="55" t="s">
        <v>829</v>
      </c>
      <c r="C817" s="8">
        <v>200</v>
      </c>
      <c r="D817" s="55"/>
      <c r="E817" s="55"/>
      <c r="F817" s="611">
        <f t="shared" si="30"/>
        <v>200</v>
      </c>
      <c r="G817" s="55">
        <v>18</v>
      </c>
      <c r="H817" s="55">
        <v>3.5000000000000003E-2</v>
      </c>
      <c r="I817" s="164">
        <f t="shared" si="31"/>
        <v>3.1500000000000005E-3</v>
      </c>
      <c r="J817" s="128"/>
      <c r="K817" s="128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</row>
    <row r="818" spans="1:24" s="6" customFormat="1" ht="15.75">
      <c r="A818" s="55">
        <v>71</v>
      </c>
      <c r="B818" s="55" t="s">
        <v>830</v>
      </c>
      <c r="C818" s="8">
        <v>401.38</v>
      </c>
      <c r="D818" s="55"/>
      <c r="E818" s="55">
        <v>140.80000000000001</v>
      </c>
      <c r="F818" s="611">
        <f t="shared" si="30"/>
        <v>542.18000000000006</v>
      </c>
      <c r="G818" s="55">
        <v>97</v>
      </c>
      <c r="H818" s="55">
        <v>3.5000000000000003E-2</v>
      </c>
      <c r="I818" s="164">
        <f t="shared" si="31"/>
        <v>6.2617580877199451E-3</v>
      </c>
      <c r="J818" s="128"/>
      <c r="K818" s="128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</row>
    <row r="819" spans="1:24" s="6" customFormat="1" ht="15.75">
      <c r="A819" s="55">
        <v>72</v>
      </c>
      <c r="B819" s="55" t="s">
        <v>831</v>
      </c>
      <c r="C819" s="8">
        <v>204.3</v>
      </c>
      <c r="D819" s="55"/>
      <c r="E819" s="55"/>
      <c r="F819" s="611">
        <f t="shared" si="30"/>
        <v>204.3</v>
      </c>
      <c r="G819" s="55">
        <v>12</v>
      </c>
      <c r="H819" s="55">
        <v>3.5000000000000003E-2</v>
      </c>
      <c r="I819" s="164">
        <f t="shared" si="31"/>
        <v>2.0558002936857563E-3</v>
      </c>
      <c r="J819" s="128"/>
      <c r="K819" s="128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</row>
    <row r="820" spans="1:24" s="6" customFormat="1" ht="15.75">
      <c r="A820" s="55">
        <v>73</v>
      </c>
      <c r="B820" s="55" t="s">
        <v>832</v>
      </c>
      <c r="C820" s="8">
        <v>306.39999999999998</v>
      </c>
      <c r="D820" s="55"/>
      <c r="E820" s="55"/>
      <c r="F820" s="611">
        <f t="shared" si="30"/>
        <v>306.39999999999998</v>
      </c>
      <c r="G820" s="55">
        <v>55</v>
      </c>
      <c r="H820" s="55">
        <v>3.5000000000000003E-2</v>
      </c>
      <c r="I820" s="164">
        <f t="shared" si="31"/>
        <v>6.2826370757180167E-3</v>
      </c>
      <c r="J820" s="128"/>
      <c r="K820" s="128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</row>
    <row r="821" spans="1:24" s="6" customFormat="1" ht="15.75">
      <c r="A821" s="55">
        <v>74</v>
      </c>
      <c r="B821" s="55" t="s">
        <v>878</v>
      </c>
      <c r="C821" s="8">
        <v>301.42</v>
      </c>
      <c r="D821" s="55"/>
      <c r="E821" s="55"/>
      <c r="F821" s="611">
        <f t="shared" si="30"/>
        <v>301.42</v>
      </c>
      <c r="G821" s="55">
        <v>40</v>
      </c>
      <c r="H821" s="55">
        <v>3.5000000000000003E-2</v>
      </c>
      <c r="I821" s="164">
        <f t="shared" si="31"/>
        <v>4.6446818392940088E-3</v>
      </c>
      <c r="J821" s="128"/>
      <c r="K821" s="128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</row>
    <row r="822" spans="1:24" s="6" customFormat="1" ht="15.75">
      <c r="A822" s="55">
        <v>75</v>
      </c>
      <c r="B822" s="55" t="s">
        <v>879</v>
      </c>
      <c r="C822" s="8">
        <v>394.72</v>
      </c>
      <c r="D822" s="55"/>
      <c r="E822" s="55"/>
      <c r="F822" s="611">
        <f t="shared" si="30"/>
        <v>394.72</v>
      </c>
      <c r="G822" s="55">
        <v>33</v>
      </c>
      <c r="H822" s="55">
        <v>3.5000000000000003E-2</v>
      </c>
      <c r="I822" s="164">
        <f t="shared" si="31"/>
        <v>2.9261248479935144E-3</v>
      </c>
      <c r="J822" s="128"/>
      <c r="K822" s="128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</row>
    <row r="823" spans="1:24" s="6" customFormat="1" ht="15.75">
      <c r="A823" s="55">
        <v>76</v>
      </c>
      <c r="B823" s="55" t="s">
        <v>880</v>
      </c>
      <c r="C823" s="8">
        <v>680.89</v>
      </c>
      <c r="D823" s="55"/>
      <c r="E823" s="55"/>
      <c r="F823" s="611">
        <f t="shared" si="30"/>
        <v>680.89</v>
      </c>
      <c r="G823" s="55">
        <v>51</v>
      </c>
      <c r="H823" s="55">
        <v>3.5000000000000003E-2</v>
      </c>
      <c r="I823" s="164">
        <f t="shared" si="31"/>
        <v>2.6215688290325899E-3</v>
      </c>
      <c r="J823" s="128"/>
      <c r="K823" s="128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</row>
    <row r="824" spans="1:24" s="6" customFormat="1" ht="15.75">
      <c r="A824" s="55">
        <v>77</v>
      </c>
      <c r="B824" s="55" t="s">
        <v>881</v>
      </c>
      <c r="C824" s="8">
        <v>581.98</v>
      </c>
      <c r="D824" s="55"/>
      <c r="E824" s="55"/>
      <c r="F824" s="611">
        <f t="shared" si="30"/>
        <v>581.98</v>
      </c>
      <c r="G824" s="55">
        <v>40</v>
      </c>
      <c r="H824" s="55">
        <v>3.5000000000000003E-2</v>
      </c>
      <c r="I824" s="164">
        <f t="shared" si="31"/>
        <v>2.4055809477988937E-3</v>
      </c>
      <c r="J824" s="128"/>
      <c r="K824" s="128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</row>
    <row r="825" spans="1:24" s="6" customFormat="1" ht="15.75">
      <c r="A825" s="55">
        <v>78</v>
      </c>
      <c r="B825" s="55" t="s">
        <v>882</v>
      </c>
      <c r="C825" s="8">
        <v>260.39999999999998</v>
      </c>
      <c r="D825" s="55"/>
      <c r="E825" s="55"/>
      <c r="F825" s="611">
        <f t="shared" si="30"/>
        <v>260.39999999999998</v>
      </c>
      <c r="G825" s="55">
        <v>46</v>
      </c>
      <c r="H825" s="55">
        <v>3.5000000000000003E-2</v>
      </c>
      <c r="I825" s="164">
        <f t="shared" si="31"/>
        <v>6.1827956989247319E-3</v>
      </c>
      <c r="J825" s="128"/>
      <c r="K825" s="128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</row>
    <row r="826" spans="1:24" s="6" customFormat="1" ht="15.75">
      <c r="A826" s="55">
        <v>79</v>
      </c>
      <c r="B826" s="55" t="s">
        <v>883</v>
      </c>
      <c r="C826" s="8">
        <v>135.71</v>
      </c>
      <c r="D826" s="55"/>
      <c r="E826" s="55"/>
      <c r="F826" s="611">
        <f t="shared" si="30"/>
        <v>135.71</v>
      </c>
      <c r="G826" s="55">
        <v>11</v>
      </c>
      <c r="H826" s="55">
        <v>3.5000000000000003E-2</v>
      </c>
      <c r="I826" s="164">
        <f t="shared" si="31"/>
        <v>2.8369316925797657E-3</v>
      </c>
      <c r="J826" s="128"/>
      <c r="K826" s="128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</row>
    <row r="827" spans="1:24" s="6" customFormat="1" ht="15.75">
      <c r="A827" s="55">
        <v>80</v>
      </c>
      <c r="B827" s="55" t="s">
        <v>884</v>
      </c>
      <c r="C827" s="8">
        <v>201.8</v>
      </c>
      <c r="D827" s="55"/>
      <c r="E827" s="55"/>
      <c r="F827" s="611">
        <f t="shared" si="30"/>
        <v>201.8</v>
      </c>
      <c r="G827" s="55">
        <v>12</v>
      </c>
      <c r="H827" s="55">
        <v>3.5000000000000003E-2</v>
      </c>
      <c r="I827" s="164">
        <f t="shared" si="31"/>
        <v>2.0812685827552033E-3</v>
      </c>
      <c r="J827" s="128"/>
      <c r="K827" s="128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</row>
    <row r="828" spans="1:24" s="6" customFormat="1" ht="15.75">
      <c r="A828" s="55">
        <v>81</v>
      </c>
      <c r="B828" s="55" t="s">
        <v>885</v>
      </c>
      <c r="C828" s="8">
        <v>1437.1</v>
      </c>
      <c r="D828" s="55"/>
      <c r="E828" s="55"/>
      <c r="F828" s="611">
        <f t="shared" si="30"/>
        <v>1437.1</v>
      </c>
      <c r="G828" s="55"/>
      <c r="H828" s="55">
        <v>3.5000000000000003E-2</v>
      </c>
      <c r="I828" s="164">
        <f t="shared" si="31"/>
        <v>0</v>
      </c>
      <c r="J828" s="128"/>
      <c r="K828" s="128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</row>
    <row r="829" spans="1:24" s="6" customFormat="1" ht="15.75">
      <c r="A829" s="55">
        <v>82</v>
      </c>
      <c r="B829" s="55" t="s">
        <v>886</v>
      </c>
      <c r="C829" s="8">
        <v>197.86</v>
      </c>
      <c r="D829" s="55"/>
      <c r="E829" s="55">
        <v>16</v>
      </c>
      <c r="F829" s="611">
        <f t="shared" si="30"/>
        <v>213.86</v>
      </c>
      <c r="G829" s="55">
        <v>30</v>
      </c>
      <c r="H829" s="55">
        <v>3.5000000000000003E-2</v>
      </c>
      <c r="I829" s="164">
        <f t="shared" si="31"/>
        <v>4.9097540447021418E-3</v>
      </c>
      <c r="J829" s="128"/>
      <c r="K829" s="128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</row>
    <row r="830" spans="1:24" s="6" customFormat="1" ht="15.75">
      <c r="A830" s="55">
        <v>83</v>
      </c>
      <c r="B830" s="55" t="s">
        <v>887</v>
      </c>
      <c r="C830" s="8">
        <v>397.89</v>
      </c>
      <c r="D830" s="55"/>
      <c r="E830" s="55"/>
      <c r="F830" s="611">
        <f t="shared" si="30"/>
        <v>397.89</v>
      </c>
      <c r="G830" s="55">
        <v>30</v>
      </c>
      <c r="H830" s="55">
        <v>3.5000000000000003E-2</v>
      </c>
      <c r="I830" s="164">
        <f t="shared" si="31"/>
        <v>2.638920304606801E-3</v>
      </c>
      <c r="J830" s="128"/>
      <c r="K830" s="128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</row>
    <row r="831" spans="1:24" s="6" customFormat="1" ht="15.75">
      <c r="A831" s="55">
        <v>84</v>
      </c>
      <c r="B831" s="55" t="s">
        <v>888</v>
      </c>
      <c r="C831" s="8">
        <v>352.17</v>
      </c>
      <c r="D831" s="55"/>
      <c r="E831" s="55"/>
      <c r="F831" s="611">
        <f t="shared" si="30"/>
        <v>352.17</v>
      </c>
      <c r="G831" s="55">
        <v>31</v>
      </c>
      <c r="H831" s="55">
        <v>3.5000000000000003E-2</v>
      </c>
      <c r="I831" s="164">
        <f t="shared" si="31"/>
        <v>3.0808984297356393E-3</v>
      </c>
      <c r="J831" s="128"/>
      <c r="K831" s="128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</row>
    <row r="832" spans="1:24" s="6" customFormat="1" ht="15.75">
      <c r="A832" s="55">
        <v>85</v>
      </c>
      <c r="B832" s="55" t="s">
        <v>889</v>
      </c>
      <c r="C832" s="8">
        <v>653.07000000000005</v>
      </c>
      <c r="D832" s="55"/>
      <c r="E832" s="55"/>
      <c r="F832" s="611">
        <f t="shared" si="30"/>
        <v>653.07000000000005</v>
      </c>
      <c r="G832" s="55">
        <v>63</v>
      </c>
      <c r="H832" s="55">
        <v>3.5000000000000003E-2</v>
      </c>
      <c r="I832" s="164">
        <f t="shared" si="31"/>
        <v>3.376360880150673E-3</v>
      </c>
      <c r="J832" s="128"/>
      <c r="K832" s="128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</row>
    <row r="833" spans="1:24" s="6" customFormat="1" ht="15.75">
      <c r="A833" s="55">
        <v>87</v>
      </c>
      <c r="B833" s="55" t="s">
        <v>916</v>
      </c>
      <c r="C833" s="17">
        <v>786.94</v>
      </c>
      <c r="D833" s="55"/>
      <c r="E833" s="55"/>
      <c r="F833" s="611">
        <f t="shared" si="30"/>
        <v>786.94</v>
      </c>
      <c r="G833" s="55">
        <v>132</v>
      </c>
      <c r="H833" s="55">
        <v>3.5000000000000003E-2</v>
      </c>
      <c r="I833" s="164">
        <f t="shared" si="31"/>
        <v>5.8708414872798431E-3</v>
      </c>
      <c r="J833" s="128"/>
      <c r="K833" s="128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</row>
    <row r="834" spans="1:24" s="6" customFormat="1" ht="15.75">
      <c r="A834" s="55">
        <v>89</v>
      </c>
      <c r="B834" s="55" t="s">
        <v>918</v>
      </c>
      <c r="C834" s="8">
        <v>3273.28</v>
      </c>
      <c r="D834" s="55"/>
      <c r="E834" s="55">
        <v>69.5</v>
      </c>
      <c r="F834" s="611">
        <f t="shared" si="30"/>
        <v>3342.78</v>
      </c>
      <c r="G834" s="55">
        <v>145</v>
      </c>
      <c r="H834" s="55">
        <v>3.5000000000000003E-2</v>
      </c>
      <c r="I834" s="164">
        <f t="shared" si="31"/>
        <v>1.5181974284876659E-3</v>
      </c>
      <c r="J834" s="128"/>
      <c r="K834" s="128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</row>
    <row r="835" spans="1:24" s="6" customFormat="1" ht="15.75">
      <c r="A835" s="55">
        <v>90</v>
      </c>
      <c r="B835" s="55" t="s">
        <v>921</v>
      </c>
      <c r="C835" s="8">
        <v>139.80000000000001</v>
      </c>
      <c r="D835" s="55"/>
      <c r="E835" s="55"/>
      <c r="F835" s="611">
        <f t="shared" si="30"/>
        <v>139.80000000000001</v>
      </c>
      <c r="G835" s="55"/>
      <c r="H835" s="55">
        <v>3.5000000000000003E-2</v>
      </c>
      <c r="I835" s="164">
        <f t="shared" si="31"/>
        <v>0</v>
      </c>
      <c r="J835" s="128"/>
      <c r="K835" s="128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</row>
    <row r="836" spans="1:24" s="6" customFormat="1" ht="15.75">
      <c r="A836" s="55">
        <v>91</v>
      </c>
      <c r="B836" s="55" t="s">
        <v>922</v>
      </c>
      <c r="C836" s="8">
        <v>2876.7</v>
      </c>
      <c r="D836" s="55"/>
      <c r="E836" s="55">
        <v>258.60000000000002</v>
      </c>
      <c r="F836" s="611">
        <f t="shared" si="30"/>
        <v>3135.2999999999997</v>
      </c>
      <c r="G836" s="55">
        <v>210</v>
      </c>
      <c r="H836" s="55">
        <v>3.5000000000000003E-2</v>
      </c>
      <c r="I836" s="164">
        <f t="shared" si="31"/>
        <v>2.3442732752846623E-3</v>
      </c>
      <c r="J836" s="128"/>
      <c r="K836" s="128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</row>
    <row r="837" spans="1:24" s="6" customFormat="1" ht="15.75">
      <c r="A837" s="55">
        <v>92</v>
      </c>
      <c r="B837" s="55" t="s">
        <v>923</v>
      </c>
      <c r="C837" s="8">
        <v>230.5</v>
      </c>
      <c r="D837" s="55"/>
      <c r="E837" s="55"/>
      <c r="F837" s="611">
        <f t="shared" ref="F837:F903" si="32">C837+D837+E837</f>
        <v>230.5</v>
      </c>
      <c r="G837" s="55">
        <v>47</v>
      </c>
      <c r="H837" s="55">
        <v>3.5000000000000003E-2</v>
      </c>
      <c r="I837" s="164">
        <f t="shared" si="31"/>
        <v>7.136659436008678E-3</v>
      </c>
      <c r="J837" s="128"/>
      <c r="K837" s="128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</row>
    <row r="838" spans="1:24" s="6" customFormat="1" ht="15.75">
      <c r="A838" s="55">
        <v>93</v>
      </c>
      <c r="B838" s="55" t="s">
        <v>924</v>
      </c>
      <c r="C838" s="8">
        <v>65.900000000000006</v>
      </c>
      <c r="D838" s="55"/>
      <c r="E838" s="55"/>
      <c r="F838" s="611">
        <f t="shared" si="32"/>
        <v>65.900000000000006</v>
      </c>
      <c r="G838" s="55"/>
      <c r="H838" s="55">
        <v>3.5000000000000003E-2</v>
      </c>
      <c r="I838" s="164">
        <f t="shared" si="31"/>
        <v>0</v>
      </c>
      <c r="J838" s="128"/>
      <c r="K838" s="128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</row>
    <row r="839" spans="1:24" s="6" customFormat="1" ht="15.75">
      <c r="A839" s="55">
        <v>94</v>
      </c>
      <c r="B839" s="55" t="s">
        <v>16</v>
      </c>
      <c r="C839" s="8">
        <v>75.900000000000006</v>
      </c>
      <c r="D839" s="55"/>
      <c r="E839" s="55"/>
      <c r="F839" s="611">
        <f t="shared" si="32"/>
        <v>75.900000000000006</v>
      </c>
      <c r="G839" s="55"/>
      <c r="H839" s="55">
        <v>3.5000000000000003E-2</v>
      </c>
      <c r="I839" s="164">
        <f t="shared" si="31"/>
        <v>0</v>
      </c>
      <c r="J839" s="128"/>
      <c r="K839" s="128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</row>
    <row r="840" spans="1:24" s="6" customFormat="1" ht="15.75">
      <c r="A840" s="55">
        <v>95</v>
      </c>
      <c r="B840" s="55" t="s">
        <v>17</v>
      </c>
      <c r="C840" s="8">
        <v>115.8</v>
      </c>
      <c r="D840" s="55"/>
      <c r="E840" s="55"/>
      <c r="F840" s="611">
        <f t="shared" si="32"/>
        <v>115.8</v>
      </c>
      <c r="G840" s="55">
        <v>10</v>
      </c>
      <c r="H840" s="55">
        <v>3.5000000000000003E-2</v>
      </c>
      <c r="I840" s="164">
        <f t="shared" si="31"/>
        <v>3.0224525043177895E-3</v>
      </c>
      <c r="J840" s="128"/>
      <c r="K840" s="128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</row>
    <row r="841" spans="1:24" s="6" customFormat="1" ht="15.75">
      <c r="A841" s="55">
        <v>96</v>
      </c>
      <c r="B841" s="55" t="s">
        <v>18</v>
      </c>
      <c r="C841" s="8">
        <v>43.6</v>
      </c>
      <c r="D841" s="55"/>
      <c r="E841" s="55"/>
      <c r="F841" s="611">
        <f t="shared" si="32"/>
        <v>43.6</v>
      </c>
      <c r="G841" s="55"/>
      <c r="H841" s="55">
        <v>3.5000000000000003E-2</v>
      </c>
      <c r="I841" s="164">
        <f t="shared" si="31"/>
        <v>0</v>
      </c>
      <c r="J841" s="128"/>
      <c r="K841" s="128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</row>
    <row r="842" spans="1:24" s="6" customFormat="1" ht="15.75">
      <c r="A842" s="55">
        <v>97</v>
      </c>
      <c r="B842" s="55" t="s">
        <v>19</v>
      </c>
      <c r="C842" s="8">
        <v>229.9</v>
      </c>
      <c r="D842" s="55"/>
      <c r="E842" s="55"/>
      <c r="F842" s="611">
        <f t="shared" si="32"/>
        <v>229.9</v>
      </c>
      <c r="G842" s="55">
        <v>33</v>
      </c>
      <c r="H842" s="55">
        <v>3.5000000000000003E-2</v>
      </c>
      <c r="I842" s="164">
        <f t="shared" si="31"/>
        <v>5.0239234449760764E-3</v>
      </c>
      <c r="J842" s="128"/>
      <c r="K842" s="128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</row>
    <row r="843" spans="1:24" s="6" customFormat="1" ht="15.75">
      <c r="A843" s="55">
        <v>98</v>
      </c>
      <c r="B843" s="55" t="s">
        <v>20</v>
      </c>
      <c r="C843" s="8">
        <v>274.3</v>
      </c>
      <c r="D843" s="55"/>
      <c r="E843" s="55"/>
      <c r="F843" s="611">
        <f t="shared" si="32"/>
        <v>274.3</v>
      </c>
      <c r="G843" s="55"/>
      <c r="H843" s="55">
        <v>3.5000000000000003E-2</v>
      </c>
      <c r="I843" s="164">
        <f t="shared" si="31"/>
        <v>0</v>
      </c>
      <c r="J843" s="128"/>
      <c r="K843" s="128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</row>
    <row r="844" spans="1:24" s="6" customFormat="1" ht="15.75">
      <c r="A844" s="55">
        <v>99</v>
      </c>
      <c r="B844" s="55" t="s">
        <v>21</v>
      </c>
      <c r="C844" s="8">
        <v>282</v>
      </c>
      <c r="D844" s="55"/>
      <c r="E844" s="55"/>
      <c r="F844" s="611">
        <f t="shared" si="32"/>
        <v>282</v>
      </c>
      <c r="G844" s="55">
        <v>11</v>
      </c>
      <c r="H844" s="55">
        <v>3.5000000000000003E-2</v>
      </c>
      <c r="I844" s="164">
        <f t="shared" si="31"/>
        <v>1.3652482269503547E-3</v>
      </c>
      <c r="J844" s="128"/>
      <c r="K844" s="128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</row>
    <row r="845" spans="1:24" s="6" customFormat="1" ht="15.75">
      <c r="A845" s="55">
        <v>100</v>
      </c>
      <c r="B845" s="55" t="s">
        <v>22</v>
      </c>
      <c r="C845" s="8">
        <v>181.2</v>
      </c>
      <c r="D845" s="55"/>
      <c r="E845" s="55"/>
      <c r="F845" s="611">
        <f t="shared" si="32"/>
        <v>181.2</v>
      </c>
      <c r="G845" s="55"/>
      <c r="H845" s="55">
        <v>3.5000000000000003E-2</v>
      </c>
      <c r="I845" s="164">
        <f t="shared" si="31"/>
        <v>0</v>
      </c>
      <c r="J845" s="128"/>
      <c r="K845" s="128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</row>
    <row r="846" spans="1:24" s="6" customFormat="1" ht="15.75">
      <c r="A846" s="55">
        <v>101</v>
      </c>
      <c r="B846" s="55" t="s">
        <v>23</v>
      </c>
      <c r="C846" s="8">
        <v>171</v>
      </c>
      <c r="D846" s="55"/>
      <c r="E846" s="55"/>
      <c r="F846" s="611">
        <f t="shared" si="32"/>
        <v>171</v>
      </c>
      <c r="G846" s="55"/>
      <c r="H846" s="55">
        <v>3.5000000000000003E-2</v>
      </c>
      <c r="I846" s="164">
        <f t="shared" si="31"/>
        <v>0</v>
      </c>
      <c r="J846" s="128"/>
      <c r="K846" s="128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</row>
    <row r="847" spans="1:24" s="6" customFormat="1" ht="15.75">
      <c r="A847" s="55">
        <v>102</v>
      </c>
      <c r="B847" s="55" t="s">
        <v>24</v>
      </c>
      <c r="C847" s="8">
        <v>160.5</v>
      </c>
      <c r="D847" s="55"/>
      <c r="E847" s="55"/>
      <c r="F847" s="611">
        <f t="shared" si="32"/>
        <v>160.5</v>
      </c>
      <c r="G847" s="55"/>
      <c r="H847" s="55">
        <v>3.5000000000000003E-2</v>
      </c>
      <c r="I847" s="164">
        <f t="shared" si="31"/>
        <v>0</v>
      </c>
      <c r="J847" s="128"/>
      <c r="K847" s="128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</row>
    <row r="848" spans="1:24" s="6" customFormat="1" ht="15.75">
      <c r="A848" s="55">
        <v>103</v>
      </c>
      <c r="B848" s="55" t="s">
        <v>25</v>
      </c>
      <c r="C848" s="8">
        <v>165.6</v>
      </c>
      <c r="D848" s="55"/>
      <c r="E848" s="55"/>
      <c r="F848" s="611">
        <f t="shared" si="32"/>
        <v>165.6</v>
      </c>
      <c r="G848" s="55"/>
      <c r="H848" s="55">
        <v>3.5000000000000003E-2</v>
      </c>
      <c r="I848" s="164">
        <f t="shared" si="31"/>
        <v>0</v>
      </c>
      <c r="J848" s="128"/>
      <c r="K848" s="128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</row>
    <row r="849" spans="1:24" s="6" customFormat="1" ht="15.75">
      <c r="A849" s="55">
        <v>104</v>
      </c>
      <c r="B849" s="55" t="s">
        <v>26</v>
      </c>
      <c r="C849" s="8">
        <v>158.6</v>
      </c>
      <c r="D849" s="55"/>
      <c r="E849" s="55"/>
      <c r="F849" s="611">
        <f t="shared" si="32"/>
        <v>158.6</v>
      </c>
      <c r="G849" s="55"/>
      <c r="H849" s="55">
        <v>3.5000000000000003E-2</v>
      </c>
      <c r="I849" s="164">
        <f t="shared" si="31"/>
        <v>0</v>
      </c>
      <c r="J849" s="128"/>
      <c r="K849" s="128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</row>
    <row r="850" spans="1:24" s="6" customFormat="1" ht="15.75">
      <c r="A850" s="55">
        <v>105</v>
      </c>
      <c r="B850" s="55" t="s">
        <v>27</v>
      </c>
      <c r="C850" s="8">
        <v>414.61</v>
      </c>
      <c r="D850" s="55"/>
      <c r="E850" s="55"/>
      <c r="F850" s="611">
        <f t="shared" si="32"/>
        <v>414.61</v>
      </c>
      <c r="G850" s="55">
        <v>33</v>
      </c>
      <c r="H850" s="55">
        <v>3.5000000000000003E-2</v>
      </c>
      <c r="I850" s="164">
        <f t="shared" si="31"/>
        <v>2.785750464291744E-3</v>
      </c>
      <c r="J850" s="128"/>
      <c r="K850" s="128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</row>
    <row r="851" spans="1:24" s="6" customFormat="1" ht="15.75">
      <c r="A851" s="55">
        <v>106</v>
      </c>
      <c r="B851" s="55" t="s">
        <v>28</v>
      </c>
      <c r="C851" s="8">
        <v>148.1</v>
      </c>
      <c r="D851" s="55"/>
      <c r="E851" s="55"/>
      <c r="F851" s="611">
        <f t="shared" si="32"/>
        <v>148.1</v>
      </c>
      <c r="G851" s="55"/>
      <c r="H851" s="55">
        <v>3.5000000000000003E-2</v>
      </c>
      <c r="I851" s="164">
        <f t="shared" si="31"/>
        <v>0</v>
      </c>
      <c r="J851" s="128"/>
      <c r="K851" s="128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</row>
    <row r="852" spans="1:24" s="6" customFormat="1" ht="15.75">
      <c r="A852" s="55">
        <v>107</v>
      </c>
      <c r="B852" s="55" t="s">
        <v>29</v>
      </c>
      <c r="C852" s="8">
        <v>27.8</v>
      </c>
      <c r="D852" s="55"/>
      <c r="E852" s="55"/>
      <c r="F852" s="611">
        <f t="shared" si="32"/>
        <v>27.8</v>
      </c>
      <c r="G852" s="55"/>
      <c r="H852" s="55">
        <v>3.5000000000000003E-2</v>
      </c>
      <c r="I852" s="164">
        <f t="shared" si="31"/>
        <v>0</v>
      </c>
      <c r="J852" s="128"/>
      <c r="K852" s="128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</row>
    <row r="853" spans="1:24" s="6" customFormat="1" ht="15.75">
      <c r="A853" s="55">
        <v>108</v>
      </c>
      <c r="B853" s="55" t="s">
        <v>30</v>
      </c>
      <c r="C853" s="8">
        <v>140.9</v>
      </c>
      <c r="D853" s="55"/>
      <c r="E853" s="55"/>
      <c r="F853" s="611">
        <f t="shared" si="32"/>
        <v>140.9</v>
      </c>
      <c r="G853" s="55"/>
      <c r="H853" s="55">
        <v>3.5000000000000003E-2</v>
      </c>
      <c r="I853" s="164">
        <f t="shared" si="31"/>
        <v>0</v>
      </c>
      <c r="J853" s="128"/>
      <c r="K853" s="128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</row>
    <row r="854" spans="1:24" s="6" customFormat="1" ht="15.75">
      <c r="A854" s="55">
        <v>109</v>
      </c>
      <c r="B854" s="55" t="s">
        <v>31</v>
      </c>
      <c r="C854" s="8">
        <v>66.599999999999994</v>
      </c>
      <c r="D854" s="55"/>
      <c r="E854" s="55"/>
      <c r="F854" s="611">
        <f t="shared" si="32"/>
        <v>66.599999999999994</v>
      </c>
      <c r="G854" s="55"/>
      <c r="H854" s="55">
        <v>3.5000000000000003E-2</v>
      </c>
      <c r="I854" s="164">
        <f t="shared" si="31"/>
        <v>0</v>
      </c>
      <c r="J854" s="128"/>
      <c r="K854" s="128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</row>
    <row r="855" spans="1:24" s="6" customFormat="1" ht="15.75">
      <c r="A855" s="55">
        <v>110</v>
      </c>
      <c r="B855" s="55" t="s">
        <v>32</v>
      </c>
      <c r="C855" s="8">
        <v>97.5</v>
      </c>
      <c r="D855" s="55"/>
      <c r="E855" s="55"/>
      <c r="F855" s="611">
        <f t="shared" si="32"/>
        <v>97.5</v>
      </c>
      <c r="G855" s="55"/>
      <c r="H855" s="55">
        <v>3.5000000000000003E-2</v>
      </c>
      <c r="I855" s="164">
        <f t="shared" si="31"/>
        <v>0</v>
      </c>
      <c r="J855" s="128"/>
      <c r="K855" s="128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</row>
    <row r="856" spans="1:24" s="6" customFormat="1" ht="15.75">
      <c r="A856" s="55">
        <v>111</v>
      </c>
      <c r="B856" s="55" t="s">
        <v>33</v>
      </c>
      <c r="C856" s="8">
        <v>522.6</v>
      </c>
      <c r="D856" s="55"/>
      <c r="E856" s="55"/>
      <c r="F856" s="611">
        <f t="shared" si="32"/>
        <v>522.6</v>
      </c>
      <c r="G856" s="55"/>
      <c r="H856" s="55">
        <v>3.5000000000000003E-2</v>
      </c>
      <c r="I856" s="164">
        <f t="shared" si="31"/>
        <v>0</v>
      </c>
      <c r="J856" s="128"/>
      <c r="K856" s="128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</row>
    <row r="857" spans="1:24" s="6" customFormat="1" ht="15.75">
      <c r="A857" s="55">
        <v>112</v>
      </c>
      <c r="B857" s="55" t="s">
        <v>34</v>
      </c>
      <c r="C857" s="8">
        <v>71.8</v>
      </c>
      <c r="D857" s="55"/>
      <c r="E857" s="55"/>
      <c r="F857" s="611">
        <f t="shared" si="32"/>
        <v>71.8</v>
      </c>
      <c r="G857" s="55"/>
      <c r="H857" s="55">
        <v>3.5000000000000003E-2</v>
      </c>
      <c r="I857" s="164">
        <f t="shared" si="31"/>
        <v>0</v>
      </c>
      <c r="J857" s="128"/>
      <c r="K857" s="128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</row>
    <row r="858" spans="1:24" s="6" customFormat="1" ht="15.75">
      <c r="A858" s="55">
        <v>113</v>
      </c>
      <c r="B858" s="55" t="s">
        <v>35</v>
      </c>
      <c r="C858" s="8">
        <v>199</v>
      </c>
      <c r="D858" s="55"/>
      <c r="E858" s="55"/>
      <c r="F858" s="611">
        <f t="shared" si="32"/>
        <v>199</v>
      </c>
      <c r="G858" s="55">
        <v>26</v>
      </c>
      <c r="H858" s="55">
        <v>3.5000000000000003E-2</v>
      </c>
      <c r="I858" s="164">
        <f t="shared" si="31"/>
        <v>4.5728643216080408E-3</v>
      </c>
      <c r="J858" s="128"/>
      <c r="K858" s="128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</row>
    <row r="859" spans="1:24" s="6" customFormat="1" ht="15.75">
      <c r="A859" s="55">
        <v>114</v>
      </c>
      <c r="B859" s="55" t="s">
        <v>36</v>
      </c>
      <c r="C859" s="8">
        <v>128.5</v>
      </c>
      <c r="D859" s="55"/>
      <c r="E859" s="55"/>
      <c r="F859" s="611">
        <f t="shared" si="32"/>
        <v>128.5</v>
      </c>
      <c r="G859" s="55"/>
      <c r="H859" s="55">
        <v>3.5000000000000003E-2</v>
      </c>
      <c r="I859" s="164">
        <f t="shared" si="31"/>
        <v>0</v>
      </c>
      <c r="J859" s="128"/>
      <c r="K859" s="128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</row>
    <row r="860" spans="1:24" s="6" customFormat="1" ht="15.75">
      <c r="A860" s="55">
        <v>115</v>
      </c>
      <c r="B860" s="55" t="s">
        <v>37</v>
      </c>
      <c r="C860" s="8">
        <v>43.4</v>
      </c>
      <c r="D860" s="55"/>
      <c r="E860" s="55"/>
      <c r="F860" s="611">
        <f t="shared" si="32"/>
        <v>43.4</v>
      </c>
      <c r="G860" s="55"/>
      <c r="H860" s="55">
        <v>3.5000000000000003E-2</v>
      </c>
      <c r="I860" s="164">
        <f t="shared" si="31"/>
        <v>0</v>
      </c>
      <c r="J860" s="128"/>
      <c r="K860" s="128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</row>
    <row r="861" spans="1:24" s="6" customFormat="1" ht="15.75">
      <c r="A861" s="55">
        <v>116</v>
      </c>
      <c r="B861" s="55" t="s">
        <v>38</v>
      </c>
      <c r="C861" s="8">
        <v>35.4</v>
      </c>
      <c r="D861" s="55"/>
      <c r="E861" s="55"/>
      <c r="F861" s="611">
        <f t="shared" si="32"/>
        <v>35.4</v>
      </c>
      <c r="G861" s="55"/>
      <c r="H861" s="55">
        <v>3.5000000000000003E-2</v>
      </c>
      <c r="I861" s="164">
        <f t="shared" si="31"/>
        <v>0</v>
      </c>
      <c r="J861" s="128"/>
      <c r="K861" s="128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</row>
    <row r="862" spans="1:24" s="6" customFormat="1" ht="15.75">
      <c r="A862" s="55">
        <v>117</v>
      </c>
      <c r="B862" s="55" t="s">
        <v>39</v>
      </c>
      <c r="C862" s="8">
        <v>407.14</v>
      </c>
      <c r="D862" s="55"/>
      <c r="E862" s="55"/>
      <c r="F862" s="611">
        <f t="shared" si="32"/>
        <v>407.14</v>
      </c>
      <c r="G862" s="55"/>
      <c r="H862" s="55">
        <v>3.5000000000000003E-2</v>
      </c>
      <c r="I862" s="164">
        <f t="shared" si="31"/>
        <v>0</v>
      </c>
      <c r="J862" s="128"/>
      <c r="K862" s="128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</row>
    <row r="863" spans="1:24" s="6" customFormat="1" ht="15.75">
      <c r="A863" s="55">
        <v>118</v>
      </c>
      <c r="B863" s="55" t="s">
        <v>40</v>
      </c>
      <c r="C863" s="8">
        <v>207.4</v>
      </c>
      <c r="D863" s="55"/>
      <c r="E863" s="55"/>
      <c r="F863" s="611">
        <f t="shared" si="32"/>
        <v>207.4</v>
      </c>
      <c r="G863" s="55">
        <v>23</v>
      </c>
      <c r="H863" s="55">
        <v>3.5000000000000003E-2</v>
      </c>
      <c r="I863" s="164">
        <f t="shared" si="31"/>
        <v>3.8813886210221794E-3</v>
      </c>
      <c r="J863" s="128"/>
      <c r="K863" s="128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</row>
    <row r="864" spans="1:24" s="6" customFormat="1" ht="15.75">
      <c r="A864" s="55">
        <v>119</v>
      </c>
      <c r="B864" s="55" t="s">
        <v>41</v>
      </c>
      <c r="C864" s="8">
        <v>388.5</v>
      </c>
      <c r="D864" s="55"/>
      <c r="E864" s="55">
        <v>230.8</v>
      </c>
      <c r="F864" s="611">
        <f t="shared" si="32"/>
        <v>619.29999999999995</v>
      </c>
      <c r="G864" s="55">
        <v>38</v>
      </c>
      <c r="H864" s="55">
        <v>3.5000000000000003E-2</v>
      </c>
      <c r="I864" s="149">
        <f t="shared" si="31"/>
        <v>2.1475859841756824E-3</v>
      </c>
      <c r="J864" s="128"/>
      <c r="K864" s="128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</row>
    <row r="865" spans="1:24" s="6" customFormat="1" ht="15.75">
      <c r="A865" s="55">
        <v>120</v>
      </c>
      <c r="B865" s="55" t="s">
        <v>42</v>
      </c>
      <c r="C865" s="8">
        <v>326.7</v>
      </c>
      <c r="D865" s="55"/>
      <c r="E865" s="55"/>
      <c r="F865" s="611">
        <f t="shared" si="32"/>
        <v>326.7</v>
      </c>
      <c r="G865" s="55">
        <v>20</v>
      </c>
      <c r="H865" s="55">
        <v>3.5000000000000003E-2</v>
      </c>
      <c r="I865" s="164">
        <f t="shared" si="31"/>
        <v>2.1426385062748702E-3</v>
      </c>
      <c r="J865" s="128"/>
      <c r="K865" s="128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</row>
    <row r="866" spans="1:24" s="6" customFormat="1" ht="15.75">
      <c r="A866" s="55">
        <v>121</v>
      </c>
      <c r="B866" s="55" t="s">
        <v>43</v>
      </c>
      <c r="C866" s="8">
        <v>485.4</v>
      </c>
      <c r="D866" s="55"/>
      <c r="E866" s="55"/>
      <c r="F866" s="611">
        <f t="shared" si="32"/>
        <v>485.4</v>
      </c>
      <c r="G866" s="55">
        <v>60</v>
      </c>
      <c r="H866" s="55">
        <v>3.5000000000000003E-2</v>
      </c>
      <c r="I866" s="164">
        <f t="shared" si="31"/>
        <v>4.3263288009888759E-3</v>
      </c>
      <c r="J866" s="128"/>
      <c r="K866" s="128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</row>
    <row r="867" spans="1:24" s="6" customFormat="1" ht="15.75">
      <c r="A867" s="55">
        <v>122</v>
      </c>
      <c r="B867" s="55" t="s">
        <v>44</v>
      </c>
      <c r="C867" s="8">
        <v>133.6</v>
      </c>
      <c r="D867" s="55"/>
      <c r="E867" s="55"/>
      <c r="F867" s="611">
        <f t="shared" si="32"/>
        <v>133.6</v>
      </c>
      <c r="G867" s="55"/>
      <c r="H867" s="55">
        <v>3.5000000000000003E-2</v>
      </c>
      <c r="I867" s="164">
        <f t="shared" si="31"/>
        <v>0</v>
      </c>
      <c r="J867" s="128"/>
      <c r="K867" s="128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</row>
    <row r="868" spans="1:24" s="6" customFormat="1" ht="15.75">
      <c r="A868" s="55">
        <v>123</v>
      </c>
      <c r="B868" s="55" t="s">
        <v>45</v>
      </c>
      <c r="C868" s="8">
        <v>562.28</v>
      </c>
      <c r="D868" s="55"/>
      <c r="E868" s="55"/>
      <c r="F868" s="611">
        <f t="shared" si="32"/>
        <v>562.28</v>
      </c>
      <c r="G868" s="55">
        <v>49</v>
      </c>
      <c r="H868" s="55">
        <v>3.5000000000000003E-2</v>
      </c>
      <c r="I868" s="164">
        <f t="shared" si="31"/>
        <v>3.0500818097744897E-3</v>
      </c>
      <c r="J868" s="128"/>
      <c r="K868" s="128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</row>
    <row r="869" spans="1:24" s="6" customFormat="1" ht="15.75">
      <c r="A869" s="55">
        <v>124</v>
      </c>
      <c r="B869" s="55" t="s">
        <v>46</v>
      </c>
      <c r="C869" s="8">
        <v>156.78</v>
      </c>
      <c r="D869" s="55"/>
      <c r="E869" s="55"/>
      <c r="F869" s="611">
        <f t="shared" si="32"/>
        <v>156.78</v>
      </c>
      <c r="G869" s="55">
        <v>15</v>
      </c>
      <c r="H869" s="55">
        <v>3.5000000000000003E-2</v>
      </c>
      <c r="I869" s="164">
        <f t="shared" si="31"/>
        <v>3.348641408342901E-3</v>
      </c>
      <c r="J869" s="128"/>
      <c r="K869" s="128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</row>
    <row r="870" spans="1:24" s="6" customFormat="1" ht="15.75">
      <c r="A870" s="55">
        <v>125</v>
      </c>
      <c r="B870" s="55" t="s">
        <v>47</v>
      </c>
      <c r="C870" s="8">
        <v>169.82</v>
      </c>
      <c r="D870" s="55"/>
      <c r="E870" s="55"/>
      <c r="F870" s="611">
        <f t="shared" si="32"/>
        <v>169.82</v>
      </c>
      <c r="G870" s="55">
        <v>18</v>
      </c>
      <c r="H870" s="55">
        <v>3.5000000000000003E-2</v>
      </c>
      <c r="I870" s="164">
        <f t="shared" si="31"/>
        <v>3.7098103874690859E-3</v>
      </c>
      <c r="J870" s="128"/>
      <c r="K870" s="128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</row>
    <row r="871" spans="1:24" s="6" customFormat="1" ht="15.75">
      <c r="A871" s="55">
        <v>126</v>
      </c>
      <c r="B871" s="55" t="s">
        <v>48</v>
      </c>
      <c r="C871" s="8">
        <v>263.20999999999998</v>
      </c>
      <c r="D871" s="55"/>
      <c r="E871" s="55"/>
      <c r="F871" s="611">
        <f t="shared" si="32"/>
        <v>263.20999999999998</v>
      </c>
      <c r="G871" s="55">
        <v>8</v>
      </c>
      <c r="H871" s="55">
        <v>3.5000000000000003E-2</v>
      </c>
      <c r="I871" s="164">
        <f t="shared" si="31"/>
        <v>1.0637893697047986E-3</v>
      </c>
      <c r="J871" s="128"/>
      <c r="K871" s="128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</row>
    <row r="872" spans="1:24" s="6" customFormat="1" ht="15.75">
      <c r="A872" s="55">
        <v>127</v>
      </c>
      <c r="B872" s="55" t="s">
        <v>49</v>
      </c>
      <c r="C872" s="32">
        <v>83.5</v>
      </c>
      <c r="D872" s="55"/>
      <c r="E872" s="55"/>
      <c r="F872" s="611">
        <f t="shared" si="32"/>
        <v>83.5</v>
      </c>
      <c r="G872" s="55"/>
      <c r="H872" s="55">
        <v>3.5000000000000003E-2</v>
      </c>
      <c r="I872" s="164">
        <f t="shared" si="31"/>
        <v>0</v>
      </c>
      <c r="J872" s="128"/>
      <c r="K872" s="128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</row>
    <row r="873" spans="1:24" s="6" customFormat="1" ht="15.75">
      <c r="A873" s="146">
        <v>128</v>
      </c>
      <c r="B873" s="146" t="s">
        <v>1372</v>
      </c>
      <c r="C873" s="196">
        <v>1770.4</v>
      </c>
      <c r="D873" s="55"/>
      <c r="E873" s="55"/>
      <c r="F873" s="611">
        <f t="shared" si="32"/>
        <v>1770.4</v>
      </c>
      <c r="G873" s="156">
        <v>433</v>
      </c>
      <c r="H873" s="55">
        <v>3.5000000000000003E-2</v>
      </c>
      <c r="I873" s="164">
        <f t="shared" si="31"/>
        <v>8.560212381382739E-3</v>
      </c>
      <c r="J873" s="128"/>
      <c r="K873" s="128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</row>
    <row r="874" spans="1:24" s="6" customFormat="1" ht="15.75">
      <c r="A874" s="146">
        <v>129</v>
      </c>
      <c r="B874" s="146" t="s">
        <v>1373</v>
      </c>
      <c r="C874" s="196">
        <v>4227</v>
      </c>
      <c r="D874" s="55"/>
      <c r="E874" s="55">
        <v>534.20000000000005</v>
      </c>
      <c r="F874" s="611">
        <f t="shared" si="32"/>
        <v>4761.2</v>
      </c>
      <c r="G874" s="55">
        <v>357.9</v>
      </c>
      <c r="H874" s="55">
        <v>3.5000000000000003E-2</v>
      </c>
      <c r="I874" s="164">
        <f t="shared" ref="I874:I879" si="33">G874*H874/F874</f>
        <v>2.6309543812484248E-3</v>
      </c>
      <c r="J874" s="128"/>
      <c r="K874" s="128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</row>
    <row r="875" spans="1:24" s="6" customFormat="1" ht="15.75">
      <c r="A875" s="146">
        <v>130</v>
      </c>
      <c r="B875" s="146" t="s">
        <v>1382</v>
      </c>
      <c r="C875" s="158">
        <v>725.2</v>
      </c>
      <c r="D875" s="160"/>
      <c r="E875" s="160"/>
      <c r="F875" s="611">
        <f t="shared" si="32"/>
        <v>725.2</v>
      </c>
      <c r="G875" s="55">
        <v>141.5</v>
      </c>
      <c r="H875" s="55">
        <v>3.5000000000000003E-2</v>
      </c>
      <c r="I875" s="164">
        <f t="shared" si="33"/>
        <v>6.8291505791505799E-3</v>
      </c>
      <c r="J875" s="128"/>
      <c r="K875" s="128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</row>
    <row r="876" spans="1:24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611">
        <f t="shared" si="32"/>
        <v>2911.81</v>
      </c>
      <c r="G876" s="55">
        <v>141.5</v>
      </c>
      <c r="H876" s="55">
        <v>3.5000000000000003E-2</v>
      </c>
      <c r="I876" s="164">
        <f t="shared" si="33"/>
        <v>1.7008321284699209E-3</v>
      </c>
      <c r="J876" s="128"/>
      <c r="K876" s="128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</row>
    <row r="877" spans="1:24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611">
        <f t="shared" si="32"/>
        <v>2933</v>
      </c>
      <c r="G877" s="55">
        <v>141.5</v>
      </c>
      <c r="H877" s="55">
        <v>3.5000000000000003E-2</v>
      </c>
      <c r="I877" s="164">
        <f t="shared" si="33"/>
        <v>1.6885441527446303E-3</v>
      </c>
      <c r="J877" s="128"/>
      <c r="K877" s="128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</row>
    <row r="878" spans="1:24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611">
        <f t="shared" si="32"/>
        <v>3120.67</v>
      </c>
      <c r="G878" s="55">
        <v>141.5</v>
      </c>
      <c r="H878" s="55">
        <v>3.5000000000000003E-2</v>
      </c>
      <c r="I878" s="164">
        <f t="shared" si="33"/>
        <v>1.5869989457392164E-3</v>
      </c>
      <c r="J878" s="128"/>
      <c r="K878" s="128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</row>
    <row r="879" spans="1:24" s="33" customFormat="1" ht="16.5" thickBot="1">
      <c r="A879" s="186"/>
      <c r="B879" s="186" t="s">
        <v>681</v>
      </c>
      <c r="C879" s="200">
        <f>SUM(C749:C875)</f>
        <v>265493.51999999984</v>
      </c>
      <c r="D879" s="200">
        <f>SUM(D749:D875)</f>
        <v>216.9</v>
      </c>
      <c r="E879" s="200">
        <f>SUM(E749:E875)</f>
        <v>5608.6</v>
      </c>
      <c r="F879" s="612">
        <f t="shared" si="32"/>
        <v>271319.01999999984</v>
      </c>
      <c r="G879" s="200">
        <f>SUM(G749:G878)</f>
        <v>29438.899999999991</v>
      </c>
      <c r="H879" s="186">
        <v>3.5000000000000003E-2</v>
      </c>
      <c r="I879" s="188">
        <f t="shared" si="33"/>
        <v>3.7976014361248995E-3</v>
      </c>
      <c r="J879" s="130"/>
      <c r="K879" s="130"/>
    </row>
    <row r="880" spans="1:24" s="209" customFormat="1" ht="16.5" thickBot="1">
      <c r="A880" s="137" t="s">
        <v>392</v>
      </c>
      <c r="B880" s="138"/>
      <c r="C880" s="138"/>
      <c r="D880" s="138"/>
      <c r="E880" s="138"/>
      <c r="F880" s="611">
        <f t="shared" si="32"/>
        <v>0</v>
      </c>
      <c r="G880" s="138"/>
      <c r="H880" s="138"/>
      <c r="I880" s="172"/>
      <c r="J880" s="212"/>
      <c r="K880" s="212"/>
    </row>
    <row r="881" spans="1:24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11">
        <f t="shared" si="32"/>
        <v>4265.91</v>
      </c>
      <c r="G881" s="142">
        <v>465.3</v>
      </c>
      <c r="H881" s="142">
        <v>3.5000000000000003E-2</v>
      </c>
      <c r="I881" s="170">
        <f>G881*H881/F881</f>
        <v>3.8175910884195876E-3</v>
      </c>
      <c r="J881" s="128"/>
      <c r="K881" s="128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</row>
    <row r="882" spans="1:24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11">
        <f t="shared" si="32"/>
        <v>9865.73</v>
      </c>
      <c r="G882" s="55">
        <v>1278.9000000000001</v>
      </c>
      <c r="H882" s="55">
        <v>3.5000000000000003E-2</v>
      </c>
      <c r="I882" s="164">
        <f>G882*H882/F882</f>
        <v>4.5370692285314927E-3</v>
      </c>
      <c r="J882" s="128"/>
      <c r="K882" s="128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</row>
    <row r="883" spans="1:24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11">
        <f t="shared" si="32"/>
        <v>4252.49</v>
      </c>
      <c r="G883" s="55">
        <v>459.7</v>
      </c>
      <c r="H883" s="55">
        <v>3.5000000000000003E-2</v>
      </c>
      <c r="I883" s="164">
        <f>G883*H883/F883</f>
        <v>3.7835479918824034E-3</v>
      </c>
      <c r="J883" s="128"/>
      <c r="K883" s="128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</row>
    <row r="884" spans="1:24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11">
        <f t="shared" si="32"/>
        <v>5951.3</v>
      </c>
      <c r="G884" s="55">
        <v>621.79999999999995</v>
      </c>
      <c r="H884" s="55">
        <v>3.5000000000000003E-2</v>
      </c>
      <c r="I884" s="164">
        <f>G884*H884/F884</f>
        <v>3.656848083611984E-3</v>
      </c>
      <c r="J884" s="128"/>
      <c r="K884" s="128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</row>
    <row r="885" spans="1:24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11">
        <f t="shared" si="32"/>
        <v>4295.57</v>
      </c>
      <c r="G885" s="55">
        <v>495.2</v>
      </c>
      <c r="H885" s="55">
        <v>3.5000000000000003E-2</v>
      </c>
      <c r="I885" s="164">
        <f>G885*H885/F885</f>
        <v>4.0348545129051559E-3</v>
      </c>
      <c r="J885" s="128"/>
      <c r="K885" s="128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</row>
    <row r="886" spans="1:24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11">
        <f t="shared" si="32"/>
        <v>7972.34</v>
      </c>
      <c r="G886" s="55">
        <v>968.6</v>
      </c>
      <c r="H886" s="55">
        <v>3.5000000000000003E-2</v>
      </c>
      <c r="I886" s="164">
        <f t="shared" ref="I886:I948" si="34">G886*H886/F886</f>
        <v>4.2523274220617789E-3</v>
      </c>
      <c r="J886" s="128"/>
      <c r="K886" s="128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</row>
    <row r="887" spans="1:24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11">
        <f t="shared" si="32"/>
        <v>3946.89</v>
      </c>
      <c r="G887" s="55">
        <v>552.29999999999995</v>
      </c>
      <c r="H887" s="55">
        <v>3.5000000000000003E-2</v>
      </c>
      <c r="I887" s="164">
        <f t="shared" si="34"/>
        <v>4.8976535956157885E-3</v>
      </c>
      <c r="J887" s="128"/>
      <c r="K887" s="128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</row>
    <row r="888" spans="1:24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11">
        <f t="shared" si="32"/>
        <v>8036.22</v>
      </c>
      <c r="G888" s="55">
        <v>902.6</v>
      </c>
      <c r="H888" s="55">
        <v>3.5000000000000003E-2</v>
      </c>
      <c r="I888" s="164">
        <f t="shared" si="34"/>
        <v>3.9310770486621826E-3</v>
      </c>
      <c r="J888" s="128"/>
      <c r="K888" s="128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</row>
    <row r="889" spans="1:24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11">
        <f t="shared" si="32"/>
        <v>3993.05</v>
      </c>
      <c r="G889" s="55">
        <v>467.4</v>
      </c>
      <c r="H889" s="55">
        <v>3.5000000000000003E-2</v>
      </c>
      <c r="I889" s="164">
        <f t="shared" si="34"/>
        <v>4.096868308686343E-3</v>
      </c>
      <c r="J889" s="128"/>
      <c r="K889" s="128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</row>
    <row r="890" spans="1:24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11">
        <f t="shared" si="32"/>
        <v>8196.09</v>
      </c>
      <c r="G890" s="55">
        <v>1056.5</v>
      </c>
      <c r="H890" s="55">
        <v>3.5000000000000003E-2</v>
      </c>
      <c r="I890" s="164">
        <f t="shared" si="34"/>
        <v>4.511602483623289E-3</v>
      </c>
      <c r="J890" s="128"/>
      <c r="K890" s="128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</row>
    <row r="891" spans="1:24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11">
        <f t="shared" si="32"/>
        <v>3935.64</v>
      </c>
      <c r="G891" s="55">
        <v>455.6</v>
      </c>
      <c r="H891" s="55">
        <v>3.5000000000000003E-2</v>
      </c>
      <c r="I891" s="164">
        <f t="shared" si="34"/>
        <v>4.0516917197711182E-3</v>
      </c>
      <c r="J891" s="128"/>
      <c r="K891" s="128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</row>
    <row r="892" spans="1:24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11">
        <f t="shared" si="32"/>
        <v>4128.3999999999996</v>
      </c>
      <c r="G892" s="55">
        <v>516.20000000000005</v>
      </c>
      <c r="H892" s="55">
        <v>3.5000000000000003E-2</v>
      </c>
      <c r="I892" s="164">
        <f t="shared" si="34"/>
        <v>4.3762716791008634E-3</v>
      </c>
      <c r="J892" s="128"/>
      <c r="K892" s="128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</row>
    <row r="893" spans="1:24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11">
        <f t="shared" si="32"/>
        <v>18171.13</v>
      </c>
      <c r="G893" s="55">
        <v>2248.6</v>
      </c>
      <c r="H893" s="55">
        <v>3.5000000000000003E-2</v>
      </c>
      <c r="I893" s="164">
        <f t="shared" si="34"/>
        <v>4.3311010377450384E-3</v>
      </c>
      <c r="J893" s="128"/>
      <c r="K893" s="128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</row>
    <row r="894" spans="1:24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11">
        <f t="shared" si="32"/>
        <v>3212.3</v>
      </c>
      <c r="G894" s="55">
        <v>755.2</v>
      </c>
      <c r="H894" s="55">
        <v>3.5000000000000003E-2</v>
      </c>
      <c r="I894" s="164">
        <f t="shared" si="34"/>
        <v>8.2283721943778622E-3</v>
      </c>
      <c r="J894" s="128"/>
      <c r="K894" s="128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</row>
    <row r="895" spans="1:24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11">
        <f t="shared" si="32"/>
        <v>4181.6099999999997</v>
      </c>
      <c r="G895" s="55">
        <v>548.20000000000005</v>
      </c>
      <c r="H895" s="55">
        <v>3.5000000000000003E-2</v>
      </c>
      <c r="I895" s="164">
        <f t="shared" si="34"/>
        <v>4.5884240758942143E-3</v>
      </c>
      <c r="J895" s="128"/>
      <c r="K895" s="128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</row>
    <row r="896" spans="1:24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11">
        <f t="shared" si="32"/>
        <v>6299.01</v>
      </c>
      <c r="G896" s="55">
        <v>891.4</v>
      </c>
      <c r="H896" s="55">
        <v>3.5000000000000003E-2</v>
      </c>
      <c r="I896" s="164">
        <f t="shared" si="34"/>
        <v>4.9530005508802181E-3</v>
      </c>
      <c r="J896" s="128"/>
      <c r="K896" s="128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</row>
    <row r="897" spans="1:24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11">
        <f t="shared" si="32"/>
        <v>147.65</v>
      </c>
      <c r="G897" s="55">
        <v>15.1</v>
      </c>
      <c r="H897" s="55">
        <v>3.5000000000000003E-2</v>
      </c>
      <c r="I897" s="164">
        <f t="shared" si="34"/>
        <v>3.5794107687097871E-3</v>
      </c>
      <c r="J897" s="128"/>
      <c r="K897" s="128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</row>
    <row r="898" spans="1:24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11">
        <f t="shared" si="32"/>
        <v>4248.3</v>
      </c>
      <c r="G898" s="55">
        <v>574.6</v>
      </c>
      <c r="H898" s="55">
        <v>3.5000000000000003E-2</v>
      </c>
      <c r="I898" s="164">
        <f t="shared" si="34"/>
        <v>4.7338935574229701E-3</v>
      </c>
      <c r="J898" s="128"/>
      <c r="K898" s="128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</row>
    <row r="899" spans="1:24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11">
        <f t="shared" si="32"/>
        <v>4085.47</v>
      </c>
      <c r="G899" s="55">
        <v>501.5</v>
      </c>
      <c r="H899" s="55">
        <v>3.5000000000000003E-2</v>
      </c>
      <c r="I899" s="164">
        <f t="shared" si="34"/>
        <v>4.2963233116385634E-3</v>
      </c>
      <c r="J899" s="128"/>
      <c r="K899" s="128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</row>
    <row r="900" spans="1:24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11">
        <f t="shared" si="32"/>
        <v>4100.95</v>
      </c>
      <c r="G900" s="55">
        <v>488.7</v>
      </c>
      <c r="H900" s="55">
        <v>3.5000000000000003E-2</v>
      </c>
      <c r="I900" s="164">
        <f t="shared" si="34"/>
        <v>4.1708628488520954E-3</v>
      </c>
      <c r="J900" s="128"/>
      <c r="K900" s="128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</row>
    <row r="901" spans="1:24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11">
        <f t="shared" si="32"/>
        <v>7076.23</v>
      </c>
      <c r="G901" s="55">
        <v>778.1</v>
      </c>
      <c r="H901" s="55">
        <v>3.5000000000000003E-2</v>
      </c>
      <c r="I901" s="164">
        <f t="shared" si="34"/>
        <v>3.8485888672358027E-3</v>
      </c>
      <c r="J901" s="128"/>
      <c r="K901" s="128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</row>
    <row r="902" spans="1:24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11">
        <f t="shared" si="32"/>
        <v>4062.74</v>
      </c>
      <c r="G902" s="55">
        <v>493.2</v>
      </c>
      <c r="H902" s="55">
        <v>3.5000000000000003E-2</v>
      </c>
      <c r="I902" s="164">
        <f t="shared" si="34"/>
        <v>4.24885668292827E-3</v>
      </c>
      <c r="J902" s="128"/>
      <c r="K902" s="128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</row>
    <row r="903" spans="1:24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11">
        <f t="shared" si="32"/>
        <v>6379.08</v>
      </c>
      <c r="G903" s="55">
        <v>733.5</v>
      </c>
      <c r="H903" s="55">
        <v>3.5000000000000003E-2</v>
      </c>
      <c r="I903" s="164">
        <f t="shared" si="34"/>
        <v>4.0244831543106534E-3</v>
      </c>
      <c r="J903" s="128"/>
      <c r="K903" s="128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</row>
    <row r="904" spans="1:24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11">
        <f t="shared" ref="F904:F963" si="35">C904+D904+E904</f>
        <v>6509.3399999999992</v>
      </c>
      <c r="G904" s="55">
        <v>787.2</v>
      </c>
      <c r="H904" s="55">
        <v>3.5000000000000003E-2</v>
      </c>
      <c r="I904" s="164">
        <f t="shared" si="34"/>
        <v>4.2326871848758869E-3</v>
      </c>
      <c r="J904" s="128"/>
      <c r="K904" s="128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</row>
    <row r="905" spans="1:24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11">
        <f t="shared" si="35"/>
        <v>4249.6000000000004</v>
      </c>
      <c r="G905" s="55">
        <v>574.9</v>
      </c>
      <c r="H905" s="55">
        <v>3.5000000000000003E-2</v>
      </c>
      <c r="I905" s="164">
        <f t="shared" si="34"/>
        <v>4.7349162274096385E-3</v>
      </c>
      <c r="J905" s="128"/>
      <c r="K905" s="128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</row>
    <row r="906" spans="1:24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11">
        <f t="shared" si="35"/>
        <v>2807.52</v>
      </c>
      <c r="G906" s="55">
        <v>666.5</v>
      </c>
      <c r="H906" s="55">
        <v>3.5000000000000003E-2</v>
      </c>
      <c r="I906" s="164">
        <f t="shared" si="34"/>
        <v>8.3089345757109481E-3</v>
      </c>
      <c r="J906" s="128"/>
      <c r="K906" s="128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</row>
    <row r="907" spans="1:24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11">
        <f t="shared" si="35"/>
        <v>4226.7</v>
      </c>
      <c r="G907" s="55">
        <v>418.7</v>
      </c>
      <c r="H907" s="55">
        <v>3.5000000000000003E-2</v>
      </c>
      <c r="I907" s="164">
        <f t="shared" si="34"/>
        <v>3.4671256535831738E-3</v>
      </c>
      <c r="J907" s="128"/>
      <c r="K907" s="128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</row>
    <row r="908" spans="1:24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11">
        <f t="shared" si="35"/>
        <v>4709.3599999999997</v>
      </c>
      <c r="G908" s="55">
        <v>1020</v>
      </c>
      <c r="H908" s="55">
        <v>3.5000000000000003E-2</v>
      </c>
      <c r="I908" s="164">
        <f t="shared" si="34"/>
        <v>7.5806479012010134E-3</v>
      </c>
      <c r="J908" s="128"/>
      <c r="K908" s="128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</row>
    <row r="909" spans="1:24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611">
        <f t="shared" si="35"/>
        <v>5750.25</v>
      </c>
      <c r="G909" s="55">
        <v>1025.5999999999999</v>
      </c>
      <c r="H909" s="55">
        <v>3.5000000000000003E-2</v>
      </c>
      <c r="I909" s="164">
        <f t="shared" si="34"/>
        <v>6.2425111951654282E-3</v>
      </c>
      <c r="J909" s="128"/>
      <c r="K909" s="128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</row>
    <row r="910" spans="1:24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11">
        <f t="shared" si="35"/>
        <v>3555.12</v>
      </c>
      <c r="G910" s="55">
        <v>424.6</v>
      </c>
      <c r="H910" s="55">
        <v>3.5000000000000003E-2</v>
      </c>
      <c r="I910" s="164">
        <f t="shared" si="34"/>
        <v>4.1801683206192765E-3</v>
      </c>
      <c r="J910" s="128"/>
      <c r="K910" s="128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</row>
    <row r="911" spans="1:24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11">
        <f t="shared" si="35"/>
        <v>342.6</v>
      </c>
      <c r="G911" s="55">
        <v>22.4</v>
      </c>
      <c r="H911" s="55">
        <v>3.5000000000000003E-2</v>
      </c>
      <c r="I911" s="164">
        <f t="shared" si="34"/>
        <v>2.2883829538820782E-3</v>
      </c>
      <c r="J911" s="128"/>
      <c r="K911" s="128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</row>
    <row r="912" spans="1:24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11">
        <f t="shared" si="35"/>
        <v>361.6</v>
      </c>
      <c r="G912" s="55">
        <v>31.1</v>
      </c>
      <c r="H912" s="55">
        <v>3.5000000000000003E-2</v>
      </c>
      <c r="I912" s="164">
        <f t="shared" si="34"/>
        <v>3.0102323008849561E-3</v>
      </c>
      <c r="J912" s="128"/>
      <c r="K912" s="128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</row>
    <row r="913" spans="1:24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11">
        <f t="shared" si="35"/>
        <v>7926.65</v>
      </c>
      <c r="G913" s="55">
        <v>859.6</v>
      </c>
      <c r="H913" s="55">
        <v>3.5000000000000003E-2</v>
      </c>
      <c r="I913" s="164">
        <f t="shared" si="34"/>
        <v>3.7955504532179423E-3</v>
      </c>
      <c r="J913" s="128"/>
      <c r="K913" s="128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</row>
    <row r="914" spans="1:24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11">
        <f t="shared" si="35"/>
        <v>4021.5</v>
      </c>
      <c r="G914" s="55">
        <v>490.7</v>
      </c>
      <c r="H914" s="55">
        <v>3.5000000000000003E-2</v>
      </c>
      <c r="I914" s="164">
        <f t="shared" si="34"/>
        <v>4.2706701479547438E-3</v>
      </c>
      <c r="J914" s="128"/>
      <c r="K914" s="128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</row>
    <row r="915" spans="1:24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11">
        <f t="shared" si="35"/>
        <v>4138.7700000000004</v>
      </c>
      <c r="G915" s="55">
        <v>512.6</v>
      </c>
      <c r="H915" s="55">
        <v>3.5000000000000003E-2</v>
      </c>
      <c r="I915" s="164">
        <f t="shared" si="34"/>
        <v>4.3348627732393927E-3</v>
      </c>
      <c r="J915" s="128"/>
      <c r="K915" s="128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</row>
    <row r="916" spans="1:24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11">
        <f t="shared" si="35"/>
        <v>361.5</v>
      </c>
      <c r="G916" s="55">
        <v>31.6</v>
      </c>
      <c r="H916" s="55">
        <v>3.5000000000000003E-2</v>
      </c>
      <c r="I916" s="164">
        <f t="shared" si="34"/>
        <v>3.0594744121715078E-3</v>
      </c>
      <c r="J916" s="128"/>
      <c r="K916" s="128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</row>
    <row r="917" spans="1:24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11">
        <f t="shared" si="35"/>
        <v>5864.56</v>
      </c>
      <c r="G917" s="55">
        <v>605.6</v>
      </c>
      <c r="H917" s="55">
        <v>3.5000000000000003E-2</v>
      </c>
      <c r="I917" s="164">
        <f t="shared" si="34"/>
        <v>3.6142523906311811E-3</v>
      </c>
      <c r="J917" s="128"/>
      <c r="K917" s="128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</row>
    <row r="918" spans="1:24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11">
        <f t="shared" si="35"/>
        <v>135.35</v>
      </c>
      <c r="G918" s="55">
        <v>12.1</v>
      </c>
      <c r="H918" s="55">
        <v>3.5000000000000003E-2</v>
      </c>
      <c r="I918" s="164">
        <f t="shared" si="34"/>
        <v>3.1289250092353164E-3</v>
      </c>
      <c r="J918" s="128"/>
      <c r="K918" s="128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</row>
    <row r="919" spans="1:24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11">
        <f t="shared" si="35"/>
        <v>37.4</v>
      </c>
      <c r="G919" s="55">
        <v>3.6</v>
      </c>
      <c r="H919" s="55">
        <v>3.5000000000000003E-2</v>
      </c>
      <c r="I919" s="164">
        <f t="shared" si="34"/>
        <v>3.3689839572192521E-3</v>
      </c>
      <c r="J919" s="128"/>
      <c r="K919" s="128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</row>
    <row r="920" spans="1:24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11">
        <f t="shared" si="35"/>
        <v>236.9</v>
      </c>
      <c r="G920" s="55">
        <v>23.4</v>
      </c>
      <c r="H920" s="55">
        <v>3.5000000000000003E-2</v>
      </c>
      <c r="I920" s="164">
        <f t="shared" si="34"/>
        <v>3.4571549176867877E-3</v>
      </c>
      <c r="J920" s="128"/>
      <c r="K920" s="128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</row>
    <row r="921" spans="1:24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11">
        <f t="shared" si="35"/>
        <v>362.6</v>
      </c>
      <c r="G921" s="55">
        <v>31.9</v>
      </c>
      <c r="H921" s="55">
        <v>3.5000000000000003E-2</v>
      </c>
      <c r="I921" s="164">
        <f t="shared" si="34"/>
        <v>3.0791505791505792E-3</v>
      </c>
      <c r="J921" s="128"/>
      <c r="K921" s="128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</row>
    <row r="922" spans="1:24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11">
        <f t="shared" si="35"/>
        <v>494.9</v>
      </c>
      <c r="G922" s="55">
        <v>39.6</v>
      </c>
      <c r="H922" s="55">
        <v>3.5000000000000003E-2</v>
      </c>
      <c r="I922" s="164">
        <f t="shared" si="34"/>
        <v>2.8005657708628008E-3</v>
      </c>
      <c r="J922" s="128"/>
      <c r="K922" s="128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</row>
    <row r="923" spans="1:24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11">
        <f t="shared" si="35"/>
        <v>277.2</v>
      </c>
      <c r="G923" s="55">
        <v>21.6</v>
      </c>
      <c r="H923" s="55">
        <v>3.5000000000000003E-2</v>
      </c>
      <c r="I923" s="164">
        <f t="shared" si="34"/>
        <v>2.7272727272727279E-3</v>
      </c>
      <c r="J923" s="128"/>
      <c r="K923" s="128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</row>
    <row r="924" spans="1:24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11">
        <f t="shared" si="35"/>
        <v>7127.52</v>
      </c>
      <c r="G924" s="55">
        <v>762.4</v>
      </c>
      <c r="H924" s="55">
        <v>3.5000000000000003E-2</v>
      </c>
      <c r="I924" s="164">
        <f t="shared" si="34"/>
        <v>3.7437986845354344E-3</v>
      </c>
      <c r="J924" s="128"/>
      <c r="K924" s="128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</row>
    <row r="925" spans="1:24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11">
        <f t="shared" si="35"/>
        <v>52.9</v>
      </c>
      <c r="G925" s="55">
        <v>5.0999999999999996</v>
      </c>
      <c r="H925" s="55">
        <v>3.5000000000000003E-2</v>
      </c>
      <c r="I925" s="164">
        <f t="shared" si="34"/>
        <v>3.3742911153119091E-3</v>
      </c>
      <c r="J925" s="128"/>
      <c r="K925" s="128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</row>
    <row r="926" spans="1:24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11">
        <f t="shared" si="35"/>
        <v>119.9</v>
      </c>
      <c r="G926" s="55">
        <v>18.899999999999999</v>
      </c>
      <c r="H926" s="55">
        <v>3.5000000000000003E-2</v>
      </c>
      <c r="I926" s="164">
        <f t="shared" si="34"/>
        <v>5.5170975813177642E-3</v>
      </c>
      <c r="J926" s="128"/>
      <c r="K926" s="128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</row>
    <row r="927" spans="1:24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11">
        <f t="shared" si="35"/>
        <v>75.3</v>
      </c>
      <c r="G927" s="55">
        <v>6.9</v>
      </c>
      <c r="H927" s="55">
        <v>3.5000000000000003E-2</v>
      </c>
      <c r="I927" s="164">
        <f t="shared" si="34"/>
        <v>3.2071713147410366E-3</v>
      </c>
      <c r="J927" s="128"/>
      <c r="K927" s="128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</row>
    <row r="928" spans="1:24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11">
        <f t="shared" si="35"/>
        <v>120.8</v>
      </c>
      <c r="G928" s="55">
        <v>33.6</v>
      </c>
      <c r="H928" s="55">
        <v>3.5000000000000003E-2</v>
      </c>
      <c r="I928" s="164">
        <f t="shared" si="34"/>
        <v>9.7350993377483454E-3</v>
      </c>
      <c r="J928" s="128"/>
      <c r="K928" s="128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</row>
    <row r="929" spans="1:24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11">
        <f t="shared" si="35"/>
        <v>429.7</v>
      </c>
      <c r="G929" s="55">
        <v>41.9</v>
      </c>
      <c r="H929" s="55">
        <v>3.5000000000000003E-2</v>
      </c>
      <c r="I929" s="164">
        <f t="shared" si="34"/>
        <v>3.4128461717477312E-3</v>
      </c>
      <c r="J929" s="128"/>
      <c r="K929" s="128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</row>
    <row r="930" spans="1:24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11">
        <f t="shared" si="35"/>
        <v>249.1</v>
      </c>
      <c r="G930" s="55">
        <v>22.4</v>
      </c>
      <c r="H930" s="55">
        <v>3.5000000000000003E-2</v>
      </c>
      <c r="I930" s="164">
        <f t="shared" si="34"/>
        <v>3.147330389401847E-3</v>
      </c>
      <c r="J930" s="128"/>
      <c r="K930" s="128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</row>
    <row r="931" spans="1:24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11">
        <f t="shared" si="35"/>
        <v>103</v>
      </c>
      <c r="G931" s="55">
        <v>9.8000000000000007</v>
      </c>
      <c r="H931" s="55">
        <v>3.5000000000000003E-2</v>
      </c>
      <c r="I931" s="164">
        <f t="shared" si="34"/>
        <v>3.3300970873786414E-3</v>
      </c>
      <c r="J931" s="128"/>
      <c r="K931" s="128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</row>
    <row r="932" spans="1:24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11">
        <f t="shared" si="35"/>
        <v>176.5</v>
      </c>
      <c r="G932" s="55">
        <v>17.3</v>
      </c>
      <c r="H932" s="55">
        <v>3.5000000000000003E-2</v>
      </c>
      <c r="I932" s="164">
        <f t="shared" si="34"/>
        <v>3.4305949008498586E-3</v>
      </c>
      <c r="J932" s="128"/>
      <c r="K932" s="128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</row>
    <row r="933" spans="1:24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11">
        <f t="shared" si="35"/>
        <v>109.5</v>
      </c>
      <c r="G933" s="55">
        <v>9.8000000000000007</v>
      </c>
      <c r="H933" s="55">
        <v>3.5000000000000003E-2</v>
      </c>
      <c r="I933" s="164">
        <f t="shared" si="34"/>
        <v>3.1324200913242016E-3</v>
      </c>
      <c r="J933" s="128"/>
      <c r="K933" s="128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</row>
    <row r="934" spans="1:24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11">
        <f t="shared" si="35"/>
        <v>111.4</v>
      </c>
      <c r="G934" s="55">
        <v>10.6</v>
      </c>
      <c r="H934" s="55">
        <v>3.5000000000000003E-2</v>
      </c>
      <c r="I934" s="164">
        <f t="shared" si="34"/>
        <v>3.3303411131059245E-3</v>
      </c>
      <c r="J934" s="128"/>
      <c r="K934" s="128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</row>
    <row r="935" spans="1:24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11">
        <f t="shared" si="35"/>
        <v>92.9</v>
      </c>
      <c r="G935" s="55">
        <v>8.4</v>
      </c>
      <c r="H935" s="55">
        <v>3.5000000000000003E-2</v>
      </c>
      <c r="I935" s="164">
        <f t="shared" si="34"/>
        <v>3.1646932185145321E-3</v>
      </c>
      <c r="J935" s="128"/>
      <c r="K935" s="128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</row>
    <row r="936" spans="1:24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11">
        <f t="shared" si="35"/>
        <v>101.8</v>
      </c>
      <c r="G936" s="55">
        <v>11</v>
      </c>
      <c r="H936" s="55">
        <v>3.5000000000000003E-2</v>
      </c>
      <c r="I936" s="164">
        <f t="shared" si="34"/>
        <v>3.7819253438113949E-3</v>
      </c>
      <c r="J936" s="128"/>
      <c r="K936" s="128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</row>
    <row r="937" spans="1:24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11">
        <f t="shared" si="35"/>
        <v>202</v>
      </c>
      <c r="G937" s="55">
        <v>18.600000000000001</v>
      </c>
      <c r="H937" s="55">
        <v>3.5000000000000003E-2</v>
      </c>
      <c r="I937" s="164">
        <f t="shared" si="34"/>
        <v>3.2227722772277235E-3</v>
      </c>
      <c r="J937" s="128"/>
      <c r="K937" s="128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</row>
    <row r="938" spans="1:24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11">
        <f t="shared" si="35"/>
        <v>214.1</v>
      </c>
      <c r="G938" s="55">
        <v>21</v>
      </c>
      <c r="H938" s="55">
        <v>3.5000000000000003E-2</v>
      </c>
      <c r="I938" s="164">
        <f t="shared" si="34"/>
        <v>3.4329752452125183E-3</v>
      </c>
      <c r="J938" s="128"/>
      <c r="K938" s="128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</row>
    <row r="939" spans="1:24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11">
        <f t="shared" si="35"/>
        <v>161.19999999999999</v>
      </c>
      <c r="G939" s="55">
        <v>14.8</v>
      </c>
      <c r="H939" s="55">
        <v>3.5000000000000003E-2</v>
      </c>
      <c r="I939" s="164">
        <f t="shared" si="34"/>
        <v>3.2133995037220853E-3</v>
      </c>
      <c r="J939" s="128"/>
      <c r="K939" s="128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</row>
    <row r="940" spans="1:24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11">
        <f t="shared" si="35"/>
        <v>134.9</v>
      </c>
      <c r="G940" s="55">
        <v>12.6</v>
      </c>
      <c r="H940" s="55">
        <v>3.5000000000000003E-2</v>
      </c>
      <c r="I940" s="164">
        <f t="shared" si="34"/>
        <v>3.2690882134914752E-3</v>
      </c>
      <c r="J940" s="128"/>
      <c r="K940" s="128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</row>
    <row r="941" spans="1:24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11">
        <f t="shared" si="35"/>
        <v>80.599999999999994</v>
      </c>
      <c r="G941" s="55">
        <v>8.1</v>
      </c>
      <c r="H941" s="55">
        <v>3.5000000000000003E-2</v>
      </c>
      <c r="I941" s="164">
        <f t="shared" si="34"/>
        <v>3.5173697270471471E-3</v>
      </c>
      <c r="J941" s="128"/>
      <c r="K941" s="128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</row>
    <row r="942" spans="1:24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11">
        <f t="shared" si="35"/>
        <v>249.4</v>
      </c>
      <c r="G942" s="55">
        <v>23.8</v>
      </c>
      <c r="H942" s="55">
        <v>3.5000000000000003E-2</v>
      </c>
      <c r="I942" s="164">
        <f t="shared" si="34"/>
        <v>3.3400160384923819E-3</v>
      </c>
      <c r="J942" s="128"/>
      <c r="K942" s="128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</row>
    <row r="943" spans="1:24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11">
        <f t="shared" si="35"/>
        <v>110.5</v>
      </c>
      <c r="G943" s="55">
        <v>9.9</v>
      </c>
      <c r="H943" s="55">
        <v>3.5000000000000003E-2</v>
      </c>
      <c r="I943" s="164">
        <f t="shared" si="34"/>
        <v>3.1357466063348417E-3</v>
      </c>
      <c r="J943" s="128"/>
      <c r="K943" s="128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</row>
    <row r="944" spans="1:24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11">
        <f t="shared" si="35"/>
        <v>168.5</v>
      </c>
      <c r="G944" s="55">
        <v>16.2</v>
      </c>
      <c r="H944" s="55">
        <v>3.5000000000000003E-2</v>
      </c>
      <c r="I944" s="164">
        <f t="shared" si="34"/>
        <v>3.3649851632047479E-3</v>
      </c>
      <c r="J944" s="128"/>
      <c r="K944" s="128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</row>
    <row r="945" spans="1:24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11">
        <f t="shared" si="35"/>
        <v>130</v>
      </c>
      <c r="G945" s="55">
        <v>11.6</v>
      </c>
      <c r="H945" s="55">
        <v>3.5000000000000003E-2</v>
      </c>
      <c r="I945" s="164">
        <f t="shared" si="34"/>
        <v>3.1230769230769233E-3</v>
      </c>
      <c r="J945" s="128"/>
      <c r="K945" s="128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</row>
    <row r="946" spans="1:24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11">
        <f t="shared" si="35"/>
        <v>175.8</v>
      </c>
      <c r="G946" s="55">
        <v>16.899999999999999</v>
      </c>
      <c r="H946" s="55">
        <v>3.5000000000000003E-2</v>
      </c>
      <c r="I946" s="164">
        <f t="shared" si="34"/>
        <v>3.3646188850967006E-3</v>
      </c>
      <c r="J946" s="128"/>
      <c r="K946" s="128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</row>
    <row r="947" spans="1:24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11">
        <f t="shared" si="35"/>
        <v>129.80000000000001</v>
      </c>
      <c r="G947" s="55">
        <v>10.8</v>
      </c>
      <c r="H947" s="55">
        <v>3.5000000000000003E-2</v>
      </c>
      <c r="I947" s="164">
        <f t="shared" si="34"/>
        <v>2.9121725731895225E-3</v>
      </c>
      <c r="J947" s="128"/>
      <c r="K947" s="128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</row>
    <row r="948" spans="1:24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11">
        <f t="shared" si="35"/>
        <v>152.30000000000001</v>
      </c>
      <c r="G948" s="55">
        <v>13.4</v>
      </c>
      <c r="H948" s="55">
        <v>3.5000000000000003E-2</v>
      </c>
      <c r="I948" s="164">
        <f t="shared" si="34"/>
        <v>3.0794484569927776E-3</v>
      </c>
      <c r="J948" s="128"/>
      <c r="K948" s="128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</row>
    <row r="949" spans="1:24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11">
        <f t="shared" si="35"/>
        <v>239.4</v>
      </c>
      <c r="G949" s="55">
        <v>24.9</v>
      </c>
      <c r="H949" s="55">
        <v>3.5000000000000003E-2</v>
      </c>
      <c r="I949" s="164">
        <f t="shared" ref="I949:I1007" si="36">G949*H949/F949</f>
        <v>3.6403508771929824E-3</v>
      </c>
      <c r="J949" s="128"/>
      <c r="K949" s="128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</row>
    <row r="950" spans="1:24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11">
        <f t="shared" si="35"/>
        <v>84.2</v>
      </c>
      <c r="G950" s="55">
        <v>5.9</v>
      </c>
      <c r="H950" s="55">
        <v>3.5000000000000003E-2</v>
      </c>
      <c r="I950" s="164">
        <f t="shared" si="36"/>
        <v>2.45249406175772E-3</v>
      </c>
      <c r="J950" s="128"/>
      <c r="K950" s="128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</row>
    <row r="951" spans="1:24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11">
        <f t="shared" si="35"/>
        <v>193.9</v>
      </c>
      <c r="G951" s="55">
        <v>18.5</v>
      </c>
      <c r="H951" s="55">
        <v>3.5000000000000003E-2</v>
      </c>
      <c r="I951" s="164">
        <f t="shared" si="36"/>
        <v>3.3393501805054153E-3</v>
      </c>
      <c r="J951" s="128"/>
      <c r="K951" s="128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</row>
    <row r="952" spans="1:24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11">
        <f t="shared" si="35"/>
        <v>252.4</v>
      </c>
      <c r="G952" s="55">
        <v>30</v>
      </c>
      <c r="H952" s="55">
        <v>3.5000000000000003E-2</v>
      </c>
      <c r="I952" s="164">
        <f t="shared" si="36"/>
        <v>4.160063391442155E-3</v>
      </c>
      <c r="J952" s="128"/>
      <c r="K952" s="128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</row>
    <row r="953" spans="1:24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11">
        <f t="shared" si="35"/>
        <v>79</v>
      </c>
      <c r="G953" s="55">
        <v>0</v>
      </c>
      <c r="H953" s="55">
        <v>3.5000000000000003E-2</v>
      </c>
      <c r="I953" s="164">
        <f t="shared" si="36"/>
        <v>0</v>
      </c>
      <c r="J953" s="128"/>
      <c r="K953" s="128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</row>
    <row r="954" spans="1:24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11">
        <f t="shared" si="35"/>
        <v>549.69000000000005</v>
      </c>
      <c r="G954" s="55">
        <v>96.8</v>
      </c>
      <c r="H954" s="55">
        <v>3.5000000000000003E-2</v>
      </c>
      <c r="I954" s="164">
        <f t="shared" si="36"/>
        <v>6.1634739580490819E-3</v>
      </c>
      <c r="J954" s="128"/>
      <c r="K954" s="128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</row>
    <row r="955" spans="1:24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11">
        <f t="shared" si="35"/>
        <v>192.1</v>
      </c>
      <c r="G955" s="55">
        <v>18.3</v>
      </c>
      <c r="H955" s="55">
        <v>3.5000000000000003E-2</v>
      </c>
      <c r="I955" s="164">
        <f t="shared" si="36"/>
        <v>3.3342009370119735E-3</v>
      </c>
      <c r="J955" s="128"/>
      <c r="K955" s="128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</row>
    <row r="956" spans="1:24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11">
        <f t="shared" si="35"/>
        <v>166.8</v>
      </c>
      <c r="G956" s="55">
        <v>16.8</v>
      </c>
      <c r="H956" s="55">
        <v>3.5000000000000003E-2</v>
      </c>
      <c r="I956" s="164">
        <f t="shared" si="36"/>
        <v>3.5251798561151083E-3</v>
      </c>
      <c r="J956" s="128"/>
      <c r="K956" s="128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</row>
    <row r="957" spans="1:24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11">
        <f t="shared" si="35"/>
        <v>119.9</v>
      </c>
      <c r="G957" s="55">
        <v>17.899999999999999</v>
      </c>
      <c r="H957" s="55">
        <v>3.5000000000000003E-2</v>
      </c>
      <c r="I957" s="164">
        <f t="shared" si="36"/>
        <v>5.2251876563803173E-3</v>
      </c>
      <c r="J957" s="128"/>
      <c r="K957" s="128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</row>
    <row r="958" spans="1:24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11">
        <f t="shared" si="35"/>
        <v>188.7</v>
      </c>
      <c r="G958" s="55">
        <v>19.2</v>
      </c>
      <c r="H958" s="55">
        <v>3.5000000000000003E-2</v>
      </c>
      <c r="I958" s="164">
        <f t="shared" si="36"/>
        <v>3.5612082670906206E-3</v>
      </c>
      <c r="J958" s="128"/>
      <c r="K958" s="128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</row>
    <row r="959" spans="1:24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11">
        <f t="shared" si="35"/>
        <v>4734.5</v>
      </c>
      <c r="G959" s="55">
        <v>619.79999999999995</v>
      </c>
      <c r="H959" s="55">
        <v>3.5000000000000003E-2</v>
      </c>
      <c r="I959" s="164">
        <f t="shared" si="36"/>
        <v>4.5818988277537233E-3</v>
      </c>
      <c r="J959" s="128"/>
      <c r="K959" s="128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</row>
    <row r="960" spans="1:24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11">
        <f t="shared" si="35"/>
        <v>66.3</v>
      </c>
      <c r="G960" s="55">
        <v>5.9</v>
      </c>
      <c r="H960" s="55">
        <v>3.5000000000000003E-2</v>
      </c>
      <c r="I960" s="164">
        <f t="shared" si="36"/>
        <v>3.1146304675716448E-3</v>
      </c>
      <c r="J960" s="128"/>
      <c r="K960" s="128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</row>
    <row r="961" spans="1:24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11">
        <f t="shared" si="35"/>
        <v>19.8</v>
      </c>
      <c r="G961" s="55">
        <v>2.6</v>
      </c>
      <c r="H961" s="55">
        <v>3.5000000000000003E-2</v>
      </c>
      <c r="I961" s="164">
        <f t="shared" si="36"/>
        <v>4.5959595959595961E-3</v>
      </c>
      <c r="J961" s="128"/>
      <c r="K961" s="128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</row>
    <row r="962" spans="1:24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11">
        <f t="shared" si="35"/>
        <v>61.2</v>
      </c>
      <c r="G962" s="55">
        <v>5.8</v>
      </c>
      <c r="H962" s="55">
        <v>3.5000000000000003E-2</v>
      </c>
      <c r="I962" s="164">
        <f t="shared" si="36"/>
        <v>3.3169934640522878E-3</v>
      </c>
      <c r="J962" s="128"/>
      <c r="K962" s="128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</row>
    <row r="963" spans="1:24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11">
        <f t="shared" si="35"/>
        <v>47.1</v>
      </c>
      <c r="G963" s="55">
        <v>4.5999999999999996</v>
      </c>
      <c r="H963" s="55">
        <v>3.5000000000000003E-2</v>
      </c>
      <c r="I963" s="164">
        <f t="shared" si="36"/>
        <v>3.4182590233545647E-3</v>
      </c>
      <c r="J963" s="128"/>
      <c r="K963" s="128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</row>
    <row r="964" spans="1:24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11">
        <f t="shared" ref="F964:F1025" si="37">C964+D964+E964</f>
        <v>282.8</v>
      </c>
      <c r="G964" s="55">
        <v>12.1</v>
      </c>
      <c r="H964" s="55">
        <v>3.5000000000000003E-2</v>
      </c>
      <c r="I964" s="164">
        <f t="shared" si="36"/>
        <v>1.4975247524752476E-3</v>
      </c>
      <c r="J964" s="128"/>
      <c r="K964" s="128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</row>
    <row r="965" spans="1:24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11">
        <f t="shared" si="37"/>
        <v>46.6</v>
      </c>
      <c r="G965" s="55">
        <v>4.9000000000000004</v>
      </c>
      <c r="H965" s="55">
        <v>3.5000000000000003E-2</v>
      </c>
      <c r="I965" s="164">
        <f t="shared" si="36"/>
        <v>3.6802575107296146E-3</v>
      </c>
      <c r="J965" s="128"/>
      <c r="K965" s="128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</row>
    <row r="966" spans="1:24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11">
        <f t="shared" si="37"/>
        <v>3266.45</v>
      </c>
      <c r="G966" s="55">
        <v>554.79999999999995</v>
      </c>
      <c r="H966" s="55">
        <v>3.5000000000000003E-2</v>
      </c>
      <c r="I966" s="164">
        <f t="shared" si="36"/>
        <v>5.9446800042859986E-3</v>
      </c>
      <c r="J966" s="128"/>
      <c r="K966" s="128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</row>
    <row r="967" spans="1:24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11">
        <f t="shared" si="37"/>
        <v>3257.47</v>
      </c>
      <c r="G967" s="55">
        <v>551.79999999999995</v>
      </c>
      <c r="H967" s="55">
        <v>3.5000000000000003E-2</v>
      </c>
      <c r="I967" s="164">
        <f t="shared" si="36"/>
        <v>5.9288343407613887E-3</v>
      </c>
      <c r="J967" s="128"/>
      <c r="K967" s="128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</row>
    <row r="968" spans="1:24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11">
        <f t="shared" si="37"/>
        <v>24.3</v>
      </c>
      <c r="G968" s="55">
        <v>2</v>
      </c>
      <c r="H968" s="55">
        <v>3.5000000000000003E-2</v>
      </c>
      <c r="I968" s="164">
        <f t="shared" si="36"/>
        <v>2.8806584362139919E-3</v>
      </c>
      <c r="J968" s="128"/>
      <c r="K968" s="128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</row>
    <row r="969" spans="1:24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11">
        <f t="shared" si="37"/>
        <v>4572.4000000000005</v>
      </c>
      <c r="G969" s="55">
        <v>987.8</v>
      </c>
      <c r="H969" s="55">
        <v>3.5000000000000003E-2</v>
      </c>
      <c r="I969" s="164">
        <f t="shared" si="36"/>
        <v>7.5612369871402322E-3</v>
      </c>
      <c r="J969" s="128"/>
      <c r="K969" s="128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</row>
    <row r="970" spans="1:24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11">
        <f t="shared" si="37"/>
        <v>140.30000000000001</v>
      </c>
      <c r="G970" s="55">
        <v>11.2</v>
      </c>
      <c r="H970" s="55">
        <v>3.5000000000000003E-2</v>
      </c>
      <c r="I970" s="164">
        <f t="shared" si="36"/>
        <v>2.7940128296507481E-3</v>
      </c>
      <c r="J970" s="128"/>
      <c r="K970" s="128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</row>
    <row r="971" spans="1:24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11">
        <f t="shared" si="37"/>
        <v>427.4</v>
      </c>
      <c r="G971" s="55">
        <v>23.8</v>
      </c>
      <c r="H971" s="55">
        <v>3.5000000000000003E-2</v>
      </c>
      <c r="I971" s="164">
        <f t="shared" si="36"/>
        <v>1.9489939167056623E-3</v>
      </c>
      <c r="J971" s="128"/>
      <c r="K971" s="128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</row>
    <row r="972" spans="1:24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11">
        <f t="shared" si="37"/>
        <v>954</v>
      </c>
      <c r="G972" s="55">
        <v>26.6</v>
      </c>
      <c r="H972" s="55">
        <v>3.5000000000000003E-2</v>
      </c>
      <c r="I972" s="164">
        <f t="shared" si="36"/>
        <v>9.7589098532494781E-4</v>
      </c>
      <c r="J972" s="128"/>
      <c r="K972" s="128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</row>
    <row r="973" spans="1:24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11">
        <f t="shared" si="37"/>
        <v>202.5</v>
      </c>
      <c r="G973" s="55">
        <v>16.8</v>
      </c>
      <c r="H973" s="55">
        <v>3.5000000000000003E-2</v>
      </c>
      <c r="I973" s="164">
        <f t="shared" si="36"/>
        <v>2.9037037037037039E-3</v>
      </c>
      <c r="J973" s="128"/>
      <c r="K973" s="128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</row>
    <row r="974" spans="1:24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11">
        <f t="shared" si="37"/>
        <v>308.2</v>
      </c>
      <c r="G974" s="55">
        <v>24.8</v>
      </c>
      <c r="H974" s="55">
        <v>3.5000000000000003E-2</v>
      </c>
      <c r="I974" s="164">
        <f t="shared" si="36"/>
        <v>2.8163530175210907E-3</v>
      </c>
      <c r="J974" s="128"/>
      <c r="K974" s="128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</row>
    <row r="975" spans="1:24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11">
        <f t="shared" si="37"/>
        <v>44.1</v>
      </c>
      <c r="G975" s="55">
        <v>4.9000000000000004</v>
      </c>
      <c r="H975" s="55">
        <v>3.5000000000000003E-2</v>
      </c>
      <c r="I975" s="164">
        <f t="shared" si="36"/>
        <v>3.8888888888888896E-3</v>
      </c>
      <c r="J975" s="128"/>
      <c r="K975" s="128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</row>
    <row r="976" spans="1:24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11">
        <f t="shared" si="37"/>
        <v>236.79</v>
      </c>
      <c r="G976" s="55">
        <v>24</v>
      </c>
      <c r="H976" s="55">
        <v>3.5000000000000003E-2</v>
      </c>
      <c r="I976" s="164">
        <f t="shared" si="36"/>
        <v>3.5474471050297735E-3</v>
      </c>
      <c r="J976" s="128"/>
      <c r="K976" s="128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</row>
    <row r="977" spans="1:24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11">
        <f t="shared" si="37"/>
        <v>571.4</v>
      </c>
      <c r="G977" s="55">
        <v>24.4</v>
      </c>
      <c r="H977" s="55">
        <v>3.5000000000000003E-2</v>
      </c>
      <c r="I977" s="164">
        <f t="shared" si="36"/>
        <v>1.4945747287364369E-3</v>
      </c>
      <c r="J977" s="128"/>
      <c r="K977" s="128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</row>
    <row r="978" spans="1:24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611">
        <f t="shared" si="37"/>
        <v>654.29999999999995</v>
      </c>
      <c r="G978" s="55">
        <v>22.8</v>
      </c>
      <c r="H978" s="55">
        <v>3.5000000000000003E-2</v>
      </c>
      <c r="I978" s="164">
        <f t="shared" si="36"/>
        <v>1.2196240256762956E-3</v>
      </c>
      <c r="J978" s="128"/>
      <c r="K978" s="128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</row>
    <row r="979" spans="1:24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611">
        <f t="shared" si="37"/>
        <v>559.79999999999995</v>
      </c>
      <c r="G979" s="55">
        <v>18</v>
      </c>
      <c r="H979" s="55">
        <v>3.5000000000000003E-2</v>
      </c>
      <c r="I979" s="164">
        <f t="shared" si="36"/>
        <v>1.1254019292604505E-3</v>
      </c>
      <c r="J979" s="128"/>
      <c r="K979" s="128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</row>
    <row r="980" spans="1:24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11">
        <f t="shared" si="37"/>
        <v>681</v>
      </c>
      <c r="G980" s="55">
        <v>22.5</v>
      </c>
      <c r="H980" s="55">
        <v>3.5000000000000003E-2</v>
      </c>
      <c r="I980" s="164">
        <f t="shared" si="36"/>
        <v>1.1563876651982381E-3</v>
      </c>
      <c r="J980" s="128"/>
      <c r="K980" s="128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</row>
    <row r="981" spans="1:24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611">
        <f t="shared" si="37"/>
        <v>373.3</v>
      </c>
      <c r="G981" s="55">
        <v>28.7</v>
      </c>
      <c r="H981" s="55">
        <v>3.5000000000000003E-2</v>
      </c>
      <c r="I981" s="164">
        <f t="shared" si="36"/>
        <v>2.6908652558264136E-3</v>
      </c>
      <c r="J981" s="128"/>
      <c r="K981" s="128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</row>
    <row r="982" spans="1:24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611">
        <f t="shared" si="37"/>
        <v>395.4</v>
      </c>
      <c r="G982" s="55">
        <v>21.2</v>
      </c>
      <c r="H982" s="55">
        <v>3.5000000000000003E-2</v>
      </c>
      <c r="I982" s="164">
        <f t="shared" si="36"/>
        <v>1.8765806777946384E-3</v>
      </c>
      <c r="J982" s="128"/>
      <c r="K982" s="128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</row>
    <row r="983" spans="1:24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611">
        <f t="shared" si="37"/>
        <v>359.5</v>
      </c>
      <c r="G983" s="55">
        <v>19.100000000000001</v>
      </c>
      <c r="H983" s="55">
        <v>3.5000000000000003E-2</v>
      </c>
      <c r="I983" s="164">
        <f t="shared" si="36"/>
        <v>1.8595271210013911E-3</v>
      </c>
      <c r="J983" s="128"/>
      <c r="K983" s="128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</row>
    <row r="984" spans="1:24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11">
        <f t="shared" si="37"/>
        <v>581.70000000000005</v>
      </c>
      <c r="G984" s="55">
        <v>18.7</v>
      </c>
      <c r="H984" s="55">
        <v>3.5000000000000003E-2</v>
      </c>
      <c r="I984" s="164">
        <f t="shared" si="36"/>
        <v>1.125150421179302E-3</v>
      </c>
      <c r="J984" s="128"/>
      <c r="K984" s="128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</row>
    <row r="985" spans="1:24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611">
        <f t="shared" si="37"/>
        <v>397</v>
      </c>
      <c r="G985" s="55">
        <v>21.3</v>
      </c>
      <c r="H985" s="55">
        <v>3.5000000000000003E-2</v>
      </c>
      <c r="I985" s="164">
        <f t="shared" si="36"/>
        <v>1.8778337531486148E-3</v>
      </c>
      <c r="J985" s="128"/>
      <c r="K985" s="128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</row>
    <row r="986" spans="1:24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611">
        <f t="shared" si="37"/>
        <v>271.5</v>
      </c>
      <c r="G986" s="55">
        <v>18.3</v>
      </c>
      <c r="H986" s="55">
        <v>3.5000000000000003E-2</v>
      </c>
      <c r="I986" s="164">
        <f t="shared" si="36"/>
        <v>2.3591160220994478E-3</v>
      </c>
      <c r="J986" s="128"/>
      <c r="K986" s="128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</row>
    <row r="987" spans="1:24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611">
        <f t="shared" si="37"/>
        <v>258.60000000000002</v>
      </c>
      <c r="G987" s="55">
        <v>14.8</v>
      </c>
      <c r="H987" s="55">
        <v>3.5000000000000003E-2</v>
      </c>
      <c r="I987" s="164">
        <f t="shared" si="36"/>
        <v>2.0030935808197994E-3</v>
      </c>
      <c r="J987" s="128"/>
      <c r="K987" s="128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</row>
    <row r="988" spans="1:24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611">
        <f t="shared" si="37"/>
        <v>737.4</v>
      </c>
      <c r="G988" s="55">
        <v>48.8</v>
      </c>
      <c r="H988" s="55">
        <v>3.5000000000000003E-2</v>
      </c>
      <c r="I988" s="164">
        <f t="shared" si="36"/>
        <v>2.3162462706807704E-3</v>
      </c>
      <c r="J988" s="128"/>
      <c r="K988" s="128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</row>
    <row r="989" spans="1:24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611">
        <f t="shared" si="37"/>
        <v>473.4</v>
      </c>
      <c r="G989" s="55">
        <v>36.200000000000003</v>
      </c>
      <c r="H989" s="55">
        <v>3.5000000000000003E-2</v>
      </c>
      <c r="I989" s="164">
        <f t="shared" si="36"/>
        <v>2.6763836079425436E-3</v>
      </c>
      <c r="J989" s="128"/>
      <c r="K989" s="128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</row>
    <row r="990" spans="1:24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611">
        <f t="shared" si="37"/>
        <v>320.60000000000002</v>
      </c>
      <c r="G990" s="55">
        <v>29.9</v>
      </c>
      <c r="H990" s="55">
        <v>3.5000000000000003E-2</v>
      </c>
      <c r="I990" s="164">
        <f t="shared" si="36"/>
        <v>3.2641921397379911E-3</v>
      </c>
      <c r="J990" s="128"/>
      <c r="K990" s="128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</row>
    <row r="991" spans="1:24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611">
        <f t="shared" si="37"/>
        <v>963.8</v>
      </c>
      <c r="G991" s="55">
        <v>24.8</v>
      </c>
      <c r="H991" s="55">
        <v>3.5000000000000003E-2</v>
      </c>
      <c r="I991" s="164">
        <f t="shared" si="36"/>
        <v>9.0060178460261476E-4</v>
      </c>
      <c r="J991" s="128"/>
      <c r="K991" s="128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</row>
    <row r="992" spans="1:24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611">
        <f t="shared" si="37"/>
        <v>143.69999999999999</v>
      </c>
      <c r="G992" s="55">
        <v>12.4</v>
      </c>
      <c r="H992" s="55">
        <v>3.5000000000000003E-2</v>
      </c>
      <c r="I992" s="164">
        <f t="shared" si="36"/>
        <v>3.0201809324982608E-3</v>
      </c>
      <c r="J992" s="128"/>
      <c r="K992" s="128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</row>
    <row r="993" spans="1:24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611">
        <f t="shared" si="37"/>
        <v>136.80000000000001</v>
      </c>
      <c r="G993" s="55">
        <v>15.8</v>
      </c>
      <c r="H993" s="55">
        <v>3.5000000000000003E-2</v>
      </c>
      <c r="I993" s="164">
        <f t="shared" si="36"/>
        <v>4.0423976608187136E-3</v>
      </c>
      <c r="J993" s="128"/>
      <c r="K993" s="128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</row>
    <row r="994" spans="1:24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611">
        <f t="shared" si="37"/>
        <v>128.1</v>
      </c>
      <c r="G994" s="55">
        <v>11.1</v>
      </c>
      <c r="H994" s="55">
        <v>3.5000000000000003E-2</v>
      </c>
      <c r="I994" s="164">
        <f t="shared" si="36"/>
        <v>3.0327868852459017E-3</v>
      </c>
      <c r="J994" s="128"/>
      <c r="K994" s="128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</row>
    <row r="995" spans="1:24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611">
        <f t="shared" si="37"/>
        <v>72.5</v>
      </c>
      <c r="G995" s="55">
        <v>7.3</v>
      </c>
      <c r="H995" s="55">
        <v>3.5000000000000003E-2</v>
      </c>
      <c r="I995" s="164">
        <f t="shared" si="36"/>
        <v>3.5241379310344827E-3</v>
      </c>
      <c r="J995" s="128"/>
      <c r="K995" s="128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</row>
    <row r="996" spans="1:24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611">
        <f t="shared" si="37"/>
        <v>237.6</v>
      </c>
      <c r="G996" s="55">
        <v>23.4</v>
      </c>
      <c r="H996" s="55">
        <v>3.5000000000000003E-2</v>
      </c>
      <c r="I996" s="164">
        <f t="shared" si="36"/>
        <v>3.4469696969696975E-3</v>
      </c>
      <c r="J996" s="128"/>
      <c r="K996" s="128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</row>
    <row r="997" spans="1:24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611">
        <f t="shared" si="37"/>
        <v>106.4</v>
      </c>
      <c r="G997" s="55">
        <v>12.1</v>
      </c>
      <c r="H997" s="55">
        <v>3.5000000000000003E-2</v>
      </c>
      <c r="I997" s="164">
        <f t="shared" si="36"/>
        <v>3.9802631578947367E-3</v>
      </c>
      <c r="J997" s="128"/>
      <c r="K997" s="128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</row>
    <row r="998" spans="1:24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611">
        <f t="shared" si="37"/>
        <v>348.62</v>
      </c>
      <c r="G998" s="55">
        <v>23.1</v>
      </c>
      <c r="H998" s="55">
        <v>3.5000000000000003E-2</v>
      </c>
      <c r="I998" s="164">
        <f t="shared" si="36"/>
        <v>2.3191440536974358E-3</v>
      </c>
      <c r="J998" s="128"/>
      <c r="K998" s="128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</row>
    <row r="999" spans="1:24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611">
        <f t="shared" si="37"/>
        <v>360.12</v>
      </c>
      <c r="G999" s="55">
        <v>23.3</v>
      </c>
      <c r="H999" s="55">
        <v>3.5000000000000003E-2</v>
      </c>
      <c r="I999" s="164">
        <f t="shared" si="36"/>
        <v>2.2645229367988452E-3</v>
      </c>
      <c r="J999" s="128"/>
      <c r="K999" s="128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</row>
    <row r="1000" spans="1:24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611">
        <f t="shared" si="37"/>
        <v>301.69</v>
      </c>
      <c r="G1000" s="55">
        <v>24</v>
      </c>
      <c r="H1000" s="55">
        <v>3.5000000000000003E-2</v>
      </c>
      <c r="I1000" s="164">
        <f t="shared" si="36"/>
        <v>2.7843150253571551E-3</v>
      </c>
      <c r="J1000" s="128"/>
      <c r="K1000" s="128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</row>
    <row r="1001" spans="1:24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611">
        <f t="shared" si="37"/>
        <v>136.1</v>
      </c>
      <c r="G1001" s="55">
        <v>13</v>
      </c>
      <c r="H1001" s="55">
        <v>3.5000000000000003E-2</v>
      </c>
      <c r="I1001" s="164">
        <f t="shared" si="36"/>
        <v>3.3431300514327705E-3</v>
      </c>
      <c r="J1001" s="128"/>
      <c r="K1001" s="128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</row>
    <row r="1002" spans="1:24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611">
        <f t="shared" si="37"/>
        <v>113.9</v>
      </c>
      <c r="G1002" s="55">
        <v>14</v>
      </c>
      <c r="H1002" s="55">
        <v>3.5000000000000003E-2</v>
      </c>
      <c r="I1002" s="164">
        <f t="shared" si="36"/>
        <v>4.3020193151887621E-3</v>
      </c>
      <c r="J1002" s="128"/>
      <c r="K1002" s="128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</row>
    <row r="1003" spans="1:24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611">
        <f t="shared" si="37"/>
        <v>566.45000000000005</v>
      </c>
      <c r="G1003" s="55">
        <v>11.5</v>
      </c>
      <c r="H1003" s="55">
        <v>3.5000000000000003E-2</v>
      </c>
      <c r="I1003" s="164">
        <f t="shared" si="36"/>
        <v>7.1056580457233651E-4</v>
      </c>
      <c r="J1003" s="128"/>
      <c r="K1003" s="128"/>
      <c r="L1003" s="93"/>
      <c r="M1003" s="93"/>
      <c r="N1003" s="93"/>
      <c r="O1003" s="93"/>
      <c r="P1003" s="93"/>
      <c r="Q1003" s="93"/>
      <c r="R1003" s="93"/>
      <c r="S1003" s="93"/>
      <c r="T1003" s="93"/>
      <c r="U1003" s="93"/>
      <c r="V1003" s="93"/>
      <c r="W1003" s="93"/>
      <c r="X1003" s="93"/>
    </row>
    <row r="1004" spans="1:24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611">
        <f t="shared" si="37"/>
        <v>760.45</v>
      </c>
      <c r="G1004" s="55">
        <v>78.599999999999994</v>
      </c>
      <c r="H1004" s="55">
        <v>3.5000000000000003E-2</v>
      </c>
      <c r="I1004" s="164">
        <f t="shared" si="36"/>
        <v>3.6175948451574722E-3</v>
      </c>
      <c r="J1004" s="128"/>
      <c r="K1004" s="128"/>
      <c r="L1004" s="93"/>
      <c r="M1004" s="93"/>
      <c r="N1004" s="93"/>
      <c r="O1004" s="93"/>
      <c r="P1004" s="93"/>
      <c r="Q1004" s="93"/>
      <c r="R1004" s="93"/>
      <c r="S1004" s="93"/>
      <c r="T1004" s="93"/>
      <c r="U1004" s="93"/>
      <c r="V1004" s="93"/>
      <c r="W1004" s="93"/>
      <c r="X1004" s="93"/>
    </row>
    <row r="1005" spans="1:24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611">
        <f t="shared" si="37"/>
        <v>275.3</v>
      </c>
      <c r="G1005" s="55">
        <v>26.6</v>
      </c>
      <c r="H1005" s="55">
        <v>3.5000000000000003E-2</v>
      </c>
      <c r="I1005" s="164">
        <f t="shared" si="36"/>
        <v>3.3817653468942977E-3</v>
      </c>
      <c r="J1005" s="128"/>
      <c r="K1005" s="128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</row>
    <row r="1006" spans="1:24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611">
        <f t="shared" si="37"/>
        <v>384.4</v>
      </c>
      <c r="G1006" s="55">
        <v>19.8</v>
      </c>
      <c r="H1006" s="55">
        <v>3.5000000000000003E-2</v>
      </c>
      <c r="I1006" s="164">
        <f t="shared" si="36"/>
        <v>1.8028095733610824E-3</v>
      </c>
      <c r="J1006" s="128"/>
      <c r="K1006" s="128"/>
      <c r="L1006" s="93"/>
      <c r="M1006" s="93"/>
      <c r="N1006" s="93"/>
      <c r="O1006" s="93"/>
      <c r="P1006" s="93"/>
      <c r="Q1006" s="93"/>
      <c r="R1006" s="93"/>
      <c r="S1006" s="93"/>
      <c r="T1006" s="93"/>
      <c r="U1006" s="93"/>
      <c r="V1006" s="93"/>
      <c r="W1006" s="93"/>
      <c r="X1006" s="93"/>
    </row>
    <row r="1007" spans="1:24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611">
        <f t="shared" si="37"/>
        <v>207.2</v>
      </c>
      <c r="G1007" s="55">
        <v>15.6</v>
      </c>
      <c r="H1007" s="55">
        <v>3.5000000000000003E-2</v>
      </c>
      <c r="I1007" s="164">
        <f t="shared" si="36"/>
        <v>2.6351351351351355E-3</v>
      </c>
      <c r="J1007" s="128"/>
      <c r="K1007" s="128"/>
      <c r="L1007" s="93"/>
      <c r="M1007" s="93"/>
      <c r="N1007" s="93"/>
      <c r="O1007" s="93"/>
      <c r="P1007" s="93"/>
      <c r="Q1007" s="93"/>
      <c r="R1007" s="93"/>
      <c r="S1007" s="93"/>
      <c r="T1007" s="93"/>
      <c r="U1007" s="93"/>
      <c r="V1007" s="93"/>
      <c r="W1007" s="93"/>
      <c r="X1007" s="93"/>
    </row>
    <row r="1008" spans="1:24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611">
        <f t="shared" si="37"/>
        <v>603.70000000000005</v>
      </c>
      <c r="G1008" s="55">
        <v>23.3</v>
      </c>
      <c r="H1008" s="55">
        <v>3.5000000000000003E-2</v>
      </c>
      <c r="I1008" s="164">
        <f t="shared" ref="I1008:I1069" si="38">G1008*H1008/F1008</f>
        <v>1.350836508199437E-3</v>
      </c>
      <c r="J1008" s="128"/>
      <c r="K1008" s="128"/>
      <c r="L1008" s="93"/>
      <c r="M1008" s="93"/>
      <c r="N1008" s="93"/>
      <c r="O1008" s="93"/>
      <c r="P1008" s="93"/>
      <c r="Q1008" s="93"/>
      <c r="R1008" s="93"/>
      <c r="S1008" s="93"/>
      <c r="T1008" s="93"/>
      <c r="U1008" s="93"/>
      <c r="V1008" s="93"/>
      <c r="W1008" s="93"/>
      <c r="X1008" s="93"/>
    </row>
    <row r="1009" spans="1:24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611">
        <f t="shared" si="37"/>
        <v>477.8</v>
      </c>
      <c r="G1009" s="55">
        <v>20</v>
      </c>
      <c r="H1009" s="55">
        <v>3.5000000000000003E-2</v>
      </c>
      <c r="I1009" s="164">
        <f t="shared" si="38"/>
        <v>1.4650481372959399E-3</v>
      </c>
      <c r="J1009" s="128"/>
      <c r="K1009" s="128"/>
      <c r="L1009" s="93"/>
      <c r="M1009" s="93"/>
      <c r="N1009" s="93"/>
      <c r="O1009" s="93"/>
      <c r="P1009" s="93"/>
      <c r="Q1009" s="93"/>
      <c r="R1009" s="93"/>
      <c r="S1009" s="93"/>
      <c r="T1009" s="93"/>
      <c r="U1009" s="93"/>
      <c r="V1009" s="93"/>
      <c r="W1009" s="93"/>
      <c r="X1009" s="93"/>
    </row>
    <row r="1010" spans="1:24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611">
        <f t="shared" si="37"/>
        <v>481.5</v>
      </c>
      <c r="G1010" s="55">
        <v>25</v>
      </c>
      <c r="H1010" s="55">
        <v>3.5000000000000003E-2</v>
      </c>
      <c r="I1010" s="164">
        <f t="shared" si="38"/>
        <v>1.81723779854621E-3</v>
      </c>
      <c r="J1010" s="128"/>
      <c r="K1010" s="128"/>
      <c r="L1010" s="93"/>
      <c r="M1010" s="93"/>
      <c r="N1010" s="93"/>
      <c r="O1010" s="93"/>
      <c r="P1010" s="93"/>
      <c r="Q1010" s="93"/>
      <c r="R1010" s="93"/>
      <c r="S1010" s="93"/>
      <c r="T1010" s="93"/>
      <c r="U1010" s="93"/>
      <c r="V1010" s="93"/>
      <c r="W1010" s="93"/>
      <c r="X1010" s="93"/>
    </row>
    <row r="1011" spans="1:24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611">
        <f t="shared" si="37"/>
        <v>539.4</v>
      </c>
      <c r="G1011" s="55">
        <v>20.3</v>
      </c>
      <c r="H1011" s="55">
        <v>3.5000000000000003E-2</v>
      </c>
      <c r="I1011" s="164">
        <f t="shared" si="38"/>
        <v>1.3172043010752691E-3</v>
      </c>
      <c r="J1011" s="128"/>
      <c r="K1011" s="128"/>
      <c r="L1011" s="93"/>
      <c r="M1011" s="93"/>
      <c r="N1011" s="93"/>
      <c r="O1011" s="93"/>
      <c r="P1011" s="93"/>
      <c r="Q1011" s="93"/>
      <c r="R1011" s="93"/>
      <c r="S1011" s="93"/>
      <c r="T1011" s="93"/>
      <c r="U1011" s="93"/>
      <c r="V1011" s="93"/>
      <c r="W1011" s="93"/>
      <c r="X1011" s="93"/>
    </row>
    <row r="1012" spans="1:24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611">
        <f t="shared" si="37"/>
        <v>120.6</v>
      </c>
      <c r="G1012" s="55">
        <v>15</v>
      </c>
      <c r="H1012" s="55">
        <v>3.5000000000000003E-2</v>
      </c>
      <c r="I1012" s="164">
        <f t="shared" si="38"/>
        <v>4.3532338308457713E-3</v>
      </c>
      <c r="J1012" s="128"/>
      <c r="K1012" s="128"/>
      <c r="L1012" s="93"/>
      <c r="M1012" s="93"/>
      <c r="N1012" s="93"/>
      <c r="O1012" s="93"/>
      <c r="P1012" s="93"/>
      <c r="Q1012" s="93"/>
      <c r="R1012" s="93"/>
      <c r="S1012" s="93"/>
      <c r="T1012" s="93"/>
      <c r="U1012" s="93"/>
      <c r="V1012" s="93"/>
      <c r="W1012" s="93"/>
      <c r="X1012" s="93"/>
    </row>
    <row r="1013" spans="1:24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611">
        <f t="shared" si="37"/>
        <v>98.1</v>
      </c>
      <c r="G1013" s="55">
        <v>15</v>
      </c>
      <c r="H1013" s="55">
        <v>3.5000000000000003E-2</v>
      </c>
      <c r="I1013" s="164">
        <f t="shared" si="38"/>
        <v>5.3516819571865449E-3</v>
      </c>
      <c r="J1013" s="128"/>
      <c r="K1013" s="128"/>
      <c r="L1013" s="93"/>
      <c r="M1013" s="93"/>
      <c r="N1013" s="93"/>
      <c r="O1013" s="93"/>
      <c r="P1013" s="93"/>
      <c r="Q1013" s="93"/>
      <c r="R1013" s="93"/>
      <c r="S1013" s="93"/>
      <c r="T1013" s="93"/>
      <c r="U1013" s="93"/>
      <c r="V1013" s="93"/>
      <c r="W1013" s="93"/>
      <c r="X1013" s="93"/>
    </row>
    <row r="1014" spans="1:24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611">
        <f t="shared" si="37"/>
        <v>95.2</v>
      </c>
      <c r="G1014" s="55">
        <v>10</v>
      </c>
      <c r="H1014" s="55">
        <v>3.5000000000000003E-2</v>
      </c>
      <c r="I1014" s="164">
        <f t="shared" si="38"/>
        <v>3.6764705882352945E-3</v>
      </c>
      <c r="J1014" s="128"/>
      <c r="K1014" s="128"/>
      <c r="L1014" s="93"/>
      <c r="M1014" s="93"/>
      <c r="N1014" s="93"/>
      <c r="O1014" s="93"/>
      <c r="P1014" s="93"/>
      <c r="Q1014" s="93"/>
      <c r="R1014" s="93"/>
      <c r="S1014" s="93"/>
      <c r="T1014" s="93"/>
      <c r="U1014" s="93"/>
      <c r="V1014" s="93"/>
      <c r="W1014" s="93"/>
      <c r="X1014" s="93"/>
    </row>
    <row r="1015" spans="1:24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611">
        <f t="shared" si="37"/>
        <v>2329.16</v>
      </c>
      <c r="G1015" s="55">
        <v>225</v>
      </c>
      <c r="H1015" s="55">
        <v>3.5000000000000003E-2</v>
      </c>
      <c r="I1015" s="164">
        <f t="shared" si="38"/>
        <v>3.3810472445001639E-3</v>
      </c>
      <c r="J1015" s="128"/>
      <c r="K1015" s="128"/>
      <c r="L1015" s="93"/>
      <c r="M1015" s="93"/>
      <c r="N1015" s="93"/>
      <c r="O1015" s="93"/>
      <c r="P1015" s="93"/>
      <c r="Q1015" s="93"/>
      <c r="R1015" s="93"/>
      <c r="S1015" s="93"/>
      <c r="T1015" s="93"/>
      <c r="U1015" s="93"/>
      <c r="V1015" s="93"/>
      <c r="W1015" s="93"/>
      <c r="X1015" s="93"/>
    </row>
    <row r="1016" spans="1:24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611">
        <f t="shared" si="37"/>
        <v>188</v>
      </c>
      <c r="G1016" s="55">
        <v>13.1</v>
      </c>
      <c r="H1016" s="55">
        <v>3.5000000000000003E-2</v>
      </c>
      <c r="I1016" s="164">
        <f t="shared" si="38"/>
        <v>2.4388297872340427E-3</v>
      </c>
      <c r="J1016" s="128"/>
      <c r="K1016" s="128"/>
      <c r="L1016" s="93"/>
      <c r="M1016" s="93"/>
      <c r="N1016" s="93"/>
      <c r="O1016" s="93"/>
      <c r="P1016" s="93"/>
      <c r="Q1016" s="93"/>
      <c r="R1016" s="93"/>
      <c r="S1016" s="93"/>
      <c r="T1016" s="93"/>
      <c r="U1016" s="93"/>
      <c r="V1016" s="93"/>
      <c r="W1016" s="93"/>
      <c r="X1016" s="93"/>
    </row>
    <row r="1017" spans="1:24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611">
        <f t="shared" si="37"/>
        <v>110.1</v>
      </c>
      <c r="G1017" s="55">
        <v>8.8000000000000007</v>
      </c>
      <c r="H1017" s="55">
        <v>3.5000000000000003E-2</v>
      </c>
      <c r="I1017" s="164">
        <f t="shared" si="38"/>
        <v>2.797456857402362E-3</v>
      </c>
      <c r="J1017" s="128"/>
      <c r="K1017" s="128"/>
      <c r="L1017" s="93"/>
      <c r="M1017" s="93"/>
      <c r="N1017" s="93"/>
      <c r="O1017" s="93"/>
      <c r="P1017" s="93"/>
      <c r="Q1017" s="93"/>
      <c r="R1017" s="93"/>
      <c r="S1017" s="93"/>
      <c r="T1017" s="93"/>
      <c r="U1017" s="93"/>
      <c r="V1017" s="93"/>
      <c r="W1017" s="93"/>
      <c r="X1017" s="93"/>
    </row>
    <row r="1018" spans="1:24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611">
        <f t="shared" si="37"/>
        <v>215.8</v>
      </c>
      <c r="G1018" s="55">
        <v>14.8</v>
      </c>
      <c r="H1018" s="55">
        <v>3.5000000000000003E-2</v>
      </c>
      <c r="I1018" s="164">
        <f t="shared" si="38"/>
        <v>2.4003707136237263E-3</v>
      </c>
      <c r="J1018" s="128"/>
      <c r="K1018" s="128"/>
      <c r="L1018" s="93"/>
      <c r="M1018" s="93"/>
      <c r="N1018" s="93"/>
      <c r="O1018" s="93"/>
      <c r="P1018" s="93"/>
      <c r="Q1018" s="93"/>
      <c r="R1018" s="93"/>
      <c r="S1018" s="93"/>
      <c r="T1018" s="93"/>
      <c r="U1018" s="93"/>
      <c r="V1018" s="93"/>
      <c r="W1018" s="93"/>
      <c r="X1018" s="93"/>
    </row>
    <row r="1019" spans="1:24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611">
        <f t="shared" si="37"/>
        <v>1481.3</v>
      </c>
      <c r="G1019" s="55">
        <v>140</v>
      </c>
      <c r="H1019" s="55">
        <v>3.5000000000000003E-2</v>
      </c>
      <c r="I1019" s="164">
        <f t="shared" si="38"/>
        <v>3.3079052183892532E-3</v>
      </c>
      <c r="J1019" s="128"/>
      <c r="K1019" s="128"/>
      <c r="L1019" s="93"/>
      <c r="M1019" s="93"/>
      <c r="N1019" s="93"/>
      <c r="O1019" s="93"/>
      <c r="P1019" s="93"/>
      <c r="Q1019" s="93"/>
      <c r="R1019" s="93"/>
      <c r="S1019" s="93"/>
      <c r="T1019" s="93"/>
      <c r="U1019" s="93"/>
      <c r="V1019" s="93"/>
      <c r="W1019" s="93"/>
      <c r="X1019" s="93"/>
    </row>
    <row r="1020" spans="1:24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611">
        <f t="shared" si="37"/>
        <v>152.6</v>
      </c>
      <c r="G1020" s="55">
        <v>11.9</v>
      </c>
      <c r="H1020" s="55">
        <v>3.5000000000000003E-2</v>
      </c>
      <c r="I1020" s="164">
        <f t="shared" si="38"/>
        <v>2.7293577981651381E-3</v>
      </c>
      <c r="J1020" s="128"/>
      <c r="K1020" s="128"/>
      <c r="L1020" s="93"/>
      <c r="M1020" s="93"/>
      <c r="N1020" s="93"/>
      <c r="O1020" s="93"/>
      <c r="P1020" s="93"/>
      <c r="Q1020" s="93"/>
      <c r="R1020" s="93"/>
      <c r="S1020" s="93"/>
      <c r="T1020" s="93"/>
      <c r="U1020" s="93"/>
      <c r="V1020" s="93"/>
      <c r="W1020" s="93"/>
      <c r="X1020" s="93"/>
    </row>
    <row r="1021" spans="1:24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611">
        <f t="shared" si="37"/>
        <v>110.9</v>
      </c>
      <c r="G1021" s="55">
        <v>12.9</v>
      </c>
      <c r="H1021" s="55">
        <v>3.5000000000000003E-2</v>
      </c>
      <c r="I1021" s="164">
        <f t="shared" si="38"/>
        <v>4.0712353471596035E-3</v>
      </c>
      <c r="J1021" s="128"/>
      <c r="K1021" s="128"/>
      <c r="L1021" s="93"/>
      <c r="M1021" s="93"/>
      <c r="N1021" s="93"/>
      <c r="O1021" s="93"/>
      <c r="P1021" s="93"/>
      <c r="Q1021" s="93"/>
      <c r="R1021" s="93"/>
      <c r="S1021" s="93"/>
      <c r="T1021" s="93"/>
      <c r="U1021" s="93"/>
      <c r="V1021" s="93"/>
      <c r="W1021" s="93"/>
      <c r="X1021" s="93"/>
    </row>
    <row r="1022" spans="1:24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611">
        <f t="shared" si="37"/>
        <v>59.5</v>
      </c>
      <c r="G1022" s="55">
        <v>10.1</v>
      </c>
      <c r="H1022" s="55">
        <v>3.5000000000000003E-2</v>
      </c>
      <c r="I1022" s="164">
        <f t="shared" si="38"/>
        <v>5.9411764705882362E-3</v>
      </c>
      <c r="J1022" s="128"/>
      <c r="K1022" s="128"/>
      <c r="L1022" s="93"/>
      <c r="M1022" s="93"/>
      <c r="N1022" s="93"/>
      <c r="O1022" s="93"/>
      <c r="P1022" s="93"/>
      <c r="Q1022" s="93"/>
      <c r="R1022" s="93"/>
      <c r="S1022" s="93"/>
      <c r="T1022" s="93"/>
      <c r="U1022" s="93"/>
      <c r="V1022" s="93"/>
      <c r="W1022" s="93"/>
      <c r="X1022" s="93"/>
    </row>
    <row r="1023" spans="1:24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611">
        <f t="shared" si="37"/>
        <v>38.700000000000003</v>
      </c>
      <c r="G1023" s="55">
        <v>4.3</v>
      </c>
      <c r="H1023" s="55">
        <v>3.5000000000000003E-2</v>
      </c>
      <c r="I1023" s="164">
        <f t="shared" si="38"/>
        <v>3.8888888888888883E-3</v>
      </c>
      <c r="J1023" s="128"/>
      <c r="K1023" s="128"/>
      <c r="L1023" s="93"/>
      <c r="M1023" s="93"/>
      <c r="N1023" s="93"/>
      <c r="O1023" s="93"/>
      <c r="P1023" s="93"/>
      <c r="Q1023" s="93"/>
      <c r="R1023" s="93"/>
      <c r="S1023" s="93"/>
      <c r="T1023" s="93"/>
      <c r="U1023" s="93"/>
      <c r="V1023" s="93"/>
      <c r="W1023" s="93"/>
      <c r="X1023" s="93"/>
    </row>
    <row r="1024" spans="1:24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611">
        <f t="shared" si="37"/>
        <v>72.3</v>
      </c>
      <c r="G1024" s="55">
        <v>6.8</v>
      </c>
      <c r="H1024" s="55">
        <v>3.5000000000000003E-2</v>
      </c>
      <c r="I1024" s="164">
        <f t="shared" si="38"/>
        <v>3.2918395573997236E-3</v>
      </c>
      <c r="J1024" s="128"/>
      <c r="K1024" s="128"/>
      <c r="L1024" s="93"/>
      <c r="M1024" s="93"/>
      <c r="N1024" s="93"/>
      <c r="O1024" s="93"/>
      <c r="P1024" s="93"/>
      <c r="Q1024" s="93"/>
      <c r="R1024" s="93"/>
      <c r="S1024" s="93"/>
      <c r="T1024" s="93"/>
      <c r="U1024" s="93"/>
      <c r="V1024" s="93"/>
      <c r="W1024" s="93"/>
      <c r="X1024" s="93"/>
    </row>
    <row r="1025" spans="1:24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611">
        <f t="shared" si="37"/>
        <v>99.09</v>
      </c>
      <c r="G1025" s="55">
        <v>10.8</v>
      </c>
      <c r="H1025" s="55">
        <v>3.5000000000000003E-2</v>
      </c>
      <c r="I1025" s="164">
        <f t="shared" si="38"/>
        <v>3.8147138964577661E-3</v>
      </c>
      <c r="J1025" s="128"/>
      <c r="K1025" s="128"/>
      <c r="L1025" s="93"/>
      <c r="M1025" s="93"/>
      <c r="N1025" s="93"/>
      <c r="O1025" s="93"/>
      <c r="P1025" s="93"/>
      <c r="Q1025" s="93"/>
      <c r="R1025" s="93"/>
      <c r="S1025" s="93"/>
      <c r="T1025" s="93"/>
      <c r="U1025" s="93"/>
      <c r="V1025" s="93"/>
      <c r="W1025" s="93"/>
      <c r="X1025" s="93"/>
    </row>
    <row r="1026" spans="1:24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611">
        <f t="shared" ref="F1026:F1086" si="39">C1026+D1026+E1026</f>
        <v>78.7</v>
      </c>
      <c r="G1026" s="55">
        <v>8.1999999999999993</v>
      </c>
      <c r="H1026" s="55">
        <v>3.5000000000000003E-2</v>
      </c>
      <c r="I1026" s="164">
        <f t="shared" si="38"/>
        <v>3.6467598475222358E-3</v>
      </c>
      <c r="J1026" s="128"/>
      <c r="K1026" s="128"/>
      <c r="L1026" s="93"/>
      <c r="M1026" s="93"/>
      <c r="N1026" s="93"/>
      <c r="O1026" s="93"/>
      <c r="P1026" s="93"/>
      <c r="Q1026" s="93"/>
      <c r="R1026" s="93"/>
      <c r="S1026" s="93"/>
      <c r="T1026" s="93"/>
      <c r="U1026" s="93"/>
      <c r="V1026" s="93"/>
      <c r="W1026" s="93"/>
      <c r="X1026" s="93"/>
    </row>
    <row r="1027" spans="1:24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611">
        <f t="shared" si="39"/>
        <v>557.9</v>
      </c>
      <c r="G1027" s="55">
        <v>18</v>
      </c>
      <c r="H1027" s="55">
        <v>3.5000000000000003E-2</v>
      </c>
      <c r="I1027" s="164">
        <f t="shared" si="38"/>
        <v>1.1292346298619827E-3</v>
      </c>
      <c r="J1027" s="128"/>
      <c r="K1027" s="128"/>
      <c r="L1027" s="93"/>
      <c r="M1027" s="93"/>
      <c r="N1027" s="93"/>
      <c r="O1027" s="93"/>
      <c r="P1027" s="93"/>
      <c r="Q1027" s="93"/>
      <c r="R1027" s="93"/>
      <c r="S1027" s="93"/>
      <c r="T1027" s="93"/>
      <c r="U1027" s="93"/>
      <c r="V1027" s="93"/>
      <c r="W1027" s="93"/>
      <c r="X1027" s="93"/>
    </row>
    <row r="1028" spans="1:24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611">
        <f t="shared" si="39"/>
        <v>122.5</v>
      </c>
      <c r="G1028" s="55">
        <v>12</v>
      </c>
      <c r="H1028" s="55">
        <v>3.5000000000000003E-2</v>
      </c>
      <c r="I1028" s="164">
        <f t="shared" si="38"/>
        <v>3.4285714285714288E-3</v>
      </c>
      <c r="J1028" s="128"/>
      <c r="K1028" s="128"/>
      <c r="L1028" s="93"/>
      <c r="M1028" s="93"/>
      <c r="N1028" s="93"/>
      <c r="O1028" s="93"/>
      <c r="P1028" s="93"/>
      <c r="Q1028" s="93"/>
      <c r="R1028" s="93"/>
      <c r="S1028" s="93"/>
      <c r="T1028" s="93"/>
      <c r="U1028" s="93"/>
      <c r="V1028" s="93"/>
      <c r="W1028" s="93"/>
      <c r="X1028" s="93"/>
    </row>
    <row r="1029" spans="1:24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11">
        <f t="shared" si="39"/>
        <v>275.5</v>
      </c>
      <c r="G1029" s="55">
        <v>25.2</v>
      </c>
      <c r="H1029" s="55">
        <v>3.5000000000000003E-2</v>
      </c>
      <c r="I1029" s="164">
        <f t="shared" si="38"/>
        <v>3.2014519056261345E-3</v>
      </c>
      <c r="J1029" s="128"/>
      <c r="K1029" s="128"/>
      <c r="L1029" s="93"/>
      <c r="M1029" s="93"/>
      <c r="N1029" s="93"/>
      <c r="O1029" s="93"/>
      <c r="P1029" s="93"/>
      <c r="Q1029" s="93"/>
      <c r="R1029" s="93"/>
      <c r="S1029" s="93"/>
      <c r="T1029" s="93"/>
      <c r="U1029" s="93"/>
      <c r="V1029" s="93"/>
      <c r="W1029" s="93"/>
      <c r="X1029" s="93"/>
    </row>
    <row r="1030" spans="1:24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611">
        <f t="shared" si="39"/>
        <v>189.1</v>
      </c>
      <c r="G1030" s="55">
        <v>14.4</v>
      </c>
      <c r="H1030" s="55">
        <v>3.5000000000000003E-2</v>
      </c>
      <c r="I1030" s="164">
        <f t="shared" si="38"/>
        <v>2.6652564780539406E-3</v>
      </c>
      <c r="J1030" s="128"/>
      <c r="K1030" s="128"/>
      <c r="L1030" s="93"/>
      <c r="M1030" s="93"/>
      <c r="N1030" s="93"/>
      <c r="O1030" s="93"/>
      <c r="P1030" s="93"/>
      <c r="Q1030" s="93"/>
      <c r="R1030" s="93"/>
      <c r="S1030" s="93"/>
      <c r="T1030" s="93"/>
      <c r="U1030" s="93"/>
      <c r="V1030" s="93"/>
      <c r="W1030" s="93"/>
      <c r="X1030" s="93"/>
    </row>
    <row r="1031" spans="1:24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611">
        <f t="shared" si="39"/>
        <v>590.4</v>
      </c>
      <c r="G1031" s="55">
        <v>41.8</v>
      </c>
      <c r="H1031" s="55">
        <v>3.5000000000000003E-2</v>
      </c>
      <c r="I1031" s="164">
        <f t="shared" si="38"/>
        <v>2.4779810298102985E-3</v>
      </c>
      <c r="J1031" s="128"/>
      <c r="K1031" s="128"/>
      <c r="L1031" s="93"/>
      <c r="M1031" s="93"/>
      <c r="N1031" s="93"/>
      <c r="O1031" s="93"/>
      <c r="P1031" s="93"/>
      <c r="Q1031" s="93"/>
      <c r="R1031" s="93"/>
      <c r="S1031" s="93"/>
      <c r="T1031" s="93"/>
      <c r="U1031" s="93"/>
      <c r="V1031" s="93"/>
      <c r="W1031" s="93"/>
      <c r="X1031" s="93"/>
    </row>
    <row r="1032" spans="1:24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611">
        <f t="shared" si="39"/>
        <v>761.4</v>
      </c>
      <c r="G1032" s="55">
        <v>23.2</v>
      </c>
      <c r="H1032" s="55">
        <v>3.5000000000000003E-2</v>
      </c>
      <c r="I1032" s="164">
        <f t="shared" si="38"/>
        <v>1.0664565274494354E-3</v>
      </c>
      <c r="J1032" s="128"/>
      <c r="K1032" s="128"/>
      <c r="L1032" s="93"/>
      <c r="M1032" s="93"/>
      <c r="N1032" s="93"/>
      <c r="O1032" s="93"/>
      <c r="P1032" s="93"/>
      <c r="Q1032" s="93"/>
      <c r="R1032" s="93"/>
      <c r="S1032" s="93"/>
      <c r="T1032" s="93"/>
      <c r="U1032" s="93"/>
      <c r="V1032" s="93"/>
      <c r="W1032" s="93"/>
      <c r="X1032" s="93"/>
    </row>
    <row r="1033" spans="1:24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11">
        <f t="shared" si="39"/>
        <v>577.12</v>
      </c>
      <c r="G1033" s="55">
        <v>24.2</v>
      </c>
      <c r="H1033" s="55">
        <v>3.5000000000000003E-2</v>
      </c>
      <c r="I1033" s="164">
        <f t="shared" si="38"/>
        <v>1.4676323814804548E-3</v>
      </c>
      <c r="J1033" s="128"/>
      <c r="K1033" s="128"/>
      <c r="L1033" s="93"/>
      <c r="M1033" s="93"/>
      <c r="N1033" s="93"/>
      <c r="O1033" s="93"/>
      <c r="P1033" s="93"/>
      <c r="Q1033" s="93"/>
      <c r="R1033" s="93"/>
      <c r="S1033" s="93"/>
      <c r="T1033" s="93"/>
      <c r="U1033" s="93"/>
      <c r="V1033" s="93"/>
      <c r="W1033" s="93"/>
      <c r="X1033" s="93"/>
    </row>
    <row r="1034" spans="1:24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11">
        <f t="shared" si="39"/>
        <v>136.80000000000001</v>
      </c>
      <c r="G1034" s="55">
        <v>8.6</v>
      </c>
      <c r="H1034" s="55">
        <v>3.5000000000000003E-2</v>
      </c>
      <c r="I1034" s="164">
        <f t="shared" si="38"/>
        <v>2.2002923976608183E-3</v>
      </c>
      <c r="J1034" s="128"/>
      <c r="K1034" s="128"/>
      <c r="L1034" s="93"/>
      <c r="M1034" s="93"/>
      <c r="N1034" s="93"/>
      <c r="O1034" s="93"/>
      <c r="P1034" s="93"/>
      <c r="Q1034" s="93"/>
      <c r="R1034" s="93"/>
      <c r="S1034" s="93"/>
      <c r="T1034" s="93"/>
      <c r="U1034" s="93"/>
      <c r="V1034" s="93"/>
      <c r="W1034" s="93"/>
      <c r="X1034" s="93"/>
    </row>
    <row r="1035" spans="1:24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611">
        <f t="shared" si="39"/>
        <v>578</v>
      </c>
      <c r="G1035" s="55">
        <v>36.9</v>
      </c>
      <c r="H1035" s="55">
        <v>3.5000000000000003E-2</v>
      </c>
      <c r="I1035" s="164">
        <f t="shared" si="38"/>
        <v>2.2344290657439446E-3</v>
      </c>
      <c r="J1035" s="128"/>
      <c r="K1035" s="128"/>
      <c r="L1035" s="93"/>
      <c r="M1035" s="93"/>
      <c r="N1035" s="93"/>
      <c r="O1035" s="93"/>
      <c r="P1035" s="93"/>
      <c r="Q1035" s="93"/>
      <c r="R1035" s="93"/>
      <c r="S1035" s="93"/>
      <c r="T1035" s="93"/>
      <c r="U1035" s="93"/>
      <c r="V1035" s="93"/>
      <c r="W1035" s="93"/>
      <c r="X1035" s="93"/>
    </row>
    <row r="1036" spans="1:24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611">
        <f t="shared" si="39"/>
        <v>150</v>
      </c>
      <c r="G1036" s="55">
        <v>14.6</v>
      </c>
      <c r="H1036" s="55">
        <v>3.5000000000000003E-2</v>
      </c>
      <c r="I1036" s="164">
        <f t="shared" si="38"/>
        <v>3.4066666666666668E-3</v>
      </c>
      <c r="J1036" s="128"/>
      <c r="K1036" s="128"/>
      <c r="L1036" s="93"/>
      <c r="M1036" s="93"/>
      <c r="N1036" s="93"/>
      <c r="O1036" s="93"/>
      <c r="P1036" s="93"/>
      <c r="Q1036" s="93"/>
      <c r="R1036" s="93"/>
      <c r="S1036" s="93"/>
      <c r="T1036" s="93"/>
      <c r="U1036" s="93"/>
      <c r="V1036" s="93"/>
      <c r="W1036" s="93"/>
      <c r="X1036" s="93"/>
    </row>
    <row r="1037" spans="1:24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611">
        <f t="shared" si="39"/>
        <v>106.6</v>
      </c>
      <c r="G1037" s="55">
        <v>14.2</v>
      </c>
      <c r="H1037" s="55">
        <v>3.5000000000000003E-2</v>
      </c>
      <c r="I1037" s="164">
        <f t="shared" si="38"/>
        <v>4.662288930581614E-3</v>
      </c>
      <c r="J1037" s="128"/>
      <c r="K1037" s="128"/>
      <c r="L1037" s="93"/>
      <c r="M1037" s="93"/>
      <c r="N1037" s="93"/>
      <c r="O1037" s="93"/>
      <c r="P1037" s="93"/>
      <c r="Q1037" s="93"/>
      <c r="R1037" s="93"/>
      <c r="S1037" s="93"/>
      <c r="T1037" s="93"/>
      <c r="U1037" s="93"/>
      <c r="V1037" s="93"/>
      <c r="W1037" s="93"/>
      <c r="X1037" s="93"/>
    </row>
    <row r="1038" spans="1:24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611">
        <f t="shared" si="39"/>
        <v>128.4</v>
      </c>
      <c r="G1038" s="55">
        <v>12.1</v>
      </c>
      <c r="H1038" s="55">
        <v>3.5000000000000003E-2</v>
      </c>
      <c r="I1038" s="164">
        <f t="shared" si="38"/>
        <v>3.2982866043613709E-3</v>
      </c>
      <c r="J1038" s="128"/>
      <c r="K1038" s="128"/>
      <c r="L1038" s="93"/>
      <c r="M1038" s="93"/>
      <c r="N1038" s="93"/>
      <c r="O1038" s="93"/>
      <c r="P1038" s="93"/>
      <c r="Q1038" s="93"/>
      <c r="R1038" s="93"/>
      <c r="S1038" s="93"/>
      <c r="T1038" s="93"/>
      <c r="U1038" s="93"/>
      <c r="V1038" s="93"/>
      <c r="W1038" s="93"/>
      <c r="X1038" s="93"/>
    </row>
    <row r="1039" spans="1:24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611">
        <f t="shared" si="39"/>
        <v>57.7</v>
      </c>
      <c r="G1039" s="55">
        <v>6.4</v>
      </c>
      <c r="H1039" s="55">
        <v>3.5000000000000003E-2</v>
      </c>
      <c r="I1039" s="164">
        <f t="shared" si="38"/>
        <v>3.8821490467937612E-3</v>
      </c>
      <c r="J1039" s="128"/>
      <c r="K1039" s="128"/>
      <c r="L1039" s="93"/>
      <c r="M1039" s="93"/>
      <c r="N1039" s="93"/>
      <c r="O1039" s="93"/>
      <c r="P1039" s="93"/>
      <c r="Q1039" s="93"/>
      <c r="R1039" s="93"/>
      <c r="S1039" s="93"/>
      <c r="T1039" s="93"/>
      <c r="U1039" s="93"/>
      <c r="V1039" s="93"/>
      <c r="W1039" s="93"/>
      <c r="X1039" s="93"/>
    </row>
    <row r="1040" spans="1:24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11">
        <f t="shared" si="39"/>
        <v>256.5</v>
      </c>
      <c r="G1040" s="55">
        <v>14.7</v>
      </c>
      <c r="H1040" s="55">
        <v>3.5000000000000003E-2</v>
      </c>
      <c r="I1040" s="164">
        <f t="shared" si="38"/>
        <v>2.0058479532163746E-3</v>
      </c>
      <c r="J1040" s="128"/>
      <c r="K1040" s="128"/>
      <c r="L1040" s="93"/>
      <c r="M1040" s="93"/>
      <c r="N1040" s="93"/>
      <c r="O1040" s="93"/>
      <c r="P1040" s="93"/>
      <c r="Q1040" s="93"/>
      <c r="R1040" s="93"/>
      <c r="S1040" s="93"/>
      <c r="T1040" s="93"/>
      <c r="U1040" s="93"/>
      <c r="V1040" s="93"/>
      <c r="W1040" s="93"/>
      <c r="X1040" s="93"/>
    </row>
    <row r="1041" spans="1:24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11">
        <f t="shared" si="39"/>
        <v>118.5</v>
      </c>
      <c r="G1041" s="55">
        <v>8.1</v>
      </c>
      <c r="H1041" s="55">
        <v>3.5000000000000003E-2</v>
      </c>
      <c r="I1041" s="164">
        <f t="shared" si="38"/>
        <v>2.3924050632911395E-3</v>
      </c>
      <c r="J1041" s="128"/>
      <c r="K1041" s="128"/>
      <c r="L1041" s="93"/>
      <c r="M1041" s="93"/>
      <c r="N1041" s="93"/>
      <c r="O1041" s="93"/>
      <c r="P1041" s="93"/>
      <c r="Q1041" s="93"/>
      <c r="R1041" s="93"/>
      <c r="S1041" s="93"/>
      <c r="T1041" s="93"/>
      <c r="U1041" s="93"/>
      <c r="V1041" s="93"/>
      <c r="W1041" s="93"/>
      <c r="X1041" s="93"/>
    </row>
    <row r="1042" spans="1:24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611">
        <f t="shared" si="39"/>
        <v>142.1</v>
      </c>
      <c r="G1042" s="55">
        <v>7.1</v>
      </c>
      <c r="H1042" s="55">
        <v>3.5000000000000003E-2</v>
      </c>
      <c r="I1042" s="164">
        <f t="shared" si="38"/>
        <v>1.7487684729064041E-3</v>
      </c>
      <c r="J1042" s="128"/>
      <c r="K1042" s="128"/>
      <c r="L1042" s="93"/>
      <c r="M1042" s="93"/>
      <c r="N1042" s="93"/>
      <c r="O1042" s="93"/>
      <c r="P1042" s="93"/>
      <c r="Q1042" s="93"/>
      <c r="R1042" s="93"/>
      <c r="S1042" s="93"/>
      <c r="T1042" s="93"/>
      <c r="U1042" s="93"/>
      <c r="V1042" s="93"/>
      <c r="W1042" s="93"/>
      <c r="X1042" s="93"/>
    </row>
    <row r="1043" spans="1:24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611">
        <f t="shared" si="39"/>
        <v>259.7</v>
      </c>
      <c r="G1043" s="55">
        <v>20.8</v>
      </c>
      <c r="H1043" s="55">
        <v>3.5000000000000003E-2</v>
      </c>
      <c r="I1043" s="164">
        <f t="shared" si="38"/>
        <v>2.8032345013477094E-3</v>
      </c>
      <c r="J1043" s="128"/>
      <c r="K1043" s="128"/>
      <c r="L1043" s="93"/>
      <c r="M1043" s="93"/>
      <c r="N1043" s="93"/>
      <c r="O1043" s="93"/>
      <c r="P1043" s="93"/>
      <c r="Q1043" s="93"/>
      <c r="R1043" s="93"/>
      <c r="S1043" s="93"/>
      <c r="T1043" s="93"/>
      <c r="U1043" s="93"/>
      <c r="V1043" s="93"/>
      <c r="W1043" s="93"/>
      <c r="X1043" s="93"/>
    </row>
    <row r="1044" spans="1:24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11">
        <f t="shared" si="39"/>
        <v>309.39999999999998</v>
      </c>
      <c r="G1044" s="55">
        <v>22.4</v>
      </c>
      <c r="H1044" s="55">
        <v>3.5000000000000003E-2</v>
      </c>
      <c r="I1044" s="164">
        <f t="shared" si="38"/>
        <v>2.5339366515837107E-3</v>
      </c>
      <c r="J1044" s="128"/>
      <c r="K1044" s="128"/>
      <c r="L1044" s="93"/>
      <c r="M1044" s="93"/>
      <c r="N1044" s="93"/>
      <c r="O1044" s="93"/>
      <c r="P1044" s="93"/>
      <c r="Q1044" s="93"/>
      <c r="R1044" s="93"/>
      <c r="S1044" s="93"/>
      <c r="T1044" s="93"/>
      <c r="U1044" s="93"/>
      <c r="V1044" s="93"/>
      <c r="W1044" s="93"/>
      <c r="X1044" s="93"/>
    </row>
    <row r="1045" spans="1:24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611">
        <f t="shared" si="39"/>
        <v>432.1</v>
      </c>
      <c r="G1045" s="55">
        <v>18.2</v>
      </c>
      <c r="H1045" s="55">
        <v>3.5000000000000003E-2</v>
      </c>
      <c r="I1045" s="164">
        <f t="shared" si="38"/>
        <v>1.4741957880120343E-3</v>
      </c>
      <c r="J1045" s="128"/>
      <c r="K1045" s="128"/>
      <c r="L1045" s="93"/>
      <c r="M1045" s="93"/>
      <c r="N1045" s="93"/>
      <c r="O1045" s="93"/>
      <c r="P1045" s="93"/>
      <c r="Q1045" s="93"/>
      <c r="R1045" s="93"/>
      <c r="S1045" s="93"/>
      <c r="T1045" s="93"/>
      <c r="U1045" s="93"/>
      <c r="V1045" s="93"/>
      <c r="W1045" s="93"/>
      <c r="X1045" s="93"/>
    </row>
    <row r="1046" spans="1:24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11">
        <f t="shared" si="39"/>
        <v>241.89999999999998</v>
      </c>
      <c r="G1046" s="55">
        <v>17.600000000000001</v>
      </c>
      <c r="H1046" s="55">
        <v>3.5000000000000003E-2</v>
      </c>
      <c r="I1046" s="164">
        <f t="shared" si="38"/>
        <v>2.546506821000414E-3</v>
      </c>
      <c r="J1046" s="128"/>
      <c r="K1046" s="128"/>
      <c r="L1046" s="93"/>
      <c r="M1046" s="93"/>
      <c r="N1046" s="93"/>
      <c r="O1046" s="93"/>
      <c r="P1046" s="93"/>
      <c r="Q1046" s="93"/>
      <c r="R1046" s="93"/>
      <c r="S1046" s="93"/>
      <c r="T1046" s="93"/>
      <c r="U1046" s="93"/>
      <c r="V1046" s="93"/>
      <c r="W1046" s="93"/>
      <c r="X1046" s="93"/>
    </row>
    <row r="1047" spans="1:24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611">
        <f t="shared" si="39"/>
        <v>278.3</v>
      </c>
      <c r="G1047" s="55">
        <v>12.8</v>
      </c>
      <c r="H1047" s="55">
        <v>3.5000000000000003E-2</v>
      </c>
      <c r="I1047" s="164">
        <f t="shared" si="38"/>
        <v>1.6097736255839025E-3</v>
      </c>
      <c r="J1047" s="128"/>
      <c r="K1047" s="128"/>
      <c r="L1047" s="93"/>
      <c r="M1047" s="93"/>
      <c r="N1047" s="93"/>
      <c r="O1047" s="93"/>
      <c r="P1047" s="93"/>
      <c r="Q1047" s="93"/>
      <c r="R1047" s="93"/>
      <c r="S1047" s="93"/>
      <c r="T1047" s="93"/>
      <c r="U1047" s="93"/>
      <c r="V1047" s="93"/>
      <c r="W1047" s="93"/>
      <c r="X1047" s="93"/>
    </row>
    <row r="1048" spans="1:24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611">
        <f t="shared" si="39"/>
        <v>150</v>
      </c>
      <c r="G1048" s="55">
        <v>29.3</v>
      </c>
      <c r="H1048" s="55">
        <v>3.5000000000000003E-2</v>
      </c>
      <c r="I1048" s="164">
        <f t="shared" si="38"/>
        <v>6.8366666666666671E-3</v>
      </c>
      <c r="J1048" s="128"/>
      <c r="K1048" s="128"/>
      <c r="L1048" s="93"/>
      <c r="M1048" s="93"/>
      <c r="N1048" s="93"/>
      <c r="O1048" s="93"/>
      <c r="P1048" s="93"/>
      <c r="Q1048" s="93"/>
      <c r="R1048" s="93"/>
      <c r="S1048" s="93"/>
      <c r="T1048" s="93"/>
      <c r="U1048" s="93"/>
      <c r="V1048" s="93"/>
      <c r="W1048" s="93"/>
      <c r="X1048" s="93"/>
    </row>
    <row r="1049" spans="1:24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611">
        <f t="shared" si="39"/>
        <v>140.6</v>
      </c>
      <c r="G1049" s="55">
        <v>19.8</v>
      </c>
      <c r="H1049" s="55">
        <v>3.5000000000000003E-2</v>
      </c>
      <c r="I1049" s="164">
        <f t="shared" si="38"/>
        <v>4.9288762446657187E-3</v>
      </c>
      <c r="J1049" s="128"/>
      <c r="K1049" s="128"/>
      <c r="L1049" s="93"/>
      <c r="M1049" s="93"/>
      <c r="N1049" s="93"/>
      <c r="O1049" s="93"/>
      <c r="P1049" s="93"/>
      <c r="Q1049" s="93"/>
      <c r="R1049" s="93"/>
      <c r="S1049" s="93"/>
      <c r="T1049" s="93"/>
      <c r="U1049" s="93"/>
      <c r="V1049" s="93"/>
      <c r="W1049" s="93"/>
      <c r="X1049" s="93"/>
    </row>
    <row r="1050" spans="1:24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611">
        <f t="shared" si="39"/>
        <v>209.1</v>
      </c>
      <c r="G1050" s="55">
        <v>17.100000000000001</v>
      </c>
      <c r="H1050" s="55">
        <v>3.5000000000000003E-2</v>
      </c>
      <c r="I1050" s="164">
        <f t="shared" si="38"/>
        <v>2.8622668579626979E-3</v>
      </c>
      <c r="J1050" s="128"/>
      <c r="K1050" s="128"/>
      <c r="L1050" s="93"/>
      <c r="M1050" s="93"/>
      <c r="N1050" s="93"/>
      <c r="O1050" s="93"/>
      <c r="P1050" s="93"/>
      <c r="Q1050" s="93"/>
      <c r="R1050" s="93"/>
      <c r="S1050" s="93"/>
      <c r="T1050" s="93"/>
      <c r="U1050" s="93"/>
      <c r="V1050" s="93"/>
      <c r="W1050" s="93"/>
      <c r="X1050" s="93"/>
    </row>
    <row r="1051" spans="1:24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611">
        <f t="shared" si="39"/>
        <v>463.5</v>
      </c>
      <c r="G1051" s="55">
        <v>15.6</v>
      </c>
      <c r="H1051" s="55">
        <v>3.5000000000000003E-2</v>
      </c>
      <c r="I1051" s="164">
        <f t="shared" si="38"/>
        <v>1.1779935275080906E-3</v>
      </c>
      <c r="J1051" s="128"/>
      <c r="K1051" s="128"/>
      <c r="L1051" s="93"/>
      <c r="M1051" s="93"/>
      <c r="N1051" s="93"/>
      <c r="O1051" s="93"/>
      <c r="P1051" s="93"/>
      <c r="Q1051" s="93"/>
      <c r="R1051" s="93"/>
      <c r="S1051" s="93"/>
      <c r="T1051" s="93"/>
      <c r="U1051" s="93"/>
      <c r="V1051" s="93"/>
      <c r="W1051" s="93"/>
      <c r="X1051" s="93"/>
    </row>
    <row r="1052" spans="1:24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611">
        <f t="shared" si="39"/>
        <v>126</v>
      </c>
      <c r="G1052" s="55">
        <v>14.4</v>
      </c>
      <c r="H1052" s="55">
        <v>3.5000000000000003E-2</v>
      </c>
      <c r="I1052" s="164">
        <f t="shared" si="38"/>
        <v>4.000000000000001E-3</v>
      </c>
      <c r="J1052" s="128"/>
      <c r="K1052" s="128"/>
      <c r="L1052" s="93"/>
      <c r="M1052" s="93"/>
      <c r="N1052" s="93"/>
      <c r="O1052" s="93"/>
      <c r="P1052" s="93"/>
      <c r="Q1052" s="93"/>
      <c r="R1052" s="93"/>
      <c r="S1052" s="93"/>
      <c r="T1052" s="93"/>
      <c r="U1052" s="93"/>
      <c r="V1052" s="93"/>
      <c r="W1052" s="93"/>
      <c r="X1052" s="93"/>
    </row>
    <row r="1053" spans="1:24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611">
        <f t="shared" si="39"/>
        <v>725.1</v>
      </c>
      <c r="G1053" s="55">
        <v>50.4</v>
      </c>
      <c r="H1053" s="55">
        <v>3.5000000000000003E-2</v>
      </c>
      <c r="I1053" s="164">
        <f t="shared" si="38"/>
        <v>2.4327678940835747E-3</v>
      </c>
      <c r="J1053" s="128"/>
      <c r="K1053" s="128"/>
      <c r="L1053" s="93"/>
      <c r="M1053" s="93"/>
      <c r="N1053" s="93"/>
      <c r="O1053" s="93"/>
      <c r="P1053" s="93"/>
      <c r="Q1053" s="93"/>
      <c r="R1053" s="93"/>
      <c r="S1053" s="93"/>
      <c r="T1053" s="93"/>
      <c r="U1053" s="93"/>
      <c r="V1053" s="93"/>
      <c r="W1053" s="93"/>
      <c r="X1053" s="93"/>
    </row>
    <row r="1054" spans="1:24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611">
        <f t="shared" si="39"/>
        <v>466.88</v>
      </c>
      <c r="G1054" s="55">
        <v>42.8</v>
      </c>
      <c r="H1054" s="55">
        <v>3.5000000000000003E-2</v>
      </c>
      <c r="I1054" s="164">
        <f t="shared" si="38"/>
        <v>3.2085332419465387E-3</v>
      </c>
      <c r="J1054" s="128"/>
      <c r="K1054" s="128"/>
      <c r="L1054" s="93"/>
      <c r="M1054" s="93"/>
      <c r="N1054" s="93"/>
      <c r="O1054" s="93"/>
      <c r="P1054" s="93"/>
      <c r="Q1054" s="93"/>
      <c r="R1054" s="93"/>
      <c r="S1054" s="93"/>
      <c r="T1054" s="93"/>
      <c r="U1054" s="93"/>
      <c r="V1054" s="93"/>
      <c r="W1054" s="93"/>
      <c r="X1054" s="93"/>
    </row>
    <row r="1055" spans="1:24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611">
        <f t="shared" si="39"/>
        <v>138.1</v>
      </c>
      <c r="G1055" s="55">
        <v>8.6</v>
      </c>
      <c r="H1055" s="55">
        <v>3.5000000000000003E-2</v>
      </c>
      <c r="I1055" s="164">
        <f t="shared" si="38"/>
        <v>2.1795800144822591E-3</v>
      </c>
      <c r="J1055" s="128"/>
      <c r="K1055" s="128"/>
      <c r="L1055" s="93"/>
      <c r="M1055" s="93"/>
      <c r="N1055" s="93"/>
      <c r="O1055" s="93"/>
      <c r="P1055" s="93"/>
      <c r="Q1055" s="93"/>
      <c r="R1055" s="93"/>
      <c r="S1055" s="93"/>
      <c r="T1055" s="93"/>
      <c r="U1055" s="93"/>
      <c r="V1055" s="93"/>
      <c r="W1055" s="93"/>
      <c r="X1055" s="93"/>
    </row>
    <row r="1056" spans="1:24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11">
        <f t="shared" si="39"/>
        <v>139.30000000000001</v>
      </c>
      <c r="G1056" s="55">
        <v>14.2</v>
      </c>
      <c r="H1056" s="55">
        <v>3.5000000000000003E-2</v>
      </c>
      <c r="I1056" s="164">
        <f t="shared" si="38"/>
        <v>3.5678391959798991E-3</v>
      </c>
      <c r="J1056" s="128"/>
      <c r="K1056" s="128"/>
      <c r="L1056" s="93"/>
      <c r="M1056" s="93"/>
      <c r="N1056" s="93"/>
      <c r="O1056" s="93"/>
      <c r="P1056" s="93"/>
      <c r="Q1056" s="93"/>
      <c r="R1056" s="93"/>
      <c r="S1056" s="93"/>
      <c r="T1056" s="93"/>
      <c r="U1056" s="93"/>
      <c r="V1056" s="93"/>
      <c r="W1056" s="93"/>
      <c r="X1056" s="93"/>
    </row>
    <row r="1057" spans="1:24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611">
        <f t="shared" si="39"/>
        <v>807</v>
      </c>
      <c r="G1057" s="55">
        <v>23.5</v>
      </c>
      <c r="H1057" s="55">
        <v>3.5000000000000003E-2</v>
      </c>
      <c r="I1057" s="164">
        <f t="shared" si="38"/>
        <v>1.019206939281289E-3</v>
      </c>
      <c r="J1057" s="128"/>
      <c r="K1057" s="128"/>
      <c r="L1057" s="93"/>
      <c r="M1057" s="93"/>
      <c r="N1057" s="93"/>
      <c r="O1057" s="93"/>
      <c r="P1057" s="93"/>
      <c r="Q1057" s="93"/>
      <c r="R1057" s="93"/>
      <c r="S1057" s="93"/>
      <c r="T1057" s="93"/>
      <c r="U1057" s="93"/>
      <c r="V1057" s="93"/>
      <c r="W1057" s="93"/>
      <c r="X1057" s="93"/>
    </row>
    <row r="1058" spans="1:24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611">
        <f t="shared" si="39"/>
        <v>1555.2</v>
      </c>
      <c r="G1058" s="55">
        <v>98.4</v>
      </c>
      <c r="H1058" s="55">
        <v>3.5000000000000003E-2</v>
      </c>
      <c r="I1058" s="164">
        <f t="shared" si="38"/>
        <v>2.2145061728395064E-3</v>
      </c>
      <c r="J1058" s="128"/>
      <c r="K1058" s="128"/>
      <c r="L1058" s="93"/>
      <c r="M1058" s="93"/>
      <c r="N1058" s="93"/>
      <c r="O1058" s="93"/>
      <c r="P1058" s="93"/>
      <c r="Q1058" s="93"/>
      <c r="R1058" s="93"/>
      <c r="S1058" s="93"/>
      <c r="T1058" s="93"/>
      <c r="U1058" s="93"/>
      <c r="V1058" s="93"/>
      <c r="W1058" s="93"/>
      <c r="X1058" s="93"/>
    </row>
    <row r="1059" spans="1:24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611">
        <f t="shared" si="39"/>
        <v>1514.3</v>
      </c>
      <c r="G1059" s="55">
        <v>56.4</v>
      </c>
      <c r="H1059" s="55">
        <v>3.5000000000000003E-2</v>
      </c>
      <c r="I1059" s="164">
        <f t="shared" si="38"/>
        <v>1.3035726078055869E-3</v>
      </c>
      <c r="J1059" s="128"/>
      <c r="K1059" s="128"/>
      <c r="L1059" s="93"/>
      <c r="M1059" s="93"/>
      <c r="N1059" s="93"/>
      <c r="O1059" s="93"/>
      <c r="P1059" s="93"/>
      <c r="Q1059" s="93"/>
      <c r="R1059" s="93"/>
      <c r="S1059" s="93"/>
      <c r="T1059" s="93"/>
      <c r="U1059" s="93"/>
      <c r="V1059" s="93"/>
      <c r="W1059" s="93"/>
      <c r="X1059" s="93"/>
    </row>
    <row r="1060" spans="1:24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611">
        <f t="shared" si="39"/>
        <v>394</v>
      </c>
      <c r="G1060" s="55">
        <v>8.5</v>
      </c>
      <c r="H1060" s="55">
        <v>3.5000000000000003E-2</v>
      </c>
      <c r="I1060" s="164">
        <f t="shared" si="38"/>
        <v>7.5507614213197983E-4</v>
      </c>
      <c r="J1060" s="128"/>
      <c r="K1060" s="128"/>
      <c r="L1060" s="93"/>
      <c r="M1060" s="93"/>
      <c r="N1060" s="93"/>
      <c r="O1060" s="93"/>
      <c r="P1060" s="93"/>
      <c r="Q1060" s="93"/>
      <c r="R1060" s="93"/>
      <c r="S1060" s="93"/>
      <c r="T1060" s="93"/>
      <c r="U1060" s="93"/>
      <c r="V1060" s="93"/>
      <c r="W1060" s="93"/>
      <c r="X1060" s="93"/>
    </row>
    <row r="1061" spans="1:24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611">
        <f t="shared" si="39"/>
        <v>572.5</v>
      </c>
      <c r="G1061" s="55">
        <v>24.4</v>
      </c>
      <c r="H1061" s="55">
        <v>3.5000000000000003E-2</v>
      </c>
      <c r="I1061" s="164">
        <f t="shared" si="38"/>
        <v>1.4917030567685589E-3</v>
      </c>
      <c r="J1061" s="128"/>
      <c r="K1061" s="128"/>
      <c r="L1061" s="93"/>
      <c r="M1061" s="93"/>
      <c r="N1061" s="93"/>
      <c r="O1061" s="93"/>
      <c r="P1061" s="93"/>
      <c r="Q1061" s="93"/>
      <c r="R1061" s="93"/>
      <c r="S1061" s="93"/>
      <c r="T1061" s="93"/>
      <c r="U1061" s="93"/>
      <c r="V1061" s="93"/>
      <c r="W1061" s="93"/>
      <c r="X1061" s="93"/>
    </row>
    <row r="1062" spans="1:24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611">
        <f t="shared" si="39"/>
        <v>351.9</v>
      </c>
      <c r="G1062" s="55">
        <v>17.3</v>
      </c>
      <c r="H1062" s="55">
        <v>3.5000000000000003E-2</v>
      </c>
      <c r="I1062" s="164">
        <f t="shared" si="38"/>
        <v>1.7206592782040354E-3</v>
      </c>
      <c r="J1062" s="128"/>
      <c r="K1062" s="128"/>
      <c r="L1062" s="93"/>
      <c r="M1062" s="93"/>
      <c r="N1062" s="93"/>
      <c r="O1062" s="93"/>
      <c r="P1062" s="93"/>
      <c r="Q1062" s="93"/>
      <c r="R1062" s="93"/>
      <c r="S1062" s="93"/>
      <c r="T1062" s="93"/>
      <c r="U1062" s="93"/>
      <c r="V1062" s="93"/>
      <c r="W1062" s="93"/>
      <c r="X1062" s="93"/>
    </row>
    <row r="1063" spans="1:24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611">
        <f t="shared" si="39"/>
        <v>449.4</v>
      </c>
      <c r="G1063" s="55">
        <v>22.2</v>
      </c>
      <c r="H1063" s="55">
        <v>3.5000000000000003E-2</v>
      </c>
      <c r="I1063" s="164">
        <f t="shared" si="38"/>
        <v>1.7289719626168226E-3</v>
      </c>
      <c r="J1063" s="128"/>
      <c r="K1063" s="128"/>
      <c r="L1063" s="93"/>
      <c r="M1063" s="93"/>
      <c r="N1063" s="93"/>
      <c r="O1063" s="93"/>
      <c r="P1063" s="93"/>
      <c r="Q1063" s="93"/>
      <c r="R1063" s="93"/>
      <c r="S1063" s="93"/>
      <c r="T1063" s="93"/>
      <c r="U1063" s="93"/>
      <c r="V1063" s="93"/>
      <c r="W1063" s="93"/>
      <c r="X1063" s="93"/>
    </row>
    <row r="1064" spans="1:24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611">
        <f t="shared" si="39"/>
        <v>1394.3</v>
      </c>
      <c r="G1064" s="55">
        <v>108</v>
      </c>
      <c r="H1064" s="55">
        <v>3.5000000000000003E-2</v>
      </c>
      <c r="I1064" s="164">
        <f t="shared" si="38"/>
        <v>2.7110377967438861E-3</v>
      </c>
      <c r="J1064" s="128"/>
      <c r="K1064" s="128"/>
      <c r="L1064" s="93"/>
      <c r="M1064" s="93"/>
      <c r="N1064" s="93"/>
      <c r="O1064" s="93"/>
      <c r="P1064" s="93"/>
      <c r="Q1064" s="93"/>
      <c r="R1064" s="93"/>
      <c r="S1064" s="93"/>
      <c r="T1064" s="93"/>
      <c r="U1064" s="93"/>
      <c r="V1064" s="93"/>
      <c r="W1064" s="93"/>
      <c r="X1064" s="93"/>
    </row>
    <row r="1065" spans="1:24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611">
        <f t="shared" si="39"/>
        <v>398.7</v>
      </c>
      <c r="G1065" s="55">
        <v>23.1</v>
      </c>
      <c r="H1065" s="55">
        <v>3.5000000000000003E-2</v>
      </c>
      <c r="I1065" s="164">
        <f t="shared" si="38"/>
        <v>2.0278404815650868E-3</v>
      </c>
      <c r="J1065" s="128"/>
      <c r="K1065" s="128"/>
      <c r="L1065" s="93"/>
      <c r="M1065" s="93"/>
      <c r="N1065" s="93"/>
      <c r="O1065" s="93"/>
      <c r="P1065" s="93"/>
      <c r="Q1065" s="93"/>
      <c r="R1065" s="93"/>
      <c r="S1065" s="93"/>
      <c r="T1065" s="93"/>
      <c r="U1065" s="93"/>
      <c r="V1065" s="93"/>
      <c r="W1065" s="93"/>
      <c r="X1065" s="93"/>
    </row>
    <row r="1066" spans="1:24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611">
        <f t="shared" si="39"/>
        <v>359.4</v>
      </c>
      <c r="G1066" s="55">
        <v>15.5</v>
      </c>
      <c r="H1066" s="55">
        <v>3.5000000000000003E-2</v>
      </c>
      <c r="I1066" s="164">
        <f t="shared" si="38"/>
        <v>1.5094602114635507E-3</v>
      </c>
      <c r="J1066" s="128"/>
      <c r="K1066" s="128"/>
      <c r="L1066" s="93"/>
      <c r="M1066" s="93"/>
      <c r="N1066" s="93"/>
      <c r="O1066" s="93"/>
      <c r="P1066" s="93"/>
      <c r="Q1066" s="93"/>
      <c r="R1066" s="93"/>
      <c r="S1066" s="93"/>
      <c r="T1066" s="93"/>
      <c r="U1066" s="93"/>
      <c r="V1066" s="93"/>
      <c r="W1066" s="93"/>
      <c r="X1066" s="93"/>
    </row>
    <row r="1067" spans="1:24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611">
        <f t="shared" si="39"/>
        <v>694.9</v>
      </c>
      <c r="G1067" s="55">
        <v>61.2</v>
      </c>
      <c r="H1067" s="55">
        <v>3.5000000000000003E-2</v>
      </c>
      <c r="I1067" s="164">
        <f t="shared" si="38"/>
        <v>3.0824579076126069E-3</v>
      </c>
      <c r="J1067" s="128"/>
      <c r="K1067" s="128"/>
      <c r="L1067" s="93"/>
      <c r="M1067" s="93"/>
      <c r="N1067" s="93"/>
      <c r="O1067" s="93"/>
      <c r="P1067" s="93"/>
      <c r="Q1067" s="93"/>
      <c r="R1067" s="93"/>
      <c r="S1067" s="93"/>
      <c r="T1067" s="93"/>
      <c r="U1067" s="93"/>
      <c r="V1067" s="93"/>
      <c r="W1067" s="93"/>
      <c r="X1067" s="93"/>
    </row>
    <row r="1068" spans="1:24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611">
        <f t="shared" si="39"/>
        <v>629.6</v>
      </c>
      <c r="G1068" s="55">
        <v>38.1</v>
      </c>
      <c r="H1068" s="55">
        <v>3.5000000000000003E-2</v>
      </c>
      <c r="I1068" s="164">
        <f t="shared" si="38"/>
        <v>2.1180114358322747E-3</v>
      </c>
      <c r="J1068" s="128"/>
      <c r="K1068" s="128"/>
      <c r="L1068" s="93"/>
      <c r="M1068" s="93"/>
      <c r="N1068" s="93"/>
      <c r="O1068" s="93"/>
      <c r="P1068" s="93"/>
      <c r="Q1068" s="93"/>
      <c r="R1068" s="93"/>
      <c r="S1068" s="93"/>
      <c r="T1068" s="93"/>
      <c r="U1068" s="93"/>
      <c r="V1068" s="93"/>
      <c r="W1068" s="93"/>
      <c r="X1068" s="93"/>
    </row>
    <row r="1069" spans="1:24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611">
        <f t="shared" si="39"/>
        <v>969.07</v>
      </c>
      <c r="G1069" s="55">
        <v>48.4</v>
      </c>
      <c r="H1069" s="55">
        <v>3.5000000000000003E-2</v>
      </c>
      <c r="I1069" s="164">
        <f t="shared" si="38"/>
        <v>1.7480677350449401E-3</v>
      </c>
      <c r="J1069" s="128"/>
      <c r="K1069" s="128"/>
      <c r="L1069" s="93"/>
      <c r="M1069" s="93"/>
      <c r="N1069" s="93"/>
      <c r="O1069" s="93"/>
      <c r="P1069" s="93"/>
      <c r="Q1069" s="93"/>
      <c r="R1069" s="93"/>
      <c r="S1069" s="93"/>
      <c r="T1069" s="93"/>
      <c r="U1069" s="93"/>
      <c r="V1069" s="93"/>
      <c r="W1069" s="93"/>
      <c r="X1069" s="93"/>
    </row>
    <row r="1070" spans="1:24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611">
        <f t="shared" si="39"/>
        <v>315.7</v>
      </c>
      <c r="G1070" s="55">
        <v>16.399999999999999</v>
      </c>
      <c r="H1070" s="55">
        <v>3.5000000000000003E-2</v>
      </c>
      <c r="I1070" s="164">
        <f t="shared" ref="I1070:I1132" si="40">G1070*H1070/F1070</f>
        <v>1.8181818181818182E-3</v>
      </c>
      <c r="J1070" s="128"/>
      <c r="K1070" s="128"/>
      <c r="L1070" s="93"/>
      <c r="M1070" s="93"/>
      <c r="N1070" s="93"/>
      <c r="O1070" s="93"/>
      <c r="P1070" s="93"/>
      <c r="Q1070" s="93"/>
      <c r="R1070" s="93"/>
      <c r="S1070" s="93"/>
      <c r="T1070" s="93"/>
      <c r="U1070" s="93"/>
      <c r="V1070" s="93"/>
      <c r="W1070" s="93"/>
      <c r="X1070" s="93"/>
    </row>
    <row r="1071" spans="1:24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611">
        <f t="shared" si="39"/>
        <v>677.4</v>
      </c>
      <c r="G1071" s="55">
        <v>22.9</v>
      </c>
      <c r="H1071" s="55">
        <v>3.5000000000000003E-2</v>
      </c>
      <c r="I1071" s="164">
        <f t="shared" si="40"/>
        <v>1.1832004723944494E-3</v>
      </c>
      <c r="J1071" s="128"/>
      <c r="K1071" s="128"/>
      <c r="L1071" s="93"/>
      <c r="M1071" s="93"/>
      <c r="N1071" s="93"/>
      <c r="O1071" s="93"/>
      <c r="P1071" s="93"/>
      <c r="Q1071" s="93"/>
      <c r="R1071" s="93"/>
      <c r="S1071" s="93"/>
      <c r="T1071" s="93"/>
      <c r="U1071" s="93"/>
      <c r="V1071" s="93"/>
      <c r="W1071" s="93"/>
      <c r="X1071" s="93"/>
    </row>
    <row r="1072" spans="1:24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611">
        <f t="shared" si="39"/>
        <v>255.8</v>
      </c>
      <c r="G1072" s="55">
        <v>26</v>
      </c>
      <c r="H1072" s="55">
        <v>3.5000000000000003E-2</v>
      </c>
      <c r="I1072" s="164">
        <f t="shared" si="40"/>
        <v>3.5574667709147778E-3</v>
      </c>
      <c r="J1072" s="128"/>
      <c r="K1072" s="128"/>
      <c r="L1072" s="93"/>
      <c r="M1072" s="93"/>
      <c r="N1072" s="93"/>
      <c r="O1072" s="93"/>
      <c r="P1072" s="93"/>
      <c r="Q1072" s="93"/>
      <c r="R1072" s="93"/>
      <c r="S1072" s="93"/>
      <c r="T1072" s="93"/>
      <c r="U1072" s="93"/>
      <c r="V1072" s="93"/>
      <c r="W1072" s="93"/>
      <c r="X1072" s="93"/>
    </row>
    <row r="1073" spans="1:24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11">
        <f t="shared" si="39"/>
        <v>352.5</v>
      </c>
      <c r="G1073" s="55">
        <v>14.3</v>
      </c>
      <c r="H1073" s="55">
        <v>3.5000000000000003E-2</v>
      </c>
      <c r="I1073" s="164">
        <f t="shared" si="40"/>
        <v>1.419858156028369E-3</v>
      </c>
      <c r="J1073" s="128"/>
      <c r="K1073" s="128"/>
      <c r="L1073" s="93"/>
      <c r="M1073" s="93"/>
      <c r="N1073" s="93"/>
      <c r="O1073" s="93"/>
      <c r="P1073" s="93"/>
      <c r="Q1073" s="93"/>
      <c r="R1073" s="93"/>
      <c r="S1073" s="93"/>
      <c r="T1073" s="93"/>
      <c r="U1073" s="93"/>
      <c r="V1073" s="93"/>
      <c r="W1073" s="93"/>
      <c r="X1073" s="93"/>
    </row>
    <row r="1074" spans="1:24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611">
        <f t="shared" si="39"/>
        <v>642.9</v>
      </c>
      <c r="G1074" s="55">
        <v>21.4</v>
      </c>
      <c r="H1074" s="55">
        <v>3.5000000000000003E-2</v>
      </c>
      <c r="I1074" s="164">
        <f t="shared" si="40"/>
        <v>1.1650334422149634E-3</v>
      </c>
      <c r="J1074" s="128"/>
      <c r="K1074" s="128"/>
      <c r="L1074" s="93"/>
      <c r="M1074" s="93"/>
      <c r="N1074" s="93"/>
      <c r="O1074" s="93"/>
      <c r="P1074" s="93"/>
      <c r="Q1074" s="93"/>
      <c r="R1074" s="93"/>
      <c r="S1074" s="93"/>
      <c r="T1074" s="93"/>
      <c r="U1074" s="93"/>
      <c r="V1074" s="93"/>
      <c r="W1074" s="93"/>
      <c r="X1074" s="93"/>
    </row>
    <row r="1075" spans="1:24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11">
        <f t="shared" si="39"/>
        <v>324.39999999999998</v>
      </c>
      <c r="G1075" s="55">
        <v>25.8</v>
      </c>
      <c r="H1075" s="55">
        <v>3.5000000000000003E-2</v>
      </c>
      <c r="I1075" s="164">
        <f t="shared" si="40"/>
        <v>2.7836004932182499E-3</v>
      </c>
      <c r="J1075" s="128"/>
      <c r="K1075" s="128"/>
      <c r="L1075" s="93"/>
      <c r="M1075" s="93"/>
      <c r="N1075" s="93"/>
      <c r="O1075" s="93"/>
      <c r="P1075" s="93"/>
      <c r="Q1075" s="93"/>
      <c r="R1075" s="93"/>
      <c r="S1075" s="93"/>
      <c r="T1075" s="93"/>
      <c r="U1075" s="93"/>
      <c r="V1075" s="93"/>
      <c r="W1075" s="93"/>
      <c r="X1075" s="93"/>
    </row>
    <row r="1076" spans="1:24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611">
        <f t="shared" si="39"/>
        <v>505</v>
      </c>
      <c r="G1076" s="55">
        <v>24.7</v>
      </c>
      <c r="H1076" s="55">
        <v>3.5000000000000003E-2</v>
      </c>
      <c r="I1076" s="164">
        <f t="shared" si="40"/>
        <v>1.7118811881188119E-3</v>
      </c>
      <c r="J1076" s="128"/>
      <c r="K1076" s="128"/>
      <c r="L1076" s="93"/>
      <c r="M1076" s="93"/>
      <c r="N1076" s="93"/>
      <c r="O1076" s="93"/>
      <c r="P1076" s="93"/>
      <c r="Q1076" s="93"/>
      <c r="R1076" s="93"/>
      <c r="S1076" s="93"/>
      <c r="T1076" s="93"/>
      <c r="U1076" s="93"/>
      <c r="V1076" s="93"/>
      <c r="W1076" s="93"/>
      <c r="X1076" s="93"/>
    </row>
    <row r="1077" spans="1:24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11">
        <f t="shared" si="39"/>
        <v>548.70000000000005</v>
      </c>
      <c r="G1077" s="55">
        <v>26.1</v>
      </c>
      <c r="H1077" s="55">
        <v>3.5000000000000003E-2</v>
      </c>
      <c r="I1077" s="164">
        <f t="shared" si="40"/>
        <v>1.6648441771459814E-3</v>
      </c>
      <c r="J1077" s="128"/>
      <c r="K1077" s="128"/>
      <c r="L1077" s="93"/>
      <c r="M1077" s="93"/>
      <c r="N1077" s="93"/>
      <c r="O1077" s="93"/>
      <c r="P1077" s="93"/>
      <c r="Q1077" s="93"/>
      <c r="R1077" s="93"/>
      <c r="S1077" s="93"/>
      <c r="T1077" s="93"/>
      <c r="U1077" s="93"/>
      <c r="V1077" s="93"/>
      <c r="W1077" s="93"/>
      <c r="X1077" s="93"/>
    </row>
    <row r="1078" spans="1:24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611">
        <f t="shared" si="39"/>
        <v>222.33</v>
      </c>
      <c r="G1078" s="55">
        <v>22.1</v>
      </c>
      <c r="H1078" s="55">
        <v>3.5000000000000003E-2</v>
      </c>
      <c r="I1078" s="164">
        <f t="shared" si="40"/>
        <v>3.4790626546125133E-3</v>
      </c>
      <c r="J1078" s="128"/>
      <c r="K1078" s="128"/>
      <c r="L1078" s="93"/>
      <c r="M1078" s="93"/>
      <c r="N1078" s="93"/>
      <c r="O1078" s="93"/>
      <c r="P1078" s="93"/>
      <c r="Q1078" s="93"/>
      <c r="R1078" s="93"/>
      <c r="S1078" s="93"/>
      <c r="T1078" s="93"/>
      <c r="U1078" s="93"/>
      <c r="V1078" s="93"/>
      <c r="W1078" s="93"/>
      <c r="X1078" s="93"/>
    </row>
    <row r="1079" spans="1:24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611">
        <f t="shared" si="39"/>
        <v>461.2</v>
      </c>
      <c r="G1079" s="55">
        <v>25.7</v>
      </c>
      <c r="H1079" s="55">
        <v>3.5000000000000003E-2</v>
      </c>
      <c r="I1079" s="164">
        <f t="shared" si="40"/>
        <v>1.9503469210754556E-3</v>
      </c>
      <c r="J1079" s="128"/>
      <c r="K1079" s="128"/>
      <c r="L1079" s="93"/>
      <c r="M1079" s="93"/>
      <c r="N1079" s="93"/>
      <c r="O1079" s="93"/>
      <c r="P1079" s="93"/>
      <c r="Q1079" s="93"/>
      <c r="R1079" s="93"/>
      <c r="S1079" s="93"/>
      <c r="T1079" s="93"/>
      <c r="U1079" s="93"/>
      <c r="V1079" s="93"/>
      <c r="W1079" s="93"/>
      <c r="X1079" s="93"/>
    </row>
    <row r="1080" spans="1:24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611">
        <f t="shared" si="39"/>
        <v>446.5</v>
      </c>
      <c r="G1080" s="55">
        <v>26.1</v>
      </c>
      <c r="H1080" s="55">
        <v>3.5000000000000003E-2</v>
      </c>
      <c r="I1080" s="164">
        <f t="shared" si="40"/>
        <v>2.0459126539753643E-3</v>
      </c>
      <c r="J1080" s="128"/>
      <c r="K1080" s="128"/>
      <c r="L1080" s="93"/>
      <c r="M1080" s="93"/>
      <c r="N1080" s="93"/>
      <c r="O1080" s="93"/>
      <c r="P1080" s="93"/>
      <c r="Q1080" s="93"/>
      <c r="R1080" s="93"/>
      <c r="S1080" s="93"/>
      <c r="T1080" s="93"/>
      <c r="U1080" s="93"/>
      <c r="V1080" s="93"/>
      <c r="W1080" s="93"/>
      <c r="X1080" s="93"/>
    </row>
    <row r="1081" spans="1:24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611">
        <f t="shared" si="39"/>
        <v>291.5</v>
      </c>
      <c r="G1081" s="55">
        <v>7.4</v>
      </c>
      <c r="H1081" s="55">
        <v>3.5000000000000003E-2</v>
      </c>
      <c r="I1081" s="164">
        <f t="shared" si="40"/>
        <v>8.8850771869639815E-4</v>
      </c>
      <c r="J1081" s="128"/>
      <c r="K1081" s="128"/>
      <c r="L1081" s="93"/>
      <c r="M1081" s="93"/>
      <c r="N1081" s="93"/>
      <c r="O1081" s="93"/>
      <c r="P1081" s="93"/>
      <c r="Q1081" s="93"/>
      <c r="R1081" s="93"/>
      <c r="S1081" s="93"/>
      <c r="T1081" s="93"/>
      <c r="U1081" s="93"/>
      <c r="V1081" s="93"/>
      <c r="W1081" s="93"/>
      <c r="X1081" s="93"/>
    </row>
    <row r="1082" spans="1:24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611">
        <f t="shared" si="39"/>
        <v>361.5</v>
      </c>
      <c r="G1082" s="55">
        <v>12.4</v>
      </c>
      <c r="H1082" s="55">
        <v>3.5000000000000003E-2</v>
      </c>
      <c r="I1082" s="164">
        <f t="shared" si="40"/>
        <v>1.2005532503457817E-3</v>
      </c>
      <c r="J1082" s="128"/>
      <c r="K1082" s="128"/>
      <c r="L1082" s="93"/>
      <c r="M1082" s="93"/>
      <c r="N1082" s="93"/>
      <c r="O1082" s="93"/>
      <c r="P1082" s="93"/>
      <c r="Q1082" s="93"/>
      <c r="R1082" s="93"/>
      <c r="S1082" s="93"/>
      <c r="T1082" s="93"/>
      <c r="U1082" s="93"/>
      <c r="V1082" s="93"/>
      <c r="W1082" s="93"/>
      <c r="X1082" s="93"/>
    </row>
    <row r="1083" spans="1:24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11">
        <f t="shared" si="39"/>
        <v>485.90000000000003</v>
      </c>
      <c r="G1083" s="55">
        <v>15.3</v>
      </c>
      <c r="H1083" s="55">
        <v>3.5000000000000003E-2</v>
      </c>
      <c r="I1083" s="164">
        <f t="shared" si="40"/>
        <v>1.1020786169993826E-3</v>
      </c>
      <c r="J1083" s="128"/>
      <c r="K1083" s="128"/>
      <c r="L1083" s="93"/>
      <c r="M1083" s="93"/>
      <c r="N1083" s="93"/>
      <c r="O1083" s="93"/>
      <c r="P1083" s="93"/>
      <c r="Q1083" s="93"/>
      <c r="R1083" s="93"/>
      <c r="S1083" s="93"/>
      <c r="T1083" s="93"/>
      <c r="U1083" s="93"/>
      <c r="V1083" s="93"/>
      <c r="W1083" s="93"/>
      <c r="X1083" s="93"/>
    </row>
    <row r="1084" spans="1:24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11">
        <f t="shared" si="39"/>
        <v>430.5</v>
      </c>
      <c r="G1084" s="55">
        <v>21.9</v>
      </c>
      <c r="H1084" s="55">
        <v>3.5000000000000003E-2</v>
      </c>
      <c r="I1084" s="164">
        <f t="shared" si="40"/>
        <v>1.7804878048780488E-3</v>
      </c>
      <c r="J1084" s="128"/>
      <c r="K1084" s="128"/>
      <c r="L1084" s="93"/>
      <c r="M1084" s="93"/>
      <c r="N1084" s="93"/>
      <c r="O1084" s="93"/>
      <c r="P1084" s="93"/>
      <c r="Q1084" s="93"/>
      <c r="R1084" s="93"/>
      <c r="S1084" s="93"/>
      <c r="T1084" s="93"/>
      <c r="U1084" s="93"/>
      <c r="V1084" s="93"/>
      <c r="W1084" s="93"/>
      <c r="X1084" s="93"/>
    </row>
    <row r="1085" spans="1:24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611">
        <f t="shared" si="39"/>
        <v>96.4</v>
      </c>
      <c r="G1085" s="55">
        <v>10.8</v>
      </c>
      <c r="H1085" s="55">
        <v>3.5000000000000003E-2</v>
      </c>
      <c r="I1085" s="164">
        <f t="shared" si="40"/>
        <v>3.9211618257261414E-3</v>
      </c>
      <c r="J1085" s="128"/>
      <c r="K1085" s="128"/>
      <c r="L1085" s="93"/>
      <c r="M1085" s="93"/>
      <c r="N1085" s="93"/>
      <c r="O1085" s="93"/>
      <c r="P1085" s="93"/>
      <c r="Q1085" s="93"/>
      <c r="R1085" s="93"/>
      <c r="S1085" s="93"/>
      <c r="T1085" s="93"/>
      <c r="U1085" s="93"/>
      <c r="V1085" s="93"/>
      <c r="W1085" s="93"/>
      <c r="X1085" s="93"/>
    </row>
    <row r="1086" spans="1:24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611">
        <f t="shared" si="39"/>
        <v>76.2</v>
      </c>
      <c r="G1086" s="55">
        <v>8.4</v>
      </c>
      <c r="H1086" s="55">
        <v>3.5000000000000003E-2</v>
      </c>
      <c r="I1086" s="164">
        <f t="shared" si="40"/>
        <v>3.8582677165354333E-3</v>
      </c>
      <c r="J1086" s="128"/>
      <c r="K1086" s="128"/>
      <c r="L1086" s="93"/>
      <c r="M1086" s="93"/>
      <c r="N1086" s="93"/>
      <c r="O1086" s="93"/>
      <c r="P1086" s="93"/>
      <c r="Q1086" s="93"/>
      <c r="R1086" s="93"/>
      <c r="S1086" s="93"/>
      <c r="T1086" s="93"/>
      <c r="U1086" s="93"/>
      <c r="V1086" s="93"/>
      <c r="W1086" s="93"/>
      <c r="X1086" s="93"/>
    </row>
    <row r="1087" spans="1:24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611">
        <f t="shared" ref="F1087:F1147" si="41">C1087+D1087+E1087</f>
        <v>84.3</v>
      </c>
      <c r="G1087" s="55">
        <v>18.5</v>
      </c>
      <c r="H1087" s="55">
        <v>3.5000000000000003E-2</v>
      </c>
      <c r="I1087" s="164">
        <f t="shared" si="40"/>
        <v>7.680901542111508E-3</v>
      </c>
      <c r="J1087" s="128"/>
      <c r="K1087" s="128"/>
      <c r="L1087" s="93"/>
      <c r="M1087" s="93"/>
      <c r="N1087" s="93"/>
      <c r="O1087" s="93"/>
      <c r="P1087" s="93"/>
      <c r="Q1087" s="93"/>
      <c r="R1087" s="93"/>
      <c r="S1087" s="93"/>
      <c r="T1087" s="93"/>
      <c r="U1087" s="93"/>
      <c r="V1087" s="93"/>
      <c r="W1087" s="93"/>
      <c r="X1087" s="93"/>
    </row>
    <row r="1088" spans="1:24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611">
        <f t="shared" si="41"/>
        <v>236.4</v>
      </c>
      <c r="G1088" s="55">
        <v>26.7</v>
      </c>
      <c r="H1088" s="55">
        <v>3.5000000000000003E-2</v>
      </c>
      <c r="I1088" s="164">
        <f t="shared" si="40"/>
        <v>3.9530456852791881E-3</v>
      </c>
      <c r="J1088" s="128"/>
      <c r="K1088" s="128"/>
      <c r="L1088" s="93"/>
      <c r="M1088" s="93"/>
      <c r="N1088" s="93"/>
      <c r="O1088" s="93"/>
      <c r="P1088" s="93"/>
      <c r="Q1088" s="93"/>
      <c r="R1088" s="93"/>
      <c r="S1088" s="93"/>
      <c r="T1088" s="93"/>
      <c r="U1088" s="93"/>
      <c r="V1088" s="93"/>
      <c r="W1088" s="93"/>
      <c r="X1088" s="93"/>
    </row>
    <row r="1089" spans="1:24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611">
        <f t="shared" si="41"/>
        <v>84.3</v>
      </c>
      <c r="G1089" s="55">
        <v>9.3000000000000007</v>
      </c>
      <c r="H1089" s="55">
        <v>3.5000000000000003E-2</v>
      </c>
      <c r="I1089" s="164">
        <f t="shared" si="40"/>
        <v>3.8612099644128122E-3</v>
      </c>
      <c r="J1089" s="128"/>
      <c r="K1089" s="128"/>
      <c r="L1089" s="93"/>
      <c r="M1089" s="93"/>
      <c r="N1089" s="93"/>
      <c r="O1089" s="93"/>
      <c r="P1089" s="93"/>
      <c r="Q1089" s="93"/>
      <c r="R1089" s="93"/>
      <c r="S1089" s="93"/>
      <c r="T1089" s="93"/>
      <c r="U1089" s="93"/>
      <c r="V1089" s="93"/>
      <c r="W1089" s="93"/>
      <c r="X1089" s="93"/>
    </row>
    <row r="1090" spans="1:24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611">
        <f t="shared" si="41"/>
        <v>84.3</v>
      </c>
      <c r="G1090" s="55">
        <v>10.1</v>
      </c>
      <c r="H1090" s="55">
        <v>3.5000000000000003E-2</v>
      </c>
      <c r="I1090" s="164">
        <f t="shared" si="40"/>
        <v>4.1933570581257421E-3</v>
      </c>
      <c r="J1090" s="128"/>
      <c r="K1090" s="128"/>
      <c r="L1090" s="93"/>
      <c r="M1090" s="93"/>
      <c r="N1090" s="93"/>
      <c r="O1090" s="93"/>
      <c r="P1090" s="93"/>
      <c r="Q1090" s="93"/>
      <c r="R1090" s="93"/>
      <c r="S1090" s="93"/>
      <c r="T1090" s="93"/>
      <c r="U1090" s="93"/>
      <c r="V1090" s="93"/>
      <c r="W1090" s="93"/>
      <c r="X1090" s="93"/>
    </row>
    <row r="1091" spans="1:24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611">
        <f t="shared" si="41"/>
        <v>176.6</v>
      </c>
      <c r="G1091" s="55">
        <v>29.4</v>
      </c>
      <c r="H1091" s="55">
        <v>3.5000000000000003E-2</v>
      </c>
      <c r="I1091" s="164">
        <f t="shared" si="40"/>
        <v>5.826727066817668E-3</v>
      </c>
      <c r="J1091" s="128"/>
      <c r="K1091" s="128"/>
      <c r="L1091" s="93"/>
      <c r="M1091" s="93"/>
      <c r="N1091" s="93"/>
      <c r="O1091" s="93"/>
      <c r="P1091" s="93"/>
      <c r="Q1091" s="93"/>
      <c r="R1091" s="93"/>
      <c r="S1091" s="93"/>
      <c r="T1091" s="93"/>
      <c r="U1091" s="93"/>
      <c r="V1091" s="93"/>
      <c r="W1091" s="93"/>
      <c r="X1091" s="93"/>
    </row>
    <row r="1092" spans="1:24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611">
        <f t="shared" si="41"/>
        <v>111.5</v>
      </c>
      <c r="G1092" s="55">
        <v>11.8</v>
      </c>
      <c r="H1092" s="55">
        <v>3.5000000000000003E-2</v>
      </c>
      <c r="I1092" s="164">
        <f t="shared" si="40"/>
        <v>3.7040358744394627E-3</v>
      </c>
      <c r="J1092" s="128"/>
      <c r="K1092" s="128"/>
      <c r="L1092" s="93"/>
      <c r="M1092" s="93"/>
      <c r="N1092" s="93"/>
      <c r="O1092" s="93"/>
      <c r="P1092" s="93"/>
      <c r="Q1092" s="93"/>
      <c r="R1092" s="93"/>
      <c r="S1092" s="93"/>
      <c r="T1092" s="93"/>
      <c r="U1092" s="93"/>
      <c r="V1092" s="93"/>
      <c r="W1092" s="93"/>
      <c r="X1092" s="93"/>
    </row>
    <row r="1093" spans="1:24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611">
        <f t="shared" si="41"/>
        <v>94.2</v>
      </c>
      <c r="G1093" s="55">
        <v>6.6</v>
      </c>
      <c r="H1093" s="55">
        <v>3.5000000000000003E-2</v>
      </c>
      <c r="I1093" s="164">
        <f t="shared" si="40"/>
        <v>2.4522292993630576E-3</v>
      </c>
      <c r="J1093" s="128"/>
      <c r="K1093" s="128"/>
      <c r="L1093" s="93"/>
      <c r="M1093" s="93"/>
      <c r="N1093" s="93"/>
      <c r="O1093" s="93"/>
      <c r="P1093" s="93"/>
      <c r="Q1093" s="93"/>
      <c r="R1093" s="93"/>
      <c r="S1093" s="93"/>
      <c r="T1093" s="93"/>
      <c r="U1093" s="93"/>
      <c r="V1093" s="93"/>
      <c r="W1093" s="93"/>
      <c r="X1093" s="93"/>
    </row>
    <row r="1094" spans="1:24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611">
        <f t="shared" si="41"/>
        <v>131.4</v>
      </c>
      <c r="G1094" s="55">
        <v>7.1</v>
      </c>
      <c r="H1094" s="55">
        <v>3.5000000000000003E-2</v>
      </c>
      <c r="I1094" s="164">
        <f t="shared" si="40"/>
        <v>1.8911719939117199E-3</v>
      </c>
      <c r="J1094" s="128"/>
      <c r="K1094" s="128"/>
      <c r="L1094" s="93"/>
      <c r="M1094" s="93"/>
      <c r="N1094" s="93"/>
      <c r="O1094" s="93"/>
      <c r="P1094" s="93"/>
      <c r="Q1094" s="93"/>
      <c r="R1094" s="93"/>
      <c r="S1094" s="93"/>
      <c r="T1094" s="93"/>
      <c r="U1094" s="93"/>
      <c r="V1094" s="93"/>
      <c r="W1094" s="93"/>
      <c r="X1094" s="93"/>
    </row>
    <row r="1095" spans="1:24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611">
        <f t="shared" si="41"/>
        <v>87.9</v>
      </c>
      <c r="G1095" s="55">
        <v>12.1</v>
      </c>
      <c r="H1095" s="55">
        <v>3.5000000000000003E-2</v>
      </c>
      <c r="I1095" s="164">
        <f t="shared" si="40"/>
        <v>4.8179749715585897E-3</v>
      </c>
      <c r="J1095" s="128"/>
      <c r="K1095" s="128"/>
      <c r="L1095" s="93"/>
      <c r="M1095" s="93"/>
      <c r="N1095" s="93"/>
      <c r="O1095" s="93"/>
      <c r="P1095" s="93"/>
      <c r="Q1095" s="93"/>
      <c r="R1095" s="93"/>
      <c r="S1095" s="93"/>
      <c r="T1095" s="93"/>
      <c r="U1095" s="93"/>
      <c r="V1095" s="93"/>
      <c r="W1095" s="93"/>
      <c r="X1095" s="93"/>
    </row>
    <row r="1096" spans="1:24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11">
        <f t="shared" si="41"/>
        <v>69.599999999999994</v>
      </c>
      <c r="G1096" s="55">
        <v>4.5</v>
      </c>
      <c r="H1096" s="55">
        <v>3.5000000000000003E-2</v>
      </c>
      <c r="I1096" s="164">
        <f t="shared" si="40"/>
        <v>2.2629310344827592E-3</v>
      </c>
      <c r="J1096" s="128"/>
      <c r="K1096" s="128"/>
      <c r="L1096" s="93"/>
      <c r="M1096" s="93"/>
      <c r="N1096" s="93"/>
      <c r="O1096" s="93"/>
      <c r="P1096" s="93"/>
      <c r="Q1096" s="93"/>
      <c r="R1096" s="93"/>
      <c r="S1096" s="93"/>
      <c r="T1096" s="93"/>
      <c r="U1096" s="93"/>
      <c r="V1096" s="93"/>
      <c r="W1096" s="93"/>
      <c r="X1096" s="93"/>
    </row>
    <row r="1097" spans="1:24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611">
        <f t="shared" si="41"/>
        <v>101.5</v>
      </c>
      <c r="G1097" s="55">
        <v>8.3000000000000007</v>
      </c>
      <c r="H1097" s="55">
        <v>3.5000000000000003E-2</v>
      </c>
      <c r="I1097" s="164">
        <f t="shared" si="40"/>
        <v>2.8620689655172418E-3</v>
      </c>
      <c r="J1097" s="128"/>
      <c r="K1097" s="128"/>
      <c r="L1097" s="93"/>
      <c r="M1097" s="93"/>
      <c r="N1097" s="93"/>
      <c r="O1097" s="93"/>
      <c r="P1097" s="93"/>
      <c r="Q1097" s="93"/>
      <c r="R1097" s="93"/>
      <c r="S1097" s="93"/>
      <c r="T1097" s="93"/>
      <c r="U1097" s="93"/>
      <c r="V1097" s="93"/>
      <c r="W1097" s="93"/>
      <c r="X1097" s="93"/>
    </row>
    <row r="1098" spans="1:24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611">
        <f t="shared" si="41"/>
        <v>237.8</v>
      </c>
      <c r="G1098" s="55">
        <v>21</v>
      </c>
      <c r="H1098" s="55">
        <v>3.5000000000000003E-2</v>
      </c>
      <c r="I1098" s="164">
        <f t="shared" si="40"/>
        <v>3.0908326324642558E-3</v>
      </c>
      <c r="J1098" s="128"/>
      <c r="K1098" s="128"/>
      <c r="L1098" s="93"/>
      <c r="M1098" s="93"/>
      <c r="N1098" s="93"/>
      <c r="O1098" s="93"/>
      <c r="P1098" s="93"/>
      <c r="Q1098" s="93"/>
      <c r="R1098" s="93"/>
      <c r="S1098" s="93"/>
      <c r="T1098" s="93"/>
      <c r="U1098" s="93"/>
      <c r="V1098" s="93"/>
      <c r="W1098" s="93"/>
      <c r="X1098" s="93"/>
    </row>
    <row r="1099" spans="1:24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611">
        <f t="shared" si="41"/>
        <v>96.6</v>
      </c>
      <c r="G1099" s="55">
        <v>8.6</v>
      </c>
      <c r="H1099" s="55">
        <v>3.5000000000000003E-2</v>
      </c>
      <c r="I1099" s="164">
        <f t="shared" si="40"/>
        <v>3.1159420289855072E-3</v>
      </c>
      <c r="J1099" s="128"/>
      <c r="K1099" s="128"/>
      <c r="L1099" s="93"/>
      <c r="M1099" s="93"/>
      <c r="N1099" s="93"/>
      <c r="O1099" s="93"/>
      <c r="P1099" s="93"/>
      <c r="Q1099" s="93"/>
      <c r="R1099" s="93"/>
      <c r="S1099" s="93"/>
      <c r="T1099" s="93"/>
      <c r="U1099" s="93"/>
      <c r="V1099" s="93"/>
      <c r="W1099" s="93"/>
      <c r="X1099" s="93"/>
    </row>
    <row r="1100" spans="1:24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611">
        <f t="shared" si="41"/>
        <v>120.2</v>
      </c>
      <c r="G1100" s="55">
        <v>12.3</v>
      </c>
      <c r="H1100" s="55">
        <v>3.5000000000000003E-2</v>
      </c>
      <c r="I1100" s="164">
        <f t="shared" si="40"/>
        <v>3.5815307820299502E-3</v>
      </c>
      <c r="J1100" s="128"/>
      <c r="K1100" s="128"/>
      <c r="L1100" s="93"/>
      <c r="M1100" s="93"/>
      <c r="N1100" s="93"/>
      <c r="O1100" s="93"/>
      <c r="P1100" s="93"/>
      <c r="Q1100" s="93"/>
      <c r="R1100" s="93"/>
      <c r="S1100" s="93"/>
      <c r="T1100" s="93"/>
      <c r="U1100" s="93"/>
      <c r="V1100" s="93"/>
      <c r="W1100" s="93"/>
      <c r="X1100" s="93"/>
    </row>
    <row r="1101" spans="1:24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611">
        <f t="shared" si="41"/>
        <v>340.3</v>
      </c>
      <c r="G1101" s="55">
        <v>17.600000000000001</v>
      </c>
      <c r="H1101" s="55">
        <v>3.5000000000000003E-2</v>
      </c>
      <c r="I1101" s="164">
        <f t="shared" si="40"/>
        <v>1.8101674992653544E-3</v>
      </c>
      <c r="J1101" s="128"/>
      <c r="K1101" s="128"/>
      <c r="L1101" s="93"/>
      <c r="M1101" s="93"/>
      <c r="N1101" s="93"/>
      <c r="O1101" s="93"/>
      <c r="P1101" s="93"/>
      <c r="Q1101" s="93"/>
      <c r="R1101" s="93"/>
      <c r="S1101" s="93"/>
      <c r="T1101" s="93"/>
      <c r="U1101" s="93"/>
      <c r="V1101" s="93"/>
      <c r="W1101" s="93"/>
      <c r="X1101" s="93"/>
    </row>
    <row r="1102" spans="1:24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11">
        <f t="shared" si="41"/>
        <v>264.89999999999998</v>
      </c>
      <c r="G1102" s="55">
        <v>20</v>
      </c>
      <c r="H1102" s="55">
        <v>3.5000000000000003E-2</v>
      </c>
      <c r="I1102" s="164">
        <f t="shared" si="40"/>
        <v>2.6425066062665164E-3</v>
      </c>
      <c r="J1102" s="128"/>
      <c r="K1102" s="128"/>
      <c r="L1102" s="93"/>
      <c r="M1102" s="93"/>
      <c r="N1102" s="93"/>
      <c r="O1102" s="93"/>
      <c r="P1102" s="93"/>
      <c r="Q1102" s="93"/>
      <c r="R1102" s="93"/>
      <c r="S1102" s="93"/>
      <c r="T1102" s="93"/>
      <c r="U1102" s="93"/>
      <c r="V1102" s="93"/>
      <c r="W1102" s="93"/>
      <c r="X1102" s="93"/>
    </row>
    <row r="1103" spans="1:24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611">
        <f t="shared" si="41"/>
        <v>299.7</v>
      </c>
      <c r="G1103" s="55">
        <v>17.7</v>
      </c>
      <c r="H1103" s="55">
        <v>3.5000000000000003E-2</v>
      </c>
      <c r="I1103" s="164">
        <f t="shared" si="40"/>
        <v>2.0670670670670673E-3</v>
      </c>
      <c r="J1103" s="128"/>
      <c r="K1103" s="128"/>
      <c r="L1103" s="93"/>
      <c r="M1103" s="93"/>
      <c r="N1103" s="93"/>
      <c r="O1103" s="93"/>
      <c r="P1103" s="93"/>
      <c r="Q1103" s="93"/>
      <c r="R1103" s="93"/>
      <c r="S1103" s="93"/>
      <c r="T1103" s="93"/>
      <c r="U1103" s="93"/>
      <c r="V1103" s="93"/>
      <c r="W1103" s="93"/>
      <c r="X1103" s="93"/>
    </row>
    <row r="1104" spans="1:24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11">
        <f t="shared" si="41"/>
        <v>143.69999999999999</v>
      </c>
      <c r="G1104" s="55">
        <v>16.100000000000001</v>
      </c>
      <c r="H1104" s="55">
        <v>3.5000000000000003E-2</v>
      </c>
      <c r="I1104" s="164">
        <f t="shared" si="40"/>
        <v>3.921363952679194E-3</v>
      </c>
      <c r="J1104" s="128"/>
      <c r="K1104" s="128"/>
      <c r="L1104" s="93"/>
      <c r="M1104" s="93"/>
      <c r="N1104" s="93"/>
      <c r="O1104" s="93"/>
      <c r="P1104" s="93"/>
      <c r="Q1104" s="93"/>
      <c r="R1104" s="93"/>
      <c r="S1104" s="93"/>
      <c r="T1104" s="93"/>
      <c r="U1104" s="93"/>
      <c r="V1104" s="93"/>
      <c r="W1104" s="93"/>
      <c r="X1104" s="93"/>
    </row>
    <row r="1105" spans="1:24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11">
        <f t="shared" si="41"/>
        <v>295.10000000000002</v>
      </c>
      <c r="G1105" s="55">
        <v>20.8</v>
      </c>
      <c r="H1105" s="55">
        <v>3.5000000000000003E-2</v>
      </c>
      <c r="I1105" s="164">
        <f t="shared" si="40"/>
        <v>2.4669603524229075E-3</v>
      </c>
      <c r="J1105" s="128"/>
      <c r="K1105" s="128"/>
      <c r="L1105" s="93"/>
      <c r="M1105" s="93"/>
      <c r="N1105" s="93"/>
      <c r="O1105" s="93"/>
      <c r="P1105" s="93"/>
      <c r="Q1105" s="93"/>
      <c r="R1105" s="93"/>
      <c r="S1105" s="93"/>
      <c r="T1105" s="93"/>
      <c r="U1105" s="93"/>
      <c r="V1105" s="93"/>
      <c r="W1105" s="93"/>
      <c r="X1105" s="93"/>
    </row>
    <row r="1106" spans="1:24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11">
        <f t="shared" si="41"/>
        <v>148.69999999999999</v>
      </c>
      <c r="G1106" s="55">
        <v>16</v>
      </c>
      <c r="H1106" s="55">
        <v>3.5000000000000003E-2</v>
      </c>
      <c r="I1106" s="164">
        <f t="shared" si="40"/>
        <v>3.7659717552118365E-3</v>
      </c>
      <c r="J1106" s="128"/>
      <c r="K1106" s="128"/>
      <c r="L1106" s="93"/>
      <c r="M1106" s="93"/>
      <c r="N1106" s="93"/>
      <c r="O1106" s="93"/>
      <c r="P1106" s="93"/>
      <c r="Q1106" s="93"/>
      <c r="R1106" s="93"/>
      <c r="S1106" s="93"/>
      <c r="T1106" s="93"/>
      <c r="U1106" s="93"/>
      <c r="V1106" s="93"/>
      <c r="W1106" s="93"/>
      <c r="X1106" s="93"/>
    </row>
    <row r="1107" spans="1:24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611">
        <f t="shared" si="41"/>
        <v>339.7</v>
      </c>
      <c r="G1107" s="55">
        <v>18.3</v>
      </c>
      <c r="H1107" s="55">
        <v>3.5000000000000003E-2</v>
      </c>
      <c r="I1107" s="164">
        <f t="shared" si="40"/>
        <v>1.8854871945834563E-3</v>
      </c>
      <c r="J1107" s="128"/>
      <c r="K1107" s="128"/>
      <c r="L1107" s="93"/>
      <c r="M1107" s="93"/>
      <c r="N1107" s="93"/>
      <c r="O1107" s="93"/>
      <c r="P1107" s="93"/>
      <c r="Q1107" s="93"/>
      <c r="R1107" s="93"/>
      <c r="S1107" s="93"/>
      <c r="T1107" s="93"/>
      <c r="U1107" s="93"/>
      <c r="V1107" s="93"/>
      <c r="W1107" s="93"/>
      <c r="X1107" s="93"/>
    </row>
    <row r="1108" spans="1:24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611">
        <f t="shared" si="41"/>
        <v>197.6</v>
      </c>
      <c r="G1108" s="55">
        <v>18.100000000000001</v>
      </c>
      <c r="H1108" s="55">
        <v>3.5000000000000003E-2</v>
      </c>
      <c r="I1108" s="164">
        <f t="shared" si="40"/>
        <v>3.2059716599190289E-3</v>
      </c>
      <c r="J1108" s="128"/>
      <c r="K1108" s="128"/>
      <c r="L1108" s="93"/>
      <c r="M1108" s="93"/>
      <c r="N1108" s="93"/>
      <c r="O1108" s="93"/>
      <c r="P1108" s="93"/>
      <c r="Q1108" s="93"/>
      <c r="R1108" s="93"/>
      <c r="S1108" s="93"/>
      <c r="T1108" s="93"/>
      <c r="U1108" s="93"/>
      <c r="V1108" s="93"/>
      <c r="W1108" s="93"/>
      <c r="X1108" s="93"/>
    </row>
    <row r="1109" spans="1:24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611">
        <f t="shared" si="41"/>
        <v>251</v>
      </c>
      <c r="G1109" s="55">
        <v>23</v>
      </c>
      <c r="H1109" s="55">
        <v>3.5000000000000003E-2</v>
      </c>
      <c r="I1109" s="164">
        <f t="shared" si="40"/>
        <v>3.2071713147410362E-3</v>
      </c>
      <c r="J1109" s="128"/>
      <c r="K1109" s="128"/>
      <c r="L1109" s="93"/>
      <c r="M1109" s="93"/>
      <c r="N1109" s="93"/>
      <c r="O1109" s="93"/>
      <c r="P1109" s="93"/>
      <c r="Q1109" s="93"/>
      <c r="R1109" s="93"/>
      <c r="S1109" s="93"/>
      <c r="T1109" s="93"/>
      <c r="U1109" s="93"/>
      <c r="V1109" s="93"/>
      <c r="W1109" s="93"/>
      <c r="X1109" s="93"/>
    </row>
    <row r="1110" spans="1:24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611">
        <f t="shared" si="41"/>
        <v>172.7</v>
      </c>
      <c r="G1110" s="55">
        <v>14.2</v>
      </c>
      <c r="H1110" s="55">
        <v>3.5000000000000003E-2</v>
      </c>
      <c r="I1110" s="164">
        <f t="shared" si="40"/>
        <v>2.8778228141285466E-3</v>
      </c>
      <c r="J1110" s="128"/>
      <c r="K1110" s="128"/>
      <c r="L1110" s="93"/>
      <c r="M1110" s="93"/>
      <c r="N1110" s="93"/>
      <c r="O1110" s="93"/>
      <c r="P1110" s="93"/>
      <c r="Q1110" s="93"/>
      <c r="R1110" s="93"/>
      <c r="S1110" s="93"/>
      <c r="T1110" s="93"/>
      <c r="U1110" s="93"/>
      <c r="V1110" s="93"/>
      <c r="W1110" s="93"/>
      <c r="X1110" s="93"/>
    </row>
    <row r="1111" spans="1:24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611">
        <f t="shared" si="41"/>
        <v>294.2</v>
      </c>
      <c r="G1111" s="55">
        <v>18.3</v>
      </c>
      <c r="H1111" s="55">
        <v>3.5000000000000003E-2</v>
      </c>
      <c r="I1111" s="164">
        <f t="shared" si="40"/>
        <v>2.1770904146838888E-3</v>
      </c>
      <c r="J1111" s="128"/>
      <c r="K1111" s="128"/>
      <c r="L1111" s="93"/>
      <c r="M1111" s="93"/>
      <c r="N1111" s="93"/>
      <c r="O1111" s="93"/>
      <c r="P1111" s="93"/>
      <c r="Q1111" s="93"/>
      <c r="R1111" s="93"/>
      <c r="S1111" s="93"/>
      <c r="T1111" s="93"/>
      <c r="U1111" s="93"/>
      <c r="V1111" s="93"/>
      <c r="W1111" s="93"/>
      <c r="X1111" s="93"/>
    </row>
    <row r="1112" spans="1:24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611">
        <f t="shared" si="41"/>
        <v>200.9</v>
      </c>
      <c r="G1112" s="55">
        <v>12</v>
      </c>
      <c r="H1112" s="55">
        <v>3.5000000000000003E-2</v>
      </c>
      <c r="I1112" s="164">
        <f t="shared" si="40"/>
        <v>2.0905923344947735E-3</v>
      </c>
      <c r="J1112" s="128"/>
      <c r="K1112" s="128"/>
      <c r="L1112" s="93"/>
      <c r="M1112" s="93"/>
      <c r="N1112" s="93"/>
      <c r="O1112" s="93"/>
      <c r="P1112" s="93"/>
      <c r="Q1112" s="93"/>
      <c r="R1112" s="93"/>
      <c r="S1112" s="93"/>
      <c r="T1112" s="93"/>
      <c r="U1112" s="93"/>
      <c r="V1112" s="93"/>
      <c r="W1112" s="93"/>
      <c r="X1112" s="93"/>
    </row>
    <row r="1113" spans="1:24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611">
        <f t="shared" si="41"/>
        <v>297.8</v>
      </c>
      <c r="G1113" s="55">
        <v>28.3</v>
      </c>
      <c r="H1113" s="55">
        <v>3.5000000000000003E-2</v>
      </c>
      <c r="I1113" s="164">
        <f t="shared" si="40"/>
        <v>3.3260577568838151E-3</v>
      </c>
      <c r="J1113" s="128"/>
      <c r="K1113" s="128"/>
      <c r="L1113" s="93"/>
      <c r="M1113" s="93"/>
      <c r="N1113" s="93"/>
      <c r="O1113" s="93"/>
      <c r="P1113" s="93"/>
      <c r="Q1113" s="93"/>
      <c r="R1113" s="93"/>
      <c r="S1113" s="93"/>
      <c r="T1113" s="93"/>
      <c r="U1113" s="93"/>
      <c r="V1113" s="93"/>
      <c r="W1113" s="93"/>
      <c r="X1113" s="93"/>
    </row>
    <row r="1114" spans="1:24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611">
        <f t="shared" si="41"/>
        <v>124.6</v>
      </c>
      <c r="G1114" s="55">
        <v>8.6</v>
      </c>
      <c r="H1114" s="55">
        <v>3.5000000000000003E-2</v>
      </c>
      <c r="I1114" s="164">
        <f t="shared" si="40"/>
        <v>2.4157303370786515E-3</v>
      </c>
      <c r="J1114" s="128"/>
      <c r="K1114" s="128"/>
      <c r="L1114" s="93"/>
      <c r="M1114" s="93"/>
      <c r="N1114" s="93"/>
      <c r="O1114" s="93"/>
      <c r="P1114" s="93"/>
      <c r="Q1114" s="93"/>
      <c r="R1114" s="93"/>
      <c r="S1114" s="93"/>
      <c r="T1114" s="93"/>
      <c r="U1114" s="93"/>
      <c r="V1114" s="93"/>
      <c r="W1114" s="93"/>
      <c r="X1114" s="93"/>
    </row>
    <row r="1115" spans="1:24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11">
        <f t="shared" si="41"/>
        <v>132.19999999999999</v>
      </c>
      <c r="G1115" s="55">
        <v>7.6</v>
      </c>
      <c r="H1115" s="55">
        <v>3.5000000000000003E-2</v>
      </c>
      <c r="I1115" s="164">
        <f t="shared" si="40"/>
        <v>2.0121028744326782E-3</v>
      </c>
      <c r="J1115" s="128"/>
      <c r="K1115" s="128"/>
      <c r="L1115" s="93"/>
      <c r="M1115" s="93"/>
      <c r="N1115" s="93"/>
      <c r="O1115" s="93"/>
      <c r="P1115" s="93"/>
      <c r="Q1115" s="93"/>
      <c r="R1115" s="93"/>
      <c r="S1115" s="93"/>
      <c r="T1115" s="93"/>
      <c r="U1115" s="93"/>
      <c r="V1115" s="93"/>
      <c r="W1115" s="93"/>
      <c r="X1115" s="93"/>
    </row>
    <row r="1116" spans="1:24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611">
        <f t="shared" si="41"/>
        <v>225.4</v>
      </c>
      <c r="G1116" s="55">
        <v>12.1</v>
      </c>
      <c r="H1116" s="55">
        <v>3.5000000000000003E-2</v>
      </c>
      <c r="I1116" s="164">
        <f t="shared" si="40"/>
        <v>1.8788819875776399E-3</v>
      </c>
      <c r="J1116" s="128"/>
      <c r="K1116" s="128"/>
      <c r="L1116" s="93"/>
      <c r="M1116" s="93"/>
      <c r="N1116" s="93"/>
      <c r="O1116" s="93"/>
      <c r="P1116" s="93"/>
      <c r="Q1116" s="93"/>
      <c r="R1116" s="93"/>
      <c r="S1116" s="93"/>
      <c r="T1116" s="93"/>
      <c r="U1116" s="93"/>
      <c r="V1116" s="93"/>
      <c r="W1116" s="93"/>
      <c r="X1116" s="93"/>
    </row>
    <row r="1117" spans="1:24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611">
        <f t="shared" si="41"/>
        <v>415.6</v>
      </c>
      <c r="G1117" s="55">
        <v>23.6</v>
      </c>
      <c r="H1117" s="55">
        <v>3.5000000000000003E-2</v>
      </c>
      <c r="I1117" s="164">
        <f t="shared" si="40"/>
        <v>1.9874879692011551E-3</v>
      </c>
      <c r="J1117" s="128"/>
      <c r="K1117" s="128"/>
      <c r="L1117" s="93"/>
      <c r="M1117" s="93"/>
      <c r="N1117" s="93"/>
      <c r="O1117" s="93"/>
      <c r="P1117" s="93"/>
      <c r="Q1117" s="93"/>
      <c r="R1117" s="93"/>
      <c r="S1117" s="93"/>
      <c r="T1117" s="93"/>
      <c r="U1117" s="93"/>
      <c r="V1117" s="93"/>
      <c r="W1117" s="93"/>
      <c r="X1117" s="93"/>
    </row>
    <row r="1118" spans="1:24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611">
        <f t="shared" si="41"/>
        <v>1495</v>
      </c>
      <c r="G1118" s="55">
        <v>83.3</v>
      </c>
      <c r="H1118" s="55">
        <v>3.5000000000000003E-2</v>
      </c>
      <c r="I1118" s="164">
        <f t="shared" si="40"/>
        <v>1.9501672240802676E-3</v>
      </c>
      <c r="J1118" s="128"/>
      <c r="K1118" s="128"/>
      <c r="L1118" s="93"/>
      <c r="M1118" s="93"/>
      <c r="N1118" s="93"/>
      <c r="O1118" s="93"/>
      <c r="P1118" s="93"/>
      <c r="Q1118" s="93"/>
      <c r="R1118" s="93"/>
      <c r="S1118" s="93"/>
      <c r="T1118" s="93"/>
      <c r="U1118" s="93"/>
      <c r="V1118" s="93"/>
      <c r="W1118" s="93"/>
      <c r="X1118" s="93"/>
    </row>
    <row r="1119" spans="1:24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11">
        <f t="shared" si="41"/>
        <v>288.60000000000002</v>
      </c>
      <c r="G1119" s="55">
        <v>10.3</v>
      </c>
      <c r="H1119" s="55">
        <v>3.5000000000000003E-2</v>
      </c>
      <c r="I1119" s="164">
        <f t="shared" si="40"/>
        <v>1.2491337491337491E-3</v>
      </c>
      <c r="J1119" s="128"/>
      <c r="K1119" s="128"/>
      <c r="L1119" s="93"/>
      <c r="M1119" s="93"/>
      <c r="N1119" s="93"/>
      <c r="O1119" s="93"/>
      <c r="P1119" s="93"/>
      <c r="Q1119" s="93"/>
      <c r="R1119" s="93"/>
      <c r="S1119" s="93"/>
      <c r="T1119" s="93"/>
      <c r="U1119" s="93"/>
      <c r="V1119" s="93"/>
      <c r="W1119" s="93"/>
      <c r="X1119" s="93"/>
    </row>
    <row r="1120" spans="1:24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11">
        <f t="shared" si="41"/>
        <v>272.10000000000002</v>
      </c>
      <c r="G1120" s="55">
        <v>21.5</v>
      </c>
      <c r="H1120" s="55">
        <v>3.5000000000000003E-2</v>
      </c>
      <c r="I1120" s="164">
        <f t="shared" si="40"/>
        <v>2.7655273796398385E-3</v>
      </c>
      <c r="J1120" s="128"/>
      <c r="K1120" s="128"/>
      <c r="L1120" s="93"/>
      <c r="M1120" s="93"/>
      <c r="N1120" s="93"/>
      <c r="O1120" s="93"/>
      <c r="P1120" s="93"/>
      <c r="Q1120" s="93"/>
      <c r="R1120" s="93"/>
      <c r="S1120" s="93"/>
      <c r="T1120" s="93"/>
      <c r="U1120" s="93"/>
      <c r="V1120" s="93"/>
      <c r="W1120" s="93"/>
      <c r="X1120" s="93"/>
    </row>
    <row r="1121" spans="1:24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11">
        <f t="shared" si="41"/>
        <v>313.7</v>
      </c>
      <c r="G1121" s="55">
        <v>25</v>
      </c>
      <c r="H1121" s="55">
        <v>3.5000000000000003E-2</v>
      </c>
      <c r="I1121" s="164">
        <f t="shared" si="40"/>
        <v>2.7892891297417919E-3</v>
      </c>
      <c r="J1121" s="128"/>
      <c r="K1121" s="128"/>
      <c r="L1121" s="93"/>
      <c r="M1121" s="93"/>
      <c r="N1121" s="93"/>
      <c r="O1121" s="93"/>
      <c r="P1121" s="93"/>
      <c r="Q1121" s="93"/>
      <c r="R1121" s="93"/>
      <c r="S1121" s="93"/>
      <c r="T1121" s="93"/>
      <c r="U1121" s="93"/>
      <c r="V1121" s="93"/>
      <c r="W1121" s="93"/>
      <c r="X1121" s="93"/>
    </row>
    <row r="1122" spans="1:24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11">
        <f t="shared" si="41"/>
        <v>860.41000000000008</v>
      </c>
      <c r="G1122" s="55">
        <v>25.4</v>
      </c>
      <c r="H1122" s="55">
        <v>3.5000000000000003E-2</v>
      </c>
      <c r="I1122" s="164">
        <f t="shared" si="40"/>
        <v>1.033228344626399E-3</v>
      </c>
      <c r="J1122" s="128"/>
      <c r="K1122" s="128"/>
      <c r="L1122" s="93"/>
      <c r="M1122" s="93"/>
      <c r="N1122" s="93"/>
      <c r="O1122" s="93"/>
      <c r="P1122" s="93"/>
      <c r="Q1122" s="93"/>
      <c r="R1122" s="93"/>
      <c r="S1122" s="93"/>
      <c r="T1122" s="93"/>
      <c r="U1122" s="93"/>
      <c r="V1122" s="93"/>
      <c r="W1122" s="93"/>
      <c r="X1122" s="93"/>
    </row>
    <row r="1123" spans="1:24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611">
        <f t="shared" si="41"/>
        <v>294</v>
      </c>
      <c r="G1123" s="55">
        <v>10.9</v>
      </c>
      <c r="H1123" s="55">
        <v>3.5000000000000003E-2</v>
      </c>
      <c r="I1123" s="164">
        <f t="shared" si="40"/>
        <v>1.2976190476190479E-3</v>
      </c>
      <c r="J1123" s="128"/>
      <c r="K1123" s="128"/>
      <c r="L1123" s="93"/>
      <c r="M1123" s="93"/>
      <c r="N1123" s="93"/>
      <c r="O1123" s="93"/>
      <c r="P1123" s="93"/>
      <c r="Q1123" s="93"/>
      <c r="R1123" s="93"/>
      <c r="S1123" s="93"/>
      <c r="T1123" s="93"/>
      <c r="U1123" s="93"/>
      <c r="V1123" s="93"/>
      <c r="W1123" s="93"/>
      <c r="X1123" s="93"/>
    </row>
    <row r="1124" spans="1:24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611">
        <f t="shared" si="41"/>
        <v>1119.54</v>
      </c>
      <c r="G1124" s="55">
        <v>24.8</v>
      </c>
      <c r="H1124" s="55">
        <v>3.5000000000000003E-2</v>
      </c>
      <c r="I1124" s="164">
        <f t="shared" si="40"/>
        <v>7.7531843435696814E-4</v>
      </c>
      <c r="J1124" s="128"/>
      <c r="K1124" s="128"/>
      <c r="L1124" s="93"/>
      <c r="M1124" s="93"/>
      <c r="N1124" s="93"/>
      <c r="O1124" s="93"/>
      <c r="P1124" s="93"/>
      <c r="Q1124" s="93"/>
      <c r="R1124" s="93"/>
      <c r="S1124" s="93"/>
      <c r="T1124" s="93"/>
      <c r="U1124" s="93"/>
      <c r="V1124" s="93"/>
      <c r="W1124" s="93"/>
      <c r="X1124" s="93"/>
    </row>
    <row r="1125" spans="1:24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611">
        <f t="shared" si="41"/>
        <v>542.66</v>
      </c>
      <c r="G1125" s="55">
        <v>12</v>
      </c>
      <c r="H1125" s="55">
        <v>3.5000000000000003E-2</v>
      </c>
      <c r="I1125" s="164">
        <f t="shared" si="40"/>
        <v>7.7396528212877319E-4</v>
      </c>
      <c r="J1125" s="128"/>
      <c r="K1125" s="128"/>
      <c r="L1125" s="93"/>
      <c r="M1125" s="93"/>
      <c r="N1125" s="93"/>
      <c r="O1125" s="93"/>
      <c r="P1125" s="93"/>
      <c r="Q1125" s="93"/>
      <c r="R1125" s="93"/>
      <c r="S1125" s="93"/>
      <c r="T1125" s="93"/>
      <c r="U1125" s="93"/>
      <c r="V1125" s="93"/>
      <c r="W1125" s="93"/>
      <c r="X1125" s="93"/>
    </row>
    <row r="1126" spans="1:24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611">
        <f t="shared" si="41"/>
        <v>507.72</v>
      </c>
      <c r="G1126" s="55">
        <v>24.2</v>
      </c>
      <c r="H1126" s="55">
        <v>3.5000000000000003E-2</v>
      </c>
      <c r="I1126" s="164">
        <f t="shared" si="40"/>
        <v>1.6682423382966991E-3</v>
      </c>
      <c r="J1126" s="128"/>
      <c r="K1126" s="128"/>
      <c r="L1126" s="93"/>
      <c r="M1126" s="93"/>
      <c r="N1126" s="93"/>
      <c r="O1126" s="93"/>
      <c r="P1126" s="93"/>
      <c r="Q1126" s="93"/>
      <c r="R1126" s="93"/>
      <c r="S1126" s="93"/>
      <c r="T1126" s="93"/>
      <c r="U1126" s="93"/>
      <c r="V1126" s="93"/>
      <c r="W1126" s="93"/>
      <c r="X1126" s="93"/>
    </row>
    <row r="1127" spans="1:24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611">
        <f t="shared" si="41"/>
        <v>517.03</v>
      </c>
      <c r="G1127" s="55">
        <v>56.2</v>
      </c>
      <c r="H1127" s="55">
        <v>3.5000000000000003E-2</v>
      </c>
      <c r="I1127" s="164">
        <f t="shared" si="40"/>
        <v>3.8044214068816131E-3</v>
      </c>
      <c r="J1127" s="128"/>
      <c r="K1127" s="128"/>
      <c r="L1127" s="93"/>
      <c r="M1127" s="93"/>
      <c r="N1127" s="93"/>
      <c r="O1127" s="93"/>
      <c r="P1127" s="93"/>
      <c r="Q1127" s="93"/>
      <c r="R1127" s="93"/>
      <c r="S1127" s="93"/>
      <c r="T1127" s="93"/>
      <c r="U1127" s="93"/>
      <c r="V1127" s="93"/>
      <c r="W1127" s="93"/>
      <c r="X1127" s="93"/>
    </row>
    <row r="1128" spans="1:24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611">
        <f t="shared" si="41"/>
        <v>497.81</v>
      </c>
      <c r="G1128" s="246">
        <v>46.6</v>
      </c>
      <c r="H1128" s="55">
        <v>3.5000000000000003E-2</v>
      </c>
      <c r="I1128" s="164">
        <f t="shared" si="40"/>
        <v>3.2763504148168986E-3</v>
      </c>
      <c r="J1128" s="128"/>
      <c r="K1128" s="128"/>
      <c r="L1128" s="93"/>
      <c r="M1128" s="93"/>
      <c r="N1128" s="93"/>
      <c r="O1128" s="93"/>
      <c r="P1128" s="93"/>
      <c r="Q1128" s="93"/>
      <c r="R1128" s="93"/>
      <c r="S1128" s="93"/>
      <c r="T1128" s="93"/>
      <c r="U1128" s="93"/>
      <c r="V1128" s="93"/>
      <c r="W1128" s="93"/>
      <c r="X1128" s="93"/>
    </row>
    <row r="1129" spans="1:24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11">
        <f t="shared" si="41"/>
        <v>301.3</v>
      </c>
      <c r="G1129" s="55">
        <v>24.1</v>
      </c>
      <c r="H1129" s="55">
        <v>3.5000000000000003E-2</v>
      </c>
      <c r="I1129" s="164">
        <f t="shared" si="40"/>
        <v>2.7995353468304018E-3</v>
      </c>
      <c r="J1129" s="128"/>
      <c r="K1129" s="128"/>
      <c r="L1129" s="93"/>
      <c r="M1129" s="93"/>
      <c r="N1129" s="93"/>
      <c r="O1129" s="93"/>
      <c r="P1129" s="93"/>
      <c r="Q1129" s="93"/>
      <c r="R1129" s="93"/>
      <c r="S1129" s="93"/>
      <c r="T1129" s="93"/>
      <c r="U1129" s="93"/>
      <c r="V1129" s="93"/>
      <c r="W1129" s="93"/>
      <c r="X1129" s="93"/>
    </row>
    <row r="1130" spans="1:24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11">
        <f t="shared" si="41"/>
        <v>493.5</v>
      </c>
      <c r="G1130" s="55">
        <v>18.899999999999999</v>
      </c>
      <c r="H1130" s="55">
        <v>3.5000000000000003E-2</v>
      </c>
      <c r="I1130" s="164">
        <f t="shared" si="40"/>
        <v>1.3404255319148935E-3</v>
      </c>
      <c r="J1130" s="128"/>
      <c r="K1130" s="128"/>
      <c r="L1130" s="93"/>
      <c r="M1130" s="93"/>
      <c r="N1130" s="93"/>
      <c r="O1130" s="93"/>
      <c r="P1130" s="93"/>
      <c r="Q1130" s="93"/>
      <c r="R1130" s="93"/>
      <c r="S1130" s="93"/>
      <c r="T1130" s="93"/>
      <c r="U1130" s="93"/>
      <c r="V1130" s="93"/>
      <c r="W1130" s="93"/>
      <c r="X1130" s="93"/>
    </row>
    <row r="1131" spans="1:24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11">
        <f t="shared" si="41"/>
        <v>264.8</v>
      </c>
      <c r="G1131" s="55">
        <v>21.3</v>
      </c>
      <c r="H1131" s="55">
        <v>3.5000000000000003E-2</v>
      </c>
      <c r="I1131" s="164">
        <f t="shared" si="40"/>
        <v>2.8153323262839879E-3</v>
      </c>
      <c r="J1131" s="128"/>
      <c r="K1131" s="128"/>
      <c r="L1131" s="93"/>
      <c r="M1131" s="93"/>
      <c r="N1131" s="93"/>
      <c r="O1131" s="93"/>
      <c r="P1131" s="93"/>
      <c r="Q1131" s="93"/>
      <c r="R1131" s="93"/>
      <c r="S1131" s="93"/>
      <c r="T1131" s="93"/>
      <c r="U1131" s="93"/>
      <c r="V1131" s="93"/>
      <c r="W1131" s="93"/>
      <c r="X1131" s="93"/>
    </row>
    <row r="1132" spans="1:24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11">
        <f t="shared" si="41"/>
        <v>544.79999999999995</v>
      </c>
      <c r="G1132" s="55">
        <v>17</v>
      </c>
      <c r="H1132" s="55">
        <v>3.5000000000000003E-2</v>
      </c>
      <c r="I1132" s="164">
        <f t="shared" si="40"/>
        <v>1.0921439060205583E-3</v>
      </c>
      <c r="J1132" s="128"/>
      <c r="K1132" s="128"/>
      <c r="L1132" s="93"/>
      <c r="M1132" s="93"/>
      <c r="N1132" s="93"/>
      <c r="O1132" s="93"/>
      <c r="P1132" s="93"/>
      <c r="Q1132" s="93"/>
      <c r="R1132" s="93"/>
      <c r="S1132" s="93"/>
      <c r="T1132" s="93"/>
      <c r="U1132" s="93"/>
      <c r="V1132" s="93"/>
      <c r="W1132" s="93"/>
      <c r="X1132" s="93"/>
    </row>
    <row r="1133" spans="1:24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11">
        <f t="shared" si="41"/>
        <v>205</v>
      </c>
      <c r="G1133" s="55">
        <v>20.2</v>
      </c>
      <c r="H1133" s="55">
        <v>3.5000000000000003E-2</v>
      </c>
      <c r="I1133" s="164">
        <f t="shared" ref="I1133:I1145" si="42">G1133*H1133/F1133</f>
        <v>3.4487804878048783E-3</v>
      </c>
      <c r="J1133" s="128"/>
      <c r="K1133" s="128"/>
      <c r="L1133" s="93"/>
      <c r="M1133" s="93"/>
      <c r="N1133" s="93"/>
      <c r="O1133" s="93"/>
      <c r="P1133" s="93"/>
      <c r="Q1133" s="93"/>
      <c r="R1133" s="93"/>
      <c r="S1133" s="93"/>
      <c r="T1133" s="93"/>
      <c r="U1133" s="93"/>
      <c r="V1133" s="93"/>
      <c r="W1133" s="93"/>
      <c r="X1133" s="93"/>
    </row>
    <row r="1134" spans="1:24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11">
        <f t="shared" si="41"/>
        <v>577.32000000000005</v>
      </c>
      <c r="G1134" s="55">
        <v>31.1</v>
      </c>
      <c r="H1134" s="55">
        <v>3.5000000000000003E-2</v>
      </c>
      <c r="I1134" s="164">
        <f t="shared" si="42"/>
        <v>1.8854361532598908E-3</v>
      </c>
      <c r="J1134" s="128"/>
      <c r="K1134" s="128"/>
      <c r="L1134" s="93"/>
      <c r="M1134" s="93"/>
      <c r="N1134" s="93"/>
      <c r="O1134" s="93"/>
      <c r="P1134" s="93"/>
      <c r="Q1134" s="93"/>
      <c r="R1134" s="93"/>
      <c r="S1134" s="93"/>
      <c r="T1134" s="93"/>
      <c r="U1134" s="93"/>
      <c r="V1134" s="93"/>
      <c r="W1134" s="93"/>
      <c r="X1134" s="93"/>
    </row>
    <row r="1135" spans="1:24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11">
        <f t="shared" si="41"/>
        <v>353</v>
      </c>
      <c r="G1135" s="55">
        <v>20.100000000000001</v>
      </c>
      <c r="H1135" s="55">
        <v>3.5000000000000003E-2</v>
      </c>
      <c r="I1135" s="164">
        <f t="shared" si="42"/>
        <v>1.992917847025496E-3</v>
      </c>
      <c r="J1135" s="128"/>
      <c r="K1135" s="128"/>
      <c r="L1135" s="93"/>
      <c r="M1135" s="93"/>
      <c r="N1135" s="93"/>
      <c r="O1135" s="93"/>
      <c r="P1135" s="93"/>
      <c r="Q1135" s="93"/>
      <c r="R1135" s="93"/>
      <c r="S1135" s="93"/>
      <c r="T1135" s="93"/>
      <c r="U1135" s="93"/>
      <c r="V1135" s="93"/>
      <c r="W1135" s="93"/>
      <c r="X1135" s="93"/>
    </row>
    <row r="1136" spans="1:24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11">
        <f t="shared" si="41"/>
        <v>646.29999999999995</v>
      </c>
      <c r="G1136" s="55">
        <v>33.700000000000003</v>
      </c>
      <c r="H1136" s="55">
        <v>3.5000000000000003E-2</v>
      </c>
      <c r="I1136" s="164">
        <f t="shared" si="42"/>
        <v>1.8250038681726756E-3</v>
      </c>
      <c r="J1136" s="128"/>
      <c r="K1136" s="128"/>
      <c r="L1136" s="93"/>
      <c r="M1136" s="93"/>
      <c r="N1136" s="93"/>
      <c r="O1136" s="93"/>
      <c r="P1136" s="93"/>
      <c r="Q1136" s="93"/>
      <c r="R1136" s="93"/>
      <c r="S1136" s="93"/>
      <c r="T1136" s="93"/>
      <c r="U1136" s="93"/>
      <c r="V1136" s="93"/>
      <c r="W1136" s="93"/>
      <c r="X1136" s="93"/>
    </row>
    <row r="1137" spans="1:24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11">
        <f t="shared" si="41"/>
        <v>281.89999999999998</v>
      </c>
      <c r="G1137" s="55">
        <v>19.8</v>
      </c>
      <c r="H1137" s="55">
        <v>3.5000000000000003E-2</v>
      </c>
      <c r="I1137" s="164">
        <f t="shared" si="42"/>
        <v>2.4583185526782553E-3</v>
      </c>
      <c r="J1137" s="128"/>
      <c r="K1137" s="128"/>
      <c r="L1137" s="93"/>
      <c r="M1137" s="93"/>
      <c r="N1137" s="93"/>
      <c r="O1137" s="93"/>
      <c r="P1137" s="93"/>
      <c r="Q1137" s="93"/>
      <c r="R1137" s="93"/>
      <c r="S1137" s="93"/>
      <c r="T1137" s="93"/>
      <c r="U1137" s="93"/>
      <c r="V1137" s="93"/>
      <c r="W1137" s="93"/>
      <c r="X1137" s="93"/>
    </row>
    <row r="1138" spans="1:24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11">
        <f t="shared" si="41"/>
        <v>305.10000000000002</v>
      </c>
      <c r="G1138" s="55">
        <v>29.5</v>
      </c>
      <c r="H1138" s="55">
        <v>3.5000000000000003E-2</v>
      </c>
      <c r="I1138" s="164">
        <f t="shared" si="42"/>
        <v>3.3841363487381189E-3</v>
      </c>
      <c r="J1138" s="128"/>
      <c r="K1138" s="128"/>
      <c r="L1138" s="93"/>
      <c r="M1138" s="93"/>
      <c r="N1138" s="93"/>
      <c r="O1138" s="93"/>
      <c r="P1138" s="93"/>
      <c r="Q1138" s="93"/>
      <c r="R1138" s="93"/>
      <c r="S1138" s="93"/>
      <c r="T1138" s="93"/>
      <c r="U1138" s="93"/>
      <c r="V1138" s="93"/>
      <c r="W1138" s="93"/>
      <c r="X1138" s="93"/>
    </row>
    <row r="1139" spans="1:24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11">
        <f t="shared" si="41"/>
        <v>369.45</v>
      </c>
      <c r="G1139" s="55">
        <v>33.6</v>
      </c>
      <c r="H1139" s="55">
        <v>3.5000000000000003E-2</v>
      </c>
      <c r="I1139" s="164">
        <f t="shared" si="42"/>
        <v>3.1831100284206259E-3</v>
      </c>
      <c r="J1139" s="128"/>
      <c r="K1139" s="128"/>
      <c r="L1139" s="93"/>
      <c r="M1139" s="93"/>
      <c r="N1139" s="93"/>
      <c r="O1139" s="93"/>
      <c r="P1139" s="93"/>
      <c r="Q1139" s="93"/>
      <c r="R1139" s="93"/>
      <c r="S1139" s="93"/>
      <c r="T1139" s="93"/>
      <c r="U1139" s="93"/>
      <c r="V1139" s="93"/>
      <c r="W1139" s="93"/>
      <c r="X1139" s="93"/>
    </row>
    <row r="1140" spans="1:24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11">
        <f t="shared" si="41"/>
        <v>453.11</v>
      </c>
      <c r="G1140" s="55">
        <v>37.6</v>
      </c>
      <c r="H1140" s="55">
        <v>3.5000000000000003E-2</v>
      </c>
      <c r="I1140" s="164">
        <f t="shared" si="42"/>
        <v>2.9043720067974668E-3</v>
      </c>
      <c r="J1140" s="128"/>
      <c r="K1140" s="128"/>
      <c r="L1140" s="93"/>
      <c r="M1140" s="93"/>
      <c r="N1140" s="93"/>
      <c r="O1140" s="93"/>
      <c r="P1140" s="93"/>
      <c r="Q1140" s="93"/>
      <c r="R1140" s="93"/>
      <c r="S1140" s="93"/>
      <c r="T1140" s="93"/>
      <c r="U1140" s="93"/>
      <c r="V1140" s="93"/>
      <c r="W1140" s="93"/>
      <c r="X1140" s="93"/>
    </row>
    <row r="1141" spans="1:24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11">
        <f t="shared" si="41"/>
        <v>729</v>
      </c>
      <c r="G1141" s="55">
        <v>18.7</v>
      </c>
      <c r="H1141" s="55">
        <v>3.5000000000000003E-2</v>
      </c>
      <c r="I1141" s="164">
        <f t="shared" si="42"/>
        <v>8.978052126200276E-4</v>
      </c>
      <c r="J1141" s="128"/>
      <c r="K1141" s="128"/>
      <c r="L1141" s="93"/>
      <c r="M1141" s="93"/>
      <c r="N1141" s="93"/>
      <c r="O1141" s="93"/>
      <c r="P1141" s="93"/>
      <c r="Q1141" s="93"/>
      <c r="R1141" s="93"/>
      <c r="S1141" s="93"/>
      <c r="T1141" s="93"/>
      <c r="U1141" s="93"/>
      <c r="V1141" s="93"/>
      <c r="W1141" s="93"/>
      <c r="X1141" s="93"/>
    </row>
    <row r="1142" spans="1:24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11">
        <f t="shared" si="41"/>
        <v>422.76</v>
      </c>
      <c r="G1142" s="55">
        <v>42.6</v>
      </c>
      <c r="H1142" s="55">
        <v>3.5000000000000003E-2</v>
      </c>
      <c r="I1142" s="164">
        <f t="shared" si="42"/>
        <v>3.5268237297757595E-3</v>
      </c>
      <c r="J1142" s="128"/>
      <c r="K1142" s="128"/>
      <c r="L1142" s="93"/>
      <c r="M1142" s="93"/>
      <c r="N1142" s="93"/>
      <c r="O1142" s="93"/>
      <c r="P1142" s="93"/>
      <c r="Q1142" s="93"/>
      <c r="R1142" s="93"/>
      <c r="S1142" s="93"/>
      <c r="T1142" s="93"/>
      <c r="U1142" s="93"/>
      <c r="V1142" s="93"/>
      <c r="W1142" s="93"/>
      <c r="X1142" s="93"/>
    </row>
    <row r="1143" spans="1:24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11">
        <f t="shared" si="41"/>
        <v>152.30000000000001</v>
      </c>
      <c r="G1143" s="55">
        <v>9.3000000000000007</v>
      </c>
      <c r="H1143" s="55">
        <v>3.5000000000000003E-2</v>
      </c>
      <c r="I1143" s="164">
        <f t="shared" si="42"/>
        <v>2.137229152987525E-3</v>
      </c>
      <c r="J1143" s="128"/>
      <c r="K1143" s="128"/>
      <c r="L1143" s="93"/>
      <c r="M1143" s="93"/>
      <c r="N1143" s="93"/>
      <c r="O1143" s="93"/>
      <c r="P1143" s="93"/>
      <c r="Q1143" s="93"/>
      <c r="R1143" s="93"/>
      <c r="S1143" s="93"/>
      <c r="T1143" s="93"/>
      <c r="U1143" s="93"/>
      <c r="V1143" s="93"/>
      <c r="W1143" s="93"/>
      <c r="X1143" s="93"/>
    </row>
    <row r="1144" spans="1:24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11">
        <f t="shared" si="41"/>
        <v>252.6</v>
      </c>
      <c r="G1144" s="55">
        <v>16.399999999999999</v>
      </c>
      <c r="H1144" s="55">
        <v>3.5000000000000003E-2</v>
      </c>
      <c r="I1144" s="164">
        <f t="shared" si="42"/>
        <v>2.2723673792557401E-3</v>
      </c>
      <c r="J1144" s="128"/>
      <c r="K1144" s="128"/>
      <c r="L1144" s="93"/>
      <c r="M1144" s="93"/>
      <c r="N1144" s="93"/>
      <c r="O1144" s="93"/>
      <c r="P1144" s="93"/>
      <c r="Q1144" s="93"/>
      <c r="R1144" s="93"/>
      <c r="S1144" s="93"/>
      <c r="T1144" s="93"/>
      <c r="U1144" s="93"/>
      <c r="V1144" s="93"/>
      <c r="W1144" s="93"/>
      <c r="X1144" s="93"/>
    </row>
    <row r="1145" spans="1:24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11">
        <f t="shared" si="41"/>
        <v>143.69999999999999</v>
      </c>
      <c r="G1145" s="55">
        <v>15.2</v>
      </c>
      <c r="H1145" s="55">
        <v>3.5000000000000003E-2</v>
      </c>
      <c r="I1145" s="164">
        <f t="shared" si="42"/>
        <v>3.7021572720946421E-3</v>
      </c>
      <c r="J1145" s="128"/>
      <c r="K1145" s="128"/>
      <c r="L1145" s="93"/>
      <c r="M1145" s="93"/>
      <c r="N1145" s="93"/>
      <c r="O1145" s="93"/>
      <c r="P1145" s="93"/>
      <c r="Q1145" s="93"/>
      <c r="R1145" s="93"/>
      <c r="S1145" s="93"/>
      <c r="T1145" s="93"/>
      <c r="U1145" s="93"/>
      <c r="V1145" s="93"/>
      <c r="W1145" s="93"/>
      <c r="X1145" s="93"/>
    </row>
    <row r="1146" spans="1:24" s="33" customFormat="1" ht="16.5" thickBot="1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11">
        <f t="shared" si="41"/>
        <v>282420.12999999971</v>
      </c>
      <c r="G1146" s="186">
        <f>SUM(G881:G1145)</f>
        <v>32122.299999999959</v>
      </c>
      <c r="H1146" s="186">
        <v>3.5000000000000003E-2</v>
      </c>
      <c r="I1146" s="188">
        <f>G1146*H1146/F1146</f>
        <v>3.9808794790937877E-3</v>
      </c>
      <c r="J1146" s="130"/>
      <c r="K1146" s="130"/>
    </row>
    <row r="1147" spans="1:24" s="209" customFormat="1" ht="16.5" thickBot="1">
      <c r="A1147" s="137" t="s">
        <v>625</v>
      </c>
      <c r="B1147" s="138"/>
      <c r="C1147" s="208"/>
      <c r="D1147" s="138"/>
      <c r="E1147" s="138"/>
      <c r="F1147" s="611">
        <f t="shared" si="41"/>
        <v>0</v>
      </c>
      <c r="G1147" s="138"/>
      <c r="H1147" s="138"/>
      <c r="I1147" s="172"/>
      <c r="J1147" s="212"/>
      <c r="K1147" s="212"/>
    </row>
    <row r="1148" spans="1:24" s="6" customFormat="1" ht="15.75">
      <c r="A1148" s="141">
        <v>1</v>
      </c>
      <c r="B1148" s="141" t="s">
        <v>480</v>
      </c>
      <c r="C1148" s="386">
        <v>219.1</v>
      </c>
      <c r="D1148" s="386"/>
      <c r="E1148" s="386"/>
      <c r="F1148" s="636">
        <v>219.1</v>
      </c>
      <c r="G1148" s="142"/>
      <c r="H1148" s="142">
        <v>3.5000000000000003E-2</v>
      </c>
      <c r="I1148" s="170">
        <f t="shared" ref="I1148:I1201" si="43">G1148*H1148/F1148</f>
        <v>0</v>
      </c>
      <c r="J1148" s="128"/>
      <c r="K1148" s="128"/>
      <c r="L1148" s="93"/>
      <c r="M1148" s="93"/>
      <c r="N1148" s="93"/>
      <c r="O1148" s="93"/>
      <c r="P1148" s="93"/>
      <c r="Q1148" s="93"/>
      <c r="R1148" s="93"/>
      <c r="S1148" s="93"/>
      <c r="T1148" s="93"/>
      <c r="U1148" s="93"/>
      <c r="V1148" s="93"/>
      <c r="W1148" s="93"/>
      <c r="X1148" s="93"/>
    </row>
    <row r="1149" spans="1:24" s="6" customFormat="1" ht="15.75">
      <c r="A1149" s="146">
        <v>2</v>
      </c>
      <c r="B1149" s="146" t="s">
        <v>481</v>
      </c>
      <c r="C1149" s="330">
        <v>265.10000000000002</v>
      </c>
      <c r="D1149" s="330"/>
      <c r="E1149" s="330"/>
      <c r="F1149" s="639">
        <v>265.10000000000002</v>
      </c>
      <c r="G1149" s="55"/>
      <c r="H1149" s="55">
        <v>3.5000000000000003E-2</v>
      </c>
      <c r="I1149" s="164">
        <f t="shared" si="43"/>
        <v>0</v>
      </c>
      <c r="J1149" s="128"/>
      <c r="K1149" s="128"/>
      <c r="L1149" s="93"/>
      <c r="M1149" s="93"/>
      <c r="N1149" s="93"/>
      <c r="O1149" s="93"/>
      <c r="P1149" s="93"/>
      <c r="Q1149" s="93"/>
      <c r="R1149" s="93"/>
      <c r="S1149" s="93"/>
      <c r="T1149" s="93"/>
      <c r="U1149" s="93"/>
      <c r="V1149" s="93"/>
      <c r="W1149" s="93"/>
      <c r="X1149" s="93"/>
    </row>
    <row r="1150" spans="1:24" s="6" customFormat="1" ht="15.75">
      <c r="A1150" s="146">
        <v>3</v>
      </c>
      <c r="B1150" s="146" t="s">
        <v>482</v>
      </c>
      <c r="C1150" s="330">
        <v>352.7</v>
      </c>
      <c r="D1150" s="330"/>
      <c r="E1150" s="330"/>
      <c r="F1150" s="639">
        <v>360.8</v>
      </c>
      <c r="G1150" s="55"/>
      <c r="H1150" s="55">
        <v>3.5000000000000003E-2</v>
      </c>
      <c r="I1150" s="164">
        <f t="shared" si="43"/>
        <v>0</v>
      </c>
      <c r="J1150" s="128"/>
      <c r="K1150" s="128"/>
      <c r="L1150" s="93"/>
      <c r="M1150" s="93"/>
      <c r="N1150" s="93"/>
      <c r="O1150" s="93"/>
      <c r="P1150" s="93"/>
      <c r="Q1150" s="93"/>
      <c r="R1150" s="93"/>
      <c r="S1150" s="93"/>
      <c r="T1150" s="93"/>
      <c r="U1150" s="93"/>
      <c r="V1150" s="93"/>
      <c r="W1150" s="93"/>
      <c r="X1150" s="93"/>
    </row>
    <row r="1151" spans="1:24" s="6" customFormat="1" ht="15.75">
      <c r="A1151" s="146">
        <v>4</v>
      </c>
      <c r="B1151" s="146" t="s">
        <v>483</v>
      </c>
      <c r="C1151" s="330">
        <v>350.15</v>
      </c>
      <c r="D1151" s="330"/>
      <c r="E1151" s="330"/>
      <c r="F1151" s="639">
        <v>350.15</v>
      </c>
      <c r="G1151" s="55"/>
      <c r="H1151" s="55">
        <v>3.5000000000000003E-2</v>
      </c>
      <c r="I1151" s="164">
        <f t="shared" si="43"/>
        <v>0</v>
      </c>
      <c r="J1151" s="128"/>
      <c r="K1151" s="128"/>
      <c r="L1151" s="93"/>
      <c r="M1151" s="93"/>
      <c r="N1151" s="93"/>
      <c r="O1151" s="93"/>
      <c r="P1151" s="93"/>
      <c r="Q1151" s="93"/>
      <c r="R1151" s="93"/>
      <c r="S1151" s="93"/>
      <c r="T1151" s="93"/>
      <c r="U1151" s="93"/>
      <c r="V1151" s="93"/>
      <c r="W1151" s="93"/>
      <c r="X1151" s="93"/>
    </row>
    <row r="1152" spans="1:24" s="6" customFormat="1" ht="15.75">
      <c r="A1152" s="146">
        <v>5</v>
      </c>
      <c r="B1152" s="146" t="s">
        <v>484</v>
      </c>
      <c r="C1152" s="330">
        <v>348.6</v>
      </c>
      <c r="D1152" s="330"/>
      <c r="E1152" s="330"/>
      <c r="F1152" s="639">
        <v>348.6</v>
      </c>
      <c r="G1152" s="55"/>
      <c r="H1152" s="55">
        <v>3.5000000000000003E-2</v>
      </c>
      <c r="I1152" s="164">
        <f t="shared" si="43"/>
        <v>0</v>
      </c>
      <c r="J1152" s="128"/>
      <c r="K1152" s="128"/>
      <c r="L1152" s="93"/>
      <c r="M1152" s="93"/>
      <c r="N1152" s="93"/>
      <c r="O1152" s="93"/>
      <c r="P1152" s="93"/>
      <c r="Q1152" s="93"/>
      <c r="R1152" s="93"/>
      <c r="S1152" s="93"/>
      <c r="T1152" s="93"/>
      <c r="U1152" s="93"/>
      <c r="V1152" s="93"/>
      <c r="W1152" s="93"/>
      <c r="X1152" s="93"/>
    </row>
    <row r="1153" spans="1:24" s="6" customFormat="1" ht="15.75">
      <c r="A1153" s="146">
        <v>6</v>
      </c>
      <c r="B1153" s="146" t="s">
        <v>485</v>
      </c>
      <c r="C1153" s="330">
        <v>430.37</v>
      </c>
      <c r="D1153" s="330"/>
      <c r="E1153" s="330"/>
      <c r="F1153" s="639">
        <v>430.37</v>
      </c>
      <c r="G1153" s="55"/>
      <c r="H1153" s="55">
        <v>3.5000000000000003E-2</v>
      </c>
      <c r="I1153" s="164">
        <f t="shared" si="43"/>
        <v>0</v>
      </c>
      <c r="J1153" s="128"/>
      <c r="K1153" s="128"/>
      <c r="L1153" s="93"/>
      <c r="M1153" s="93"/>
      <c r="N1153" s="93"/>
      <c r="O1153" s="93"/>
      <c r="P1153" s="93"/>
      <c r="Q1153" s="93"/>
      <c r="R1153" s="93"/>
      <c r="S1153" s="93"/>
      <c r="T1153" s="93"/>
      <c r="U1153" s="93"/>
      <c r="V1153" s="93"/>
      <c r="W1153" s="93"/>
      <c r="X1153" s="93"/>
    </row>
    <row r="1154" spans="1:24" s="6" customFormat="1" ht="15.75">
      <c r="A1154" s="146">
        <v>7</v>
      </c>
      <c r="B1154" s="146" t="s">
        <v>486</v>
      </c>
      <c r="C1154" s="330">
        <v>79.3</v>
      </c>
      <c r="D1154" s="330"/>
      <c r="E1154" s="330"/>
      <c r="F1154" s="639">
        <v>79.3</v>
      </c>
      <c r="G1154" s="55"/>
      <c r="H1154" s="55">
        <v>3.5000000000000003E-2</v>
      </c>
      <c r="I1154" s="164">
        <f t="shared" si="43"/>
        <v>0</v>
      </c>
      <c r="J1154" s="128"/>
      <c r="K1154" s="128"/>
      <c r="L1154" s="93"/>
      <c r="M1154" s="93"/>
      <c r="N1154" s="93"/>
      <c r="O1154" s="93"/>
      <c r="P1154" s="93"/>
      <c r="Q1154" s="93"/>
      <c r="R1154" s="93"/>
      <c r="S1154" s="93"/>
      <c r="T1154" s="93"/>
      <c r="U1154" s="93"/>
      <c r="V1154" s="93"/>
      <c r="W1154" s="93"/>
      <c r="X1154" s="93"/>
    </row>
    <row r="1155" spans="1:24" s="6" customFormat="1" ht="15.75">
      <c r="A1155" s="146">
        <v>8</v>
      </c>
      <c r="B1155" s="146" t="s">
        <v>487</v>
      </c>
      <c r="C1155" s="330">
        <v>70.099999999999994</v>
      </c>
      <c r="D1155" s="330"/>
      <c r="E1155" s="330"/>
      <c r="F1155" s="639">
        <v>70.099999999999994</v>
      </c>
      <c r="G1155" s="55"/>
      <c r="H1155" s="55">
        <v>3.5000000000000003E-2</v>
      </c>
      <c r="I1155" s="164">
        <f t="shared" si="43"/>
        <v>0</v>
      </c>
      <c r="J1155" s="128"/>
      <c r="K1155" s="128"/>
      <c r="L1155" s="93"/>
      <c r="M1155" s="93"/>
      <c r="N1155" s="93"/>
      <c r="O1155" s="93"/>
      <c r="P1155" s="93"/>
      <c r="Q1155" s="93"/>
      <c r="R1155" s="93"/>
      <c r="S1155" s="93"/>
      <c r="T1155" s="93"/>
      <c r="U1155" s="93"/>
      <c r="V1155" s="93"/>
      <c r="W1155" s="93"/>
      <c r="X1155" s="93"/>
    </row>
    <row r="1156" spans="1:24" s="6" customFormat="1" ht="15.75">
      <c r="A1156" s="146">
        <v>9</v>
      </c>
      <c r="B1156" s="146" t="s">
        <v>488</v>
      </c>
      <c r="C1156" s="330">
        <v>326.92</v>
      </c>
      <c r="D1156" s="330"/>
      <c r="E1156" s="330"/>
      <c r="F1156" s="639">
        <v>326.92</v>
      </c>
      <c r="G1156" s="55"/>
      <c r="H1156" s="55">
        <v>3.5000000000000003E-2</v>
      </c>
      <c r="I1156" s="164">
        <f t="shared" si="43"/>
        <v>0</v>
      </c>
      <c r="J1156" s="128"/>
      <c r="K1156" s="128"/>
      <c r="L1156" s="93"/>
      <c r="M1156" s="93"/>
      <c r="N1156" s="93"/>
      <c r="O1156" s="93"/>
      <c r="P1156" s="93"/>
      <c r="Q1156" s="93"/>
      <c r="R1156" s="93"/>
      <c r="S1156" s="93"/>
      <c r="T1156" s="93"/>
      <c r="U1156" s="93"/>
      <c r="V1156" s="93"/>
      <c r="W1156" s="93"/>
      <c r="X1156" s="93"/>
    </row>
    <row r="1157" spans="1:24" s="6" customFormat="1" ht="15.75">
      <c r="A1157" s="146">
        <v>10</v>
      </c>
      <c r="B1157" s="146" t="s">
        <v>489</v>
      </c>
      <c r="C1157" s="330">
        <v>322.55</v>
      </c>
      <c r="D1157" s="330"/>
      <c r="E1157" s="330"/>
      <c r="F1157" s="639">
        <v>322.55</v>
      </c>
      <c r="G1157" s="55"/>
      <c r="H1157" s="55">
        <v>3.5000000000000003E-2</v>
      </c>
      <c r="I1157" s="164">
        <f t="shared" si="43"/>
        <v>0</v>
      </c>
      <c r="J1157" s="128"/>
      <c r="K1157" s="128"/>
      <c r="L1157" s="93"/>
      <c r="M1157" s="93"/>
      <c r="N1157" s="93"/>
      <c r="O1157" s="93"/>
      <c r="P1157" s="93"/>
      <c r="Q1157" s="93"/>
      <c r="R1157" s="93"/>
      <c r="S1157" s="93"/>
      <c r="T1157" s="93"/>
      <c r="U1157" s="93"/>
      <c r="V1157" s="93"/>
      <c r="W1157" s="93"/>
      <c r="X1157" s="93"/>
    </row>
    <row r="1158" spans="1:24" s="6" customFormat="1" ht="15.75">
      <c r="A1158" s="146">
        <v>11</v>
      </c>
      <c r="B1158" s="146" t="s">
        <v>490</v>
      </c>
      <c r="C1158" s="330">
        <v>415.5</v>
      </c>
      <c r="D1158" s="330"/>
      <c r="E1158" s="330"/>
      <c r="F1158" s="639">
        <v>415.5</v>
      </c>
      <c r="G1158" s="55"/>
      <c r="H1158" s="55">
        <v>3.5000000000000003E-2</v>
      </c>
      <c r="I1158" s="164">
        <f t="shared" si="43"/>
        <v>0</v>
      </c>
      <c r="J1158" s="128"/>
      <c r="K1158" s="128"/>
      <c r="L1158" s="93"/>
      <c r="M1158" s="93"/>
      <c r="N1158" s="93"/>
      <c r="O1158" s="93"/>
      <c r="P1158" s="93"/>
      <c r="Q1158" s="93"/>
      <c r="R1158" s="93"/>
      <c r="S1158" s="93"/>
      <c r="T1158" s="93"/>
      <c r="U1158" s="93"/>
      <c r="V1158" s="93"/>
      <c r="W1158" s="93"/>
      <c r="X1158" s="93"/>
    </row>
    <row r="1159" spans="1:24" s="6" customFormat="1" ht="15.75">
      <c r="A1159" s="146">
        <v>12</v>
      </c>
      <c r="B1159" s="146" t="s">
        <v>491</v>
      </c>
      <c r="C1159" s="330">
        <v>372.82</v>
      </c>
      <c r="D1159" s="330"/>
      <c r="E1159" s="330"/>
      <c r="F1159" s="639">
        <v>372.82</v>
      </c>
      <c r="G1159" s="55"/>
      <c r="H1159" s="55">
        <v>3.5000000000000003E-2</v>
      </c>
      <c r="I1159" s="164">
        <f t="shared" si="43"/>
        <v>0</v>
      </c>
      <c r="J1159" s="128"/>
      <c r="K1159" s="128"/>
      <c r="L1159" s="93"/>
      <c r="M1159" s="93"/>
      <c r="N1159" s="93"/>
      <c r="O1159" s="93"/>
      <c r="P1159" s="93"/>
      <c r="Q1159" s="93"/>
      <c r="R1159" s="93"/>
      <c r="S1159" s="93"/>
      <c r="T1159" s="93"/>
      <c r="U1159" s="93"/>
      <c r="V1159" s="93"/>
      <c r="W1159" s="93"/>
      <c r="X1159" s="93"/>
    </row>
    <row r="1160" spans="1:24" s="6" customFormat="1" ht="15.75">
      <c r="A1160" s="146">
        <v>13</v>
      </c>
      <c r="B1160" s="146" t="s">
        <v>492</v>
      </c>
      <c r="C1160" s="330">
        <v>282.76</v>
      </c>
      <c r="D1160" s="330"/>
      <c r="E1160" s="330"/>
      <c r="F1160" s="639">
        <v>282.76</v>
      </c>
      <c r="G1160" s="55"/>
      <c r="H1160" s="55">
        <v>3.5000000000000003E-2</v>
      </c>
      <c r="I1160" s="164">
        <f t="shared" si="43"/>
        <v>0</v>
      </c>
      <c r="J1160" s="128"/>
      <c r="K1160" s="128"/>
      <c r="L1160" s="93"/>
      <c r="M1160" s="93"/>
      <c r="N1160" s="93"/>
      <c r="O1160" s="93"/>
      <c r="P1160" s="93"/>
      <c r="Q1160" s="93"/>
      <c r="R1160" s="93"/>
      <c r="S1160" s="93"/>
      <c r="T1160" s="93"/>
      <c r="U1160" s="93"/>
      <c r="V1160" s="93"/>
      <c r="W1160" s="93"/>
      <c r="X1160" s="93"/>
    </row>
    <row r="1161" spans="1:24" s="6" customFormat="1" ht="15.75">
      <c r="A1161" s="146">
        <v>15</v>
      </c>
      <c r="B1161" s="146" t="s">
        <v>493</v>
      </c>
      <c r="C1161" s="330">
        <v>180.5</v>
      </c>
      <c r="D1161" s="330"/>
      <c r="E1161" s="330"/>
      <c r="F1161" s="639">
        <v>180.5</v>
      </c>
      <c r="G1161" s="55"/>
      <c r="H1161" s="55">
        <v>3.5000000000000003E-2</v>
      </c>
      <c r="I1161" s="164">
        <f t="shared" si="43"/>
        <v>0</v>
      </c>
      <c r="J1161" s="128"/>
      <c r="K1161" s="128"/>
      <c r="L1161" s="93"/>
      <c r="M1161" s="93"/>
      <c r="N1161" s="93"/>
      <c r="O1161" s="93"/>
      <c r="P1161" s="93"/>
      <c r="Q1161" s="93"/>
      <c r="R1161" s="93"/>
      <c r="S1161" s="93"/>
      <c r="T1161" s="93"/>
      <c r="U1161" s="93"/>
      <c r="V1161" s="93"/>
      <c r="W1161" s="93"/>
      <c r="X1161" s="93"/>
    </row>
    <row r="1162" spans="1:24" s="6" customFormat="1" ht="15.75">
      <c r="A1162" s="146">
        <v>17</v>
      </c>
      <c r="B1162" s="146" t="s">
        <v>494</v>
      </c>
      <c r="C1162" s="330">
        <v>5520.77</v>
      </c>
      <c r="D1162" s="330"/>
      <c r="E1162" s="330"/>
      <c r="F1162" s="639">
        <v>5520.77</v>
      </c>
      <c r="G1162" s="55">
        <v>622</v>
      </c>
      <c r="H1162" s="55">
        <v>3.5000000000000003E-2</v>
      </c>
      <c r="I1162" s="164">
        <f t="shared" si="43"/>
        <v>3.9432905192572781E-3</v>
      </c>
      <c r="J1162" s="128"/>
      <c r="K1162" s="128"/>
      <c r="L1162" s="93"/>
      <c r="M1162" s="93"/>
      <c r="N1162" s="93"/>
      <c r="O1162" s="93"/>
      <c r="P1162" s="93"/>
      <c r="Q1162" s="93"/>
      <c r="R1162" s="93"/>
      <c r="S1162" s="93"/>
      <c r="T1162" s="93"/>
      <c r="U1162" s="93"/>
      <c r="V1162" s="93"/>
      <c r="W1162" s="93"/>
      <c r="X1162" s="93"/>
    </row>
    <row r="1163" spans="1:24" s="6" customFormat="1" ht="15.75">
      <c r="A1163" s="146">
        <v>18</v>
      </c>
      <c r="B1163" s="146" t="s">
        <v>495</v>
      </c>
      <c r="C1163" s="330">
        <v>5310.85</v>
      </c>
      <c r="D1163" s="330"/>
      <c r="E1163" s="330"/>
      <c r="F1163" s="639">
        <v>5310.86</v>
      </c>
      <c r="G1163" s="55">
        <v>605</v>
      </c>
      <c r="H1163" s="55">
        <v>3.5000000000000003E-2</v>
      </c>
      <c r="I1163" s="164">
        <f t="shared" si="43"/>
        <v>3.9871131982390801E-3</v>
      </c>
      <c r="J1163" s="128"/>
      <c r="K1163" s="128"/>
      <c r="L1163" s="93"/>
      <c r="M1163" s="93"/>
      <c r="N1163" s="93"/>
      <c r="O1163" s="93"/>
      <c r="P1163" s="93"/>
      <c r="Q1163" s="93"/>
      <c r="R1163" s="93"/>
      <c r="S1163" s="93"/>
      <c r="T1163" s="93"/>
      <c r="U1163" s="93"/>
      <c r="V1163" s="93"/>
      <c r="W1163" s="93"/>
      <c r="X1163" s="93"/>
    </row>
    <row r="1164" spans="1:24" s="6" customFormat="1" ht="15.75">
      <c r="A1164" s="146">
        <v>19</v>
      </c>
      <c r="B1164" s="146" t="s">
        <v>496</v>
      </c>
      <c r="C1164" s="330">
        <v>5405.43</v>
      </c>
      <c r="D1164" s="330"/>
      <c r="E1164" s="330"/>
      <c r="F1164" s="639">
        <v>5408.03</v>
      </c>
      <c r="G1164" s="55">
        <v>618</v>
      </c>
      <c r="H1164" s="55">
        <v>3.5000000000000003E-2</v>
      </c>
      <c r="I1164" s="164">
        <f t="shared" si="43"/>
        <v>3.9996079903402912E-3</v>
      </c>
      <c r="J1164" s="128"/>
      <c r="K1164" s="128"/>
      <c r="L1164" s="93"/>
      <c r="M1164" s="93"/>
      <c r="N1164" s="93"/>
      <c r="O1164" s="93"/>
      <c r="P1164" s="93"/>
      <c r="Q1164" s="93"/>
      <c r="R1164" s="93"/>
      <c r="S1164" s="93"/>
      <c r="T1164" s="93"/>
      <c r="U1164" s="93"/>
      <c r="V1164" s="93"/>
      <c r="W1164" s="93"/>
      <c r="X1164" s="93"/>
    </row>
    <row r="1165" spans="1:24" s="6" customFormat="1" ht="15.75">
      <c r="A1165" s="146">
        <v>20</v>
      </c>
      <c r="B1165" s="146" t="s">
        <v>497</v>
      </c>
      <c r="C1165" s="330">
        <v>349.2</v>
      </c>
      <c r="D1165" s="330"/>
      <c r="E1165" s="330"/>
      <c r="F1165" s="639">
        <v>349.2</v>
      </c>
      <c r="G1165" s="55"/>
      <c r="H1165" s="55">
        <v>3.5000000000000003E-2</v>
      </c>
      <c r="I1165" s="164">
        <f t="shared" si="43"/>
        <v>0</v>
      </c>
      <c r="J1165" s="128"/>
      <c r="K1165" s="128"/>
      <c r="L1165" s="93"/>
      <c r="M1165" s="93"/>
      <c r="N1165" s="93"/>
      <c r="O1165" s="93"/>
      <c r="P1165" s="93"/>
      <c r="Q1165" s="93"/>
      <c r="R1165" s="93"/>
      <c r="S1165" s="93"/>
      <c r="T1165" s="93"/>
      <c r="U1165" s="93"/>
      <c r="V1165" s="93"/>
      <c r="W1165" s="93"/>
      <c r="X1165" s="93"/>
    </row>
    <row r="1166" spans="1:24" s="6" customFormat="1" ht="15.75">
      <c r="A1166" s="146">
        <v>21</v>
      </c>
      <c r="B1166" s="146" t="s">
        <v>498</v>
      </c>
      <c r="C1166" s="330">
        <v>433.4</v>
      </c>
      <c r="D1166" s="330"/>
      <c r="E1166" s="330"/>
      <c r="F1166" s="639">
        <v>433.8</v>
      </c>
      <c r="G1166" s="55"/>
      <c r="H1166" s="55">
        <v>3.5000000000000003E-2</v>
      </c>
      <c r="I1166" s="164">
        <f t="shared" si="43"/>
        <v>0</v>
      </c>
      <c r="J1166" s="128"/>
      <c r="K1166" s="128"/>
      <c r="L1166" s="93"/>
      <c r="M1166" s="93"/>
      <c r="N1166" s="93"/>
      <c r="O1166" s="93"/>
      <c r="P1166" s="93"/>
      <c r="Q1166" s="93"/>
      <c r="R1166" s="93"/>
      <c r="S1166" s="93"/>
      <c r="T1166" s="93"/>
      <c r="U1166" s="93"/>
      <c r="V1166" s="93"/>
      <c r="W1166" s="93"/>
      <c r="X1166" s="93"/>
    </row>
    <row r="1167" spans="1:24" s="6" customFormat="1" ht="15.75">
      <c r="A1167" s="146">
        <v>22</v>
      </c>
      <c r="B1167" s="146" t="s">
        <v>499</v>
      </c>
      <c r="C1167" s="330">
        <v>360.2</v>
      </c>
      <c r="D1167" s="330"/>
      <c r="E1167" s="330"/>
      <c r="F1167" s="639">
        <v>360.2</v>
      </c>
      <c r="G1167" s="55"/>
      <c r="H1167" s="55">
        <v>3.5000000000000003E-2</v>
      </c>
      <c r="I1167" s="164">
        <f t="shared" si="43"/>
        <v>0</v>
      </c>
      <c r="J1167" s="128"/>
      <c r="K1167" s="128"/>
      <c r="L1167" s="93"/>
      <c r="M1167" s="93"/>
      <c r="N1167" s="93"/>
      <c r="O1167" s="93"/>
      <c r="P1167" s="93"/>
      <c r="Q1167" s="93"/>
      <c r="R1167" s="93"/>
      <c r="S1167" s="93"/>
      <c r="T1167" s="93"/>
      <c r="U1167" s="93"/>
      <c r="V1167" s="93"/>
      <c r="W1167" s="93"/>
      <c r="X1167" s="93"/>
    </row>
    <row r="1168" spans="1:24" s="6" customFormat="1" ht="15.75">
      <c r="A1168" s="146">
        <v>23</v>
      </c>
      <c r="B1168" s="146" t="s">
        <v>500</v>
      </c>
      <c r="C1168" s="330">
        <v>31.8</v>
      </c>
      <c r="D1168" s="330"/>
      <c r="E1168" s="330"/>
      <c r="F1168" s="639">
        <v>31.8</v>
      </c>
      <c r="G1168" s="55"/>
      <c r="H1168" s="55">
        <v>3.5000000000000003E-2</v>
      </c>
      <c r="I1168" s="164">
        <f t="shared" si="43"/>
        <v>0</v>
      </c>
      <c r="J1168" s="128"/>
      <c r="K1168" s="128"/>
      <c r="L1168" s="93"/>
      <c r="M1168" s="93"/>
      <c r="N1168" s="93"/>
      <c r="O1168" s="93"/>
      <c r="P1168" s="93"/>
      <c r="Q1168" s="93"/>
      <c r="R1168" s="93"/>
      <c r="S1168" s="93"/>
      <c r="T1168" s="93"/>
      <c r="U1168" s="93"/>
      <c r="V1168" s="93"/>
      <c r="W1168" s="93"/>
      <c r="X1168" s="93"/>
    </row>
    <row r="1169" spans="1:24" s="6" customFormat="1" ht="15.75">
      <c r="A1169" s="146">
        <v>24</v>
      </c>
      <c r="B1169" s="146" t="s">
        <v>501</v>
      </c>
      <c r="C1169" s="330">
        <v>357.19</v>
      </c>
      <c r="D1169" s="330"/>
      <c r="E1169" s="330"/>
      <c r="F1169" s="639">
        <v>356.99</v>
      </c>
      <c r="G1169" s="55"/>
      <c r="H1169" s="55">
        <v>3.5000000000000003E-2</v>
      </c>
      <c r="I1169" s="164">
        <f t="shared" si="43"/>
        <v>0</v>
      </c>
      <c r="J1169" s="128"/>
      <c r="K1169" s="128"/>
      <c r="L1169" s="93"/>
      <c r="M1169" s="93"/>
      <c r="N1169" s="93"/>
      <c r="O1169" s="93"/>
      <c r="P1169" s="93"/>
      <c r="Q1169" s="93"/>
      <c r="R1169" s="93"/>
      <c r="S1169" s="93"/>
      <c r="T1169" s="93"/>
      <c r="U1169" s="93"/>
      <c r="V1169" s="93"/>
      <c r="W1169" s="93"/>
      <c r="X1169" s="93"/>
    </row>
    <row r="1170" spans="1:24" s="6" customFormat="1" ht="15.75">
      <c r="A1170" s="146">
        <v>25</v>
      </c>
      <c r="B1170" s="146" t="s">
        <v>502</v>
      </c>
      <c r="C1170" s="330">
        <v>306.39999999999998</v>
      </c>
      <c r="D1170" s="330"/>
      <c r="E1170" s="330"/>
      <c r="F1170" s="639">
        <v>306.39999999999998</v>
      </c>
      <c r="G1170" s="55"/>
      <c r="H1170" s="55">
        <v>3.5000000000000003E-2</v>
      </c>
      <c r="I1170" s="164">
        <f t="shared" si="43"/>
        <v>0</v>
      </c>
      <c r="J1170" s="128"/>
      <c r="K1170" s="128"/>
      <c r="L1170" s="93"/>
      <c r="M1170" s="93"/>
      <c r="N1170" s="93"/>
      <c r="O1170" s="93"/>
      <c r="P1170" s="93"/>
      <c r="Q1170" s="93"/>
      <c r="R1170" s="93"/>
      <c r="S1170" s="93"/>
      <c r="T1170" s="93"/>
      <c r="U1170" s="93"/>
      <c r="V1170" s="93"/>
      <c r="W1170" s="93"/>
      <c r="X1170" s="93"/>
    </row>
    <row r="1171" spans="1:24" s="6" customFormat="1" ht="15.75">
      <c r="A1171" s="146">
        <v>26</v>
      </c>
      <c r="B1171" s="146" t="s">
        <v>503</v>
      </c>
      <c r="C1171" s="330">
        <v>407.2</v>
      </c>
      <c r="D1171" s="330"/>
      <c r="E1171" s="330"/>
      <c r="F1171" s="639">
        <v>407.2</v>
      </c>
      <c r="G1171" s="55"/>
      <c r="H1171" s="55">
        <v>3.5000000000000003E-2</v>
      </c>
      <c r="I1171" s="164">
        <f t="shared" si="43"/>
        <v>0</v>
      </c>
      <c r="J1171" s="128"/>
      <c r="K1171" s="128"/>
      <c r="L1171" s="93"/>
      <c r="M1171" s="93"/>
      <c r="N1171" s="93"/>
      <c r="O1171" s="93"/>
      <c r="P1171" s="93"/>
      <c r="Q1171" s="93"/>
      <c r="R1171" s="93"/>
      <c r="S1171" s="93"/>
      <c r="T1171" s="93"/>
      <c r="U1171" s="93"/>
      <c r="V1171" s="93"/>
      <c r="W1171" s="93"/>
      <c r="X1171" s="93"/>
    </row>
    <row r="1172" spans="1:24" s="6" customFormat="1" ht="15.75">
      <c r="A1172" s="146">
        <v>27</v>
      </c>
      <c r="B1172" s="146" t="s">
        <v>504</v>
      </c>
      <c r="C1172" s="330">
        <v>52.3</v>
      </c>
      <c r="D1172" s="330"/>
      <c r="E1172" s="330"/>
      <c r="F1172" s="639">
        <v>52.3</v>
      </c>
      <c r="G1172" s="55"/>
      <c r="H1172" s="55">
        <v>3.5000000000000003E-2</v>
      </c>
      <c r="I1172" s="164">
        <f t="shared" si="43"/>
        <v>0</v>
      </c>
      <c r="J1172" s="128"/>
      <c r="K1172" s="128"/>
      <c r="L1172" s="93"/>
      <c r="M1172" s="93"/>
      <c r="N1172" s="93"/>
      <c r="O1172" s="93"/>
      <c r="P1172" s="93"/>
      <c r="Q1172" s="93"/>
      <c r="R1172" s="93"/>
      <c r="S1172" s="93"/>
      <c r="T1172" s="93"/>
      <c r="U1172" s="93"/>
      <c r="V1172" s="93"/>
      <c r="W1172" s="93"/>
      <c r="X1172" s="93"/>
    </row>
    <row r="1173" spans="1:24" s="6" customFormat="1" ht="15.75">
      <c r="A1173" s="146">
        <v>28</v>
      </c>
      <c r="B1173" s="146" t="s">
        <v>505</v>
      </c>
      <c r="C1173" s="330">
        <v>122.2</v>
      </c>
      <c r="D1173" s="330"/>
      <c r="E1173" s="330"/>
      <c r="F1173" s="639">
        <v>122.2</v>
      </c>
      <c r="G1173" s="55"/>
      <c r="H1173" s="55">
        <v>3.5000000000000003E-2</v>
      </c>
      <c r="I1173" s="164">
        <f t="shared" si="43"/>
        <v>0</v>
      </c>
      <c r="J1173" s="128"/>
      <c r="K1173" s="128"/>
      <c r="L1173" s="93"/>
      <c r="M1173" s="93"/>
      <c r="N1173" s="93"/>
      <c r="O1173" s="93"/>
      <c r="P1173" s="93"/>
      <c r="Q1173" s="93"/>
      <c r="R1173" s="93"/>
      <c r="S1173" s="93"/>
      <c r="T1173" s="93"/>
      <c r="U1173" s="93"/>
      <c r="V1173" s="93"/>
      <c r="W1173" s="93"/>
      <c r="X1173" s="93"/>
    </row>
    <row r="1174" spans="1:24" s="6" customFormat="1" ht="15.75">
      <c r="A1174" s="146">
        <v>29</v>
      </c>
      <c r="B1174" s="146" t="s">
        <v>506</v>
      </c>
      <c r="C1174" s="330">
        <v>77.900000000000006</v>
      </c>
      <c r="D1174" s="330"/>
      <c r="E1174" s="330"/>
      <c r="F1174" s="639">
        <v>77.900000000000006</v>
      </c>
      <c r="G1174" s="55"/>
      <c r="H1174" s="55">
        <v>3.5000000000000003E-2</v>
      </c>
      <c r="I1174" s="164">
        <f t="shared" si="43"/>
        <v>0</v>
      </c>
      <c r="J1174" s="128"/>
      <c r="K1174" s="128"/>
      <c r="L1174" s="93"/>
      <c r="M1174" s="93"/>
      <c r="N1174" s="93"/>
      <c r="O1174" s="93"/>
      <c r="P1174" s="93"/>
      <c r="Q1174" s="93"/>
      <c r="R1174" s="93"/>
      <c r="S1174" s="93"/>
      <c r="T1174" s="93"/>
      <c r="U1174" s="93"/>
      <c r="V1174" s="93"/>
      <c r="W1174" s="93"/>
      <c r="X1174" s="93"/>
    </row>
    <row r="1175" spans="1:24" s="6" customFormat="1" ht="15.75">
      <c r="A1175" s="146">
        <v>30</v>
      </c>
      <c r="B1175" s="146" t="s">
        <v>507</v>
      </c>
      <c r="C1175" s="330">
        <v>205.19</v>
      </c>
      <c r="D1175" s="330"/>
      <c r="E1175" s="330"/>
      <c r="F1175" s="639">
        <v>205.19</v>
      </c>
      <c r="G1175" s="55"/>
      <c r="H1175" s="55">
        <v>3.5000000000000003E-2</v>
      </c>
      <c r="I1175" s="164">
        <f t="shared" si="43"/>
        <v>0</v>
      </c>
      <c r="J1175" s="128"/>
      <c r="K1175" s="128"/>
      <c r="L1175" s="93"/>
      <c r="M1175" s="93"/>
      <c r="N1175" s="93"/>
      <c r="O1175" s="93"/>
      <c r="P1175" s="93"/>
      <c r="Q1175" s="93"/>
      <c r="R1175" s="93"/>
      <c r="S1175" s="93"/>
      <c r="T1175" s="93"/>
      <c r="U1175" s="93"/>
      <c r="V1175" s="93"/>
      <c r="W1175" s="93"/>
      <c r="X1175" s="93"/>
    </row>
    <row r="1176" spans="1:24" s="6" customFormat="1" ht="15.75">
      <c r="A1176" s="146">
        <v>31</v>
      </c>
      <c r="B1176" s="146" t="s">
        <v>508</v>
      </c>
      <c r="C1176" s="330">
        <v>289.10000000000002</v>
      </c>
      <c r="D1176" s="330"/>
      <c r="E1176" s="330"/>
      <c r="F1176" s="639">
        <v>289.10000000000002</v>
      </c>
      <c r="G1176" s="55"/>
      <c r="H1176" s="55">
        <v>3.5000000000000003E-2</v>
      </c>
      <c r="I1176" s="164">
        <f t="shared" si="43"/>
        <v>0</v>
      </c>
      <c r="J1176" s="128"/>
      <c r="K1176" s="128"/>
      <c r="L1176" s="93"/>
      <c r="M1176" s="93"/>
      <c r="N1176" s="93"/>
      <c r="O1176" s="93"/>
      <c r="P1176" s="93"/>
      <c r="Q1176" s="93"/>
      <c r="R1176" s="93"/>
      <c r="S1176" s="93"/>
      <c r="T1176" s="93"/>
      <c r="U1176" s="93"/>
      <c r="V1176" s="93"/>
      <c r="W1176" s="93"/>
      <c r="X1176" s="93"/>
    </row>
    <row r="1177" spans="1:24" s="6" customFormat="1" ht="15.75">
      <c r="A1177" s="146">
        <v>32</v>
      </c>
      <c r="B1177" s="146" t="s">
        <v>509</v>
      </c>
      <c r="C1177" s="330">
        <v>117.92</v>
      </c>
      <c r="D1177" s="330"/>
      <c r="E1177" s="330"/>
      <c r="F1177" s="639">
        <v>108.44</v>
      </c>
      <c r="G1177" s="55"/>
      <c r="H1177" s="55">
        <v>3.5000000000000003E-2</v>
      </c>
      <c r="I1177" s="164">
        <f t="shared" si="43"/>
        <v>0</v>
      </c>
      <c r="J1177" s="128"/>
      <c r="K1177" s="128"/>
      <c r="L1177" s="93"/>
      <c r="M1177" s="93"/>
      <c r="N1177" s="93"/>
      <c r="O1177" s="93"/>
      <c r="P1177" s="93"/>
      <c r="Q1177" s="93"/>
      <c r="R1177" s="93"/>
      <c r="S1177" s="93"/>
      <c r="T1177" s="93"/>
      <c r="U1177" s="93"/>
      <c r="V1177" s="93"/>
      <c r="W1177" s="93"/>
      <c r="X1177" s="93"/>
    </row>
    <row r="1178" spans="1:24" s="6" customFormat="1" ht="15.75">
      <c r="A1178" s="146">
        <v>33</v>
      </c>
      <c r="B1178" s="146" t="s">
        <v>510</v>
      </c>
      <c r="C1178" s="330">
        <v>242.85</v>
      </c>
      <c r="D1178" s="330"/>
      <c r="E1178" s="330"/>
      <c r="F1178" s="639">
        <v>228.55</v>
      </c>
      <c r="G1178" s="55"/>
      <c r="H1178" s="55">
        <v>3.5000000000000003E-2</v>
      </c>
      <c r="I1178" s="164">
        <f t="shared" si="43"/>
        <v>0</v>
      </c>
      <c r="J1178" s="128"/>
      <c r="K1178" s="128"/>
      <c r="L1178" s="93"/>
      <c r="M1178" s="93"/>
      <c r="N1178" s="93"/>
      <c r="O1178" s="93"/>
      <c r="P1178" s="93"/>
      <c r="Q1178" s="93"/>
      <c r="R1178" s="93"/>
      <c r="S1178" s="93"/>
      <c r="T1178" s="93"/>
      <c r="U1178" s="93"/>
      <c r="V1178" s="93"/>
      <c r="W1178" s="93"/>
      <c r="X1178" s="93"/>
    </row>
    <row r="1179" spans="1:24" s="6" customFormat="1" ht="15.75">
      <c r="A1179" s="146">
        <v>34</v>
      </c>
      <c r="B1179" s="146" t="s">
        <v>511</v>
      </c>
      <c r="C1179" s="330">
        <v>415.2</v>
      </c>
      <c r="D1179" s="330"/>
      <c r="E1179" s="330"/>
      <c r="F1179" s="639">
        <v>415.2</v>
      </c>
      <c r="G1179" s="55"/>
      <c r="H1179" s="55">
        <v>3.5000000000000003E-2</v>
      </c>
      <c r="I1179" s="164">
        <f t="shared" si="43"/>
        <v>0</v>
      </c>
      <c r="J1179" s="128"/>
      <c r="K1179" s="128"/>
      <c r="L1179" s="93"/>
      <c r="M1179" s="93"/>
      <c r="N1179" s="93"/>
      <c r="O1179" s="93"/>
      <c r="P1179" s="93"/>
      <c r="Q1179" s="93"/>
      <c r="R1179" s="93"/>
      <c r="S1179" s="93"/>
      <c r="T1179" s="93"/>
      <c r="U1179" s="93"/>
      <c r="V1179" s="93"/>
      <c r="W1179" s="93"/>
      <c r="X1179" s="93"/>
    </row>
    <row r="1180" spans="1:24" s="6" customFormat="1" ht="15.75">
      <c r="A1180" s="146">
        <v>35</v>
      </c>
      <c r="B1180" s="146" t="s">
        <v>512</v>
      </c>
      <c r="C1180" s="330">
        <v>8111.75</v>
      </c>
      <c r="D1180" s="330"/>
      <c r="E1180" s="330"/>
      <c r="F1180" s="639">
        <v>8112.68</v>
      </c>
      <c r="G1180" s="55">
        <v>760</v>
      </c>
      <c r="H1180" s="55">
        <v>3.5000000000000003E-2</v>
      </c>
      <c r="I1180" s="164">
        <f t="shared" si="43"/>
        <v>3.2788178505746561E-3</v>
      </c>
      <c r="J1180" s="128"/>
      <c r="K1180" s="128"/>
      <c r="L1180" s="93"/>
      <c r="M1180" s="93"/>
      <c r="N1180" s="93"/>
      <c r="O1180" s="93"/>
      <c r="P1180" s="93"/>
      <c r="Q1180" s="93"/>
      <c r="R1180" s="93"/>
      <c r="S1180" s="93"/>
      <c r="T1180" s="93"/>
      <c r="U1180" s="93"/>
      <c r="V1180" s="93"/>
      <c r="W1180" s="93"/>
      <c r="X1180" s="93"/>
    </row>
    <row r="1181" spans="1:24" s="6" customFormat="1" ht="15.75">
      <c r="A1181" s="146">
        <v>36</v>
      </c>
      <c r="B1181" s="146" t="s">
        <v>513</v>
      </c>
      <c r="C1181" s="330">
        <v>6280.23</v>
      </c>
      <c r="D1181" s="330"/>
      <c r="E1181" s="330"/>
      <c r="F1181" s="639">
        <v>6280.22</v>
      </c>
      <c r="G1181" s="55">
        <v>540</v>
      </c>
      <c r="H1181" s="55">
        <v>3.5000000000000003E-2</v>
      </c>
      <c r="I1181" s="164">
        <f t="shared" si="43"/>
        <v>3.0094487135800979E-3</v>
      </c>
      <c r="J1181" s="128"/>
      <c r="K1181" s="128"/>
      <c r="L1181" s="93"/>
      <c r="M1181" s="93"/>
      <c r="N1181" s="93"/>
      <c r="O1181" s="93"/>
      <c r="P1181" s="93"/>
      <c r="Q1181" s="93"/>
      <c r="R1181" s="93"/>
      <c r="S1181" s="93"/>
      <c r="T1181" s="93"/>
      <c r="U1181" s="93"/>
      <c r="V1181" s="93"/>
      <c r="W1181" s="93"/>
      <c r="X1181" s="93"/>
    </row>
    <row r="1182" spans="1:24" s="6" customFormat="1" ht="15.75">
      <c r="A1182" s="146">
        <v>37</v>
      </c>
      <c r="B1182" s="244" t="s">
        <v>514</v>
      </c>
      <c r="C1182" s="330">
        <v>8361.6299999999992</v>
      </c>
      <c r="D1182" s="330"/>
      <c r="E1182" s="330"/>
      <c r="F1182" s="639">
        <v>8357.82</v>
      </c>
      <c r="G1182" s="55">
        <v>772</v>
      </c>
      <c r="H1182" s="55">
        <v>3.5000000000000003E-2</v>
      </c>
      <c r="I1182" s="164">
        <f t="shared" si="43"/>
        <v>3.2329004453314387E-3</v>
      </c>
      <c r="J1182" s="128"/>
      <c r="K1182" s="128"/>
      <c r="L1182" s="93"/>
      <c r="M1182" s="93"/>
      <c r="N1182" s="93"/>
      <c r="O1182" s="93"/>
      <c r="P1182" s="93"/>
      <c r="Q1182" s="93"/>
      <c r="R1182" s="93"/>
      <c r="S1182" s="93"/>
      <c r="T1182" s="93"/>
      <c r="U1182" s="93"/>
      <c r="V1182" s="93"/>
      <c r="W1182" s="93"/>
      <c r="X1182" s="93"/>
    </row>
    <row r="1183" spans="1:24" s="6" customFormat="1" ht="15.75">
      <c r="A1183" s="146">
        <v>38</v>
      </c>
      <c r="B1183" s="146" t="s">
        <v>515</v>
      </c>
      <c r="C1183" s="330">
        <v>6675.9</v>
      </c>
      <c r="D1183" s="330"/>
      <c r="E1183" s="330"/>
      <c r="F1183" s="639">
        <v>6678.54</v>
      </c>
      <c r="G1183" s="55">
        <v>660</v>
      </c>
      <c r="H1183" s="55">
        <v>3.5000000000000003E-2</v>
      </c>
      <c r="I1183" s="164">
        <f t="shared" si="43"/>
        <v>3.4588398063049712E-3</v>
      </c>
      <c r="J1183" s="128"/>
      <c r="K1183" s="128"/>
      <c r="L1183" s="93"/>
      <c r="M1183" s="93"/>
      <c r="N1183" s="93"/>
      <c r="O1183" s="93"/>
      <c r="P1183" s="93"/>
      <c r="Q1183" s="93"/>
      <c r="R1183" s="93"/>
      <c r="S1183" s="93"/>
      <c r="T1183" s="93"/>
      <c r="U1183" s="93"/>
      <c r="V1183" s="93"/>
      <c r="W1183" s="93"/>
      <c r="X1183" s="93"/>
    </row>
    <row r="1184" spans="1:24" s="6" customFormat="1" ht="15.75">
      <c r="A1184" s="146">
        <v>39</v>
      </c>
      <c r="B1184" s="146" t="s">
        <v>516</v>
      </c>
      <c r="C1184" s="330">
        <v>4489.2299999999996</v>
      </c>
      <c r="D1184" s="330"/>
      <c r="E1184" s="330">
        <v>48.5</v>
      </c>
      <c r="F1184" s="639">
        <v>4489.87</v>
      </c>
      <c r="G1184" s="55">
        <v>484</v>
      </c>
      <c r="H1184" s="55">
        <v>3.5000000000000003E-2</v>
      </c>
      <c r="I1184" s="164">
        <f t="shared" si="43"/>
        <v>3.7729377465271826E-3</v>
      </c>
      <c r="J1184" s="128"/>
      <c r="K1184" s="128"/>
      <c r="L1184" s="93"/>
      <c r="M1184" s="93"/>
      <c r="N1184" s="93"/>
      <c r="O1184" s="93"/>
      <c r="P1184" s="93"/>
      <c r="Q1184" s="93"/>
      <c r="R1184" s="93"/>
      <c r="S1184" s="93"/>
      <c r="T1184" s="93"/>
      <c r="U1184" s="93"/>
      <c r="V1184" s="93"/>
      <c r="W1184" s="93"/>
      <c r="X1184" s="93"/>
    </row>
    <row r="1185" spans="1:24" s="6" customFormat="1" ht="15.75">
      <c r="A1185" s="146">
        <v>40</v>
      </c>
      <c r="B1185" s="146" t="s">
        <v>517</v>
      </c>
      <c r="C1185" s="330">
        <v>4352.13</v>
      </c>
      <c r="D1185" s="330"/>
      <c r="E1185" s="330"/>
      <c r="F1185" s="639">
        <v>4352.6099999999997</v>
      </c>
      <c r="G1185" s="55">
        <v>470</v>
      </c>
      <c r="H1185" s="55">
        <v>3.5000000000000003E-2</v>
      </c>
      <c r="I1185" s="164">
        <f t="shared" si="43"/>
        <v>3.779341590448031E-3</v>
      </c>
      <c r="J1185" s="128"/>
      <c r="K1185" s="128"/>
      <c r="L1185" s="93"/>
      <c r="M1185" s="93"/>
      <c r="N1185" s="93"/>
      <c r="O1185" s="93"/>
      <c r="P1185" s="93"/>
      <c r="Q1185" s="93"/>
      <c r="R1185" s="93"/>
      <c r="S1185" s="93"/>
      <c r="T1185" s="93"/>
      <c r="U1185" s="93"/>
      <c r="V1185" s="93"/>
      <c r="W1185" s="93"/>
      <c r="X1185" s="93"/>
    </row>
    <row r="1186" spans="1:24" s="6" customFormat="1" ht="15.75">
      <c r="A1186" s="146">
        <v>41</v>
      </c>
      <c r="B1186" s="146" t="s">
        <v>518</v>
      </c>
      <c r="C1186" s="330">
        <v>4481.0200000000004</v>
      </c>
      <c r="D1186" s="330"/>
      <c r="E1186" s="330">
        <v>48.33</v>
      </c>
      <c r="F1186" s="639">
        <v>4482.34</v>
      </c>
      <c r="G1186" s="55">
        <v>484</v>
      </c>
      <c r="H1186" s="55">
        <v>3.5000000000000003E-2</v>
      </c>
      <c r="I1186" s="164">
        <f t="shared" si="43"/>
        <v>3.7792760031590644E-3</v>
      </c>
      <c r="J1186" s="128"/>
      <c r="K1186" s="128"/>
      <c r="L1186" s="93"/>
      <c r="M1186" s="93"/>
      <c r="N1186" s="93"/>
      <c r="O1186" s="93"/>
      <c r="P1186" s="93"/>
      <c r="Q1186" s="93"/>
      <c r="R1186" s="93"/>
      <c r="S1186" s="93"/>
      <c r="T1186" s="93"/>
      <c r="U1186" s="93"/>
      <c r="V1186" s="93"/>
      <c r="W1186" s="93"/>
      <c r="X1186" s="93"/>
    </row>
    <row r="1187" spans="1:24" s="6" customFormat="1" ht="15.75">
      <c r="A1187" s="146">
        <v>42</v>
      </c>
      <c r="B1187" s="146" t="s">
        <v>519</v>
      </c>
      <c r="C1187" s="330">
        <v>4132.3900000000003</v>
      </c>
      <c r="D1187" s="330"/>
      <c r="E1187" s="330">
        <v>18.8</v>
      </c>
      <c r="F1187" s="639">
        <v>4132.05</v>
      </c>
      <c r="G1187" s="55">
        <v>318</v>
      </c>
      <c r="H1187" s="55">
        <v>3.5000000000000003E-2</v>
      </c>
      <c r="I1187" s="164">
        <f t="shared" si="43"/>
        <v>2.693578248085091E-3</v>
      </c>
      <c r="J1187" s="128"/>
      <c r="K1187" s="128"/>
      <c r="L1187" s="93"/>
      <c r="M1187" s="93"/>
      <c r="N1187" s="93"/>
      <c r="O1187" s="93"/>
      <c r="P1187" s="93"/>
      <c r="Q1187" s="93"/>
      <c r="R1187" s="93"/>
      <c r="S1187" s="93"/>
      <c r="T1187" s="93"/>
      <c r="U1187" s="93"/>
      <c r="V1187" s="93"/>
      <c r="W1187" s="93"/>
      <c r="X1187" s="93"/>
    </row>
    <row r="1188" spans="1:24" s="6" customFormat="1" ht="15.75">
      <c r="A1188" s="146">
        <v>43</v>
      </c>
      <c r="B1188" s="244" t="s">
        <v>520</v>
      </c>
      <c r="C1188" s="330">
        <v>8136.02</v>
      </c>
      <c r="D1188" s="330"/>
      <c r="E1188" s="330"/>
      <c r="F1188" s="639">
        <v>8136.53</v>
      </c>
      <c r="G1188" s="55">
        <v>940</v>
      </c>
      <c r="H1188" s="55">
        <v>3.5000000000000003E-2</v>
      </c>
      <c r="I1188" s="164">
        <f t="shared" si="43"/>
        <v>4.0434927419919801E-3</v>
      </c>
      <c r="J1188" s="128"/>
      <c r="K1188" s="128"/>
      <c r="L1188" s="93"/>
      <c r="M1188" s="93"/>
      <c r="N1188" s="93"/>
      <c r="O1188" s="93"/>
      <c r="P1188" s="93"/>
      <c r="Q1188" s="93"/>
      <c r="R1188" s="93"/>
      <c r="S1188" s="93"/>
      <c r="T1188" s="93"/>
      <c r="U1188" s="93"/>
      <c r="V1188" s="93"/>
      <c r="W1188" s="93"/>
      <c r="X1188" s="93"/>
    </row>
    <row r="1189" spans="1:24" s="6" customFormat="1" ht="15.75">
      <c r="A1189" s="146">
        <v>44</v>
      </c>
      <c r="B1189" s="146" t="s">
        <v>521</v>
      </c>
      <c r="C1189" s="330">
        <v>5922.13</v>
      </c>
      <c r="D1189" s="330">
        <v>77.599999999999994</v>
      </c>
      <c r="E1189" s="330">
        <v>240.4</v>
      </c>
      <c r="F1189" s="639">
        <v>5924.01</v>
      </c>
      <c r="G1189" s="55">
        <v>560</v>
      </c>
      <c r="H1189" s="55">
        <v>3.5000000000000003E-2</v>
      </c>
      <c r="I1189" s="164">
        <f t="shared" si="43"/>
        <v>3.308569701941759E-3</v>
      </c>
      <c r="J1189" s="128"/>
      <c r="K1189" s="128"/>
      <c r="L1189" s="93"/>
      <c r="M1189" s="93"/>
      <c r="N1189" s="93"/>
      <c r="O1189" s="93"/>
      <c r="P1189" s="93"/>
      <c r="Q1189" s="93"/>
      <c r="R1189" s="93"/>
      <c r="S1189" s="93"/>
      <c r="T1189" s="93"/>
      <c r="U1189" s="93"/>
      <c r="V1189" s="93"/>
      <c r="W1189" s="93"/>
      <c r="X1189" s="93"/>
    </row>
    <row r="1190" spans="1:24" s="6" customFormat="1" ht="15.75">
      <c r="A1190" s="146">
        <v>45</v>
      </c>
      <c r="B1190" s="146" t="s">
        <v>522</v>
      </c>
      <c r="C1190" s="330">
        <v>5641.92</v>
      </c>
      <c r="D1190" s="330">
        <v>100.4</v>
      </c>
      <c r="E1190" s="330">
        <v>535.70000000000005</v>
      </c>
      <c r="F1190" s="639">
        <v>5642.13</v>
      </c>
      <c r="G1190" s="55">
        <v>560</v>
      </c>
      <c r="H1190" s="55">
        <v>3.5000000000000003E-2</v>
      </c>
      <c r="I1190" s="164">
        <f t="shared" si="43"/>
        <v>3.473865366448487E-3</v>
      </c>
      <c r="J1190" s="128"/>
      <c r="K1190" s="128"/>
      <c r="L1190" s="93"/>
      <c r="M1190" s="93"/>
      <c r="N1190" s="93"/>
      <c r="O1190" s="93"/>
      <c r="P1190" s="93"/>
      <c r="Q1190" s="93"/>
      <c r="R1190" s="93"/>
      <c r="S1190" s="93"/>
      <c r="T1190" s="93"/>
      <c r="U1190" s="93"/>
      <c r="V1190" s="93"/>
      <c r="W1190" s="93"/>
      <c r="X1190" s="93"/>
    </row>
    <row r="1191" spans="1:24" s="6" customFormat="1" ht="15.75">
      <c r="A1191" s="146">
        <v>46</v>
      </c>
      <c r="B1191" s="146" t="s">
        <v>523</v>
      </c>
      <c r="C1191" s="330">
        <f>3994.79-6.68</f>
        <v>3988.11</v>
      </c>
      <c r="D1191" s="330"/>
      <c r="E1191" s="330"/>
      <c r="F1191" s="639">
        <v>3994.86</v>
      </c>
      <c r="G1191" s="55">
        <v>310</v>
      </c>
      <c r="H1191" s="55">
        <v>3.5000000000000003E-2</v>
      </c>
      <c r="I1191" s="164">
        <f t="shared" si="43"/>
        <v>2.7159900472106661E-3</v>
      </c>
      <c r="J1191" s="128"/>
      <c r="K1191" s="128"/>
      <c r="L1191" s="93"/>
      <c r="M1191" s="93"/>
      <c r="N1191" s="93"/>
      <c r="O1191" s="93"/>
      <c r="P1191" s="93"/>
      <c r="Q1191" s="93"/>
      <c r="R1191" s="93"/>
      <c r="S1191" s="93"/>
      <c r="T1191" s="93"/>
      <c r="U1191" s="93"/>
      <c r="V1191" s="93"/>
      <c r="W1191" s="93"/>
      <c r="X1191" s="93"/>
    </row>
    <row r="1192" spans="1:24" s="6" customFormat="1" ht="15.75">
      <c r="A1192" s="146">
        <v>47</v>
      </c>
      <c r="B1192" s="146" t="s">
        <v>524</v>
      </c>
      <c r="C1192" s="330">
        <v>4150.55</v>
      </c>
      <c r="D1192" s="330"/>
      <c r="E1192" s="330"/>
      <c r="F1192" s="639">
        <v>4150.28</v>
      </c>
      <c r="G1192" s="55">
        <v>310</v>
      </c>
      <c r="H1192" s="55">
        <v>3.5000000000000003E-2</v>
      </c>
      <c r="I1192" s="164">
        <f t="shared" si="43"/>
        <v>2.6142814460711089E-3</v>
      </c>
      <c r="J1192" s="128"/>
      <c r="K1192" s="128"/>
      <c r="L1192" s="93"/>
      <c r="M1192" s="93"/>
      <c r="N1192" s="93"/>
      <c r="O1192" s="93"/>
      <c r="P1192" s="93"/>
      <c r="Q1192" s="93"/>
      <c r="R1192" s="93"/>
      <c r="S1192" s="93"/>
      <c r="T1192" s="93"/>
      <c r="U1192" s="93"/>
      <c r="V1192" s="93"/>
      <c r="W1192" s="93"/>
      <c r="X1192" s="93"/>
    </row>
    <row r="1193" spans="1:24" s="6" customFormat="1" ht="15.75">
      <c r="A1193" s="146">
        <v>48</v>
      </c>
      <c r="B1193" s="146" t="s">
        <v>525</v>
      </c>
      <c r="C1193" s="330">
        <v>14374.02</v>
      </c>
      <c r="D1193" s="330"/>
      <c r="E1193" s="330"/>
      <c r="F1193" s="639">
        <v>14376.98</v>
      </c>
      <c r="G1193" s="55">
        <v>1410</v>
      </c>
      <c r="H1193" s="55">
        <v>3.5000000000000003E-2</v>
      </c>
      <c r="I1193" s="164">
        <f t="shared" si="43"/>
        <v>3.4325706789603938E-3</v>
      </c>
      <c r="J1193" s="128"/>
      <c r="K1193" s="128"/>
      <c r="L1193" s="93"/>
      <c r="M1193" s="93"/>
      <c r="N1193" s="93"/>
      <c r="O1193" s="93"/>
      <c r="P1193" s="93"/>
      <c r="Q1193" s="93"/>
      <c r="R1193" s="93"/>
      <c r="S1193" s="93"/>
      <c r="T1193" s="93"/>
      <c r="U1193" s="93"/>
      <c r="V1193" s="93"/>
      <c r="W1193" s="93"/>
      <c r="X1193" s="93"/>
    </row>
    <row r="1194" spans="1:24" s="6" customFormat="1" ht="15.75">
      <c r="A1194" s="146">
        <v>49</v>
      </c>
      <c r="B1194" s="146" t="s">
        <v>526</v>
      </c>
      <c r="C1194" s="330">
        <v>4120.28</v>
      </c>
      <c r="D1194" s="330"/>
      <c r="E1194" s="330"/>
      <c r="F1194" s="639">
        <v>4125.5200000000004</v>
      </c>
      <c r="G1194" s="55">
        <v>330</v>
      </c>
      <c r="H1194" s="55">
        <v>3.5000000000000003E-2</v>
      </c>
      <c r="I1194" s="164">
        <f t="shared" si="43"/>
        <v>2.7996470747929957E-3</v>
      </c>
      <c r="J1194" s="128"/>
      <c r="K1194" s="128"/>
      <c r="L1194" s="93"/>
      <c r="M1194" s="93"/>
      <c r="N1194" s="93"/>
      <c r="O1194" s="93"/>
      <c r="P1194" s="93"/>
      <c r="Q1194" s="93"/>
      <c r="R1194" s="93"/>
      <c r="S1194" s="93"/>
      <c r="T1194" s="93"/>
      <c r="U1194" s="93"/>
      <c r="V1194" s="93"/>
      <c r="W1194" s="93"/>
      <c r="X1194" s="93"/>
    </row>
    <row r="1195" spans="1:24" s="6" customFormat="1" ht="15.75">
      <c r="A1195" s="146">
        <v>50</v>
      </c>
      <c r="B1195" s="146" t="s">
        <v>527</v>
      </c>
      <c r="C1195" s="330">
        <v>14371.39</v>
      </c>
      <c r="D1195" s="330"/>
      <c r="E1195" s="330"/>
      <c r="F1195" s="639">
        <v>14366.18</v>
      </c>
      <c r="G1195" s="55">
        <v>980</v>
      </c>
      <c r="H1195" s="55">
        <v>3.5000000000000003E-2</v>
      </c>
      <c r="I1195" s="164">
        <f t="shared" si="43"/>
        <v>2.3875518753071453E-3</v>
      </c>
      <c r="J1195" s="128"/>
      <c r="K1195" s="128"/>
      <c r="L1195" s="93"/>
      <c r="M1195" s="93"/>
      <c r="N1195" s="93"/>
      <c r="O1195" s="93"/>
      <c r="P1195" s="93"/>
      <c r="Q1195" s="93"/>
      <c r="R1195" s="93"/>
      <c r="S1195" s="93"/>
      <c r="T1195" s="93"/>
      <c r="U1195" s="93"/>
      <c r="V1195" s="93"/>
      <c r="W1195" s="93"/>
      <c r="X1195" s="93"/>
    </row>
    <row r="1196" spans="1:24" s="6" customFormat="1" ht="15.75">
      <c r="A1196" s="146">
        <v>51</v>
      </c>
      <c r="B1196" s="146" t="s">
        <v>528</v>
      </c>
      <c r="C1196" s="330">
        <v>9061.4</v>
      </c>
      <c r="D1196" s="330"/>
      <c r="E1196" s="330">
        <v>2450</v>
      </c>
      <c r="F1196" s="639">
        <v>9061.35</v>
      </c>
      <c r="G1196" s="55">
        <v>940</v>
      </c>
      <c r="H1196" s="55">
        <v>3.5000000000000003E-2</v>
      </c>
      <c r="I1196" s="164">
        <f t="shared" si="43"/>
        <v>3.6308055642922969E-3</v>
      </c>
      <c r="J1196" s="128"/>
      <c r="K1196" s="128"/>
      <c r="L1196" s="93"/>
      <c r="M1196" s="93"/>
      <c r="N1196" s="93"/>
      <c r="O1196" s="93"/>
      <c r="P1196" s="93"/>
      <c r="Q1196" s="93"/>
      <c r="R1196" s="93"/>
      <c r="S1196" s="93"/>
      <c r="T1196" s="93"/>
      <c r="U1196" s="93"/>
      <c r="V1196" s="93"/>
      <c r="W1196" s="93"/>
      <c r="X1196" s="93"/>
    </row>
    <row r="1197" spans="1:24" s="6" customFormat="1" ht="15.75">
      <c r="A1197" s="146">
        <v>52</v>
      </c>
      <c r="B1197" s="146" t="s">
        <v>529</v>
      </c>
      <c r="C1197" s="330">
        <v>6826.1</v>
      </c>
      <c r="D1197" s="330"/>
      <c r="E1197" s="330">
        <v>98.1</v>
      </c>
      <c r="F1197" s="639">
        <v>6825.6</v>
      </c>
      <c r="G1197" s="55"/>
      <c r="H1197" s="55">
        <v>3.5000000000000003E-2</v>
      </c>
      <c r="I1197" s="164">
        <f t="shared" si="43"/>
        <v>0</v>
      </c>
      <c r="J1197" s="128"/>
      <c r="K1197" s="128"/>
      <c r="L1197" s="93"/>
      <c r="M1197" s="93"/>
      <c r="N1197" s="93"/>
      <c r="O1197" s="93"/>
      <c r="P1197" s="93"/>
      <c r="Q1197" s="93"/>
      <c r="R1197" s="93"/>
      <c r="S1197" s="93"/>
      <c r="T1197" s="93"/>
      <c r="U1197" s="93"/>
      <c r="V1197" s="93"/>
      <c r="W1197" s="93"/>
      <c r="X1197" s="93"/>
    </row>
    <row r="1198" spans="1:24" s="6" customFormat="1" ht="15.75">
      <c r="A1198" s="146">
        <v>53</v>
      </c>
      <c r="B1198" s="146" t="s">
        <v>530</v>
      </c>
      <c r="C1198" s="330">
        <v>9038.0300000000007</v>
      </c>
      <c r="D1198" s="330"/>
      <c r="E1198" s="330">
        <v>1829.2</v>
      </c>
      <c r="F1198" s="639">
        <v>9039.07</v>
      </c>
      <c r="G1198" s="55">
        <v>827</v>
      </c>
      <c r="H1198" s="55">
        <v>3.5000000000000003E-2</v>
      </c>
      <c r="I1198" s="164">
        <f t="shared" si="43"/>
        <v>3.2022099618655465E-3</v>
      </c>
      <c r="J1198" s="128"/>
      <c r="K1198" s="128"/>
      <c r="L1198" s="93"/>
      <c r="M1198" s="93"/>
      <c r="N1198" s="93"/>
      <c r="O1198" s="93"/>
      <c r="P1198" s="93"/>
      <c r="Q1198" s="93"/>
      <c r="R1198" s="93"/>
      <c r="S1198" s="93"/>
      <c r="T1198" s="93"/>
      <c r="U1198" s="93"/>
      <c r="V1198" s="93"/>
      <c r="W1198" s="93"/>
      <c r="X1198" s="93"/>
    </row>
    <row r="1199" spans="1:24" s="6" customFormat="1" ht="15.75">
      <c r="A1199" s="146">
        <v>54</v>
      </c>
      <c r="B1199" s="146" t="s">
        <v>531</v>
      </c>
      <c r="C1199" s="330">
        <v>6690.6</v>
      </c>
      <c r="D1199" s="330"/>
      <c r="E1199" s="330">
        <v>855.4</v>
      </c>
      <c r="F1199" s="639">
        <v>6690.61</v>
      </c>
      <c r="G1199" s="55"/>
      <c r="H1199" s="55">
        <v>3.5000000000000003E-2</v>
      </c>
      <c r="I1199" s="164">
        <f t="shared" si="43"/>
        <v>0</v>
      </c>
      <c r="J1199" s="128"/>
      <c r="K1199" s="128"/>
      <c r="L1199" s="93"/>
      <c r="M1199" s="93"/>
      <c r="N1199" s="93"/>
      <c r="O1199" s="93"/>
      <c r="P1199" s="93"/>
      <c r="Q1199" s="93"/>
      <c r="R1199" s="93"/>
      <c r="S1199" s="93"/>
      <c r="T1199" s="93"/>
      <c r="U1199" s="93"/>
      <c r="V1199" s="93"/>
      <c r="W1199" s="93"/>
      <c r="X1199" s="93"/>
    </row>
    <row r="1200" spans="1:24" s="6" customFormat="1" ht="15.75">
      <c r="A1200" s="146">
        <v>55</v>
      </c>
      <c r="B1200" s="146" t="s">
        <v>1370</v>
      </c>
      <c r="C1200" s="330">
        <v>2503.4</v>
      </c>
      <c r="D1200" s="330"/>
      <c r="E1200" s="330"/>
      <c r="F1200" s="639">
        <v>2503.4</v>
      </c>
      <c r="G1200" s="55"/>
      <c r="H1200" s="55">
        <v>3.5000000000000003E-2</v>
      </c>
      <c r="I1200" s="164">
        <f t="shared" si="43"/>
        <v>0</v>
      </c>
      <c r="J1200" s="128"/>
      <c r="K1200" s="128"/>
      <c r="L1200" s="93"/>
      <c r="M1200" s="93"/>
      <c r="N1200" s="93"/>
      <c r="O1200" s="93"/>
      <c r="P1200" s="93"/>
      <c r="Q1200" s="93"/>
      <c r="R1200" s="93"/>
      <c r="S1200" s="93"/>
      <c r="T1200" s="93"/>
      <c r="U1200" s="93"/>
      <c r="V1200" s="93"/>
      <c r="W1200" s="93"/>
      <c r="X1200" s="93"/>
    </row>
    <row r="1201" spans="1:24" s="6" customFormat="1" ht="15.75">
      <c r="A1201" s="146">
        <v>56</v>
      </c>
      <c r="B1201" s="146" t="s">
        <v>1371</v>
      </c>
      <c r="C1201" s="330">
        <v>1175</v>
      </c>
      <c r="D1201" s="330"/>
      <c r="E1201" s="330"/>
      <c r="F1201" s="639">
        <v>1175</v>
      </c>
      <c r="G1201" s="55"/>
      <c r="H1201" s="55">
        <v>3.5000000000000003E-2</v>
      </c>
      <c r="I1201" s="164">
        <f t="shared" si="43"/>
        <v>0</v>
      </c>
      <c r="J1201" s="128"/>
      <c r="K1201" s="128"/>
      <c r="L1201" s="93"/>
      <c r="M1201" s="93"/>
      <c r="N1201" s="93"/>
      <c r="O1201" s="93"/>
      <c r="P1201" s="93"/>
      <c r="Q1201" s="93"/>
      <c r="R1201" s="93"/>
      <c r="S1201" s="93"/>
      <c r="T1201" s="93"/>
      <c r="U1201" s="93"/>
      <c r="V1201" s="93"/>
      <c r="W1201" s="93"/>
      <c r="X1201" s="93"/>
    </row>
    <row r="1202" spans="1:24" s="33" customFormat="1" ht="16.5" thickBot="1">
      <c r="A1202" s="186"/>
      <c r="B1202" s="186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12">
        <f>C1202+D1202+E1202</f>
        <v>173207.23</v>
      </c>
      <c r="G1202" s="186">
        <f>SUM(G1148:G1201)</f>
        <v>13500</v>
      </c>
      <c r="H1202" s="186">
        <v>3.5000000000000003E-2</v>
      </c>
      <c r="I1202" s="188">
        <f>G1202*H1202/F1202</f>
        <v>2.7279461717619989E-3</v>
      </c>
      <c r="J1202" s="130"/>
      <c r="K1202" s="130"/>
    </row>
    <row r="1203" spans="1:24" s="209" customFormat="1" ht="16.5" thickBot="1">
      <c r="A1203" s="1046" t="s">
        <v>618</v>
      </c>
      <c r="B1203" s="1047"/>
      <c r="C1203" s="138"/>
      <c r="D1203" s="138"/>
      <c r="E1203" s="138"/>
      <c r="F1203" s="611">
        <f t="shared" ref="F1203:F1212" si="44">C1203+D1203+E1203</f>
        <v>0</v>
      </c>
      <c r="G1203" s="138"/>
      <c r="H1203" s="138"/>
      <c r="I1203" s="172"/>
      <c r="J1203" s="212"/>
      <c r="K1203" s="212"/>
    </row>
    <row r="1204" spans="1:24" s="6" customFormat="1" ht="15.75">
      <c r="A1204" s="142">
        <v>1</v>
      </c>
      <c r="B1204" s="142" t="s">
        <v>532</v>
      </c>
      <c r="C1204" s="386">
        <v>3898.29</v>
      </c>
      <c r="D1204" s="386">
        <v>123.1</v>
      </c>
      <c r="E1204" s="386">
        <v>374.5</v>
      </c>
      <c r="F1204" s="611">
        <f t="shared" si="44"/>
        <v>4395.8899999999994</v>
      </c>
      <c r="G1204" s="142">
        <v>473.5</v>
      </c>
      <c r="H1204" s="142">
        <v>3.5000000000000003E-2</v>
      </c>
      <c r="I1204" s="170">
        <f t="shared" ref="I1204:I1229" si="45">G1204*H1204/F1204</f>
        <v>3.7699987943283393E-3</v>
      </c>
      <c r="J1204" s="128">
        <v>3.7699987943283393E-3</v>
      </c>
      <c r="K1204" s="128"/>
      <c r="L1204" s="93"/>
      <c r="M1204" s="93"/>
      <c r="N1204" s="93"/>
      <c r="O1204" s="93"/>
      <c r="P1204" s="93"/>
      <c r="Q1204" s="93"/>
      <c r="R1204" s="93"/>
      <c r="S1204" s="93"/>
      <c r="T1204" s="93"/>
      <c r="U1204" s="93"/>
      <c r="V1204" s="93"/>
      <c r="W1204" s="93"/>
      <c r="X1204" s="93"/>
    </row>
    <row r="1205" spans="1:24" s="6" customFormat="1" ht="15.75">
      <c r="A1205" s="55">
        <v>2</v>
      </c>
      <c r="B1205" s="55" t="s">
        <v>533</v>
      </c>
      <c r="C1205" s="330">
        <v>3600.73</v>
      </c>
      <c r="D1205" s="330"/>
      <c r="E1205" s="330">
        <v>290.5</v>
      </c>
      <c r="F1205" s="611">
        <f t="shared" si="44"/>
        <v>3891.23</v>
      </c>
      <c r="G1205" s="55">
        <v>457.9</v>
      </c>
      <c r="H1205" s="55">
        <v>3.5000000000000003E-2</v>
      </c>
      <c r="I1205" s="164">
        <f t="shared" si="45"/>
        <v>4.1186205904045767E-3</v>
      </c>
      <c r="J1205" s="128">
        <v>4.1186205904045767E-3</v>
      </c>
      <c r="K1205" s="128"/>
      <c r="L1205" s="93"/>
      <c r="M1205" s="93"/>
      <c r="N1205" s="93"/>
      <c r="O1205" s="93"/>
      <c r="P1205" s="93"/>
      <c r="Q1205" s="93"/>
      <c r="R1205" s="93"/>
      <c r="S1205" s="93"/>
      <c r="T1205" s="93"/>
      <c r="U1205" s="93"/>
      <c r="V1205" s="93"/>
      <c r="W1205" s="93"/>
      <c r="X1205" s="93"/>
    </row>
    <row r="1206" spans="1:24" s="6" customFormat="1" ht="15.75">
      <c r="A1206" s="55">
        <v>3</v>
      </c>
      <c r="B1206" s="55" t="s">
        <v>534</v>
      </c>
      <c r="C1206" s="330">
        <v>5868.42</v>
      </c>
      <c r="D1206" s="330">
        <v>489.8</v>
      </c>
      <c r="E1206" s="330"/>
      <c r="F1206" s="611">
        <f t="shared" si="44"/>
        <v>6358.22</v>
      </c>
      <c r="G1206" s="55">
        <v>710</v>
      </c>
      <c r="H1206" s="55">
        <v>3.5000000000000003E-2</v>
      </c>
      <c r="I1206" s="164">
        <f t="shared" si="45"/>
        <v>3.9083265442214962E-3</v>
      </c>
      <c r="J1206" s="128">
        <v>3.9083265442214962E-3</v>
      </c>
      <c r="K1206" s="128"/>
      <c r="L1206" s="93"/>
      <c r="M1206" s="93"/>
      <c r="N1206" s="93"/>
      <c r="O1206" s="93"/>
      <c r="P1206" s="93"/>
      <c r="Q1206" s="93"/>
      <c r="R1206" s="93"/>
      <c r="S1206" s="93"/>
      <c r="T1206" s="93"/>
      <c r="U1206" s="93"/>
      <c r="V1206" s="93"/>
      <c r="W1206" s="93"/>
      <c r="X1206" s="93"/>
    </row>
    <row r="1207" spans="1:24" s="6" customFormat="1" ht="15.75">
      <c r="A1207" s="55">
        <v>4</v>
      </c>
      <c r="B1207" s="55" t="s">
        <v>535</v>
      </c>
      <c r="C1207" s="330">
        <v>4090.86</v>
      </c>
      <c r="D1207" s="330"/>
      <c r="E1207" s="330"/>
      <c r="F1207" s="611">
        <f t="shared" si="44"/>
        <v>4090.86</v>
      </c>
      <c r="G1207" s="55">
        <v>514.70000000000005</v>
      </c>
      <c r="H1207" s="55">
        <v>3.5000000000000003E-2</v>
      </c>
      <c r="I1207" s="164">
        <f t="shared" si="45"/>
        <v>4.4035972876118957E-3</v>
      </c>
      <c r="J1207" s="128">
        <v>4.4035972876118957E-3</v>
      </c>
      <c r="K1207" s="128"/>
      <c r="L1207" s="93"/>
      <c r="M1207" s="93"/>
      <c r="N1207" s="93"/>
      <c r="O1207" s="93"/>
      <c r="P1207" s="93"/>
      <c r="Q1207" s="93"/>
      <c r="R1207" s="93"/>
      <c r="S1207" s="93"/>
      <c r="T1207" s="93"/>
      <c r="U1207" s="93"/>
      <c r="V1207" s="93"/>
      <c r="W1207" s="93"/>
      <c r="X1207" s="93"/>
    </row>
    <row r="1208" spans="1:24" s="6" customFormat="1" ht="15.75">
      <c r="A1208" s="55">
        <v>5</v>
      </c>
      <c r="B1208" s="55" t="s">
        <v>536</v>
      </c>
      <c r="C1208" s="330">
        <v>3274.15</v>
      </c>
      <c r="D1208" s="330"/>
      <c r="E1208" s="330"/>
      <c r="F1208" s="611">
        <f t="shared" si="44"/>
        <v>3274.15</v>
      </c>
      <c r="G1208" s="55">
        <v>710.4</v>
      </c>
      <c r="H1208" s="55">
        <v>3.5000000000000003E-2</v>
      </c>
      <c r="I1208" s="164">
        <f t="shared" si="45"/>
        <v>7.5940320388497781E-3</v>
      </c>
      <c r="J1208" s="128">
        <v>7.5940320388497781E-3</v>
      </c>
      <c r="K1208" s="128"/>
      <c r="L1208" s="93"/>
      <c r="M1208" s="93"/>
      <c r="N1208" s="93"/>
      <c r="O1208" s="93"/>
      <c r="P1208" s="93"/>
      <c r="Q1208" s="93"/>
      <c r="R1208" s="93"/>
      <c r="S1208" s="93"/>
      <c r="T1208" s="93"/>
      <c r="U1208" s="93"/>
      <c r="V1208" s="93"/>
      <c r="W1208" s="93"/>
      <c r="X1208" s="93"/>
    </row>
    <row r="1209" spans="1:24" s="6" customFormat="1" ht="15.75">
      <c r="A1209" s="55">
        <v>6</v>
      </c>
      <c r="B1209" s="55" t="s">
        <v>537</v>
      </c>
      <c r="C1209" s="330">
        <v>6596</v>
      </c>
      <c r="D1209" s="330"/>
      <c r="E1209" s="330"/>
      <c r="F1209" s="611">
        <f t="shared" si="44"/>
        <v>6596</v>
      </c>
      <c r="G1209" s="55">
        <v>824.9</v>
      </c>
      <c r="H1209" s="55">
        <v>3.5000000000000003E-2</v>
      </c>
      <c r="I1209" s="164">
        <f t="shared" si="45"/>
        <v>4.3771224984839301E-3</v>
      </c>
      <c r="J1209" s="128">
        <v>4.3771224984839301E-3</v>
      </c>
      <c r="K1209" s="128"/>
      <c r="L1209" s="93"/>
      <c r="M1209" s="93"/>
      <c r="N1209" s="93"/>
      <c r="O1209" s="93"/>
      <c r="P1209" s="93"/>
      <c r="Q1209" s="93"/>
      <c r="R1209" s="93"/>
      <c r="S1209" s="93"/>
      <c r="T1209" s="93"/>
      <c r="U1209" s="93"/>
      <c r="V1209" s="93"/>
      <c r="W1209" s="93"/>
      <c r="X1209" s="93"/>
    </row>
    <row r="1210" spans="1:24" s="6" customFormat="1" ht="15.75">
      <c r="A1210" s="55">
        <v>7</v>
      </c>
      <c r="B1210" s="55" t="s">
        <v>538</v>
      </c>
      <c r="C1210" s="330">
        <v>7101.2</v>
      </c>
      <c r="D1210" s="330"/>
      <c r="E1210" s="330"/>
      <c r="F1210" s="611">
        <f t="shared" si="44"/>
        <v>7101.2</v>
      </c>
      <c r="G1210" s="55">
        <v>878.1</v>
      </c>
      <c r="H1210" s="55">
        <v>3.5000000000000003E-2</v>
      </c>
      <c r="I1210" s="164">
        <f t="shared" si="45"/>
        <v>4.3279304906213038E-3</v>
      </c>
      <c r="J1210" s="128">
        <v>4.3279304906213038E-3</v>
      </c>
      <c r="K1210" s="128"/>
      <c r="L1210" s="93"/>
      <c r="M1210" s="93"/>
      <c r="N1210" s="93"/>
      <c r="O1210" s="93"/>
      <c r="P1210" s="93"/>
      <c r="Q1210" s="93"/>
      <c r="R1210" s="93"/>
      <c r="S1210" s="93"/>
      <c r="T1210" s="93"/>
      <c r="U1210" s="93"/>
      <c r="V1210" s="93"/>
      <c r="W1210" s="93"/>
      <c r="X1210" s="93"/>
    </row>
    <row r="1211" spans="1:24" s="6" customFormat="1" ht="15.75">
      <c r="A1211" s="55">
        <v>8</v>
      </c>
      <c r="B1211" s="55" t="s">
        <v>539</v>
      </c>
      <c r="C1211" s="330">
        <v>7470.48</v>
      </c>
      <c r="D1211" s="330"/>
      <c r="E1211" s="330"/>
      <c r="F1211" s="611">
        <f t="shared" si="44"/>
        <v>7470.48</v>
      </c>
      <c r="G1211" s="55">
        <v>899</v>
      </c>
      <c r="H1211" s="55">
        <v>3.5000000000000003E-2</v>
      </c>
      <c r="I1211" s="164">
        <f t="shared" si="45"/>
        <v>4.2119114166693445E-3</v>
      </c>
      <c r="J1211" s="128">
        <v>4.2119114166693445E-3</v>
      </c>
      <c r="K1211" s="128"/>
      <c r="L1211" s="93"/>
      <c r="M1211" s="93"/>
      <c r="N1211" s="93"/>
      <c r="O1211" s="93"/>
      <c r="P1211" s="93"/>
      <c r="Q1211" s="93"/>
      <c r="R1211" s="93"/>
      <c r="S1211" s="93"/>
      <c r="T1211" s="93"/>
      <c r="U1211" s="93"/>
      <c r="V1211" s="93"/>
      <c r="W1211" s="93"/>
      <c r="X1211" s="93"/>
    </row>
    <row r="1212" spans="1:24" s="6" customFormat="1" ht="15.75">
      <c r="A1212" s="55">
        <v>9</v>
      </c>
      <c r="B1212" s="55" t="s">
        <v>540</v>
      </c>
      <c r="C1212" s="330">
        <v>2276.6</v>
      </c>
      <c r="D1212" s="330"/>
      <c r="E1212" s="330"/>
      <c r="F1212" s="611">
        <f t="shared" si="44"/>
        <v>2276.6</v>
      </c>
      <c r="G1212" s="55">
        <v>280.7</v>
      </c>
      <c r="H1212" s="55">
        <v>3.5000000000000003E-2</v>
      </c>
      <c r="I1212" s="164">
        <f t="shared" si="45"/>
        <v>4.3154265132214712E-3</v>
      </c>
      <c r="J1212" s="128">
        <v>4.3154265132214712E-3</v>
      </c>
      <c r="K1212" s="128"/>
      <c r="L1212" s="93"/>
      <c r="M1212" s="93"/>
      <c r="N1212" s="93"/>
      <c r="O1212" s="93"/>
      <c r="P1212" s="93"/>
      <c r="Q1212" s="93"/>
      <c r="R1212" s="93"/>
      <c r="S1212" s="93"/>
      <c r="T1212" s="93"/>
      <c r="U1212" s="93"/>
      <c r="V1212" s="93"/>
      <c r="W1212" s="93"/>
      <c r="X1212" s="93"/>
    </row>
    <row r="1213" spans="1:24" s="6" customFormat="1" ht="15.75">
      <c r="A1213" s="55">
        <v>10</v>
      </c>
      <c r="B1213" s="55" t="s">
        <v>541</v>
      </c>
      <c r="C1213" s="330">
        <v>4642.43</v>
      </c>
      <c r="D1213" s="330"/>
      <c r="E1213" s="330"/>
      <c r="F1213" s="611">
        <f t="shared" ref="F1213:F1231" si="46">C1213+D1213+E1213</f>
        <v>4642.43</v>
      </c>
      <c r="G1213" s="55">
        <v>552.5</v>
      </c>
      <c r="H1213" s="55">
        <v>3.5000000000000003E-2</v>
      </c>
      <c r="I1213" s="164">
        <f t="shared" si="45"/>
        <v>4.1653832152558036E-3</v>
      </c>
      <c r="J1213" s="128">
        <v>4.1653832152558036E-3</v>
      </c>
      <c r="K1213" s="128"/>
      <c r="L1213" s="93"/>
      <c r="M1213" s="93"/>
      <c r="N1213" s="93"/>
      <c r="O1213" s="93"/>
      <c r="P1213" s="93"/>
      <c r="Q1213" s="93"/>
      <c r="R1213" s="93"/>
      <c r="S1213" s="93"/>
      <c r="T1213" s="93"/>
      <c r="U1213" s="93"/>
      <c r="V1213" s="93"/>
      <c r="W1213" s="93"/>
      <c r="X1213" s="93"/>
    </row>
    <row r="1214" spans="1:24" s="6" customFormat="1" ht="15.75">
      <c r="A1214" s="55">
        <v>11</v>
      </c>
      <c r="B1214" s="55" t="s">
        <v>542</v>
      </c>
      <c r="C1214" s="330">
        <v>3634.2</v>
      </c>
      <c r="D1214" s="330"/>
      <c r="E1214" s="330"/>
      <c r="F1214" s="611">
        <f t="shared" si="46"/>
        <v>3634.2</v>
      </c>
      <c r="G1214" s="55">
        <v>616.70000000000005</v>
      </c>
      <c r="H1214" s="55">
        <v>3.5000000000000003E-2</v>
      </c>
      <c r="I1214" s="164">
        <f t="shared" si="45"/>
        <v>5.939271366463046E-3</v>
      </c>
      <c r="J1214" s="128">
        <v>5.939271366463046E-3</v>
      </c>
      <c r="K1214" s="128"/>
      <c r="L1214" s="93"/>
      <c r="M1214" s="93"/>
      <c r="N1214" s="93"/>
      <c r="O1214" s="93"/>
      <c r="P1214" s="93"/>
      <c r="Q1214" s="93"/>
      <c r="R1214" s="93"/>
      <c r="S1214" s="93"/>
      <c r="T1214" s="93"/>
      <c r="U1214" s="93"/>
      <c r="V1214" s="93"/>
      <c r="W1214" s="93"/>
      <c r="X1214" s="93"/>
    </row>
    <row r="1215" spans="1:24" s="6" customFormat="1" ht="15.75">
      <c r="A1215" s="55">
        <v>12</v>
      </c>
      <c r="B1215" s="55" t="s">
        <v>543</v>
      </c>
      <c r="C1215" s="330">
        <v>5551.35</v>
      </c>
      <c r="D1215" s="330"/>
      <c r="E1215" s="330"/>
      <c r="F1215" s="611">
        <f t="shared" si="46"/>
        <v>5551.35</v>
      </c>
      <c r="G1215" s="55">
        <v>1019.1</v>
      </c>
      <c r="H1215" s="55">
        <v>3.5000000000000003E-2</v>
      </c>
      <c r="I1215" s="164">
        <f t="shared" si="45"/>
        <v>6.425193871760923E-3</v>
      </c>
      <c r="J1215" s="128">
        <v>6.425193871760923E-3</v>
      </c>
      <c r="K1215" s="128"/>
      <c r="L1215" s="93"/>
      <c r="M1215" s="93"/>
      <c r="N1215" s="93"/>
      <c r="O1215" s="93"/>
      <c r="P1215" s="93"/>
      <c r="Q1215" s="93"/>
      <c r="R1215" s="93"/>
      <c r="S1215" s="93"/>
      <c r="T1215" s="93"/>
      <c r="U1215" s="93"/>
      <c r="V1215" s="93"/>
      <c r="W1215" s="93"/>
      <c r="X1215" s="93"/>
    </row>
    <row r="1216" spans="1:24" s="6" customFormat="1" ht="15.75">
      <c r="A1216" s="55">
        <v>13</v>
      </c>
      <c r="B1216" s="55" t="s">
        <v>545</v>
      </c>
      <c r="C1216" s="330">
        <v>4556.37</v>
      </c>
      <c r="D1216" s="330"/>
      <c r="E1216" s="330"/>
      <c r="F1216" s="611">
        <f t="shared" si="46"/>
        <v>4556.37</v>
      </c>
      <c r="G1216" s="55">
        <v>638</v>
      </c>
      <c r="H1216" s="55">
        <v>3.5000000000000003E-2</v>
      </c>
      <c r="I1216" s="164">
        <f t="shared" si="45"/>
        <v>4.9008311440905811E-3</v>
      </c>
      <c r="J1216" s="128">
        <v>4.9008311440905811E-3</v>
      </c>
      <c r="K1216" s="128"/>
      <c r="L1216" s="93"/>
      <c r="M1216" s="93"/>
      <c r="N1216" s="93"/>
      <c r="O1216" s="93"/>
      <c r="P1216" s="93"/>
      <c r="Q1216" s="93"/>
      <c r="R1216" s="93"/>
      <c r="S1216" s="93"/>
      <c r="T1216" s="93"/>
      <c r="U1216" s="93"/>
      <c r="V1216" s="93"/>
      <c r="W1216" s="93"/>
      <c r="X1216" s="93"/>
    </row>
    <row r="1217" spans="1:24" s="6" customFormat="1" ht="15.75">
      <c r="A1217" s="55">
        <v>14</v>
      </c>
      <c r="B1217" s="55" t="s">
        <v>546</v>
      </c>
      <c r="C1217" s="330">
        <v>4596.6099999999997</v>
      </c>
      <c r="D1217" s="330"/>
      <c r="E1217" s="330"/>
      <c r="F1217" s="611">
        <f t="shared" si="46"/>
        <v>4596.6099999999997</v>
      </c>
      <c r="G1217" s="55">
        <v>514.4</v>
      </c>
      <c r="H1217" s="55">
        <v>3.5000000000000003E-2</v>
      </c>
      <c r="I1217" s="164">
        <f t="shared" si="45"/>
        <v>3.9167995544542615E-3</v>
      </c>
      <c r="J1217" s="128">
        <v>3.9167995544542615E-3</v>
      </c>
      <c r="K1217" s="128"/>
      <c r="L1217" s="93"/>
      <c r="M1217" s="93"/>
      <c r="N1217" s="93"/>
      <c r="O1217" s="93"/>
      <c r="P1217" s="93"/>
      <c r="Q1217" s="93"/>
      <c r="R1217" s="93"/>
      <c r="S1217" s="93"/>
      <c r="T1217" s="93"/>
      <c r="U1217" s="93"/>
      <c r="V1217" s="93"/>
      <c r="W1217" s="93"/>
      <c r="X1217" s="93"/>
    </row>
    <row r="1218" spans="1:24" s="6" customFormat="1" ht="15.75">
      <c r="A1218" s="55">
        <v>15</v>
      </c>
      <c r="B1218" s="55" t="s">
        <v>567</v>
      </c>
      <c r="C1218" s="330">
        <v>4490.43</v>
      </c>
      <c r="D1218" s="330"/>
      <c r="E1218" s="330"/>
      <c r="F1218" s="611">
        <f t="shared" si="46"/>
        <v>4490.43</v>
      </c>
      <c r="G1218" s="55">
        <v>518.1</v>
      </c>
      <c r="H1218" s="55">
        <v>3.5000000000000003E-2</v>
      </c>
      <c r="I1218" s="164">
        <f t="shared" si="45"/>
        <v>4.0382546883037931E-3</v>
      </c>
      <c r="J1218" s="128">
        <v>4.0382546883037931E-3</v>
      </c>
      <c r="K1218" s="128"/>
      <c r="L1218" s="93"/>
      <c r="M1218" s="93"/>
      <c r="N1218" s="93"/>
      <c r="O1218" s="93"/>
      <c r="P1218" s="93"/>
      <c r="Q1218" s="93"/>
      <c r="R1218" s="93"/>
      <c r="S1218" s="93"/>
      <c r="T1218" s="93"/>
      <c r="U1218" s="93"/>
      <c r="V1218" s="93"/>
      <c r="W1218" s="93"/>
      <c r="X1218" s="93"/>
    </row>
    <row r="1219" spans="1:24" s="6" customFormat="1" ht="15.75">
      <c r="A1219" s="55">
        <v>16</v>
      </c>
      <c r="B1219" s="55" t="s">
        <v>568</v>
      </c>
      <c r="C1219" s="330">
        <v>4338.5</v>
      </c>
      <c r="D1219" s="330"/>
      <c r="E1219" s="330"/>
      <c r="F1219" s="611">
        <f t="shared" si="46"/>
        <v>4338.5</v>
      </c>
      <c r="G1219" s="55">
        <v>652.20000000000005</v>
      </c>
      <c r="H1219" s="55">
        <v>3.5000000000000003E-2</v>
      </c>
      <c r="I1219" s="164">
        <f t="shared" si="45"/>
        <v>5.2614959087242145E-3</v>
      </c>
      <c r="J1219" s="128">
        <v>5.2614959087242145E-3</v>
      </c>
      <c r="K1219" s="128"/>
      <c r="L1219" s="93"/>
      <c r="M1219" s="93"/>
      <c r="N1219" s="93"/>
      <c r="O1219" s="93"/>
      <c r="P1219" s="93"/>
      <c r="Q1219" s="93"/>
      <c r="R1219" s="93"/>
      <c r="S1219" s="93"/>
      <c r="T1219" s="93"/>
      <c r="U1219" s="93"/>
      <c r="V1219" s="93"/>
      <c r="W1219" s="93"/>
      <c r="X1219" s="93"/>
    </row>
    <row r="1220" spans="1:24" s="6" customFormat="1" ht="15.75">
      <c r="A1220" s="55">
        <v>17</v>
      </c>
      <c r="B1220" s="55" t="s">
        <v>569</v>
      </c>
      <c r="C1220" s="330">
        <v>3131.06</v>
      </c>
      <c r="D1220" s="330"/>
      <c r="E1220" s="330"/>
      <c r="F1220" s="611">
        <f t="shared" si="46"/>
        <v>3131.06</v>
      </c>
      <c r="G1220" s="55">
        <v>482.3</v>
      </c>
      <c r="H1220" s="55">
        <v>3.5000000000000003E-2</v>
      </c>
      <c r="I1220" s="164">
        <f t="shared" si="45"/>
        <v>5.3913051809930191E-3</v>
      </c>
      <c r="J1220" s="128">
        <v>5.3913051809930191E-3</v>
      </c>
      <c r="K1220" s="128"/>
      <c r="L1220" s="93"/>
      <c r="M1220" s="93"/>
      <c r="N1220" s="93"/>
      <c r="O1220" s="93"/>
      <c r="P1220" s="93"/>
      <c r="Q1220" s="93"/>
      <c r="R1220" s="93"/>
      <c r="S1220" s="93"/>
      <c r="T1220" s="93"/>
      <c r="U1220" s="93"/>
      <c r="V1220" s="93"/>
      <c r="W1220" s="93"/>
      <c r="X1220" s="93"/>
    </row>
    <row r="1221" spans="1:24" s="6" customFormat="1" ht="15.75">
      <c r="A1221" s="55">
        <v>18</v>
      </c>
      <c r="B1221" s="55" t="s">
        <v>570</v>
      </c>
      <c r="C1221" s="330">
        <v>3376.98</v>
      </c>
      <c r="D1221" s="330"/>
      <c r="E1221" s="330"/>
      <c r="F1221" s="611">
        <f t="shared" si="46"/>
        <v>3376.98</v>
      </c>
      <c r="G1221" s="55">
        <v>492.4</v>
      </c>
      <c r="H1221" s="55">
        <v>3.5000000000000003E-2</v>
      </c>
      <c r="I1221" s="164">
        <f t="shared" si="45"/>
        <v>5.1033763895551648E-3</v>
      </c>
      <c r="J1221" s="128">
        <v>5.1033763895551648E-3</v>
      </c>
      <c r="K1221" s="128"/>
      <c r="L1221" s="93"/>
      <c r="M1221" s="93"/>
      <c r="N1221" s="93"/>
      <c r="O1221" s="93"/>
      <c r="P1221" s="93"/>
      <c r="Q1221" s="93"/>
      <c r="R1221" s="93"/>
      <c r="S1221" s="93"/>
      <c r="T1221" s="93"/>
      <c r="U1221" s="93"/>
      <c r="V1221" s="93"/>
      <c r="W1221" s="93"/>
      <c r="X1221" s="93"/>
    </row>
    <row r="1222" spans="1:24" s="6" customFormat="1" ht="15.75">
      <c r="A1222" s="55">
        <v>20</v>
      </c>
      <c r="B1222" s="55" t="s">
        <v>571</v>
      </c>
      <c r="C1222" s="330">
        <v>50.5</v>
      </c>
      <c r="D1222" s="330"/>
      <c r="E1222" s="330"/>
      <c r="F1222" s="611">
        <f t="shared" si="46"/>
        <v>50.5</v>
      </c>
      <c r="G1222" s="55"/>
      <c r="H1222" s="55">
        <v>3.5000000000000003E-2</v>
      </c>
      <c r="I1222" s="164">
        <f t="shared" si="45"/>
        <v>0</v>
      </c>
      <c r="J1222" s="128"/>
      <c r="K1222" s="128"/>
      <c r="L1222" s="93"/>
      <c r="M1222" s="93"/>
      <c r="N1222" s="93"/>
      <c r="O1222" s="93"/>
      <c r="P1222" s="93"/>
      <c r="Q1222" s="93"/>
      <c r="R1222" s="93"/>
      <c r="S1222" s="93"/>
      <c r="T1222" s="93"/>
      <c r="U1222" s="93"/>
      <c r="V1222" s="93"/>
      <c r="W1222" s="93"/>
      <c r="X1222" s="93"/>
    </row>
    <row r="1223" spans="1:24" s="6" customFormat="1" ht="15.75">
      <c r="A1223" s="55">
        <v>22</v>
      </c>
      <c r="B1223" s="55" t="s">
        <v>356</v>
      </c>
      <c r="C1223" s="330">
        <v>306.8</v>
      </c>
      <c r="D1223" s="330"/>
      <c r="E1223" s="330"/>
      <c r="F1223" s="611">
        <f t="shared" si="46"/>
        <v>306.8</v>
      </c>
      <c r="G1223" s="55">
        <v>16.600000000000001</v>
      </c>
      <c r="H1223" s="55">
        <v>3.5000000000000003E-2</v>
      </c>
      <c r="I1223" s="164">
        <f t="shared" si="45"/>
        <v>1.8937418513689701E-3</v>
      </c>
      <c r="J1223" s="128"/>
      <c r="K1223" s="128"/>
      <c r="L1223" s="93"/>
      <c r="M1223" s="93"/>
      <c r="N1223" s="93"/>
      <c r="O1223" s="93"/>
      <c r="P1223" s="93"/>
      <c r="Q1223" s="93"/>
      <c r="R1223" s="93"/>
      <c r="S1223" s="93"/>
      <c r="T1223" s="93"/>
      <c r="U1223" s="93"/>
      <c r="V1223" s="93"/>
      <c r="W1223" s="93"/>
      <c r="X1223" s="93"/>
    </row>
    <row r="1224" spans="1:24" s="6" customFormat="1" ht="15.75">
      <c r="A1224" s="55">
        <v>23</v>
      </c>
      <c r="B1224" s="55" t="s">
        <v>357</v>
      </c>
      <c r="C1224" s="330">
        <v>304.18</v>
      </c>
      <c r="D1224" s="330"/>
      <c r="E1224" s="330"/>
      <c r="F1224" s="611">
        <f t="shared" si="46"/>
        <v>304.18</v>
      </c>
      <c r="G1224" s="55">
        <v>16.600000000000001</v>
      </c>
      <c r="H1224" s="55">
        <v>3.5000000000000003E-2</v>
      </c>
      <c r="I1224" s="164">
        <f t="shared" si="45"/>
        <v>1.9100532579393783E-3</v>
      </c>
      <c r="J1224" s="128"/>
      <c r="K1224" s="128"/>
      <c r="L1224" s="93"/>
      <c r="M1224" s="93"/>
      <c r="N1224" s="93"/>
      <c r="O1224" s="93"/>
      <c r="P1224" s="93"/>
      <c r="Q1224" s="93"/>
      <c r="R1224" s="93"/>
      <c r="S1224" s="93"/>
      <c r="T1224" s="93"/>
      <c r="U1224" s="93"/>
      <c r="V1224" s="93"/>
      <c r="W1224" s="93"/>
      <c r="X1224" s="93"/>
    </row>
    <row r="1225" spans="1:24" s="6" customFormat="1" ht="15.75">
      <c r="A1225" s="55">
        <v>24</v>
      </c>
      <c r="B1225" s="55" t="s">
        <v>358</v>
      </c>
      <c r="C1225" s="330">
        <v>823.48</v>
      </c>
      <c r="D1225" s="330"/>
      <c r="E1225" s="330"/>
      <c r="F1225" s="611">
        <f t="shared" si="46"/>
        <v>823.48</v>
      </c>
      <c r="G1225" s="55">
        <v>16.600000000000001</v>
      </c>
      <c r="H1225" s="55">
        <v>3.5000000000000003E-2</v>
      </c>
      <c r="I1225" s="164">
        <f t="shared" si="45"/>
        <v>7.0554233253995247E-4</v>
      </c>
      <c r="J1225" s="128"/>
      <c r="K1225" s="128"/>
      <c r="L1225" s="93"/>
      <c r="M1225" s="93"/>
      <c r="N1225" s="93"/>
      <c r="O1225" s="93"/>
      <c r="P1225" s="93"/>
      <c r="Q1225" s="93"/>
      <c r="R1225" s="93"/>
      <c r="S1225" s="93"/>
      <c r="T1225" s="93"/>
      <c r="U1225" s="93"/>
      <c r="V1225" s="93"/>
      <c r="W1225" s="93"/>
      <c r="X1225" s="93"/>
    </row>
    <row r="1226" spans="1:24" s="6" customFormat="1" ht="15.75">
      <c r="A1226" s="55">
        <v>25</v>
      </c>
      <c r="B1226" s="55" t="s">
        <v>359</v>
      </c>
      <c r="C1226" s="330">
        <v>733.47</v>
      </c>
      <c r="D1226" s="330"/>
      <c r="E1226" s="330">
        <v>70</v>
      </c>
      <c r="F1226" s="611">
        <f t="shared" si="46"/>
        <v>803.47</v>
      </c>
      <c r="G1226" s="55">
        <v>16.600000000000001</v>
      </c>
      <c r="H1226" s="55">
        <v>3.5000000000000003E-2</v>
      </c>
      <c r="I1226" s="164">
        <f t="shared" si="45"/>
        <v>7.2311349521450715E-4</v>
      </c>
      <c r="J1226" s="128"/>
      <c r="K1226" s="128"/>
      <c r="L1226" s="93"/>
      <c r="M1226" s="93"/>
      <c r="N1226" s="93"/>
      <c r="O1226" s="93"/>
      <c r="P1226" s="93"/>
      <c r="Q1226" s="93"/>
      <c r="R1226" s="93"/>
      <c r="S1226" s="93"/>
      <c r="T1226" s="93"/>
      <c r="U1226" s="93"/>
      <c r="V1226" s="93"/>
      <c r="W1226" s="93"/>
      <c r="X1226" s="93"/>
    </row>
    <row r="1227" spans="1:24" s="6" customFormat="1" ht="15.75">
      <c r="A1227" s="55">
        <v>26</v>
      </c>
      <c r="B1227" s="55" t="s">
        <v>360</v>
      </c>
      <c r="C1227" s="330">
        <v>4465.32</v>
      </c>
      <c r="D1227" s="330"/>
      <c r="E1227" s="330"/>
      <c r="F1227" s="611">
        <f t="shared" si="46"/>
        <v>4465.32</v>
      </c>
      <c r="G1227" s="55">
        <v>298.2</v>
      </c>
      <c r="H1227" s="55">
        <v>3.5000000000000003E-2</v>
      </c>
      <c r="I1227" s="164">
        <f t="shared" si="45"/>
        <v>2.3373464835666877E-3</v>
      </c>
      <c r="J1227" s="128"/>
      <c r="K1227" s="128"/>
      <c r="L1227" s="93"/>
      <c r="M1227" s="93"/>
      <c r="N1227" s="93"/>
      <c r="O1227" s="93"/>
      <c r="P1227" s="93"/>
      <c r="Q1227" s="93"/>
      <c r="R1227" s="93"/>
      <c r="S1227" s="93"/>
      <c r="T1227" s="93"/>
      <c r="U1227" s="93"/>
      <c r="V1227" s="93"/>
      <c r="W1227" s="93"/>
      <c r="X1227" s="93"/>
    </row>
    <row r="1228" spans="1:24" s="6" customFormat="1" ht="15.75">
      <c r="A1228" s="55">
        <v>27</v>
      </c>
      <c r="B1228" s="55" t="s">
        <v>361</v>
      </c>
      <c r="C1228" s="330">
        <v>2218.6799999999998</v>
      </c>
      <c r="D1228" s="330"/>
      <c r="E1228" s="330"/>
      <c r="F1228" s="611">
        <f t="shared" si="46"/>
        <v>2218.6799999999998</v>
      </c>
      <c r="G1228" s="55">
        <v>150.5</v>
      </c>
      <c r="H1228" s="55">
        <v>3.5000000000000003E-2</v>
      </c>
      <c r="I1228" s="164">
        <f t="shared" si="45"/>
        <v>2.3741594100996992E-3</v>
      </c>
      <c r="J1228" s="128"/>
      <c r="K1228" s="128"/>
      <c r="L1228" s="93"/>
      <c r="M1228" s="93"/>
      <c r="N1228" s="93"/>
      <c r="O1228" s="93"/>
      <c r="P1228" s="93"/>
      <c r="Q1228" s="93"/>
      <c r="R1228" s="93"/>
      <c r="S1228" s="93"/>
      <c r="T1228" s="93"/>
      <c r="U1228" s="93"/>
      <c r="V1228" s="93"/>
      <c r="W1228" s="93"/>
      <c r="X1228" s="93"/>
    </row>
    <row r="1229" spans="1:24" s="6" customFormat="1" ht="15.75">
      <c r="A1229" s="55">
        <v>28</v>
      </c>
      <c r="B1229" s="55" t="s">
        <v>362</v>
      </c>
      <c r="C1229" s="330">
        <v>120.8</v>
      </c>
      <c r="D1229" s="330"/>
      <c r="E1229" s="330"/>
      <c r="F1229" s="611">
        <f t="shared" si="46"/>
        <v>120.8</v>
      </c>
      <c r="G1229" s="55"/>
      <c r="H1229" s="55">
        <v>3.5000000000000003E-2</v>
      </c>
      <c r="I1229" s="164">
        <f t="shared" si="45"/>
        <v>0</v>
      </c>
      <c r="J1229" s="128"/>
      <c r="K1229" s="128"/>
      <c r="L1229" s="93"/>
      <c r="M1229" s="93"/>
      <c r="N1229" s="93"/>
      <c r="O1229" s="93"/>
      <c r="P1229" s="93"/>
      <c r="Q1229" s="93"/>
      <c r="R1229" s="93"/>
      <c r="S1229" s="93"/>
      <c r="T1229" s="93"/>
      <c r="U1229" s="93"/>
      <c r="V1229" s="93"/>
      <c r="W1229" s="93"/>
      <c r="X1229" s="93"/>
    </row>
    <row r="1230" spans="1:24" s="6" customFormat="1" ht="15.75">
      <c r="A1230" s="55">
        <v>30</v>
      </c>
      <c r="B1230" s="55" t="s">
        <v>363</v>
      </c>
      <c r="C1230" s="330">
        <v>174.6</v>
      </c>
      <c r="D1230" s="330"/>
      <c r="E1230" s="330"/>
      <c r="F1230" s="611">
        <f t="shared" si="46"/>
        <v>174.6</v>
      </c>
      <c r="G1230" s="55"/>
      <c r="H1230" s="55">
        <v>3.5000000000000003E-2</v>
      </c>
      <c r="I1230" s="164">
        <f>G1230*H1230/F1230</f>
        <v>0</v>
      </c>
      <c r="J1230" s="128"/>
      <c r="K1230" s="128"/>
      <c r="L1230" s="93"/>
      <c r="M1230" s="93"/>
      <c r="N1230" s="93"/>
      <c r="O1230" s="93"/>
      <c r="P1230" s="93"/>
      <c r="Q1230" s="93"/>
      <c r="R1230" s="93"/>
      <c r="S1230" s="93"/>
      <c r="T1230" s="93"/>
      <c r="U1230" s="93"/>
      <c r="V1230" s="93"/>
      <c r="W1230" s="93"/>
      <c r="X1230" s="93"/>
    </row>
    <row r="1231" spans="1:24" s="6" customFormat="1" ht="15.75">
      <c r="A1231" s="55">
        <v>31</v>
      </c>
      <c r="B1231" s="55" t="s">
        <v>364</v>
      </c>
      <c r="C1231" s="330">
        <v>139.19999999999999</v>
      </c>
      <c r="D1231" s="330"/>
      <c r="E1231" s="330"/>
      <c r="F1231" s="611">
        <f t="shared" si="46"/>
        <v>139.19999999999999</v>
      </c>
      <c r="G1231" s="55"/>
      <c r="H1231" s="55">
        <v>3.5000000000000003E-2</v>
      </c>
      <c r="I1231" s="164">
        <f>G1231*H1231/F1231</f>
        <v>0</v>
      </c>
      <c r="J1231" s="128"/>
      <c r="K1231" s="128"/>
      <c r="L1231" s="93"/>
      <c r="M1231" s="93"/>
      <c r="N1231" s="93"/>
      <c r="O1231" s="93"/>
      <c r="P1231" s="93"/>
      <c r="Q1231" s="93"/>
      <c r="R1231" s="93"/>
      <c r="S1231" s="93"/>
      <c r="T1231" s="93"/>
      <c r="U1231" s="93"/>
      <c r="V1231" s="93"/>
      <c r="W1231" s="93"/>
      <c r="X1231" s="93"/>
    </row>
    <row r="1232" spans="1:24" s="209" customFormat="1" ht="15.75">
      <c r="A1232" s="258"/>
      <c r="B1232" s="452" t="s">
        <v>572</v>
      </c>
      <c r="C1232" s="510">
        <f>SUM(C1204:C1231)</f>
        <v>91831.689999999973</v>
      </c>
      <c r="D1232" s="510">
        <f>SUM(D1204:D1231)</f>
        <v>612.9</v>
      </c>
      <c r="E1232" s="510">
        <f>SUM(E1204:E1231)</f>
        <v>735</v>
      </c>
      <c r="F1232" s="612">
        <f>C1232+D1232+E1232</f>
        <v>93179.589999999967</v>
      </c>
      <c r="G1232" s="452">
        <f>SUM(G1204:G1231)</f>
        <v>11750.000000000002</v>
      </c>
      <c r="H1232" s="452">
        <v>3.5000000000000003E-2</v>
      </c>
      <c r="I1232" s="632">
        <f>G1232*H1232/F1232</f>
        <v>4.4135201711018503E-3</v>
      </c>
      <c r="J1232" s="212"/>
      <c r="K1232" s="212"/>
    </row>
    <row r="1233" spans="1:24" s="6" customFormat="1" ht="16.5" thickBot="1">
      <c r="A1233" s="127"/>
      <c r="B1233" s="127"/>
      <c r="C1233" s="127"/>
      <c r="D1233" s="127"/>
      <c r="E1233" s="127"/>
      <c r="F1233" s="336"/>
      <c r="G1233" s="127"/>
      <c r="H1233" s="160"/>
      <c r="I1233" s="166"/>
      <c r="J1233" s="128"/>
      <c r="K1233" s="128"/>
      <c r="L1233" s="93"/>
      <c r="M1233" s="93"/>
      <c r="N1233" s="93"/>
      <c r="O1233" s="93"/>
      <c r="P1233" s="93"/>
      <c r="Q1233" s="93"/>
      <c r="R1233" s="93"/>
      <c r="S1233" s="93"/>
      <c r="T1233" s="93"/>
      <c r="U1233" s="93"/>
      <c r="V1233" s="93"/>
      <c r="W1233" s="93"/>
      <c r="X1233" s="93"/>
    </row>
    <row r="1234" spans="1:24" s="209" customFormat="1" ht="16.5" thickBot="1">
      <c r="A1234" s="215" t="s">
        <v>573</v>
      </c>
      <c r="B1234" s="213"/>
      <c r="C1234" s="314">
        <f t="shared" ref="C1234:I1234" si="47">C1232+C1202+C1146+C879+C747+C535+C384+C90+C67</f>
        <v>1871681.0599999996</v>
      </c>
      <c r="D1234" s="314">
        <f t="shared" si="47"/>
        <v>10680.369999999999</v>
      </c>
      <c r="E1234" s="314">
        <f t="shared" si="47"/>
        <v>25132.499999999996</v>
      </c>
      <c r="F1234" s="638">
        <f t="shared" si="47"/>
        <v>1907493.9299999997</v>
      </c>
      <c r="G1234" s="314">
        <f t="shared" si="47"/>
        <v>189750.64999999997</v>
      </c>
      <c r="H1234" s="314">
        <f t="shared" si="47"/>
        <v>0.31500000000000006</v>
      </c>
      <c r="I1234" s="314">
        <f t="shared" si="47"/>
        <v>3.1255179798434285E-2</v>
      </c>
      <c r="J1234" s="214"/>
      <c r="K1234" s="214"/>
      <c r="L1234" s="210"/>
    </row>
    <row r="1235" spans="1:24" s="6" customFormat="1" ht="15.75">
      <c r="A1235" s="127"/>
      <c r="B1235" s="127"/>
      <c r="C1235" s="127"/>
      <c r="D1235" s="127"/>
      <c r="E1235" s="127"/>
      <c r="F1235" s="336"/>
      <c r="G1235" s="127"/>
      <c r="H1235" s="127"/>
      <c r="I1235" s="166"/>
      <c r="J1235" s="128"/>
      <c r="K1235" s="128"/>
      <c r="L1235" s="93"/>
      <c r="M1235" s="93"/>
      <c r="N1235" s="93"/>
      <c r="O1235" s="93"/>
      <c r="P1235" s="93"/>
      <c r="Q1235" s="93"/>
      <c r="R1235" s="93"/>
      <c r="S1235" s="93"/>
      <c r="T1235" s="93"/>
      <c r="U1235" s="93"/>
      <c r="V1235" s="93"/>
      <c r="W1235" s="93"/>
      <c r="X1235" s="93"/>
    </row>
    <row r="1236" spans="1:24" s="6" customFormat="1" ht="15.75">
      <c r="A1236" s="127"/>
      <c r="B1236" s="127"/>
      <c r="C1236" s="127"/>
      <c r="D1236" s="127"/>
      <c r="E1236" s="127"/>
      <c r="F1236" s="336"/>
      <c r="G1236" s="127"/>
      <c r="H1236" s="127"/>
      <c r="I1236" s="166"/>
      <c r="J1236" s="128"/>
      <c r="K1236" s="128"/>
      <c r="L1236" s="93"/>
      <c r="M1236" s="93"/>
      <c r="N1236" s="93"/>
      <c r="O1236" s="93"/>
      <c r="P1236" s="93"/>
      <c r="Q1236" s="93"/>
      <c r="R1236" s="93"/>
      <c r="S1236" s="93"/>
      <c r="T1236" s="93"/>
      <c r="U1236" s="93"/>
      <c r="V1236" s="93"/>
      <c r="W1236" s="93"/>
      <c r="X1236" s="93"/>
    </row>
    <row r="1237" spans="1:24" s="6" customFormat="1" ht="15.75">
      <c r="A1237" s="127"/>
      <c r="B1237" s="127"/>
      <c r="C1237" s="127"/>
      <c r="D1237" s="127"/>
      <c r="E1237" s="127"/>
      <c r="F1237" s="336"/>
      <c r="G1237" s="127"/>
      <c r="H1237" s="127"/>
      <c r="I1237" s="166"/>
      <c r="J1237" s="128"/>
      <c r="K1237" s="128"/>
      <c r="L1237" s="93"/>
      <c r="M1237" s="93"/>
      <c r="N1237" s="93"/>
      <c r="O1237" s="93"/>
      <c r="P1237" s="93"/>
      <c r="Q1237" s="93"/>
      <c r="R1237" s="93"/>
      <c r="S1237" s="93"/>
      <c r="T1237" s="93"/>
      <c r="U1237" s="93"/>
      <c r="V1237" s="93"/>
      <c r="W1237" s="93"/>
      <c r="X1237" s="93"/>
    </row>
    <row r="1238" spans="1:24" s="6" customFormat="1" ht="15.75">
      <c r="A1238" s="127"/>
      <c r="B1238" s="127"/>
      <c r="C1238" s="127"/>
      <c r="D1238" s="127"/>
      <c r="E1238" s="127"/>
      <c r="F1238" s="336"/>
      <c r="G1238" s="127"/>
      <c r="H1238" s="127"/>
      <c r="I1238" s="166"/>
      <c r="J1238" s="128"/>
      <c r="K1238" s="128"/>
      <c r="L1238" s="93"/>
      <c r="M1238" s="93"/>
      <c r="N1238" s="93"/>
      <c r="O1238" s="93"/>
      <c r="P1238" s="93"/>
      <c r="Q1238" s="93"/>
      <c r="R1238" s="93"/>
      <c r="S1238" s="93"/>
      <c r="T1238" s="93"/>
      <c r="U1238" s="93"/>
      <c r="V1238" s="93"/>
      <c r="W1238" s="93"/>
      <c r="X1238" s="93"/>
    </row>
    <row r="1239" spans="1:24" s="6" customFormat="1" ht="15.75">
      <c r="A1239" s="127"/>
      <c r="B1239" s="127"/>
      <c r="C1239" s="127"/>
      <c r="D1239" s="127"/>
      <c r="E1239" s="127"/>
      <c r="F1239" s="336"/>
      <c r="G1239" s="127"/>
      <c r="H1239" s="127"/>
      <c r="I1239" s="166"/>
      <c r="J1239" s="128"/>
      <c r="K1239" s="128"/>
      <c r="L1239" s="93"/>
      <c r="M1239" s="93"/>
      <c r="N1239" s="93"/>
      <c r="O1239" s="93"/>
      <c r="P1239" s="93"/>
      <c r="Q1239" s="93"/>
      <c r="R1239" s="93"/>
      <c r="S1239" s="93"/>
      <c r="T1239" s="93"/>
      <c r="U1239" s="93"/>
      <c r="V1239" s="93"/>
      <c r="W1239" s="93"/>
      <c r="X1239" s="93"/>
    </row>
    <row r="1240" spans="1:24" s="6" customFormat="1" ht="15.75">
      <c r="A1240" s="127"/>
      <c r="B1240" s="127"/>
      <c r="C1240" s="127"/>
      <c r="D1240" s="127"/>
      <c r="E1240" s="127"/>
      <c r="F1240" s="336"/>
      <c r="G1240" s="127"/>
      <c r="H1240" s="127"/>
      <c r="I1240" s="166"/>
      <c r="J1240" s="128"/>
      <c r="K1240" s="128"/>
      <c r="L1240" s="93"/>
      <c r="M1240" s="93"/>
      <c r="N1240" s="93"/>
      <c r="O1240" s="93"/>
      <c r="P1240" s="93"/>
      <c r="Q1240" s="93"/>
      <c r="R1240" s="93"/>
      <c r="S1240" s="93"/>
      <c r="T1240" s="93"/>
      <c r="U1240" s="93"/>
      <c r="V1240" s="93"/>
      <c r="W1240" s="93"/>
      <c r="X1240" s="93"/>
    </row>
    <row r="1241" spans="1:24" s="6" customFormat="1" ht="15.75">
      <c r="A1241" s="127"/>
      <c r="B1241" s="127"/>
      <c r="C1241" s="127"/>
      <c r="D1241" s="127"/>
      <c r="E1241" s="127"/>
      <c r="F1241" s="336"/>
      <c r="G1241" s="127"/>
      <c r="H1241" s="127"/>
      <c r="I1241" s="166"/>
      <c r="J1241" s="128"/>
      <c r="K1241" s="128"/>
      <c r="L1241" s="93"/>
      <c r="M1241" s="93"/>
      <c r="N1241" s="93"/>
      <c r="O1241" s="93"/>
      <c r="P1241" s="93"/>
      <c r="Q1241" s="93"/>
      <c r="R1241" s="93"/>
      <c r="S1241" s="93"/>
      <c r="T1241" s="93"/>
      <c r="U1241" s="93"/>
      <c r="V1241" s="93"/>
      <c r="W1241" s="93"/>
      <c r="X1241" s="93"/>
    </row>
    <row r="1242" spans="1:24" s="6" customFormat="1" ht="15.75">
      <c r="A1242" s="127"/>
      <c r="B1242" s="127"/>
      <c r="C1242" s="127"/>
      <c r="D1242" s="127"/>
      <c r="E1242" s="127"/>
      <c r="F1242" s="336"/>
      <c r="G1242" s="127"/>
      <c r="H1242" s="127"/>
      <c r="I1242" s="166"/>
      <c r="J1242" s="128"/>
      <c r="K1242" s="128"/>
      <c r="L1242" s="93"/>
      <c r="M1242" s="93"/>
      <c r="N1242" s="93"/>
      <c r="O1242" s="93"/>
      <c r="P1242" s="93"/>
      <c r="Q1242" s="93"/>
      <c r="R1242" s="93"/>
      <c r="S1242" s="93"/>
      <c r="T1242" s="93"/>
      <c r="U1242" s="93"/>
      <c r="V1242" s="93"/>
      <c r="W1242" s="93"/>
      <c r="X1242" s="93"/>
    </row>
    <row r="1243" spans="1:24" s="6" customFormat="1" ht="15.75">
      <c r="A1243" s="127"/>
      <c r="B1243" s="127"/>
      <c r="C1243" s="127"/>
      <c r="D1243" s="127"/>
      <c r="E1243" s="127"/>
      <c r="F1243" s="336"/>
      <c r="G1243" s="127"/>
      <c r="H1243" s="127"/>
      <c r="I1243" s="166"/>
      <c r="J1243" s="128"/>
      <c r="K1243" s="128"/>
      <c r="L1243" s="93"/>
      <c r="M1243" s="93"/>
      <c r="N1243" s="93"/>
      <c r="O1243" s="93"/>
      <c r="P1243" s="93"/>
      <c r="Q1243" s="93"/>
      <c r="R1243" s="93"/>
      <c r="S1243" s="93"/>
      <c r="T1243" s="93"/>
      <c r="U1243" s="93"/>
      <c r="V1243" s="93"/>
      <c r="W1243" s="93"/>
      <c r="X1243" s="93"/>
    </row>
    <row r="1244" spans="1:24" s="6" customFormat="1" ht="15.75">
      <c r="A1244" s="127"/>
      <c r="B1244" s="127"/>
      <c r="C1244" s="127"/>
      <c r="D1244" s="127"/>
      <c r="E1244" s="127"/>
      <c r="F1244" s="336"/>
      <c r="G1244" s="127"/>
      <c r="H1244" s="127"/>
      <c r="I1244" s="166"/>
      <c r="J1244" s="128"/>
      <c r="K1244" s="128"/>
      <c r="L1244" s="93"/>
      <c r="M1244" s="93"/>
      <c r="N1244" s="93"/>
      <c r="O1244" s="93"/>
      <c r="P1244" s="93"/>
      <c r="Q1244" s="93"/>
      <c r="R1244" s="93"/>
      <c r="S1244" s="93"/>
      <c r="T1244" s="93"/>
      <c r="U1244" s="93"/>
      <c r="V1244" s="93"/>
      <c r="W1244" s="93"/>
      <c r="X1244" s="93"/>
    </row>
    <row r="1245" spans="1:24" s="6" customFormat="1" ht="15.75">
      <c r="A1245" s="127"/>
      <c r="B1245" s="127"/>
      <c r="C1245" s="127"/>
      <c r="D1245" s="127"/>
      <c r="E1245" s="127"/>
      <c r="F1245" s="336"/>
      <c r="G1245" s="127"/>
      <c r="H1245" s="127"/>
      <c r="I1245" s="166"/>
      <c r="J1245" s="128"/>
      <c r="K1245" s="128"/>
      <c r="L1245" s="93"/>
      <c r="M1245" s="93"/>
      <c r="N1245" s="93"/>
      <c r="O1245" s="93"/>
      <c r="P1245" s="93"/>
      <c r="Q1245" s="93"/>
      <c r="R1245" s="93"/>
      <c r="S1245" s="93"/>
      <c r="T1245" s="93"/>
      <c r="U1245" s="93"/>
      <c r="V1245" s="93"/>
      <c r="W1245" s="93"/>
      <c r="X1245" s="93"/>
    </row>
    <row r="1246" spans="1:24" s="6" customFormat="1" ht="15.75">
      <c r="A1246" s="127"/>
      <c r="B1246" s="127"/>
      <c r="C1246" s="127"/>
      <c r="D1246" s="127"/>
      <c r="E1246" s="127"/>
      <c r="F1246" s="336"/>
      <c r="G1246" s="127"/>
      <c r="H1246" s="127"/>
      <c r="I1246" s="166"/>
      <c r="J1246" s="128"/>
      <c r="K1246" s="128"/>
      <c r="L1246" s="93"/>
      <c r="M1246" s="93"/>
      <c r="N1246" s="93"/>
      <c r="O1246" s="93"/>
      <c r="P1246" s="93"/>
      <c r="Q1246" s="93"/>
      <c r="R1246" s="93"/>
      <c r="S1246" s="93"/>
      <c r="T1246" s="93"/>
      <c r="U1246" s="93"/>
      <c r="V1246" s="93"/>
      <c r="W1246" s="93"/>
      <c r="X1246" s="93"/>
    </row>
    <row r="1247" spans="1:24" s="6" customFormat="1" ht="15.75">
      <c r="A1247" s="127"/>
      <c r="B1247" s="127"/>
      <c r="C1247" s="127"/>
      <c r="D1247" s="127"/>
      <c r="E1247" s="127"/>
      <c r="F1247" s="336"/>
      <c r="G1247" s="127"/>
      <c r="H1247" s="127"/>
      <c r="I1247" s="166"/>
      <c r="J1247" s="128"/>
      <c r="K1247" s="128"/>
      <c r="L1247" s="93"/>
      <c r="M1247" s="93"/>
      <c r="N1247" s="93"/>
      <c r="O1247" s="93"/>
      <c r="P1247" s="93"/>
      <c r="Q1247" s="93"/>
      <c r="R1247" s="93"/>
      <c r="S1247" s="93"/>
      <c r="T1247" s="93"/>
      <c r="U1247" s="93"/>
      <c r="V1247" s="93"/>
      <c r="W1247" s="93"/>
      <c r="X1247" s="93"/>
    </row>
    <row r="1248" spans="1:24" s="6" customFormat="1" ht="15.75">
      <c r="A1248" s="127"/>
      <c r="B1248" s="127"/>
      <c r="C1248" s="127"/>
      <c r="D1248" s="127"/>
      <c r="E1248" s="127"/>
      <c r="F1248" s="336"/>
      <c r="G1248" s="127"/>
      <c r="H1248" s="127"/>
      <c r="I1248" s="166"/>
      <c r="J1248" s="128"/>
      <c r="K1248" s="128"/>
      <c r="L1248" s="93"/>
      <c r="M1248" s="93"/>
      <c r="N1248" s="93"/>
      <c r="O1248" s="93"/>
      <c r="P1248" s="93"/>
      <c r="Q1248" s="93"/>
      <c r="R1248" s="93"/>
      <c r="S1248" s="93"/>
      <c r="T1248" s="93"/>
      <c r="U1248" s="93"/>
      <c r="V1248" s="93"/>
      <c r="W1248" s="93"/>
      <c r="X1248" s="93"/>
    </row>
    <row r="1249" spans="1:24" s="6" customFormat="1" ht="15.75">
      <c r="A1249" s="127"/>
      <c r="B1249" s="127"/>
      <c r="C1249" s="127"/>
      <c r="D1249" s="127"/>
      <c r="E1249" s="127"/>
      <c r="F1249" s="336"/>
      <c r="G1249" s="127"/>
      <c r="H1249" s="127"/>
      <c r="I1249" s="166"/>
      <c r="J1249" s="128"/>
      <c r="K1249" s="128"/>
      <c r="L1249" s="93"/>
      <c r="M1249" s="93"/>
      <c r="N1249" s="93"/>
      <c r="O1249" s="93"/>
      <c r="P1249" s="93"/>
      <c r="Q1249" s="93"/>
      <c r="R1249" s="93"/>
      <c r="S1249" s="93"/>
      <c r="T1249" s="93"/>
      <c r="U1249" s="93"/>
      <c r="V1249" s="93"/>
      <c r="W1249" s="93"/>
      <c r="X1249" s="93"/>
    </row>
    <row r="1250" spans="1:24" s="6" customFormat="1" ht="15.75">
      <c r="A1250" s="127"/>
      <c r="B1250" s="127"/>
      <c r="C1250" s="127"/>
      <c r="D1250" s="127"/>
      <c r="E1250" s="127"/>
      <c r="F1250" s="336"/>
      <c r="G1250" s="127"/>
      <c r="H1250" s="127"/>
      <c r="I1250" s="166"/>
      <c r="J1250" s="128"/>
      <c r="K1250" s="128"/>
      <c r="L1250" s="93"/>
      <c r="M1250" s="93"/>
      <c r="N1250" s="93"/>
      <c r="O1250" s="93"/>
      <c r="P1250" s="93"/>
      <c r="Q1250" s="93"/>
      <c r="R1250" s="93"/>
      <c r="S1250" s="93"/>
      <c r="T1250" s="93"/>
      <c r="U1250" s="93"/>
      <c r="V1250" s="93"/>
      <c r="W1250" s="93"/>
      <c r="X1250" s="93"/>
    </row>
    <row r="1251" spans="1:24" s="6" customFormat="1" ht="15.75">
      <c r="A1251" s="127"/>
      <c r="B1251" s="127"/>
      <c r="C1251" s="127"/>
      <c r="D1251" s="127"/>
      <c r="E1251" s="127"/>
      <c r="F1251" s="336"/>
      <c r="G1251" s="127"/>
      <c r="H1251" s="127"/>
      <c r="I1251" s="166"/>
      <c r="J1251" s="128"/>
      <c r="K1251" s="128"/>
      <c r="L1251" s="93"/>
      <c r="M1251" s="93"/>
      <c r="N1251" s="93"/>
      <c r="O1251" s="93"/>
      <c r="P1251" s="93"/>
      <c r="Q1251" s="93"/>
      <c r="R1251" s="93"/>
      <c r="S1251" s="93"/>
      <c r="T1251" s="93"/>
      <c r="U1251" s="93"/>
      <c r="V1251" s="93"/>
      <c r="W1251" s="93"/>
      <c r="X1251" s="93"/>
    </row>
    <row r="1252" spans="1:24" s="6" customFormat="1" ht="15.75">
      <c r="A1252" s="127"/>
      <c r="B1252" s="127"/>
      <c r="C1252" s="127"/>
      <c r="D1252" s="127"/>
      <c r="E1252" s="127"/>
      <c r="F1252" s="336"/>
      <c r="G1252" s="127"/>
      <c r="H1252" s="127"/>
      <c r="I1252" s="166"/>
      <c r="J1252" s="128"/>
      <c r="K1252" s="128"/>
      <c r="L1252" s="93"/>
      <c r="M1252" s="93"/>
      <c r="N1252" s="93"/>
      <c r="O1252" s="93"/>
      <c r="P1252" s="93"/>
      <c r="Q1252" s="93"/>
      <c r="R1252" s="93"/>
      <c r="S1252" s="93"/>
      <c r="T1252" s="93"/>
      <c r="U1252" s="93"/>
      <c r="V1252" s="93"/>
      <c r="W1252" s="93"/>
      <c r="X1252" s="93"/>
    </row>
    <row r="1253" spans="1:24" s="6" customFormat="1" ht="15.75">
      <c r="A1253" s="127"/>
      <c r="B1253" s="127"/>
      <c r="C1253" s="127"/>
      <c r="D1253" s="127"/>
      <c r="E1253" s="127"/>
      <c r="F1253" s="336"/>
      <c r="G1253" s="127"/>
      <c r="H1253" s="127"/>
      <c r="I1253" s="166"/>
      <c r="J1253" s="128"/>
      <c r="K1253" s="128"/>
      <c r="L1253" s="93"/>
      <c r="M1253" s="93"/>
      <c r="N1253" s="93"/>
      <c r="O1253" s="93"/>
      <c r="P1253" s="93"/>
      <c r="Q1253" s="93"/>
      <c r="R1253" s="93"/>
      <c r="S1253" s="93"/>
      <c r="T1253" s="93"/>
      <c r="U1253" s="93"/>
      <c r="V1253" s="93"/>
      <c r="W1253" s="93"/>
      <c r="X1253" s="93"/>
    </row>
    <row r="1254" spans="1:24" s="6" customFormat="1" ht="15.75">
      <c r="A1254" s="127"/>
      <c r="B1254" s="127"/>
      <c r="C1254" s="127"/>
      <c r="D1254" s="127"/>
      <c r="E1254" s="127"/>
      <c r="F1254" s="336"/>
      <c r="G1254" s="127"/>
      <c r="H1254" s="127"/>
      <c r="I1254" s="166"/>
      <c r="J1254" s="128"/>
      <c r="K1254" s="128"/>
      <c r="L1254" s="93"/>
      <c r="M1254" s="93"/>
      <c r="N1254" s="93"/>
      <c r="O1254" s="93"/>
      <c r="P1254" s="93"/>
      <c r="Q1254" s="93"/>
      <c r="R1254" s="93"/>
      <c r="S1254" s="93"/>
      <c r="T1254" s="93"/>
      <c r="U1254" s="93"/>
      <c r="V1254" s="93"/>
      <c r="W1254" s="93"/>
      <c r="X1254" s="93"/>
    </row>
    <row r="1255" spans="1:24" s="6" customFormat="1" ht="15.75">
      <c r="A1255" s="127"/>
      <c r="B1255" s="127"/>
      <c r="C1255" s="127"/>
      <c r="D1255" s="127"/>
      <c r="E1255" s="127"/>
      <c r="F1255" s="336"/>
      <c r="G1255" s="127"/>
      <c r="H1255" s="127"/>
      <c r="I1255" s="166"/>
      <c r="J1255" s="128"/>
      <c r="K1255" s="128"/>
      <c r="L1255" s="93"/>
      <c r="M1255" s="93"/>
      <c r="N1255" s="93"/>
      <c r="O1255" s="93"/>
      <c r="P1255" s="93"/>
      <c r="Q1255" s="93"/>
      <c r="R1255" s="93"/>
      <c r="S1255" s="93"/>
      <c r="T1255" s="93"/>
      <c r="U1255" s="93"/>
      <c r="V1255" s="93"/>
      <c r="W1255" s="93"/>
      <c r="X1255" s="93"/>
    </row>
    <row r="1256" spans="1:24" s="6" customFormat="1" ht="15.75">
      <c r="A1256" s="127"/>
      <c r="B1256" s="127"/>
      <c r="C1256" s="127"/>
      <c r="D1256" s="127"/>
      <c r="E1256" s="127"/>
      <c r="F1256" s="336"/>
      <c r="G1256" s="127"/>
      <c r="H1256" s="127"/>
      <c r="I1256" s="166"/>
      <c r="J1256" s="128"/>
      <c r="K1256" s="128"/>
      <c r="L1256" s="93"/>
      <c r="M1256" s="93"/>
      <c r="N1256" s="93"/>
      <c r="O1256" s="93"/>
      <c r="P1256" s="93"/>
      <c r="Q1256" s="93"/>
      <c r="R1256" s="93"/>
      <c r="S1256" s="93"/>
      <c r="T1256" s="93"/>
      <c r="U1256" s="93"/>
      <c r="V1256" s="93"/>
      <c r="W1256" s="93"/>
      <c r="X1256" s="93"/>
    </row>
    <row r="1257" spans="1:24" s="6" customFormat="1" ht="15.75">
      <c r="A1257" s="127"/>
      <c r="B1257" s="127"/>
      <c r="C1257" s="127"/>
      <c r="D1257" s="127"/>
      <c r="E1257" s="127"/>
      <c r="F1257" s="336"/>
      <c r="G1257" s="127"/>
      <c r="H1257" s="127"/>
      <c r="I1257" s="166"/>
      <c r="J1257" s="128"/>
      <c r="K1257" s="128"/>
      <c r="L1257" s="93"/>
      <c r="M1257" s="93"/>
      <c r="N1257" s="93"/>
      <c r="O1257" s="93"/>
      <c r="P1257" s="93"/>
      <c r="Q1257" s="93"/>
      <c r="R1257" s="93"/>
      <c r="S1257" s="93"/>
      <c r="T1257" s="93"/>
      <c r="U1257" s="93"/>
      <c r="V1257" s="93"/>
      <c r="W1257" s="93"/>
      <c r="X1257" s="93"/>
    </row>
    <row r="1258" spans="1:24" s="6" customFormat="1" ht="15.75">
      <c r="A1258" s="127"/>
      <c r="B1258" s="127"/>
      <c r="C1258" s="127"/>
      <c r="D1258" s="127"/>
      <c r="E1258" s="127"/>
      <c r="F1258" s="336"/>
      <c r="G1258" s="127"/>
      <c r="H1258" s="127"/>
      <c r="I1258" s="166"/>
      <c r="J1258" s="128"/>
      <c r="K1258" s="128"/>
      <c r="L1258" s="93"/>
      <c r="M1258" s="93"/>
      <c r="N1258" s="93"/>
      <c r="O1258" s="93"/>
      <c r="P1258" s="93"/>
      <c r="Q1258" s="93"/>
      <c r="R1258" s="93"/>
      <c r="S1258" s="93"/>
      <c r="T1258" s="93"/>
      <c r="U1258" s="93"/>
      <c r="V1258" s="93"/>
      <c r="W1258" s="93"/>
      <c r="X1258" s="93"/>
    </row>
    <row r="1259" spans="1:24" s="6" customFormat="1" ht="15.75">
      <c r="A1259" s="127"/>
      <c r="B1259" s="127"/>
      <c r="C1259" s="127"/>
      <c r="D1259" s="127"/>
      <c r="E1259" s="127"/>
      <c r="F1259" s="336"/>
      <c r="G1259" s="127"/>
      <c r="H1259" s="127"/>
      <c r="I1259" s="166"/>
      <c r="J1259" s="128"/>
      <c r="K1259" s="128"/>
      <c r="L1259" s="93"/>
      <c r="M1259" s="93"/>
      <c r="N1259" s="93"/>
      <c r="O1259" s="93"/>
      <c r="P1259" s="93"/>
      <c r="Q1259" s="93"/>
      <c r="R1259" s="93"/>
      <c r="S1259" s="93"/>
      <c r="T1259" s="93"/>
      <c r="U1259" s="93"/>
      <c r="V1259" s="93"/>
      <c r="W1259" s="93"/>
      <c r="X1259" s="93"/>
    </row>
    <row r="1260" spans="1:24" s="6" customFormat="1" ht="15.75">
      <c r="A1260" s="127"/>
      <c r="B1260" s="127"/>
      <c r="C1260" s="127"/>
      <c r="D1260" s="127"/>
      <c r="E1260" s="127"/>
      <c r="F1260" s="336"/>
      <c r="G1260" s="127"/>
      <c r="H1260" s="127"/>
      <c r="I1260" s="166"/>
      <c r="J1260" s="128"/>
      <c r="K1260" s="128"/>
      <c r="L1260" s="93"/>
      <c r="M1260" s="93"/>
      <c r="N1260" s="93"/>
      <c r="O1260" s="93"/>
      <c r="P1260" s="93"/>
      <c r="Q1260" s="93"/>
      <c r="R1260" s="93"/>
      <c r="S1260" s="93"/>
      <c r="T1260" s="93"/>
      <c r="U1260" s="93"/>
      <c r="V1260" s="93"/>
      <c r="W1260" s="93"/>
      <c r="X1260" s="93"/>
    </row>
    <row r="1261" spans="1:24" s="6" customFormat="1" ht="15.75">
      <c r="A1261" s="127"/>
      <c r="B1261" s="127"/>
      <c r="C1261" s="127"/>
      <c r="D1261" s="127"/>
      <c r="E1261" s="127"/>
      <c r="F1261" s="336"/>
      <c r="G1261" s="127"/>
      <c r="H1261" s="127"/>
      <c r="I1261" s="166"/>
      <c r="J1261" s="128"/>
      <c r="K1261" s="128"/>
      <c r="L1261" s="93"/>
      <c r="M1261" s="93"/>
      <c r="N1261" s="93"/>
      <c r="O1261" s="93"/>
      <c r="P1261" s="93"/>
      <c r="Q1261" s="93"/>
      <c r="R1261" s="93"/>
      <c r="S1261" s="93"/>
      <c r="T1261" s="93"/>
      <c r="U1261" s="93"/>
      <c r="V1261" s="93"/>
      <c r="W1261" s="93"/>
      <c r="X1261" s="93"/>
    </row>
    <row r="1262" spans="1:24" s="6" customFormat="1" ht="15.75">
      <c r="A1262" s="127"/>
      <c r="B1262" s="127"/>
      <c r="C1262" s="127"/>
      <c r="D1262" s="127"/>
      <c r="E1262" s="127"/>
      <c r="F1262" s="336"/>
      <c r="G1262" s="127"/>
      <c r="H1262" s="127"/>
      <c r="I1262" s="166"/>
      <c r="J1262" s="128"/>
      <c r="K1262" s="128"/>
      <c r="L1262" s="93"/>
      <c r="M1262" s="93"/>
      <c r="N1262" s="93"/>
      <c r="O1262" s="93"/>
      <c r="P1262" s="93"/>
      <c r="Q1262" s="93"/>
      <c r="R1262" s="93"/>
      <c r="S1262" s="93"/>
      <c r="T1262" s="93"/>
      <c r="U1262" s="93"/>
      <c r="V1262" s="93"/>
      <c r="W1262" s="93"/>
      <c r="X1262" s="93"/>
    </row>
    <row r="1263" spans="1:24" s="6" customFormat="1" ht="15.75">
      <c r="A1263" s="127"/>
      <c r="B1263" s="127"/>
      <c r="C1263" s="127"/>
      <c r="D1263" s="127"/>
      <c r="E1263" s="127"/>
      <c r="F1263" s="336"/>
      <c r="G1263" s="127"/>
      <c r="H1263" s="127"/>
      <c r="I1263" s="166"/>
      <c r="J1263" s="128"/>
      <c r="K1263" s="128"/>
      <c r="L1263" s="93"/>
      <c r="M1263" s="93"/>
      <c r="N1263" s="93"/>
      <c r="O1263" s="93"/>
      <c r="P1263" s="93"/>
      <c r="Q1263" s="93"/>
      <c r="R1263" s="93"/>
      <c r="S1263" s="93"/>
      <c r="T1263" s="93"/>
      <c r="U1263" s="93"/>
      <c r="V1263" s="93"/>
      <c r="W1263" s="93"/>
      <c r="X1263" s="93"/>
    </row>
    <row r="1264" spans="1:24" s="6" customFormat="1" ht="15.75">
      <c r="A1264" s="127"/>
      <c r="B1264" s="127"/>
      <c r="C1264" s="127"/>
      <c r="D1264" s="127"/>
      <c r="E1264" s="127"/>
      <c r="F1264" s="336"/>
      <c r="G1264" s="127"/>
      <c r="H1264" s="127"/>
      <c r="I1264" s="166"/>
      <c r="J1264" s="128"/>
      <c r="K1264" s="128"/>
      <c r="L1264" s="93"/>
      <c r="M1264" s="93"/>
      <c r="N1264" s="93"/>
      <c r="O1264" s="93"/>
      <c r="P1264" s="93"/>
      <c r="Q1264" s="93"/>
      <c r="R1264" s="93"/>
      <c r="S1264" s="93"/>
      <c r="T1264" s="93"/>
      <c r="U1264" s="93"/>
      <c r="V1264" s="93"/>
      <c r="W1264" s="93"/>
      <c r="X1264" s="93"/>
    </row>
    <row r="1265" spans="1:24" s="6" customFormat="1" ht="15.75">
      <c r="A1265" s="127"/>
      <c r="B1265" s="127"/>
      <c r="C1265" s="127"/>
      <c r="D1265" s="127"/>
      <c r="E1265" s="127"/>
      <c r="F1265" s="336"/>
      <c r="G1265" s="127"/>
      <c r="H1265" s="127"/>
      <c r="I1265" s="166"/>
      <c r="J1265" s="128"/>
      <c r="K1265" s="128"/>
      <c r="L1265" s="93"/>
      <c r="M1265" s="93"/>
      <c r="N1265" s="93"/>
      <c r="O1265" s="93"/>
      <c r="P1265" s="93"/>
      <c r="Q1265" s="93"/>
      <c r="R1265" s="93"/>
      <c r="S1265" s="93"/>
      <c r="T1265" s="93"/>
      <c r="U1265" s="93"/>
      <c r="V1265" s="93"/>
      <c r="W1265" s="93"/>
      <c r="X1265" s="93"/>
    </row>
    <row r="1266" spans="1:24" s="6" customFormat="1" ht="15.75">
      <c r="A1266" s="127"/>
      <c r="B1266" s="127"/>
      <c r="C1266" s="127"/>
      <c r="D1266" s="127"/>
      <c r="E1266" s="127"/>
      <c r="F1266" s="336"/>
      <c r="G1266" s="127"/>
      <c r="H1266" s="127"/>
      <c r="I1266" s="166"/>
      <c r="J1266" s="128"/>
      <c r="K1266" s="128"/>
      <c r="L1266" s="93"/>
      <c r="M1266" s="93"/>
      <c r="N1266" s="93"/>
      <c r="O1266" s="93"/>
      <c r="P1266" s="93"/>
      <c r="Q1266" s="93"/>
      <c r="R1266" s="93"/>
      <c r="S1266" s="93"/>
      <c r="T1266" s="93"/>
      <c r="U1266" s="93"/>
      <c r="V1266" s="93"/>
      <c r="W1266" s="93"/>
      <c r="X1266" s="93"/>
    </row>
    <row r="1267" spans="1:24" s="6" customFormat="1" ht="15.75">
      <c r="A1267" s="127"/>
      <c r="B1267" s="127"/>
      <c r="C1267" s="127"/>
      <c r="D1267" s="127"/>
      <c r="E1267" s="127"/>
      <c r="F1267" s="336"/>
      <c r="G1267" s="127"/>
      <c r="H1267" s="127"/>
      <c r="I1267" s="166"/>
      <c r="J1267" s="128"/>
      <c r="K1267" s="128"/>
      <c r="L1267" s="93"/>
      <c r="M1267" s="93"/>
      <c r="N1267" s="93"/>
      <c r="O1267" s="93"/>
      <c r="P1267" s="93"/>
      <c r="Q1267" s="93"/>
      <c r="R1267" s="93"/>
      <c r="S1267" s="93"/>
      <c r="T1267" s="93"/>
      <c r="U1267" s="93"/>
      <c r="V1267" s="93"/>
      <c r="W1267" s="93"/>
      <c r="X1267" s="93"/>
    </row>
    <row r="1268" spans="1:24" s="6" customFormat="1" ht="15.75">
      <c r="A1268" s="127"/>
      <c r="B1268" s="127"/>
      <c r="C1268" s="127"/>
      <c r="D1268" s="127"/>
      <c r="E1268" s="127"/>
      <c r="F1268" s="336"/>
      <c r="G1268" s="127"/>
      <c r="H1268" s="127"/>
      <c r="I1268" s="166"/>
      <c r="J1268" s="128"/>
      <c r="K1268" s="128"/>
      <c r="L1268" s="93"/>
      <c r="M1268" s="93"/>
      <c r="N1268" s="93"/>
      <c r="O1268" s="93"/>
      <c r="P1268" s="93"/>
      <c r="Q1268" s="93"/>
      <c r="R1268" s="93"/>
      <c r="S1268" s="93"/>
      <c r="T1268" s="93"/>
      <c r="U1268" s="93"/>
      <c r="V1268" s="93"/>
      <c r="W1268" s="93"/>
      <c r="X1268" s="93"/>
    </row>
    <row r="1269" spans="1:24" s="6" customFormat="1" ht="15.75">
      <c r="A1269" s="127"/>
      <c r="B1269" s="127"/>
      <c r="C1269" s="127"/>
      <c r="D1269" s="127"/>
      <c r="E1269" s="127"/>
      <c r="F1269" s="336"/>
      <c r="G1269" s="127"/>
      <c r="H1269" s="127"/>
      <c r="I1269" s="166"/>
      <c r="J1269" s="128"/>
      <c r="K1269" s="128"/>
      <c r="L1269" s="93"/>
      <c r="M1269" s="93"/>
      <c r="N1269" s="93"/>
      <c r="O1269" s="93"/>
      <c r="P1269" s="93"/>
      <c r="Q1269" s="93"/>
      <c r="R1269" s="93"/>
      <c r="S1269" s="93"/>
      <c r="T1269" s="93"/>
      <c r="U1269" s="93"/>
      <c r="V1269" s="93"/>
      <c r="W1269" s="93"/>
      <c r="X1269" s="93"/>
    </row>
    <row r="1270" spans="1:24" s="6" customFormat="1" ht="15.75">
      <c r="A1270" s="127"/>
      <c r="B1270" s="127"/>
      <c r="C1270" s="127"/>
      <c r="D1270" s="127"/>
      <c r="E1270" s="127"/>
      <c r="F1270" s="336"/>
      <c r="G1270" s="127"/>
      <c r="H1270" s="127"/>
      <c r="I1270" s="166"/>
      <c r="J1270" s="128"/>
      <c r="K1270" s="128"/>
      <c r="L1270" s="93"/>
      <c r="M1270" s="93"/>
      <c r="N1270" s="93"/>
      <c r="O1270" s="93"/>
      <c r="P1270" s="93"/>
      <c r="Q1270" s="93"/>
      <c r="R1270" s="93"/>
      <c r="S1270" s="93"/>
      <c r="T1270" s="93"/>
      <c r="U1270" s="93"/>
      <c r="V1270" s="93"/>
      <c r="W1270" s="93"/>
      <c r="X1270" s="93"/>
    </row>
    <row r="1271" spans="1:24" s="6" customFormat="1" ht="15.75">
      <c r="A1271" s="127"/>
      <c r="B1271" s="127"/>
      <c r="C1271" s="127"/>
      <c r="D1271" s="127"/>
      <c r="E1271" s="127"/>
      <c r="F1271" s="336"/>
      <c r="G1271" s="127"/>
      <c r="H1271" s="127"/>
      <c r="I1271" s="166"/>
      <c r="J1271" s="128"/>
      <c r="K1271" s="128"/>
      <c r="L1271" s="93"/>
      <c r="M1271" s="93"/>
      <c r="N1271" s="93"/>
      <c r="O1271" s="93"/>
      <c r="P1271" s="93"/>
      <c r="Q1271" s="93"/>
      <c r="R1271" s="93"/>
      <c r="S1271" s="93"/>
      <c r="T1271" s="93"/>
      <c r="U1271" s="93"/>
      <c r="V1271" s="93"/>
      <c r="W1271" s="93"/>
      <c r="X1271" s="93"/>
    </row>
    <row r="1272" spans="1:24" s="6" customFormat="1" ht="15.75">
      <c r="A1272" s="127"/>
      <c r="B1272" s="127"/>
      <c r="C1272" s="127"/>
      <c r="D1272" s="127"/>
      <c r="E1272" s="127"/>
      <c r="F1272" s="336"/>
      <c r="G1272" s="127"/>
      <c r="H1272" s="127"/>
      <c r="I1272" s="166"/>
      <c r="J1272" s="128"/>
      <c r="K1272" s="128"/>
      <c r="L1272" s="93"/>
      <c r="M1272" s="93"/>
      <c r="N1272" s="93"/>
      <c r="O1272" s="93"/>
      <c r="P1272" s="93"/>
      <c r="Q1272" s="93"/>
      <c r="R1272" s="93"/>
      <c r="S1272" s="93"/>
      <c r="T1272" s="93"/>
      <c r="U1272" s="93"/>
      <c r="V1272" s="93"/>
      <c r="W1272" s="93"/>
      <c r="X1272" s="93"/>
    </row>
    <row r="1273" spans="1:24" s="6" customFormat="1" ht="15.75">
      <c r="A1273" s="127"/>
      <c r="B1273" s="127"/>
      <c r="C1273" s="127"/>
      <c r="D1273" s="127"/>
      <c r="E1273" s="127"/>
      <c r="F1273" s="336"/>
      <c r="G1273" s="127"/>
      <c r="H1273" s="127"/>
      <c r="I1273" s="166"/>
      <c r="J1273" s="128"/>
      <c r="K1273" s="128"/>
      <c r="L1273" s="93"/>
      <c r="M1273" s="93"/>
      <c r="N1273" s="93"/>
      <c r="O1273" s="93"/>
      <c r="P1273" s="93"/>
      <c r="Q1273" s="93"/>
      <c r="R1273" s="93"/>
      <c r="S1273" s="93"/>
      <c r="T1273" s="93"/>
      <c r="U1273" s="93"/>
      <c r="V1273" s="93"/>
      <c r="W1273" s="93"/>
      <c r="X1273" s="93"/>
    </row>
    <row r="1274" spans="1:24" s="6" customFormat="1" ht="15.75">
      <c r="A1274" s="127"/>
      <c r="B1274" s="127"/>
      <c r="C1274" s="127"/>
      <c r="D1274" s="127"/>
      <c r="E1274" s="127"/>
      <c r="F1274" s="336"/>
      <c r="G1274" s="127"/>
      <c r="H1274" s="127"/>
      <c r="I1274" s="166"/>
      <c r="J1274" s="128"/>
      <c r="K1274" s="128"/>
      <c r="L1274" s="93"/>
      <c r="M1274" s="93"/>
      <c r="N1274" s="93"/>
      <c r="O1274" s="93"/>
      <c r="P1274" s="93"/>
      <c r="Q1274" s="93"/>
      <c r="R1274" s="93"/>
      <c r="S1274" s="93"/>
      <c r="T1274" s="93"/>
      <c r="U1274" s="93"/>
      <c r="V1274" s="93"/>
      <c r="W1274" s="93"/>
      <c r="X1274" s="93"/>
    </row>
    <row r="1275" spans="1:24" s="6" customFormat="1" ht="15.75">
      <c r="A1275" s="127"/>
      <c r="B1275" s="127"/>
      <c r="C1275" s="127"/>
      <c r="D1275" s="127"/>
      <c r="E1275" s="127"/>
      <c r="F1275" s="336"/>
      <c r="G1275" s="127"/>
      <c r="H1275" s="127"/>
      <c r="I1275" s="166"/>
      <c r="J1275" s="128"/>
      <c r="K1275" s="128"/>
      <c r="L1275" s="93"/>
      <c r="M1275" s="93"/>
      <c r="N1275" s="93"/>
      <c r="O1275" s="93"/>
      <c r="P1275" s="93"/>
      <c r="Q1275" s="93"/>
      <c r="R1275" s="93"/>
      <c r="S1275" s="93"/>
      <c r="T1275" s="93"/>
      <c r="U1275" s="93"/>
      <c r="V1275" s="93"/>
      <c r="W1275" s="93"/>
      <c r="X1275" s="93"/>
    </row>
    <row r="1276" spans="1:24" s="6" customFormat="1" ht="15.75">
      <c r="A1276" s="127"/>
      <c r="B1276" s="127"/>
      <c r="C1276" s="127"/>
      <c r="D1276" s="127"/>
      <c r="E1276" s="127"/>
      <c r="F1276" s="336"/>
      <c r="G1276" s="127"/>
      <c r="H1276" s="127"/>
      <c r="I1276" s="166"/>
      <c r="J1276" s="128"/>
      <c r="K1276" s="128"/>
      <c r="L1276" s="93"/>
      <c r="M1276" s="93"/>
      <c r="N1276" s="93"/>
      <c r="O1276" s="93"/>
      <c r="P1276" s="93"/>
      <c r="Q1276" s="93"/>
      <c r="R1276" s="93"/>
      <c r="S1276" s="93"/>
      <c r="T1276" s="93"/>
      <c r="U1276" s="93"/>
      <c r="V1276" s="93"/>
      <c r="W1276" s="93"/>
      <c r="X1276" s="93"/>
    </row>
    <row r="1277" spans="1:24" s="6" customFormat="1" ht="15.75">
      <c r="A1277" s="127"/>
      <c r="B1277" s="127"/>
      <c r="C1277" s="127"/>
      <c r="D1277" s="127"/>
      <c r="E1277" s="127"/>
      <c r="F1277" s="336"/>
      <c r="G1277" s="127"/>
      <c r="H1277" s="127"/>
      <c r="I1277" s="166"/>
      <c r="J1277" s="128"/>
      <c r="K1277" s="128"/>
      <c r="L1277" s="93"/>
      <c r="M1277" s="93"/>
      <c r="N1277" s="93"/>
      <c r="O1277" s="93"/>
      <c r="P1277" s="93"/>
      <c r="Q1277" s="93"/>
      <c r="R1277" s="93"/>
      <c r="S1277" s="93"/>
      <c r="T1277" s="93"/>
      <c r="U1277" s="93"/>
      <c r="V1277" s="93"/>
      <c r="W1277" s="93"/>
      <c r="X1277" s="93"/>
    </row>
    <row r="1278" spans="1:24" s="6" customFormat="1" ht="15.75">
      <c r="A1278" s="127"/>
      <c r="B1278" s="127"/>
      <c r="C1278" s="127"/>
      <c r="D1278" s="127"/>
      <c r="E1278" s="127"/>
      <c r="F1278" s="336"/>
      <c r="G1278" s="127"/>
      <c r="H1278" s="127"/>
      <c r="I1278" s="166"/>
      <c r="J1278" s="128"/>
      <c r="K1278" s="128"/>
      <c r="L1278" s="93"/>
      <c r="M1278" s="93"/>
      <c r="N1278" s="93"/>
      <c r="O1278" s="93"/>
      <c r="P1278" s="93"/>
      <c r="Q1278" s="93"/>
      <c r="R1278" s="93"/>
      <c r="S1278" s="93"/>
      <c r="T1278" s="93"/>
      <c r="U1278" s="93"/>
      <c r="V1278" s="93"/>
      <c r="W1278" s="93"/>
      <c r="X1278" s="93"/>
    </row>
    <row r="1279" spans="1:24" s="6" customFormat="1" ht="15.75">
      <c r="A1279" s="127"/>
      <c r="B1279" s="127"/>
      <c r="C1279" s="127"/>
      <c r="D1279" s="127"/>
      <c r="E1279" s="127"/>
      <c r="F1279" s="336"/>
      <c r="G1279" s="127"/>
      <c r="H1279" s="127"/>
      <c r="I1279" s="166"/>
      <c r="J1279" s="128"/>
      <c r="K1279" s="128"/>
      <c r="L1279" s="93"/>
      <c r="M1279" s="93"/>
      <c r="N1279" s="93"/>
      <c r="O1279" s="93"/>
      <c r="P1279" s="93"/>
      <c r="Q1279" s="93"/>
      <c r="R1279" s="93"/>
      <c r="S1279" s="93"/>
      <c r="T1279" s="93"/>
      <c r="U1279" s="93"/>
      <c r="V1279" s="93"/>
      <c r="W1279" s="93"/>
      <c r="X1279" s="93"/>
    </row>
    <row r="1280" spans="1:24" s="6" customFormat="1" ht="15.75">
      <c r="A1280" s="127"/>
      <c r="B1280" s="127"/>
      <c r="C1280" s="127"/>
      <c r="D1280" s="127"/>
      <c r="E1280" s="127"/>
      <c r="F1280" s="336"/>
      <c r="G1280" s="127"/>
      <c r="H1280" s="127"/>
      <c r="I1280" s="166"/>
      <c r="J1280" s="128"/>
      <c r="K1280" s="128"/>
      <c r="L1280" s="93"/>
      <c r="M1280" s="93"/>
      <c r="N1280" s="93"/>
      <c r="O1280" s="93"/>
      <c r="P1280" s="93"/>
      <c r="Q1280" s="93"/>
      <c r="R1280" s="93"/>
      <c r="S1280" s="93"/>
      <c r="T1280" s="93"/>
      <c r="U1280" s="93"/>
      <c r="V1280" s="93"/>
      <c r="W1280" s="93"/>
      <c r="X1280" s="93"/>
    </row>
    <row r="1281" spans="1:24" s="6" customFormat="1" ht="15.75">
      <c r="A1281" s="127"/>
      <c r="B1281" s="127"/>
      <c r="C1281" s="127"/>
      <c r="D1281" s="127"/>
      <c r="E1281" s="127"/>
      <c r="F1281" s="336"/>
      <c r="G1281" s="127"/>
      <c r="H1281" s="127"/>
      <c r="I1281" s="166"/>
      <c r="J1281" s="128"/>
      <c r="K1281" s="128"/>
      <c r="L1281" s="93"/>
      <c r="M1281" s="93"/>
      <c r="N1281" s="93"/>
      <c r="O1281" s="93"/>
      <c r="P1281" s="93"/>
      <c r="Q1281" s="93"/>
      <c r="R1281" s="93"/>
      <c r="S1281" s="93"/>
      <c r="T1281" s="93"/>
      <c r="U1281" s="93"/>
      <c r="V1281" s="93"/>
      <c r="W1281" s="93"/>
      <c r="X1281" s="93"/>
    </row>
    <row r="1282" spans="1:24" s="6" customFormat="1" ht="15.75">
      <c r="A1282" s="127"/>
      <c r="B1282" s="127"/>
      <c r="C1282" s="127"/>
      <c r="D1282" s="127"/>
      <c r="E1282" s="127"/>
      <c r="F1282" s="336"/>
      <c r="G1282" s="127"/>
      <c r="H1282" s="127"/>
      <c r="I1282" s="166"/>
      <c r="J1282" s="128"/>
      <c r="K1282" s="128"/>
      <c r="L1282" s="93"/>
      <c r="M1282" s="93"/>
      <c r="N1282" s="93"/>
      <c r="O1282" s="93"/>
      <c r="P1282" s="93"/>
      <c r="Q1282" s="93"/>
      <c r="R1282" s="93"/>
      <c r="S1282" s="93"/>
      <c r="T1282" s="93"/>
      <c r="U1282" s="93"/>
      <c r="V1282" s="93"/>
      <c r="W1282" s="93"/>
      <c r="X1282" s="93"/>
    </row>
    <row r="1283" spans="1:24" s="6" customFormat="1" ht="15.75">
      <c r="A1283" s="127"/>
      <c r="B1283" s="127"/>
      <c r="C1283" s="127"/>
      <c r="D1283" s="127"/>
      <c r="E1283" s="127"/>
      <c r="F1283" s="336"/>
      <c r="G1283" s="127"/>
      <c r="H1283" s="127"/>
      <c r="I1283" s="166"/>
      <c r="J1283" s="128"/>
      <c r="K1283" s="128"/>
      <c r="L1283" s="93"/>
      <c r="M1283" s="93"/>
      <c r="N1283" s="93"/>
      <c r="O1283" s="93"/>
      <c r="P1283" s="93"/>
      <c r="Q1283" s="93"/>
      <c r="R1283" s="93"/>
      <c r="S1283" s="93"/>
      <c r="T1283" s="93"/>
      <c r="U1283" s="93"/>
      <c r="V1283" s="93"/>
      <c r="W1283" s="93"/>
      <c r="X1283" s="93"/>
    </row>
    <row r="1284" spans="1:24" s="6" customFormat="1" ht="15.75">
      <c r="A1284" s="127"/>
      <c r="B1284" s="127"/>
      <c r="C1284" s="127"/>
      <c r="D1284" s="127"/>
      <c r="E1284" s="127"/>
      <c r="F1284" s="336"/>
      <c r="G1284" s="127"/>
      <c r="H1284" s="127"/>
      <c r="I1284" s="166"/>
      <c r="J1284" s="128"/>
      <c r="K1284" s="128"/>
      <c r="L1284" s="93"/>
      <c r="M1284" s="93"/>
      <c r="N1284" s="93"/>
      <c r="O1284" s="93"/>
      <c r="P1284" s="93"/>
      <c r="Q1284" s="93"/>
      <c r="R1284" s="93"/>
      <c r="S1284" s="93"/>
      <c r="T1284" s="93"/>
      <c r="U1284" s="93"/>
      <c r="V1284" s="93"/>
      <c r="W1284" s="93"/>
      <c r="X1284" s="93"/>
    </row>
    <row r="1285" spans="1:24" s="6" customFormat="1" ht="15.75">
      <c r="A1285" s="127"/>
      <c r="B1285" s="127"/>
      <c r="C1285" s="127"/>
      <c r="D1285" s="127"/>
      <c r="E1285" s="127"/>
      <c r="F1285" s="336"/>
      <c r="G1285" s="127"/>
      <c r="H1285" s="127"/>
      <c r="I1285" s="166"/>
      <c r="J1285" s="128"/>
      <c r="K1285" s="128"/>
      <c r="L1285" s="93"/>
      <c r="M1285" s="93"/>
      <c r="N1285" s="93"/>
      <c r="O1285" s="93"/>
      <c r="P1285" s="93"/>
      <c r="Q1285" s="93"/>
      <c r="R1285" s="93"/>
      <c r="S1285" s="93"/>
      <c r="T1285" s="93"/>
      <c r="U1285" s="93"/>
      <c r="V1285" s="93"/>
      <c r="W1285" s="93"/>
      <c r="X1285" s="93"/>
    </row>
    <row r="1286" spans="1:24" s="6" customFormat="1" ht="15.75">
      <c r="A1286" s="127"/>
      <c r="B1286" s="127"/>
      <c r="C1286" s="127"/>
      <c r="D1286" s="127"/>
      <c r="E1286" s="127"/>
      <c r="F1286" s="336"/>
      <c r="G1286" s="127"/>
      <c r="H1286" s="127"/>
      <c r="I1286" s="166"/>
      <c r="J1286" s="128"/>
      <c r="K1286" s="128"/>
      <c r="L1286" s="93"/>
      <c r="M1286" s="93"/>
      <c r="N1286" s="93"/>
      <c r="O1286" s="93"/>
      <c r="P1286" s="93"/>
      <c r="Q1286" s="93"/>
      <c r="R1286" s="93"/>
      <c r="S1286" s="93"/>
      <c r="T1286" s="93"/>
      <c r="U1286" s="93"/>
      <c r="V1286" s="93"/>
      <c r="W1286" s="93"/>
      <c r="X1286" s="93"/>
    </row>
    <row r="1287" spans="1:24" s="6" customFormat="1" ht="15.75">
      <c r="A1287" s="127"/>
      <c r="B1287" s="127"/>
      <c r="C1287" s="127"/>
      <c r="D1287" s="127"/>
      <c r="E1287" s="127"/>
      <c r="F1287" s="336"/>
      <c r="G1287" s="127"/>
      <c r="H1287" s="127"/>
      <c r="I1287" s="166"/>
      <c r="J1287" s="128"/>
      <c r="K1287" s="128"/>
      <c r="L1287" s="93"/>
      <c r="M1287" s="93"/>
      <c r="N1287" s="93"/>
      <c r="O1287" s="93"/>
      <c r="P1287" s="93"/>
      <c r="Q1287" s="93"/>
      <c r="R1287" s="93"/>
      <c r="S1287" s="93"/>
      <c r="T1287" s="93"/>
      <c r="U1287" s="93"/>
      <c r="V1287" s="93"/>
      <c r="W1287" s="93"/>
      <c r="X1287" s="93"/>
    </row>
    <row r="1288" spans="1:24" s="6" customFormat="1" ht="15.75">
      <c r="A1288" s="127"/>
      <c r="B1288" s="127"/>
      <c r="C1288" s="127"/>
      <c r="D1288" s="127"/>
      <c r="E1288" s="127"/>
      <c r="F1288" s="336"/>
      <c r="G1288" s="127"/>
      <c r="H1288" s="127"/>
      <c r="I1288" s="166"/>
      <c r="J1288" s="128"/>
      <c r="K1288" s="128"/>
      <c r="L1288" s="93"/>
      <c r="M1288" s="93"/>
      <c r="N1288" s="93"/>
      <c r="O1288" s="93"/>
      <c r="P1288" s="93"/>
      <c r="Q1288" s="93"/>
      <c r="R1288" s="93"/>
      <c r="S1288" s="93"/>
      <c r="T1288" s="93"/>
      <c r="U1288" s="93"/>
      <c r="V1288" s="93"/>
      <c r="W1288" s="93"/>
      <c r="X1288" s="93"/>
    </row>
    <row r="1289" spans="1:24" s="6" customFormat="1" ht="15.75">
      <c r="A1289" s="127"/>
      <c r="B1289" s="127"/>
      <c r="C1289" s="127"/>
      <c r="D1289" s="127"/>
      <c r="E1289" s="127"/>
      <c r="F1289" s="336"/>
      <c r="G1289" s="127"/>
      <c r="H1289" s="127"/>
      <c r="I1289" s="166"/>
      <c r="J1289" s="128"/>
      <c r="K1289" s="128"/>
      <c r="L1289" s="93"/>
      <c r="M1289" s="93"/>
      <c r="N1289" s="93"/>
      <c r="O1289" s="93"/>
      <c r="P1289" s="93"/>
      <c r="Q1289" s="93"/>
      <c r="R1289" s="93"/>
      <c r="S1289" s="93"/>
      <c r="T1289" s="93"/>
      <c r="U1289" s="93"/>
      <c r="V1289" s="93"/>
      <c r="W1289" s="93"/>
      <c r="X1289" s="93"/>
    </row>
    <row r="1290" spans="1:24" s="6" customFormat="1" ht="15.75">
      <c r="A1290" s="127"/>
      <c r="B1290" s="127"/>
      <c r="C1290" s="127"/>
      <c r="D1290" s="127"/>
      <c r="E1290" s="127"/>
      <c r="F1290" s="336"/>
      <c r="G1290" s="127"/>
      <c r="H1290" s="127"/>
      <c r="I1290" s="166"/>
      <c r="J1290" s="128"/>
      <c r="K1290" s="128"/>
      <c r="L1290" s="93"/>
      <c r="M1290" s="93"/>
      <c r="N1290" s="93"/>
      <c r="O1290" s="93"/>
      <c r="P1290" s="93"/>
      <c r="Q1290" s="93"/>
      <c r="R1290" s="93"/>
      <c r="S1290" s="93"/>
      <c r="T1290" s="93"/>
      <c r="U1290" s="93"/>
      <c r="V1290" s="93"/>
      <c r="W1290" s="93"/>
      <c r="X1290" s="93"/>
    </row>
    <row r="1291" spans="1:24" s="6" customFormat="1" ht="15.75">
      <c r="A1291" s="127"/>
      <c r="B1291" s="127"/>
      <c r="C1291" s="127"/>
      <c r="D1291" s="127"/>
      <c r="E1291" s="127"/>
      <c r="F1291" s="336"/>
      <c r="G1291" s="127"/>
      <c r="H1291" s="127"/>
      <c r="I1291" s="118"/>
      <c r="J1291" s="128"/>
      <c r="K1291" s="128"/>
      <c r="L1291" s="93"/>
      <c r="M1291" s="93"/>
      <c r="N1291" s="93"/>
      <c r="O1291" s="93"/>
      <c r="P1291" s="93"/>
      <c r="Q1291" s="93"/>
      <c r="R1291" s="93"/>
      <c r="S1291" s="93"/>
      <c r="T1291" s="93"/>
      <c r="U1291" s="93"/>
      <c r="V1291" s="93"/>
      <c r="W1291" s="93"/>
      <c r="X1291" s="93"/>
    </row>
    <row r="1292" spans="1:24" s="6" customFormat="1" ht="15.75">
      <c r="A1292" s="127"/>
      <c r="B1292" s="127"/>
      <c r="C1292" s="127"/>
      <c r="D1292" s="127"/>
      <c r="E1292" s="127"/>
      <c r="F1292" s="336"/>
      <c r="G1292" s="127"/>
      <c r="H1292" s="127"/>
      <c r="I1292" s="118"/>
      <c r="J1292" s="128"/>
      <c r="K1292" s="128"/>
      <c r="L1292" s="93"/>
      <c r="M1292" s="93"/>
      <c r="N1292" s="93"/>
      <c r="O1292" s="93"/>
      <c r="P1292" s="93"/>
      <c r="Q1292" s="93"/>
      <c r="R1292" s="93"/>
      <c r="S1292" s="93"/>
      <c r="T1292" s="93"/>
      <c r="U1292" s="93"/>
      <c r="V1292" s="93"/>
      <c r="W1292" s="93"/>
      <c r="X1292" s="93"/>
    </row>
    <row r="1293" spans="1:24" s="6" customFormat="1" ht="15.75">
      <c r="A1293" s="127"/>
      <c r="B1293" s="127"/>
      <c r="C1293" s="127"/>
      <c r="D1293" s="127"/>
      <c r="E1293" s="127"/>
      <c r="F1293" s="336"/>
      <c r="G1293" s="127"/>
      <c r="H1293" s="127"/>
      <c r="I1293" s="118"/>
      <c r="J1293" s="128"/>
      <c r="K1293" s="128"/>
      <c r="L1293" s="93"/>
      <c r="M1293" s="93"/>
      <c r="N1293" s="93"/>
      <c r="O1293" s="93"/>
      <c r="P1293" s="93"/>
      <c r="Q1293" s="93"/>
      <c r="R1293" s="93"/>
      <c r="S1293" s="93"/>
      <c r="T1293" s="93"/>
      <c r="U1293" s="93"/>
      <c r="V1293" s="93"/>
      <c r="W1293" s="93"/>
      <c r="X1293" s="93"/>
    </row>
    <row r="1294" spans="1:24" s="6" customFormat="1" ht="15.75">
      <c r="A1294" s="127"/>
      <c r="B1294" s="127"/>
      <c r="C1294" s="127"/>
      <c r="D1294" s="127"/>
      <c r="E1294" s="127"/>
      <c r="F1294" s="336"/>
      <c r="G1294" s="127"/>
      <c r="H1294" s="127"/>
      <c r="I1294" s="118"/>
      <c r="J1294" s="128"/>
      <c r="K1294" s="128"/>
      <c r="L1294" s="93"/>
      <c r="M1294" s="93"/>
      <c r="N1294" s="93"/>
      <c r="O1294" s="93"/>
      <c r="P1294" s="93"/>
      <c r="Q1294" s="93"/>
      <c r="R1294" s="93"/>
      <c r="S1294" s="93"/>
      <c r="T1294" s="93"/>
      <c r="U1294" s="93"/>
      <c r="V1294" s="93"/>
      <c r="W1294" s="93"/>
      <c r="X1294" s="93"/>
    </row>
    <row r="1295" spans="1:24" s="6" customFormat="1" ht="15.75">
      <c r="A1295" s="127"/>
      <c r="B1295" s="127"/>
      <c r="C1295" s="127"/>
      <c r="D1295" s="127"/>
      <c r="E1295" s="127"/>
      <c r="F1295" s="336"/>
      <c r="G1295" s="127"/>
      <c r="H1295" s="127"/>
      <c r="I1295" s="118"/>
      <c r="J1295" s="128"/>
      <c r="K1295" s="128"/>
      <c r="L1295" s="93"/>
      <c r="M1295" s="93"/>
      <c r="N1295" s="93"/>
      <c r="O1295" s="93"/>
      <c r="P1295" s="93"/>
      <c r="Q1295" s="93"/>
      <c r="R1295" s="93"/>
      <c r="S1295" s="93"/>
      <c r="T1295" s="93"/>
      <c r="U1295" s="93"/>
      <c r="V1295" s="93"/>
      <c r="W1295" s="93"/>
      <c r="X1295" s="93"/>
    </row>
    <row r="1296" spans="1:24" s="6" customFormat="1" ht="15.75">
      <c r="A1296" s="127"/>
      <c r="B1296" s="127"/>
      <c r="C1296" s="127"/>
      <c r="D1296" s="127"/>
      <c r="E1296" s="127"/>
      <c r="F1296" s="336"/>
      <c r="G1296" s="127"/>
      <c r="H1296" s="127"/>
      <c r="I1296" s="118"/>
      <c r="J1296" s="128"/>
      <c r="K1296" s="128"/>
      <c r="L1296" s="93"/>
      <c r="M1296" s="93"/>
      <c r="N1296" s="93"/>
      <c r="O1296" s="93"/>
      <c r="P1296" s="93"/>
      <c r="Q1296" s="93"/>
      <c r="R1296" s="93"/>
      <c r="S1296" s="93"/>
      <c r="T1296" s="93"/>
      <c r="U1296" s="93"/>
      <c r="V1296" s="93"/>
      <c r="W1296" s="93"/>
      <c r="X1296" s="93"/>
    </row>
    <row r="1297" spans="1:24" s="6" customFormat="1" ht="15.75">
      <c r="A1297" s="127"/>
      <c r="B1297" s="127"/>
      <c r="C1297" s="127"/>
      <c r="D1297" s="127"/>
      <c r="E1297" s="127"/>
      <c r="F1297" s="336"/>
      <c r="G1297" s="127"/>
      <c r="H1297" s="127"/>
      <c r="I1297" s="118"/>
      <c r="J1297" s="128"/>
      <c r="K1297" s="128"/>
      <c r="L1297" s="93"/>
      <c r="M1297" s="93"/>
      <c r="N1297" s="93"/>
      <c r="O1297" s="93"/>
      <c r="P1297" s="93"/>
      <c r="Q1297" s="93"/>
      <c r="R1297" s="93"/>
      <c r="S1297" s="93"/>
      <c r="T1297" s="93"/>
      <c r="U1297" s="93"/>
      <c r="V1297" s="93"/>
      <c r="W1297" s="93"/>
      <c r="X1297" s="93"/>
    </row>
    <row r="1298" spans="1:24" s="6" customFormat="1" ht="15.75">
      <c r="A1298" s="127"/>
      <c r="B1298" s="127"/>
      <c r="C1298" s="127"/>
      <c r="D1298" s="127"/>
      <c r="E1298" s="127"/>
      <c r="F1298" s="336"/>
      <c r="G1298" s="127"/>
      <c r="H1298" s="127"/>
      <c r="I1298" s="118"/>
      <c r="J1298" s="128"/>
      <c r="K1298" s="128"/>
      <c r="L1298" s="93"/>
      <c r="M1298" s="93"/>
      <c r="N1298" s="93"/>
      <c r="O1298" s="93"/>
      <c r="P1298" s="93"/>
      <c r="Q1298" s="93"/>
      <c r="R1298" s="93"/>
      <c r="S1298" s="93"/>
      <c r="T1298" s="93"/>
      <c r="U1298" s="93"/>
      <c r="V1298" s="93"/>
      <c r="W1298" s="93"/>
      <c r="X1298" s="93"/>
    </row>
    <row r="1299" spans="1:24" s="6" customFormat="1" ht="15.75">
      <c r="A1299" s="127"/>
      <c r="B1299" s="127"/>
      <c r="C1299" s="127"/>
      <c r="D1299" s="127"/>
      <c r="E1299" s="127"/>
      <c r="F1299" s="336"/>
      <c r="G1299" s="127"/>
      <c r="H1299" s="127"/>
      <c r="I1299" s="118"/>
      <c r="J1299" s="128"/>
      <c r="K1299" s="128"/>
      <c r="L1299" s="93"/>
      <c r="M1299" s="93"/>
      <c r="N1299" s="93"/>
      <c r="O1299" s="93"/>
      <c r="P1299" s="93"/>
      <c r="Q1299" s="93"/>
      <c r="R1299" s="93"/>
      <c r="S1299" s="93"/>
      <c r="T1299" s="93"/>
      <c r="U1299" s="93"/>
      <c r="V1299" s="93"/>
      <c r="W1299" s="93"/>
      <c r="X1299" s="93"/>
    </row>
    <row r="1300" spans="1:24" s="6" customFormat="1" ht="15.75">
      <c r="A1300" s="127"/>
      <c r="B1300" s="127"/>
      <c r="C1300" s="127"/>
      <c r="D1300" s="127"/>
      <c r="E1300" s="127"/>
      <c r="F1300" s="336"/>
      <c r="G1300" s="127"/>
      <c r="H1300" s="127"/>
      <c r="I1300" s="118"/>
      <c r="J1300" s="128"/>
      <c r="K1300" s="128"/>
      <c r="L1300" s="93"/>
      <c r="M1300" s="93"/>
      <c r="N1300" s="93"/>
      <c r="O1300" s="93"/>
      <c r="P1300" s="93"/>
      <c r="Q1300" s="93"/>
      <c r="R1300" s="93"/>
      <c r="S1300" s="93"/>
      <c r="T1300" s="93"/>
      <c r="U1300" s="93"/>
      <c r="V1300" s="93"/>
      <c r="W1300" s="93"/>
      <c r="X1300" s="93"/>
    </row>
    <row r="1301" spans="1:24" s="6" customFormat="1" ht="15.75">
      <c r="A1301" s="127"/>
      <c r="B1301" s="127"/>
      <c r="C1301" s="127"/>
      <c r="D1301" s="127"/>
      <c r="E1301" s="127"/>
      <c r="F1301" s="336"/>
      <c r="G1301" s="127"/>
      <c r="H1301" s="127"/>
      <c r="I1301" s="118"/>
      <c r="J1301" s="128"/>
      <c r="K1301" s="128"/>
      <c r="L1301" s="93"/>
      <c r="M1301" s="93"/>
      <c r="N1301" s="93"/>
      <c r="O1301" s="93"/>
      <c r="P1301" s="93"/>
      <c r="Q1301" s="93"/>
      <c r="R1301" s="93"/>
      <c r="S1301" s="93"/>
      <c r="T1301" s="93"/>
      <c r="U1301" s="93"/>
      <c r="V1301" s="93"/>
      <c r="W1301" s="93"/>
      <c r="X1301" s="93"/>
    </row>
    <row r="1302" spans="1:24" s="6" customFormat="1" ht="15.75">
      <c r="A1302" s="127"/>
      <c r="B1302" s="127"/>
      <c r="C1302" s="127"/>
      <c r="D1302" s="127"/>
      <c r="E1302" s="127"/>
      <c r="F1302" s="336"/>
      <c r="G1302" s="127"/>
      <c r="H1302" s="127"/>
      <c r="I1302" s="118"/>
      <c r="J1302" s="128"/>
      <c r="K1302" s="128"/>
      <c r="L1302" s="93"/>
      <c r="M1302" s="93"/>
      <c r="N1302" s="93"/>
      <c r="O1302" s="93"/>
      <c r="P1302" s="93"/>
      <c r="Q1302" s="93"/>
      <c r="R1302" s="93"/>
      <c r="S1302" s="93"/>
      <c r="T1302" s="93"/>
      <c r="U1302" s="93"/>
      <c r="V1302" s="93"/>
      <c r="W1302" s="93"/>
      <c r="X1302" s="93"/>
    </row>
    <row r="1303" spans="1:24" s="6" customFormat="1" ht="15.75">
      <c r="A1303" s="127"/>
      <c r="B1303" s="127"/>
      <c r="C1303" s="127"/>
      <c r="D1303" s="127"/>
      <c r="E1303" s="127"/>
      <c r="F1303" s="336"/>
      <c r="G1303" s="127"/>
      <c r="H1303" s="127"/>
      <c r="I1303" s="118"/>
      <c r="J1303" s="128"/>
      <c r="K1303" s="128"/>
      <c r="L1303" s="93"/>
      <c r="M1303" s="93"/>
      <c r="N1303" s="93"/>
      <c r="O1303" s="93"/>
      <c r="P1303" s="93"/>
      <c r="Q1303" s="93"/>
      <c r="R1303" s="93"/>
      <c r="S1303" s="93"/>
      <c r="T1303" s="93"/>
      <c r="U1303" s="93"/>
      <c r="V1303" s="93"/>
      <c r="W1303" s="93"/>
      <c r="X1303" s="93"/>
    </row>
    <row r="1304" spans="1:24" s="6" customFormat="1" ht="15.75">
      <c r="A1304" s="127"/>
      <c r="B1304" s="127"/>
      <c r="C1304" s="127"/>
      <c r="D1304" s="127"/>
      <c r="E1304" s="127"/>
      <c r="F1304" s="336"/>
      <c r="G1304" s="127"/>
      <c r="H1304" s="127"/>
      <c r="I1304" s="118"/>
      <c r="J1304" s="128"/>
      <c r="K1304" s="128"/>
      <c r="L1304" s="93"/>
      <c r="M1304" s="93"/>
      <c r="N1304" s="93"/>
      <c r="O1304" s="93"/>
      <c r="P1304" s="93"/>
      <c r="Q1304" s="93"/>
      <c r="R1304" s="93"/>
      <c r="S1304" s="93"/>
      <c r="T1304" s="93"/>
      <c r="U1304" s="93"/>
      <c r="V1304" s="93"/>
      <c r="W1304" s="93"/>
      <c r="X1304" s="93"/>
    </row>
    <row r="1305" spans="1:24" s="6" customFormat="1" ht="15.75">
      <c r="A1305" s="127"/>
      <c r="B1305" s="127"/>
      <c r="C1305" s="127"/>
      <c r="D1305" s="127"/>
      <c r="E1305" s="127"/>
      <c r="F1305" s="336"/>
      <c r="G1305" s="127"/>
      <c r="H1305" s="127"/>
      <c r="I1305" s="118"/>
      <c r="J1305" s="128"/>
      <c r="K1305" s="128"/>
      <c r="L1305" s="93"/>
      <c r="M1305" s="93"/>
      <c r="N1305" s="93"/>
      <c r="O1305" s="93"/>
      <c r="P1305" s="93"/>
      <c r="Q1305" s="93"/>
      <c r="R1305" s="93"/>
      <c r="S1305" s="93"/>
      <c r="T1305" s="93"/>
      <c r="U1305" s="93"/>
      <c r="V1305" s="93"/>
      <c r="W1305" s="93"/>
      <c r="X1305" s="93"/>
    </row>
    <row r="1306" spans="1:24" s="6" customFormat="1" ht="15.75">
      <c r="A1306" s="127"/>
      <c r="B1306" s="127"/>
      <c r="C1306" s="127"/>
      <c r="D1306" s="127"/>
      <c r="E1306" s="127"/>
      <c r="F1306" s="336"/>
      <c r="G1306" s="127"/>
      <c r="H1306" s="127"/>
      <c r="I1306" s="118"/>
      <c r="J1306" s="128"/>
      <c r="K1306" s="128"/>
      <c r="L1306" s="93"/>
      <c r="M1306" s="93"/>
      <c r="N1306" s="93"/>
      <c r="O1306" s="93"/>
      <c r="P1306" s="93"/>
      <c r="Q1306" s="93"/>
      <c r="R1306" s="93"/>
      <c r="S1306" s="93"/>
      <c r="T1306" s="93"/>
      <c r="U1306" s="93"/>
      <c r="V1306" s="93"/>
      <c r="W1306" s="93"/>
      <c r="X1306" s="93"/>
    </row>
    <row r="1307" spans="1:24" s="6" customFormat="1" ht="15.75">
      <c r="A1307" s="127"/>
      <c r="B1307" s="127"/>
      <c r="C1307" s="127"/>
      <c r="D1307" s="127"/>
      <c r="E1307" s="127"/>
      <c r="F1307" s="336"/>
      <c r="G1307" s="127"/>
      <c r="H1307" s="127"/>
      <c r="I1307" s="118"/>
      <c r="J1307" s="128"/>
      <c r="K1307" s="128"/>
      <c r="L1307" s="93"/>
      <c r="M1307" s="93"/>
      <c r="N1307" s="93"/>
      <c r="O1307" s="93"/>
      <c r="P1307" s="93"/>
      <c r="Q1307" s="93"/>
      <c r="R1307" s="93"/>
      <c r="S1307" s="93"/>
      <c r="T1307" s="93"/>
      <c r="U1307" s="93"/>
      <c r="V1307" s="93"/>
      <c r="W1307" s="93"/>
      <c r="X1307" s="93"/>
    </row>
    <row r="1308" spans="1:24" s="6" customFormat="1" ht="15.75">
      <c r="A1308" s="127"/>
      <c r="B1308" s="127"/>
      <c r="C1308" s="127"/>
      <c r="D1308" s="127"/>
      <c r="E1308" s="127"/>
      <c r="F1308" s="336"/>
      <c r="G1308" s="127"/>
      <c r="H1308" s="127"/>
      <c r="I1308" s="118"/>
      <c r="J1308" s="128"/>
      <c r="K1308" s="128"/>
      <c r="L1308" s="93"/>
      <c r="M1308" s="93"/>
      <c r="N1308" s="93"/>
      <c r="O1308" s="93"/>
      <c r="P1308" s="93"/>
      <c r="Q1308" s="93"/>
      <c r="R1308" s="93"/>
      <c r="S1308" s="93"/>
      <c r="T1308" s="93"/>
      <c r="U1308" s="93"/>
      <c r="V1308" s="93"/>
      <c r="W1308" s="93"/>
      <c r="X1308" s="93"/>
    </row>
    <row r="1309" spans="1:24" s="6" customFormat="1" ht="15.75">
      <c r="A1309" s="127"/>
      <c r="B1309" s="127"/>
      <c r="C1309" s="127"/>
      <c r="D1309" s="127"/>
      <c r="E1309" s="127"/>
      <c r="F1309" s="336"/>
      <c r="G1309" s="127"/>
      <c r="H1309" s="127"/>
      <c r="I1309" s="118"/>
      <c r="J1309" s="128"/>
      <c r="K1309" s="128"/>
      <c r="L1309" s="93"/>
      <c r="M1309" s="93"/>
      <c r="N1309" s="93"/>
      <c r="O1309" s="93"/>
      <c r="P1309" s="93"/>
      <c r="Q1309" s="93"/>
      <c r="R1309" s="93"/>
      <c r="S1309" s="93"/>
      <c r="T1309" s="93"/>
      <c r="U1309" s="93"/>
      <c r="V1309" s="93"/>
      <c r="W1309" s="93"/>
      <c r="X1309" s="93"/>
    </row>
    <row r="1310" spans="1:24" s="6" customFormat="1" ht="15.75">
      <c r="A1310" s="127"/>
      <c r="B1310" s="127"/>
      <c r="C1310" s="127"/>
      <c r="D1310" s="127"/>
      <c r="E1310" s="127"/>
      <c r="F1310" s="336"/>
      <c r="G1310" s="127"/>
      <c r="H1310" s="127"/>
      <c r="I1310" s="118"/>
      <c r="J1310" s="128"/>
      <c r="K1310" s="128"/>
      <c r="L1310" s="93"/>
      <c r="M1310" s="93"/>
      <c r="N1310" s="93"/>
      <c r="O1310" s="93"/>
      <c r="P1310" s="93"/>
      <c r="Q1310" s="93"/>
      <c r="R1310" s="93"/>
      <c r="S1310" s="93"/>
      <c r="T1310" s="93"/>
      <c r="U1310" s="93"/>
      <c r="V1310" s="93"/>
      <c r="W1310" s="93"/>
      <c r="X1310" s="93"/>
    </row>
    <row r="1311" spans="1:24" s="6" customFormat="1" ht="15.75">
      <c r="A1311" s="127"/>
      <c r="B1311" s="127"/>
      <c r="C1311" s="127"/>
      <c r="D1311" s="127"/>
      <c r="E1311" s="127"/>
      <c r="F1311" s="336"/>
      <c r="G1311" s="127"/>
      <c r="H1311" s="127"/>
      <c r="I1311" s="118"/>
      <c r="J1311" s="128"/>
      <c r="K1311" s="128"/>
      <c r="L1311" s="93"/>
      <c r="M1311" s="93"/>
      <c r="N1311" s="93"/>
      <c r="O1311" s="93"/>
      <c r="P1311" s="93"/>
      <c r="Q1311" s="93"/>
      <c r="R1311" s="93"/>
      <c r="S1311" s="93"/>
      <c r="T1311" s="93"/>
      <c r="U1311" s="93"/>
      <c r="V1311" s="93"/>
      <c r="W1311" s="93"/>
      <c r="X1311" s="93"/>
    </row>
    <row r="1312" spans="1:24" s="6" customFormat="1" ht="15.75">
      <c r="A1312" s="127"/>
      <c r="B1312" s="127"/>
      <c r="C1312" s="127"/>
      <c r="D1312" s="127"/>
      <c r="E1312" s="127"/>
      <c r="F1312" s="336"/>
      <c r="G1312" s="127"/>
      <c r="H1312" s="127"/>
      <c r="I1312" s="118"/>
      <c r="J1312" s="128"/>
      <c r="K1312" s="128"/>
      <c r="L1312" s="93"/>
      <c r="M1312" s="93"/>
      <c r="N1312" s="93"/>
      <c r="O1312" s="93"/>
      <c r="P1312" s="93"/>
      <c r="Q1312" s="93"/>
      <c r="R1312" s="93"/>
      <c r="S1312" s="93"/>
      <c r="T1312" s="93"/>
      <c r="U1312" s="93"/>
      <c r="V1312" s="93"/>
      <c r="W1312" s="93"/>
      <c r="X1312" s="93"/>
    </row>
    <row r="1313" spans="1:24" s="6" customFormat="1" ht="15.75">
      <c r="A1313" s="127"/>
      <c r="B1313" s="127"/>
      <c r="C1313" s="127"/>
      <c r="D1313" s="127"/>
      <c r="E1313" s="127"/>
      <c r="F1313" s="336"/>
      <c r="G1313" s="127"/>
      <c r="H1313" s="127"/>
      <c r="I1313" s="118"/>
      <c r="J1313" s="128"/>
      <c r="K1313" s="128"/>
      <c r="L1313" s="93"/>
      <c r="M1313" s="93"/>
      <c r="N1313" s="93"/>
      <c r="O1313" s="93"/>
      <c r="P1313" s="93"/>
      <c r="Q1313" s="93"/>
      <c r="R1313" s="93"/>
      <c r="S1313" s="93"/>
      <c r="T1313" s="93"/>
      <c r="U1313" s="93"/>
      <c r="V1313" s="93"/>
      <c r="W1313" s="93"/>
      <c r="X1313" s="93"/>
    </row>
    <row r="1314" spans="1:24" s="6" customFormat="1" ht="15.75">
      <c r="A1314" s="127"/>
      <c r="B1314" s="127"/>
      <c r="C1314" s="127"/>
      <c r="D1314" s="127"/>
      <c r="E1314" s="127"/>
      <c r="F1314" s="336"/>
      <c r="G1314" s="127"/>
      <c r="H1314" s="127"/>
      <c r="I1314" s="118"/>
      <c r="J1314" s="128"/>
      <c r="K1314" s="128"/>
      <c r="L1314" s="93"/>
      <c r="M1314" s="93"/>
      <c r="N1314" s="93"/>
      <c r="O1314" s="93"/>
      <c r="P1314" s="93"/>
      <c r="Q1314" s="93"/>
      <c r="R1314" s="93"/>
      <c r="S1314" s="93"/>
      <c r="T1314" s="93"/>
      <c r="U1314" s="93"/>
      <c r="V1314" s="93"/>
      <c r="W1314" s="93"/>
      <c r="X1314" s="93"/>
    </row>
    <row r="1315" spans="1:24" s="6" customFormat="1" ht="15.75">
      <c r="A1315" s="127"/>
      <c r="B1315" s="127"/>
      <c r="C1315" s="127"/>
      <c r="D1315" s="127"/>
      <c r="E1315" s="127"/>
      <c r="F1315" s="336"/>
      <c r="G1315" s="127"/>
      <c r="H1315" s="127"/>
      <c r="I1315" s="118"/>
      <c r="J1315" s="128"/>
      <c r="K1315" s="128"/>
      <c r="L1315" s="93"/>
      <c r="M1315" s="93"/>
      <c r="N1315" s="93"/>
      <c r="O1315" s="93"/>
      <c r="P1315" s="93"/>
      <c r="Q1315" s="93"/>
      <c r="R1315" s="93"/>
      <c r="S1315" s="93"/>
      <c r="T1315" s="93"/>
      <c r="U1315" s="93"/>
      <c r="V1315" s="93"/>
      <c r="W1315" s="93"/>
      <c r="X1315" s="93"/>
    </row>
    <row r="1316" spans="1:24" s="6" customFormat="1" ht="15.75">
      <c r="A1316" s="127"/>
      <c r="B1316" s="127"/>
      <c r="C1316" s="127"/>
      <c r="D1316" s="127"/>
      <c r="E1316" s="127"/>
      <c r="F1316" s="336"/>
      <c r="G1316" s="127"/>
      <c r="H1316" s="127"/>
      <c r="I1316" s="118"/>
      <c r="J1316" s="128"/>
      <c r="K1316" s="128"/>
      <c r="L1316" s="93"/>
      <c r="M1316" s="93"/>
      <c r="N1316" s="93"/>
      <c r="O1316" s="93"/>
      <c r="P1316" s="93"/>
      <c r="Q1316" s="93"/>
      <c r="R1316" s="93"/>
      <c r="S1316" s="93"/>
      <c r="T1316" s="93"/>
      <c r="U1316" s="93"/>
      <c r="V1316" s="93"/>
      <c r="W1316" s="93"/>
      <c r="X1316" s="93"/>
    </row>
    <row r="1317" spans="1:24" s="6" customFormat="1" ht="15.75">
      <c r="A1317" s="127"/>
      <c r="B1317" s="127"/>
      <c r="C1317" s="127"/>
      <c r="D1317" s="127"/>
      <c r="E1317" s="127"/>
      <c r="F1317" s="336"/>
      <c r="G1317" s="127"/>
      <c r="H1317" s="127"/>
      <c r="I1317" s="118"/>
      <c r="J1317" s="128"/>
      <c r="K1317" s="128"/>
      <c r="L1317" s="93"/>
      <c r="M1317" s="93"/>
      <c r="N1317" s="93"/>
      <c r="O1317" s="93"/>
      <c r="P1317" s="93"/>
      <c r="Q1317" s="93"/>
      <c r="R1317" s="93"/>
      <c r="S1317" s="93"/>
      <c r="T1317" s="93"/>
      <c r="U1317" s="93"/>
      <c r="V1317" s="93"/>
      <c r="W1317" s="93"/>
      <c r="X1317" s="93"/>
    </row>
    <row r="1318" spans="1:24" s="6" customFormat="1" ht="15.75">
      <c r="A1318" s="127"/>
      <c r="B1318" s="127"/>
      <c r="C1318" s="127"/>
      <c r="D1318" s="127"/>
      <c r="E1318" s="127"/>
      <c r="F1318" s="336"/>
      <c r="G1318" s="127"/>
      <c r="H1318" s="127"/>
      <c r="I1318" s="118"/>
      <c r="J1318" s="128"/>
      <c r="K1318" s="128"/>
      <c r="L1318" s="93"/>
      <c r="M1318" s="93"/>
      <c r="N1318" s="93"/>
      <c r="O1318" s="93"/>
      <c r="P1318" s="93"/>
      <c r="Q1318" s="93"/>
      <c r="R1318" s="93"/>
      <c r="S1318" s="93"/>
      <c r="T1318" s="93"/>
      <c r="U1318" s="93"/>
      <c r="V1318" s="93"/>
      <c r="W1318" s="93"/>
      <c r="X1318" s="93"/>
    </row>
    <row r="1319" spans="1:24" s="6" customFormat="1" ht="15.75">
      <c r="A1319" s="127"/>
      <c r="B1319" s="127"/>
      <c r="C1319" s="127"/>
      <c r="D1319" s="127"/>
      <c r="E1319" s="127"/>
      <c r="F1319" s="336"/>
      <c r="G1319" s="127"/>
      <c r="H1319" s="127"/>
      <c r="I1319" s="118"/>
      <c r="J1319" s="128"/>
      <c r="K1319" s="128"/>
      <c r="L1319" s="93"/>
      <c r="M1319" s="93"/>
      <c r="N1319" s="93"/>
      <c r="O1319" s="93"/>
      <c r="P1319" s="93"/>
      <c r="Q1319" s="93"/>
      <c r="R1319" s="93"/>
      <c r="S1319" s="93"/>
      <c r="T1319" s="93"/>
      <c r="U1319" s="93"/>
      <c r="V1319" s="93"/>
      <c r="W1319" s="93"/>
      <c r="X1319" s="93"/>
    </row>
    <row r="1320" spans="1:24" s="6" customFormat="1" ht="15.75">
      <c r="A1320" s="127"/>
      <c r="B1320" s="127"/>
      <c r="C1320" s="127"/>
      <c r="D1320" s="127"/>
      <c r="E1320" s="127"/>
      <c r="F1320" s="336"/>
      <c r="G1320" s="127"/>
      <c r="H1320" s="127"/>
      <c r="I1320" s="118"/>
      <c r="J1320" s="128"/>
      <c r="K1320" s="128"/>
      <c r="L1320" s="93"/>
      <c r="M1320" s="93"/>
      <c r="N1320" s="93"/>
      <c r="O1320" s="93"/>
      <c r="P1320" s="93"/>
      <c r="Q1320" s="93"/>
      <c r="R1320" s="93"/>
      <c r="S1320" s="93"/>
      <c r="T1320" s="93"/>
      <c r="U1320" s="93"/>
      <c r="V1320" s="93"/>
      <c r="W1320" s="93"/>
      <c r="X1320" s="93"/>
    </row>
    <row r="1321" spans="1:24" s="6" customFormat="1" ht="15.75">
      <c r="A1321" s="127"/>
      <c r="B1321" s="127"/>
      <c r="C1321" s="127"/>
      <c r="D1321" s="127"/>
      <c r="E1321" s="127"/>
      <c r="F1321" s="336"/>
      <c r="G1321" s="127"/>
      <c r="H1321" s="127"/>
      <c r="I1321" s="118"/>
      <c r="J1321" s="128"/>
      <c r="K1321" s="128"/>
      <c r="L1321" s="93"/>
      <c r="M1321" s="93"/>
      <c r="N1321" s="93"/>
      <c r="O1321" s="93"/>
      <c r="P1321" s="93"/>
      <c r="Q1321" s="93"/>
      <c r="R1321" s="93"/>
      <c r="S1321" s="93"/>
      <c r="T1321" s="93"/>
      <c r="U1321" s="93"/>
      <c r="V1321" s="93"/>
      <c r="W1321" s="93"/>
      <c r="X1321" s="93"/>
    </row>
    <row r="1322" spans="1:24" s="6" customFormat="1" ht="15.75">
      <c r="A1322" s="127"/>
      <c r="B1322" s="127"/>
      <c r="C1322" s="127"/>
      <c r="D1322" s="127"/>
      <c r="E1322" s="127"/>
      <c r="F1322" s="336"/>
      <c r="G1322" s="127"/>
      <c r="H1322" s="127"/>
      <c r="I1322" s="118"/>
      <c r="J1322" s="128"/>
      <c r="K1322" s="128"/>
      <c r="L1322" s="93"/>
      <c r="M1322" s="93"/>
      <c r="N1322" s="93"/>
      <c r="O1322" s="93"/>
      <c r="P1322" s="93"/>
      <c r="Q1322" s="93"/>
      <c r="R1322" s="93"/>
      <c r="S1322" s="93"/>
      <c r="T1322" s="93"/>
      <c r="U1322" s="93"/>
      <c r="V1322" s="93"/>
      <c r="W1322" s="93"/>
      <c r="X1322" s="93"/>
    </row>
    <row r="1323" spans="1:24" s="6" customFormat="1" ht="15.75">
      <c r="A1323" s="127"/>
      <c r="B1323" s="127"/>
      <c r="C1323" s="127"/>
      <c r="D1323" s="127"/>
      <c r="E1323" s="127"/>
      <c r="F1323" s="336"/>
      <c r="G1323" s="127"/>
      <c r="H1323" s="127"/>
      <c r="I1323" s="118"/>
      <c r="J1323" s="128"/>
      <c r="K1323" s="128"/>
      <c r="L1323" s="93"/>
      <c r="M1323" s="93"/>
      <c r="N1323" s="93"/>
      <c r="O1323" s="93"/>
      <c r="P1323" s="93"/>
      <c r="Q1323" s="93"/>
      <c r="R1323" s="93"/>
      <c r="S1323" s="93"/>
      <c r="T1323" s="93"/>
      <c r="U1323" s="93"/>
      <c r="V1323" s="93"/>
      <c r="W1323" s="93"/>
      <c r="X1323" s="93"/>
    </row>
  </sheetData>
  <mergeCells count="2">
    <mergeCell ref="A1203:B1203"/>
    <mergeCell ref="A68:M68"/>
  </mergeCells>
  <phoneticPr fontId="0" type="noConversion"/>
  <pageMargins left="0.19685039370078741" right="0.15748031496062992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552"/>
  <sheetViews>
    <sheetView view="pageBreakPreview" zoomScale="75" zoomScaleNormal="100" workbookViewId="0">
      <pane ySplit="2400" topLeftCell="A1216" activePane="bottomLeft"/>
      <selection activeCell="L1" sqref="L1:L65536"/>
      <selection pane="bottomLeft" activeCell="M1226" sqref="M1226"/>
    </sheetView>
  </sheetViews>
  <sheetFormatPr defaultRowHeight="12.75"/>
  <cols>
    <col min="1" max="1" width="7.140625" style="127" customWidth="1"/>
    <col min="2" max="2" width="24.42578125" style="127" customWidth="1"/>
    <col min="3" max="4" width="13.140625" style="127" customWidth="1"/>
    <col min="5" max="5" width="14.85546875" style="127" customWidth="1"/>
    <col min="6" max="6" width="13.140625" style="336" customWidth="1"/>
    <col min="7" max="7" width="9.42578125" style="118" customWidth="1"/>
    <col min="8" max="8" width="10.28515625" style="118" customWidth="1"/>
    <col min="9" max="9" width="11.140625" style="118" customWidth="1"/>
    <col min="10" max="10" width="10.5703125" style="118" customWidth="1"/>
    <col min="11" max="11" width="13.140625" style="118" bestFit="1" customWidth="1"/>
    <col min="12" max="12" width="7.5703125" style="118" hidden="1" customWidth="1"/>
    <col min="13" max="13" width="11.7109375" style="118" customWidth="1"/>
    <col min="14" max="14" width="2.7109375" style="127" customWidth="1"/>
    <col min="15" max="15" width="9.140625" style="162"/>
  </cols>
  <sheetData>
    <row r="1" spans="1:16" s="6" customFormat="1" ht="15.75">
      <c r="A1" s="523" t="s">
        <v>626</v>
      </c>
      <c r="B1" s="523"/>
      <c r="C1" s="523"/>
      <c r="D1" s="523"/>
      <c r="E1" s="523"/>
      <c r="F1" s="604"/>
      <c r="G1" s="421"/>
      <c r="H1" s="421"/>
      <c r="I1" s="421"/>
      <c r="J1" s="421"/>
      <c r="K1" s="421"/>
      <c r="L1" s="421"/>
      <c r="M1" s="421"/>
      <c r="N1" s="523"/>
      <c r="O1" s="127"/>
    </row>
    <row r="2" spans="1:16" s="6" customFormat="1" ht="15.75">
      <c r="A2" s="523"/>
      <c r="B2" s="523" t="s">
        <v>672</v>
      </c>
      <c r="C2" s="524"/>
      <c r="D2" s="524"/>
      <c r="E2" s="524"/>
      <c r="F2" s="616"/>
      <c r="G2" s="430"/>
      <c r="H2" s="430"/>
      <c r="I2" s="430"/>
      <c r="J2" s="430"/>
      <c r="K2" s="430" t="s">
        <v>66</v>
      </c>
      <c r="L2" s="430"/>
      <c r="M2" s="430"/>
      <c r="N2" s="523"/>
      <c r="O2" s="127"/>
    </row>
    <row r="3" spans="1:16" s="6" customFormat="1" ht="110.25" customHeight="1">
      <c r="A3" s="330" t="s">
        <v>574</v>
      </c>
      <c r="B3" s="330" t="s">
        <v>674</v>
      </c>
      <c r="C3" s="525" t="s">
        <v>1331</v>
      </c>
      <c r="D3" s="525" t="s">
        <v>610</v>
      </c>
      <c r="E3" s="526" t="s">
        <v>611</v>
      </c>
      <c r="F3" s="617" t="s">
        <v>575</v>
      </c>
      <c r="G3" s="527" t="s">
        <v>591</v>
      </c>
      <c r="H3" s="527" t="s">
        <v>578</v>
      </c>
      <c r="I3" s="527" t="s">
        <v>579</v>
      </c>
      <c r="J3" s="527" t="s">
        <v>580</v>
      </c>
      <c r="K3" s="527" t="s">
        <v>581</v>
      </c>
      <c r="L3" s="527">
        <v>1.29</v>
      </c>
      <c r="M3" s="527" t="s">
        <v>592</v>
      </c>
      <c r="N3" s="523"/>
      <c r="O3" s="127"/>
      <c r="P3" s="93"/>
    </row>
    <row r="4" spans="1:16" s="2" customFormat="1" ht="16.5" thickBot="1">
      <c r="A4" s="528">
        <v>1</v>
      </c>
      <c r="B4" s="528">
        <v>2</v>
      </c>
      <c r="C4" s="528">
        <v>3</v>
      </c>
      <c r="D4" s="528">
        <v>4</v>
      </c>
      <c r="E4" s="529">
        <v>5</v>
      </c>
      <c r="F4" s="618"/>
      <c r="G4" s="530">
        <v>6</v>
      </c>
      <c r="H4" s="530">
        <v>7</v>
      </c>
      <c r="I4" s="530">
        <v>8</v>
      </c>
      <c r="J4" s="530">
        <v>9</v>
      </c>
      <c r="K4" s="530">
        <v>10</v>
      </c>
      <c r="L4" s="530"/>
      <c r="M4" s="530">
        <v>11</v>
      </c>
      <c r="N4" s="531"/>
      <c r="O4" s="136"/>
    </row>
    <row r="5" spans="1:16" s="384" customFormat="1" ht="16.5" thickBot="1">
      <c r="A5" s="567" t="s">
        <v>682</v>
      </c>
      <c r="B5" s="568"/>
      <c r="C5" s="395"/>
      <c r="D5" s="395"/>
      <c r="E5" s="395"/>
      <c r="F5" s="619"/>
      <c r="G5" s="569"/>
      <c r="H5" s="570"/>
      <c r="I5" s="570"/>
      <c r="J5" s="570"/>
      <c r="K5" s="570"/>
      <c r="L5" s="570"/>
      <c r="M5" s="571"/>
      <c r="N5" s="435"/>
      <c r="O5" s="435"/>
    </row>
    <row r="6" spans="1:16" s="6" customFormat="1" ht="15.75">
      <c r="A6" s="283">
        <v>1</v>
      </c>
      <c r="B6" s="283" t="s">
        <v>683</v>
      </c>
      <c r="C6" s="386">
        <v>9570.0499999999993</v>
      </c>
      <c r="D6" s="386"/>
      <c r="E6" s="386"/>
      <c r="F6" s="620">
        <f>C6+D6+E6</f>
        <v>9570.0499999999993</v>
      </c>
      <c r="G6" s="536">
        <f t="shared" ref="G6:G66" si="0">2/252216.83*F6</f>
        <v>7.5887481418270147E-2</v>
      </c>
      <c r="H6" s="276">
        <f t="shared" ref="H6:H66" si="1">G6*2269.13</f>
        <v>172.19856071063936</v>
      </c>
      <c r="I6" s="426">
        <f>H6*0.3677</f>
        <v>63.317410773302093</v>
      </c>
      <c r="J6" s="148">
        <v>75.082978322909383</v>
      </c>
      <c r="K6" s="426">
        <f>G6*235.27</f>
        <v>17.854047753276419</v>
      </c>
      <c r="L6" s="426"/>
      <c r="M6" s="532">
        <f>(K6+J6+I6+H6)/C6</f>
        <v>3.4320928057860439E-2</v>
      </c>
      <c r="N6" s="523" t="s">
        <v>1414</v>
      </c>
      <c r="O6" s="127"/>
    </row>
    <row r="7" spans="1:16" s="6" customFormat="1" ht="15.75">
      <c r="A7" s="306">
        <v>2</v>
      </c>
      <c r="B7" s="306" t="s">
        <v>684</v>
      </c>
      <c r="C7" s="330">
        <v>4259.1400000000003</v>
      </c>
      <c r="D7" s="330"/>
      <c r="E7" s="330"/>
      <c r="F7" s="620">
        <f t="shared" ref="F7:F77" si="2">C7+D7+E7</f>
        <v>4259.1400000000003</v>
      </c>
      <c r="G7" s="536">
        <f t="shared" si="0"/>
        <v>3.3773638341263748E-2</v>
      </c>
      <c r="H7" s="276">
        <f t="shared" si="1"/>
        <v>76.636775969311813</v>
      </c>
      <c r="I7" s="427">
        <f t="shared" ref="I7:I69" si="3">H7*0.3677</f>
        <v>28.179342523915956</v>
      </c>
      <c r="J7" s="148">
        <v>33.415595142578802</v>
      </c>
      <c r="K7" s="427">
        <f t="shared" ref="K7:K55" si="4">G7*235.27</f>
        <v>7.9459238925491222</v>
      </c>
      <c r="L7" s="426"/>
      <c r="M7" s="532">
        <f t="shared" ref="M7:M69" si="5">(K7+J7+I7+H7)/C7</f>
        <v>3.4320928057860439E-2</v>
      </c>
      <c r="N7" s="523" t="s">
        <v>1413</v>
      </c>
      <c r="O7" s="127"/>
    </row>
    <row r="8" spans="1:16" s="6" customFormat="1" ht="15.75">
      <c r="A8" s="306">
        <v>3</v>
      </c>
      <c r="B8" s="306" t="s">
        <v>685</v>
      </c>
      <c r="C8" s="330">
        <v>8696.41</v>
      </c>
      <c r="D8" s="330"/>
      <c r="E8" s="330"/>
      <c r="F8" s="620">
        <f t="shared" si="2"/>
        <v>8696.41</v>
      </c>
      <c r="G8" s="536">
        <f t="shared" si="0"/>
        <v>6.895979146197341E-2</v>
      </c>
      <c r="H8" s="276">
        <f t="shared" si="1"/>
        <v>156.47873160010772</v>
      </c>
      <c r="I8" s="427">
        <f t="shared" si="3"/>
        <v>57.537229609359613</v>
      </c>
      <c r="J8" s="148">
        <v>68.228730624932197</v>
      </c>
      <c r="K8" s="427">
        <f t="shared" si="4"/>
        <v>16.224170137258486</v>
      </c>
      <c r="L8" s="426"/>
      <c r="M8" s="532">
        <f t="shared" si="5"/>
        <v>3.4320928057860432E-2</v>
      </c>
      <c r="N8" s="523"/>
      <c r="O8" s="127"/>
    </row>
    <row r="9" spans="1:16" s="6" customFormat="1" ht="15.75">
      <c r="A9" s="306">
        <v>4</v>
      </c>
      <c r="B9" s="306" t="s">
        <v>686</v>
      </c>
      <c r="C9" s="330">
        <v>2719.72</v>
      </c>
      <c r="D9" s="330"/>
      <c r="E9" s="330"/>
      <c r="F9" s="620">
        <f t="shared" si="2"/>
        <v>2719.72</v>
      </c>
      <c r="G9" s="536">
        <f t="shared" si="0"/>
        <v>2.1566522741563281E-2</v>
      </c>
      <c r="H9" s="276">
        <f t="shared" si="1"/>
        <v>48.937243748563489</v>
      </c>
      <c r="I9" s="427">
        <f t="shared" si="3"/>
        <v>17.994224526346795</v>
      </c>
      <c r="J9" s="148">
        <v>21.337890377206293</v>
      </c>
      <c r="K9" s="427">
        <f t="shared" si="4"/>
        <v>5.0739558054075928</v>
      </c>
      <c r="L9" s="426"/>
      <c r="M9" s="532">
        <f t="shared" si="5"/>
        <v>3.4320928057860432E-2</v>
      </c>
      <c r="N9" s="523"/>
      <c r="O9" s="127"/>
    </row>
    <row r="10" spans="1:16" s="6" customFormat="1" ht="15.75">
      <c r="A10" s="306">
        <v>5</v>
      </c>
      <c r="B10" s="306" t="s">
        <v>687</v>
      </c>
      <c r="C10" s="330">
        <v>4138.7</v>
      </c>
      <c r="D10" s="330"/>
      <c r="E10" s="330"/>
      <c r="F10" s="620">
        <f t="shared" si="2"/>
        <v>4138.7</v>
      </c>
      <c r="G10" s="536">
        <f t="shared" si="0"/>
        <v>3.2818587086357404E-2</v>
      </c>
      <c r="H10" s="276">
        <f t="shared" si="1"/>
        <v>74.469640515266178</v>
      </c>
      <c r="I10" s="427">
        <f t="shared" si="3"/>
        <v>27.382486817463377</v>
      </c>
      <c r="J10" s="148">
        <v>32.470668636530114</v>
      </c>
      <c r="K10" s="427">
        <f t="shared" si="4"/>
        <v>7.7212289838073067</v>
      </c>
      <c r="L10" s="426"/>
      <c r="M10" s="532">
        <f t="shared" si="5"/>
        <v>3.4320928057860439E-2</v>
      </c>
      <c r="N10" s="523"/>
      <c r="O10" s="127"/>
    </row>
    <row r="11" spans="1:16" s="6" customFormat="1" ht="15.75">
      <c r="A11" s="306">
        <v>6</v>
      </c>
      <c r="B11" s="306" t="s">
        <v>688</v>
      </c>
      <c r="C11" s="330">
        <v>4166.1899999999996</v>
      </c>
      <c r="D11" s="330"/>
      <c r="E11" s="330"/>
      <c r="F11" s="620">
        <f t="shared" si="2"/>
        <v>4166.1899999999996</v>
      </c>
      <c r="G11" s="536">
        <f t="shared" si="0"/>
        <v>3.3036574125525249E-2</v>
      </c>
      <c r="H11" s="276">
        <f t="shared" si="1"/>
        <v>74.964281445453111</v>
      </c>
      <c r="I11" s="427">
        <f t="shared" si="3"/>
        <v>27.564366287493112</v>
      </c>
      <c r="J11" s="148">
        <v>32.686344737919008</v>
      </c>
      <c r="K11" s="427">
        <f t="shared" si="4"/>
        <v>7.7725147945123254</v>
      </c>
      <c r="L11" s="426"/>
      <c r="M11" s="532">
        <f t="shared" si="5"/>
        <v>3.4320928057860439E-2</v>
      </c>
      <c r="N11" s="523"/>
      <c r="O11" s="127"/>
    </row>
    <row r="12" spans="1:16" s="6" customFormat="1" ht="15.75">
      <c r="A12" s="306">
        <v>7</v>
      </c>
      <c r="B12" s="306" t="s">
        <v>689</v>
      </c>
      <c r="C12" s="330">
        <v>3572.8</v>
      </c>
      <c r="D12" s="330"/>
      <c r="E12" s="330"/>
      <c r="F12" s="620">
        <f t="shared" si="2"/>
        <v>3572.8</v>
      </c>
      <c r="G12" s="536">
        <f t="shared" si="0"/>
        <v>2.833117837536853E-2</v>
      </c>
      <c r="H12" s="276">
        <f t="shared" si="1"/>
        <v>64.287126786899989</v>
      </c>
      <c r="I12" s="427">
        <f t="shared" si="3"/>
        <v>23.638376519543129</v>
      </c>
      <c r="J12" s="148">
        <v>28.030832122307682</v>
      </c>
      <c r="K12" s="427">
        <f t="shared" si="4"/>
        <v>6.6654763363729543</v>
      </c>
      <c r="L12" s="426"/>
      <c r="M12" s="532">
        <f t="shared" si="5"/>
        <v>3.4320928057860432E-2</v>
      </c>
      <c r="N12" s="523"/>
      <c r="O12" s="127"/>
    </row>
    <row r="13" spans="1:16" s="6" customFormat="1" ht="15.75">
      <c r="A13" s="306">
        <v>8</v>
      </c>
      <c r="B13" s="306" t="s">
        <v>690</v>
      </c>
      <c r="C13" s="330">
        <v>6443.05</v>
      </c>
      <c r="D13" s="330"/>
      <c r="E13" s="330"/>
      <c r="F13" s="620">
        <f t="shared" si="2"/>
        <v>6443.05</v>
      </c>
      <c r="G13" s="536">
        <f t="shared" si="0"/>
        <v>5.1091356591865818E-2</v>
      </c>
      <c r="H13" s="276">
        <f t="shared" si="1"/>
        <v>115.93292998330048</v>
      </c>
      <c r="I13" s="427">
        <f t="shared" si="3"/>
        <v>42.628538354859593</v>
      </c>
      <c r="J13" s="148">
        <v>50.549723719669316</v>
      </c>
      <c r="K13" s="427">
        <f t="shared" si="4"/>
        <v>12.020263465368272</v>
      </c>
      <c r="L13" s="426"/>
      <c r="M13" s="532">
        <f t="shared" si="5"/>
        <v>3.4320928057860432E-2</v>
      </c>
      <c r="N13" s="523"/>
      <c r="O13" s="127"/>
    </row>
    <row r="14" spans="1:16" s="6" customFormat="1" ht="15.75">
      <c r="A14" s="306">
        <v>9</v>
      </c>
      <c r="B14" s="306" t="s">
        <v>691</v>
      </c>
      <c r="C14" s="330">
        <v>6459.7</v>
      </c>
      <c r="D14" s="330"/>
      <c r="E14" s="330"/>
      <c r="F14" s="620">
        <f t="shared" si="2"/>
        <v>6459.7</v>
      </c>
      <c r="G14" s="536">
        <f t="shared" si="0"/>
        <v>5.1223385846218113E-2</v>
      </c>
      <c r="H14" s="276">
        <f t="shared" si="1"/>
        <v>116.23252152522892</v>
      </c>
      <c r="I14" s="427">
        <f t="shared" si="3"/>
        <v>42.73869816482668</v>
      </c>
      <c r="J14" s="148">
        <v>50.680353297265711</v>
      </c>
      <c r="K14" s="427">
        <f t="shared" si="4"/>
        <v>12.051325988039736</v>
      </c>
      <c r="L14" s="426"/>
      <c r="M14" s="532">
        <f t="shared" si="5"/>
        <v>3.4320928057860439E-2</v>
      </c>
      <c r="N14" s="523"/>
      <c r="O14" s="127"/>
    </row>
    <row r="15" spans="1:16" s="6" customFormat="1" ht="15.75">
      <c r="A15" s="306">
        <v>10</v>
      </c>
      <c r="B15" s="306" t="s">
        <v>692</v>
      </c>
      <c r="C15" s="330">
        <v>4374.04</v>
      </c>
      <c r="D15" s="330"/>
      <c r="E15" s="330"/>
      <c r="F15" s="620">
        <f t="shared" si="2"/>
        <v>4374.04</v>
      </c>
      <c r="G15" s="536">
        <f t="shared" si="0"/>
        <v>3.4684759141568787E-2</v>
      </c>
      <c r="H15" s="276">
        <f t="shared" si="1"/>
        <v>78.704227510907984</v>
      </c>
      <c r="I15" s="427">
        <f t="shared" si="3"/>
        <v>28.939544455760867</v>
      </c>
      <c r="J15" s="148">
        <v>34.317056912298114</v>
      </c>
      <c r="K15" s="427">
        <f t="shared" si="4"/>
        <v>8.1602832832368897</v>
      </c>
      <c r="L15" s="426"/>
      <c r="M15" s="532">
        <f t="shared" si="5"/>
        <v>3.4320928057860439E-2</v>
      </c>
      <c r="N15" s="523"/>
      <c r="O15" s="127"/>
    </row>
    <row r="16" spans="1:16" s="6" customFormat="1" ht="15.75">
      <c r="A16" s="306">
        <v>11</v>
      </c>
      <c r="B16" s="306" t="s">
        <v>693</v>
      </c>
      <c r="C16" s="330">
        <v>3413.87</v>
      </c>
      <c r="D16" s="330"/>
      <c r="E16" s="330">
        <v>85.7</v>
      </c>
      <c r="F16" s="620">
        <f t="shared" si="2"/>
        <v>3499.5699999999997</v>
      </c>
      <c r="G16" s="536">
        <f t="shared" si="0"/>
        <v>2.7750487546766803E-2</v>
      </c>
      <c r="H16" s="276">
        <f t="shared" si="1"/>
        <v>62.969463806994959</v>
      </c>
      <c r="I16" s="427">
        <f t="shared" si="3"/>
        <v>23.153871841832046</v>
      </c>
      <c r="J16" s="148">
        <v>27.456297349491798</v>
      </c>
      <c r="K16" s="427">
        <f t="shared" si="4"/>
        <v>6.5288572051278262</v>
      </c>
      <c r="L16" s="426"/>
      <c r="M16" s="532">
        <f t="shared" si="5"/>
        <v>3.5182502615344648E-2</v>
      </c>
      <c r="N16" s="523"/>
      <c r="O16" s="127"/>
    </row>
    <row r="17" spans="1:15" s="6" customFormat="1" ht="15.75">
      <c r="A17" s="306">
        <v>12</v>
      </c>
      <c r="B17" s="306" t="s">
        <v>694</v>
      </c>
      <c r="C17" s="330">
        <v>3466.61</v>
      </c>
      <c r="D17" s="330">
        <v>97.8</v>
      </c>
      <c r="E17" s="330"/>
      <c r="F17" s="620">
        <f t="shared" si="2"/>
        <v>3564.4100000000003</v>
      </c>
      <c r="G17" s="536">
        <f t="shared" si="0"/>
        <v>2.8264648318670888E-2</v>
      </c>
      <c r="H17" s="276">
        <f t="shared" si="1"/>
        <v>64.13616143934567</v>
      </c>
      <c r="I17" s="427">
        <f t="shared" si="3"/>
        <v>23.582866561247403</v>
      </c>
      <c r="J17" s="148">
        <v>27.965007368191539</v>
      </c>
      <c r="K17" s="427">
        <f t="shared" si="4"/>
        <v>6.6498238099337001</v>
      </c>
      <c r="L17" s="426"/>
      <c r="M17" s="532">
        <f t="shared" si="5"/>
        <v>3.5289190067160227E-2</v>
      </c>
      <c r="N17" s="523"/>
      <c r="O17" s="127"/>
    </row>
    <row r="18" spans="1:15" s="6" customFormat="1" ht="15.75">
      <c r="A18" s="306">
        <v>13</v>
      </c>
      <c r="B18" s="306" t="s">
        <v>695</v>
      </c>
      <c r="C18" s="330">
        <v>5767.21</v>
      </c>
      <c r="D18" s="330">
        <v>261.60000000000002</v>
      </c>
      <c r="E18" s="330">
        <v>456.05</v>
      </c>
      <c r="F18" s="620">
        <f t="shared" si="2"/>
        <v>6484.8600000000006</v>
      </c>
      <c r="G18" s="536">
        <f t="shared" si="0"/>
        <v>5.142289671946159E-2</v>
      </c>
      <c r="H18" s="276">
        <f t="shared" si="1"/>
        <v>116.68523763303189</v>
      </c>
      <c r="I18" s="427">
        <f t="shared" si="3"/>
        <v>42.905161877665826</v>
      </c>
      <c r="J18" s="148">
        <v>50.877749103411389</v>
      </c>
      <c r="K18" s="427">
        <f t="shared" si="4"/>
        <v>12.098264911187728</v>
      </c>
      <c r="L18" s="426"/>
      <c r="M18" s="532">
        <f t="shared" si="5"/>
        <v>3.8591695729008793E-2</v>
      </c>
      <c r="N18" s="523"/>
      <c r="O18" s="127"/>
    </row>
    <row r="19" spans="1:15" s="6" customFormat="1" ht="15.75">
      <c r="A19" s="306">
        <v>14</v>
      </c>
      <c r="B19" s="306" t="s">
        <v>696</v>
      </c>
      <c r="C19" s="330">
        <v>5966.95</v>
      </c>
      <c r="D19" s="330"/>
      <c r="E19" s="330">
        <v>49.5</v>
      </c>
      <c r="F19" s="620">
        <f t="shared" si="2"/>
        <v>6016.45</v>
      </c>
      <c r="G19" s="536">
        <f t="shared" si="0"/>
        <v>4.7708552993866428E-2</v>
      </c>
      <c r="H19" s="276">
        <f t="shared" si="1"/>
        <v>108.25690885497214</v>
      </c>
      <c r="I19" s="427">
        <f t="shared" si="3"/>
        <v>39.806065385973255</v>
      </c>
      <c r="J19" s="148">
        <v>47.202782109902053</v>
      </c>
      <c r="K19" s="427">
        <f t="shared" si="4"/>
        <v>11.224391262866956</v>
      </c>
      <c r="L19" s="426"/>
      <c r="M19" s="532">
        <f t="shared" si="5"/>
        <v>3.4605644024788947E-2</v>
      </c>
      <c r="N19" s="523"/>
      <c r="O19" s="127"/>
    </row>
    <row r="20" spans="1:15" s="6" customFormat="1" ht="15.75">
      <c r="A20" s="306">
        <v>15</v>
      </c>
      <c r="B20" s="306" t="s">
        <v>697</v>
      </c>
      <c r="C20" s="330">
        <v>8566.1200000000008</v>
      </c>
      <c r="D20" s="330"/>
      <c r="E20" s="330"/>
      <c r="F20" s="620">
        <f t="shared" si="2"/>
        <v>8566.1200000000008</v>
      </c>
      <c r="G20" s="536">
        <f t="shared" si="0"/>
        <v>6.792663281034815E-2</v>
      </c>
      <c r="H20" s="276">
        <f t="shared" si="1"/>
        <v>154.1343603089453</v>
      </c>
      <c r="I20" s="427">
        <f t="shared" si="3"/>
        <v>56.675204285599193</v>
      </c>
      <c r="J20" s="148">
        <v>67.206524759164324</v>
      </c>
      <c r="K20" s="427">
        <f t="shared" si="4"/>
        <v>15.98109890129061</v>
      </c>
      <c r="L20" s="426"/>
      <c r="M20" s="532">
        <f t="shared" si="5"/>
        <v>3.4320928057860425E-2</v>
      </c>
      <c r="N20" s="523"/>
      <c r="O20" s="127"/>
    </row>
    <row r="21" spans="1:15" s="6" customFormat="1" ht="15.75">
      <c r="A21" s="306">
        <v>16</v>
      </c>
      <c r="B21" s="306" t="s">
        <v>698</v>
      </c>
      <c r="C21" s="330">
        <v>5774.55</v>
      </c>
      <c r="D21" s="330">
        <v>201.5</v>
      </c>
      <c r="E21" s="330"/>
      <c r="F21" s="620">
        <f t="shared" si="2"/>
        <v>5976.05</v>
      </c>
      <c r="G21" s="536">
        <f t="shared" si="0"/>
        <v>4.7388193722044641E-2</v>
      </c>
      <c r="H21" s="276">
        <f t="shared" si="1"/>
        <v>107.52997202050317</v>
      </c>
      <c r="I21" s="427">
        <f t="shared" si="3"/>
        <v>39.538770711939016</v>
      </c>
      <c r="J21" s="148">
        <v>46.885819050749227</v>
      </c>
      <c r="K21" s="427">
        <f t="shared" si="4"/>
        <v>11.149020336985444</v>
      </c>
      <c r="L21" s="426"/>
      <c r="M21" s="532">
        <f t="shared" si="5"/>
        <v>3.5518539474102197E-2</v>
      </c>
      <c r="N21" s="523"/>
      <c r="O21" s="127"/>
    </row>
    <row r="22" spans="1:15" s="6" customFormat="1" ht="15.75">
      <c r="A22" s="306">
        <v>17</v>
      </c>
      <c r="B22" s="306" t="s">
        <v>699</v>
      </c>
      <c r="C22" s="330">
        <v>3226.62</v>
      </c>
      <c r="D22" s="330"/>
      <c r="E22" s="330"/>
      <c r="F22" s="620">
        <f t="shared" si="2"/>
        <v>3226.62</v>
      </c>
      <c r="G22" s="536">
        <f t="shared" si="0"/>
        <v>2.5586080040733206E-2</v>
      </c>
      <c r="H22" s="276">
        <f t="shared" si="1"/>
        <v>58.058141802828942</v>
      </c>
      <c r="I22" s="427">
        <f t="shared" si="3"/>
        <v>21.347978740900203</v>
      </c>
      <c r="J22" s="148">
        <v>25.314835295141179</v>
      </c>
      <c r="K22" s="427">
        <f t="shared" si="4"/>
        <v>6.0196370511833015</v>
      </c>
      <c r="L22" s="426"/>
      <c r="M22" s="532">
        <f t="shared" si="5"/>
        <v>3.4320928057860432E-2</v>
      </c>
      <c r="N22" s="523"/>
      <c r="O22" s="127"/>
    </row>
    <row r="23" spans="1:15" s="6" customFormat="1" ht="15.75">
      <c r="A23" s="306">
        <v>18</v>
      </c>
      <c r="B23" s="306" t="s">
        <v>700</v>
      </c>
      <c r="C23" s="330">
        <v>3233.9</v>
      </c>
      <c r="D23" s="330"/>
      <c r="E23" s="330"/>
      <c r="F23" s="620">
        <f t="shared" si="2"/>
        <v>3233.9</v>
      </c>
      <c r="G23" s="536">
        <f t="shared" si="0"/>
        <v>2.56438081471407E-2</v>
      </c>
      <c r="H23" s="276">
        <f t="shared" si="1"/>
        <v>58.189134380921381</v>
      </c>
      <c r="I23" s="427">
        <f t="shared" si="3"/>
        <v>21.396144711864792</v>
      </c>
      <c r="J23" s="148">
        <v>25.371951410750899</v>
      </c>
      <c r="K23" s="427">
        <f t="shared" si="4"/>
        <v>6.0332187427777928</v>
      </c>
      <c r="L23" s="426"/>
      <c r="M23" s="532">
        <f t="shared" si="5"/>
        <v>3.4320928057860439E-2</v>
      </c>
      <c r="N23" s="523"/>
      <c r="O23" s="127"/>
    </row>
    <row r="24" spans="1:15" s="6" customFormat="1" ht="15.75">
      <c r="A24" s="306">
        <v>19</v>
      </c>
      <c r="B24" s="306" t="s">
        <v>701</v>
      </c>
      <c r="C24" s="330">
        <v>6095.4</v>
      </c>
      <c r="D24" s="330"/>
      <c r="E24" s="330"/>
      <c r="F24" s="620">
        <f t="shared" si="2"/>
        <v>6095.4</v>
      </c>
      <c r="G24" s="536">
        <f t="shared" si="0"/>
        <v>4.8334601620359748E-2</v>
      </c>
      <c r="H24" s="276">
        <f t="shared" si="1"/>
        <v>109.67749457480691</v>
      </c>
      <c r="I24" s="427">
        <f t="shared" si="3"/>
        <v>40.328414755156508</v>
      </c>
      <c r="J24" s="148">
        <v>47.822193830697003</v>
      </c>
      <c r="K24" s="427">
        <f t="shared" si="4"/>
        <v>11.371681723222038</v>
      </c>
      <c r="L24" s="426"/>
      <c r="M24" s="532">
        <f t="shared" si="5"/>
        <v>3.4320928057860425E-2</v>
      </c>
      <c r="N24" s="523"/>
      <c r="O24" s="127"/>
    </row>
    <row r="25" spans="1:15" s="6" customFormat="1" ht="15.75">
      <c r="A25" s="306">
        <v>20</v>
      </c>
      <c r="B25" s="306" t="s">
        <v>702</v>
      </c>
      <c r="C25" s="330">
        <v>6384.91</v>
      </c>
      <c r="D25" s="330"/>
      <c r="E25" s="330"/>
      <c r="F25" s="620">
        <f t="shared" si="2"/>
        <v>6384.91</v>
      </c>
      <c r="G25" s="536">
        <f t="shared" si="0"/>
        <v>5.0630324709100498E-2</v>
      </c>
      <c r="H25" s="276">
        <f t="shared" si="1"/>
        <v>114.88678870716122</v>
      </c>
      <c r="I25" s="427">
        <f t="shared" si="3"/>
        <v>42.243872207623184</v>
      </c>
      <c r="J25" s="148">
        <v>50.09357935681917</v>
      </c>
      <c r="K25" s="427">
        <f t="shared" si="4"/>
        <v>11.911796494310074</v>
      </c>
      <c r="L25" s="426"/>
      <c r="M25" s="532">
        <f t="shared" si="5"/>
        <v>3.4320928057860432E-2</v>
      </c>
      <c r="N25" s="523"/>
      <c r="O25" s="127"/>
    </row>
    <row r="26" spans="1:15" s="6" customFormat="1" ht="15.75">
      <c r="A26" s="306">
        <v>21</v>
      </c>
      <c r="B26" s="306" t="s">
        <v>703</v>
      </c>
      <c r="C26" s="330">
        <v>3929.49</v>
      </c>
      <c r="D26" s="330">
        <v>464.4</v>
      </c>
      <c r="E26" s="330"/>
      <c r="F26" s="620">
        <f t="shared" si="2"/>
        <v>4393.8899999999994</v>
      </c>
      <c r="G26" s="536">
        <f t="shared" si="0"/>
        <v>3.4842163387748544E-2</v>
      </c>
      <c r="H26" s="276">
        <f t="shared" si="1"/>
        <v>79.061398208041851</v>
      </c>
      <c r="I26" s="427">
        <f t="shared" si="3"/>
        <v>29.07087612109699</v>
      </c>
      <c r="J26" s="148">
        <v>34.472792474777904</v>
      </c>
      <c r="K26" s="427">
        <f t="shared" si="4"/>
        <v>8.1973157802356003</v>
      </c>
      <c r="L26" s="426"/>
      <c r="M26" s="532">
        <f t="shared" si="5"/>
        <v>3.837708776053695E-2</v>
      </c>
      <c r="N26" s="523"/>
      <c r="O26" s="127"/>
    </row>
    <row r="27" spans="1:15" s="6" customFormat="1" ht="15.75">
      <c r="A27" s="306">
        <v>22</v>
      </c>
      <c r="B27" s="306" t="s">
        <v>704</v>
      </c>
      <c r="C27" s="330">
        <v>7174.09</v>
      </c>
      <c r="D27" s="330"/>
      <c r="E27" s="330"/>
      <c r="F27" s="620">
        <f t="shared" si="2"/>
        <v>7174.09</v>
      </c>
      <c r="G27" s="536">
        <f t="shared" si="0"/>
        <v>5.6888273474850988E-2</v>
      </c>
      <c r="H27" s="276">
        <f t="shared" si="1"/>
        <v>129.08688798998864</v>
      </c>
      <c r="I27" s="427">
        <f t="shared" si="3"/>
        <v>47.465248713918825</v>
      </c>
      <c r="J27" s="148">
        <v>56.285185966280316</v>
      </c>
      <c r="K27" s="427">
        <f t="shared" si="4"/>
        <v>13.384104100428193</v>
      </c>
      <c r="L27" s="426"/>
      <c r="M27" s="532">
        <f t="shared" si="5"/>
        <v>3.4320928057860432E-2</v>
      </c>
      <c r="N27" s="523"/>
      <c r="O27" s="127"/>
    </row>
    <row r="28" spans="1:15" s="6" customFormat="1" ht="15.75">
      <c r="A28" s="306">
        <v>23</v>
      </c>
      <c r="B28" s="306" t="s">
        <v>705</v>
      </c>
      <c r="C28" s="330">
        <v>3836.07</v>
      </c>
      <c r="D28" s="330"/>
      <c r="E28" s="330">
        <v>416</v>
      </c>
      <c r="F28" s="620">
        <f t="shared" si="2"/>
        <v>4252.07</v>
      </c>
      <c r="G28" s="536">
        <f t="shared" si="0"/>
        <v>3.371757546869493E-2</v>
      </c>
      <c r="H28" s="276">
        <f t="shared" si="1"/>
        <v>76.509562023279727</v>
      </c>
      <c r="I28" s="427">
        <f t="shared" si="3"/>
        <v>28.132565955959958</v>
      </c>
      <c r="J28" s="148">
        <v>33.360126607227052</v>
      </c>
      <c r="K28" s="427">
        <f t="shared" si="4"/>
        <v>7.9327339805198562</v>
      </c>
      <c r="L28" s="426"/>
      <c r="M28" s="532">
        <f t="shared" si="5"/>
        <v>3.8042837739401675E-2</v>
      </c>
      <c r="N28" s="523"/>
      <c r="O28" s="127"/>
    </row>
    <row r="29" spans="1:15" s="6" customFormat="1" ht="15.75">
      <c r="A29" s="306">
        <v>24</v>
      </c>
      <c r="B29" s="306" t="s">
        <v>706</v>
      </c>
      <c r="C29" s="330">
        <v>2413.89</v>
      </c>
      <c r="D29" s="330"/>
      <c r="E29" s="330"/>
      <c r="F29" s="620">
        <f t="shared" si="2"/>
        <v>2413.89</v>
      </c>
      <c r="G29" s="536">
        <f t="shared" si="0"/>
        <v>1.9141387194502445E-2</v>
      </c>
      <c r="H29" s="276">
        <f t="shared" si="1"/>
        <v>43.434295924661335</v>
      </c>
      <c r="I29" s="427">
        <f t="shared" si="3"/>
        <v>15.970790611497973</v>
      </c>
      <c r="J29" s="148">
        <v>18.938464328178821</v>
      </c>
      <c r="K29" s="427">
        <f t="shared" si="4"/>
        <v>4.5033941652505902</v>
      </c>
      <c r="L29" s="426"/>
      <c r="M29" s="532">
        <f t="shared" si="5"/>
        <v>3.4320928057860432E-2</v>
      </c>
      <c r="N29" s="523"/>
      <c r="O29" s="127"/>
    </row>
    <row r="30" spans="1:15" s="6" customFormat="1" ht="15.75">
      <c r="A30" s="306">
        <v>25</v>
      </c>
      <c r="B30" s="306" t="s">
        <v>707</v>
      </c>
      <c r="C30" s="330">
        <v>6323.28</v>
      </c>
      <c r="D30" s="330"/>
      <c r="E30" s="330"/>
      <c r="F30" s="620">
        <f t="shared" si="2"/>
        <v>6323.28</v>
      </c>
      <c r="G30" s="536">
        <f t="shared" si="0"/>
        <v>5.0141618225873347E-2</v>
      </c>
      <c r="H30" s="276">
        <f t="shared" si="1"/>
        <v>113.77785016487599</v>
      </c>
      <c r="I30" s="427">
        <f t="shared" si="3"/>
        <v>41.836115505624903</v>
      </c>
      <c r="J30" s="148">
        <v>49.610053779205586</v>
      </c>
      <c r="K30" s="427">
        <f t="shared" si="4"/>
        <v>11.796818520001223</v>
      </c>
      <c r="L30" s="426"/>
      <c r="M30" s="532">
        <f t="shared" si="5"/>
        <v>3.4320928057860432E-2</v>
      </c>
      <c r="N30" s="523"/>
      <c r="O30" s="127"/>
    </row>
    <row r="31" spans="1:15" s="6" customFormat="1" ht="15.75">
      <c r="A31" s="306">
        <v>26</v>
      </c>
      <c r="B31" s="306" t="s">
        <v>708</v>
      </c>
      <c r="C31" s="330">
        <v>4396.59</v>
      </c>
      <c r="D31" s="330"/>
      <c r="E31" s="330"/>
      <c r="F31" s="620">
        <f t="shared" si="2"/>
        <v>4396.59</v>
      </c>
      <c r="G31" s="536">
        <f t="shared" si="0"/>
        <v>3.4863573537102982E-2</v>
      </c>
      <c r="H31" s="276">
        <f t="shared" si="1"/>
        <v>79.109980620246489</v>
      </c>
      <c r="I31" s="427">
        <f t="shared" si="3"/>
        <v>29.088739874064636</v>
      </c>
      <c r="J31" s="148">
        <v>34.493975649523271</v>
      </c>
      <c r="K31" s="427">
        <f t="shared" si="4"/>
        <v>8.2023529460742193</v>
      </c>
      <c r="L31" s="426"/>
      <c r="M31" s="532">
        <f t="shared" si="5"/>
        <v>3.4320928057860432E-2</v>
      </c>
      <c r="N31" s="523"/>
      <c r="O31" s="127"/>
    </row>
    <row r="32" spans="1:15" s="6" customFormat="1" ht="15.75">
      <c r="A32" s="306">
        <v>27</v>
      </c>
      <c r="B32" s="306" t="s">
        <v>709</v>
      </c>
      <c r="C32" s="330">
        <v>6702.46</v>
      </c>
      <c r="D32" s="330"/>
      <c r="E32" s="330"/>
      <c r="F32" s="620">
        <f t="shared" si="2"/>
        <v>6702.46</v>
      </c>
      <c r="G32" s="536">
        <f t="shared" si="0"/>
        <v>5.314839616372944E-2</v>
      </c>
      <c r="H32" s="276">
        <f t="shared" si="1"/>
        <v>120.60062018700339</v>
      </c>
      <c r="I32" s="427">
        <f t="shared" si="3"/>
        <v>44.34484804276115</v>
      </c>
      <c r="J32" s="148">
        <v>52.584956075482069</v>
      </c>
      <c r="K32" s="427">
        <f t="shared" si="4"/>
        <v>12.504223165440626</v>
      </c>
      <c r="L32" s="426"/>
      <c r="M32" s="532">
        <f t="shared" si="5"/>
        <v>3.4320928057860432E-2</v>
      </c>
      <c r="N32" s="523"/>
      <c r="O32" s="127"/>
    </row>
    <row r="33" spans="1:15" s="6" customFormat="1" ht="15.75">
      <c r="A33" s="306">
        <v>28</v>
      </c>
      <c r="B33" s="306" t="s">
        <v>710</v>
      </c>
      <c r="C33" s="330">
        <v>6185.24</v>
      </c>
      <c r="D33" s="330"/>
      <c r="E33" s="330"/>
      <c r="F33" s="620">
        <f t="shared" si="2"/>
        <v>6185.24</v>
      </c>
      <c r="G33" s="536">
        <f t="shared" si="0"/>
        <v>4.9047004515915926E-2</v>
      </c>
      <c r="H33" s="276">
        <f t="shared" si="1"/>
        <v>111.29402935720032</v>
      </c>
      <c r="I33" s="427">
        <f t="shared" si="3"/>
        <v>40.92281459464256</v>
      </c>
      <c r="J33" s="148">
        <v>48.527044356298241</v>
      </c>
      <c r="K33" s="427">
        <f t="shared" si="4"/>
        <v>11.539288752459541</v>
      </c>
      <c r="L33" s="426"/>
      <c r="M33" s="532">
        <f t="shared" si="5"/>
        <v>3.4320928057860432E-2</v>
      </c>
      <c r="N33" s="523"/>
      <c r="O33" s="127"/>
    </row>
    <row r="34" spans="1:15" s="6" customFormat="1" ht="15.75">
      <c r="A34" s="306">
        <v>29</v>
      </c>
      <c r="B34" s="306" t="s">
        <v>711</v>
      </c>
      <c r="C34" s="330">
        <v>6856.85</v>
      </c>
      <c r="D34" s="330"/>
      <c r="E34" s="330"/>
      <c r="F34" s="620">
        <f t="shared" si="2"/>
        <v>6856.85</v>
      </c>
      <c r="G34" s="536">
        <f t="shared" si="0"/>
        <v>5.4372660222555338E-2</v>
      </c>
      <c r="H34" s="276">
        <f t="shared" si="1"/>
        <v>123.378634490807</v>
      </c>
      <c r="I34" s="427">
        <f t="shared" si="3"/>
        <v>45.366323902269741</v>
      </c>
      <c r="J34" s="148">
        <v>53.796241389902995</v>
      </c>
      <c r="K34" s="427">
        <f t="shared" si="4"/>
        <v>12.792255770560596</v>
      </c>
      <c r="L34" s="426"/>
      <c r="M34" s="532">
        <f t="shared" si="5"/>
        <v>3.4320928057860432E-2</v>
      </c>
      <c r="N34" s="523"/>
      <c r="O34" s="127"/>
    </row>
    <row r="35" spans="1:15" s="6" customFormat="1" ht="15.75">
      <c r="A35" s="306">
        <v>30</v>
      </c>
      <c r="B35" s="306" t="s">
        <v>712</v>
      </c>
      <c r="C35" s="330">
        <v>6358.97</v>
      </c>
      <c r="D35" s="330"/>
      <c r="E35" s="330"/>
      <c r="F35" s="620">
        <f t="shared" si="2"/>
        <v>6358.97</v>
      </c>
      <c r="G35" s="536">
        <f t="shared" si="0"/>
        <v>5.0424628681599089E-2</v>
      </c>
      <c r="H35" s="276">
        <f t="shared" si="1"/>
        <v>114.42003768027695</v>
      </c>
      <c r="I35" s="427">
        <f t="shared" si="3"/>
        <v>42.072247855037837</v>
      </c>
      <c r="J35" s="148">
        <v>49.890063966858179</v>
      </c>
      <c r="K35" s="427">
        <f t="shared" si="4"/>
        <v>11.863402389919818</v>
      </c>
      <c r="L35" s="426"/>
      <c r="M35" s="532">
        <f t="shared" si="5"/>
        <v>3.4320928057860439E-2</v>
      </c>
      <c r="N35" s="523"/>
      <c r="O35" s="127"/>
    </row>
    <row r="36" spans="1:15" s="6" customFormat="1" ht="15.75">
      <c r="A36" s="306">
        <v>31</v>
      </c>
      <c r="B36" s="306" t="s">
        <v>713</v>
      </c>
      <c r="C36" s="330">
        <v>4302.43</v>
      </c>
      <c r="D36" s="330"/>
      <c r="E36" s="330"/>
      <c r="F36" s="620">
        <f t="shared" si="2"/>
        <v>4302.43</v>
      </c>
      <c r="G36" s="536">
        <f t="shared" si="0"/>
        <v>3.4116914402579718E-2</v>
      </c>
      <c r="H36" s="276">
        <f t="shared" si="1"/>
        <v>77.415713978325712</v>
      </c>
      <c r="I36" s="427">
        <f t="shared" si="3"/>
        <v>28.465758029830365</v>
      </c>
      <c r="J36" s="148">
        <v>33.755232044329446</v>
      </c>
      <c r="K36" s="427">
        <f t="shared" si="4"/>
        <v>8.0266864514949301</v>
      </c>
      <c r="L36" s="426"/>
      <c r="M36" s="532">
        <f t="shared" si="5"/>
        <v>3.4320928057860425E-2</v>
      </c>
      <c r="N36" s="523"/>
      <c r="O36" s="127"/>
    </row>
    <row r="37" spans="1:15" s="6" customFormat="1" ht="15.75">
      <c r="A37" s="306">
        <v>32</v>
      </c>
      <c r="B37" s="306" t="s">
        <v>714</v>
      </c>
      <c r="C37" s="330">
        <v>4355.7</v>
      </c>
      <c r="D37" s="330"/>
      <c r="E37" s="330"/>
      <c r="F37" s="620">
        <f t="shared" si="2"/>
        <v>4355.7</v>
      </c>
      <c r="G37" s="536">
        <f t="shared" si="0"/>
        <v>3.4539328719657605E-2</v>
      </c>
      <c r="H37" s="276">
        <f t="shared" si="1"/>
        <v>78.374226977636667</v>
      </c>
      <c r="I37" s="427">
        <f t="shared" si="3"/>
        <v>28.818203259677006</v>
      </c>
      <c r="J37" s="148">
        <v>34.173168236435167</v>
      </c>
      <c r="K37" s="427">
        <f t="shared" si="4"/>
        <v>8.1260678678738447</v>
      </c>
      <c r="L37" s="426"/>
      <c r="M37" s="532">
        <f t="shared" si="5"/>
        <v>3.4320928057860439E-2</v>
      </c>
      <c r="N37" s="523"/>
      <c r="O37" s="127"/>
    </row>
    <row r="38" spans="1:15" s="6" customFormat="1" ht="15.75">
      <c r="A38" s="306">
        <v>33</v>
      </c>
      <c r="B38" s="306" t="s">
        <v>715</v>
      </c>
      <c r="C38" s="330">
        <v>61.3</v>
      </c>
      <c r="D38" s="330"/>
      <c r="E38" s="330"/>
      <c r="F38" s="620">
        <f t="shared" si="2"/>
        <v>61.3</v>
      </c>
      <c r="G38" s="536">
        <f t="shared" si="0"/>
        <v>4.8608968719494254E-4</v>
      </c>
      <c r="H38" s="276">
        <f t="shared" si="1"/>
        <v>1.10300069190466</v>
      </c>
      <c r="I38" s="427">
        <f t="shared" si="3"/>
        <v>0.40557335441334352</v>
      </c>
      <c r="J38" s="148">
        <v>0.48093652292248684</v>
      </c>
      <c r="K38" s="427">
        <f t="shared" si="4"/>
        <v>0.11436232070635413</v>
      </c>
      <c r="L38" s="426"/>
      <c r="M38" s="532">
        <f t="shared" si="5"/>
        <v>3.4320928057860439E-2</v>
      </c>
      <c r="N38" s="523"/>
      <c r="O38" s="127"/>
    </row>
    <row r="39" spans="1:15" s="6" customFormat="1" ht="15.75">
      <c r="A39" s="306">
        <v>34</v>
      </c>
      <c r="B39" s="306" t="s">
        <v>716</v>
      </c>
      <c r="C39" s="330">
        <v>105.7</v>
      </c>
      <c r="D39" s="330"/>
      <c r="E39" s="330"/>
      <c r="F39" s="620">
        <f t="shared" si="2"/>
        <v>105.7</v>
      </c>
      <c r="G39" s="536">
        <f t="shared" si="0"/>
        <v>8.3816769880106737E-4</v>
      </c>
      <c r="H39" s="276">
        <f t="shared" si="1"/>
        <v>1.901911470380466</v>
      </c>
      <c r="I39" s="427">
        <f t="shared" si="3"/>
        <v>0.69933284765889736</v>
      </c>
      <c r="J39" s="148">
        <v>0.82928206317955722</v>
      </c>
      <c r="K39" s="427">
        <f t="shared" si="4"/>
        <v>0.19719571449692713</v>
      </c>
      <c r="L39" s="426"/>
      <c r="M39" s="532">
        <f t="shared" si="5"/>
        <v>3.4320928057860432E-2</v>
      </c>
      <c r="N39" s="523"/>
      <c r="O39" s="127"/>
    </row>
    <row r="40" spans="1:15" s="6" customFormat="1" ht="15.75">
      <c r="A40" s="306">
        <v>35</v>
      </c>
      <c r="B40" s="306" t="s">
        <v>717</v>
      </c>
      <c r="C40" s="330">
        <v>124.1</v>
      </c>
      <c r="D40" s="330"/>
      <c r="E40" s="330"/>
      <c r="F40" s="620">
        <f t="shared" si="2"/>
        <v>124.1</v>
      </c>
      <c r="G40" s="536">
        <v>1.1107781461873547E-3</v>
      </c>
      <c r="H40" s="276">
        <f t="shared" si="1"/>
        <v>2.5205000148581123</v>
      </c>
      <c r="I40" s="427">
        <f t="shared" si="3"/>
        <v>0.92678785546332798</v>
      </c>
      <c r="J40" s="148">
        <v>0.97364147625906383</v>
      </c>
      <c r="K40" s="427">
        <f t="shared" si="4"/>
        <v>0.26133277445349895</v>
      </c>
      <c r="L40" s="426"/>
      <c r="M40" s="532">
        <f t="shared" si="5"/>
        <v>3.7729751176744583E-2</v>
      </c>
      <c r="N40" s="523"/>
      <c r="O40" s="127"/>
    </row>
    <row r="41" spans="1:15" s="6" customFormat="1" ht="15.75">
      <c r="A41" s="306">
        <v>36</v>
      </c>
      <c r="B41" s="306" t="s">
        <v>718</v>
      </c>
      <c r="C41" s="330">
        <v>2349.19</v>
      </c>
      <c r="D41" s="330"/>
      <c r="E41" s="330"/>
      <c r="F41" s="620">
        <f t="shared" si="2"/>
        <v>2349.19</v>
      </c>
      <c r="G41" s="536">
        <f t="shared" si="0"/>
        <v>1.8628336578490817E-2</v>
      </c>
      <c r="H41" s="276">
        <f t="shared" si="1"/>
        <v>42.270117380350868</v>
      </c>
      <c r="I41" s="427">
        <f t="shared" si="3"/>
        <v>15.542722160755016</v>
      </c>
      <c r="J41" s="148">
        <v>18.430852696317732</v>
      </c>
      <c r="K41" s="427">
        <f t="shared" si="4"/>
        <v>4.3826887468215343</v>
      </c>
      <c r="L41" s="426"/>
      <c r="M41" s="532">
        <f t="shared" si="5"/>
        <v>3.4320928057860432E-2</v>
      </c>
      <c r="N41" s="523"/>
      <c r="O41" s="127"/>
    </row>
    <row r="42" spans="1:15" s="6" customFormat="1" ht="15.75">
      <c r="A42" s="306">
        <v>37</v>
      </c>
      <c r="B42" s="306" t="s">
        <v>719</v>
      </c>
      <c r="C42" s="330">
        <v>3321.01</v>
      </c>
      <c r="D42" s="330"/>
      <c r="E42" s="330"/>
      <c r="F42" s="620">
        <f t="shared" si="2"/>
        <v>3321.01</v>
      </c>
      <c r="G42" s="536">
        <f t="shared" si="0"/>
        <v>2.6334563002794065E-2</v>
      </c>
      <c r="H42" s="276">
        <f t="shared" si="1"/>
        <v>59.756546946530101</v>
      </c>
      <c r="I42" s="427">
        <f t="shared" si="3"/>
        <v>21.972482312239119</v>
      </c>
      <c r="J42" s="148">
        <v>26.0553833929985</v>
      </c>
      <c r="K42" s="427">
        <f t="shared" si="4"/>
        <v>6.1957326376673603</v>
      </c>
      <c r="L42" s="426"/>
      <c r="M42" s="532">
        <f t="shared" si="5"/>
        <v>3.4320928057860432E-2</v>
      </c>
      <c r="N42" s="523"/>
      <c r="O42" s="127"/>
    </row>
    <row r="43" spans="1:15" s="6" customFormat="1" ht="15.75">
      <c r="A43" s="306">
        <v>38</v>
      </c>
      <c r="B43" s="306" t="s">
        <v>720</v>
      </c>
      <c r="C43" s="330">
        <v>3969.9</v>
      </c>
      <c r="D43" s="330"/>
      <c r="E43" s="330"/>
      <c r="F43" s="620">
        <f t="shared" si="2"/>
        <v>3969.9</v>
      </c>
      <c r="G43" s="536">
        <f t="shared" si="0"/>
        <v>3.1480056267458444E-2</v>
      </c>
      <c r="H43" s="276">
        <f t="shared" si="1"/>
        <v>71.432340078177987</v>
      </c>
      <c r="I43" s="427">
        <f t="shared" si="3"/>
        <v>26.265671446746047</v>
      </c>
      <c r="J43" s="148">
        <v>31.146327933931168</v>
      </c>
      <c r="K43" s="427">
        <f t="shared" si="4"/>
        <v>7.4063128380449488</v>
      </c>
      <c r="L43" s="426"/>
      <c r="M43" s="532">
        <f t="shared" si="5"/>
        <v>3.4320928057860432E-2</v>
      </c>
      <c r="N43" s="523"/>
      <c r="O43" s="127"/>
    </row>
    <row r="44" spans="1:15" s="6" customFormat="1" ht="15.75">
      <c r="A44" s="306">
        <v>39</v>
      </c>
      <c r="B44" s="306" t="s">
        <v>721</v>
      </c>
      <c r="C44" s="330">
        <v>6582.1</v>
      </c>
      <c r="D44" s="330"/>
      <c r="E44" s="330"/>
      <c r="F44" s="620">
        <f t="shared" si="2"/>
        <v>6582.1</v>
      </c>
      <c r="G44" s="536">
        <f t="shared" si="0"/>
        <v>5.219397928361879E-2</v>
      </c>
      <c r="H44" s="276">
        <f t="shared" si="1"/>
        <v>118.43492421183791</v>
      </c>
      <c r="I44" s="427">
        <f t="shared" si="3"/>
        <v>43.548521632692804</v>
      </c>
      <c r="J44" s="148">
        <v>51.640657219055477</v>
      </c>
      <c r="K44" s="427">
        <f t="shared" si="4"/>
        <v>12.279677506056993</v>
      </c>
      <c r="L44" s="426"/>
      <c r="M44" s="532">
        <f t="shared" si="5"/>
        <v>3.4320928057860432E-2</v>
      </c>
      <c r="N44" s="523"/>
      <c r="O44" s="127"/>
    </row>
    <row r="45" spans="1:15" s="6" customFormat="1" ht="15.75">
      <c r="A45" s="306">
        <v>40</v>
      </c>
      <c r="B45" s="306" t="s">
        <v>722</v>
      </c>
      <c r="C45" s="330">
        <v>8461.27</v>
      </c>
      <c r="D45" s="330">
        <v>287.3</v>
      </c>
      <c r="E45" s="330"/>
      <c r="F45" s="620">
        <f t="shared" si="2"/>
        <v>8748.57</v>
      </c>
      <c r="G45" s="536">
        <f t="shared" si="0"/>
        <v>6.9373403828761157E-2</v>
      </c>
      <c r="H45" s="276">
        <f t="shared" si="1"/>
        <v>157.4172718299568</v>
      </c>
      <c r="I45" s="427">
        <f t="shared" si="3"/>
        <v>57.882330851875118</v>
      </c>
      <c r="J45" s="148">
        <v>68.637958178531491</v>
      </c>
      <c r="K45" s="427">
        <f t="shared" si="4"/>
        <v>16.321480718792639</v>
      </c>
      <c r="L45" s="426"/>
      <c r="M45" s="532">
        <f t="shared" si="5"/>
        <v>3.5486285342407935E-2</v>
      </c>
      <c r="N45" s="523"/>
      <c r="O45" s="127"/>
    </row>
    <row r="46" spans="1:15" s="6" customFormat="1" ht="15.75">
      <c r="A46" s="306">
        <v>41</v>
      </c>
      <c r="B46" s="306" t="s">
        <v>723</v>
      </c>
      <c r="C46" s="330">
        <v>3715.24</v>
      </c>
      <c r="D46" s="330"/>
      <c r="E46" s="330">
        <v>109.3</v>
      </c>
      <c r="F46" s="620">
        <f t="shared" si="2"/>
        <v>3824.54</v>
      </c>
      <c r="G46" s="536">
        <f t="shared" si="0"/>
        <v>3.0327397263695686E-2</v>
      </c>
      <c r="H46" s="276">
        <f t="shared" si="1"/>
        <v>68.816806952969799</v>
      </c>
      <c r="I46" s="427">
        <f t="shared" si="3"/>
        <v>25.303939916606996</v>
      </c>
      <c r="J46" s="148">
        <v>30.005888570603062</v>
      </c>
      <c r="K46" s="427">
        <f t="shared" si="4"/>
        <v>7.1351267542296846</v>
      </c>
      <c r="L46" s="426"/>
      <c r="M46" s="532">
        <f t="shared" si="5"/>
        <v>3.5330627952543991E-2</v>
      </c>
      <c r="N46" s="523"/>
      <c r="O46" s="127"/>
    </row>
    <row r="47" spans="1:15" s="6" customFormat="1" ht="15.75">
      <c r="A47" s="306">
        <v>42</v>
      </c>
      <c r="B47" s="306" t="s">
        <v>724</v>
      </c>
      <c r="C47" s="330">
        <v>355.8</v>
      </c>
      <c r="D47" s="330"/>
      <c r="E47" s="330"/>
      <c r="F47" s="620">
        <f t="shared" si="2"/>
        <v>355.8</v>
      </c>
      <c r="G47" s="536">
        <f t="shared" si="0"/>
        <v>2.8213819038166487E-3</v>
      </c>
      <c r="H47" s="276">
        <f t="shared" si="1"/>
        <v>6.4020823194074721</v>
      </c>
      <c r="I47" s="427">
        <f t="shared" si="3"/>
        <v>2.3540456688461275</v>
      </c>
      <c r="J47" s="148">
        <v>2.7914716942221993</v>
      </c>
      <c r="K47" s="427">
        <f t="shared" si="4"/>
        <v>0.663786520510943</v>
      </c>
      <c r="L47" s="426"/>
      <c r="M47" s="532">
        <f t="shared" si="5"/>
        <v>3.4320928057860432E-2</v>
      </c>
      <c r="N47" s="523"/>
      <c r="O47" s="127"/>
    </row>
    <row r="48" spans="1:15" s="6" customFormat="1" ht="15.75">
      <c r="A48" s="306">
        <v>43</v>
      </c>
      <c r="B48" s="306" t="s">
        <v>725</v>
      </c>
      <c r="C48" s="330">
        <v>907.4</v>
      </c>
      <c r="D48" s="330"/>
      <c r="E48" s="330"/>
      <c r="F48" s="620">
        <f t="shared" si="2"/>
        <v>907.4</v>
      </c>
      <c r="G48" s="536">
        <f t="shared" si="0"/>
        <v>7.1953961200765231E-3</v>
      </c>
      <c r="H48" s="276">
        <f t="shared" si="1"/>
        <v>16.327289197949241</v>
      </c>
      <c r="I48" s="427">
        <f t="shared" si="3"/>
        <v>6.0035442380859365</v>
      </c>
      <c r="J48" s="148">
        <v>7.1191158384969748</v>
      </c>
      <c r="K48" s="427">
        <f t="shared" si="4"/>
        <v>1.6928608451704037</v>
      </c>
      <c r="L48" s="426"/>
      <c r="M48" s="532">
        <f t="shared" si="5"/>
        <v>3.4320928057860432E-2</v>
      </c>
      <c r="N48" s="523"/>
      <c r="O48" s="127"/>
    </row>
    <row r="49" spans="1:15" s="6" customFormat="1" ht="15.75">
      <c r="A49" s="306">
        <v>44</v>
      </c>
      <c r="B49" s="306" t="s">
        <v>726</v>
      </c>
      <c r="C49" s="330">
        <v>2273.6</v>
      </c>
      <c r="D49" s="330"/>
      <c r="E49" s="330"/>
      <c r="F49" s="620">
        <f t="shared" si="2"/>
        <v>2273.6</v>
      </c>
      <c r="G49" s="536">
        <f t="shared" si="0"/>
        <v>1.8028931693416336E-2</v>
      </c>
      <c r="H49" s="276">
        <f t="shared" si="1"/>
        <v>40.909989773481811</v>
      </c>
      <c r="I49" s="427">
        <f t="shared" si="3"/>
        <v>15.042603239709264</v>
      </c>
      <c r="J49" s="148">
        <v>17.837802259650342</v>
      </c>
      <c r="K49" s="427">
        <f t="shared" si="4"/>
        <v>4.2416667595100614</v>
      </c>
      <c r="L49" s="426"/>
      <c r="M49" s="532">
        <f t="shared" si="5"/>
        <v>3.4320928057860432E-2</v>
      </c>
      <c r="N49" s="523"/>
      <c r="O49" s="127"/>
    </row>
    <row r="50" spans="1:15" s="6" customFormat="1" ht="15.75">
      <c r="A50" s="306">
        <v>45</v>
      </c>
      <c r="B50" s="306" t="s">
        <v>727</v>
      </c>
      <c r="C50" s="330">
        <v>154.1</v>
      </c>
      <c r="D50" s="330"/>
      <c r="E50" s="330"/>
      <c r="F50" s="620">
        <f t="shared" si="2"/>
        <v>154.1</v>
      </c>
      <c r="G50" s="536">
        <f t="shared" si="0"/>
        <v>1.2219644501915276E-3</v>
      </c>
      <c r="H50" s="276">
        <f t="shared" si="1"/>
        <v>2.7727961928631011</v>
      </c>
      <c r="I50" s="427">
        <f t="shared" si="3"/>
        <v>1.0195571601157623</v>
      </c>
      <c r="J50" s="148">
        <v>1.209010084540868</v>
      </c>
      <c r="K50" s="427">
        <f t="shared" si="4"/>
        <v>0.28749157619656068</v>
      </c>
      <c r="L50" s="426"/>
      <c r="M50" s="532">
        <f t="shared" si="5"/>
        <v>3.4320928057860432E-2</v>
      </c>
      <c r="N50" s="523"/>
      <c r="O50" s="127"/>
    </row>
    <row r="51" spans="1:15" s="6" customFormat="1" ht="15.75">
      <c r="A51" s="306">
        <v>46</v>
      </c>
      <c r="B51" s="306" t="s">
        <v>728</v>
      </c>
      <c r="C51" s="330">
        <v>93.9</v>
      </c>
      <c r="D51" s="330"/>
      <c r="E51" s="330"/>
      <c r="F51" s="620">
        <f t="shared" si="2"/>
        <v>93.9</v>
      </c>
      <c r="G51" s="536">
        <f t="shared" si="0"/>
        <v>7.4459741643727751E-4</v>
      </c>
      <c r="H51" s="276">
        <f t="shared" si="1"/>
        <v>1.6895883355603196</v>
      </c>
      <c r="I51" s="427">
        <f t="shared" si="3"/>
        <v>0.62126163098552956</v>
      </c>
      <c r="J51" s="148">
        <v>0.73670374392204763</v>
      </c>
      <c r="K51" s="427">
        <f t="shared" si="4"/>
        <v>0.1751814341651983</v>
      </c>
      <c r="L51" s="426"/>
      <c r="M51" s="532">
        <f t="shared" si="5"/>
        <v>3.4320928057860432E-2</v>
      </c>
      <c r="N51" s="523"/>
      <c r="O51" s="127"/>
    </row>
    <row r="52" spans="1:15" s="6" customFormat="1" ht="15.75">
      <c r="A52" s="306">
        <v>47</v>
      </c>
      <c r="B52" s="306" t="s">
        <v>729</v>
      </c>
      <c r="C52" s="330">
        <v>296.10000000000002</v>
      </c>
      <c r="D52" s="330"/>
      <c r="E52" s="330"/>
      <c r="F52" s="620">
        <f t="shared" si="2"/>
        <v>296.10000000000002</v>
      </c>
      <c r="G52" s="536">
        <f t="shared" si="0"/>
        <v>2.3479797125354404E-3</v>
      </c>
      <c r="H52" s="276">
        <f t="shared" si="1"/>
        <v>5.3278712051055441</v>
      </c>
      <c r="I52" s="427">
        <f t="shared" si="3"/>
        <v>1.9590582421173086</v>
      </c>
      <c r="J52" s="148">
        <v>2.3230881637414091</v>
      </c>
      <c r="K52" s="427">
        <f t="shared" si="4"/>
        <v>0.55240918696821306</v>
      </c>
      <c r="L52" s="426"/>
      <c r="M52" s="532">
        <f t="shared" si="5"/>
        <v>3.4320928057860432E-2</v>
      </c>
      <c r="N52" s="523"/>
      <c r="O52" s="127"/>
    </row>
    <row r="53" spans="1:15" s="6" customFormat="1" ht="15.75">
      <c r="A53" s="306">
        <v>48</v>
      </c>
      <c r="B53" s="306" t="s">
        <v>647</v>
      </c>
      <c r="C53" s="330">
        <v>4177.21</v>
      </c>
      <c r="D53" s="330">
        <v>6.6</v>
      </c>
      <c r="E53" s="330"/>
      <c r="F53" s="620">
        <f t="shared" si="2"/>
        <v>4183.8100000000004</v>
      </c>
      <c r="G53" s="536">
        <f t="shared" si="0"/>
        <v>3.3176295174275248E-2</v>
      </c>
      <c r="H53" s="276">
        <f t="shared" si="1"/>
        <v>75.281326668803203</v>
      </c>
      <c r="I53" s="427">
        <f t="shared" si="3"/>
        <v>27.680943816118941</v>
      </c>
      <c r="J53" s="148">
        <v>32.824584567183194</v>
      </c>
      <c r="K53" s="427">
        <f t="shared" si="4"/>
        <v>7.8053869656517376</v>
      </c>
      <c r="L53" s="426"/>
      <c r="M53" s="532">
        <f t="shared" si="5"/>
        <v>3.4375155191564963E-2</v>
      </c>
      <c r="N53" s="523"/>
      <c r="O53" s="127"/>
    </row>
    <row r="54" spans="1:15" s="6" customFormat="1" ht="15.75">
      <c r="A54" s="306">
        <v>49</v>
      </c>
      <c r="B54" s="306" t="s">
        <v>648</v>
      </c>
      <c r="C54" s="330">
        <v>4140.68</v>
      </c>
      <c r="D54" s="330"/>
      <c r="E54" s="330"/>
      <c r="F54" s="620">
        <f t="shared" si="2"/>
        <v>4140.68</v>
      </c>
      <c r="G54" s="536">
        <f t="shared" si="0"/>
        <v>3.2834287862550653E-2</v>
      </c>
      <c r="H54" s="276">
        <f t="shared" si="1"/>
        <v>74.505267617549563</v>
      </c>
      <c r="I54" s="427">
        <f t="shared" si="3"/>
        <v>27.395586902972976</v>
      </c>
      <c r="J54" s="148">
        <v>32.486202964676721</v>
      </c>
      <c r="K54" s="427">
        <f t="shared" si="4"/>
        <v>7.7249229054222921</v>
      </c>
      <c r="L54" s="426"/>
      <c r="M54" s="532">
        <f t="shared" si="5"/>
        <v>3.4320928057860439E-2</v>
      </c>
      <c r="N54" s="523"/>
      <c r="O54" s="127"/>
    </row>
    <row r="55" spans="1:15" s="6" customFormat="1" ht="15.75">
      <c r="A55" s="306">
        <v>50</v>
      </c>
      <c r="B55" s="306" t="s">
        <v>1354</v>
      </c>
      <c r="C55" s="818">
        <v>7831.81</v>
      </c>
      <c r="D55" s="330"/>
      <c r="E55" s="330"/>
      <c r="F55" s="620">
        <f t="shared" si="2"/>
        <v>7831.81</v>
      </c>
      <c r="G55" s="536">
        <f t="shared" si="0"/>
        <v>6.2103785857589286E-2</v>
      </c>
      <c r="H55" s="276">
        <f t="shared" si="1"/>
        <v>140.92156360303159</v>
      </c>
      <c r="I55" s="427">
        <f t="shared" si="3"/>
        <v>51.81685893683472</v>
      </c>
      <c r="J55" s="148">
        <v>61.445407334250604</v>
      </c>
      <c r="K55" s="427">
        <f t="shared" si="4"/>
        <v>14.611157698715031</v>
      </c>
      <c r="L55" s="426"/>
      <c r="M55" s="532">
        <f t="shared" si="5"/>
        <v>3.4320928057860432E-2</v>
      </c>
      <c r="N55" s="523"/>
      <c r="O55" s="127"/>
    </row>
    <row r="56" spans="1:15" s="6" customFormat="1" ht="15.75">
      <c r="A56" s="306">
        <v>51</v>
      </c>
      <c r="B56" s="306" t="s">
        <v>1374</v>
      </c>
      <c r="C56" s="818">
        <v>996.1</v>
      </c>
      <c r="D56" s="330"/>
      <c r="E56" s="330"/>
      <c r="F56" s="620">
        <f t="shared" si="2"/>
        <v>996.1</v>
      </c>
      <c r="G56" s="536">
        <f t="shared" si="0"/>
        <v>7.8987591747941652E-3</v>
      </c>
      <c r="H56" s="276">
        <f t="shared" si="1"/>
        <v>17.923311406300684</v>
      </c>
      <c r="I56" s="427">
        <f t="shared" si="3"/>
        <v>6.5904016040967619</v>
      </c>
      <c r="J56" s="148">
        <v>7.8150223569835093</v>
      </c>
      <c r="K56" s="427">
        <f>G56*235.27</f>
        <v>1.8583410710538233</v>
      </c>
      <c r="L56" s="426"/>
      <c r="M56" s="532">
        <f t="shared" si="5"/>
        <v>3.4320928057860432E-2</v>
      </c>
      <c r="N56" s="523"/>
      <c r="O56" s="127"/>
    </row>
    <row r="57" spans="1:15" s="6" customFormat="1" ht="15.75">
      <c r="A57" s="306">
        <v>52</v>
      </c>
      <c r="B57" s="306" t="s">
        <v>1376</v>
      </c>
      <c r="C57" s="818">
        <v>533.79999999999995</v>
      </c>
      <c r="D57" s="330"/>
      <c r="E57" s="330"/>
      <c r="F57" s="620">
        <f t="shared" si="2"/>
        <v>533.79999999999995</v>
      </c>
      <c r="G57" s="536">
        <f t="shared" si="0"/>
        <v>4.2328658242195812E-3</v>
      </c>
      <c r="H57" s="276">
        <f t="shared" si="1"/>
        <v>9.6049228277113787</v>
      </c>
      <c r="I57" s="427">
        <f t="shared" si="3"/>
        <v>3.5317301237494743</v>
      </c>
      <c r="J57" s="148">
        <v>4.1879921033609051</v>
      </c>
      <c r="K57" s="427">
        <f>G57*235.27</f>
        <v>0.99586634246414096</v>
      </c>
      <c r="L57" s="426"/>
      <c r="M57" s="532">
        <f t="shared" si="5"/>
        <v>3.4320928057860432E-2</v>
      </c>
      <c r="N57" s="523"/>
      <c r="O57" s="127"/>
    </row>
    <row r="58" spans="1:15" s="6" customFormat="1" ht="15.75">
      <c r="A58" s="306">
        <v>53</v>
      </c>
      <c r="B58" s="306" t="s">
        <v>1375</v>
      </c>
      <c r="C58" s="818">
        <v>987.3</v>
      </c>
      <c r="D58" s="330"/>
      <c r="E58" s="330"/>
      <c r="F58" s="620">
        <f t="shared" si="2"/>
        <v>987.3</v>
      </c>
      <c r="G58" s="536">
        <f t="shared" si="0"/>
        <v>7.8289779472686255E-3</v>
      </c>
      <c r="H58" s="276">
        <f t="shared" si="1"/>
        <v>17.764968729485656</v>
      </c>
      <c r="I58" s="427">
        <f t="shared" si="3"/>
        <v>6.5321790018318762</v>
      </c>
      <c r="J58" s="148">
        <v>7.7459808985541798</v>
      </c>
      <c r="K58" s="427">
        <f>G58*235.27</f>
        <v>1.8419236416538896</v>
      </c>
      <c r="L58" s="426"/>
      <c r="M58" s="532">
        <f t="shared" si="5"/>
        <v>3.4320928057860425E-2</v>
      </c>
      <c r="N58" s="523"/>
      <c r="O58" s="127"/>
    </row>
    <row r="59" spans="1:15" s="6" customFormat="1" ht="15.75">
      <c r="A59" s="306">
        <v>54</v>
      </c>
      <c r="B59" s="306" t="s">
        <v>1377</v>
      </c>
      <c r="C59" s="818">
        <v>442.6</v>
      </c>
      <c r="D59" s="330"/>
      <c r="E59" s="330"/>
      <c r="F59" s="620">
        <f t="shared" si="2"/>
        <v>442.6</v>
      </c>
      <c r="G59" s="536">
        <f t="shared" si="0"/>
        <v>3.5096785571367309E-3</v>
      </c>
      <c r="H59" s="276">
        <f t="shared" si="1"/>
        <v>7.9639169043556706</v>
      </c>
      <c r="I59" s="427">
        <f t="shared" si="3"/>
        <v>2.9283322457315801</v>
      </c>
      <c r="J59" s="148">
        <v>3.4724715341842196</v>
      </c>
      <c r="K59" s="427">
        <f>G59*235.27</f>
        <v>0.82572207413755871</v>
      </c>
      <c r="L59" s="426"/>
      <c r="M59" s="532">
        <f t="shared" si="5"/>
        <v>3.4320928057860432E-2</v>
      </c>
      <c r="N59" s="523"/>
      <c r="O59" s="127"/>
    </row>
    <row r="60" spans="1:15" s="6" customFormat="1" ht="15.75">
      <c r="A60" s="307">
        <v>55</v>
      </c>
      <c r="B60" s="283" t="s">
        <v>1407</v>
      </c>
      <c r="C60" s="386">
        <v>7013.2</v>
      </c>
      <c r="D60" s="386"/>
      <c r="E60" s="386"/>
      <c r="F60" s="620">
        <f>C60+D60+E60</f>
        <v>7013.2</v>
      </c>
      <c r="G60" s="536">
        <f t="shared" si="0"/>
        <v>5.5612466463875548E-2</v>
      </c>
      <c r="H60" s="276">
        <f t="shared" si="1"/>
        <v>126.19191602717393</v>
      </c>
      <c r="I60" s="427">
        <f t="shared" si="3"/>
        <v>46.40076752319186</v>
      </c>
      <c r="J60" s="148">
        <v>55.022904120065007</v>
      </c>
      <c r="K60" s="426">
        <f t="shared" ref="K60:K67" si="6">G60*235.27</f>
        <v>13.083944984956</v>
      </c>
      <c r="L60" s="426"/>
      <c r="M60" s="532">
        <f t="shared" si="5"/>
        <v>3.4320928057860439E-2</v>
      </c>
      <c r="N60" s="523"/>
      <c r="O60" s="127"/>
    </row>
    <row r="61" spans="1:15" s="6" customFormat="1" ht="15.75">
      <c r="A61" s="307">
        <v>56</v>
      </c>
      <c r="B61" s="283" t="s">
        <v>1390</v>
      </c>
      <c r="C61" s="386">
        <v>8402.66</v>
      </c>
      <c r="D61" s="386"/>
      <c r="E61" s="386"/>
      <c r="F61" s="620">
        <f t="shared" ref="F61:F66" si="7">C61+D61+E61</f>
        <v>8402.66</v>
      </c>
      <c r="G61" s="536">
        <f t="shared" si="0"/>
        <v>6.6630446509061275E-2</v>
      </c>
      <c r="H61" s="276">
        <f t="shared" si="1"/>
        <v>151.19314508710622</v>
      </c>
      <c r="I61" s="427">
        <f t="shared" si="3"/>
        <v>55.593719448528958</v>
      </c>
      <c r="J61" s="148">
        <v>65.924079668839539</v>
      </c>
      <c r="K61" s="426">
        <f t="shared" si="6"/>
        <v>15.676145150186846</v>
      </c>
      <c r="L61" s="426"/>
      <c r="M61" s="532">
        <f t="shared" si="5"/>
        <v>3.4320928057860432E-2</v>
      </c>
      <c r="N61" s="523"/>
      <c r="O61" s="127"/>
    </row>
    <row r="62" spans="1:15" s="6" customFormat="1" ht="15.75">
      <c r="A62" s="307">
        <v>57</v>
      </c>
      <c r="B62" s="306" t="s">
        <v>1386</v>
      </c>
      <c r="C62" s="330">
        <v>2601.63</v>
      </c>
      <c r="D62" s="330"/>
      <c r="E62" s="330"/>
      <c r="F62" s="620">
        <f t="shared" si="7"/>
        <v>2601.63</v>
      </c>
      <c r="G62" s="536">
        <f t="shared" si="0"/>
        <v>2.0630106246280235E-2</v>
      </c>
      <c r="H62" s="276">
        <f t="shared" si="1"/>
        <v>46.812392986621873</v>
      </c>
      <c r="I62" s="427">
        <f t="shared" si="3"/>
        <v>17.212916901180865</v>
      </c>
      <c r="J62" s="148">
        <v>20.411401078806353</v>
      </c>
      <c r="K62" s="426">
        <f t="shared" si="6"/>
        <v>4.8536450965623512</v>
      </c>
      <c r="L62" s="426"/>
      <c r="M62" s="532">
        <f t="shared" si="5"/>
        <v>3.4320928057860432E-2</v>
      </c>
      <c r="N62" s="523"/>
      <c r="O62" s="127"/>
    </row>
    <row r="63" spans="1:15" s="6" customFormat="1" ht="15.75">
      <c r="A63" s="307">
        <v>58</v>
      </c>
      <c r="B63" s="306" t="s">
        <v>1385</v>
      </c>
      <c r="C63" s="330">
        <v>2594.2600000000002</v>
      </c>
      <c r="D63" s="330"/>
      <c r="E63" s="330"/>
      <c r="F63" s="620">
        <f t="shared" si="7"/>
        <v>2594.2600000000002</v>
      </c>
      <c r="G63" s="536">
        <f t="shared" si="0"/>
        <v>2.0571664468227599E-2</v>
      </c>
      <c r="H63" s="276">
        <f t="shared" si="1"/>
        <v>46.679780994789297</v>
      </c>
      <c r="I63" s="427">
        <f t="shared" si="3"/>
        <v>17.164155471784024</v>
      </c>
      <c r="J63" s="148">
        <v>20.353578857371794</v>
      </c>
      <c r="K63" s="426">
        <f t="shared" si="6"/>
        <v>4.8398954994399075</v>
      </c>
      <c r="L63" s="426"/>
      <c r="M63" s="532">
        <f t="shared" si="5"/>
        <v>3.4320928057860432E-2</v>
      </c>
      <c r="N63" s="523"/>
      <c r="O63" s="127"/>
    </row>
    <row r="64" spans="1:15" s="6" customFormat="1" ht="15.75">
      <c r="A64" s="307">
        <v>59</v>
      </c>
      <c r="B64" s="306" t="s">
        <v>1388</v>
      </c>
      <c r="C64" s="330">
        <v>2653.52</v>
      </c>
      <c r="D64" s="330"/>
      <c r="E64" s="330"/>
      <c r="F64" s="620">
        <f t="shared" si="7"/>
        <v>2653.52</v>
      </c>
      <c r="G64" s="536">
        <f t="shared" si="0"/>
        <v>2.1041577598132528E-2</v>
      </c>
      <c r="H64" s="276">
        <f t="shared" si="1"/>
        <v>47.746074975250465</v>
      </c>
      <c r="I64" s="427">
        <f t="shared" si="3"/>
        <v>17.556231768399599</v>
      </c>
      <c r="J64" s="148">
        <v>20.818510314931114</v>
      </c>
      <c r="K64" s="426">
        <f t="shared" si="6"/>
        <v>4.9504519615126403</v>
      </c>
      <c r="L64" s="426"/>
      <c r="M64" s="532">
        <f t="shared" si="5"/>
        <v>3.4320928057860432E-2</v>
      </c>
      <c r="N64" s="523"/>
      <c r="O64" s="127"/>
    </row>
    <row r="65" spans="1:17" s="6" customFormat="1" ht="15.75">
      <c r="A65" s="307">
        <v>60</v>
      </c>
      <c r="B65" s="307" t="s">
        <v>1389</v>
      </c>
      <c r="C65" s="330">
        <v>2150.9</v>
      </c>
      <c r="D65" s="330"/>
      <c r="E65" s="330"/>
      <c r="F65" s="620">
        <f t="shared" si="7"/>
        <v>2150.9</v>
      </c>
      <c r="G65" s="536">
        <f t="shared" si="0"/>
        <v>1.7055959350531842E-2</v>
      </c>
      <c r="H65" s="276">
        <f t="shared" si="1"/>
        <v>38.702189041072323</v>
      </c>
      <c r="I65" s="427">
        <f t="shared" si="3"/>
        <v>14.230794910402293</v>
      </c>
      <c r="J65" s="148">
        <v>16.875144651777763</v>
      </c>
      <c r="K65" s="426">
        <f t="shared" si="6"/>
        <v>4.0127555563996271</v>
      </c>
      <c r="L65" s="426"/>
      <c r="M65" s="532">
        <f t="shared" si="5"/>
        <v>3.4320928057860432E-2</v>
      </c>
      <c r="N65" s="523"/>
      <c r="O65" s="127"/>
    </row>
    <row r="66" spans="1:17" s="6" customFormat="1" ht="15.75">
      <c r="A66" s="307">
        <v>61</v>
      </c>
      <c r="B66" s="307" t="s">
        <v>1397</v>
      </c>
      <c r="C66" s="386">
        <v>3353.7</v>
      </c>
      <c r="D66" s="386"/>
      <c r="E66" s="386"/>
      <c r="F66" s="620">
        <f t="shared" si="7"/>
        <v>3353.7</v>
      </c>
      <c r="G66" s="536">
        <f t="shared" si="0"/>
        <v>2.6593784403681545E-2</v>
      </c>
      <c r="H66" s="276">
        <f t="shared" si="1"/>
        <v>60.344754003925907</v>
      </c>
      <c r="I66" s="427">
        <f t="shared" si="3"/>
        <v>22.188766047243558</v>
      </c>
      <c r="J66" s="148">
        <v>26.311856719822902</v>
      </c>
      <c r="K66" s="426">
        <f t="shared" si="6"/>
        <v>6.2567196566541572</v>
      </c>
      <c r="L66" s="426"/>
      <c r="M66" s="532">
        <f t="shared" si="5"/>
        <v>3.4320928057860432E-2</v>
      </c>
      <c r="N66" s="523"/>
      <c r="O66" s="127"/>
    </row>
    <row r="67" spans="1:17" s="5" customFormat="1" ht="15.75">
      <c r="A67" s="792"/>
      <c r="B67" s="163" t="s">
        <v>749</v>
      </c>
      <c r="C67" s="313">
        <f>SUM(C6:C66)</f>
        <v>249781.08</v>
      </c>
      <c r="D67" s="313">
        <f>SUM(D6:D66)</f>
        <v>1319.2</v>
      </c>
      <c r="E67" s="313">
        <f>SUM(E6:E66)</f>
        <v>1116.55</v>
      </c>
      <c r="F67" s="610">
        <f>SUM(F6:F66)</f>
        <v>252216.83000000002</v>
      </c>
      <c r="G67" s="187">
        <f>2/252216.83*F67</f>
        <v>2</v>
      </c>
      <c r="H67" s="276">
        <f>G67*2269.13</f>
        <v>4538.26</v>
      </c>
      <c r="I67" s="185">
        <f t="shared" si="3"/>
        <v>1668.7182020000002</v>
      </c>
      <c r="J67" s="177">
        <f>SUM(J6:J66)</f>
        <v>1978.7974754116146</v>
      </c>
      <c r="K67" s="276">
        <f t="shared" si="6"/>
        <v>470.54</v>
      </c>
      <c r="L67" s="276"/>
      <c r="M67" s="532">
        <f t="shared" si="5"/>
        <v>3.4655609934153599E-2</v>
      </c>
      <c r="N67" s="129"/>
      <c r="O67" s="129"/>
    </row>
    <row r="68" spans="1:17" s="384" customFormat="1" ht="21" thickBot="1">
      <c r="A68" s="577" t="s">
        <v>984</v>
      </c>
      <c r="B68" s="578"/>
      <c r="C68" s="578"/>
      <c r="D68" s="578"/>
      <c r="E68" s="578"/>
      <c r="F68" s="621"/>
      <c r="G68" s="578"/>
      <c r="H68" s="426"/>
      <c r="I68" s="578"/>
      <c r="J68" s="148"/>
      <c r="K68" s="578"/>
      <c r="L68" s="578"/>
      <c r="M68" s="532"/>
      <c r="N68" s="579"/>
      <c r="O68" s="435"/>
    </row>
    <row r="69" spans="1:17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622">
        <f t="shared" si="2"/>
        <v>6328.85</v>
      </c>
      <c r="G69" s="290">
        <f t="shared" ref="G69:G89" si="8">1/112567.27*F69</f>
        <v>5.6222825693472006E-2</v>
      </c>
      <c r="H69" s="426">
        <f t="shared" ref="H69:H89" si="9">G69*2269.13</f>
        <v>127.57690046582815</v>
      </c>
      <c r="I69" s="427">
        <f t="shared" si="3"/>
        <v>46.910026301285015</v>
      </c>
      <c r="J69" s="148">
        <v>52.531374510112698</v>
      </c>
      <c r="K69" s="426">
        <f>G69*235.27</f>
        <v>13.227544200903159</v>
      </c>
      <c r="L69" s="426"/>
      <c r="M69" s="532">
        <f t="shared" si="5"/>
        <v>3.7960426535330903E-2</v>
      </c>
      <c r="N69" s="127"/>
      <c r="O69" s="766" t="s">
        <v>547</v>
      </c>
      <c r="P69" s="25"/>
      <c r="Q69" s="25"/>
    </row>
    <row r="70" spans="1:17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622">
        <f t="shared" si="2"/>
        <v>7565.74</v>
      </c>
      <c r="G70" s="290">
        <f t="shared" si="8"/>
        <v>6.7210833131157929E-2</v>
      </c>
      <c r="H70" s="426">
        <f t="shared" si="9"/>
        <v>152.51011778290439</v>
      </c>
      <c r="I70" s="148">
        <f>G70*H70/F70</f>
        <v>1.3548353600731757E-3</v>
      </c>
      <c r="J70" s="148">
        <v>62.797936652968545</v>
      </c>
      <c r="K70" s="427">
        <f t="shared" ref="K70:K87" si="10">G70*235.27</f>
        <v>15.812692710767527</v>
      </c>
      <c r="L70" s="426"/>
      <c r="M70" s="532">
        <f t="shared" ref="M70:M133" si="11">(K70+J70+I70+H70)/C70</f>
        <v>3.0743152552062895E-2</v>
      </c>
      <c r="N70" s="127"/>
      <c r="O70" s="766" t="s">
        <v>548</v>
      </c>
      <c r="P70" s="25"/>
      <c r="Q70" s="25"/>
    </row>
    <row r="71" spans="1:17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622">
        <f t="shared" si="2"/>
        <v>7217.2</v>
      </c>
      <c r="G71" s="290">
        <f t="shared" si="8"/>
        <v>6.4114551236784903E-2</v>
      </c>
      <c r="H71" s="426">
        <f t="shared" si="9"/>
        <v>145.48425164792573</v>
      </c>
      <c r="I71" s="148">
        <f t="shared" ref="I71:I87" si="12">H71*0.3677</f>
        <v>53.494559330942295</v>
      </c>
      <c r="J71" s="148">
        <v>59.904948942443781</v>
      </c>
      <c r="K71" s="427">
        <f t="shared" si="10"/>
        <v>15.084230469478385</v>
      </c>
      <c r="L71" s="426"/>
      <c r="M71" s="532">
        <f t="shared" si="11"/>
        <v>3.7960426535330903E-2</v>
      </c>
      <c r="N71" s="127"/>
      <c r="O71" s="127"/>
    </row>
    <row r="72" spans="1:17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622">
        <f t="shared" si="2"/>
        <v>6435.2</v>
      </c>
      <c r="G72" s="290">
        <f t="shared" si="8"/>
        <v>5.7167594097289554E-2</v>
      </c>
      <c r="H72" s="426">
        <f t="shared" si="9"/>
        <v>129.72070279398264</v>
      </c>
      <c r="I72" s="148">
        <f t="shared" si="12"/>
        <v>47.698302417347421</v>
      </c>
      <c r="J72" s="148">
        <v>53.414111765562026</v>
      </c>
      <c r="K72" s="427">
        <f t="shared" si="10"/>
        <v>13.449819863269314</v>
      </c>
      <c r="L72" s="426"/>
      <c r="M72" s="532">
        <f t="shared" si="11"/>
        <v>3.8394174748944819E-2</v>
      </c>
      <c r="N72" s="127"/>
      <c r="O72" s="127"/>
    </row>
    <row r="73" spans="1:17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622">
        <f t="shared" si="2"/>
        <v>8881.51</v>
      </c>
      <c r="G73" s="290">
        <f t="shared" si="8"/>
        <v>7.8899577115088604E-2</v>
      </c>
      <c r="H73" s="426">
        <f t="shared" si="9"/>
        <v>179.03339741916102</v>
      </c>
      <c r="I73" s="148">
        <f t="shared" si="12"/>
        <v>65.830580231025507</v>
      </c>
      <c r="J73" s="148">
        <v>73.719226719753351</v>
      </c>
      <c r="K73" s="427">
        <f t="shared" si="10"/>
        <v>18.562703507866896</v>
      </c>
      <c r="L73" s="426"/>
      <c r="M73" s="532">
        <f t="shared" si="11"/>
        <v>3.7960426535330903E-2</v>
      </c>
      <c r="N73" s="127"/>
      <c r="O73" s="127"/>
    </row>
    <row r="74" spans="1:17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622">
        <f t="shared" si="2"/>
        <v>7938.92</v>
      </c>
      <c r="G74" s="290">
        <f t="shared" si="8"/>
        <v>7.0526006360463397E-2</v>
      </c>
      <c r="H74" s="426">
        <f t="shared" si="9"/>
        <v>160.03267681271831</v>
      </c>
      <c r="I74" s="148">
        <f t="shared" si="12"/>
        <v>58.844015264036528</v>
      </c>
      <c r="J74" s="148">
        <v>65.895443836688159</v>
      </c>
      <c r="K74" s="427">
        <f t="shared" si="10"/>
        <v>16.592653516426225</v>
      </c>
      <c r="L74" s="426"/>
      <c r="M74" s="532">
        <f t="shared" si="11"/>
        <v>3.7960426535330903E-2</v>
      </c>
      <c r="N74" s="127"/>
      <c r="O74" s="127"/>
    </row>
    <row r="75" spans="1:17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622">
        <f t="shared" si="2"/>
        <v>7102.99</v>
      </c>
      <c r="G75" s="290">
        <f t="shared" si="8"/>
        <v>6.3099957918496194E-2</v>
      </c>
      <c r="H75" s="426">
        <f t="shared" si="9"/>
        <v>143.18200751159728</v>
      </c>
      <c r="I75" s="148">
        <f t="shared" si="12"/>
        <v>52.648024162014323</v>
      </c>
      <c r="J75" s="148">
        <v>58.956971303093823</v>
      </c>
      <c r="K75" s="427">
        <f t="shared" si="10"/>
        <v>14.845527099484601</v>
      </c>
      <c r="L75" s="426"/>
      <c r="M75" s="532">
        <f t="shared" si="11"/>
        <v>3.7960426535330903E-2</v>
      </c>
      <c r="N75" s="127"/>
      <c r="O75" s="127"/>
    </row>
    <row r="76" spans="1:17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622">
        <f t="shared" si="2"/>
        <v>2982.2</v>
      </c>
      <c r="G76" s="290">
        <f t="shared" si="8"/>
        <v>2.6492603045272393E-2</v>
      </c>
      <c r="H76" s="426">
        <f t="shared" si="9"/>
        <v>60.115160348118948</v>
      </c>
      <c r="I76" s="148">
        <f t="shared" si="12"/>
        <v>22.10434446000334</v>
      </c>
      <c r="J76" s="148">
        <v>24.753164487080287</v>
      </c>
      <c r="K76" s="427">
        <f t="shared" si="10"/>
        <v>6.2329147184612363</v>
      </c>
      <c r="L76" s="426"/>
      <c r="M76" s="532">
        <f t="shared" si="11"/>
        <v>3.7960426535330903E-2</v>
      </c>
      <c r="N76" s="127"/>
      <c r="O76" s="127"/>
    </row>
    <row r="77" spans="1:17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622">
        <f t="shared" si="2"/>
        <v>2528.85</v>
      </c>
      <c r="G77" s="290">
        <f t="shared" si="8"/>
        <v>2.2465233455515089E-2</v>
      </c>
      <c r="H77" s="426">
        <f t="shared" si="9"/>
        <v>50.976535190912955</v>
      </c>
      <c r="I77" s="148">
        <f t="shared" si="12"/>
        <v>18.744071989698696</v>
      </c>
      <c r="J77" s="148">
        <v>20.989806973016105</v>
      </c>
      <c r="K77" s="427">
        <f t="shared" si="10"/>
        <v>5.2853954750790351</v>
      </c>
      <c r="L77" s="426"/>
      <c r="M77" s="532">
        <f t="shared" si="11"/>
        <v>3.8792455196276894E-2</v>
      </c>
      <c r="N77" s="127"/>
      <c r="O77" s="127"/>
    </row>
    <row r="78" spans="1:17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622">
        <f t="shared" ref="F78:F143" si="13">C78+D78+E78</f>
        <v>4250.83</v>
      </c>
      <c r="G78" s="290">
        <f t="shared" si="8"/>
        <v>3.7762575213914309E-2</v>
      </c>
      <c r="H78" s="426">
        <f t="shared" si="9"/>
        <v>85.688192295149378</v>
      </c>
      <c r="I78" s="148">
        <f t="shared" si="12"/>
        <v>31.507548306926427</v>
      </c>
      <c r="J78" s="148">
        <v>35.283178256527229</v>
      </c>
      <c r="K78" s="427">
        <f t="shared" si="10"/>
        <v>8.8844010705776206</v>
      </c>
      <c r="L78" s="426"/>
      <c r="M78" s="532">
        <f t="shared" si="11"/>
        <v>3.7960426535330903E-2</v>
      </c>
      <c r="N78" s="127"/>
      <c r="O78" s="127"/>
    </row>
    <row r="79" spans="1:17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622">
        <f t="shared" si="13"/>
        <v>2862.08</v>
      </c>
      <c r="G79" s="290">
        <f t="shared" si="8"/>
        <v>2.5425507787476768E-2</v>
      </c>
      <c r="H79" s="426">
        <f t="shared" si="9"/>
        <v>57.693782485797158</v>
      </c>
      <c r="I79" s="148">
        <f t="shared" si="12"/>
        <v>21.214003820027617</v>
      </c>
      <c r="J79" s="148">
        <v>23.756132055255435</v>
      </c>
      <c r="K79" s="427">
        <f t="shared" si="10"/>
        <v>5.9818592171596592</v>
      </c>
      <c r="L79" s="426"/>
      <c r="M79" s="532">
        <f t="shared" si="11"/>
        <v>3.7960426535330903E-2</v>
      </c>
      <c r="N79" s="127"/>
      <c r="O79" s="127"/>
    </row>
    <row r="80" spans="1:17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622">
        <f t="shared" si="13"/>
        <v>6415.24</v>
      </c>
      <c r="G80" s="290">
        <f t="shared" si="8"/>
        <v>5.6990277902271236E-2</v>
      </c>
      <c r="H80" s="426">
        <f t="shared" si="9"/>
        <v>129.31834929638075</v>
      </c>
      <c r="I80" s="148">
        <f t="shared" si="12"/>
        <v>47.550357036279202</v>
      </c>
      <c r="J80" s="148">
        <v>52.805201515822837</v>
      </c>
      <c r="K80" s="427">
        <f t="shared" si="10"/>
        <v>13.408102682067355</v>
      </c>
      <c r="L80" s="426"/>
      <c r="M80" s="532">
        <f t="shared" si="11"/>
        <v>3.8209387619077211E-2</v>
      </c>
      <c r="N80" s="127"/>
      <c r="O80" s="127"/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622">
        <f t="shared" si="13"/>
        <v>2523.4899999999998</v>
      </c>
      <c r="G81" s="290">
        <f t="shared" si="8"/>
        <v>2.2417617483305757E-2</v>
      </c>
      <c r="H81" s="426">
        <f t="shared" si="9"/>
        <v>50.868488359893597</v>
      </c>
      <c r="I81" s="148">
        <f t="shared" si="12"/>
        <v>18.704343169932876</v>
      </c>
      <c r="J81" s="148">
        <v>20.945732362518353</v>
      </c>
      <c r="K81" s="427">
        <f t="shared" si="10"/>
        <v>5.274192865297346</v>
      </c>
      <c r="L81" s="426"/>
      <c r="M81" s="532">
        <f t="shared" si="11"/>
        <v>3.7960426535330903E-2</v>
      </c>
      <c r="N81" s="127"/>
      <c r="O81" s="127"/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622">
        <f t="shared" si="13"/>
        <v>2727.04</v>
      </c>
      <c r="G82" s="290">
        <f t="shared" si="8"/>
        <v>2.4225869562262636E-2</v>
      </c>
      <c r="H82" s="426">
        <f t="shared" si="9"/>
        <v>54.971647399817016</v>
      </c>
      <c r="I82" s="148">
        <f t="shared" si="12"/>
        <v>20.213074748912717</v>
      </c>
      <c r="J82" s="148">
        <v>22.635259098265518</v>
      </c>
      <c r="K82" s="427">
        <f t="shared" si="10"/>
        <v>5.6996203319135308</v>
      </c>
      <c r="L82" s="426"/>
      <c r="M82" s="532">
        <f t="shared" si="11"/>
        <v>3.7960426535330903E-2</v>
      </c>
      <c r="N82" s="127"/>
      <c r="O82" s="127"/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622">
        <f t="shared" si="13"/>
        <v>11075.779999999999</v>
      </c>
      <c r="G83" s="290">
        <f t="shared" si="8"/>
        <v>9.8392543409820621E-2</v>
      </c>
      <c r="H83" s="426">
        <f t="shared" si="9"/>
        <v>223.26547202752627</v>
      </c>
      <c r="I83" s="148">
        <f t="shared" si="12"/>
        <v>82.094714064521412</v>
      </c>
      <c r="J83" s="148">
        <v>91.932333231411064</v>
      </c>
      <c r="K83" s="427">
        <f t="shared" si="10"/>
        <v>23.148813688028497</v>
      </c>
      <c r="L83" s="426"/>
      <c r="M83" s="532">
        <f t="shared" si="11"/>
        <v>3.8204643080813165E-2</v>
      </c>
      <c r="N83" s="127"/>
      <c r="O83" s="127"/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622">
        <f t="shared" si="13"/>
        <v>6438.12</v>
      </c>
      <c r="G84" s="290">
        <f t="shared" si="8"/>
        <v>5.7193534141851354E-2</v>
      </c>
      <c r="H84" s="426">
        <f t="shared" si="9"/>
        <v>129.77956412729918</v>
      </c>
      <c r="I84" s="148">
        <f t="shared" si="12"/>
        <v>47.719945729607915</v>
      </c>
      <c r="J84" s="148">
        <v>53.438348651184143</v>
      </c>
      <c r="K84" s="427">
        <f t="shared" si="10"/>
        <v>13.455922777553369</v>
      </c>
      <c r="L84" s="426"/>
      <c r="M84" s="532">
        <f t="shared" si="11"/>
        <v>3.7960426535330903E-2</v>
      </c>
      <c r="N84" s="127"/>
      <c r="O84" s="127"/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622">
        <f t="shared" si="13"/>
        <v>6322.5</v>
      </c>
      <c r="G85" s="290">
        <f t="shared" si="8"/>
        <v>5.6166414980126991E-2</v>
      </c>
      <c r="H85" s="426">
        <f t="shared" si="9"/>
        <v>127.44889722385557</v>
      </c>
      <c r="I85" s="148">
        <f t="shared" si="12"/>
        <v>46.862959509211699</v>
      </c>
      <c r="J85" s="148">
        <v>52.478667584187889</v>
      </c>
      <c r="K85" s="427">
        <f t="shared" si="10"/>
        <v>13.214272452374479</v>
      </c>
      <c r="L85" s="426"/>
      <c r="M85" s="532">
        <f t="shared" si="11"/>
        <v>3.7960426535330903E-2</v>
      </c>
      <c r="N85" s="127"/>
      <c r="O85" s="127"/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622">
        <f t="shared" si="13"/>
        <v>3207.6099999999997</v>
      </c>
      <c r="G86" s="290">
        <f t="shared" si="8"/>
        <v>2.8495050115366568E-2</v>
      </c>
      <c r="H86" s="426">
        <f t="shared" si="9"/>
        <v>64.658973068281739</v>
      </c>
      <c r="I86" s="148">
        <f t="shared" si="12"/>
        <v>23.775104397207198</v>
      </c>
      <c r="J86" s="148">
        <v>25.423081966039529</v>
      </c>
      <c r="K86" s="427">
        <f t="shared" si="10"/>
        <v>6.7040304406422928</v>
      </c>
      <c r="L86" s="426"/>
      <c r="M86" s="532">
        <f t="shared" si="11"/>
        <v>3.9361649500694033E-2</v>
      </c>
      <c r="N86" s="127"/>
      <c r="O86" s="127"/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622">
        <f t="shared" si="13"/>
        <v>2997.37</v>
      </c>
      <c r="G87" s="290">
        <f t="shared" si="8"/>
        <v>2.6627366906917079E-2</v>
      </c>
      <c r="H87" s="426">
        <f t="shared" si="9"/>
        <v>60.420957069492758</v>
      </c>
      <c r="I87" s="148">
        <f t="shared" si="12"/>
        <v>22.21678591445249</v>
      </c>
      <c r="J87" s="148">
        <v>24.879080088069156</v>
      </c>
      <c r="K87" s="427">
        <f t="shared" si="10"/>
        <v>6.2646206121903818</v>
      </c>
      <c r="L87" s="426"/>
      <c r="M87" s="532">
        <f t="shared" si="11"/>
        <v>3.7960426535330903E-2</v>
      </c>
      <c r="N87" s="127"/>
      <c r="O87" s="127"/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622">
        <f t="shared" si="13"/>
        <v>6397.6</v>
      </c>
      <c r="G88" s="290">
        <f t="shared" si="8"/>
        <v>5.683357160567188E-2</v>
      </c>
      <c r="H88" s="426">
        <f t="shared" si="9"/>
        <v>128.96276233757823</v>
      </c>
      <c r="I88" s="148">
        <f>H88*0.3677</f>
        <v>47.419607711527519</v>
      </c>
      <c r="J88" s="148">
        <v>53.102020361660813</v>
      </c>
      <c r="K88" s="144">
        <f>G88*235.27</f>
        <v>13.371234391666423</v>
      </c>
      <c r="L88" s="144"/>
      <c r="M88" s="532">
        <f t="shared" si="11"/>
        <v>3.7960426535330903E-2</v>
      </c>
      <c r="N88" s="127"/>
      <c r="O88" s="127"/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627">
        <f t="shared" si="13"/>
        <v>566.29999999999995</v>
      </c>
      <c r="G89" s="290">
        <f t="shared" si="8"/>
        <v>5.0307696011460522E-3</v>
      </c>
      <c r="H89" s="426">
        <f t="shared" si="9"/>
        <v>11.415470225048542</v>
      </c>
      <c r="I89" s="144">
        <f>H89*0.3677</f>
        <v>4.1974684017503492</v>
      </c>
      <c r="J89" s="148">
        <v>0</v>
      </c>
      <c r="K89" s="144">
        <f>G89*200</f>
        <v>1.0061539202292105</v>
      </c>
      <c r="L89" s="144"/>
      <c r="M89" s="532">
        <f t="shared" si="11"/>
        <v>2.9346799482656019E-2</v>
      </c>
      <c r="N89" s="127"/>
      <c r="O89" s="127"/>
      <c r="S89" s="6">
        <v>2</v>
      </c>
    </row>
    <row r="90" spans="1:19" s="379" customFormat="1" ht="16.5" thickBot="1">
      <c r="A90" s="160"/>
      <c r="B90" s="160" t="s">
        <v>749</v>
      </c>
      <c r="C90" s="551">
        <f>SUM(C69:C89)</f>
        <v>112321.67</v>
      </c>
      <c r="D90" s="551">
        <f>SUM(D69:D88)</f>
        <v>0</v>
      </c>
      <c r="E90" s="551">
        <f>SUM(E69:E88)</f>
        <v>443.75</v>
      </c>
      <c r="F90" s="623">
        <f>SUM(F69:F89)</f>
        <v>112765.42</v>
      </c>
      <c r="G90" s="290">
        <f>1/112765.42*F90</f>
        <v>0.99999999999999989</v>
      </c>
      <c r="H90" s="426">
        <f>G90*2269.13</f>
        <v>2269.1299999999997</v>
      </c>
      <c r="I90" s="144">
        <f>SUM(I69:I89)</f>
        <v>779.75119180207082</v>
      </c>
      <c r="J90" s="148">
        <f>SUM(J68:J89)</f>
        <v>929.6420203616608</v>
      </c>
      <c r="K90" s="144">
        <f>SUM(K69:K89)</f>
        <v>235.50670601143659</v>
      </c>
      <c r="L90" s="144"/>
      <c r="M90" s="532">
        <f t="shared" si="11"/>
        <v>3.7517514814150894E-2</v>
      </c>
      <c r="N90" s="127"/>
      <c r="O90" s="132"/>
    </row>
    <row r="91" spans="1:19" s="576" customFormat="1" ht="17.25" customHeight="1" thickBot="1">
      <c r="A91" s="1051" t="s">
        <v>50</v>
      </c>
      <c r="B91" s="1052"/>
      <c r="C91" s="572"/>
      <c r="D91" s="572"/>
      <c r="E91" s="572"/>
      <c r="F91" s="624">
        <f t="shared" si="13"/>
        <v>0</v>
      </c>
      <c r="G91" s="573"/>
      <c r="H91" s="426">
        <f>G91*2077.52</f>
        <v>0</v>
      </c>
      <c r="I91" s="574"/>
      <c r="J91" s="148">
        <v>0</v>
      </c>
      <c r="K91" s="574"/>
      <c r="L91" s="924"/>
      <c r="M91" s="532" t="e">
        <f t="shared" si="11"/>
        <v>#DIV/0!</v>
      </c>
      <c r="N91" s="575"/>
      <c r="O91" s="575"/>
    </row>
    <row r="92" spans="1:19" s="6" customFormat="1" ht="15.75">
      <c r="A92" s="275">
        <v>1</v>
      </c>
      <c r="B92" s="249" t="s">
        <v>51</v>
      </c>
      <c r="C92" s="157">
        <v>478.7</v>
      </c>
      <c r="D92" s="157">
        <v>165.3</v>
      </c>
      <c r="E92" s="157">
        <v>45.3</v>
      </c>
      <c r="F92" s="622">
        <f t="shared" si="13"/>
        <v>689.3</v>
      </c>
      <c r="G92" s="290">
        <f t="shared" ref="G92:G155" si="14">1/112567.27*F92</f>
        <v>6.1234495604272892E-3</v>
      </c>
      <c r="H92" s="426">
        <f t="shared" ref="H92:H155" si="15">G92*2269.13</f>
        <v>13.894903101052375</v>
      </c>
      <c r="I92" s="561">
        <f t="shared" ref="I92:I155" si="16">H92*0.3677</f>
        <v>5.1091558702569584</v>
      </c>
      <c r="J92" s="148">
        <v>2.668259773129984</v>
      </c>
      <c r="K92" s="919">
        <f>G92*367.79</f>
        <v>2.2521435138295529</v>
      </c>
      <c r="L92" s="925">
        <f>K92*1.219</f>
        <v>2.7453629433582254</v>
      </c>
      <c r="M92" s="532">
        <f t="shared" si="11"/>
        <v>4.9977986752180639E-2</v>
      </c>
      <c r="N92" s="127"/>
      <c r="O92" s="127" t="s">
        <v>12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157"/>
      <c r="E93" s="157">
        <v>39.9</v>
      </c>
      <c r="F93" s="622">
        <f t="shared" si="13"/>
        <v>356.29999999999995</v>
      </c>
      <c r="G93" s="290">
        <f t="shared" si="14"/>
        <v>3.1652184511536965E-3</v>
      </c>
      <c r="H93" s="426">
        <f t="shared" si="15"/>
        <v>7.1822921440663876</v>
      </c>
      <c r="I93" s="561">
        <f t="shared" si="16"/>
        <v>2.6409288213732109</v>
      </c>
      <c r="J93" s="148">
        <v>1.3792266896361718</v>
      </c>
      <c r="K93" s="428">
        <f>G93*301.5</f>
        <v>0.95431336302283953</v>
      </c>
      <c r="L93" s="925">
        <f t="shared" ref="L93:L156" si="17">K93*1.219</f>
        <v>1.1633079895248415</v>
      </c>
      <c r="M93" s="532">
        <f t="shared" si="11"/>
        <v>3.8422127111563245E-2</v>
      </c>
      <c r="N93" s="127"/>
      <c r="O93" s="127" t="s">
        <v>555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157"/>
      <c r="E94" s="157"/>
      <c r="F94" s="622">
        <f t="shared" si="13"/>
        <v>425.13</v>
      </c>
      <c r="G94" s="290">
        <f t="shared" si="14"/>
        <v>3.7766750495059533E-3</v>
      </c>
      <c r="H94" s="426">
        <f t="shared" si="15"/>
        <v>8.569766655085445</v>
      </c>
      <c r="I94" s="561">
        <f t="shared" si="16"/>
        <v>3.1511031990749183</v>
      </c>
      <c r="J94" s="148">
        <v>1.6456655699271001</v>
      </c>
      <c r="K94" s="428">
        <f>G94*367.79</f>
        <v>1.3890233164577948</v>
      </c>
      <c r="L94" s="925">
        <f t="shared" si="17"/>
        <v>1.6932194227620518</v>
      </c>
      <c r="M94" s="532">
        <f t="shared" si="11"/>
        <v>3.4708345072202051E-2</v>
      </c>
      <c r="N94" s="127"/>
      <c r="O94" s="127"/>
    </row>
    <row r="95" spans="1:19" s="6" customFormat="1" ht="15.75">
      <c r="A95" s="268">
        <v>4</v>
      </c>
      <c r="B95" s="176" t="s">
        <v>54</v>
      </c>
      <c r="C95" s="157">
        <v>690.66</v>
      </c>
      <c r="D95" s="157"/>
      <c r="E95" s="157"/>
      <c r="F95" s="622">
        <f t="shared" si="13"/>
        <v>690.66</v>
      </c>
      <c r="G95" s="290">
        <f t="shared" si="14"/>
        <v>6.1355312250177159E-3</v>
      </c>
      <c r="H95" s="426">
        <f t="shared" si="15"/>
        <v>13.92231796862445</v>
      </c>
      <c r="I95" s="561">
        <f t="shared" si="16"/>
        <v>5.1192363170632103</v>
      </c>
      <c r="J95" s="148">
        <v>2.6735242926301388</v>
      </c>
      <c r="K95" s="428">
        <f>G95*367.79</f>
        <v>2.2565870292492658</v>
      </c>
      <c r="L95" s="925">
        <f t="shared" si="17"/>
        <v>2.7507795886548552</v>
      </c>
      <c r="M95" s="532">
        <f t="shared" si="11"/>
        <v>3.4708345072202045E-2</v>
      </c>
      <c r="N95" s="127"/>
      <c r="O95" s="127"/>
    </row>
    <row r="96" spans="1:19" s="6" customFormat="1" ht="15.75">
      <c r="A96" s="268">
        <v>5</v>
      </c>
      <c r="B96" s="176" t="s">
        <v>55</v>
      </c>
      <c r="C96" s="157">
        <v>590.26</v>
      </c>
      <c r="D96" s="157"/>
      <c r="E96" s="157">
        <v>27.8</v>
      </c>
      <c r="F96" s="622">
        <f t="shared" si="13"/>
        <v>618.05999999999995</v>
      </c>
      <c r="G96" s="290">
        <f t="shared" si="14"/>
        <v>5.4905835417346444E-3</v>
      </c>
      <c r="H96" s="426">
        <f t="shared" si="15"/>
        <v>12.458847832056334</v>
      </c>
      <c r="I96" s="561">
        <f t="shared" si="16"/>
        <v>4.5811183478471138</v>
      </c>
      <c r="J96" s="148">
        <v>2.3924918546071634</v>
      </c>
      <c r="K96" s="428">
        <f>G96*301.5</f>
        <v>1.6554109378329953</v>
      </c>
      <c r="L96" s="925">
        <f t="shared" si="17"/>
        <v>2.0179459332184213</v>
      </c>
      <c r="M96" s="532">
        <f t="shared" si="11"/>
        <v>3.5726406960227032E-2</v>
      </c>
      <c r="N96" s="127"/>
      <c r="O96" s="127"/>
    </row>
    <row r="97" spans="1:15" s="6" customFormat="1" ht="15.75">
      <c r="A97" s="268">
        <v>6</v>
      </c>
      <c r="B97" s="176" t="s">
        <v>56</v>
      </c>
      <c r="C97" s="157">
        <v>1277.7</v>
      </c>
      <c r="D97" s="157"/>
      <c r="E97" s="157">
        <v>49.7</v>
      </c>
      <c r="F97" s="622">
        <f t="shared" si="13"/>
        <v>1327.4</v>
      </c>
      <c r="G97" s="290">
        <f t="shared" si="14"/>
        <v>1.1792059983332635E-2</v>
      </c>
      <c r="H97" s="426">
        <f t="shared" si="15"/>
        <v>26.757717069979581</v>
      </c>
      <c r="I97" s="561">
        <f t="shared" si="16"/>
        <v>9.8388125666314927</v>
      </c>
      <c r="J97" s="148">
        <v>5.1383258709600197</v>
      </c>
      <c r="K97" s="427">
        <f>G97*235.27</f>
        <v>2.7743179522786692</v>
      </c>
      <c r="L97" s="925">
        <f t="shared" si="17"/>
        <v>3.381893583827698</v>
      </c>
      <c r="M97" s="532">
        <f t="shared" si="11"/>
        <v>3.483538660080595E-2</v>
      </c>
      <c r="N97" s="127"/>
      <c r="O97" s="127"/>
    </row>
    <row r="98" spans="1:15" s="6" customFormat="1" ht="15.75">
      <c r="A98" s="268">
        <v>7</v>
      </c>
      <c r="B98" s="176" t="s">
        <v>57</v>
      </c>
      <c r="C98" s="157">
        <v>1422.3</v>
      </c>
      <c r="D98" s="157"/>
      <c r="E98" s="157">
        <v>106</v>
      </c>
      <c r="F98" s="622">
        <f t="shared" si="13"/>
        <v>1528.3</v>
      </c>
      <c r="G98" s="290">
        <f t="shared" si="14"/>
        <v>1.3576770583491986E-2</v>
      </c>
      <c r="H98" s="426">
        <f t="shared" si="15"/>
        <v>30.807457434119172</v>
      </c>
      <c r="I98" s="561">
        <f t="shared" si="16"/>
        <v>11.32790209852562</v>
      </c>
      <c r="J98" s="148">
        <v>5.9160037882990775</v>
      </c>
      <c r="K98" s="427">
        <f>G98*235.27</f>
        <v>3.1942068151781595</v>
      </c>
      <c r="L98" s="925">
        <f t="shared" si="17"/>
        <v>3.8937381077021769</v>
      </c>
      <c r="M98" s="532">
        <f t="shared" si="11"/>
        <v>3.6030071107447111E-2</v>
      </c>
      <c r="N98" s="127"/>
      <c r="O98" s="127"/>
    </row>
    <row r="99" spans="1:15" s="6" customFormat="1" ht="15.75">
      <c r="A99" s="275">
        <v>8</v>
      </c>
      <c r="B99" s="176" t="s">
        <v>58</v>
      </c>
      <c r="C99" s="157">
        <v>736.94</v>
      </c>
      <c r="D99" s="157"/>
      <c r="E99" s="157"/>
      <c r="F99" s="622">
        <f t="shared" si="13"/>
        <v>736.94</v>
      </c>
      <c r="G99" s="290">
        <f t="shared" si="14"/>
        <v>6.5466631641684127E-3</v>
      </c>
      <c r="H99" s="426">
        <f t="shared" si="15"/>
        <v>14.85522978570947</v>
      </c>
      <c r="I99" s="561">
        <f t="shared" si="16"/>
        <v>5.4622679922053727</v>
      </c>
      <c r="J99" s="148">
        <v>2.8526727944442341</v>
      </c>
      <c r="K99" s="428">
        <f>G99*301.5</f>
        <v>1.9738189439967764</v>
      </c>
      <c r="L99" s="925">
        <f t="shared" si="17"/>
        <v>2.4060852927320706</v>
      </c>
      <c r="M99" s="532">
        <f t="shared" si="11"/>
        <v>3.4119452759187791E-2</v>
      </c>
      <c r="N99" s="127"/>
      <c r="O99" s="127"/>
    </row>
    <row r="100" spans="1:15" s="6" customFormat="1" ht="15.75">
      <c r="A100" s="268">
        <v>9</v>
      </c>
      <c r="B100" s="176" t="s">
        <v>59</v>
      </c>
      <c r="C100" s="157">
        <v>588.29</v>
      </c>
      <c r="D100" s="157"/>
      <c r="E100" s="157"/>
      <c r="F100" s="622">
        <f t="shared" si="13"/>
        <v>588.29</v>
      </c>
      <c r="G100" s="290">
        <f t="shared" si="14"/>
        <v>5.2261194572809661E-3</v>
      </c>
      <c r="H100" s="426">
        <f t="shared" si="15"/>
        <v>11.85874444409996</v>
      </c>
      <c r="I100" s="561">
        <f t="shared" si="16"/>
        <v>4.3604603320955553</v>
      </c>
      <c r="J100" s="148">
        <v>2.2772530711368608</v>
      </c>
      <c r="K100" s="428">
        <f>G100*367.79</f>
        <v>1.9221144751933665</v>
      </c>
      <c r="L100" s="925">
        <f t="shared" si="17"/>
        <v>2.3430575452607139</v>
      </c>
      <c r="M100" s="532">
        <f t="shared" si="11"/>
        <v>3.4708345072202045E-2</v>
      </c>
      <c r="N100" s="127"/>
      <c r="O100" s="127"/>
    </row>
    <row r="101" spans="1:15" s="6" customFormat="1" ht="15.75">
      <c r="A101" s="268">
        <v>10</v>
      </c>
      <c r="B101" s="274" t="s">
        <v>60</v>
      </c>
      <c r="C101" s="157">
        <v>264.32</v>
      </c>
      <c r="D101" s="157"/>
      <c r="E101" s="157"/>
      <c r="F101" s="622">
        <f t="shared" si="13"/>
        <v>264.32</v>
      </c>
      <c r="G101" s="290">
        <f t="shared" si="14"/>
        <v>2.3481070474570451E-3</v>
      </c>
      <c r="H101" s="426">
        <f t="shared" si="15"/>
        <v>5.3281601445962048</v>
      </c>
      <c r="I101" s="561">
        <f t="shared" si="16"/>
        <v>1.9591644851680245</v>
      </c>
      <c r="J101" s="148">
        <v>1.0231748487359891</v>
      </c>
      <c r="K101" s="428">
        <f>G101*235.27</f>
        <v>0.55243914505521907</v>
      </c>
      <c r="L101" s="925">
        <f t="shared" si="17"/>
        <v>0.67342331782231213</v>
      </c>
      <c r="M101" s="532">
        <f t="shared" si="11"/>
        <v>3.3531093460787822E-2</v>
      </c>
      <c r="N101" s="127"/>
      <c r="O101" s="127"/>
    </row>
    <row r="102" spans="1:15" s="6" customFormat="1" ht="15.75">
      <c r="A102" s="268">
        <v>11</v>
      </c>
      <c r="B102" s="176" t="s">
        <v>61</v>
      </c>
      <c r="C102" s="157">
        <v>181.4</v>
      </c>
      <c r="D102" s="157"/>
      <c r="E102" s="157">
        <v>21.3</v>
      </c>
      <c r="F102" s="622">
        <f t="shared" si="13"/>
        <v>202.70000000000002</v>
      </c>
      <c r="G102" s="290">
        <f t="shared" si="14"/>
        <v>1.8007010385878597E-3</v>
      </c>
      <c r="H102" s="426">
        <f t="shared" si="15"/>
        <v>4.0860247476908702</v>
      </c>
      <c r="I102" s="561">
        <f t="shared" si="16"/>
        <v>1.502431299725933</v>
      </c>
      <c r="J102" s="148">
        <v>0.7846456637363235</v>
      </c>
      <c r="K102" s="428">
        <f>G102*367.79</f>
        <v>0.66227983498222898</v>
      </c>
      <c r="L102" s="925">
        <f t="shared" si="17"/>
        <v>0.80731911884333718</v>
      </c>
      <c r="M102" s="532">
        <f t="shared" si="11"/>
        <v>3.8783801246611661E-2</v>
      </c>
      <c r="N102" s="127"/>
      <c r="O102" s="127"/>
    </row>
    <row r="103" spans="1:15" s="6" customFormat="1" ht="15.75">
      <c r="A103" s="268">
        <v>12</v>
      </c>
      <c r="B103" s="176" t="s">
        <v>62</v>
      </c>
      <c r="C103" s="157">
        <v>366.9</v>
      </c>
      <c r="D103" s="157"/>
      <c r="E103" s="157"/>
      <c r="F103" s="622">
        <f t="shared" si="13"/>
        <v>366.9</v>
      </c>
      <c r="G103" s="290">
        <f t="shared" si="14"/>
        <v>3.2593843663437871E-3</v>
      </c>
      <c r="H103" s="426">
        <f t="shared" si="15"/>
        <v>7.3959668472016782</v>
      </c>
      <c r="I103" s="561">
        <f t="shared" si="16"/>
        <v>2.7194970097160573</v>
      </c>
      <c r="J103" s="148">
        <v>1.4202589739756146</v>
      </c>
      <c r="K103" s="428">
        <f>G103*235.27</f>
        <v>0.76683535986970286</v>
      </c>
      <c r="L103" s="925">
        <f t="shared" si="17"/>
        <v>0.93477230368116782</v>
      </c>
      <c r="M103" s="532">
        <f t="shared" si="11"/>
        <v>3.3531093460787829E-2</v>
      </c>
      <c r="N103" s="127"/>
      <c r="O103" s="127"/>
    </row>
    <row r="104" spans="1:15" s="6" customFormat="1" ht="15.75">
      <c r="A104" s="268">
        <v>13</v>
      </c>
      <c r="B104" s="176" t="s">
        <v>63</v>
      </c>
      <c r="C104" s="157">
        <v>580.66999999999996</v>
      </c>
      <c r="D104" s="157"/>
      <c r="E104" s="157"/>
      <c r="F104" s="622">
        <f t="shared" si="13"/>
        <v>580.66999999999996</v>
      </c>
      <c r="G104" s="290">
        <f t="shared" si="14"/>
        <v>5.1584266012669579E-3</v>
      </c>
      <c r="H104" s="426">
        <f t="shared" si="15"/>
        <v>11.705140553732893</v>
      </c>
      <c r="I104" s="561">
        <f t="shared" si="16"/>
        <v>4.3039801816075851</v>
      </c>
      <c r="J104" s="148">
        <v>2.2477562780551104</v>
      </c>
      <c r="K104" s="428">
        <f>G104*367.79</f>
        <v>1.8972177196799747</v>
      </c>
      <c r="L104" s="925">
        <f t="shared" si="17"/>
        <v>2.3127084002898894</v>
      </c>
      <c r="M104" s="532">
        <f t="shared" si="11"/>
        <v>3.4708345072202051E-2</v>
      </c>
      <c r="N104" s="127"/>
      <c r="O104" s="127"/>
    </row>
    <row r="105" spans="1:15" s="6" customFormat="1" ht="15.75">
      <c r="A105" s="268">
        <v>14</v>
      </c>
      <c r="B105" s="176" t="s">
        <v>64</v>
      </c>
      <c r="C105" s="157">
        <v>583.6</v>
      </c>
      <c r="D105" s="157">
        <v>29.3</v>
      </c>
      <c r="E105" s="157"/>
      <c r="F105" s="622">
        <f t="shared" si="13"/>
        <v>612.9</v>
      </c>
      <c r="G105" s="290">
        <f t="shared" si="14"/>
        <v>5.4447442849062605E-3</v>
      </c>
      <c r="H105" s="426">
        <f t="shared" si="15"/>
        <v>12.354832599209344</v>
      </c>
      <c r="I105" s="561">
        <f t="shared" si="16"/>
        <v>4.5428719467292762</v>
      </c>
      <c r="J105" s="148">
        <v>2.3725176482683406</v>
      </c>
      <c r="K105" s="428">
        <f>G105*301.5</f>
        <v>1.6415904018992376</v>
      </c>
      <c r="L105" s="925">
        <f t="shared" si="17"/>
        <v>2.0010986999151705</v>
      </c>
      <c r="M105" s="532">
        <f t="shared" si="11"/>
        <v>3.5832441048845434E-2</v>
      </c>
      <c r="N105" s="127"/>
      <c r="O105" s="127"/>
    </row>
    <row r="106" spans="1:15" s="6" customFormat="1" ht="15.75">
      <c r="A106" s="275">
        <v>15</v>
      </c>
      <c r="B106" s="176" t="s">
        <v>67</v>
      </c>
      <c r="C106" s="157">
        <v>851.5</v>
      </c>
      <c r="D106" s="157"/>
      <c r="E106" s="157"/>
      <c r="F106" s="622">
        <f t="shared" si="13"/>
        <v>851.5</v>
      </c>
      <c r="G106" s="290">
        <f t="shared" si="14"/>
        <v>7.5643657343737658E-3</v>
      </c>
      <c r="H106" s="426">
        <f t="shared" si="15"/>
        <v>17.164529218839544</v>
      </c>
      <c r="I106" s="561">
        <f t="shared" si="16"/>
        <v>6.3113973937673009</v>
      </c>
      <c r="J106" s="148">
        <v>3.2961311429278712</v>
      </c>
      <c r="K106" s="428">
        <f t="shared" ref="K106:K167" si="18">G106*235.27</f>
        <v>1.7796683263261159</v>
      </c>
      <c r="L106" s="925">
        <f t="shared" si="17"/>
        <v>2.1694156897915353</v>
      </c>
      <c r="M106" s="532">
        <f t="shared" si="11"/>
        <v>3.3531093460787822E-2</v>
      </c>
      <c r="N106" s="127"/>
      <c r="O106" s="127"/>
    </row>
    <row r="107" spans="1:15" s="6" customFormat="1" ht="15.75">
      <c r="A107" s="268">
        <v>16</v>
      </c>
      <c r="B107" s="176" t="s">
        <v>68</v>
      </c>
      <c r="C107" s="157">
        <v>510.4</v>
      </c>
      <c r="D107" s="157"/>
      <c r="E107" s="157">
        <v>35.200000000000003</v>
      </c>
      <c r="F107" s="622">
        <f t="shared" si="13"/>
        <v>545.6</v>
      </c>
      <c r="G107" s="290">
        <f t="shared" si="14"/>
        <v>4.8468795592182343E-3</v>
      </c>
      <c r="H107" s="426">
        <f t="shared" si="15"/>
        <v>10.998199814208872</v>
      </c>
      <c r="I107" s="561">
        <f t="shared" si="16"/>
        <v>4.0440380716846027</v>
      </c>
      <c r="J107" s="148">
        <v>2.1120013524150867</v>
      </c>
      <c r="K107" s="428">
        <f t="shared" si="18"/>
        <v>1.140325353897274</v>
      </c>
      <c r="L107" s="925">
        <f t="shared" si="17"/>
        <v>1.3900566064007771</v>
      </c>
      <c r="M107" s="532">
        <f t="shared" si="11"/>
        <v>3.5843582664980091E-2</v>
      </c>
      <c r="N107" s="127"/>
      <c r="O107" s="127"/>
    </row>
    <row r="108" spans="1:15" s="6" customFormat="1" ht="15.75">
      <c r="A108" s="268">
        <v>17</v>
      </c>
      <c r="B108" s="176" t="s">
        <v>69</v>
      </c>
      <c r="C108" s="157">
        <v>545.21</v>
      </c>
      <c r="D108" s="157"/>
      <c r="E108" s="157">
        <v>19.600000000000001</v>
      </c>
      <c r="F108" s="622">
        <f t="shared" si="13"/>
        <v>564.81000000000006</v>
      </c>
      <c r="G108" s="290">
        <f t="shared" si="14"/>
        <v>5.0175330715580124E-3</v>
      </c>
      <c r="H108" s="426">
        <f t="shared" si="15"/>
        <v>11.385434818664432</v>
      </c>
      <c r="I108" s="561">
        <f t="shared" si="16"/>
        <v>4.1864243828229117</v>
      </c>
      <c r="J108" s="148">
        <v>2.186362690354775</v>
      </c>
      <c r="K108" s="428">
        <f t="shared" si="18"/>
        <v>1.1804750057454536</v>
      </c>
      <c r="L108" s="925">
        <f t="shared" si="17"/>
        <v>1.438999032003708</v>
      </c>
      <c r="M108" s="532">
        <f t="shared" si="11"/>
        <v>3.4736517851080451E-2</v>
      </c>
      <c r="N108" s="127"/>
      <c r="O108" s="127"/>
    </row>
    <row r="109" spans="1:15" s="6" customFormat="1" ht="15.75">
      <c r="A109" s="268">
        <v>18</v>
      </c>
      <c r="B109" s="176" t="s">
        <v>70</v>
      </c>
      <c r="C109" s="157">
        <v>536.25</v>
      </c>
      <c r="D109" s="157"/>
      <c r="E109" s="157"/>
      <c r="F109" s="622">
        <f t="shared" si="13"/>
        <v>536.25</v>
      </c>
      <c r="G109" s="290">
        <f t="shared" si="14"/>
        <v>4.7638181151590511E-3</v>
      </c>
      <c r="H109" s="426">
        <f t="shared" si="15"/>
        <v>10.809722599650858</v>
      </c>
      <c r="I109" s="561">
        <f t="shared" si="16"/>
        <v>3.9747349998916208</v>
      </c>
      <c r="J109" s="148">
        <v>2.0758077808515218</v>
      </c>
      <c r="K109" s="428">
        <f t="shared" si="18"/>
        <v>1.1207834879534699</v>
      </c>
      <c r="L109" s="925">
        <f t="shared" si="17"/>
        <v>1.36623507181528</v>
      </c>
      <c r="M109" s="532">
        <f t="shared" si="11"/>
        <v>3.3531093460787822E-2</v>
      </c>
      <c r="N109" s="127"/>
      <c r="O109" s="127"/>
    </row>
    <row r="110" spans="1:15" s="6" customFormat="1" ht="15.75">
      <c r="A110" s="268">
        <v>19</v>
      </c>
      <c r="B110" s="176" t="s">
        <v>71</v>
      </c>
      <c r="C110" s="157">
        <v>534.97</v>
      </c>
      <c r="D110" s="157">
        <v>68.2</v>
      </c>
      <c r="E110" s="157"/>
      <c r="F110" s="622">
        <f t="shared" si="13"/>
        <v>603.17000000000007</v>
      </c>
      <c r="G110" s="290">
        <f t="shared" si="14"/>
        <v>5.3583070816232824E-3</v>
      </c>
      <c r="H110" s="426">
        <f t="shared" si="15"/>
        <v>12.158695348123839</v>
      </c>
      <c r="I110" s="561">
        <f t="shared" si="16"/>
        <v>4.4707522795051355</v>
      </c>
      <c r="J110" s="148">
        <v>2.3348531080209094</v>
      </c>
      <c r="K110" s="428">
        <f t="shared" si="18"/>
        <v>1.2606489070935096</v>
      </c>
      <c r="L110" s="925">
        <f t="shared" si="17"/>
        <v>1.5367310177469884</v>
      </c>
      <c r="M110" s="532">
        <f t="shared" si="11"/>
        <v>3.7805764141434835E-2</v>
      </c>
      <c r="N110" s="127"/>
      <c r="O110" s="127"/>
    </row>
    <row r="111" spans="1:15" s="6" customFormat="1" ht="15.75">
      <c r="A111" s="268">
        <v>20</v>
      </c>
      <c r="B111" s="176" t="s">
        <v>72</v>
      </c>
      <c r="C111" s="157">
        <v>191.9</v>
      </c>
      <c r="D111" s="157"/>
      <c r="E111" s="157">
        <v>35</v>
      </c>
      <c r="F111" s="622">
        <f t="shared" si="13"/>
        <v>226.9</v>
      </c>
      <c r="G111" s="290">
        <f t="shared" si="14"/>
        <v>2.0156835996822165E-3</v>
      </c>
      <c r="H111" s="426">
        <f t="shared" si="15"/>
        <v>4.573848126546908</v>
      </c>
      <c r="I111" s="561">
        <f t="shared" si="16"/>
        <v>1.6818039561312983</v>
      </c>
      <c r="J111" s="148">
        <v>0.87832314307731529</v>
      </c>
      <c r="K111" s="428">
        <f t="shared" si="18"/>
        <v>0.47422988049723508</v>
      </c>
      <c r="L111" s="925">
        <f t="shared" si="17"/>
        <v>0.57808622432612955</v>
      </c>
      <c r="M111" s="532">
        <f t="shared" si="11"/>
        <v>3.9646717593813219E-2</v>
      </c>
      <c r="N111" s="127"/>
      <c r="O111" s="127"/>
    </row>
    <row r="112" spans="1:15" s="6" customFormat="1" ht="15.75">
      <c r="A112" s="268">
        <v>21</v>
      </c>
      <c r="B112" s="176" t="s">
        <v>73</v>
      </c>
      <c r="C112" s="157">
        <v>368.4</v>
      </c>
      <c r="D112" s="157"/>
      <c r="E112" s="157">
        <v>17.2</v>
      </c>
      <c r="F112" s="622">
        <f t="shared" si="13"/>
        <v>385.59999999999997</v>
      </c>
      <c r="G112" s="290">
        <f t="shared" si="14"/>
        <v>3.4255072544621535E-3</v>
      </c>
      <c r="H112" s="426">
        <f t="shared" si="15"/>
        <v>7.7729212763177067</v>
      </c>
      <c r="I112" s="561">
        <f t="shared" si="16"/>
        <v>2.8581031533020211</v>
      </c>
      <c r="J112" s="148">
        <v>1.4926461171027443</v>
      </c>
      <c r="K112" s="428">
        <f t="shared" si="18"/>
        <v>0.80591909175731091</v>
      </c>
      <c r="L112" s="925">
        <f t="shared" si="17"/>
        <v>0.98241537285216207</v>
      </c>
      <c r="M112" s="532">
        <f t="shared" si="11"/>
        <v>3.5096605967643281E-2</v>
      </c>
      <c r="N112" s="127"/>
      <c r="O112" s="127"/>
    </row>
    <row r="113" spans="1:15" s="6" customFormat="1" ht="15.75">
      <c r="A113" s="275">
        <v>22</v>
      </c>
      <c r="B113" s="176" t="s">
        <v>74</v>
      </c>
      <c r="C113" s="157">
        <v>298.58</v>
      </c>
      <c r="D113" s="157">
        <v>41.6</v>
      </c>
      <c r="E113" s="157"/>
      <c r="F113" s="622">
        <f t="shared" si="13"/>
        <v>340.18</v>
      </c>
      <c r="G113" s="290">
        <f t="shared" si="14"/>
        <v>3.0220151914495219E-3</v>
      </c>
      <c r="H113" s="426">
        <f t="shared" si="15"/>
        <v>6.8573453313738542</v>
      </c>
      <c r="I113" s="561">
        <f t="shared" si="16"/>
        <v>2.5214458783461664</v>
      </c>
      <c r="J113" s="148">
        <v>1.3168266496784535</v>
      </c>
      <c r="K113" s="428">
        <f t="shared" si="18"/>
        <v>0.71098951409232902</v>
      </c>
      <c r="L113" s="925">
        <f t="shared" si="17"/>
        <v>0.8666962176785491</v>
      </c>
      <c r="M113" s="532">
        <f t="shared" si="11"/>
        <v>3.8202851408301979E-2</v>
      </c>
      <c r="N113" s="127"/>
      <c r="O113" s="127"/>
    </row>
    <row r="114" spans="1:15" s="6" customFormat="1" ht="15.75">
      <c r="A114" s="268">
        <v>23</v>
      </c>
      <c r="B114" s="176" t="s">
        <v>75</v>
      </c>
      <c r="C114" s="157">
        <v>304.7</v>
      </c>
      <c r="D114" s="157"/>
      <c r="E114" s="157"/>
      <c r="F114" s="622">
        <f t="shared" si="13"/>
        <v>304.7</v>
      </c>
      <c r="G114" s="290">
        <f t="shared" si="14"/>
        <v>2.7068258828698609E-3</v>
      </c>
      <c r="H114" s="426">
        <f t="shared" si="15"/>
        <v>6.1421398155964875</v>
      </c>
      <c r="I114" s="561">
        <f t="shared" si="16"/>
        <v>2.2584648101948286</v>
      </c>
      <c r="J114" s="148">
        <v>1.1794846262479417</v>
      </c>
      <c r="K114" s="428">
        <f t="shared" si="18"/>
        <v>0.63683492546279219</v>
      </c>
      <c r="L114" s="925">
        <f t="shared" si="17"/>
        <v>0.7763017741391437</v>
      </c>
      <c r="M114" s="532">
        <f t="shared" si="11"/>
        <v>3.3531093460787829E-2</v>
      </c>
      <c r="N114" s="127"/>
      <c r="O114" s="127"/>
    </row>
    <row r="115" spans="1:15" s="6" customFormat="1" ht="15.75">
      <c r="A115" s="268">
        <v>24</v>
      </c>
      <c r="B115" s="176" t="s">
        <v>76</v>
      </c>
      <c r="C115" s="157">
        <v>820.07</v>
      </c>
      <c r="D115" s="157"/>
      <c r="E115" s="157">
        <v>159.9</v>
      </c>
      <c r="F115" s="622">
        <f t="shared" si="13"/>
        <v>979.97</v>
      </c>
      <c r="G115" s="290">
        <f t="shared" si="14"/>
        <v>8.7056388593238516E-3</v>
      </c>
      <c r="H115" s="426">
        <f t="shared" si="15"/>
        <v>19.754226304857532</v>
      </c>
      <c r="I115" s="561">
        <f t="shared" si="16"/>
        <v>7.2636290122961151</v>
      </c>
      <c r="J115" s="148">
        <v>3.7934346871814744</v>
      </c>
      <c r="K115" s="428">
        <f>G115*367.79</f>
        <v>3.2018469160707195</v>
      </c>
      <c r="L115" s="925">
        <f t="shared" si="17"/>
        <v>3.9030513906902073</v>
      </c>
      <c r="M115" s="532">
        <f t="shared" si="11"/>
        <v>4.1475894643635103E-2</v>
      </c>
      <c r="N115" s="127"/>
      <c r="O115" s="127"/>
    </row>
    <row r="116" spans="1:15" s="6" customFormat="1" ht="15.75">
      <c r="A116" s="268">
        <v>25</v>
      </c>
      <c r="B116" s="176" t="s">
        <v>77</v>
      </c>
      <c r="C116" s="157">
        <v>1330.1</v>
      </c>
      <c r="D116" s="157"/>
      <c r="E116" s="157"/>
      <c r="F116" s="622">
        <f t="shared" si="13"/>
        <v>1330.1</v>
      </c>
      <c r="G116" s="290">
        <f t="shared" si="14"/>
        <v>1.1816045640975392E-2</v>
      </c>
      <c r="H116" s="426">
        <f t="shared" si="15"/>
        <v>26.812143645306492</v>
      </c>
      <c r="I116" s="561">
        <f t="shared" si="16"/>
        <v>9.8588252183791969</v>
      </c>
      <c r="J116" s="148">
        <v>5.148777490555914</v>
      </c>
      <c r="K116" s="428">
        <f t="shared" si="18"/>
        <v>2.7799610579522804</v>
      </c>
      <c r="L116" s="925">
        <f t="shared" si="17"/>
        <v>3.38877252964383</v>
      </c>
      <c r="M116" s="532">
        <f t="shared" si="11"/>
        <v>3.3531093460787822E-2</v>
      </c>
      <c r="N116" s="127"/>
      <c r="O116" s="127"/>
    </row>
    <row r="117" spans="1:15" s="6" customFormat="1" ht="15.75">
      <c r="A117" s="268">
        <v>26</v>
      </c>
      <c r="B117" s="176" t="s">
        <v>78</v>
      </c>
      <c r="C117" s="157">
        <v>788.55</v>
      </c>
      <c r="D117" s="157">
        <v>32.1</v>
      </c>
      <c r="E117" s="157"/>
      <c r="F117" s="622">
        <f t="shared" si="13"/>
        <v>820.65</v>
      </c>
      <c r="G117" s="290">
        <f t="shared" si="14"/>
        <v>7.2903073868629837E-3</v>
      </c>
      <c r="H117" s="426">
        <f t="shared" si="15"/>
        <v>16.542655200752403</v>
      </c>
      <c r="I117" s="561">
        <f t="shared" si="16"/>
        <v>6.0827343173166595</v>
      </c>
      <c r="J117" s="148">
        <v>3.1767117116192098</v>
      </c>
      <c r="K117" s="428">
        <f>G117*367.79</f>
        <v>2.6813021538143369</v>
      </c>
      <c r="L117" s="925">
        <f t="shared" si="17"/>
        <v>3.268507325499677</v>
      </c>
      <c r="M117" s="532">
        <f t="shared" si="11"/>
        <v>3.6121239469282369E-2</v>
      </c>
      <c r="N117" s="127"/>
      <c r="O117" s="127"/>
    </row>
    <row r="118" spans="1:15" s="6" customFormat="1" ht="15.75">
      <c r="A118" s="268">
        <v>27</v>
      </c>
      <c r="B118" s="176" t="s">
        <v>79</v>
      </c>
      <c r="C118" s="157">
        <v>1286.57</v>
      </c>
      <c r="D118" s="157">
        <v>132.1</v>
      </c>
      <c r="E118" s="157">
        <v>45.2</v>
      </c>
      <c r="F118" s="622">
        <f t="shared" si="13"/>
        <v>1463.87</v>
      </c>
      <c r="G118" s="290">
        <f t="shared" si="14"/>
        <v>1.3004401723520522E-2</v>
      </c>
      <c r="H118" s="426">
        <f t="shared" si="15"/>
        <v>29.508678082892121</v>
      </c>
      <c r="I118" s="561">
        <f t="shared" si="16"/>
        <v>10.850340931079433</v>
      </c>
      <c r="J118" s="148">
        <v>5.6665971769792387</v>
      </c>
      <c r="K118" s="428">
        <f t="shared" si="18"/>
        <v>3.0595455934926732</v>
      </c>
      <c r="L118" s="925">
        <f t="shared" si="17"/>
        <v>3.7295860784675687</v>
      </c>
      <c r="M118" s="532">
        <f t="shared" si="11"/>
        <v>3.8151955808423538E-2</v>
      </c>
      <c r="N118" s="127"/>
      <c r="O118" s="127"/>
    </row>
    <row r="119" spans="1:15" s="6" customFormat="1" ht="15.75">
      <c r="A119" s="268">
        <v>28</v>
      </c>
      <c r="B119" s="176" t="s">
        <v>80</v>
      </c>
      <c r="C119" s="157">
        <v>498.78</v>
      </c>
      <c r="D119" s="157">
        <v>48.7</v>
      </c>
      <c r="E119" s="157">
        <v>47.7</v>
      </c>
      <c r="F119" s="622">
        <f t="shared" si="13"/>
        <v>595.18000000000006</v>
      </c>
      <c r="G119" s="290">
        <f t="shared" si="14"/>
        <v>5.2873273021545259E-3</v>
      </c>
      <c r="H119" s="426">
        <f t="shared" si="15"/>
        <v>11.997633001137899</v>
      </c>
      <c r="I119" s="561">
        <f t="shared" si="16"/>
        <v>4.4115296545184055</v>
      </c>
      <c r="J119" s="148">
        <v>2.3039240559574994</v>
      </c>
      <c r="K119" s="428">
        <f>G119*367.79</f>
        <v>1.9446261084594132</v>
      </c>
      <c r="L119" s="925">
        <f t="shared" si="17"/>
        <v>2.3704992262120248</v>
      </c>
      <c r="M119" s="532">
        <f t="shared" si="11"/>
        <v>4.1416481855874772E-2</v>
      </c>
      <c r="N119" s="127"/>
      <c r="O119" s="127"/>
    </row>
    <row r="120" spans="1:15" s="6" customFormat="1" ht="15.75">
      <c r="A120" s="275">
        <v>29</v>
      </c>
      <c r="B120" s="176" t="s">
        <v>81</v>
      </c>
      <c r="C120" s="157">
        <v>142</v>
      </c>
      <c r="D120" s="157"/>
      <c r="E120" s="157"/>
      <c r="F120" s="622">
        <f t="shared" si="13"/>
        <v>142</v>
      </c>
      <c r="G120" s="290">
        <f t="shared" si="14"/>
        <v>1.2614679204710215E-3</v>
      </c>
      <c r="H120" s="426">
        <f t="shared" si="15"/>
        <v>2.8624347023784091</v>
      </c>
      <c r="I120" s="561">
        <f t="shared" si="16"/>
        <v>1.0525172400645411</v>
      </c>
      <c r="J120" s="148">
        <v>0.54967777133970364</v>
      </c>
      <c r="K120" s="428">
        <f t="shared" si="18"/>
        <v>0.29678555764921727</v>
      </c>
      <c r="L120" s="925">
        <f t="shared" si="17"/>
        <v>0.36178159477439586</v>
      </c>
      <c r="M120" s="532">
        <f t="shared" si="11"/>
        <v>3.3531093460787822E-2</v>
      </c>
      <c r="N120" s="127"/>
      <c r="O120" s="127"/>
    </row>
    <row r="121" spans="1:15" s="6" customFormat="1" ht="15.75">
      <c r="A121" s="268">
        <v>30</v>
      </c>
      <c r="B121" s="176" t="s">
        <v>82</v>
      </c>
      <c r="C121" s="157">
        <v>537.64</v>
      </c>
      <c r="D121" s="157">
        <v>39.299999999999997</v>
      </c>
      <c r="E121" s="157"/>
      <c r="F121" s="622">
        <f t="shared" si="13"/>
        <v>576.93999999999994</v>
      </c>
      <c r="G121" s="290">
        <f t="shared" si="14"/>
        <v>5.1252908594123315E-3</v>
      </c>
      <c r="H121" s="426">
        <f t="shared" si="15"/>
        <v>11.629951247818305</v>
      </c>
      <c r="I121" s="561">
        <f t="shared" si="16"/>
        <v>4.2763330738227907</v>
      </c>
      <c r="J121" s="148">
        <v>2.2333175591318919</v>
      </c>
      <c r="K121" s="428">
        <f t="shared" si="18"/>
        <v>1.2058271804939393</v>
      </c>
      <c r="L121" s="925">
        <f t="shared" si="17"/>
        <v>1.4699033330221121</v>
      </c>
      <c r="M121" s="532">
        <f t="shared" si="11"/>
        <v>3.5982123839868548E-2</v>
      </c>
      <c r="N121" s="127"/>
      <c r="O121" s="127"/>
    </row>
    <row r="122" spans="1:15" s="6" customFormat="1" ht="15.75">
      <c r="A122" s="268">
        <v>31</v>
      </c>
      <c r="B122" s="176" t="s">
        <v>83</v>
      </c>
      <c r="C122" s="157">
        <v>587.76</v>
      </c>
      <c r="D122" s="157"/>
      <c r="E122" s="157"/>
      <c r="F122" s="622">
        <f t="shared" si="13"/>
        <v>587.76</v>
      </c>
      <c r="G122" s="290">
        <f t="shared" si="14"/>
        <v>5.2214111615214616E-3</v>
      </c>
      <c r="H122" s="426">
        <f t="shared" si="15"/>
        <v>11.848060708943194</v>
      </c>
      <c r="I122" s="561">
        <f t="shared" si="16"/>
        <v>4.3565319226784132</v>
      </c>
      <c r="J122" s="148">
        <v>2.2752014569198891</v>
      </c>
      <c r="K122" s="428">
        <f t="shared" si="18"/>
        <v>1.2284414039711544</v>
      </c>
      <c r="L122" s="925">
        <f t="shared" si="17"/>
        <v>1.4974700714408373</v>
      </c>
      <c r="M122" s="532">
        <f t="shared" si="11"/>
        <v>3.3531093460787822E-2</v>
      </c>
      <c r="N122" s="127"/>
      <c r="O122" s="127"/>
    </row>
    <row r="123" spans="1:15" s="6" customFormat="1" ht="15.75">
      <c r="A123" s="268">
        <v>32</v>
      </c>
      <c r="B123" s="176" t="s">
        <v>84</v>
      </c>
      <c r="C123" s="157">
        <v>1869.7</v>
      </c>
      <c r="D123" s="157"/>
      <c r="E123" s="157">
        <v>22</v>
      </c>
      <c r="F123" s="622">
        <f t="shared" si="13"/>
        <v>1891.7</v>
      </c>
      <c r="G123" s="290">
        <f t="shared" si="14"/>
        <v>1.6805062430669235E-2</v>
      </c>
      <c r="H123" s="426">
        <f t="shared" si="15"/>
        <v>38.132871313304484</v>
      </c>
      <c r="I123" s="561">
        <f t="shared" si="16"/>
        <v>14.02145678190206</v>
      </c>
      <c r="J123" s="148">
        <v>7.3227143665022361</v>
      </c>
      <c r="K123" s="428">
        <f t="shared" si="18"/>
        <v>3.9537270380635512</v>
      </c>
      <c r="L123" s="925">
        <f t="shared" si="17"/>
        <v>4.8195932593994693</v>
      </c>
      <c r="M123" s="532">
        <f t="shared" si="11"/>
        <v>3.3925640209537533E-2</v>
      </c>
      <c r="N123" s="127"/>
      <c r="O123" s="127"/>
    </row>
    <row r="124" spans="1:15" s="6" customFormat="1" ht="15.75">
      <c r="A124" s="268">
        <v>33</v>
      </c>
      <c r="B124" s="176" t="s">
        <v>85</v>
      </c>
      <c r="C124" s="157">
        <v>262.7</v>
      </c>
      <c r="D124" s="157"/>
      <c r="E124" s="157"/>
      <c r="F124" s="622">
        <f t="shared" si="13"/>
        <v>262.7</v>
      </c>
      <c r="G124" s="290">
        <f t="shared" si="14"/>
        <v>2.3337156528713894E-3</v>
      </c>
      <c r="H124" s="426">
        <f t="shared" si="15"/>
        <v>5.2955041994000558</v>
      </c>
      <c r="I124" s="561">
        <f t="shared" si="16"/>
        <v>1.9471568941194006</v>
      </c>
      <c r="J124" s="148">
        <v>1.0169038769784517</v>
      </c>
      <c r="K124" s="428">
        <f t="shared" si="18"/>
        <v>0.54905328165105183</v>
      </c>
      <c r="L124" s="925">
        <f t="shared" si="17"/>
        <v>0.66929595033263223</v>
      </c>
      <c r="M124" s="532">
        <f t="shared" si="11"/>
        <v>3.3531093460787822E-2</v>
      </c>
      <c r="N124" s="127"/>
      <c r="O124" s="127"/>
    </row>
    <row r="125" spans="1:15" s="6" customFormat="1" ht="15.75">
      <c r="A125" s="268">
        <v>34</v>
      </c>
      <c r="B125" s="176" t="s">
        <v>86</v>
      </c>
      <c r="C125" s="157">
        <v>1857.4</v>
      </c>
      <c r="D125" s="157"/>
      <c r="E125" s="157"/>
      <c r="F125" s="622">
        <f t="shared" si="13"/>
        <v>1857.4</v>
      </c>
      <c r="G125" s="290">
        <f t="shared" si="14"/>
        <v>1.6500355742837151E-2</v>
      </c>
      <c r="H125" s="426">
        <f t="shared" si="15"/>
        <v>37.441452226744069</v>
      </c>
      <c r="I125" s="561">
        <f t="shared" si="16"/>
        <v>13.767221983773796</v>
      </c>
      <c r="J125" s="148">
        <v>7.1899400879321531</v>
      </c>
      <c r="K125" s="428">
        <f t="shared" si="18"/>
        <v>3.8820386956172968</v>
      </c>
      <c r="L125" s="925">
        <f t="shared" si="17"/>
        <v>4.732205169957485</v>
      </c>
      <c r="M125" s="532">
        <f t="shared" si="11"/>
        <v>3.3531093460787829E-2</v>
      </c>
      <c r="N125" s="127"/>
      <c r="O125" s="127"/>
    </row>
    <row r="126" spans="1:15" s="6" customFormat="1" ht="15.75">
      <c r="A126" s="268">
        <v>35</v>
      </c>
      <c r="B126" s="176" t="s">
        <v>87</v>
      </c>
      <c r="C126" s="157">
        <v>2470.1999999999998</v>
      </c>
      <c r="D126" s="157"/>
      <c r="E126" s="157"/>
      <c r="F126" s="622">
        <f t="shared" si="13"/>
        <v>2470.1999999999998</v>
      </c>
      <c r="G126" s="290">
        <f t="shared" si="14"/>
        <v>2.1944211670052935E-2</v>
      </c>
      <c r="H126" s="426">
        <f t="shared" si="15"/>
        <v>49.794269026867219</v>
      </c>
      <c r="I126" s="561">
        <f t="shared" si="16"/>
        <v>18.309352721179078</v>
      </c>
      <c r="J126" s="148">
        <v>9.5620706391784207</v>
      </c>
      <c r="K126" s="428">
        <f t="shared" si="18"/>
        <v>5.1628146796133541</v>
      </c>
      <c r="L126" s="925">
        <f t="shared" si="17"/>
        <v>6.2934710944486794</v>
      </c>
      <c r="M126" s="532">
        <f t="shared" si="11"/>
        <v>3.3531093460787822E-2</v>
      </c>
      <c r="N126" s="127"/>
      <c r="O126" s="127"/>
    </row>
    <row r="127" spans="1:15" s="6" customFormat="1" ht="15.75">
      <c r="A127" s="275">
        <v>36</v>
      </c>
      <c r="B127" s="176" t="s">
        <v>88</v>
      </c>
      <c r="C127" s="157">
        <v>121.8</v>
      </c>
      <c r="D127" s="157"/>
      <c r="E127" s="157"/>
      <c r="F127" s="622">
        <f t="shared" si="13"/>
        <v>121.8</v>
      </c>
      <c r="G127" s="290">
        <f t="shared" si="14"/>
        <v>1.0820196669955662E-3</v>
      </c>
      <c r="H127" s="426">
        <f t="shared" si="15"/>
        <v>2.4552432869696492</v>
      </c>
      <c r="I127" s="561">
        <f t="shared" si="16"/>
        <v>0.90279295661874004</v>
      </c>
      <c r="J127" s="148">
        <v>0.47148417288152045</v>
      </c>
      <c r="K127" s="428">
        <f t="shared" si="18"/>
        <v>0.25456676705404691</v>
      </c>
      <c r="L127" s="925">
        <f t="shared" si="17"/>
        <v>0.31031688903888321</v>
      </c>
      <c r="M127" s="532">
        <f t="shared" si="11"/>
        <v>3.3531093460787829E-2</v>
      </c>
      <c r="N127" s="127"/>
      <c r="O127" s="127"/>
    </row>
    <row r="128" spans="1:15" s="6" customFormat="1" ht="15.75">
      <c r="A128" s="268">
        <v>37</v>
      </c>
      <c r="B128" s="176" t="s">
        <v>89</v>
      </c>
      <c r="C128" s="157">
        <v>1831.3</v>
      </c>
      <c r="D128" s="157"/>
      <c r="E128" s="157"/>
      <c r="F128" s="622">
        <f t="shared" si="13"/>
        <v>1831.3</v>
      </c>
      <c r="G128" s="290">
        <f t="shared" si="14"/>
        <v>1.6268494385623812E-2</v>
      </c>
      <c r="H128" s="426">
        <f t="shared" si="15"/>
        <v>36.915328665250563</v>
      </c>
      <c r="I128" s="561">
        <f t="shared" si="16"/>
        <v>13.573766350212633</v>
      </c>
      <c r="J128" s="148">
        <v>7.0889077651718253</v>
      </c>
      <c r="K128" s="428">
        <f t="shared" si="18"/>
        <v>3.8274886741057146</v>
      </c>
      <c r="L128" s="925">
        <f t="shared" si="17"/>
        <v>4.6657086937348664</v>
      </c>
      <c r="M128" s="532">
        <f t="shared" si="11"/>
        <v>3.3531093460787822E-2</v>
      </c>
      <c r="N128" s="127"/>
      <c r="O128" s="127"/>
    </row>
    <row r="129" spans="1:15" s="6" customFormat="1" ht="15.75">
      <c r="A129" s="268">
        <v>38</v>
      </c>
      <c r="B129" s="176" t="s">
        <v>90</v>
      </c>
      <c r="C129" s="157">
        <v>1844.3</v>
      </c>
      <c r="D129" s="157"/>
      <c r="E129" s="157"/>
      <c r="F129" s="622">
        <f t="shared" si="13"/>
        <v>1844.3</v>
      </c>
      <c r="G129" s="290">
        <f t="shared" si="14"/>
        <v>1.6383980885385244E-2</v>
      </c>
      <c r="H129" s="426">
        <f t="shared" si="15"/>
        <v>37.177382546454218</v>
      </c>
      <c r="I129" s="561">
        <f t="shared" si="16"/>
        <v>13.670123562331217</v>
      </c>
      <c r="J129" s="148">
        <v>7.1392303780409536</v>
      </c>
      <c r="K129" s="428">
        <f t="shared" si="18"/>
        <v>3.8546591829045864</v>
      </c>
      <c r="L129" s="925">
        <f t="shared" si="17"/>
        <v>4.6988295439606915</v>
      </c>
      <c r="M129" s="532">
        <f t="shared" si="11"/>
        <v>3.3531093460787816E-2</v>
      </c>
      <c r="N129" s="127"/>
      <c r="O129" s="127"/>
    </row>
    <row r="130" spans="1:15" s="6" customFormat="1" ht="15.75">
      <c r="A130" s="268">
        <v>39</v>
      </c>
      <c r="B130" s="176" t="s">
        <v>91</v>
      </c>
      <c r="C130" s="157">
        <v>193.76</v>
      </c>
      <c r="D130" s="157"/>
      <c r="E130" s="157"/>
      <c r="F130" s="622">
        <f t="shared" si="13"/>
        <v>193.76</v>
      </c>
      <c r="G130" s="290">
        <f t="shared" si="14"/>
        <v>1.7212818610596134E-3</v>
      </c>
      <c r="H130" s="426">
        <f t="shared" si="15"/>
        <v>3.9058123093862007</v>
      </c>
      <c r="I130" s="561">
        <f t="shared" si="16"/>
        <v>1.4361671861613061</v>
      </c>
      <c r="J130" s="148">
        <v>0.75003918996324637</v>
      </c>
      <c r="K130" s="428">
        <f t="shared" si="18"/>
        <v>0.40496598345149526</v>
      </c>
      <c r="L130" s="925">
        <f t="shared" si="17"/>
        <v>0.49365353382737276</v>
      </c>
      <c r="M130" s="532">
        <f t="shared" si="11"/>
        <v>3.3531093460787822E-2</v>
      </c>
      <c r="N130" s="127"/>
      <c r="O130" s="127"/>
    </row>
    <row r="131" spans="1:15" s="6" customFormat="1" ht="15.75">
      <c r="A131" s="268">
        <v>40</v>
      </c>
      <c r="B131" s="176" t="s">
        <v>92</v>
      </c>
      <c r="C131" s="157">
        <v>1841.4</v>
      </c>
      <c r="D131" s="157"/>
      <c r="E131" s="157"/>
      <c r="F131" s="622">
        <f t="shared" si="13"/>
        <v>1841.4</v>
      </c>
      <c r="G131" s="290">
        <f t="shared" si="14"/>
        <v>1.6358218512361543E-2</v>
      </c>
      <c r="H131" s="426">
        <f t="shared" si="15"/>
        <v>37.11892437295495</v>
      </c>
      <c r="I131" s="561">
        <f t="shared" si="16"/>
        <v>13.648628491935536</v>
      </c>
      <c r="J131" s="148">
        <v>7.1280045644009187</v>
      </c>
      <c r="K131" s="428">
        <f t="shared" si="18"/>
        <v>3.8485980694033004</v>
      </c>
      <c r="L131" s="925">
        <f t="shared" si="17"/>
        <v>4.6914410466026233</v>
      </c>
      <c r="M131" s="532">
        <f t="shared" si="11"/>
        <v>3.3531093460787829E-2</v>
      </c>
      <c r="N131" s="127"/>
      <c r="O131" s="127"/>
    </row>
    <row r="132" spans="1:15" s="6" customFormat="1" ht="15.75">
      <c r="A132" s="268">
        <v>41</v>
      </c>
      <c r="B132" s="176" t="s">
        <v>93</v>
      </c>
      <c r="C132" s="157">
        <v>262.3</v>
      </c>
      <c r="D132" s="157"/>
      <c r="E132" s="157"/>
      <c r="F132" s="622">
        <f t="shared" si="13"/>
        <v>262.3</v>
      </c>
      <c r="G132" s="290">
        <f t="shared" si="14"/>
        <v>2.3301622221094994E-3</v>
      </c>
      <c r="H132" s="426">
        <f t="shared" si="15"/>
        <v>5.2874410030553287</v>
      </c>
      <c r="I132" s="561">
        <f t="shared" si="16"/>
        <v>1.9441920568234445</v>
      </c>
      <c r="J132" s="148">
        <v>1.015355488890171</v>
      </c>
      <c r="K132" s="428">
        <f t="shared" si="18"/>
        <v>0.54821726599570197</v>
      </c>
      <c r="L132" s="925">
        <f t="shared" si="17"/>
        <v>0.6682768472487608</v>
      </c>
      <c r="M132" s="532">
        <f t="shared" si="11"/>
        <v>3.3531093460787822E-2</v>
      </c>
      <c r="N132" s="127"/>
      <c r="O132" s="127"/>
    </row>
    <row r="133" spans="1:15" s="6" customFormat="1" ht="15.75">
      <c r="A133" s="268">
        <v>42</v>
      </c>
      <c r="B133" s="176" t="s">
        <v>94</v>
      </c>
      <c r="C133" s="157">
        <v>94.7</v>
      </c>
      <c r="D133" s="157"/>
      <c r="E133" s="157"/>
      <c r="F133" s="622">
        <f t="shared" si="13"/>
        <v>94.7</v>
      </c>
      <c r="G133" s="290">
        <f t="shared" si="14"/>
        <v>8.4127473287750514E-4</v>
      </c>
      <c r="H133" s="426">
        <f t="shared" si="15"/>
        <v>1.9089617346143333</v>
      </c>
      <c r="I133" s="561">
        <f t="shared" si="16"/>
        <v>0.70192522981769034</v>
      </c>
      <c r="J133" s="148">
        <v>0.36658087990049254</v>
      </c>
      <c r="K133" s="428">
        <f t="shared" si="18"/>
        <v>0.19792670640409063</v>
      </c>
      <c r="L133" s="925">
        <f t="shared" si="17"/>
        <v>0.24127265510658649</v>
      </c>
      <c r="M133" s="532">
        <f t="shared" si="11"/>
        <v>3.3531093460787822E-2</v>
      </c>
      <c r="N133" s="127"/>
      <c r="O133" s="127"/>
    </row>
    <row r="134" spans="1:15" s="6" customFormat="1" ht="15.75">
      <c r="A134" s="275">
        <v>43</v>
      </c>
      <c r="B134" s="176" t="s">
        <v>95</v>
      </c>
      <c r="C134" s="157">
        <v>38</v>
      </c>
      <c r="D134" s="157"/>
      <c r="E134" s="157"/>
      <c r="F134" s="622">
        <f t="shared" si="13"/>
        <v>38</v>
      </c>
      <c r="G134" s="290">
        <f t="shared" si="14"/>
        <v>3.3757592237956911E-4</v>
      </c>
      <c r="H134" s="426">
        <f t="shared" si="15"/>
        <v>0.76600365274915172</v>
      </c>
      <c r="I134" s="561">
        <f t="shared" si="16"/>
        <v>0.28165954311586311</v>
      </c>
      <c r="J134" s="148">
        <v>0.14709686838668126</v>
      </c>
      <c r="K134" s="428">
        <f t="shared" si="18"/>
        <v>7.9421487258241233E-2</v>
      </c>
      <c r="L134" s="925">
        <f t="shared" si="17"/>
        <v>9.6814792967796076E-2</v>
      </c>
      <c r="M134" s="532">
        <f t="shared" ref="M134:M197" si="19">(K134+J134+I134+H134)/C134</f>
        <v>3.3531093460787822E-2</v>
      </c>
      <c r="N134" s="127"/>
      <c r="O134" s="127"/>
    </row>
    <row r="135" spans="1:15" s="6" customFormat="1" ht="15.75">
      <c r="A135" s="268">
        <v>44</v>
      </c>
      <c r="B135" s="176" t="s">
        <v>96</v>
      </c>
      <c r="C135" s="157">
        <v>1687.6</v>
      </c>
      <c r="D135" s="157">
        <v>124.8</v>
      </c>
      <c r="E135" s="157"/>
      <c r="F135" s="622">
        <f t="shared" si="13"/>
        <v>1812.3999999999999</v>
      </c>
      <c r="G135" s="290">
        <f t="shared" si="14"/>
        <v>1.61005947821245E-2</v>
      </c>
      <c r="H135" s="426">
        <f t="shared" si="15"/>
        <v>36.534342637962169</v>
      </c>
      <c r="I135" s="561">
        <f t="shared" si="16"/>
        <v>13.43367778797869</v>
      </c>
      <c r="J135" s="148">
        <v>7.015746428000555</v>
      </c>
      <c r="K135" s="428">
        <f t="shared" si="18"/>
        <v>3.7879869343904313</v>
      </c>
      <c r="L135" s="925">
        <f t="shared" si="17"/>
        <v>4.6175560730219365</v>
      </c>
      <c r="M135" s="532">
        <f t="shared" si="19"/>
        <v>3.6010757163031433E-2</v>
      </c>
      <c r="N135" s="127"/>
      <c r="O135" s="127"/>
    </row>
    <row r="136" spans="1:15" s="6" customFormat="1" ht="15.75">
      <c r="A136" s="268">
        <v>45</v>
      </c>
      <c r="B136" s="176" t="s">
        <v>97</v>
      </c>
      <c r="C136" s="157">
        <v>155.80000000000001</v>
      </c>
      <c r="D136" s="157"/>
      <c r="E136" s="157"/>
      <c r="F136" s="622">
        <f t="shared" si="13"/>
        <v>155.80000000000001</v>
      </c>
      <c r="G136" s="290">
        <f t="shared" si="14"/>
        <v>1.3840612817562336E-3</v>
      </c>
      <c r="H136" s="426">
        <f t="shared" si="15"/>
        <v>3.1406149762715225</v>
      </c>
      <c r="I136" s="561">
        <f t="shared" si="16"/>
        <v>1.1548041267750389</v>
      </c>
      <c r="J136" s="148">
        <v>0.60309716038539318</v>
      </c>
      <c r="K136" s="428">
        <f t="shared" si="18"/>
        <v>0.32562809775878909</v>
      </c>
      <c r="L136" s="925">
        <f t="shared" si="17"/>
        <v>0.39694065116796395</v>
      </c>
      <c r="M136" s="532">
        <f t="shared" si="19"/>
        <v>3.3531093460787829E-2</v>
      </c>
      <c r="N136" s="127"/>
      <c r="O136" s="127"/>
    </row>
    <row r="137" spans="1:15" s="6" customFormat="1" ht="15.75">
      <c r="A137" s="268">
        <v>46</v>
      </c>
      <c r="B137" s="176" t="s">
        <v>98</v>
      </c>
      <c r="C137" s="157">
        <v>378.1</v>
      </c>
      <c r="D137" s="157"/>
      <c r="E137" s="157"/>
      <c r="F137" s="622">
        <f t="shared" si="13"/>
        <v>378.1</v>
      </c>
      <c r="G137" s="290">
        <f t="shared" si="14"/>
        <v>3.3588804276767129E-3</v>
      </c>
      <c r="H137" s="426">
        <f t="shared" si="15"/>
        <v>7.6217363448540603</v>
      </c>
      <c r="I137" s="561">
        <f t="shared" si="16"/>
        <v>2.8025124540028381</v>
      </c>
      <c r="J137" s="148">
        <v>1.4636138404474786</v>
      </c>
      <c r="K137" s="428">
        <f t="shared" si="18"/>
        <v>0.7902437982195003</v>
      </c>
      <c r="L137" s="925">
        <f t="shared" si="17"/>
        <v>0.96330719002957099</v>
      </c>
      <c r="M137" s="532">
        <f t="shared" si="19"/>
        <v>3.3531093460787822E-2</v>
      </c>
      <c r="N137" s="127"/>
      <c r="O137" s="127"/>
    </row>
    <row r="138" spans="1:15" s="6" customFormat="1" ht="15.75">
      <c r="A138" s="268">
        <v>47</v>
      </c>
      <c r="B138" s="176" t="s">
        <v>99</v>
      </c>
      <c r="C138" s="157">
        <v>120.9</v>
      </c>
      <c r="D138" s="157"/>
      <c r="E138" s="157"/>
      <c r="F138" s="622">
        <f t="shared" si="13"/>
        <v>120.9</v>
      </c>
      <c r="G138" s="290">
        <f t="shared" si="14"/>
        <v>1.0740244477813134E-3</v>
      </c>
      <c r="H138" s="426">
        <f t="shared" si="15"/>
        <v>2.4371010951940115</v>
      </c>
      <c r="I138" s="561">
        <f t="shared" si="16"/>
        <v>0.89612207270283806</v>
      </c>
      <c r="J138" s="148">
        <v>0.46800029968288853</v>
      </c>
      <c r="K138" s="428">
        <f t="shared" si="18"/>
        <v>0.2526857318295096</v>
      </c>
      <c r="L138" s="925">
        <f t="shared" si="17"/>
        <v>0.30802390710017225</v>
      </c>
      <c r="M138" s="532">
        <f t="shared" si="19"/>
        <v>3.3531093460787816E-2</v>
      </c>
      <c r="N138" s="127"/>
      <c r="O138" s="127"/>
    </row>
    <row r="139" spans="1:15" s="6" customFormat="1" ht="15.75">
      <c r="A139" s="268">
        <v>48</v>
      </c>
      <c r="B139" s="176" t="s">
        <v>100</v>
      </c>
      <c r="C139" s="157">
        <v>2458.6999999999998</v>
      </c>
      <c r="D139" s="157"/>
      <c r="E139" s="157">
        <v>90.3</v>
      </c>
      <c r="F139" s="622">
        <f t="shared" si="13"/>
        <v>2549</v>
      </c>
      <c r="G139" s="290">
        <f t="shared" si="14"/>
        <v>2.2644237530145307E-2</v>
      </c>
      <c r="H139" s="426">
        <f t="shared" si="15"/>
        <v>51.382718706778626</v>
      </c>
      <c r="I139" s="561">
        <f t="shared" si="16"/>
        <v>18.893425668482504</v>
      </c>
      <c r="J139" s="148">
        <v>9.8671030925697512</v>
      </c>
      <c r="K139" s="428">
        <f t="shared" si="18"/>
        <v>5.3275097637172868</v>
      </c>
      <c r="L139" s="925">
        <f t="shared" si="17"/>
        <v>6.4942344019713731</v>
      </c>
      <c r="M139" s="532">
        <f t="shared" si="19"/>
        <v>3.4762580726216359E-2</v>
      </c>
      <c r="N139" s="127"/>
      <c r="O139" s="127"/>
    </row>
    <row r="140" spans="1:15" s="6" customFormat="1" ht="15.75">
      <c r="A140" s="268">
        <v>49</v>
      </c>
      <c r="B140" s="176" t="s">
        <v>101</v>
      </c>
      <c r="C140" s="157">
        <v>2593.29</v>
      </c>
      <c r="D140" s="157"/>
      <c r="E140" s="157"/>
      <c r="F140" s="622">
        <f t="shared" si="13"/>
        <v>2593.29</v>
      </c>
      <c r="G140" s="290">
        <f t="shared" si="14"/>
        <v>2.3037691151255601E-2</v>
      </c>
      <c r="H140" s="426">
        <f t="shared" si="15"/>
        <v>52.275516122048622</v>
      </c>
      <c r="I140" s="561">
        <f t="shared" si="16"/>
        <v>19.221707278077279</v>
      </c>
      <c r="J140" s="148">
        <v>10.038548363644649</v>
      </c>
      <c r="K140" s="428">
        <f t="shared" si="18"/>
        <v>5.4200775971559052</v>
      </c>
      <c r="L140" s="925">
        <f t="shared" si="17"/>
        <v>6.6070745909330491</v>
      </c>
      <c r="M140" s="532">
        <f t="shared" si="19"/>
        <v>3.3531093460787829E-2</v>
      </c>
      <c r="N140" s="127"/>
      <c r="O140" s="127"/>
    </row>
    <row r="141" spans="1:15" s="6" customFormat="1" ht="15.75">
      <c r="A141" s="275">
        <v>50</v>
      </c>
      <c r="B141" s="274" t="s">
        <v>102</v>
      </c>
      <c r="C141" s="157">
        <v>330.82</v>
      </c>
      <c r="D141" s="157">
        <v>55</v>
      </c>
      <c r="E141" s="157"/>
      <c r="F141" s="622">
        <f t="shared" si="13"/>
        <v>385.82</v>
      </c>
      <c r="G141" s="290">
        <f t="shared" si="14"/>
        <v>3.4274616413811935E-3</v>
      </c>
      <c r="H141" s="426">
        <f t="shared" si="15"/>
        <v>7.7773560343073083</v>
      </c>
      <c r="I141" s="561">
        <f t="shared" si="16"/>
        <v>2.8597338138147976</v>
      </c>
      <c r="J141" s="148">
        <v>1.4934977305512991</v>
      </c>
      <c r="K141" s="428">
        <f t="shared" si="18"/>
        <v>0.80637890036775339</v>
      </c>
      <c r="L141" s="925">
        <f t="shared" si="17"/>
        <v>0.98297587954829146</v>
      </c>
      <c r="M141" s="532">
        <f t="shared" si="19"/>
        <v>3.9105756843725165E-2</v>
      </c>
      <c r="N141" s="127"/>
      <c r="O141" s="127"/>
    </row>
    <row r="142" spans="1:15" s="6" customFormat="1" ht="15.75">
      <c r="A142" s="268">
        <v>51</v>
      </c>
      <c r="B142" s="176" t="s">
        <v>103</v>
      </c>
      <c r="C142" s="157">
        <v>1699.75</v>
      </c>
      <c r="D142" s="157"/>
      <c r="E142" s="157"/>
      <c r="F142" s="622">
        <f t="shared" si="13"/>
        <v>1699.75</v>
      </c>
      <c r="G142" s="290">
        <f t="shared" si="14"/>
        <v>1.5099859843807174E-2</v>
      </c>
      <c r="H142" s="426">
        <f t="shared" si="15"/>
        <v>34.263544967378174</v>
      </c>
      <c r="I142" s="561">
        <f t="shared" si="16"/>
        <v>12.598705484504956</v>
      </c>
      <c r="J142" s="148">
        <v>6.5796816326384597</v>
      </c>
      <c r="K142" s="428">
        <f t="shared" si="18"/>
        <v>3.552544025452514</v>
      </c>
      <c r="L142" s="925">
        <f t="shared" si="17"/>
        <v>4.3305511670266146</v>
      </c>
      <c r="M142" s="532">
        <f t="shared" si="19"/>
        <v>3.3531093460787822E-2</v>
      </c>
      <c r="N142" s="127"/>
      <c r="O142" s="127"/>
    </row>
    <row r="143" spans="1:15" s="6" customFormat="1" ht="15.75">
      <c r="A143" s="268">
        <v>52</v>
      </c>
      <c r="B143" s="176" t="s">
        <v>104</v>
      </c>
      <c r="C143" s="157">
        <v>211.46</v>
      </c>
      <c r="D143" s="157"/>
      <c r="E143" s="157">
        <v>12.6</v>
      </c>
      <c r="F143" s="622">
        <f t="shared" si="13"/>
        <v>224.06</v>
      </c>
      <c r="G143" s="290">
        <f t="shared" si="14"/>
        <v>1.9904542412727965E-3</v>
      </c>
      <c r="H143" s="426">
        <f t="shared" si="15"/>
        <v>4.5165994324993406</v>
      </c>
      <c r="I143" s="561">
        <f t="shared" si="16"/>
        <v>1.6607536113300077</v>
      </c>
      <c r="J143" s="148">
        <v>0.86732958765052115</v>
      </c>
      <c r="K143" s="428">
        <f t="shared" si="18"/>
        <v>0.46829416934425083</v>
      </c>
      <c r="L143" s="925">
        <f t="shared" si="17"/>
        <v>0.57085059243064185</v>
      </c>
      <c r="M143" s="532">
        <f t="shared" si="19"/>
        <v>3.5529068385624328E-2</v>
      </c>
      <c r="N143" s="127"/>
      <c r="O143" s="127"/>
    </row>
    <row r="144" spans="1:15" s="6" customFormat="1" ht="15.75">
      <c r="A144" s="268">
        <v>53</v>
      </c>
      <c r="B144" s="176" t="s">
        <v>105</v>
      </c>
      <c r="C144" s="157">
        <v>138.9</v>
      </c>
      <c r="D144" s="157"/>
      <c r="E144" s="157"/>
      <c r="F144" s="622">
        <f t="shared" ref="F144:F206" si="20">C144+D144+E144</f>
        <v>138.9</v>
      </c>
      <c r="G144" s="290">
        <f t="shared" si="14"/>
        <v>1.2339288320663724E-3</v>
      </c>
      <c r="H144" s="426">
        <f t="shared" si="15"/>
        <v>2.7999449307067676</v>
      </c>
      <c r="I144" s="561">
        <f t="shared" si="16"/>
        <v>1.0295397510208786</v>
      </c>
      <c r="J144" s="148">
        <v>0.53767776365552711</v>
      </c>
      <c r="K144" s="428">
        <f t="shared" si="18"/>
        <v>0.29030643632025543</v>
      </c>
      <c r="L144" s="925">
        <f t="shared" si="17"/>
        <v>0.35388354587439141</v>
      </c>
      <c r="M144" s="532">
        <f t="shared" si="19"/>
        <v>3.3531093460787816E-2</v>
      </c>
      <c r="N144" s="127"/>
      <c r="O144" s="127"/>
    </row>
    <row r="145" spans="1:15" s="6" customFormat="1" ht="15.75">
      <c r="A145" s="268">
        <v>54</v>
      </c>
      <c r="B145" s="176" t="s">
        <v>106</v>
      </c>
      <c r="C145" s="157">
        <v>8219.0300000000007</v>
      </c>
      <c r="D145" s="157">
        <v>69.3</v>
      </c>
      <c r="E145" s="157">
        <v>122.5</v>
      </c>
      <c r="F145" s="622">
        <f t="shared" si="20"/>
        <v>8410.83</v>
      </c>
      <c r="G145" s="290">
        <f t="shared" si="14"/>
        <v>7.4718255137572409E-2</v>
      </c>
      <c r="H145" s="426">
        <f t="shared" si="15"/>
        <v>169.54543428031968</v>
      </c>
      <c r="I145" s="561">
        <f t="shared" si="16"/>
        <v>62.341856184873549</v>
      </c>
      <c r="J145" s="148">
        <v>32.558072461388164</v>
      </c>
      <c r="K145" s="428">
        <f t="shared" si="18"/>
        <v>17.578963886216663</v>
      </c>
      <c r="L145" s="925">
        <f t="shared" si="17"/>
        <v>21.428756977298114</v>
      </c>
      <c r="M145" s="532">
        <f t="shared" si="19"/>
        <v>3.4313577978520339E-2</v>
      </c>
      <c r="N145" s="127"/>
      <c r="O145" s="127"/>
    </row>
    <row r="146" spans="1:15" s="6" customFormat="1" ht="15.75">
      <c r="A146" s="268">
        <v>55</v>
      </c>
      <c r="B146" s="176" t="s">
        <v>1347</v>
      </c>
      <c r="C146" s="157">
        <v>953.56</v>
      </c>
      <c r="D146" s="157"/>
      <c r="E146" s="157"/>
      <c r="F146" s="622">
        <f t="shared" si="20"/>
        <v>953.56</v>
      </c>
      <c r="G146" s="290">
        <f t="shared" si="14"/>
        <v>8.4710235932700505E-3</v>
      </c>
      <c r="H146" s="426">
        <f t="shared" si="15"/>
        <v>19.221853766196872</v>
      </c>
      <c r="I146" s="561">
        <f t="shared" si="16"/>
        <v>7.0678756298305903</v>
      </c>
      <c r="J146" s="148">
        <v>3.6912023636527311</v>
      </c>
      <c r="K146" s="428">
        <f t="shared" si="18"/>
        <v>1.9929777207886448</v>
      </c>
      <c r="L146" s="925">
        <f t="shared" si="17"/>
        <v>2.4294398416413583</v>
      </c>
      <c r="M146" s="532">
        <f t="shared" si="19"/>
        <v>3.3531093460787829E-2</v>
      </c>
      <c r="N146" s="127"/>
      <c r="O146" s="127"/>
    </row>
    <row r="147" spans="1:15" s="6" customFormat="1" ht="15.75">
      <c r="A147" s="268">
        <v>56</v>
      </c>
      <c r="B147" s="176" t="s">
        <v>1348</v>
      </c>
      <c r="C147" s="157">
        <v>1663</v>
      </c>
      <c r="D147" s="157"/>
      <c r="E147" s="157">
        <v>57.1</v>
      </c>
      <c r="F147" s="622">
        <f t="shared" si="20"/>
        <v>1720.1</v>
      </c>
      <c r="G147" s="290">
        <f t="shared" si="14"/>
        <v>1.5280640633818338E-2</v>
      </c>
      <c r="H147" s="426">
        <f t="shared" si="15"/>
        <v>34.673760081416205</v>
      </c>
      <c r="I147" s="561">
        <f t="shared" si="16"/>
        <v>12.749541581936739</v>
      </c>
      <c r="J147" s="148">
        <v>6.6584558766297484</v>
      </c>
      <c r="K147" s="428">
        <f t="shared" si="18"/>
        <v>3.5950763219184405</v>
      </c>
      <c r="L147" s="925">
        <f t="shared" si="17"/>
        <v>4.3823980364185795</v>
      </c>
      <c r="M147" s="532">
        <f t="shared" si="19"/>
        <v>3.4682401600662133E-2</v>
      </c>
      <c r="N147" s="127"/>
      <c r="O147" s="127"/>
    </row>
    <row r="148" spans="1:15" s="6" customFormat="1" ht="15.75">
      <c r="A148" s="275">
        <v>57</v>
      </c>
      <c r="B148" s="176" t="s">
        <v>1350</v>
      </c>
      <c r="C148" s="157">
        <v>1033.02</v>
      </c>
      <c r="D148" s="157"/>
      <c r="E148" s="157"/>
      <c r="F148" s="622">
        <f t="shared" si="20"/>
        <v>1033.02</v>
      </c>
      <c r="G148" s="290">
        <f t="shared" si="14"/>
        <v>9.1769126141195388E-3</v>
      </c>
      <c r="H148" s="426">
        <f t="shared" si="15"/>
        <v>20.823607720077071</v>
      </c>
      <c r="I148" s="561">
        <f t="shared" si="16"/>
        <v>7.6568405586723394</v>
      </c>
      <c r="J148" s="148">
        <v>3.998789657389723</v>
      </c>
      <c r="K148" s="428">
        <f t="shared" si="18"/>
        <v>2.159052230723904</v>
      </c>
      <c r="L148" s="925">
        <f t="shared" si="17"/>
        <v>2.6318846692524391</v>
      </c>
      <c r="M148" s="532">
        <f t="shared" si="19"/>
        <v>3.3531093460787822E-2</v>
      </c>
      <c r="N148" s="127"/>
      <c r="O148" s="127"/>
    </row>
    <row r="149" spans="1:15" s="6" customFormat="1" ht="15.75">
      <c r="A149" s="268">
        <v>58</v>
      </c>
      <c r="B149" s="176" t="s">
        <v>1351</v>
      </c>
      <c r="C149" s="157">
        <v>220.38</v>
      </c>
      <c r="D149" s="157"/>
      <c r="E149" s="157"/>
      <c r="F149" s="622">
        <f t="shared" si="20"/>
        <v>220.38</v>
      </c>
      <c r="G149" s="290">
        <f t="shared" si="14"/>
        <v>1.9577626782634064E-3</v>
      </c>
      <c r="H149" s="426">
        <f t="shared" si="15"/>
        <v>4.4424180261278439</v>
      </c>
      <c r="I149" s="561">
        <f t="shared" si="16"/>
        <v>1.6334771082072084</v>
      </c>
      <c r="J149" s="148">
        <v>0.85308441723833728</v>
      </c>
      <c r="K149" s="428">
        <f t="shared" si="18"/>
        <v>0.46060282531503166</v>
      </c>
      <c r="L149" s="925">
        <f t="shared" si="17"/>
        <v>0.56147484405902359</v>
      </c>
      <c r="M149" s="532">
        <f t="shared" si="19"/>
        <v>3.3531093460787829E-2</v>
      </c>
      <c r="N149" s="127"/>
      <c r="O149" s="127"/>
    </row>
    <row r="150" spans="1:15" s="6" customFormat="1" ht="15.75">
      <c r="A150" s="268">
        <v>59</v>
      </c>
      <c r="B150" s="176" t="s">
        <v>107</v>
      </c>
      <c r="C150" s="157">
        <v>1928.15</v>
      </c>
      <c r="D150" s="157">
        <v>45.4</v>
      </c>
      <c r="E150" s="157"/>
      <c r="F150" s="622">
        <f t="shared" si="20"/>
        <v>1973.5500000000002</v>
      </c>
      <c r="G150" s="290">
        <f t="shared" si="14"/>
        <v>1.753218320032102E-2</v>
      </c>
      <c r="H150" s="426">
        <f t="shared" si="15"/>
        <v>39.782802865344436</v>
      </c>
      <c r="I150" s="561">
        <f t="shared" si="16"/>
        <v>14.62813661358715</v>
      </c>
      <c r="J150" s="148">
        <v>7.639553279066706</v>
      </c>
      <c r="K150" s="428">
        <f t="shared" si="18"/>
        <v>4.1247967415395266</v>
      </c>
      <c r="L150" s="925">
        <f t="shared" si="17"/>
        <v>5.0281272279366833</v>
      </c>
      <c r="M150" s="532">
        <f t="shared" si="19"/>
        <v>3.4320612763290105E-2</v>
      </c>
      <c r="N150" s="127"/>
      <c r="O150" s="127"/>
    </row>
    <row r="151" spans="1:15" s="6" customFormat="1" ht="15.75">
      <c r="A151" s="268">
        <v>60</v>
      </c>
      <c r="B151" s="176" t="s">
        <v>108</v>
      </c>
      <c r="C151" s="157">
        <v>1135.5999999999999</v>
      </c>
      <c r="D151" s="157">
        <v>154.9</v>
      </c>
      <c r="E151" s="157"/>
      <c r="F151" s="622">
        <f t="shared" si="20"/>
        <v>1290.5</v>
      </c>
      <c r="G151" s="290">
        <f t="shared" si="14"/>
        <v>1.1464255995548261E-2</v>
      </c>
      <c r="H151" s="426">
        <f t="shared" si="15"/>
        <v>26.013887207178428</v>
      </c>
      <c r="I151" s="561">
        <f t="shared" si="16"/>
        <v>9.5653063260795079</v>
      </c>
      <c r="J151" s="148">
        <v>4.99548706981611</v>
      </c>
      <c r="K151" s="428">
        <f t="shared" si="18"/>
        <v>2.6971955080726397</v>
      </c>
      <c r="L151" s="925">
        <f t="shared" si="17"/>
        <v>3.2878813243405483</v>
      </c>
      <c r="M151" s="532">
        <f t="shared" si="19"/>
        <v>3.8104857442010115E-2</v>
      </c>
      <c r="N151" s="127"/>
      <c r="O151" s="127"/>
    </row>
    <row r="152" spans="1:15" s="6" customFormat="1" ht="15.75">
      <c r="A152" s="268">
        <v>61</v>
      </c>
      <c r="B152" s="176" t="s">
        <v>109</v>
      </c>
      <c r="C152" s="157">
        <v>194.37</v>
      </c>
      <c r="D152" s="157">
        <v>37.4</v>
      </c>
      <c r="E152" s="157"/>
      <c r="F152" s="622">
        <f t="shared" si="20"/>
        <v>231.77</v>
      </c>
      <c r="G152" s="290">
        <f t="shared" si="14"/>
        <v>2.0589466192082301E-3</v>
      </c>
      <c r="H152" s="426">
        <f t="shared" si="15"/>
        <v>4.6720175420439718</v>
      </c>
      <c r="I152" s="561">
        <f t="shared" si="16"/>
        <v>1.7179008502095685</v>
      </c>
      <c r="J152" s="148">
        <v>0.89717476805213481</v>
      </c>
      <c r="K152" s="428">
        <f t="shared" si="18"/>
        <v>0.48440837110112034</v>
      </c>
      <c r="L152" s="925">
        <f t="shared" si="17"/>
        <v>0.59049380437226573</v>
      </c>
      <c r="M152" s="532">
        <f t="shared" si="19"/>
        <v>3.9983029950130138E-2</v>
      </c>
      <c r="N152" s="127"/>
      <c r="O152" s="127"/>
    </row>
    <row r="153" spans="1:15" s="6" customFormat="1" ht="15.75">
      <c r="A153" s="268">
        <v>62</v>
      </c>
      <c r="B153" s="176" t="s">
        <v>110</v>
      </c>
      <c r="C153" s="157">
        <v>1422.83</v>
      </c>
      <c r="D153" s="157"/>
      <c r="E153" s="157"/>
      <c r="F153" s="622">
        <f t="shared" si="20"/>
        <v>1422.83</v>
      </c>
      <c r="G153" s="290">
        <f t="shared" si="14"/>
        <v>1.2639819727350588E-2</v>
      </c>
      <c r="H153" s="426">
        <f t="shared" si="15"/>
        <v>28.681394137923039</v>
      </c>
      <c r="I153" s="561">
        <f t="shared" si="16"/>
        <v>10.546148624514302</v>
      </c>
      <c r="J153" s="148">
        <v>5.5077325591216235</v>
      </c>
      <c r="K153" s="428">
        <f t="shared" si="18"/>
        <v>2.9737703872537731</v>
      </c>
      <c r="L153" s="925">
        <f t="shared" si="17"/>
        <v>3.6250261020623498</v>
      </c>
      <c r="M153" s="532">
        <f t="shared" si="19"/>
        <v>3.3531093460787822E-2</v>
      </c>
      <c r="N153" s="127"/>
      <c r="O153" s="127"/>
    </row>
    <row r="154" spans="1:15" s="6" customFormat="1" ht="15.75">
      <c r="A154" s="268">
        <v>63</v>
      </c>
      <c r="B154" s="176" t="s">
        <v>111</v>
      </c>
      <c r="C154" s="157">
        <v>377.6</v>
      </c>
      <c r="D154" s="157"/>
      <c r="E154" s="157"/>
      <c r="F154" s="622">
        <f t="shared" si="20"/>
        <v>377.6</v>
      </c>
      <c r="G154" s="290">
        <f t="shared" si="14"/>
        <v>3.3544386392243501E-3</v>
      </c>
      <c r="H154" s="426">
        <f t="shared" si="15"/>
        <v>7.6116573494231501</v>
      </c>
      <c r="I154" s="561">
        <f t="shared" si="16"/>
        <v>2.7988064073828927</v>
      </c>
      <c r="J154" s="148">
        <v>1.4616783553371278</v>
      </c>
      <c r="K154" s="428">
        <f t="shared" si="18"/>
        <v>0.78919877865031285</v>
      </c>
      <c r="L154" s="925">
        <f t="shared" si="17"/>
        <v>0.96203331117473145</v>
      </c>
      <c r="M154" s="532">
        <f t="shared" si="19"/>
        <v>3.3531093460787822E-2</v>
      </c>
      <c r="N154" s="127"/>
      <c r="O154" s="127"/>
    </row>
    <row r="155" spans="1:15" s="6" customFormat="1" ht="15.75">
      <c r="A155" s="275">
        <v>64</v>
      </c>
      <c r="B155" s="176" t="s">
        <v>112</v>
      </c>
      <c r="C155" s="157">
        <v>1527.61</v>
      </c>
      <c r="D155" s="157">
        <v>324.89999999999998</v>
      </c>
      <c r="E155" s="157"/>
      <c r="F155" s="622">
        <f t="shared" si="20"/>
        <v>1852.5099999999998</v>
      </c>
      <c r="G155" s="290">
        <f t="shared" si="14"/>
        <v>1.645691505177304E-2</v>
      </c>
      <c r="H155" s="426">
        <f t="shared" si="15"/>
        <v>37.342879651429762</v>
      </c>
      <c r="I155" s="561">
        <f t="shared" si="16"/>
        <v>13.730976847830725</v>
      </c>
      <c r="J155" s="148">
        <v>7.1710110435529177</v>
      </c>
      <c r="K155" s="428">
        <f t="shared" si="18"/>
        <v>3.8718184042306434</v>
      </c>
      <c r="L155" s="925">
        <f t="shared" si="17"/>
        <v>4.7197466347571542</v>
      </c>
      <c r="M155" s="532">
        <f t="shared" si="19"/>
        <v>4.0662659937447422E-2</v>
      </c>
      <c r="N155" s="127"/>
      <c r="O155" s="127"/>
    </row>
    <row r="156" spans="1:15" s="6" customFormat="1" ht="15.75">
      <c r="A156" s="268">
        <v>65</v>
      </c>
      <c r="B156" s="176" t="s">
        <v>113</v>
      </c>
      <c r="C156" s="157">
        <v>2010.19</v>
      </c>
      <c r="D156" s="157"/>
      <c r="E156" s="157"/>
      <c r="F156" s="622">
        <f t="shared" si="20"/>
        <v>2010.19</v>
      </c>
      <c r="G156" s="290">
        <f t="shared" ref="G156:G219" si="21">1/112567.27*F156</f>
        <v>1.785767745811016E-2</v>
      </c>
      <c r="H156" s="426">
        <f t="shared" ref="H156:H219" si="22">G156*2269.13</f>
        <v>40.521391650521508</v>
      </c>
      <c r="I156" s="561">
        <f t="shared" ref="I156:I219" si="23">H156*0.3677</f>
        <v>14.899715709896759</v>
      </c>
      <c r="J156" s="148">
        <v>7.7813856279532327</v>
      </c>
      <c r="K156" s="428">
        <f t="shared" si="18"/>
        <v>4.2013757755695771</v>
      </c>
      <c r="L156" s="925">
        <f t="shared" si="17"/>
        <v>5.1214770704193144</v>
      </c>
      <c r="M156" s="532">
        <f t="shared" si="19"/>
        <v>3.3531093460787822E-2</v>
      </c>
      <c r="N156" s="127"/>
      <c r="O156" s="127"/>
    </row>
    <row r="157" spans="1:15" s="6" customFormat="1" ht="15.75">
      <c r="A157" s="268">
        <v>66</v>
      </c>
      <c r="B157" s="176" t="s">
        <v>114</v>
      </c>
      <c r="C157" s="157">
        <v>1464.32</v>
      </c>
      <c r="D157" s="157"/>
      <c r="E157" s="157"/>
      <c r="F157" s="622">
        <f t="shared" si="20"/>
        <v>1464.32</v>
      </c>
      <c r="G157" s="290">
        <f t="shared" si="21"/>
        <v>1.3008399333127649E-2</v>
      </c>
      <c r="H157" s="426">
        <f t="shared" si="22"/>
        <v>29.517749178779944</v>
      </c>
      <c r="I157" s="561">
        <f t="shared" si="23"/>
        <v>10.853676373037386</v>
      </c>
      <c r="J157" s="148">
        <v>5.668339113578555</v>
      </c>
      <c r="K157" s="428">
        <f t="shared" si="18"/>
        <v>3.0604861111049422</v>
      </c>
      <c r="L157" s="925">
        <f t="shared" ref="L157:L220" si="24">K157*1.219</f>
        <v>3.7307325694369249</v>
      </c>
      <c r="M157" s="532">
        <f t="shared" si="19"/>
        <v>3.3531093460787829E-2</v>
      </c>
      <c r="N157" s="127"/>
      <c r="O157" s="127"/>
    </row>
    <row r="158" spans="1:15" s="6" customFormat="1" ht="15.75">
      <c r="A158" s="268">
        <v>67</v>
      </c>
      <c r="B158" s="176" t="s">
        <v>115</v>
      </c>
      <c r="C158" s="157">
        <v>152.11000000000001</v>
      </c>
      <c r="D158" s="157"/>
      <c r="E158" s="157"/>
      <c r="F158" s="622">
        <f t="shared" si="20"/>
        <v>152.11000000000001</v>
      </c>
      <c r="G158" s="290">
        <f t="shared" si="21"/>
        <v>1.3512808829777964E-3</v>
      </c>
      <c r="H158" s="426">
        <f t="shared" si="22"/>
        <v>3.0662319899914072</v>
      </c>
      <c r="I158" s="561">
        <f t="shared" si="23"/>
        <v>1.1274535027198405</v>
      </c>
      <c r="J158" s="148">
        <v>0.58881328027100233</v>
      </c>
      <c r="K158" s="428">
        <f t="shared" si="18"/>
        <v>0.31791585333818617</v>
      </c>
      <c r="L158" s="925">
        <f t="shared" si="24"/>
        <v>0.38753942521924895</v>
      </c>
      <c r="M158" s="532">
        <f t="shared" si="19"/>
        <v>3.3531093460787822E-2</v>
      </c>
      <c r="N158" s="127"/>
      <c r="O158" s="127"/>
    </row>
    <row r="159" spans="1:15" s="6" customFormat="1" ht="15.75">
      <c r="A159" s="268">
        <v>68</v>
      </c>
      <c r="B159" s="176" t="s">
        <v>116</v>
      </c>
      <c r="C159" s="157">
        <v>2553.5700000000002</v>
      </c>
      <c r="D159" s="157"/>
      <c r="E159" s="157"/>
      <c r="F159" s="622">
        <f t="shared" si="20"/>
        <v>2553.5700000000002</v>
      </c>
      <c r="G159" s="290">
        <f t="shared" si="21"/>
        <v>2.2684835476599906E-2</v>
      </c>
      <c r="H159" s="426">
        <f t="shared" si="22"/>
        <v>51.474840725017145</v>
      </c>
      <c r="I159" s="561">
        <f t="shared" si="23"/>
        <v>18.927298934588805</v>
      </c>
      <c r="J159" s="148">
        <v>9.8847934264783603</v>
      </c>
      <c r="K159" s="428">
        <f t="shared" si="18"/>
        <v>5.3370612425796597</v>
      </c>
      <c r="L159" s="925">
        <f t="shared" si="24"/>
        <v>6.505877654704606</v>
      </c>
      <c r="M159" s="532">
        <f t="shared" si="19"/>
        <v>3.3531093460787822E-2</v>
      </c>
      <c r="N159" s="127"/>
      <c r="O159" s="127"/>
    </row>
    <row r="160" spans="1:15" s="6" customFormat="1" ht="15.75">
      <c r="A160" s="268">
        <v>69</v>
      </c>
      <c r="B160" s="176" t="s">
        <v>117</v>
      </c>
      <c r="C160" s="157">
        <v>56.69</v>
      </c>
      <c r="D160" s="157">
        <v>45.3</v>
      </c>
      <c r="E160" s="157"/>
      <c r="F160" s="622">
        <f t="shared" si="20"/>
        <v>101.99</v>
      </c>
      <c r="G160" s="290">
        <f t="shared" si="21"/>
        <v>9.0603600851295405E-4</v>
      </c>
      <c r="H160" s="426">
        <f t="shared" si="22"/>
        <v>2.0559134879969996</v>
      </c>
      <c r="I160" s="561">
        <f t="shared" si="23"/>
        <v>0.75595938953649677</v>
      </c>
      <c r="J160" s="148">
        <v>0.39480025280941106</v>
      </c>
      <c r="K160" s="428">
        <f t="shared" si="18"/>
        <v>0.2131630917228427</v>
      </c>
      <c r="L160" s="925">
        <f t="shared" si="24"/>
        <v>0.2598458088101453</v>
      </c>
      <c r="M160" s="532">
        <f t="shared" si="19"/>
        <v>6.032521118479009E-2</v>
      </c>
      <c r="N160" s="127"/>
      <c r="O160" s="127"/>
    </row>
    <row r="161" spans="1:15" s="6" customFormat="1" ht="15.75">
      <c r="A161" s="268">
        <v>70</v>
      </c>
      <c r="B161" s="176" t="s">
        <v>118</v>
      </c>
      <c r="C161" s="157">
        <v>166.1</v>
      </c>
      <c r="D161" s="157"/>
      <c r="E161" s="157"/>
      <c r="F161" s="622">
        <f t="shared" si="20"/>
        <v>166.1</v>
      </c>
      <c r="G161" s="290">
        <f t="shared" si="21"/>
        <v>1.4755621238749061E-3</v>
      </c>
      <c r="H161" s="426">
        <f t="shared" si="22"/>
        <v>3.348242282148266</v>
      </c>
      <c r="I161" s="561">
        <f t="shared" si="23"/>
        <v>1.2311486871459174</v>
      </c>
      <c r="J161" s="148">
        <v>0.64296815365862514</v>
      </c>
      <c r="K161" s="428">
        <f t="shared" si="18"/>
        <v>0.34715550088404917</v>
      </c>
      <c r="L161" s="925">
        <f t="shared" si="24"/>
        <v>0.42318255557765599</v>
      </c>
      <c r="M161" s="532">
        <f t="shared" si="19"/>
        <v>3.3531093460787822E-2</v>
      </c>
      <c r="N161" s="127"/>
      <c r="O161" s="127"/>
    </row>
    <row r="162" spans="1:15" s="6" customFormat="1" ht="15.75">
      <c r="A162" s="275">
        <v>71</v>
      </c>
      <c r="B162" s="176" t="s">
        <v>119</v>
      </c>
      <c r="C162" s="157">
        <v>315.39999999999998</v>
      </c>
      <c r="D162" s="157"/>
      <c r="E162" s="157"/>
      <c r="F162" s="622">
        <f t="shared" si="20"/>
        <v>315.39999999999998</v>
      </c>
      <c r="G162" s="290">
        <f t="shared" si="21"/>
        <v>2.8018801557504235E-3</v>
      </c>
      <c r="H162" s="426">
        <f t="shared" si="22"/>
        <v>6.3578303178179585</v>
      </c>
      <c r="I162" s="561">
        <f t="shared" si="23"/>
        <v>2.3377742078616635</v>
      </c>
      <c r="J162" s="148">
        <v>1.2209040076094544</v>
      </c>
      <c r="K162" s="428">
        <f t="shared" si="18"/>
        <v>0.65919834424340218</v>
      </c>
      <c r="L162" s="925">
        <f t="shared" si="24"/>
        <v>0.80356278163270733</v>
      </c>
      <c r="M162" s="532">
        <f t="shared" si="19"/>
        <v>3.3531093460787822E-2</v>
      </c>
      <c r="N162" s="127"/>
      <c r="O162" s="127"/>
    </row>
    <row r="163" spans="1:15" s="6" customFormat="1" ht="15.75">
      <c r="A163" s="268">
        <v>72</v>
      </c>
      <c r="B163" s="176" t="s">
        <v>120</v>
      </c>
      <c r="C163" s="157">
        <v>1364.91</v>
      </c>
      <c r="D163" s="157">
        <v>133</v>
      </c>
      <c r="E163" s="157"/>
      <c r="F163" s="622">
        <f t="shared" si="20"/>
        <v>1497.91</v>
      </c>
      <c r="G163" s="290">
        <f t="shared" si="21"/>
        <v>1.330679868135738E-2</v>
      </c>
      <c r="H163" s="426">
        <f t="shared" si="22"/>
        <v>30.194856091828473</v>
      </c>
      <c r="I163" s="561">
        <f t="shared" si="23"/>
        <v>11.10264858496533</v>
      </c>
      <c r="J163" s="148">
        <v>5.7983650032919405</v>
      </c>
      <c r="K163" s="428">
        <f t="shared" si="18"/>
        <v>3.1306905257629509</v>
      </c>
      <c r="L163" s="925">
        <f t="shared" si="24"/>
        <v>3.8163117509050375</v>
      </c>
      <c r="M163" s="532">
        <f t="shared" si="19"/>
        <v>3.679844107365958E-2</v>
      </c>
      <c r="N163" s="127"/>
      <c r="O163" s="127"/>
    </row>
    <row r="164" spans="1:15" s="6" customFormat="1" ht="15.75">
      <c r="A164" s="268">
        <v>73</v>
      </c>
      <c r="B164" s="176" t="s">
        <v>122</v>
      </c>
      <c r="C164" s="157">
        <v>165.93</v>
      </c>
      <c r="D164" s="157"/>
      <c r="E164" s="157"/>
      <c r="F164" s="622">
        <f t="shared" si="20"/>
        <v>165.93</v>
      </c>
      <c r="G164" s="290">
        <f t="shared" si="21"/>
        <v>1.4740519158011028E-3</v>
      </c>
      <c r="H164" s="426">
        <f t="shared" si="22"/>
        <v>3.3448154237017564</v>
      </c>
      <c r="I164" s="561">
        <f t="shared" si="23"/>
        <v>1.229888631295136</v>
      </c>
      <c r="J164" s="148">
        <v>0.64231008872110584</v>
      </c>
      <c r="K164" s="428">
        <f t="shared" si="18"/>
        <v>0.34680019423052549</v>
      </c>
      <c r="L164" s="925">
        <f t="shared" si="24"/>
        <v>0.4227494367670106</v>
      </c>
      <c r="M164" s="532">
        <f t="shared" si="19"/>
        <v>3.3531093460787822E-2</v>
      </c>
      <c r="N164" s="127"/>
      <c r="O164" s="127"/>
    </row>
    <row r="165" spans="1:15" s="6" customFormat="1" ht="15.75">
      <c r="A165" s="268">
        <v>74</v>
      </c>
      <c r="B165" s="176" t="s">
        <v>123</v>
      </c>
      <c r="C165" s="157">
        <v>783.19</v>
      </c>
      <c r="D165" s="157">
        <v>194.1</v>
      </c>
      <c r="E165" s="157"/>
      <c r="F165" s="622">
        <f t="shared" si="20"/>
        <v>977.29000000000008</v>
      </c>
      <c r="G165" s="290">
        <f t="shared" si="21"/>
        <v>8.6818308732191877E-3</v>
      </c>
      <c r="H165" s="426">
        <f t="shared" si="22"/>
        <v>19.700202889347857</v>
      </c>
      <c r="I165" s="561">
        <f t="shared" si="23"/>
        <v>7.2437646024132079</v>
      </c>
      <c r="J165" s="148">
        <v>3.7830604869899931</v>
      </c>
      <c r="K165" s="428">
        <f>G165*367.79</f>
        <v>3.1930905768612852</v>
      </c>
      <c r="L165" s="925">
        <f t="shared" si="24"/>
        <v>3.8923774131939068</v>
      </c>
      <c r="M165" s="532">
        <f t="shared" si="19"/>
        <v>4.3310203852976084E-2</v>
      </c>
      <c r="N165" s="127"/>
      <c r="O165" s="127"/>
    </row>
    <row r="166" spans="1:15" s="6" customFormat="1" ht="15.75">
      <c r="A166" s="268">
        <v>75</v>
      </c>
      <c r="B166" s="176" t="s">
        <v>124</v>
      </c>
      <c r="C166" s="157">
        <v>144.9</v>
      </c>
      <c r="D166" s="157"/>
      <c r="E166" s="157"/>
      <c r="F166" s="622">
        <f t="shared" si="20"/>
        <v>144.9</v>
      </c>
      <c r="G166" s="290">
        <f t="shared" si="21"/>
        <v>1.2872302934947254E-3</v>
      </c>
      <c r="H166" s="426">
        <f t="shared" si="22"/>
        <v>2.9208928758776862</v>
      </c>
      <c r="I166" s="561">
        <f t="shared" si="23"/>
        <v>1.0740123104602253</v>
      </c>
      <c r="J166" s="148">
        <v>0.56090358497973991</v>
      </c>
      <c r="K166" s="428">
        <f t="shared" si="18"/>
        <v>0.30284667115050407</v>
      </c>
      <c r="L166" s="925">
        <f t="shared" si="24"/>
        <v>0.36917009213246449</v>
      </c>
      <c r="M166" s="532">
        <f t="shared" si="19"/>
        <v>3.3531093460787822E-2</v>
      </c>
      <c r="N166" s="127"/>
      <c r="O166" s="127"/>
    </row>
    <row r="167" spans="1:15" s="6" customFormat="1" ht="15.75">
      <c r="A167" s="268">
        <v>76</v>
      </c>
      <c r="B167" s="176" t="s">
        <v>125</v>
      </c>
      <c r="C167" s="157">
        <v>213.4</v>
      </c>
      <c r="D167" s="157">
        <v>18.5</v>
      </c>
      <c r="E167" s="157"/>
      <c r="F167" s="622">
        <f t="shared" si="20"/>
        <v>231.9</v>
      </c>
      <c r="G167" s="290">
        <f t="shared" si="21"/>
        <v>2.0601014842058442E-3</v>
      </c>
      <c r="H167" s="426">
        <f t="shared" si="22"/>
        <v>4.6746380808560071</v>
      </c>
      <c r="I167" s="561">
        <f t="shared" si="23"/>
        <v>1.7188644223307539</v>
      </c>
      <c r="J167" s="148">
        <v>0.89767799418082583</v>
      </c>
      <c r="K167" s="428">
        <f t="shared" si="18"/>
        <v>0.48468007618910897</v>
      </c>
      <c r="L167" s="925">
        <f t="shared" si="24"/>
        <v>0.59082501287452382</v>
      </c>
      <c r="M167" s="532">
        <f t="shared" si="19"/>
        <v>3.643795957617945E-2</v>
      </c>
      <c r="N167" s="127"/>
      <c r="O167" s="127"/>
    </row>
    <row r="168" spans="1:15" s="6" customFormat="1" ht="15.75">
      <c r="A168" s="268">
        <v>77</v>
      </c>
      <c r="B168" s="274" t="s">
        <v>126</v>
      </c>
      <c r="C168" s="157">
        <v>3146.6</v>
      </c>
      <c r="D168" s="157"/>
      <c r="E168" s="157"/>
      <c r="F168" s="622">
        <f t="shared" si="20"/>
        <v>3146.6</v>
      </c>
      <c r="G168" s="290">
        <f t="shared" si="21"/>
        <v>2.7953063088409266E-2</v>
      </c>
      <c r="H168" s="426">
        <f t="shared" si="22"/>
        <v>63.429134045802122</v>
      </c>
      <c r="I168" s="561">
        <f t="shared" si="23"/>
        <v>23.322892588641441</v>
      </c>
      <c r="J168" s="148">
        <v>12.180394896461349</v>
      </c>
      <c r="K168" s="428">
        <f>G168*235.27</f>
        <v>6.5765171528100481</v>
      </c>
      <c r="L168" s="925">
        <f t="shared" si="24"/>
        <v>8.0167744092754489</v>
      </c>
      <c r="M168" s="532">
        <f t="shared" si="19"/>
        <v>3.3531093460787829E-2</v>
      </c>
      <c r="N168" s="127"/>
      <c r="O168" s="127"/>
    </row>
    <row r="169" spans="1:15" s="6" customFormat="1" ht="15.75">
      <c r="A169" s="275">
        <v>78</v>
      </c>
      <c r="B169" s="176" t="s">
        <v>127</v>
      </c>
      <c r="C169" s="157">
        <v>848.35</v>
      </c>
      <c r="D169" s="157"/>
      <c r="E169" s="157"/>
      <c r="F169" s="622">
        <f t="shared" si="20"/>
        <v>848.35</v>
      </c>
      <c r="G169" s="290">
        <f t="shared" si="21"/>
        <v>7.5363824671238807E-3</v>
      </c>
      <c r="H169" s="426">
        <f t="shared" si="22"/>
        <v>17.101031547624814</v>
      </c>
      <c r="I169" s="561">
        <f t="shared" si="23"/>
        <v>6.2880493000616449</v>
      </c>
      <c r="J169" s="148">
        <v>3.2839375867326592</v>
      </c>
      <c r="K169" s="428">
        <f>G169*235.27</f>
        <v>1.7730847030402355</v>
      </c>
      <c r="L169" s="925">
        <f t="shared" si="24"/>
        <v>2.1613902530060471</v>
      </c>
      <c r="M169" s="532">
        <f t="shared" si="19"/>
        <v>3.3531093460787829E-2</v>
      </c>
      <c r="N169" s="127"/>
      <c r="O169" s="127"/>
    </row>
    <row r="170" spans="1:15" s="6" customFormat="1" ht="15.75">
      <c r="A170" s="268">
        <v>79</v>
      </c>
      <c r="B170" s="176" t="s">
        <v>128</v>
      </c>
      <c r="C170" s="157">
        <v>885.4</v>
      </c>
      <c r="D170" s="157"/>
      <c r="E170" s="157"/>
      <c r="F170" s="622">
        <f t="shared" si="20"/>
        <v>885.4</v>
      </c>
      <c r="G170" s="290">
        <f t="shared" si="21"/>
        <v>7.8655189914439601E-3</v>
      </c>
      <c r="H170" s="426">
        <f t="shared" si="22"/>
        <v>17.847885109055234</v>
      </c>
      <c r="I170" s="561">
        <f t="shared" si="23"/>
        <v>6.5626673545996104</v>
      </c>
      <c r="J170" s="148">
        <v>3.4273570334096735</v>
      </c>
      <c r="K170" s="428">
        <f>G170*235.27</f>
        <v>1.8505206531170206</v>
      </c>
      <c r="L170" s="925">
        <f t="shared" si="24"/>
        <v>2.2557846761496485</v>
      </c>
      <c r="M170" s="532">
        <f t="shared" si="19"/>
        <v>3.3531093460787822E-2</v>
      </c>
      <c r="N170" s="127"/>
      <c r="O170" s="127"/>
    </row>
    <row r="171" spans="1:15" s="6" customFormat="1" ht="15.75">
      <c r="A171" s="268">
        <v>80</v>
      </c>
      <c r="B171" s="176" t="s">
        <v>129</v>
      </c>
      <c r="C171" s="157">
        <v>877.79</v>
      </c>
      <c r="D171" s="157"/>
      <c r="E171" s="157"/>
      <c r="F171" s="622">
        <f t="shared" si="20"/>
        <v>877.79</v>
      </c>
      <c r="G171" s="290">
        <f t="shared" si="21"/>
        <v>7.7979149711989992E-3</v>
      </c>
      <c r="H171" s="426">
        <f t="shared" si="22"/>
        <v>17.694482798596788</v>
      </c>
      <c r="I171" s="561">
        <f t="shared" si="23"/>
        <v>6.5062613250440391</v>
      </c>
      <c r="J171" s="148">
        <v>3.3978989500301302</v>
      </c>
      <c r="K171" s="428">
        <f>G171*301.5</f>
        <v>2.3510713638164984</v>
      </c>
      <c r="L171" s="925">
        <f t="shared" si="24"/>
        <v>2.8659559924923119</v>
      </c>
      <c r="M171" s="532">
        <f t="shared" si="19"/>
        <v>3.4119452759187797E-2</v>
      </c>
      <c r="N171" s="127"/>
      <c r="O171" s="127"/>
    </row>
    <row r="172" spans="1:15" s="6" customFormat="1" ht="15.75">
      <c r="A172" s="268">
        <v>81</v>
      </c>
      <c r="B172" s="176" t="s">
        <v>130</v>
      </c>
      <c r="C172" s="157">
        <v>917.6</v>
      </c>
      <c r="D172" s="157"/>
      <c r="E172" s="157">
        <v>32.299999999999997</v>
      </c>
      <c r="F172" s="622">
        <f t="shared" si="20"/>
        <v>949.9</v>
      </c>
      <c r="G172" s="290">
        <f t="shared" si="21"/>
        <v>8.4385097017987548E-3</v>
      </c>
      <c r="H172" s="426">
        <f t="shared" si="22"/>
        <v>19.14807551964261</v>
      </c>
      <c r="I172" s="561">
        <f t="shared" si="23"/>
        <v>7.0407473685725881</v>
      </c>
      <c r="J172" s="148">
        <v>3.6770346126449609</v>
      </c>
      <c r="K172" s="428">
        <f>G172*301.5</f>
        <v>2.5442106750923248</v>
      </c>
      <c r="L172" s="925">
        <f t="shared" si="24"/>
        <v>3.1013928129375441</v>
      </c>
      <c r="M172" s="532">
        <f t="shared" si="19"/>
        <v>3.5320475344324857E-2</v>
      </c>
      <c r="N172" s="127"/>
      <c r="O172" s="127"/>
    </row>
    <row r="173" spans="1:15" s="6" customFormat="1" ht="15.75">
      <c r="A173" s="268">
        <v>82</v>
      </c>
      <c r="B173" s="176" t="s">
        <v>131</v>
      </c>
      <c r="C173" s="157">
        <v>1018.2</v>
      </c>
      <c r="D173" s="157"/>
      <c r="E173" s="157">
        <v>37.799999999999997</v>
      </c>
      <c r="F173" s="622">
        <f t="shared" si="20"/>
        <v>1056</v>
      </c>
      <c r="G173" s="290">
        <f t="shared" si="21"/>
        <v>9.381057211390131E-3</v>
      </c>
      <c r="H173" s="426">
        <f t="shared" si="22"/>
        <v>21.286838350081688</v>
      </c>
      <c r="I173" s="561">
        <f t="shared" si="23"/>
        <v>7.8271704613250375</v>
      </c>
      <c r="J173" s="148">
        <v>4.0877445530614587</v>
      </c>
      <c r="K173" s="428">
        <f>G173*301.5</f>
        <v>2.8283887492341244</v>
      </c>
      <c r="L173" s="925">
        <f t="shared" si="24"/>
        <v>3.4478058853163978</v>
      </c>
      <c r="M173" s="532">
        <f t="shared" si="19"/>
        <v>3.5386114823907196E-2</v>
      </c>
      <c r="N173" s="127"/>
      <c r="O173" s="127"/>
    </row>
    <row r="174" spans="1:15" s="6" customFormat="1" ht="15.75">
      <c r="A174" s="268">
        <v>83</v>
      </c>
      <c r="B174" s="176" t="s">
        <v>132</v>
      </c>
      <c r="C174" s="157">
        <v>837.9</v>
      </c>
      <c r="D174" s="157">
        <v>160.4</v>
      </c>
      <c r="E174" s="157"/>
      <c r="F174" s="622">
        <f t="shared" si="20"/>
        <v>998.3</v>
      </c>
      <c r="G174" s="290">
        <f t="shared" si="21"/>
        <v>8.8684748239874697E-3</v>
      </c>
      <c r="H174" s="426">
        <f t="shared" si="22"/>
        <v>20.123722277354688</v>
      </c>
      <c r="I174" s="561">
        <f t="shared" si="23"/>
        <v>7.3994926813833191</v>
      </c>
      <c r="J174" s="148">
        <v>3.8643895713269449</v>
      </c>
      <c r="K174" s="426">
        <f>G174*235.27</f>
        <v>2.0864860718395319</v>
      </c>
      <c r="L174" s="925">
        <f t="shared" si="24"/>
        <v>2.5434265215723895</v>
      </c>
      <c r="M174" s="532">
        <f t="shared" si="19"/>
        <v>3.9949982816451221E-2</v>
      </c>
      <c r="N174" s="127"/>
      <c r="O174" s="127"/>
    </row>
    <row r="175" spans="1:15" s="6" customFormat="1" ht="15.75">
      <c r="A175" s="268">
        <v>84</v>
      </c>
      <c r="B175" s="176" t="s">
        <v>133</v>
      </c>
      <c r="C175" s="157">
        <v>304</v>
      </c>
      <c r="D175" s="157"/>
      <c r="E175" s="157"/>
      <c r="F175" s="622">
        <f t="shared" si="20"/>
        <v>304</v>
      </c>
      <c r="G175" s="290">
        <f t="shared" si="21"/>
        <v>2.7006073790365528E-3</v>
      </c>
      <c r="H175" s="426">
        <f t="shared" si="22"/>
        <v>6.1280292219932138</v>
      </c>
      <c r="I175" s="561">
        <f t="shared" si="23"/>
        <v>2.2532763449269049</v>
      </c>
      <c r="J175" s="148">
        <v>1.1767749470934501</v>
      </c>
      <c r="K175" s="426">
        <f>G175*235.27</f>
        <v>0.63537189806592986</v>
      </c>
      <c r="L175" s="925">
        <f t="shared" si="24"/>
        <v>0.77451834374236861</v>
      </c>
      <c r="M175" s="532">
        <f t="shared" si="19"/>
        <v>3.3531093460787822E-2</v>
      </c>
      <c r="N175" s="127"/>
      <c r="O175" s="127"/>
    </row>
    <row r="176" spans="1:15" s="6" customFormat="1" ht="15.75">
      <c r="A176" s="275">
        <v>85</v>
      </c>
      <c r="B176" s="176" t="s">
        <v>134</v>
      </c>
      <c r="C176" s="157">
        <v>1272.1600000000001</v>
      </c>
      <c r="D176" s="157">
        <v>51.6</v>
      </c>
      <c r="E176" s="157">
        <v>23.7</v>
      </c>
      <c r="F176" s="622">
        <f t="shared" si="20"/>
        <v>1347.46</v>
      </c>
      <c r="G176" s="290">
        <f t="shared" si="21"/>
        <v>1.1970264536041426E-2</v>
      </c>
      <c r="H176" s="426">
        <f t="shared" si="22"/>
        <v>27.162086366667683</v>
      </c>
      <c r="I176" s="561">
        <f t="shared" si="23"/>
        <v>9.9874991570237075</v>
      </c>
      <c r="J176" s="148">
        <v>5.2159775335873038</v>
      </c>
      <c r="K176" s="428">
        <f>G176*301.5</f>
        <v>3.6090347576164898</v>
      </c>
      <c r="L176" s="925">
        <f t="shared" si="24"/>
        <v>4.3994133695345017</v>
      </c>
      <c r="M176" s="532">
        <f t="shared" si="19"/>
        <v>3.6139005954357303E-2</v>
      </c>
      <c r="N176" s="127"/>
      <c r="O176" s="127"/>
    </row>
    <row r="177" spans="1:15" s="6" customFormat="1" ht="15.75">
      <c r="A177" s="268">
        <v>86</v>
      </c>
      <c r="B177" s="176" t="s">
        <v>135</v>
      </c>
      <c r="C177" s="157">
        <v>930.9</v>
      </c>
      <c r="D177" s="157"/>
      <c r="E177" s="157"/>
      <c r="F177" s="622">
        <f t="shared" si="20"/>
        <v>930.9</v>
      </c>
      <c r="G177" s="290">
        <f t="shared" si="21"/>
        <v>8.2697217406089707E-3</v>
      </c>
      <c r="H177" s="426">
        <f t="shared" si="22"/>
        <v>18.765073693268036</v>
      </c>
      <c r="I177" s="561">
        <f t="shared" si="23"/>
        <v>6.8999175970146576</v>
      </c>
      <c r="J177" s="148">
        <v>3.6034861784516208</v>
      </c>
      <c r="K177" s="428">
        <f>G177*367.79</f>
        <v>3.0415209589785737</v>
      </c>
      <c r="L177" s="925">
        <f t="shared" si="24"/>
        <v>3.7076140489948815</v>
      </c>
      <c r="M177" s="532">
        <f t="shared" si="19"/>
        <v>3.4708345072202045E-2</v>
      </c>
      <c r="N177" s="127"/>
      <c r="O177" s="127"/>
    </row>
    <row r="178" spans="1:15" s="6" customFormat="1" ht="15.75">
      <c r="A178" s="268">
        <v>87</v>
      </c>
      <c r="B178" s="176" t="s">
        <v>136</v>
      </c>
      <c r="C178" s="157">
        <v>791.4</v>
      </c>
      <c r="D178" s="157"/>
      <c r="E178" s="157"/>
      <c r="F178" s="622">
        <f t="shared" si="20"/>
        <v>791.4</v>
      </c>
      <c r="G178" s="290">
        <f t="shared" si="21"/>
        <v>7.0304627623997635E-3</v>
      </c>
      <c r="H178" s="426">
        <f t="shared" si="22"/>
        <v>15.953033968044176</v>
      </c>
      <c r="I178" s="561">
        <f t="shared" si="23"/>
        <v>5.8659305900498442</v>
      </c>
      <c r="J178" s="148">
        <v>3.0634858326636727</v>
      </c>
      <c r="K178" s="428">
        <f>G178*301.5</f>
        <v>2.1196845228635288</v>
      </c>
      <c r="L178" s="925">
        <f t="shared" si="24"/>
        <v>2.5838954333706416</v>
      </c>
      <c r="M178" s="532">
        <f t="shared" si="19"/>
        <v>3.4119452759187797E-2</v>
      </c>
      <c r="N178" s="127"/>
      <c r="O178" s="127"/>
    </row>
    <row r="179" spans="1:15" s="6" customFormat="1" ht="15.75">
      <c r="A179" s="268">
        <v>88</v>
      </c>
      <c r="B179" s="176" t="s">
        <v>137</v>
      </c>
      <c r="C179" s="157">
        <v>574.42999999999995</v>
      </c>
      <c r="D179" s="157"/>
      <c r="E179" s="157"/>
      <c r="F179" s="622">
        <f t="shared" si="20"/>
        <v>574.42999999999995</v>
      </c>
      <c r="G179" s="290">
        <f t="shared" si="21"/>
        <v>5.1029930813814703E-3</v>
      </c>
      <c r="H179" s="426">
        <f t="shared" si="22"/>
        <v>11.579354690755137</v>
      </c>
      <c r="I179" s="561">
        <f t="shared" si="23"/>
        <v>4.2577287197906646</v>
      </c>
      <c r="J179" s="148">
        <v>2.2236014238779296</v>
      </c>
      <c r="K179" s="428">
        <f>G179*367.79</f>
        <v>1.876829825401291</v>
      </c>
      <c r="L179" s="925">
        <f t="shared" si="24"/>
        <v>2.2878555571641739</v>
      </c>
      <c r="M179" s="532">
        <f t="shared" si="19"/>
        <v>3.4708345072202045E-2</v>
      </c>
      <c r="N179" s="127"/>
      <c r="O179" s="127"/>
    </row>
    <row r="180" spans="1:15" s="6" customFormat="1" ht="15.75">
      <c r="A180" s="268">
        <v>89</v>
      </c>
      <c r="B180" s="176" t="s">
        <v>138</v>
      </c>
      <c r="C180" s="157">
        <v>326.89999999999998</v>
      </c>
      <c r="D180" s="157"/>
      <c r="E180" s="157"/>
      <c r="F180" s="622">
        <f t="shared" si="20"/>
        <v>326.89999999999998</v>
      </c>
      <c r="G180" s="290">
        <f t="shared" si="21"/>
        <v>2.904041290154767E-3</v>
      </c>
      <c r="H180" s="426">
        <f t="shared" si="22"/>
        <v>6.5896472127288863</v>
      </c>
      <c r="I180" s="561">
        <f t="shared" si="23"/>
        <v>2.4230132801204118</v>
      </c>
      <c r="J180" s="148">
        <v>1.265420165147529</v>
      </c>
      <c r="K180" s="428">
        <f>G180*367.79</f>
        <v>1.0680773461060218</v>
      </c>
      <c r="L180" s="925">
        <f t="shared" si="24"/>
        <v>1.3019862849032406</v>
      </c>
      <c r="M180" s="532">
        <f t="shared" si="19"/>
        <v>3.4708345072202045E-2</v>
      </c>
      <c r="N180" s="127"/>
      <c r="O180" s="127"/>
    </row>
    <row r="181" spans="1:15" s="6" customFormat="1" ht="15.75">
      <c r="A181" s="268">
        <v>90</v>
      </c>
      <c r="B181" s="176" t="s">
        <v>139</v>
      </c>
      <c r="C181" s="157">
        <v>323.60000000000002</v>
      </c>
      <c r="D181" s="157"/>
      <c r="E181" s="157"/>
      <c r="F181" s="622">
        <f t="shared" si="20"/>
        <v>323.60000000000002</v>
      </c>
      <c r="G181" s="290">
        <f t="shared" si="21"/>
        <v>2.8747254863691731E-3</v>
      </c>
      <c r="H181" s="426">
        <f t="shared" si="22"/>
        <v>6.5231258428848822</v>
      </c>
      <c r="I181" s="561">
        <f t="shared" si="23"/>
        <v>2.3985533724287715</v>
      </c>
      <c r="J181" s="148">
        <v>1.2526459634192122</v>
      </c>
      <c r="K181" s="428">
        <f>G181*367.79</f>
        <v>1.0572952866317182</v>
      </c>
      <c r="L181" s="925">
        <f t="shared" si="24"/>
        <v>1.2888429544040647</v>
      </c>
      <c r="M181" s="532">
        <f t="shared" si="19"/>
        <v>3.4708345072202051E-2</v>
      </c>
      <c r="N181" s="127"/>
      <c r="O181" s="127"/>
    </row>
    <row r="182" spans="1:15" s="6" customFormat="1" ht="15.75">
      <c r="A182" s="268">
        <v>91</v>
      </c>
      <c r="B182" s="176" t="s">
        <v>140</v>
      </c>
      <c r="C182" s="157">
        <v>483.2</v>
      </c>
      <c r="D182" s="157"/>
      <c r="E182" s="157"/>
      <c r="F182" s="622">
        <f t="shared" si="20"/>
        <v>483.2</v>
      </c>
      <c r="G182" s="290">
        <f t="shared" si="21"/>
        <v>4.292544360363363E-3</v>
      </c>
      <c r="H182" s="426">
        <f t="shared" si="22"/>
        <v>9.740341184431319</v>
      </c>
      <c r="I182" s="561">
        <f t="shared" si="23"/>
        <v>3.5815234535153961</v>
      </c>
      <c r="J182" s="148">
        <v>1.8704528106432732</v>
      </c>
      <c r="K182" s="428">
        <f t="shared" ref="K182:K245" si="25">G182*235.27</f>
        <v>1.0099069116626884</v>
      </c>
      <c r="L182" s="925">
        <f t="shared" si="24"/>
        <v>1.2310765253168172</v>
      </c>
      <c r="M182" s="532">
        <f t="shared" si="19"/>
        <v>3.3531093460787829E-2</v>
      </c>
      <c r="N182" s="127"/>
      <c r="O182" s="127"/>
    </row>
    <row r="183" spans="1:15" s="6" customFormat="1" ht="15.75">
      <c r="A183" s="275">
        <v>92</v>
      </c>
      <c r="B183" s="176" t="s">
        <v>141</v>
      </c>
      <c r="C183" s="157">
        <v>408.2</v>
      </c>
      <c r="D183" s="157"/>
      <c r="E183" s="157"/>
      <c r="F183" s="622">
        <f t="shared" si="20"/>
        <v>408.2</v>
      </c>
      <c r="G183" s="290">
        <f t="shared" si="21"/>
        <v>3.6262760925089505E-3</v>
      </c>
      <c r="H183" s="426">
        <f t="shared" si="22"/>
        <v>8.2284918697948353</v>
      </c>
      <c r="I183" s="561">
        <f t="shared" si="23"/>
        <v>3.0256164605235614</v>
      </c>
      <c r="J183" s="148">
        <v>1.5801300440906128</v>
      </c>
      <c r="K183" s="428">
        <f t="shared" si="25"/>
        <v>0.85315397628458078</v>
      </c>
      <c r="L183" s="925">
        <f t="shared" si="24"/>
        <v>1.039994697090904</v>
      </c>
      <c r="M183" s="532">
        <f t="shared" si="19"/>
        <v>3.3531093460787829E-2</v>
      </c>
      <c r="N183" s="127"/>
      <c r="O183" s="127"/>
    </row>
    <row r="184" spans="1:15" s="6" customFormat="1" ht="15.75">
      <c r="A184" s="268">
        <v>93</v>
      </c>
      <c r="B184" s="176" t="s">
        <v>145</v>
      </c>
      <c r="C184" s="157">
        <v>482.97</v>
      </c>
      <c r="D184" s="157"/>
      <c r="E184" s="157"/>
      <c r="F184" s="622">
        <f t="shared" si="20"/>
        <v>482.97</v>
      </c>
      <c r="G184" s="290">
        <f t="shared" si="21"/>
        <v>4.2905011376752769E-3</v>
      </c>
      <c r="H184" s="426">
        <f t="shared" si="22"/>
        <v>9.7357048465331015</v>
      </c>
      <c r="I184" s="561">
        <f t="shared" si="23"/>
        <v>3.5798186720702216</v>
      </c>
      <c r="J184" s="148">
        <v>1.8695624874925119</v>
      </c>
      <c r="K184" s="428">
        <f t="shared" si="25"/>
        <v>1.0094262026608625</v>
      </c>
      <c r="L184" s="925">
        <f t="shared" si="24"/>
        <v>1.2304905410435913</v>
      </c>
      <c r="M184" s="532">
        <f t="shared" si="19"/>
        <v>3.3531093460787829E-2</v>
      </c>
      <c r="N184" s="127"/>
      <c r="O184" s="127"/>
    </row>
    <row r="185" spans="1:15" s="6" customFormat="1" ht="15.75">
      <c r="A185" s="268">
        <v>94</v>
      </c>
      <c r="B185" s="176" t="s">
        <v>146</v>
      </c>
      <c r="C185" s="157">
        <v>699.05</v>
      </c>
      <c r="D185" s="157"/>
      <c r="E185" s="157"/>
      <c r="F185" s="622">
        <f t="shared" si="20"/>
        <v>699.05</v>
      </c>
      <c r="G185" s="290">
        <f t="shared" si="21"/>
        <v>6.2100644352483629E-3</v>
      </c>
      <c r="H185" s="426">
        <f t="shared" si="22"/>
        <v>14.091443511955118</v>
      </c>
      <c r="I185" s="561">
        <f t="shared" si="23"/>
        <v>5.1814237793458977</v>
      </c>
      <c r="J185" s="148">
        <v>2.7060017327818295</v>
      </c>
      <c r="K185" s="428">
        <f t="shared" si="25"/>
        <v>1.4610418596808825</v>
      </c>
      <c r="L185" s="925">
        <f t="shared" si="24"/>
        <v>1.7810100269509959</v>
      </c>
      <c r="M185" s="532">
        <f t="shared" si="19"/>
        <v>3.3531093460787829E-2</v>
      </c>
      <c r="N185" s="127"/>
      <c r="O185" s="127"/>
    </row>
    <row r="186" spans="1:15" s="6" customFormat="1" ht="15.75">
      <c r="A186" s="268">
        <v>95</v>
      </c>
      <c r="B186" s="176" t="s">
        <v>147</v>
      </c>
      <c r="C186" s="157">
        <v>6095.81</v>
      </c>
      <c r="D186" s="157"/>
      <c r="E186" s="157"/>
      <c r="F186" s="622">
        <f t="shared" si="20"/>
        <v>6095.81</v>
      </c>
      <c r="G186" s="290">
        <f t="shared" si="21"/>
        <v>5.4152596931594771E-2</v>
      </c>
      <c r="H186" s="426">
        <f t="shared" si="22"/>
        <v>122.87928227538964</v>
      </c>
      <c r="I186" s="561">
        <f t="shared" si="23"/>
        <v>45.182712092660772</v>
      </c>
      <c r="J186" s="148">
        <v>23.596698981058307</v>
      </c>
      <c r="K186" s="428">
        <f t="shared" si="25"/>
        <v>12.740481480096303</v>
      </c>
      <c r="L186" s="925">
        <f t="shared" si="24"/>
        <v>15.530646924237395</v>
      </c>
      <c r="M186" s="532">
        <f t="shared" si="19"/>
        <v>3.3531093460787822E-2</v>
      </c>
      <c r="N186" s="127"/>
      <c r="O186" s="127"/>
    </row>
    <row r="187" spans="1:15" s="6" customFormat="1" ht="15.75">
      <c r="A187" s="268">
        <v>96</v>
      </c>
      <c r="B187" s="176" t="s">
        <v>148</v>
      </c>
      <c r="C187" s="157">
        <v>166.2</v>
      </c>
      <c r="D187" s="157"/>
      <c r="E187" s="157"/>
      <c r="F187" s="622">
        <f t="shared" si="20"/>
        <v>166.2</v>
      </c>
      <c r="G187" s="290">
        <f t="shared" si="21"/>
        <v>1.4764504815653785E-3</v>
      </c>
      <c r="H187" s="426">
        <f t="shared" si="22"/>
        <v>3.3502580812344473</v>
      </c>
      <c r="I187" s="561">
        <f t="shared" si="23"/>
        <v>1.2318898964699063</v>
      </c>
      <c r="J187" s="148">
        <v>0.64335525068069543</v>
      </c>
      <c r="K187" s="428">
        <f t="shared" si="25"/>
        <v>0.34736450479788661</v>
      </c>
      <c r="L187" s="925">
        <f t="shared" si="24"/>
        <v>0.42343733134862382</v>
      </c>
      <c r="M187" s="532">
        <f t="shared" si="19"/>
        <v>3.3531093460787822E-2</v>
      </c>
      <c r="N187" s="127"/>
      <c r="O187" s="127"/>
    </row>
    <row r="188" spans="1:15" s="6" customFormat="1" ht="15.75">
      <c r="A188" s="268">
        <v>97</v>
      </c>
      <c r="B188" s="176" t="s">
        <v>149</v>
      </c>
      <c r="C188" s="157">
        <v>273.2</v>
      </c>
      <c r="D188" s="157"/>
      <c r="E188" s="157"/>
      <c r="F188" s="622">
        <f t="shared" si="20"/>
        <v>273.2</v>
      </c>
      <c r="G188" s="290">
        <f t="shared" si="21"/>
        <v>2.4269932103710072E-3</v>
      </c>
      <c r="H188" s="426">
        <f t="shared" si="22"/>
        <v>5.5071631034491642</v>
      </c>
      <c r="I188" s="561">
        <f t="shared" si="23"/>
        <v>2.0249838731382579</v>
      </c>
      <c r="J188" s="148">
        <v>1.0575490642958241</v>
      </c>
      <c r="K188" s="428">
        <f t="shared" si="25"/>
        <v>0.57099869260398683</v>
      </c>
      <c r="L188" s="925">
        <f t="shared" si="24"/>
        <v>0.69604740628425998</v>
      </c>
      <c r="M188" s="532">
        <f t="shared" si="19"/>
        <v>3.3531093460787822E-2</v>
      </c>
      <c r="N188" s="127"/>
      <c r="O188" s="127"/>
    </row>
    <row r="189" spans="1:15" s="6" customFormat="1" ht="15.75">
      <c r="A189" s="268">
        <v>98</v>
      </c>
      <c r="B189" s="176" t="s">
        <v>150</v>
      </c>
      <c r="C189" s="157">
        <v>4159.58</v>
      </c>
      <c r="D189" s="157"/>
      <c r="E189" s="157"/>
      <c r="F189" s="622">
        <f t="shared" si="20"/>
        <v>4159.58</v>
      </c>
      <c r="G189" s="290">
        <f t="shared" si="21"/>
        <v>3.6951948821358105E-2</v>
      </c>
      <c r="H189" s="426">
        <f t="shared" si="22"/>
        <v>83.848775629008315</v>
      </c>
      <c r="I189" s="561">
        <f t="shared" si="23"/>
        <v>30.83119479878636</v>
      </c>
      <c r="J189" s="148">
        <v>16.101610310628203</v>
      </c>
      <c r="K189" s="428">
        <f t="shared" si="25"/>
        <v>8.6936849992009222</v>
      </c>
      <c r="L189" s="925">
        <f t="shared" si="24"/>
        <v>10.597602014025925</v>
      </c>
      <c r="M189" s="532">
        <f t="shared" si="19"/>
        <v>3.3531093460787822E-2</v>
      </c>
      <c r="N189" s="127"/>
      <c r="O189" s="127"/>
    </row>
    <row r="190" spans="1:15" s="6" customFormat="1" ht="15.75">
      <c r="A190" s="275">
        <v>99</v>
      </c>
      <c r="B190" s="176" t="s">
        <v>151</v>
      </c>
      <c r="C190" s="157">
        <v>2107.77</v>
      </c>
      <c r="D190" s="157"/>
      <c r="E190" s="157">
        <v>133</v>
      </c>
      <c r="F190" s="622">
        <f t="shared" si="20"/>
        <v>2240.77</v>
      </c>
      <c r="G190" s="290">
        <f t="shared" si="21"/>
        <v>1.9906052620801765E-2</v>
      </c>
      <c r="H190" s="426">
        <f t="shared" si="22"/>
        <v>45.169421183439908</v>
      </c>
      <c r="I190" s="561">
        <f t="shared" si="23"/>
        <v>16.608796169150857</v>
      </c>
      <c r="J190" s="148">
        <v>8.6739539414427309</v>
      </c>
      <c r="K190" s="428">
        <f t="shared" si="25"/>
        <v>4.6832970000960312</v>
      </c>
      <c r="L190" s="925">
        <f t="shared" si="24"/>
        <v>5.7089390431170628</v>
      </c>
      <c r="M190" s="532">
        <f t="shared" si="19"/>
        <v>3.5646900892473812E-2</v>
      </c>
      <c r="N190" s="127"/>
      <c r="O190" s="127"/>
    </row>
    <row r="191" spans="1:15" s="6" customFormat="1" ht="15.75">
      <c r="A191" s="268">
        <v>100</v>
      </c>
      <c r="B191" s="176" t="s">
        <v>152</v>
      </c>
      <c r="C191" s="157">
        <v>454.48</v>
      </c>
      <c r="D191" s="157"/>
      <c r="E191" s="157"/>
      <c r="F191" s="622">
        <f t="shared" si="20"/>
        <v>454.48</v>
      </c>
      <c r="G191" s="290">
        <f t="shared" si="21"/>
        <v>4.0374080316596473E-3</v>
      </c>
      <c r="H191" s="426">
        <f t="shared" si="22"/>
        <v>9.1614036868798561</v>
      </c>
      <c r="I191" s="561">
        <f t="shared" si="23"/>
        <v>3.3686481356657234</v>
      </c>
      <c r="J191" s="148">
        <v>1.759278545904708</v>
      </c>
      <c r="K191" s="428">
        <f t="shared" si="25"/>
        <v>0.94988098760856521</v>
      </c>
      <c r="L191" s="925">
        <f t="shared" si="24"/>
        <v>1.1579049238948411</v>
      </c>
      <c r="M191" s="532">
        <f t="shared" si="19"/>
        <v>3.3531093460787829E-2</v>
      </c>
      <c r="N191" s="127"/>
      <c r="O191" s="127"/>
    </row>
    <row r="192" spans="1:15" s="6" customFormat="1" ht="15.75">
      <c r="A192" s="268">
        <v>101</v>
      </c>
      <c r="B192" s="176" t="s">
        <v>153</v>
      </c>
      <c r="C192" s="157">
        <v>166.2</v>
      </c>
      <c r="D192" s="157"/>
      <c r="E192" s="157"/>
      <c r="F192" s="622">
        <f t="shared" si="20"/>
        <v>166.2</v>
      </c>
      <c r="G192" s="290">
        <f t="shared" si="21"/>
        <v>1.4764504815653785E-3</v>
      </c>
      <c r="H192" s="426">
        <f t="shared" si="22"/>
        <v>3.3502580812344473</v>
      </c>
      <c r="I192" s="561">
        <f t="shared" si="23"/>
        <v>1.2318898964699063</v>
      </c>
      <c r="J192" s="148">
        <v>0.64335525068069543</v>
      </c>
      <c r="K192" s="428">
        <f t="shared" si="25"/>
        <v>0.34736450479788661</v>
      </c>
      <c r="L192" s="925">
        <f t="shared" si="24"/>
        <v>0.42343733134862382</v>
      </c>
      <c r="M192" s="532">
        <f t="shared" si="19"/>
        <v>3.3531093460787822E-2</v>
      </c>
      <c r="N192" s="127"/>
      <c r="O192" s="127"/>
    </row>
    <row r="193" spans="1:15" s="6" customFormat="1" ht="15.75">
      <c r="A193" s="268">
        <v>102</v>
      </c>
      <c r="B193" s="176" t="s">
        <v>154</v>
      </c>
      <c r="C193" s="157">
        <v>297.3</v>
      </c>
      <c r="D193" s="157">
        <v>41.3</v>
      </c>
      <c r="E193" s="157"/>
      <c r="F193" s="622">
        <f t="shared" si="20"/>
        <v>338.6</v>
      </c>
      <c r="G193" s="290">
        <f t="shared" si="21"/>
        <v>3.0079791399400557E-3</v>
      </c>
      <c r="H193" s="426">
        <f t="shared" si="22"/>
        <v>6.8254957058121786</v>
      </c>
      <c r="I193" s="561">
        <f t="shared" si="23"/>
        <v>2.509734771027138</v>
      </c>
      <c r="J193" s="148">
        <v>1.3107105167297441</v>
      </c>
      <c r="K193" s="428">
        <f t="shared" si="25"/>
        <v>0.70768725225369689</v>
      </c>
      <c r="L193" s="925">
        <f t="shared" si="24"/>
        <v>0.86267076049725655</v>
      </c>
      <c r="M193" s="532">
        <f t="shared" si="19"/>
        <v>3.818912965295243E-2</v>
      </c>
      <c r="N193" s="127"/>
      <c r="O193" s="127"/>
    </row>
    <row r="194" spans="1:15" s="6" customFormat="1" ht="15.75">
      <c r="A194" s="268">
        <v>103</v>
      </c>
      <c r="B194" s="176" t="s">
        <v>155</v>
      </c>
      <c r="C194" s="157">
        <v>453.7</v>
      </c>
      <c r="D194" s="157"/>
      <c r="E194" s="157"/>
      <c r="F194" s="622">
        <f t="shared" si="20"/>
        <v>453.7</v>
      </c>
      <c r="G194" s="290">
        <f t="shared" si="21"/>
        <v>4.0304788416739611E-3</v>
      </c>
      <c r="H194" s="426">
        <f t="shared" si="22"/>
        <v>9.1456804540076355</v>
      </c>
      <c r="I194" s="561">
        <f t="shared" si="23"/>
        <v>3.3628667029386077</v>
      </c>
      <c r="J194" s="148">
        <v>1.7562591891325603</v>
      </c>
      <c r="K194" s="428">
        <f t="shared" si="25"/>
        <v>0.94825075708063289</v>
      </c>
      <c r="L194" s="925">
        <f t="shared" si="24"/>
        <v>1.1559176728812917</v>
      </c>
      <c r="M194" s="532">
        <f t="shared" si="19"/>
        <v>3.3531093460787822E-2</v>
      </c>
      <c r="N194" s="127"/>
      <c r="O194" s="127"/>
    </row>
    <row r="195" spans="1:15" s="6" customFormat="1" ht="15.75">
      <c r="A195" s="268">
        <v>104</v>
      </c>
      <c r="B195" s="176" t="s">
        <v>156</v>
      </c>
      <c r="C195" s="157">
        <v>135</v>
      </c>
      <c r="D195" s="157"/>
      <c r="E195" s="157"/>
      <c r="F195" s="622">
        <f t="shared" si="20"/>
        <v>135</v>
      </c>
      <c r="G195" s="290">
        <f t="shared" si="21"/>
        <v>1.1992828821379429E-3</v>
      </c>
      <c r="H195" s="426">
        <f t="shared" si="22"/>
        <v>2.7213287663456702</v>
      </c>
      <c r="I195" s="561">
        <f t="shared" si="23"/>
        <v>1.000632587385303</v>
      </c>
      <c r="J195" s="148">
        <v>0.52258097979478868</v>
      </c>
      <c r="K195" s="428">
        <f t="shared" si="25"/>
        <v>0.28215528368059384</v>
      </c>
      <c r="L195" s="925">
        <f t="shared" si="24"/>
        <v>0.34394729080664393</v>
      </c>
      <c r="M195" s="532">
        <f t="shared" si="19"/>
        <v>3.3531093460787822E-2</v>
      </c>
      <c r="N195" s="127"/>
      <c r="O195" s="127"/>
    </row>
    <row r="196" spans="1:15" s="6" customFormat="1" ht="15.75">
      <c r="A196" s="268">
        <v>105</v>
      </c>
      <c r="B196" s="176" t="s">
        <v>157</v>
      </c>
      <c r="C196" s="157">
        <v>89.9</v>
      </c>
      <c r="D196" s="157"/>
      <c r="E196" s="157"/>
      <c r="F196" s="622">
        <f t="shared" si="20"/>
        <v>89.9</v>
      </c>
      <c r="G196" s="290">
        <f t="shared" si="21"/>
        <v>7.986335637348228E-4</v>
      </c>
      <c r="H196" s="426">
        <f t="shared" si="22"/>
        <v>1.8122033784775986</v>
      </c>
      <c r="I196" s="561">
        <f t="shared" si="23"/>
        <v>0.66634718226621303</v>
      </c>
      <c r="J196" s="148">
        <v>0.34800022284112225</v>
      </c>
      <c r="K196" s="428">
        <f t="shared" si="25"/>
        <v>0.18789451853989178</v>
      </c>
      <c r="L196" s="925">
        <f t="shared" si="24"/>
        <v>0.2290434181001281</v>
      </c>
      <c r="M196" s="532">
        <f t="shared" si="19"/>
        <v>3.3531093460787829E-2</v>
      </c>
      <c r="N196" s="127"/>
      <c r="O196" s="127"/>
    </row>
    <row r="197" spans="1:15" s="6" customFormat="1" ht="15.75">
      <c r="A197" s="275">
        <v>106</v>
      </c>
      <c r="B197" s="176" t="s">
        <v>158</v>
      </c>
      <c r="C197" s="157">
        <v>224.08</v>
      </c>
      <c r="D197" s="157"/>
      <c r="E197" s="157"/>
      <c r="F197" s="622">
        <f t="shared" si="20"/>
        <v>224.08</v>
      </c>
      <c r="G197" s="290">
        <f t="shared" si="21"/>
        <v>1.9906319128108908E-3</v>
      </c>
      <c r="H197" s="426">
        <f t="shared" si="22"/>
        <v>4.5170025923165769</v>
      </c>
      <c r="I197" s="561">
        <f t="shared" si="23"/>
        <v>1.6609018531948054</v>
      </c>
      <c r="J197" s="148">
        <v>0.86740700705493512</v>
      </c>
      <c r="K197" s="428">
        <f t="shared" si="25"/>
        <v>0.46833597012701828</v>
      </c>
      <c r="L197" s="925">
        <f t="shared" si="24"/>
        <v>0.57090154758483536</v>
      </c>
      <c r="M197" s="532">
        <f t="shared" si="19"/>
        <v>3.3531093460787822E-2</v>
      </c>
      <c r="N197" s="127"/>
      <c r="O197" s="127"/>
    </row>
    <row r="198" spans="1:15" s="6" customFormat="1" ht="15.75">
      <c r="A198" s="268">
        <v>107</v>
      </c>
      <c r="B198" s="176" t="s">
        <v>159</v>
      </c>
      <c r="C198" s="157">
        <v>653.71</v>
      </c>
      <c r="D198" s="157"/>
      <c r="E198" s="157"/>
      <c r="F198" s="622">
        <f t="shared" si="20"/>
        <v>653.71</v>
      </c>
      <c r="G198" s="290">
        <f t="shared" si="21"/>
        <v>5.8072830583881093E-3</v>
      </c>
      <c r="H198" s="426">
        <f t="shared" si="22"/>
        <v>13.177480206280212</v>
      </c>
      <c r="I198" s="561">
        <f t="shared" si="23"/>
        <v>4.8453594718492345</v>
      </c>
      <c r="J198" s="148">
        <v>2.5304919429751953</v>
      </c>
      <c r="K198" s="428">
        <f t="shared" si="25"/>
        <v>1.3662794851469706</v>
      </c>
      <c r="L198" s="925">
        <f t="shared" si="24"/>
        <v>1.6654946923941574</v>
      </c>
      <c r="M198" s="532">
        <f t="shared" ref="M198:M261" si="26">(K198+J198+I198+H198)/C198</f>
        <v>3.3531093460787829E-2</v>
      </c>
      <c r="N198" s="127"/>
      <c r="O198" s="127"/>
    </row>
    <row r="199" spans="1:15" s="6" customFormat="1" ht="15.75">
      <c r="A199" s="268">
        <v>108</v>
      </c>
      <c r="B199" s="176" t="s">
        <v>160</v>
      </c>
      <c r="C199" s="157">
        <v>182.11</v>
      </c>
      <c r="D199" s="157"/>
      <c r="E199" s="157"/>
      <c r="F199" s="622">
        <f t="shared" si="20"/>
        <v>182.11</v>
      </c>
      <c r="G199" s="290">
        <f t="shared" si="21"/>
        <v>1.6177881901195616E-3</v>
      </c>
      <c r="H199" s="426">
        <f t="shared" si="22"/>
        <v>3.6709717158460009</v>
      </c>
      <c r="I199" s="561">
        <f t="shared" si="23"/>
        <v>1.3498162999165746</v>
      </c>
      <c r="J199" s="148">
        <v>0.70494238689206645</v>
      </c>
      <c r="K199" s="428">
        <f t="shared" si="25"/>
        <v>0.38061702748942927</v>
      </c>
      <c r="L199" s="925">
        <f t="shared" si="24"/>
        <v>0.46397215650961432</v>
      </c>
      <c r="M199" s="532">
        <f t="shared" si="26"/>
        <v>3.3531093460787822E-2</v>
      </c>
      <c r="N199" s="127"/>
      <c r="O199" s="127"/>
    </row>
    <row r="200" spans="1:15" s="6" customFormat="1" ht="15.75">
      <c r="A200" s="268">
        <v>109</v>
      </c>
      <c r="B200" s="176" t="s">
        <v>161</v>
      </c>
      <c r="C200" s="157">
        <v>2379.1</v>
      </c>
      <c r="D200" s="157"/>
      <c r="E200" s="157"/>
      <c r="F200" s="622">
        <f t="shared" si="20"/>
        <v>2379.1</v>
      </c>
      <c r="G200" s="290">
        <f t="shared" si="21"/>
        <v>2.1134917814032445E-2</v>
      </c>
      <c r="H200" s="426">
        <f t="shared" si="22"/>
        <v>47.957876059355442</v>
      </c>
      <c r="I200" s="561">
        <f t="shared" si="23"/>
        <v>17.634111027024996</v>
      </c>
      <c r="J200" s="148">
        <v>9.2094252520724567</v>
      </c>
      <c r="K200" s="428">
        <f t="shared" si="25"/>
        <v>4.9724121141074136</v>
      </c>
      <c r="L200" s="925">
        <f t="shared" si="24"/>
        <v>6.0613703670969379</v>
      </c>
      <c r="M200" s="532">
        <f t="shared" si="26"/>
        <v>3.3531093460787822E-2</v>
      </c>
      <c r="N200" s="127"/>
      <c r="O200" s="127"/>
    </row>
    <row r="201" spans="1:15" s="6" customFormat="1" ht="15.75">
      <c r="A201" s="268">
        <v>110</v>
      </c>
      <c r="B201" s="176" t="s">
        <v>162</v>
      </c>
      <c r="C201" s="157">
        <v>140.19999999999999</v>
      </c>
      <c r="D201" s="157"/>
      <c r="E201" s="157"/>
      <c r="F201" s="622">
        <f t="shared" si="20"/>
        <v>140.19999999999999</v>
      </c>
      <c r="G201" s="290">
        <f t="shared" si="21"/>
        <v>1.2454774820425155E-3</v>
      </c>
      <c r="H201" s="426">
        <f t="shared" si="22"/>
        <v>2.8261503188271333</v>
      </c>
      <c r="I201" s="561">
        <f t="shared" si="23"/>
        <v>1.0391754722327371</v>
      </c>
      <c r="J201" s="148">
        <v>0.54271002494243981</v>
      </c>
      <c r="K201" s="428">
        <f t="shared" si="25"/>
        <v>0.29302348720014265</v>
      </c>
      <c r="L201" s="925">
        <f t="shared" si="24"/>
        <v>0.35719563089697393</v>
      </c>
      <c r="M201" s="532">
        <f t="shared" si="26"/>
        <v>3.3531093460787822E-2</v>
      </c>
      <c r="N201" s="127"/>
      <c r="O201" s="127"/>
    </row>
    <row r="202" spans="1:15" s="6" customFormat="1" ht="15.75">
      <c r="A202" s="268">
        <v>111</v>
      </c>
      <c r="B202" s="176" t="s">
        <v>163</v>
      </c>
      <c r="C202" s="157">
        <v>116.79</v>
      </c>
      <c r="D202" s="157"/>
      <c r="E202" s="157"/>
      <c r="F202" s="622">
        <f t="shared" si="20"/>
        <v>116.79</v>
      </c>
      <c r="G202" s="290">
        <f t="shared" si="21"/>
        <v>1.0375129467028916E-3</v>
      </c>
      <c r="H202" s="426">
        <f t="shared" si="22"/>
        <v>2.3542517527519324</v>
      </c>
      <c r="I202" s="561">
        <f t="shared" si="23"/>
        <v>0.86565836948688557</v>
      </c>
      <c r="J202" s="148">
        <v>0.45209061207580281</v>
      </c>
      <c r="K202" s="428">
        <f t="shared" si="25"/>
        <v>0.24409567097078932</v>
      </c>
      <c r="L202" s="925">
        <f t="shared" si="24"/>
        <v>0.29755262291339218</v>
      </c>
      <c r="M202" s="532">
        <f t="shared" si="26"/>
        <v>3.3531093460787822E-2</v>
      </c>
      <c r="N202" s="127"/>
      <c r="O202" s="127"/>
    </row>
    <row r="203" spans="1:15" s="6" customFormat="1" ht="15.75">
      <c r="A203" s="268">
        <v>112</v>
      </c>
      <c r="B203" s="176" t="s">
        <v>164</v>
      </c>
      <c r="C203" s="157">
        <v>59.7</v>
      </c>
      <c r="D203" s="157"/>
      <c r="E203" s="157"/>
      <c r="F203" s="622">
        <f t="shared" si="20"/>
        <v>59.7</v>
      </c>
      <c r="G203" s="290">
        <f t="shared" si="21"/>
        <v>5.3034954121211262E-4</v>
      </c>
      <c r="H203" s="426">
        <f t="shared" si="22"/>
        <v>1.2034320544506412</v>
      </c>
      <c r="I203" s="561">
        <f t="shared" si="23"/>
        <v>0.4425019664215008</v>
      </c>
      <c r="J203" s="148">
        <v>0.23109692217591771</v>
      </c>
      <c r="K203" s="428">
        <f t="shared" si="25"/>
        <v>0.12477533656097374</v>
      </c>
      <c r="L203" s="925">
        <f t="shared" si="24"/>
        <v>0.15210113526782701</v>
      </c>
      <c r="M203" s="532">
        <f t="shared" si="26"/>
        <v>3.3531093460787829E-2</v>
      </c>
      <c r="N203" s="127"/>
      <c r="O203" s="127"/>
    </row>
    <row r="204" spans="1:15" s="6" customFormat="1" ht="15.75">
      <c r="A204" s="275">
        <v>113</v>
      </c>
      <c r="B204" s="176" t="s">
        <v>165</v>
      </c>
      <c r="C204" s="157">
        <v>137.5</v>
      </c>
      <c r="D204" s="157"/>
      <c r="E204" s="157"/>
      <c r="F204" s="622">
        <f t="shared" si="20"/>
        <v>137.5</v>
      </c>
      <c r="G204" s="290">
        <f t="shared" si="21"/>
        <v>1.2214918243997567E-3</v>
      </c>
      <c r="H204" s="426">
        <f t="shared" si="22"/>
        <v>2.7717237435002202</v>
      </c>
      <c r="I204" s="561">
        <f t="shared" si="23"/>
        <v>1.0191628204850312</v>
      </c>
      <c r="J204" s="148">
        <v>0.53225840534654401</v>
      </c>
      <c r="K204" s="428">
        <f t="shared" si="25"/>
        <v>0.28738038152653078</v>
      </c>
      <c r="L204" s="925">
        <f t="shared" si="24"/>
        <v>0.35031668508084107</v>
      </c>
      <c r="M204" s="532">
        <f t="shared" si="26"/>
        <v>3.3531093460787829E-2</v>
      </c>
      <c r="N204" s="127"/>
      <c r="O204" s="127"/>
    </row>
    <row r="205" spans="1:15" s="6" customFormat="1" ht="15.75">
      <c r="A205" s="268">
        <v>114</v>
      </c>
      <c r="B205" s="176" t="s">
        <v>166</v>
      </c>
      <c r="C205" s="157">
        <v>1812.9</v>
      </c>
      <c r="D205" s="157">
        <v>95.4</v>
      </c>
      <c r="E205" s="157"/>
      <c r="F205" s="622">
        <f t="shared" si="20"/>
        <v>1908.3000000000002</v>
      </c>
      <c r="G205" s="290">
        <f t="shared" si="21"/>
        <v>1.6952529807287679E-2</v>
      </c>
      <c r="H205" s="426">
        <f t="shared" si="22"/>
        <v>38.467493961610693</v>
      </c>
      <c r="I205" s="561">
        <f t="shared" si="23"/>
        <v>14.144497529684253</v>
      </c>
      <c r="J205" s="148">
        <v>7.3869724721658914</v>
      </c>
      <c r="K205" s="428">
        <f t="shared" si="25"/>
        <v>3.9884216877605723</v>
      </c>
      <c r="L205" s="925">
        <f t="shared" si="24"/>
        <v>4.8618860373801382</v>
      </c>
      <c r="M205" s="532">
        <f t="shared" si="26"/>
        <v>3.5295595814011475E-2</v>
      </c>
      <c r="N205" s="127"/>
      <c r="O205" s="127"/>
    </row>
    <row r="206" spans="1:15" s="6" customFormat="1" ht="15.75">
      <c r="A206" s="268">
        <v>115</v>
      </c>
      <c r="B206" s="176" t="s">
        <v>167</v>
      </c>
      <c r="C206" s="157">
        <v>140.4</v>
      </c>
      <c r="D206" s="157"/>
      <c r="E206" s="157"/>
      <c r="F206" s="622">
        <f t="shared" si="20"/>
        <v>140.4</v>
      </c>
      <c r="G206" s="290">
        <f t="shared" si="21"/>
        <v>1.2472541974234608E-3</v>
      </c>
      <c r="H206" s="426">
        <f t="shared" si="22"/>
        <v>2.8301819169994977</v>
      </c>
      <c r="I206" s="561">
        <f t="shared" si="23"/>
        <v>1.0406578908807154</v>
      </c>
      <c r="J206" s="148">
        <v>0.54348421898658028</v>
      </c>
      <c r="K206" s="428">
        <f t="shared" si="25"/>
        <v>0.29344149502781763</v>
      </c>
      <c r="L206" s="925">
        <f t="shared" si="24"/>
        <v>0.3577051824389097</v>
      </c>
      <c r="M206" s="532">
        <f t="shared" si="26"/>
        <v>3.3531093460787829E-2</v>
      </c>
      <c r="N206" s="127"/>
      <c r="O206" s="127"/>
    </row>
    <row r="207" spans="1:15" s="6" customFormat="1" ht="15.75">
      <c r="A207" s="268">
        <v>116</v>
      </c>
      <c r="B207" s="176" t="s">
        <v>168</v>
      </c>
      <c r="C207" s="157">
        <v>290.7</v>
      </c>
      <c r="D207" s="157"/>
      <c r="E207" s="157"/>
      <c r="F207" s="622">
        <f t="shared" ref="F207:F268" si="27">C207+D207+E207</f>
        <v>290.7</v>
      </c>
      <c r="G207" s="290">
        <f t="shared" si="21"/>
        <v>2.5824558062037036E-3</v>
      </c>
      <c r="H207" s="426">
        <f t="shared" si="22"/>
        <v>5.8599279435310105</v>
      </c>
      <c r="I207" s="561">
        <f t="shared" si="23"/>
        <v>2.1546955048363525</v>
      </c>
      <c r="J207" s="148">
        <v>1.1252910431581116</v>
      </c>
      <c r="K207" s="428">
        <f t="shared" si="25"/>
        <v>0.60757437752554533</v>
      </c>
      <c r="L207" s="925">
        <f t="shared" si="24"/>
        <v>0.74063316620363984</v>
      </c>
      <c r="M207" s="532">
        <f t="shared" si="26"/>
        <v>3.3531093460787822E-2</v>
      </c>
      <c r="N207" s="127"/>
      <c r="O207" s="127"/>
    </row>
    <row r="208" spans="1:15" s="6" customFormat="1" ht="15.75">
      <c r="A208" s="268">
        <v>117</v>
      </c>
      <c r="B208" s="176" t="s">
        <v>169</v>
      </c>
      <c r="C208" s="157">
        <v>2427.7199999999998</v>
      </c>
      <c r="D208" s="157"/>
      <c r="E208" s="157"/>
      <c r="F208" s="622">
        <f t="shared" si="27"/>
        <v>2427.7199999999998</v>
      </c>
      <c r="G208" s="290">
        <f t="shared" si="21"/>
        <v>2.1566837323140197E-2</v>
      </c>
      <c r="H208" s="426">
        <f t="shared" si="22"/>
        <v>48.937957575057119</v>
      </c>
      <c r="I208" s="561">
        <f t="shared" si="23"/>
        <v>17.994487000348503</v>
      </c>
      <c r="J208" s="148">
        <v>9.3976318242029944</v>
      </c>
      <c r="K208" s="428">
        <f t="shared" si="25"/>
        <v>5.0740298170151945</v>
      </c>
      <c r="L208" s="925">
        <f t="shared" si="24"/>
        <v>6.1852423469415223</v>
      </c>
      <c r="M208" s="532">
        <f t="shared" si="26"/>
        <v>3.3531093460787822E-2</v>
      </c>
      <c r="N208" s="127"/>
      <c r="O208" s="127"/>
    </row>
    <row r="209" spans="1:15" s="6" customFormat="1" ht="15.75">
      <c r="A209" s="268">
        <v>118</v>
      </c>
      <c r="B209" s="176" t="s">
        <v>170</v>
      </c>
      <c r="C209" s="157">
        <v>93</v>
      </c>
      <c r="D209" s="157"/>
      <c r="E209" s="157"/>
      <c r="F209" s="622">
        <f t="shared" si="27"/>
        <v>93</v>
      </c>
      <c r="G209" s="290">
        <f t="shared" si="21"/>
        <v>8.2617265213947178E-4</v>
      </c>
      <c r="H209" s="426">
        <f t="shared" si="22"/>
        <v>1.8746931501492397</v>
      </c>
      <c r="I209" s="561">
        <f t="shared" si="23"/>
        <v>0.68932467130987551</v>
      </c>
      <c r="J209" s="148">
        <v>0.36000023052529889</v>
      </c>
      <c r="K209" s="428">
        <f t="shared" si="25"/>
        <v>0.19437363986885353</v>
      </c>
      <c r="L209" s="925">
        <f t="shared" si="24"/>
        <v>0.23694146700013247</v>
      </c>
      <c r="M209" s="532">
        <f t="shared" si="26"/>
        <v>3.3531093460787829E-2</v>
      </c>
      <c r="N209" s="127"/>
      <c r="O209" s="127"/>
    </row>
    <row r="210" spans="1:15" s="6" customFormat="1" ht="15.75">
      <c r="A210" s="268">
        <v>119</v>
      </c>
      <c r="B210" s="176" t="s">
        <v>171</v>
      </c>
      <c r="C210" s="157">
        <v>1387.9</v>
      </c>
      <c r="D210" s="157">
        <v>85.8</v>
      </c>
      <c r="E210" s="157"/>
      <c r="F210" s="622">
        <f t="shared" si="27"/>
        <v>1473.7</v>
      </c>
      <c r="G210" s="290">
        <f t="shared" si="21"/>
        <v>1.3091727284493974E-2</v>
      </c>
      <c r="H210" s="426">
        <f t="shared" si="22"/>
        <v>29.706831133063815</v>
      </c>
      <c r="I210" s="561">
        <f t="shared" si="23"/>
        <v>10.923201807627565</v>
      </c>
      <c r="J210" s="148">
        <v>5.704648814248741</v>
      </c>
      <c r="K210" s="428">
        <f t="shared" si="25"/>
        <v>3.0800906782228976</v>
      </c>
      <c r="L210" s="925">
        <f t="shared" si="24"/>
        <v>3.7546305367537123</v>
      </c>
      <c r="M210" s="532">
        <f t="shared" si="26"/>
        <v>3.5603986190044686E-2</v>
      </c>
      <c r="N210" s="127"/>
      <c r="O210" s="127"/>
    </row>
    <row r="211" spans="1:15" s="6" customFormat="1" ht="15.75">
      <c r="A211" s="275">
        <v>120</v>
      </c>
      <c r="B211" s="176" t="s">
        <v>172</v>
      </c>
      <c r="C211" s="157">
        <v>2507</v>
      </c>
      <c r="D211" s="157"/>
      <c r="E211" s="157"/>
      <c r="F211" s="622">
        <f t="shared" si="27"/>
        <v>2507</v>
      </c>
      <c r="G211" s="290">
        <f t="shared" si="21"/>
        <v>2.2271127300146836E-2</v>
      </c>
      <c r="H211" s="426">
        <f t="shared" si="22"/>
        <v>50.536083090582196</v>
      </c>
      <c r="I211" s="561">
        <f t="shared" si="23"/>
        <v>18.582117752407076</v>
      </c>
      <c r="J211" s="148">
        <v>9.7045223433002619</v>
      </c>
      <c r="K211" s="428">
        <f t="shared" si="25"/>
        <v>5.2397281199055463</v>
      </c>
      <c r="L211" s="925">
        <f t="shared" si="24"/>
        <v>6.3872285781648612</v>
      </c>
      <c r="M211" s="532">
        <f t="shared" si="26"/>
        <v>3.3531093460787822E-2</v>
      </c>
      <c r="N211" s="127"/>
      <c r="O211" s="127"/>
    </row>
    <row r="212" spans="1:15" s="6" customFormat="1" ht="15.75">
      <c r="A212" s="268">
        <v>121</v>
      </c>
      <c r="B212" s="176" t="s">
        <v>173</v>
      </c>
      <c r="C212" s="157">
        <v>3505.3</v>
      </c>
      <c r="D212" s="157"/>
      <c r="E212" s="157"/>
      <c r="F212" s="622">
        <f t="shared" si="27"/>
        <v>3505.3</v>
      </c>
      <c r="G212" s="290">
        <f t="shared" si="21"/>
        <v>3.1139602124134309E-2</v>
      </c>
      <c r="H212" s="426">
        <f t="shared" si="22"/>
        <v>70.659805367936883</v>
      </c>
      <c r="I212" s="561">
        <f t="shared" si="23"/>
        <v>25.981610433790394</v>
      </c>
      <c r="J212" s="148">
        <v>13.568911914627208</v>
      </c>
      <c r="K212" s="428">
        <f t="shared" si="25"/>
        <v>7.3262141917450796</v>
      </c>
      <c r="L212" s="925">
        <f t="shared" si="24"/>
        <v>8.9306550997372529</v>
      </c>
      <c r="M212" s="532">
        <f t="shared" si="26"/>
        <v>3.3531093460787822E-2</v>
      </c>
      <c r="N212" s="127"/>
      <c r="O212" s="127"/>
    </row>
    <row r="213" spans="1:15" s="6" customFormat="1" ht="15.75">
      <c r="A213" s="268">
        <v>122</v>
      </c>
      <c r="B213" s="176" t="s">
        <v>174</v>
      </c>
      <c r="C213" s="157">
        <v>191.78</v>
      </c>
      <c r="D213" s="157"/>
      <c r="E213" s="157"/>
      <c r="F213" s="622">
        <f t="shared" si="27"/>
        <v>191.78</v>
      </c>
      <c r="G213" s="290">
        <f t="shared" si="21"/>
        <v>1.703692378788257E-3</v>
      </c>
      <c r="H213" s="426">
        <f t="shared" si="22"/>
        <v>3.8658994874797976</v>
      </c>
      <c r="I213" s="561">
        <f t="shared" si="23"/>
        <v>1.4214912415463217</v>
      </c>
      <c r="J213" s="148">
        <v>0.74237466892625614</v>
      </c>
      <c r="K213" s="428">
        <f t="shared" si="25"/>
        <v>0.40082770595751321</v>
      </c>
      <c r="L213" s="925">
        <f t="shared" si="24"/>
        <v>0.48860897356220861</v>
      </c>
      <c r="M213" s="532">
        <f t="shared" si="26"/>
        <v>3.3531093460787822E-2</v>
      </c>
      <c r="N213" s="127"/>
      <c r="O213" s="127"/>
    </row>
    <row r="214" spans="1:15" s="6" customFormat="1" ht="15.75">
      <c r="A214" s="268">
        <v>123</v>
      </c>
      <c r="B214" s="176" t="s">
        <v>175</v>
      </c>
      <c r="C214" s="157">
        <v>3560.1</v>
      </c>
      <c r="D214" s="157"/>
      <c r="E214" s="157"/>
      <c r="F214" s="622">
        <f t="shared" si="27"/>
        <v>3560.1</v>
      </c>
      <c r="G214" s="290">
        <f t="shared" si="21"/>
        <v>3.1626422138513265E-2</v>
      </c>
      <c r="H214" s="426">
        <f t="shared" si="22"/>
        <v>71.764463267164601</v>
      </c>
      <c r="I214" s="561">
        <f t="shared" si="23"/>
        <v>26.387793143336424</v>
      </c>
      <c r="J214" s="148">
        <v>13.781041082721684</v>
      </c>
      <c r="K214" s="428">
        <f t="shared" si="25"/>
        <v>7.4407483365280163</v>
      </c>
      <c r="L214" s="925">
        <f t="shared" si="24"/>
        <v>9.0702722222276524</v>
      </c>
      <c r="M214" s="532">
        <f t="shared" si="26"/>
        <v>3.3531093460787822E-2</v>
      </c>
      <c r="N214" s="127"/>
      <c r="O214" s="127"/>
    </row>
    <row r="215" spans="1:15" s="6" customFormat="1" ht="15.75">
      <c r="A215" s="268">
        <v>124</v>
      </c>
      <c r="B215" s="176" t="s">
        <v>176</v>
      </c>
      <c r="C215" s="157">
        <v>291.19</v>
      </c>
      <c r="D215" s="157"/>
      <c r="E215" s="157"/>
      <c r="F215" s="622">
        <f t="shared" si="27"/>
        <v>291.19</v>
      </c>
      <c r="G215" s="290">
        <f t="shared" si="21"/>
        <v>2.5868087588870191E-3</v>
      </c>
      <c r="H215" s="426">
        <f t="shared" si="22"/>
        <v>5.8698053590533021</v>
      </c>
      <c r="I215" s="561">
        <f t="shared" si="23"/>
        <v>2.1583274305238995</v>
      </c>
      <c r="J215" s="148">
        <v>1.1271878185662556</v>
      </c>
      <c r="K215" s="428">
        <f t="shared" si="25"/>
        <v>0.60859849670334898</v>
      </c>
      <c r="L215" s="925">
        <f t="shared" si="24"/>
        <v>0.74188156748138245</v>
      </c>
      <c r="M215" s="532">
        <f t="shared" si="26"/>
        <v>3.3531093460787822E-2</v>
      </c>
      <c r="N215" s="127"/>
      <c r="O215" s="127"/>
    </row>
    <row r="216" spans="1:15" s="6" customFormat="1" ht="15.75">
      <c r="A216" s="268">
        <v>125</v>
      </c>
      <c r="B216" s="176" t="s">
        <v>177</v>
      </c>
      <c r="C216" s="157">
        <v>162.44999999999999</v>
      </c>
      <c r="D216" s="157">
        <v>11</v>
      </c>
      <c r="E216" s="157"/>
      <c r="F216" s="622">
        <f t="shared" si="27"/>
        <v>173.45</v>
      </c>
      <c r="G216" s="290">
        <f t="shared" si="21"/>
        <v>1.5408564141246384E-3</v>
      </c>
      <c r="H216" s="426">
        <f t="shared" si="22"/>
        <v>3.4964035149826409</v>
      </c>
      <c r="I216" s="561">
        <f t="shared" si="23"/>
        <v>1.2856275724591171</v>
      </c>
      <c r="J216" s="148">
        <v>0.6714197847807859</v>
      </c>
      <c r="K216" s="428">
        <f t="shared" si="25"/>
        <v>0.36251728855110371</v>
      </c>
      <c r="L216" s="925">
        <f t="shared" si="24"/>
        <v>0.44190857474379547</v>
      </c>
      <c r="M216" s="532">
        <f t="shared" si="26"/>
        <v>3.5801589170659572E-2</v>
      </c>
      <c r="N216" s="127"/>
      <c r="O216" s="127"/>
    </row>
    <row r="217" spans="1:15" s="6" customFormat="1" ht="15.75">
      <c r="A217" s="268">
        <v>126</v>
      </c>
      <c r="B217" s="176" t="s">
        <v>178</v>
      </c>
      <c r="C217" s="157">
        <v>132.96</v>
      </c>
      <c r="D217" s="157">
        <v>37.299999999999997</v>
      </c>
      <c r="E217" s="157">
        <v>39.4</v>
      </c>
      <c r="F217" s="622">
        <f t="shared" si="27"/>
        <v>209.66</v>
      </c>
      <c r="G217" s="290">
        <f t="shared" si="21"/>
        <v>1.8625307338447489E-3</v>
      </c>
      <c r="H217" s="426">
        <f t="shared" si="22"/>
        <v>4.2263243640891357</v>
      </c>
      <c r="I217" s="561">
        <f t="shared" si="23"/>
        <v>1.5540194686755753</v>
      </c>
      <c r="J217" s="148">
        <v>0.8115876164724104</v>
      </c>
      <c r="K217" s="428">
        <f t="shared" si="25"/>
        <v>0.43819760575165412</v>
      </c>
      <c r="L217" s="925">
        <f t="shared" si="24"/>
        <v>0.53416288141126644</v>
      </c>
      <c r="M217" s="532">
        <f t="shared" si="26"/>
        <v>5.2874015154849394E-2</v>
      </c>
      <c r="N217" s="127"/>
      <c r="O217" s="127"/>
    </row>
    <row r="218" spans="1:15" s="6" customFormat="1" ht="15.75">
      <c r="A218" s="275">
        <v>127</v>
      </c>
      <c r="B218" s="176" t="s">
        <v>179</v>
      </c>
      <c r="C218" s="157">
        <v>408.46</v>
      </c>
      <c r="D218" s="157"/>
      <c r="E218" s="157"/>
      <c r="F218" s="622">
        <f t="shared" si="27"/>
        <v>408.46</v>
      </c>
      <c r="G218" s="290">
        <f t="shared" si="21"/>
        <v>3.6285858225041791E-3</v>
      </c>
      <c r="H218" s="426">
        <f t="shared" si="22"/>
        <v>8.2337329474189076</v>
      </c>
      <c r="I218" s="561">
        <f t="shared" si="23"/>
        <v>3.0275436047659325</v>
      </c>
      <c r="J218" s="148">
        <v>1.5811364963479955</v>
      </c>
      <c r="K218" s="428">
        <f t="shared" si="25"/>
        <v>0.85369738646055826</v>
      </c>
      <c r="L218" s="925">
        <f t="shared" si="24"/>
        <v>1.0406571140954206</v>
      </c>
      <c r="M218" s="532">
        <f t="shared" si="26"/>
        <v>3.3531093460787822E-2</v>
      </c>
      <c r="N218" s="127"/>
      <c r="O218" s="127"/>
    </row>
    <row r="219" spans="1:15" s="6" customFormat="1" ht="15.75">
      <c r="A219" s="268">
        <v>128</v>
      </c>
      <c r="B219" s="176" t="s">
        <v>180</v>
      </c>
      <c r="C219" s="157">
        <v>67.3</v>
      </c>
      <c r="D219" s="157"/>
      <c r="E219" s="157"/>
      <c r="F219" s="622">
        <f t="shared" si="27"/>
        <v>67.3</v>
      </c>
      <c r="G219" s="290">
        <f t="shared" si="21"/>
        <v>5.9786472568802631E-4</v>
      </c>
      <c r="H219" s="426">
        <f t="shared" si="22"/>
        <v>1.3566327850004711</v>
      </c>
      <c r="I219" s="561">
        <f t="shared" si="23"/>
        <v>0.49883387504467325</v>
      </c>
      <c r="J219" s="148">
        <v>0.26051629585325392</v>
      </c>
      <c r="K219" s="428">
        <f t="shared" si="25"/>
        <v>0.14065963401262196</v>
      </c>
      <c r="L219" s="925">
        <f t="shared" si="24"/>
        <v>0.1714640938613862</v>
      </c>
      <c r="M219" s="532">
        <f t="shared" si="26"/>
        <v>3.3531093460787822E-2</v>
      </c>
      <c r="N219" s="127"/>
      <c r="O219" s="127"/>
    </row>
    <row r="220" spans="1:15" s="6" customFormat="1" ht="15.75">
      <c r="A220" s="268">
        <v>129</v>
      </c>
      <c r="B220" s="176" t="s">
        <v>181</v>
      </c>
      <c r="C220" s="157">
        <v>352.8</v>
      </c>
      <c r="D220" s="157"/>
      <c r="E220" s="157"/>
      <c r="F220" s="622">
        <f t="shared" si="27"/>
        <v>352.8</v>
      </c>
      <c r="G220" s="290">
        <f t="shared" ref="G220:G283" si="28">1/112567.27*F220</f>
        <v>3.1341259319871578E-3</v>
      </c>
      <c r="H220" s="426">
        <f t="shared" ref="H220:H283" si="29">G220*2269.13</f>
        <v>7.1117391760500199</v>
      </c>
      <c r="I220" s="561">
        <f t="shared" ref="I220:I283" si="30">H220*0.3677</f>
        <v>2.6149864950335924</v>
      </c>
      <c r="J220" s="148">
        <v>1.3656782938637146</v>
      </c>
      <c r="K220" s="428">
        <f>G220*301.5</f>
        <v>0.94493896849412806</v>
      </c>
      <c r="L220" s="925">
        <f t="shared" si="24"/>
        <v>1.1518806025943422</v>
      </c>
      <c r="M220" s="532">
        <f t="shared" si="26"/>
        <v>3.4119452759187797E-2</v>
      </c>
      <c r="N220" s="127"/>
      <c r="O220" s="127"/>
    </row>
    <row r="221" spans="1:15" s="6" customFormat="1" ht="15.75">
      <c r="A221" s="268">
        <v>130</v>
      </c>
      <c r="B221" s="176" t="s">
        <v>182</v>
      </c>
      <c r="C221" s="157">
        <v>111.58</v>
      </c>
      <c r="D221" s="157"/>
      <c r="E221" s="157"/>
      <c r="F221" s="622">
        <f t="shared" si="27"/>
        <v>111.58</v>
      </c>
      <c r="G221" s="290">
        <f t="shared" si="28"/>
        <v>9.9122951102927157E-4</v>
      </c>
      <c r="H221" s="426">
        <f t="shared" si="29"/>
        <v>2.2492286203618512</v>
      </c>
      <c r="I221" s="561">
        <f t="shared" si="30"/>
        <v>0.82704136370705272</v>
      </c>
      <c r="J221" s="148">
        <v>0.43192285722594459</v>
      </c>
      <c r="K221" s="428">
        <f t="shared" si="25"/>
        <v>0.23320656705985673</v>
      </c>
      <c r="L221" s="925">
        <f t="shared" ref="L221:L284" si="31">K221*1.219</f>
        <v>0.28427880524596538</v>
      </c>
      <c r="M221" s="532">
        <f t="shared" si="26"/>
        <v>3.3531093460787822E-2</v>
      </c>
      <c r="N221" s="127"/>
      <c r="O221" s="127"/>
    </row>
    <row r="222" spans="1:15" s="6" customFormat="1" ht="15.75">
      <c r="A222" s="268">
        <v>131</v>
      </c>
      <c r="B222" s="176" t="s">
        <v>183</v>
      </c>
      <c r="C222" s="157">
        <v>115.8</v>
      </c>
      <c r="D222" s="157"/>
      <c r="E222" s="157"/>
      <c r="F222" s="622">
        <f t="shared" si="27"/>
        <v>115.8</v>
      </c>
      <c r="G222" s="290">
        <f t="shared" si="28"/>
        <v>1.0287182055672133E-3</v>
      </c>
      <c r="H222" s="426">
        <f t="shared" si="29"/>
        <v>2.3342953417987307</v>
      </c>
      <c r="I222" s="561">
        <f t="shared" si="30"/>
        <v>0.85832039717939335</v>
      </c>
      <c r="J222" s="148">
        <v>0.4482583515573077</v>
      </c>
      <c r="K222" s="428">
        <f t="shared" si="25"/>
        <v>0.24202653222379827</v>
      </c>
      <c r="L222" s="925">
        <f t="shared" si="31"/>
        <v>0.29503034278081014</v>
      </c>
      <c r="M222" s="532">
        <f t="shared" si="26"/>
        <v>3.3531093460787829E-2</v>
      </c>
      <c r="N222" s="127"/>
      <c r="O222" s="127"/>
    </row>
    <row r="223" spans="1:15" s="6" customFormat="1" ht="15.75">
      <c r="A223" s="268">
        <v>132</v>
      </c>
      <c r="B223" s="176" t="s">
        <v>184</v>
      </c>
      <c r="C223" s="157">
        <v>74.2</v>
      </c>
      <c r="D223" s="157">
        <v>67.099999999999994</v>
      </c>
      <c r="E223" s="157"/>
      <c r="F223" s="622">
        <f t="shared" si="27"/>
        <v>141.30000000000001</v>
      </c>
      <c r="G223" s="290">
        <f t="shared" si="28"/>
        <v>1.2552494166377136E-3</v>
      </c>
      <c r="H223" s="426">
        <f t="shared" si="29"/>
        <v>2.8483241087751354</v>
      </c>
      <c r="I223" s="561">
        <f t="shared" si="30"/>
        <v>1.0473287747966173</v>
      </c>
      <c r="J223" s="148">
        <v>0.54696809218521214</v>
      </c>
      <c r="K223" s="428">
        <f t="shared" si="25"/>
        <v>0.29532253025235489</v>
      </c>
      <c r="L223" s="925">
        <f t="shared" si="31"/>
        <v>0.35999816437762061</v>
      </c>
      <c r="M223" s="532">
        <f t="shared" si="26"/>
        <v>6.3853686064815618E-2</v>
      </c>
      <c r="N223" s="127"/>
      <c r="O223" s="127"/>
    </row>
    <row r="224" spans="1:15" s="6" customFormat="1" ht="15.75">
      <c r="A224" s="268">
        <v>133</v>
      </c>
      <c r="B224" s="176" t="s">
        <v>185</v>
      </c>
      <c r="C224" s="157">
        <v>130.9</v>
      </c>
      <c r="D224" s="157"/>
      <c r="E224" s="157">
        <v>30.2</v>
      </c>
      <c r="F224" s="622">
        <f t="shared" si="27"/>
        <v>161.1</v>
      </c>
      <c r="G224" s="290">
        <f t="shared" si="28"/>
        <v>1.4311442393512785E-3</v>
      </c>
      <c r="H224" s="426">
        <f t="shared" si="29"/>
        <v>3.2474523278391665</v>
      </c>
      <c r="I224" s="561">
        <f t="shared" si="30"/>
        <v>1.1940882209464616</v>
      </c>
      <c r="J224" s="148">
        <v>0.62361330255511449</v>
      </c>
      <c r="K224" s="428">
        <f t="shared" si="25"/>
        <v>0.33670530519217529</v>
      </c>
      <c r="L224" s="925">
        <f t="shared" si="31"/>
        <v>0.41044376702926172</v>
      </c>
      <c r="M224" s="532">
        <f t="shared" si="26"/>
        <v>4.1267067658769425E-2</v>
      </c>
      <c r="N224" s="127"/>
      <c r="O224" s="127"/>
    </row>
    <row r="225" spans="1:15" s="6" customFormat="1" ht="15.75">
      <c r="A225" s="275">
        <v>134</v>
      </c>
      <c r="B225" s="176" t="s">
        <v>186</v>
      </c>
      <c r="C225" s="157">
        <v>308.8</v>
      </c>
      <c r="D225" s="157"/>
      <c r="E225" s="157"/>
      <c r="F225" s="622">
        <f t="shared" si="27"/>
        <v>308.8</v>
      </c>
      <c r="G225" s="290">
        <f t="shared" si="28"/>
        <v>2.7432485481792353E-3</v>
      </c>
      <c r="H225" s="426">
        <f t="shared" si="29"/>
        <v>6.2247875781299484</v>
      </c>
      <c r="I225" s="561">
        <f t="shared" si="30"/>
        <v>2.2888543924783824</v>
      </c>
      <c r="J225" s="148">
        <v>1.1953556041528204</v>
      </c>
      <c r="K225" s="428">
        <f t="shared" si="25"/>
        <v>0.64540408593012877</v>
      </c>
      <c r="L225" s="925">
        <f t="shared" si="31"/>
        <v>0.786747580748827</v>
      </c>
      <c r="M225" s="532">
        <f t="shared" si="26"/>
        <v>3.3531093460787822E-2</v>
      </c>
      <c r="N225" s="127"/>
      <c r="O225" s="127"/>
    </row>
    <row r="226" spans="1:15" s="6" customFormat="1" ht="15.75">
      <c r="A226" s="268">
        <v>135</v>
      </c>
      <c r="B226" s="176" t="s">
        <v>187</v>
      </c>
      <c r="C226" s="157">
        <v>343.31</v>
      </c>
      <c r="D226" s="157"/>
      <c r="E226" s="157"/>
      <c r="F226" s="622">
        <f t="shared" si="27"/>
        <v>343.31</v>
      </c>
      <c r="G226" s="290">
        <f t="shared" si="28"/>
        <v>3.0498207871613127E-3</v>
      </c>
      <c r="H226" s="426">
        <f t="shared" si="29"/>
        <v>6.9204398427713496</v>
      </c>
      <c r="I226" s="561">
        <f t="shared" si="30"/>
        <v>2.5446457301870256</v>
      </c>
      <c r="J226" s="148">
        <v>1.3289427864692511</v>
      </c>
      <c r="K226" s="428">
        <f t="shared" si="25"/>
        <v>0.7175313365954421</v>
      </c>
      <c r="L226" s="925">
        <f t="shared" si="31"/>
        <v>0.87467069930984398</v>
      </c>
      <c r="M226" s="532">
        <f t="shared" si="26"/>
        <v>3.3531093460787829E-2</v>
      </c>
      <c r="N226" s="127"/>
      <c r="O226" s="127"/>
    </row>
    <row r="227" spans="1:15" s="6" customFormat="1" ht="15.75">
      <c r="A227" s="268">
        <v>136</v>
      </c>
      <c r="B227" s="176" t="s">
        <v>188</v>
      </c>
      <c r="C227" s="157">
        <v>146.82</v>
      </c>
      <c r="D227" s="157"/>
      <c r="E227" s="157"/>
      <c r="F227" s="622">
        <f t="shared" si="27"/>
        <v>146.82</v>
      </c>
      <c r="G227" s="290">
        <f t="shared" si="28"/>
        <v>1.3042867611517983E-3</v>
      </c>
      <c r="H227" s="426">
        <f t="shared" si="29"/>
        <v>2.9595962183323801</v>
      </c>
      <c r="I227" s="561">
        <f t="shared" si="30"/>
        <v>1.0882435294808162</v>
      </c>
      <c r="J227" s="148">
        <v>0.56833584780348789</v>
      </c>
      <c r="K227" s="428">
        <f t="shared" si="25"/>
        <v>0.30685954629618362</v>
      </c>
      <c r="L227" s="925">
        <f t="shared" si="31"/>
        <v>0.37406178693504788</v>
      </c>
      <c r="M227" s="532">
        <f t="shared" si="26"/>
        <v>3.3531093460787822E-2</v>
      </c>
      <c r="N227" s="127"/>
      <c r="O227" s="127"/>
    </row>
    <row r="228" spans="1:15" s="6" customFormat="1" ht="15.75">
      <c r="A228" s="268">
        <v>137</v>
      </c>
      <c r="B228" s="176" t="s">
        <v>189</v>
      </c>
      <c r="C228" s="157">
        <v>218.19</v>
      </c>
      <c r="D228" s="157"/>
      <c r="E228" s="157"/>
      <c r="F228" s="622">
        <f t="shared" si="27"/>
        <v>218.19</v>
      </c>
      <c r="G228" s="290">
        <f t="shared" si="28"/>
        <v>1.9383076448420576E-3</v>
      </c>
      <c r="H228" s="426">
        <f t="shared" si="29"/>
        <v>4.3982720261404582</v>
      </c>
      <c r="I228" s="561">
        <f t="shared" si="30"/>
        <v>1.6172446240118465</v>
      </c>
      <c r="J228" s="148">
        <v>0.84460699245499959</v>
      </c>
      <c r="K228" s="428">
        <f t="shared" si="25"/>
        <v>0.45602563960199088</v>
      </c>
      <c r="L228" s="925">
        <f t="shared" si="31"/>
        <v>0.55589525467482692</v>
      </c>
      <c r="M228" s="532">
        <f t="shared" si="26"/>
        <v>3.3531093460787822E-2</v>
      </c>
      <c r="N228" s="127"/>
      <c r="O228" s="127"/>
    </row>
    <row r="229" spans="1:15" s="6" customFormat="1" ht="15.75">
      <c r="A229" s="268">
        <v>138</v>
      </c>
      <c r="B229" s="176" t="s">
        <v>190</v>
      </c>
      <c r="C229" s="157">
        <v>109.6</v>
      </c>
      <c r="D229" s="157"/>
      <c r="E229" s="157"/>
      <c r="F229" s="622">
        <f t="shared" si="27"/>
        <v>109.6</v>
      </c>
      <c r="G229" s="290">
        <f t="shared" si="28"/>
        <v>9.7364002875791511E-4</v>
      </c>
      <c r="H229" s="426">
        <f t="shared" si="29"/>
        <v>2.2093157984554481</v>
      </c>
      <c r="I229" s="561">
        <f t="shared" si="30"/>
        <v>0.81236541909206839</v>
      </c>
      <c r="J229" s="148">
        <v>0.42425833618895437</v>
      </c>
      <c r="K229" s="428">
        <f t="shared" si="25"/>
        <v>0.22906828956587469</v>
      </c>
      <c r="L229" s="925">
        <f t="shared" si="31"/>
        <v>0.27923424498080124</v>
      </c>
      <c r="M229" s="532">
        <f t="shared" si="26"/>
        <v>3.3531093460787829E-2</v>
      </c>
      <c r="N229" s="127"/>
      <c r="O229" s="127"/>
    </row>
    <row r="230" spans="1:15" s="6" customFormat="1" ht="15.75">
      <c r="A230" s="268">
        <v>139</v>
      </c>
      <c r="B230" s="176" t="s">
        <v>191</v>
      </c>
      <c r="C230" s="157">
        <v>41.4</v>
      </c>
      <c r="D230" s="157"/>
      <c r="E230" s="157"/>
      <c r="F230" s="622">
        <f t="shared" si="27"/>
        <v>41.4</v>
      </c>
      <c r="G230" s="290">
        <f t="shared" si="28"/>
        <v>3.6778008385563582E-4</v>
      </c>
      <c r="H230" s="426">
        <f t="shared" si="29"/>
        <v>0.83454082167933896</v>
      </c>
      <c r="I230" s="561">
        <f t="shared" si="30"/>
        <v>0.30686066013149293</v>
      </c>
      <c r="J230" s="148">
        <v>0.16025816713706853</v>
      </c>
      <c r="K230" s="428">
        <f t="shared" si="25"/>
        <v>8.6527620328715443E-2</v>
      </c>
      <c r="L230" s="925">
        <f t="shared" si="31"/>
        <v>0.10547716918070413</v>
      </c>
      <c r="M230" s="532">
        <f t="shared" si="26"/>
        <v>3.3531093460787829E-2</v>
      </c>
      <c r="N230" s="127"/>
      <c r="O230" s="127"/>
    </row>
    <row r="231" spans="1:15" s="6" customFormat="1" ht="15.75">
      <c r="A231" s="268">
        <v>140</v>
      </c>
      <c r="B231" s="176" t="s">
        <v>192</v>
      </c>
      <c r="C231" s="157">
        <v>143.4</v>
      </c>
      <c r="D231" s="157"/>
      <c r="E231" s="157"/>
      <c r="F231" s="622">
        <f t="shared" si="27"/>
        <v>143.4</v>
      </c>
      <c r="G231" s="290">
        <f t="shared" si="28"/>
        <v>1.2739049281376372E-3</v>
      </c>
      <c r="H231" s="426">
        <f t="shared" si="29"/>
        <v>2.890655889584957</v>
      </c>
      <c r="I231" s="561">
        <f t="shared" si="30"/>
        <v>1.0628941706003887</v>
      </c>
      <c r="J231" s="148">
        <v>0.55509712964868663</v>
      </c>
      <c r="K231" s="428">
        <f t="shared" si="25"/>
        <v>0.29971161244294192</v>
      </c>
      <c r="L231" s="925">
        <f t="shared" si="31"/>
        <v>0.36534845556794621</v>
      </c>
      <c r="M231" s="532">
        <f t="shared" si="26"/>
        <v>3.3531093460787822E-2</v>
      </c>
      <c r="N231" s="127"/>
      <c r="O231" s="127"/>
    </row>
    <row r="232" spans="1:15" s="6" customFormat="1" ht="15.75">
      <c r="A232" s="275">
        <v>141</v>
      </c>
      <c r="B232" s="274" t="s">
        <v>193</v>
      </c>
      <c r="C232" s="157">
        <v>473.2</v>
      </c>
      <c r="D232" s="157"/>
      <c r="E232" s="157"/>
      <c r="F232" s="622">
        <f t="shared" si="27"/>
        <v>473.2</v>
      </c>
      <c r="G232" s="290">
        <f t="shared" si="28"/>
        <v>4.2037085913161076E-3</v>
      </c>
      <c r="H232" s="426">
        <f t="shared" si="29"/>
        <v>9.5387612758131191</v>
      </c>
      <c r="I232" s="561">
        <f t="shared" si="30"/>
        <v>3.5074025211164841</v>
      </c>
      <c r="J232" s="148">
        <v>1.8317431084362519</v>
      </c>
      <c r="K232" s="428">
        <f t="shared" si="25"/>
        <v>0.98900652027894065</v>
      </c>
      <c r="L232" s="925">
        <f t="shared" si="31"/>
        <v>1.2055989482200287</v>
      </c>
      <c r="M232" s="532">
        <f t="shared" si="26"/>
        <v>3.3531093460787822E-2</v>
      </c>
      <c r="N232" s="127"/>
      <c r="O232" s="127"/>
    </row>
    <row r="233" spans="1:15" s="6" customFormat="1" ht="15.75">
      <c r="A233" s="268">
        <v>142</v>
      </c>
      <c r="B233" s="176" t="s">
        <v>194</v>
      </c>
      <c r="C233" s="157">
        <v>306.10000000000002</v>
      </c>
      <c r="D233" s="157"/>
      <c r="E233" s="157"/>
      <c r="F233" s="622">
        <f t="shared" si="27"/>
        <v>306.10000000000002</v>
      </c>
      <c r="G233" s="290">
        <f t="shared" si="28"/>
        <v>2.7192628905364767E-3</v>
      </c>
      <c r="H233" s="426">
        <f t="shared" si="29"/>
        <v>6.1703610028030358</v>
      </c>
      <c r="I233" s="561">
        <f t="shared" si="30"/>
        <v>2.2688417407306765</v>
      </c>
      <c r="J233" s="148">
        <v>1.1849039845569247</v>
      </c>
      <c r="K233" s="428">
        <f t="shared" si="25"/>
        <v>0.63976098025651684</v>
      </c>
      <c r="L233" s="925">
        <f t="shared" si="31"/>
        <v>0.77986863493269409</v>
      </c>
      <c r="M233" s="532">
        <f t="shared" si="26"/>
        <v>3.3531093460787822E-2</v>
      </c>
      <c r="N233" s="127"/>
      <c r="O233" s="127"/>
    </row>
    <row r="234" spans="1:15" s="6" customFormat="1" ht="15.75">
      <c r="A234" s="268">
        <v>143</v>
      </c>
      <c r="B234" s="176" t="s">
        <v>195</v>
      </c>
      <c r="C234" s="157">
        <v>239.7</v>
      </c>
      <c r="D234" s="157"/>
      <c r="E234" s="157"/>
      <c r="F234" s="622">
        <f t="shared" si="27"/>
        <v>239.7</v>
      </c>
      <c r="G234" s="290">
        <f t="shared" si="28"/>
        <v>2.1293933840627029E-3</v>
      </c>
      <c r="H234" s="426">
        <f t="shared" si="29"/>
        <v>4.831870409578201</v>
      </c>
      <c r="I234" s="561">
        <f t="shared" si="30"/>
        <v>1.7766787496019047</v>
      </c>
      <c r="J234" s="148">
        <v>0.92787156190230247</v>
      </c>
      <c r="K234" s="428">
        <f t="shared" si="25"/>
        <v>0.5009823814684321</v>
      </c>
      <c r="L234" s="925">
        <f t="shared" si="31"/>
        <v>0.61069752301001878</v>
      </c>
      <c r="M234" s="532">
        <f t="shared" si="26"/>
        <v>3.3531093460787822E-2</v>
      </c>
      <c r="N234" s="127"/>
      <c r="O234" s="127"/>
    </row>
    <row r="235" spans="1:15" s="6" customFormat="1" ht="15.75">
      <c r="A235" s="268">
        <v>144</v>
      </c>
      <c r="B235" s="176" t="s">
        <v>196</v>
      </c>
      <c r="C235" s="157">
        <v>193.7</v>
      </c>
      <c r="D235" s="157"/>
      <c r="E235" s="157"/>
      <c r="F235" s="622">
        <f t="shared" si="27"/>
        <v>193.7</v>
      </c>
      <c r="G235" s="290">
        <f t="shared" si="28"/>
        <v>1.7207488464453299E-3</v>
      </c>
      <c r="H235" s="426">
        <f t="shared" si="29"/>
        <v>3.9046028299344915</v>
      </c>
      <c r="I235" s="561">
        <f t="shared" si="30"/>
        <v>1.4357224605669126</v>
      </c>
      <c r="J235" s="148">
        <v>0.74980693175000424</v>
      </c>
      <c r="K235" s="428">
        <f t="shared" si="25"/>
        <v>0.40484058110319276</v>
      </c>
      <c r="L235" s="925">
        <f t="shared" si="31"/>
        <v>0.49350066836479201</v>
      </c>
      <c r="M235" s="532">
        <f t="shared" si="26"/>
        <v>3.3531093460787822E-2</v>
      </c>
      <c r="N235" s="127"/>
      <c r="O235" s="127"/>
    </row>
    <row r="236" spans="1:15" s="6" customFormat="1" ht="15.75">
      <c r="A236" s="268">
        <v>145</v>
      </c>
      <c r="B236" s="176" t="s">
        <v>197</v>
      </c>
      <c r="C236" s="157">
        <v>83.9</v>
      </c>
      <c r="D236" s="157"/>
      <c r="E236" s="157"/>
      <c r="F236" s="622">
        <f t="shared" si="27"/>
        <v>83.9</v>
      </c>
      <c r="G236" s="290">
        <f t="shared" si="28"/>
        <v>7.4533210230646975E-4</v>
      </c>
      <c r="H236" s="426">
        <f t="shared" si="29"/>
        <v>1.6912554333066798</v>
      </c>
      <c r="I236" s="561">
        <f t="shared" si="30"/>
        <v>0.62187462282686623</v>
      </c>
      <c r="J236" s="148">
        <v>0.32477440151690945</v>
      </c>
      <c r="K236" s="428">
        <f t="shared" si="25"/>
        <v>0.17535428370964315</v>
      </c>
      <c r="L236" s="925">
        <f t="shared" si="31"/>
        <v>0.21375687184205502</v>
      </c>
      <c r="M236" s="532">
        <f t="shared" si="26"/>
        <v>3.3531093460787829E-2</v>
      </c>
      <c r="N236" s="127"/>
      <c r="O236" s="127"/>
    </row>
    <row r="237" spans="1:15" s="6" customFormat="1" ht="15.75">
      <c r="A237" s="268">
        <v>146</v>
      </c>
      <c r="B237" s="176" t="s">
        <v>198</v>
      </c>
      <c r="C237" s="157">
        <v>2111.66</v>
      </c>
      <c r="D237" s="157"/>
      <c r="E237" s="157"/>
      <c r="F237" s="622">
        <f t="shared" si="27"/>
        <v>2111.66</v>
      </c>
      <c r="G237" s="290">
        <f t="shared" si="28"/>
        <v>1.8759094006632653E-2</v>
      </c>
      <c r="H237" s="426">
        <f t="shared" si="29"/>
        <v>42.566822983270356</v>
      </c>
      <c r="I237" s="561">
        <f t="shared" si="30"/>
        <v>15.651820810948511</v>
      </c>
      <c r="J237" s="148">
        <v>8.1741729762478776</v>
      </c>
      <c r="K237" s="428">
        <f t="shared" si="25"/>
        <v>4.4134520469404643</v>
      </c>
      <c r="L237" s="925">
        <f t="shared" si="31"/>
        <v>5.3799980452204261</v>
      </c>
      <c r="M237" s="532">
        <f t="shared" si="26"/>
        <v>3.3531093460787822E-2</v>
      </c>
      <c r="N237" s="127"/>
      <c r="O237" s="127"/>
    </row>
    <row r="238" spans="1:15" s="6" customFormat="1" ht="15.75">
      <c r="A238" s="268">
        <v>147</v>
      </c>
      <c r="B238" s="176" t="s">
        <v>199</v>
      </c>
      <c r="C238" s="157">
        <v>424.8</v>
      </c>
      <c r="D238" s="157"/>
      <c r="E238" s="157"/>
      <c r="F238" s="622">
        <f t="shared" si="27"/>
        <v>424.8</v>
      </c>
      <c r="G238" s="290">
        <f t="shared" si="28"/>
        <v>3.773743469127394E-3</v>
      </c>
      <c r="H238" s="426">
        <f t="shared" si="29"/>
        <v>8.5631145181010435</v>
      </c>
      <c r="I238" s="561">
        <f t="shared" si="30"/>
        <v>3.148657208305754</v>
      </c>
      <c r="J238" s="148">
        <v>1.6443881497542685</v>
      </c>
      <c r="K238" s="428">
        <f t="shared" si="25"/>
        <v>0.88784862598160208</v>
      </c>
      <c r="L238" s="925">
        <f t="shared" si="31"/>
        <v>1.082287475071573</v>
      </c>
      <c r="M238" s="532">
        <f t="shared" si="26"/>
        <v>3.3531093460787822E-2</v>
      </c>
      <c r="N238" s="127"/>
      <c r="O238" s="127"/>
    </row>
    <row r="239" spans="1:15" s="6" customFormat="1" ht="15.75">
      <c r="A239" s="275">
        <v>148</v>
      </c>
      <c r="B239" s="176" t="s">
        <v>200</v>
      </c>
      <c r="C239" s="157">
        <v>105.5</v>
      </c>
      <c r="D239" s="157"/>
      <c r="E239" s="157"/>
      <c r="F239" s="622">
        <f t="shared" si="27"/>
        <v>105.5</v>
      </c>
      <c r="G239" s="290">
        <f t="shared" si="28"/>
        <v>9.3721736344854064E-4</v>
      </c>
      <c r="H239" s="426">
        <f t="shared" si="29"/>
        <v>2.1266680359219872</v>
      </c>
      <c r="I239" s="561">
        <f t="shared" si="30"/>
        <v>0.78197583680851479</v>
      </c>
      <c r="J239" s="148">
        <v>0.40838735828407563</v>
      </c>
      <c r="K239" s="428">
        <f t="shared" si="25"/>
        <v>0.22049912909853817</v>
      </c>
      <c r="L239" s="925">
        <f t="shared" si="31"/>
        <v>0.26878843837111804</v>
      </c>
      <c r="M239" s="532">
        <f t="shared" si="26"/>
        <v>3.3531093460787822E-2</v>
      </c>
      <c r="N239" s="127"/>
      <c r="O239" s="127"/>
    </row>
    <row r="240" spans="1:15" s="6" customFormat="1" ht="15.75">
      <c r="A240" s="268">
        <v>149</v>
      </c>
      <c r="B240" s="176" t="s">
        <v>201</v>
      </c>
      <c r="C240" s="157">
        <v>158.6</v>
      </c>
      <c r="D240" s="157"/>
      <c r="E240" s="157"/>
      <c r="F240" s="622">
        <f t="shared" si="27"/>
        <v>158.6</v>
      </c>
      <c r="G240" s="290">
        <f t="shared" si="28"/>
        <v>1.4089352970894648E-3</v>
      </c>
      <c r="H240" s="426">
        <f t="shared" si="29"/>
        <v>3.1970573506846174</v>
      </c>
      <c r="I240" s="561">
        <f t="shared" si="30"/>
        <v>1.1755579878467339</v>
      </c>
      <c r="J240" s="148">
        <v>0.61393587700335905</v>
      </c>
      <c r="K240" s="428">
        <f t="shared" si="25"/>
        <v>0.3314802073462384</v>
      </c>
      <c r="L240" s="925">
        <f t="shared" si="31"/>
        <v>0.40407437275506464</v>
      </c>
      <c r="M240" s="532">
        <f t="shared" si="26"/>
        <v>3.3531093460787829E-2</v>
      </c>
      <c r="N240" s="127"/>
      <c r="O240" s="127"/>
    </row>
    <row r="241" spans="1:15" s="6" customFormat="1" ht="15.75">
      <c r="A241" s="268">
        <v>150</v>
      </c>
      <c r="B241" s="176" t="s">
        <v>202</v>
      </c>
      <c r="C241" s="157">
        <v>84.9</v>
      </c>
      <c r="D241" s="157"/>
      <c r="E241" s="157"/>
      <c r="F241" s="622">
        <f t="shared" si="27"/>
        <v>84.9</v>
      </c>
      <c r="G241" s="290">
        <f t="shared" si="28"/>
        <v>7.5421567921119524E-4</v>
      </c>
      <c r="H241" s="426">
        <f t="shared" si="29"/>
        <v>1.7114134241684995</v>
      </c>
      <c r="I241" s="561">
        <f t="shared" si="30"/>
        <v>0.62928671606675735</v>
      </c>
      <c r="J241" s="148">
        <v>0.3286453717376116</v>
      </c>
      <c r="K241" s="428">
        <f t="shared" si="25"/>
        <v>0.17744432284801792</v>
      </c>
      <c r="L241" s="925">
        <f t="shared" si="31"/>
        <v>0.21630462955173385</v>
      </c>
      <c r="M241" s="532">
        <f t="shared" si="26"/>
        <v>3.3531093460787822E-2</v>
      </c>
      <c r="N241" s="127"/>
      <c r="O241" s="127"/>
    </row>
    <row r="242" spans="1:15" s="6" customFormat="1" ht="15.75">
      <c r="A242" s="268">
        <v>151</v>
      </c>
      <c r="B242" s="176" t="s">
        <v>203</v>
      </c>
      <c r="C242" s="157">
        <v>191.6</v>
      </c>
      <c r="D242" s="157"/>
      <c r="E242" s="157"/>
      <c r="F242" s="622">
        <f t="shared" si="27"/>
        <v>191.6</v>
      </c>
      <c r="G242" s="290">
        <f t="shared" si="28"/>
        <v>1.7020933349454063E-3</v>
      </c>
      <c r="H242" s="426">
        <f t="shared" si="29"/>
        <v>3.8622710491246699</v>
      </c>
      <c r="I242" s="561">
        <f t="shared" si="30"/>
        <v>1.4201570647631412</v>
      </c>
      <c r="J242" s="148">
        <v>0.74167789428652975</v>
      </c>
      <c r="K242" s="428">
        <f t="shared" si="25"/>
        <v>0.40045149891260573</v>
      </c>
      <c r="L242" s="925">
        <f t="shared" si="31"/>
        <v>0.48815037717446641</v>
      </c>
      <c r="M242" s="532">
        <f t="shared" si="26"/>
        <v>3.3531093460787822E-2</v>
      </c>
      <c r="N242" s="127"/>
      <c r="O242" s="127"/>
    </row>
    <row r="243" spans="1:15" s="6" customFormat="1" ht="15.75">
      <c r="A243" s="268">
        <v>152</v>
      </c>
      <c r="B243" s="176" t="s">
        <v>204</v>
      </c>
      <c r="C243" s="157">
        <v>220.11</v>
      </c>
      <c r="D243" s="157"/>
      <c r="E243" s="157"/>
      <c r="F243" s="622">
        <f t="shared" si="27"/>
        <v>220.11</v>
      </c>
      <c r="G243" s="290">
        <f t="shared" si="28"/>
        <v>1.9553641124991305E-3</v>
      </c>
      <c r="H243" s="426">
        <f t="shared" si="29"/>
        <v>4.4369753685951521</v>
      </c>
      <c r="I243" s="561">
        <f t="shared" si="30"/>
        <v>1.6314758430324376</v>
      </c>
      <c r="J243" s="148">
        <v>0.8520392552787478</v>
      </c>
      <c r="K243" s="428">
        <f t="shared" si="25"/>
        <v>0.46003851474767044</v>
      </c>
      <c r="L243" s="925">
        <f t="shared" si="31"/>
        <v>0.56078694947741026</v>
      </c>
      <c r="M243" s="532">
        <f t="shared" si="26"/>
        <v>3.3531093460787822E-2</v>
      </c>
      <c r="N243" s="127"/>
      <c r="O243" s="127"/>
    </row>
    <row r="244" spans="1:15" s="6" customFormat="1" ht="15.75">
      <c r="A244" s="268">
        <v>153</v>
      </c>
      <c r="B244" s="176" t="s">
        <v>205</v>
      </c>
      <c r="C244" s="157">
        <v>154.1</v>
      </c>
      <c r="D244" s="157"/>
      <c r="E244" s="157"/>
      <c r="F244" s="622">
        <f t="shared" si="27"/>
        <v>154.1</v>
      </c>
      <c r="G244" s="290">
        <f t="shared" si="28"/>
        <v>1.3689592010182E-3</v>
      </c>
      <c r="H244" s="426">
        <f t="shared" si="29"/>
        <v>3.1063463918064285</v>
      </c>
      <c r="I244" s="561">
        <f t="shared" si="30"/>
        <v>1.1422035682672238</v>
      </c>
      <c r="J244" s="148">
        <v>0.59651651101019953</v>
      </c>
      <c r="K244" s="428">
        <f t="shared" si="25"/>
        <v>0.32207503122355191</v>
      </c>
      <c r="L244" s="925">
        <f t="shared" si="31"/>
        <v>0.39260946306150979</v>
      </c>
      <c r="M244" s="532">
        <f t="shared" si="26"/>
        <v>3.3531093460787822E-2</v>
      </c>
      <c r="N244" s="127"/>
      <c r="O244" s="127"/>
    </row>
    <row r="245" spans="1:15" s="6" customFormat="1" ht="15.75">
      <c r="A245" s="268">
        <v>154</v>
      </c>
      <c r="B245" s="176" t="s">
        <v>206</v>
      </c>
      <c r="C245" s="157">
        <v>219.1</v>
      </c>
      <c r="D245" s="157"/>
      <c r="E245" s="157"/>
      <c r="F245" s="622">
        <f t="shared" si="27"/>
        <v>219.1</v>
      </c>
      <c r="G245" s="290">
        <f t="shared" si="28"/>
        <v>1.9463916998253576E-3</v>
      </c>
      <c r="H245" s="426">
        <f t="shared" si="29"/>
        <v>4.416615797824714</v>
      </c>
      <c r="I245" s="561">
        <f t="shared" si="30"/>
        <v>1.6239896288601474</v>
      </c>
      <c r="J245" s="148">
        <v>0.84812957535583855</v>
      </c>
      <c r="K245" s="428">
        <f t="shared" si="25"/>
        <v>0.45792757521791189</v>
      </c>
      <c r="L245" s="925">
        <f t="shared" si="31"/>
        <v>0.55821371419063459</v>
      </c>
      <c r="M245" s="532">
        <f t="shared" si="26"/>
        <v>3.3531093460787822E-2</v>
      </c>
      <c r="N245" s="127"/>
      <c r="O245" s="127"/>
    </row>
    <row r="246" spans="1:15" s="6" customFormat="1" ht="15.75">
      <c r="A246" s="275">
        <v>155</v>
      </c>
      <c r="B246" s="176" t="s">
        <v>207</v>
      </c>
      <c r="C246" s="157">
        <v>255.8</v>
      </c>
      <c r="D246" s="157"/>
      <c r="E246" s="157"/>
      <c r="F246" s="622">
        <f t="shared" si="27"/>
        <v>255.8</v>
      </c>
      <c r="G246" s="290">
        <f t="shared" si="28"/>
        <v>2.272418972228784E-3</v>
      </c>
      <c r="H246" s="426">
        <f t="shared" si="29"/>
        <v>5.1564140624535009</v>
      </c>
      <c r="I246" s="561">
        <f t="shared" si="30"/>
        <v>1.8960134507641524</v>
      </c>
      <c r="J246" s="148">
        <v>0.99019418245560697</v>
      </c>
      <c r="K246" s="428">
        <f>G246*235.27</f>
        <v>0.53463201159626605</v>
      </c>
      <c r="L246" s="925">
        <f t="shared" si="31"/>
        <v>0.65171642213584835</v>
      </c>
      <c r="M246" s="532">
        <f t="shared" si="26"/>
        <v>3.3531093460787829E-2</v>
      </c>
      <c r="N246" s="127"/>
      <c r="O246" s="127"/>
    </row>
    <row r="247" spans="1:15" s="6" customFormat="1" ht="15.75">
      <c r="A247" s="268">
        <v>156</v>
      </c>
      <c r="B247" s="176" t="s">
        <v>208</v>
      </c>
      <c r="C247" s="157">
        <v>58.3</v>
      </c>
      <c r="D247" s="157"/>
      <c r="E247" s="157"/>
      <c r="F247" s="622">
        <f t="shared" si="27"/>
        <v>58.3</v>
      </c>
      <c r="G247" s="290">
        <f t="shared" si="28"/>
        <v>5.1791253354549678E-4</v>
      </c>
      <c r="H247" s="426">
        <f t="shared" si="29"/>
        <v>1.1752108672440931</v>
      </c>
      <c r="I247" s="561">
        <f t="shared" si="30"/>
        <v>0.43212503588565304</v>
      </c>
      <c r="J247" s="148">
        <v>0.22567756386693469</v>
      </c>
      <c r="K247" s="428">
        <f>G247*235.27</f>
        <v>0.12184928176724903</v>
      </c>
      <c r="L247" s="925">
        <f t="shared" si="31"/>
        <v>0.14853427447427658</v>
      </c>
      <c r="M247" s="532">
        <f t="shared" si="26"/>
        <v>3.3531093460787822E-2</v>
      </c>
      <c r="N247" s="127"/>
      <c r="O247" s="127"/>
    </row>
    <row r="248" spans="1:15" s="6" customFormat="1" ht="15.75">
      <c r="A248" s="268">
        <v>157</v>
      </c>
      <c r="B248" s="176" t="s">
        <v>209</v>
      </c>
      <c r="C248" s="157">
        <v>47.2</v>
      </c>
      <c r="D248" s="157"/>
      <c r="E248" s="157"/>
      <c r="F248" s="622">
        <f t="shared" si="27"/>
        <v>47.2</v>
      </c>
      <c r="G248" s="290">
        <f t="shared" si="28"/>
        <v>4.1930482990304376E-4</v>
      </c>
      <c r="H248" s="426">
        <f t="shared" si="29"/>
        <v>0.95145716867789376</v>
      </c>
      <c r="I248" s="561">
        <f t="shared" si="30"/>
        <v>0.34985080092286158</v>
      </c>
      <c r="J248" s="148">
        <v>0.18270979441714097</v>
      </c>
      <c r="K248" s="428">
        <f>G248*235.27</f>
        <v>9.8649847331289106E-2</v>
      </c>
      <c r="L248" s="925">
        <f t="shared" si="31"/>
        <v>0.12025416389684143</v>
      </c>
      <c r="M248" s="532">
        <f t="shared" si="26"/>
        <v>3.3531093460787822E-2</v>
      </c>
      <c r="N248" s="127"/>
      <c r="O248" s="127"/>
    </row>
    <row r="249" spans="1:15" s="6" customFormat="1" ht="15.75">
      <c r="A249" s="268">
        <v>158</v>
      </c>
      <c r="B249" s="176" t="s">
        <v>210</v>
      </c>
      <c r="C249" s="157">
        <v>101.5</v>
      </c>
      <c r="D249" s="157"/>
      <c r="E249" s="157"/>
      <c r="F249" s="622">
        <f t="shared" si="27"/>
        <v>101.5</v>
      </c>
      <c r="G249" s="290">
        <f t="shared" si="28"/>
        <v>9.0168305582963857E-4</v>
      </c>
      <c r="H249" s="426">
        <f t="shared" si="29"/>
        <v>2.046036072474708</v>
      </c>
      <c r="I249" s="561">
        <f t="shared" si="30"/>
        <v>0.75232746384895022</v>
      </c>
      <c r="J249" s="148">
        <v>0.39290347740126708</v>
      </c>
      <c r="K249" s="428">
        <f>G249*235.27</f>
        <v>0.21213897254503908</v>
      </c>
      <c r="L249" s="925">
        <f t="shared" si="31"/>
        <v>0.25859740753240268</v>
      </c>
      <c r="M249" s="532">
        <f t="shared" si="26"/>
        <v>3.3531093460787829E-2</v>
      </c>
      <c r="N249" s="127"/>
      <c r="O249" s="127"/>
    </row>
    <row r="250" spans="1:15" s="6" customFormat="1" ht="15.75">
      <c r="A250" s="268">
        <v>159</v>
      </c>
      <c r="B250" s="176" t="s">
        <v>211</v>
      </c>
      <c r="C250" s="157">
        <v>57.8</v>
      </c>
      <c r="D250" s="157"/>
      <c r="E250" s="157"/>
      <c r="F250" s="622">
        <f t="shared" si="27"/>
        <v>57.8</v>
      </c>
      <c r="G250" s="290">
        <f t="shared" si="28"/>
        <v>5.1347074509313403E-4</v>
      </c>
      <c r="H250" s="426">
        <f t="shared" si="29"/>
        <v>1.1651318718131833</v>
      </c>
      <c r="I250" s="561">
        <f t="shared" si="30"/>
        <v>0.42841898926570754</v>
      </c>
      <c r="J250" s="148">
        <v>0.22374207875658361</v>
      </c>
      <c r="K250" s="428">
        <f>G250*235.27</f>
        <v>0.12080426219806165</v>
      </c>
      <c r="L250" s="925">
        <f t="shared" si="31"/>
        <v>0.14726039561943716</v>
      </c>
      <c r="M250" s="532">
        <f t="shared" si="26"/>
        <v>3.3531093460787822E-2</v>
      </c>
      <c r="N250" s="127"/>
      <c r="O250" s="127"/>
    </row>
    <row r="251" spans="1:15" s="6" customFormat="1" ht="15.75">
      <c r="A251" s="268">
        <v>160</v>
      </c>
      <c r="B251" s="122" t="s">
        <v>1203</v>
      </c>
      <c r="C251" s="55">
        <v>569.54999999999995</v>
      </c>
      <c r="D251" s="55">
        <v>76.3</v>
      </c>
      <c r="E251" s="55">
        <v>25</v>
      </c>
      <c r="F251" s="622">
        <f t="shared" si="27"/>
        <v>670.84999999999991</v>
      </c>
      <c r="G251" s="290">
        <f t="shared" si="28"/>
        <v>5.9595475665351026E-3</v>
      </c>
      <c r="H251" s="426">
        <f t="shared" si="29"/>
        <v>13.522988169651798</v>
      </c>
      <c r="I251" s="561">
        <f t="shared" si="30"/>
        <v>4.9724027499809669</v>
      </c>
      <c r="J251" s="148">
        <v>2.5968403725580296</v>
      </c>
      <c r="K251" s="428">
        <f>G251*367.79</f>
        <v>2.1918619994959454</v>
      </c>
      <c r="L251" s="925">
        <f t="shared" si="31"/>
        <v>2.6718797773855578</v>
      </c>
      <c r="M251" s="532">
        <f t="shared" si="26"/>
        <v>4.0881561393533036E-2</v>
      </c>
      <c r="N251" s="127"/>
      <c r="O251" s="127"/>
    </row>
    <row r="252" spans="1:15" s="6" customFormat="1" ht="15.75">
      <c r="A252" s="268">
        <v>161</v>
      </c>
      <c r="B252" s="122" t="s">
        <v>1204</v>
      </c>
      <c r="C252" s="55">
        <v>648.9</v>
      </c>
      <c r="D252" s="55"/>
      <c r="E252" s="55"/>
      <c r="F252" s="622">
        <f t="shared" si="27"/>
        <v>648.9</v>
      </c>
      <c r="G252" s="290">
        <f t="shared" si="28"/>
        <v>5.7645530534763791E-3</v>
      </c>
      <c r="H252" s="426">
        <f t="shared" si="29"/>
        <v>13.080520270234857</v>
      </c>
      <c r="I252" s="561">
        <f t="shared" si="30"/>
        <v>4.8097073033653572</v>
      </c>
      <c r="J252" s="148">
        <v>2.5118725762136176</v>
      </c>
      <c r="K252" s="428">
        <f>G252*367.79</f>
        <v>2.1201449675380775</v>
      </c>
      <c r="L252" s="925">
        <f t="shared" si="31"/>
        <v>2.5844567154289164</v>
      </c>
      <c r="M252" s="532">
        <f t="shared" si="26"/>
        <v>3.4708345072202045E-2</v>
      </c>
      <c r="N252" s="127"/>
      <c r="O252" s="127"/>
    </row>
    <row r="253" spans="1:15" s="6" customFormat="1" ht="15.75">
      <c r="A253" s="275">
        <v>162</v>
      </c>
      <c r="B253" s="122" t="s">
        <v>1205</v>
      </c>
      <c r="C253" s="55">
        <v>527.70000000000005</v>
      </c>
      <c r="D253" s="55">
        <v>115.4</v>
      </c>
      <c r="E253" s="55">
        <v>110</v>
      </c>
      <c r="F253" s="622">
        <f t="shared" si="27"/>
        <v>753.1</v>
      </c>
      <c r="G253" s="290">
        <f t="shared" si="28"/>
        <v>6.6902217669487767E-3</v>
      </c>
      <c r="H253" s="426">
        <f t="shared" si="29"/>
        <v>15.180982918036479</v>
      </c>
      <c r="I253" s="561">
        <f t="shared" si="30"/>
        <v>5.5820474189620137</v>
      </c>
      <c r="J253" s="148">
        <v>2.9152276732107807</v>
      </c>
      <c r="K253" s="428">
        <f>G253*367.79</f>
        <v>2.4605966636660908</v>
      </c>
      <c r="L253" s="925">
        <f t="shared" si="31"/>
        <v>2.999467333008965</v>
      </c>
      <c r="M253" s="532">
        <f t="shared" si="26"/>
        <v>4.9533550642174268E-2</v>
      </c>
      <c r="N253" s="127"/>
      <c r="O253" s="127"/>
    </row>
    <row r="254" spans="1:15" s="6" customFormat="1" ht="15.75">
      <c r="A254" s="268">
        <v>163</v>
      </c>
      <c r="B254" s="122" t="s">
        <v>1206</v>
      </c>
      <c r="C254" s="55">
        <v>276.60000000000002</v>
      </c>
      <c r="D254" s="55"/>
      <c r="E254" s="55"/>
      <c r="F254" s="622">
        <f t="shared" si="27"/>
        <v>276.60000000000002</v>
      </c>
      <c r="G254" s="290">
        <f t="shared" si="28"/>
        <v>2.4571973718470743E-3</v>
      </c>
      <c r="H254" s="426">
        <f t="shared" si="29"/>
        <v>5.5757002723793523</v>
      </c>
      <c r="I254" s="561">
        <f t="shared" si="30"/>
        <v>2.050184990153888</v>
      </c>
      <c r="J254" s="148">
        <v>1.0707103630462116</v>
      </c>
      <c r="K254" s="428">
        <f>G254*235.27</f>
        <v>0.5781048256744612</v>
      </c>
      <c r="L254" s="925">
        <f t="shared" si="31"/>
        <v>0.7047097824971682</v>
      </c>
      <c r="M254" s="532">
        <f t="shared" si="26"/>
        <v>3.3531093460787829E-2</v>
      </c>
      <c r="N254" s="127"/>
      <c r="O254" s="127"/>
    </row>
    <row r="255" spans="1:15" s="6" customFormat="1" ht="15.75">
      <c r="A255" s="268">
        <v>164</v>
      </c>
      <c r="B255" s="122" t="s">
        <v>1207</v>
      </c>
      <c r="C255" s="55">
        <v>238.8</v>
      </c>
      <c r="D255" s="55"/>
      <c r="E255" s="55"/>
      <c r="F255" s="622">
        <f t="shared" si="27"/>
        <v>238.8</v>
      </c>
      <c r="G255" s="290">
        <f t="shared" si="28"/>
        <v>2.1213981648484505E-3</v>
      </c>
      <c r="H255" s="426">
        <f t="shared" si="29"/>
        <v>4.8137282178025647</v>
      </c>
      <c r="I255" s="561">
        <f t="shared" si="30"/>
        <v>1.7700078656860032</v>
      </c>
      <c r="J255" s="148">
        <v>0.92438768870367083</v>
      </c>
      <c r="K255" s="428">
        <f>G255*235.27</f>
        <v>0.49910134624389496</v>
      </c>
      <c r="L255" s="925">
        <f t="shared" si="31"/>
        <v>0.60840454107130804</v>
      </c>
      <c r="M255" s="532">
        <f t="shared" si="26"/>
        <v>3.3531093460787829E-2</v>
      </c>
      <c r="N255" s="127"/>
      <c r="O255" s="127"/>
    </row>
    <row r="256" spans="1:15" s="6" customFormat="1" ht="15.75">
      <c r="A256" s="268">
        <v>165</v>
      </c>
      <c r="B256" s="122" t="s">
        <v>1208</v>
      </c>
      <c r="C256" s="55">
        <v>754.13</v>
      </c>
      <c r="D256" s="55"/>
      <c r="E256" s="55"/>
      <c r="F256" s="622">
        <f t="shared" si="27"/>
        <v>754.13</v>
      </c>
      <c r="G256" s="290">
        <f t="shared" si="28"/>
        <v>6.6993718511606437E-3</v>
      </c>
      <c r="H256" s="426">
        <f t="shared" si="29"/>
        <v>15.201745648624152</v>
      </c>
      <c r="I256" s="561">
        <f t="shared" si="30"/>
        <v>5.5896818749991013</v>
      </c>
      <c r="J256" s="148">
        <v>2.9192147725381035</v>
      </c>
      <c r="K256" s="428">
        <f>G256*301.5</f>
        <v>2.0198606131249339</v>
      </c>
      <c r="L256" s="925">
        <f t="shared" si="31"/>
        <v>2.4622100873992947</v>
      </c>
      <c r="M256" s="532">
        <f t="shared" si="26"/>
        <v>3.4119452759187797E-2</v>
      </c>
      <c r="N256" s="127"/>
      <c r="O256" s="127"/>
    </row>
    <row r="257" spans="1:15" s="6" customFormat="1" ht="15.75">
      <c r="A257" s="268">
        <v>166</v>
      </c>
      <c r="B257" s="122" t="s">
        <v>1209</v>
      </c>
      <c r="C257" s="55">
        <v>838.38</v>
      </c>
      <c r="D257" s="55">
        <v>72.7</v>
      </c>
      <c r="E257" s="55"/>
      <c r="F257" s="622">
        <f t="shared" si="27"/>
        <v>911.08</v>
      </c>
      <c r="G257" s="290">
        <f t="shared" si="28"/>
        <v>8.0936492463573127E-3</v>
      </c>
      <c r="H257" s="426">
        <f t="shared" si="29"/>
        <v>18.365542314386769</v>
      </c>
      <c r="I257" s="561">
        <f t="shared" si="30"/>
        <v>6.7530099090000153</v>
      </c>
      <c r="J257" s="148">
        <v>3.5267635486773043</v>
      </c>
      <c r="K257" s="428">
        <f>G257*301.5</f>
        <v>2.4402352477767297</v>
      </c>
      <c r="L257" s="925">
        <f t="shared" si="31"/>
        <v>2.9746467670398338</v>
      </c>
      <c r="M257" s="532">
        <f t="shared" si="26"/>
        <v>3.7078116152390109E-2</v>
      </c>
      <c r="N257" s="127"/>
      <c r="O257" s="127"/>
    </row>
    <row r="258" spans="1:15" s="6" customFormat="1" ht="15.75">
      <c r="A258" s="268">
        <v>167</v>
      </c>
      <c r="B258" s="122" t="s">
        <v>1210</v>
      </c>
      <c r="C258" s="55">
        <v>676.2</v>
      </c>
      <c r="D258" s="55"/>
      <c r="E258" s="55">
        <v>31.7</v>
      </c>
      <c r="F258" s="622">
        <f t="shared" si="27"/>
        <v>707.90000000000009</v>
      </c>
      <c r="G258" s="290">
        <f t="shared" si="28"/>
        <v>6.2886840908551846E-3</v>
      </c>
      <c r="H258" s="426">
        <f t="shared" si="29"/>
        <v>14.269841731082225</v>
      </c>
      <c r="I258" s="561">
        <f t="shared" si="30"/>
        <v>5.247020804518935</v>
      </c>
      <c r="J258" s="148">
        <v>2.7402598192350442</v>
      </c>
      <c r="K258" s="428">
        <f>G258*235.27</f>
        <v>1.4795387060554994</v>
      </c>
      <c r="L258" s="925">
        <f t="shared" si="31"/>
        <v>1.803557682681654</v>
      </c>
      <c r="M258" s="532">
        <f t="shared" si="26"/>
        <v>3.5103018427819731E-2</v>
      </c>
      <c r="N258" s="127"/>
      <c r="O258" s="127"/>
    </row>
    <row r="259" spans="1:15" s="6" customFormat="1" ht="15.75">
      <c r="A259" s="268">
        <v>168</v>
      </c>
      <c r="B259" s="273" t="s">
        <v>1211</v>
      </c>
      <c r="C259" s="55">
        <v>814.34</v>
      </c>
      <c r="D259" s="55"/>
      <c r="E259" s="55"/>
      <c r="F259" s="622">
        <f t="shared" si="27"/>
        <v>814.34</v>
      </c>
      <c r="G259" s="290">
        <f t="shared" si="28"/>
        <v>7.2342520165941662E-3</v>
      </c>
      <c r="H259" s="426">
        <f t="shared" si="29"/>
        <v>16.41545827841432</v>
      </c>
      <c r="I259" s="561">
        <f t="shared" si="30"/>
        <v>6.0359640089729458</v>
      </c>
      <c r="J259" s="148">
        <v>3.1522858895265795</v>
      </c>
      <c r="K259" s="428">
        <f>G259*367.79</f>
        <v>2.6606855491831687</v>
      </c>
      <c r="L259" s="925">
        <f t="shared" si="31"/>
        <v>3.2433756844542829</v>
      </c>
      <c r="M259" s="532">
        <f t="shared" si="26"/>
        <v>3.4708345072202045E-2</v>
      </c>
      <c r="N259" s="127"/>
      <c r="O259" s="127"/>
    </row>
    <row r="260" spans="1:15" s="6" customFormat="1" ht="15.75">
      <c r="A260" s="275">
        <v>169</v>
      </c>
      <c r="B260" s="273" t="s">
        <v>1212</v>
      </c>
      <c r="C260" s="55">
        <v>562.29999999999995</v>
      </c>
      <c r="D260" s="55"/>
      <c r="E260" s="55"/>
      <c r="F260" s="622">
        <f t="shared" si="27"/>
        <v>562.29999999999995</v>
      </c>
      <c r="G260" s="290">
        <f>0/112567.27*F260</f>
        <v>0</v>
      </c>
      <c r="H260" s="426">
        <f t="shared" si="29"/>
        <v>0</v>
      </c>
      <c r="I260" s="561">
        <f t="shared" si="30"/>
        <v>0</v>
      </c>
      <c r="J260" s="148">
        <v>0</v>
      </c>
      <c r="K260" s="428">
        <f>G260*235.27</f>
        <v>0</v>
      </c>
      <c r="L260" s="925">
        <f t="shared" si="31"/>
        <v>0</v>
      </c>
      <c r="M260" s="532">
        <f t="shared" si="26"/>
        <v>0</v>
      </c>
      <c r="N260" s="127"/>
      <c r="O260" s="127"/>
    </row>
    <row r="261" spans="1:15" s="6" customFormat="1" ht="15.75">
      <c r="A261" s="268">
        <v>170</v>
      </c>
      <c r="B261" s="122" t="s">
        <v>1213</v>
      </c>
      <c r="C261" s="55">
        <v>410.5</v>
      </c>
      <c r="D261" s="55"/>
      <c r="E261" s="55"/>
      <c r="F261" s="622">
        <f t="shared" si="27"/>
        <v>410.5</v>
      </c>
      <c r="G261" s="290">
        <f t="shared" si="28"/>
        <v>3.6467083193898191E-3</v>
      </c>
      <c r="H261" s="426">
        <f t="shared" si="29"/>
        <v>8.2748552487770208</v>
      </c>
      <c r="I261" s="561">
        <f t="shared" si="30"/>
        <v>3.0426642749753108</v>
      </c>
      <c r="J261" s="148">
        <v>1.5890332755982279</v>
      </c>
      <c r="K261" s="428">
        <f t="shared" ref="K261:K267" si="32">G261*367.79</f>
        <v>1.3412228527883816</v>
      </c>
      <c r="L261" s="925">
        <f t="shared" si="31"/>
        <v>1.6349506575490373</v>
      </c>
      <c r="M261" s="532">
        <f t="shared" si="26"/>
        <v>3.4708345072202051E-2</v>
      </c>
      <c r="N261" s="127"/>
      <c r="O261" s="127"/>
    </row>
    <row r="262" spans="1:15" s="6" customFormat="1" ht="15.75">
      <c r="A262" s="268">
        <v>171</v>
      </c>
      <c r="B262" s="122" t="s">
        <v>1214</v>
      </c>
      <c r="C262" s="55">
        <v>504.87</v>
      </c>
      <c r="D262" s="55"/>
      <c r="E262" s="55">
        <v>18.399999999999999</v>
      </c>
      <c r="F262" s="622">
        <f t="shared" si="27"/>
        <v>523.27</v>
      </c>
      <c r="G262" s="290">
        <f t="shared" si="28"/>
        <v>4.6485092869357142E-3</v>
      </c>
      <c r="H262" s="426">
        <f t="shared" si="29"/>
        <v>10.548071878264437</v>
      </c>
      <c r="I262" s="561">
        <f t="shared" si="30"/>
        <v>3.8785260296378339</v>
      </c>
      <c r="J262" s="148">
        <v>2.0255625873868079</v>
      </c>
      <c r="K262" s="428">
        <f t="shared" si="32"/>
        <v>1.7096752306420864</v>
      </c>
      <c r="L262" s="925">
        <f t="shared" si="31"/>
        <v>2.0840941061527034</v>
      </c>
      <c r="M262" s="532">
        <f t="shared" ref="M262:M325" si="33">(K262+J262+I262+H262)/C262</f>
        <v>3.5973291591758605E-2</v>
      </c>
      <c r="N262" s="127"/>
      <c r="O262" s="127"/>
    </row>
    <row r="263" spans="1:15" s="6" customFormat="1" ht="15.75">
      <c r="A263" s="268">
        <v>172</v>
      </c>
      <c r="B263" s="273" t="s">
        <v>1215</v>
      </c>
      <c r="C263" s="55">
        <v>684.1</v>
      </c>
      <c r="D263" s="55"/>
      <c r="E263" s="55"/>
      <c r="F263" s="622">
        <f t="shared" si="27"/>
        <v>684.1</v>
      </c>
      <c r="G263" s="290">
        <f t="shared" si="28"/>
        <v>6.0772549605227167E-3</v>
      </c>
      <c r="H263" s="426">
        <f t="shared" si="29"/>
        <v>13.790081548570912</v>
      </c>
      <c r="I263" s="561">
        <f t="shared" si="30"/>
        <v>5.0706129854095243</v>
      </c>
      <c r="J263" s="148">
        <v>2.6481307279823332</v>
      </c>
      <c r="K263" s="428">
        <f t="shared" si="32"/>
        <v>2.2351536019306502</v>
      </c>
      <c r="L263" s="925">
        <f t="shared" si="31"/>
        <v>2.7246522407534628</v>
      </c>
      <c r="M263" s="532">
        <f t="shared" si="33"/>
        <v>3.4708345072202045E-2</v>
      </c>
      <c r="N263" s="127"/>
      <c r="O263" s="127"/>
    </row>
    <row r="264" spans="1:15" s="6" customFormat="1" ht="15.75">
      <c r="A264" s="268">
        <v>173</v>
      </c>
      <c r="B264" s="122" t="s">
        <v>1216</v>
      </c>
      <c r="C264" s="55">
        <v>525.58000000000004</v>
      </c>
      <c r="D264" s="55">
        <v>133.5</v>
      </c>
      <c r="E264" s="55"/>
      <c r="F264" s="622">
        <f t="shared" si="27"/>
        <v>659.08</v>
      </c>
      <c r="G264" s="290">
        <f t="shared" si="28"/>
        <v>5.8549878663664854E-3</v>
      </c>
      <c r="H264" s="426">
        <f t="shared" si="29"/>
        <v>13.285728617208184</v>
      </c>
      <c r="I264" s="561">
        <f t="shared" si="30"/>
        <v>4.8851624125474498</v>
      </c>
      <c r="J264" s="148">
        <v>2.5512790530603655</v>
      </c>
      <c r="K264" s="428">
        <f t="shared" si="32"/>
        <v>2.1534059873709297</v>
      </c>
      <c r="L264" s="925">
        <f t="shared" si="31"/>
        <v>2.6250018986051633</v>
      </c>
      <c r="M264" s="532">
        <f t="shared" si="33"/>
        <v>4.3524441702855757E-2</v>
      </c>
      <c r="N264" s="127"/>
      <c r="O264" s="127"/>
    </row>
    <row r="265" spans="1:15" s="6" customFormat="1" ht="15.75">
      <c r="A265" s="268">
        <v>174</v>
      </c>
      <c r="B265" s="122" t="s">
        <v>1217</v>
      </c>
      <c r="C265" s="55">
        <v>418.1</v>
      </c>
      <c r="D265" s="55"/>
      <c r="E265" s="55">
        <v>48.4</v>
      </c>
      <c r="F265" s="622">
        <f t="shared" si="27"/>
        <v>466.5</v>
      </c>
      <c r="G265" s="290">
        <f t="shared" si="28"/>
        <v>4.144188626054447E-3</v>
      </c>
      <c r="H265" s="426">
        <f t="shared" si="29"/>
        <v>9.4037027370389286</v>
      </c>
      <c r="I265" s="561">
        <f t="shared" si="30"/>
        <v>3.4577414964092141</v>
      </c>
      <c r="J265" s="148">
        <v>1.8058076079575478</v>
      </c>
      <c r="K265" s="428">
        <f t="shared" si="32"/>
        <v>1.5241911347765651</v>
      </c>
      <c r="L265" s="925">
        <f t="shared" si="31"/>
        <v>1.857988993292633</v>
      </c>
      <c r="M265" s="532">
        <f t="shared" si="33"/>
        <v>3.8726244860517234E-2</v>
      </c>
      <c r="N265" s="127"/>
      <c r="O265" s="127"/>
    </row>
    <row r="266" spans="1:15" s="6" customFormat="1" ht="15.75">
      <c r="A266" s="268">
        <v>175</v>
      </c>
      <c r="B266" s="122" t="s">
        <v>1218</v>
      </c>
      <c r="C266" s="55">
        <v>399.54</v>
      </c>
      <c r="D266" s="55"/>
      <c r="E266" s="55">
        <v>12.5</v>
      </c>
      <c r="F266" s="622">
        <f t="shared" si="27"/>
        <v>412.04</v>
      </c>
      <c r="G266" s="290">
        <f t="shared" si="28"/>
        <v>3.6603890278230967E-3</v>
      </c>
      <c r="H266" s="426">
        <f t="shared" si="29"/>
        <v>8.305898554704223</v>
      </c>
      <c r="I266" s="561">
        <f t="shared" si="30"/>
        <v>3.0540788985647431</v>
      </c>
      <c r="J266" s="148">
        <v>1.5949945697381094</v>
      </c>
      <c r="K266" s="428">
        <f t="shared" si="32"/>
        <v>1.3462544805430567</v>
      </c>
      <c r="L266" s="925">
        <f t="shared" si="31"/>
        <v>1.6410842117819864</v>
      </c>
      <c r="M266" s="532">
        <f t="shared" si="33"/>
        <v>3.5794229622941716E-2</v>
      </c>
      <c r="N266" s="127"/>
      <c r="O266" s="127"/>
    </row>
    <row r="267" spans="1:15" s="6" customFormat="1" ht="15.75">
      <c r="A267" s="275">
        <v>176</v>
      </c>
      <c r="B267" s="122" t="s">
        <v>1219</v>
      </c>
      <c r="C267" s="55">
        <v>303.5</v>
      </c>
      <c r="D267" s="55"/>
      <c r="E267" s="55"/>
      <c r="F267" s="622">
        <f t="shared" si="27"/>
        <v>303.5</v>
      </c>
      <c r="G267" s="290">
        <f t="shared" si="28"/>
        <v>2.6961655905841904E-3</v>
      </c>
      <c r="H267" s="426">
        <f t="shared" si="29"/>
        <v>6.1179502265623045</v>
      </c>
      <c r="I267" s="561">
        <f t="shared" si="30"/>
        <v>2.2495702983069594</v>
      </c>
      <c r="J267" s="148">
        <v>1.1748394619830991</v>
      </c>
      <c r="K267" s="428">
        <f t="shared" si="32"/>
        <v>0.9916227425609595</v>
      </c>
      <c r="L267" s="925">
        <f t="shared" si="31"/>
        <v>1.2087881231818096</v>
      </c>
      <c r="M267" s="532">
        <f t="shared" si="33"/>
        <v>3.4708345072202051E-2</v>
      </c>
      <c r="N267" s="127"/>
      <c r="O267" s="127"/>
    </row>
    <row r="268" spans="1:15" s="6" customFormat="1" ht="15.75">
      <c r="A268" s="268">
        <v>177</v>
      </c>
      <c r="B268" s="122" t="s">
        <v>1220</v>
      </c>
      <c r="C268" s="55">
        <v>654.13</v>
      </c>
      <c r="D268" s="55"/>
      <c r="E268" s="55"/>
      <c r="F268" s="622">
        <f t="shared" si="27"/>
        <v>654.13</v>
      </c>
      <c r="G268" s="290">
        <f t="shared" si="28"/>
        <v>5.8110141606880937E-3</v>
      </c>
      <c r="H268" s="426">
        <f t="shared" si="29"/>
        <v>13.185946562442174</v>
      </c>
      <c r="I268" s="561">
        <f t="shared" si="30"/>
        <v>4.848472551009988</v>
      </c>
      <c r="J268" s="148">
        <v>2.53211775046789</v>
      </c>
      <c r="K268" s="428">
        <f>G268*235.27</f>
        <v>1.3671573015850877</v>
      </c>
      <c r="L268" s="925">
        <f t="shared" si="31"/>
        <v>1.6665647506322221</v>
      </c>
      <c r="M268" s="532">
        <f t="shared" si="33"/>
        <v>3.3531093460787822E-2</v>
      </c>
      <c r="N268" s="127"/>
      <c r="O268" s="127"/>
    </row>
    <row r="269" spans="1:15" s="6" customFormat="1" ht="15.75">
      <c r="A269" s="268">
        <v>178</v>
      </c>
      <c r="B269" s="122" t="s">
        <v>1221</v>
      </c>
      <c r="C269" s="55">
        <v>598.02</v>
      </c>
      <c r="D269" s="55"/>
      <c r="E269" s="55">
        <v>44.6</v>
      </c>
      <c r="F269" s="622">
        <f t="shared" ref="F269:F332" si="34">C269+D269+E269</f>
        <v>642.62</v>
      </c>
      <c r="G269" s="290">
        <f t="shared" si="28"/>
        <v>5.7087641905147028E-3</v>
      </c>
      <c r="H269" s="426">
        <f t="shared" si="29"/>
        <v>12.953928087622629</v>
      </c>
      <c r="I269" s="561">
        <f t="shared" si="30"/>
        <v>4.7631593578188411</v>
      </c>
      <c r="J269" s="148">
        <v>2.4875628832276084</v>
      </c>
      <c r="K269" s="428">
        <f>G269*235.27</f>
        <v>1.3431009511023941</v>
      </c>
      <c r="L269" s="925">
        <f t="shared" si="31"/>
        <v>1.6372400593938186</v>
      </c>
      <c r="M269" s="532">
        <f t="shared" si="33"/>
        <v>3.6031823818219247E-2</v>
      </c>
      <c r="N269" s="127"/>
      <c r="O269" s="127"/>
    </row>
    <row r="270" spans="1:15" s="6" customFormat="1" ht="15.75">
      <c r="A270" s="268">
        <v>179</v>
      </c>
      <c r="B270" s="122" t="s">
        <v>1222</v>
      </c>
      <c r="C270" s="55">
        <v>278.7</v>
      </c>
      <c r="D270" s="55"/>
      <c r="E270" s="55"/>
      <c r="F270" s="622">
        <f t="shared" si="34"/>
        <v>278.7</v>
      </c>
      <c r="G270" s="290">
        <f t="shared" si="28"/>
        <v>2.4758528833469977E-3</v>
      </c>
      <c r="H270" s="426">
        <f t="shared" si="29"/>
        <v>5.6180320531891734</v>
      </c>
      <c r="I270" s="561">
        <f t="shared" si="30"/>
        <v>2.0657503859576591</v>
      </c>
      <c r="J270" s="148">
        <v>1.078839400509686</v>
      </c>
      <c r="K270" s="428">
        <f>G270*235.27</f>
        <v>0.58249390786504818</v>
      </c>
      <c r="L270" s="925">
        <f t="shared" si="31"/>
        <v>0.7100600736874938</v>
      </c>
      <c r="M270" s="532">
        <f t="shared" si="33"/>
        <v>3.3531093460787822E-2</v>
      </c>
      <c r="N270" s="127"/>
      <c r="O270" s="127"/>
    </row>
    <row r="271" spans="1:15" s="6" customFormat="1" ht="15.75">
      <c r="A271" s="268">
        <v>180</v>
      </c>
      <c r="B271" s="122" t="s">
        <v>1223</v>
      </c>
      <c r="C271" s="55">
        <v>3583.55</v>
      </c>
      <c r="D271" s="55"/>
      <c r="E271" s="55"/>
      <c r="F271" s="622">
        <f t="shared" si="34"/>
        <v>3583.55</v>
      </c>
      <c r="G271" s="290">
        <f t="shared" si="28"/>
        <v>3.1834742016929075E-2</v>
      </c>
      <c r="H271" s="426">
        <f t="shared" si="29"/>
        <v>72.237168152874276</v>
      </c>
      <c r="I271" s="561">
        <f t="shared" si="30"/>
        <v>26.561606729811874</v>
      </c>
      <c r="J271" s="148">
        <v>13.87181533439715</v>
      </c>
      <c r="K271" s="428">
        <f>G271*235.27</f>
        <v>7.489759754322904</v>
      </c>
      <c r="L271" s="925">
        <f t="shared" si="31"/>
        <v>9.1300171405196213</v>
      </c>
      <c r="M271" s="532">
        <f t="shared" si="33"/>
        <v>3.3531093460787822E-2</v>
      </c>
      <c r="N271" s="127"/>
      <c r="O271" s="127"/>
    </row>
    <row r="272" spans="1:15" s="6" customFormat="1" ht="15.75">
      <c r="A272" s="268">
        <v>181</v>
      </c>
      <c r="B272" s="122" t="s">
        <v>1224</v>
      </c>
      <c r="C272" s="55">
        <v>486.9</v>
      </c>
      <c r="D272" s="55"/>
      <c r="E272" s="55">
        <v>26.6</v>
      </c>
      <c r="F272" s="622">
        <f t="shared" si="34"/>
        <v>513.5</v>
      </c>
      <c r="G272" s="290">
        <f t="shared" si="28"/>
        <v>4.5617167405765458E-3</v>
      </c>
      <c r="H272" s="426">
        <f t="shared" si="29"/>
        <v>10.351128307544458</v>
      </c>
      <c r="I272" s="561">
        <f t="shared" si="30"/>
        <v>3.8061098786840977</v>
      </c>
      <c r="J272" s="148">
        <v>1.9877432083305482</v>
      </c>
      <c r="K272" s="428">
        <f>G272*301.5</f>
        <v>1.3753575972838286</v>
      </c>
      <c r="L272" s="925">
        <f t="shared" si="31"/>
        <v>1.6765609110889872</v>
      </c>
      <c r="M272" s="532">
        <f t="shared" si="33"/>
        <v>3.5983444222310403E-2</v>
      </c>
      <c r="N272" s="127"/>
      <c r="O272" s="127"/>
    </row>
    <row r="273" spans="1:15" s="6" customFormat="1" ht="15.75">
      <c r="A273" s="268">
        <v>182</v>
      </c>
      <c r="B273" s="122" t="s">
        <v>1225</v>
      </c>
      <c r="C273" s="55">
        <v>420.4</v>
      </c>
      <c r="D273" s="55"/>
      <c r="E273" s="55"/>
      <c r="F273" s="622">
        <f t="shared" si="34"/>
        <v>420.4</v>
      </c>
      <c r="G273" s="290">
        <f t="shared" si="28"/>
        <v>3.7346557307466012E-3</v>
      </c>
      <c r="H273" s="426">
        <f t="shared" si="29"/>
        <v>8.474419358309035</v>
      </c>
      <c r="I273" s="561">
        <f t="shared" si="30"/>
        <v>3.1160439980502326</v>
      </c>
      <c r="J273" s="148">
        <v>1.6273558807831789</v>
      </c>
      <c r="K273" s="428">
        <f>G273*235.27</f>
        <v>0.87865245377275292</v>
      </c>
      <c r="L273" s="925">
        <f t="shared" si="31"/>
        <v>1.0710773411489858</v>
      </c>
      <c r="M273" s="532">
        <f t="shared" si="33"/>
        <v>3.3531093460787822E-2</v>
      </c>
      <c r="N273" s="127"/>
      <c r="O273" s="127"/>
    </row>
    <row r="274" spans="1:15" s="6" customFormat="1" ht="15.75">
      <c r="A274" s="275">
        <v>183</v>
      </c>
      <c r="B274" s="122" t="s">
        <v>1226</v>
      </c>
      <c r="C274" s="55">
        <v>313.2</v>
      </c>
      <c r="D274" s="55"/>
      <c r="E274" s="55">
        <v>31</v>
      </c>
      <c r="F274" s="622">
        <f t="shared" si="34"/>
        <v>344.2</v>
      </c>
      <c r="G274" s="290">
        <f t="shared" si="28"/>
        <v>3.0577271706065182E-3</v>
      </c>
      <c r="H274" s="426">
        <f t="shared" si="29"/>
        <v>6.9383804546383692</v>
      </c>
      <c r="I274" s="561">
        <f t="shared" si="30"/>
        <v>2.5512424931705286</v>
      </c>
      <c r="J274" s="148">
        <v>1.3323879499656761</v>
      </c>
      <c r="K274" s="428">
        <f>G274*235.27</f>
        <v>0.71939147142859561</v>
      </c>
      <c r="L274" s="925">
        <f t="shared" si="31"/>
        <v>0.87693820367145814</v>
      </c>
      <c r="M274" s="532">
        <f t="shared" si="33"/>
        <v>3.6849943707545241E-2</v>
      </c>
      <c r="N274" s="127"/>
      <c r="O274" s="127"/>
    </row>
    <row r="275" spans="1:15" s="6" customFormat="1" ht="15.75">
      <c r="A275" s="268">
        <v>184</v>
      </c>
      <c r="B275" s="122" t="s">
        <v>1227</v>
      </c>
      <c r="C275" s="55">
        <v>349.5</v>
      </c>
      <c r="D275" s="55"/>
      <c r="E275" s="55"/>
      <c r="F275" s="622">
        <f t="shared" si="34"/>
        <v>349.5</v>
      </c>
      <c r="G275" s="290">
        <f t="shared" si="28"/>
        <v>3.1048101282015635E-3</v>
      </c>
      <c r="H275" s="426">
        <f t="shared" si="29"/>
        <v>7.045217806206014</v>
      </c>
      <c r="I275" s="561">
        <f t="shared" si="30"/>
        <v>2.5905265873419516</v>
      </c>
      <c r="J275" s="148">
        <v>1.3529040921353974</v>
      </c>
      <c r="K275" s="428">
        <f>G275*235.27</f>
        <v>0.73046867886198186</v>
      </c>
      <c r="L275" s="925">
        <f t="shared" si="31"/>
        <v>0.89044131953275596</v>
      </c>
      <c r="M275" s="532">
        <f t="shared" si="33"/>
        <v>3.3531093460787822E-2</v>
      </c>
      <c r="N275" s="127"/>
      <c r="O275" s="127"/>
    </row>
    <row r="276" spans="1:15" s="6" customFormat="1" ht="15.75">
      <c r="A276" s="268">
        <v>185</v>
      </c>
      <c r="B276" s="122" t="s">
        <v>1228</v>
      </c>
      <c r="C276" s="55">
        <v>350</v>
      </c>
      <c r="D276" s="55">
        <v>24.5</v>
      </c>
      <c r="E276" s="55">
        <v>63.2</v>
      </c>
      <c r="F276" s="622">
        <f t="shared" si="34"/>
        <v>437.7</v>
      </c>
      <c r="G276" s="290">
        <f t="shared" si="28"/>
        <v>3.8883416111983528E-3</v>
      </c>
      <c r="H276" s="426">
        <f t="shared" si="29"/>
        <v>8.8231526002185188</v>
      </c>
      <c r="I276" s="561">
        <f t="shared" si="30"/>
        <v>3.2442732111003494</v>
      </c>
      <c r="J276" s="148">
        <v>1.6943236656013261</v>
      </c>
      <c r="K276" s="428">
        <f>G276*367.79</f>
        <v>1.4300931611826422</v>
      </c>
      <c r="L276" s="925">
        <f t="shared" si="31"/>
        <v>1.743283563481641</v>
      </c>
      <c r="M276" s="532">
        <f t="shared" si="33"/>
        <v>4.340526468029382E-2</v>
      </c>
      <c r="N276" s="127"/>
      <c r="O276" s="127"/>
    </row>
    <row r="277" spans="1:15" s="6" customFormat="1" ht="15.75">
      <c r="A277" s="268">
        <v>186</v>
      </c>
      <c r="B277" s="273" t="s">
        <v>1229</v>
      </c>
      <c r="C277" s="55">
        <v>483.54</v>
      </c>
      <c r="D277" s="55">
        <v>72.2</v>
      </c>
      <c r="E277" s="55"/>
      <c r="F277" s="622">
        <f t="shared" si="34"/>
        <v>555.74</v>
      </c>
      <c r="G277" s="290">
        <f t="shared" si="28"/>
        <v>4.9369590290321511E-3</v>
      </c>
      <c r="H277" s="426">
        <f t="shared" si="29"/>
        <v>11.202601841547725</v>
      </c>
      <c r="I277" s="561">
        <f t="shared" si="30"/>
        <v>4.1191966971370988</v>
      </c>
      <c r="J277" s="148">
        <v>2.1512529904530062</v>
      </c>
      <c r="K277" s="428">
        <f>G277*367.79</f>
        <v>1.8157641612877349</v>
      </c>
      <c r="L277" s="925">
        <f t="shared" si="31"/>
        <v>2.2134165126097489</v>
      </c>
      <c r="M277" s="532">
        <f t="shared" si="33"/>
        <v>3.9890837759907274E-2</v>
      </c>
      <c r="N277" s="127"/>
      <c r="O277" s="127"/>
    </row>
    <row r="278" spans="1:15" s="6" customFormat="1" ht="15.75">
      <c r="A278" s="268">
        <v>187</v>
      </c>
      <c r="B278" s="122" t="s">
        <v>1230</v>
      </c>
      <c r="C278" s="55">
        <v>381.8</v>
      </c>
      <c r="D278" s="55"/>
      <c r="E278" s="55">
        <v>14.8</v>
      </c>
      <c r="F278" s="622">
        <f t="shared" si="34"/>
        <v>396.6</v>
      </c>
      <c r="G278" s="290">
        <f t="shared" si="28"/>
        <v>3.5232266004141346E-3</v>
      </c>
      <c r="H278" s="426">
        <f t="shared" si="29"/>
        <v>7.9946591757977252</v>
      </c>
      <c r="I278" s="561">
        <f t="shared" si="30"/>
        <v>2.9396361789408236</v>
      </c>
      <c r="J278" s="148">
        <v>1.5352267895304681</v>
      </c>
      <c r="K278" s="428">
        <f>G278*367.79</f>
        <v>1.2958075113663146</v>
      </c>
      <c r="L278" s="925">
        <f t="shared" si="31"/>
        <v>1.5795893563555377</v>
      </c>
      <c r="M278" s="532">
        <f t="shared" si="33"/>
        <v>3.6053770706221407E-2</v>
      </c>
      <c r="N278" s="127"/>
      <c r="O278" s="127"/>
    </row>
    <row r="279" spans="1:15" s="6" customFormat="1" ht="15.75">
      <c r="A279" s="268">
        <v>188</v>
      </c>
      <c r="B279" s="122" t="s">
        <v>1231</v>
      </c>
      <c r="C279" s="55">
        <v>1654.3</v>
      </c>
      <c r="D279" s="55">
        <v>62.7</v>
      </c>
      <c r="E279" s="55">
        <v>61.9</v>
      </c>
      <c r="F279" s="622">
        <f t="shared" si="34"/>
        <v>1778.9</v>
      </c>
      <c r="G279" s="290">
        <f t="shared" si="28"/>
        <v>1.5802994955816198E-2</v>
      </c>
      <c r="H279" s="426">
        <f t="shared" si="29"/>
        <v>35.859049944091211</v>
      </c>
      <c r="I279" s="561">
        <f t="shared" si="30"/>
        <v>13.185372664442339</v>
      </c>
      <c r="J279" s="148">
        <v>6.8860689256070344</v>
      </c>
      <c r="K279" s="428">
        <f>G279*235.27</f>
        <v>3.7179706232548768</v>
      </c>
      <c r="L279" s="925">
        <f t="shared" si="31"/>
        <v>4.5322061897476953</v>
      </c>
      <c r="M279" s="532">
        <f t="shared" si="33"/>
        <v>3.6056617395511976E-2</v>
      </c>
      <c r="N279" s="127"/>
      <c r="O279" s="127"/>
    </row>
    <row r="280" spans="1:15" s="6" customFormat="1" ht="15.75">
      <c r="A280" s="268">
        <v>189</v>
      </c>
      <c r="B280" s="122" t="s">
        <v>1232</v>
      </c>
      <c r="C280" s="55">
        <v>709.28</v>
      </c>
      <c r="D280" s="55"/>
      <c r="E280" s="55">
        <v>22.5</v>
      </c>
      <c r="F280" s="622">
        <f t="shared" si="34"/>
        <v>731.78</v>
      </c>
      <c r="G280" s="290">
        <f t="shared" si="28"/>
        <v>6.5008239073400288E-3</v>
      </c>
      <c r="H280" s="426">
        <f t="shared" si="29"/>
        <v>14.75121455286248</v>
      </c>
      <c r="I280" s="561">
        <f t="shared" si="30"/>
        <v>5.4240215910875342</v>
      </c>
      <c r="J280" s="148">
        <v>2.8326985881054108</v>
      </c>
      <c r="K280" s="428">
        <f>G280*235.27</f>
        <v>1.5294488406798887</v>
      </c>
      <c r="L280" s="925">
        <f t="shared" si="31"/>
        <v>1.8643981367887845</v>
      </c>
      <c r="M280" s="532">
        <f t="shared" si="33"/>
        <v>3.4594777200450198E-2</v>
      </c>
      <c r="N280" s="127"/>
      <c r="O280" s="127"/>
    </row>
    <row r="281" spans="1:15" s="6" customFormat="1" ht="15.75">
      <c r="A281" s="275">
        <v>190</v>
      </c>
      <c r="B281" s="122" t="s">
        <v>1233</v>
      </c>
      <c r="C281" s="55">
        <v>185.4</v>
      </c>
      <c r="D281" s="55"/>
      <c r="E281" s="55"/>
      <c r="F281" s="622">
        <f t="shared" si="34"/>
        <v>185.4</v>
      </c>
      <c r="G281" s="290">
        <f t="shared" si="28"/>
        <v>1.6470151581361083E-3</v>
      </c>
      <c r="H281" s="426">
        <f t="shared" si="29"/>
        <v>3.7372915057813878</v>
      </c>
      <c r="I281" s="561">
        <f t="shared" si="30"/>
        <v>1.3742020866758164</v>
      </c>
      <c r="J281" s="148">
        <v>0.71767787891817647</v>
      </c>
      <c r="K281" s="428">
        <f>G281*235.27</f>
        <v>0.38749325625468223</v>
      </c>
      <c r="L281" s="925">
        <f t="shared" si="31"/>
        <v>0.47235427937445768</v>
      </c>
      <c r="M281" s="532">
        <f t="shared" si="33"/>
        <v>3.3531093460787822E-2</v>
      </c>
      <c r="N281" s="127"/>
      <c r="O281" s="127"/>
    </row>
    <row r="282" spans="1:15" s="6" customFormat="1" ht="15.75">
      <c r="A282" s="268">
        <v>191</v>
      </c>
      <c r="B282" s="122" t="s">
        <v>1234</v>
      </c>
      <c r="C282" s="55">
        <v>478.6</v>
      </c>
      <c r="D282" s="55"/>
      <c r="E282" s="55"/>
      <c r="F282" s="622">
        <f t="shared" si="34"/>
        <v>478.6</v>
      </c>
      <c r="G282" s="290">
        <f t="shared" si="28"/>
        <v>4.2516799066016258E-3</v>
      </c>
      <c r="H282" s="426">
        <f t="shared" si="29"/>
        <v>9.6476144264669479</v>
      </c>
      <c r="I282" s="561">
        <f t="shared" si="30"/>
        <v>3.5474278246118969</v>
      </c>
      <c r="J282" s="148">
        <v>1.8526463476280435</v>
      </c>
      <c r="K282" s="428">
        <f>G282*367.79</f>
        <v>1.563725352849012</v>
      </c>
      <c r="L282" s="925">
        <f t="shared" si="31"/>
        <v>1.9061812051229459</v>
      </c>
      <c r="M282" s="532">
        <f t="shared" si="33"/>
        <v>3.4708345072202045E-2</v>
      </c>
      <c r="N282" s="127"/>
      <c r="O282" s="127"/>
    </row>
    <row r="283" spans="1:15" s="6" customFormat="1" ht="15.75">
      <c r="A283" s="268">
        <v>192</v>
      </c>
      <c r="B283" s="122" t="s">
        <v>1235</v>
      </c>
      <c r="C283" s="55">
        <v>496.38</v>
      </c>
      <c r="D283" s="55"/>
      <c r="E283" s="55"/>
      <c r="F283" s="622">
        <f t="shared" si="34"/>
        <v>496.38</v>
      </c>
      <c r="G283" s="290">
        <f t="shared" si="28"/>
        <v>4.4096299039676455E-3</v>
      </c>
      <c r="H283" s="426">
        <f t="shared" si="29"/>
        <v>10.006023503990104</v>
      </c>
      <c r="I283" s="561">
        <f t="shared" si="30"/>
        <v>3.6792148424171613</v>
      </c>
      <c r="J283" s="148">
        <v>1.9214721981521277</v>
      </c>
      <c r="K283" s="428">
        <f>G283*367.79</f>
        <v>1.6218177823802604</v>
      </c>
      <c r="L283" s="925">
        <f t="shared" si="31"/>
        <v>1.9769958767215376</v>
      </c>
      <c r="M283" s="532">
        <f t="shared" si="33"/>
        <v>3.4708345072202051E-2</v>
      </c>
      <c r="N283" s="127"/>
      <c r="O283" s="127"/>
    </row>
    <row r="284" spans="1:15" s="6" customFormat="1" ht="15.75">
      <c r="A284" s="268">
        <v>193</v>
      </c>
      <c r="B284" s="122" t="s">
        <v>1236</v>
      </c>
      <c r="C284" s="55">
        <v>182.3</v>
      </c>
      <c r="D284" s="55"/>
      <c r="E284" s="55">
        <v>78.5</v>
      </c>
      <c r="F284" s="622">
        <f t="shared" si="34"/>
        <v>260.8</v>
      </c>
      <c r="G284" s="290">
        <f t="shared" ref="G284:G347" si="35">1/112567.27*F284</f>
        <v>2.3168368567524113E-3</v>
      </c>
      <c r="H284" s="426">
        <f t="shared" ref="H284:H347" si="36">G284*2269.13</f>
        <v>5.2572040167625991</v>
      </c>
      <c r="I284" s="561">
        <f t="shared" ref="I284:I347" si="37">H284*0.3677</f>
        <v>1.9330739169636078</v>
      </c>
      <c r="J284" s="148">
        <v>1.0095490335591177</v>
      </c>
      <c r="K284" s="428">
        <f>G284*235.27</f>
        <v>0.54508220728813983</v>
      </c>
      <c r="L284" s="925">
        <f t="shared" si="31"/>
        <v>0.66445521068424251</v>
      </c>
      <c r="M284" s="532">
        <f t="shared" si="33"/>
        <v>4.7969880277418893E-2</v>
      </c>
      <c r="N284" s="127"/>
      <c r="O284" s="127"/>
    </row>
    <row r="285" spans="1:15" s="6" customFormat="1" ht="15.75">
      <c r="A285" s="268">
        <v>194</v>
      </c>
      <c r="B285" s="122" t="s">
        <v>1237</v>
      </c>
      <c r="C285" s="55">
        <v>282.8</v>
      </c>
      <c r="D285" s="55"/>
      <c r="E285" s="55"/>
      <c r="F285" s="622">
        <f t="shared" si="34"/>
        <v>282.8</v>
      </c>
      <c r="G285" s="290">
        <f t="shared" si="35"/>
        <v>2.5122755486563725E-3</v>
      </c>
      <c r="H285" s="426">
        <f t="shared" si="36"/>
        <v>5.7006798157226353</v>
      </c>
      <c r="I285" s="561">
        <f t="shared" si="37"/>
        <v>2.096139968241213</v>
      </c>
      <c r="J285" s="148">
        <v>1.0947103784145649</v>
      </c>
      <c r="K285" s="428">
        <f>G285*235.27</f>
        <v>0.59106306833238476</v>
      </c>
      <c r="L285" s="925">
        <f t="shared" ref="L285:L348" si="38">K285*1.219</f>
        <v>0.7205058802971771</v>
      </c>
      <c r="M285" s="532">
        <f t="shared" si="33"/>
        <v>3.3531093460787829E-2</v>
      </c>
      <c r="N285" s="127"/>
      <c r="O285" s="127"/>
    </row>
    <row r="286" spans="1:15" s="6" customFormat="1" ht="15.75">
      <c r="A286" s="268">
        <v>195</v>
      </c>
      <c r="B286" s="122" t="s">
        <v>1238</v>
      </c>
      <c r="C286" s="55">
        <v>227.3</v>
      </c>
      <c r="D286" s="55"/>
      <c r="E286" s="55"/>
      <c r="F286" s="622">
        <f t="shared" si="34"/>
        <v>227.3</v>
      </c>
      <c r="G286" s="290">
        <f t="shared" si="35"/>
        <v>2.019237030444107E-3</v>
      </c>
      <c r="H286" s="426">
        <f t="shared" si="36"/>
        <v>4.5819113228916368</v>
      </c>
      <c r="I286" s="561">
        <f t="shared" si="37"/>
        <v>1.6847687934272551</v>
      </c>
      <c r="J286" s="148">
        <v>0.87987153116559613</v>
      </c>
      <c r="K286" s="428">
        <f>G286*235.27</f>
        <v>0.4750658961525851</v>
      </c>
      <c r="L286" s="925">
        <f t="shared" si="38"/>
        <v>0.57910532741000131</v>
      </c>
      <c r="M286" s="532">
        <f t="shared" si="33"/>
        <v>3.3531093460787829E-2</v>
      </c>
      <c r="N286" s="127"/>
      <c r="O286" s="127"/>
    </row>
    <row r="287" spans="1:15" s="6" customFormat="1" ht="15.75">
      <c r="A287" s="268">
        <v>196</v>
      </c>
      <c r="B287" s="122" t="s">
        <v>1239</v>
      </c>
      <c r="C287" s="55">
        <v>7849.73</v>
      </c>
      <c r="D287" s="55"/>
      <c r="E287" s="55"/>
      <c r="F287" s="622">
        <f t="shared" si="34"/>
        <v>7849.73</v>
      </c>
      <c r="G287" s="290">
        <f t="shared" si="35"/>
        <v>6.9733680136330925E-2</v>
      </c>
      <c r="H287" s="426">
        <f t="shared" si="36"/>
        <v>158.2347856077526</v>
      </c>
      <c r="I287" s="561">
        <f t="shared" si="37"/>
        <v>58.182930667970638</v>
      </c>
      <c r="J287" s="148">
        <v>30.386071070552195</v>
      </c>
      <c r="K287" s="428">
        <f>G287*235.27</f>
        <v>16.406242925674576</v>
      </c>
      <c r="L287" s="925">
        <f t="shared" si="38"/>
        <v>19.999210126397308</v>
      </c>
      <c r="M287" s="532">
        <f t="shared" si="33"/>
        <v>3.3531093460787829E-2</v>
      </c>
      <c r="N287" s="127"/>
      <c r="O287" s="127"/>
    </row>
    <row r="288" spans="1:15" s="6" customFormat="1" ht="15.75">
      <c r="A288" s="275">
        <v>197</v>
      </c>
      <c r="B288" s="122" t="s">
        <v>1240</v>
      </c>
      <c r="C288" s="55">
        <v>388.5</v>
      </c>
      <c r="D288" s="55">
        <v>24.1</v>
      </c>
      <c r="E288" s="55">
        <v>41.6</v>
      </c>
      <c r="F288" s="622">
        <f t="shared" si="34"/>
        <v>454.20000000000005</v>
      </c>
      <c r="G288" s="290">
        <f t="shared" si="35"/>
        <v>4.0349206301263244E-3</v>
      </c>
      <c r="H288" s="426">
        <f t="shared" si="36"/>
        <v>9.1557594494385466</v>
      </c>
      <c r="I288" s="561">
        <f t="shared" si="37"/>
        <v>3.366572749558554</v>
      </c>
      <c r="J288" s="148">
        <v>1.7581946742429113</v>
      </c>
      <c r="K288" s="428">
        <f>G288*235.27</f>
        <v>0.94929577664982034</v>
      </c>
      <c r="L288" s="925">
        <f t="shared" si="38"/>
        <v>1.1571915517361311</v>
      </c>
      <c r="M288" s="532">
        <f t="shared" si="33"/>
        <v>3.9201602702419132E-2</v>
      </c>
      <c r="N288" s="127"/>
      <c r="O288" s="127"/>
    </row>
    <row r="289" spans="1:15" s="6" customFormat="1" ht="15.75">
      <c r="A289" s="268">
        <v>198</v>
      </c>
      <c r="B289" s="122" t="s">
        <v>1241</v>
      </c>
      <c r="C289" s="55">
        <v>380</v>
      </c>
      <c r="D289" s="55">
        <v>28.6</v>
      </c>
      <c r="E289" s="55">
        <v>85.3</v>
      </c>
      <c r="F289" s="622">
        <f t="shared" si="34"/>
        <v>493.90000000000003</v>
      </c>
      <c r="G289" s="290">
        <f t="shared" si="35"/>
        <v>4.3875986332439264E-3</v>
      </c>
      <c r="H289" s="426">
        <f t="shared" si="36"/>
        <v>9.9560316866527909</v>
      </c>
      <c r="I289" s="561">
        <f t="shared" si="37"/>
        <v>3.6608328511822315</v>
      </c>
      <c r="J289" s="148">
        <v>1.9118721920047865</v>
      </c>
      <c r="K289" s="428">
        <f t="shared" ref="K289:K304" si="39">G289*367.79</f>
        <v>1.6137149013207839</v>
      </c>
      <c r="L289" s="925">
        <f t="shared" si="38"/>
        <v>1.9671184647100357</v>
      </c>
      <c r="M289" s="532">
        <f t="shared" si="33"/>
        <v>4.5111714818843664E-2</v>
      </c>
      <c r="N289" s="127"/>
      <c r="O289" s="127"/>
    </row>
    <row r="290" spans="1:15" s="6" customFormat="1" ht="15.75">
      <c r="A290" s="268">
        <v>199</v>
      </c>
      <c r="B290" s="122" t="s">
        <v>1242</v>
      </c>
      <c r="C290" s="55">
        <v>580.32000000000005</v>
      </c>
      <c r="D290" s="55"/>
      <c r="E290" s="55">
        <v>118.5</v>
      </c>
      <c r="F290" s="622">
        <f t="shared" si="34"/>
        <v>698.82</v>
      </c>
      <c r="G290" s="290">
        <f t="shared" si="35"/>
        <v>6.2080212125602769E-3</v>
      </c>
      <c r="H290" s="426">
        <f t="shared" si="36"/>
        <v>14.086807174056903</v>
      </c>
      <c r="I290" s="561">
        <f t="shared" si="37"/>
        <v>5.1797189979007232</v>
      </c>
      <c r="J290" s="148">
        <v>2.7051114096310687</v>
      </c>
      <c r="K290" s="428">
        <f t="shared" si="39"/>
        <v>2.2832481217675444</v>
      </c>
      <c r="L290" s="925">
        <f t="shared" si="38"/>
        <v>2.7832794604346369</v>
      </c>
      <c r="M290" s="532">
        <f t="shared" si="33"/>
        <v>4.1795708752681682E-2</v>
      </c>
      <c r="N290" s="127"/>
      <c r="O290" s="127"/>
    </row>
    <row r="291" spans="1:15" s="6" customFormat="1" ht="15.75">
      <c r="A291" s="268">
        <v>200</v>
      </c>
      <c r="B291" s="122" t="s">
        <v>1243</v>
      </c>
      <c r="C291" s="55">
        <v>478.62</v>
      </c>
      <c r="D291" s="55">
        <v>27.8</v>
      </c>
      <c r="E291" s="55">
        <v>53.1</v>
      </c>
      <c r="F291" s="622">
        <f t="shared" si="34"/>
        <v>559.52</v>
      </c>
      <c r="G291" s="290">
        <f t="shared" si="35"/>
        <v>4.9705389497320136E-3</v>
      </c>
      <c r="H291" s="426">
        <f t="shared" si="36"/>
        <v>11.278799047005405</v>
      </c>
      <c r="I291" s="561">
        <f t="shared" si="37"/>
        <v>4.1472144095838877</v>
      </c>
      <c r="J291" s="148">
        <v>2.1658852578872607</v>
      </c>
      <c r="K291" s="428">
        <f t="shared" si="39"/>
        <v>1.8281145203219373</v>
      </c>
      <c r="L291" s="925">
        <f t="shared" si="38"/>
        <v>2.2284716002724418</v>
      </c>
      <c r="M291" s="532">
        <f t="shared" si="33"/>
        <v>4.057501407128513E-2</v>
      </c>
      <c r="N291" s="127"/>
      <c r="O291" s="127"/>
    </row>
    <row r="292" spans="1:15" s="6" customFormat="1" ht="15.75">
      <c r="A292" s="268">
        <v>201</v>
      </c>
      <c r="B292" s="122" t="s">
        <v>1244</v>
      </c>
      <c r="C292" s="55">
        <v>781.2</v>
      </c>
      <c r="D292" s="55">
        <v>176.8</v>
      </c>
      <c r="E292" s="55"/>
      <c r="F292" s="622">
        <f t="shared" si="34"/>
        <v>958</v>
      </c>
      <c r="G292" s="290">
        <f t="shared" si="35"/>
        <v>8.5104666747270324E-3</v>
      </c>
      <c r="H292" s="426">
        <f t="shared" si="36"/>
        <v>19.311355245623353</v>
      </c>
      <c r="I292" s="561">
        <f t="shared" si="37"/>
        <v>7.1007853238157077</v>
      </c>
      <c r="J292" s="148">
        <v>3.7083894714326489</v>
      </c>
      <c r="K292" s="428">
        <f>G292*301.5</f>
        <v>2.5659057024302001</v>
      </c>
      <c r="L292" s="925">
        <f t="shared" si="38"/>
        <v>3.1278390512624141</v>
      </c>
      <c r="M292" s="532">
        <f t="shared" si="33"/>
        <v>4.1841315595624567E-2</v>
      </c>
      <c r="N292" s="127"/>
      <c r="O292" s="127"/>
    </row>
    <row r="293" spans="1:15" s="6" customFormat="1" ht="15.75">
      <c r="A293" s="268">
        <v>202</v>
      </c>
      <c r="B293" s="122" t="s">
        <v>1245</v>
      </c>
      <c r="C293" s="55">
        <v>676.2</v>
      </c>
      <c r="D293" s="55">
        <v>23.8</v>
      </c>
      <c r="E293" s="55"/>
      <c r="F293" s="622">
        <f t="shared" si="34"/>
        <v>700</v>
      </c>
      <c r="G293" s="290">
        <f t="shared" si="35"/>
        <v>6.2185038333078526E-3</v>
      </c>
      <c r="H293" s="426">
        <f t="shared" si="36"/>
        <v>14.110593603273848</v>
      </c>
      <c r="I293" s="561">
        <f t="shared" si="37"/>
        <v>5.1884652679237941</v>
      </c>
      <c r="J293" s="148">
        <v>2.7096791544914973</v>
      </c>
      <c r="K293" s="428">
        <f t="shared" si="39"/>
        <v>2.2871035248522951</v>
      </c>
      <c r="L293" s="925">
        <f t="shared" si="38"/>
        <v>2.7879791967949479</v>
      </c>
      <c r="M293" s="532">
        <f t="shared" si="33"/>
        <v>3.5929963842859264E-2</v>
      </c>
      <c r="N293" s="127"/>
      <c r="O293" s="127"/>
    </row>
    <row r="294" spans="1:15" s="6" customFormat="1" ht="15.75">
      <c r="A294" s="268">
        <v>203</v>
      </c>
      <c r="B294" s="122" t="s">
        <v>1246</v>
      </c>
      <c r="C294" s="55">
        <v>209.86</v>
      </c>
      <c r="D294" s="55"/>
      <c r="E294" s="55"/>
      <c r="F294" s="622">
        <f t="shared" si="34"/>
        <v>209.86</v>
      </c>
      <c r="G294" s="290">
        <f t="shared" si="35"/>
        <v>1.8643074492256941E-3</v>
      </c>
      <c r="H294" s="426">
        <f t="shared" si="36"/>
        <v>4.2303559622614992</v>
      </c>
      <c r="I294" s="561">
        <f t="shared" si="37"/>
        <v>1.5555018873235533</v>
      </c>
      <c r="J294" s="148">
        <v>0.81236181051655088</v>
      </c>
      <c r="K294" s="428">
        <f t="shared" si="39"/>
        <v>0.68567363675071813</v>
      </c>
      <c r="L294" s="925">
        <f t="shared" si="38"/>
        <v>0.83583616319912546</v>
      </c>
      <c r="M294" s="532">
        <f t="shared" si="33"/>
        <v>3.4708345072202045E-2</v>
      </c>
      <c r="N294" s="127"/>
      <c r="O294" s="127"/>
    </row>
    <row r="295" spans="1:15" s="6" customFormat="1" ht="15.75">
      <c r="A295" s="275">
        <v>204</v>
      </c>
      <c r="B295" s="122" t="s">
        <v>1247</v>
      </c>
      <c r="C295" s="55">
        <v>577.53</v>
      </c>
      <c r="D295" s="55"/>
      <c r="E295" s="55"/>
      <c r="F295" s="622">
        <f t="shared" si="34"/>
        <v>577.53</v>
      </c>
      <c r="G295" s="290">
        <f t="shared" si="35"/>
        <v>5.1305321697861193E-3</v>
      </c>
      <c r="H295" s="426">
        <f t="shared" si="36"/>
        <v>11.641844462426777</v>
      </c>
      <c r="I295" s="561">
        <f t="shared" si="37"/>
        <v>4.2807062088343262</v>
      </c>
      <c r="J295" s="148">
        <v>2.235601431562106</v>
      </c>
      <c r="K295" s="428">
        <f t="shared" si="39"/>
        <v>1.886958426725637</v>
      </c>
      <c r="L295" s="925">
        <f t="shared" si="38"/>
        <v>2.3002023221785515</v>
      </c>
      <c r="M295" s="532">
        <f t="shared" si="33"/>
        <v>3.4708345072202038E-2</v>
      </c>
      <c r="N295" s="127"/>
      <c r="O295" s="127"/>
    </row>
    <row r="296" spans="1:15" s="6" customFormat="1" ht="15.75">
      <c r="A296" s="268">
        <v>205</v>
      </c>
      <c r="B296" s="122" t="s">
        <v>1248</v>
      </c>
      <c r="C296" s="55">
        <v>265.16000000000003</v>
      </c>
      <c r="D296" s="55"/>
      <c r="E296" s="55"/>
      <c r="F296" s="622">
        <f t="shared" si="34"/>
        <v>265.16000000000003</v>
      </c>
      <c r="G296" s="290">
        <f t="shared" si="35"/>
        <v>2.3555692520570146E-3</v>
      </c>
      <c r="H296" s="426">
        <f t="shared" si="36"/>
        <v>5.3450928569201341</v>
      </c>
      <c r="I296" s="561">
        <f t="shared" si="37"/>
        <v>1.9653906434895334</v>
      </c>
      <c r="J296" s="148">
        <v>1.0264264637213791</v>
      </c>
      <c r="K296" s="428">
        <f t="shared" si="39"/>
        <v>0.86635481521404945</v>
      </c>
      <c r="L296" s="925">
        <f t="shared" si="38"/>
        <v>1.0560865197459264</v>
      </c>
      <c r="M296" s="532">
        <f t="shared" si="33"/>
        <v>3.4708345072202045E-2</v>
      </c>
      <c r="N296" s="127"/>
      <c r="O296" s="127"/>
    </row>
    <row r="297" spans="1:15" s="6" customFormat="1" ht="15.75">
      <c r="A297" s="268">
        <v>206</v>
      </c>
      <c r="B297" s="122" t="s">
        <v>1249</v>
      </c>
      <c r="C297" s="55">
        <v>134.88</v>
      </c>
      <c r="D297" s="55"/>
      <c r="E297" s="55"/>
      <c r="F297" s="622">
        <f t="shared" si="34"/>
        <v>134.88</v>
      </c>
      <c r="G297" s="290">
        <f t="shared" si="35"/>
        <v>1.1982168529093759E-3</v>
      </c>
      <c r="H297" s="426">
        <f t="shared" si="36"/>
        <v>2.7189098074422522</v>
      </c>
      <c r="I297" s="561">
        <f t="shared" si="37"/>
        <v>0.99974313619651622</v>
      </c>
      <c r="J297" s="148">
        <v>0.52211646336830442</v>
      </c>
      <c r="K297" s="428">
        <f t="shared" si="39"/>
        <v>0.4406921763315394</v>
      </c>
      <c r="L297" s="925">
        <f t="shared" si="38"/>
        <v>0.53720376294814653</v>
      </c>
      <c r="M297" s="532">
        <f t="shared" si="33"/>
        <v>3.4708345072202045E-2</v>
      </c>
      <c r="N297" s="127"/>
      <c r="O297" s="127"/>
    </row>
    <row r="298" spans="1:15" s="6" customFormat="1" ht="15.75">
      <c r="A298" s="268">
        <v>207</v>
      </c>
      <c r="B298" s="122" t="s">
        <v>1250</v>
      </c>
      <c r="C298" s="55">
        <v>383.74</v>
      </c>
      <c r="D298" s="55"/>
      <c r="E298" s="55">
        <v>43.6</v>
      </c>
      <c r="F298" s="622">
        <f t="shared" si="34"/>
        <v>427.34000000000003</v>
      </c>
      <c r="G298" s="290">
        <f t="shared" si="35"/>
        <v>3.7963077544653969E-3</v>
      </c>
      <c r="H298" s="426">
        <f t="shared" si="36"/>
        <v>8.614315814890066</v>
      </c>
      <c r="I298" s="561">
        <f t="shared" si="37"/>
        <v>3.1674839251350777</v>
      </c>
      <c r="J298" s="148">
        <v>1.654220414114852</v>
      </c>
      <c r="K298" s="428">
        <f t="shared" si="39"/>
        <v>1.3962440290148284</v>
      </c>
      <c r="L298" s="925">
        <f t="shared" si="38"/>
        <v>1.7020214713690758</v>
      </c>
      <c r="M298" s="532">
        <f t="shared" si="33"/>
        <v>3.8651858506162567E-2</v>
      </c>
      <c r="N298" s="127"/>
      <c r="O298" s="127"/>
    </row>
    <row r="299" spans="1:15" s="6" customFormat="1" ht="15.75">
      <c r="A299" s="268">
        <v>208</v>
      </c>
      <c r="B299" s="122" t="s">
        <v>1251</v>
      </c>
      <c r="C299" s="55">
        <v>569.4</v>
      </c>
      <c r="D299" s="55"/>
      <c r="E299" s="55">
        <v>33.6</v>
      </c>
      <c r="F299" s="622">
        <f t="shared" si="34"/>
        <v>603</v>
      </c>
      <c r="G299" s="290">
        <f t="shared" si="35"/>
        <v>5.356796873549478E-3</v>
      </c>
      <c r="H299" s="426">
        <f t="shared" si="36"/>
        <v>12.155268489677328</v>
      </c>
      <c r="I299" s="561">
        <f t="shared" si="37"/>
        <v>4.4694922236543535</v>
      </c>
      <c r="J299" s="148">
        <v>2.3341950430833895</v>
      </c>
      <c r="K299" s="428">
        <f t="shared" si="39"/>
        <v>1.9701763221227626</v>
      </c>
      <c r="L299" s="925">
        <f t="shared" si="38"/>
        <v>2.401644936667648</v>
      </c>
      <c r="M299" s="532">
        <f t="shared" si="33"/>
        <v>3.6756466593849374E-2</v>
      </c>
      <c r="N299" s="127"/>
      <c r="O299" s="127"/>
    </row>
    <row r="300" spans="1:15" s="6" customFormat="1" ht="15.75">
      <c r="A300" s="268">
        <v>209</v>
      </c>
      <c r="B300" s="122" t="s">
        <v>1252</v>
      </c>
      <c r="C300" s="55">
        <v>340.6</v>
      </c>
      <c r="D300" s="55">
        <v>35.1</v>
      </c>
      <c r="E300" s="55"/>
      <c r="F300" s="622">
        <f t="shared" si="34"/>
        <v>375.70000000000005</v>
      </c>
      <c r="G300" s="290">
        <f t="shared" si="35"/>
        <v>3.3375598431053719E-3</v>
      </c>
      <c r="H300" s="426">
        <f t="shared" si="36"/>
        <v>7.5733571667856925</v>
      </c>
      <c r="I300" s="561">
        <f t="shared" si="37"/>
        <v>2.7847234302270993</v>
      </c>
      <c r="J300" s="148">
        <v>1.4543235119177935</v>
      </c>
      <c r="K300" s="428">
        <f t="shared" si="39"/>
        <v>1.2275211346957249</v>
      </c>
      <c r="L300" s="925">
        <f t="shared" si="38"/>
        <v>1.4963482631940888</v>
      </c>
      <c r="M300" s="532">
        <f t="shared" si="33"/>
        <v>3.8285159259032031E-2</v>
      </c>
      <c r="N300" s="127"/>
      <c r="O300" s="127"/>
    </row>
    <row r="301" spans="1:15" s="6" customFormat="1" ht="15.75">
      <c r="A301" s="268">
        <v>210</v>
      </c>
      <c r="B301" s="122" t="s">
        <v>1253</v>
      </c>
      <c r="C301" s="55">
        <v>587.91999999999996</v>
      </c>
      <c r="D301" s="55"/>
      <c r="E301" s="55">
        <v>19.7</v>
      </c>
      <c r="F301" s="622">
        <f t="shared" si="34"/>
        <v>607.62</v>
      </c>
      <c r="G301" s="290">
        <f t="shared" si="35"/>
        <v>5.39783899884931E-3</v>
      </c>
      <c r="H301" s="426">
        <f t="shared" si="36"/>
        <v>12.248398407458936</v>
      </c>
      <c r="I301" s="561">
        <f t="shared" si="37"/>
        <v>4.503736094422651</v>
      </c>
      <c r="J301" s="148">
        <v>2.3520789255030334</v>
      </c>
      <c r="K301" s="428">
        <f t="shared" si="39"/>
        <v>1.9852712053867878</v>
      </c>
      <c r="L301" s="925">
        <f t="shared" si="38"/>
        <v>2.4200455993664947</v>
      </c>
      <c r="M301" s="532">
        <f t="shared" si="33"/>
        <v>3.5871350919804416E-2</v>
      </c>
      <c r="N301" s="127"/>
      <c r="O301" s="127"/>
    </row>
    <row r="302" spans="1:15" s="6" customFormat="1" ht="15.75">
      <c r="A302" s="275">
        <v>211</v>
      </c>
      <c r="B302" s="122" t="s">
        <v>1254</v>
      </c>
      <c r="C302" s="55">
        <v>368.22</v>
      </c>
      <c r="D302" s="55"/>
      <c r="E302" s="55">
        <v>32.1</v>
      </c>
      <c r="F302" s="622">
        <f t="shared" si="34"/>
        <v>400.32000000000005</v>
      </c>
      <c r="G302" s="290">
        <f t="shared" si="35"/>
        <v>3.5562735064997137E-3</v>
      </c>
      <c r="H302" s="426">
        <f t="shared" si="36"/>
        <v>8.0696469018036954</v>
      </c>
      <c r="I302" s="561">
        <f t="shared" si="37"/>
        <v>2.9672091657932191</v>
      </c>
      <c r="J302" s="148">
        <v>1.5496267987514805</v>
      </c>
      <c r="K302" s="428">
        <f t="shared" si="39"/>
        <v>1.3079618329555298</v>
      </c>
      <c r="L302" s="925">
        <f t="shared" si="38"/>
        <v>1.5944054743727909</v>
      </c>
      <c r="M302" s="532">
        <f t="shared" si="33"/>
        <v>3.7734084784378695E-2</v>
      </c>
      <c r="N302" s="127"/>
      <c r="O302" s="127"/>
    </row>
    <row r="303" spans="1:15" s="6" customFormat="1" ht="15.75">
      <c r="A303" s="268">
        <v>212</v>
      </c>
      <c r="B303" s="122" t="s">
        <v>1255</v>
      </c>
      <c r="C303" s="55">
        <v>267.72000000000003</v>
      </c>
      <c r="D303" s="55"/>
      <c r="E303" s="55">
        <v>43.8</v>
      </c>
      <c r="F303" s="622">
        <f t="shared" si="34"/>
        <v>311.52000000000004</v>
      </c>
      <c r="G303" s="290">
        <f t="shared" si="35"/>
        <v>2.7674118773600891E-3</v>
      </c>
      <c r="H303" s="426">
        <f t="shared" si="36"/>
        <v>6.2796173132740991</v>
      </c>
      <c r="I303" s="561">
        <f t="shared" si="37"/>
        <v>2.3090152860908866</v>
      </c>
      <c r="J303" s="148">
        <v>1.2058846431531303</v>
      </c>
      <c r="K303" s="428">
        <f t="shared" si="39"/>
        <v>1.0178264143742672</v>
      </c>
      <c r="L303" s="925">
        <f t="shared" si="38"/>
        <v>1.2407303991222318</v>
      </c>
      <c r="M303" s="532">
        <f t="shared" si="33"/>
        <v>4.0386761007367336E-2</v>
      </c>
      <c r="N303" s="127"/>
      <c r="O303" s="127"/>
    </row>
    <row r="304" spans="1:15" s="6" customFormat="1" ht="15.75">
      <c r="A304" s="268">
        <v>213</v>
      </c>
      <c r="B304" s="122" t="s">
        <v>1256</v>
      </c>
      <c r="C304" s="55">
        <v>410.1</v>
      </c>
      <c r="D304" s="55">
        <v>41.6</v>
      </c>
      <c r="E304" s="55"/>
      <c r="F304" s="622">
        <f t="shared" si="34"/>
        <v>451.70000000000005</v>
      </c>
      <c r="G304" s="290">
        <f t="shared" si="35"/>
        <v>4.0127116878645105E-3</v>
      </c>
      <c r="H304" s="426">
        <f t="shared" si="36"/>
        <v>9.1053644722839966</v>
      </c>
      <c r="I304" s="561">
        <f t="shared" si="37"/>
        <v>3.3480425164588259</v>
      </c>
      <c r="J304" s="148">
        <v>1.7485172486911562</v>
      </c>
      <c r="K304" s="428">
        <f t="shared" si="39"/>
        <v>1.4758352316796883</v>
      </c>
      <c r="L304" s="925">
        <f t="shared" si="38"/>
        <v>1.7990431474175401</v>
      </c>
      <c r="M304" s="532">
        <f t="shared" si="33"/>
        <v>3.82291135555076E-2</v>
      </c>
      <c r="N304" s="127"/>
      <c r="O304" s="127"/>
    </row>
    <row r="305" spans="1:15" s="6" customFormat="1" ht="15.75">
      <c r="A305" s="268">
        <v>214</v>
      </c>
      <c r="B305" s="122" t="s">
        <v>1257</v>
      </c>
      <c r="C305" s="55">
        <v>468.6</v>
      </c>
      <c r="D305" s="55">
        <v>32.299999999999997</v>
      </c>
      <c r="E305" s="55">
        <v>28.8</v>
      </c>
      <c r="F305" s="622">
        <f t="shared" si="34"/>
        <v>529.70000000000005</v>
      </c>
      <c r="G305" s="290">
        <f t="shared" si="35"/>
        <v>4.7056306864330993E-3</v>
      </c>
      <c r="H305" s="426">
        <f t="shared" si="36"/>
        <v>10.67768775950594</v>
      </c>
      <c r="I305" s="561">
        <f t="shared" si="37"/>
        <v>3.9261857891703342</v>
      </c>
      <c r="J305" s="148">
        <v>2.050452925905923</v>
      </c>
      <c r="K305" s="428">
        <f>G305*235.27</f>
        <v>1.1070937315971152</v>
      </c>
      <c r="L305" s="925">
        <f t="shared" si="38"/>
        <v>1.3495472588168835</v>
      </c>
      <c r="M305" s="532">
        <f t="shared" si="33"/>
        <v>3.7903158783993411E-2</v>
      </c>
      <c r="N305" s="127"/>
      <c r="O305" s="127"/>
    </row>
    <row r="306" spans="1:15" s="6" customFormat="1" ht="15.75">
      <c r="A306" s="268">
        <v>215</v>
      </c>
      <c r="B306" s="122" t="s">
        <v>1258</v>
      </c>
      <c r="C306" s="55">
        <v>267.60000000000002</v>
      </c>
      <c r="D306" s="55"/>
      <c r="E306" s="55">
        <v>38.5</v>
      </c>
      <c r="F306" s="622">
        <f t="shared" si="34"/>
        <v>306.10000000000002</v>
      </c>
      <c r="G306" s="290">
        <f t="shared" si="35"/>
        <v>2.7192628905364767E-3</v>
      </c>
      <c r="H306" s="426">
        <f t="shared" si="36"/>
        <v>6.1703610028030358</v>
      </c>
      <c r="I306" s="561">
        <f t="shared" si="37"/>
        <v>2.2688417407306765</v>
      </c>
      <c r="J306" s="148">
        <v>1.1849039845569247</v>
      </c>
      <c r="K306" s="428">
        <f>G306*367.79</f>
        <v>1.0001176985104108</v>
      </c>
      <c r="L306" s="925">
        <f t="shared" si="38"/>
        <v>1.2191434744841909</v>
      </c>
      <c r="M306" s="532">
        <f t="shared" si="33"/>
        <v>3.9701885002246064E-2</v>
      </c>
      <c r="N306" s="127"/>
      <c r="O306" s="127"/>
    </row>
    <row r="307" spans="1:15" s="6" customFormat="1" ht="15.75">
      <c r="A307" s="268">
        <v>216</v>
      </c>
      <c r="B307" s="122" t="s">
        <v>1259</v>
      </c>
      <c r="C307" s="55">
        <v>551.6</v>
      </c>
      <c r="D307" s="55"/>
      <c r="E307" s="55"/>
      <c r="F307" s="622">
        <f t="shared" si="34"/>
        <v>551.6</v>
      </c>
      <c r="G307" s="290">
        <f t="shared" si="35"/>
        <v>4.9001810206465877E-3</v>
      </c>
      <c r="H307" s="426">
        <f t="shared" si="36"/>
        <v>11.119147759379793</v>
      </c>
      <c r="I307" s="561">
        <f t="shared" si="37"/>
        <v>4.0885106311239499</v>
      </c>
      <c r="J307" s="148">
        <v>2.1352271737392998</v>
      </c>
      <c r="K307" s="428">
        <f>G307*367.79</f>
        <v>1.8022375775836086</v>
      </c>
      <c r="L307" s="925">
        <f t="shared" si="38"/>
        <v>2.1969276070744188</v>
      </c>
      <c r="M307" s="532">
        <f t="shared" si="33"/>
        <v>3.4708345072202051E-2</v>
      </c>
      <c r="N307" s="127"/>
      <c r="O307" s="127"/>
    </row>
    <row r="308" spans="1:15" s="6" customFormat="1" ht="15.75">
      <c r="A308" s="268">
        <v>217</v>
      </c>
      <c r="B308" s="122" t="s">
        <v>1260</v>
      </c>
      <c r="C308" s="55">
        <v>291.2</v>
      </c>
      <c r="D308" s="55"/>
      <c r="E308" s="55">
        <v>38</v>
      </c>
      <c r="F308" s="622">
        <f t="shared" si="34"/>
        <v>329.2</v>
      </c>
      <c r="G308" s="290">
        <f t="shared" si="35"/>
        <v>2.9244735170356356E-3</v>
      </c>
      <c r="H308" s="426">
        <f t="shared" si="36"/>
        <v>6.6360105917110719</v>
      </c>
      <c r="I308" s="561">
        <f t="shared" si="37"/>
        <v>2.4400610945721612</v>
      </c>
      <c r="J308" s="148">
        <v>1.2743233966551439</v>
      </c>
      <c r="K308" s="428">
        <f t="shared" ref="K308:K314" si="40">G308*367.79</f>
        <v>1.0755921148305365</v>
      </c>
      <c r="L308" s="925">
        <f t="shared" si="38"/>
        <v>1.3111467879784242</v>
      </c>
      <c r="M308" s="532">
        <f t="shared" si="33"/>
        <v>3.9237593398931708E-2</v>
      </c>
      <c r="N308" s="127"/>
      <c r="O308" s="127"/>
    </row>
    <row r="309" spans="1:15" s="6" customFormat="1" ht="15.75">
      <c r="A309" s="275">
        <v>218</v>
      </c>
      <c r="B309" s="122" t="s">
        <v>1261</v>
      </c>
      <c r="C309" s="55">
        <v>620.70000000000005</v>
      </c>
      <c r="D309" s="55">
        <v>10.7</v>
      </c>
      <c r="E309" s="55"/>
      <c r="F309" s="622">
        <f t="shared" si="34"/>
        <v>631.40000000000009</v>
      </c>
      <c r="G309" s="290">
        <f t="shared" si="35"/>
        <v>5.609090457643684E-3</v>
      </c>
      <c r="H309" s="426">
        <f t="shared" si="36"/>
        <v>12.727755430153014</v>
      </c>
      <c r="I309" s="561">
        <f t="shared" si="37"/>
        <v>4.6799956716672639</v>
      </c>
      <c r="J309" s="148">
        <v>2.4441305973513305</v>
      </c>
      <c r="K309" s="428">
        <f t="shared" si="40"/>
        <v>2.0629673794167704</v>
      </c>
      <c r="L309" s="925">
        <f t="shared" si="38"/>
        <v>2.5147572355090433</v>
      </c>
      <c r="M309" s="532">
        <f t="shared" si="33"/>
        <v>3.5306668404363424E-2</v>
      </c>
      <c r="N309" s="127"/>
      <c r="O309" s="127"/>
    </row>
    <row r="310" spans="1:15" s="6" customFormat="1" ht="15.75">
      <c r="A310" s="268">
        <v>219</v>
      </c>
      <c r="B310" s="122" t="s">
        <v>1262</v>
      </c>
      <c r="C310" s="55">
        <v>373.3</v>
      </c>
      <c r="D310" s="55"/>
      <c r="E310" s="55"/>
      <c r="F310" s="622">
        <f t="shared" si="34"/>
        <v>373.3</v>
      </c>
      <c r="G310" s="290">
        <f t="shared" si="35"/>
        <v>3.3162392585340305E-3</v>
      </c>
      <c r="H310" s="426">
        <f t="shared" si="36"/>
        <v>7.5249779887173247</v>
      </c>
      <c r="I310" s="561">
        <f t="shared" si="37"/>
        <v>2.7669344064513606</v>
      </c>
      <c r="J310" s="148">
        <v>1.4450331833881083</v>
      </c>
      <c r="K310" s="428">
        <f t="shared" si="40"/>
        <v>1.219679636896231</v>
      </c>
      <c r="L310" s="925">
        <f t="shared" si="38"/>
        <v>1.4867894773765058</v>
      </c>
      <c r="M310" s="532">
        <f t="shared" si="33"/>
        <v>3.4708345072202051E-2</v>
      </c>
      <c r="N310" s="127"/>
      <c r="O310" s="127"/>
    </row>
    <row r="311" spans="1:15" s="6" customFormat="1" ht="15.75">
      <c r="A311" s="268">
        <v>220</v>
      </c>
      <c r="B311" s="122" t="s">
        <v>1263</v>
      </c>
      <c r="C311" s="55">
        <v>851.4</v>
      </c>
      <c r="D311" s="55"/>
      <c r="E311" s="55">
        <v>67</v>
      </c>
      <c r="F311" s="622">
        <f t="shared" si="34"/>
        <v>918.4</v>
      </c>
      <c r="G311" s="290">
        <f t="shared" si="35"/>
        <v>8.1586770292999024E-3</v>
      </c>
      <c r="H311" s="426">
        <f t="shared" si="36"/>
        <v>18.51309880749529</v>
      </c>
      <c r="I311" s="561">
        <f t="shared" si="37"/>
        <v>6.8072664315160187</v>
      </c>
      <c r="J311" s="148">
        <v>3.5550990506928439</v>
      </c>
      <c r="K311" s="428">
        <f t="shared" si="40"/>
        <v>3.0006798246062112</v>
      </c>
      <c r="L311" s="925">
        <f t="shared" si="38"/>
        <v>3.6578287061949717</v>
      </c>
      <c r="M311" s="532">
        <f t="shared" si="33"/>
        <v>3.7439680660453799E-2</v>
      </c>
      <c r="N311" s="127"/>
      <c r="O311" s="127"/>
    </row>
    <row r="312" spans="1:15" s="6" customFormat="1" ht="15.75">
      <c r="A312" s="268">
        <v>221</v>
      </c>
      <c r="B312" s="122" t="s">
        <v>1264</v>
      </c>
      <c r="C312" s="55">
        <v>756.6</v>
      </c>
      <c r="D312" s="55"/>
      <c r="E312" s="55">
        <v>22.2</v>
      </c>
      <c r="F312" s="622">
        <f t="shared" si="34"/>
        <v>778.80000000000007</v>
      </c>
      <c r="G312" s="290">
        <f t="shared" si="35"/>
        <v>6.9185296934002223E-3</v>
      </c>
      <c r="H312" s="426">
        <f t="shared" si="36"/>
        <v>15.699043283185247</v>
      </c>
      <c r="I312" s="561">
        <f t="shared" si="37"/>
        <v>5.7725382152272156</v>
      </c>
      <c r="J312" s="148">
        <v>3.014711607882826</v>
      </c>
      <c r="K312" s="428">
        <f t="shared" si="40"/>
        <v>2.5445660359356679</v>
      </c>
      <c r="L312" s="925">
        <f t="shared" si="38"/>
        <v>3.1018259978055793</v>
      </c>
      <c r="M312" s="532">
        <f t="shared" si="33"/>
        <v>3.5726750121901872E-2</v>
      </c>
      <c r="N312" s="127"/>
      <c r="O312" s="127"/>
    </row>
    <row r="313" spans="1:15" s="6" customFormat="1" ht="15.75">
      <c r="A313" s="268">
        <v>222</v>
      </c>
      <c r="B313" s="122" t="s">
        <v>1265</v>
      </c>
      <c r="C313" s="55">
        <v>806.91</v>
      </c>
      <c r="D313" s="55"/>
      <c r="E313" s="55"/>
      <c r="F313" s="622">
        <f t="shared" si="34"/>
        <v>806.91</v>
      </c>
      <c r="G313" s="290">
        <f t="shared" si="35"/>
        <v>7.1682470401920554E-3</v>
      </c>
      <c r="H313" s="426">
        <f t="shared" si="36"/>
        <v>16.265684406310999</v>
      </c>
      <c r="I313" s="561">
        <f t="shared" si="37"/>
        <v>5.9808921562005546</v>
      </c>
      <c r="J313" s="148">
        <v>3.1235245807867624</v>
      </c>
      <c r="K313" s="428">
        <f t="shared" si="40"/>
        <v>2.6364095789122364</v>
      </c>
      <c r="L313" s="925">
        <f t="shared" si="38"/>
        <v>3.2137832766940164</v>
      </c>
      <c r="M313" s="532">
        <f t="shared" si="33"/>
        <v>3.4708345072202045E-2</v>
      </c>
      <c r="N313" s="127"/>
      <c r="O313" s="127"/>
    </row>
    <row r="314" spans="1:15" s="6" customFormat="1" ht="15.75">
      <c r="A314" s="268">
        <v>223</v>
      </c>
      <c r="B314" s="122" t="s">
        <v>1266</v>
      </c>
      <c r="C314" s="55">
        <v>751.2</v>
      </c>
      <c r="D314" s="55"/>
      <c r="E314" s="55">
        <v>53.8</v>
      </c>
      <c r="F314" s="622">
        <f t="shared" si="34"/>
        <v>805</v>
      </c>
      <c r="G314" s="290">
        <f t="shared" si="35"/>
        <v>7.1512794083040303E-3</v>
      </c>
      <c r="H314" s="426">
        <f t="shared" si="36"/>
        <v>16.227182643764927</v>
      </c>
      <c r="I314" s="561">
        <f t="shared" si="37"/>
        <v>5.9667350581123637</v>
      </c>
      <c r="J314" s="148">
        <v>3.1161310276652214</v>
      </c>
      <c r="K314" s="428">
        <f t="shared" si="40"/>
        <v>2.6301690535801394</v>
      </c>
      <c r="L314" s="925">
        <f t="shared" si="38"/>
        <v>3.2061760763141902</v>
      </c>
      <c r="M314" s="532">
        <f t="shared" si="33"/>
        <v>3.7194113129822487E-2</v>
      </c>
      <c r="N314" s="127"/>
      <c r="O314" s="127"/>
    </row>
    <row r="315" spans="1:15" s="6" customFormat="1" ht="15.75">
      <c r="A315" s="268">
        <v>224</v>
      </c>
      <c r="B315" s="122" t="s">
        <v>1267</v>
      </c>
      <c r="C315" s="55">
        <v>426.8</v>
      </c>
      <c r="D315" s="55"/>
      <c r="E315" s="55">
        <v>65.099999999999994</v>
      </c>
      <c r="F315" s="622">
        <f t="shared" si="34"/>
        <v>491.9</v>
      </c>
      <c r="G315" s="290">
        <f t="shared" si="35"/>
        <v>4.369831479434475E-3</v>
      </c>
      <c r="H315" s="426">
        <f t="shared" si="36"/>
        <v>9.9157157049291502</v>
      </c>
      <c r="I315" s="561">
        <f t="shared" si="37"/>
        <v>3.6460086647024488</v>
      </c>
      <c r="J315" s="148">
        <v>1.9041302515633818</v>
      </c>
      <c r="K315" s="428">
        <f>G315*301.5</f>
        <v>1.3175041910494942</v>
      </c>
      <c r="L315" s="925">
        <f t="shared" si="38"/>
        <v>1.6060376088893336</v>
      </c>
      <c r="M315" s="532">
        <f t="shared" si="33"/>
        <v>3.9323708557273844E-2</v>
      </c>
      <c r="N315" s="127"/>
      <c r="O315" s="127"/>
    </row>
    <row r="316" spans="1:15" s="6" customFormat="1" ht="15.75">
      <c r="A316" s="275">
        <v>225</v>
      </c>
      <c r="B316" s="122" t="s">
        <v>1268</v>
      </c>
      <c r="C316" s="55">
        <v>640.20000000000005</v>
      </c>
      <c r="D316" s="55"/>
      <c r="E316" s="55"/>
      <c r="F316" s="622">
        <f t="shared" si="34"/>
        <v>640.20000000000005</v>
      </c>
      <c r="G316" s="290">
        <f t="shared" si="35"/>
        <v>5.6872659344052679E-3</v>
      </c>
      <c r="H316" s="426">
        <f t="shared" si="36"/>
        <v>12.905145749737025</v>
      </c>
      <c r="I316" s="561">
        <f t="shared" si="37"/>
        <v>4.745222092178305</v>
      </c>
      <c r="J316" s="148">
        <v>2.4781951352935092</v>
      </c>
      <c r="K316" s="428">
        <f>G316*301.5</f>
        <v>1.7147106792231883</v>
      </c>
      <c r="L316" s="925">
        <f t="shared" si="38"/>
        <v>2.0902323179730669</v>
      </c>
      <c r="M316" s="532">
        <f t="shared" si="33"/>
        <v>3.4119452759187791E-2</v>
      </c>
      <c r="N316" s="127"/>
      <c r="O316" s="127"/>
    </row>
    <row r="317" spans="1:15" s="6" customFormat="1" ht="15.75">
      <c r="A317" s="268">
        <v>226</v>
      </c>
      <c r="B317" s="122" t="s">
        <v>1269</v>
      </c>
      <c r="C317" s="55">
        <v>537.94000000000005</v>
      </c>
      <c r="D317" s="55"/>
      <c r="E317" s="55"/>
      <c r="F317" s="622">
        <f t="shared" si="34"/>
        <v>537.94000000000005</v>
      </c>
      <c r="G317" s="290">
        <f t="shared" si="35"/>
        <v>4.7788313601280375E-3</v>
      </c>
      <c r="H317" s="426">
        <f t="shared" si="36"/>
        <v>10.843789604207334</v>
      </c>
      <c r="I317" s="561">
        <f t="shared" si="37"/>
        <v>3.987261437467037</v>
      </c>
      <c r="J317" s="148">
        <v>2.0823497205245087</v>
      </c>
      <c r="K317" s="428">
        <f>G317*235.27</f>
        <v>1.1243156540973234</v>
      </c>
      <c r="L317" s="925">
        <f t="shared" si="38"/>
        <v>1.3705407823446374</v>
      </c>
      <c r="M317" s="532">
        <f t="shared" si="33"/>
        <v>3.3531093460787822E-2</v>
      </c>
      <c r="N317" s="127"/>
      <c r="O317" s="127"/>
    </row>
    <row r="318" spans="1:15" s="6" customFormat="1" ht="15.75">
      <c r="A318" s="268">
        <v>227</v>
      </c>
      <c r="B318" s="122" t="s">
        <v>1270</v>
      </c>
      <c r="C318" s="55">
        <v>905.4</v>
      </c>
      <c r="D318" s="55"/>
      <c r="E318" s="55">
        <v>24.5</v>
      </c>
      <c r="F318" s="622">
        <f t="shared" si="34"/>
        <v>929.9</v>
      </c>
      <c r="G318" s="290">
        <f t="shared" si="35"/>
        <v>8.2608381637042459E-3</v>
      </c>
      <c r="H318" s="426">
        <f t="shared" si="36"/>
        <v>18.744915702406217</v>
      </c>
      <c r="I318" s="561">
        <f t="shared" si="37"/>
        <v>6.8925055037747667</v>
      </c>
      <c r="J318" s="148">
        <v>3.5996152082309183</v>
      </c>
      <c r="K318" s="428">
        <f>G318*301.5</f>
        <v>2.4906427063568302</v>
      </c>
      <c r="L318" s="925">
        <f t="shared" si="38"/>
        <v>3.0360934590489763</v>
      </c>
      <c r="M318" s="532">
        <f t="shared" si="33"/>
        <v>3.5042720477986233E-2</v>
      </c>
      <c r="N318" s="127"/>
      <c r="O318" s="127"/>
    </row>
    <row r="319" spans="1:15" s="6" customFormat="1" ht="15.75">
      <c r="A319" s="268">
        <v>228</v>
      </c>
      <c r="B319" s="122" t="s">
        <v>1271</v>
      </c>
      <c r="C319" s="55">
        <v>1352.86</v>
      </c>
      <c r="D319" s="55">
        <v>33</v>
      </c>
      <c r="E319" s="55">
        <v>31.5</v>
      </c>
      <c r="F319" s="622">
        <f t="shared" si="34"/>
        <v>1417.36</v>
      </c>
      <c r="G319" s="290">
        <f t="shared" si="35"/>
        <v>1.2591226561681738E-2</v>
      </c>
      <c r="H319" s="426">
        <f t="shared" si="36"/>
        <v>28.571129927908885</v>
      </c>
      <c r="I319" s="561">
        <f t="shared" si="37"/>
        <v>10.505604474492097</v>
      </c>
      <c r="J319" s="148">
        <v>5.4865583520143826</v>
      </c>
      <c r="K319" s="428">
        <f>G319*235.27</f>
        <v>2.9623378731668626</v>
      </c>
      <c r="L319" s="925">
        <f t="shared" si="38"/>
        <v>3.6110898673904059</v>
      </c>
      <c r="M319" s="532">
        <f t="shared" si="33"/>
        <v>3.5129747813951361E-2</v>
      </c>
      <c r="N319" s="127"/>
      <c r="O319" s="127"/>
    </row>
    <row r="320" spans="1:15" s="6" customFormat="1" ht="15.75">
      <c r="A320" s="268">
        <v>229</v>
      </c>
      <c r="B320" s="122" t="s">
        <v>1272</v>
      </c>
      <c r="C320" s="55">
        <v>725.18</v>
      </c>
      <c r="D320" s="55"/>
      <c r="E320" s="55">
        <v>60.8</v>
      </c>
      <c r="F320" s="622">
        <f t="shared" si="34"/>
        <v>785.9799999999999</v>
      </c>
      <c r="G320" s="290">
        <f t="shared" si="35"/>
        <v>6.9823137755761506E-3</v>
      </c>
      <c r="H320" s="426">
        <f t="shared" si="36"/>
        <v>15.843777657573112</v>
      </c>
      <c r="I320" s="561">
        <f t="shared" si="37"/>
        <v>5.8257570446896336</v>
      </c>
      <c r="J320" s="148">
        <v>3.0425051740674665</v>
      </c>
      <c r="K320" s="428">
        <f>G320*367.79</f>
        <v>2.5680251835191528</v>
      </c>
      <c r="L320" s="925">
        <f t="shared" si="38"/>
        <v>3.1304226987098476</v>
      </c>
      <c r="M320" s="532">
        <f t="shared" si="33"/>
        <v>3.761833621976525E-2</v>
      </c>
      <c r="N320" s="127"/>
      <c r="O320" s="127"/>
    </row>
    <row r="321" spans="1:15" s="6" customFormat="1" ht="15.75">
      <c r="A321" s="268">
        <v>230</v>
      </c>
      <c r="B321" s="122" t="s">
        <v>1273</v>
      </c>
      <c r="C321" s="55">
        <v>426.28</v>
      </c>
      <c r="D321" s="55">
        <v>59.4</v>
      </c>
      <c r="E321" s="55"/>
      <c r="F321" s="622">
        <f t="shared" si="34"/>
        <v>485.67999999999995</v>
      </c>
      <c r="G321" s="290">
        <f t="shared" si="35"/>
        <v>4.3145756310870821E-3</v>
      </c>
      <c r="H321" s="426">
        <f t="shared" si="36"/>
        <v>9.7903330017686319</v>
      </c>
      <c r="I321" s="561">
        <f t="shared" si="37"/>
        <v>3.599905444750326</v>
      </c>
      <c r="J321" s="148">
        <v>1.8800528167906143</v>
      </c>
      <c r="K321" s="428">
        <f>G321*367.79</f>
        <v>1.586857771357518</v>
      </c>
      <c r="L321" s="925">
        <f t="shared" si="38"/>
        <v>1.9343796232848147</v>
      </c>
      <c r="M321" s="532">
        <f t="shared" si="33"/>
        <v>3.9544780507335765E-2</v>
      </c>
      <c r="N321" s="127"/>
      <c r="O321" s="127"/>
    </row>
    <row r="322" spans="1:15" s="6" customFormat="1" ht="15.75">
      <c r="A322" s="268">
        <v>231</v>
      </c>
      <c r="B322" s="122" t="s">
        <v>1274</v>
      </c>
      <c r="C322" s="55">
        <v>402.07</v>
      </c>
      <c r="D322" s="55">
        <v>59.1</v>
      </c>
      <c r="E322" s="55"/>
      <c r="F322" s="622">
        <f t="shared" si="34"/>
        <v>461.17</v>
      </c>
      <c r="G322" s="290">
        <f t="shared" si="35"/>
        <v>4.0968391611522605E-3</v>
      </c>
      <c r="H322" s="426">
        <f t="shared" si="36"/>
        <v>9.2962606457454289</v>
      </c>
      <c r="I322" s="561">
        <f t="shared" si="37"/>
        <v>3.4182350394405945</v>
      </c>
      <c r="J322" s="148">
        <v>1.7851753366812051</v>
      </c>
      <c r="K322" s="428">
        <f>G322*301.5</f>
        <v>1.2351970070874065</v>
      </c>
      <c r="L322" s="925">
        <f t="shared" si="38"/>
        <v>1.5057051516395488</v>
      </c>
      <c r="M322" s="532">
        <f t="shared" si="33"/>
        <v>3.9134648267601747E-2</v>
      </c>
      <c r="N322" s="127"/>
      <c r="O322" s="127"/>
    </row>
    <row r="323" spans="1:15" s="6" customFormat="1" ht="15.75">
      <c r="A323" s="275">
        <v>232</v>
      </c>
      <c r="B323" s="122" t="s">
        <v>1275</v>
      </c>
      <c r="C323" s="55">
        <v>305.37</v>
      </c>
      <c r="D323" s="55"/>
      <c r="E323" s="55"/>
      <c r="F323" s="622">
        <f t="shared" si="34"/>
        <v>305.37</v>
      </c>
      <c r="G323" s="290">
        <f t="shared" si="35"/>
        <v>2.7127778793960269E-3</v>
      </c>
      <c r="H323" s="426">
        <f t="shared" si="36"/>
        <v>6.1556456694739072</v>
      </c>
      <c r="I323" s="561">
        <f t="shared" si="37"/>
        <v>2.2634309126655561</v>
      </c>
      <c r="J323" s="148">
        <v>1.1820781762958121</v>
      </c>
      <c r="K323" s="428">
        <f>G323*235.27</f>
        <v>0.63823525168550332</v>
      </c>
      <c r="L323" s="925">
        <f t="shared" si="38"/>
        <v>0.77800877180462857</v>
      </c>
      <c r="M323" s="532">
        <f t="shared" si="33"/>
        <v>3.3531093460787829E-2</v>
      </c>
      <c r="N323" s="127"/>
      <c r="O323" s="127"/>
    </row>
    <row r="324" spans="1:15" s="6" customFormat="1" ht="15.75">
      <c r="A324" s="268">
        <v>233</v>
      </c>
      <c r="B324" s="122" t="s">
        <v>1276</v>
      </c>
      <c r="C324" s="55">
        <v>170.8</v>
      </c>
      <c r="D324" s="55"/>
      <c r="E324" s="55"/>
      <c r="F324" s="622">
        <f t="shared" si="34"/>
        <v>170.8</v>
      </c>
      <c r="G324" s="290">
        <f t="shared" si="35"/>
        <v>1.517314935327116E-3</v>
      </c>
      <c r="H324" s="426">
        <f t="shared" si="36"/>
        <v>3.4429848391988189</v>
      </c>
      <c r="I324" s="561">
        <f t="shared" si="37"/>
        <v>1.2659855253734058</v>
      </c>
      <c r="J324" s="148">
        <v>0.66116171369592525</v>
      </c>
      <c r="K324" s="428">
        <f>G324*235.27</f>
        <v>0.35697868483441059</v>
      </c>
      <c r="L324" s="925">
        <f t="shared" si="38"/>
        <v>0.43515701681314656</v>
      </c>
      <c r="M324" s="532">
        <f t="shared" si="33"/>
        <v>3.3531093460787822E-2</v>
      </c>
      <c r="N324" s="127"/>
      <c r="O324" s="127"/>
    </row>
    <row r="325" spans="1:15" s="6" customFormat="1" ht="15.75">
      <c r="A325" s="268">
        <v>234</v>
      </c>
      <c r="B325" s="122" t="s">
        <v>1277</v>
      </c>
      <c r="C325" s="55">
        <v>678.2</v>
      </c>
      <c r="D325" s="55"/>
      <c r="E325" s="55"/>
      <c r="F325" s="622">
        <f t="shared" si="34"/>
        <v>678.2</v>
      </c>
      <c r="G325" s="290">
        <f t="shared" si="35"/>
        <v>6.0248418567848371E-3</v>
      </c>
      <c r="H325" s="426">
        <f t="shared" si="36"/>
        <v>13.671149402486177</v>
      </c>
      <c r="I325" s="561">
        <f t="shared" si="37"/>
        <v>5.0268816352941679</v>
      </c>
      <c r="J325" s="148">
        <v>2.6252920036801903</v>
      </c>
      <c r="K325" s="428">
        <f>G325*367.79</f>
        <v>2.2158765865068952</v>
      </c>
      <c r="L325" s="925">
        <f t="shared" si="38"/>
        <v>2.7011535589519053</v>
      </c>
      <c r="M325" s="532">
        <f t="shared" si="33"/>
        <v>3.4708345072202051E-2</v>
      </c>
      <c r="N325" s="127"/>
      <c r="O325" s="127"/>
    </row>
    <row r="326" spans="1:15" s="6" customFormat="1" ht="15.75">
      <c r="A326" s="268">
        <v>235</v>
      </c>
      <c r="B326" s="122" t="s">
        <v>1278</v>
      </c>
      <c r="C326" s="55">
        <v>2613.27</v>
      </c>
      <c r="D326" s="55"/>
      <c r="E326" s="55"/>
      <c r="F326" s="622">
        <f t="shared" si="34"/>
        <v>2613.27</v>
      </c>
      <c r="G326" s="290">
        <f t="shared" si="35"/>
        <v>2.3215185017812015E-2</v>
      </c>
      <c r="H326" s="426">
        <f t="shared" si="36"/>
        <v>52.678272779467783</v>
      </c>
      <c r="I326" s="561">
        <f t="shared" si="37"/>
        <v>19.369800901010304</v>
      </c>
      <c r="J326" s="148">
        <v>10.115890348654279</v>
      </c>
      <c r="K326" s="428">
        <f>G326*367.79</f>
        <v>8.5383128977010809</v>
      </c>
      <c r="L326" s="925">
        <f t="shared" si="38"/>
        <v>10.408203422297618</v>
      </c>
      <c r="M326" s="532">
        <f t="shared" ref="M326:M389" si="41">(K326+J326+I326+H326)/C326</f>
        <v>3.4708345072202045E-2</v>
      </c>
      <c r="N326" s="127"/>
      <c r="O326" s="127"/>
    </row>
    <row r="327" spans="1:15" s="6" customFormat="1" ht="15.75">
      <c r="A327" s="268">
        <v>236</v>
      </c>
      <c r="B327" s="122" t="s">
        <v>1279</v>
      </c>
      <c r="C327" s="55">
        <v>2055.4499999999998</v>
      </c>
      <c r="D327" s="55"/>
      <c r="E327" s="55"/>
      <c r="F327" s="622">
        <f t="shared" si="34"/>
        <v>2055.4499999999998</v>
      </c>
      <c r="G327" s="290">
        <f t="shared" si="35"/>
        <v>1.8259748148818034E-2</v>
      </c>
      <c r="H327" s="426">
        <f t="shared" si="36"/>
        <v>41.433742316927464</v>
      </c>
      <c r="I327" s="561">
        <f t="shared" si="37"/>
        <v>15.235187049934229</v>
      </c>
      <c r="J327" s="148">
        <v>7.9565857401422102</v>
      </c>
      <c r="K327" s="428">
        <f>G327*235.27</f>
        <v>4.2959709469724192</v>
      </c>
      <c r="L327" s="925">
        <f t="shared" si="38"/>
        <v>5.2367885843593793</v>
      </c>
      <c r="M327" s="532">
        <f t="shared" si="41"/>
        <v>3.3531093460787822E-2</v>
      </c>
      <c r="N327" s="127"/>
      <c r="O327" s="127"/>
    </row>
    <row r="328" spans="1:15" s="6" customFormat="1" ht="15.75">
      <c r="A328" s="268">
        <v>237</v>
      </c>
      <c r="B328" s="122" t="s">
        <v>1280</v>
      </c>
      <c r="C328" s="55">
        <v>3486.96</v>
      </c>
      <c r="D328" s="55"/>
      <c r="E328" s="55"/>
      <c r="F328" s="622">
        <f t="shared" si="34"/>
        <v>3486.96</v>
      </c>
      <c r="G328" s="290">
        <f t="shared" si="35"/>
        <v>3.0976677323701639E-2</v>
      </c>
      <c r="H328" s="426">
        <f t="shared" si="36"/>
        <v>70.290107815531101</v>
      </c>
      <c r="I328" s="561">
        <f t="shared" si="37"/>
        <v>25.845672643770786</v>
      </c>
      <c r="J328" s="148">
        <v>13.497918320779529</v>
      </c>
      <c r="K328" s="428">
        <f>G328*235.27</f>
        <v>7.287882873947285</v>
      </c>
      <c r="L328" s="925">
        <f t="shared" si="38"/>
        <v>8.8839292233417417</v>
      </c>
      <c r="M328" s="532">
        <f t="shared" si="41"/>
        <v>3.3531093460787822E-2</v>
      </c>
      <c r="N328" s="127"/>
      <c r="O328" s="127"/>
    </row>
    <row r="329" spans="1:15" s="6" customFormat="1" ht="15.75">
      <c r="A329" s="268">
        <v>238</v>
      </c>
      <c r="B329" s="122" t="s">
        <v>1281</v>
      </c>
      <c r="C329" s="55">
        <v>394.94</v>
      </c>
      <c r="D329" s="55"/>
      <c r="E329" s="55"/>
      <c r="F329" s="622">
        <f t="shared" si="34"/>
        <v>394.94</v>
      </c>
      <c r="G329" s="290">
        <f t="shared" si="35"/>
        <v>3.5084798627522903E-3</v>
      </c>
      <c r="H329" s="426">
        <f t="shared" si="36"/>
        <v>7.9611969109671046</v>
      </c>
      <c r="I329" s="561">
        <f t="shared" si="37"/>
        <v>2.9273321041626046</v>
      </c>
      <c r="J329" s="148">
        <v>1.5288009789641026</v>
      </c>
      <c r="K329" s="428">
        <f t="shared" ref="K329:K335" si="42">G329*367.79</f>
        <v>1.290383808721665</v>
      </c>
      <c r="L329" s="925">
        <f t="shared" si="38"/>
        <v>1.5729778628317097</v>
      </c>
      <c r="M329" s="532">
        <f t="shared" si="41"/>
        <v>3.4708345072202045E-2</v>
      </c>
      <c r="N329" s="127"/>
      <c r="O329" s="127"/>
    </row>
    <row r="330" spans="1:15" s="6" customFormat="1" ht="15.75">
      <c r="A330" s="275">
        <v>239</v>
      </c>
      <c r="B330" s="122" t="s">
        <v>1282</v>
      </c>
      <c r="C330" s="55">
        <v>333.47</v>
      </c>
      <c r="D330" s="55"/>
      <c r="E330" s="55">
        <v>18.2</v>
      </c>
      <c r="F330" s="622">
        <f t="shared" si="34"/>
        <v>351.67</v>
      </c>
      <c r="G330" s="290">
        <f t="shared" si="35"/>
        <v>3.124087490084818E-3</v>
      </c>
      <c r="H330" s="426">
        <f t="shared" si="36"/>
        <v>7.0889606463761634</v>
      </c>
      <c r="I330" s="561">
        <f t="shared" si="37"/>
        <v>2.6066108296725155</v>
      </c>
      <c r="J330" s="148">
        <v>1.3613040975143211</v>
      </c>
      <c r="K330" s="428">
        <f t="shared" si="42"/>
        <v>1.1490081379782953</v>
      </c>
      <c r="L330" s="925">
        <f t="shared" si="38"/>
        <v>1.4006409201955421</v>
      </c>
      <c r="M330" s="532">
        <f t="shared" si="41"/>
        <v>3.6602644050563155E-2</v>
      </c>
      <c r="N330" s="127"/>
      <c r="O330" s="127"/>
    </row>
    <row r="331" spans="1:15" s="6" customFormat="1" ht="15.75">
      <c r="A331" s="268">
        <v>240</v>
      </c>
      <c r="B331" s="122" t="s">
        <v>1283</v>
      </c>
      <c r="C331" s="55">
        <v>615.6</v>
      </c>
      <c r="D331" s="55"/>
      <c r="E331" s="55"/>
      <c r="F331" s="622">
        <f t="shared" si="34"/>
        <v>615.6</v>
      </c>
      <c r="G331" s="290">
        <f t="shared" si="35"/>
        <v>5.46872994254902E-3</v>
      </c>
      <c r="H331" s="426">
        <f t="shared" si="36"/>
        <v>12.409259174536258</v>
      </c>
      <c r="I331" s="561">
        <f t="shared" si="37"/>
        <v>4.5628845984769821</v>
      </c>
      <c r="J331" s="148">
        <v>2.3829692678642367</v>
      </c>
      <c r="K331" s="428">
        <f t="shared" si="42"/>
        <v>2.011344185570104</v>
      </c>
      <c r="L331" s="925">
        <f t="shared" si="38"/>
        <v>2.4518285622099567</v>
      </c>
      <c r="M331" s="532">
        <f t="shared" si="41"/>
        <v>3.4708345072202045E-2</v>
      </c>
      <c r="N331" s="127"/>
      <c r="O331" s="127"/>
    </row>
    <row r="332" spans="1:15" s="6" customFormat="1" ht="15.75">
      <c r="A332" s="268">
        <v>241</v>
      </c>
      <c r="B332" s="122" t="s">
        <v>1284</v>
      </c>
      <c r="C332" s="55">
        <v>571.49</v>
      </c>
      <c r="D332" s="55"/>
      <c r="E332" s="55"/>
      <c r="F332" s="622">
        <f t="shared" si="34"/>
        <v>571.49</v>
      </c>
      <c r="G332" s="290">
        <f t="shared" si="35"/>
        <v>5.0768753652815782E-3</v>
      </c>
      <c r="H332" s="426">
        <f t="shared" si="36"/>
        <v>11.520090197621387</v>
      </c>
      <c r="I332" s="561">
        <f t="shared" si="37"/>
        <v>4.2359371656653844</v>
      </c>
      <c r="J332" s="148">
        <v>2.2122207714290654</v>
      </c>
      <c r="K332" s="428">
        <f t="shared" si="42"/>
        <v>1.8672239905969117</v>
      </c>
      <c r="L332" s="925">
        <f t="shared" si="38"/>
        <v>2.2761460445376356</v>
      </c>
      <c r="M332" s="532">
        <f t="shared" si="41"/>
        <v>3.4708345072202045E-2</v>
      </c>
      <c r="N332" s="127"/>
      <c r="O332" s="127"/>
    </row>
    <row r="333" spans="1:15" s="6" customFormat="1" ht="15.75">
      <c r="A333" s="268">
        <v>242</v>
      </c>
      <c r="B333" s="122" t="s">
        <v>1285</v>
      </c>
      <c r="C333" s="55">
        <v>316.76</v>
      </c>
      <c r="D333" s="55">
        <v>22.5</v>
      </c>
      <c r="E333" s="55"/>
      <c r="F333" s="622">
        <f t="shared" ref="F333:F400" si="43">C333+D333+E333</f>
        <v>339.26</v>
      </c>
      <c r="G333" s="290">
        <f t="shared" si="35"/>
        <v>3.0138423006971743E-3</v>
      </c>
      <c r="H333" s="426">
        <f t="shared" si="36"/>
        <v>6.8387999797809798</v>
      </c>
      <c r="I333" s="561">
        <f t="shared" si="37"/>
        <v>2.5146267525654666</v>
      </c>
      <c r="J333" s="148">
        <v>1.3132653570754074</v>
      </c>
      <c r="K333" s="428">
        <f t="shared" si="42"/>
        <v>1.1084610597734137</v>
      </c>
      <c r="L333" s="925">
        <f t="shared" si="38"/>
        <v>1.3512140318637913</v>
      </c>
      <c r="M333" s="532">
        <f t="shared" si="41"/>
        <v>3.7173737685298865E-2</v>
      </c>
      <c r="N333" s="127"/>
      <c r="O333" s="127"/>
    </row>
    <row r="334" spans="1:15" s="6" customFormat="1" ht="15.75">
      <c r="A334" s="268">
        <v>243</v>
      </c>
      <c r="B334" s="122" t="s">
        <v>1286</v>
      </c>
      <c r="C334" s="55">
        <v>364.76</v>
      </c>
      <c r="D334" s="55"/>
      <c r="E334" s="55"/>
      <c r="F334" s="622">
        <f t="shared" si="43"/>
        <v>364.76</v>
      </c>
      <c r="G334" s="290">
        <f t="shared" si="35"/>
        <v>3.2403735117676746E-3</v>
      </c>
      <c r="H334" s="426">
        <f t="shared" si="36"/>
        <v>7.3528287467573836</v>
      </c>
      <c r="I334" s="561">
        <f t="shared" si="37"/>
        <v>2.7036351301826902</v>
      </c>
      <c r="J334" s="148">
        <v>1.4119750977033121</v>
      </c>
      <c r="K334" s="428">
        <f t="shared" si="42"/>
        <v>1.1917769738930331</v>
      </c>
      <c r="L334" s="925">
        <f t="shared" si="38"/>
        <v>1.4527761311756073</v>
      </c>
      <c r="M334" s="532">
        <f t="shared" si="41"/>
        <v>3.4708345072202045E-2</v>
      </c>
      <c r="N334" s="127"/>
      <c r="O334" s="127"/>
    </row>
    <row r="335" spans="1:15" s="6" customFormat="1" ht="15.75">
      <c r="A335" s="268">
        <v>244</v>
      </c>
      <c r="B335" s="122" t="s">
        <v>1287</v>
      </c>
      <c r="C335" s="55">
        <v>303</v>
      </c>
      <c r="D335" s="55"/>
      <c r="E335" s="55">
        <v>26.3</v>
      </c>
      <c r="F335" s="622">
        <f t="shared" si="43"/>
        <v>329.3</v>
      </c>
      <c r="G335" s="290">
        <f t="shared" si="35"/>
        <v>2.9253618747261084E-3</v>
      </c>
      <c r="H335" s="426">
        <f t="shared" si="36"/>
        <v>6.638026390797255</v>
      </c>
      <c r="I335" s="561">
        <f t="shared" si="37"/>
        <v>2.440802303896151</v>
      </c>
      <c r="J335" s="148">
        <v>1.2747104936772142</v>
      </c>
      <c r="K335" s="428">
        <f t="shared" si="42"/>
        <v>1.0759188439055154</v>
      </c>
      <c r="L335" s="925">
        <f t="shared" si="38"/>
        <v>1.3115450707208234</v>
      </c>
      <c r="M335" s="532">
        <f t="shared" si="41"/>
        <v>3.7720983604871729E-2</v>
      </c>
      <c r="N335" s="127"/>
      <c r="O335" s="127"/>
    </row>
    <row r="336" spans="1:15" s="6" customFormat="1" ht="15.75">
      <c r="A336" s="268">
        <v>245</v>
      </c>
      <c r="B336" s="122" t="s">
        <v>1288</v>
      </c>
      <c r="C336" s="55">
        <v>406.15</v>
      </c>
      <c r="D336" s="55"/>
      <c r="E336" s="55">
        <v>39.5</v>
      </c>
      <c r="F336" s="622">
        <f t="shared" si="43"/>
        <v>445.65</v>
      </c>
      <c r="G336" s="290">
        <f t="shared" si="35"/>
        <v>3.9589660475909203E-3</v>
      </c>
      <c r="H336" s="426">
        <f t="shared" si="36"/>
        <v>8.983408627569986</v>
      </c>
      <c r="I336" s="561">
        <f t="shared" si="37"/>
        <v>3.3031993523574843</v>
      </c>
      <c r="J336" s="148">
        <v>1.7250978788559079</v>
      </c>
      <c r="K336" s="428">
        <f>G336*367.79</f>
        <v>1.4560681226434646</v>
      </c>
      <c r="L336" s="925">
        <f t="shared" si="38"/>
        <v>1.7749470415023836</v>
      </c>
      <c r="M336" s="532">
        <f t="shared" si="41"/>
        <v>3.8083895066913315E-2</v>
      </c>
      <c r="N336" s="127"/>
      <c r="O336" s="127"/>
    </row>
    <row r="337" spans="1:15" s="6" customFormat="1" ht="15.75">
      <c r="A337" s="275">
        <v>246</v>
      </c>
      <c r="B337" s="122" t="s">
        <v>1289</v>
      </c>
      <c r="C337" s="55">
        <v>515.54999999999995</v>
      </c>
      <c r="D337" s="55"/>
      <c r="E337" s="55"/>
      <c r="F337" s="622">
        <f t="shared" si="43"/>
        <v>515.54999999999995</v>
      </c>
      <c r="G337" s="290">
        <f t="shared" si="35"/>
        <v>4.5799280732312332E-3</v>
      </c>
      <c r="H337" s="426">
        <f t="shared" si="36"/>
        <v>10.392452188811189</v>
      </c>
      <c r="I337" s="561">
        <f t="shared" si="37"/>
        <v>3.8213046698258748</v>
      </c>
      <c r="J337" s="148">
        <v>1.9956786972829874</v>
      </c>
      <c r="K337" s="428">
        <f t="shared" ref="K337:K379" si="44">G337*367.79</f>
        <v>1.6844517460537154</v>
      </c>
      <c r="L337" s="925">
        <f t="shared" si="38"/>
        <v>2.0533466784394792</v>
      </c>
      <c r="M337" s="532">
        <f t="shared" si="41"/>
        <v>3.4708345072202051E-2</v>
      </c>
      <c r="N337" s="127"/>
      <c r="O337" s="127"/>
    </row>
    <row r="338" spans="1:15" s="6" customFormat="1" ht="15.75">
      <c r="A338" s="268">
        <v>247</v>
      </c>
      <c r="B338" s="122" t="s">
        <v>1290</v>
      </c>
      <c r="C338" s="55">
        <v>938.04</v>
      </c>
      <c r="D338" s="55">
        <v>31.8</v>
      </c>
      <c r="E338" s="55"/>
      <c r="F338" s="622">
        <f t="shared" si="43"/>
        <v>969.83999999999992</v>
      </c>
      <c r="G338" s="290">
        <f t="shared" si="35"/>
        <v>8.6156482252789813E-3</v>
      </c>
      <c r="H338" s="426">
        <f t="shared" si="36"/>
        <v>19.550025857427297</v>
      </c>
      <c r="I338" s="561">
        <f t="shared" si="37"/>
        <v>7.1885445077760179</v>
      </c>
      <c r="J338" s="148">
        <v>3.7542217588457616</v>
      </c>
      <c r="K338" s="428">
        <f t="shared" si="44"/>
        <v>3.1687492607753569</v>
      </c>
      <c r="L338" s="925">
        <f t="shared" si="38"/>
        <v>3.8627053488851604</v>
      </c>
      <c r="M338" s="532">
        <f t="shared" si="41"/>
        <v>3.5884974398559158E-2</v>
      </c>
      <c r="N338" s="127"/>
      <c r="O338" s="127"/>
    </row>
    <row r="339" spans="1:15" s="6" customFormat="1" ht="15.75">
      <c r="A339" s="268">
        <v>248</v>
      </c>
      <c r="B339" s="122" t="s">
        <v>1291</v>
      </c>
      <c r="C339" s="55">
        <v>476.24</v>
      </c>
      <c r="D339" s="55"/>
      <c r="E339" s="55">
        <v>29</v>
      </c>
      <c r="F339" s="622">
        <f t="shared" si="43"/>
        <v>505.24</v>
      </c>
      <c r="G339" s="290">
        <f t="shared" si="35"/>
        <v>4.4883383953435137E-3</v>
      </c>
      <c r="H339" s="426">
        <f t="shared" si="36"/>
        <v>10.184623303025827</v>
      </c>
      <c r="I339" s="561">
        <f t="shared" si="37"/>
        <v>3.7448859885225967</v>
      </c>
      <c r="J339" s="148">
        <v>1.9557689943075485</v>
      </c>
      <c r="K339" s="428">
        <f t="shared" si="44"/>
        <v>1.650765978423391</v>
      </c>
      <c r="L339" s="925">
        <f t="shared" si="38"/>
        <v>2.0122837276981138</v>
      </c>
      <c r="M339" s="532">
        <f t="shared" si="41"/>
        <v>3.6821863481184616E-2</v>
      </c>
      <c r="N339" s="127"/>
      <c r="O339" s="127"/>
    </row>
    <row r="340" spans="1:15" s="6" customFormat="1" ht="15.75">
      <c r="A340" s="268">
        <v>249</v>
      </c>
      <c r="B340" s="122" t="s">
        <v>1292</v>
      </c>
      <c r="C340" s="55">
        <v>473.28</v>
      </c>
      <c r="D340" s="55"/>
      <c r="E340" s="55">
        <v>24.4</v>
      </c>
      <c r="F340" s="622">
        <f t="shared" si="43"/>
        <v>497.67999999999995</v>
      </c>
      <c r="G340" s="290">
        <f t="shared" si="35"/>
        <v>4.421178553943788E-3</v>
      </c>
      <c r="H340" s="426">
        <f t="shared" si="36"/>
        <v>10.032228892110469</v>
      </c>
      <c r="I340" s="561">
        <f t="shared" si="37"/>
        <v>3.6888505636290199</v>
      </c>
      <c r="J340" s="148">
        <v>1.9265044594390404</v>
      </c>
      <c r="K340" s="428">
        <f t="shared" si="44"/>
        <v>1.6260652603549859</v>
      </c>
      <c r="L340" s="925">
        <f t="shared" si="38"/>
        <v>1.982173552372728</v>
      </c>
      <c r="M340" s="532">
        <f t="shared" si="41"/>
        <v>3.6497737439852761E-2</v>
      </c>
      <c r="N340" s="127"/>
      <c r="O340" s="127"/>
    </row>
    <row r="341" spans="1:15" s="6" customFormat="1" ht="15.75">
      <c r="A341" s="268">
        <v>250</v>
      </c>
      <c r="B341" s="122" t="s">
        <v>1293</v>
      </c>
      <c r="C341" s="55">
        <v>232.2</v>
      </c>
      <c r="D341" s="55"/>
      <c r="E341" s="55">
        <v>12.6</v>
      </c>
      <c r="F341" s="622">
        <f t="shared" si="43"/>
        <v>244.79999999999998</v>
      </c>
      <c r="G341" s="290">
        <f t="shared" si="35"/>
        <v>2.174699626276803E-3</v>
      </c>
      <c r="H341" s="426">
        <f t="shared" si="36"/>
        <v>4.9346761629734823</v>
      </c>
      <c r="I341" s="561">
        <f t="shared" si="37"/>
        <v>1.8144804251253497</v>
      </c>
      <c r="J341" s="148">
        <v>0.94761351002788341</v>
      </c>
      <c r="K341" s="428">
        <f t="shared" si="44"/>
        <v>0.79983277554834542</v>
      </c>
      <c r="L341" s="925">
        <f t="shared" si="38"/>
        <v>0.97499615339343315</v>
      </c>
      <c r="M341" s="532">
        <f t="shared" si="41"/>
        <v>3.6591743642011461E-2</v>
      </c>
      <c r="N341" s="127"/>
      <c r="O341" s="127"/>
    </row>
    <row r="342" spans="1:15" s="6" customFormat="1" ht="15.75">
      <c r="A342" s="268">
        <v>251</v>
      </c>
      <c r="B342" s="122" t="s">
        <v>1294</v>
      </c>
      <c r="C342" s="55">
        <v>553.98</v>
      </c>
      <c r="D342" s="55">
        <v>42.3</v>
      </c>
      <c r="E342" s="55">
        <v>11.2</v>
      </c>
      <c r="F342" s="622">
        <f t="shared" si="43"/>
        <v>607.48</v>
      </c>
      <c r="G342" s="290">
        <f t="shared" si="35"/>
        <v>5.3965952980826485E-3</v>
      </c>
      <c r="H342" s="426">
        <f t="shared" si="36"/>
        <v>12.245576288738281</v>
      </c>
      <c r="I342" s="561">
        <f t="shared" si="37"/>
        <v>4.5026984013690665</v>
      </c>
      <c r="J342" s="148">
        <v>2.3515369896721352</v>
      </c>
      <c r="K342" s="428">
        <f t="shared" si="44"/>
        <v>1.9848137846818175</v>
      </c>
      <c r="L342" s="925">
        <f t="shared" si="38"/>
        <v>2.4194880035271358</v>
      </c>
      <c r="M342" s="532">
        <f t="shared" si="41"/>
        <v>3.806026474685241E-2</v>
      </c>
      <c r="N342" s="127"/>
      <c r="O342" s="127"/>
    </row>
    <row r="343" spans="1:15" s="6" customFormat="1" ht="15.75">
      <c r="A343" s="268">
        <v>252</v>
      </c>
      <c r="B343" s="122" t="s">
        <v>1295</v>
      </c>
      <c r="C343" s="55">
        <v>419.75</v>
      </c>
      <c r="D343" s="55">
        <v>47.9</v>
      </c>
      <c r="E343" s="55">
        <v>12.7</v>
      </c>
      <c r="F343" s="622">
        <f t="shared" si="43"/>
        <v>480.34999999999997</v>
      </c>
      <c r="G343" s="290">
        <f t="shared" si="35"/>
        <v>4.2672261661848955E-3</v>
      </c>
      <c r="H343" s="426">
        <f t="shared" si="36"/>
        <v>9.6828909104751322</v>
      </c>
      <c r="I343" s="561">
        <f t="shared" si="37"/>
        <v>3.5603989877817064</v>
      </c>
      <c r="J343" s="148">
        <v>1.859420545514272</v>
      </c>
      <c r="K343" s="428">
        <f t="shared" si="44"/>
        <v>1.5694431116611429</v>
      </c>
      <c r="L343" s="925">
        <f t="shared" si="38"/>
        <v>1.9131511531149334</v>
      </c>
      <c r="M343" s="532">
        <f t="shared" si="41"/>
        <v>3.9719246111810012E-2</v>
      </c>
      <c r="N343" s="127"/>
      <c r="O343" s="127"/>
    </row>
    <row r="344" spans="1:15" s="6" customFormat="1" ht="15.75">
      <c r="A344" s="275">
        <v>253</v>
      </c>
      <c r="B344" s="122" t="s">
        <v>1296</v>
      </c>
      <c r="C344" s="55">
        <v>970.33</v>
      </c>
      <c r="D344" s="55">
        <v>195</v>
      </c>
      <c r="E344" s="55"/>
      <c r="F344" s="622">
        <f t="shared" si="43"/>
        <v>1165.33</v>
      </c>
      <c r="G344" s="290">
        <f t="shared" si="35"/>
        <v>1.035229867438377E-2</v>
      </c>
      <c r="H344" s="426">
        <f t="shared" si="36"/>
        <v>23.490711491004447</v>
      </c>
      <c r="I344" s="561">
        <f t="shared" si="37"/>
        <v>8.6375346152423358</v>
      </c>
      <c r="J344" s="148">
        <v>4.5109577272908226</v>
      </c>
      <c r="K344" s="428">
        <f>G344*301.5</f>
        <v>3.1212180503267066</v>
      </c>
      <c r="L344" s="925">
        <f t="shared" si="38"/>
        <v>3.8047648033482555</v>
      </c>
      <c r="M344" s="532">
        <f t="shared" si="41"/>
        <v>4.0976185301767755E-2</v>
      </c>
      <c r="N344" s="127"/>
      <c r="O344" s="127"/>
    </row>
    <row r="345" spans="1:15" s="6" customFormat="1" ht="15.75">
      <c r="A345" s="268">
        <v>254</v>
      </c>
      <c r="B345" s="122" t="s">
        <v>1297</v>
      </c>
      <c r="C345" s="55">
        <v>1351.02</v>
      </c>
      <c r="D345" s="55"/>
      <c r="E345" s="55">
        <v>65</v>
      </c>
      <c r="F345" s="622">
        <f t="shared" si="43"/>
        <v>1416.02</v>
      </c>
      <c r="G345" s="290">
        <f t="shared" si="35"/>
        <v>1.2579322568629406E-2</v>
      </c>
      <c r="H345" s="426">
        <f t="shared" si="36"/>
        <v>28.544118220154047</v>
      </c>
      <c r="I345" s="561">
        <f t="shared" si="37"/>
        <v>10.495672269550644</v>
      </c>
      <c r="J345" s="148">
        <v>5.4813712519186417</v>
      </c>
      <c r="K345" s="428">
        <f>G345*301.5</f>
        <v>3.7926657544417659</v>
      </c>
      <c r="L345" s="925">
        <f t="shared" si="38"/>
        <v>4.6232595546645125</v>
      </c>
      <c r="M345" s="532">
        <f t="shared" si="41"/>
        <v>3.5761000944519769E-2</v>
      </c>
      <c r="N345" s="127"/>
      <c r="O345" s="127"/>
    </row>
    <row r="346" spans="1:15" s="6" customFormat="1" ht="15.75">
      <c r="A346" s="268">
        <v>255</v>
      </c>
      <c r="B346" s="122" t="s">
        <v>1298</v>
      </c>
      <c r="C346" s="55">
        <v>1448.01</v>
      </c>
      <c r="D346" s="55">
        <v>53.8</v>
      </c>
      <c r="E346" s="55"/>
      <c r="F346" s="622">
        <f t="shared" si="43"/>
        <v>1501.81</v>
      </c>
      <c r="G346" s="290">
        <f t="shared" si="35"/>
        <v>1.3341444631285808E-2</v>
      </c>
      <c r="H346" s="426">
        <f t="shared" si="36"/>
        <v>30.273472256189567</v>
      </c>
      <c r="I346" s="561">
        <f t="shared" si="37"/>
        <v>11.131555748600904</v>
      </c>
      <c r="J346" s="148">
        <v>5.8134617871526784</v>
      </c>
      <c r="K346" s="428">
        <f t="shared" si="44"/>
        <v>4.9068499209406076</v>
      </c>
      <c r="L346" s="925">
        <f t="shared" si="38"/>
        <v>5.9814500536266006</v>
      </c>
      <c r="M346" s="532">
        <f t="shared" si="41"/>
        <v>3.5997914180761016E-2</v>
      </c>
      <c r="N346" s="127"/>
      <c r="O346" s="127"/>
    </row>
    <row r="347" spans="1:15" s="6" customFormat="1" ht="15.75">
      <c r="A347" s="268">
        <v>256</v>
      </c>
      <c r="B347" s="122" t="s">
        <v>1299</v>
      </c>
      <c r="C347" s="55">
        <v>938.2</v>
      </c>
      <c r="D347" s="55"/>
      <c r="E347" s="55">
        <v>31.8</v>
      </c>
      <c r="F347" s="622">
        <f t="shared" si="43"/>
        <v>970</v>
      </c>
      <c r="G347" s="290">
        <f t="shared" si="35"/>
        <v>8.6170695975837375E-3</v>
      </c>
      <c r="H347" s="426">
        <f t="shared" si="36"/>
        <v>19.553251135965187</v>
      </c>
      <c r="I347" s="561">
        <f t="shared" si="37"/>
        <v>7.1897304426944002</v>
      </c>
      <c r="J347" s="148">
        <v>3.7548411140810742</v>
      </c>
      <c r="K347" s="428">
        <f>G347*301.5</f>
        <v>2.5980464836714967</v>
      </c>
      <c r="L347" s="925">
        <f t="shared" si="38"/>
        <v>3.1670186635955546</v>
      </c>
      <c r="M347" s="532">
        <f t="shared" si="41"/>
        <v>3.5275921100417988E-2</v>
      </c>
      <c r="N347" s="127"/>
      <c r="O347" s="127"/>
    </row>
    <row r="348" spans="1:15" s="6" customFormat="1" ht="15.75">
      <c r="A348" s="268">
        <v>257</v>
      </c>
      <c r="B348" s="122" t="s">
        <v>1300</v>
      </c>
      <c r="C348" s="55">
        <v>2158</v>
      </c>
      <c r="D348" s="55"/>
      <c r="E348" s="55"/>
      <c r="F348" s="622">
        <f t="shared" si="43"/>
        <v>2158</v>
      </c>
      <c r="G348" s="290">
        <f t="shared" ref="G348:G383" si="45">1/112567.27*F348</f>
        <v>1.9170758960397636E-2</v>
      </c>
      <c r="H348" s="426">
        <f t="shared" ref="H348:H383" si="46">G348*2269.13</f>
        <v>43.500944279807086</v>
      </c>
      <c r="I348" s="561">
        <f t="shared" ref="I348:I379" si="47">H348*0.3677</f>
        <v>15.995297211685067</v>
      </c>
      <c r="J348" s="148">
        <v>8.3535537362752148</v>
      </c>
      <c r="K348" s="428">
        <f>G348*235.27</f>
        <v>4.510304460612752</v>
      </c>
      <c r="L348" s="925">
        <f t="shared" si="38"/>
        <v>5.4980611374869452</v>
      </c>
      <c r="M348" s="532">
        <f t="shared" si="41"/>
        <v>3.3531093460787822E-2</v>
      </c>
      <c r="N348" s="127"/>
      <c r="O348" s="127"/>
    </row>
    <row r="349" spans="1:15" s="6" customFormat="1" ht="15.75">
      <c r="A349" s="268">
        <v>258</v>
      </c>
      <c r="B349" s="122" t="s">
        <v>1301</v>
      </c>
      <c r="C349" s="55">
        <v>700</v>
      </c>
      <c r="D349" s="55"/>
      <c r="E349" s="55">
        <v>29.1</v>
      </c>
      <c r="F349" s="622">
        <f t="shared" si="43"/>
        <v>729.1</v>
      </c>
      <c r="G349" s="290">
        <f t="shared" si="45"/>
        <v>6.4770159212353649E-3</v>
      </c>
      <c r="H349" s="426">
        <f t="shared" si="46"/>
        <v>14.697191137352805</v>
      </c>
      <c r="I349" s="561">
        <f t="shared" si="47"/>
        <v>5.404157181204627</v>
      </c>
      <c r="J349" s="148">
        <v>2.822324387913929</v>
      </c>
      <c r="K349" s="428">
        <f t="shared" si="44"/>
        <v>2.3821816856711551</v>
      </c>
      <c r="L349" s="925">
        <f t="shared" ref="L349:L412" si="48">K349*1.219</f>
        <v>2.903879474833138</v>
      </c>
      <c r="M349" s="532">
        <f t="shared" si="41"/>
        <v>3.615122056020359E-2</v>
      </c>
      <c r="N349" s="127"/>
      <c r="O349" s="127"/>
    </row>
    <row r="350" spans="1:15" s="6" customFormat="1" ht="15.75">
      <c r="A350" s="268">
        <v>259</v>
      </c>
      <c r="B350" s="122" t="s">
        <v>1302</v>
      </c>
      <c r="C350" s="55">
        <v>913.54</v>
      </c>
      <c r="D350" s="55">
        <v>123.3</v>
      </c>
      <c r="E350" s="55">
        <v>15.2</v>
      </c>
      <c r="F350" s="622">
        <f t="shared" si="43"/>
        <v>1052.04</v>
      </c>
      <c r="G350" s="290">
        <f t="shared" si="45"/>
        <v>9.3458782468474177E-3</v>
      </c>
      <c r="H350" s="426">
        <f t="shared" si="46"/>
        <v>21.20701270626888</v>
      </c>
      <c r="I350" s="561">
        <f t="shared" si="47"/>
        <v>7.7978185720950677</v>
      </c>
      <c r="J350" s="148">
        <v>4.0724155109874776</v>
      </c>
      <c r="K350" s="428">
        <f t="shared" si="44"/>
        <v>3.4373205604080121</v>
      </c>
      <c r="L350" s="925">
        <f t="shared" si="48"/>
        <v>4.1900937631373667</v>
      </c>
      <c r="M350" s="532">
        <f t="shared" si="41"/>
        <v>3.9970408903561357E-2</v>
      </c>
      <c r="N350" s="127"/>
      <c r="O350" s="127"/>
    </row>
    <row r="351" spans="1:15" s="6" customFormat="1" ht="15.75">
      <c r="A351" s="275">
        <v>260</v>
      </c>
      <c r="B351" s="122" t="s">
        <v>1303</v>
      </c>
      <c r="C351" s="55">
        <v>608.6</v>
      </c>
      <c r="D351" s="55"/>
      <c r="E351" s="55"/>
      <c r="F351" s="622">
        <f t="shared" si="43"/>
        <v>608.6</v>
      </c>
      <c r="G351" s="290">
        <f t="shared" si="45"/>
        <v>5.4065449042159418E-3</v>
      </c>
      <c r="H351" s="426">
        <f t="shared" si="46"/>
        <v>12.268153238503521</v>
      </c>
      <c r="I351" s="561">
        <f t="shared" si="47"/>
        <v>4.510999945797745</v>
      </c>
      <c r="J351" s="148">
        <v>2.355872476319322</v>
      </c>
      <c r="K351" s="428">
        <f t="shared" si="44"/>
        <v>1.9884731503215813</v>
      </c>
      <c r="L351" s="925">
        <f t="shared" si="48"/>
        <v>2.4239487702420077</v>
      </c>
      <c r="M351" s="532">
        <f t="shared" si="41"/>
        <v>3.4708345072202045E-2</v>
      </c>
      <c r="N351" s="127"/>
      <c r="O351" s="127"/>
    </row>
    <row r="352" spans="1:15" s="6" customFormat="1" ht="15.75">
      <c r="A352" s="268">
        <v>261</v>
      </c>
      <c r="B352" s="122" t="s">
        <v>1304</v>
      </c>
      <c r="C352" s="55">
        <v>415.8</v>
      </c>
      <c r="D352" s="55"/>
      <c r="E352" s="55"/>
      <c r="F352" s="622">
        <f t="shared" si="43"/>
        <v>415.8</v>
      </c>
      <c r="G352" s="290">
        <f t="shared" si="45"/>
        <v>3.6937912769848644E-3</v>
      </c>
      <c r="H352" s="426">
        <f t="shared" si="46"/>
        <v>8.3816926003446657</v>
      </c>
      <c r="I352" s="561">
        <f t="shared" si="47"/>
        <v>3.0819483691467338</v>
      </c>
      <c r="J352" s="148">
        <v>1.6095494177679492</v>
      </c>
      <c r="K352" s="428">
        <f t="shared" si="44"/>
        <v>1.3585394937622632</v>
      </c>
      <c r="L352" s="925">
        <f t="shared" si="48"/>
        <v>1.6560596428961989</v>
      </c>
      <c r="M352" s="532">
        <f t="shared" si="41"/>
        <v>3.4708345072202045E-2</v>
      </c>
      <c r="N352" s="127"/>
      <c r="O352" s="127"/>
    </row>
    <row r="353" spans="1:15" s="6" customFormat="1" ht="15.75">
      <c r="A353" s="268">
        <v>262</v>
      </c>
      <c r="B353" s="122" t="s">
        <v>1305</v>
      </c>
      <c r="C353" s="55">
        <v>460.4</v>
      </c>
      <c r="D353" s="55"/>
      <c r="E353" s="55"/>
      <c r="F353" s="622">
        <f t="shared" si="43"/>
        <v>460.4</v>
      </c>
      <c r="G353" s="290">
        <f t="shared" si="45"/>
        <v>4.0899988069356217E-3</v>
      </c>
      <c r="H353" s="426">
        <f t="shared" si="46"/>
        <v>9.2807389927818278</v>
      </c>
      <c r="I353" s="561">
        <f t="shared" si="47"/>
        <v>3.4125277276458785</v>
      </c>
      <c r="J353" s="148">
        <v>1.7821946896112646</v>
      </c>
      <c r="K353" s="428">
        <f t="shared" si="44"/>
        <v>1.5042606612028524</v>
      </c>
      <c r="L353" s="925">
        <f t="shared" si="48"/>
        <v>1.8336937460062772</v>
      </c>
      <c r="M353" s="532">
        <f t="shared" si="41"/>
        <v>3.4708345072202051E-2</v>
      </c>
      <c r="N353" s="127"/>
      <c r="O353" s="127"/>
    </row>
    <row r="354" spans="1:15" s="6" customFormat="1" ht="15.75">
      <c r="A354" s="268">
        <v>263</v>
      </c>
      <c r="B354" s="122" t="s">
        <v>1306</v>
      </c>
      <c r="C354" s="55">
        <v>485</v>
      </c>
      <c r="D354" s="55">
        <v>37.9</v>
      </c>
      <c r="E354" s="55">
        <v>50.1</v>
      </c>
      <c r="F354" s="622">
        <f t="shared" si="43"/>
        <v>573</v>
      </c>
      <c r="G354" s="290">
        <f t="shared" si="45"/>
        <v>5.0902895664077137E-3</v>
      </c>
      <c r="H354" s="426">
        <f t="shared" si="46"/>
        <v>11.550528763822737</v>
      </c>
      <c r="I354" s="561">
        <f t="shared" si="47"/>
        <v>4.2471294264576205</v>
      </c>
      <c r="J354" s="148">
        <v>2.2180659364623252</v>
      </c>
      <c r="K354" s="428">
        <f t="shared" si="44"/>
        <v>1.8721575996290931</v>
      </c>
      <c r="L354" s="925">
        <f t="shared" si="48"/>
        <v>2.2821601139478647</v>
      </c>
      <c r="M354" s="532">
        <f t="shared" si="41"/>
        <v>4.1005941703859329E-2</v>
      </c>
      <c r="N354" s="127"/>
      <c r="O354" s="127"/>
    </row>
    <row r="355" spans="1:15" s="6" customFormat="1" ht="15.75">
      <c r="A355" s="268">
        <v>264</v>
      </c>
      <c r="B355" s="122" t="s">
        <v>1307</v>
      </c>
      <c r="C355" s="55">
        <v>791.22</v>
      </c>
      <c r="D355" s="55"/>
      <c r="E355" s="55"/>
      <c r="F355" s="622">
        <f t="shared" si="43"/>
        <v>791.22</v>
      </c>
      <c r="G355" s="290">
        <f t="shared" si="45"/>
        <v>7.0288637185569125E-3</v>
      </c>
      <c r="H355" s="426">
        <f t="shared" si="46"/>
        <v>15.949405529689047</v>
      </c>
      <c r="I355" s="561">
        <f t="shared" si="47"/>
        <v>5.8645964132666633</v>
      </c>
      <c r="J355" s="148">
        <v>3.0627890580239461</v>
      </c>
      <c r="K355" s="428">
        <f t="shared" si="44"/>
        <v>2.585145787048047</v>
      </c>
      <c r="L355" s="925">
        <f t="shared" si="48"/>
        <v>3.1512927144115697</v>
      </c>
      <c r="M355" s="532">
        <f t="shared" si="41"/>
        <v>3.4708345072202045E-2</v>
      </c>
      <c r="N355" s="127"/>
      <c r="O355" s="127"/>
    </row>
    <row r="356" spans="1:15" s="6" customFormat="1" ht="15.75">
      <c r="A356" s="268">
        <v>265</v>
      </c>
      <c r="B356" s="122" t="s">
        <v>1308</v>
      </c>
      <c r="C356" s="55">
        <v>765.5</v>
      </c>
      <c r="D356" s="55"/>
      <c r="E356" s="55"/>
      <c r="F356" s="622">
        <f t="shared" si="43"/>
        <v>765.5</v>
      </c>
      <c r="G356" s="290">
        <f t="shared" si="45"/>
        <v>6.8003781205673731E-3</v>
      </c>
      <c r="H356" s="426">
        <f t="shared" si="46"/>
        <v>15.430942004723043</v>
      </c>
      <c r="I356" s="561">
        <f t="shared" si="47"/>
        <v>5.6739573751366637</v>
      </c>
      <c r="J356" s="148">
        <v>2.9632277039474868</v>
      </c>
      <c r="K356" s="428">
        <f t="shared" si="44"/>
        <v>2.5011110689634743</v>
      </c>
      <c r="L356" s="925">
        <f t="shared" si="48"/>
        <v>3.0488543930664753</v>
      </c>
      <c r="M356" s="532">
        <f t="shared" si="41"/>
        <v>3.4708345072202051E-2</v>
      </c>
      <c r="N356" s="127"/>
      <c r="O356" s="127"/>
    </row>
    <row r="357" spans="1:15" s="6" customFormat="1" ht="15.75">
      <c r="A357" s="268">
        <v>266</v>
      </c>
      <c r="B357" s="122" t="s">
        <v>1309</v>
      </c>
      <c r="C357" s="55">
        <v>777.3</v>
      </c>
      <c r="D357" s="55"/>
      <c r="E357" s="55">
        <v>28.9</v>
      </c>
      <c r="F357" s="622">
        <f t="shared" si="43"/>
        <v>806.19999999999993</v>
      </c>
      <c r="G357" s="290">
        <f t="shared" si="45"/>
        <v>7.1619397005896999E-3</v>
      </c>
      <c r="H357" s="426">
        <f t="shared" si="46"/>
        <v>16.251372232799106</v>
      </c>
      <c r="I357" s="561">
        <f t="shared" si="47"/>
        <v>5.9756295700002315</v>
      </c>
      <c r="J357" s="148">
        <v>3.1207761919300641</v>
      </c>
      <c r="K357" s="428">
        <f t="shared" si="44"/>
        <v>2.634089802479886</v>
      </c>
      <c r="L357" s="925">
        <f t="shared" si="48"/>
        <v>3.2109554692229811</v>
      </c>
      <c r="M357" s="532">
        <f t="shared" si="41"/>
        <v>3.5998800716852297E-2</v>
      </c>
      <c r="N357" s="127"/>
      <c r="O357" s="127"/>
    </row>
    <row r="358" spans="1:15" s="6" customFormat="1" ht="15.75">
      <c r="A358" s="275">
        <v>267</v>
      </c>
      <c r="B358" s="122" t="s">
        <v>1310</v>
      </c>
      <c r="C358" s="55">
        <v>723.6</v>
      </c>
      <c r="D358" s="55"/>
      <c r="E358" s="55">
        <v>29.4</v>
      </c>
      <c r="F358" s="622">
        <f t="shared" si="43"/>
        <v>753</v>
      </c>
      <c r="G358" s="290">
        <f t="shared" si="45"/>
        <v>6.6893334092583039E-3</v>
      </c>
      <c r="H358" s="426">
        <f t="shared" si="46"/>
        <v>15.178967118950295</v>
      </c>
      <c r="I358" s="561">
        <f t="shared" si="47"/>
        <v>5.5813062096380239</v>
      </c>
      <c r="J358" s="148">
        <v>2.91484057618871</v>
      </c>
      <c r="K358" s="428">
        <f t="shared" si="44"/>
        <v>2.4602699345911119</v>
      </c>
      <c r="L358" s="925">
        <f t="shared" si="48"/>
        <v>2.9990690502665656</v>
      </c>
      <c r="M358" s="532">
        <f t="shared" si="41"/>
        <v>3.6118551464024512E-2</v>
      </c>
      <c r="N358" s="127"/>
      <c r="O358" s="127"/>
    </row>
    <row r="359" spans="1:15" s="6" customFormat="1" ht="15.75">
      <c r="A359" s="268">
        <v>268</v>
      </c>
      <c r="B359" s="122" t="s">
        <v>1311</v>
      </c>
      <c r="C359" s="55">
        <v>579.6</v>
      </c>
      <c r="D359" s="55"/>
      <c r="E359" s="55">
        <v>32.6</v>
      </c>
      <c r="F359" s="622">
        <f t="shared" si="43"/>
        <v>612.20000000000005</v>
      </c>
      <c r="G359" s="290">
        <f t="shared" si="45"/>
        <v>5.4385257810729533E-3</v>
      </c>
      <c r="H359" s="426">
        <f t="shared" si="46"/>
        <v>12.340722005606072</v>
      </c>
      <c r="I359" s="561">
        <f t="shared" si="47"/>
        <v>4.5376834814613529</v>
      </c>
      <c r="J359" s="148">
        <v>2.3698079691138494</v>
      </c>
      <c r="K359" s="428">
        <f t="shared" si="44"/>
        <v>2.0002353970208215</v>
      </c>
      <c r="L359" s="925">
        <f t="shared" si="48"/>
        <v>2.4382869489683818</v>
      </c>
      <c r="M359" s="532">
        <f t="shared" si="41"/>
        <v>3.6660539774330737E-2</v>
      </c>
      <c r="N359" s="127"/>
      <c r="O359" s="127"/>
    </row>
    <row r="360" spans="1:15" s="6" customFormat="1" ht="15.75">
      <c r="A360" s="268">
        <v>269</v>
      </c>
      <c r="B360" s="122" t="s">
        <v>1312</v>
      </c>
      <c r="C360" s="55">
        <v>611.79999999999995</v>
      </c>
      <c r="D360" s="55"/>
      <c r="E360" s="55"/>
      <c r="F360" s="622">
        <f t="shared" si="43"/>
        <v>611.79999999999995</v>
      </c>
      <c r="G360" s="290">
        <f t="shared" si="45"/>
        <v>5.4349723503110629E-3</v>
      </c>
      <c r="H360" s="426">
        <f t="shared" si="46"/>
        <v>12.332658809261343</v>
      </c>
      <c r="I360" s="561">
        <f t="shared" si="47"/>
        <v>4.5347186441653964</v>
      </c>
      <c r="J360" s="148">
        <v>2.3682595810255682</v>
      </c>
      <c r="K360" s="428">
        <f t="shared" si="44"/>
        <v>1.998928480720906</v>
      </c>
      <c r="L360" s="925">
        <f t="shared" si="48"/>
        <v>2.4366938179987847</v>
      </c>
      <c r="M360" s="532">
        <f t="shared" si="41"/>
        <v>3.4708345072202051E-2</v>
      </c>
      <c r="N360" s="127"/>
      <c r="O360" s="127"/>
    </row>
    <row r="361" spans="1:15" s="6" customFormat="1" ht="15.75">
      <c r="A361" s="268">
        <v>270</v>
      </c>
      <c r="B361" s="122" t="s">
        <v>1313</v>
      </c>
      <c r="C361" s="55">
        <v>510.4</v>
      </c>
      <c r="D361" s="55"/>
      <c r="E361" s="55"/>
      <c r="F361" s="622">
        <f t="shared" si="43"/>
        <v>510.4</v>
      </c>
      <c r="G361" s="290">
        <f t="shared" si="45"/>
        <v>4.5341776521718967E-3</v>
      </c>
      <c r="H361" s="426">
        <f t="shared" si="46"/>
        <v>10.288638535872817</v>
      </c>
      <c r="I361" s="561">
        <f t="shared" si="47"/>
        <v>3.7831323896404352</v>
      </c>
      <c r="J361" s="148">
        <v>1.9757432006463715</v>
      </c>
      <c r="K361" s="428">
        <f>G361*235.27</f>
        <v>1.0667559762264822</v>
      </c>
      <c r="L361" s="925">
        <f t="shared" si="48"/>
        <v>1.3003755350200819</v>
      </c>
      <c r="M361" s="532">
        <f t="shared" si="41"/>
        <v>3.3531093460787829E-2</v>
      </c>
      <c r="N361" s="127"/>
      <c r="O361" s="127"/>
    </row>
    <row r="362" spans="1:15" s="6" customFormat="1" ht="15.75">
      <c r="A362" s="268">
        <v>271</v>
      </c>
      <c r="B362" s="122" t="s">
        <v>1314</v>
      </c>
      <c r="C362" s="55">
        <v>564</v>
      </c>
      <c r="D362" s="55">
        <v>87.5</v>
      </c>
      <c r="E362" s="55"/>
      <c r="F362" s="622">
        <f t="shared" si="43"/>
        <v>651.5</v>
      </c>
      <c r="G362" s="290">
        <f t="shared" si="45"/>
        <v>5.7876503534286658E-3</v>
      </c>
      <c r="H362" s="426">
        <f t="shared" si="46"/>
        <v>13.132931046475589</v>
      </c>
      <c r="I362" s="561">
        <f t="shared" si="47"/>
        <v>4.8289787457890743</v>
      </c>
      <c r="J362" s="148">
        <v>2.5219370987874434</v>
      </c>
      <c r="K362" s="428">
        <f>G362*235.27</f>
        <v>1.3616604986511622</v>
      </c>
      <c r="L362" s="925">
        <f t="shared" si="48"/>
        <v>1.659864147855767</v>
      </c>
      <c r="M362" s="532">
        <f t="shared" si="41"/>
        <v>3.8733169130679555E-2</v>
      </c>
      <c r="N362" s="127"/>
      <c r="O362" s="127"/>
    </row>
    <row r="363" spans="1:15" s="6" customFormat="1" ht="15.75">
      <c r="A363" s="268">
        <v>272</v>
      </c>
      <c r="B363" s="273" t="s">
        <v>1315</v>
      </c>
      <c r="C363" s="55">
        <v>699.7</v>
      </c>
      <c r="D363" s="55">
        <v>90.2</v>
      </c>
      <c r="E363" s="55"/>
      <c r="F363" s="622">
        <f t="shared" si="43"/>
        <v>789.90000000000009</v>
      </c>
      <c r="G363" s="290">
        <f t="shared" si="45"/>
        <v>7.0171373970426762E-3</v>
      </c>
      <c r="H363" s="426">
        <f t="shared" si="46"/>
        <v>15.922796981751448</v>
      </c>
      <c r="I363" s="561">
        <f t="shared" si="47"/>
        <v>5.8548124501900078</v>
      </c>
      <c r="J363" s="148">
        <v>3.0576793773326196</v>
      </c>
      <c r="K363" s="428">
        <f>G363*301.5</f>
        <v>2.1156669252083669</v>
      </c>
      <c r="L363" s="925">
        <f t="shared" si="48"/>
        <v>2.5789979818289992</v>
      </c>
      <c r="M363" s="532">
        <f t="shared" si="41"/>
        <v>3.8517872994829838E-2</v>
      </c>
      <c r="N363" s="127"/>
      <c r="O363" s="127"/>
    </row>
    <row r="364" spans="1:15" s="6" customFormat="1" ht="15.75">
      <c r="A364" s="268">
        <v>273</v>
      </c>
      <c r="B364" s="122" t="s">
        <v>1316</v>
      </c>
      <c r="C364" s="55">
        <v>770.6</v>
      </c>
      <c r="D364" s="55"/>
      <c r="E364" s="55"/>
      <c r="F364" s="622">
        <f t="shared" si="43"/>
        <v>770.6</v>
      </c>
      <c r="G364" s="290">
        <f t="shared" si="45"/>
        <v>6.8456843627814727E-3</v>
      </c>
      <c r="H364" s="426">
        <f t="shared" si="46"/>
        <v>15.533747758118324</v>
      </c>
      <c r="I364" s="561">
        <f t="shared" si="47"/>
        <v>5.7117590506601079</v>
      </c>
      <c r="J364" s="148">
        <v>2.9829696520730682</v>
      </c>
      <c r="K364" s="428">
        <f>G364*301.5</f>
        <v>2.0639738353786141</v>
      </c>
      <c r="L364" s="925">
        <f t="shared" si="48"/>
        <v>2.5159841053265306</v>
      </c>
      <c r="M364" s="532">
        <f t="shared" si="41"/>
        <v>3.4119452759187791E-2</v>
      </c>
      <c r="N364" s="127"/>
      <c r="O364" s="127"/>
    </row>
    <row r="365" spans="1:15" s="6" customFormat="1" ht="15.75">
      <c r="A365" s="275">
        <v>274</v>
      </c>
      <c r="B365" s="122" t="s">
        <v>1317</v>
      </c>
      <c r="C365" s="55">
        <v>958.2</v>
      </c>
      <c r="D365" s="55"/>
      <c r="E365" s="55"/>
      <c r="F365" s="622">
        <f t="shared" si="43"/>
        <v>958.2</v>
      </c>
      <c r="G365" s="290">
        <f t="shared" si="45"/>
        <v>8.5122433901079781E-3</v>
      </c>
      <c r="H365" s="426">
        <f t="shared" si="46"/>
        <v>19.315386843795718</v>
      </c>
      <c r="I365" s="561">
        <f t="shared" si="47"/>
        <v>7.1022677424636864</v>
      </c>
      <c r="J365" s="148">
        <v>3.7091636654767894</v>
      </c>
      <c r="K365" s="428">
        <f>G365*301.5</f>
        <v>2.5664413821175556</v>
      </c>
      <c r="L365" s="925">
        <f t="shared" si="48"/>
        <v>3.1284920448013005</v>
      </c>
      <c r="M365" s="532">
        <f t="shared" si="41"/>
        <v>3.4119452759187797E-2</v>
      </c>
      <c r="N365" s="127"/>
      <c r="O365" s="127"/>
    </row>
    <row r="366" spans="1:15" s="6" customFormat="1" ht="15.75">
      <c r="A366" s="268">
        <v>275</v>
      </c>
      <c r="B366" s="122" t="s">
        <v>1318</v>
      </c>
      <c r="C366" s="55">
        <v>950.92</v>
      </c>
      <c r="D366" s="55">
        <v>124.7</v>
      </c>
      <c r="E366" s="55">
        <v>118.8</v>
      </c>
      <c r="F366" s="622">
        <f t="shared" si="43"/>
        <v>1194.4199999999998</v>
      </c>
      <c r="G366" s="290">
        <f t="shared" si="45"/>
        <v>1.0610721926542234E-2</v>
      </c>
      <c r="H366" s="426">
        <f t="shared" si="46"/>
        <v>24.077107445174779</v>
      </c>
      <c r="I366" s="561">
        <f t="shared" si="47"/>
        <v>8.8531524075907662</v>
      </c>
      <c r="J366" s="148">
        <v>4.6235642510110475</v>
      </c>
      <c r="K366" s="428">
        <f>G366*235.27</f>
        <v>2.4963845476575912</v>
      </c>
      <c r="L366" s="925">
        <f t="shared" si="48"/>
        <v>3.0430927635946037</v>
      </c>
      <c r="M366" s="532">
        <f t="shared" si="41"/>
        <v>4.2117327063721642E-2</v>
      </c>
      <c r="N366" s="127"/>
      <c r="O366" s="127"/>
    </row>
    <row r="367" spans="1:15" s="6" customFormat="1" ht="15.75">
      <c r="A367" s="268">
        <v>276</v>
      </c>
      <c r="B367" s="122" t="s">
        <v>1319</v>
      </c>
      <c r="C367" s="55">
        <v>290.51</v>
      </c>
      <c r="D367" s="55">
        <v>32.65</v>
      </c>
      <c r="E367" s="55">
        <v>114.7</v>
      </c>
      <c r="F367" s="622">
        <f t="shared" si="43"/>
        <v>437.85999999999996</v>
      </c>
      <c r="G367" s="290">
        <f t="shared" si="45"/>
        <v>3.8897629835031085E-3</v>
      </c>
      <c r="H367" s="426">
        <f t="shared" si="46"/>
        <v>8.8263778787564089</v>
      </c>
      <c r="I367" s="561">
        <f t="shared" si="47"/>
        <v>3.2454591460187316</v>
      </c>
      <c r="J367" s="148">
        <v>1.6949430208366383</v>
      </c>
      <c r="K367" s="428">
        <f t="shared" si="44"/>
        <v>1.4306159277026085</v>
      </c>
      <c r="L367" s="925">
        <f t="shared" si="48"/>
        <v>1.7439208158694799</v>
      </c>
      <c r="M367" s="532">
        <f t="shared" si="41"/>
        <v>5.231281530176031E-2</v>
      </c>
      <c r="N367" s="127"/>
      <c r="O367" s="127"/>
    </row>
    <row r="368" spans="1:15" s="6" customFormat="1" ht="15.75">
      <c r="A368" s="268">
        <v>277</v>
      </c>
      <c r="B368" s="122" t="s">
        <v>1320</v>
      </c>
      <c r="C368" s="55">
        <v>612.5</v>
      </c>
      <c r="D368" s="55">
        <v>100</v>
      </c>
      <c r="E368" s="55"/>
      <c r="F368" s="622">
        <f t="shared" si="43"/>
        <v>712.5</v>
      </c>
      <c r="G368" s="290">
        <f t="shared" si="45"/>
        <v>6.329548544616921E-3</v>
      </c>
      <c r="H368" s="426">
        <f t="shared" si="46"/>
        <v>14.362568489046595</v>
      </c>
      <c r="I368" s="561">
        <f t="shared" si="47"/>
        <v>5.281116433422433</v>
      </c>
      <c r="J368" s="148">
        <v>2.7580662822502737</v>
      </c>
      <c r="K368" s="428">
        <f>G368*301.5</f>
        <v>1.9083588862020016</v>
      </c>
      <c r="L368" s="925">
        <f t="shared" si="48"/>
        <v>2.3262894822802402</v>
      </c>
      <c r="M368" s="532">
        <f t="shared" si="41"/>
        <v>3.9689975658647021E-2</v>
      </c>
      <c r="N368" s="127"/>
      <c r="O368" s="127"/>
    </row>
    <row r="369" spans="1:15" s="6" customFormat="1" ht="15.75">
      <c r="A369" s="268">
        <v>278</v>
      </c>
      <c r="B369" s="122" t="s">
        <v>1321</v>
      </c>
      <c r="C369" s="55">
        <v>1001.86</v>
      </c>
      <c r="D369" s="55">
        <v>33.200000000000003</v>
      </c>
      <c r="E369" s="55"/>
      <c r="F369" s="622">
        <f t="shared" si="43"/>
        <v>1035.06</v>
      </c>
      <c r="G369" s="290">
        <f t="shared" si="45"/>
        <v>9.1950351110051797E-3</v>
      </c>
      <c r="H369" s="426">
        <f t="shared" si="46"/>
        <v>20.864730021435186</v>
      </c>
      <c r="I369" s="561">
        <f t="shared" si="47"/>
        <v>7.6719612288817185</v>
      </c>
      <c r="J369" s="148">
        <v>4.0066864366399555</v>
      </c>
      <c r="K369" s="428">
        <f t="shared" si="44"/>
        <v>3.381841963476595</v>
      </c>
      <c r="L369" s="925">
        <f t="shared" si="48"/>
        <v>4.1224653534779696</v>
      </c>
      <c r="M369" s="532">
        <f t="shared" si="41"/>
        <v>3.5858522798029119E-2</v>
      </c>
      <c r="N369" s="127"/>
      <c r="O369" s="127"/>
    </row>
    <row r="370" spans="1:15" s="6" customFormat="1" ht="15.75">
      <c r="A370" s="268">
        <v>279</v>
      </c>
      <c r="B370" s="122" t="s">
        <v>1322</v>
      </c>
      <c r="C370" s="55">
        <v>592</v>
      </c>
      <c r="D370" s="55"/>
      <c r="E370" s="55">
        <v>92.4</v>
      </c>
      <c r="F370" s="622">
        <f t="shared" si="43"/>
        <v>684.4</v>
      </c>
      <c r="G370" s="290">
        <f t="shared" si="45"/>
        <v>6.0799200335941344E-3</v>
      </c>
      <c r="H370" s="426">
        <f t="shared" si="46"/>
        <v>13.796128945829459</v>
      </c>
      <c r="I370" s="561">
        <f t="shared" si="47"/>
        <v>5.0728366133814919</v>
      </c>
      <c r="J370" s="148">
        <v>2.6492920190485436</v>
      </c>
      <c r="K370" s="428">
        <f>G370*301.5</f>
        <v>1.8330958901286316</v>
      </c>
      <c r="L370" s="925">
        <f t="shared" si="48"/>
        <v>2.234543890066802</v>
      </c>
      <c r="M370" s="532">
        <f t="shared" si="41"/>
        <v>3.9444853831736702E-2</v>
      </c>
      <c r="N370" s="127"/>
      <c r="O370" s="127"/>
    </row>
    <row r="371" spans="1:15" s="6" customFormat="1" ht="15.75">
      <c r="A371" s="268">
        <v>280</v>
      </c>
      <c r="B371" s="122" t="s">
        <v>1323</v>
      </c>
      <c r="C371" s="55">
        <v>796.45</v>
      </c>
      <c r="D371" s="55">
        <v>32.4</v>
      </c>
      <c r="E371" s="55">
        <v>30</v>
      </c>
      <c r="F371" s="622">
        <f t="shared" si="43"/>
        <v>858.85</v>
      </c>
      <c r="G371" s="290">
        <f t="shared" si="45"/>
        <v>7.6296600246234985E-3</v>
      </c>
      <c r="H371" s="426">
        <f t="shared" si="46"/>
        <v>17.31269045167392</v>
      </c>
      <c r="I371" s="561">
        <f t="shared" si="47"/>
        <v>6.365876279080501</v>
      </c>
      <c r="J371" s="148">
        <v>3.3245827740500316</v>
      </c>
      <c r="K371" s="428">
        <f>G371*301.5</f>
        <v>2.3003424974239848</v>
      </c>
      <c r="L371" s="925">
        <f t="shared" si="48"/>
        <v>2.8041175043598376</v>
      </c>
      <c r="M371" s="532">
        <f t="shared" si="41"/>
        <v>3.6792632308655204E-2</v>
      </c>
      <c r="N371" s="127"/>
      <c r="O371" s="127"/>
    </row>
    <row r="372" spans="1:15" s="6" customFormat="1" ht="15.75">
      <c r="A372" s="275">
        <v>281</v>
      </c>
      <c r="B372" s="122" t="s">
        <v>1324</v>
      </c>
      <c r="C372" s="55">
        <v>711</v>
      </c>
      <c r="D372" s="55"/>
      <c r="E372" s="55">
        <v>116.7</v>
      </c>
      <c r="F372" s="622">
        <f t="shared" si="43"/>
        <v>827.7</v>
      </c>
      <c r="G372" s="290">
        <f t="shared" si="45"/>
        <v>7.3529366040412996E-3</v>
      </c>
      <c r="H372" s="426">
        <f t="shared" si="46"/>
        <v>16.684769036328234</v>
      </c>
      <c r="I372" s="561">
        <f t="shared" si="47"/>
        <v>6.134989574657892</v>
      </c>
      <c r="J372" s="148">
        <v>3.2040020516751602</v>
      </c>
      <c r="K372" s="428">
        <f>G372*301.5</f>
        <v>2.2169103861184518</v>
      </c>
      <c r="L372" s="925">
        <f t="shared" si="48"/>
        <v>2.7024137606783931</v>
      </c>
      <c r="M372" s="532">
        <f t="shared" si="41"/>
        <v>3.9719649857636763E-2</v>
      </c>
      <c r="N372" s="127"/>
      <c r="O372" s="127"/>
    </row>
    <row r="373" spans="1:15" s="6" customFormat="1" ht="15.75">
      <c r="A373" s="268">
        <v>282</v>
      </c>
      <c r="B373" s="273" t="s">
        <v>1325</v>
      </c>
      <c r="C373" s="55">
        <v>837.19</v>
      </c>
      <c r="D373" s="55"/>
      <c r="E373" s="55"/>
      <c r="F373" s="622">
        <f t="shared" si="43"/>
        <v>837.19</v>
      </c>
      <c r="G373" s="290">
        <f t="shared" si="45"/>
        <v>7.4372417488671443E-3</v>
      </c>
      <c r="H373" s="426">
        <f t="shared" si="46"/>
        <v>16.876068369606905</v>
      </c>
      <c r="I373" s="561">
        <f t="shared" si="47"/>
        <v>6.2053303395044592</v>
      </c>
      <c r="J373" s="148">
        <v>0</v>
      </c>
      <c r="K373" s="428">
        <f t="shared" si="44"/>
        <v>2.735343142815847</v>
      </c>
      <c r="L373" s="925">
        <f t="shared" si="48"/>
        <v>3.3343832910925175</v>
      </c>
      <c r="M373" s="532">
        <f t="shared" si="41"/>
        <v>3.083737485149991E-2</v>
      </c>
      <c r="N373" s="127"/>
      <c r="O373" s="127"/>
    </row>
    <row r="374" spans="1:15" s="6" customFormat="1" ht="15.75">
      <c r="A374" s="268">
        <v>283</v>
      </c>
      <c r="B374" s="122" t="s">
        <v>1326</v>
      </c>
      <c r="C374" s="55">
        <v>325.10000000000002</v>
      </c>
      <c r="D374" s="55"/>
      <c r="E374" s="55"/>
      <c r="F374" s="622">
        <f t="shared" si="43"/>
        <v>325.10000000000002</v>
      </c>
      <c r="G374" s="290">
        <f t="shared" si="45"/>
        <v>2.8880508517262612E-3</v>
      </c>
      <c r="H374" s="426">
        <f t="shared" si="46"/>
        <v>6.5533628291776118</v>
      </c>
      <c r="I374" s="561">
        <f t="shared" si="47"/>
        <v>2.4096715122886079</v>
      </c>
      <c r="J374" s="148">
        <v>1.2584524187502653</v>
      </c>
      <c r="K374" s="428">
        <f>G374*301.5</f>
        <v>0.87074733179546771</v>
      </c>
      <c r="L374" s="925">
        <f t="shared" si="48"/>
        <v>1.0614409974586752</v>
      </c>
      <c r="M374" s="532">
        <f t="shared" si="41"/>
        <v>3.4119452759187797E-2</v>
      </c>
      <c r="N374" s="127"/>
      <c r="O374" s="127"/>
    </row>
    <row r="375" spans="1:15" s="6" customFormat="1" ht="15.75">
      <c r="A375" s="268">
        <v>284</v>
      </c>
      <c r="B375" s="122" t="s">
        <v>1327</v>
      </c>
      <c r="C375" s="55">
        <v>456.1</v>
      </c>
      <c r="D375" s="55"/>
      <c r="E375" s="55">
        <v>56.9</v>
      </c>
      <c r="F375" s="622">
        <f t="shared" si="43"/>
        <v>513</v>
      </c>
      <c r="G375" s="290">
        <f t="shared" si="45"/>
        <v>4.5572749521241834E-3</v>
      </c>
      <c r="H375" s="426">
        <f t="shared" si="46"/>
        <v>10.341049312113549</v>
      </c>
      <c r="I375" s="561">
        <f t="shared" si="47"/>
        <v>3.8024038320641522</v>
      </c>
      <c r="J375" s="148">
        <v>1.9858077232201969</v>
      </c>
      <c r="K375" s="428">
        <f>G375*301.5</f>
        <v>1.3740183980654412</v>
      </c>
      <c r="L375" s="925">
        <f t="shared" si="48"/>
        <v>1.674928427241773</v>
      </c>
      <c r="M375" s="532">
        <f t="shared" si="41"/>
        <v>3.8375968571504805E-2</v>
      </c>
      <c r="N375" s="127"/>
      <c r="O375" s="127"/>
    </row>
    <row r="376" spans="1:15" s="6" customFormat="1" ht="15.75">
      <c r="A376" s="268">
        <v>285</v>
      </c>
      <c r="B376" s="122" t="s">
        <v>1328</v>
      </c>
      <c r="C376" s="55">
        <v>1004.92</v>
      </c>
      <c r="D376" s="55"/>
      <c r="E376" s="55">
        <v>18.5</v>
      </c>
      <c r="F376" s="622">
        <f t="shared" si="43"/>
        <v>1023.42</v>
      </c>
      <c r="G376" s="290">
        <f t="shared" si="45"/>
        <v>9.0916302758341748E-3</v>
      </c>
      <c r="H376" s="426">
        <f t="shared" si="46"/>
        <v>20.630091007803603</v>
      </c>
      <c r="I376" s="561">
        <f t="shared" si="47"/>
        <v>7.5856844635693852</v>
      </c>
      <c r="J376" s="148">
        <v>3.961628343270982</v>
      </c>
      <c r="K376" s="428">
        <f>G376*301.5</f>
        <v>2.7411265281640036</v>
      </c>
      <c r="L376" s="925">
        <f t="shared" si="48"/>
        <v>3.3414332378319207</v>
      </c>
      <c r="M376" s="532">
        <f t="shared" si="41"/>
        <v>3.4747572287155165E-2</v>
      </c>
      <c r="N376" s="127"/>
      <c r="O376" s="127"/>
    </row>
    <row r="377" spans="1:15" s="5" customFormat="1" ht="15.75">
      <c r="A377" s="268">
        <v>286</v>
      </c>
      <c r="B377" s="122" t="s">
        <v>1355</v>
      </c>
      <c r="C377" s="535">
        <v>74.599999999999994</v>
      </c>
      <c r="D377" s="535"/>
      <c r="E377" s="535"/>
      <c r="F377" s="620">
        <f t="shared" si="43"/>
        <v>74.599999999999994</v>
      </c>
      <c r="G377" s="290">
        <f t="shared" si="45"/>
        <v>6.6271483709252248E-4</v>
      </c>
      <c r="H377" s="426">
        <f t="shared" si="46"/>
        <v>1.5037861182917556</v>
      </c>
      <c r="I377" s="561">
        <f t="shared" si="47"/>
        <v>0.55294215569587857</v>
      </c>
      <c r="J377" s="148">
        <v>0.28877437846437953</v>
      </c>
      <c r="K377" s="428">
        <f t="shared" si="44"/>
        <v>0.24373988993425885</v>
      </c>
      <c r="L377" s="925">
        <f t="shared" si="48"/>
        <v>0.29711892582986155</v>
      </c>
      <c r="M377" s="532">
        <f t="shared" si="41"/>
        <v>3.4708345072202045E-2</v>
      </c>
      <c r="N377" s="523"/>
      <c r="O377" s="129"/>
    </row>
    <row r="378" spans="1:15" s="6" customFormat="1" ht="15.75">
      <c r="A378" s="268">
        <v>287</v>
      </c>
      <c r="B378" s="122" t="s">
        <v>1356</v>
      </c>
      <c r="C378" s="535">
        <v>539</v>
      </c>
      <c r="D378" s="535"/>
      <c r="E378" s="535">
        <v>38.799999999999997</v>
      </c>
      <c r="F378" s="620">
        <f t="shared" si="43"/>
        <v>577.79999999999995</v>
      </c>
      <c r="G378" s="290">
        <f t="shared" si="45"/>
        <v>5.1329307355503957E-3</v>
      </c>
      <c r="H378" s="426">
        <f t="shared" si="46"/>
        <v>11.64728711995947</v>
      </c>
      <c r="I378" s="561">
        <f t="shared" si="47"/>
        <v>4.2827074740090971</v>
      </c>
      <c r="J378" s="148">
        <v>2.2366465935216953</v>
      </c>
      <c r="K378" s="428">
        <f t="shared" si="44"/>
        <v>1.8878405952280801</v>
      </c>
      <c r="L378" s="925">
        <f t="shared" si="48"/>
        <v>2.3012776855830297</v>
      </c>
      <c r="M378" s="532">
        <f t="shared" si="41"/>
        <v>3.7206830765711206E-2</v>
      </c>
      <c r="N378" s="523"/>
      <c r="O378" s="127"/>
    </row>
    <row r="379" spans="1:15" s="6" customFormat="1" ht="15.75">
      <c r="A379" s="275">
        <v>288</v>
      </c>
      <c r="B379" s="122" t="s">
        <v>1357</v>
      </c>
      <c r="C379" s="535">
        <v>379.4</v>
      </c>
      <c r="D379" s="535"/>
      <c r="E379" s="535"/>
      <c r="F379" s="620">
        <f t="shared" si="43"/>
        <v>379.4</v>
      </c>
      <c r="G379" s="290">
        <f t="shared" si="45"/>
        <v>3.3704290776528558E-3</v>
      </c>
      <c r="H379" s="426">
        <f t="shared" si="46"/>
        <v>7.6479417329744255</v>
      </c>
      <c r="I379" s="561">
        <f t="shared" si="47"/>
        <v>2.8121481752146966</v>
      </c>
      <c r="J379" s="148">
        <v>1.4686461017343913</v>
      </c>
      <c r="K379" s="428">
        <f t="shared" si="44"/>
        <v>1.239610110469944</v>
      </c>
      <c r="L379" s="925">
        <f t="shared" si="48"/>
        <v>1.5110847246628618</v>
      </c>
      <c r="M379" s="532">
        <f t="shared" si="41"/>
        <v>3.4708345072202051E-2</v>
      </c>
      <c r="N379" s="537"/>
      <c r="O379" s="127"/>
    </row>
    <row r="380" spans="1:15" s="6" customFormat="1" ht="15.75">
      <c r="A380" s="268">
        <v>289</v>
      </c>
      <c r="B380" s="291" t="s">
        <v>1395</v>
      </c>
      <c r="C380" s="538">
        <f>1893+1096.4</f>
        <v>2989.4</v>
      </c>
      <c r="D380" s="553"/>
      <c r="E380" s="553"/>
      <c r="F380" s="622">
        <f t="shared" si="43"/>
        <v>2989.4</v>
      </c>
      <c r="G380" s="290">
        <f t="shared" si="45"/>
        <v>2.655656479898642E-2</v>
      </c>
      <c r="H380" s="426">
        <f t="shared" si="46"/>
        <v>60.26029788232406</v>
      </c>
      <c r="I380" s="561">
        <f>H380*0.3677</f>
        <v>22.157711531330559</v>
      </c>
      <c r="J380" s="148">
        <v>4.6235642510110475</v>
      </c>
      <c r="K380" s="560">
        <f>G380*367.79</f>
        <v>9.7672389674192157</v>
      </c>
      <c r="L380" s="925">
        <f t="shared" si="48"/>
        <v>11.906264301284025</v>
      </c>
      <c r="M380" s="532">
        <f t="shared" si="41"/>
        <v>3.2384027775501735E-2</v>
      </c>
      <c r="N380" s="127"/>
      <c r="O380" s="127"/>
    </row>
    <row r="381" spans="1:15" s="6" customFormat="1" ht="15.75">
      <c r="A381" s="268">
        <v>290</v>
      </c>
      <c r="B381" s="292" t="s">
        <v>1396</v>
      </c>
      <c r="C381" s="539">
        <v>527.29999999999995</v>
      </c>
      <c r="D381" s="554"/>
      <c r="E381" s="554"/>
      <c r="F381" s="620">
        <f t="shared" si="43"/>
        <v>527.29999999999995</v>
      </c>
      <c r="G381" s="290">
        <f t="shared" si="45"/>
        <v>4.6843101018617574E-3</v>
      </c>
      <c r="H381" s="426">
        <f t="shared" si="46"/>
        <v>10.62930858143757</v>
      </c>
      <c r="I381" s="562">
        <f>H381*0.3677</f>
        <v>3.908396765394595</v>
      </c>
      <c r="J381" s="148">
        <v>1.6949430208366383</v>
      </c>
      <c r="K381" s="563">
        <f>G381*367.79</f>
        <v>1.7228424123637358</v>
      </c>
      <c r="L381" s="925">
        <f t="shared" si="48"/>
        <v>2.1001449006713941</v>
      </c>
      <c r="M381" s="532">
        <f t="shared" si="41"/>
        <v>3.4051755698904881E-2</v>
      </c>
      <c r="N381" s="523"/>
      <c r="O381" s="127"/>
    </row>
    <row r="382" spans="1:15" s="6" customFormat="1" ht="15.75">
      <c r="A382" s="268">
        <v>291</v>
      </c>
      <c r="B382" s="301" t="s">
        <v>1400</v>
      </c>
      <c r="C382" s="538">
        <v>2299.1999999999998</v>
      </c>
      <c r="D382" s="553"/>
      <c r="E382" s="553"/>
      <c r="F382" s="622">
        <f t="shared" si="43"/>
        <v>2299.1999999999998</v>
      </c>
      <c r="G382" s="290">
        <f t="shared" si="45"/>
        <v>2.0425120019344874E-2</v>
      </c>
      <c r="H382" s="426">
        <f t="shared" si="46"/>
        <v>46.347252589496037</v>
      </c>
      <c r="I382" s="561">
        <f>H382*0.3677</f>
        <v>17.041884777157694</v>
      </c>
      <c r="J382" s="148">
        <v>2.7580662822502737</v>
      </c>
      <c r="K382" s="560">
        <f>G382*367.79</f>
        <v>7.512154891914852</v>
      </c>
      <c r="L382" s="925">
        <f t="shared" si="48"/>
        <v>9.157316813244206</v>
      </c>
      <c r="M382" s="532">
        <f t="shared" si="41"/>
        <v>3.2036951348651213E-2</v>
      </c>
      <c r="N382" s="127"/>
      <c r="O382" s="127"/>
    </row>
    <row r="383" spans="1:15" s="6" customFormat="1" ht="15.75">
      <c r="A383" s="268">
        <v>292</v>
      </c>
      <c r="B383" s="302" t="s">
        <v>1401</v>
      </c>
      <c r="C383" s="539">
        <v>292.60000000000002</v>
      </c>
      <c r="D383" s="554"/>
      <c r="E383" s="554"/>
      <c r="F383" s="620">
        <f t="shared" si="43"/>
        <v>292.60000000000002</v>
      </c>
      <c r="G383" s="290">
        <f t="shared" si="45"/>
        <v>2.5993346023226826E-3</v>
      </c>
      <c r="H383" s="426">
        <f t="shared" si="46"/>
        <v>5.898228126168469</v>
      </c>
      <c r="I383" s="562">
        <f>H383*0.3677</f>
        <v>2.1687784819921463</v>
      </c>
      <c r="J383" s="148">
        <v>4.0066864366399555</v>
      </c>
      <c r="K383" s="563">
        <f>G383*367.79</f>
        <v>0.95600927338825947</v>
      </c>
      <c r="L383" s="925">
        <f t="shared" si="48"/>
        <v>1.1653753042602883</v>
      </c>
      <c r="M383" s="532">
        <f t="shared" si="41"/>
        <v>4.4530766637692516E-2</v>
      </c>
      <c r="N383" s="523"/>
      <c r="O383" s="127"/>
    </row>
    <row r="384" spans="1:15" s="33" customFormat="1" ht="16.5" thickBot="1">
      <c r="A384" s="533"/>
      <c r="B384" s="533" t="s">
        <v>244</v>
      </c>
      <c r="C384" s="533">
        <f>SUM(C92:C383)</f>
        <v>223930.76000000007</v>
      </c>
      <c r="D384" s="533">
        <f>SUM(D92:D383)</f>
        <v>4473.8499999999995</v>
      </c>
      <c r="E384" s="533">
        <f>SUM(E92:E383)</f>
        <v>3784.1</v>
      </c>
      <c r="F384" s="620">
        <f t="shared" si="43"/>
        <v>232188.71000000008</v>
      </c>
      <c r="G384" s="536">
        <f>1/232188.71*F384</f>
        <v>1.0000000000000004</v>
      </c>
      <c r="H384" s="426">
        <f>G384*2269.13</f>
        <v>2269.130000000001</v>
      </c>
      <c r="I384" s="429">
        <f>H384*0.3677</f>
        <v>834.35910100000046</v>
      </c>
      <c r="J384" s="148">
        <f>SUM(J91:J383)</f>
        <v>882.81563627665298</v>
      </c>
      <c r="K384" s="429">
        <f>SUM(K226:K376)</f>
        <v>272.13222113319449</v>
      </c>
      <c r="L384" s="925">
        <f t="shared" si="48"/>
        <v>331.72917756136411</v>
      </c>
      <c r="M384" s="532">
        <f t="shared" si="41"/>
        <v>1.9016757494190829E-2</v>
      </c>
      <c r="N384" s="523"/>
      <c r="O384" s="130"/>
    </row>
    <row r="385" spans="1:15" s="6" customFormat="1" ht="16.5" thickBot="1">
      <c r="A385" s="794" t="s">
        <v>668</v>
      </c>
      <c r="B385" s="549"/>
      <c r="C385" s="549"/>
      <c r="D385" s="549"/>
      <c r="E385" s="549"/>
      <c r="F385" s="620">
        <f t="shared" si="43"/>
        <v>0</v>
      </c>
      <c r="G385" s="540"/>
      <c r="H385" s="426">
        <f>G385*2077.52</f>
        <v>0</v>
      </c>
      <c r="I385" s="424"/>
      <c r="J385" s="148">
        <v>0</v>
      </c>
      <c r="K385" s="424"/>
      <c r="L385" s="925">
        <f t="shared" si="48"/>
        <v>0</v>
      </c>
      <c r="M385" s="532" t="e">
        <f t="shared" si="41"/>
        <v>#DIV/0!</v>
      </c>
      <c r="N385" s="523"/>
      <c r="O385" s="127"/>
    </row>
    <row r="386" spans="1:15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625">
        <f t="shared" si="43"/>
        <v>4235</v>
      </c>
      <c r="G386" s="290">
        <f t="shared" ref="G386:G449" si="49">2/243872.61*F386</f>
        <v>3.4731247596849854E-2</v>
      </c>
      <c r="H386" s="426">
        <f>G386*2269.13</f>
        <v>78.809715859439919</v>
      </c>
      <c r="I386" s="144">
        <f t="shared" ref="I386:I449" si="50">H386*0.3677</f>
        <v>28.978332521516059</v>
      </c>
      <c r="J386" s="148">
        <v>33.399183432886524</v>
      </c>
      <c r="K386" s="426">
        <f>G386*235.27</f>
        <v>8.1712206221108659</v>
      </c>
      <c r="L386" s="925">
        <f t="shared" si="48"/>
        <v>9.960717938353147</v>
      </c>
      <c r="M386" s="532">
        <f t="shared" si="41"/>
        <v>3.5267639300107054E-2</v>
      </c>
      <c r="N386" s="127"/>
      <c r="O386" s="127"/>
    </row>
    <row r="387" spans="1:15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625">
        <f t="shared" si="43"/>
        <v>12601</v>
      </c>
      <c r="G387" s="290">
        <f t="shared" si="49"/>
        <v>0.10334083848120543</v>
      </c>
      <c r="H387" s="426">
        <f t="shared" ref="H387:H450" si="51">G387*2269.13</f>
        <v>234.49379682285769</v>
      </c>
      <c r="I387" s="148">
        <f t="shared" si="50"/>
        <v>86.223369091764781</v>
      </c>
      <c r="J387" s="148">
        <v>99.377357836553259</v>
      </c>
      <c r="K387" s="426">
        <f t="shared" ref="K387:K419" si="52">G387*235.27</f>
        <v>24.3129990694732</v>
      </c>
      <c r="L387" s="925">
        <f t="shared" si="48"/>
        <v>29.637545865687834</v>
      </c>
      <c r="M387" s="532">
        <f t="shared" si="41"/>
        <v>3.5267639300107047E-2</v>
      </c>
      <c r="N387" s="127"/>
      <c r="O387" s="127"/>
    </row>
    <row r="388" spans="1:15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625">
        <f t="shared" si="43"/>
        <v>12482</v>
      </c>
      <c r="G388" s="290">
        <f t="shared" si="49"/>
        <v>0.10236491912724435</v>
      </c>
      <c r="H388" s="426">
        <f t="shared" si="51"/>
        <v>232.27930893920399</v>
      </c>
      <c r="I388" s="148">
        <f t="shared" si="50"/>
        <v>85.409101896945316</v>
      </c>
      <c r="J388" s="148">
        <v>98.438868384720095</v>
      </c>
      <c r="K388" s="426">
        <f t="shared" si="52"/>
        <v>24.083394523066779</v>
      </c>
      <c r="L388" s="925">
        <f t="shared" si="48"/>
        <v>29.357657923618405</v>
      </c>
      <c r="M388" s="532">
        <f t="shared" si="41"/>
        <v>3.5267639300107047E-2</v>
      </c>
      <c r="N388" s="127"/>
      <c r="O388" s="127"/>
    </row>
    <row r="389" spans="1:15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625">
        <f t="shared" si="43"/>
        <v>6092</v>
      </c>
      <c r="G389" s="290">
        <f t="shared" si="49"/>
        <v>4.9960510120427223E-2</v>
      </c>
      <c r="H389" s="426">
        <f t="shared" si="51"/>
        <v>113.36689232956503</v>
      </c>
      <c r="I389" s="148">
        <f t="shared" si="50"/>
        <v>41.685006309581063</v>
      </c>
      <c r="J389" s="148">
        <v>48.044350761073126</v>
      </c>
      <c r="K389" s="426">
        <f t="shared" si="52"/>
        <v>11.754209216032914</v>
      </c>
      <c r="L389" s="925">
        <f t="shared" si="48"/>
        <v>14.328381034344122</v>
      </c>
      <c r="M389" s="532">
        <f t="shared" si="41"/>
        <v>3.5267639300107047E-2</v>
      </c>
      <c r="N389" s="127"/>
      <c r="O389" s="127"/>
    </row>
    <row r="390" spans="1:15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625">
        <f t="shared" si="43"/>
        <v>12853.2</v>
      </c>
      <c r="G390" s="290">
        <f t="shared" si="49"/>
        <v>0.10540913143136495</v>
      </c>
      <c r="H390" s="426">
        <f t="shared" si="51"/>
        <v>239.18702240485317</v>
      </c>
      <c r="I390" s="148">
        <f t="shared" si="50"/>
        <v>87.949068138264522</v>
      </c>
      <c r="J390" s="148">
        <v>101.36632455716106</v>
      </c>
      <c r="K390" s="426">
        <f t="shared" si="52"/>
        <v>24.799606351857232</v>
      </c>
      <c r="L390" s="925">
        <f t="shared" si="48"/>
        <v>30.230720142913967</v>
      </c>
      <c r="M390" s="532">
        <f t="shared" ref="M390:M453" si="53">(K390+J390+I390+H390)/C390</f>
        <v>3.5267639300107054E-2</v>
      </c>
      <c r="N390" s="127"/>
      <c r="O390" s="127"/>
    </row>
    <row r="391" spans="1:15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625">
        <f t="shared" si="43"/>
        <v>6317.1</v>
      </c>
      <c r="G391" s="290">
        <f t="shared" si="49"/>
        <v>5.1806555889978796E-2</v>
      </c>
      <c r="H391" s="426">
        <f t="shared" si="51"/>
        <v>117.55581016662759</v>
      </c>
      <c r="I391" s="148">
        <f t="shared" si="50"/>
        <v>43.225271398268973</v>
      </c>
      <c r="J391" s="148">
        <v>49.819594253574373</v>
      </c>
      <c r="K391" s="426">
        <f t="shared" si="52"/>
        <v>12.188528404235312</v>
      </c>
      <c r="L391" s="925">
        <f t="shared" si="48"/>
        <v>14.857816124762847</v>
      </c>
      <c r="M391" s="532">
        <f t="shared" si="53"/>
        <v>3.6096760243471526E-2</v>
      </c>
      <c r="N391" s="127"/>
      <c r="O391" s="127"/>
    </row>
    <row r="392" spans="1:15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625">
        <f t="shared" si="43"/>
        <v>6243.1</v>
      </c>
      <c r="G392" s="290">
        <f t="shared" si="49"/>
        <v>5.1199681669868553E-2</v>
      </c>
      <c r="H392" s="426">
        <f t="shared" si="51"/>
        <v>116.17873366754884</v>
      </c>
      <c r="I392" s="148">
        <f t="shared" si="50"/>
        <v>42.718920369557715</v>
      </c>
      <c r="J392" s="148">
        <v>49.235995770921804</v>
      </c>
      <c r="K392" s="426">
        <f t="shared" si="52"/>
        <v>12.045749106469975</v>
      </c>
      <c r="L392" s="925">
        <f t="shared" si="48"/>
        <v>14.683768160786901</v>
      </c>
      <c r="M392" s="532">
        <f t="shared" si="53"/>
        <v>3.5673914276490332E-2</v>
      </c>
      <c r="N392" s="127"/>
      <c r="O392" s="127"/>
    </row>
    <row r="393" spans="1:15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625">
        <f t="shared" si="43"/>
        <v>3918</v>
      </c>
      <c r="G393" s="290">
        <f t="shared" si="49"/>
        <v>3.2131529653945154E-2</v>
      </c>
      <c r="H393" s="426">
        <f t="shared" si="51"/>
        <v>72.91061788365657</v>
      </c>
      <c r="I393" s="148">
        <f t="shared" si="50"/>
        <v>26.809234195820522</v>
      </c>
      <c r="J393" s="148">
        <v>30.899173716658652</v>
      </c>
      <c r="K393" s="426">
        <f t="shared" si="52"/>
        <v>7.5595849816836767</v>
      </c>
      <c r="L393" s="925">
        <f t="shared" si="48"/>
        <v>9.2151340926724021</v>
      </c>
      <c r="M393" s="532">
        <f t="shared" si="53"/>
        <v>3.5267639300107047E-2</v>
      </c>
      <c r="N393" s="127"/>
      <c r="O393" s="127"/>
    </row>
    <row r="394" spans="1:15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625">
        <f t="shared" si="43"/>
        <v>4332</v>
      </c>
      <c r="G394" s="290">
        <f t="shared" si="49"/>
        <v>3.5526744885372739E-2</v>
      </c>
      <c r="H394" s="426">
        <f t="shared" si="51"/>
        <v>80.614802621745852</v>
      </c>
      <c r="I394" s="148">
        <f t="shared" si="50"/>
        <v>29.642062924015953</v>
      </c>
      <c r="J394" s="148">
        <v>34.164170633120293</v>
      </c>
      <c r="K394" s="426">
        <f t="shared" si="52"/>
        <v>8.3583772691816449</v>
      </c>
      <c r="L394" s="925">
        <f t="shared" si="48"/>
        <v>10.188861891132426</v>
      </c>
      <c r="M394" s="532">
        <f t="shared" si="53"/>
        <v>3.5267639300107047E-2</v>
      </c>
      <c r="N394" s="127"/>
      <c r="O394" s="127"/>
    </row>
    <row r="395" spans="1:15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625">
        <f t="shared" si="43"/>
        <v>3911</v>
      </c>
      <c r="G395" s="290">
        <f t="shared" si="49"/>
        <v>3.2074122633123911E-2</v>
      </c>
      <c r="H395" s="426">
        <f t="shared" si="51"/>
        <v>72.780353890500464</v>
      </c>
      <c r="I395" s="148">
        <f t="shared" si="50"/>
        <v>26.761336125537024</v>
      </c>
      <c r="J395" s="148">
        <v>30.843968454786118</v>
      </c>
      <c r="K395" s="426">
        <f t="shared" si="52"/>
        <v>7.5460788318950627</v>
      </c>
      <c r="L395" s="925">
        <f t="shared" si="48"/>
        <v>9.1986700960800825</v>
      </c>
      <c r="M395" s="532">
        <f t="shared" si="53"/>
        <v>3.5267639300107047E-2</v>
      </c>
      <c r="N395" s="127"/>
      <c r="O395" s="127"/>
    </row>
    <row r="396" spans="1:15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625">
        <f t="shared" si="43"/>
        <v>3338</v>
      </c>
      <c r="G396" s="290">
        <f t="shared" si="49"/>
        <v>2.7374947928756742E-2</v>
      </c>
      <c r="H396" s="426">
        <f t="shared" si="51"/>
        <v>62.117315593579789</v>
      </c>
      <c r="I396" s="148">
        <f t="shared" si="50"/>
        <v>22.84053694375929</v>
      </c>
      <c r="J396" s="148">
        <v>26.32502344721965</v>
      </c>
      <c r="K396" s="426">
        <f t="shared" si="52"/>
        <v>6.4405039991985991</v>
      </c>
      <c r="L396" s="925">
        <f t="shared" si="48"/>
        <v>7.8509743750230925</v>
      </c>
      <c r="M396" s="532">
        <f t="shared" si="53"/>
        <v>3.5267639300107047E-2</v>
      </c>
      <c r="N396" s="127"/>
      <c r="O396" s="127"/>
    </row>
    <row r="397" spans="1:15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625">
        <f t="shared" si="43"/>
        <v>3353</v>
      </c>
      <c r="G397" s="290">
        <f t="shared" si="49"/>
        <v>2.7497962973373685E-2</v>
      </c>
      <c r="H397" s="426">
        <f t="shared" si="51"/>
        <v>62.396452721771432</v>
      </c>
      <c r="I397" s="148">
        <f t="shared" si="50"/>
        <v>22.943175665795358</v>
      </c>
      <c r="J397" s="148">
        <v>26.443320436946522</v>
      </c>
      <c r="K397" s="426">
        <f t="shared" si="52"/>
        <v>6.4694457487456267</v>
      </c>
      <c r="L397" s="925">
        <f t="shared" si="48"/>
        <v>7.8862543677209196</v>
      </c>
      <c r="M397" s="532">
        <f t="shared" si="53"/>
        <v>3.5267639300107054E-2</v>
      </c>
      <c r="N397" s="127"/>
      <c r="O397" s="127"/>
    </row>
    <row r="398" spans="1:15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625">
        <f t="shared" si="43"/>
        <v>4050</v>
      </c>
      <c r="G398" s="290">
        <f t="shared" si="49"/>
        <v>3.321406204657424E-2</v>
      </c>
      <c r="H398" s="426">
        <f t="shared" si="51"/>
        <v>75.367024611743005</v>
      </c>
      <c r="I398" s="148">
        <f t="shared" si="50"/>
        <v>27.712454949737904</v>
      </c>
      <c r="J398" s="148">
        <v>31.940187226255119</v>
      </c>
      <c r="K398" s="426">
        <f t="shared" si="52"/>
        <v>7.814272377697522</v>
      </c>
      <c r="L398" s="925">
        <f t="shared" si="48"/>
        <v>9.5255980284132793</v>
      </c>
      <c r="M398" s="532">
        <f t="shared" si="53"/>
        <v>3.5267639300107047E-2</v>
      </c>
      <c r="N398" s="127"/>
      <c r="O398" s="127"/>
    </row>
    <row r="399" spans="1:15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625">
        <f t="shared" si="43"/>
        <v>4035</v>
      </c>
      <c r="G399" s="290">
        <f t="shared" si="49"/>
        <v>3.3091047001957294E-2</v>
      </c>
      <c r="H399" s="426">
        <f t="shared" si="51"/>
        <v>75.087887483551356</v>
      </c>
      <c r="I399" s="148">
        <f t="shared" si="50"/>
        <v>27.609816227701835</v>
      </c>
      <c r="J399" s="148">
        <v>31.821890236528247</v>
      </c>
      <c r="K399" s="426">
        <f t="shared" si="52"/>
        <v>7.7853306281504926</v>
      </c>
      <c r="L399" s="925">
        <f t="shared" si="48"/>
        <v>9.4903180357154504</v>
      </c>
      <c r="M399" s="532">
        <f t="shared" si="53"/>
        <v>3.5267639300107047E-2</v>
      </c>
      <c r="N399" s="127"/>
      <c r="O399" s="127"/>
    </row>
    <row r="400" spans="1:15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625">
        <f t="shared" si="43"/>
        <v>4018</v>
      </c>
      <c r="G400" s="290">
        <f t="shared" si="49"/>
        <v>3.2951629951391427E-2</v>
      </c>
      <c r="H400" s="426">
        <f t="shared" si="51"/>
        <v>74.771532071600831</v>
      </c>
      <c r="I400" s="148">
        <f t="shared" si="50"/>
        <v>27.493492342727627</v>
      </c>
      <c r="J400" s="148">
        <v>31.68782031483779</v>
      </c>
      <c r="K400" s="426">
        <f t="shared" si="52"/>
        <v>7.7525299786638611</v>
      </c>
      <c r="L400" s="925">
        <f t="shared" si="48"/>
        <v>9.4503340439912478</v>
      </c>
      <c r="M400" s="532">
        <f t="shared" si="53"/>
        <v>3.5267639300107047E-2</v>
      </c>
      <c r="N400" s="127"/>
      <c r="O400" s="127"/>
    </row>
    <row r="401" spans="1:15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625">
        <f t="shared" ref="F401:F464" si="54">C401+D401+E401</f>
        <v>4031</v>
      </c>
      <c r="G401" s="290">
        <f t="shared" si="49"/>
        <v>3.3058242990059446E-2</v>
      </c>
      <c r="H401" s="426">
        <f t="shared" si="51"/>
        <v>75.013450916033591</v>
      </c>
      <c r="I401" s="148">
        <f t="shared" si="50"/>
        <v>27.582445901825555</v>
      </c>
      <c r="J401" s="148">
        <v>31.790344372601083</v>
      </c>
      <c r="K401" s="426">
        <f t="shared" si="52"/>
        <v>7.7776128282712857</v>
      </c>
      <c r="L401" s="925">
        <f t="shared" si="48"/>
        <v>9.4809100376626976</v>
      </c>
      <c r="M401" s="532">
        <f t="shared" si="53"/>
        <v>3.5267639300107047E-2</v>
      </c>
      <c r="N401" s="127"/>
      <c r="O401" s="127"/>
    </row>
    <row r="402" spans="1:15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625">
        <f t="shared" si="54"/>
        <v>4302</v>
      </c>
      <c r="G402" s="290">
        <f t="shared" si="49"/>
        <v>3.5280714796138854E-2</v>
      </c>
      <c r="H402" s="426">
        <f t="shared" si="51"/>
        <v>80.056528365362567</v>
      </c>
      <c r="I402" s="148">
        <f t="shared" si="50"/>
        <v>29.436785479943818</v>
      </c>
      <c r="J402" s="148">
        <v>33.927576653666549</v>
      </c>
      <c r="K402" s="426">
        <f t="shared" si="52"/>
        <v>8.3004937700875878</v>
      </c>
      <c r="L402" s="925">
        <f t="shared" si="48"/>
        <v>10.11830190573677</v>
      </c>
      <c r="M402" s="532">
        <f t="shared" si="53"/>
        <v>3.5267639300107054E-2</v>
      </c>
      <c r="N402" s="127"/>
      <c r="O402" s="127"/>
    </row>
    <row r="403" spans="1:15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625">
        <f t="shared" si="54"/>
        <v>4275</v>
      </c>
      <c r="G403" s="290">
        <f t="shared" si="49"/>
        <v>3.5059287715828363E-2</v>
      </c>
      <c r="H403" s="426">
        <f t="shared" si="51"/>
        <v>79.554081534617623</v>
      </c>
      <c r="I403" s="148">
        <f t="shared" si="50"/>
        <v>29.252035780278902</v>
      </c>
      <c r="J403" s="148">
        <v>33.714642072158178</v>
      </c>
      <c r="K403" s="426">
        <f t="shared" si="52"/>
        <v>8.2483986209029396</v>
      </c>
      <c r="L403" s="925">
        <f t="shared" si="48"/>
        <v>10.054797918880684</v>
      </c>
      <c r="M403" s="532">
        <f t="shared" si="53"/>
        <v>3.5267639300107047E-2</v>
      </c>
      <c r="N403" s="127"/>
      <c r="O403" s="127"/>
    </row>
    <row r="404" spans="1:15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625">
        <f t="shared" si="54"/>
        <v>4125</v>
      </c>
      <c r="G404" s="290">
        <f t="shared" si="49"/>
        <v>3.3829137269658943E-2</v>
      </c>
      <c r="H404" s="426">
        <f t="shared" si="51"/>
        <v>76.762710252701197</v>
      </c>
      <c r="I404" s="148">
        <f t="shared" si="50"/>
        <v>28.225648559918231</v>
      </c>
      <c r="J404" s="148">
        <v>32.531672174889472</v>
      </c>
      <c r="K404" s="426">
        <f t="shared" si="52"/>
        <v>7.9589811254326603</v>
      </c>
      <c r="L404" s="925">
        <f t="shared" si="48"/>
        <v>9.7019979919024131</v>
      </c>
      <c r="M404" s="532">
        <f t="shared" si="53"/>
        <v>3.5267639300107047E-2</v>
      </c>
      <c r="N404" s="127"/>
      <c r="O404" s="127"/>
    </row>
    <row r="405" spans="1:15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625">
        <f t="shared" si="54"/>
        <v>3975</v>
      </c>
      <c r="G405" s="290">
        <f t="shared" si="49"/>
        <v>3.259898682348953E-2</v>
      </c>
      <c r="H405" s="426">
        <f t="shared" si="51"/>
        <v>73.971338970784799</v>
      </c>
      <c r="I405" s="148">
        <f t="shared" si="50"/>
        <v>27.199261339557573</v>
      </c>
      <c r="J405" s="148">
        <v>31.34870227762076</v>
      </c>
      <c r="K405" s="426">
        <f t="shared" si="52"/>
        <v>7.6695636299623819</v>
      </c>
      <c r="L405" s="925">
        <f t="shared" si="48"/>
        <v>9.3491980649241437</v>
      </c>
      <c r="M405" s="532">
        <f t="shared" si="53"/>
        <v>3.5267639300107047E-2</v>
      </c>
      <c r="N405" s="127"/>
      <c r="O405" s="127"/>
    </row>
    <row r="406" spans="1:15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625">
        <f t="shared" si="54"/>
        <v>3357</v>
      </c>
      <c r="G406" s="290">
        <f t="shared" si="49"/>
        <v>2.7530766985271536E-2</v>
      </c>
      <c r="H406" s="426">
        <f t="shared" si="51"/>
        <v>62.470889289289204</v>
      </c>
      <c r="I406" s="148">
        <f t="shared" si="50"/>
        <v>22.970545991671642</v>
      </c>
      <c r="J406" s="148">
        <v>26.474866300873686</v>
      </c>
      <c r="K406" s="426">
        <f t="shared" si="52"/>
        <v>6.4771635486248345</v>
      </c>
      <c r="L406" s="925">
        <f t="shared" si="48"/>
        <v>7.8956623657736733</v>
      </c>
      <c r="M406" s="532">
        <f t="shared" si="53"/>
        <v>3.5267639300107047E-2</v>
      </c>
      <c r="N406" s="127"/>
      <c r="O406" s="127"/>
    </row>
    <row r="407" spans="1:15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625">
        <f t="shared" si="54"/>
        <v>6146</v>
      </c>
      <c r="G407" s="290">
        <f t="shared" si="49"/>
        <v>5.0403364281048212E-2</v>
      </c>
      <c r="H407" s="426">
        <f t="shared" si="51"/>
        <v>114.37178599105494</v>
      </c>
      <c r="I407" s="148">
        <f t="shared" si="50"/>
        <v>42.054505708910902</v>
      </c>
      <c r="J407" s="148">
        <v>48.470219924089861</v>
      </c>
      <c r="K407" s="426">
        <f t="shared" si="52"/>
        <v>11.858399514402214</v>
      </c>
      <c r="L407" s="925">
        <f t="shared" si="48"/>
        <v>14.455389008056299</v>
      </c>
      <c r="M407" s="532">
        <f t="shared" si="53"/>
        <v>3.5267639300107047E-2</v>
      </c>
      <c r="N407" s="127"/>
      <c r="O407" s="127"/>
    </row>
    <row r="408" spans="1:15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625">
        <f t="shared" si="54"/>
        <v>983</v>
      </c>
      <c r="G408" s="290">
        <f t="shared" si="49"/>
        <v>8.0615859238969082E-3</v>
      </c>
      <c r="H408" s="426">
        <f t="shared" si="51"/>
        <v>18.292786467492192</v>
      </c>
      <c r="I408" s="148">
        <f t="shared" si="50"/>
        <v>6.7262575840968797</v>
      </c>
      <c r="J408" s="148">
        <v>7.7523960601009323</v>
      </c>
      <c r="K408" s="426">
        <f t="shared" si="52"/>
        <v>1.8966493203152257</v>
      </c>
      <c r="L408" s="925">
        <f t="shared" si="48"/>
        <v>2.3120155214642604</v>
      </c>
      <c r="M408" s="532">
        <f t="shared" si="53"/>
        <v>3.5267639300107054E-2</v>
      </c>
      <c r="N408" s="127"/>
      <c r="O408" s="127"/>
    </row>
    <row r="409" spans="1:15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625">
        <f t="shared" si="54"/>
        <v>3815</v>
      </c>
      <c r="G409" s="290">
        <f t="shared" si="49"/>
        <v>3.1286826347575486E-2</v>
      </c>
      <c r="H409" s="426">
        <f t="shared" si="51"/>
        <v>70.993876270073969</v>
      </c>
      <c r="I409" s="148">
        <f t="shared" si="50"/>
        <v>26.104448304506199</v>
      </c>
      <c r="J409" s="148">
        <v>30.086867720534141</v>
      </c>
      <c r="K409" s="426">
        <f t="shared" si="52"/>
        <v>7.3608516347940851</v>
      </c>
      <c r="L409" s="925">
        <f t="shared" si="48"/>
        <v>8.9728781428139897</v>
      </c>
      <c r="M409" s="532">
        <f t="shared" si="53"/>
        <v>3.5267639300107047E-2</v>
      </c>
      <c r="N409" s="127"/>
      <c r="O409" s="127"/>
    </row>
    <row r="410" spans="1:15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625">
        <f t="shared" si="54"/>
        <v>4215</v>
      </c>
      <c r="G410" s="290">
        <f t="shared" si="49"/>
        <v>3.4567227537360593E-2</v>
      </c>
      <c r="H410" s="426">
        <f t="shared" si="51"/>
        <v>78.437533021851038</v>
      </c>
      <c r="I410" s="148">
        <f t="shared" si="50"/>
        <v>28.84148089213463</v>
      </c>
      <c r="J410" s="148">
        <v>33.241454113250697</v>
      </c>
      <c r="K410" s="426">
        <f t="shared" si="52"/>
        <v>8.1326316227148272</v>
      </c>
      <c r="L410" s="925">
        <f t="shared" si="48"/>
        <v>9.9136779480893757</v>
      </c>
      <c r="M410" s="532">
        <f t="shared" si="53"/>
        <v>3.526763930010704E-2</v>
      </c>
      <c r="N410" s="127"/>
      <c r="O410" s="127"/>
    </row>
    <row r="411" spans="1:15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625">
        <f t="shared" si="54"/>
        <v>12662</v>
      </c>
      <c r="G411" s="290">
        <f t="shared" si="49"/>
        <v>0.10384109966264765</v>
      </c>
      <c r="H411" s="426">
        <f t="shared" si="51"/>
        <v>235.62895447750367</v>
      </c>
      <c r="I411" s="148">
        <f t="shared" si="50"/>
        <v>86.640766561378101</v>
      </c>
      <c r="J411" s="148">
        <v>99.858432261442545</v>
      </c>
      <c r="K411" s="426">
        <f t="shared" si="52"/>
        <v>24.430695517631115</v>
      </c>
      <c r="L411" s="925">
        <f t="shared" si="48"/>
        <v>29.78101783599233</v>
      </c>
      <c r="M411" s="532">
        <f t="shared" si="53"/>
        <v>3.5267639300107047E-2</v>
      </c>
      <c r="N411" s="127"/>
      <c r="O411" s="127"/>
    </row>
    <row r="412" spans="1:15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625">
        <f t="shared" si="54"/>
        <v>3976</v>
      </c>
      <c r="G412" s="290">
        <f t="shared" si="49"/>
        <v>3.260718782646399E-2</v>
      </c>
      <c r="H412" s="426">
        <f t="shared" si="51"/>
        <v>73.989948112664237</v>
      </c>
      <c r="I412" s="148">
        <f t="shared" si="50"/>
        <v>27.206103921026642</v>
      </c>
      <c r="J412" s="148">
        <v>31.356588743602554</v>
      </c>
      <c r="K412" s="426">
        <f t="shared" si="52"/>
        <v>7.6714930799321834</v>
      </c>
      <c r="L412" s="925">
        <f t="shared" si="48"/>
        <v>9.3515500644373315</v>
      </c>
      <c r="M412" s="532">
        <f t="shared" si="53"/>
        <v>3.5267639300107047E-2</v>
      </c>
      <c r="N412" s="127"/>
      <c r="O412" s="127"/>
    </row>
    <row r="413" spans="1:15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625">
        <f t="shared" si="54"/>
        <v>12839</v>
      </c>
      <c r="G413" s="290">
        <f t="shared" si="49"/>
        <v>0.10529267718912756</v>
      </c>
      <c r="H413" s="426">
        <f t="shared" si="51"/>
        <v>238.92277259016504</v>
      </c>
      <c r="I413" s="148">
        <f t="shared" si="50"/>
        <v>87.851903481403696</v>
      </c>
      <c r="J413" s="148">
        <v>101.25433674021961</v>
      </c>
      <c r="K413" s="426">
        <f t="shared" si="52"/>
        <v>24.772208162286041</v>
      </c>
      <c r="L413" s="925">
        <f t="shared" ref="L413:L476" si="55">K413*1.219</f>
        <v>30.197321749826688</v>
      </c>
      <c r="M413" s="532">
        <f t="shared" si="53"/>
        <v>3.5267639300107047E-2</v>
      </c>
      <c r="N413" s="127"/>
      <c r="O413" s="127"/>
    </row>
    <row r="414" spans="1:15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625">
        <f t="shared" si="54"/>
        <v>10313</v>
      </c>
      <c r="G414" s="290">
        <f t="shared" si="49"/>
        <v>8.4576943675634592E-2</v>
      </c>
      <c r="H414" s="426">
        <f t="shared" si="51"/>
        <v>191.91608020269274</v>
      </c>
      <c r="I414" s="148">
        <f t="shared" si="50"/>
        <v>70.567542690530132</v>
      </c>
      <c r="J414" s="148">
        <v>81.333123670214576</v>
      </c>
      <c r="K414" s="426">
        <f t="shared" si="52"/>
        <v>19.898417538566552</v>
      </c>
      <c r="L414" s="925">
        <f t="shared" si="55"/>
        <v>24.256170979512628</v>
      </c>
      <c r="M414" s="532">
        <f t="shared" si="53"/>
        <v>3.5267639300107047E-2</v>
      </c>
      <c r="N414" s="127"/>
      <c r="O414" s="127"/>
    </row>
    <row r="415" spans="1:15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625">
        <f t="shared" si="54"/>
        <v>6385</v>
      </c>
      <c r="G415" s="290">
        <f t="shared" si="49"/>
        <v>5.2363403991944814E-2</v>
      </c>
      <c r="H415" s="426">
        <f t="shared" si="51"/>
        <v>118.81937090024174</v>
      </c>
      <c r="I415" s="148">
        <f t="shared" si="50"/>
        <v>43.68988268001889</v>
      </c>
      <c r="J415" s="148">
        <v>50.355085293738007</v>
      </c>
      <c r="K415" s="426">
        <f t="shared" si="52"/>
        <v>12.319538057184857</v>
      </c>
      <c r="L415" s="925">
        <f t="shared" si="55"/>
        <v>15.017516891708341</v>
      </c>
      <c r="M415" s="532">
        <f t="shared" si="53"/>
        <v>3.5267639300107047E-2</v>
      </c>
      <c r="N415" s="127"/>
      <c r="O415" s="127"/>
    </row>
    <row r="416" spans="1:15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625">
        <f t="shared" si="54"/>
        <v>3041.2</v>
      </c>
      <c r="G416" s="290">
        <f t="shared" si="49"/>
        <v>2.4940890245936188E-2</v>
      </c>
      <c r="H416" s="426">
        <f t="shared" si="51"/>
        <v>56.594122283761187</v>
      </c>
      <c r="I416" s="148">
        <f t="shared" si="50"/>
        <v>20.809658763738991</v>
      </c>
      <c r="J416" s="148">
        <v>23.984320343823967</v>
      </c>
      <c r="K416" s="426">
        <f t="shared" si="52"/>
        <v>5.8678432481614076</v>
      </c>
      <c r="L416" s="925">
        <f t="shared" si="55"/>
        <v>7.1529009195087561</v>
      </c>
      <c r="M416" s="532">
        <f t="shared" si="53"/>
        <v>3.5386322876768579E-2</v>
      </c>
      <c r="N416" s="127"/>
      <c r="O416" s="127"/>
    </row>
    <row r="417" spans="1:15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625">
        <f t="shared" si="54"/>
        <v>3886</v>
      </c>
      <c r="G417" s="290">
        <f t="shared" si="49"/>
        <v>3.1869097558762341E-2</v>
      </c>
      <c r="H417" s="426">
        <f t="shared" si="51"/>
        <v>72.315125343514396</v>
      </c>
      <c r="I417" s="148">
        <f t="shared" si="50"/>
        <v>26.590271588810246</v>
      </c>
      <c r="J417" s="148">
        <v>30.646806805241329</v>
      </c>
      <c r="K417" s="426">
        <f t="shared" si="52"/>
        <v>7.4978425826500166</v>
      </c>
      <c r="L417" s="925">
        <f t="shared" si="55"/>
        <v>9.1398701082503706</v>
      </c>
      <c r="M417" s="532">
        <f t="shared" si="53"/>
        <v>3.5267639300107047E-2</v>
      </c>
      <c r="N417" s="127"/>
      <c r="O417" s="127"/>
    </row>
    <row r="418" spans="1:15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625">
        <f t="shared" si="54"/>
        <v>4071</v>
      </c>
      <c r="G418" s="290">
        <f t="shared" si="49"/>
        <v>3.3386283109037955E-2</v>
      </c>
      <c r="H418" s="426">
        <f t="shared" si="51"/>
        <v>75.757816591211295</v>
      </c>
      <c r="I418" s="148">
        <f t="shared" si="50"/>
        <v>27.856149160588394</v>
      </c>
      <c r="J418" s="148">
        <v>32.10580301187273</v>
      </c>
      <c r="K418" s="426">
        <f t="shared" si="52"/>
        <v>7.8547908270633604</v>
      </c>
      <c r="L418" s="925">
        <f t="shared" si="55"/>
        <v>9.5749900181902365</v>
      </c>
      <c r="M418" s="532">
        <f t="shared" si="53"/>
        <v>3.526763930010704E-2</v>
      </c>
      <c r="N418" s="127"/>
      <c r="O418" s="127"/>
    </row>
    <row r="419" spans="1:15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625">
        <f t="shared" si="54"/>
        <v>352.6</v>
      </c>
      <c r="G419" s="290">
        <f t="shared" si="49"/>
        <v>2.8916736487955745E-3</v>
      </c>
      <c r="H419" s="426">
        <f t="shared" si="51"/>
        <v>6.5615834266915023</v>
      </c>
      <c r="I419" s="148">
        <f t="shared" si="50"/>
        <v>2.4126942259944655</v>
      </c>
      <c r="J419" s="148">
        <v>3.5585695313085006</v>
      </c>
      <c r="K419" s="426">
        <f t="shared" si="52"/>
        <v>0.6803240593521348</v>
      </c>
      <c r="L419" s="925">
        <f t="shared" si="55"/>
        <v>0.82931502835025239</v>
      </c>
      <c r="M419" s="532">
        <f t="shared" si="53"/>
        <v>8.2018443472045954E-2</v>
      </c>
      <c r="N419" s="127"/>
      <c r="O419" s="127"/>
    </row>
    <row r="420" spans="1:15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625">
        <f t="shared" si="54"/>
        <v>656.95</v>
      </c>
      <c r="G420" s="290">
        <f t="shared" si="49"/>
        <v>5.3876489040733198E-3</v>
      </c>
      <c r="H420" s="426">
        <f t="shared" si="51"/>
        <v>12.225275757699892</v>
      </c>
      <c r="I420" s="148">
        <f t="shared" si="50"/>
        <v>4.4952338961062503</v>
      </c>
      <c r="J420" s="148">
        <v>5.1810138267378507</v>
      </c>
      <c r="K420" s="427">
        <f t="shared" ref="K420:K483" si="56">G420*367.79</f>
        <v>1.9815233904291263</v>
      </c>
      <c r="L420" s="925">
        <f t="shared" si="55"/>
        <v>2.4154770129331049</v>
      </c>
      <c r="M420" s="532">
        <f t="shared" si="53"/>
        <v>3.6354436214282845E-2</v>
      </c>
      <c r="N420" s="127"/>
      <c r="O420" s="127"/>
    </row>
    <row r="421" spans="1:15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625">
        <f t="shared" si="54"/>
        <v>485.16</v>
      </c>
      <c r="G421" s="290">
        <f t="shared" si="49"/>
        <v>3.9787986030903602E-3</v>
      </c>
      <c r="H421" s="426">
        <f t="shared" si="51"/>
        <v>9.0284112742304288</v>
      </c>
      <c r="I421" s="148">
        <f t="shared" si="50"/>
        <v>3.319746825534529</v>
      </c>
      <c r="J421" s="148">
        <v>3.8261978357259094</v>
      </c>
      <c r="K421" s="427">
        <f t="shared" si="56"/>
        <v>1.4633623382306036</v>
      </c>
      <c r="L421" s="925">
        <f t="shared" si="55"/>
        <v>1.7838386903031058</v>
      </c>
      <c r="M421" s="532">
        <f t="shared" si="53"/>
        <v>3.6354436214282859E-2</v>
      </c>
      <c r="N421" s="127"/>
      <c r="O421" s="127"/>
    </row>
    <row r="422" spans="1:15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625">
        <f t="shared" si="54"/>
        <v>286.92</v>
      </c>
      <c r="G422" s="290">
        <f t="shared" si="49"/>
        <v>2.3530317734328596E-3</v>
      </c>
      <c r="H422" s="426">
        <f t="shared" si="51"/>
        <v>5.3393349880497052</v>
      </c>
      <c r="I422" s="148">
        <f t="shared" si="50"/>
        <v>1.9632734751058767</v>
      </c>
      <c r="J422" s="148">
        <v>2.2627848194955846</v>
      </c>
      <c r="K422" s="427">
        <f t="shared" si="56"/>
        <v>0.86542155595087145</v>
      </c>
      <c r="L422" s="925">
        <f t="shared" si="55"/>
        <v>1.0549488767041124</v>
      </c>
      <c r="M422" s="532">
        <f t="shared" si="53"/>
        <v>3.6354436214282859E-2</v>
      </c>
      <c r="N422" s="127"/>
      <c r="O422" s="127"/>
    </row>
    <row r="423" spans="1:15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625">
        <f t="shared" si="54"/>
        <v>226.94</v>
      </c>
      <c r="G423" s="290">
        <f t="shared" si="49"/>
        <v>1.8611356150245821E-3</v>
      </c>
      <c r="H423" s="426">
        <f t="shared" si="51"/>
        <v>4.2231586581207301</v>
      </c>
      <c r="I423" s="148">
        <f t="shared" si="50"/>
        <v>1.5528554385909925</v>
      </c>
      <c r="J423" s="148">
        <v>1.7897545899077374</v>
      </c>
      <c r="K423" s="427">
        <f t="shared" si="56"/>
        <v>0.68450706784989113</v>
      </c>
      <c r="L423" s="925">
        <f t="shared" si="55"/>
        <v>0.83441411570901736</v>
      </c>
      <c r="M423" s="532">
        <f t="shared" si="53"/>
        <v>3.6354436214282859E-2</v>
      </c>
      <c r="N423" s="127"/>
      <c r="O423" s="127"/>
    </row>
    <row r="424" spans="1:15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625">
        <f t="shared" si="54"/>
        <v>307.14999999999998</v>
      </c>
      <c r="G424" s="290">
        <f t="shared" si="49"/>
        <v>2.518938063606241E-3</v>
      </c>
      <c r="H424" s="426">
        <f t="shared" si="51"/>
        <v>5.7157979282708302</v>
      </c>
      <c r="I424" s="148">
        <f t="shared" si="50"/>
        <v>2.1016988982251843</v>
      </c>
      <c r="J424" s="148">
        <v>2.4223280263072242</v>
      </c>
      <c r="K424" s="427">
        <f t="shared" si="56"/>
        <v>0.92644023041373946</v>
      </c>
      <c r="L424" s="925">
        <f t="shared" si="55"/>
        <v>1.1293306408743484</v>
      </c>
      <c r="M424" s="532">
        <f t="shared" si="53"/>
        <v>3.6354436214282852E-2</v>
      </c>
      <c r="N424" s="127"/>
      <c r="O424" s="127"/>
    </row>
    <row r="425" spans="1:15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625">
        <f t="shared" si="54"/>
        <v>329.65</v>
      </c>
      <c r="G425" s="290">
        <f t="shared" si="49"/>
        <v>2.7034606305316533E-3</v>
      </c>
      <c r="H425" s="426">
        <f t="shared" si="51"/>
        <v>6.1345036205582906</v>
      </c>
      <c r="I425" s="148">
        <f t="shared" si="50"/>
        <v>2.2556569812792837</v>
      </c>
      <c r="J425" s="148">
        <v>2.5997735108975304</v>
      </c>
      <c r="K425" s="427">
        <f t="shared" si="56"/>
        <v>0.99430578530323688</v>
      </c>
      <c r="L425" s="925">
        <f t="shared" si="55"/>
        <v>1.2120587522846458</v>
      </c>
      <c r="M425" s="532">
        <f t="shared" si="53"/>
        <v>3.6354436214282859E-2</v>
      </c>
      <c r="N425" s="127"/>
      <c r="O425" s="127"/>
    </row>
    <row r="426" spans="1:15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625">
        <f t="shared" si="54"/>
        <v>255.16</v>
      </c>
      <c r="G426" s="290">
        <f t="shared" si="49"/>
        <v>2.0925679189639215E-3</v>
      </c>
      <c r="H426" s="426">
        <f t="shared" si="51"/>
        <v>4.7483086419586034</v>
      </c>
      <c r="I426" s="148">
        <f t="shared" si="50"/>
        <v>1.7459530876481786</v>
      </c>
      <c r="J426" s="148">
        <v>2.0123106599138905</v>
      </c>
      <c r="K426" s="427">
        <f t="shared" si="56"/>
        <v>0.76962555491574069</v>
      </c>
      <c r="L426" s="925">
        <f t="shared" si="55"/>
        <v>0.93817355144228798</v>
      </c>
      <c r="M426" s="532">
        <f t="shared" si="53"/>
        <v>3.6354436214282852E-2</v>
      </c>
      <c r="N426" s="127"/>
      <c r="O426" s="127"/>
    </row>
    <row r="427" spans="1:15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625">
        <f t="shared" si="54"/>
        <v>509.32</v>
      </c>
      <c r="G427" s="290">
        <f t="shared" si="49"/>
        <v>4.1769348349533801E-3</v>
      </c>
      <c r="H427" s="426">
        <f t="shared" si="51"/>
        <v>9.4780081420377638</v>
      </c>
      <c r="I427" s="148">
        <f t="shared" si="50"/>
        <v>3.4850635938272858</v>
      </c>
      <c r="J427" s="148">
        <v>4.0167348538459891</v>
      </c>
      <c r="K427" s="427">
        <f t="shared" si="56"/>
        <v>1.5362348629475038</v>
      </c>
      <c r="L427" s="925">
        <f t="shared" si="55"/>
        <v>1.8726702979330072</v>
      </c>
      <c r="M427" s="532">
        <f t="shared" si="53"/>
        <v>3.6354436214282852E-2</v>
      </c>
      <c r="N427" s="127"/>
      <c r="O427" s="127"/>
    </row>
    <row r="428" spans="1:15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625">
        <f t="shared" si="54"/>
        <v>509.19</v>
      </c>
      <c r="G428" s="290">
        <f t="shared" si="49"/>
        <v>4.1758687045667002E-3</v>
      </c>
      <c r="H428" s="426">
        <f t="shared" si="51"/>
        <v>9.4755889535934372</v>
      </c>
      <c r="I428" s="148">
        <f t="shared" si="50"/>
        <v>3.4841740582363072</v>
      </c>
      <c r="J428" s="148">
        <v>4.0157096132683563</v>
      </c>
      <c r="K428" s="427">
        <f t="shared" si="56"/>
        <v>1.5358427508525867</v>
      </c>
      <c r="L428" s="925">
        <f t="shared" si="55"/>
        <v>1.8721923132893032</v>
      </c>
      <c r="M428" s="532">
        <f t="shared" si="53"/>
        <v>3.6354436214282852E-2</v>
      </c>
      <c r="N428" s="127"/>
      <c r="O428" s="127"/>
    </row>
    <row r="429" spans="1:15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625">
        <f t="shared" si="54"/>
        <v>291.43</v>
      </c>
      <c r="G429" s="290">
        <f t="shared" si="49"/>
        <v>2.3900182968476865E-3</v>
      </c>
      <c r="H429" s="426">
        <f t="shared" si="51"/>
        <v>5.4232622179259913</v>
      </c>
      <c r="I429" s="148">
        <f t="shared" si="50"/>
        <v>1.9941335175313872</v>
      </c>
      <c r="J429" s="148">
        <v>2.2983527810734641</v>
      </c>
      <c r="K429" s="427">
        <f t="shared" si="56"/>
        <v>0.87902482939761062</v>
      </c>
      <c r="L429" s="925">
        <f t="shared" si="55"/>
        <v>1.0715312670356874</v>
      </c>
      <c r="M429" s="532">
        <f t="shared" si="53"/>
        <v>3.6354436214282852E-2</v>
      </c>
      <c r="N429" s="127"/>
      <c r="O429" s="127"/>
    </row>
    <row r="430" spans="1:15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625">
        <f t="shared" si="54"/>
        <v>449.48</v>
      </c>
      <c r="G430" s="290">
        <f t="shared" si="49"/>
        <v>3.6861868169615281E-3</v>
      </c>
      <c r="H430" s="426">
        <f t="shared" si="51"/>
        <v>8.3644370919719133</v>
      </c>
      <c r="I430" s="148">
        <f t="shared" si="50"/>
        <v>3.0756035187180726</v>
      </c>
      <c r="J430" s="148">
        <v>3.5448087294955921</v>
      </c>
      <c r="K430" s="427">
        <f t="shared" si="56"/>
        <v>1.3557426494102804</v>
      </c>
      <c r="L430" s="925">
        <f t="shared" si="55"/>
        <v>1.6526502896311319</v>
      </c>
      <c r="M430" s="532">
        <f t="shared" si="53"/>
        <v>3.6354436214282852E-2</v>
      </c>
      <c r="N430" s="127"/>
      <c r="O430" s="127"/>
    </row>
    <row r="431" spans="1:15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625">
        <f t="shared" si="54"/>
        <v>467.46</v>
      </c>
      <c r="G431" s="290">
        <f t="shared" si="49"/>
        <v>3.8336408504423686E-3</v>
      </c>
      <c r="H431" s="426">
        <f t="shared" si="51"/>
        <v>8.6990294629642921</v>
      </c>
      <c r="I431" s="148">
        <f t="shared" si="50"/>
        <v>3.1986331335319704</v>
      </c>
      <c r="J431" s="148">
        <v>3.6866073878482015</v>
      </c>
      <c r="K431" s="427">
        <f t="shared" si="56"/>
        <v>1.4099747683841988</v>
      </c>
      <c r="L431" s="925">
        <f t="shared" si="55"/>
        <v>1.7187592426603384</v>
      </c>
      <c r="M431" s="532">
        <f t="shared" si="53"/>
        <v>3.6354436214282852E-2</v>
      </c>
      <c r="N431" s="127"/>
      <c r="O431" s="127"/>
    </row>
    <row r="432" spans="1:15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625">
        <f t="shared" si="54"/>
        <v>558.4</v>
      </c>
      <c r="G432" s="290">
        <f t="shared" si="49"/>
        <v>4.5794400609400132E-3</v>
      </c>
      <c r="H432" s="426">
        <f t="shared" si="51"/>
        <v>10.391344825480813</v>
      </c>
      <c r="I432" s="148">
        <f t="shared" si="50"/>
        <v>3.8208974923292951</v>
      </c>
      <c r="J432" s="148">
        <v>4.4038026042323102</v>
      </c>
      <c r="K432" s="427">
        <f t="shared" si="56"/>
        <v>1.6842722600131275</v>
      </c>
      <c r="L432" s="925">
        <f t="shared" si="55"/>
        <v>2.0531278849560026</v>
      </c>
      <c r="M432" s="532">
        <f t="shared" si="53"/>
        <v>4.729803630488244E-2</v>
      </c>
      <c r="N432" s="127"/>
      <c r="O432" s="127"/>
    </row>
    <row r="433" spans="1:15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625">
        <f t="shared" si="54"/>
        <v>331.42</v>
      </c>
      <c r="G433" s="290">
        <f t="shared" si="49"/>
        <v>2.7179764057964528E-3</v>
      </c>
      <c r="H433" s="426">
        <f t="shared" si="51"/>
        <v>6.1674418016849053</v>
      </c>
      <c r="I433" s="148">
        <f t="shared" si="50"/>
        <v>2.2677683504795398</v>
      </c>
      <c r="J433" s="148">
        <v>2.6137325556853019</v>
      </c>
      <c r="K433" s="427">
        <f t="shared" si="56"/>
        <v>0.99964454228787747</v>
      </c>
      <c r="L433" s="925">
        <f t="shared" si="55"/>
        <v>1.2185666970489226</v>
      </c>
      <c r="M433" s="532">
        <f t="shared" si="53"/>
        <v>3.6354436214282859E-2</v>
      </c>
      <c r="N433" s="127"/>
      <c r="O433" s="127"/>
    </row>
    <row r="434" spans="1:15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625">
        <f t="shared" si="54"/>
        <v>154.9</v>
      </c>
      <c r="G434" s="290">
        <f t="shared" si="49"/>
        <v>1.2703353607442839E-3</v>
      </c>
      <c r="H434" s="426">
        <f t="shared" si="51"/>
        <v>2.8825560771256771</v>
      </c>
      <c r="I434" s="148">
        <f t="shared" si="50"/>
        <v>1.0599158695591115</v>
      </c>
      <c r="J434" s="148">
        <v>1.2216135805794859</v>
      </c>
      <c r="K434" s="427">
        <f t="shared" si="56"/>
        <v>0.4672166423281402</v>
      </c>
      <c r="L434" s="925">
        <f t="shared" si="55"/>
        <v>0.56953708699800298</v>
      </c>
      <c r="M434" s="532">
        <f t="shared" si="53"/>
        <v>3.6354436214282859E-2</v>
      </c>
      <c r="N434" s="127"/>
      <c r="O434" s="127"/>
    </row>
    <row r="435" spans="1:15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625">
        <f t="shared" si="54"/>
        <v>119.9</v>
      </c>
      <c r="G435" s="290">
        <f t="shared" si="49"/>
        <v>9.8330025663808675E-4</v>
      </c>
      <c r="H435" s="426">
        <f t="shared" si="51"/>
        <v>2.231236111345182</v>
      </c>
      <c r="I435" s="148">
        <f t="shared" si="50"/>
        <v>0.82042551814162346</v>
      </c>
      <c r="J435" s="148">
        <v>0.94558727121678721</v>
      </c>
      <c r="K435" s="427">
        <f t="shared" si="56"/>
        <v>0.36164800138892195</v>
      </c>
      <c r="L435" s="925">
        <f t="shared" si="55"/>
        <v>0.44084891369309587</v>
      </c>
      <c r="M435" s="532">
        <f t="shared" si="53"/>
        <v>3.6354436214282852E-2</v>
      </c>
      <c r="N435" s="127"/>
      <c r="O435" s="127"/>
    </row>
    <row r="436" spans="1:15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625">
        <f t="shared" si="54"/>
        <v>300.3</v>
      </c>
      <c r="G436" s="290">
        <f t="shared" si="49"/>
        <v>2.4627611932311715E-3</v>
      </c>
      <c r="H436" s="426">
        <f t="shared" si="51"/>
        <v>5.5883253063966487</v>
      </c>
      <c r="I436" s="148">
        <f t="shared" si="50"/>
        <v>2.0548272151620477</v>
      </c>
      <c r="J436" s="148">
        <v>2.3683057343319533</v>
      </c>
      <c r="K436" s="427">
        <f t="shared" si="56"/>
        <v>0.90577893925849262</v>
      </c>
      <c r="L436" s="925">
        <f t="shared" si="55"/>
        <v>1.1041445269561025</v>
      </c>
      <c r="M436" s="532">
        <f t="shared" si="53"/>
        <v>3.8892900588347497E-2</v>
      </c>
      <c r="N436" s="127"/>
      <c r="O436" s="127"/>
    </row>
    <row r="437" spans="1:15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625">
        <f t="shared" si="54"/>
        <v>226.84</v>
      </c>
      <c r="G437" s="290">
        <f t="shared" si="49"/>
        <v>1.8603155147271359E-3</v>
      </c>
      <c r="H437" s="426">
        <f t="shared" si="51"/>
        <v>4.2212977439327863</v>
      </c>
      <c r="I437" s="148">
        <f t="shared" si="50"/>
        <v>1.5521711804440856</v>
      </c>
      <c r="J437" s="148">
        <v>1.7889659433095584</v>
      </c>
      <c r="K437" s="427">
        <f t="shared" si="56"/>
        <v>0.68420544316149334</v>
      </c>
      <c r="L437" s="925">
        <f t="shared" si="55"/>
        <v>0.83404643521386046</v>
      </c>
      <c r="M437" s="532">
        <f t="shared" si="53"/>
        <v>3.6354436214282852E-2</v>
      </c>
      <c r="N437" s="127"/>
      <c r="O437" s="127"/>
    </row>
    <row r="438" spans="1:15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625">
        <f t="shared" si="54"/>
        <v>216.3</v>
      </c>
      <c r="G438" s="290">
        <f t="shared" si="49"/>
        <v>1.7738769433762983E-3</v>
      </c>
      <c r="H438" s="426">
        <f t="shared" si="51"/>
        <v>4.0251573885234597</v>
      </c>
      <c r="I438" s="148">
        <f t="shared" si="50"/>
        <v>1.4800503717600761</v>
      </c>
      <c r="J438" s="148">
        <v>1.705842591861477</v>
      </c>
      <c r="K438" s="427">
        <f t="shared" si="56"/>
        <v>0.65241420100436875</v>
      </c>
      <c r="L438" s="925">
        <f t="shared" si="55"/>
        <v>0.79529291102432553</v>
      </c>
      <c r="M438" s="532">
        <f t="shared" si="53"/>
        <v>3.6354436214282852E-2</v>
      </c>
      <c r="N438" s="127"/>
      <c r="O438" s="190"/>
    </row>
    <row r="439" spans="1:15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625">
        <f t="shared" si="54"/>
        <v>307.64999999999998</v>
      </c>
      <c r="G439" s="290">
        <f t="shared" si="49"/>
        <v>2.5230385650934725E-3</v>
      </c>
      <c r="H439" s="426">
        <f t="shared" si="51"/>
        <v>5.7251024992105517</v>
      </c>
      <c r="I439" s="148">
        <f t="shared" si="50"/>
        <v>2.1051201889597202</v>
      </c>
      <c r="J439" s="148">
        <v>2.4262712592981197</v>
      </c>
      <c r="K439" s="427">
        <f t="shared" si="56"/>
        <v>0.92794835385572827</v>
      </c>
      <c r="L439" s="925">
        <f t="shared" si="55"/>
        <v>1.1311690433501329</v>
      </c>
      <c r="M439" s="532">
        <f t="shared" si="53"/>
        <v>3.6354436214282859E-2</v>
      </c>
      <c r="N439" s="127"/>
      <c r="O439" s="127"/>
    </row>
    <row r="440" spans="1:15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625">
        <f t="shared" si="54"/>
        <v>350.66</v>
      </c>
      <c r="G440" s="290">
        <f t="shared" si="49"/>
        <v>2.8757637030251168E-3</v>
      </c>
      <c r="H440" s="426">
        <f t="shared" si="51"/>
        <v>6.5254816914453837</v>
      </c>
      <c r="I440" s="148">
        <f t="shared" si="50"/>
        <v>2.3994196179444676</v>
      </c>
      <c r="J440" s="148">
        <v>2.7654681611749683</v>
      </c>
      <c r="K440" s="427">
        <f t="shared" si="56"/>
        <v>1.0576771323356078</v>
      </c>
      <c r="L440" s="925">
        <f t="shared" si="55"/>
        <v>1.289308424317106</v>
      </c>
      <c r="M440" s="532">
        <f t="shared" si="53"/>
        <v>3.6354436214282852E-2</v>
      </c>
      <c r="N440" s="127"/>
      <c r="O440" s="127"/>
    </row>
    <row r="441" spans="1:15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625">
        <f t="shared" si="54"/>
        <v>485.8</v>
      </c>
      <c r="G441" s="290">
        <f t="shared" si="49"/>
        <v>3.9840472449940156E-3</v>
      </c>
      <c r="H441" s="426">
        <f t="shared" si="51"/>
        <v>9.0403211250332713</v>
      </c>
      <c r="I441" s="148">
        <f t="shared" si="50"/>
        <v>3.3241260776747343</v>
      </c>
      <c r="J441" s="148">
        <v>3.8312451739542559</v>
      </c>
      <c r="K441" s="427">
        <f t="shared" si="56"/>
        <v>1.465292736236349</v>
      </c>
      <c r="L441" s="925">
        <f t="shared" si="55"/>
        <v>1.7861918454721095</v>
      </c>
      <c r="M441" s="532">
        <f t="shared" si="53"/>
        <v>3.6354436214282845E-2</v>
      </c>
      <c r="N441" s="127"/>
      <c r="O441" s="127"/>
    </row>
    <row r="442" spans="1:15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625">
        <f t="shared" si="54"/>
        <v>402.96</v>
      </c>
      <c r="G442" s="290">
        <f t="shared" si="49"/>
        <v>3.3046761585895194E-3</v>
      </c>
      <c r="H442" s="426">
        <f t="shared" si="51"/>
        <v>7.4987398117402364</v>
      </c>
      <c r="I442" s="148">
        <f t="shared" si="50"/>
        <v>2.7572866287768849</v>
      </c>
      <c r="J442" s="148">
        <v>3.1779303320226568</v>
      </c>
      <c r="K442" s="427">
        <f t="shared" si="56"/>
        <v>1.2154268443676395</v>
      </c>
      <c r="L442" s="925">
        <f t="shared" si="55"/>
        <v>1.4816053232841526</v>
      </c>
      <c r="M442" s="532">
        <f t="shared" si="53"/>
        <v>3.6354436214282852E-2</v>
      </c>
      <c r="N442" s="127"/>
      <c r="O442" s="127"/>
    </row>
    <row r="443" spans="1:15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625">
        <f t="shared" si="54"/>
        <v>526.67999999999995</v>
      </c>
      <c r="G443" s="290">
        <f t="shared" si="49"/>
        <v>4.3193042465900534E-3</v>
      </c>
      <c r="H443" s="426">
        <f t="shared" si="51"/>
        <v>9.8010628450648891</v>
      </c>
      <c r="I443" s="148">
        <f t="shared" si="50"/>
        <v>3.60385080813036</v>
      </c>
      <c r="J443" s="148">
        <v>4.1536439032898871</v>
      </c>
      <c r="K443" s="427">
        <f t="shared" si="56"/>
        <v>1.5885969088533558</v>
      </c>
      <c r="L443" s="925">
        <f t="shared" si="55"/>
        <v>1.9364996318922409</v>
      </c>
      <c r="M443" s="532">
        <f t="shared" si="53"/>
        <v>3.6354436214282852E-2</v>
      </c>
      <c r="N443" s="127"/>
      <c r="O443" s="127"/>
    </row>
    <row r="444" spans="1:15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625">
        <f t="shared" si="54"/>
        <v>198.5</v>
      </c>
      <c r="G444" s="290">
        <f t="shared" si="49"/>
        <v>1.6278990904308609E-3</v>
      </c>
      <c r="H444" s="426">
        <f t="shared" si="51"/>
        <v>3.6939146630693793</v>
      </c>
      <c r="I444" s="148">
        <f t="shared" si="50"/>
        <v>1.3582524216106109</v>
      </c>
      <c r="J444" s="148">
        <v>1.5654634973855903</v>
      </c>
      <c r="K444" s="427">
        <f t="shared" si="56"/>
        <v>0.59872500646956639</v>
      </c>
      <c r="L444" s="925">
        <f t="shared" si="55"/>
        <v>0.72984578288640145</v>
      </c>
      <c r="M444" s="532">
        <f t="shared" si="53"/>
        <v>3.6354436214282859E-2</v>
      </c>
      <c r="N444" s="127"/>
      <c r="O444" s="127"/>
    </row>
    <row r="445" spans="1:15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625">
        <f t="shared" si="54"/>
        <v>879.8</v>
      </c>
      <c r="G445" s="290">
        <f t="shared" si="49"/>
        <v>7.2152424169323491E-3</v>
      </c>
      <c r="H445" s="426">
        <f t="shared" si="51"/>
        <v>16.372323025533703</v>
      </c>
      <c r="I445" s="148">
        <f t="shared" si="50"/>
        <v>6.0201031764887434</v>
      </c>
      <c r="J445" s="148">
        <v>6.9385127707800613</v>
      </c>
      <c r="K445" s="427">
        <f t="shared" si="56"/>
        <v>2.6536940085235488</v>
      </c>
      <c r="L445" s="925">
        <f t="shared" si="55"/>
        <v>3.234852996390206</v>
      </c>
      <c r="M445" s="532">
        <f t="shared" si="53"/>
        <v>4.7888356013364358E-2</v>
      </c>
      <c r="N445" s="127"/>
      <c r="O445" s="127"/>
    </row>
    <row r="446" spans="1:15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625">
        <f t="shared" si="54"/>
        <v>1786.8</v>
      </c>
      <c r="G446" s="290">
        <f t="shared" si="49"/>
        <v>1.4653552114770086E-2</v>
      </c>
      <c r="H446" s="426">
        <f t="shared" si="51"/>
        <v>33.250814710188244</v>
      </c>
      <c r="I446" s="148">
        <f t="shared" si="50"/>
        <v>12.226324568936219</v>
      </c>
      <c r="J446" s="148">
        <v>14.091537416264849</v>
      </c>
      <c r="K446" s="427">
        <f t="shared" si="56"/>
        <v>5.3894299322912902</v>
      </c>
      <c r="L446" s="925">
        <f t="shared" si="55"/>
        <v>6.5697150874630834</v>
      </c>
      <c r="M446" s="532">
        <f t="shared" si="53"/>
        <v>4.2183327896409238E-2</v>
      </c>
      <c r="N446" s="127"/>
      <c r="O446" s="127"/>
    </row>
    <row r="447" spans="1:15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625">
        <f t="shared" si="54"/>
        <v>776.28</v>
      </c>
      <c r="G447" s="290">
        <f t="shared" si="49"/>
        <v>6.3662745890159626E-3</v>
      </c>
      <c r="H447" s="426">
        <f t="shared" si="51"/>
        <v>14.445904658173792</v>
      </c>
      <c r="I447" s="148">
        <f t="shared" si="50"/>
        <v>5.3117591428105033</v>
      </c>
      <c r="J447" s="148">
        <v>6.1221058123450174</v>
      </c>
      <c r="K447" s="427">
        <f t="shared" si="56"/>
        <v>2.3414521310941812</v>
      </c>
      <c r="L447" s="925">
        <f t="shared" si="55"/>
        <v>2.8542301478038072</v>
      </c>
      <c r="M447" s="532">
        <f t="shared" si="53"/>
        <v>5.2195793712405673E-2</v>
      </c>
      <c r="N447" s="127"/>
      <c r="O447" s="127"/>
    </row>
    <row r="448" spans="1:15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625">
        <f t="shared" si="54"/>
        <v>475.29</v>
      </c>
      <c r="G448" s="290">
        <f t="shared" si="49"/>
        <v>3.8978547037324123E-3</v>
      </c>
      <c r="H448" s="426">
        <f t="shared" si="51"/>
        <v>8.8447390438803293</v>
      </c>
      <c r="I448" s="148">
        <f t="shared" si="50"/>
        <v>3.2522105464347972</v>
      </c>
      <c r="J448" s="148">
        <v>3.7483584164856278</v>
      </c>
      <c r="K448" s="427">
        <f t="shared" si="56"/>
        <v>1.4335919814857441</v>
      </c>
      <c r="L448" s="925">
        <f t="shared" si="55"/>
        <v>1.7475486254311221</v>
      </c>
      <c r="M448" s="532">
        <f t="shared" si="53"/>
        <v>3.6354436214282852E-2</v>
      </c>
      <c r="N448" s="127"/>
      <c r="O448" s="127"/>
    </row>
    <row r="449" spans="1:15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625">
        <f t="shared" si="54"/>
        <v>487.96</v>
      </c>
      <c r="G449" s="290">
        <f t="shared" si="49"/>
        <v>4.0017614114188551E-3</v>
      </c>
      <c r="H449" s="426">
        <f t="shared" si="51"/>
        <v>9.0805168714928666</v>
      </c>
      <c r="I449" s="148">
        <f t="shared" si="50"/>
        <v>3.3389060536479271</v>
      </c>
      <c r="J449" s="148">
        <v>3.8482799404749244</v>
      </c>
      <c r="K449" s="427">
        <f t="shared" si="56"/>
        <v>1.4718078295057408</v>
      </c>
      <c r="L449" s="925">
        <f t="shared" si="55"/>
        <v>1.7941337441674983</v>
      </c>
      <c r="M449" s="532">
        <f t="shared" si="53"/>
        <v>3.6354436214282852E-2</v>
      </c>
      <c r="N449" s="127"/>
      <c r="O449" s="127"/>
    </row>
    <row r="450" spans="1:15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625">
        <f t="shared" si="54"/>
        <v>1058.94</v>
      </c>
      <c r="G450" s="290">
        <f t="shared" ref="G450:G513" si="57">2/243872.61*F450</f>
        <v>8.684370089777611E-3</v>
      </c>
      <c r="H450" s="426">
        <f t="shared" si="51"/>
        <v>19.70596470181707</v>
      </c>
      <c r="I450" s="148">
        <f t="shared" ref="I450:I511" si="58">H450*0.3677</f>
        <v>7.2458832208581372</v>
      </c>
      <c r="J450" s="148">
        <v>8.3512942867581703</v>
      </c>
      <c r="K450" s="427">
        <f t="shared" si="56"/>
        <v>3.1940244753193077</v>
      </c>
      <c r="L450" s="925">
        <f t="shared" si="55"/>
        <v>3.8935158354142363</v>
      </c>
      <c r="M450" s="532">
        <f t="shared" si="53"/>
        <v>5.4556383828514098E-2</v>
      </c>
      <c r="N450" s="127"/>
      <c r="O450" s="127"/>
    </row>
    <row r="451" spans="1:15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625">
        <f t="shared" si="54"/>
        <v>435.39</v>
      </c>
      <c r="G451" s="290">
        <f t="shared" si="57"/>
        <v>3.5706346850513473E-3</v>
      </c>
      <c r="H451" s="426">
        <f t="shared" ref="H451:H514" si="59">G451*2269.13</f>
        <v>8.1022342828905636</v>
      </c>
      <c r="I451" s="148">
        <f t="shared" si="58"/>
        <v>2.9791915458188605</v>
      </c>
      <c r="J451" s="148">
        <v>3.4336884238121517</v>
      </c>
      <c r="K451" s="427">
        <f t="shared" si="56"/>
        <v>1.3132437308150351</v>
      </c>
      <c r="L451" s="925">
        <f t="shared" si="55"/>
        <v>1.6008441078635278</v>
      </c>
      <c r="M451" s="532">
        <f t="shared" si="53"/>
        <v>3.6354436214282852E-2</v>
      </c>
      <c r="N451" s="127"/>
      <c r="O451" s="127"/>
    </row>
    <row r="452" spans="1:15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625">
        <f t="shared" si="54"/>
        <v>539.61</v>
      </c>
      <c r="G452" s="290">
        <f t="shared" si="57"/>
        <v>4.4253432150498581E-3</v>
      </c>
      <c r="H452" s="426">
        <f t="shared" si="59"/>
        <v>10.041679049566085</v>
      </c>
      <c r="I452" s="148">
        <f t="shared" si="58"/>
        <v>3.6923253865254497</v>
      </c>
      <c r="J452" s="148">
        <v>4.2556159084344509</v>
      </c>
      <c r="K452" s="427">
        <f t="shared" si="56"/>
        <v>1.6275969810631874</v>
      </c>
      <c r="L452" s="925">
        <f t="shared" si="55"/>
        <v>1.9840407199160255</v>
      </c>
      <c r="M452" s="532">
        <f t="shared" si="53"/>
        <v>3.9407037475320247E-2</v>
      </c>
      <c r="N452" s="127"/>
      <c r="O452" s="127"/>
    </row>
    <row r="453" spans="1:15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625">
        <f t="shared" si="54"/>
        <v>466.35</v>
      </c>
      <c r="G453" s="290">
        <f t="shared" si="57"/>
        <v>3.824537737140715E-3</v>
      </c>
      <c r="H453" s="426">
        <f t="shared" si="59"/>
        <v>8.6783733154781117</v>
      </c>
      <c r="I453" s="148">
        <f t="shared" si="58"/>
        <v>3.1910378681013021</v>
      </c>
      <c r="J453" s="148">
        <v>3.6778534106084138</v>
      </c>
      <c r="K453" s="427">
        <f t="shared" si="56"/>
        <v>1.4066267343429837</v>
      </c>
      <c r="L453" s="925">
        <f t="shared" si="55"/>
        <v>1.7146779891640973</v>
      </c>
      <c r="M453" s="532">
        <f t="shared" si="53"/>
        <v>4.057410871970997E-2</v>
      </c>
      <c r="N453" s="127"/>
      <c r="O453" s="127"/>
    </row>
    <row r="454" spans="1:15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625">
        <f t="shared" si="54"/>
        <v>270.3</v>
      </c>
      <c r="G454" s="290">
        <f t="shared" si="57"/>
        <v>2.2167311039972882E-3</v>
      </c>
      <c r="H454" s="426">
        <f t="shared" si="59"/>
        <v>5.0300510500133671</v>
      </c>
      <c r="I454" s="148">
        <f t="shared" si="58"/>
        <v>1.8495497710899151</v>
      </c>
      <c r="J454" s="148">
        <v>2.1317117548782121</v>
      </c>
      <c r="K454" s="427">
        <f t="shared" si="56"/>
        <v>0.81529153273916266</v>
      </c>
      <c r="L454" s="925">
        <f t="shared" si="55"/>
        <v>0.99384037840903938</v>
      </c>
      <c r="M454" s="532">
        <f t="shared" ref="M454:M517" si="60">(K454+J454+I454+H454)/C454</f>
        <v>3.6354436214282859E-2</v>
      </c>
      <c r="N454" s="127"/>
      <c r="O454" s="127"/>
    </row>
    <row r="455" spans="1:15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625">
        <f t="shared" si="54"/>
        <v>1056.99</v>
      </c>
      <c r="G455" s="290">
        <f t="shared" si="57"/>
        <v>8.6683781339774082E-3</v>
      </c>
      <c r="H455" s="426">
        <f t="shared" si="59"/>
        <v>19.669676875152156</v>
      </c>
      <c r="I455" s="148">
        <f t="shared" si="58"/>
        <v>7.2325401869934485</v>
      </c>
      <c r="J455" s="148">
        <v>8.3359156780936772</v>
      </c>
      <c r="K455" s="427">
        <f t="shared" si="56"/>
        <v>3.1881427938955511</v>
      </c>
      <c r="L455" s="925">
        <f t="shared" si="55"/>
        <v>3.8863460657586772</v>
      </c>
      <c r="M455" s="532">
        <f t="shared" si="60"/>
        <v>3.6354436214282852E-2</v>
      </c>
      <c r="N455" s="127"/>
      <c r="O455" s="127"/>
    </row>
    <row r="456" spans="1:15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625">
        <f t="shared" si="54"/>
        <v>353.79999999999995</v>
      </c>
      <c r="G456" s="290">
        <f t="shared" si="57"/>
        <v>2.9015148523649295E-3</v>
      </c>
      <c r="H456" s="426">
        <f t="shared" si="59"/>
        <v>6.5839143969468328</v>
      </c>
      <c r="I456" s="148">
        <f t="shared" si="58"/>
        <v>2.4209053237573506</v>
      </c>
      <c r="J456" s="148">
        <v>2.7902316643577922</v>
      </c>
      <c r="K456" s="427">
        <f t="shared" si="56"/>
        <v>1.0671481475512974</v>
      </c>
      <c r="L456" s="925">
        <f t="shared" si="55"/>
        <v>1.3008535918650317</v>
      </c>
      <c r="M456" s="532">
        <f t="shared" si="60"/>
        <v>3.9895159840611892E-2</v>
      </c>
      <c r="N456" s="127"/>
      <c r="O456" s="127"/>
    </row>
    <row r="457" spans="1:15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625">
        <f t="shared" si="54"/>
        <v>239.3</v>
      </c>
      <c r="G457" s="290">
        <f t="shared" si="57"/>
        <v>1.9625000117889421E-3</v>
      </c>
      <c r="H457" s="426">
        <f t="shared" si="59"/>
        <v>4.4531676517506424</v>
      </c>
      <c r="I457" s="148">
        <f t="shared" si="58"/>
        <v>1.6374297455487112</v>
      </c>
      <c r="J457" s="148">
        <v>1.8872313094426789</v>
      </c>
      <c r="K457" s="427">
        <f t="shared" si="56"/>
        <v>0.72178787933585509</v>
      </c>
      <c r="L457" s="925">
        <f t="shared" si="55"/>
        <v>0.87985942491040736</v>
      </c>
      <c r="M457" s="532">
        <f t="shared" si="60"/>
        <v>3.6354436214282852E-2</v>
      </c>
      <c r="N457" s="127"/>
      <c r="O457" s="127"/>
    </row>
    <row r="458" spans="1:15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625">
        <f t="shared" si="54"/>
        <v>144.6</v>
      </c>
      <c r="G458" s="290">
        <f t="shared" si="57"/>
        <v>1.1858650301073172E-3</v>
      </c>
      <c r="H458" s="426">
        <f t="shared" si="59"/>
        <v>2.6908819157674166</v>
      </c>
      <c r="I458" s="148">
        <f t="shared" si="58"/>
        <v>0.9894372804276792</v>
      </c>
      <c r="J458" s="148">
        <v>1.1403829809670345</v>
      </c>
      <c r="K458" s="427">
        <f t="shared" si="56"/>
        <v>0.43614929942317021</v>
      </c>
      <c r="L458" s="925">
        <f t="shared" si="55"/>
        <v>0.5316659959968445</v>
      </c>
      <c r="M458" s="532">
        <f t="shared" si="60"/>
        <v>5.7015742696152928E-2</v>
      </c>
      <c r="N458" s="127"/>
      <c r="O458" s="127"/>
    </row>
    <row r="459" spans="1:15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625">
        <f t="shared" si="54"/>
        <v>375.5</v>
      </c>
      <c r="G459" s="290">
        <f t="shared" si="57"/>
        <v>3.0794766169107719E-3</v>
      </c>
      <c r="H459" s="426">
        <f t="shared" si="59"/>
        <v>6.9877327757307404</v>
      </c>
      <c r="I459" s="148">
        <f t="shared" si="58"/>
        <v>2.5693893416361933</v>
      </c>
      <c r="J459" s="148">
        <v>2.9613679761626659</v>
      </c>
      <c r="K459" s="427">
        <f t="shared" si="56"/>
        <v>1.1326007049336129</v>
      </c>
      <c r="L459" s="925">
        <f t="shared" si="55"/>
        <v>1.3806402593140741</v>
      </c>
      <c r="M459" s="532">
        <f t="shared" si="60"/>
        <v>3.6354436214282852E-2</v>
      </c>
      <c r="N459" s="127"/>
      <c r="O459" s="190"/>
    </row>
    <row r="460" spans="1:15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625">
        <f t="shared" si="54"/>
        <v>993.91</v>
      </c>
      <c r="G460" s="290">
        <f t="shared" si="57"/>
        <v>8.1510588663482961E-3</v>
      </c>
      <c r="H460" s="426">
        <f t="shared" si="59"/>
        <v>18.495812205396909</v>
      </c>
      <c r="I460" s="148">
        <f t="shared" si="58"/>
        <v>6.8009101479244443</v>
      </c>
      <c r="J460" s="148">
        <v>7.838437403962276</v>
      </c>
      <c r="K460" s="427">
        <f t="shared" si="56"/>
        <v>2.9978779404542402</v>
      </c>
      <c r="L460" s="925">
        <f t="shared" si="55"/>
        <v>3.6544132094137192</v>
      </c>
      <c r="M460" s="532">
        <f t="shared" si="60"/>
        <v>3.7277071006940887E-2</v>
      </c>
      <c r="N460" s="127"/>
      <c r="O460" s="127"/>
    </row>
    <row r="461" spans="1:15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625">
        <f t="shared" si="54"/>
        <v>716.19999999999993</v>
      </c>
      <c r="G461" s="290">
        <f t="shared" si="57"/>
        <v>5.8735583303102384E-3</v>
      </c>
      <c r="H461" s="426">
        <f t="shared" si="59"/>
        <v>13.327867414056872</v>
      </c>
      <c r="I461" s="148">
        <f t="shared" si="58"/>
        <v>4.9006568481487118</v>
      </c>
      <c r="J461" s="148">
        <v>5.6482869361589909</v>
      </c>
      <c r="K461" s="427">
        <f t="shared" si="56"/>
        <v>2.1602360183048028</v>
      </c>
      <c r="L461" s="925">
        <f t="shared" si="55"/>
        <v>2.6333277063135547</v>
      </c>
      <c r="M461" s="532">
        <f t="shared" si="60"/>
        <v>4.4561093987111722E-2</v>
      </c>
      <c r="N461" s="127"/>
      <c r="O461" s="127"/>
    </row>
    <row r="462" spans="1:15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625">
        <f t="shared" si="54"/>
        <v>472.2</v>
      </c>
      <c r="G462" s="290">
        <f t="shared" si="57"/>
        <v>3.8725136045413221E-3</v>
      </c>
      <c r="H462" s="426">
        <f t="shared" si="59"/>
        <v>8.7872367954728503</v>
      </c>
      <c r="I462" s="148">
        <f t="shared" si="58"/>
        <v>3.2310669696953673</v>
      </c>
      <c r="J462" s="148">
        <v>3.7239892366018927</v>
      </c>
      <c r="K462" s="427">
        <f t="shared" si="56"/>
        <v>1.4242717786142529</v>
      </c>
      <c r="L462" s="925">
        <f t="shared" si="55"/>
        <v>1.7361872981307744</v>
      </c>
      <c r="M462" s="532">
        <f t="shared" si="60"/>
        <v>3.6354436214282852E-2</v>
      </c>
      <c r="N462" s="127"/>
      <c r="O462" s="127"/>
    </row>
    <row r="463" spans="1:15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625">
        <f t="shared" si="54"/>
        <v>337.29999999999995</v>
      </c>
      <c r="G463" s="290">
        <f t="shared" si="57"/>
        <v>2.7661983032862933E-3</v>
      </c>
      <c r="H463" s="426">
        <f t="shared" si="59"/>
        <v>6.2768635559360266</v>
      </c>
      <c r="I463" s="148">
        <f t="shared" si="58"/>
        <v>2.308002729517677</v>
      </c>
      <c r="J463" s="148">
        <v>2.6601049756582347</v>
      </c>
      <c r="K463" s="427">
        <f t="shared" si="56"/>
        <v>1.0173800739656658</v>
      </c>
      <c r="L463" s="925">
        <f t="shared" si="55"/>
        <v>1.2401863101641466</v>
      </c>
      <c r="M463" s="532">
        <f t="shared" si="60"/>
        <v>4.6856520195176173E-2</v>
      </c>
      <c r="N463" s="127"/>
      <c r="O463" s="127"/>
    </row>
    <row r="464" spans="1:15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625">
        <f t="shared" si="54"/>
        <v>395.5</v>
      </c>
      <c r="G464" s="290">
        <f t="shared" si="57"/>
        <v>3.2434966764000274E-3</v>
      </c>
      <c r="H464" s="426">
        <f t="shared" si="59"/>
        <v>7.3599156133195942</v>
      </c>
      <c r="I464" s="148">
        <f t="shared" si="58"/>
        <v>2.706240971017615</v>
      </c>
      <c r="J464" s="148">
        <v>3.1190972957984937</v>
      </c>
      <c r="K464" s="427">
        <f t="shared" si="56"/>
        <v>1.192925642613166</v>
      </c>
      <c r="L464" s="925">
        <f t="shared" si="55"/>
        <v>1.4541763583454494</v>
      </c>
      <c r="M464" s="532">
        <f t="shared" si="60"/>
        <v>3.6354436214282852E-2</v>
      </c>
      <c r="N464" s="127"/>
      <c r="O464" s="127"/>
    </row>
    <row r="465" spans="1:15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625">
        <f t="shared" ref="F465:F527" si="61">C465+D465+E465</f>
        <v>464.09999999999997</v>
      </c>
      <c r="G465" s="290">
        <f t="shared" si="57"/>
        <v>3.8060854804481733E-3</v>
      </c>
      <c r="H465" s="426">
        <f t="shared" si="59"/>
        <v>8.6365027462493646</v>
      </c>
      <c r="I465" s="148">
        <f t="shared" si="58"/>
        <v>3.1756420597958916</v>
      </c>
      <c r="J465" s="148">
        <v>3.6601088621493822</v>
      </c>
      <c r="K465" s="427">
        <f t="shared" si="56"/>
        <v>1.3998401788540338</v>
      </c>
      <c r="L465" s="925">
        <f t="shared" si="55"/>
        <v>1.7064051780230673</v>
      </c>
      <c r="M465" s="532">
        <f t="shared" si="60"/>
        <v>4.4646980277980086E-2</v>
      </c>
      <c r="N465" s="127"/>
      <c r="O465" s="127"/>
    </row>
    <row r="466" spans="1:15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625">
        <f t="shared" si="61"/>
        <v>350.27000000000004</v>
      </c>
      <c r="G466" s="290">
        <f t="shared" si="57"/>
        <v>2.8725653118650764E-3</v>
      </c>
      <c r="H466" s="426">
        <f t="shared" si="59"/>
        <v>6.5182241261124014</v>
      </c>
      <c r="I466" s="148">
        <f t="shared" si="58"/>
        <v>2.39675101117153</v>
      </c>
      <c r="J466" s="148">
        <v>2.7623924394420691</v>
      </c>
      <c r="K466" s="427">
        <f t="shared" si="56"/>
        <v>1.0565007960508566</v>
      </c>
      <c r="L466" s="925">
        <f t="shared" si="55"/>
        <v>1.2878744703859943</v>
      </c>
      <c r="M466" s="532">
        <f t="shared" si="60"/>
        <v>4.9336956113044776E-2</v>
      </c>
      <c r="N466" s="127"/>
      <c r="O466" s="127"/>
    </row>
    <row r="467" spans="1:15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625">
        <f t="shared" si="61"/>
        <v>396.61</v>
      </c>
      <c r="G467" s="290">
        <f t="shared" si="57"/>
        <v>3.2525997897016813E-3</v>
      </c>
      <c r="H467" s="426">
        <f t="shared" si="59"/>
        <v>7.3805717608057764</v>
      </c>
      <c r="I467" s="148">
        <f t="shared" si="58"/>
        <v>2.7138362364482842</v>
      </c>
      <c r="J467" s="148">
        <v>3.1278512730382819</v>
      </c>
      <c r="K467" s="427">
        <f t="shared" si="56"/>
        <v>1.1962736766543813</v>
      </c>
      <c r="L467" s="925">
        <f t="shared" si="55"/>
        <v>1.458257611841691</v>
      </c>
      <c r="M467" s="532">
        <f t="shared" si="60"/>
        <v>3.6354436214282852E-2</v>
      </c>
      <c r="N467" s="127"/>
      <c r="O467" s="127"/>
    </row>
    <row r="468" spans="1:15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625">
        <f t="shared" si="61"/>
        <v>380.01000000000005</v>
      </c>
      <c r="G468" s="290">
        <f t="shared" si="57"/>
        <v>3.1164631403255995E-3</v>
      </c>
      <c r="H468" s="426">
        <f t="shared" si="59"/>
        <v>7.0716600056070282</v>
      </c>
      <c r="I468" s="148">
        <f t="shared" si="58"/>
        <v>2.6002493840617045</v>
      </c>
      <c r="J468" s="148">
        <v>2.9969359377405453</v>
      </c>
      <c r="K468" s="427">
        <f t="shared" si="56"/>
        <v>1.1462039783803524</v>
      </c>
      <c r="L468" s="925">
        <f t="shared" si="55"/>
        <v>1.3972226496456497</v>
      </c>
      <c r="M468" s="532">
        <f t="shared" si="60"/>
        <v>3.9938276736115261E-2</v>
      </c>
      <c r="N468" s="127"/>
      <c r="O468" s="127"/>
    </row>
    <row r="469" spans="1:15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625">
        <f t="shared" si="61"/>
        <v>501.9</v>
      </c>
      <c r="G469" s="290">
        <f t="shared" si="57"/>
        <v>4.1160833928828664E-3</v>
      </c>
      <c r="H469" s="426">
        <f t="shared" si="59"/>
        <v>9.3399283092922989</v>
      </c>
      <c r="I469" s="148">
        <f t="shared" si="58"/>
        <v>3.4342916393267786</v>
      </c>
      <c r="J469" s="148">
        <v>3.958217276261097</v>
      </c>
      <c r="K469" s="427">
        <f t="shared" si="56"/>
        <v>1.5138543110683895</v>
      </c>
      <c r="L469" s="925">
        <f t="shared" si="55"/>
        <v>1.845388405192367</v>
      </c>
      <c r="M469" s="532">
        <f t="shared" si="60"/>
        <v>3.6354436214282859E-2</v>
      </c>
      <c r="N469" s="127"/>
      <c r="O469" s="127"/>
    </row>
    <row r="470" spans="1:15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625">
        <f t="shared" si="61"/>
        <v>406.9</v>
      </c>
      <c r="G470" s="290">
        <f t="shared" si="57"/>
        <v>3.336988110308903E-3</v>
      </c>
      <c r="H470" s="426">
        <f t="shared" si="59"/>
        <v>7.5720598307452418</v>
      </c>
      <c r="I470" s="148">
        <f t="shared" si="58"/>
        <v>2.7842463997650255</v>
      </c>
      <c r="J470" s="148">
        <v>3.2090030079909151</v>
      </c>
      <c r="K470" s="427">
        <f t="shared" si="56"/>
        <v>1.2273108570905116</v>
      </c>
      <c r="L470" s="925">
        <f t="shared" si="55"/>
        <v>1.4960919347933337</v>
      </c>
      <c r="M470" s="532">
        <f t="shared" si="60"/>
        <v>3.6354436214282859E-2</v>
      </c>
      <c r="N470" s="127"/>
      <c r="O470" s="127"/>
    </row>
    <row r="471" spans="1:15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625">
        <f t="shared" si="61"/>
        <v>583.66999999999996</v>
      </c>
      <c r="G471" s="290">
        <f t="shared" si="57"/>
        <v>4.7866794061046875E-3</v>
      </c>
      <c r="H471" s="426">
        <f t="shared" si="59"/>
        <v>10.86159784077433</v>
      </c>
      <c r="I471" s="148">
        <f t="shared" si="58"/>
        <v>3.9938095260527215</v>
      </c>
      <c r="J471" s="148">
        <v>4.6030935995921789</v>
      </c>
      <c r="K471" s="427">
        <f t="shared" si="56"/>
        <v>1.7604928187712432</v>
      </c>
      <c r="L471" s="925">
        <f t="shared" si="55"/>
        <v>2.1460407460821456</v>
      </c>
      <c r="M471" s="532">
        <f t="shared" si="60"/>
        <v>3.6354436214282859E-2</v>
      </c>
      <c r="N471" s="127"/>
      <c r="O471" s="127"/>
    </row>
    <row r="472" spans="1:15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625">
        <f t="shared" si="61"/>
        <v>634.80999999999995</v>
      </c>
      <c r="G472" s="290">
        <f t="shared" si="57"/>
        <v>5.2060786982187131E-3</v>
      </c>
      <c r="H472" s="426">
        <f t="shared" si="59"/>
        <v>11.813269356489029</v>
      </c>
      <c r="I472" s="148">
        <f t="shared" si="58"/>
        <v>4.3437391423810165</v>
      </c>
      <c r="J472" s="148">
        <v>5.0064074699009895</v>
      </c>
      <c r="K472" s="427">
        <f t="shared" si="56"/>
        <v>1.9147436844178607</v>
      </c>
      <c r="L472" s="925">
        <f t="shared" si="55"/>
        <v>2.3340725513053724</v>
      </c>
      <c r="M472" s="532">
        <f t="shared" si="60"/>
        <v>3.6354436214282859E-2</v>
      </c>
      <c r="N472" s="127"/>
      <c r="O472" s="127"/>
    </row>
    <row r="473" spans="1:15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625">
        <f t="shared" si="61"/>
        <v>312.74</v>
      </c>
      <c r="G473" s="290">
        <f t="shared" si="57"/>
        <v>2.5647816702334884E-3</v>
      </c>
      <c r="H473" s="426">
        <f t="shared" si="59"/>
        <v>5.8198230313769157</v>
      </c>
      <c r="I473" s="148">
        <f t="shared" si="58"/>
        <v>2.1399489286372919</v>
      </c>
      <c r="J473" s="148">
        <v>2.4664133711454386</v>
      </c>
      <c r="K473" s="427">
        <f t="shared" si="56"/>
        <v>0.94330105049517476</v>
      </c>
      <c r="L473" s="925">
        <f t="shared" si="55"/>
        <v>1.1498839805536181</v>
      </c>
      <c r="M473" s="532">
        <f t="shared" si="60"/>
        <v>3.6354436214282852E-2</v>
      </c>
      <c r="N473" s="127"/>
      <c r="O473" s="127"/>
    </row>
    <row r="474" spans="1:15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625">
        <f t="shared" si="61"/>
        <v>359.3</v>
      </c>
      <c r="G474" s="290">
        <f t="shared" si="57"/>
        <v>2.9466203687244751E-3</v>
      </c>
      <c r="H474" s="426">
        <f t="shared" si="59"/>
        <v>6.6862646772837682</v>
      </c>
      <c r="I474" s="148">
        <f t="shared" si="58"/>
        <v>2.4585395218372419</v>
      </c>
      <c r="J474" s="148">
        <v>2.8336072272576449</v>
      </c>
      <c r="K474" s="427">
        <f t="shared" si="56"/>
        <v>1.0837375054131748</v>
      </c>
      <c r="L474" s="925">
        <f t="shared" si="55"/>
        <v>1.3210760190986601</v>
      </c>
      <c r="M474" s="532">
        <f t="shared" si="60"/>
        <v>3.6354436214282852E-2</v>
      </c>
      <c r="N474" s="127"/>
      <c r="O474" s="127"/>
    </row>
    <row r="475" spans="1:15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625">
        <f t="shared" si="61"/>
        <v>417.17</v>
      </c>
      <c r="G475" s="290">
        <f t="shared" si="57"/>
        <v>3.4212124108566359E-3</v>
      </c>
      <c r="H475" s="426">
        <f t="shared" si="59"/>
        <v>7.763175717847119</v>
      </c>
      <c r="I475" s="148">
        <f t="shared" si="58"/>
        <v>2.8545197114523857</v>
      </c>
      <c r="J475" s="148">
        <v>3.2899970136239132</v>
      </c>
      <c r="K475" s="427">
        <f t="shared" si="56"/>
        <v>1.2582877125889622</v>
      </c>
      <c r="L475" s="925">
        <f t="shared" si="55"/>
        <v>1.533852721645945</v>
      </c>
      <c r="M475" s="532">
        <f t="shared" si="60"/>
        <v>3.8721321917717412E-2</v>
      </c>
      <c r="N475" s="127"/>
      <c r="O475" s="127"/>
    </row>
    <row r="476" spans="1:15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625">
        <f t="shared" si="61"/>
        <v>249.3</v>
      </c>
      <c r="G476" s="290">
        <f t="shared" si="57"/>
        <v>2.0445100415335698E-3</v>
      </c>
      <c r="H476" s="426">
        <f t="shared" si="59"/>
        <v>4.6392590705450694</v>
      </c>
      <c r="I476" s="148">
        <f t="shared" si="58"/>
        <v>1.7058555602394221</v>
      </c>
      <c r="J476" s="148">
        <v>1.9660959692605928</v>
      </c>
      <c r="K476" s="427">
        <f t="shared" si="56"/>
        <v>0.75195034817563167</v>
      </c>
      <c r="L476" s="925">
        <f t="shared" si="55"/>
        <v>0.91662747442609505</v>
      </c>
      <c r="M476" s="532">
        <f t="shared" si="60"/>
        <v>4.6358879530540749E-2</v>
      </c>
      <c r="N476" s="127"/>
      <c r="O476" s="127"/>
    </row>
    <row r="477" spans="1:15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625">
        <f t="shared" si="61"/>
        <v>534.94000000000005</v>
      </c>
      <c r="G477" s="290">
        <f t="shared" si="57"/>
        <v>4.3870445311591172E-3</v>
      </c>
      <c r="H477" s="426">
        <f t="shared" si="59"/>
        <v>9.9547743569890876</v>
      </c>
      <c r="I477" s="148">
        <f t="shared" si="58"/>
        <v>3.660370531064888</v>
      </c>
      <c r="J477" s="148">
        <v>4.218786112299485</v>
      </c>
      <c r="K477" s="427">
        <f t="shared" si="56"/>
        <v>1.6135111081150117</v>
      </c>
      <c r="L477" s="925">
        <f t="shared" ref="L477:L540" si="62">K477*1.219</f>
        <v>1.9668700407921995</v>
      </c>
      <c r="M477" s="532">
        <f t="shared" si="60"/>
        <v>3.9693517794971774E-2</v>
      </c>
      <c r="N477" s="127"/>
      <c r="O477" s="127"/>
    </row>
    <row r="478" spans="1:15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625">
        <f t="shared" si="61"/>
        <v>382.94</v>
      </c>
      <c r="G478" s="290">
        <f t="shared" si="57"/>
        <v>3.1404920790407747E-3</v>
      </c>
      <c r="H478" s="426">
        <f t="shared" si="59"/>
        <v>7.1261847913137935</v>
      </c>
      <c r="I478" s="148">
        <f t="shared" si="58"/>
        <v>2.6202981477660821</v>
      </c>
      <c r="J478" s="148">
        <v>3.0200432830671935</v>
      </c>
      <c r="K478" s="427">
        <f t="shared" si="56"/>
        <v>1.1550415817504065</v>
      </c>
      <c r="L478" s="925">
        <f t="shared" si="62"/>
        <v>1.4079956881537457</v>
      </c>
      <c r="M478" s="532">
        <f t="shared" si="60"/>
        <v>4.5135416301055227E-2</v>
      </c>
      <c r="N478" s="127"/>
      <c r="O478" s="127"/>
    </row>
    <row r="479" spans="1:15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625">
        <f t="shared" si="61"/>
        <v>367.5</v>
      </c>
      <c r="G479" s="290">
        <f t="shared" si="57"/>
        <v>3.0138685931150695E-3</v>
      </c>
      <c r="H479" s="426">
        <f t="shared" si="59"/>
        <v>6.8388596406951976</v>
      </c>
      <c r="I479" s="148">
        <f t="shared" si="58"/>
        <v>2.5146486898836242</v>
      </c>
      <c r="J479" s="148">
        <v>2.8982762483083344</v>
      </c>
      <c r="K479" s="427">
        <f t="shared" si="56"/>
        <v>1.1084707298617915</v>
      </c>
      <c r="L479" s="925">
        <f t="shared" si="62"/>
        <v>1.3512258197015239</v>
      </c>
      <c r="M479" s="532">
        <f t="shared" si="60"/>
        <v>3.6354436214282845E-2</v>
      </c>
      <c r="N479" s="127"/>
      <c r="O479" s="127"/>
    </row>
    <row r="480" spans="1:15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625">
        <f t="shared" si="61"/>
        <v>131.4</v>
      </c>
      <c r="G480" s="290">
        <f t="shared" si="57"/>
        <v>1.0776117908444086E-3</v>
      </c>
      <c r="H480" s="426">
        <f t="shared" si="59"/>
        <v>2.4452412429587733</v>
      </c>
      <c r="I480" s="148">
        <f t="shared" si="58"/>
        <v>0.899115205035941</v>
      </c>
      <c r="J480" s="148">
        <v>1.0362816300073883</v>
      </c>
      <c r="K480" s="427">
        <f t="shared" si="56"/>
        <v>0.39633484055466506</v>
      </c>
      <c r="L480" s="925">
        <f t="shared" si="62"/>
        <v>0.48313217063613673</v>
      </c>
      <c r="M480" s="532">
        <f t="shared" si="60"/>
        <v>3.6354436214282852E-2</v>
      </c>
      <c r="N480" s="127"/>
      <c r="O480" s="127"/>
    </row>
    <row r="481" spans="1:15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625">
        <f t="shared" si="61"/>
        <v>471.36</v>
      </c>
      <c r="G481" s="290">
        <f t="shared" si="57"/>
        <v>3.8656247620427737E-3</v>
      </c>
      <c r="H481" s="426">
        <f t="shared" si="59"/>
        <v>8.7716051162941202</v>
      </c>
      <c r="I481" s="148">
        <f t="shared" si="58"/>
        <v>3.2253192012613483</v>
      </c>
      <c r="J481" s="148">
        <v>3.7173646051771878</v>
      </c>
      <c r="K481" s="427">
        <f t="shared" si="56"/>
        <v>1.4217381312317119</v>
      </c>
      <c r="L481" s="925">
        <f t="shared" si="62"/>
        <v>1.7330987819714569</v>
      </c>
      <c r="M481" s="532">
        <f t="shared" si="60"/>
        <v>3.6354436214282859E-2</v>
      </c>
      <c r="N481" s="127"/>
      <c r="O481" s="127"/>
    </row>
    <row r="482" spans="1:15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625">
        <f t="shared" si="61"/>
        <v>530.79999999999995</v>
      </c>
      <c r="G482" s="290">
        <f t="shared" si="57"/>
        <v>4.3530923788448403E-3</v>
      </c>
      <c r="H482" s="426">
        <f t="shared" si="59"/>
        <v>9.877732509608192</v>
      </c>
      <c r="I482" s="148">
        <f t="shared" si="58"/>
        <v>3.6320422437829323</v>
      </c>
      <c r="J482" s="148">
        <v>4.1861361431348678</v>
      </c>
      <c r="K482" s="427">
        <f t="shared" si="56"/>
        <v>1.6010238460153439</v>
      </c>
      <c r="L482" s="925">
        <f t="shared" si="62"/>
        <v>1.9516480682927042</v>
      </c>
      <c r="M482" s="532">
        <f t="shared" si="60"/>
        <v>3.6354436214282852E-2</v>
      </c>
      <c r="N482" s="127"/>
      <c r="O482" s="127"/>
    </row>
    <row r="483" spans="1:15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625">
        <f t="shared" si="61"/>
        <v>330.15</v>
      </c>
      <c r="G483" s="290">
        <f t="shared" si="57"/>
        <v>2.7075611320188848E-3</v>
      </c>
      <c r="H483" s="426">
        <f t="shared" si="59"/>
        <v>6.1438081914980121</v>
      </c>
      <c r="I483" s="148">
        <f t="shared" si="58"/>
        <v>2.2590782720138192</v>
      </c>
      <c r="J483" s="148">
        <v>2.6037167438884263</v>
      </c>
      <c r="K483" s="427">
        <f t="shared" si="56"/>
        <v>0.99581390874522568</v>
      </c>
      <c r="L483" s="925">
        <f t="shared" si="62"/>
        <v>1.2138971547604303</v>
      </c>
      <c r="M483" s="532">
        <f t="shared" si="60"/>
        <v>3.6354436214282852E-2</v>
      </c>
      <c r="N483" s="127"/>
      <c r="O483" s="127"/>
    </row>
    <row r="484" spans="1:15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625">
        <f t="shared" si="61"/>
        <v>242.1</v>
      </c>
      <c r="G484" s="290">
        <f t="shared" si="57"/>
        <v>1.9854628201174378E-3</v>
      </c>
      <c r="H484" s="426">
        <f t="shared" si="59"/>
        <v>4.505273249013082</v>
      </c>
      <c r="I484" s="148">
        <f t="shared" si="58"/>
        <v>1.6565889736621104</v>
      </c>
      <c r="J484" s="148">
        <v>1.9093134141916948</v>
      </c>
      <c r="K484" s="427">
        <f>G484*367.79</f>
        <v>0.73023337061099247</v>
      </c>
      <c r="L484" s="925">
        <f t="shared" si="62"/>
        <v>0.89015447877479992</v>
      </c>
      <c r="M484" s="532">
        <f t="shared" si="60"/>
        <v>3.6354436214282859E-2</v>
      </c>
      <c r="N484" s="127"/>
      <c r="O484" s="127"/>
    </row>
    <row r="485" spans="1:15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625">
        <f t="shared" si="61"/>
        <v>528.74</v>
      </c>
      <c r="G485" s="290">
        <f t="shared" si="57"/>
        <v>4.3361983127174477E-3</v>
      </c>
      <c r="H485" s="426">
        <f t="shared" si="59"/>
        <v>9.8393976773365424</v>
      </c>
      <c r="I485" s="148">
        <f t="shared" si="58"/>
        <v>3.617946525956647</v>
      </c>
      <c r="J485" s="148">
        <v>4.1698900232123783</v>
      </c>
      <c r="K485" s="427">
        <f>G485*367.79</f>
        <v>1.5948103774343503</v>
      </c>
      <c r="L485" s="925">
        <f t="shared" si="62"/>
        <v>1.944073850092473</v>
      </c>
      <c r="M485" s="532">
        <f t="shared" si="60"/>
        <v>3.6354436214282852E-2</v>
      </c>
      <c r="N485" s="127"/>
      <c r="O485" s="127"/>
    </row>
    <row r="486" spans="1:15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625">
        <f t="shared" si="61"/>
        <v>140.6</v>
      </c>
      <c r="G486" s="290">
        <f t="shared" si="57"/>
        <v>1.153061018209466E-3</v>
      </c>
      <c r="H486" s="426">
        <f t="shared" si="59"/>
        <v>2.6164453482496457</v>
      </c>
      <c r="I486" s="148">
        <f t="shared" si="58"/>
        <v>0.96206695455139479</v>
      </c>
      <c r="J486" s="148">
        <v>1.108837117039869</v>
      </c>
      <c r="K486" s="427">
        <f>G486*367.79</f>
        <v>0.42408431188725954</v>
      </c>
      <c r="L486" s="925">
        <f t="shared" si="62"/>
        <v>0.5169587761905694</v>
      </c>
      <c r="M486" s="532">
        <f t="shared" si="60"/>
        <v>3.6354436214282859E-2</v>
      </c>
      <c r="N486" s="127"/>
      <c r="O486" s="127"/>
    </row>
    <row r="487" spans="1:15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625">
        <f t="shared" si="61"/>
        <v>183.6</v>
      </c>
      <c r="G487" s="290">
        <f t="shared" si="57"/>
        <v>1.5057041461113655E-3</v>
      </c>
      <c r="H487" s="426">
        <f t="shared" si="59"/>
        <v>3.4166384490656827</v>
      </c>
      <c r="I487" s="148">
        <f t="shared" si="58"/>
        <v>1.2562979577214517</v>
      </c>
      <c r="J487" s="148">
        <v>1.4479551542568987</v>
      </c>
      <c r="K487" s="427">
        <f>G487*367.79</f>
        <v>0.55378292789829919</v>
      </c>
      <c r="L487" s="925">
        <f t="shared" si="62"/>
        <v>0.67506138910802671</v>
      </c>
      <c r="M487" s="532">
        <f t="shared" si="60"/>
        <v>3.6354436214282852E-2</v>
      </c>
      <c r="N487" s="127"/>
      <c r="O487" s="127"/>
    </row>
    <row r="488" spans="1:15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625">
        <f t="shared" si="61"/>
        <v>384.7</v>
      </c>
      <c r="G488" s="290">
        <f t="shared" si="57"/>
        <v>3.1549258442758292E-3</v>
      </c>
      <c r="H488" s="426">
        <f t="shared" si="59"/>
        <v>7.1589368810216127</v>
      </c>
      <c r="I488" s="148">
        <f t="shared" si="58"/>
        <v>2.6323410911516474</v>
      </c>
      <c r="J488" s="148">
        <v>3.0339234631951459</v>
      </c>
      <c r="K488" s="427">
        <f t="shared" ref="K488:K533" si="63">G488*367.79</f>
        <v>1.1603501762662072</v>
      </c>
      <c r="L488" s="925">
        <f t="shared" si="62"/>
        <v>1.4144668648685066</v>
      </c>
      <c r="M488" s="532">
        <f t="shared" si="60"/>
        <v>3.6354436214282852E-2</v>
      </c>
      <c r="N488" s="127"/>
      <c r="O488" s="127"/>
    </row>
    <row r="489" spans="1:15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625">
        <f>C489+E489</f>
        <v>1900.8700000000001</v>
      </c>
      <c r="G489" s="290">
        <f t="shared" si="57"/>
        <v>1.5589040524067056E-2</v>
      </c>
      <c r="H489" s="426">
        <f t="shared" si="59"/>
        <v>35.373559524376283</v>
      </c>
      <c r="I489" s="148">
        <f t="shared" si="58"/>
        <v>13.006857837113159</v>
      </c>
      <c r="J489" s="148">
        <v>14.991146590807793</v>
      </c>
      <c r="K489" s="427">
        <f>G489*235.27</f>
        <v>3.6676335640972564</v>
      </c>
      <c r="L489" s="925">
        <f t="shared" si="62"/>
        <v>4.4708453146345555</v>
      </c>
      <c r="M489" s="532">
        <f t="shared" si="60"/>
        <v>3.9983537318848961E-2</v>
      </c>
      <c r="N489" s="127"/>
      <c r="O489" s="127"/>
    </row>
    <row r="490" spans="1:15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625">
        <f>C490+D490+E490</f>
        <v>362.4</v>
      </c>
      <c r="G490" s="290">
        <f t="shared" si="57"/>
        <v>2.9720434779453094E-3</v>
      </c>
      <c r="H490" s="426">
        <f t="shared" si="59"/>
        <v>6.7439530171100399</v>
      </c>
      <c r="I490" s="148">
        <f t="shared" si="58"/>
        <v>2.4797515243913617</v>
      </c>
      <c r="J490" s="148">
        <v>2.8580552718011982</v>
      </c>
      <c r="K490" s="427">
        <f t="shared" si="63"/>
        <v>1.0930878707535054</v>
      </c>
      <c r="L490" s="925">
        <f t="shared" si="62"/>
        <v>1.3324741144485233</v>
      </c>
      <c r="M490" s="532">
        <f t="shared" si="60"/>
        <v>3.6354436214282852E-2</v>
      </c>
      <c r="N490" s="127"/>
      <c r="O490" s="127"/>
    </row>
    <row r="491" spans="1:15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625">
        <f t="shared" si="61"/>
        <v>196.1</v>
      </c>
      <c r="G491" s="290">
        <f t="shared" si="57"/>
        <v>1.6082166832921501E-3</v>
      </c>
      <c r="H491" s="426">
        <f t="shared" si="59"/>
        <v>3.6492527225587166</v>
      </c>
      <c r="I491" s="148">
        <f t="shared" si="58"/>
        <v>1.3418302260848403</v>
      </c>
      <c r="J491" s="148">
        <v>1.546535979029291</v>
      </c>
      <c r="K491" s="427">
        <f t="shared" si="63"/>
        <v>0.59148601394801992</v>
      </c>
      <c r="L491" s="925">
        <f t="shared" si="62"/>
        <v>0.72102145100263637</v>
      </c>
      <c r="M491" s="532">
        <f t="shared" si="60"/>
        <v>4.564087670691977E-2</v>
      </c>
      <c r="N491" s="127"/>
      <c r="O491" s="127"/>
    </row>
    <row r="492" spans="1:15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625">
        <f t="shared" si="61"/>
        <v>98.48</v>
      </c>
      <c r="G492" s="290">
        <f t="shared" si="57"/>
        <v>8.0763477292509404E-4</v>
      </c>
      <c r="H492" s="426">
        <f t="shared" si="59"/>
        <v>1.8326282922875188</v>
      </c>
      <c r="I492" s="148">
        <f t="shared" si="58"/>
        <v>0.67385742307412066</v>
      </c>
      <c r="J492" s="148">
        <v>0.77665916988681583</v>
      </c>
      <c r="K492" s="427">
        <f t="shared" si="63"/>
        <v>0.29703999313412033</v>
      </c>
      <c r="L492" s="925">
        <f t="shared" si="62"/>
        <v>0.36209175163049273</v>
      </c>
      <c r="M492" s="532">
        <f t="shared" si="60"/>
        <v>3.6354436214282852E-2</v>
      </c>
      <c r="N492" s="127"/>
      <c r="O492" s="127"/>
    </row>
    <row r="493" spans="1:15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625">
        <f t="shared" si="61"/>
        <v>2328.6</v>
      </c>
      <c r="G493" s="290">
        <f t="shared" si="57"/>
        <v>1.9096855526334017E-2</v>
      </c>
      <c r="H493" s="426">
        <f t="shared" si="59"/>
        <v>43.333247780470309</v>
      </c>
      <c r="I493" s="148">
        <f t="shared" si="58"/>
        <v>15.933635208878934</v>
      </c>
      <c r="J493" s="148">
        <v>18.36442468519942</v>
      </c>
      <c r="K493" s="427">
        <f>G493*235.27</f>
        <v>4.4929171996806048</v>
      </c>
      <c r="L493" s="925">
        <f t="shared" si="62"/>
        <v>5.4768660664106577</v>
      </c>
      <c r="M493" s="532">
        <f t="shared" si="60"/>
        <v>3.5267639300107047E-2</v>
      </c>
      <c r="N493" s="127"/>
      <c r="O493" s="127"/>
    </row>
    <row r="494" spans="1:15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625">
        <f t="shared" si="61"/>
        <v>479.01</v>
      </c>
      <c r="G494" s="290">
        <f t="shared" si="57"/>
        <v>3.9283624347974137E-3</v>
      </c>
      <c r="H494" s="426">
        <f t="shared" si="59"/>
        <v>8.9139650516718554</v>
      </c>
      <c r="I494" s="148">
        <f t="shared" si="58"/>
        <v>3.2776649494997416</v>
      </c>
      <c r="J494" s="148">
        <v>3.7776960699378921</v>
      </c>
      <c r="K494" s="427">
        <f t="shared" si="63"/>
        <v>1.4448124198941408</v>
      </c>
      <c r="L494" s="925">
        <f t="shared" si="62"/>
        <v>1.7612263398509578</v>
      </c>
      <c r="M494" s="532">
        <f t="shared" si="60"/>
        <v>3.6354436214282852E-2</v>
      </c>
      <c r="N494" s="127"/>
      <c r="O494" s="127"/>
    </row>
    <row r="495" spans="1:15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625">
        <f t="shared" si="61"/>
        <v>479.14</v>
      </c>
      <c r="G495" s="290">
        <f t="shared" si="57"/>
        <v>3.9294285651840935E-3</v>
      </c>
      <c r="H495" s="426">
        <f t="shared" si="59"/>
        <v>8.9163842401161819</v>
      </c>
      <c r="I495" s="148">
        <f t="shared" si="58"/>
        <v>3.2785544850907202</v>
      </c>
      <c r="J495" s="148">
        <v>3.7787213105155244</v>
      </c>
      <c r="K495" s="427">
        <f t="shared" si="63"/>
        <v>1.4452045319890579</v>
      </c>
      <c r="L495" s="925">
        <f t="shared" si="62"/>
        <v>1.7617043244946617</v>
      </c>
      <c r="M495" s="532">
        <f t="shared" si="60"/>
        <v>3.6354436214282852E-2</v>
      </c>
      <c r="N495" s="127"/>
      <c r="O495" s="127"/>
    </row>
    <row r="496" spans="1:15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625">
        <f t="shared" si="61"/>
        <v>1158.5899999999999</v>
      </c>
      <c r="G496" s="290">
        <f t="shared" si="57"/>
        <v>9.5016000361828248E-3</v>
      </c>
      <c r="H496" s="426">
        <f t="shared" si="59"/>
        <v>21.560365690103534</v>
      </c>
      <c r="I496" s="148">
        <f t="shared" si="58"/>
        <v>7.9277464642510704</v>
      </c>
      <c r="J496" s="148">
        <v>9.1371806218436831</v>
      </c>
      <c r="K496" s="427">
        <f t="shared" si="63"/>
        <v>3.4945934773076814</v>
      </c>
      <c r="L496" s="925">
        <f t="shared" si="62"/>
        <v>4.259909448838064</v>
      </c>
      <c r="M496" s="532">
        <f t="shared" si="60"/>
        <v>3.6354436214282852E-2</v>
      </c>
      <c r="N496" s="127"/>
      <c r="O496" s="127"/>
    </row>
    <row r="497" spans="1:15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625">
        <f t="shared" si="61"/>
        <v>368.99</v>
      </c>
      <c r="G497" s="290">
        <f t="shared" si="57"/>
        <v>3.0260880875470192E-3</v>
      </c>
      <c r="H497" s="426">
        <f t="shared" si="59"/>
        <v>6.8665872620955684</v>
      </c>
      <c r="I497" s="148">
        <f t="shared" si="58"/>
        <v>2.5248441362725407</v>
      </c>
      <c r="J497" s="148">
        <v>2.910027082621204</v>
      </c>
      <c r="K497" s="427">
        <f t="shared" si="63"/>
        <v>1.1129649377189184</v>
      </c>
      <c r="L497" s="925">
        <f t="shared" si="62"/>
        <v>1.3567042590793617</v>
      </c>
      <c r="M497" s="532">
        <f t="shared" si="60"/>
        <v>3.6354436214282859E-2</v>
      </c>
      <c r="N497" s="127"/>
      <c r="O497" s="127"/>
    </row>
    <row r="498" spans="1:15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625">
        <f t="shared" si="61"/>
        <v>346.24</v>
      </c>
      <c r="G498" s="290">
        <f t="shared" si="57"/>
        <v>2.839515269877991E-3</v>
      </c>
      <c r="H498" s="426">
        <f t="shared" si="59"/>
        <v>6.4432292843382459</v>
      </c>
      <c r="I498" s="148">
        <f t="shared" si="58"/>
        <v>2.3691754078511731</v>
      </c>
      <c r="J498" s="148">
        <v>2.7306099815354496</v>
      </c>
      <c r="K498" s="427">
        <f t="shared" si="63"/>
        <v>1.0443453211084264</v>
      </c>
      <c r="L498" s="925">
        <f t="shared" si="62"/>
        <v>1.2730569464311718</v>
      </c>
      <c r="M498" s="532">
        <f t="shared" si="60"/>
        <v>3.6354436214282852E-2</v>
      </c>
      <c r="N498" s="127"/>
      <c r="O498" s="127"/>
    </row>
    <row r="499" spans="1:15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625">
        <f t="shared" si="61"/>
        <v>151.5</v>
      </c>
      <c r="G499" s="290">
        <f t="shared" si="57"/>
        <v>1.2424519506311104E-3</v>
      </c>
      <c r="H499" s="426">
        <f t="shared" si="59"/>
        <v>2.8192849947355718</v>
      </c>
      <c r="I499" s="148">
        <f t="shared" si="58"/>
        <v>1.0366510925642698</v>
      </c>
      <c r="J499" s="148">
        <v>1.1947995962413951</v>
      </c>
      <c r="K499" s="427">
        <f t="shared" si="63"/>
        <v>0.45696140292261611</v>
      </c>
      <c r="L499" s="925">
        <f t="shared" si="62"/>
        <v>0.55703595016266905</v>
      </c>
      <c r="M499" s="532">
        <f t="shared" si="60"/>
        <v>3.6354436214282859E-2</v>
      </c>
      <c r="N499" s="127"/>
      <c r="O499" s="127"/>
    </row>
    <row r="500" spans="1:15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625">
        <f t="shared" si="61"/>
        <v>123.6</v>
      </c>
      <c r="G500" s="290">
        <f t="shared" si="57"/>
        <v>1.013643967643599E-3</v>
      </c>
      <c r="H500" s="426">
        <f t="shared" si="59"/>
        <v>2.3000899362991198</v>
      </c>
      <c r="I500" s="148">
        <f t="shared" si="58"/>
        <v>0.84574306957718648</v>
      </c>
      <c r="J500" s="148">
        <v>0.97476719534941536</v>
      </c>
      <c r="K500" s="427">
        <f t="shared" si="63"/>
        <v>0.37280811485963927</v>
      </c>
      <c r="L500" s="925">
        <f t="shared" si="62"/>
        <v>0.45445309201390033</v>
      </c>
      <c r="M500" s="532">
        <f t="shared" si="60"/>
        <v>4.5250839034092258E-2</v>
      </c>
      <c r="N500" s="127"/>
      <c r="O500" s="127"/>
    </row>
    <row r="501" spans="1:15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625">
        <f t="shared" si="61"/>
        <v>624.51</v>
      </c>
      <c r="G501" s="290">
        <f t="shared" si="57"/>
        <v>5.1216083675817477E-3</v>
      </c>
      <c r="H501" s="426">
        <f t="shared" si="59"/>
        <v>11.621595195130771</v>
      </c>
      <c r="I501" s="148">
        <f t="shared" si="58"/>
        <v>4.2732605532495853</v>
      </c>
      <c r="J501" s="148">
        <v>4.9251768702885386</v>
      </c>
      <c r="K501" s="427">
        <f t="shared" si="63"/>
        <v>1.8836763415128912</v>
      </c>
      <c r="L501" s="925">
        <f t="shared" si="62"/>
        <v>2.2962014603042147</v>
      </c>
      <c r="M501" s="532">
        <f t="shared" si="60"/>
        <v>3.6354436214282852E-2</v>
      </c>
      <c r="N501" s="127"/>
      <c r="O501" s="127"/>
    </row>
    <row r="502" spans="1:15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625">
        <f t="shared" si="61"/>
        <v>202.5</v>
      </c>
      <c r="G502" s="290">
        <f t="shared" si="57"/>
        <v>1.6607031023287118E-3</v>
      </c>
      <c r="H502" s="426">
        <f t="shared" si="59"/>
        <v>3.7683512305871503</v>
      </c>
      <c r="I502" s="148">
        <f t="shared" si="58"/>
        <v>1.3856227474868952</v>
      </c>
      <c r="J502" s="148">
        <v>1.5970093613127556</v>
      </c>
      <c r="K502" s="427">
        <f t="shared" si="63"/>
        <v>0.61078999400547695</v>
      </c>
      <c r="L502" s="925">
        <f t="shared" si="62"/>
        <v>0.74455300269267644</v>
      </c>
      <c r="M502" s="532">
        <f t="shared" si="60"/>
        <v>3.6354436214282859E-2</v>
      </c>
      <c r="N502" s="127"/>
      <c r="O502" s="127"/>
    </row>
    <row r="503" spans="1:15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625">
        <f t="shared" si="61"/>
        <v>132.5</v>
      </c>
      <c r="G503" s="290">
        <f t="shared" si="57"/>
        <v>1.0866328941163176E-3</v>
      </c>
      <c r="H503" s="426">
        <f t="shared" si="59"/>
        <v>2.46571129902616</v>
      </c>
      <c r="I503" s="148">
        <f t="shared" si="58"/>
        <v>0.90664204465191911</v>
      </c>
      <c r="J503" s="148">
        <v>1.0449567425873587</v>
      </c>
      <c r="K503" s="427">
        <f t="shared" si="63"/>
        <v>0.39965271212704045</v>
      </c>
      <c r="L503" s="925">
        <f t="shared" si="62"/>
        <v>0.48717665608286237</v>
      </c>
      <c r="M503" s="532">
        <f t="shared" si="60"/>
        <v>3.6354436214282859E-2</v>
      </c>
      <c r="N503" s="127"/>
      <c r="O503" s="127"/>
    </row>
    <row r="504" spans="1:15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625">
        <f t="shared" si="61"/>
        <v>156.1</v>
      </c>
      <c r="G504" s="290">
        <f t="shared" si="57"/>
        <v>1.2801765643136391E-3</v>
      </c>
      <c r="H504" s="426">
        <f t="shared" si="59"/>
        <v>2.904887047381008</v>
      </c>
      <c r="I504" s="148">
        <f t="shared" si="58"/>
        <v>1.0681269673219966</v>
      </c>
      <c r="J504" s="148">
        <v>1.2310773397576356</v>
      </c>
      <c r="K504" s="427">
        <f t="shared" si="63"/>
        <v>0.47083613858891332</v>
      </c>
      <c r="L504" s="925">
        <f t="shared" si="62"/>
        <v>0.57394925293988541</v>
      </c>
      <c r="M504" s="532">
        <f t="shared" si="60"/>
        <v>3.6354436214282852E-2</v>
      </c>
      <c r="N504" s="127"/>
      <c r="O504" s="127"/>
    </row>
    <row r="505" spans="1:15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625">
        <f t="shared" si="61"/>
        <v>138</v>
      </c>
      <c r="G505" s="290">
        <f t="shared" si="57"/>
        <v>1.1317384104758629E-3</v>
      </c>
      <c r="H505" s="426">
        <f t="shared" si="59"/>
        <v>2.568061579363095</v>
      </c>
      <c r="I505" s="148">
        <f t="shared" si="58"/>
        <v>0.9442762427318101</v>
      </c>
      <c r="J505" s="148">
        <v>1.0883323054872114</v>
      </c>
      <c r="K505" s="427">
        <f t="shared" si="63"/>
        <v>0.41624206998891766</v>
      </c>
      <c r="L505" s="925">
        <f t="shared" si="62"/>
        <v>0.50739908331649064</v>
      </c>
      <c r="M505" s="532">
        <f t="shared" si="60"/>
        <v>3.6354436214282859E-2</v>
      </c>
      <c r="N505" s="127"/>
      <c r="O505" s="127"/>
    </row>
    <row r="506" spans="1:15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625">
        <f t="shared" si="61"/>
        <v>137.69999999999999</v>
      </c>
      <c r="G506" s="290">
        <f t="shared" si="57"/>
        <v>1.1292781095835239E-3</v>
      </c>
      <c r="H506" s="426">
        <f t="shared" si="59"/>
        <v>2.5624788367992619</v>
      </c>
      <c r="I506" s="148">
        <f t="shared" si="58"/>
        <v>0.94222346829108872</v>
      </c>
      <c r="J506" s="148">
        <v>1.0859663656926739</v>
      </c>
      <c r="K506" s="427">
        <f t="shared" si="63"/>
        <v>0.41533719592372431</v>
      </c>
      <c r="L506" s="925">
        <f t="shared" si="62"/>
        <v>0.50629604183101995</v>
      </c>
      <c r="M506" s="532">
        <f t="shared" si="60"/>
        <v>3.6354436214282859E-2</v>
      </c>
      <c r="N506" s="127"/>
      <c r="O506" s="127"/>
    </row>
    <row r="507" spans="1:15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625">
        <f t="shared" si="61"/>
        <v>184.88</v>
      </c>
      <c r="G507" s="290">
        <f t="shared" si="57"/>
        <v>1.5162014299186777E-3</v>
      </c>
      <c r="H507" s="426">
        <f t="shared" si="59"/>
        <v>3.4404581506713692</v>
      </c>
      <c r="I507" s="148">
        <f t="shared" si="58"/>
        <v>1.2650564620018625</v>
      </c>
      <c r="J507" s="148">
        <v>1.4580498307135914</v>
      </c>
      <c r="K507" s="427">
        <f t="shared" si="63"/>
        <v>0.55764372390979056</v>
      </c>
      <c r="L507" s="925">
        <f t="shared" si="62"/>
        <v>0.67976769944603477</v>
      </c>
      <c r="M507" s="532">
        <f t="shared" si="60"/>
        <v>3.6354436214282852E-2</v>
      </c>
      <c r="N507" s="127"/>
      <c r="O507" s="127"/>
    </row>
    <row r="508" spans="1:15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625">
        <f t="shared" si="61"/>
        <v>657.19</v>
      </c>
      <c r="G508" s="290">
        <f t="shared" si="57"/>
        <v>5.3896171447871911E-3</v>
      </c>
      <c r="H508" s="426">
        <f t="shared" si="59"/>
        <v>12.22974195175096</v>
      </c>
      <c r="I508" s="148">
        <f t="shared" si="58"/>
        <v>4.4968761156588277</v>
      </c>
      <c r="J508" s="148">
        <v>5.1829065785734816</v>
      </c>
      <c r="K508" s="427">
        <f t="shared" si="63"/>
        <v>1.9822472896812811</v>
      </c>
      <c r="L508" s="925">
        <f t="shared" si="62"/>
        <v>2.4163594461214819</v>
      </c>
      <c r="M508" s="532">
        <f t="shared" si="60"/>
        <v>3.7798053972795884E-2</v>
      </c>
      <c r="N508" s="127"/>
      <c r="O508" s="127"/>
    </row>
    <row r="509" spans="1:15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625">
        <f t="shared" si="61"/>
        <v>815.3</v>
      </c>
      <c r="G509" s="290">
        <f t="shared" si="57"/>
        <v>6.6862777250794999E-3</v>
      </c>
      <c r="H509" s="426">
        <f t="shared" si="59"/>
        <v>15.172033374309647</v>
      </c>
      <c r="I509" s="148">
        <f t="shared" si="58"/>
        <v>5.5787566717336574</v>
      </c>
      <c r="J509" s="148">
        <v>6.4298357149545176</v>
      </c>
      <c r="K509" s="427">
        <f t="shared" si="63"/>
        <v>2.4591460845069895</v>
      </c>
      <c r="L509" s="925">
        <f t="shared" si="62"/>
        <v>2.9976990770140204</v>
      </c>
      <c r="M509" s="532">
        <f t="shared" si="60"/>
        <v>3.6354436214282859E-2</v>
      </c>
      <c r="N509" s="127"/>
      <c r="O509" s="127"/>
    </row>
    <row r="510" spans="1:15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625">
        <f t="shared" si="61"/>
        <v>800.4</v>
      </c>
      <c r="G510" s="290">
        <f t="shared" si="57"/>
        <v>6.564082780760005E-3</v>
      </c>
      <c r="H510" s="426">
        <f t="shared" si="59"/>
        <v>14.89475716030595</v>
      </c>
      <c r="I510" s="148">
        <f t="shared" si="58"/>
        <v>5.4768022078444982</v>
      </c>
      <c r="J510" s="148">
        <v>6.3123273718258259</v>
      </c>
      <c r="K510" s="427">
        <f t="shared" si="63"/>
        <v>2.4142040059357224</v>
      </c>
      <c r="L510" s="925">
        <f t="shared" si="62"/>
        <v>2.9429146832356459</v>
      </c>
      <c r="M510" s="532">
        <f t="shared" si="60"/>
        <v>3.6354436214282852E-2</v>
      </c>
      <c r="N510" s="127"/>
      <c r="O510" s="127"/>
    </row>
    <row r="511" spans="1:15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625">
        <f t="shared" si="61"/>
        <v>285.10000000000002</v>
      </c>
      <c r="G511" s="290">
        <f t="shared" si="57"/>
        <v>2.3381059480193371E-3</v>
      </c>
      <c r="H511" s="426">
        <f t="shared" si="59"/>
        <v>5.3054663498291186</v>
      </c>
      <c r="I511" s="148">
        <f t="shared" si="58"/>
        <v>1.950819976832167</v>
      </c>
      <c r="J511" s="148">
        <v>2.2484314514087242</v>
      </c>
      <c r="K511" s="427">
        <f t="shared" si="63"/>
        <v>0.85993198662203207</v>
      </c>
      <c r="L511" s="925">
        <f t="shared" si="62"/>
        <v>1.0482570916922571</v>
      </c>
      <c r="M511" s="532">
        <f t="shared" si="60"/>
        <v>3.6354436214282859E-2</v>
      </c>
      <c r="N511" s="127"/>
      <c r="O511" s="127"/>
    </row>
    <row r="512" spans="1:15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625">
        <f t="shared" si="61"/>
        <v>415.84</v>
      </c>
      <c r="G512" s="290">
        <f t="shared" si="57"/>
        <v>3.4103050769005998E-3</v>
      </c>
      <c r="H512" s="426">
        <f t="shared" si="59"/>
        <v>7.7384255591474584</v>
      </c>
      <c r="I512" s="148">
        <f t="shared" ref="I512:I534" si="64">H512*0.3677</f>
        <v>2.8454190780985207</v>
      </c>
      <c r="J512" s="148">
        <v>3.2795080138681301</v>
      </c>
      <c r="K512" s="427">
        <f t="shared" si="63"/>
        <v>1.2542761042332717</v>
      </c>
      <c r="L512" s="925">
        <f t="shared" si="62"/>
        <v>1.5289625710603583</v>
      </c>
      <c r="M512" s="532">
        <f t="shared" si="60"/>
        <v>3.6354436214282852E-2</v>
      </c>
      <c r="N512" s="127"/>
      <c r="O512" s="127"/>
    </row>
    <row r="513" spans="1:15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625">
        <f t="shared" si="61"/>
        <v>516.34</v>
      </c>
      <c r="G513" s="290">
        <f t="shared" si="57"/>
        <v>4.2345058758341096E-3</v>
      </c>
      <c r="H513" s="426">
        <f t="shared" si="59"/>
        <v>9.6086443180314536</v>
      </c>
      <c r="I513" s="148">
        <f t="shared" si="64"/>
        <v>3.5330985157401655</v>
      </c>
      <c r="J513" s="148">
        <v>4.0720978450381651</v>
      </c>
      <c r="K513" s="427">
        <f t="shared" si="63"/>
        <v>1.5574089160730273</v>
      </c>
      <c r="L513" s="925">
        <f t="shared" si="62"/>
        <v>1.8984814686930205</v>
      </c>
      <c r="M513" s="532">
        <f t="shared" si="60"/>
        <v>3.6354436214282852E-2</v>
      </c>
      <c r="N513" s="127"/>
      <c r="O513" s="127"/>
    </row>
    <row r="514" spans="1:15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625">
        <f t="shared" si="61"/>
        <v>605.14</v>
      </c>
      <c r="G514" s="290">
        <f t="shared" ref="G514:G534" si="65">2/243872.61*F514</f>
        <v>4.9627549399664031E-3</v>
      </c>
      <c r="H514" s="426">
        <f t="shared" si="59"/>
        <v>11.261136116925965</v>
      </c>
      <c r="I514" s="148">
        <f t="shared" si="64"/>
        <v>4.1407197501936777</v>
      </c>
      <c r="J514" s="148">
        <v>4.7724160242212399</v>
      </c>
      <c r="K514" s="427">
        <f t="shared" si="63"/>
        <v>1.8252516393702436</v>
      </c>
      <c r="L514" s="925">
        <f t="shared" si="62"/>
        <v>2.2249817483923269</v>
      </c>
      <c r="M514" s="532">
        <f t="shared" si="60"/>
        <v>3.6354436214282852E-2</v>
      </c>
      <c r="N514" s="127"/>
      <c r="O514" s="127"/>
    </row>
    <row r="515" spans="1:15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625">
        <f t="shared" si="61"/>
        <v>476.1</v>
      </c>
      <c r="G515" s="290">
        <f t="shared" si="65"/>
        <v>3.9044975161417273E-3</v>
      </c>
      <c r="H515" s="426">
        <f t="shared" ref="H515:H535" si="66">G515*2269.13</f>
        <v>8.8598124488026784</v>
      </c>
      <c r="I515" s="148">
        <f t="shared" si="64"/>
        <v>3.2577530374247452</v>
      </c>
      <c r="J515" s="148">
        <v>3.7547464539308795</v>
      </c>
      <c r="K515" s="427">
        <f t="shared" si="63"/>
        <v>1.436035141461766</v>
      </c>
      <c r="L515" s="925">
        <f t="shared" si="62"/>
        <v>1.750526837441893</v>
      </c>
      <c r="M515" s="532">
        <f t="shared" si="60"/>
        <v>3.6354436214282859E-2</v>
      </c>
      <c r="N515" s="127"/>
      <c r="O515" s="127"/>
    </row>
    <row r="516" spans="1:15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625">
        <f t="shared" si="61"/>
        <v>417.52</v>
      </c>
      <c r="G516" s="290">
        <f t="shared" si="65"/>
        <v>3.4240827618976974E-3</v>
      </c>
      <c r="H516" s="426">
        <f t="shared" si="66"/>
        <v>7.7696889175049222</v>
      </c>
      <c r="I516" s="148">
        <f t="shared" si="64"/>
        <v>2.8569146149665601</v>
      </c>
      <c r="J516" s="148">
        <v>3.2927572767175395</v>
      </c>
      <c r="K516" s="427">
        <f t="shared" si="63"/>
        <v>1.2593433989983542</v>
      </c>
      <c r="L516" s="925">
        <f t="shared" si="62"/>
        <v>1.5351396033789939</v>
      </c>
      <c r="M516" s="532">
        <f t="shared" si="60"/>
        <v>3.6354436214282852E-2</v>
      </c>
      <c r="N516" s="127"/>
      <c r="O516" s="127"/>
    </row>
    <row r="517" spans="1:15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625">
        <f t="shared" si="61"/>
        <v>273.56</v>
      </c>
      <c r="G517" s="290">
        <f t="shared" si="65"/>
        <v>2.2434663736940366E-3</v>
      </c>
      <c r="H517" s="426">
        <f t="shared" si="66"/>
        <v>5.0907168525403499</v>
      </c>
      <c r="I517" s="148">
        <f t="shared" si="64"/>
        <v>1.8718565866790868</v>
      </c>
      <c r="J517" s="148">
        <v>2.1574216339788519</v>
      </c>
      <c r="K517" s="427">
        <f t="shared" si="63"/>
        <v>0.82512449758092976</v>
      </c>
      <c r="L517" s="925">
        <f t="shared" si="62"/>
        <v>1.0058267625511534</v>
      </c>
      <c r="M517" s="532">
        <f t="shared" si="60"/>
        <v>3.6354436214282859E-2</v>
      </c>
      <c r="N517" s="127"/>
      <c r="O517" s="127"/>
    </row>
    <row r="518" spans="1:15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625">
        <f t="shared" si="61"/>
        <v>645.95000000000005</v>
      </c>
      <c r="G518" s="290">
        <f t="shared" si="65"/>
        <v>5.2974378713542295E-3</v>
      </c>
      <c r="H518" s="426">
        <f t="shared" si="66"/>
        <v>12.020575197026023</v>
      </c>
      <c r="I518" s="148">
        <f t="shared" si="64"/>
        <v>4.4199654999464686</v>
      </c>
      <c r="J518" s="148">
        <v>5.0942627009381471</v>
      </c>
      <c r="K518" s="427">
        <f t="shared" si="63"/>
        <v>1.9483446747053721</v>
      </c>
      <c r="L518" s="925">
        <f t="shared" si="62"/>
        <v>2.3750321584658489</v>
      </c>
      <c r="M518" s="532">
        <f t="shared" ref="M518:M581" si="67">(K518+J518+I518+H518)/C518</f>
        <v>3.6354436214282852E-2</v>
      </c>
      <c r="N518" s="127"/>
      <c r="O518" s="127"/>
    </row>
    <row r="519" spans="1:15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625">
        <f t="shared" si="61"/>
        <v>867.68</v>
      </c>
      <c r="G519" s="290">
        <f t="shared" si="65"/>
        <v>7.1158462608818598E-3</v>
      </c>
      <c r="H519" s="426">
        <f t="shared" si="66"/>
        <v>16.146780225954856</v>
      </c>
      <c r="I519" s="148">
        <f t="shared" si="64"/>
        <v>5.9371710890836011</v>
      </c>
      <c r="J519" s="148">
        <v>6.84292880308075</v>
      </c>
      <c r="K519" s="427">
        <f t="shared" si="63"/>
        <v>2.6171370962897393</v>
      </c>
      <c r="L519" s="925">
        <f t="shared" si="62"/>
        <v>3.1902901203771923</v>
      </c>
      <c r="M519" s="532">
        <f t="shared" si="67"/>
        <v>3.6354436214282852E-2</v>
      </c>
      <c r="N519" s="127"/>
      <c r="O519" s="127"/>
    </row>
    <row r="520" spans="1:15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625">
        <f t="shared" si="61"/>
        <v>556.85</v>
      </c>
      <c r="G520" s="290">
        <f t="shared" si="65"/>
        <v>4.5667285063295962E-3</v>
      </c>
      <c r="H520" s="426">
        <f t="shared" si="66"/>
        <v>10.362500655567677</v>
      </c>
      <c r="I520" s="148">
        <f t="shared" si="64"/>
        <v>3.8102914910522352</v>
      </c>
      <c r="J520" s="148">
        <v>4.391578581960534</v>
      </c>
      <c r="K520" s="427">
        <f t="shared" si="63"/>
        <v>1.6795970773429623</v>
      </c>
      <c r="L520" s="925">
        <f t="shared" si="62"/>
        <v>2.0474288372810712</v>
      </c>
      <c r="M520" s="532">
        <f t="shared" si="67"/>
        <v>3.816376247699766E-2</v>
      </c>
      <c r="N520" s="127"/>
      <c r="O520" s="127"/>
    </row>
    <row r="521" spans="1:15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625">
        <f t="shared" si="61"/>
        <v>335.18</v>
      </c>
      <c r="G521" s="290">
        <f t="shared" si="65"/>
        <v>2.7488121769804327E-3</v>
      </c>
      <c r="H521" s="426">
        <f t="shared" si="66"/>
        <v>6.2374121751516096</v>
      </c>
      <c r="I521" s="148">
        <f t="shared" si="64"/>
        <v>2.293496456803247</v>
      </c>
      <c r="J521" s="148">
        <v>2.6433856677768368</v>
      </c>
      <c r="K521" s="427">
        <f t="shared" si="63"/>
        <v>1.0109856305716334</v>
      </c>
      <c r="L521" s="925">
        <f t="shared" si="62"/>
        <v>1.2323914836668213</v>
      </c>
      <c r="M521" s="532">
        <f t="shared" si="67"/>
        <v>3.6354436214282852E-2</v>
      </c>
      <c r="N521" s="127"/>
      <c r="O521" s="127"/>
    </row>
    <row r="522" spans="1:15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625">
        <f t="shared" si="61"/>
        <v>274.58999999999997</v>
      </c>
      <c r="G522" s="290">
        <f t="shared" si="65"/>
        <v>2.2519134067577329E-3</v>
      </c>
      <c r="H522" s="426">
        <f t="shared" si="66"/>
        <v>5.1098842686761747</v>
      </c>
      <c r="I522" s="148">
        <f t="shared" si="64"/>
        <v>1.8789044455922297</v>
      </c>
      <c r="J522" s="148">
        <v>2.1655446939400966</v>
      </c>
      <c r="K522" s="427">
        <f t="shared" si="63"/>
        <v>0.82823123187142667</v>
      </c>
      <c r="L522" s="925">
        <f t="shared" si="62"/>
        <v>1.0096138716512693</v>
      </c>
      <c r="M522" s="532">
        <f t="shared" si="67"/>
        <v>3.6354436214282859E-2</v>
      </c>
      <c r="N522" s="127"/>
      <c r="O522" s="127"/>
    </row>
    <row r="523" spans="1:15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625">
        <f t="shared" si="61"/>
        <v>345.54</v>
      </c>
      <c r="G523" s="290">
        <f t="shared" si="65"/>
        <v>2.8337745677958675E-3</v>
      </c>
      <c r="H523" s="426">
        <f t="shared" si="66"/>
        <v>6.4302028850226369</v>
      </c>
      <c r="I523" s="148">
        <f t="shared" si="64"/>
        <v>2.3643856008228239</v>
      </c>
      <c r="J523" s="148">
        <v>2.7250894553481961</v>
      </c>
      <c r="K523" s="427">
        <f t="shared" si="63"/>
        <v>1.0422339482896421</v>
      </c>
      <c r="L523" s="925">
        <f t="shared" si="62"/>
        <v>1.2704831829650738</v>
      </c>
      <c r="M523" s="532">
        <f t="shared" si="67"/>
        <v>3.6354436214282852E-2</v>
      </c>
      <c r="N523" s="127"/>
      <c r="O523" s="127"/>
    </row>
    <row r="524" spans="1:15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625">
        <f t="shared" si="61"/>
        <v>212.4</v>
      </c>
      <c r="G524" s="290">
        <f t="shared" si="65"/>
        <v>1.7418930317758933E-3</v>
      </c>
      <c r="H524" s="426">
        <f t="shared" si="66"/>
        <v>3.952581735193633</v>
      </c>
      <c r="I524" s="148">
        <f t="shared" si="64"/>
        <v>1.4533643040306989</v>
      </c>
      <c r="J524" s="148">
        <v>1.6750853745324907</v>
      </c>
      <c r="K524" s="427">
        <f t="shared" si="63"/>
        <v>0.64065083815685586</v>
      </c>
      <c r="L524" s="925">
        <f t="shared" si="62"/>
        <v>0.78095337171320733</v>
      </c>
      <c r="M524" s="532">
        <f t="shared" si="67"/>
        <v>3.6354436214282852E-2</v>
      </c>
      <c r="N524" s="127"/>
      <c r="O524" s="127"/>
    </row>
    <row r="525" spans="1:15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625">
        <f t="shared" si="61"/>
        <v>257.2</v>
      </c>
      <c r="G525" s="290">
        <f t="shared" si="65"/>
        <v>2.1092979650318257E-3</v>
      </c>
      <c r="H525" s="426">
        <f t="shared" si="66"/>
        <v>4.7862712913926666</v>
      </c>
      <c r="I525" s="148">
        <f t="shared" si="64"/>
        <v>1.7599119538450836</v>
      </c>
      <c r="J525" s="148">
        <v>2.0283990505167444</v>
      </c>
      <c r="K525" s="427">
        <f t="shared" si="63"/>
        <v>0.77577869855905524</v>
      </c>
      <c r="L525" s="925">
        <f t="shared" si="62"/>
        <v>0.94567423354348845</v>
      </c>
      <c r="M525" s="532">
        <f t="shared" si="67"/>
        <v>3.6354436214282859E-2</v>
      </c>
      <c r="N525" s="127"/>
      <c r="O525" s="127"/>
    </row>
    <row r="526" spans="1:15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625">
        <f t="shared" si="61"/>
        <v>406.14</v>
      </c>
      <c r="G526" s="290">
        <f t="shared" si="65"/>
        <v>3.330755348048311E-3</v>
      </c>
      <c r="H526" s="426">
        <f t="shared" si="66"/>
        <v>7.5579168829168646</v>
      </c>
      <c r="I526" s="148">
        <f t="shared" si="64"/>
        <v>2.7790460378485311</v>
      </c>
      <c r="J526" s="148">
        <v>3.2030092938447536</v>
      </c>
      <c r="K526" s="427">
        <f t="shared" si="63"/>
        <v>1.2250185094586883</v>
      </c>
      <c r="L526" s="925">
        <f t="shared" si="62"/>
        <v>1.4932975630301411</v>
      </c>
      <c r="M526" s="532">
        <f t="shared" si="67"/>
        <v>4.1043505654274857E-2</v>
      </c>
      <c r="N526" s="127"/>
      <c r="O526" s="127"/>
    </row>
    <row r="527" spans="1:15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625">
        <f t="shared" si="61"/>
        <v>253.51</v>
      </c>
      <c r="G527" s="290">
        <f t="shared" si="65"/>
        <v>2.0790362640560581E-3</v>
      </c>
      <c r="H527" s="426">
        <f t="shared" si="66"/>
        <v>4.7176035578575233</v>
      </c>
      <c r="I527" s="148">
        <f t="shared" si="64"/>
        <v>1.7346628282242114</v>
      </c>
      <c r="J527" s="148">
        <v>1.9992979910439348</v>
      </c>
      <c r="K527" s="427">
        <f t="shared" si="63"/>
        <v>0.7646487475571776</v>
      </c>
      <c r="L527" s="925">
        <f t="shared" si="62"/>
        <v>0.93210682327219951</v>
      </c>
      <c r="M527" s="532">
        <f t="shared" si="67"/>
        <v>3.6354436214282859E-2</v>
      </c>
      <c r="N527" s="127"/>
      <c r="O527" s="127"/>
    </row>
    <row r="528" spans="1:15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625">
        <f t="shared" ref="F528:F535" si="68">C528+D528+E528</f>
        <v>354.64</v>
      </c>
      <c r="G528" s="290">
        <f t="shared" si="65"/>
        <v>2.9084036948634783E-3</v>
      </c>
      <c r="H528" s="426">
        <f t="shared" si="66"/>
        <v>6.5995460761255647</v>
      </c>
      <c r="I528" s="148">
        <f t="shared" si="64"/>
        <v>2.4266530921913705</v>
      </c>
      <c r="J528" s="148">
        <v>2.7968562957824972</v>
      </c>
      <c r="K528" s="427">
        <f t="shared" si="63"/>
        <v>1.0696817949338389</v>
      </c>
      <c r="L528" s="925">
        <f t="shared" si="62"/>
        <v>1.3039421080243496</v>
      </c>
      <c r="M528" s="532">
        <f t="shared" si="67"/>
        <v>3.6354436214282859E-2</v>
      </c>
      <c r="N528" s="127"/>
      <c r="O528" s="127"/>
    </row>
    <row r="529" spans="1:15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625">
        <f t="shared" si="68"/>
        <v>286.98</v>
      </c>
      <c r="G529" s="290">
        <f t="shared" si="65"/>
        <v>2.3535238336113273E-3</v>
      </c>
      <c r="H529" s="426">
        <f t="shared" si="66"/>
        <v>5.3404515365624716</v>
      </c>
      <c r="I529" s="148">
        <f t="shared" si="64"/>
        <v>1.963684029994021</v>
      </c>
      <c r="J529" s="148">
        <v>2.2632580074544926</v>
      </c>
      <c r="K529" s="427">
        <f t="shared" si="63"/>
        <v>0.86560253076391014</v>
      </c>
      <c r="L529" s="925">
        <f t="shared" si="62"/>
        <v>1.0551694850012066</v>
      </c>
      <c r="M529" s="532">
        <f t="shared" si="67"/>
        <v>3.6354436214282859E-2</v>
      </c>
      <c r="N529" s="127"/>
      <c r="O529" s="127"/>
    </row>
    <row r="530" spans="1:15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625">
        <f t="shared" si="68"/>
        <v>128.9</v>
      </c>
      <c r="G530" s="290">
        <f t="shared" si="65"/>
        <v>1.0571092834082516E-3</v>
      </c>
      <c r="H530" s="426">
        <f t="shared" si="66"/>
        <v>2.3987183882601659</v>
      </c>
      <c r="I530" s="148">
        <f t="shared" si="64"/>
        <v>0.88200875136326307</v>
      </c>
      <c r="J530" s="148">
        <v>1.0165654650529099</v>
      </c>
      <c r="K530" s="427">
        <f t="shared" si="63"/>
        <v>0.38879422334472086</v>
      </c>
      <c r="L530" s="925">
        <f t="shared" si="62"/>
        <v>0.47394015825721475</v>
      </c>
      <c r="M530" s="532">
        <f t="shared" si="67"/>
        <v>3.6354436214282845E-2</v>
      </c>
      <c r="N530" s="127"/>
      <c r="O530" s="127"/>
    </row>
    <row r="531" spans="1:15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625">
        <f t="shared" si="68"/>
        <v>2048.73</v>
      </c>
      <c r="G531" s="290">
        <f t="shared" si="65"/>
        <v>1.680164082387112E-2</v>
      </c>
      <c r="H531" s="426">
        <f t="shared" si="66"/>
        <v>38.12510724267068</v>
      </c>
      <c r="I531" s="148">
        <f t="shared" si="64"/>
        <v>14.018601933130009</v>
      </c>
      <c r="J531" s="148">
        <v>16.157239450875469</v>
      </c>
      <c r="K531" s="427">
        <f t="shared" si="63"/>
        <v>6.1794754786115593</v>
      </c>
      <c r="L531" s="925">
        <f t="shared" si="62"/>
        <v>7.5327806084274913</v>
      </c>
      <c r="M531" s="532">
        <f t="shared" si="67"/>
        <v>3.6354436214282852E-2</v>
      </c>
      <c r="N531" s="127"/>
      <c r="O531" s="127"/>
    </row>
    <row r="532" spans="1:15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625">
        <f t="shared" si="68"/>
        <v>2056.27</v>
      </c>
      <c r="G532" s="290">
        <f t="shared" si="65"/>
        <v>1.6863476386298568E-2</v>
      </c>
      <c r="H532" s="426">
        <f t="shared" si="66"/>
        <v>38.265420172441672</v>
      </c>
      <c r="I532" s="148">
        <f t="shared" si="64"/>
        <v>14.070194997406803</v>
      </c>
      <c r="J532" s="148">
        <v>16.216703404378176</v>
      </c>
      <c r="K532" s="427">
        <f t="shared" si="63"/>
        <v>6.2022179801167505</v>
      </c>
      <c r="L532" s="925">
        <f t="shared" si="62"/>
        <v>7.5605037177623196</v>
      </c>
      <c r="M532" s="532">
        <f t="shared" si="67"/>
        <v>3.6354436214282852E-2</v>
      </c>
      <c r="N532" s="127"/>
      <c r="O532" s="127"/>
    </row>
    <row r="533" spans="1:15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625">
        <f t="shared" si="68"/>
        <v>75.900000000000006</v>
      </c>
      <c r="G533" s="290">
        <f t="shared" si="65"/>
        <v>6.2245612576172467E-4</v>
      </c>
      <c r="H533" s="426">
        <f t="shared" si="66"/>
        <v>1.4124338686497024</v>
      </c>
      <c r="I533" s="148">
        <f t="shared" si="64"/>
        <v>0.51935193350249564</v>
      </c>
      <c r="J533" s="148">
        <v>0.59858276801796639</v>
      </c>
      <c r="K533" s="427">
        <f t="shared" si="63"/>
        <v>0.22893313849390473</v>
      </c>
      <c r="L533" s="925">
        <f t="shared" si="62"/>
        <v>0.27906949582406987</v>
      </c>
      <c r="M533" s="532">
        <f t="shared" si="67"/>
        <v>3.6354436214282859E-2</v>
      </c>
      <c r="N533" s="127"/>
      <c r="O533" s="127"/>
    </row>
    <row r="534" spans="1:15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625">
        <f t="shared" si="68"/>
        <v>903</v>
      </c>
      <c r="G534" s="290">
        <f t="shared" si="65"/>
        <v>7.4055056859398853E-3</v>
      </c>
      <c r="H534" s="426">
        <f t="shared" si="66"/>
        <v>16.804055117136773</v>
      </c>
      <c r="I534" s="148">
        <f t="shared" si="64"/>
        <v>6.178851066571192</v>
      </c>
      <c r="J534" s="148">
        <v>7.1214787815576219</v>
      </c>
      <c r="K534" s="144">
        <f>G534*235.27*1.08</f>
        <v>1.8816767885495631</v>
      </c>
      <c r="L534" s="925">
        <f t="shared" si="62"/>
        <v>2.2937640052419175</v>
      </c>
      <c r="M534" s="532">
        <f t="shared" si="67"/>
        <v>3.5421995297691196E-2</v>
      </c>
      <c r="N534" s="127"/>
      <c r="O534" s="127"/>
    </row>
    <row r="535" spans="1:15" s="69" customFormat="1" ht="16.5" thickBot="1">
      <c r="A535" s="160"/>
      <c r="B535" s="160" t="s">
        <v>244</v>
      </c>
      <c r="C535" s="8">
        <f>SUM(C386:C534)</f>
        <v>241054.44000000006</v>
      </c>
      <c r="D535" s="8">
        <f>SUM(D386:D534)</f>
        <v>668.30000000000007</v>
      </c>
      <c r="E535" s="8">
        <f>SUM(E386:E534)</f>
        <v>2149.8700000000003</v>
      </c>
      <c r="F535" s="625">
        <f t="shared" si="68"/>
        <v>243872.61000000004</v>
      </c>
      <c r="G535" s="290">
        <f>2/243872.61*F535</f>
        <v>2.0000000000000004</v>
      </c>
      <c r="H535" s="426">
        <f t="shared" si="66"/>
        <v>4538.2600000000011</v>
      </c>
      <c r="I535" s="150">
        <f t="shared" ref="I535:I581" si="69">H535*0.3677</f>
        <v>1668.7182020000005</v>
      </c>
      <c r="J535" s="148">
        <f>SUM(J385:J534)</f>
        <v>1924.0708442818075</v>
      </c>
      <c r="K535" s="144">
        <f>G535*235.27*1.08</f>
        <v>508.18320000000017</v>
      </c>
      <c r="L535" s="925">
        <f t="shared" si="62"/>
        <v>619.4753208000003</v>
      </c>
      <c r="M535" s="532">
        <f t="shared" si="67"/>
        <v>3.5839340882009088E-2</v>
      </c>
      <c r="N535" s="127"/>
      <c r="O535" s="190"/>
    </row>
    <row r="536" spans="1:15" s="6" customFormat="1" ht="16.5" thickBot="1">
      <c r="A536" s="788" t="s">
        <v>245</v>
      </c>
      <c r="B536" s="197"/>
      <c r="C536" s="197"/>
      <c r="D536" s="197"/>
      <c r="E536" s="197"/>
      <c r="F536" s="622"/>
      <c r="G536" s="534"/>
      <c r="H536" s="426"/>
      <c r="I536" s="216"/>
      <c r="J536" s="148"/>
      <c r="K536" s="216"/>
      <c r="L536" s="925">
        <f t="shared" si="62"/>
        <v>0</v>
      </c>
      <c r="M536" s="532" t="e">
        <f t="shared" si="67"/>
        <v>#DIV/0!</v>
      </c>
      <c r="N536" s="127"/>
      <c r="O536" s="127"/>
    </row>
    <row r="537" spans="1:15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620">
        <f t="shared" ref="F537:F587" si="70">C537+D537+E537</f>
        <v>4713.8</v>
      </c>
      <c r="G537" s="536">
        <f t="shared" ref="G537:G600" si="71">2/246704.59*F537</f>
        <v>3.821412483650994E-2</v>
      </c>
      <c r="H537" s="426">
        <f t="shared" ref="H537:H600" si="72">G537*2269.13</f>
        <v>86.712817090269809</v>
      </c>
      <c r="I537" s="426">
        <f t="shared" si="69"/>
        <v>31.884302844092211</v>
      </c>
      <c r="J537" s="148">
        <v>40.153621479356353</v>
      </c>
      <c r="K537" s="427">
        <f t="shared" ref="K537:K600" si="73">G537*367.79</f>
        <v>14.054772973619992</v>
      </c>
      <c r="L537" s="925">
        <f t="shared" si="62"/>
        <v>17.13276825484277</v>
      </c>
      <c r="M537" s="532">
        <f t="shared" si="67"/>
        <v>3.9936564452816813E-2</v>
      </c>
      <c r="N537" s="523"/>
      <c r="O537" s="127"/>
    </row>
    <row r="538" spans="1:15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620">
        <f t="shared" si="70"/>
        <v>14312.59</v>
      </c>
      <c r="G538" s="536">
        <f t="shared" si="71"/>
        <v>0.11603018816958373</v>
      </c>
      <c r="H538" s="426">
        <f t="shared" si="72"/>
        <v>263.28758088124755</v>
      </c>
      <c r="I538" s="427">
        <f t="shared" si="69"/>
        <v>96.810843490034728</v>
      </c>
      <c r="J538" s="148">
        <v>121.91911435555625</v>
      </c>
      <c r="K538" s="427">
        <f t="shared" si="73"/>
        <v>42.674742906891204</v>
      </c>
      <c r="L538" s="925">
        <f t="shared" si="62"/>
        <v>52.020511603500381</v>
      </c>
      <c r="M538" s="532">
        <f t="shared" si="67"/>
        <v>3.6659492211663279E-2</v>
      </c>
      <c r="N538" s="523"/>
      <c r="O538" s="127"/>
    </row>
    <row r="539" spans="1:15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620">
        <f t="shared" si="70"/>
        <v>4226.7</v>
      </c>
      <c r="G539" s="536">
        <f t="shared" si="71"/>
        <v>3.4265272486417864E-2</v>
      </c>
      <c r="H539" s="426">
        <f t="shared" si="72"/>
        <v>77.752357757105372</v>
      </c>
      <c r="I539" s="427">
        <f t="shared" si="69"/>
        <v>28.589541947287646</v>
      </c>
      <c r="J539" s="148">
        <v>36.004351458864512</v>
      </c>
      <c r="K539" s="427">
        <f t="shared" si="73"/>
        <v>12.602424567779627</v>
      </c>
      <c r="L539" s="925">
        <f t="shared" si="62"/>
        <v>15.362355548123366</v>
      </c>
      <c r="M539" s="532">
        <f t="shared" si="67"/>
        <v>3.6659492211663272E-2</v>
      </c>
      <c r="N539" s="523"/>
      <c r="O539" s="127"/>
    </row>
    <row r="540" spans="1:15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620">
        <f t="shared" si="70"/>
        <v>4136.82</v>
      </c>
      <c r="G540" s="536">
        <f t="shared" si="71"/>
        <v>3.3536627753865463E-2</v>
      </c>
      <c r="H540" s="426">
        <f t="shared" si="72"/>
        <v>76.098968135128743</v>
      </c>
      <c r="I540" s="427">
        <f t="shared" si="69"/>
        <v>27.981590583286842</v>
      </c>
      <c r="J540" s="148">
        <v>35.238725531043094</v>
      </c>
      <c r="K540" s="427">
        <f t="shared" si="73"/>
        <v>12.334436321594179</v>
      </c>
      <c r="L540" s="925">
        <f t="shared" si="62"/>
        <v>15.035677876023305</v>
      </c>
      <c r="M540" s="532">
        <f t="shared" si="67"/>
        <v>3.6659492211663279E-2</v>
      </c>
      <c r="N540" s="523"/>
      <c r="O540" s="127"/>
    </row>
    <row r="541" spans="1:15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620">
        <f t="shared" si="70"/>
        <v>7984.78</v>
      </c>
      <c r="G541" s="536">
        <f t="shared" si="71"/>
        <v>6.4731507427567531E-2</v>
      </c>
      <c r="H541" s="426">
        <f t="shared" si="72"/>
        <v>146.88420544911631</v>
      </c>
      <c r="I541" s="427">
        <f t="shared" si="69"/>
        <v>54.009322343640072</v>
      </c>
      <c r="J541" s="148">
        <v>68.016851312303245</v>
      </c>
      <c r="K541" s="427">
        <f t="shared" si="73"/>
        <v>23.807601116785065</v>
      </c>
      <c r="L541" s="925">
        <f t="shared" ref="L541:L604" si="74">K541*1.219</f>
        <v>29.021465761360997</v>
      </c>
      <c r="M541" s="532">
        <f t="shared" si="67"/>
        <v>3.6659492211663279E-2</v>
      </c>
      <c r="N541" s="523"/>
      <c r="O541" s="127"/>
    </row>
    <row r="542" spans="1:15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620">
        <f t="shared" si="70"/>
        <v>4209.92</v>
      </c>
      <c r="G542" s="536">
        <f t="shared" si="71"/>
        <v>3.4129239346539927E-2</v>
      </c>
      <c r="H542" s="426">
        <f t="shared" si="72"/>
        <v>77.443680878414156</v>
      </c>
      <c r="I542" s="427">
        <f t="shared" si="69"/>
        <v>28.476041458992889</v>
      </c>
      <c r="J542" s="148">
        <v>35.861414175054499</v>
      </c>
      <c r="K542" s="427">
        <f t="shared" si="73"/>
        <v>12.552392939263921</v>
      </c>
      <c r="L542" s="925">
        <f t="shared" si="74"/>
        <v>15.301366992962722</v>
      </c>
      <c r="M542" s="532">
        <f t="shared" si="67"/>
        <v>3.6659492211663272E-2</v>
      </c>
      <c r="N542" s="523"/>
      <c r="O542" s="127"/>
    </row>
    <row r="543" spans="1:15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620">
        <f t="shared" si="70"/>
        <v>8071.9</v>
      </c>
      <c r="G543" s="536">
        <f t="shared" si="71"/>
        <v>6.5437777221737145E-2</v>
      </c>
      <c r="H543" s="426">
        <f t="shared" si="72"/>
        <v>148.4868234271604</v>
      </c>
      <c r="I543" s="427">
        <f t="shared" si="69"/>
        <v>54.598604974166882</v>
      </c>
      <c r="J543" s="148">
        <v>68.758966697614781</v>
      </c>
      <c r="K543" s="427">
        <f t="shared" si="73"/>
        <v>24.067360084382706</v>
      </c>
      <c r="L543" s="925">
        <f t="shared" si="74"/>
        <v>29.338111942862522</v>
      </c>
      <c r="M543" s="532">
        <f t="shared" si="67"/>
        <v>3.6659492211663272E-2</v>
      </c>
      <c r="N543" s="523"/>
      <c r="O543" s="127"/>
    </row>
    <row r="544" spans="1:15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620">
        <f t="shared" si="70"/>
        <v>4461.2</v>
      </c>
      <c r="G544" s="536">
        <f t="shared" si="71"/>
        <v>3.616633156278122E-2</v>
      </c>
      <c r="H544" s="426">
        <f t="shared" si="72"/>
        <v>82.066107939053751</v>
      </c>
      <c r="I544" s="427">
        <f t="shared" si="69"/>
        <v>30.175707889190065</v>
      </c>
      <c r="J544" s="148">
        <v>38.001895740953067</v>
      </c>
      <c r="K544" s="427">
        <f t="shared" si="73"/>
        <v>13.301615085475305</v>
      </c>
      <c r="L544" s="925">
        <f t="shared" si="74"/>
        <v>16.214668789194398</v>
      </c>
      <c r="M544" s="532">
        <f t="shared" si="67"/>
        <v>3.8879193309086457E-2</v>
      </c>
      <c r="N544" s="523"/>
      <c r="O544" s="127"/>
    </row>
    <row r="545" spans="1:15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620">
        <f t="shared" si="70"/>
        <v>10161.57</v>
      </c>
      <c r="G545" s="536">
        <f t="shared" si="71"/>
        <v>8.2378442979111177E-2</v>
      </c>
      <c r="H545" s="426">
        <f t="shared" si="72"/>
        <v>186.92739631719056</v>
      </c>
      <c r="I545" s="427">
        <f t="shared" si="69"/>
        <v>68.733203625830967</v>
      </c>
      <c r="J545" s="148">
        <v>86.559428786962357</v>
      </c>
      <c r="K545" s="427">
        <f t="shared" si="73"/>
        <v>30.297967543287303</v>
      </c>
      <c r="L545" s="925">
        <f t="shared" si="74"/>
        <v>36.933222435267226</v>
      </c>
      <c r="M545" s="532">
        <f t="shared" si="67"/>
        <v>3.6659492211663272E-2</v>
      </c>
      <c r="N545" s="523"/>
      <c r="O545" s="127"/>
    </row>
    <row r="546" spans="1:15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620">
        <f t="shared" si="70"/>
        <v>7889.76</v>
      </c>
      <c r="G546" s="536">
        <f t="shared" si="71"/>
        <v>6.3961193425708052E-2</v>
      </c>
      <c r="H546" s="426">
        <f t="shared" si="72"/>
        <v>145.13626283807693</v>
      </c>
      <c r="I546" s="427">
        <f t="shared" si="69"/>
        <v>53.366603845560888</v>
      </c>
      <c r="J546" s="148">
        <v>67.207441258213464</v>
      </c>
      <c r="K546" s="427">
        <f t="shared" si="73"/>
        <v>23.524287330041165</v>
      </c>
      <c r="L546" s="925">
        <f t="shared" si="74"/>
        <v>28.676106255320182</v>
      </c>
      <c r="M546" s="532">
        <f t="shared" si="67"/>
        <v>3.6659492211663272E-2</v>
      </c>
      <c r="N546" s="523"/>
      <c r="O546" s="127"/>
    </row>
    <row r="547" spans="1:15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620">
        <f t="shared" si="70"/>
        <v>7084.55</v>
      </c>
      <c r="G547" s="536">
        <f t="shared" si="71"/>
        <v>5.743346728976547E-2</v>
      </c>
      <c r="H547" s="426">
        <f t="shared" si="72"/>
        <v>130.32400363122554</v>
      </c>
      <c r="I547" s="427">
        <f t="shared" si="69"/>
        <v>47.920136135201631</v>
      </c>
      <c r="J547" s="148">
        <v>60.348410847209067</v>
      </c>
      <c r="K547" s="427">
        <f t="shared" si="73"/>
        <v>21.123454934502842</v>
      </c>
      <c r="L547" s="925">
        <f t="shared" si="74"/>
        <v>25.749491565158966</v>
      </c>
      <c r="M547" s="532">
        <f t="shared" si="67"/>
        <v>3.6776290956328415E-2</v>
      </c>
      <c r="N547" s="523"/>
      <c r="O547" s="127"/>
    </row>
    <row r="548" spans="1:15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620">
        <f t="shared" si="70"/>
        <v>4792.88</v>
      </c>
      <c r="G548" s="536">
        <f t="shared" si="71"/>
        <v>3.8855215462347097E-2</v>
      </c>
      <c r="H548" s="426">
        <f t="shared" si="72"/>
        <v>88.167535062075672</v>
      </c>
      <c r="I548" s="427">
        <f t="shared" si="69"/>
        <v>32.419202642325224</v>
      </c>
      <c r="J548" s="148">
        <v>40.82724963213915</v>
      </c>
      <c r="K548" s="427">
        <f t="shared" si="73"/>
        <v>14.29055969489664</v>
      </c>
      <c r="L548" s="925">
        <f t="shared" si="74"/>
        <v>17.420192268079006</v>
      </c>
      <c r="M548" s="532">
        <f t="shared" si="67"/>
        <v>3.6659492211663272E-2</v>
      </c>
      <c r="N548" s="523"/>
      <c r="O548" s="127"/>
    </row>
    <row r="549" spans="1:15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620">
        <f t="shared" si="70"/>
        <v>4816.47</v>
      </c>
      <c r="G549" s="536">
        <f t="shared" si="71"/>
        <v>3.9046456330626041E-2</v>
      </c>
      <c r="H549" s="426">
        <f t="shared" si="72"/>
        <v>88.601485453513476</v>
      </c>
      <c r="I549" s="427">
        <f t="shared" si="69"/>
        <v>32.578766201256904</v>
      </c>
      <c r="J549" s="148">
        <v>41.028196624098506</v>
      </c>
      <c r="K549" s="427">
        <f t="shared" si="73"/>
        <v>14.360896173840953</v>
      </c>
      <c r="L549" s="925">
        <f t="shared" si="74"/>
        <v>17.505932435912122</v>
      </c>
      <c r="M549" s="532">
        <f t="shared" si="67"/>
        <v>3.6659492211663279E-2</v>
      </c>
      <c r="N549" s="523"/>
      <c r="O549" s="127"/>
    </row>
    <row r="550" spans="1:15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620">
        <f t="shared" si="70"/>
        <v>5818.22</v>
      </c>
      <c r="G550" s="536">
        <f t="shared" si="71"/>
        <v>4.7167505071551367E-2</v>
      </c>
      <c r="H550" s="426">
        <f t="shared" si="72"/>
        <v>107.02920078300936</v>
      </c>
      <c r="I550" s="427">
        <f t="shared" si="69"/>
        <v>39.354637127912547</v>
      </c>
      <c r="J550" s="148">
        <v>49.561416174555717</v>
      </c>
      <c r="K550" s="427">
        <f t="shared" si="73"/>
        <v>17.347736690265879</v>
      </c>
      <c r="L550" s="925">
        <f t="shared" si="74"/>
        <v>21.146891025434108</v>
      </c>
      <c r="M550" s="532">
        <f t="shared" si="67"/>
        <v>3.6659492211663272E-2</v>
      </c>
      <c r="N550" s="523"/>
      <c r="O550" s="127"/>
    </row>
    <row r="551" spans="1:15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620">
        <f t="shared" si="70"/>
        <v>16414.989999999998</v>
      </c>
      <c r="G551" s="536">
        <f t="shared" si="71"/>
        <v>0.13307405427681746</v>
      </c>
      <c r="H551" s="426">
        <f t="shared" si="72"/>
        <v>301.96232878115478</v>
      </c>
      <c r="I551" s="427">
        <f t="shared" si="69"/>
        <v>111.03154829283062</v>
      </c>
      <c r="J551" s="148">
        <v>139.8280145630743</v>
      </c>
      <c r="K551" s="427">
        <f t="shared" si="73"/>
        <v>48.943306422470691</v>
      </c>
      <c r="L551" s="925">
        <f t="shared" si="74"/>
        <v>59.661890528991776</v>
      </c>
      <c r="M551" s="532">
        <f t="shared" si="67"/>
        <v>4.083448848143853E-2</v>
      </c>
      <c r="N551" s="523"/>
      <c r="O551" s="127"/>
    </row>
    <row r="552" spans="1:15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620">
        <f t="shared" si="70"/>
        <v>14876.619999999999</v>
      </c>
      <c r="G552" s="536">
        <f t="shared" si="71"/>
        <v>0.12060270139278723</v>
      </c>
      <c r="H552" s="426">
        <f t="shared" si="72"/>
        <v>273.6632078114153</v>
      </c>
      <c r="I552" s="427">
        <f t="shared" si="69"/>
        <v>100.62596151225742</v>
      </c>
      <c r="J552" s="148">
        <v>126.72369815694819</v>
      </c>
      <c r="K552" s="427">
        <f t="shared" si="73"/>
        <v>44.356467545253217</v>
      </c>
      <c r="L552" s="925">
        <f t="shared" si="74"/>
        <v>54.070533937663676</v>
      </c>
      <c r="M552" s="532">
        <f t="shared" si="67"/>
        <v>3.787544812257182E-2</v>
      </c>
      <c r="N552" s="523"/>
      <c r="O552" s="127"/>
    </row>
    <row r="553" spans="1:15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620">
        <f t="shared" si="70"/>
        <v>351.06</v>
      </c>
      <c r="G553" s="536">
        <f t="shared" si="71"/>
        <v>2.8459948799493357E-3</v>
      </c>
      <c r="H553" s="426">
        <f t="shared" si="72"/>
        <v>6.4579323619394362</v>
      </c>
      <c r="I553" s="427">
        <f t="shared" si="69"/>
        <v>2.374581729485131</v>
      </c>
      <c r="J553" s="148">
        <v>2.9904387875053762</v>
      </c>
      <c r="K553" s="427">
        <f t="shared" si="73"/>
        <v>1.0467284568965662</v>
      </c>
      <c r="L553" s="925">
        <f t="shared" si="74"/>
        <v>1.2759619889569143</v>
      </c>
      <c r="M553" s="532">
        <f t="shared" si="67"/>
        <v>3.6659492211663279E-2</v>
      </c>
      <c r="N553" s="523"/>
      <c r="O553" s="127"/>
    </row>
    <row r="554" spans="1:15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620">
        <f t="shared" si="70"/>
        <v>377.1</v>
      </c>
      <c r="G554" s="536">
        <f t="shared" si="71"/>
        <v>3.0570975594738634E-3</v>
      </c>
      <c r="H554" s="426">
        <f t="shared" si="72"/>
        <v>6.9369517851289277</v>
      </c>
      <c r="I554" s="427">
        <f t="shared" si="69"/>
        <v>2.550717171391907</v>
      </c>
      <c r="J554" s="148">
        <v>3.2122556450984945</v>
      </c>
      <c r="K554" s="427">
        <f t="shared" si="73"/>
        <v>1.1243699113988923</v>
      </c>
      <c r="L554" s="925">
        <f t="shared" si="74"/>
        <v>1.3706069219952499</v>
      </c>
      <c r="M554" s="532">
        <f t="shared" si="67"/>
        <v>3.6659492211663272E-2</v>
      </c>
      <c r="N554" s="523"/>
      <c r="O554" s="127"/>
    </row>
    <row r="555" spans="1:15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620">
        <f t="shared" si="70"/>
        <v>82.9</v>
      </c>
      <c r="G555" s="536">
        <f t="shared" si="71"/>
        <v>6.7205883765681057E-4</v>
      </c>
      <c r="H555" s="426">
        <f t="shared" si="72"/>
        <v>1.5249888702921985</v>
      </c>
      <c r="I555" s="427">
        <f t="shared" si="69"/>
        <v>0.56073840760644145</v>
      </c>
      <c r="J555" s="148">
        <v>0.70616810654644724</v>
      </c>
      <c r="K555" s="427">
        <f t="shared" si="73"/>
        <v>0.24717651990179837</v>
      </c>
      <c r="L555" s="925">
        <f t="shared" si="74"/>
        <v>0.30130817776029223</v>
      </c>
      <c r="M555" s="532">
        <f t="shared" si="67"/>
        <v>3.6659492211663272E-2</v>
      </c>
      <c r="N555" s="523"/>
      <c r="O555" s="127"/>
    </row>
    <row r="556" spans="1:15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620">
        <f t="shared" si="70"/>
        <v>56.1</v>
      </c>
      <c r="G556" s="536">
        <f t="shared" si="71"/>
        <v>4.5479494321528437E-4</v>
      </c>
      <c r="H556" s="426">
        <f t="shared" si="72"/>
        <v>1.0319888494980982</v>
      </c>
      <c r="I556" s="427">
        <f t="shared" si="69"/>
        <v>0.37946229996045072</v>
      </c>
      <c r="J556" s="148">
        <v>0.4778773314506114</v>
      </c>
      <c r="K556" s="427">
        <f t="shared" si="73"/>
        <v>0.16726903216514943</v>
      </c>
      <c r="L556" s="925">
        <f t="shared" si="74"/>
        <v>0.20390095020931717</v>
      </c>
      <c r="M556" s="532">
        <f t="shared" si="67"/>
        <v>3.6659492211663272E-2</v>
      </c>
      <c r="N556" s="523"/>
      <c r="O556" s="127"/>
    </row>
    <row r="557" spans="1:15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620">
        <f t="shared" si="70"/>
        <v>87</v>
      </c>
      <c r="G557" s="536">
        <f t="shared" si="71"/>
        <v>7.0529697076167092E-4</v>
      </c>
      <c r="H557" s="426">
        <f t="shared" si="72"/>
        <v>1.6004105152644303</v>
      </c>
      <c r="I557" s="427">
        <f t="shared" si="69"/>
        <v>0.58847094646273113</v>
      </c>
      <c r="J557" s="148">
        <v>0.74109318781110833</v>
      </c>
      <c r="K557" s="427">
        <f t="shared" si="73"/>
        <v>0.25940117287643494</v>
      </c>
      <c r="L557" s="925">
        <f t="shared" si="74"/>
        <v>0.31621002973637419</v>
      </c>
      <c r="M557" s="532">
        <f t="shared" si="67"/>
        <v>3.6659492211663272E-2</v>
      </c>
      <c r="N557" s="523"/>
      <c r="O557" s="127"/>
    </row>
    <row r="558" spans="1:15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620">
        <f t="shared" si="70"/>
        <v>4409.5</v>
      </c>
      <c r="G558" s="536">
        <f t="shared" si="71"/>
        <v>3.5747206811190667E-2</v>
      </c>
      <c r="H558" s="426">
        <f t="shared" si="72"/>
        <v>81.115059391477075</v>
      </c>
      <c r="I558" s="427">
        <f t="shared" si="69"/>
        <v>29.826007338246121</v>
      </c>
      <c r="J558" s="148">
        <v>37.561498984518195</v>
      </c>
      <c r="K558" s="427">
        <f t="shared" si="73"/>
        <v>13.147465193087816</v>
      </c>
      <c r="L558" s="925">
        <f t="shared" si="74"/>
        <v>16.026760070374049</v>
      </c>
      <c r="M558" s="532">
        <f t="shared" si="67"/>
        <v>3.7463216043785309E-2</v>
      </c>
      <c r="N558" s="523"/>
      <c r="O558" s="127"/>
    </row>
    <row r="559" spans="1:15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620">
        <f t="shared" si="70"/>
        <v>354.7</v>
      </c>
      <c r="G559" s="536">
        <f t="shared" si="71"/>
        <v>2.8755038566570653E-3</v>
      </c>
      <c r="H559" s="426">
        <f t="shared" si="72"/>
        <v>6.5248920662562471</v>
      </c>
      <c r="I559" s="427">
        <f t="shared" si="69"/>
        <v>2.3992028127624221</v>
      </c>
      <c r="J559" s="148">
        <v>3.0214454450183927</v>
      </c>
      <c r="K559" s="427">
        <f t="shared" si="73"/>
        <v>1.0575815634399022</v>
      </c>
      <c r="L559" s="925">
        <f t="shared" si="74"/>
        <v>1.2891919258332409</v>
      </c>
      <c r="M559" s="532">
        <f t="shared" si="67"/>
        <v>3.6659492211663279E-2</v>
      </c>
      <c r="N559" s="523"/>
      <c r="O559" s="127"/>
    </row>
    <row r="560" spans="1:15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620">
        <f t="shared" si="70"/>
        <v>352.4</v>
      </c>
      <c r="G560" s="536">
        <f t="shared" si="71"/>
        <v>2.8568580746714117E-3</v>
      </c>
      <c r="H560" s="426">
        <f t="shared" si="72"/>
        <v>6.4825823629791408</v>
      </c>
      <c r="I560" s="427">
        <f t="shared" si="69"/>
        <v>2.3836455348674304</v>
      </c>
      <c r="J560" s="148">
        <v>3.0018533262601674</v>
      </c>
      <c r="K560" s="427">
        <f t="shared" si="73"/>
        <v>1.0507238312833986</v>
      </c>
      <c r="L560" s="925">
        <f t="shared" si="74"/>
        <v>1.280832350334463</v>
      </c>
      <c r="M560" s="532">
        <f t="shared" si="67"/>
        <v>3.6659492211663279E-2</v>
      </c>
      <c r="N560" s="523"/>
      <c r="O560" s="127"/>
    </row>
    <row r="561" spans="1:15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620">
        <f t="shared" si="70"/>
        <v>216.7</v>
      </c>
      <c r="G561" s="536">
        <f t="shared" si="71"/>
        <v>1.756756937517863E-3</v>
      </c>
      <c r="H561" s="426">
        <f t="shared" si="72"/>
        <v>3.9863098696299084</v>
      </c>
      <c r="I561" s="427">
        <f t="shared" si="69"/>
        <v>1.4657661390629175</v>
      </c>
      <c r="J561" s="148">
        <v>1.8459183195249103</v>
      </c>
      <c r="K561" s="427">
        <f t="shared" si="73"/>
        <v>0.64611763404969491</v>
      </c>
      <c r="L561" s="925">
        <f t="shared" si="74"/>
        <v>0.7876173959065782</v>
      </c>
      <c r="M561" s="532">
        <f t="shared" si="67"/>
        <v>3.6659492211663279E-2</v>
      </c>
      <c r="N561" s="523"/>
      <c r="O561" s="127"/>
    </row>
    <row r="562" spans="1:15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620">
        <f t="shared" si="70"/>
        <v>42.7</v>
      </c>
      <c r="G562" s="536">
        <f t="shared" si="71"/>
        <v>3.461629959945213E-4</v>
      </c>
      <c r="H562" s="426">
        <f t="shared" si="72"/>
        <v>0.78548883910104816</v>
      </c>
      <c r="I562" s="427">
        <f t="shared" si="69"/>
        <v>0.28882424613745544</v>
      </c>
      <c r="J562" s="148">
        <v>0.36373194390269353</v>
      </c>
      <c r="K562" s="427">
        <f t="shared" si="73"/>
        <v>0.12731528829682501</v>
      </c>
      <c r="L562" s="925">
        <f t="shared" si="74"/>
        <v>0.15519733643382969</v>
      </c>
      <c r="M562" s="532">
        <f t="shared" si="67"/>
        <v>3.6659492211663279E-2</v>
      </c>
      <c r="N562" s="523"/>
      <c r="O562" s="127"/>
    </row>
    <row r="563" spans="1:15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620">
        <f t="shared" si="70"/>
        <v>79.7</v>
      </c>
      <c r="G563" s="536">
        <f t="shared" si="71"/>
        <v>6.461168801115537E-4</v>
      </c>
      <c r="H563" s="426">
        <f t="shared" si="72"/>
        <v>1.4661231961675298</v>
      </c>
      <c r="I563" s="427">
        <f t="shared" si="69"/>
        <v>0.53909349923080074</v>
      </c>
      <c r="J563" s="148">
        <v>0.67890950653500393</v>
      </c>
      <c r="K563" s="427">
        <f t="shared" si="73"/>
        <v>0.23763532733622836</v>
      </c>
      <c r="L563" s="925">
        <f t="shared" si="74"/>
        <v>0.28967746402286237</v>
      </c>
      <c r="M563" s="532">
        <f t="shared" si="67"/>
        <v>3.6659492211663272E-2</v>
      </c>
      <c r="N563" s="523"/>
      <c r="O563" s="127"/>
    </row>
    <row r="564" spans="1:15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620">
        <f t="shared" si="70"/>
        <v>23.5</v>
      </c>
      <c r="G564" s="536">
        <f t="shared" si="71"/>
        <v>1.9051125072298009E-4</v>
      </c>
      <c r="H564" s="426">
        <f t="shared" si="72"/>
        <v>0.43229479435303581</v>
      </c>
      <c r="I564" s="427">
        <f t="shared" si="69"/>
        <v>0.15895479588361128</v>
      </c>
      <c r="J564" s="148">
        <v>0.20018034383403507</v>
      </c>
      <c r="K564" s="427">
        <f t="shared" si="73"/>
        <v>7.0068132903404856E-2</v>
      </c>
      <c r="L564" s="925">
        <f t="shared" si="74"/>
        <v>8.5413054009250519E-2</v>
      </c>
      <c r="M564" s="532">
        <f t="shared" si="67"/>
        <v>3.6659492211663279E-2</v>
      </c>
      <c r="N564" s="523"/>
      <c r="O564" s="127"/>
    </row>
    <row r="565" spans="1:15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620">
        <f t="shared" si="70"/>
        <v>29</v>
      </c>
      <c r="G565" s="536">
        <f t="shared" si="71"/>
        <v>2.350989902538903E-4</v>
      </c>
      <c r="H565" s="426">
        <f t="shared" si="72"/>
        <v>0.53347017175481015</v>
      </c>
      <c r="I565" s="427">
        <f t="shared" si="69"/>
        <v>0.19615698215424371</v>
      </c>
      <c r="J565" s="148">
        <v>0.24703106260370283</v>
      </c>
      <c r="K565" s="427">
        <f t="shared" si="73"/>
        <v>8.6467057625478322E-2</v>
      </c>
      <c r="L565" s="925">
        <f t="shared" si="74"/>
        <v>0.10540334324545808</v>
      </c>
      <c r="M565" s="532">
        <f t="shared" si="67"/>
        <v>3.6659492211663279E-2</v>
      </c>
      <c r="N565" s="523"/>
      <c r="O565" s="127"/>
    </row>
    <row r="566" spans="1:15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620">
        <f t="shared" si="70"/>
        <v>84.7</v>
      </c>
      <c r="G566" s="536">
        <f t="shared" si="71"/>
        <v>6.8665118877601753E-4</v>
      </c>
      <c r="H566" s="426">
        <f t="shared" si="72"/>
        <v>1.5581008119873248</v>
      </c>
      <c r="I566" s="427">
        <f t="shared" si="69"/>
        <v>0.5729136685677394</v>
      </c>
      <c r="J566" s="148">
        <v>0.72150106905288369</v>
      </c>
      <c r="K566" s="427">
        <f t="shared" si="73"/>
        <v>0.25254344071993151</v>
      </c>
      <c r="L566" s="925">
        <f t="shared" si="74"/>
        <v>0.30785045423759655</v>
      </c>
      <c r="M566" s="532">
        <f t="shared" si="67"/>
        <v>3.6659492211663272E-2</v>
      </c>
      <c r="N566" s="523"/>
      <c r="O566" s="127"/>
    </row>
    <row r="567" spans="1:15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620">
        <f t="shared" si="70"/>
        <v>177.23</v>
      </c>
      <c r="G567" s="536">
        <f t="shared" si="71"/>
        <v>1.4367791049205855E-3</v>
      </c>
      <c r="H567" s="426">
        <f t="shared" si="72"/>
        <v>3.2602385703484482</v>
      </c>
      <c r="I567" s="427">
        <f t="shared" si="69"/>
        <v>1.1987897223171244</v>
      </c>
      <c r="J567" s="148">
        <v>1.5097005250087672</v>
      </c>
      <c r="K567" s="427">
        <f t="shared" si="73"/>
        <v>0.52843298699874219</v>
      </c>
      <c r="L567" s="925">
        <f t="shared" si="74"/>
        <v>0.64415981115146681</v>
      </c>
      <c r="M567" s="532">
        <f t="shared" si="67"/>
        <v>3.6659492211663279E-2</v>
      </c>
      <c r="N567" s="523"/>
      <c r="O567" s="127"/>
    </row>
    <row r="568" spans="1:15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620">
        <f t="shared" si="70"/>
        <v>108.36</v>
      </c>
      <c r="G568" s="536">
        <f t="shared" si="71"/>
        <v>8.7845953737626051E-4</v>
      </c>
      <c r="H568" s="426">
        <f t="shared" si="72"/>
        <v>1.993338890046594</v>
      </c>
      <c r="I568" s="427">
        <f t="shared" si="69"/>
        <v>0.73295070987013267</v>
      </c>
      <c r="J568" s="148">
        <v>0.92304434288749093</v>
      </c>
      <c r="K568" s="427">
        <f t="shared" si="73"/>
        <v>0.32308863325161485</v>
      </c>
      <c r="L568" s="925">
        <f t="shared" si="74"/>
        <v>0.39384504393371855</v>
      </c>
      <c r="M568" s="532">
        <f t="shared" si="67"/>
        <v>3.6659492211663272E-2</v>
      </c>
      <c r="N568" s="523"/>
      <c r="O568" s="127"/>
    </row>
    <row r="569" spans="1:15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620">
        <f t="shared" si="70"/>
        <v>76.2</v>
      </c>
      <c r="G569" s="536">
        <f t="shared" si="71"/>
        <v>6.1774286404642903E-4</v>
      </c>
      <c r="H569" s="426">
        <f t="shared" si="72"/>
        <v>1.4017388650936735</v>
      </c>
      <c r="I569" s="427">
        <f t="shared" si="69"/>
        <v>0.51541938069494375</v>
      </c>
      <c r="J569" s="148">
        <v>0.64909541277248817</v>
      </c>
      <c r="K569" s="427">
        <f t="shared" si="73"/>
        <v>0.22719964796763614</v>
      </c>
      <c r="L569" s="925">
        <f t="shared" si="74"/>
        <v>0.27695637087254849</v>
      </c>
      <c r="M569" s="532">
        <f t="shared" si="67"/>
        <v>3.6659492211663272E-2</v>
      </c>
      <c r="N569" s="523"/>
      <c r="O569" s="127"/>
    </row>
    <row r="570" spans="1:15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620">
        <f t="shared" si="70"/>
        <v>98.5</v>
      </c>
      <c r="G570" s="536">
        <f t="shared" si="71"/>
        <v>7.9852588068993777E-4</v>
      </c>
      <c r="H570" s="426">
        <f t="shared" si="72"/>
        <v>1.8119590316499585</v>
      </c>
      <c r="I570" s="427">
        <f t="shared" si="69"/>
        <v>0.66625733593768977</v>
      </c>
      <c r="J570" s="148">
        <v>0.8390537816022321</v>
      </c>
      <c r="K570" s="427">
        <f t="shared" si="73"/>
        <v>0.29368983365895224</v>
      </c>
      <c r="L570" s="925">
        <f t="shared" si="74"/>
        <v>0.35800790723026282</v>
      </c>
      <c r="M570" s="532">
        <f t="shared" si="67"/>
        <v>3.6659492211663279E-2</v>
      </c>
      <c r="N570" s="523"/>
      <c r="O570" s="127"/>
    </row>
    <row r="571" spans="1:15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620">
        <f t="shared" si="70"/>
        <v>93.4</v>
      </c>
      <c r="G571" s="536">
        <f t="shared" si="71"/>
        <v>7.5718088585218467E-4</v>
      </c>
      <c r="H571" s="426">
        <f t="shared" si="72"/>
        <v>1.718141863513768</v>
      </c>
      <c r="I571" s="427">
        <f t="shared" si="69"/>
        <v>0.63176076321401253</v>
      </c>
      <c r="J571" s="148">
        <v>0.79561038783399463</v>
      </c>
      <c r="K571" s="427">
        <f t="shared" si="73"/>
        <v>0.27848355800757502</v>
      </c>
      <c r="L571" s="925">
        <f t="shared" si="74"/>
        <v>0.33947145721123395</v>
      </c>
      <c r="M571" s="532">
        <f t="shared" si="67"/>
        <v>3.6659492211663272E-2</v>
      </c>
      <c r="N571" s="523"/>
      <c r="O571" s="127"/>
    </row>
    <row r="572" spans="1:15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620">
        <f t="shared" si="70"/>
        <v>92.7</v>
      </c>
      <c r="G572" s="536">
        <f t="shared" si="71"/>
        <v>7.5150608263915971E-4</v>
      </c>
      <c r="H572" s="426">
        <f t="shared" si="72"/>
        <v>1.7052649972989966</v>
      </c>
      <c r="I572" s="427">
        <f t="shared" si="69"/>
        <v>0.62702593950684105</v>
      </c>
      <c r="J572" s="148">
        <v>0.78964756908149147</v>
      </c>
      <c r="K572" s="427">
        <f t="shared" si="73"/>
        <v>0.27639642213385657</v>
      </c>
      <c r="L572" s="925">
        <f t="shared" si="74"/>
        <v>0.33692723858117118</v>
      </c>
      <c r="M572" s="532">
        <f t="shared" si="67"/>
        <v>3.6659492211663272E-2</v>
      </c>
      <c r="N572" s="523"/>
      <c r="O572" s="127"/>
    </row>
    <row r="573" spans="1:15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620">
        <f t="shared" si="70"/>
        <v>346.6</v>
      </c>
      <c r="G573" s="536">
        <f t="shared" si="71"/>
        <v>2.8098382766206342E-3</v>
      </c>
      <c r="H573" s="426">
        <f t="shared" si="72"/>
        <v>6.3758883286281804</v>
      </c>
      <c r="I573" s="427">
        <f t="shared" si="69"/>
        <v>2.3444141384365822</v>
      </c>
      <c r="J573" s="148">
        <v>2.9524471137394275</v>
      </c>
      <c r="K573" s="427">
        <f t="shared" si="73"/>
        <v>1.0334304197583031</v>
      </c>
      <c r="L573" s="925">
        <f t="shared" si="74"/>
        <v>1.2597516816853715</v>
      </c>
      <c r="M573" s="532">
        <f t="shared" si="67"/>
        <v>3.6659492211663279E-2</v>
      </c>
      <c r="N573" s="523"/>
      <c r="O573" s="127"/>
    </row>
    <row r="574" spans="1:15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620">
        <f t="shared" si="70"/>
        <v>195</v>
      </c>
      <c r="G574" s="536">
        <f t="shared" si="71"/>
        <v>1.58083803791409E-3</v>
      </c>
      <c r="H574" s="426">
        <f t="shared" si="72"/>
        <v>3.5871270169719991</v>
      </c>
      <c r="I574" s="427">
        <f t="shared" si="69"/>
        <v>1.3189866041406042</v>
      </c>
      <c r="J574" s="148">
        <v>1.6610709381973121</v>
      </c>
      <c r="K574" s="427">
        <f t="shared" si="73"/>
        <v>0.58141642196442322</v>
      </c>
      <c r="L574" s="925">
        <f t="shared" si="74"/>
        <v>0.70874661837463193</v>
      </c>
      <c r="M574" s="532">
        <f t="shared" si="67"/>
        <v>3.6659492211663272E-2</v>
      </c>
      <c r="N574" s="523"/>
      <c r="O574" s="127"/>
    </row>
    <row r="575" spans="1:15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620">
        <f t="shared" si="70"/>
        <v>68.099999999999994</v>
      </c>
      <c r="G575" s="536">
        <f t="shared" si="71"/>
        <v>5.5207728400999759E-4</v>
      </c>
      <c r="H575" s="426">
        <f t="shared" si="72"/>
        <v>1.2527351274656058</v>
      </c>
      <c r="I575" s="427">
        <f t="shared" si="69"/>
        <v>0.4606307063691033</v>
      </c>
      <c r="J575" s="148">
        <v>0.58009708149352279</v>
      </c>
      <c r="K575" s="427">
        <f t="shared" si="73"/>
        <v>0.20304850428603702</v>
      </c>
      <c r="L575" s="925">
        <f t="shared" si="74"/>
        <v>0.24751612672467915</v>
      </c>
      <c r="M575" s="532">
        <f t="shared" si="67"/>
        <v>3.6659492211663272E-2</v>
      </c>
      <c r="N575" s="523"/>
      <c r="O575" s="127"/>
    </row>
    <row r="576" spans="1:15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620">
        <f t="shared" si="70"/>
        <v>293.2</v>
      </c>
      <c r="G576" s="536">
        <f t="shared" si="71"/>
        <v>2.3769318600841598E-3</v>
      </c>
      <c r="H576" s="426">
        <f t="shared" si="72"/>
        <v>5.3935673916727698</v>
      </c>
      <c r="I576" s="427">
        <f t="shared" si="69"/>
        <v>1.9832147299180776</v>
      </c>
      <c r="J576" s="148">
        <v>2.497569226048471</v>
      </c>
      <c r="K576" s="427">
        <f t="shared" si="73"/>
        <v>0.87421176882035323</v>
      </c>
      <c r="L576" s="925">
        <f t="shared" si="74"/>
        <v>1.0656641461920107</v>
      </c>
      <c r="M576" s="532">
        <f t="shared" si="67"/>
        <v>3.6659492211663272E-2</v>
      </c>
      <c r="N576" s="523"/>
      <c r="O576" s="127"/>
    </row>
    <row r="577" spans="1:15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620">
        <f t="shared" si="70"/>
        <v>95.9</v>
      </c>
      <c r="G577" s="536">
        <f t="shared" si="71"/>
        <v>7.7744804018441659E-4</v>
      </c>
      <c r="H577" s="426">
        <f t="shared" si="72"/>
        <v>1.7641306714236653</v>
      </c>
      <c r="I577" s="427">
        <f t="shared" si="69"/>
        <v>0.64867084788248175</v>
      </c>
      <c r="J577" s="148">
        <v>0.81690616909293456</v>
      </c>
      <c r="K577" s="427">
        <f t="shared" si="73"/>
        <v>0.28593761469942658</v>
      </c>
      <c r="L577" s="925">
        <f t="shared" si="74"/>
        <v>0.34855795231860104</v>
      </c>
      <c r="M577" s="532">
        <f t="shared" si="67"/>
        <v>3.6659492211663272E-2</v>
      </c>
      <c r="N577" s="523"/>
      <c r="O577" s="127"/>
    </row>
    <row r="578" spans="1:15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620">
        <f t="shared" si="70"/>
        <v>4501</v>
      </c>
      <c r="G578" s="536">
        <f t="shared" si="71"/>
        <v>3.6488984659750354E-2</v>
      </c>
      <c r="H578" s="426">
        <f t="shared" si="72"/>
        <v>82.798249760979317</v>
      </c>
      <c r="I578" s="427">
        <f t="shared" si="69"/>
        <v>30.444916437112099</v>
      </c>
      <c r="J578" s="148">
        <v>38.340924578595398</v>
      </c>
      <c r="K578" s="427">
        <f>G578*235.27</f>
        <v>8.5847634208994652</v>
      </c>
      <c r="L578" s="925">
        <f t="shared" si="74"/>
        <v>10.464826610076448</v>
      </c>
      <c r="M578" s="532">
        <f t="shared" si="67"/>
        <v>3.5585170894820321E-2</v>
      </c>
      <c r="N578" s="523"/>
      <c r="O578" s="127"/>
    </row>
    <row r="579" spans="1:15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620">
        <f t="shared" si="70"/>
        <v>195.86</v>
      </c>
      <c r="G579" s="536">
        <f t="shared" si="71"/>
        <v>1.5878099390043779E-3</v>
      </c>
      <c r="H579" s="426">
        <f t="shared" si="72"/>
        <v>3.6029471668930042</v>
      </c>
      <c r="I579" s="427">
        <f t="shared" si="69"/>
        <v>1.3248036732665578</v>
      </c>
      <c r="J579" s="148">
        <v>1.6683966869503875</v>
      </c>
      <c r="K579" s="427">
        <f t="shared" si="73"/>
        <v>0.58398061746642016</v>
      </c>
      <c r="L579" s="925">
        <f t="shared" si="74"/>
        <v>0.71187237269156622</v>
      </c>
      <c r="M579" s="532">
        <f t="shared" si="67"/>
        <v>3.6659492211663272E-2</v>
      </c>
      <c r="N579" s="523"/>
      <c r="O579" s="127"/>
    </row>
    <row r="580" spans="1:15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620">
        <f t="shared" si="70"/>
        <v>148</v>
      </c>
      <c r="G580" s="536">
        <f t="shared" si="71"/>
        <v>1.1998155364681298E-3</v>
      </c>
      <c r="H580" s="426">
        <f t="shared" si="72"/>
        <v>2.7225374282659276</v>
      </c>
      <c r="I580" s="427">
        <f t="shared" si="69"/>
        <v>1.0010770123733816</v>
      </c>
      <c r="J580" s="148">
        <v>1.260710250529242</v>
      </c>
      <c r="K580" s="427">
        <f t="shared" si="73"/>
        <v>0.44128015615761351</v>
      </c>
      <c r="L580" s="925">
        <f t="shared" si="74"/>
        <v>0.53792051035613087</v>
      </c>
      <c r="M580" s="532">
        <f t="shared" si="67"/>
        <v>3.6659492211663272E-2</v>
      </c>
      <c r="N580" s="523"/>
      <c r="O580" s="127"/>
    </row>
    <row r="581" spans="1:15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620">
        <f t="shared" si="70"/>
        <v>74.95</v>
      </c>
      <c r="G581" s="536">
        <f t="shared" si="71"/>
        <v>6.0760928688031307E-4</v>
      </c>
      <c r="H581" s="426">
        <f t="shared" si="72"/>
        <v>1.378744461138725</v>
      </c>
      <c r="I581" s="427">
        <f t="shared" si="69"/>
        <v>0.5069643383607092</v>
      </c>
      <c r="J581" s="148">
        <v>0.63844752214301825</v>
      </c>
      <c r="K581" s="427">
        <f t="shared" si="73"/>
        <v>0.22347261962171036</v>
      </c>
      <c r="L581" s="925">
        <f t="shared" si="74"/>
        <v>0.27241312331886497</v>
      </c>
      <c r="M581" s="532">
        <f t="shared" si="67"/>
        <v>3.6659492211663279E-2</v>
      </c>
      <c r="N581" s="523"/>
      <c r="O581" s="127"/>
    </row>
    <row r="582" spans="1:15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620">
        <f t="shared" si="70"/>
        <v>87.3</v>
      </c>
      <c r="G582" s="536">
        <f t="shared" si="71"/>
        <v>7.0772902928153871E-4</v>
      </c>
      <c r="H582" s="426">
        <f t="shared" si="72"/>
        <v>1.605929172213618</v>
      </c>
      <c r="I582" s="427">
        <f t="shared" ref="I582:I638" si="75">H582*0.3677</f>
        <v>0.59050015662294741</v>
      </c>
      <c r="J582" s="148">
        <v>0.74364868156218134</v>
      </c>
      <c r="K582" s="427">
        <f t="shared" si="73"/>
        <v>0.26029565967945711</v>
      </c>
      <c r="L582" s="925">
        <f t="shared" si="74"/>
        <v>0.31730040914925822</v>
      </c>
      <c r="M582" s="532">
        <f t="shared" ref="M582:M645" si="76">(K582+J582+I582+H582)/C582</f>
        <v>3.6659492211663272E-2</v>
      </c>
      <c r="N582" s="523"/>
      <c r="O582" s="127"/>
    </row>
    <row r="583" spans="1:15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620">
        <f t="shared" si="70"/>
        <v>92.6</v>
      </c>
      <c r="G583" s="536">
        <f t="shared" si="71"/>
        <v>7.5069539646587034E-4</v>
      </c>
      <c r="H583" s="426">
        <f t="shared" si="72"/>
        <v>1.7034254449826005</v>
      </c>
      <c r="I583" s="427">
        <f t="shared" si="75"/>
        <v>0.62634953612010225</v>
      </c>
      <c r="J583" s="148">
        <v>0.78879573783113388</v>
      </c>
      <c r="K583" s="427">
        <f t="shared" si="73"/>
        <v>0.27609825986618247</v>
      </c>
      <c r="L583" s="925">
        <f t="shared" si="74"/>
        <v>0.33656377877687643</v>
      </c>
      <c r="M583" s="532">
        <f t="shared" si="76"/>
        <v>3.6659492211663272E-2</v>
      </c>
      <c r="N583" s="523"/>
      <c r="O583" s="127"/>
    </row>
    <row r="584" spans="1:15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620">
        <f t="shared" si="70"/>
        <v>110.7</v>
      </c>
      <c r="G584" s="536">
        <f t="shared" si="71"/>
        <v>8.9742959383122957E-4</v>
      </c>
      <c r="H584" s="426">
        <f t="shared" si="72"/>
        <v>2.0363844142502581</v>
      </c>
      <c r="I584" s="427">
        <f t="shared" si="75"/>
        <v>0.74877854911981989</v>
      </c>
      <c r="J584" s="148">
        <v>0.94297719414585868</v>
      </c>
      <c r="K584" s="427">
        <f t="shared" si="73"/>
        <v>0.33006563031518793</v>
      </c>
      <c r="L584" s="925">
        <f t="shared" si="74"/>
        <v>0.40235000335421411</v>
      </c>
      <c r="M584" s="532">
        <f t="shared" si="76"/>
        <v>3.6659492211663272E-2</v>
      </c>
      <c r="N584" s="523"/>
      <c r="O584" s="127"/>
    </row>
    <row r="585" spans="1:15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620">
        <f t="shared" si="70"/>
        <v>78.7</v>
      </c>
      <c r="G585" s="536">
        <f t="shared" si="71"/>
        <v>6.3801001837866095E-4</v>
      </c>
      <c r="H585" s="426">
        <f t="shared" si="72"/>
        <v>1.4477276730035711</v>
      </c>
      <c r="I585" s="427">
        <f t="shared" si="75"/>
        <v>0.53232946536341308</v>
      </c>
      <c r="J585" s="148">
        <v>0.67039119403142811</v>
      </c>
      <c r="K585" s="427">
        <f t="shared" si="73"/>
        <v>0.23465370465948773</v>
      </c>
      <c r="L585" s="925">
        <f t="shared" si="74"/>
        <v>0.28604286597991557</v>
      </c>
      <c r="M585" s="532">
        <f t="shared" si="76"/>
        <v>3.6659492211663279E-2</v>
      </c>
      <c r="N585" s="523"/>
      <c r="O585" s="127"/>
    </row>
    <row r="586" spans="1:15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620">
        <f t="shared" si="70"/>
        <v>114</v>
      </c>
      <c r="G586" s="536">
        <f t="shared" si="71"/>
        <v>9.241822375497757E-4</v>
      </c>
      <c r="H586" s="426">
        <f t="shared" si="72"/>
        <v>2.0970896406913226</v>
      </c>
      <c r="I586" s="427">
        <f t="shared" si="75"/>
        <v>0.77109986088219939</v>
      </c>
      <c r="J586" s="148">
        <v>0.97108762540765925</v>
      </c>
      <c r="K586" s="427">
        <f t="shared" si="73"/>
        <v>0.33990498514843204</v>
      </c>
      <c r="L586" s="925">
        <f t="shared" si="74"/>
        <v>0.41434417689593867</v>
      </c>
      <c r="M586" s="532">
        <f t="shared" si="76"/>
        <v>3.6659492211663272E-2</v>
      </c>
      <c r="N586" s="523"/>
      <c r="O586" s="127"/>
    </row>
    <row r="587" spans="1:15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620">
        <f t="shared" si="70"/>
        <v>25.1</v>
      </c>
      <c r="G587" s="536">
        <f t="shared" si="71"/>
        <v>2.0348222949560853E-4</v>
      </c>
      <c r="H587" s="426">
        <f t="shared" si="72"/>
        <v>0.46172763141537021</v>
      </c>
      <c r="I587" s="427">
        <f t="shared" si="75"/>
        <v>0.16977725007143163</v>
      </c>
      <c r="J587" s="148">
        <v>0.21380964383975659</v>
      </c>
      <c r="K587" s="427">
        <f t="shared" si="73"/>
        <v>7.4838729186189862E-2</v>
      </c>
      <c r="L587" s="925">
        <f t="shared" si="74"/>
        <v>9.1228410877965446E-2</v>
      </c>
      <c r="M587" s="532">
        <f t="shared" si="76"/>
        <v>3.6659492211663279E-2</v>
      </c>
      <c r="N587" s="523"/>
      <c r="O587" s="127"/>
    </row>
    <row r="588" spans="1:15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620">
        <f t="shared" ref="F588:F647" si="77">C588+D588+E588</f>
        <v>66.599999999999994</v>
      </c>
      <c r="G588" s="536">
        <f t="shared" si="71"/>
        <v>5.3991699141065842E-4</v>
      </c>
      <c r="H588" s="426">
        <f t="shared" si="72"/>
        <v>1.2251418427196674</v>
      </c>
      <c r="I588" s="427">
        <f t="shared" si="75"/>
        <v>0.45048465556802175</v>
      </c>
      <c r="J588" s="148">
        <v>0.5673196127381589</v>
      </c>
      <c r="K588" s="427">
        <f t="shared" si="73"/>
        <v>0.19857607027092608</v>
      </c>
      <c r="L588" s="925">
        <f t="shared" si="74"/>
        <v>0.24206422966025889</v>
      </c>
      <c r="M588" s="532">
        <f t="shared" si="76"/>
        <v>3.6659492211663279E-2</v>
      </c>
      <c r="N588" s="523"/>
      <c r="O588" s="127"/>
    </row>
    <row r="589" spans="1:15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620">
        <f t="shared" si="77"/>
        <v>156.4</v>
      </c>
      <c r="G589" s="536">
        <f t="shared" si="71"/>
        <v>1.2679131750244293E-3</v>
      </c>
      <c r="H589" s="426">
        <f t="shared" si="72"/>
        <v>2.8770598228431834</v>
      </c>
      <c r="I589" s="427">
        <f t="shared" si="75"/>
        <v>1.0578948968594386</v>
      </c>
      <c r="J589" s="148">
        <v>1.3322640755592801</v>
      </c>
      <c r="K589" s="427">
        <f t="shared" si="73"/>
        <v>0.46632578664223484</v>
      </c>
      <c r="L589" s="925">
        <f t="shared" si="74"/>
        <v>0.56845113391688429</v>
      </c>
      <c r="M589" s="532">
        <f t="shared" si="76"/>
        <v>3.6659492211663279E-2</v>
      </c>
      <c r="N589" s="523"/>
      <c r="O589" s="127"/>
    </row>
    <row r="590" spans="1:15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620">
        <f t="shared" si="77"/>
        <v>72.7</v>
      </c>
      <c r="G590" s="536">
        <f t="shared" si="71"/>
        <v>5.8936884798130437E-4</v>
      </c>
      <c r="H590" s="426">
        <f t="shared" si="72"/>
        <v>1.3373545340198172</v>
      </c>
      <c r="I590" s="427">
        <f t="shared" si="75"/>
        <v>0.49174526215908682</v>
      </c>
      <c r="J590" s="148">
        <v>0.6192813190099723</v>
      </c>
      <c r="K590" s="427">
        <f t="shared" si="73"/>
        <v>0.21676396859904395</v>
      </c>
      <c r="L590" s="925">
        <f t="shared" si="74"/>
        <v>0.2642352777222346</v>
      </c>
      <c r="M590" s="532">
        <f t="shared" si="76"/>
        <v>3.6659492211663279E-2</v>
      </c>
      <c r="N590" s="523"/>
      <c r="O590" s="127"/>
    </row>
    <row r="591" spans="1:15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620">
        <f t="shared" si="77"/>
        <v>59.6</v>
      </c>
      <c r="G591" s="536">
        <f t="shared" si="71"/>
        <v>4.8316895928040903E-4</v>
      </c>
      <c r="H591" s="426">
        <f t="shared" si="72"/>
        <v>1.0963731805719545</v>
      </c>
      <c r="I591" s="427">
        <f t="shared" si="75"/>
        <v>0.40313641849630771</v>
      </c>
      <c r="J591" s="148">
        <v>0.50769142521312716</v>
      </c>
      <c r="K591" s="427">
        <f t="shared" si="73"/>
        <v>0.17770471153374165</v>
      </c>
      <c r="L591" s="925">
        <f t="shared" si="74"/>
        <v>0.21662204335963109</v>
      </c>
      <c r="M591" s="532">
        <f t="shared" si="76"/>
        <v>3.6659492211663272E-2</v>
      </c>
      <c r="N591" s="523"/>
      <c r="O591" s="127"/>
    </row>
    <row r="592" spans="1:15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620">
        <f t="shared" si="77"/>
        <v>176</v>
      </c>
      <c r="G592" s="536">
        <f t="shared" si="71"/>
        <v>1.4268076649891273E-3</v>
      </c>
      <c r="H592" s="426">
        <f t="shared" si="72"/>
        <v>3.2376120768567787</v>
      </c>
      <c r="I592" s="427">
        <f t="shared" si="75"/>
        <v>1.1904699606602376</v>
      </c>
      <c r="J592" s="148">
        <v>1.499223000629369</v>
      </c>
      <c r="K592" s="427">
        <f t="shared" si="73"/>
        <v>0.52476559110635113</v>
      </c>
      <c r="L592" s="925">
        <f t="shared" si="74"/>
        <v>0.63968925555864209</v>
      </c>
      <c r="M592" s="532">
        <f t="shared" si="76"/>
        <v>3.6659492211663272E-2</v>
      </c>
      <c r="N592" s="523"/>
      <c r="O592" s="127"/>
    </row>
    <row r="593" spans="1:15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620">
        <f t="shared" si="77"/>
        <v>149</v>
      </c>
      <c r="G593" s="536">
        <f t="shared" si="71"/>
        <v>1.2079223982010227E-3</v>
      </c>
      <c r="H593" s="426">
        <f t="shared" si="72"/>
        <v>2.7409329514298868</v>
      </c>
      <c r="I593" s="427">
        <f t="shared" si="75"/>
        <v>1.0078410462407694</v>
      </c>
      <c r="J593" s="148">
        <v>1.2692285630328179</v>
      </c>
      <c r="K593" s="427">
        <f t="shared" si="73"/>
        <v>0.44426177883435414</v>
      </c>
      <c r="L593" s="925">
        <f t="shared" si="74"/>
        <v>0.54155510839907772</v>
      </c>
      <c r="M593" s="532">
        <f t="shared" si="76"/>
        <v>3.6659492211663279E-2</v>
      </c>
      <c r="N593" s="523"/>
      <c r="O593" s="127"/>
    </row>
    <row r="594" spans="1:15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620">
        <f t="shared" si="77"/>
        <v>224.8</v>
      </c>
      <c r="G594" s="536">
        <f t="shared" si="71"/>
        <v>1.8224225175542945E-3</v>
      </c>
      <c r="H594" s="426">
        <f t="shared" si="72"/>
        <v>4.1353136072579764</v>
      </c>
      <c r="I594" s="427">
        <f t="shared" si="75"/>
        <v>1.5205548133887581</v>
      </c>
      <c r="J594" s="148">
        <v>1.914916650803876</v>
      </c>
      <c r="K594" s="427">
        <f t="shared" si="73"/>
        <v>0.67026877773129401</v>
      </c>
      <c r="L594" s="925">
        <f t="shared" si="74"/>
        <v>0.81705764005444748</v>
      </c>
      <c r="M594" s="532">
        <f t="shared" si="76"/>
        <v>3.6659492211663272E-2</v>
      </c>
      <c r="N594" s="523"/>
      <c r="O594" s="127"/>
    </row>
    <row r="595" spans="1:15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620">
        <f t="shared" si="77"/>
        <v>243.4</v>
      </c>
      <c r="G595" s="536">
        <f t="shared" si="71"/>
        <v>1.9732101457861002E-3</v>
      </c>
      <c r="H595" s="426">
        <f t="shared" si="72"/>
        <v>4.4774703381076133</v>
      </c>
      <c r="I595" s="427">
        <f t="shared" si="75"/>
        <v>1.6463658433221695</v>
      </c>
      <c r="J595" s="148">
        <v>2.0733572633703883</v>
      </c>
      <c r="K595" s="427">
        <f t="shared" si="73"/>
        <v>0.72572695951866983</v>
      </c>
      <c r="L595" s="925">
        <f t="shared" si="74"/>
        <v>0.88466116365325864</v>
      </c>
      <c r="M595" s="532">
        <f t="shared" si="76"/>
        <v>3.6659492211663272E-2</v>
      </c>
      <c r="N595" s="523"/>
      <c r="O595" s="127"/>
    </row>
    <row r="596" spans="1:15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620">
        <f t="shared" si="77"/>
        <v>169.9</v>
      </c>
      <c r="G596" s="536">
        <f t="shared" si="71"/>
        <v>1.3773558084184815E-3</v>
      </c>
      <c r="H596" s="426">
        <f t="shared" si="72"/>
        <v>3.1253993855566291</v>
      </c>
      <c r="I596" s="427">
        <f t="shared" si="75"/>
        <v>1.1492093540691726</v>
      </c>
      <c r="J596" s="148">
        <v>1.4472612943575556</v>
      </c>
      <c r="K596" s="427">
        <f t="shared" si="73"/>
        <v>0.50657769277823339</v>
      </c>
      <c r="L596" s="925">
        <f t="shared" si="74"/>
        <v>0.61751820749666653</v>
      </c>
      <c r="M596" s="532">
        <f t="shared" si="76"/>
        <v>3.6659492211663272E-2</v>
      </c>
      <c r="N596" s="523"/>
      <c r="O596" s="127"/>
    </row>
    <row r="597" spans="1:15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620">
        <f t="shared" si="77"/>
        <v>377.1</v>
      </c>
      <c r="G597" s="536">
        <f t="shared" si="71"/>
        <v>3.0570975594738634E-3</v>
      </c>
      <c r="H597" s="426">
        <f t="shared" si="72"/>
        <v>6.9369517851289277</v>
      </c>
      <c r="I597" s="427">
        <f t="shared" si="75"/>
        <v>2.550717171391907</v>
      </c>
      <c r="J597" s="148">
        <v>3.2122556450984945</v>
      </c>
      <c r="K597" s="427">
        <f t="shared" si="73"/>
        <v>1.1243699113988923</v>
      </c>
      <c r="L597" s="925">
        <f t="shared" si="74"/>
        <v>1.3706069219952499</v>
      </c>
      <c r="M597" s="532">
        <f t="shared" si="76"/>
        <v>3.6659492211663272E-2</v>
      </c>
      <c r="N597" s="523"/>
      <c r="O597" s="127"/>
    </row>
    <row r="598" spans="1:15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620">
        <f t="shared" si="77"/>
        <v>87.1</v>
      </c>
      <c r="G598" s="536">
        <f t="shared" si="71"/>
        <v>7.0610765693496019E-4</v>
      </c>
      <c r="H598" s="426">
        <f t="shared" si="72"/>
        <v>1.6022500675808262</v>
      </c>
      <c r="I598" s="427">
        <f t="shared" si="75"/>
        <v>0.58914734984946981</v>
      </c>
      <c r="J598" s="148">
        <v>0.74194501906146615</v>
      </c>
      <c r="K598" s="427">
        <f t="shared" si="73"/>
        <v>0.25969933514410903</v>
      </c>
      <c r="L598" s="925">
        <f t="shared" si="74"/>
        <v>0.31657348954066894</v>
      </c>
      <c r="M598" s="532">
        <f t="shared" si="76"/>
        <v>3.6659492211663279E-2</v>
      </c>
      <c r="N598" s="523"/>
      <c r="O598" s="127"/>
    </row>
    <row r="599" spans="1:15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620">
        <f t="shared" si="77"/>
        <v>348.2</v>
      </c>
      <c r="G599" s="536">
        <f t="shared" si="71"/>
        <v>2.822809255393262E-3</v>
      </c>
      <c r="H599" s="426">
        <f t="shared" si="72"/>
        <v>6.4053211656905127</v>
      </c>
      <c r="I599" s="427">
        <f t="shared" si="75"/>
        <v>2.3552365926244017</v>
      </c>
      <c r="J599" s="148">
        <v>2.966076413745149</v>
      </c>
      <c r="K599" s="427">
        <f t="shared" si="73"/>
        <v>1.0382010160410879</v>
      </c>
      <c r="L599" s="925">
        <f t="shared" si="74"/>
        <v>1.2655670385540863</v>
      </c>
      <c r="M599" s="532">
        <f t="shared" si="76"/>
        <v>3.6659492211663279E-2</v>
      </c>
      <c r="N599" s="523"/>
      <c r="O599" s="127"/>
    </row>
    <row r="600" spans="1:15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620">
        <f t="shared" si="77"/>
        <v>227.7</v>
      </c>
      <c r="G600" s="536">
        <f t="shared" si="71"/>
        <v>1.8459324165796835E-3</v>
      </c>
      <c r="H600" s="426">
        <f t="shared" si="72"/>
        <v>4.1886606244334574</v>
      </c>
      <c r="I600" s="427">
        <f t="shared" si="75"/>
        <v>1.5401705116041824</v>
      </c>
      <c r="J600" s="148">
        <v>1.9396197570642459</v>
      </c>
      <c r="K600" s="427">
        <f t="shared" si="73"/>
        <v>0.67891548349384179</v>
      </c>
      <c r="L600" s="925">
        <f t="shared" si="74"/>
        <v>0.82759797437899318</v>
      </c>
      <c r="M600" s="532">
        <f t="shared" si="76"/>
        <v>3.6659492211663272E-2</v>
      </c>
      <c r="N600" s="523"/>
      <c r="O600" s="127"/>
    </row>
    <row r="601" spans="1:15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620">
        <f t="shared" si="77"/>
        <v>409.2</v>
      </c>
      <c r="G601" s="536">
        <f t="shared" ref="G601:G664" si="78">2/246704.59*F601</f>
        <v>3.3173278210997209E-3</v>
      </c>
      <c r="H601" s="426">
        <f t="shared" ref="H601:H664" si="79">G601*2269.13</f>
        <v>7.5274480786920099</v>
      </c>
      <c r="I601" s="427">
        <f t="shared" si="75"/>
        <v>2.7678426585350522</v>
      </c>
      <c r="J601" s="148">
        <v>3.4856934764632825</v>
      </c>
      <c r="K601" s="427">
        <f>G601*367.79</f>
        <v>1.2200799993222664</v>
      </c>
      <c r="L601" s="925">
        <f t="shared" si="74"/>
        <v>1.4872775191738428</v>
      </c>
      <c r="M601" s="532">
        <f t="shared" si="76"/>
        <v>3.6659492211663272E-2</v>
      </c>
      <c r="N601" s="523"/>
      <c r="O601" s="127"/>
    </row>
    <row r="602" spans="1:15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620">
        <f t="shared" si="77"/>
        <v>177.6</v>
      </c>
      <c r="G602" s="536">
        <f t="shared" si="78"/>
        <v>1.4397786437617558E-3</v>
      </c>
      <c r="H602" s="426">
        <f t="shared" si="79"/>
        <v>3.2670449139191131</v>
      </c>
      <c r="I602" s="427">
        <f t="shared" si="75"/>
        <v>1.2012924148480579</v>
      </c>
      <c r="J602" s="148">
        <v>1.5128523006350905</v>
      </c>
      <c r="K602" s="427">
        <f>G602*235.27</f>
        <v>0.3387367215178283</v>
      </c>
      <c r="L602" s="925">
        <f t="shared" si="74"/>
        <v>0.41292006353023275</v>
      </c>
      <c r="M602" s="532">
        <f t="shared" si="76"/>
        <v>3.5585170894820328E-2</v>
      </c>
      <c r="N602" s="523"/>
      <c r="O602" s="127"/>
    </row>
    <row r="603" spans="1:15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620">
        <f t="shared" si="77"/>
        <v>383.9</v>
      </c>
      <c r="G603" s="536">
        <f t="shared" si="78"/>
        <v>3.1122242192575338E-3</v>
      </c>
      <c r="H603" s="426">
        <f t="shared" si="79"/>
        <v>7.0620413426438482</v>
      </c>
      <c r="I603" s="427">
        <f t="shared" si="75"/>
        <v>2.5967126016901432</v>
      </c>
      <c r="J603" s="148">
        <v>3.2701801701228104</v>
      </c>
      <c r="K603" s="427">
        <f>G603*367.79</f>
        <v>1.1446449456007284</v>
      </c>
      <c r="L603" s="925">
        <f t="shared" si="74"/>
        <v>1.395322188687288</v>
      </c>
      <c r="M603" s="532">
        <f t="shared" si="76"/>
        <v>3.6659492211663272E-2</v>
      </c>
      <c r="N603" s="523"/>
      <c r="O603" s="127"/>
    </row>
    <row r="604" spans="1:15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620">
        <f t="shared" si="77"/>
        <v>123.2</v>
      </c>
      <c r="G604" s="536">
        <f t="shared" si="78"/>
        <v>9.9876536549238916E-4</v>
      </c>
      <c r="H604" s="426">
        <f t="shared" si="79"/>
        <v>2.266328453799745</v>
      </c>
      <c r="I604" s="427">
        <f t="shared" si="75"/>
        <v>0.83332897246216631</v>
      </c>
      <c r="J604" s="148">
        <v>1.049456100440558</v>
      </c>
      <c r="K604" s="427">
        <f>G604*235.27</f>
        <v>0.23497952753939441</v>
      </c>
      <c r="L604" s="925">
        <f t="shared" si="74"/>
        <v>0.28644004407052182</v>
      </c>
      <c r="M604" s="532">
        <f t="shared" si="76"/>
        <v>3.5585170894820328E-2</v>
      </c>
      <c r="N604" s="523"/>
      <c r="O604" s="127"/>
    </row>
    <row r="605" spans="1:15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620">
        <f t="shared" si="77"/>
        <v>423.7</v>
      </c>
      <c r="G605" s="536">
        <f t="shared" si="78"/>
        <v>3.4348773162266662E-3</v>
      </c>
      <c r="H605" s="426">
        <f t="shared" si="79"/>
        <v>7.7941831645694153</v>
      </c>
      <c r="I605" s="427">
        <f t="shared" si="75"/>
        <v>2.8659211496121744</v>
      </c>
      <c r="J605" s="148">
        <v>3.6092090077651342</v>
      </c>
      <c r="K605" s="427">
        <f>G605*367.79</f>
        <v>1.2633135281350056</v>
      </c>
      <c r="L605" s="925">
        <f t="shared" ref="L605:L668" si="80">K605*1.219</f>
        <v>1.5399791907965721</v>
      </c>
      <c r="M605" s="532">
        <f t="shared" si="76"/>
        <v>3.6659492211663279E-2</v>
      </c>
      <c r="N605" s="523"/>
      <c r="O605" s="127"/>
    </row>
    <row r="606" spans="1:15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620">
        <f t="shared" si="77"/>
        <v>138.80000000000001</v>
      </c>
      <c r="G606" s="536">
        <f t="shared" si="78"/>
        <v>1.1252324085255165E-3</v>
      </c>
      <c r="H606" s="426">
        <f t="shared" si="79"/>
        <v>2.5532986151575052</v>
      </c>
      <c r="I606" s="427">
        <f t="shared" si="75"/>
        <v>0.93884790079341474</v>
      </c>
      <c r="J606" s="148">
        <v>1.1823417754963432</v>
      </c>
      <c r="K606" s="427">
        <f t="shared" ref="K606:K622" si="81">G606*235.27</f>
        <v>0.26473342875379829</v>
      </c>
      <c r="L606" s="925">
        <f t="shared" si="80"/>
        <v>0.32271004965088013</v>
      </c>
      <c r="M606" s="532">
        <f t="shared" si="76"/>
        <v>3.5585170894820321E-2</v>
      </c>
      <c r="N606" s="523"/>
      <c r="O606" s="127"/>
    </row>
    <row r="607" spans="1:15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620">
        <f t="shared" si="77"/>
        <v>341.6</v>
      </c>
      <c r="G607" s="536">
        <f t="shared" si="78"/>
        <v>2.7693039679561704E-3</v>
      </c>
      <c r="H607" s="426">
        <f t="shared" si="79"/>
        <v>6.2839107128083853</v>
      </c>
      <c r="I607" s="427">
        <f t="shared" si="75"/>
        <v>2.3105939690996435</v>
      </c>
      <c r="J607" s="148">
        <v>2.9098555512215483</v>
      </c>
      <c r="K607" s="427">
        <f t="shared" si="81"/>
        <v>0.65153414454104819</v>
      </c>
      <c r="L607" s="925">
        <f t="shared" si="80"/>
        <v>0.79422012219553784</v>
      </c>
      <c r="M607" s="532">
        <f t="shared" si="76"/>
        <v>0.17902642676981773</v>
      </c>
      <c r="N607" s="523"/>
      <c r="O607" s="127"/>
    </row>
    <row r="608" spans="1:15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620">
        <f t="shared" si="77"/>
        <v>353.3</v>
      </c>
      <c r="G608" s="536">
        <f t="shared" si="78"/>
        <v>2.8641542502310154E-3</v>
      </c>
      <c r="H608" s="426">
        <f t="shared" si="79"/>
        <v>6.4991383338267044</v>
      </c>
      <c r="I608" s="427">
        <f t="shared" si="75"/>
        <v>2.3897331653480793</v>
      </c>
      <c r="J608" s="148">
        <v>3.0095198075133864</v>
      </c>
      <c r="K608" s="427">
        <f t="shared" si="81"/>
        <v>0.67384957045185101</v>
      </c>
      <c r="L608" s="925">
        <f t="shared" si="80"/>
        <v>0.82142262638080643</v>
      </c>
      <c r="M608" s="532">
        <f t="shared" si="76"/>
        <v>3.5585170894820328E-2</v>
      </c>
      <c r="N608" s="523"/>
      <c r="O608" s="127"/>
    </row>
    <row r="609" spans="1:15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620">
        <f t="shared" si="77"/>
        <v>354.5</v>
      </c>
      <c r="G609" s="536">
        <f t="shared" si="78"/>
        <v>2.8738824843104866E-3</v>
      </c>
      <c r="H609" s="426">
        <f t="shared" si="79"/>
        <v>6.5212129616234549</v>
      </c>
      <c r="I609" s="427">
        <f t="shared" si="75"/>
        <v>2.3978500059889445</v>
      </c>
      <c r="J609" s="148">
        <v>3.0197417825176776</v>
      </c>
      <c r="K609" s="427">
        <f t="shared" si="81"/>
        <v>0.6761383320837282</v>
      </c>
      <c r="L609" s="925">
        <f t="shared" si="80"/>
        <v>0.82421262681006469</v>
      </c>
      <c r="M609" s="532">
        <f t="shared" si="76"/>
        <v>3.5585170894820328E-2</v>
      </c>
      <c r="N609" s="523"/>
      <c r="O609" s="127"/>
    </row>
    <row r="610" spans="1:15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620">
        <f t="shared" si="77"/>
        <v>404.4</v>
      </c>
      <c r="G610" s="536">
        <f t="shared" si="78"/>
        <v>3.2784148847818358E-3</v>
      </c>
      <c r="H610" s="426">
        <f t="shared" si="79"/>
        <v>7.439149567505007</v>
      </c>
      <c r="I610" s="427">
        <f t="shared" si="75"/>
        <v>2.7353752959715911</v>
      </c>
      <c r="J610" s="148">
        <v>3.4448055764461176</v>
      </c>
      <c r="K610" s="427">
        <f t="shared" si="81"/>
        <v>0.7713126699426226</v>
      </c>
      <c r="L610" s="925">
        <f t="shared" si="80"/>
        <v>0.94023014466005705</v>
      </c>
      <c r="M610" s="532">
        <f t="shared" si="76"/>
        <v>3.5585170894820328E-2</v>
      </c>
      <c r="N610" s="523"/>
      <c r="O610" s="127"/>
    </row>
    <row r="611" spans="1:15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620">
        <f t="shared" si="77"/>
        <v>348.3</v>
      </c>
      <c r="G611" s="536">
        <f t="shared" si="78"/>
        <v>2.8236199415665516E-3</v>
      </c>
      <c r="H611" s="426">
        <f t="shared" si="79"/>
        <v>6.4071607180069092</v>
      </c>
      <c r="I611" s="427">
        <f t="shared" si="75"/>
        <v>2.3559129960111407</v>
      </c>
      <c r="J611" s="148">
        <v>2.9669282449955068</v>
      </c>
      <c r="K611" s="427">
        <f t="shared" si="81"/>
        <v>0.66431306365236265</v>
      </c>
      <c r="L611" s="925">
        <f t="shared" si="80"/>
        <v>0.80979762459223015</v>
      </c>
      <c r="M611" s="532">
        <f t="shared" si="76"/>
        <v>3.5585170894820321E-2</v>
      </c>
      <c r="N611" s="523"/>
      <c r="O611" s="127"/>
    </row>
    <row r="612" spans="1:15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620">
        <f t="shared" si="77"/>
        <v>73.400000000000006</v>
      </c>
      <c r="G612" s="536">
        <f t="shared" si="78"/>
        <v>5.9504365119432932E-4</v>
      </c>
      <c r="H612" s="426">
        <f t="shared" si="79"/>
        <v>1.3502314002345885</v>
      </c>
      <c r="I612" s="427">
        <f t="shared" si="75"/>
        <v>0.49648008586625825</v>
      </c>
      <c r="J612" s="148">
        <v>0.62524413776247545</v>
      </c>
      <c r="K612" s="427">
        <f t="shared" si="81"/>
        <v>0.13999591981648987</v>
      </c>
      <c r="L612" s="925">
        <f t="shared" si="80"/>
        <v>0.17065502625630116</v>
      </c>
      <c r="M612" s="532">
        <f t="shared" si="76"/>
        <v>3.5585170894820328E-2</v>
      </c>
      <c r="N612" s="523"/>
      <c r="O612" s="127"/>
    </row>
    <row r="613" spans="1:15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620">
        <f t="shared" si="77"/>
        <v>117.2</v>
      </c>
      <c r="G613" s="536">
        <f t="shared" si="78"/>
        <v>9.5012419509503258E-4</v>
      </c>
      <c r="H613" s="426">
        <f t="shared" si="79"/>
        <v>2.1559553148159916</v>
      </c>
      <c r="I613" s="427">
        <f t="shared" si="75"/>
        <v>0.79274476925784021</v>
      </c>
      <c r="J613" s="148">
        <v>0.99834622541910256</v>
      </c>
      <c r="K613" s="427">
        <f t="shared" si="81"/>
        <v>0.22353571938000832</v>
      </c>
      <c r="L613" s="925">
        <f t="shared" si="80"/>
        <v>0.27249004192423015</v>
      </c>
      <c r="M613" s="532">
        <f t="shared" si="76"/>
        <v>3.5585170894820328E-2</v>
      </c>
      <c r="N613" s="523"/>
      <c r="O613" s="127"/>
    </row>
    <row r="614" spans="1:15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620">
        <f t="shared" si="77"/>
        <v>65.900000000000006</v>
      </c>
      <c r="G614" s="536">
        <f t="shared" si="78"/>
        <v>5.3424218819763357E-4</v>
      </c>
      <c r="H614" s="426">
        <f t="shared" si="79"/>
        <v>1.2122649765048963</v>
      </c>
      <c r="I614" s="427">
        <f t="shared" si="75"/>
        <v>0.44574983186085038</v>
      </c>
      <c r="J614" s="148">
        <v>0.56135679398565574</v>
      </c>
      <c r="K614" s="427">
        <f t="shared" si="81"/>
        <v>0.12569115961725724</v>
      </c>
      <c r="L614" s="925">
        <f t="shared" si="80"/>
        <v>0.1532175235734366</v>
      </c>
      <c r="M614" s="532">
        <f t="shared" si="76"/>
        <v>3.5585170894820328E-2</v>
      </c>
      <c r="N614" s="523"/>
      <c r="O614" s="127"/>
    </row>
    <row r="615" spans="1:15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620">
        <f t="shared" si="77"/>
        <v>212.3</v>
      </c>
      <c r="G615" s="536">
        <f t="shared" si="78"/>
        <v>1.7210867458931349E-3</v>
      </c>
      <c r="H615" s="426">
        <f t="shared" si="79"/>
        <v>3.9053695677084894</v>
      </c>
      <c r="I615" s="427">
        <f t="shared" si="75"/>
        <v>1.4360043900464117</v>
      </c>
      <c r="J615" s="148">
        <v>1.8084377445091764</v>
      </c>
      <c r="K615" s="427">
        <f t="shared" si="81"/>
        <v>0.40492007870627789</v>
      </c>
      <c r="L615" s="925">
        <f t="shared" si="80"/>
        <v>0.49359757594295278</v>
      </c>
      <c r="M615" s="532">
        <f t="shared" si="76"/>
        <v>3.5585170894820328E-2</v>
      </c>
      <c r="N615" s="523"/>
      <c r="O615" s="127"/>
    </row>
    <row r="616" spans="1:15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620">
        <f t="shared" si="77"/>
        <v>200.1</v>
      </c>
      <c r="G616" s="536">
        <f t="shared" si="78"/>
        <v>1.622183032751843E-3</v>
      </c>
      <c r="H616" s="426">
        <f t="shared" si="79"/>
        <v>3.6809441851081899</v>
      </c>
      <c r="I616" s="427">
        <f t="shared" si="75"/>
        <v>1.3534831768642814</v>
      </c>
      <c r="J616" s="148">
        <v>1.7045143319655496</v>
      </c>
      <c r="K616" s="427">
        <f t="shared" si="81"/>
        <v>0.38165100211552611</v>
      </c>
      <c r="L616" s="925">
        <f t="shared" si="80"/>
        <v>0.46523257157882636</v>
      </c>
      <c r="M616" s="532">
        <f t="shared" si="76"/>
        <v>3.5585170894820328E-2</v>
      </c>
      <c r="N616" s="523"/>
      <c r="O616" s="127"/>
    </row>
    <row r="617" spans="1:15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620">
        <f t="shared" si="77"/>
        <v>79.099999999999994</v>
      </c>
      <c r="G617" s="536">
        <f t="shared" si="78"/>
        <v>6.4125276307181801E-4</v>
      </c>
      <c r="H617" s="426">
        <f t="shared" si="79"/>
        <v>1.4550858822691544</v>
      </c>
      <c r="I617" s="427">
        <f t="shared" si="75"/>
        <v>0.53503507891036806</v>
      </c>
      <c r="J617" s="148">
        <v>0.67379851903285837</v>
      </c>
      <c r="K617" s="427">
        <f t="shared" si="81"/>
        <v>0.15086753756790663</v>
      </c>
      <c r="L617" s="925">
        <f t="shared" si="80"/>
        <v>0.18390752829527821</v>
      </c>
      <c r="M617" s="532">
        <f t="shared" si="76"/>
        <v>3.5585170894820321E-2</v>
      </c>
      <c r="N617" s="523"/>
      <c r="O617" s="127"/>
    </row>
    <row r="618" spans="1:15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620">
        <f t="shared" si="77"/>
        <v>3257.2000000000003</v>
      </c>
      <c r="G618" s="536">
        <f t="shared" si="78"/>
        <v>2.640567003637833E-2</v>
      </c>
      <c r="H618" s="426">
        <f t="shared" si="79"/>
        <v>59.917898049647164</v>
      </c>
      <c r="I618" s="427">
        <f t="shared" si="75"/>
        <v>22.031811112855262</v>
      </c>
      <c r="J618" s="148">
        <v>27.745847486647616</v>
      </c>
      <c r="K618" s="427">
        <f t="shared" si="81"/>
        <v>6.2124619894587303</v>
      </c>
      <c r="L618" s="925">
        <f t="shared" si="80"/>
        <v>7.5729911651501931</v>
      </c>
      <c r="M618" s="532">
        <f t="shared" si="76"/>
        <v>3.9173995754565621E-2</v>
      </c>
      <c r="N618" s="523"/>
      <c r="O618" s="127"/>
    </row>
    <row r="619" spans="1:15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620">
        <f t="shared" si="77"/>
        <v>4789.17</v>
      </c>
      <c r="G619" s="536">
        <f t="shared" si="78"/>
        <v>3.8825139005318067E-2</v>
      </c>
      <c r="H619" s="426">
        <f t="shared" si="79"/>
        <v>88.09928767113739</v>
      </c>
      <c r="I619" s="427">
        <f t="shared" si="75"/>
        <v>32.39410807667722</v>
      </c>
      <c r="J619" s="148">
        <v>40.795646692750879</v>
      </c>
      <c r="K619" s="427">
        <f t="shared" si="81"/>
        <v>9.1343904537811813</v>
      </c>
      <c r="L619" s="925">
        <f t="shared" si="80"/>
        <v>11.134821963159261</v>
      </c>
      <c r="M619" s="532">
        <f t="shared" si="76"/>
        <v>3.5585170894820328E-2</v>
      </c>
      <c r="N619" s="523"/>
      <c r="O619" s="127"/>
    </row>
    <row r="620" spans="1:15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620">
        <f t="shared" si="77"/>
        <v>6316.36</v>
      </c>
      <c r="G620" s="536">
        <f t="shared" si="78"/>
        <v>5.120585717517457E-2</v>
      </c>
      <c r="H620" s="426">
        <f t="shared" si="79"/>
        <v>116.19274669190388</v>
      </c>
      <c r="I620" s="427">
        <f t="shared" si="75"/>
        <v>42.724072958613057</v>
      </c>
      <c r="J620" s="148">
        <v>53.804728365087044</v>
      </c>
      <c r="K620" s="427">
        <f t="shared" si="81"/>
        <v>12.047202017603322</v>
      </c>
      <c r="L620" s="925">
        <f t="shared" si="80"/>
        <v>14.68553925945845</v>
      </c>
      <c r="M620" s="532">
        <f t="shared" si="76"/>
        <v>3.5680750992660826E-2</v>
      </c>
      <c r="N620" s="523"/>
      <c r="O620" s="127"/>
    </row>
    <row r="621" spans="1:15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620">
        <f t="shared" si="77"/>
        <v>4812.1099999999997</v>
      </c>
      <c r="G621" s="536">
        <f t="shared" si="78"/>
        <v>3.901111041347062E-2</v>
      </c>
      <c r="H621" s="426">
        <f t="shared" si="79"/>
        <v>88.521280972518596</v>
      </c>
      <c r="I621" s="427">
        <f t="shared" si="75"/>
        <v>32.549275013595093</v>
      </c>
      <c r="J621" s="148">
        <v>40.991056781582905</v>
      </c>
      <c r="K621" s="427">
        <f t="shared" si="81"/>
        <v>9.178143946977233</v>
      </c>
      <c r="L621" s="925">
        <f t="shared" si="80"/>
        <v>11.188157471365248</v>
      </c>
      <c r="M621" s="532">
        <f t="shared" si="76"/>
        <v>3.5585170894820328E-2</v>
      </c>
      <c r="N621" s="523"/>
      <c r="O621" s="127"/>
    </row>
    <row r="622" spans="1:15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620">
        <f t="shared" si="77"/>
        <v>11145.01</v>
      </c>
      <c r="G622" s="536">
        <f t="shared" si="78"/>
        <v>9.0351055081707238E-2</v>
      </c>
      <c r="H622" s="426">
        <f t="shared" si="79"/>
        <v>205.01828961755436</v>
      </c>
      <c r="I622" s="427">
        <f t="shared" si="75"/>
        <v>75.385225092374739</v>
      </c>
      <c r="J622" s="148">
        <v>94.936678035479119</v>
      </c>
      <c r="K622" s="427">
        <f t="shared" si="81"/>
        <v>21.256892729073261</v>
      </c>
      <c r="L622" s="925">
        <f t="shared" si="80"/>
        <v>25.912152236740308</v>
      </c>
      <c r="M622" s="532">
        <f t="shared" si="76"/>
        <v>3.5585170894820321E-2</v>
      </c>
      <c r="N622" s="523"/>
      <c r="O622" s="127"/>
    </row>
    <row r="623" spans="1:15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620">
        <f t="shared" si="77"/>
        <v>74.5</v>
      </c>
      <c r="G623" s="536">
        <f t="shared" si="78"/>
        <v>6.0396119910051133E-4</v>
      </c>
      <c r="H623" s="426">
        <f t="shared" si="79"/>
        <v>1.3704664757149434</v>
      </c>
      <c r="I623" s="427">
        <f t="shared" si="75"/>
        <v>0.50392052312038471</v>
      </c>
      <c r="J623" s="148">
        <v>0.63461428151640897</v>
      </c>
      <c r="K623" s="427">
        <f>G623*367.79</f>
        <v>0.22213088941717707</v>
      </c>
      <c r="L623" s="925">
        <f t="shared" si="80"/>
        <v>0.27077755419953886</v>
      </c>
      <c r="M623" s="532">
        <f t="shared" si="76"/>
        <v>3.6659492211663279E-2</v>
      </c>
      <c r="N623" s="523"/>
      <c r="O623" s="127"/>
    </row>
    <row r="624" spans="1:15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620">
        <f t="shared" si="77"/>
        <v>227.9</v>
      </c>
      <c r="G624" s="536">
        <f t="shared" si="78"/>
        <v>1.8475537889262623E-3</v>
      </c>
      <c r="H624" s="426">
        <f t="shared" si="79"/>
        <v>4.1923397290662496</v>
      </c>
      <c r="I624" s="427">
        <f t="shared" si="75"/>
        <v>1.5415233183776602</v>
      </c>
      <c r="J624" s="148">
        <v>1.9413234195649611</v>
      </c>
      <c r="K624" s="427">
        <f>G624*367.79</f>
        <v>0.67951180802918998</v>
      </c>
      <c r="L624" s="925">
        <f t="shared" si="80"/>
        <v>0.82832489398758269</v>
      </c>
      <c r="M624" s="532">
        <f t="shared" si="76"/>
        <v>3.6659492211663279E-2</v>
      </c>
      <c r="N624" s="523"/>
      <c r="O624" s="127"/>
    </row>
    <row r="625" spans="1:15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620">
        <f t="shared" si="77"/>
        <v>374.6</v>
      </c>
      <c r="G625" s="536">
        <f t="shared" si="78"/>
        <v>3.0368304051416315E-3</v>
      </c>
      <c r="H625" s="426">
        <f t="shared" si="79"/>
        <v>6.8909629772190311</v>
      </c>
      <c r="I625" s="427">
        <f t="shared" si="75"/>
        <v>2.5338070867234377</v>
      </c>
      <c r="J625" s="148">
        <v>3.1909598638395544</v>
      </c>
      <c r="K625" s="427">
        <f>G625*367.79</f>
        <v>1.1169158547070408</v>
      </c>
      <c r="L625" s="925">
        <f t="shared" si="80"/>
        <v>1.3615204268878829</v>
      </c>
      <c r="M625" s="532">
        <f t="shared" si="76"/>
        <v>3.6659492211663279E-2</v>
      </c>
      <c r="N625" s="523"/>
      <c r="O625" s="127"/>
    </row>
    <row r="626" spans="1:15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620">
        <f t="shared" si="77"/>
        <v>738.4</v>
      </c>
      <c r="G626" s="536">
        <f t="shared" si="78"/>
        <v>5.9861067035680204E-3</v>
      </c>
      <c r="H626" s="426">
        <f t="shared" si="79"/>
        <v>13.583254304267303</v>
      </c>
      <c r="I626" s="427">
        <f t="shared" si="75"/>
        <v>4.9945626076790877</v>
      </c>
      <c r="J626" s="148">
        <v>6.2899219526404888</v>
      </c>
      <c r="K626" s="427">
        <f t="shared" ref="K626:K655" si="82">G626*367.79</f>
        <v>2.2016301845052824</v>
      </c>
      <c r="L626" s="925">
        <f t="shared" si="80"/>
        <v>2.6837871949119392</v>
      </c>
      <c r="M626" s="532">
        <f t="shared" si="76"/>
        <v>3.8238973088136972E-2</v>
      </c>
      <c r="N626" s="523"/>
      <c r="O626" s="127"/>
    </row>
    <row r="627" spans="1:15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620">
        <f t="shared" si="77"/>
        <v>442.3</v>
      </c>
      <c r="G627" s="536">
        <f t="shared" si="78"/>
        <v>3.5856649444584721E-3</v>
      </c>
      <c r="H627" s="426">
        <f t="shared" si="79"/>
        <v>8.1363398954190522</v>
      </c>
      <c r="I627" s="427">
        <f t="shared" si="75"/>
        <v>2.9917321795455858</v>
      </c>
      <c r="J627" s="148">
        <v>3.7676496203316474</v>
      </c>
      <c r="K627" s="427">
        <f t="shared" si="82"/>
        <v>1.3187717099223815</v>
      </c>
      <c r="L627" s="925">
        <f t="shared" si="80"/>
        <v>1.6075827143953831</v>
      </c>
      <c r="M627" s="532">
        <f t="shared" si="76"/>
        <v>4.891249895993565E-2</v>
      </c>
      <c r="N627" s="523"/>
      <c r="O627" s="127"/>
    </row>
    <row r="628" spans="1:15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620">
        <f t="shared" si="77"/>
        <v>1043.4000000000001</v>
      </c>
      <c r="G628" s="536">
        <f t="shared" si="78"/>
        <v>8.458699532100317E-3</v>
      </c>
      <c r="H628" s="426">
        <f t="shared" si="79"/>
        <v>19.193888869274794</v>
      </c>
      <c r="I628" s="427">
        <f t="shared" si="75"/>
        <v>7.057592937232342</v>
      </c>
      <c r="J628" s="148">
        <v>8.888007266231158</v>
      </c>
      <c r="K628" s="427">
        <f t="shared" si="82"/>
        <v>3.1110251009111756</v>
      </c>
      <c r="L628" s="925">
        <f t="shared" si="80"/>
        <v>3.7923395980107233</v>
      </c>
      <c r="M628" s="532">
        <f t="shared" si="76"/>
        <v>4.0735371856921693E-2</v>
      </c>
      <c r="N628" s="523"/>
      <c r="O628" s="127"/>
    </row>
    <row r="629" spans="1:15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620">
        <f t="shared" si="77"/>
        <v>473.6</v>
      </c>
      <c r="G629" s="536">
        <f t="shared" si="78"/>
        <v>3.8394097166980158E-3</v>
      </c>
      <c r="H629" s="426">
        <f t="shared" si="79"/>
        <v>8.7121197704509683</v>
      </c>
      <c r="I629" s="427">
        <f t="shared" si="75"/>
        <v>3.2034464395948214</v>
      </c>
      <c r="J629" s="148">
        <v>4.0342728016935743</v>
      </c>
      <c r="K629" s="427">
        <f t="shared" si="82"/>
        <v>1.4120964997043632</v>
      </c>
      <c r="L629" s="925">
        <f t="shared" si="80"/>
        <v>1.7213456331396189</v>
      </c>
      <c r="M629" s="532">
        <f t="shared" si="76"/>
        <v>3.9976825953128542E-2</v>
      </c>
      <c r="N629" s="523"/>
      <c r="O629" s="127"/>
    </row>
    <row r="630" spans="1:15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620">
        <f t="shared" si="77"/>
        <v>345.2</v>
      </c>
      <c r="G630" s="536">
        <f t="shared" si="78"/>
        <v>2.7984886701945839E-3</v>
      </c>
      <c r="H630" s="426">
        <f t="shared" si="79"/>
        <v>6.3501345961986368</v>
      </c>
      <c r="I630" s="427">
        <f t="shared" si="75"/>
        <v>2.334944491022239</v>
      </c>
      <c r="J630" s="148">
        <v>2.9405214762344216</v>
      </c>
      <c r="K630" s="427">
        <f t="shared" si="82"/>
        <v>1.029256148010866</v>
      </c>
      <c r="L630" s="925">
        <f t="shared" si="80"/>
        <v>1.2546632444252457</v>
      </c>
      <c r="M630" s="532">
        <f t="shared" si="76"/>
        <v>3.6659492211663279E-2</v>
      </c>
      <c r="N630" s="523"/>
      <c r="O630" s="127"/>
    </row>
    <row r="631" spans="1:15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620">
        <f t="shared" si="77"/>
        <v>864.9</v>
      </c>
      <c r="G631" s="536">
        <f t="shared" si="78"/>
        <v>7.0116247127789558E-3</v>
      </c>
      <c r="H631" s="426">
        <f t="shared" si="79"/>
        <v>15.910287984508113</v>
      </c>
      <c r="I631" s="427">
        <f t="shared" si="75"/>
        <v>5.8502128919036336</v>
      </c>
      <c r="J631" s="148">
        <v>7.3674884843428474</v>
      </c>
      <c r="K631" s="427">
        <f t="shared" si="82"/>
        <v>2.5788054531129725</v>
      </c>
      <c r="L631" s="925">
        <f t="shared" si="80"/>
        <v>3.1435638473447138</v>
      </c>
      <c r="M631" s="532">
        <f t="shared" si="76"/>
        <v>3.6659492211663279E-2</v>
      </c>
      <c r="N631" s="523"/>
      <c r="O631" s="127"/>
    </row>
    <row r="632" spans="1:15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620">
        <f t="shared" si="77"/>
        <v>1116.9000000000001</v>
      </c>
      <c r="G632" s="536">
        <f t="shared" si="78"/>
        <v>9.0545538694679351E-3</v>
      </c>
      <c r="H632" s="426">
        <f t="shared" si="79"/>
        <v>20.545959821825775</v>
      </c>
      <c r="I632" s="427">
        <f t="shared" si="75"/>
        <v>7.5547494264853379</v>
      </c>
      <c r="J632" s="148">
        <v>9.51410323524399</v>
      </c>
      <c r="K632" s="427">
        <f t="shared" si="82"/>
        <v>3.3301743676516122</v>
      </c>
      <c r="L632" s="925">
        <f t="shared" si="80"/>
        <v>4.0594825541673156</v>
      </c>
      <c r="M632" s="532">
        <f t="shared" si="76"/>
        <v>3.6659492211663272E-2</v>
      </c>
      <c r="N632" s="523"/>
      <c r="O632" s="127"/>
    </row>
    <row r="633" spans="1:15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620">
        <f t="shared" si="77"/>
        <v>506.2</v>
      </c>
      <c r="G633" s="536">
        <f t="shared" si="78"/>
        <v>4.1036934091903199E-3</v>
      </c>
      <c r="H633" s="426">
        <f t="shared" si="79"/>
        <v>9.3118138255960314</v>
      </c>
      <c r="I633" s="427">
        <f t="shared" si="75"/>
        <v>3.4239539436716608</v>
      </c>
      <c r="J633" s="148">
        <v>4.3119697893101501</v>
      </c>
      <c r="K633" s="427">
        <f t="shared" si="82"/>
        <v>1.5092973989661078</v>
      </c>
      <c r="L633" s="925">
        <f t="shared" si="80"/>
        <v>1.8398335293396855</v>
      </c>
      <c r="M633" s="532">
        <f t="shared" si="76"/>
        <v>3.9232632045547458E-2</v>
      </c>
      <c r="N633" s="523"/>
      <c r="O633" s="127"/>
    </row>
    <row r="634" spans="1:15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620">
        <f t="shared" si="77"/>
        <v>369.5</v>
      </c>
      <c r="G634" s="536">
        <f t="shared" si="78"/>
        <v>2.9954854103038781E-3</v>
      </c>
      <c r="H634" s="426">
        <f t="shared" si="79"/>
        <v>6.7971458090828394</v>
      </c>
      <c r="I634" s="427">
        <f t="shared" si="75"/>
        <v>2.49931051399976</v>
      </c>
      <c r="J634" s="148">
        <v>3.147516470071317</v>
      </c>
      <c r="K634" s="427">
        <f t="shared" si="82"/>
        <v>1.1017095790556635</v>
      </c>
      <c r="L634" s="925">
        <f t="shared" si="80"/>
        <v>1.3429839768688538</v>
      </c>
      <c r="M634" s="532">
        <f t="shared" si="76"/>
        <v>3.6659492211663272E-2</v>
      </c>
      <c r="N634" s="523"/>
      <c r="O634" s="127"/>
    </row>
    <row r="635" spans="1:15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620">
        <f t="shared" si="77"/>
        <v>510.1</v>
      </c>
      <c r="G635" s="536">
        <f t="shared" si="78"/>
        <v>4.1353101699486017E-3</v>
      </c>
      <c r="H635" s="426">
        <f t="shared" si="79"/>
        <v>9.3835563659354708</v>
      </c>
      <c r="I635" s="427">
        <f t="shared" si="75"/>
        <v>3.4503336757544729</v>
      </c>
      <c r="J635" s="148">
        <v>4.3451912080740964</v>
      </c>
      <c r="K635" s="427">
        <f t="shared" si="82"/>
        <v>1.5209257274053962</v>
      </c>
      <c r="L635" s="925">
        <f t="shared" si="80"/>
        <v>1.8540084617071781</v>
      </c>
      <c r="M635" s="532">
        <f t="shared" si="76"/>
        <v>3.6659492211663272E-2</v>
      </c>
      <c r="N635" s="523"/>
      <c r="O635" s="127"/>
    </row>
    <row r="636" spans="1:15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620">
        <f t="shared" si="77"/>
        <v>312</v>
      </c>
      <c r="G636" s="536">
        <f t="shared" si="78"/>
        <v>2.529340860662544E-3</v>
      </c>
      <c r="H636" s="426">
        <f t="shared" si="79"/>
        <v>5.7394032271551989</v>
      </c>
      <c r="I636" s="427">
        <f t="shared" si="75"/>
        <v>2.1103785666249668</v>
      </c>
      <c r="J636" s="148">
        <v>2.6577135011156994</v>
      </c>
      <c r="K636" s="427">
        <f t="shared" si="82"/>
        <v>0.93026627514307714</v>
      </c>
      <c r="L636" s="925">
        <f t="shared" si="80"/>
        <v>1.133994589399411</v>
      </c>
      <c r="M636" s="532">
        <f t="shared" si="76"/>
        <v>3.6659492211663279E-2</v>
      </c>
      <c r="N636" s="523"/>
      <c r="O636" s="127"/>
    </row>
    <row r="637" spans="1:15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620">
        <f t="shared" si="77"/>
        <v>488.2</v>
      </c>
      <c r="G637" s="536">
        <f t="shared" si="78"/>
        <v>3.9577698979982503E-3</v>
      </c>
      <c r="H637" s="426">
        <f t="shared" si="79"/>
        <v>8.9806944086447693</v>
      </c>
      <c r="I637" s="427">
        <f t="shared" si="75"/>
        <v>3.3022013340586818</v>
      </c>
      <c r="J637" s="148">
        <v>4.1586401642457833</v>
      </c>
      <c r="K637" s="427">
        <f t="shared" si="82"/>
        <v>1.4556281907847766</v>
      </c>
      <c r="L637" s="925">
        <f t="shared" si="80"/>
        <v>1.7744107645666427</v>
      </c>
      <c r="M637" s="532">
        <f t="shared" si="76"/>
        <v>3.6659492211663279E-2</v>
      </c>
      <c r="N637" s="523"/>
      <c r="O637" s="127"/>
    </row>
    <row r="638" spans="1:15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620">
        <f t="shared" si="77"/>
        <v>223.7</v>
      </c>
      <c r="G638" s="536">
        <f t="shared" si="78"/>
        <v>1.8135049696481123E-3</v>
      </c>
      <c r="H638" s="426">
        <f t="shared" si="79"/>
        <v>4.1150785317776215</v>
      </c>
      <c r="I638" s="427">
        <f t="shared" si="75"/>
        <v>1.5131143761346315</v>
      </c>
      <c r="J638" s="148">
        <v>1.9055465070499422</v>
      </c>
      <c r="K638" s="427">
        <f t="shared" si="82"/>
        <v>0.66698899278687929</v>
      </c>
      <c r="L638" s="925">
        <f t="shared" si="80"/>
        <v>0.81305958220720587</v>
      </c>
      <c r="M638" s="532">
        <f t="shared" si="76"/>
        <v>3.6659492211663279E-2</v>
      </c>
      <c r="N638" s="523"/>
      <c r="O638" s="127"/>
    </row>
    <row r="639" spans="1:15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620">
        <f t="shared" si="77"/>
        <v>388.5</v>
      </c>
      <c r="G639" s="536">
        <f t="shared" si="78"/>
        <v>3.149515783228841E-3</v>
      </c>
      <c r="H639" s="426">
        <f t="shared" si="79"/>
        <v>7.1466607491980607</v>
      </c>
      <c r="I639" s="427">
        <f t="shared" ref="I639:I697" si="83">H639*0.3677</f>
        <v>2.6278271574801271</v>
      </c>
      <c r="J639" s="148">
        <v>3.3093644076392601</v>
      </c>
      <c r="K639" s="427">
        <f t="shared" si="82"/>
        <v>1.1583604099137355</v>
      </c>
      <c r="L639" s="925">
        <f t="shared" si="80"/>
        <v>1.4120413396848437</v>
      </c>
      <c r="M639" s="532">
        <f t="shared" si="76"/>
        <v>3.6659492211663279E-2</v>
      </c>
      <c r="N639" s="523"/>
      <c r="O639" s="127"/>
    </row>
    <row r="640" spans="1:15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620">
        <f t="shared" si="77"/>
        <v>528.32000000000005</v>
      </c>
      <c r="G640" s="536">
        <f t="shared" si="78"/>
        <v>4.283017190721908E-3</v>
      </c>
      <c r="H640" s="426">
        <f t="shared" si="79"/>
        <v>9.718722797982803</v>
      </c>
      <c r="I640" s="427">
        <f t="shared" si="83"/>
        <v>3.5735743728182769</v>
      </c>
      <c r="J640" s="148">
        <v>4.5003948618892515</v>
      </c>
      <c r="K640" s="427">
        <f t="shared" si="82"/>
        <v>1.5752508925756106</v>
      </c>
      <c r="L640" s="925">
        <f t="shared" si="80"/>
        <v>1.9202308380496693</v>
      </c>
      <c r="M640" s="532">
        <f t="shared" si="76"/>
        <v>3.6659492211663272E-2</v>
      </c>
      <c r="N640" s="523"/>
      <c r="O640" s="127"/>
    </row>
    <row r="641" spans="1:15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620">
        <f t="shared" si="77"/>
        <v>262.17</v>
      </c>
      <c r="G641" s="536">
        <f t="shared" si="78"/>
        <v>2.1253759405124974E-3</v>
      </c>
      <c r="H641" s="426">
        <f t="shared" si="79"/>
        <v>4.8227543078951234</v>
      </c>
      <c r="I641" s="427">
        <f t="shared" si="83"/>
        <v>1.773326759013037</v>
      </c>
      <c r="J641" s="148">
        <v>2.2332459890625094</v>
      </c>
      <c r="K641" s="427">
        <f t="shared" si="82"/>
        <v>0.78169201716109149</v>
      </c>
      <c r="L641" s="925">
        <f t="shared" si="80"/>
        <v>0.95288256891937062</v>
      </c>
      <c r="M641" s="532">
        <f t="shared" si="76"/>
        <v>3.6659492211663272E-2</v>
      </c>
      <c r="N641" s="523"/>
      <c r="O641" s="127"/>
    </row>
    <row r="642" spans="1:15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620">
        <f t="shared" si="77"/>
        <v>513.29999999999995</v>
      </c>
      <c r="G642" s="536">
        <f t="shared" si="78"/>
        <v>4.1612521274938582E-3</v>
      </c>
      <c r="H642" s="426">
        <f t="shared" si="79"/>
        <v>9.4424220400601389</v>
      </c>
      <c r="I642" s="427">
        <f t="shared" si="83"/>
        <v>3.4719785841301132</v>
      </c>
      <c r="J642" s="148">
        <v>4.3724498080855394</v>
      </c>
      <c r="K642" s="427">
        <f t="shared" si="82"/>
        <v>1.5304669199709662</v>
      </c>
      <c r="L642" s="925">
        <f t="shared" si="80"/>
        <v>1.865639175444608</v>
      </c>
      <c r="M642" s="532">
        <f t="shared" si="76"/>
        <v>3.6659492211663272E-2</v>
      </c>
      <c r="N642" s="523"/>
      <c r="O642" s="127"/>
    </row>
    <row r="643" spans="1:15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620">
        <f t="shared" si="77"/>
        <v>577.70000000000005</v>
      </c>
      <c r="G643" s="536">
        <f t="shared" si="78"/>
        <v>4.6833340230921531E-3</v>
      </c>
      <c r="H643" s="426">
        <f t="shared" si="79"/>
        <v>10.627093731819098</v>
      </c>
      <c r="I643" s="427">
        <f t="shared" si="83"/>
        <v>3.9075823651898824</v>
      </c>
      <c r="J643" s="148">
        <v>4.921029133315832</v>
      </c>
      <c r="K643" s="427">
        <f t="shared" si="82"/>
        <v>1.722483420353063</v>
      </c>
      <c r="L643" s="925">
        <f t="shared" si="80"/>
        <v>2.0997072894103841</v>
      </c>
      <c r="M643" s="532">
        <f t="shared" si="76"/>
        <v>3.6659492211663272E-2</v>
      </c>
      <c r="N643" s="523"/>
      <c r="O643" s="127"/>
    </row>
    <row r="644" spans="1:15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620">
        <f t="shared" si="77"/>
        <v>432.4</v>
      </c>
      <c r="G644" s="536">
        <f t="shared" si="78"/>
        <v>3.5054070133028331E-3</v>
      </c>
      <c r="H644" s="426">
        <f t="shared" si="79"/>
        <v>7.9542242160958585</v>
      </c>
      <c r="I644" s="427">
        <f t="shared" si="83"/>
        <v>2.9247682442584475</v>
      </c>
      <c r="J644" s="148">
        <v>3.6833183265462446</v>
      </c>
      <c r="K644" s="427">
        <f t="shared" si="82"/>
        <v>1.2892536454226491</v>
      </c>
      <c r="L644" s="925">
        <f t="shared" si="80"/>
        <v>1.5716001937702093</v>
      </c>
      <c r="M644" s="532">
        <f t="shared" si="76"/>
        <v>3.6659492211663272E-2</v>
      </c>
      <c r="N644" s="523"/>
      <c r="O644" s="127"/>
    </row>
    <row r="645" spans="1:15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620">
        <f t="shared" si="77"/>
        <v>488.9</v>
      </c>
      <c r="G645" s="536">
        <f t="shared" si="78"/>
        <v>3.9634447012112748E-3</v>
      </c>
      <c r="H645" s="426">
        <f t="shared" si="79"/>
        <v>8.9935712748595407</v>
      </c>
      <c r="I645" s="427">
        <f t="shared" si="83"/>
        <v>3.3069361577658531</v>
      </c>
      <c r="J645" s="148">
        <v>4.1646029829982867</v>
      </c>
      <c r="K645" s="427">
        <f t="shared" si="82"/>
        <v>1.4577153266584948</v>
      </c>
      <c r="L645" s="925">
        <f t="shared" si="80"/>
        <v>1.7769549831967053</v>
      </c>
      <c r="M645" s="532">
        <f t="shared" si="76"/>
        <v>3.6659492211663279E-2</v>
      </c>
      <c r="N645" s="523"/>
      <c r="O645" s="127"/>
    </row>
    <row r="646" spans="1:15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620">
        <f t="shared" si="77"/>
        <v>540.1</v>
      </c>
      <c r="G646" s="536">
        <f t="shared" si="78"/>
        <v>4.3785160219353848E-3</v>
      </c>
      <c r="H646" s="426">
        <f t="shared" si="79"/>
        <v>9.9354220608542398</v>
      </c>
      <c r="I646" s="427">
        <f t="shared" si="83"/>
        <v>3.6532546917761044</v>
      </c>
      <c r="J646" s="148">
        <v>4.6007405831813761</v>
      </c>
      <c r="K646" s="427">
        <f t="shared" si="82"/>
        <v>1.6103744077076152</v>
      </c>
      <c r="L646" s="925">
        <f t="shared" si="80"/>
        <v>1.963046402995583</v>
      </c>
      <c r="M646" s="532">
        <f t="shared" ref="M646:M709" si="84">(K646+J646+I646+H646)/C646</f>
        <v>3.6659492211663272E-2</v>
      </c>
      <c r="N646" s="523"/>
      <c r="O646" s="127"/>
    </row>
    <row r="647" spans="1:15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620">
        <f t="shared" si="77"/>
        <v>236.8</v>
      </c>
      <c r="G647" s="536">
        <f t="shared" si="78"/>
        <v>1.9197048583490079E-3</v>
      </c>
      <c r="H647" s="426">
        <f t="shared" si="79"/>
        <v>4.3560598852254842</v>
      </c>
      <c r="I647" s="427">
        <f t="shared" si="83"/>
        <v>1.6017232197974107</v>
      </c>
      <c r="J647" s="148">
        <v>2.0171364008467871</v>
      </c>
      <c r="K647" s="427">
        <f t="shared" si="82"/>
        <v>0.70604824985218162</v>
      </c>
      <c r="L647" s="925">
        <f t="shared" si="80"/>
        <v>0.86067281656980943</v>
      </c>
      <c r="M647" s="532">
        <f t="shared" si="84"/>
        <v>3.6659492211663272E-2</v>
      </c>
      <c r="N647" s="523"/>
      <c r="O647" s="127"/>
    </row>
    <row r="648" spans="1:15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620">
        <f t="shared" ref="F648:F709" si="85">C648+D648+E648</f>
        <v>375.5</v>
      </c>
      <c r="G648" s="536">
        <f t="shared" si="78"/>
        <v>3.0441265807012348E-3</v>
      </c>
      <c r="H648" s="426">
        <f t="shared" si="79"/>
        <v>6.9075189480665928</v>
      </c>
      <c r="I648" s="427">
        <f t="shared" si="83"/>
        <v>2.5398947172040862</v>
      </c>
      <c r="J648" s="148">
        <v>3.198626345092773</v>
      </c>
      <c r="K648" s="427">
        <f t="shared" si="82"/>
        <v>1.1195993151161072</v>
      </c>
      <c r="L648" s="925">
        <f t="shared" si="80"/>
        <v>1.3647915651265348</v>
      </c>
      <c r="M648" s="532">
        <f t="shared" si="84"/>
        <v>3.6659492211663272E-2</v>
      </c>
      <c r="N648" s="523"/>
      <c r="O648" s="127"/>
    </row>
    <row r="649" spans="1:15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620">
        <f t="shared" si="85"/>
        <v>618.54</v>
      </c>
      <c r="G649" s="536">
        <f t="shared" si="78"/>
        <v>5.0144182562634936E-3</v>
      </c>
      <c r="H649" s="426">
        <f t="shared" si="79"/>
        <v>11.378366897835182</v>
      </c>
      <c r="I649" s="427">
        <f t="shared" si="83"/>
        <v>4.1838255083339968</v>
      </c>
      <c r="J649" s="148">
        <v>5.2689170159618746</v>
      </c>
      <c r="K649" s="427">
        <f t="shared" si="82"/>
        <v>1.8442528904711504</v>
      </c>
      <c r="L649" s="925">
        <f t="shared" si="80"/>
        <v>2.2481442734843324</v>
      </c>
      <c r="M649" s="532">
        <f t="shared" si="84"/>
        <v>4.1030982760209549E-2</v>
      </c>
      <c r="N649" s="523"/>
      <c r="O649" s="127"/>
    </row>
    <row r="650" spans="1:15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620">
        <f t="shared" si="85"/>
        <v>473.5</v>
      </c>
      <c r="G650" s="536">
        <f t="shared" si="78"/>
        <v>3.8385990305247262E-3</v>
      </c>
      <c r="H650" s="426">
        <f t="shared" si="79"/>
        <v>8.7102802181345726</v>
      </c>
      <c r="I650" s="427">
        <f t="shared" si="83"/>
        <v>3.2027700362080824</v>
      </c>
      <c r="J650" s="148">
        <v>4.0334209704432169</v>
      </c>
      <c r="K650" s="427">
        <f t="shared" si="82"/>
        <v>1.4117983374366891</v>
      </c>
      <c r="L650" s="925">
        <f t="shared" si="80"/>
        <v>1.7209821733353241</v>
      </c>
      <c r="M650" s="532">
        <f t="shared" si="84"/>
        <v>3.6659492211663272E-2</v>
      </c>
      <c r="N650" s="523"/>
      <c r="O650" s="127"/>
    </row>
    <row r="651" spans="1:15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620">
        <f t="shared" si="85"/>
        <v>281.8</v>
      </c>
      <c r="G651" s="536">
        <f t="shared" si="78"/>
        <v>2.2845136363291827E-3</v>
      </c>
      <c r="H651" s="426">
        <f t="shared" si="79"/>
        <v>5.1838584276036386</v>
      </c>
      <c r="I651" s="427">
        <f t="shared" si="83"/>
        <v>1.906104743829858</v>
      </c>
      <c r="J651" s="148">
        <v>2.4004604635077054</v>
      </c>
      <c r="K651" s="427">
        <f t="shared" si="82"/>
        <v>0.84022127030551008</v>
      </c>
      <c r="L651" s="925">
        <f t="shared" si="80"/>
        <v>1.0242297285024169</v>
      </c>
      <c r="M651" s="532">
        <f t="shared" si="84"/>
        <v>3.6659492211663272E-2</v>
      </c>
      <c r="N651" s="523"/>
      <c r="O651" s="127"/>
    </row>
    <row r="652" spans="1:15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620">
        <f t="shared" si="85"/>
        <v>295.89999999999998</v>
      </c>
      <c r="G652" s="536">
        <f t="shared" si="78"/>
        <v>2.39882038676297E-3</v>
      </c>
      <c r="H652" s="426">
        <f t="shared" si="79"/>
        <v>5.4432353042154586</v>
      </c>
      <c r="I652" s="427">
        <f t="shared" si="83"/>
        <v>2.0014776213600243</v>
      </c>
      <c r="J652" s="148">
        <v>2.5205686698081262</v>
      </c>
      <c r="K652" s="427">
        <f t="shared" si="82"/>
        <v>0.88226215004755282</v>
      </c>
      <c r="L652" s="925">
        <f t="shared" si="80"/>
        <v>1.075477560907967</v>
      </c>
      <c r="M652" s="532">
        <f t="shared" si="84"/>
        <v>3.6659492211663272E-2</v>
      </c>
      <c r="N652" s="523"/>
      <c r="O652" s="127"/>
    </row>
    <row r="653" spans="1:15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620">
        <f t="shared" si="85"/>
        <v>346.1</v>
      </c>
      <c r="G653" s="536">
        <f t="shared" si="78"/>
        <v>2.8057848457541876E-3</v>
      </c>
      <c r="H653" s="426">
        <f t="shared" si="79"/>
        <v>6.3666905670461995</v>
      </c>
      <c r="I653" s="427">
        <f t="shared" si="83"/>
        <v>2.3410321215028875</v>
      </c>
      <c r="J653" s="148">
        <v>2.9481879574876397</v>
      </c>
      <c r="K653" s="427">
        <f t="shared" si="82"/>
        <v>1.0319396084199326</v>
      </c>
      <c r="L653" s="925">
        <f t="shared" si="80"/>
        <v>1.257934382663898</v>
      </c>
      <c r="M653" s="532">
        <f t="shared" si="84"/>
        <v>3.6659492211663272E-2</v>
      </c>
      <c r="N653" s="523"/>
      <c r="O653" s="127"/>
    </row>
    <row r="654" spans="1:15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620">
        <f t="shared" si="85"/>
        <v>665.4</v>
      </c>
      <c r="G654" s="536">
        <f t="shared" si="78"/>
        <v>5.3943057970668486E-3</v>
      </c>
      <c r="H654" s="426">
        <f t="shared" si="79"/>
        <v>12.240381113298298</v>
      </c>
      <c r="I654" s="427">
        <f t="shared" si="83"/>
        <v>4.5007881353597847</v>
      </c>
      <c r="J654" s="148">
        <v>5.6680851398794436</v>
      </c>
      <c r="K654" s="427">
        <f t="shared" si="82"/>
        <v>1.9839717291032164</v>
      </c>
      <c r="L654" s="925">
        <f t="shared" si="80"/>
        <v>2.418461537776821</v>
      </c>
      <c r="M654" s="532">
        <f t="shared" si="84"/>
        <v>3.8572463816636218E-2</v>
      </c>
      <c r="N654" s="523"/>
      <c r="O654" s="127"/>
    </row>
    <row r="655" spans="1:15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620">
        <f t="shared" si="85"/>
        <v>415.51</v>
      </c>
      <c r="G655" s="536">
        <f t="shared" si="78"/>
        <v>3.3684821186342746E-3</v>
      </c>
      <c r="H655" s="426">
        <f t="shared" si="79"/>
        <v>7.6435238298565915</v>
      </c>
      <c r="I655" s="427">
        <f t="shared" si="83"/>
        <v>2.8105237122382687</v>
      </c>
      <c r="J655" s="148">
        <v>3.5394440283608466</v>
      </c>
      <c r="K655" s="427">
        <f t="shared" si="82"/>
        <v>1.2388940384125</v>
      </c>
      <c r="L655" s="925">
        <f t="shared" si="80"/>
        <v>1.5102118328248375</v>
      </c>
      <c r="M655" s="532">
        <f t="shared" si="84"/>
        <v>3.6659492211663272E-2</v>
      </c>
      <c r="N655" s="523"/>
      <c r="O655" s="127"/>
    </row>
    <row r="656" spans="1:15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620">
        <f t="shared" si="85"/>
        <v>1654.8</v>
      </c>
      <c r="G656" s="536">
        <f t="shared" si="78"/>
        <v>1.3415234795590954E-2</v>
      </c>
      <c r="H656" s="426">
        <f t="shared" si="79"/>
        <v>30.440911731719304</v>
      </c>
      <c r="I656" s="427">
        <f t="shared" si="83"/>
        <v>11.193123243753188</v>
      </c>
      <c r="J656" s="148">
        <v>14.096103530917498</v>
      </c>
      <c r="K656" s="427">
        <f t="shared" ref="K656:K661" si="86">G656*235.27</f>
        <v>3.1562022903586837</v>
      </c>
      <c r="L656" s="925">
        <f t="shared" si="80"/>
        <v>3.8474105919472357</v>
      </c>
      <c r="M656" s="532">
        <f t="shared" si="84"/>
        <v>3.9095963880459876E-2</v>
      </c>
      <c r="N656" s="523"/>
      <c r="O656" s="127"/>
    </row>
    <row r="657" spans="1:15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620">
        <f t="shared" si="85"/>
        <v>3220.9</v>
      </c>
      <c r="G657" s="536">
        <f t="shared" si="78"/>
        <v>2.6111390955474323E-2</v>
      </c>
      <c r="H657" s="426">
        <f t="shared" si="79"/>
        <v>59.250140558795451</v>
      </c>
      <c r="I657" s="427">
        <f t="shared" si="83"/>
        <v>21.78627668346909</v>
      </c>
      <c r="J657" s="148">
        <v>27.436632742767809</v>
      </c>
      <c r="K657" s="427">
        <f t="shared" si="86"/>
        <v>6.1432269500944443</v>
      </c>
      <c r="L657" s="925">
        <f t="shared" si="80"/>
        <v>7.488593652165128</v>
      </c>
      <c r="M657" s="532">
        <f t="shared" si="84"/>
        <v>3.5585170894820328E-2</v>
      </c>
      <c r="N657" s="523"/>
      <c r="O657" s="127"/>
    </row>
    <row r="658" spans="1:15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620">
        <f t="shared" si="85"/>
        <v>3593.47</v>
      </c>
      <c r="G658" s="536">
        <f t="shared" si="78"/>
        <v>2.9131764431298179E-2</v>
      </c>
      <c r="H658" s="426">
        <f t="shared" si="79"/>
        <v>66.103760623991633</v>
      </c>
      <c r="I658" s="427">
        <f t="shared" si="83"/>
        <v>24.306352781441724</v>
      </c>
      <c r="J658" s="148">
        <v>30.610300432225102</v>
      </c>
      <c r="K658" s="427">
        <f t="shared" si="86"/>
        <v>6.8538302177515229</v>
      </c>
      <c r="L658" s="925">
        <f t="shared" si="80"/>
        <v>8.3548190354391068</v>
      </c>
      <c r="M658" s="532">
        <f t="shared" si="84"/>
        <v>3.5585170894820321E-2</v>
      </c>
      <c r="N658" s="523"/>
      <c r="O658" s="127"/>
    </row>
    <row r="659" spans="1:15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620">
        <f t="shared" si="85"/>
        <v>5258.9</v>
      </c>
      <c r="G659" s="536">
        <f t="shared" si="78"/>
        <v>4.263317516710978E-2</v>
      </c>
      <c r="H659" s="426">
        <f t="shared" si="79"/>
        <v>96.740216766943817</v>
      </c>
      <c r="I659" s="427">
        <f t="shared" si="83"/>
        <v>35.571377705205244</v>
      </c>
      <c r="J659" s="148">
        <v>44.796953625055615</v>
      </c>
      <c r="K659" s="427">
        <f t="shared" si="86"/>
        <v>10.030307121565919</v>
      </c>
      <c r="L659" s="925">
        <f t="shared" si="80"/>
        <v>12.226944381188856</v>
      </c>
      <c r="M659" s="532">
        <f t="shared" si="84"/>
        <v>3.5585170894820321E-2</v>
      </c>
      <c r="N659" s="523"/>
      <c r="O659" s="127"/>
    </row>
    <row r="660" spans="1:15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620">
        <f t="shared" si="85"/>
        <v>3743.95</v>
      </c>
      <c r="G660" s="536">
        <f t="shared" si="78"/>
        <v>3.0351684984863882E-2</v>
      </c>
      <c r="H660" s="426">
        <f t="shared" si="79"/>
        <v>68.871918949704181</v>
      </c>
      <c r="I660" s="427">
        <f t="shared" si="83"/>
        <v>25.324204597806229</v>
      </c>
      <c r="J660" s="148">
        <v>31.892136097763213</v>
      </c>
      <c r="K660" s="427">
        <f t="shared" si="86"/>
        <v>7.1408409263889254</v>
      </c>
      <c r="L660" s="925">
        <f t="shared" si="80"/>
        <v>8.7046850892681</v>
      </c>
      <c r="M660" s="532">
        <f t="shared" si="84"/>
        <v>3.5585170894820328E-2</v>
      </c>
      <c r="N660" s="523"/>
      <c r="O660" s="127"/>
    </row>
    <row r="661" spans="1:15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620">
        <f t="shared" si="85"/>
        <v>3185.57</v>
      </c>
      <c r="G661" s="536">
        <f t="shared" si="78"/>
        <v>2.5824975530451221E-2</v>
      </c>
      <c r="H661" s="426">
        <f t="shared" si="79"/>
        <v>58.600226725412782</v>
      </c>
      <c r="I661" s="427">
        <f t="shared" si="83"/>
        <v>21.54730336693428</v>
      </c>
      <c r="J661" s="148">
        <v>27.135680762016474</v>
      </c>
      <c r="K661" s="427">
        <f t="shared" si="86"/>
        <v>6.0758419930492593</v>
      </c>
      <c r="L661" s="925">
        <f t="shared" si="80"/>
        <v>7.4064513895270476</v>
      </c>
      <c r="M661" s="532">
        <f t="shared" si="84"/>
        <v>3.6262480637801707E-2</v>
      </c>
      <c r="N661" s="523"/>
      <c r="O661" s="127"/>
    </row>
    <row r="662" spans="1:15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620">
        <f t="shared" si="85"/>
        <v>272.89999999999998</v>
      </c>
      <c r="G662" s="536">
        <f t="shared" si="78"/>
        <v>2.2123625669064366E-3</v>
      </c>
      <c r="H662" s="426">
        <f t="shared" si="79"/>
        <v>5.0201382714444023</v>
      </c>
      <c r="I662" s="427">
        <f t="shared" si="83"/>
        <v>1.8459048424101068</v>
      </c>
      <c r="J662" s="148">
        <v>2.3246474822258794</v>
      </c>
      <c r="K662" s="427">
        <f t="shared" ref="K662:K712" si="87">G662*367.79</f>
        <v>0.81368482848251833</v>
      </c>
      <c r="L662" s="925">
        <f t="shared" si="80"/>
        <v>0.99188180592018993</v>
      </c>
      <c r="M662" s="532">
        <f t="shared" si="84"/>
        <v>3.6659492211663279E-2</v>
      </c>
      <c r="N662" s="523"/>
      <c r="O662" s="127"/>
    </row>
    <row r="663" spans="1:15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620">
        <f t="shared" si="85"/>
        <v>604.1</v>
      </c>
      <c r="G663" s="536">
        <f t="shared" si="78"/>
        <v>4.8973551728405222E-3</v>
      </c>
      <c r="H663" s="426">
        <f t="shared" si="79"/>
        <v>11.112735543347615</v>
      </c>
      <c r="I663" s="427">
        <f t="shared" si="83"/>
        <v>4.0861528592889185</v>
      </c>
      <c r="J663" s="148">
        <v>5.1459125834102375</v>
      </c>
      <c r="K663" s="427">
        <f t="shared" si="87"/>
        <v>1.8011982590190159</v>
      </c>
      <c r="L663" s="925">
        <f t="shared" si="80"/>
        <v>2.1956606777441805</v>
      </c>
      <c r="M663" s="532">
        <f t="shared" si="84"/>
        <v>3.6659492211663279E-2</v>
      </c>
      <c r="N663" s="523"/>
      <c r="O663" s="127"/>
    </row>
    <row r="664" spans="1:15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620">
        <f t="shared" si="85"/>
        <v>464.8</v>
      </c>
      <c r="G664" s="536">
        <f t="shared" si="78"/>
        <v>3.7680693334485593E-3</v>
      </c>
      <c r="H664" s="426">
        <f t="shared" si="79"/>
        <v>8.5502391666081294</v>
      </c>
      <c r="I664" s="427">
        <f t="shared" si="83"/>
        <v>3.1439229415618093</v>
      </c>
      <c r="J664" s="148">
        <v>3.9593116516621061</v>
      </c>
      <c r="K664" s="427">
        <f t="shared" si="87"/>
        <v>1.3858582201490457</v>
      </c>
      <c r="L664" s="925">
        <f t="shared" si="80"/>
        <v>1.6893611703616869</v>
      </c>
      <c r="M664" s="532">
        <f t="shared" si="84"/>
        <v>3.6659492211663279E-2</v>
      </c>
      <c r="N664" s="523"/>
      <c r="O664" s="127"/>
    </row>
    <row r="665" spans="1:15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620">
        <f t="shared" si="85"/>
        <v>83.39</v>
      </c>
      <c r="G665" s="536">
        <f t="shared" ref="G665:G728" si="88">2/246704.59*F665</f>
        <v>6.7603119990592808E-4</v>
      </c>
      <c r="H665" s="426">
        <f t="shared" ref="H665:H728" si="89">G665*2269.13</f>
        <v>1.5340026766425388</v>
      </c>
      <c r="I665" s="427">
        <f t="shared" si="83"/>
        <v>0.56405278420146154</v>
      </c>
      <c r="J665" s="148">
        <v>0.71034207967319918</v>
      </c>
      <c r="K665" s="427">
        <f t="shared" si="87"/>
        <v>0.24863751501340131</v>
      </c>
      <c r="L665" s="925">
        <f t="shared" si="80"/>
        <v>0.3030891308013362</v>
      </c>
      <c r="M665" s="532">
        <f t="shared" si="84"/>
        <v>3.6659492211663272E-2</v>
      </c>
      <c r="N665" s="523"/>
      <c r="O665" s="127"/>
    </row>
    <row r="666" spans="1:15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620">
        <f t="shared" si="85"/>
        <v>489.6</v>
      </c>
      <c r="G666" s="536">
        <f t="shared" si="88"/>
        <v>3.9691195044243002E-3</v>
      </c>
      <c r="H666" s="426">
        <f t="shared" si="89"/>
        <v>9.006448141074312</v>
      </c>
      <c r="I666" s="427">
        <f t="shared" si="83"/>
        <v>3.311670981473025</v>
      </c>
      <c r="J666" s="148">
        <v>4.1705658017507901</v>
      </c>
      <c r="K666" s="427">
        <f t="shared" si="87"/>
        <v>1.4598024625322135</v>
      </c>
      <c r="L666" s="925">
        <f t="shared" si="80"/>
        <v>1.7794992018267684</v>
      </c>
      <c r="M666" s="532">
        <f t="shared" si="84"/>
        <v>3.6659492211663272E-2</v>
      </c>
      <c r="N666" s="523"/>
      <c r="O666" s="127"/>
    </row>
    <row r="667" spans="1:15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620">
        <f t="shared" si="85"/>
        <v>127.92</v>
      </c>
      <c r="G667" s="536">
        <f t="shared" si="88"/>
        <v>1.0370297528716431E-3</v>
      </c>
      <c r="H667" s="426">
        <f t="shared" si="89"/>
        <v>2.3531553231336315</v>
      </c>
      <c r="I667" s="427">
        <f t="shared" si="83"/>
        <v>0.86525521231623637</v>
      </c>
      <c r="J667" s="148">
        <v>1.0896625354574367</v>
      </c>
      <c r="K667" s="427">
        <f t="shared" si="87"/>
        <v>0.38140917280866166</v>
      </c>
      <c r="L667" s="925">
        <f t="shared" si="80"/>
        <v>0.4649377816537586</v>
      </c>
      <c r="M667" s="532">
        <f t="shared" si="84"/>
        <v>3.6659492211663279E-2</v>
      </c>
      <c r="N667" s="523"/>
      <c r="O667" s="127"/>
    </row>
    <row r="668" spans="1:15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620">
        <f t="shared" si="85"/>
        <v>129.1</v>
      </c>
      <c r="G668" s="536">
        <f t="shared" si="88"/>
        <v>1.0465958497164565E-3</v>
      </c>
      <c r="H668" s="426">
        <f t="shared" si="89"/>
        <v>2.3748620404671028</v>
      </c>
      <c r="I668" s="427">
        <f t="shared" si="83"/>
        <v>0.87323677227975371</v>
      </c>
      <c r="J668" s="148">
        <v>1.0997141442116563</v>
      </c>
      <c r="K668" s="427">
        <f t="shared" si="87"/>
        <v>0.38492748756721556</v>
      </c>
      <c r="L668" s="925">
        <f t="shared" si="80"/>
        <v>0.46922660734443583</v>
      </c>
      <c r="M668" s="532">
        <f t="shared" si="84"/>
        <v>3.6659492211663272E-2</v>
      </c>
      <c r="N668" s="523"/>
      <c r="O668" s="127"/>
    </row>
    <row r="669" spans="1:15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620">
        <f t="shared" si="85"/>
        <v>136.4</v>
      </c>
      <c r="G669" s="536">
        <f t="shared" si="88"/>
        <v>1.1057759403665737E-3</v>
      </c>
      <c r="H669" s="426">
        <f t="shared" si="89"/>
        <v>2.5091493595640033</v>
      </c>
      <c r="I669" s="427">
        <f t="shared" si="83"/>
        <v>0.9226142195116841</v>
      </c>
      <c r="J669" s="148">
        <v>1.161897825487761</v>
      </c>
      <c r="K669" s="427">
        <f t="shared" si="87"/>
        <v>0.40669333310742217</v>
      </c>
      <c r="L669" s="925">
        <f t="shared" ref="L669:L732" si="90">K669*1.219</f>
        <v>0.49575917305794764</v>
      </c>
      <c r="M669" s="532">
        <f t="shared" si="84"/>
        <v>3.6659492211663272E-2</v>
      </c>
      <c r="N669" s="523"/>
      <c r="O669" s="127"/>
    </row>
    <row r="670" spans="1:15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620">
        <f t="shared" si="85"/>
        <v>68.2</v>
      </c>
      <c r="G670" s="536">
        <f t="shared" si="88"/>
        <v>5.5288797018328685E-4</v>
      </c>
      <c r="H670" s="426">
        <f t="shared" si="89"/>
        <v>1.2545746797820017</v>
      </c>
      <c r="I670" s="427">
        <f t="shared" si="83"/>
        <v>0.46130710975584205</v>
      </c>
      <c r="J670" s="148">
        <v>0.5809489127438805</v>
      </c>
      <c r="K670" s="427">
        <f t="shared" si="87"/>
        <v>0.20334666655371109</v>
      </c>
      <c r="L670" s="925">
        <f t="shared" si="90"/>
        <v>0.24787958652897382</v>
      </c>
      <c r="M670" s="532">
        <f t="shared" si="84"/>
        <v>3.6659492211663272E-2</v>
      </c>
      <c r="N670" s="523"/>
      <c r="O670" s="127"/>
    </row>
    <row r="671" spans="1:15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620">
        <f t="shared" si="85"/>
        <v>117.1</v>
      </c>
      <c r="G671" s="536">
        <f t="shared" si="88"/>
        <v>9.493135089217432E-4</v>
      </c>
      <c r="H671" s="426">
        <f t="shared" si="89"/>
        <v>2.1541157624995955</v>
      </c>
      <c r="I671" s="427">
        <f t="shared" si="83"/>
        <v>0.7920683658711013</v>
      </c>
      <c r="J671" s="148">
        <v>0.99749439416874486</v>
      </c>
      <c r="K671" s="427">
        <f t="shared" si="87"/>
        <v>0.34914801544632795</v>
      </c>
      <c r="L671" s="925">
        <f t="shared" si="90"/>
        <v>0.42561143082907382</v>
      </c>
      <c r="M671" s="532">
        <f t="shared" si="84"/>
        <v>3.6659492211663279E-2</v>
      </c>
      <c r="N671" s="523"/>
      <c r="O671" s="127"/>
    </row>
    <row r="672" spans="1:15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620">
        <f t="shared" si="85"/>
        <v>291.16000000000003</v>
      </c>
      <c r="G672" s="536">
        <f t="shared" si="88"/>
        <v>2.3603938621490589E-3</v>
      </c>
      <c r="H672" s="426">
        <f t="shared" si="89"/>
        <v>5.3560405244182938</v>
      </c>
      <c r="I672" s="427">
        <f t="shared" si="83"/>
        <v>1.9694161008286069</v>
      </c>
      <c r="J672" s="148">
        <v>2.4801918685411768</v>
      </c>
      <c r="K672" s="427">
        <f t="shared" si="87"/>
        <v>0.86812925855980239</v>
      </c>
      <c r="L672" s="925">
        <f t="shared" si="90"/>
        <v>1.0582495661843991</v>
      </c>
      <c r="M672" s="532">
        <f t="shared" si="84"/>
        <v>3.6659492211663272E-2</v>
      </c>
      <c r="N672" s="523"/>
      <c r="O672" s="127"/>
    </row>
    <row r="673" spans="1:15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620">
        <f t="shared" si="85"/>
        <v>455.20000000000005</v>
      </c>
      <c r="G673" s="536">
        <f t="shared" si="88"/>
        <v>3.6902434608127891E-3</v>
      </c>
      <c r="H673" s="426">
        <f t="shared" si="89"/>
        <v>8.3736421442341253</v>
      </c>
      <c r="I673" s="427">
        <f t="shared" si="83"/>
        <v>3.0789882164348881</v>
      </c>
      <c r="J673" s="148">
        <v>3.8775358516277771</v>
      </c>
      <c r="K673" s="427">
        <f t="shared" si="87"/>
        <v>1.3572346424523358</v>
      </c>
      <c r="L673" s="925">
        <f t="shared" si="90"/>
        <v>1.6544690291493975</v>
      </c>
      <c r="M673" s="532">
        <f t="shared" si="84"/>
        <v>4.2235891811564487E-2</v>
      </c>
      <c r="N673" s="523"/>
      <c r="O673" s="127"/>
    </row>
    <row r="674" spans="1:15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620">
        <f t="shared" si="85"/>
        <v>120</v>
      </c>
      <c r="G674" s="536">
        <f t="shared" si="88"/>
        <v>9.7282340794713229E-4</v>
      </c>
      <c r="H674" s="426">
        <f t="shared" si="89"/>
        <v>2.2074627796750765</v>
      </c>
      <c r="I674" s="427">
        <f t="shared" si="83"/>
        <v>0.81168406408652571</v>
      </c>
      <c r="J674" s="148">
        <v>1.0221975004291151</v>
      </c>
      <c r="K674" s="427">
        <f t="shared" si="87"/>
        <v>0.35779472120887579</v>
      </c>
      <c r="L674" s="925">
        <f t="shared" si="90"/>
        <v>0.43615176515361964</v>
      </c>
      <c r="M674" s="532">
        <f t="shared" si="84"/>
        <v>3.6659492211663279E-2</v>
      </c>
      <c r="N674" s="523"/>
      <c r="O674" s="127"/>
    </row>
    <row r="675" spans="1:15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620">
        <f t="shared" si="85"/>
        <v>390.8</v>
      </c>
      <c r="G675" s="536">
        <f t="shared" si="88"/>
        <v>3.1681615652144942E-3</v>
      </c>
      <c r="H675" s="426">
        <f t="shared" si="89"/>
        <v>7.1889704524751652</v>
      </c>
      <c r="I675" s="427">
        <f t="shared" si="83"/>
        <v>2.6433844353751184</v>
      </c>
      <c r="J675" s="148">
        <v>3.328956526397485</v>
      </c>
      <c r="K675" s="427">
        <f t="shared" si="87"/>
        <v>1.165218142070239</v>
      </c>
      <c r="L675" s="925">
        <f t="shared" si="90"/>
        <v>1.4204009151836214</v>
      </c>
      <c r="M675" s="532">
        <f t="shared" si="84"/>
        <v>3.6659492211663272E-2</v>
      </c>
      <c r="N675" s="523"/>
      <c r="O675" s="127"/>
    </row>
    <row r="676" spans="1:15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620">
        <f t="shared" si="85"/>
        <v>105.1</v>
      </c>
      <c r="G676" s="536">
        <f t="shared" si="88"/>
        <v>8.5203116812703004E-4</v>
      </c>
      <c r="H676" s="426">
        <f t="shared" si="89"/>
        <v>1.9333694845320877</v>
      </c>
      <c r="I676" s="427">
        <f t="shared" si="83"/>
        <v>0.71089995946244866</v>
      </c>
      <c r="J676" s="148">
        <v>0.89527464412583324</v>
      </c>
      <c r="K676" s="427">
        <f t="shared" si="87"/>
        <v>0.3133685433254404</v>
      </c>
      <c r="L676" s="925">
        <f t="shared" si="90"/>
        <v>0.38199625431371187</v>
      </c>
      <c r="M676" s="532">
        <f t="shared" si="84"/>
        <v>3.6659492211663272E-2</v>
      </c>
      <c r="N676" s="523"/>
      <c r="O676" s="127"/>
    </row>
    <row r="677" spans="1:15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620">
        <f t="shared" si="85"/>
        <v>168.5</v>
      </c>
      <c r="G677" s="536">
        <f t="shared" si="88"/>
        <v>1.3660062019924316E-3</v>
      </c>
      <c r="H677" s="426">
        <f t="shared" si="89"/>
        <v>3.0996456531270864</v>
      </c>
      <c r="I677" s="427">
        <f t="shared" si="83"/>
        <v>1.1397397066548298</v>
      </c>
      <c r="J677" s="148">
        <v>1.4353356568525493</v>
      </c>
      <c r="K677" s="427">
        <f t="shared" si="87"/>
        <v>0.50240342103079649</v>
      </c>
      <c r="L677" s="925">
        <f t="shared" si="90"/>
        <v>0.61242977023654099</v>
      </c>
      <c r="M677" s="532">
        <f t="shared" si="84"/>
        <v>3.6659492211663272E-2</v>
      </c>
      <c r="N677" s="523"/>
      <c r="O677" s="127"/>
    </row>
    <row r="678" spans="1:15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620">
        <f t="shared" si="85"/>
        <v>73.3</v>
      </c>
      <c r="G678" s="536">
        <f t="shared" si="88"/>
        <v>5.9423296502103995E-4</v>
      </c>
      <c r="H678" s="426">
        <f t="shared" si="89"/>
        <v>1.3483918479181924</v>
      </c>
      <c r="I678" s="427">
        <f t="shared" si="83"/>
        <v>0.49580368247951939</v>
      </c>
      <c r="J678" s="148">
        <v>0.62439230651211775</v>
      </c>
      <c r="K678" s="427">
        <f t="shared" si="87"/>
        <v>0.21855294220508831</v>
      </c>
      <c r="L678" s="925">
        <f t="shared" si="90"/>
        <v>0.26641603654800267</v>
      </c>
      <c r="M678" s="532">
        <f t="shared" si="84"/>
        <v>3.6659492211663272E-2</v>
      </c>
      <c r="N678" s="523"/>
      <c r="O678" s="127"/>
    </row>
    <row r="679" spans="1:15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620">
        <f t="shared" si="85"/>
        <v>87.3</v>
      </c>
      <c r="G679" s="536">
        <f t="shared" si="88"/>
        <v>7.0772902928153871E-4</v>
      </c>
      <c r="H679" s="426">
        <f t="shared" si="89"/>
        <v>1.605929172213618</v>
      </c>
      <c r="I679" s="427">
        <f t="shared" si="83"/>
        <v>0.59050015662294741</v>
      </c>
      <c r="J679" s="148">
        <v>0.74364868156218134</v>
      </c>
      <c r="K679" s="427">
        <f t="shared" si="87"/>
        <v>0.26029565967945711</v>
      </c>
      <c r="L679" s="925">
        <f t="shared" si="90"/>
        <v>0.31730040914925822</v>
      </c>
      <c r="M679" s="532">
        <f t="shared" si="84"/>
        <v>3.6659492211663272E-2</v>
      </c>
      <c r="N679" s="523"/>
      <c r="O679" s="127"/>
    </row>
    <row r="680" spans="1:15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620">
        <f t="shared" si="85"/>
        <v>227.3</v>
      </c>
      <c r="G680" s="536">
        <f t="shared" si="88"/>
        <v>1.8426896718865265E-3</v>
      </c>
      <c r="H680" s="426">
        <f t="shared" si="89"/>
        <v>4.1813024151678739</v>
      </c>
      <c r="I680" s="427">
        <f t="shared" si="83"/>
        <v>1.5374648980572274</v>
      </c>
      <c r="J680" s="148">
        <v>1.9362124320628156</v>
      </c>
      <c r="K680" s="427">
        <f t="shared" si="87"/>
        <v>0.67772283442314563</v>
      </c>
      <c r="L680" s="925">
        <f t="shared" si="90"/>
        <v>0.82614413516181462</v>
      </c>
      <c r="M680" s="532">
        <f t="shared" si="84"/>
        <v>3.6659492211663272E-2</v>
      </c>
      <c r="N680" s="523"/>
      <c r="O680" s="127"/>
    </row>
    <row r="681" spans="1:15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620">
        <f t="shared" si="85"/>
        <v>53.5</v>
      </c>
      <c r="G681" s="536">
        <f t="shared" si="88"/>
        <v>4.3371710270976313E-4</v>
      </c>
      <c r="H681" s="426">
        <f t="shared" si="89"/>
        <v>0.98416048927180488</v>
      </c>
      <c r="I681" s="427">
        <f t="shared" si="83"/>
        <v>0.36187581190524271</v>
      </c>
      <c r="J681" s="148">
        <v>0.45572971894131381</v>
      </c>
      <c r="K681" s="427">
        <f t="shared" si="87"/>
        <v>0.1595168132056238</v>
      </c>
      <c r="L681" s="925">
        <f t="shared" si="90"/>
        <v>0.19445099529765542</v>
      </c>
      <c r="M681" s="532">
        <f t="shared" si="84"/>
        <v>3.6659492211663272E-2</v>
      </c>
      <c r="N681" s="523"/>
      <c r="O681" s="127"/>
    </row>
    <row r="682" spans="1:15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620">
        <f t="shared" si="85"/>
        <v>1851.82</v>
      </c>
      <c r="G682" s="536">
        <f t="shared" si="88"/>
        <v>1.5012448694205488E-2</v>
      </c>
      <c r="H682" s="426">
        <f t="shared" si="89"/>
        <v>34.065197705482497</v>
      </c>
      <c r="I682" s="427">
        <f t="shared" si="83"/>
        <v>12.525773196305915</v>
      </c>
      <c r="J682" s="148">
        <v>15.774381460372034</v>
      </c>
      <c r="K682" s="427">
        <f>G682*235.27</f>
        <v>3.5319788042857252</v>
      </c>
      <c r="L682" s="925">
        <f t="shared" si="90"/>
        <v>4.3054821624242994</v>
      </c>
      <c r="M682" s="532">
        <f t="shared" si="84"/>
        <v>3.5585170894820328E-2</v>
      </c>
      <c r="N682" s="523"/>
      <c r="O682" s="127"/>
    </row>
    <row r="683" spans="1:15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620">
        <f t="shared" si="85"/>
        <v>933.25</v>
      </c>
      <c r="G683" s="536">
        <f t="shared" si="88"/>
        <v>7.5657287122221769E-3</v>
      </c>
      <c r="H683" s="426">
        <f t="shared" si="89"/>
        <v>17.167621992764708</v>
      </c>
      <c r="I683" s="427">
        <f t="shared" si="83"/>
        <v>6.3125346067395833</v>
      </c>
      <c r="J683" s="148">
        <v>7.9497151439622646</v>
      </c>
      <c r="K683" s="427">
        <f>G683*235.27</f>
        <v>1.7799889941245117</v>
      </c>
      <c r="L683" s="925">
        <f t="shared" si="90"/>
        <v>2.1698065838377798</v>
      </c>
      <c r="M683" s="532">
        <f t="shared" si="84"/>
        <v>3.5585170894820328E-2</v>
      </c>
      <c r="N683" s="523"/>
      <c r="O683" s="127"/>
    </row>
    <row r="684" spans="1:15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620">
        <f t="shared" si="85"/>
        <v>1158.5</v>
      </c>
      <c r="G684" s="536">
        <f t="shared" si="88"/>
        <v>9.391799317556274E-3</v>
      </c>
      <c r="H684" s="426">
        <f t="shared" si="89"/>
        <v>21.31121358544647</v>
      </c>
      <c r="I684" s="427">
        <f t="shared" si="83"/>
        <v>7.8361332353686679</v>
      </c>
      <c r="J684" s="148">
        <v>9.8684650353927488</v>
      </c>
      <c r="K684" s="427">
        <f>G684*235.27</f>
        <v>2.2096086254414646</v>
      </c>
      <c r="L684" s="925">
        <f t="shared" si="90"/>
        <v>2.6935129144131458</v>
      </c>
      <c r="M684" s="532">
        <f t="shared" si="84"/>
        <v>3.5585170894820328E-2</v>
      </c>
      <c r="N684" s="523"/>
      <c r="O684" s="127"/>
    </row>
    <row r="685" spans="1:15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620">
        <f t="shared" si="85"/>
        <v>3775.6499999999996</v>
      </c>
      <c r="G685" s="536">
        <f t="shared" si="88"/>
        <v>3.060867250179658E-2</v>
      </c>
      <c r="H685" s="426">
        <f t="shared" si="89"/>
        <v>69.455057034001683</v>
      </c>
      <c r="I685" s="427">
        <f t="shared" si="83"/>
        <v>25.538624471402422</v>
      </c>
      <c r="J685" s="148">
        <v>32.162166604126568</v>
      </c>
      <c r="K685" s="427">
        <f>G685*235.27</f>
        <v>7.2013023794976814</v>
      </c>
      <c r="L685" s="925">
        <f t="shared" si="90"/>
        <v>8.7783876006076742</v>
      </c>
      <c r="M685" s="532">
        <f t="shared" si="84"/>
        <v>3.667002838167234E-2</v>
      </c>
      <c r="N685" s="523"/>
      <c r="O685" s="127"/>
    </row>
    <row r="686" spans="1:15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620">
        <f t="shared" si="85"/>
        <v>79.3</v>
      </c>
      <c r="G686" s="536">
        <f t="shared" si="88"/>
        <v>6.4287413541839653E-4</v>
      </c>
      <c r="H686" s="426">
        <f t="shared" si="89"/>
        <v>1.4587649869019461</v>
      </c>
      <c r="I686" s="427">
        <f t="shared" si="83"/>
        <v>0.53638788568384566</v>
      </c>
      <c r="J686" s="148">
        <v>0.67550218153357355</v>
      </c>
      <c r="K686" s="427">
        <f t="shared" si="87"/>
        <v>0.23644267826553209</v>
      </c>
      <c r="L686" s="925">
        <f t="shared" si="90"/>
        <v>0.28822362480568364</v>
      </c>
      <c r="M686" s="532">
        <f t="shared" si="84"/>
        <v>3.6659492211663272E-2</v>
      </c>
      <c r="N686" s="523"/>
      <c r="O686" s="127"/>
    </row>
    <row r="687" spans="1:15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620">
        <f t="shared" si="85"/>
        <v>377.9</v>
      </c>
      <c r="G687" s="536">
        <f t="shared" si="88"/>
        <v>3.0635830488601771E-3</v>
      </c>
      <c r="H687" s="426">
        <f t="shared" si="89"/>
        <v>6.9516682036600939</v>
      </c>
      <c r="I687" s="427">
        <f t="shared" si="83"/>
        <v>2.5561283984858165</v>
      </c>
      <c r="J687" s="148">
        <v>3.2190702951013548</v>
      </c>
      <c r="K687" s="427">
        <f t="shared" si="87"/>
        <v>1.1267552095402846</v>
      </c>
      <c r="L687" s="925">
        <f t="shared" si="90"/>
        <v>1.373514600429607</v>
      </c>
      <c r="M687" s="532">
        <f t="shared" si="84"/>
        <v>3.6659492211663272E-2</v>
      </c>
      <c r="N687" s="523"/>
      <c r="O687" s="127"/>
    </row>
    <row r="688" spans="1:15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620">
        <f t="shared" si="85"/>
        <v>86.1</v>
      </c>
      <c r="G688" s="536">
        <f t="shared" si="88"/>
        <v>6.9800079520206744E-4</v>
      </c>
      <c r="H688" s="426">
        <f t="shared" si="89"/>
        <v>1.5838545444168675</v>
      </c>
      <c r="I688" s="427">
        <f t="shared" si="83"/>
        <v>0.58238331598208226</v>
      </c>
      <c r="J688" s="148">
        <v>0.73342670655789</v>
      </c>
      <c r="K688" s="427">
        <f t="shared" si="87"/>
        <v>0.25671771246736841</v>
      </c>
      <c r="L688" s="925">
        <f t="shared" si="90"/>
        <v>0.31293889149772214</v>
      </c>
      <c r="M688" s="532">
        <f t="shared" si="84"/>
        <v>3.6659492211663279E-2</v>
      </c>
      <c r="N688" s="523"/>
      <c r="O688" s="127"/>
    </row>
    <row r="689" spans="1:15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620">
        <f t="shared" si="85"/>
        <v>59.7</v>
      </c>
      <c r="G689" s="536">
        <f t="shared" si="88"/>
        <v>4.8397964545369835E-4</v>
      </c>
      <c r="H689" s="426">
        <f t="shared" si="89"/>
        <v>1.0982127328883506</v>
      </c>
      <c r="I689" s="427">
        <f t="shared" si="83"/>
        <v>0.40381282188304657</v>
      </c>
      <c r="J689" s="148">
        <v>0.50854325646348475</v>
      </c>
      <c r="K689" s="427">
        <f t="shared" si="87"/>
        <v>0.17800287380141572</v>
      </c>
      <c r="L689" s="925">
        <f t="shared" si="90"/>
        <v>0.21698550316392579</v>
      </c>
      <c r="M689" s="532">
        <f t="shared" si="84"/>
        <v>3.6659492211663272E-2</v>
      </c>
      <c r="N689" s="523"/>
      <c r="O689" s="127"/>
    </row>
    <row r="690" spans="1:15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620">
        <f t="shared" si="85"/>
        <v>66.099999999999994</v>
      </c>
      <c r="G690" s="536">
        <f t="shared" si="88"/>
        <v>5.3586356054421199E-4</v>
      </c>
      <c r="H690" s="426">
        <f t="shared" si="89"/>
        <v>1.2159440811376878</v>
      </c>
      <c r="I690" s="427">
        <f t="shared" si="83"/>
        <v>0.44710263863432786</v>
      </c>
      <c r="J690" s="148">
        <v>0.56306045648637082</v>
      </c>
      <c r="K690" s="427">
        <f t="shared" si="87"/>
        <v>0.19708525893255574</v>
      </c>
      <c r="L690" s="925">
        <f t="shared" si="90"/>
        <v>0.24024693063878547</v>
      </c>
      <c r="M690" s="532">
        <f t="shared" si="84"/>
        <v>3.6659492211663272E-2</v>
      </c>
      <c r="N690" s="523"/>
      <c r="O690" s="127"/>
    </row>
    <row r="691" spans="1:15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620">
        <f t="shared" si="85"/>
        <v>111.6</v>
      </c>
      <c r="G691" s="536">
        <f t="shared" si="88"/>
        <v>9.0472576939083305E-4</v>
      </c>
      <c r="H691" s="426">
        <f t="shared" si="89"/>
        <v>2.0529403850978212</v>
      </c>
      <c r="I691" s="427">
        <f t="shared" si="83"/>
        <v>0.75486617960046887</v>
      </c>
      <c r="J691" s="148">
        <v>0.95064367539907701</v>
      </c>
      <c r="K691" s="427">
        <f t="shared" si="87"/>
        <v>0.33274909072425451</v>
      </c>
      <c r="L691" s="925">
        <f t="shared" si="90"/>
        <v>0.40562114159286627</v>
      </c>
      <c r="M691" s="532">
        <f t="shared" si="84"/>
        <v>3.6659492211663286E-2</v>
      </c>
      <c r="N691" s="523"/>
      <c r="O691" s="127"/>
    </row>
    <row r="692" spans="1:15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620">
        <f t="shared" si="85"/>
        <v>119.2</v>
      </c>
      <c r="G692" s="536">
        <f t="shared" si="88"/>
        <v>9.6633791856081807E-4</v>
      </c>
      <c r="H692" s="426">
        <f t="shared" si="89"/>
        <v>2.1927463611439091</v>
      </c>
      <c r="I692" s="427">
        <f t="shared" si="83"/>
        <v>0.80627283699261543</v>
      </c>
      <c r="J692" s="148">
        <v>1.0153828504262543</v>
      </c>
      <c r="K692" s="427">
        <f t="shared" si="87"/>
        <v>0.3554094230674833</v>
      </c>
      <c r="L692" s="925">
        <f t="shared" si="90"/>
        <v>0.43324408671926218</v>
      </c>
      <c r="M692" s="532">
        <f t="shared" si="84"/>
        <v>3.6659492211663272E-2</v>
      </c>
      <c r="N692" s="523"/>
      <c r="O692" s="127"/>
    </row>
    <row r="693" spans="1:15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620">
        <f t="shared" si="85"/>
        <v>139.6</v>
      </c>
      <c r="G693" s="536">
        <f t="shared" si="88"/>
        <v>1.1317178979118306E-3</v>
      </c>
      <c r="H693" s="426">
        <f t="shared" si="89"/>
        <v>2.5680150336886722</v>
      </c>
      <c r="I693" s="427">
        <f t="shared" si="83"/>
        <v>0.9442591278873248</v>
      </c>
      <c r="J693" s="148">
        <v>1.1891564254992038</v>
      </c>
      <c r="K693" s="427">
        <f t="shared" si="87"/>
        <v>0.41623452567299218</v>
      </c>
      <c r="L693" s="925">
        <f t="shared" si="90"/>
        <v>0.50738988679537755</v>
      </c>
      <c r="M693" s="532">
        <f t="shared" si="84"/>
        <v>3.6659492211663279E-2</v>
      </c>
      <c r="N693" s="523"/>
      <c r="O693" s="127"/>
    </row>
    <row r="694" spans="1:15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620">
        <f t="shared" si="85"/>
        <v>66.5</v>
      </c>
      <c r="G694" s="536">
        <f t="shared" si="88"/>
        <v>5.3910630523736915E-4</v>
      </c>
      <c r="H694" s="426">
        <f t="shared" si="89"/>
        <v>1.2233022904032715</v>
      </c>
      <c r="I694" s="427">
        <f t="shared" si="83"/>
        <v>0.44980825218128295</v>
      </c>
      <c r="J694" s="148">
        <v>0.5664677814878013</v>
      </c>
      <c r="K694" s="427">
        <f t="shared" si="87"/>
        <v>0.19827790800325201</v>
      </c>
      <c r="L694" s="925">
        <f t="shared" si="90"/>
        <v>0.24170076985596423</v>
      </c>
      <c r="M694" s="532">
        <f t="shared" si="84"/>
        <v>3.6659492211663272E-2</v>
      </c>
      <c r="N694" s="523"/>
      <c r="O694" s="127"/>
    </row>
    <row r="695" spans="1:15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620">
        <f t="shared" si="85"/>
        <v>67</v>
      </c>
      <c r="G695" s="536">
        <f t="shared" si="88"/>
        <v>5.4315973610381558E-4</v>
      </c>
      <c r="H695" s="426">
        <f t="shared" si="89"/>
        <v>1.2325000519852511</v>
      </c>
      <c r="I695" s="427">
        <f t="shared" si="83"/>
        <v>0.4531902691149769</v>
      </c>
      <c r="J695" s="148">
        <v>0.57072693773958927</v>
      </c>
      <c r="K695" s="427">
        <f t="shared" si="87"/>
        <v>0.19976871934162235</v>
      </c>
      <c r="L695" s="925">
        <f t="shared" si="90"/>
        <v>0.24351806887743765</v>
      </c>
      <c r="M695" s="532">
        <f t="shared" si="84"/>
        <v>3.6659492211663279E-2</v>
      </c>
      <c r="N695" s="523"/>
      <c r="O695" s="127"/>
    </row>
    <row r="696" spans="1:15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620">
        <f t="shared" si="85"/>
        <v>212.2</v>
      </c>
      <c r="G696" s="536">
        <f t="shared" si="88"/>
        <v>1.7202760597198456E-3</v>
      </c>
      <c r="H696" s="426">
        <f t="shared" si="89"/>
        <v>3.9035300153920933</v>
      </c>
      <c r="I696" s="427">
        <f t="shared" si="83"/>
        <v>1.4353279866596729</v>
      </c>
      <c r="J696" s="148">
        <v>1.8075859132588183</v>
      </c>
      <c r="K696" s="427">
        <f t="shared" si="87"/>
        <v>0.63270033200436204</v>
      </c>
      <c r="L696" s="925">
        <f t="shared" si="90"/>
        <v>0.77126170471331734</v>
      </c>
      <c r="M696" s="532">
        <f t="shared" si="84"/>
        <v>3.6659492211663272E-2</v>
      </c>
      <c r="N696" s="523"/>
      <c r="O696" s="127"/>
    </row>
    <row r="697" spans="1:15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620">
        <f t="shared" si="85"/>
        <v>41.6</v>
      </c>
      <c r="G697" s="536">
        <f t="shared" si="88"/>
        <v>3.3724544808833923E-4</v>
      </c>
      <c r="H697" s="426">
        <f t="shared" si="89"/>
        <v>0.76525376362069319</v>
      </c>
      <c r="I697" s="427">
        <f t="shared" si="83"/>
        <v>0.28138380888332892</v>
      </c>
      <c r="J697" s="148">
        <v>0.3543618001487599</v>
      </c>
      <c r="K697" s="427">
        <f t="shared" si="87"/>
        <v>0.1240355033524103</v>
      </c>
      <c r="L697" s="925">
        <f t="shared" si="90"/>
        <v>0.15119927858658816</v>
      </c>
      <c r="M697" s="532">
        <f t="shared" si="84"/>
        <v>3.6659492211663272E-2</v>
      </c>
      <c r="N697" s="523"/>
      <c r="O697" s="127"/>
    </row>
    <row r="698" spans="1:15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620">
        <f t="shared" si="85"/>
        <v>466.8</v>
      </c>
      <c r="G698" s="536">
        <f t="shared" si="88"/>
        <v>3.7842830569143446E-3</v>
      </c>
      <c r="H698" s="426">
        <f t="shared" si="89"/>
        <v>8.5870302129360478</v>
      </c>
      <c r="I698" s="427">
        <f t="shared" ref="I698:I746" si="91">H698*0.3677</f>
        <v>3.1574510092965848</v>
      </c>
      <c r="J698" s="148">
        <v>3.9763482766692579</v>
      </c>
      <c r="K698" s="427">
        <f t="shared" si="87"/>
        <v>1.3918214655025269</v>
      </c>
      <c r="L698" s="925">
        <f t="shared" si="90"/>
        <v>1.6966303664475804</v>
      </c>
      <c r="M698" s="532">
        <f t="shared" si="84"/>
        <v>3.6659492211663272E-2</v>
      </c>
      <c r="N698" s="523"/>
      <c r="O698" s="127"/>
    </row>
    <row r="699" spans="1:15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620">
        <f t="shared" si="85"/>
        <v>681.36</v>
      </c>
      <c r="G699" s="536">
        <f t="shared" si="88"/>
        <v>5.5236913103238177E-3</v>
      </c>
      <c r="H699" s="426">
        <f t="shared" si="89"/>
        <v>12.533973662995084</v>
      </c>
      <c r="I699" s="427">
        <f t="shared" si="91"/>
        <v>4.6087421158832926</v>
      </c>
      <c r="J699" s="148">
        <v>5.8040374074365157</v>
      </c>
      <c r="K699" s="427">
        <f t="shared" si="87"/>
        <v>2.031558427023997</v>
      </c>
      <c r="L699" s="925">
        <f t="shared" si="90"/>
        <v>2.4764697225422525</v>
      </c>
      <c r="M699" s="532">
        <f t="shared" si="84"/>
        <v>3.6659492211663272E-2</v>
      </c>
      <c r="N699" s="523"/>
      <c r="O699" s="127"/>
    </row>
    <row r="700" spans="1:15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620">
        <f t="shared" si="85"/>
        <v>58.2</v>
      </c>
      <c r="G700" s="536">
        <f t="shared" si="88"/>
        <v>4.7181935285435918E-4</v>
      </c>
      <c r="H700" s="426">
        <f t="shared" si="89"/>
        <v>1.0706194481424121</v>
      </c>
      <c r="I700" s="427">
        <f t="shared" si="91"/>
        <v>0.39366677108196496</v>
      </c>
      <c r="J700" s="148">
        <v>0.49576578770812091</v>
      </c>
      <c r="K700" s="427">
        <f t="shared" si="87"/>
        <v>0.17353043978630478</v>
      </c>
      <c r="L700" s="925">
        <f t="shared" si="90"/>
        <v>0.21153360609950553</v>
      </c>
      <c r="M700" s="532">
        <f t="shared" si="84"/>
        <v>3.6659492211663279E-2</v>
      </c>
      <c r="N700" s="523"/>
      <c r="O700" s="127"/>
    </row>
    <row r="701" spans="1:15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620">
        <f t="shared" si="85"/>
        <v>504.2</v>
      </c>
      <c r="G701" s="536">
        <f t="shared" si="88"/>
        <v>4.0874796857245342E-3</v>
      </c>
      <c r="H701" s="426">
        <f t="shared" si="89"/>
        <v>9.275022779268113</v>
      </c>
      <c r="I701" s="427">
        <f t="shared" si="91"/>
        <v>3.4104258759368853</v>
      </c>
      <c r="J701" s="148">
        <v>4.2949331643029982</v>
      </c>
      <c r="K701" s="427">
        <f t="shared" si="87"/>
        <v>1.5033341536126266</v>
      </c>
      <c r="L701" s="925">
        <f t="shared" si="90"/>
        <v>1.832564333253792</v>
      </c>
      <c r="M701" s="532">
        <f t="shared" si="84"/>
        <v>3.6659492211663279E-2</v>
      </c>
      <c r="N701" s="523"/>
      <c r="O701" s="127"/>
    </row>
    <row r="702" spans="1:15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620">
        <f t="shared" si="85"/>
        <v>166.6</v>
      </c>
      <c r="G702" s="536">
        <f t="shared" si="88"/>
        <v>1.3506031646999352E-3</v>
      </c>
      <c r="H702" s="426">
        <f t="shared" si="89"/>
        <v>3.0646941591155641</v>
      </c>
      <c r="I702" s="427">
        <f t="shared" si="91"/>
        <v>1.1268880423067931</v>
      </c>
      <c r="J702" s="148">
        <v>1.4191508630957548</v>
      </c>
      <c r="K702" s="427">
        <f t="shared" si="87"/>
        <v>0.49673833794498923</v>
      </c>
      <c r="L702" s="925">
        <f t="shared" si="90"/>
        <v>0.60552403395494192</v>
      </c>
      <c r="M702" s="532">
        <f t="shared" si="84"/>
        <v>3.6659492211663272E-2</v>
      </c>
      <c r="N702" s="523"/>
      <c r="O702" s="127"/>
    </row>
    <row r="703" spans="1:15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620">
        <f t="shared" si="85"/>
        <v>37.799999999999997</v>
      </c>
      <c r="G703" s="536">
        <f t="shared" si="88"/>
        <v>3.0643937350334667E-4</v>
      </c>
      <c r="H703" s="426">
        <f t="shared" si="89"/>
        <v>0.69535077559764902</v>
      </c>
      <c r="I703" s="427">
        <f t="shared" si="91"/>
        <v>0.25568048018725559</v>
      </c>
      <c r="J703" s="148">
        <v>0.32199221263517125</v>
      </c>
      <c r="K703" s="427">
        <f t="shared" si="87"/>
        <v>0.11270533718079588</v>
      </c>
      <c r="L703" s="925">
        <f t="shared" si="90"/>
        <v>0.13738780602339018</v>
      </c>
      <c r="M703" s="532">
        <f t="shared" si="84"/>
        <v>3.6659492211663272E-2</v>
      </c>
      <c r="N703" s="523"/>
      <c r="O703" s="127"/>
    </row>
    <row r="704" spans="1:15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620">
        <f t="shared" si="85"/>
        <v>55.5</v>
      </c>
      <c r="G704" s="536">
        <f t="shared" si="88"/>
        <v>4.4993082617554868E-4</v>
      </c>
      <c r="H704" s="426">
        <f t="shared" si="89"/>
        <v>1.0209515355997227</v>
      </c>
      <c r="I704" s="427">
        <f t="shared" si="91"/>
        <v>0.37540387964001809</v>
      </c>
      <c r="J704" s="148">
        <v>0.47276634394846573</v>
      </c>
      <c r="K704" s="427">
        <f t="shared" si="87"/>
        <v>0.16548005855910505</v>
      </c>
      <c r="L704" s="925">
        <f t="shared" si="90"/>
        <v>0.20172019138354907</v>
      </c>
      <c r="M704" s="532">
        <f t="shared" si="84"/>
        <v>3.6659492211663279E-2</v>
      </c>
      <c r="N704" s="523"/>
      <c r="O704" s="127"/>
    </row>
    <row r="705" spans="1:15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620">
        <f t="shared" si="85"/>
        <v>146.19999999999999</v>
      </c>
      <c r="G705" s="536">
        <f t="shared" si="88"/>
        <v>1.1852231853489228E-3</v>
      </c>
      <c r="H705" s="426">
        <f t="shared" si="89"/>
        <v>2.6894254865708014</v>
      </c>
      <c r="I705" s="427">
        <f t="shared" si="91"/>
        <v>0.9889017514120837</v>
      </c>
      <c r="J705" s="148">
        <v>1.2453772880228053</v>
      </c>
      <c r="K705" s="427">
        <f t="shared" si="87"/>
        <v>0.43591323533948034</v>
      </c>
      <c r="L705" s="925">
        <f t="shared" si="90"/>
        <v>0.53137823387882654</v>
      </c>
      <c r="M705" s="532">
        <f t="shared" si="84"/>
        <v>3.6659492211663279E-2</v>
      </c>
      <c r="N705" s="523"/>
      <c r="O705" s="127"/>
    </row>
    <row r="706" spans="1:15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620">
        <f t="shared" si="85"/>
        <v>47.9</v>
      </c>
      <c r="G706" s="536">
        <f t="shared" si="88"/>
        <v>3.8831867700556366E-4</v>
      </c>
      <c r="H706" s="426">
        <f t="shared" si="89"/>
        <v>0.88114555955363472</v>
      </c>
      <c r="I706" s="427">
        <f t="shared" si="91"/>
        <v>0.32399722224787153</v>
      </c>
      <c r="J706" s="148">
        <v>0.40802716892128843</v>
      </c>
      <c r="K706" s="427">
        <f t="shared" si="87"/>
        <v>0.14281972621587627</v>
      </c>
      <c r="L706" s="925">
        <f t="shared" si="90"/>
        <v>0.17409724625715317</v>
      </c>
      <c r="M706" s="532">
        <f t="shared" si="84"/>
        <v>3.6659492211663279E-2</v>
      </c>
      <c r="N706" s="523"/>
      <c r="O706" s="127"/>
    </row>
    <row r="707" spans="1:15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620">
        <f t="shared" si="85"/>
        <v>72.400000000000006</v>
      </c>
      <c r="G707" s="536">
        <f t="shared" si="88"/>
        <v>5.8693678946143658E-4</v>
      </c>
      <c r="H707" s="426">
        <f t="shared" si="89"/>
        <v>1.3318358770706296</v>
      </c>
      <c r="I707" s="427">
        <f t="shared" si="91"/>
        <v>0.48971605199887053</v>
      </c>
      <c r="J707" s="148">
        <v>0.61672582525889952</v>
      </c>
      <c r="K707" s="427">
        <f t="shared" si="87"/>
        <v>0.21586948179602178</v>
      </c>
      <c r="L707" s="925">
        <f t="shared" si="90"/>
        <v>0.26314489830935056</v>
      </c>
      <c r="M707" s="532">
        <f t="shared" si="84"/>
        <v>3.6659492211663279E-2</v>
      </c>
      <c r="N707" s="523"/>
      <c r="O707" s="127"/>
    </row>
    <row r="708" spans="1:15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620">
        <f t="shared" si="85"/>
        <v>73</v>
      </c>
      <c r="G708" s="536">
        <f t="shared" si="88"/>
        <v>5.9180090650117216E-4</v>
      </c>
      <c r="H708" s="426">
        <f t="shared" si="89"/>
        <v>1.3428731909690048</v>
      </c>
      <c r="I708" s="427">
        <f t="shared" si="91"/>
        <v>0.4937744723193031</v>
      </c>
      <c r="J708" s="148">
        <v>0.62183681276104508</v>
      </c>
      <c r="K708" s="427">
        <f t="shared" si="87"/>
        <v>0.21765845540206613</v>
      </c>
      <c r="L708" s="925">
        <f t="shared" si="90"/>
        <v>0.26532565713511863</v>
      </c>
      <c r="M708" s="532">
        <f t="shared" si="84"/>
        <v>3.6659492211663279E-2</v>
      </c>
      <c r="N708" s="523"/>
      <c r="O708" s="127"/>
    </row>
    <row r="709" spans="1:15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620">
        <f t="shared" si="85"/>
        <v>110</v>
      </c>
      <c r="G709" s="536">
        <f t="shared" si="88"/>
        <v>8.9175479061820461E-4</v>
      </c>
      <c r="H709" s="426">
        <f t="shared" si="89"/>
        <v>2.0235075480354867</v>
      </c>
      <c r="I709" s="427">
        <f t="shared" si="91"/>
        <v>0.74404372541264852</v>
      </c>
      <c r="J709" s="148">
        <v>0.93701437539335553</v>
      </c>
      <c r="K709" s="427">
        <f t="shared" si="87"/>
        <v>0.32797849444146948</v>
      </c>
      <c r="L709" s="925">
        <f t="shared" si="90"/>
        <v>0.39980578472415135</v>
      </c>
      <c r="M709" s="532">
        <f t="shared" si="84"/>
        <v>3.6659492211663272E-2</v>
      </c>
      <c r="N709" s="523"/>
      <c r="O709" s="127"/>
    </row>
    <row r="710" spans="1:15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620">
        <f t="shared" ref="F710:F775" si="92">C710+D710+E710</f>
        <v>382</v>
      </c>
      <c r="G710" s="536">
        <f t="shared" si="88"/>
        <v>3.0968211819650377E-3</v>
      </c>
      <c r="H710" s="426">
        <f t="shared" si="89"/>
        <v>7.0270898486323263</v>
      </c>
      <c r="I710" s="427">
        <f t="shared" si="91"/>
        <v>2.5838609373421066</v>
      </c>
      <c r="J710" s="148">
        <v>3.2539953763660168</v>
      </c>
      <c r="K710" s="427">
        <f t="shared" si="87"/>
        <v>1.1389798625149212</v>
      </c>
      <c r="L710" s="925">
        <f t="shared" si="90"/>
        <v>1.388416452405689</v>
      </c>
      <c r="M710" s="532">
        <f t="shared" ref="M710:M773" si="93">(K710+J710+I710+H710)/C710</f>
        <v>3.6659492211663272E-2</v>
      </c>
      <c r="N710" s="523"/>
      <c r="O710" s="127"/>
    </row>
    <row r="711" spans="1:15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620">
        <f t="shared" si="92"/>
        <v>226.9</v>
      </c>
      <c r="G711" s="536">
        <f t="shared" si="88"/>
        <v>1.8394469271933694E-3</v>
      </c>
      <c r="H711" s="426">
        <f t="shared" si="89"/>
        <v>4.1739442059022904</v>
      </c>
      <c r="I711" s="427">
        <f t="shared" si="91"/>
        <v>1.5347592845102722</v>
      </c>
      <c r="J711" s="148">
        <v>1.9328051070613852</v>
      </c>
      <c r="K711" s="427">
        <f t="shared" si="87"/>
        <v>0.67653018535244935</v>
      </c>
      <c r="L711" s="925">
        <f t="shared" si="90"/>
        <v>0.82469029594463583</v>
      </c>
      <c r="M711" s="532">
        <f t="shared" si="93"/>
        <v>3.6659492211663272E-2</v>
      </c>
      <c r="N711" s="523"/>
      <c r="O711" s="127"/>
    </row>
    <row r="712" spans="1:15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620">
        <f t="shared" si="92"/>
        <v>142.6</v>
      </c>
      <c r="G712" s="536">
        <f t="shared" si="88"/>
        <v>1.1560384831105089E-3</v>
      </c>
      <c r="H712" s="426">
        <f t="shared" si="89"/>
        <v>2.6232016031805494</v>
      </c>
      <c r="I712" s="427">
        <f t="shared" si="91"/>
        <v>0.96455122948948813</v>
      </c>
      <c r="J712" s="148">
        <v>1.2147113630099318</v>
      </c>
      <c r="K712" s="427">
        <f t="shared" si="87"/>
        <v>0.42517939370321411</v>
      </c>
      <c r="L712" s="925">
        <f t="shared" si="90"/>
        <v>0.51829368092421801</v>
      </c>
      <c r="M712" s="532">
        <f t="shared" si="93"/>
        <v>3.6659492211663272E-2</v>
      </c>
      <c r="N712" s="523"/>
      <c r="O712" s="127"/>
    </row>
    <row r="713" spans="1:15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620">
        <f t="shared" si="92"/>
        <v>428.31</v>
      </c>
      <c r="G713" s="536">
        <f t="shared" si="88"/>
        <v>3.4722499488153021E-3</v>
      </c>
      <c r="H713" s="426">
        <f t="shared" si="89"/>
        <v>7.8789865263552672</v>
      </c>
      <c r="I713" s="427">
        <f t="shared" si="91"/>
        <v>2.8971033457408319</v>
      </c>
      <c r="J713" s="148">
        <v>3.6484784284066194</v>
      </c>
      <c r="K713" s="427">
        <f t="shared" ref="K713:K718" si="94">G713*235.27</f>
        <v>0.81691624545777619</v>
      </c>
      <c r="L713" s="925">
        <f t="shared" si="90"/>
        <v>0.9958209032130293</v>
      </c>
      <c r="M713" s="532">
        <f t="shared" si="93"/>
        <v>3.5585170894820328E-2</v>
      </c>
      <c r="N713" s="523"/>
      <c r="O713" s="127"/>
    </row>
    <row r="714" spans="1:15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620">
        <f t="shared" si="92"/>
        <v>744.3</v>
      </c>
      <c r="G714" s="536">
        <f t="shared" si="88"/>
        <v>6.0339371877920879E-3</v>
      </c>
      <c r="H714" s="426">
        <f t="shared" si="89"/>
        <v>13.691787890934661</v>
      </c>
      <c r="I714" s="427">
        <f t="shared" si="91"/>
        <v>5.0344704074966753</v>
      </c>
      <c r="J714" s="148">
        <v>6.3401799964115853</v>
      </c>
      <c r="K714" s="427">
        <f t="shared" si="94"/>
        <v>1.4196044021718446</v>
      </c>
      <c r="L714" s="925">
        <f t="shared" si="90"/>
        <v>1.7304977662474788</v>
      </c>
      <c r="M714" s="532">
        <f t="shared" si="93"/>
        <v>3.5585170894820328E-2</v>
      </c>
      <c r="N714" s="523"/>
      <c r="O714" s="127"/>
    </row>
    <row r="715" spans="1:15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620">
        <f t="shared" si="92"/>
        <v>1084.5899999999999</v>
      </c>
      <c r="G715" s="536">
        <f t="shared" si="88"/>
        <v>8.792621166878168E-3</v>
      </c>
      <c r="H715" s="426">
        <f t="shared" si="89"/>
        <v>19.951600468398258</v>
      </c>
      <c r="I715" s="427">
        <f t="shared" si="91"/>
        <v>7.3362034922300401</v>
      </c>
      <c r="J715" s="148">
        <v>9.23887655825345</v>
      </c>
      <c r="K715" s="427">
        <f t="shared" si="94"/>
        <v>2.0686399819314265</v>
      </c>
      <c r="L715" s="925">
        <f t="shared" si="90"/>
        <v>2.5216721379744089</v>
      </c>
      <c r="M715" s="532">
        <f t="shared" si="93"/>
        <v>3.5585170894820328E-2</v>
      </c>
      <c r="N715" s="523"/>
      <c r="O715" s="127"/>
    </row>
    <row r="716" spans="1:15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620">
        <f t="shared" si="92"/>
        <v>1069.71</v>
      </c>
      <c r="G716" s="536">
        <f t="shared" si="88"/>
        <v>8.6719910642927243E-3</v>
      </c>
      <c r="H716" s="426">
        <f t="shared" si="89"/>
        <v>19.677875083718551</v>
      </c>
      <c r="I716" s="427">
        <f t="shared" si="91"/>
        <v>7.2355546682833118</v>
      </c>
      <c r="J716" s="148">
        <v>9.1121240682002398</v>
      </c>
      <c r="K716" s="427">
        <f t="shared" si="94"/>
        <v>2.0402593376961495</v>
      </c>
      <c r="L716" s="925">
        <f t="shared" si="90"/>
        <v>2.4870761326516067</v>
      </c>
      <c r="M716" s="532">
        <f t="shared" si="93"/>
        <v>3.5585170894820321E-2</v>
      </c>
      <c r="N716" s="523"/>
      <c r="O716" s="127"/>
    </row>
    <row r="717" spans="1:15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620">
        <f t="shared" si="92"/>
        <v>196.8</v>
      </c>
      <c r="G717" s="536">
        <f t="shared" si="88"/>
        <v>1.595430389033297E-3</v>
      </c>
      <c r="H717" s="426">
        <f t="shared" si="89"/>
        <v>3.6202389586671253</v>
      </c>
      <c r="I717" s="427">
        <f t="shared" si="91"/>
        <v>1.3311618651019022</v>
      </c>
      <c r="J717" s="148">
        <v>1.6764039007037488</v>
      </c>
      <c r="K717" s="427">
        <f t="shared" si="94"/>
        <v>0.37535690762786378</v>
      </c>
      <c r="L717" s="925">
        <f t="shared" si="90"/>
        <v>0.45756007039836599</v>
      </c>
      <c r="M717" s="532">
        <f t="shared" si="93"/>
        <v>3.5585170894820328E-2</v>
      </c>
      <c r="N717" s="523"/>
      <c r="O717" s="127"/>
    </row>
    <row r="718" spans="1:15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620">
        <f t="shared" si="92"/>
        <v>625.9</v>
      </c>
      <c r="G718" s="536">
        <f t="shared" si="88"/>
        <v>5.0740847586175841E-3</v>
      </c>
      <c r="H718" s="426">
        <f t="shared" si="89"/>
        <v>11.513757948321919</v>
      </c>
      <c r="I718" s="427">
        <f t="shared" si="91"/>
        <v>4.2336087975979702</v>
      </c>
      <c r="J718" s="148">
        <v>5.3316117959881932</v>
      </c>
      <c r="K718" s="427">
        <f t="shared" si="94"/>
        <v>1.1937799211599591</v>
      </c>
      <c r="L718" s="925">
        <f t="shared" si="90"/>
        <v>1.4552177238939903</v>
      </c>
      <c r="M718" s="532">
        <f t="shared" si="93"/>
        <v>3.5585170894820328E-2</v>
      </c>
      <c r="N718" s="523"/>
      <c r="O718" s="127"/>
    </row>
    <row r="719" spans="1:15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620">
        <f t="shared" si="92"/>
        <v>127.5</v>
      </c>
      <c r="G719" s="536">
        <f t="shared" si="88"/>
        <v>1.033624870943828E-3</v>
      </c>
      <c r="H719" s="426">
        <f t="shared" si="89"/>
        <v>2.3454292034047688</v>
      </c>
      <c r="I719" s="427">
        <f t="shared" si="91"/>
        <v>0.86241431809193358</v>
      </c>
      <c r="J719" s="148">
        <v>1.0860848442059348</v>
      </c>
      <c r="K719" s="427">
        <f t="shared" ref="K719:K744" si="95">G719*367.79</f>
        <v>0.38015689128443053</v>
      </c>
      <c r="L719" s="925">
        <f t="shared" si="90"/>
        <v>0.46341125047572085</v>
      </c>
      <c r="M719" s="532">
        <f t="shared" si="93"/>
        <v>3.6659492211663279E-2</v>
      </c>
      <c r="N719" s="523"/>
      <c r="O719" s="127"/>
    </row>
    <row r="720" spans="1:15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620">
        <f t="shared" si="92"/>
        <v>561.25</v>
      </c>
      <c r="G720" s="536">
        <f t="shared" si="88"/>
        <v>4.5499761475860665E-3</v>
      </c>
      <c r="H720" s="426">
        <f t="shared" si="89"/>
        <v>10.324487375771971</v>
      </c>
      <c r="I720" s="427">
        <f t="shared" si="91"/>
        <v>3.796314008071354</v>
      </c>
      <c r="J720" s="148">
        <v>4.7809028926320076</v>
      </c>
      <c r="K720" s="427">
        <f t="shared" si="95"/>
        <v>1.6734357273206795</v>
      </c>
      <c r="L720" s="925">
        <f t="shared" si="90"/>
        <v>2.0399181516039082</v>
      </c>
      <c r="M720" s="532">
        <f t="shared" si="93"/>
        <v>3.6659492211663279E-2</v>
      </c>
      <c r="N720" s="523"/>
      <c r="O720" s="127"/>
    </row>
    <row r="721" spans="1:15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620">
        <f t="shared" si="92"/>
        <v>122.9</v>
      </c>
      <c r="G721" s="536">
        <f t="shared" si="88"/>
        <v>9.9633330697252147E-4</v>
      </c>
      <c r="H721" s="426">
        <f t="shared" si="89"/>
        <v>2.2608097968505576</v>
      </c>
      <c r="I721" s="427">
        <f t="shared" si="91"/>
        <v>0.83129976230195013</v>
      </c>
      <c r="J721" s="148">
        <v>1.0469006066894853</v>
      </c>
      <c r="K721" s="427">
        <f t="shared" si="95"/>
        <v>0.36644142697142368</v>
      </c>
      <c r="L721" s="925">
        <f t="shared" si="90"/>
        <v>0.44669209947816552</v>
      </c>
      <c r="M721" s="532">
        <f t="shared" si="93"/>
        <v>3.6659492211663279E-2</v>
      </c>
      <c r="N721" s="523"/>
      <c r="O721" s="127"/>
    </row>
    <row r="722" spans="1:15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620">
        <f t="shared" si="92"/>
        <v>82.5</v>
      </c>
      <c r="G722" s="536">
        <f t="shared" si="88"/>
        <v>6.6881609296365351E-4</v>
      </c>
      <c r="H722" s="426">
        <f t="shared" si="89"/>
        <v>1.5176306610266153</v>
      </c>
      <c r="I722" s="427">
        <f t="shared" si="91"/>
        <v>0.55803279405948647</v>
      </c>
      <c r="J722" s="148">
        <v>0.70276078154501664</v>
      </c>
      <c r="K722" s="427">
        <f t="shared" si="95"/>
        <v>0.24598387083110215</v>
      </c>
      <c r="L722" s="925">
        <f t="shared" si="90"/>
        <v>0.29985433854311355</v>
      </c>
      <c r="M722" s="532">
        <f t="shared" si="93"/>
        <v>3.6659492211663279E-2</v>
      </c>
      <c r="N722" s="523"/>
      <c r="O722" s="127"/>
    </row>
    <row r="723" spans="1:15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620">
        <f t="shared" si="92"/>
        <v>118.7</v>
      </c>
      <c r="G723" s="536">
        <f t="shared" si="88"/>
        <v>9.6228448769437175E-4</v>
      </c>
      <c r="H723" s="426">
        <f t="shared" si="89"/>
        <v>2.1835485995619299</v>
      </c>
      <c r="I723" s="427">
        <f t="shared" si="91"/>
        <v>0.80289082005892165</v>
      </c>
      <c r="J723" s="148">
        <v>1.0111236941744663</v>
      </c>
      <c r="K723" s="427">
        <f t="shared" si="95"/>
        <v>0.35391861172911299</v>
      </c>
      <c r="L723" s="925">
        <f t="shared" si="90"/>
        <v>0.43142678769778875</v>
      </c>
      <c r="M723" s="532">
        <f t="shared" si="93"/>
        <v>3.6659492211663279E-2</v>
      </c>
      <c r="N723" s="523"/>
      <c r="O723" s="127"/>
    </row>
    <row r="724" spans="1:15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620">
        <f t="shared" si="92"/>
        <v>113.8</v>
      </c>
      <c r="G724" s="536">
        <f t="shared" si="88"/>
        <v>9.2256086520319707E-4</v>
      </c>
      <c r="H724" s="426">
        <f t="shared" si="89"/>
        <v>2.0934105360585304</v>
      </c>
      <c r="I724" s="427">
        <f t="shared" si="91"/>
        <v>0.76974705410872168</v>
      </c>
      <c r="J724" s="148">
        <v>0.96938396290694429</v>
      </c>
      <c r="K724" s="427">
        <f t="shared" si="95"/>
        <v>0.33930866061308385</v>
      </c>
      <c r="L724" s="925">
        <f t="shared" si="90"/>
        <v>0.41361725728734922</v>
      </c>
      <c r="M724" s="532">
        <f t="shared" si="93"/>
        <v>3.6659492211663272E-2</v>
      </c>
      <c r="N724" s="523"/>
      <c r="O724" s="127"/>
    </row>
    <row r="725" spans="1:15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620">
        <f t="shared" si="92"/>
        <v>294</v>
      </c>
      <c r="G725" s="536">
        <f t="shared" si="88"/>
        <v>2.3834173494704743E-3</v>
      </c>
      <c r="H725" s="426">
        <f t="shared" si="89"/>
        <v>5.4082838102039377</v>
      </c>
      <c r="I725" s="427">
        <f t="shared" si="91"/>
        <v>1.988625957011988</v>
      </c>
      <c r="J725" s="148">
        <v>2.5043838760513322</v>
      </c>
      <c r="K725" s="427">
        <f t="shared" si="95"/>
        <v>0.87659706696174577</v>
      </c>
      <c r="L725" s="925">
        <f t="shared" si="90"/>
        <v>1.0685718246263682</v>
      </c>
      <c r="M725" s="532">
        <f t="shared" si="93"/>
        <v>3.6659492211663279E-2</v>
      </c>
      <c r="N725" s="523"/>
      <c r="O725" s="127"/>
    </row>
    <row r="726" spans="1:15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620">
        <f t="shared" si="92"/>
        <v>38.6</v>
      </c>
      <c r="G726" s="536">
        <f t="shared" si="88"/>
        <v>3.1292486288966089E-4</v>
      </c>
      <c r="H726" s="426">
        <f t="shared" si="89"/>
        <v>0.71006719412881625</v>
      </c>
      <c r="I726" s="427">
        <f t="shared" si="91"/>
        <v>0.26109170728116576</v>
      </c>
      <c r="J726" s="148">
        <v>0.32880686263803205</v>
      </c>
      <c r="K726" s="427">
        <f t="shared" si="95"/>
        <v>0.11509063532218838</v>
      </c>
      <c r="L726" s="925">
        <f t="shared" si="90"/>
        <v>0.14029548445774764</v>
      </c>
      <c r="M726" s="532">
        <f t="shared" si="93"/>
        <v>3.6659492211663279E-2</v>
      </c>
      <c r="N726" s="523"/>
      <c r="O726" s="127"/>
    </row>
    <row r="727" spans="1:15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620">
        <f t="shared" si="92"/>
        <v>295.8</v>
      </c>
      <c r="G727" s="536">
        <f t="shared" si="88"/>
        <v>2.3980097005896813E-3</v>
      </c>
      <c r="H727" s="426">
        <f t="shared" si="89"/>
        <v>5.4413957518990639</v>
      </c>
      <c r="I727" s="427">
        <f t="shared" si="91"/>
        <v>2.0008012179732861</v>
      </c>
      <c r="J727" s="148">
        <v>2.5197168385577693</v>
      </c>
      <c r="K727" s="427">
        <f t="shared" si="95"/>
        <v>0.88196398777987894</v>
      </c>
      <c r="L727" s="925">
        <f t="shared" si="90"/>
        <v>1.0751141011036724</v>
      </c>
      <c r="M727" s="532">
        <f t="shared" si="93"/>
        <v>3.6659492211663279E-2</v>
      </c>
      <c r="N727" s="523"/>
      <c r="O727" s="127"/>
    </row>
    <row r="728" spans="1:15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620">
        <f t="shared" si="92"/>
        <v>2954.3</v>
      </c>
      <c r="G728" s="536">
        <f t="shared" si="88"/>
        <v>2.395010161748511E-2</v>
      </c>
      <c r="H728" s="426">
        <f t="shared" si="89"/>
        <v>54.345894083283987</v>
      </c>
      <c r="I728" s="427">
        <f t="shared" si="91"/>
        <v>19.982985254423525</v>
      </c>
      <c r="J728" s="148">
        <v>25.16565062931446</v>
      </c>
      <c r="K728" s="427">
        <f>G728*235.27</f>
        <v>5.6347404075457224</v>
      </c>
      <c r="L728" s="925">
        <f t="shared" si="90"/>
        <v>6.868748556798236</v>
      </c>
      <c r="M728" s="532">
        <f t="shared" si="93"/>
        <v>3.8294273986292093E-2</v>
      </c>
      <c r="N728" s="523"/>
      <c r="O728" s="127"/>
    </row>
    <row r="729" spans="1:15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620">
        <f t="shared" si="92"/>
        <v>601.58000000000004</v>
      </c>
      <c r="G729" s="536">
        <f t="shared" ref="G729:G746" si="96">2/246704.59*F729</f>
        <v>4.8769258812736329E-3</v>
      </c>
      <c r="H729" s="426">
        <f t="shared" ref="H729:H746" si="97">G729*2269.13</f>
        <v>11.066378824974439</v>
      </c>
      <c r="I729" s="427">
        <f t="shared" si="91"/>
        <v>4.0691074939431013</v>
      </c>
      <c r="J729" s="148">
        <v>5.1244464359012252</v>
      </c>
      <c r="K729" s="427">
        <f t="shared" si="95"/>
        <v>1.7936845698736295</v>
      </c>
      <c r="L729" s="925">
        <f t="shared" si="90"/>
        <v>2.1865014906759543</v>
      </c>
      <c r="M729" s="532">
        <f t="shared" si="93"/>
        <v>3.6659492211663279E-2</v>
      </c>
      <c r="N729" s="523"/>
      <c r="O729" s="127"/>
    </row>
    <row r="730" spans="1:15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620">
        <f t="shared" si="92"/>
        <v>392.31</v>
      </c>
      <c r="G730" s="536">
        <f t="shared" si="96"/>
        <v>3.1804029264311624E-3</v>
      </c>
      <c r="H730" s="426">
        <f t="shared" si="97"/>
        <v>7.2167476924527438</v>
      </c>
      <c r="I730" s="427">
        <f t="shared" si="91"/>
        <v>2.6535981265148743</v>
      </c>
      <c r="J730" s="148">
        <v>3.3418191782778845</v>
      </c>
      <c r="K730" s="427">
        <f t="shared" si="95"/>
        <v>1.1697203923121173</v>
      </c>
      <c r="L730" s="925">
        <f t="shared" si="90"/>
        <v>1.4258891582284712</v>
      </c>
      <c r="M730" s="532">
        <f t="shared" si="93"/>
        <v>3.6659492211663279E-2</v>
      </c>
      <c r="N730" s="523"/>
      <c r="O730" s="127"/>
    </row>
    <row r="731" spans="1:15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620">
        <f t="shared" si="92"/>
        <v>600.88</v>
      </c>
      <c r="G731" s="536">
        <f t="shared" si="96"/>
        <v>4.8712510780606075E-3</v>
      </c>
      <c r="H731" s="426">
        <f t="shared" si="97"/>
        <v>11.053501958759666</v>
      </c>
      <c r="I731" s="427">
        <f t="shared" si="91"/>
        <v>4.0643726702359295</v>
      </c>
      <c r="J731" s="148">
        <v>5.1184836171487227</v>
      </c>
      <c r="K731" s="427">
        <f t="shared" si="95"/>
        <v>1.791597433999911</v>
      </c>
      <c r="L731" s="925">
        <f t="shared" si="90"/>
        <v>2.1839572720458915</v>
      </c>
      <c r="M731" s="532">
        <f t="shared" si="93"/>
        <v>3.6659492211663279E-2</v>
      </c>
      <c r="N731" s="523"/>
      <c r="O731" s="127"/>
    </row>
    <row r="732" spans="1:15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620">
        <f t="shared" si="92"/>
        <v>307.3</v>
      </c>
      <c r="G732" s="536">
        <f t="shared" si="96"/>
        <v>2.491238610517948E-3</v>
      </c>
      <c r="H732" s="426">
        <f t="shared" si="97"/>
        <v>5.6529442682845916</v>
      </c>
      <c r="I732" s="427">
        <f t="shared" si="91"/>
        <v>2.0785876074482443</v>
      </c>
      <c r="J732" s="148">
        <v>2.6176774323488923</v>
      </c>
      <c r="K732" s="427">
        <f t="shared" si="95"/>
        <v>0.91625264856239619</v>
      </c>
      <c r="L732" s="925">
        <f t="shared" si="90"/>
        <v>1.116911978597561</v>
      </c>
      <c r="M732" s="532">
        <f t="shared" si="93"/>
        <v>3.6659492211663272E-2</v>
      </c>
      <c r="N732" s="523"/>
      <c r="O732" s="127"/>
    </row>
    <row r="733" spans="1:15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620">
        <f t="shared" si="92"/>
        <v>800.1</v>
      </c>
      <c r="G733" s="536">
        <f t="shared" si="96"/>
        <v>6.4863000724875051E-3</v>
      </c>
      <c r="H733" s="426">
        <f t="shared" si="97"/>
        <v>14.718258083483573</v>
      </c>
      <c r="I733" s="427">
        <f t="shared" si="91"/>
        <v>5.41190349729691</v>
      </c>
      <c r="J733" s="148">
        <v>6.8155018341111253</v>
      </c>
      <c r="K733" s="427">
        <f t="shared" si="95"/>
        <v>2.3855963036601797</v>
      </c>
      <c r="L733" s="925">
        <f t="shared" ref="L733:L747" si="98">K733*1.219</f>
        <v>2.9080418941617592</v>
      </c>
      <c r="M733" s="532">
        <f t="shared" si="93"/>
        <v>3.8442017979753329E-2</v>
      </c>
      <c r="N733" s="523"/>
      <c r="O733" s="127"/>
    </row>
    <row r="734" spans="1:15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620">
        <f t="shared" si="92"/>
        <v>325.2</v>
      </c>
      <c r="G734" s="536">
        <f t="shared" si="96"/>
        <v>2.6363514355367285E-3</v>
      </c>
      <c r="H734" s="426">
        <f t="shared" si="97"/>
        <v>5.9822241329194572</v>
      </c>
      <c r="I734" s="427">
        <f t="shared" si="91"/>
        <v>2.1996638136744844</v>
      </c>
      <c r="J734" s="148">
        <v>2.7701552261629017</v>
      </c>
      <c r="K734" s="427">
        <f t="shared" si="95"/>
        <v>0.96962369447605345</v>
      </c>
      <c r="L734" s="925">
        <f t="shared" si="98"/>
        <v>1.1819712835663092</v>
      </c>
      <c r="M734" s="532">
        <f t="shared" si="93"/>
        <v>3.6659492211663279E-2</v>
      </c>
      <c r="N734" s="523"/>
      <c r="O734" s="127"/>
    </row>
    <row r="735" spans="1:15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620">
        <f t="shared" si="92"/>
        <v>420.25</v>
      </c>
      <c r="G735" s="536">
        <f t="shared" si="96"/>
        <v>3.4069086432481862E-3</v>
      </c>
      <c r="H735" s="426">
        <f t="shared" si="97"/>
        <v>7.7307186096537572</v>
      </c>
      <c r="I735" s="427">
        <f t="shared" si="91"/>
        <v>2.8425852327696868</v>
      </c>
      <c r="J735" s="148">
        <v>3.5798208296277974</v>
      </c>
      <c r="K735" s="427">
        <f t="shared" si="95"/>
        <v>1.2530269299002506</v>
      </c>
      <c r="L735" s="925">
        <f t="shared" si="98"/>
        <v>1.5274398275484056</v>
      </c>
      <c r="M735" s="532">
        <f t="shared" si="93"/>
        <v>4.2053095678863089E-2</v>
      </c>
      <c r="N735" s="523"/>
      <c r="O735" s="127"/>
    </row>
    <row r="736" spans="1:15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620">
        <f t="shared" si="92"/>
        <v>468.48</v>
      </c>
      <c r="G736" s="536">
        <f t="shared" si="96"/>
        <v>3.7979025846256046E-3</v>
      </c>
      <c r="H736" s="426">
        <f t="shared" si="97"/>
        <v>8.6179346918514987</v>
      </c>
      <c r="I736" s="427">
        <f t="shared" si="91"/>
        <v>3.1688145861937964</v>
      </c>
      <c r="J736" s="148">
        <v>3.9906590416752659</v>
      </c>
      <c r="K736" s="427">
        <f t="shared" si="95"/>
        <v>1.3968305915994512</v>
      </c>
      <c r="L736" s="925">
        <f t="shared" si="98"/>
        <v>1.7027364911597311</v>
      </c>
      <c r="M736" s="532">
        <f t="shared" si="93"/>
        <v>3.6659492211663272E-2</v>
      </c>
      <c r="N736" s="523"/>
      <c r="O736" s="127"/>
    </row>
    <row r="737" spans="1:15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620">
        <f t="shared" si="92"/>
        <v>1026.08</v>
      </c>
      <c r="G737" s="536">
        <f t="shared" si="96"/>
        <v>8.3182886868866119E-3</v>
      </c>
      <c r="H737" s="426">
        <f t="shared" si="97"/>
        <v>18.875278408075019</v>
      </c>
      <c r="I737" s="427">
        <f t="shared" si="91"/>
        <v>6.9404398706491852</v>
      </c>
      <c r="J737" s="148">
        <v>8.7404700936692201</v>
      </c>
      <c r="K737" s="427">
        <f t="shared" si="95"/>
        <v>3.059383396150027</v>
      </c>
      <c r="L737" s="925">
        <f t="shared" si="98"/>
        <v>3.7293883599068831</v>
      </c>
      <c r="M737" s="532">
        <f t="shared" si="93"/>
        <v>3.7729514903552176E-2</v>
      </c>
      <c r="N737" s="523"/>
      <c r="O737" s="127"/>
    </row>
    <row r="738" spans="1:15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620">
        <f t="shared" si="92"/>
        <v>1242.02</v>
      </c>
      <c r="G738" s="536">
        <f t="shared" si="96"/>
        <v>1.0068884409487477E-2</v>
      </c>
      <c r="H738" s="426">
        <f t="shared" si="97"/>
        <v>22.847607680100321</v>
      </c>
      <c r="I738" s="427">
        <f t="shared" si="91"/>
        <v>8.4010653439728884</v>
      </c>
      <c r="J738" s="148">
        <v>10.579914495691412</v>
      </c>
      <c r="K738" s="427">
        <f t="shared" si="95"/>
        <v>3.7032349969653993</v>
      </c>
      <c r="L738" s="925">
        <f t="shared" si="98"/>
        <v>4.514243461300822</v>
      </c>
      <c r="M738" s="532">
        <f t="shared" si="93"/>
        <v>4.0831320859396315E-2</v>
      </c>
      <c r="N738" s="523"/>
      <c r="O738" s="127"/>
    </row>
    <row r="739" spans="1:15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620">
        <f t="shared" si="92"/>
        <v>827.02</v>
      </c>
      <c r="G739" s="536">
        <f t="shared" si="96"/>
        <v>6.7045367903369778E-3</v>
      </c>
      <c r="H739" s="426">
        <f t="shared" si="97"/>
        <v>15.213465567057348</v>
      </c>
      <c r="I739" s="427">
        <f t="shared" si="91"/>
        <v>5.5939912890069872</v>
      </c>
      <c r="J739" s="148">
        <v>7.0448148067073895</v>
      </c>
      <c r="K739" s="427">
        <f t="shared" si="95"/>
        <v>2.4658615861180371</v>
      </c>
      <c r="L739" s="925">
        <f t="shared" si="98"/>
        <v>3.0058852734778876</v>
      </c>
      <c r="M739" s="532">
        <f t="shared" si="93"/>
        <v>4.466299350179688E-2</v>
      </c>
      <c r="N739" s="523"/>
      <c r="O739" s="127"/>
    </row>
    <row r="740" spans="1:15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620">
        <f t="shared" si="92"/>
        <v>487.41</v>
      </c>
      <c r="G740" s="536">
        <f t="shared" si="96"/>
        <v>3.9513654772292649E-3</v>
      </c>
      <c r="H740" s="426">
        <f t="shared" si="97"/>
        <v>8.9661619453452417</v>
      </c>
      <c r="I740" s="427">
        <f t="shared" si="91"/>
        <v>3.2968577473034455</v>
      </c>
      <c r="J740" s="148">
        <v>4.1519106973679589</v>
      </c>
      <c r="K740" s="427">
        <f t="shared" si="95"/>
        <v>1.4532727088701514</v>
      </c>
      <c r="L740" s="925">
        <f t="shared" si="98"/>
        <v>1.7715394321127147</v>
      </c>
      <c r="M740" s="532">
        <f t="shared" si="93"/>
        <v>3.6659492211663272E-2</v>
      </c>
      <c r="N740" s="523"/>
      <c r="O740" s="127"/>
    </row>
    <row r="741" spans="1:15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620">
        <f t="shared" si="92"/>
        <v>685</v>
      </c>
      <c r="G741" s="536">
        <f t="shared" si="96"/>
        <v>5.5532002870315473E-3</v>
      </c>
      <c r="H741" s="426">
        <f t="shared" si="97"/>
        <v>12.600933367311896</v>
      </c>
      <c r="I741" s="427">
        <f t="shared" si="91"/>
        <v>4.6333631991605841</v>
      </c>
      <c r="J741" s="148">
        <v>5.8350440649495319</v>
      </c>
      <c r="K741" s="427">
        <f t="shared" si="95"/>
        <v>2.042411533567333</v>
      </c>
      <c r="L741" s="925">
        <f t="shared" si="98"/>
        <v>2.4896996594185792</v>
      </c>
      <c r="M741" s="532">
        <f t="shared" si="93"/>
        <v>5.7529787319563215E-2</v>
      </c>
      <c r="N741" s="523"/>
      <c r="O741" s="127"/>
    </row>
    <row r="742" spans="1:15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620">
        <f t="shared" si="92"/>
        <v>636.55999999999995</v>
      </c>
      <c r="G742" s="536">
        <f t="shared" si="96"/>
        <v>5.1605039046902206E-3</v>
      </c>
      <c r="H742" s="426">
        <f t="shared" si="97"/>
        <v>11.709854225249721</v>
      </c>
      <c r="I742" s="427">
        <f t="shared" si="91"/>
        <v>4.3057133986243228</v>
      </c>
      <c r="J742" s="148">
        <v>5.4224170072763123</v>
      </c>
      <c r="K742" s="427">
        <f t="shared" si="95"/>
        <v>1.8979817311060163</v>
      </c>
      <c r="L742" s="925">
        <f t="shared" si="98"/>
        <v>2.3136397302182341</v>
      </c>
      <c r="M742" s="532">
        <f t="shared" si="93"/>
        <v>3.6659492211663272E-2</v>
      </c>
      <c r="N742" s="523"/>
      <c r="O742" s="127"/>
    </row>
    <row r="743" spans="1:15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620">
        <f t="shared" si="92"/>
        <v>505.1</v>
      </c>
      <c r="G743" s="536">
        <f t="shared" si="96"/>
        <v>4.0947758612841379E-3</v>
      </c>
      <c r="H743" s="426">
        <f t="shared" si="97"/>
        <v>9.2915787501156757</v>
      </c>
      <c r="I743" s="427">
        <f t="shared" si="91"/>
        <v>3.4165135064175343</v>
      </c>
      <c r="J743" s="148">
        <v>4.3025996455562172</v>
      </c>
      <c r="K743" s="427">
        <f t="shared" si="95"/>
        <v>1.5060176140216932</v>
      </c>
      <c r="L743" s="925">
        <f t="shared" si="98"/>
        <v>1.8358354714924441</v>
      </c>
      <c r="M743" s="532">
        <f t="shared" si="93"/>
        <v>3.7407493971941659E-2</v>
      </c>
      <c r="N743" s="523"/>
      <c r="O743" s="127"/>
    </row>
    <row r="744" spans="1:15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626">
        <f t="shared" si="92"/>
        <v>536.88</v>
      </c>
      <c r="G744" s="536">
        <f t="shared" si="96"/>
        <v>4.3524119271554701E-3</v>
      </c>
      <c r="H744" s="426">
        <f t="shared" si="97"/>
        <v>9.876188476266293</v>
      </c>
      <c r="I744" s="429">
        <f t="shared" si="91"/>
        <v>3.6314745027231163</v>
      </c>
      <c r="J744" s="148">
        <v>4.5733116169198613</v>
      </c>
      <c r="K744" s="427">
        <f t="shared" si="95"/>
        <v>1.6007735826885103</v>
      </c>
      <c r="L744" s="925">
        <f t="shared" si="98"/>
        <v>1.9513429972972942</v>
      </c>
      <c r="M744" s="532">
        <f t="shared" si="93"/>
        <v>3.6659492211663272E-2</v>
      </c>
      <c r="N744" s="523"/>
      <c r="O744" s="127"/>
    </row>
    <row r="745" spans="1:15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627">
        <f t="shared" si="92"/>
        <v>132.6</v>
      </c>
      <c r="G745" s="536">
        <f t="shared" si="96"/>
        <v>1.0749698657815812E-3</v>
      </c>
      <c r="H745" s="426">
        <f t="shared" si="97"/>
        <v>2.4392463715409596</v>
      </c>
      <c r="I745" s="150">
        <f t="shared" si="91"/>
        <v>0.89691089081561093</v>
      </c>
      <c r="J745" s="148">
        <v>0</v>
      </c>
      <c r="K745" s="429">
        <f>G745*367.79*1.08</f>
        <v>0.42699222029067246</v>
      </c>
      <c r="L745" s="925">
        <f t="shared" si="98"/>
        <v>0.5205035165343298</v>
      </c>
      <c r="M745" s="532" t="e">
        <f t="shared" si="93"/>
        <v>#DIV/0!</v>
      </c>
      <c r="N745" s="127"/>
      <c r="O745" s="127"/>
    </row>
    <row r="746" spans="1:15" s="6" customFormat="1" ht="16.5" thickBot="1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92"/>
        <v>380.2</v>
      </c>
      <c r="G746" s="536">
        <f t="shared" si="96"/>
        <v>3.0822288308458307E-3</v>
      </c>
      <c r="H746" s="426">
        <f t="shared" si="97"/>
        <v>6.9939779069372001</v>
      </c>
      <c r="I746" s="150">
        <f t="shared" si="91"/>
        <v>2.5716856763808087</v>
      </c>
      <c r="J746" s="148">
        <v>1</v>
      </c>
      <c r="K746" s="429">
        <f>G746*367.79*1.08</f>
        <v>1.2243019770325314</v>
      </c>
      <c r="L746" s="925">
        <f t="shared" si="98"/>
        <v>1.4924241100026558</v>
      </c>
      <c r="M746" s="532">
        <f t="shared" si="93"/>
        <v>3.1009904156629513E-2</v>
      </c>
      <c r="N746" s="127"/>
      <c r="O746" s="127"/>
    </row>
    <row r="747" spans="1:15" s="69" customFormat="1" ht="16.5" thickBot="1">
      <c r="A747" s="392">
        <v>1</v>
      </c>
      <c r="B747" s="533" t="s">
        <v>681</v>
      </c>
      <c r="C747" s="533">
        <f>SUM(C537:C745)</f>
        <v>241028.47000000006</v>
      </c>
      <c r="D747" s="533">
        <f>SUM(D537:D745)</f>
        <v>1953.5199999999998</v>
      </c>
      <c r="E747" s="533">
        <f>SUM(E537:E745)</f>
        <v>3342.3999999999992</v>
      </c>
      <c r="F747" s="628">
        <f>SUM(F537:F746)</f>
        <v>246704.59000000005</v>
      </c>
      <c r="G747" s="536">
        <f>2/246704.59*F747</f>
        <v>2.0000000000000004</v>
      </c>
      <c r="H747" s="426">
        <f>G747*2269.13</f>
        <v>4538.2600000000011</v>
      </c>
      <c r="I747" s="542">
        <f>H747*0.3677</f>
        <v>1668.7182020000005</v>
      </c>
      <c r="J747" s="148">
        <f>SUM(J536:J745)</f>
        <v>2097.1386030347476</v>
      </c>
      <c r="K747" s="429">
        <f>G747*367.79*1.08</f>
        <v>794.42640000000017</v>
      </c>
      <c r="L747" s="925">
        <f t="shared" si="98"/>
        <v>968.4057816000003</v>
      </c>
      <c r="M747" s="532">
        <f t="shared" si="93"/>
        <v>3.7748831932737016E-2</v>
      </c>
      <c r="N747" s="523"/>
      <c r="O747" s="190"/>
    </row>
    <row r="748" spans="1:15" s="6" customFormat="1" ht="16.5" thickBot="1">
      <c r="A748" s="555" t="s">
        <v>593</v>
      </c>
      <c r="B748" s="556"/>
      <c r="C748" s="556"/>
      <c r="D748" s="556"/>
      <c r="E748" s="556"/>
      <c r="F748" s="620">
        <f t="shared" si="92"/>
        <v>0</v>
      </c>
      <c r="G748" s="544"/>
      <c r="H748" s="426">
        <f>G748*2077.52</f>
        <v>0</v>
      </c>
      <c r="I748" s="545"/>
      <c r="J748" s="148">
        <v>0</v>
      </c>
      <c r="K748" s="545"/>
      <c r="L748" s="926"/>
      <c r="M748" s="532" t="e">
        <f t="shared" si="93"/>
        <v>#DIV/0!</v>
      </c>
      <c r="N748" s="523"/>
      <c r="O748" s="127"/>
    </row>
    <row r="749" spans="1:15" s="6" customFormat="1" ht="15.75">
      <c r="A749" s="386">
        <v>1</v>
      </c>
      <c r="B749" s="386" t="s">
        <v>336</v>
      </c>
      <c r="C749" s="8">
        <v>4275.08</v>
      </c>
      <c r="D749" s="142"/>
      <c r="E749" s="142"/>
      <c r="F749" s="622">
        <f t="shared" si="92"/>
        <v>4275.08</v>
      </c>
      <c r="G749" s="290">
        <f t="shared" ref="G749:G812" si="99">2/271319.02*F749</f>
        <v>3.1513308576744822E-2</v>
      </c>
      <c r="H749" s="426">
        <f t="shared" ref="H749:H812" si="100">G749*2269.13</f>
        <v>71.507793890748985</v>
      </c>
      <c r="I749" s="144">
        <f t="shared" ref="I749:I811" si="101">H749*0.3677</f>
        <v>26.293415813628403</v>
      </c>
      <c r="J749" s="148">
        <v>27.595427815153982</v>
      </c>
      <c r="K749" s="426">
        <f>G749*235.27</f>
        <v>7.4141361088507542</v>
      </c>
      <c r="L749" s="426"/>
      <c r="M749" s="532">
        <f t="shared" si="93"/>
        <v>3.1066266275340374E-2</v>
      </c>
      <c r="N749" s="127"/>
      <c r="O749" s="127"/>
    </row>
    <row r="750" spans="1:15" s="6" customFormat="1" ht="15.75">
      <c r="A750" s="55">
        <v>2</v>
      </c>
      <c r="B750" s="55" t="s">
        <v>337</v>
      </c>
      <c r="C750" s="8">
        <v>4574.41</v>
      </c>
      <c r="D750" s="55"/>
      <c r="E750" s="55"/>
      <c r="F750" s="622">
        <f t="shared" si="92"/>
        <v>4574.41</v>
      </c>
      <c r="G750" s="290">
        <f t="shared" si="99"/>
        <v>3.3719788608996153E-2</v>
      </c>
      <c r="H750" s="426">
        <f t="shared" si="100"/>
        <v>76.51458392633144</v>
      </c>
      <c r="I750" s="148">
        <f t="shared" si="101"/>
        <v>28.134412509712071</v>
      </c>
      <c r="J750" s="148">
        <v>29.527588010497706</v>
      </c>
      <c r="K750" s="426">
        <f t="shared" ref="K750:K797" si="102">G750*235.27</f>
        <v>7.9332546660385255</v>
      </c>
      <c r="L750" s="426"/>
      <c r="M750" s="532">
        <f t="shared" si="93"/>
        <v>3.1066266275340367E-2</v>
      </c>
      <c r="N750" s="127"/>
      <c r="O750" s="127"/>
    </row>
    <row r="751" spans="1:15" s="6" customFormat="1" ht="15.75">
      <c r="A751" s="55">
        <v>3</v>
      </c>
      <c r="B751" s="55" t="s">
        <v>338</v>
      </c>
      <c r="C751" s="8">
        <v>8527.85</v>
      </c>
      <c r="D751" s="55"/>
      <c r="E751" s="55"/>
      <c r="F751" s="622">
        <f t="shared" si="92"/>
        <v>8527.85</v>
      </c>
      <c r="G751" s="290">
        <f t="shared" si="99"/>
        <v>6.2862161303693348E-2</v>
      </c>
      <c r="H751" s="426">
        <f t="shared" si="100"/>
        <v>142.6424160790497</v>
      </c>
      <c r="I751" s="148">
        <f t="shared" si="101"/>
        <v>52.449616392266577</v>
      </c>
      <c r="J751" s="148">
        <v>55.046845694925217</v>
      </c>
      <c r="K751" s="426">
        <f t="shared" si="102"/>
        <v>14.789580689919935</v>
      </c>
      <c r="L751" s="426"/>
      <c r="M751" s="532">
        <f t="shared" si="93"/>
        <v>3.1066266275340378E-2</v>
      </c>
      <c r="N751" s="127"/>
      <c r="O751" s="127"/>
    </row>
    <row r="752" spans="1:15" s="6" customFormat="1" ht="15.75">
      <c r="A752" s="55">
        <v>4</v>
      </c>
      <c r="B752" s="55" t="s">
        <v>339</v>
      </c>
      <c r="C752" s="8">
        <v>5131.3999999999996</v>
      </c>
      <c r="D752" s="55"/>
      <c r="E752" s="55"/>
      <c r="F752" s="622">
        <f t="shared" si="92"/>
        <v>5131.3999999999996</v>
      </c>
      <c r="G752" s="290">
        <f t="shared" si="99"/>
        <v>3.7825582592772147E-2</v>
      </c>
      <c r="H752" s="426">
        <f t="shared" si="100"/>
        <v>85.831164228737066</v>
      </c>
      <c r="I752" s="148">
        <f t="shared" si="101"/>
        <v>31.560119086906621</v>
      </c>
      <c r="J752" s="148">
        <v>33.122930633036376</v>
      </c>
      <c r="K752" s="426">
        <f t="shared" si="102"/>
        <v>8.8992248166015031</v>
      </c>
      <c r="L752" s="426"/>
      <c r="M752" s="532">
        <f t="shared" si="93"/>
        <v>3.1066266275340371E-2</v>
      </c>
      <c r="N752" s="127"/>
      <c r="O752" s="127"/>
    </row>
    <row r="753" spans="1:15" s="6" customFormat="1" ht="15.75">
      <c r="A753" s="55">
        <v>5</v>
      </c>
      <c r="B753" s="55" t="s">
        <v>340</v>
      </c>
      <c r="C753" s="8">
        <v>4290.1499999999996</v>
      </c>
      <c r="D753" s="55"/>
      <c r="E753" s="55"/>
      <c r="F753" s="622">
        <f t="shared" si="92"/>
        <v>4290.1499999999996</v>
      </c>
      <c r="G753" s="290">
        <f t="shared" si="99"/>
        <v>3.1624395517866749E-2</v>
      </c>
      <c r="H753" s="426">
        <f t="shared" si="100"/>
        <v>71.759864601456982</v>
      </c>
      <c r="I753" s="148">
        <f t="shared" si="101"/>
        <v>26.386102213955734</v>
      </c>
      <c r="J753" s="148">
        <v>27.692703912250263</v>
      </c>
      <c r="K753" s="426">
        <f t="shared" si="102"/>
        <v>7.4402715334885103</v>
      </c>
      <c r="L753" s="426"/>
      <c r="M753" s="532">
        <f t="shared" si="93"/>
        <v>3.1066266275340371E-2</v>
      </c>
      <c r="N753" s="127"/>
      <c r="O753" s="127"/>
    </row>
    <row r="754" spans="1:15" s="6" customFormat="1" ht="15.75">
      <c r="A754" s="55">
        <v>6</v>
      </c>
      <c r="B754" s="55" t="s">
        <v>341</v>
      </c>
      <c r="C754" s="8">
        <v>5185.3900000000003</v>
      </c>
      <c r="D754" s="55"/>
      <c r="E754" s="55"/>
      <c r="F754" s="622">
        <f t="shared" si="92"/>
        <v>5185.3900000000003</v>
      </c>
      <c r="G754" s="290">
        <f t="shared" si="99"/>
        <v>3.8223564274999962E-2</v>
      </c>
      <c r="H754" s="426">
        <f t="shared" si="100"/>
        <v>86.734236403330669</v>
      </c>
      <c r="I754" s="148">
        <f t="shared" si="101"/>
        <v>31.892178725504689</v>
      </c>
      <c r="J754" s="148">
        <v>33.471433385672626</v>
      </c>
      <c r="K754" s="426">
        <f t="shared" si="102"/>
        <v>8.9928579669792406</v>
      </c>
      <c r="L754" s="426"/>
      <c r="M754" s="532">
        <f t="shared" si="93"/>
        <v>3.1066266275340378E-2</v>
      </c>
      <c r="N754" s="127"/>
      <c r="O754" s="127"/>
    </row>
    <row r="755" spans="1:15" s="6" customFormat="1" ht="15.75">
      <c r="A755" s="55">
        <v>7</v>
      </c>
      <c r="B755" s="55" t="s">
        <v>342</v>
      </c>
      <c r="C755" s="8">
        <v>4246.38</v>
      </c>
      <c r="D755" s="55"/>
      <c r="E755" s="55"/>
      <c r="F755" s="622">
        <f t="shared" si="92"/>
        <v>4246.38</v>
      </c>
      <c r="G755" s="290">
        <f t="shared" si="99"/>
        <v>3.1301749505066027E-2</v>
      </c>
      <c r="H755" s="426">
        <f t="shared" si="100"/>
        <v>71.027738854430481</v>
      </c>
      <c r="I755" s="148">
        <f t="shared" si="101"/>
        <v>26.116899576774088</v>
      </c>
      <c r="J755" s="148">
        <v>27.410170749018402</v>
      </c>
      <c r="K755" s="426">
        <f t="shared" si="102"/>
        <v>7.3643626060568845</v>
      </c>
      <c r="L755" s="426"/>
      <c r="M755" s="532">
        <f t="shared" si="93"/>
        <v>3.1066266275340374E-2</v>
      </c>
      <c r="N755" s="127"/>
      <c r="O755" s="127"/>
    </row>
    <row r="756" spans="1:15" s="6" customFormat="1" ht="15.75">
      <c r="A756" s="55">
        <v>8</v>
      </c>
      <c r="B756" s="55" t="s">
        <v>343</v>
      </c>
      <c r="C756" s="8">
        <v>4446.42</v>
      </c>
      <c r="D756" s="55"/>
      <c r="E756" s="55"/>
      <c r="F756" s="622">
        <f t="shared" si="92"/>
        <v>4446.42</v>
      </c>
      <c r="G756" s="290">
        <f t="shared" si="99"/>
        <v>3.2776323606063446E-2</v>
      </c>
      <c r="H756" s="426">
        <f t="shared" si="100"/>
        <v>74.37373918422675</v>
      </c>
      <c r="I756" s="148">
        <f t="shared" si="101"/>
        <v>27.347223898040177</v>
      </c>
      <c r="J756" s="148">
        <v>28.70141895493347</v>
      </c>
      <c r="K756" s="426">
        <f t="shared" si="102"/>
        <v>7.7112856547985471</v>
      </c>
      <c r="L756" s="426"/>
      <c r="M756" s="532">
        <f t="shared" si="93"/>
        <v>3.1066266275340371E-2</v>
      </c>
      <c r="N756" s="127"/>
      <c r="O756" s="127"/>
    </row>
    <row r="757" spans="1:15" s="6" customFormat="1" ht="15.75">
      <c r="A757" s="55">
        <v>9</v>
      </c>
      <c r="B757" s="55" t="s">
        <v>344</v>
      </c>
      <c r="C757" s="8">
        <v>2920.24</v>
      </c>
      <c r="D757" s="55"/>
      <c r="E757" s="55"/>
      <c r="F757" s="622">
        <f t="shared" si="92"/>
        <v>2920.24</v>
      </c>
      <c r="G757" s="290">
        <f t="shared" si="99"/>
        <v>2.1526246114260621E-2</v>
      </c>
      <c r="H757" s="426">
        <f t="shared" si="100"/>
        <v>48.845850845252201</v>
      </c>
      <c r="I757" s="148">
        <f t="shared" si="101"/>
        <v>17.960619355799235</v>
      </c>
      <c r="J757" s="148">
        <v>18.850003303546426</v>
      </c>
      <c r="K757" s="426">
        <f t="shared" si="102"/>
        <v>5.0644799233020965</v>
      </c>
      <c r="L757" s="426"/>
      <c r="M757" s="532">
        <f t="shared" si="93"/>
        <v>3.1066266275340371E-2</v>
      </c>
      <c r="N757" s="127"/>
      <c r="O757" s="127"/>
    </row>
    <row r="758" spans="1:15" s="6" customFormat="1" ht="15.75">
      <c r="A758" s="55">
        <v>10</v>
      </c>
      <c r="B758" s="55" t="s">
        <v>345</v>
      </c>
      <c r="C758" s="8">
        <v>4278.99</v>
      </c>
      <c r="D758" s="55"/>
      <c r="E758" s="55"/>
      <c r="F758" s="622">
        <f t="shared" si="92"/>
        <v>4278.99</v>
      </c>
      <c r="G758" s="290">
        <f t="shared" si="99"/>
        <v>3.1542130735987474E-2</v>
      </c>
      <c r="H758" s="426">
        <f t="shared" si="100"/>
        <v>71.573195116951254</v>
      </c>
      <c r="I758" s="148">
        <f t="shared" si="101"/>
        <v>26.317463844502978</v>
      </c>
      <c r="J758" s="148">
        <v>27.620666669808688</v>
      </c>
      <c r="K758" s="426">
        <f t="shared" si="102"/>
        <v>7.4209170982557735</v>
      </c>
      <c r="L758" s="426"/>
      <c r="M758" s="532">
        <f t="shared" si="93"/>
        <v>3.1066266275340371E-2</v>
      </c>
      <c r="N758" s="127"/>
      <c r="O758" s="127"/>
    </row>
    <row r="759" spans="1:15" s="6" customFormat="1" ht="15.75">
      <c r="A759" s="55">
        <v>11</v>
      </c>
      <c r="B759" s="55" t="s">
        <v>346</v>
      </c>
      <c r="C759" s="8">
        <v>8595.7800000000007</v>
      </c>
      <c r="D759" s="55"/>
      <c r="E759" s="55"/>
      <c r="F759" s="622">
        <f t="shared" si="92"/>
        <v>8595.7800000000007</v>
      </c>
      <c r="G759" s="290">
        <f t="shared" si="99"/>
        <v>6.3362900249307991E-2</v>
      </c>
      <c r="H759" s="426">
        <f t="shared" si="100"/>
        <v>143.77865784271225</v>
      </c>
      <c r="I759" s="148">
        <f t="shared" si="101"/>
        <v>52.867412488765297</v>
      </c>
      <c r="J759" s="148">
        <v>55.485330451113043</v>
      </c>
      <c r="K759" s="426">
        <f t="shared" si="102"/>
        <v>14.907389541654691</v>
      </c>
      <c r="L759" s="426"/>
      <c r="M759" s="532">
        <f t="shared" si="93"/>
        <v>3.1066266275340371E-2</v>
      </c>
      <c r="N759" s="127"/>
      <c r="O759" s="127"/>
    </row>
    <row r="760" spans="1:15" s="6" customFormat="1" ht="15.75">
      <c r="A760" s="55">
        <v>12</v>
      </c>
      <c r="B760" s="55" t="s">
        <v>347</v>
      </c>
      <c r="C760" s="8">
        <v>4516.6000000000004</v>
      </c>
      <c r="D760" s="55"/>
      <c r="E760" s="55"/>
      <c r="F760" s="622">
        <f t="shared" si="92"/>
        <v>4516.6000000000004</v>
      </c>
      <c r="G760" s="290">
        <f t="shared" si="99"/>
        <v>3.3293648193186018E-2</v>
      </c>
      <c r="H760" s="426">
        <f t="shared" si="100"/>
        <v>75.547615924604187</v>
      </c>
      <c r="I760" s="148">
        <f t="shared" si="101"/>
        <v>27.778858375476961</v>
      </c>
      <c r="J760" s="148">
        <v>29.154427348710318</v>
      </c>
      <c r="K760" s="426">
        <f t="shared" si="102"/>
        <v>7.8329966104108744</v>
      </c>
      <c r="L760" s="426"/>
      <c r="M760" s="532">
        <f t="shared" si="93"/>
        <v>3.1066266275340374E-2</v>
      </c>
      <c r="N760" s="127"/>
      <c r="O760" s="127"/>
    </row>
    <row r="761" spans="1:15" s="6" customFormat="1" ht="15.75">
      <c r="A761" s="55">
        <v>13</v>
      </c>
      <c r="B761" s="55" t="s">
        <v>348</v>
      </c>
      <c r="C761" s="8">
        <v>5874.29</v>
      </c>
      <c r="D761" s="55"/>
      <c r="E761" s="55"/>
      <c r="F761" s="622">
        <f t="shared" si="92"/>
        <v>5874.29</v>
      </c>
      <c r="G761" s="290">
        <f t="shared" si="99"/>
        <v>4.3301719134913576E-2</v>
      </c>
      <c r="H761" s="426">
        <f t="shared" si="100"/>
        <v>98.25722994060645</v>
      </c>
      <c r="I761" s="148">
        <f t="shared" si="101"/>
        <v>36.129183449160998</v>
      </c>
      <c r="J761" s="148">
        <v>37.918248467930638</v>
      </c>
      <c r="K761" s="426">
        <f t="shared" si="102"/>
        <v>10.187595460871117</v>
      </c>
      <c r="L761" s="426"/>
      <c r="M761" s="532">
        <f t="shared" si="93"/>
        <v>3.1066266275340378E-2</v>
      </c>
      <c r="N761" s="127"/>
      <c r="O761" s="127"/>
    </row>
    <row r="762" spans="1:15" s="6" customFormat="1" ht="15.75">
      <c r="A762" s="55">
        <v>14</v>
      </c>
      <c r="B762" s="55" t="s">
        <v>349</v>
      </c>
      <c r="C762" s="8">
        <v>5810.95</v>
      </c>
      <c r="D762" s="55"/>
      <c r="E762" s="55"/>
      <c r="F762" s="622">
        <f t="shared" si="92"/>
        <v>5810.95</v>
      </c>
      <c r="G762" s="290">
        <f t="shared" si="99"/>
        <v>4.2834814897975082E-2</v>
      </c>
      <c r="H762" s="426">
        <f t="shared" si="100"/>
        <v>97.197763529442199</v>
      </c>
      <c r="I762" s="148">
        <f t="shared" si="101"/>
        <v>35.739617649775901</v>
      </c>
      <c r="J762" s="148">
        <v>37.509391932424435</v>
      </c>
      <c r="K762" s="426">
        <f t="shared" si="102"/>
        <v>10.077746901046599</v>
      </c>
      <c r="L762" s="426"/>
      <c r="M762" s="532">
        <f t="shared" si="93"/>
        <v>3.1066266275340371E-2</v>
      </c>
      <c r="N762" s="127"/>
      <c r="O762" s="127"/>
    </row>
    <row r="763" spans="1:15" s="6" customFormat="1" ht="15.75">
      <c r="A763" s="55">
        <v>15</v>
      </c>
      <c r="B763" s="55" t="s">
        <v>350</v>
      </c>
      <c r="C763" s="8">
        <v>4315.22</v>
      </c>
      <c r="D763" s="55"/>
      <c r="E763" s="55">
        <v>220.4</v>
      </c>
      <c r="F763" s="622">
        <f t="shared" si="92"/>
        <v>4535.62</v>
      </c>
      <c r="G763" s="290">
        <f t="shared" si="99"/>
        <v>3.3433852149399625E-2</v>
      </c>
      <c r="H763" s="426">
        <f t="shared" si="100"/>
        <v>75.86575692776718</v>
      </c>
      <c r="I763" s="148">
        <f t="shared" si="101"/>
        <v>27.895838822339993</v>
      </c>
      <c r="J763" s="148">
        <v>29.277200498462886</v>
      </c>
      <c r="K763" s="426">
        <f t="shared" si="102"/>
        <v>7.86598239518925</v>
      </c>
      <c r="L763" s="426"/>
      <c r="M763" s="532">
        <f t="shared" si="93"/>
        <v>3.2652976822446896E-2</v>
      </c>
      <c r="N763" s="127"/>
      <c r="O763" s="127"/>
    </row>
    <row r="764" spans="1:15" s="6" customFormat="1" ht="15.75">
      <c r="A764" s="55">
        <v>16</v>
      </c>
      <c r="B764" s="55" t="s">
        <v>351</v>
      </c>
      <c r="C764" s="8">
        <v>6019.4</v>
      </c>
      <c r="D764" s="55"/>
      <c r="E764" s="55">
        <v>951.1</v>
      </c>
      <c r="F764" s="622">
        <f t="shared" si="92"/>
        <v>6970.5</v>
      </c>
      <c r="G764" s="290">
        <f t="shared" si="99"/>
        <v>5.1382317391534142E-2</v>
      </c>
      <c r="H764" s="426">
        <f t="shared" si="100"/>
        <v>116.59315786265188</v>
      </c>
      <c r="I764" s="148">
        <f t="shared" si="101"/>
        <v>42.871304146097096</v>
      </c>
      <c r="J764" s="148">
        <v>44.994229250804864</v>
      </c>
      <c r="K764" s="426">
        <f t="shared" si="102"/>
        <v>12.088717812706237</v>
      </c>
      <c r="L764" s="426"/>
      <c r="M764" s="532">
        <f t="shared" si="93"/>
        <v>3.5974915950470164E-2</v>
      </c>
      <c r="N764" s="127"/>
      <c r="O764" s="127"/>
    </row>
    <row r="765" spans="1:15" s="6" customFormat="1" ht="15.75">
      <c r="A765" s="55">
        <v>17</v>
      </c>
      <c r="B765" s="55" t="s">
        <v>352</v>
      </c>
      <c r="C765" s="8">
        <v>7260.15</v>
      </c>
      <c r="D765" s="55"/>
      <c r="E765" s="55">
        <v>68.5</v>
      </c>
      <c r="F765" s="622">
        <f t="shared" si="92"/>
        <v>7328.65</v>
      </c>
      <c r="G765" s="290">
        <f t="shared" si="99"/>
        <v>5.4022382949783614E-2</v>
      </c>
      <c r="H765" s="426">
        <f t="shared" si="100"/>
        <v>122.5838098228425</v>
      </c>
      <c r="I765" s="148">
        <f t="shared" si="101"/>
        <v>45.074066871859188</v>
      </c>
      <c r="J765" s="148">
        <v>47.306069607475941</v>
      </c>
      <c r="K765" s="426">
        <f t="shared" si="102"/>
        <v>12.709846036595591</v>
      </c>
      <c r="L765" s="426"/>
      <c r="M765" s="532">
        <f t="shared" si="93"/>
        <v>3.1359378571899098E-2</v>
      </c>
      <c r="N765" s="127"/>
      <c r="O765" s="127"/>
    </row>
    <row r="766" spans="1:15" s="6" customFormat="1" ht="15.75">
      <c r="A766" s="55">
        <v>18</v>
      </c>
      <c r="B766" s="55" t="s">
        <v>353</v>
      </c>
      <c r="C766" s="8">
        <v>6364.4</v>
      </c>
      <c r="D766" s="55"/>
      <c r="E766" s="55">
        <v>171.2</v>
      </c>
      <c r="F766" s="622">
        <f t="shared" si="92"/>
        <v>6535.5999999999995</v>
      </c>
      <c r="G766" s="290">
        <f t="shared" si="99"/>
        <v>4.8176497172958972E-2</v>
      </c>
      <c r="H766" s="426">
        <f t="shared" si="100"/>
        <v>109.3187350300764</v>
      </c>
      <c r="I766" s="148">
        <f t="shared" si="101"/>
        <v>40.196498870559097</v>
      </c>
      <c r="J766" s="148">
        <v>42.18697147859698</v>
      </c>
      <c r="K766" s="426">
        <f t="shared" si="102"/>
        <v>11.334484489882058</v>
      </c>
      <c r="L766" s="426"/>
      <c r="M766" s="532">
        <f t="shared" si="93"/>
        <v>3.1901937318382652E-2</v>
      </c>
      <c r="N766" s="127"/>
      <c r="O766" s="127"/>
    </row>
    <row r="767" spans="1:15" s="6" customFormat="1" ht="15.75">
      <c r="A767" s="55">
        <v>19</v>
      </c>
      <c r="B767" s="55" t="s">
        <v>354</v>
      </c>
      <c r="C767" s="8">
        <v>11062.33</v>
      </c>
      <c r="D767" s="55"/>
      <c r="E767" s="55"/>
      <c r="F767" s="622">
        <f t="shared" si="92"/>
        <v>11062.33</v>
      </c>
      <c r="G767" s="290">
        <f t="shared" si="99"/>
        <v>8.1544817609911752E-2</v>
      </c>
      <c r="H767" s="426">
        <f t="shared" si="100"/>
        <v>185.03579198317905</v>
      </c>
      <c r="I767" s="148">
        <f t="shared" si="101"/>
        <v>68.037660712214944</v>
      </c>
      <c r="J767" s="148">
        <v>71.406787471208119</v>
      </c>
      <c r="K767" s="426">
        <f t="shared" si="102"/>
        <v>19.185049239083938</v>
      </c>
      <c r="L767" s="426"/>
      <c r="M767" s="532">
        <f t="shared" si="93"/>
        <v>3.1066266275340371E-2</v>
      </c>
      <c r="N767" s="127"/>
      <c r="O767" s="127"/>
    </row>
    <row r="768" spans="1:15" s="6" customFormat="1" ht="15.75">
      <c r="A768" s="55">
        <v>20</v>
      </c>
      <c r="B768" s="55" t="s">
        <v>355</v>
      </c>
      <c r="C768" s="8">
        <v>8492.94</v>
      </c>
      <c r="D768" s="55"/>
      <c r="E768" s="55"/>
      <c r="F768" s="622">
        <f t="shared" si="92"/>
        <v>8492.94</v>
      </c>
      <c r="G768" s="290">
        <f t="shared" si="99"/>
        <v>6.260482586145269E-2</v>
      </c>
      <c r="H768" s="426">
        <f t="shared" si="100"/>
        <v>142.05848850699815</v>
      </c>
      <c r="I768" s="148">
        <f t="shared" si="101"/>
        <v>52.23490622402322</v>
      </c>
      <c r="J768" s="148">
        <v>54.821503389043926</v>
      </c>
      <c r="K768" s="426">
        <f t="shared" si="102"/>
        <v>14.729037380423975</v>
      </c>
      <c r="L768" s="426"/>
      <c r="M768" s="532">
        <f t="shared" si="93"/>
        <v>3.1066266275340367E-2</v>
      </c>
      <c r="N768" s="127"/>
      <c r="O768" s="127"/>
    </row>
    <row r="769" spans="1:15" s="6" customFormat="1" ht="15.75">
      <c r="A769" s="55">
        <v>21</v>
      </c>
      <c r="B769" s="55" t="s">
        <v>365</v>
      </c>
      <c r="C769" s="8">
        <v>3876.37</v>
      </c>
      <c r="D769" s="55"/>
      <c r="E769" s="55"/>
      <c r="F769" s="622">
        <f t="shared" si="92"/>
        <v>3876.37</v>
      </c>
      <c r="G769" s="290">
        <f t="shared" si="99"/>
        <v>2.8574259187579255E-2</v>
      </c>
      <c r="H769" s="426">
        <f t="shared" si="100"/>
        <v>64.838708750311724</v>
      </c>
      <c r="I769" s="148">
        <f t="shared" si="101"/>
        <v>23.841193207489624</v>
      </c>
      <c r="J769" s="148">
        <v>25.02177468487805</v>
      </c>
      <c r="K769" s="426">
        <f t="shared" si="102"/>
        <v>6.7226659590617714</v>
      </c>
      <c r="L769" s="426"/>
      <c r="M769" s="532">
        <f t="shared" si="93"/>
        <v>3.1066266275340378E-2</v>
      </c>
      <c r="N769" s="127"/>
      <c r="O769" s="127"/>
    </row>
    <row r="770" spans="1:15" s="6" customFormat="1" ht="15.75">
      <c r="A770" s="55">
        <v>22</v>
      </c>
      <c r="B770" s="55" t="s">
        <v>366</v>
      </c>
      <c r="C770" s="8">
        <v>5649.66</v>
      </c>
      <c r="D770" s="55"/>
      <c r="E770" s="55">
        <v>46.1</v>
      </c>
      <c r="F770" s="622">
        <f t="shared" si="92"/>
        <v>5695.76</v>
      </c>
      <c r="G770" s="290">
        <f t="shared" si="99"/>
        <v>4.1985703766731872E-2</v>
      </c>
      <c r="H770" s="426">
        <f t="shared" si="100"/>
        <v>95.271019988204301</v>
      </c>
      <c r="I770" s="148">
        <f t="shared" si="101"/>
        <v>35.031154049662725</v>
      </c>
      <c r="J770" s="148">
        <v>36.765846237366659</v>
      </c>
      <c r="K770" s="426">
        <f t="shared" si="102"/>
        <v>9.8779765251990082</v>
      </c>
      <c r="L770" s="426"/>
      <c r="M770" s="532">
        <f t="shared" si="93"/>
        <v>3.1319760268836122E-2</v>
      </c>
      <c r="N770" s="127"/>
      <c r="O770" s="127"/>
    </row>
    <row r="771" spans="1:15" s="6" customFormat="1" ht="15.75">
      <c r="A771" s="55">
        <v>23</v>
      </c>
      <c r="B771" s="55" t="s">
        <v>367</v>
      </c>
      <c r="C771" s="8">
        <v>5815.2</v>
      </c>
      <c r="D771" s="55"/>
      <c r="E771" s="55"/>
      <c r="F771" s="622">
        <f t="shared" si="92"/>
        <v>5815.2</v>
      </c>
      <c r="G771" s="290">
        <f t="shared" si="99"/>
        <v>4.2866143331934482E-2</v>
      </c>
      <c r="H771" s="426">
        <f t="shared" si="100"/>
        <v>97.268851818792498</v>
      </c>
      <c r="I771" s="148">
        <f t="shared" si="101"/>
        <v>35.765756813770004</v>
      </c>
      <c r="J771" s="148">
        <v>37.536825470092595</v>
      </c>
      <c r="K771" s="426">
        <f t="shared" si="102"/>
        <v>10.085117541704227</v>
      </c>
      <c r="L771" s="426"/>
      <c r="M771" s="532">
        <f t="shared" si="93"/>
        <v>3.1066266275340371E-2</v>
      </c>
      <c r="N771" s="127"/>
      <c r="O771" s="127"/>
    </row>
    <row r="772" spans="1:15" s="6" customFormat="1" ht="15.75">
      <c r="A772" s="55">
        <v>24</v>
      </c>
      <c r="B772" s="55" t="s">
        <v>368</v>
      </c>
      <c r="C772" s="8">
        <v>5690.31</v>
      </c>
      <c r="D772" s="55"/>
      <c r="E772" s="55"/>
      <c r="F772" s="622">
        <f t="shared" si="92"/>
        <v>5690.31</v>
      </c>
      <c r="G772" s="290">
        <f t="shared" si="99"/>
        <v>4.1945529657301583E-2</v>
      </c>
      <c r="H772" s="426">
        <f t="shared" si="100"/>
        <v>95.179859711272741</v>
      </c>
      <c r="I772" s="148">
        <f t="shared" si="101"/>
        <v>34.997634415834987</v>
      </c>
      <c r="J772" s="148">
        <v>36.730666759651022</v>
      </c>
      <c r="K772" s="426">
        <f t="shared" si="102"/>
        <v>9.8685247624733439</v>
      </c>
      <c r="L772" s="426"/>
      <c r="M772" s="532">
        <f t="shared" si="93"/>
        <v>3.1066266275340374E-2</v>
      </c>
      <c r="N772" s="127"/>
      <c r="O772" s="127"/>
    </row>
    <row r="773" spans="1:15" s="6" customFormat="1" ht="15.75">
      <c r="A773" s="55">
        <v>25</v>
      </c>
      <c r="B773" s="55" t="s">
        <v>369</v>
      </c>
      <c r="C773" s="8">
        <v>3955.02</v>
      </c>
      <c r="D773" s="55"/>
      <c r="E773" s="55"/>
      <c r="F773" s="622">
        <f t="shared" si="92"/>
        <v>3955.02</v>
      </c>
      <c r="G773" s="290">
        <f t="shared" si="99"/>
        <v>2.9154019500733857E-2</v>
      </c>
      <c r="H773" s="426">
        <f t="shared" si="100"/>
        <v>66.154260269700217</v>
      </c>
      <c r="I773" s="148">
        <f t="shared" si="101"/>
        <v>24.32492150116877</v>
      </c>
      <c r="J773" s="148">
        <v>25.529456505490028</v>
      </c>
      <c r="K773" s="426">
        <f t="shared" si="102"/>
        <v>6.8590661679376552</v>
      </c>
      <c r="L773" s="426"/>
      <c r="M773" s="532">
        <f t="shared" si="93"/>
        <v>3.1066266275340371E-2</v>
      </c>
      <c r="N773" s="127"/>
      <c r="O773" s="127"/>
    </row>
    <row r="774" spans="1:15" s="6" customFormat="1" ht="15.75">
      <c r="A774" s="55">
        <v>26</v>
      </c>
      <c r="B774" s="55" t="s">
        <v>370</v>
      </c>
      <c r="C774" s="8">
        <v>3905.27</v>
      </c>
      <c r="D774" s="55"/>
      <c r="E774" s="55"/>
      <c r="F774" s="622">
        <f t="shared" si="92"/>
        <v>3905.27</v>
      </c>
      <c r="G774" s="290">
        <f t="shared" si="99"/>
        <v>2.8787292538503196E-2</v>
      </c>
      <c r="H774" s="426">
        <f t="shared" si="100"/>
        <v>65.32210911789376</v>
      </c>
      <c r="I774" s="148">
        <f t="shared" si="101"/>
        <v>24.018939522649536</v>
      </c>
      <c r="J774" s="148">
        <v>25.208322741021551</v>
      </c>
      <c r="K774" s="426">
        <f t="shared" si="102"/>
        <v>6.7727863155336472</v>
      </c>
      <c r="L774" s="426"/>
      <c r="M774" s="532">
        <f t="shared" ref="M774:M837" si="103">(K774+J774+I774+H774)/C774</f>
        <v>3.1066266275340371E-2</v>
      </c>
      <c r="N774" s="127"/>
      <c r="O774" s="127"/>
    </row>
    <row r="775" spans="1:15" s="6" customFormat="1" ht="15.75">
      <c r="A775" s="55">
        <v>27</v>
      </c>
      <c r="B775" s="55" t="s">
        <v>371</v>
      </c>
      <c r="C775" s="8">
        <v>4170.17</v>
      </c>
      <c r="D775" s="55"/>
      <c r="E775" s="55">
        <v>689.1</v>
      </c>
      <c r="F775" s="622">
        <f t="shared" si="92"/>
        <v>4859.2700000000004</v>
      </c>
      <c r="G775" s="290">
        <f t="shared" si="99"/>
        <v>3.5819604537861004E-2</v>
      </c>
      <c r="H775" s="426">
        <f t="shared" si="100"/>
        <v>81.279339244996549</v>
      </c>
      <c r="I775" s="148">
        <f t="shared" si="101"/>
        <v>29.886413040385232</v>
      </c>
      <c r="J775" s="148">
        <v>31.366345078768891</v>
      </c>
      <c r="K775" s="426">
        <f t="shared" si="102"/>
        <v>8.4272783596225587</v>
      </c>
      <c r="L775" s="426"/>
      <c r="M775" s="532">
        <f t="shared" si="103"/>
        <v>3.6199813370623557E-2</v>
      </c>
      <c r="N775" s="127"/>
      <c r="O775" s="127"/>
    </row>
    <row r="776" spans="1:15" s="6" customFormat="1" ht="15.75">
      <c r="A776" s="55">
        <v>28</v>
      </c>
      <c r="B776" s="55" t="s">
        <v>372</v>
      </c>
      <c r="C776" s="8">
        <v>4268.12</v>
      </c>
      <c r="D776" s="55">
        <v>216.9</v>
      </c>
      <c r="E776" s="55">
        <v>468.4</v>
      </c>
      <c r="F776" s="622">
        <f t="shared" ref="F776:F836" si="104">C776+D776+E776</f>
        <v>4953.4199999999992</v>
      </c>
      <c r="G776" s="290">
        <f t="shared" si="99"/>
        <v>3.6513621492514595E-2</v>
      </c>
      <c r="H776" s="426">
        <f t="shared" si="100"/>
        <v>82.854153937309647</v>
      </c>
      <c r="I776" s="148">
        <f t="shared" si="101"/>
        <v>30.465472402748759</v>
      </c>
      <c r="J776" s="148">
        <v>31.97407862499416</v>
      </c>
      <c r="K776" s="426">
        <f t="shared" si="102"/>
        <v>8.5905597285439086</v>
      </c>
      <c r="L776" s="426"/>
      <c r="M776" s="532">
        <f t="shared" si="103"/>
        <v>3.6054343526797865E-2</v>
      </c>
      <c r="N776" s="127"/>
      <c r="O776" s="127"/>
    </row>
    <row r="777" spans="1:15" s="6" customFormat="1" ht="15.75">
      <c r="A777" s="55">
        <v>29</v>
      </c>
      <c r="B777" s="55" t="s">
        <v>373</v>
      </c>
      <c r="C777" s="8">
        <v>10932.24</v>
      </c>
      <c r="D777" s="55"/>
      <c r="E777" s="55"/>
      <c r="F777" s="622">
        <f t="shared" si="104"/>
        <v>10932.24</v>
      </c>
      <c r="G777" s="290">
        <f t="shared" si="99"/>
        <v>8.0585872674904982E-2</v>
      </c>
      <c r="H777" s="426">
        <f t="shared" si="100"/>
        <v>182.85982126280715</v>
      </c>
      <c r="I777" s="148">
        <f t="shared" si="101"/>
        <v>67.237556278334196</v>
      </c>
      <c r="J777" s="148">
        <v>70.567063020560781</v>
      </c>
      <c r="K777" s="426">
        <f t="shared" si="102"/>
        <v>18.959438264224897</v>
      </c>
      <c r="L777" s="426"/>
      <c r="M777" s="532">
        <f t="shared" si="103"/>
        <v>3.1066266275340371E-2</v>
      </c>
      <c r="N777" s="127"/>
      <c r="O777" s="127"/>
    </row>
    <row r="778" spans="1:15" s="6" customFormat="1" ht="15.75">
      <c r="A778" s="55">
        <v>30</v>
      </c>
      <c r="B778" s="55" t="s">
        <v>374</v>
      </c>
      <c r="C778" s="8">
        <v>4713.08</v>
      </c>
      <c r="D778" s="55"/>
      <c r="E778" s="55"/>
      <c r="F778" s="622">
        <f t="shared" si="104"/>
        <v>4713.08</v>
      </c>
      <c r="G778" s="290">
        <f t="shared" si="99"/>
        <v>3.4741980123619787E-2</v>
      </c>
      <c r="H778" s="426">
        <f t="shared" si="100"/>
        <v>78.834069357909371</v>
      </c>
      <c r="I778" s="148">
        <f t="shared" si="101"/>
        <v>28.98728730290328</v>
      </c>
      <c r="J778" s="148">
        <v>30.422695932484523</v>
      </c>
      <c r="K778" s="426">
        <f t="shared" si="102"/>
        <v>8.1737456636840271</v>
      </c>
      <c r="L778" s="426"/>
      <c r="M778" s="532">
        <f t="shared" si="103"/>
        <v>3.1066266275340374E-2</v>
      </c>
      <c r="N778" s="127"/>
      <c r="O778" s="127"/>
    </row>
    <row r="779" spans="1:15" s="6" customFormat="1" ht="15.75">
      <c r="A779" s="55">
        <v>31</v>
      </c>
      <c r="B779" s="55" t="s">
        <v>375</v>
      </c>
      <c r="C779" s="8">
        <v>4688.58</v>
      </c>
      <c r="D779" s="55"/>
      <c r="E779" s="55"/>
      <c r="F779" s="622">
        <f t="shared" si="104"/>
        <v>4688.58</v>
      </c>
      <c r="G779" s="290">
        <f t="shared" si="99"/>
        <v>3.456138091608911E-2</v>
      </c>
      <c r="H779" s="426">
        <f t="shared" si="100"/>
        <v>78.424266278125287</v>
      </c>
      <c r="I779" s="148">
        <f t="shared" si="101"/>
        <v>28.836602710466671</v>
      </c>
      <c r="J779" s="148">
        <v>30.264549656515118</v>
      </c>
      <c r="K779" s="426">
        <f t="shared" si="102"/>
        <v>8.1312560881282856</v>
      </c>
      <c r="L779" s="426"/>
      <c r="M779" s="532">
        <f t="shared" si="103"/>
        <v>3.1066266275340374E-2</v>
      </c>
      <c r="N779" s="127"/>
      <c r="O779" s="127"/>
    </row>
    <row r="780" spans="1:15" s="6" customFormat="1" ht="15.75">
      <c r="A780" s="55">
        <v>32</v>
      </c>
      <c r="B780" s="55" t="s">
        <v>376</v>
      </c>
      <c r="C780" s="8">
        <v>2330.62</v>
      </c>
      <c r="D780" s="55"/>
      <c r="E780" s="55"/>
      <c r="F780" s="622">
        <f t="shared" si="104"/>
        <v>2330.62</v>
      </c>
      <c r="G780" s="290">
        <f t="shared" si="99"/>
        <v>1.7179923471638662E-2</v>
      </c>
      <c r="H780" s="426">
        <f t="shared" si="100"/>
        <v>38.983479747199439</v>
      </c>
      <c r="I780" s="148">
        <f t="shared" si="101"/>
        <v>14.334225503045236</v>
      </c>
      <c r="J780" s="148">
        <v>15.044035661216673</v>
      </c>
      <c r="K780" s="426">
        <f t="shared" si="102"/>
        <v>4.041920595172428</v>
      </c>
      <c r="L780" s="426"/>
      <c r="M780" s="532">
        <f t="shared" si="103"/>
        <v>3.1066266275340374E-2</v>
      </c>
      <c r="N780" s="127"/>
      <c r="O780" s="127"/>
    </row>
    <row r="781" spans="1:15" s="6" customFormat="1" ht="15.75">
      <c r="A781" s="55">
        <v>33</v>
      </c>
      <c r="B781" s="55" t="s">
        <v>377</v>
      </c>
      <c r="C781" s="8">
        <v>2305.7800000000002</v>
      </c>
      <c r="D781" s="55"/>
      <c r="E781" s="55"/>
      <c r="F781" s="622">
        <f t="shared" si="104"/>
        <v>2305.7800000000002</v>
      </c>
      <c r="G781" s="290">
        <f t="shared" si="99"/>
        <v>1.6996817989391236E-2</v>
      </c>
      <c r="H781" s="426">
        <f t="shared" si="100"/>
        <v>38.567989604267339</v>
      </c>
      <c r="I781" s="148">
        <f t="shared" si="101"/>
        <v>14.181449777489101</v>
      </c>
      <c r="J781" s="148">
        <v>14.88369470223382</v>
      </c>
      <c r="K781" s="426">
        <f t="shared" si="102"/>
        <v>3.9988413683640762</v>
      </c>
      <c r="L781" s="426"/>
      <c r="M781" s="532">
        <f t="shared" si="103"/>
        <v>3.1066266275340378E-2</v>
      </c>
      <c r="N781" s="127"/>
      <c r="O781" s="127"/>
    </row>
    <row r="782" spans="1:15" s="6" customFormat="1" ht="15.75">
      <c r="A782" s="55">
        <v>34</v>
      </c>
      <c r="B782" s="55" t="s">
        <v>378</v>
      </c>
      <c r="C782" s="8">
        <v>2216.46</v>
      </c>
      <c r="D782" s="55"/>
      <c r="E782" s="55"/>
      <c r="F782" s="622">
        <f t="shared" si="104"/>
        <v>2216.46</v>
      </c>
      <c r="G782" s="290">
        <f t="shared" si="99"/>
        <v>1.6338404878507965E-2</v>
      </c>
      <c r="H782" s="426">
        <f t="shared" si="100"/>
        <v>37.07396466196878</v>
      </c>
      <c r="I782" s="148">
        <f t="shared" si="101"/>
        <v>13.632096806205922</v>
      </c>
      <c r="J782" s="148">
        <v>14.307138564699656</v>
      </c>
      <c r="K782" s="426">
        <f t="shared" si="102"/>
        <v>3.8439365157665693</v>
      </c>
      <c r="L782" s="426"/>
      <c r="M782" s="532">
        <f t="shared" si="103"/>
        <v>3.1066266275340374E-2</v>
      </c>
      <c r="N782" s="127"/>
      <c r="O782" s="127"/>
    </row>
    <row r="783" spans="1:15" s="6" customFormat="1" ht="15.75">
      <c r="A783" s="55">
        <v>35</v>
      </c>
      <c r="B783" s="55" t="s">
        <v>379</v>
      </c>
      <c r="C783" s="8">
        <v>5733.87</v>
      </c>
      <c r="D783" s="55"/>
      <c r="E783" s="55">
        <v>119.9</v>
      </c>
      <c r="F783" s="622">
        <f t="shared" si="104"/>
        <v>5853.7699999999995</v>
      </c>
      <c r="G783" s="290">
        <f t="shared" si="99"/>
        <v>4.3150458084361347E-2</v>
      </c>
      <c r="H783" s="426">
        <f t="shared" si="100"/>
        <v>97.913998952966864</v>
      </c>
      <c r="I783" s="148">
        <f t="shared" si="101"/>
        <v>36.002977415005915</v>
      </c>
      <c r="J783" s="148">
        <v>37.78579289311871</v>
      </c>
      <c r="K783" s="426">
        <f t="shared" si="102"/>
        <v>10.152008273507695</v>
      </c>
      <c r="L783" s="426"/>
      <c r="M783" s="532">
        <f t="shared" si="103"/>
        <v>3.1715887792119313E-2</v>
      </c>
      <c r="N783" s="127"/>
      <c r="O783" s="127"/>
    </row>
    <row r="784" spans="1:15" s="6" customFormat="1" ht="15.75">
      <c r="A784" s="55">
        <v>36</v>
      </c>
      <c r="B784" s="55" t="s">
        <v>380</v>
      </c>
      <c r="C784" s="8">
        <v>4616.67</v>
      </c>
      <c r="D784" s="55"/>
      <c r="E784" s="55">
        <v>516.1</v>
      </c>
      <c r="F784" s="622">
        <f t="shared" si="104"/>
        <v>5132.7700000000004</v>
      </c>
      <c r="G784" s="290">
        <f t="shared" si="99"/>
        <v>3.7835681405601423E-2</v>
      </c>
      <c r="H784" s="426">
        <f t="shared" si="100"/>
        <v>85.854079747892357</v>
      </c>
      <c r="I784" s="148">
        <f t="shared" si="101"/>
        <v>31.568545123300023</v>
      </c>
      <c r="J784" s="148">
        <v>33.131773914590589</v>
      </c>
      <c r="K784" s="426">
        <f t="shared" si="102"/>
        <v>8.9016007642958481</v>
      </c>
      <c r="L784" s="426"/>
      <c r="M784" s="532">
        <f t="shared" si="103"/>
        <v>3.4539180740680797E-2</v>
      </c>
      <c r="N784" s="127"/>
      <c r="O784" s="127"/>
    </row>
    <row r="785" spans="1:15" s="6" customFormat="1" ht="15.75">
      <c r="A785" s="55">
        <v>37</v>
      </c>
      <c r="B785" s="55" t="s">
        <v>381</v>
      </c>
      <c r="C785" s="8">
        <v>4459.21</v>
      </c>
      <c r="D785" s="55"/>
      <c r="E785" s="55">
        <v>199.1</v>
      </c>
      <c r="F785" s="622">
        <f t="shared" si="104"/>
        <v>4658.3100000000004</v>
      </c>
      <c r="G785" s="290">
        <f t="shared" si="99"/>
        <v>3.4338248752335904E-2</v>
      </c>
      <c r="H785" s="426">
        <f t="shared" si="100"/>
        <v>77.917950391387976</v>
      </c>
      <c r="I785" s="148">
        <f t="shared" si="101"/>
        <v>28.650430358913361</v>
      </c>
      <c r="J785" s="148">
        <v>30.069158318817415</v>
      </c>
      <c r="K785" s="426">
        <f t="shared" si="102"/>
        <v>8.0787597839620684</v>
      </c>
      <c r="L785" s="426"/>
      <c r="M785" s="532">
        <f t="shared" si="103"/>
        <v>3.2453349102886123E-2</v>
      </c>
      <c r="N785" s="127"/>
      <c r="O785" s="127"/>
    </row>
    <row r="786" spans="1:15" s="6" customFormat="1" ht="15.75">
      <c r="A786" s="55">
        <v>38</v>
      </c>
      <c r="B786" s="55" t="s">
        <v>382</v>
      </c>
      <c r="C786" s="8">
        <v>4519.6099999999997</v>
      </c>
      <c r="D786" s="55"/>
      <c r="E786" s="55"/>
      <c r="F786" s="622">
        <f t="shared" si="104"/>
        <v>4519.6099999999997</v>
      </c>
      <c r="G786" s="290">
        <f t="shared" si="99"/>
        <v>3.3315836095825495E-2</v>
      </c>
      <c r="H786" s="426">
        <f t="shared" si="100"/>
        <v>75.597963160120514</v>
      </c>
      <c r="I786" s="148">
        <f t="shared" si="101"/>
        <v>27.797371053976317</v>
      </c>
      <c r="J786" s="148">
        <v>29.17385674832941</v>
      </c>
      <c r="K786" s="426">
        <f t="shared" si="102"/>
        <v>7.8382167582648643</v>
      </c>
      <c r="L786" s="426"/>
      <c r="M786" s="532">
        <f t="shared" si="103"/>
        <v>3.1066266275340378E-2</v>
      </c>
      <c r="N786" s="127"/>
      <c r="O786" s="127"/>
    </row>
    <row r="787" spans="1:15" s="6" customFormat="1" ht="15.75">
      <c r="A787" s="55">
        <v>39</v>
      </c>
      <c r="B787" s="55" t="s">
        <v>383</v>
      </c>
      <c r="C787" s="8">
        <v>7164.75</v>
      </c>
      <c r="D787" s="55"/>
      <c r="E787" s="55"/>
      <c r="F787" s="622">
        <f t="shared" si="104"/>
        <v>7164.75</v>
      </c>
      <c r="G787" s="290">
        <f t="shared" si="99"/>
        <v>5.2814211108384509E-2</v>
      </c>
      <c r="H787" s="426">
        <f t="shared" si="100"/>
        <v>119.84231085236854</v>
      </c>
      <c r="I787" s="148">
        <f t="shared" si="101"/>
        <v>44.066017700415912</v>
      </c>
      <c r="J787" s="148">
        <v>46.248103295990838</v>
      </c>
      <c r="K787" s="426">
        <f t="shared" si="102"/>
        <v>12.425599447469624</v>
      </c>
      <c r="L787" s="426"/>
      <c r="M787" s="532">
        <f t="shared" si="103"/>
        <v>3.1066266275340367E-2</v>
      </c>
      <c r="N787" s="127"/>
      <c r="O787" s="127"/>
    </row>
    <row r="788" spans="1:15" s="6" customFormat="1" ht="15.75">
      <c r="A788" s="55">
        <v>40</v>
      </c>
      <c r="B788" s="55" t="s">
        <v>384</v>
      </c>
      <c r="C788" s="8">
        <v>4422.5</v>
      </c>
      <c r="D788" s="55"/>
      <c r="E788" s="55"/>
      <c r="F788" s="622">
        <f t="shared" si="104"/>
        <v>4422.5</v>
      </c>
      <c r="G788" s="290">
        <f t="shared" si="99"/>
        <v>3.2599999808343695E-2</v>
      </c>
      <c r="H788" s="426">
        <f t="shared" si="100"/>
        <v>73.973637565106927</v>
      </c>
      <c r="I788" s="148">
        <f t="shared" si="101"/>
        <v>27.200106532689819</v>
      </c>
      <c r="J788" s="148">
        <v>28.547016549987021</v>
      </c>
      <c r="K788" s="426">
        <f t="shared" si="102"/>
        <v>7.6698019549090217</v>
      </c>
      <c r="L788" s="426"/>
      <c r="M788" s="532">
        <f t="shared" si="103"/>
        <v>3.1066266275340371E-2</v>
      </c>
      <c r="N788" s="127"/>
      <c r="O788" s="127"/>
    </row>
    <row r="789" spans="1:15" s="6" customFormat="1" ht="15.75">
      <c r="A789" s="55">
        <v>41</v>
      </c>
      <c r="B789" s="55" t="s">
        <v>385</v>
      </c>
      <c r="C789" s="8">
        <v>9048.7900000000009</v>
      </c>
      <c r="D789" s="55"/>
      <c r="E789" s="55"/>
      <c r="F789" s="622">
        <f t="shared" si="104"/>
        <v>9048.7900000000009</v>
      </c>
      <c r="G789" s="290">
        <f t="shared" si="99"/>
        <v>6.6702216453531346E-2</v>
      </c>
      <c r="H789" s="426">
        <f t="shared" si="100"/>
        <v>151.3560004212016</v>
      </c>
      <c r="I789" s="148">
        <f t="shared" si="101"/>
        <v>55.653601354875832</v>
      </c>
      <c r="J789" s="148">
        <v>58.409487368537491</v>
      </c>
      <c r="K789" s="426">
        <f t="shared" si="102"/>
        <v>15.693030465022321</v>
      </c>
      <c r="L789" s="426"/>
      <c r="M789" s="532">
        <f t="shared" si="103"/>
        <v>3.1066266275340374E-2</v>
      </c>
      <c r="N789" s="127"/>
      <c r="O789" s="127"/>
    </row>
    <row r="790" spans="1:15" s="6" customFormat="1" ht="15.75">
      <c r="A790" s="55">
        <v>42</v>
      </c>
      <c r="B790" s="55" t="s">
        <v>386</v>
      </c>
      <c r="C790" s="8">
        <v>4583.33</v>
      </c>
      <c r="D790" s="55"/>
      <c r="E790" s="55"/>
      <c r="F790" s="622">
        <f t="shared" si="104"/>
        <v>4583.33</v>
      </c>
      <c r="G790" s="290">
        <f t="shared" si="99"/>
        <v>3.3785541463329773E-2</v>
      </c>
      <c r="H790" s="426">
        <f t="shared" si="100"/>
        <v>76.663785700685494</v>
      </c>
      <c r="I790" s="148">
        <f t="shared" si="101"/>
        <v>28.18927400214206</v>
      </c>
      <c r="J790" s="148">
        <v>29.585166164850648</v>
      </c>
      <c r="K790" s="426">
        <f t="shared" si="102"/>
        <v>7.9487243400775958</v>
      </c>
      <c r="L790" s="426"/>
      <c r="M790" s="532">
        <f t="shared" si="103"/>
        <v>3.1066266275340374E-2</v>
      </c>
      <c r="N790" s="127"/>
      <c r="O790" s="127"/>
    </row>
    <row r="791" spans="1:15" s="6" customFormat="1" ht="15.75">
      <c r="A791" s="55">
        <v>43</v>
      </c>
      <c r="B791" s="55" t="s">
        <v>387</v>
      </c>
      <c r="C791" s="8">
        <v>2091.96</v>
      </c>
      <c r="D791" s="55"/>
      <c r="E791" s="55">
        <v>121.7</v>
      </c>
      <c r="F791" s="622">
        <f t="shared" si="104"/>
        <v>2213.66</v>
      </c>
      <c r="G791" s="290">
        <f t="shared" si="99"/>
        <v>1.6317764969075884E-2</v>
      </c>
      <c r="H791" s="426">
        <f t="shared" si="100"/>
        <v>37.02713002427916</v>
      </c>
      <c r="I791" s="148">
        <f t="shared" si="101"/>
        <v>13.614875709927448</v>
      </c>
      <c r="J791" s="148">
        <v>14.289064704588863</v>
      </c>
      <c r="K791" s="426">
        <f t="shared" si="102"/>
        <v>3.8390805642744832</v>
      </c>
      <c r="L791" s="426"/>
      <c r="M791" s="532">
        <f t="shared" si="103"/>
        <v>3.2873549686929938E-2</v>
      </c>
      <c r="N791" s="127"/>
      <c r="O791" s="127"/>
    </row>
    <row r="792" spans="1:15" s="6" customFormat="1" ht="15.75">
      <c r="A792" s="55">
        <v>44</v>
      </c>
      <c r="B792" s="55" t="s">
        <v>388</v>
      </c>
      <c r="C792" s="8">
        <v>41.2</v>
      </c>
      <c r="D792" s="55"/>
      <c r="E792" s="55"/>
      <c r="F792" s="622">
        <f t="shared" si="104"/>
        <v>41.2</v>
      </c>
      <c r="G792" s="290">
        <f t="shared" si="99"/>
        <v>3.0370152450056762E-4</v>
      </c>
      <c r="H792" s="426">
        <f t="shared" si="100"/>
        <v>0.68913824028997306</v>
      </c>
      <c r="I792" s="148">
        <f t="shared" si="101"/>
        <v>0.2533961309546231</v>
      </c>
      <c r="J792" s="148">
        <v>0.26594394163017865</v>
      </c>
      <c r="K792" s="426">
        <f t="shared" si="102"/>
        <v>7.1451857669248553E-2</v>
      </c>
      <c r="L792" s="426"/>
      <c r="M792" s="532">
        <f t="shared" si="103"/>
        <v>3.1066266275340371E-2</v>
      </c>
      <c r="N792" s="127"/>
      <c r="O792" s="127"/>
    </row>
    <row r="793" spans="1:15" s="6" customFormat="1" ht="15.75">
      <c r="A793" s="55">
        <v>45</v>
      </c>
      <c r="B793" s="55" t="s">
        <v>389</v>
      </c>
      <c r="C793" s="8">
        <v>21</v>
      </c>
      <c r="D793" s="55"/>
      <c r="E793" s="55"/>
      <c r="F793" s="622">
        <f t="shared" si="104"/>
        <v>21</v>
      </c>
      <c r="G793" s="290">
        <f t="shared" si="99"/>
        <v>1.5479932074058059E-4</v>
      </c>
      <c r="H793" s="426">
        <f t="shared" si="100"/>
        <v>0.35125978267207364</v>
      </c>
      <c r="I793" s="148">
        <f t="shared" si="101"/>
        <v>0.12915822208852148</v>
      </c>
      <c r="J793" s="148">
        <v>0.13555395083091631</v>
      </c>
      <c r="K793" s="426">
        <f t="shared" si="102"/>
        <v>3.6419636190636394E-2</v>
      </c>
      <c r="L793" s="426"/>
      <c r="M793" s="532">
        <f t="shared" si="103"/>
        <v>3.1066266275340378E-2</v>
      </c>
      <c r="N793" s="127"/>
      <c r="O793" s="127"/>
    </row>
    <row r="794" spans="1:15" s="6" customFormat="1" ht="15.75">
      <c r="A794" s="55">
        <v>46</v>
      </c>
      <c r="B794" s="55" t="s">
        <v>390</v>
      </c>
      <c r="C794" s="8">
        <v>113.2</v>
      </c>
      <c r="D794" s="55"/>
      <c r="E794" s="55"/>
      <c r="F794" s="622">
        <f t="shared" si="104"/>
        <v>113.2</v>
      </c>
      <c r="G794" s="290">
        <f t="shared" si="99"/>
        <v>8.3444205275398685E-4</v>
      </c>
      <c r="H794" s="426">
        <f t="shared" si="100"/>
        <v>1.8934574951656542</v>
      </c>
      <c r="I794" s="148">
        <f t="shared" si="101"/>
        <v>0.69622432097241105</v>
      </c>
      <c r="J794" s="148">
        <v>0.73070034447903454</v>
      </c>
      <c r="K794" s="426">
        <f t="shared" si="102"/>
        <v>0.19631918175143048</v>
      </c>
      <c r="L794" s="426"/>
      <c r="M794" s="532">
        <f t="shared" si="103"/>
        <v>3.1066266275340374E-2</v>
      </c>
      <c r="N794" s="127"/>
      <c r="O794" s="127"/>
    </row>
    <row r="795" spans="1:15" s="6" customFormat="1" ht="15.75">
      <c r="A795" s="55">
        <v>47</v>
      </c>
      <c r="B795" s="55" t="s">
        <v>391</v>
      </c>
      <c r="C795" s="8">
        <v>149.19999999999999</v>
      </c>
      <c r="D795" s="55"/>
      <c r="E795" s="55"/>
      <c r="F795" s="622">
        <f t="shared" si="104"/>
        <v>149.19999999999999</v>
      </c>
      <c r="G795" s="290">
        <f t="shared" si="99"/>
        <v>1.0998123168806963E-3</v>
      </c>
      <c r="H795" s="426">
        <f t="shared" si="100"/>
        <v>2.4956171226034947</v>
      </c>
      <c r="I795" s="148">
        <f t="shared" si="101"/>
        <v>0.91763841598130502</v>
      </c>
      <c r="J795" s="148">
        <v>0.96307854590346254</v>
      </c>
      <c r="K795" s="426">
        <f t="shared" si="102"/>
        <v>0.25875284379252145</v>
      </c>
      <c r="L795" s="426"/>
      <c r="M795" s="532">
        <f t="shared" si="103"/>
        <v>3.1066266275340371E-2</v>
      </c>
      <c r="N795" s="127"/>
      <c r="O795" s="127"/>
    </row>
    <row r="796" spans="1:15" s="6" customFormat="1" ht="15.75">
      <c r="A796" s="55">
        <v>49</v>
      </c>
      <c r="B796" s="55" t="s">
        <v>808</v>
      </c>
      <c r="C796" s="8">
        <v>613.9</v>
      </c>
      <c r="D796" s="55"/>
      <c r="E796" s="55">
        <v>71.099999999999994</v>
      </c>
      <c r="F796" s="622">
        <f t="shared" si="104"/>
        <v>685</v>
      </c>
      <c r="G796" s="290">
        <f t="shared" si="99"/>
        <v>5.0494064146332238E-3</v>
      </c>
      <c r="H796" s="426">
        <f t="shared" si="100"/>
        <v>11.457759577636688</v>
      </c>
      <c r="I796" s="148">
        <f t="shared" si="101"/>
        <v>4.2130181966970106</v>
      </c>
      <c r="J796" s="148">
        <v>4.4216407771036987</v>
      </c>
      <c r="K796" s="426">
        <f t="shared" si="102"/>
        <v>1.1879738471707586</v>
      </c>
      <c r="L796" s="426"/>
      <c r="M796" s="532">
        <f t="shared" si="103"/>
        <v>3.466426518750311E-2</v>
      </c>
      <c r="N796" s="127"/>
      <c r="O796" s="127"/>
    </row>
    <row r="797" spans="1:15" s="6" customFormat="1" ht="15.75">
      <c r="A797" s="55">
        <v>50</v>
      </c>
      <c r="B797" s="55" t="s">
        <v>809</v>
      </c>
      <c r="C797" s="8">
        <v>451.16</v>
      </c>
      <c r="D797" s="55"/>
      <c r="E797" s="55">
        <v>29.4</v>
      </c>
      <c r="F797" s="622">
        <f t="shared" si="104"/>
        <v>480.56</v>
      </c>
      <c r="G797" s="290">
        <f t="shared" si="99"/>
        <v>3.5423981702425431E-3</v>
      </c>
      <c r="H797" s="426">
        <f t="shared" si="100"/>
        <v>8.0381619600424621</v>
      </c>
      <c r="I797" s="148">
        <f t="shared" si="101"/>
        <v>2.9556321527076137</v>
      </c>
      <c r="J797" s="148">
        <v>3.1019907910145306</v>
      </c>
      <c r="K797" s="426">
        <f t="shared" si="102"/>
        <v>0.83342001751296313</v>
      </c>
      <c r="L797" s="426"/>
      <c r="M797" s="532">
        <f t="shared" si="103"/>
        <v>3.3090710438154022E-2</v>
      </c>
      <c r="N797" s="127"/>
      <c r="O797" s="127"/>
    </row>
    <row r="798" spans="1:15" s="6" customFormat="1" ht="15.75">
      <c r="A798" s="55">
        <v>51</v>
      </c>
      <c r="B798" s="55" t="s">
        <v>810</v>
      </c>
      <c r="C798" s="8">
        <v>514.09</v>
      </c>
      <c r="D798" s="55"/>
      <c r="E798" s="55"/>
      <c r="F798" s="622">
        <f t="shared" si="104"/>
        <v>514.09</v>
      </c>
      <c r="G798" s="290">
        <f t="shared" si="99"/>
        <v>3.7895610856916702E-3</v>
      </c>
      <c r="H798" s="426">
        <f t="shared" si="100"/>
        <v>8.5990067463755402</v>
      </c>
      <c r="I798" s="148">
        <f t="shared" si="101"/>
        <v>3.1618547806422863</v>
      </c>
      <c r="J798" s="148">
        <v>3.3184252658412272</v>
      </c>
      <c r="K798" s="427">
        <f t="shared" ref="K798:K861" si="105">G798*367.79</f>
        <v>1.3937626717065394</v>
      </c>
      <c r="L798" s="426"/>
      <c r="M798" s="532">
        <f t="shared" si="103"/>
        <v>3.2043123703175691E-2</v>
      </c>
      <c r="N798" s="127"/>
      <c r="O798" s="127"/>
    </row>
    <row r="799" spans="1:15" s="6" customFormat="1" ht="15.75">
      <c r="A799" s="55">
        <v>52</v>
      </c>
      <c r="B799" s="55" t="s">
        <v>811</v>
      </c>
      <c r="C799" s="8">
        <v>522.29999999999995</v>
      </c>
      <c r="D799" s="55"/>
      <c r="E799" s="55">
        <v>27.8</v>
      </c>
      <c r="F799" s="622">
        <f t="shared" si="104"/>
        <v>550.09999999999991</v>
      </c>
      <c r="G799" s="290">
        <f t="shared" si="99"/>
        <v>4.0550050637806366E-3</v>
      </c>
      <c r="H799" s="426">
        <f t="shared" si="100"/>
        <v>9.2013336403765571</v>
      </c>
      <c r="I799" s="148">
        <f t="shared" si="101"/>
        <v>3.3833303795664604</v>
      </c>
      <c r="J799" s="148">
        <v>3.5508680167660502</v>
      </c>
      <c r="K799" s="427">
        <f t="shared" si="105"/>
        <v>1.4913903124078804</v>
      </c>
      <c r="L799" s="426"/>
      <c r="M799" s="532">
        <f t="shared" si="103"/>
        <v>3.3748654698673081E-2</v>
      </c>
      <c r="N799" s="127"/>
      <c r="O799" s="127"/>
    </row>
    <row r="800" spans="1:15" s="6" customFormat="1" ht="15.75">
      <c r="A800" s="55">
        <v>53</v>
      </c>
      <c r="B800" s="55" t="s">
        <v>812</v>
      </c>
      <c r="C800" s="8">
        <v>1211.25</v>
      </c>
      <c r="D800" s="55"/>
      <c r="E800" s="55"/>
      <c r="F800" s="622">
        <f t="shared" si="104"/>
        <v>1211.25</v>
      </c>
      <c r="G800" s="290">
        <f t="shared" si="99"/>
        <v>8.9286036784299166E-3</v>
      </c>
      <c r="H800" s="426">
        <f t="shared" si="100"/>
        <v>20.260162464835677</v>
      </c>
      <c r="I800" s="148">
        <f t="shared" si="101"/>
        <v>7.4496617383200787</v>
      </c>
      <c r="J800" s="148">
        <v>7.8185582354260657</v>
      </c>
      <c r="K800" s="427">
        <f t="shared" si="105"/>
        <v>3.2838511468897393</v>
      </c>
      <c r="L800" s="426"/>
      <c r="M800" s="532">
        <f t="shared" si="103"/>
        <v>3.2043123703175698E-2</v>
      </c>
      <c r="N800" s="127"/>
      <c r="O800" s="127"/>
    </row>
    <row r="801" spans="1:15" s="6" customFormat="1" ht="15.75">
      <c r="A801" s="55">
        <v>54</v>
      </c>
      <c r="B801" s="55" t="s">
        <v>813</v>
      </c>
      <c r="C801" s="8">
        <v>306.17</v>
      </c>
      <c r="D801" s="55"/>
      <c r="E801" s="55">
        <v>31.2</v>
      </c>
      <c r="F801" s="622">
        <f t="shared" si="104"/>
        <v>337.37</v>
      </c>
      <c r="G801" s="290">
        <f t="shared" si="99"/>
        <v>2.486887944678556E-3</v>
      </c>
      <c r="H801" s="426">
        <f t="shared" si="100"/>
        <v>5.6430720419084519</v>
      </c>
      <c r="I801" s="148">
        <f t="shared" si="101"/>
        <v>2.0749575898097379</v>
      </c>
      <c r="J801" s="148">
        <v>2.1777064948488682</v>
      </c>
      <c r="K801" s="427">
        <f t="shared" si="105"/>
        <v>0.91465251717332618</v>
      </c>
      <c r="L801" s="426"/>
      <c r="M801" s="532">
        <f t="shared" si="103"/>
        <v>3.5308451656727913E-2</v>
      </c>
      <c r="N801" s="127"/>
      <c r="O801" s="127"/>
    </row>
    <row r="802" spans="1:15" s="6" customFormat="1" ht="15.75">
      <c r="A802" s="55">
        <v>55</v>
      </c>
      <c r="B802" s="55" t="s">
        <v>814</v>
      </c>
      <c r="C802" s="8">
        <v>209.58</v>
      </c>
      <c r="D802" s="55"/>
      <c r="E802" s="55">
        <v>29.1</v>
      </c>
      <c r="F802" s="622">
        <f t="shared" si="104"/>
        <v>238.68</v>
      </c>
      <c r="G802" s="290">
        <f t="shared" si="99"/>
        <v>1.7594048511600845E-3</v>
      </c>
      <c r="H802" s="426">
        <f t="shared" si="100"/>
        <v>3.9923183299128828</v>
      </c>
      <c r="I802" s="148">
        <f t="shared" si="101"/>
        <v>1.4679754499089672</v>
      </c>
      <c r="J802" s="148">
        <v>1.5406674754439573</v>
      </c>
      <c r="K802" s="426">
        <f>G802*235.27</f>
        <v>0.41393517933243307</v>
      </c>
      <c r="L802" s="426"/>
      <c r="M802" s="532">
        <f t="shared" si="103"/>
        <v>3.5379790221386771E-2</v>
      </c>
      <c r="N802" s="127"/>
      <c r="O802" s="127"/>
    </row>
    <row r="803" spans="1:15" s="6" customFormat="1" ht="15.75">
      <c r="A803" s="55">
        <v>56</v>
      </c>
      <c r="B803" s="55" t="s">
        <v>815</v>
      </c>
      <c r="C803" s="8">
        <v>468.77</v>
      </c>
      <c r="D803" s="55"/>
      <c r="E803" s="55">
        <v>272.5</v>
      </c>
      <c r="F803" s="622">
        <f t="shared" si="104"/>
        <v>741.27</v>
      </c>
      <c r="G803" s="290">
        <f t="shared" si="99"/>
        <v>5.464194880255722E-3</v>
      </c>
      <c r="H803" s="426">
        <f t="shared" si="100"/>
        <v>12.398968528634667</v>
      </c>
      <c r="I803" s="148">
        <f t="shared" si="101"/>
        <v>4.5591007279789677</v>
      </c>
      <c r="J803" s="148">
        <v>4.7848608158301582</v>
      </c>
      <c r="K803" s="427">
        <f t="shared" si="105"/>
        <v>2.0096762350092523</v>
      </c>
      <c r="L803" s="426"/>
      <c r="M803" s="532">
        <f t="shared" si="103"/>
        <v>5.0670064866465525E-2</v>
      </c>
      <c r="N803" s="127"/>
      <c r="O803" s="127"/>
    </row>
    <row r="804" spans="1:15" s="6" customFormat="1" ht="15.75">
      <c r="A804" s="55">
        <v>57</v>
      </c>
      <c r="B804" s="55" t="s">
        <v>816</v>
      </c>
      <c r="C804" s="8">
        <v>599.20000000000005</v>
      </c>
      <c r="D804" s="55"/>
      <c r="E804" s="55">
        <v>134.4</v>
      </c>
      <c r="F804" s="622">
        <f t="shared" si="104"/>
        <v>733.6</v>
      </c>
      <c r="G804" s="290">
        <f t="shared" si="99"/>
        <v>5.4076562712042824E-3</v>
      </c>
      <c r="H804" s="426">
        <f t="shared" si="100"/>
        <v>12.270675074677774</v>
      </c>
      <c r="I804" s="148">
        <f t="shared" si="101"/>
        <v>4.5119272249590177</v>
      </c>
      <c r="J804" s="148">
        <v>4.7353513490266765</v>
      </c>
      <c r="K804" s="427">
        <f t="shared" si="105"/>
        <v>1.9888818999862232</v>
      </c>
      <c r="L804" s="426"/>
      <c r="M804" s="532">
        <f t="shared" si="103"/>
        <v>3.9230366402953416E-2</v>
      </c>
      <c r="N804" s="127"/>
      <c r="O804" s="127"/>
    </row>
    <row r="805" spans="1:15" s="6" customFormat="1" ht="15.75">
      <c r="A805" s="55">
        <v>58</v>
      </c>
      <c r="B805" s="55" t="s">
        <v>817</v>
      </c>
      <c r="C805" s="8">
        <v>220.5</v>
      </c>
      <c r="D805" s="55"/>
      <c r="E805" s="55"/>
      <c r="F805" s="622">
        <f t="shared" si="104"/>
        <v>220.5</v>
      </c>
      <c r="G805" s="290">
        <f t="shared" si="99"/>
        <v>1.6253928677760962E-3</v>
      </c>
      <c r="H805" s="426">
        <f t="shared" si="100"/>
        <v>3.6882277180567735</v>
      </c>
      <c r="I805" s="148">
        <f t="shared" si="101"/>
        <v>1.3561613319294756</v>
      </c>
      <c r="J805" s="148">
        <v>1.4233164837246213</v>
      </c>
      <c r="K805" s="427">
        <f t="shared" si="105"/>
        <v>0.59780324283937047</v>
      </c>
      <c r="L805" s="426"/>
      <c r="M805" s="532">
        <f t="shared" si="103"/>
        <v>3.2043123703175691E-2</v>
      </c>
      <c r="N805" s="127"/>
      <c r="O805" s="127"/>
    </row>
    <row r="806" spans="1:15" s="6" customFormat="1" ht="15.75">
      <c r="A806" s="55">
        <v>59</v>
      </c>
      <c r="B806" s="55" t="s">
        <v>818</v>
      </c>
      <c r="C806" s="8">
        <v>330.61</v>
      </c>
      <c r="D806" s="55"/>
      <c r="E806" s="55"/>
      <c r="F806" s="622">
        <f t="shared" si="104"/>
        <v>330.61</v>
      </c>
      <c r="G806" s="290">
        <f t="shared" si="99"/>
        <v>2.4370573061925404E-3</v>
      </c>
      <c r="H806" s="426">
        <f t="shared" si="100"/>
        <v>5.5299998452006793</v>
      </c>
      <c r="I806" s="148">
        <f t="shared" si="101"/>
        <v>2.03338094308029</v>
      </c>
      <c r="J806" s="148">
        <v>2.1340710325813923</v>
      </c>
      <c r="K806" s="427">
        <f t="shared" si="105"/>
        <v>0.89632530664455445</v>
      </c>
      <c r="L806" s="426"/>
      <c r="M806" s="532">
        <f t="shared" si="103"/>
        <v>3.2043123703175691E-2</v>
      </c>
      <c r="N806" s="127"/>
      <c r="O806" s="127"/>
    </row>
    <row r="807" spans="1:15" s="6" customFormat="1" ht="15.75">
      <c r="A807" s="55">
        <v>60</v>
      </c>
      <c r="B807" s="55" t="s">
        <v>819</v>
      </c>
      <c r="C807" s="8">
        <v>949</v>
      </c>
      <c r="D807" s="55"/>
      <c r="E807" s="55">
        <v>88.5</v>
      </c>
      <c r="F807" s="622">
        <f t="shared" si="104"/>
        <v>1037.5</v>
      </c>
      <c r="G807" s="290">
        <f t="shared" si="99"/>
        <v>7.6478235842072553E-3</v>
      </c>
      <c r="H807" s="426">
        <f t="shared" si="100"/>
        <v>17.353905929632209</v>
      </c>
      <c r="I807" s="148">
        <f t="shared" si="101"/>
        <v>6.381031210325764</v>
      </c>
      <c r="J807" s="148">
        <v>6.6970106660512227</v>
      </c>
      <c r="K807" s="427">
        <f t="shared" si="105"/>
        <v>2.8127930360355866</v>
      </c>
      <c r="L807" s="426"/>
      <c r="M807" s="532">
        <f t="shared" si="103"/>
        <v>3.5031339138087231E-2</v>
      </c>
      <c r="N807" s="127"/>
      <c r="O807" s="127"/>
    </row>
    <row r="808" spans="1:15" s="6" customFormat="1" ht="15.75">
      <c r="A808" s="55">
        <v>61</v>
      </c>
      <c r="B808" s="55" t="s">
        <v>820</v>
      </c>
      <c r="C808" s="8">
        <v>211.8</v>
      </c>
      <c r="D808" s="55"/>
      <c r="E808" s="55">
        <v>18.3</v>
      </c>
      <c r="F808" s="622">
        <f t="shared" si="104"/>
        <v>230.10000000000002</v>
      </c>
      <c r="G808" s="290">
        <f t="shared" si="99"/>
        <v>1.6961582715432188E-3</v>
      </c>
      <c r="H808" s="426">
        <f t="shared" si="100"/>
        <v>3.8488036187068642</v>
      </c>
      <c r="I808" s="148">
        <f t="shared" si="101"/>
        <v>1.4152050905985141</v>
      </c>
      <c r="J808" s="148">
        <v>1.4852840041044688</v>
      </c>
      <c r="K808" s="427">
        <f t="shared" si="105"/>
        <v>0.62383005069088049</v>
      </c>
      <c r="L808" s="426"/>
      <c r="M808" s="532">
        <f t="shared" si="103"/>
        <v>3.481172221010731E-2</v>
      </c>
      <c r="N808" s="127"/>
      <c r="O808" s="127"/>
    </row>
    <row r="809" spans="1:15" s="6" customFormat="1" ht="15.75">
      <c r="A809" s="55">
        <v>62</v>
      </c>
      <c r="B809" s="55" t="s">
        <v>821</v>
      </c>
      <c r="C809" s="8">
        <v>1331.77</v>
      </c>
      <c r="D809" s="55"/>
      <c r="E809" s="55"/>
      <c r="F809" s="622">
        <f t="shared" si="104"/>
        <v>1331.77</v>
      </c>
      <c r="G809" s="290">
        <f t="shared" si="99"/>
        <v>9.8170043515563334E-3</v>
      </c>
      <c r="H809" s="426">
        <f t="shared" si="100"/>
        <v>22.276059084247024</v>
      </c>
      <c r="I809" s="148">
        <f t="shared" si="101"/>
        <v>8.1909069252776305</v>
      </c>
      <c r="J809" s="148">
        <v>8.596508814194733</v>
      </c>
      <c r="K809" s="427">
        <f t="shared" si="105"/>
        <v>3.610596030458904</v>
      </c>
      <c r="L809" s="426"/>
      <c r="M809" s="532">
        <f t="shared" si="103"/>
        <v>3.2043123703175691E-2</v>
      </c>
      <c r="N809" s="127"/>
      <c r="O809" s="127"/>
    </row>
    <row r="810" spans="1:15" s="6" customFormat="1" ht="15.75">
      <c r="A810" s="55">
        <v>63</v>
      </c>
      <c r="B810" s="55" t="s">
        <v>822</v>
      </c>
      <c r="C810" s="8">
        <v>483.9</v>
      </c>
      <c r="D810" s="55"/>
      <c r="E810" s="55"/>
      <c r="F810" s="622">
        <f t="shared" si="104"/>
        <v>483.9</v>
      </c>
      <c r="G810" s="290">
        <f t="shared" si="99"/>
        <v>3.5670186336365212E-3</v>
      </c>
      <c r="H810" s="426">
        <f t="shared" si="100"/>
        <v>8.0940289921436399</v>
      </c>
      <c r="I810" s="148">
        <f t="shared" si="101"/>
        <v>2.9761744604112166</v>
      </c>
      <c r="J810" s="148">
        <v>3.1235503241466858</v>
      </c>
      <c r="K810" s="427">
        <f t="shared" si="105"/>
        <v>1.3119137832651762</v>
      </c>
      <c r="L810" s="426"/>
      <c r="M810" s="532">
        <f t="shared" si="103"/>
        <v>3.2043123703175698E-2</v>
      </c>
      <c r="N810" s="127"/>
      <c r="O810" s="127"/>
    </row>
    <row r="811" spans="1:15" s="6" customFormat="1" ht="15.75">
      <c r="A811" s="55">
        <v>64</v>
      </c>
      <c r="B811" s="55" t="s">
        <v>823</v>
      </c>
      <c r="C811" s="8">
        <v>665.8</v>
      </c>
      <c r="D811" s="55"/>
      <c r="E811" s="55"/>
      <c r="F811" s="622">
        <f t="shared" si="104"/>
        <v>665.8</v>
      </c>
      <c r="G811" s="290">
        <f t="shared" si="99"/>
        <v>4.9078756070989786E-3</v>
      </c>
      <c r="H811" s="426">
        <f t="shared" si="100"/>
        <v>11.136607776336506</v>
      </c>
      <c r="I811" s="148">
        <f t="shared" si="101"/>
        <v>4.0949306793589333</v>
      </c>
      <c r="J811" s="148">
        <v>4.2977057363440032</v>
      </c>
      <c r="K811" s="427">
        <f t="shared" si="105"/>
        <v>1.8050675695349334</v>
      </c>
      <c r="L811" s="426"/>
      <c r="M811" s="532">
        <f t="shared" si="103"/>
        <v>3.2043123703175698E-2</v>
      </c>
      <c r="N811" s="127"/>
      <c r="O811" s="127"/>
    </row>
    <row r="812" spans="1:15" s="6" customFormat="1" ht="15.75">
      <c r="A812" s="55">
        <v>65</v>
      </c>
      <c r="B812" s="55" t="s">
        <v>824</v>
      </c>
      <c r="C812" s="8">
        <v>59.2</v>
      </c>
      <c r="D812" s="55"/>
      <c r="E812" s="55"/>
      <c r="F812" s="622">
        <f t="shared" si="104"/>
        <v>59.2</v>
      </c>
      <c r="G812" s="290">
        <f t="shared" si="99"/>
        <v>4.3638665656392246E-4</v>
      </c>
      <c r="H812" s="426">
        <f t="shared" si="100"/>
        <v>0.9902180540088934</v>
      </c>
      <c r="I812" s="148">
        <f t="shared" ref="I812:I871" si="106">H812*0.3677</f>
        <v>0.36410317845907014</v>
      </c>
      <c r="J812" s="148">
        <v>0.38213304234239265</v>
      </c>
      <c r="K812" s="427">
        <f t="shared" si="105"/>
        <v>0.16049864841764505</v>
      </c>
      <c r="L812" s="426"/>
      <c r="M812" s="532">
        <f t="shared" si="103"/>
        <v>3.2043123703175698E-2</v>
      </c>
      <c r="N812" s="127"/>
      <c r="O812" s="127"/>
    </row>
    <row r="813" spans="1:15" s="6" customFormat="1" ht="15.75">
      <c r="A813" s="55">
        <v>66</v>
      </c>
      <c r="B813" s="55" t="s">
        <v>825</v>
      </c>
      <c r="C813" s="8">
        <v>363.78</v>
      </c>
      <c r="D813" s="55"/>
      <c r="E813" s="55">
        <v>58</v>
      </c>
      <c r="F813" s="622">
        <f t="shared" si="104"/>
        <v>421.78</v>
      </c>
      <c r="G813" s="290">
        <f t="shared" ref="G813:G876" si="107">2/271319.02*F813</f>
        <v>3.1091075000934322E-3</v>
      </c>
      <c r="H813" s="426">
        <f t="shared" ref="H813:H876" si="108">G813*2269.13</f>
        <v>7.0549691016870106</v>
      </c>
      <c r="I813" s="148">
        <f t="shared" si="106"/>
        <v>2.5941121386903139</v>
      </c>
      <c r="J813" s="148">
        <v>2.7225688276887561</v>
      </c>
      <c r="K813" s="427">
        <f t="shared" si="105"/>
        <v>1.1434986474593636</v>
      </c>
      <c r="L813" s="426"/>
      <c r="M813" s="532">
        <f t="shared" si="103"/>
        <v>3.7151983934041032E-2</v>
      </c>
      <c r="N813" s="127"/>
      <c r="O813" s="127"/>
    </row>
    <row r="814" spans="1:15" s="6" customFormat="1" ht="15.75">
      <c r="A814" s="55">
        <v>67</v>
      </c>
      <c r="B814" s="55" t="s">
        <v>826</v>
      </c>
      <c r="C814" s="8">
        <v>185.8</v>
      </c>
      <c r="D814" s="55"/>
      <c r="E814" s="55">
        <v>26.8</v>
      </c>
      <c r="F814" s="622">
        <f t="shared" si="104"/>
        <v>212.60000000000002</v>
      </c>
      <c r="G814" s="290">
        <f t="shared" si="107"/>
        <v>1.5671588375927351E-3</v>
      </c>
      <c r="H814" s="426">
        <f t="shared" si="108"/>
        <v>3.5560871331468031</v>
      </c>
      <c r="I814" s="148">
        <f t="shared" si="106"/>
        <v>1.3075732388580796</v>
      </c>
      <c r="J814" s="148">
        <v>1.3723223784120386</v>
      </c>
      <c r="K814" s="427">
        <f t="shared" si="105"/>
        <v>0.57638534887823212</v>
      </c>
      <c r="L814" s="426"/>
      <c r="M814" s="532">
        <f t="shared" si="103"/>
        <v>3.6665059737864117E-2</v>
      </c>
      <c r="N814" s="127"/>
      <c r="O814" s="127"/>
    </row>
    <row r="815" spans="1:15" s="6" customFormat="1" ht="15.75">
      <c r="A815" s="55">
        <v>68</v>
      </c>
      <c r="B815" s="55" t="s">
        <v>827</v>
      </c>
      <c r="C815" s="8">
        <v>205.2</v>
      </c>
      <c r="D815" s="55"/>
      <c r="E815" s="55"/>
      <c r="F815" s="622">
        <f t="shared" si="104"/>
        <v>205.2</v>
      </c>
      <c r="G815" s="290">
        <f t="shared" si="107"/>
        <v>1.5126105055222445E-3</v>
      </c>
      <c r="H815" s="426">
        <f t="shared" si="108"/>
        <v>3.4323098763956907</v>
      </c>
      <c r="I815" s="148">
        <f t="shared" si="106"/>
        <v>1.2620603415506957</v>
      </c>
      <c r="J815" s="148">
        <v>1.3245557481192394</v>
      </c>
      <c r="K815" s="427">
        <f t="shared" si="105"/>
        <v>0.55632301782602633</v>
      </c>
      <c r="L815" s="426"/>
      <c r="M815" s="532">
        <f t="shared" si="103"/>
        <v>3.2043123703175698E-2</v>
      </c>
      <c r="N815" s="127"/>
      <c r="O815" s="127"/>
    </row>
    <row r="816" spans="1:15" s="6" customFormat="1" ht="15.75">
      <c r="A816" s="55">
        <v>69</v>
      </c>
      <c r="B816" s="55" t="s">
        <v>828</v>
      </c>
      <c r="C816" s="8">
        <v>177.45</v>
      </c>
      <c r="D816" s="55"/>
      <c r="E816" s="55"/>
      <c r="F816" s="622">
        <f t="shared" si="104"/>
        <v>177.45</v>
      </c>
      <c r="G816" s="290">
        <f t="shared" si="107"/>
        <v>1.3080542602579058E-3</v>
      </c>
      <c r="H816" s="426">
        <f t="shared" si="108"/>
        <v>2.9681451635790221</v>
      </c>
      <c r="I816" s="148">
        <f t="shared" si="106"/>
        <v>1.0913869766480064</v>
      </c>
      <c r="J816" s="148">
        <v>1.1454308845212426</v>
      </c>
      <c r="K816" s="427">
        <f t="shared" si="105"/>
        <v>0.48108927638025523</v>
      </c>
      <c r="L816" s="426"/>
      <c r="M816" s="532">
        <f t="shared" si="103"/>
        <v>3.2043123703175698E-2</v>
      </c>
      <c r="N816" s="127"/>
      <c r="O816" s="127"/>
    </row>
    <row r="817" spans="1:15" s="6" customFormat="1" ht="15.75">
      <c r="A817" s="55">
        <v>70</v>
      </c>
      <c r="B817" s="55" t="s">
        <v>829</v>
      </c>
      <c r="C817" s="8">
        <v>200</v>
      </c>
      <c r="D817" s="55"/>
      <c r="E817" s="55"/>
      <c r="F817" s="622">
        <f t="shared" si="104"/>
        <v>200</v>
      </c>
      <c r="G817" s="290">
        <f t="shared" si="107"/>
        <v>1.4742792451483866E-3</v>
      </c>
      <c r="H817" s="426">
        <f t="shared" si="108"/>
        <v>3.3453312635435588</v>
      </c>
      <c r="I817" s="148">
        <f t="shared" si="106"/>
        <v>1.2300783056049667</v>
      </c>
      <c r="J817" s="148">
        <v>1.2909900079134886</v>
      </c>
      <c r="K817" s="427">
        <f t="shared" si="105"/>
        <v>0.54222516357312511</v>
      </c>
      <c r="L817" s="426"/>
      <c r="M817" s="532">
        <f t="shared" si="103"/>
        <v>3.2043123703175691E-2</v>
      </c>
      <c r="N817" s="127"/>
      <c r="O817" s="127"/>
    </row>
    <row r="818" spans="1:15" s="6" customFormat="1" ht="15.75">
      <c r="A818" s="55">
        <v>71</v>
      </c>
      <c r="B818" s="55" t="s">
        <v>830</v>
      </c>
      <c r="C818" s="8">
        <v>401.38</v>
      </c>
      <c r="D818" s="55"/>
      <c r="E818" s="55">
        <v>140.80000000000001</v>
      </c>
      <c r="F818" s="622">
        <f t="shared" si="104"/>
        <v>542.18000000000006</v>
      </c>
      <c r="G818" s="290">
        <f t="shared" si="107"/>
        <v>3.9966236056727614E-3</v>
      </c>
      <c r="H818" s="426">
        <f t="shared" si="108"/>
        <v>9.0688585223402338</v>
      </c>
      <c r="I818" s="148">
        <f t="shared" si="106"/>
        <v>3.3346192786645044</v>
      </c>
      <c r="J818" s="148">
        <v>3.4997448124526769</v>
      </c>
      <c r="K818" s="427">
        <f t="shared" si="105"/>
        <v>1.4699181959303851</v>
      </c>
      <c r="L818" s="426"/>
      <c r="M818" s="532">
        <f t="shared" si="103"/>
        <v>4.3283523866131345E-2</v>
      </c>
      <c r="N818" s="127"/>
      <c r="O818" s="127"/>
    </row>
    <row r="819" spans="1:15" s="6" customFormat="1" ht="15.75">
      <c r="A819" s="55">
        <v>72</v>
      </c>
      <c r="B819" s="55" t="s">
        <v>831</v>
      </c>
      <c r="C819" s="8">
        <v>204.3</v>
      </c>
      <c r="D819" s="55"/>
      <c r="E819" s="55"/>
      <c r="F819" s="622">
        <f t="shared" si="104"/>
        <v>204.3</v>
      </c>
      <c r="G819" s="290">
        <f t="shared" si="107"/>
        <v>1.505976248919077E-3</v>
      </c>
      <c r="H819" s="426">
        <f t="shared" si="108"/>
        <v>3.4172558857097455</v>
      </c>
      <c r="I819" s="148">
        <f t="shared" si="106"/>
        <v>1.2565249891754735</v>
      </c>
      <c r="J819" s="148">
        <v>1.3187462930836287</v>
      </c>
      <c r="K819" s="427">
        <f t="shared" si="105"/>
        <v>0.55388300458994733</v>
      </c>
      <c r="L819" s="426"/>
      <c r="M819" s="532">
        <f t="shared" si="103"/>
        <v>3.2043123703175691E-2</v>
      </c>
      <c r="N819" s="127"/>
      <c r="O819" s="127"/>
    </row>
    <row r="820" spans="1:15" s="6" customFormat="1" ht="15.75">
      <c r="A820" s="55">
        <v>73</v>
      </c>
      <c r="B820" s="55" t="s">
        <v>832</v>
      </c>
      <c r="C820" s="8">
        <v>306.39999999999998</v>
      </c>
      <c r="D820" s="55"/>
      <c r="E820" s="55"/>
      <c r="F820" s="622">
        <f t="shared" si="104"/>
        <v>306.39999999999998</v>
      </c>
      <c r="G820" s="290">
        <f t="shared" si="107"/>
        <v>2.2585958035673281E-3</v>
      </c>
      <c r="H820" s="426">
        <f t="shared" si="108"/>
        <v>5.1250474957487313</v>
      </c>
      <c r="I820" s="148">
        <f t="shared" si="106"/>
        <v>1.8844799641868086</v>
      </c>
      <c r="J820" s="148">
        <v>1.9777966921234642</v>
      </c>
      <c r="K820" s="427">
        <f t="shared" si="105"/>
        <v>0.8306889505940277</v>
      </c>
      <c r="L820" s="426"/>
      <c r="M820" s="532">
        <f t="shared" si="103"/>
        <v>3.2043123703175691E-2</v>
      </c>
      <c r="N820" s="127"/>
      <c r="O820" s="127"/>
    </row>
    <row r="821" spans="1:15" s="6" customFormat="1" ht="15.75">
      <c r="A821" s="55">
        <v>74</v>
      </c>
      <c r="B821" s="55" t="s">
        <v>878</v>
      </c>
      <c r="C821" s="8">
        <v>301.42</v>
      </c>
      <c r="D821" s="55"/>
      <c r="E821" s="55"/>
      <c r="F821" s="622">
        <f t="shared" si="104"/>
        <v>301.42</v>
      </c>
      <c r="G821" s="290">
        <f t="shared" si="107"/>
        <v>2.2218862503631336E-3</v>
      </c>
      <c r="H821" s="426">
        <f t="shared" si="108"/>
        <v>5.0417487472864977</v>
      </c>
      <c r="I821" s="148">
        <f t="shared" si="106"/>
        <v>1.8538510143772453</v>
      </c>
      <c r="J821" s="148">
        <v>1.9456510409264189</v>
      </c>
      <c r="K821" s="427">
        <f t="shared" si="105"/>
        <v>0.81718754402105698</v>
      </c>
      <c r="L821" s="426"/>
      <c r="M821" s="532">
        <f t="shared" si="103"/>
        <v>3.2043123703175691E-2</v>
      </c>
      <c r="N821" s="127"/>
      <c r="O821" s="127"/>
    </row>
    <row r="822" spans="1:15" s="6" customFormat="1" ht="15.75">
      <c r="A822" s="55">
        <v>75</v>
      </c>
      <c r="B822" s="55" t="s">
        <v>879</v>
      </c>
      <c r="C822" s="8">
        <v>394.72</v>
      </c>
      <c r="D822" s="55"/>
      <c r="E822" s="55"/>
      <c r="F822" s="622">
        <f t="shared" si="104"/>
        <v>394.72</v>
      </c>
      <c r="G822" s="290">
        <f t="shared" si="107"/>
        <v>2.9096375182248559E-3</v>
      </c>
      <c r="H822" s="426">
        <f t="shared" si="108"/>
        <v>6.6023457817295679</v>
      </c>
      <c r="I822" s="148">
        <f t="shared" si="106"/>
        <v>2.4276825439419625</v>
      </c>
      <c r="J822" s="148">
        <v>2.5478978796180614</v>
      </c>
      <c r="K822" s="427">
        <f t="shared" si="105"/>
        <v>1.0701355828279198</v>
      </c>
      <c r="L822" s="426"/>
      <c r="M822" s="532">
        <f t="shared" si="103"/>
        <v>3.2043123703175698E-2</v>
      </c>
      <c r="N822" s="127"/>
      <c r="O822" s="127"/>
    </row>
    <row r="823" spans="1:15" s="6" customFormat="1" ht="15.75">
      <c r="A823" s="55">
        <v>76</v>
      </c>
      <c r="B823" s="55" t="s">
        <v>880</v>
      </c>
      <c r="C823" s="8">
        <v>680.89</v>
      </c>
      <c r="D823" s="55"/>
      <c r="E823" s="55"/>
      <c r="F823" s="622">
        <f t="shared" si="104"/>
        <v>680.89</v>
      </c>
      <c r="G823" s="290">
        <f t="shared" si="107"/>
        <v>5.0191099761454248E-3</v>
      </c>
      <c r="H823" s="426">
        <f t="shared" si="108"/>
        <v>11.389013020170868</v>
      </c>
      <c r="I823" s="148">
        <f t="shared" si="106"/>
        <v>4.1877400875168282</v>
      </c>
      <c r="J823" s="148">
        <v>4.3951109324410762</v>
      </c>
      <c r="K823" s="427">
        <f t="shared" si="105"/>
        <v>1.8459784581265259</v>
      </c>
      <c r="L823" s="426"/>
      <c r="M823" s="532">
        <f t="shared" si="103"/>
        <v>3.2043123703175698E-2</v>
      </c>
      <c r="N823" s="127"/>
      <c r="O823" s="127"/>
    </row>
    <row r="824" spans="1:15" s="6" customFormat="1" ht="15.75">
      <c r="A824" s="55">
        <v>77</v>
      </c>
      <c r="B824" s="55" t="s">
        <v>881</v>
      </c>
      <c r="C824" s="8">
        <v>581.98</v>
      </c>
      <c r="D824" s="55"/>
      <c r="E824" s="55"/>
      <c r="F824" s="622">
        <f t="shared" si="104"/>
        <v>581.98</v>
      </c>
      <c r="G824" s="290">
        <f t="shared" si="107"/>
        <v>4.2900051754572897E-3</v>
      </c>
      <c r="H824" s="426">
        <f t="shared" si="108"/>
        <v>9.7345794437853996</v>
      </c>
      <c r="I824" s="148">
        <f t="shared" si="106"/>
        <v>3.5794048614798917</v>
      </c>
      <c r="J824" s="148">
        <v>3.7566518240274611</v>
      </c>
      <c r="K824" s="427">
        <f t="shared" si="105"/>
        <v>1.5778210034814366</v>
      </c>
      <c r="L824" s="426"/>
      <c r="M824" s="532">
        <f t="shared" si="103"/>
        <v>3.2043123703175691E-2</v>
      </c>
      <c r="N824" s="127"/>
      <c r="O824" s="127"/>
    </row>
    <row r="825" spans="1:15" s="6" customFormat="1" ht="15.75">
      <c r="A825" s="55">
        <v>78</v>
      </c>
      <c r="B825" s="55" t="s">
        <v>882</v>
      </c>
      <c r="C825" s="8">
        <v>260.39999999999998</v>
      </c>
      <c r="D825" s="55"/>
      <c r="E825" s="55"/>
      <c r="F825" s="622">
        <f t="shared" si="104"/>
        <v>260.39999999999998</v>
      </c>
      <c r="G825" s="290">
        <f t="shared" si="107"/>
        <v>1.9195115771831991E-3</v>
      </c>
      <c r="H825" s="426">
        <f t="shared" si="108"/>
        <v>4.3556213051337132</v>
      </c>
      <c r="I825" s="148">
        <f t="shared" si="106"/>
        <v>1.6015619538976664</v>
      </c>
      <c r="J825" s="148">
        <v>1.680868990303362</v>
      </c>
      <c r="K825" s="427">
        <f t="shared" si="105"/>
        <v>0.7059771629722088</v>
      </c>
      <c r="L825" s="426"/>
      <c r="M825" s="532">
        <f t="shared" si="103"/>
        <v>3.2043123703175698E-2</v>
      </c>
      <c r="N825" s="127"/>
      <c r="O825" s="127"/>
    </row>
    <row r="826" spans="1:15" s="6" customFormat="1" ht="15.75">
      <c r="A826" s="55">
        <v>79</v>
      </c>
      <c r="B826" s="55" t="s">
        <v>883</v>
      </c>
      <c r="C826" s="8">
        <v>135.71</v>
      </c>
      <c r="D826" s="55"/>
      <c r="E826" s="55"/>
      <c r="F826" s="622">
        <f t="shared" si="104"/>
        <v>135.71</v>
      </c>
      <c r="G826" s="290">
        <f t="shared" si="107"/>
        <v>1.0003721817954377E-3</v>
      </c>
      <c r="H826" s="426">
        <f t="shared" si="108"/>
        <v>2.2699745288774817</v>
      </c>
      <c r="I826" s="148">
        <f t="shared" si="106"/>
        <v>0.83466963426825014</v>
      </c>
      <c r="J826" s="148">
        <v>0.87600126986969773</v>
      </c>
      <c r="K826" s="427">
        <f t="shared" si="105"/>
        <v>0.36792688474254404</v>
      </c>
      <c r="L826" s="426"/>
      <c r="M826" s="532">
        <f t="shared" si="103"/>
        <v>3.2043123703175691E-2</v>
      </c>
      <c r="N826" s="127"/>
      <c r="O826" s="127"/>
    </row>
    <row r="827" spans="1:15" s="6" customFormat="1" ht="15.75">
      <c r="A827" s="55">
        <v>80</v>
      </c>
      <c r="B827" s="55" t="s">
        <v>884</v>
      </c>
      <c r="C827" s="8">
        <v>201.8</v>
      </c>
      <c r="D827" s="55"/>
      <c r="E827" s="55"/>
      <c r="F827" s="622">
        <f t="shared" si="104"/>
        <v>201.8</v>
      </c>
      <c r="G827" s="290">
        <f t="shared" si="107"/>
        <v>1.4875477583547222E-3</v>
      </c>
      <c r="H827" s="426">
        <f t="shared" si="108"/>
        <v>3.3754392449154511</v>
      </c>
      <c r="I827" s="148">
        <f t="shared" si="106"/>
        <v>1.2411490103554115</v>
      </c>
      <c r="J827" s="148">
        <v>1.30260891798471</v>
      </c>
      <c r="K827" s="427">
        <f t="shared" si="105"/>
        <v>0.54710519004528335</v>
      </c>
      <c r="L827" s="426"/>
      <c r="M827" s="532">
        <f t="shared" si="103"/>
        <v>3.2043123703175698E-2</v>
      </c>
      <c r="N827" s="127"/>
      <c r="O827" s="127"/>
    </row>
    <row r="828" spans="1:15" s="6" customFormat="1" ht="15.75">
      <c r="A828" s="55">
        <v>81</v>
      </c>
      <c r="B828" s="55" t="s">
        <v>885</v>
      </c>
      <c r="C828" s="8">
        <v>1437.1</v>
      </c>
      <c r="D828" s="55"/>
      <c r="E828" s="55"/>
      <c r="F828" s="622">
        <f t="shared" si="104"/>
        <v>1437.1</v>
      </c>
      <c r="G828" s="290">
        <f t="shared" si="107"/>
        <v>1.0593433516013731E-2</v>
      </c>
      <c r="H828" s="426">
        <f t="shared" si="108"/>
        <v>24.037877794192237</v>
      </c>
      <c r="I828" s="148">
        <f t="shared" si="106"/>
        <v>8.8387276649244857</v>
      </c>
      <c r="J828" s="148">
        <v>9.2764087018623727</v>
      </c>
      <c r="K828" s="427">
        <f>G828*235.27</f>
        <v>2.4923171033125504</v>
      </c>
      <c r="L828" s="426"/>
      <c r="M828" s="532">
        <f t="shared" si="103"/>
        <v>3.1066266275340371E-2</v>
      </c>
      <c r="N828" s="127"/>
      <c r="O828" s="127"/>
    </row>
    <row r="829" spans="1:15" s="6" customFormat="1" ht="15.75">
      <c r="A829" s="55">
        <v>82</v>
      </c>
      <c r="B829" s="55" t="s">
        <v>886</v>
      </c>
      <c r="C829" s="8">
        <v>197.86</v>
      </c>
      <c r="D829" s="55"/>
      <c r="E829" s="55">
        <v>16</v>
      </c>
      <c r="F829" s="622">
        <f t="shared" si="104"/>
        <v>213.86</v>
      </c>
      <c r="G829" s="290">
        <f t="shared" si="107"/>
        <v>1.5764467968371698E-3</v>
      </c>
      <c r="H829" s="426">
        <f t="shared" si="108"/>
        <v>3.5771627201071272</v>
      </c>
      <c r="I829" s="148">
        <f t="shared" si="106"/>
        <v>1.3153227321833907</v>
      </c>
      <c r="J829" s="148">
        <v>1.3804556154618934</v>
      </c>
      <c r="K829" s="427">
        <f t="shared" si="105"/>
        <v>0.57980136740874277</v>
      </c>
      <c r="L829" s="426"/>
      <c r="M829" s="532">
        <f t="shared" si="103"/>
        <v>3.4634299176999665E-2</v>
      </c>
      <c r="N829" s="127"/>
      <c r="O829" s="127"/>
    </row>
    <row r="830" spans="1:15" s="6" customFormat="1" ht="15.75">
      <c r="A830" s="55">
        <v>83</v>
      </c>
      <c r="B830" s="55" t="s">
        <v>887</v>
      </c>
      <c r="C830" s="8">
        <v>397.89</v>
      </c>
      <c r="D830" s="55"/>
      <c r="E830" s="55"/>
      <c r="F830" s="622">
        <f t="shared" si="104"/>
        <v>397.89</v>
      </c>
      <c r="G830" s="290">
        <f t="shared" si="107"/>
        <v>2.9330048442604575E-3</v>
      </c>
      <c r="H830" s="426">
        <f t="shared" si="108"/>
        <v>6.6553692822567321</v>
      </c>
      <c r="I830" s="148">
        <f t="shared" si="106"/>
        <v>2.4471792850858005</v>
      </c>
      <c r="J830" s="148">
        <v>2.56836007124349</v>
      </c>
      <c r="K830" s="427">
        <f t="shared" si="105"/>
        <v>1.0787298516705537</v>
      </c>
      <c r="L830" s="426"/>
      <c r="M830" s="532">
        <f t="shared" si="103"/>
        <v>3.2043123703175691E-2</v>
      </c>
      <c r="N830" s="127"/>
      <c r="O830" s="127"/>
    </row>
    <row r="831" spans="1:15" s="6" customFormat="1" ht="15.75">
      <c r="A831" s="55">
        <v>84</v>
      </c>
      <c r="B831" s="55" t="s">
        <v>888</v>
      </c>
      <c r="C831" s="8">
        <v>352.17</v>
      </c>
      <c r="D831" s="55"/>
      <c r="E831" s="55"/>
      <c r="F831" s="622">
        <f t="shared" si="104"/>
        <v>352.17</v>
      </c>
      <c r="G831" s="290">
        <f t="shared" si="107"/>
        <v>2.5959846088195364E-3</v>
      </c>
      <c r="H831" s="426">
        <f t="shared" si="108"/>
        <v>5.8906265554106749</v>
      </c>
      <c r="I831" s="148">
        <f t="shared" si="106"/>
        <v>2.1659833844245053</v>
      </c>
      <c r="J831" s="148">
        <v>2.2732397554344663</v>
      </c>
      <c r="K831" s="427">
        <f t="shared" si="105"/>
        <v>0.95477717927773731</v>
      </c>
      <c r="L831" s="426"/>
      <c r="M831" s="532">
        <f t="shared" si="103"/>
        <v>3.2043123703175698E-2</v>
      </c>
      <c r="N831" s="127"/>
      <c r="O831" s="127"/>
    </row>
    <row r="832" spans="1:15" s="6" customFormat="1" ht="15.75">
      <c r="A832" s="55">
        <v>85</v>
      </c>
      <c r="B832" s="55" t="s">
        <v>889</v>
      </c>
      <c r="C832" s="8">
        <v>653.07000000000005</v>
      </c>
      <c r="D832" s="55"/>
      <c r="E832" s="55"/>
      <c r="F832" s="622">
        <f t="shared" si="104"/>
        <v>653.07000000000005</v>
      </c>
      <c r="G832" s="290">
        <f t="shared" si="107"/>
        <v>4.8140377331452842E-3</v>
      </c>
      <c r="H832" s="426">
        <f t="shared" si="108"/>
        <v>10.923677441411959</v>
      </c>
      <c r="I832" s="148">
        <f t="shared" si="106"/>
        <v>4.0166361952071776</v>
      </c>
      <c r="J832" s="148">
        <v>4.2155342223403105</v>
      </c>
      <c r="K832" s="427">
        <f t="shared" si="105"/>
        <v>1.7705549378735042</v>
      </c>
      <c r="L832" s="426"/>
      <c r="M832" s="532">
        <f t="shared" si="103"/>
        <v>3.2043123703175698E-2</v>
      </c>
      <c r="N832" s="127"/>
      <c r="O832" s="127"/>
    </row>
    <row r="833" spans="1:15" s="6" customFormat="1" ht="15.75">
      <c r="A833" s="55">
        <v>87</v>
      </c>
      <c r="B833" s="55" t="s">
        <v>916</v>
      </c>
      <c r="C833" s="8">
        <v>786.94</v>
      </c>
      <c r="D833" s="55"/>
      <c r="E833" s="55"/>
      <c r="F833" s="622">
        <f t="shared" si="104"/>
        <v>786.94</v>
      </c>
      <c r="G833" s="290">
        <f t="shared" si="107"/>
        <v>5.800846545885357E-3</v>
      </c>
      <c r="H833" s="426">
        <f t="shared" si="108"/>
        <v>13.162874922664841</v>
      </c>
      <c r="I833" s="148">
        <f t="shared" si="106"/>
        <v>4.839989109063862</v>
      </c>
      <c r="J833" s="148">
        <v>5.0796583841372041</v>
      </c>
      <c r="K833" s="427">
        <f t="shared" si="105"/>
        <v>2.1334933511111758</v>
      </c>
      <c r="L833" s="426"/>
      <c r="M833" s="532">
        <f t="shared" si="103"/>
        <v>3.2043123703175698E-2</v>
      </c>
      <c r="N833" s="127"/>
      <c r="O833" s="127"/>
    </row>
    <row r="834" spans="1:15" s="6" customFormat="1" ht="15.75">
      <c r="A834" s="55">
        <v>89</v>
      </c>
      <c r="B834" s="55" t="s">
        <v>918</v>
      </c>
      <c r="C834" s="8">
        <v>3273.28</v>
      </c>
      <c r="D834" s="55"/>
      <c r="E834" s="55">
        <v>69.5</v>
      </c>
      <c r="F834" s="622">
        <f t="shared" si="104"/>
        <v>3342.78</v>
      </c>
      <c r="G834" s="290">
        <f t="shared" si="107"/>
        <v>2.4640955875485621E-2</v>
      </c>
      <c r="H834" s="426">
        <f t="shared" si="108"/>
        <v>55.913532205740687</v>
      </c>
      <c r="I834" s="148">
        <f t="shared" si="106"/>
        <v>20.559405792050853</v>
      </c>
      <c r="J834" s="148">
        <v>21.577477893265257</v>
      </c>
      <c r="K834" s="427">
        <f>G834*235.27</f>
        <v>5.7972776888255027</v>
      </c>
      <c r="L834" s="426"/>
      <c r="M834" s="532">
        <f t="shared" si="103"/>
        <v>3.1725881556079007E-2</v>
      </c>
      <c r="N834" s="127"/>
      <c r="O834" s="127"/>
    </row>
    <row r="835" spans="1:15" s="6" customFormat="1" ht="15.75">
      <c r="A835" s="55">
        <v>90</v>
      </c>
      <c r="B835" s="55" t="s">
        <v>921</v>
      </c>
      <c r="C835" s="8">
        <v>139.80000000000001</v>
      </c>
      <c r="D835" s="55"/>
      <c r="E835" s="55"/>
      <c r="F835" s="622">
        <f t="shared" si="104"/>
        <v>139.80000000000001</v>
      </c>
      <c r="G835" s="290">
        <f t="shared" si="107"/>
        <v>1.0305211923587222E-3</v>
      </c>
      <c r="H835" s="426">
        <f t="shared" si="108"/>
        <v>2.3383865532169477</v>
      </c>
      <c r="I835" s="148">
        <f t="shared" si="106"/>
        <v>0.85982473561787176</v>
      </c>
      <c r="J835" s="148">
        <v>0.90240201553152866</v>
      </c>
      <c r="K835" s="427">
        <f t="shared" si="105"/>
        <v>0.37901538933761447</v>
      </c>
      <c r="L835" s="426"/>
      <c r="M835" s="532">
        <f t="shared" si="103"/>
        <v>3.2043123703175698E-2</v>
      </c>
      <c r="N835" s="127"/>
      <c r="O835" s="127"/>
    </row>
    <row r="836" spans="1:15" s="6" customFormat="1" ht="15.75">
      <c r="A836" s="55">
        <v>91</v>
      </c>
      <c r="B836" s="55" t="s">
        <v>922</v>
      </c>
      <c r="C836" s="8">
        <v>2876.7</v>
      </c>
      <c r="D836" s="55"/>
      <c r="E836" s="55">
        <v>258.60000000000002</v>
      </c>
      <c r="F836" s="622">
        <f t="shared" si="104"/>
        <v>3135.2999999999997</v>
      </c>
      <c r="G836" s="290">
        <f t="shared" si="107"/>
        <v>2.311153858656868E-2</v>
      </c>
      <c r="H836" s="426">
        <f t="shared" si="108"/>
        <v>52.443085552940595</v>
      </c>
      <c r="I836" s="148">
        <f t="shared" si="106"/>
        <v>19.283322557816259</v>
      </c>
      <c r="J836" s="148">
        <v>20.238204859055802</v>
      </c>
      <c r="K836" s="427">
        <f>G836*235.27</f>
        <v>5.4374516832620134</v>
      </c>
      <c r="L836" s="426"/>
      <c r="M836" s="532">
        <f t="shared" si="103"/>
        <v>3.3858958060650979E-2</v>
      </c>
      <c r="N836" s="127"/>
      <c r="O836" s="127"/>
    </row>
    <row r="837" spans="1:15" s="6" customFormat="1" ht="15.75">
      <c r="A837" s="55">
        <v>92</v>
      </c>
      <c r="B837" s="55" t="s">
        <v>923</v>
      </c>
      <c r="C837" s="8">
        <v>230.5</v>
      </c>
      <c r="D837" s="55"/>
      <c r="E837" s="55"/>
      <c r="F837" s="622">
        <f t="shared" ref="F837:F903" si="109">C837+D837+E837</f>
        <v>230.5</v>
      </c>
      <c r="G837" s="290">
        <f t="shared" si="107"/>
        <v>1.6991068300335156E-3</v>
      </c>
      <c r="H837" s="426">
        <f t="shared" si="108"/>
        <v>3.8554942812339514</v>
      </c>
      <c r="I837" s="148">
        <f t="shared" si="106"/>
        <v>1.417665247209724</v>
      </c>
      <c r="J837" s="148">
        <v>1.4878659841202955</v>
      </c>
      <c r="K837" s="427">
        <f t="shared" si="105"/>
        <v>0.6249145010180267</v>
      </c>
      <c r="L837" s="426"/>
      <c r="M837" s="532">
        <f t="shared" si="103"/>
        <v>3.2043123703175691E-2</v>
      </c>
      <c r="N837" s="127"/>
      <c r="O837" s="127"/>
    </row>
    <row r="838" spans="1:15" s="6" customFormat="1" ht="15.75">
      <c r="A838" s="55">
        <v>93</v>
      </c>
      <c r="B838" s="55" t="s">
        <v>924</v>
      </c>
      <c r="C838" s="8">
        <v>65.900000000000006</v>
      </c>
      <c r="D838" s="55"/>
      <c r="E838" s="55"/>
      <c r="F838" s="622">
        <f t="shared" si="109"/>
        <v>65.900000000000006</v>
      </c>
      <c r="G838" s="290">
        <f t="shared" si="107"/>
        <v>4.8577501127639342E-4</v>
      </c>
      <c r="H838" s="426">
        <f t="shared" si="108"/>
        <v>1.1022866513376026</v>
      </c>
      <c r="I838" s="148">
        <f t="shared" si="106"/>
        <v>0.40531080169683653</v>
      </c>
      <c r="J838" s="148">
        <v>0.42538120760749454</v>
      </c>
      <c r="K838" s="427">
        <f t="shared" si="105"/>
        <v>0.17866319139734474</v>
      </c>
      <c r="L838" s="426"/>
      <c r="M838" s="532">
        <f t="shared" ref="M838:M901" si="110">(K838+J838+I838+H838)/C838</f>
        <v>3.2043123703175698E-2</v>
      </c>
      <c r="N838" s="127"/>
      <c r="O838" s="127"/>
    </row>
    <row r="839" spans="1:15" s="6" customFormat="1" ht="15.75">
      <c r="A839" s="55">
        <v>94</v>
      </c>
      <c r="B839" s="55" t="s">
        <v>16</v>
      </c>
      <c r="C839" s="8">
        <v>75.900000000000006</v>
      </c>
      <c r="D839" s="55"/>
      <c r="E839" s="55"/>
      <c r="F839" s="622">
        <f t="shared" si="109"/>
        <v>75.900000000000006</v>
      </c>
      <c r="G839" s="290">
        <f t="shared" si="107"/>
        <v>5.5948897353381272E-4</v>
      </c>
      <c r="H839" s="426">
        <f t="shared" si="108"/>
        <v>1.2695532145147805</v>
      </c>
      <c r="I839" s="148">
        <f t="shared" si="106"/>
        <v>0.46681471697708482</v>
      </c>
      <c r="J839" s="148">
        <v>0.48993070800316901</v>
      </c>
      <c r="K839" s="427">
        <f t="shared" si="105"/>
        <v>0.205774449576001</v>
      </c>
      <c r="L839" s="426"/>
      <c r="M839" s="532">
        <f t="shared" si="110"/>
        <v>3.2043123703175691E-2</v>
      </c>
      <c r="N839" s="127"/>
      <c r="O839" s="127"/>
    </row>
    <row r="840" spans="1:15" s="6" customFormat="1" ht="15.75">
      <c r="A840" s="55">
        <v>95</v>
      </c>
      <c r="B840" s="55" t="s">
        <v>17</v>
      </c>
      <c r="C840" s="8">
        <v>115.8</v>
      </c>
      <c r="D840" s="55"/>
      <c r="E840" s="55"/>
      <c r="F840" s="622">
        <f t="shared" si="109"/>
        <v>115.8</v>
      </c>
      <c r="G840" s="290">
        <f t="shared" si="107"/>
        <v>8.5360768294091578E-4</v>
      </c>
      <c r="H840" s="426">
        <f t="shared" si="108"/>
        <v>1.9369468015917204</v>
      </c>
      <c r="I840" s="148">
        <f t="shared" si="106"/>
        <v>0.71221533894527567</v>
      </c>
      <c r="J840" s="148">
        <v>0.74748321458190981</v>
      </c>
      <c r="K840" s="427">
        <f t="shared" si="105"/>
        <v>0.31394836970883944</v>
      </c>
      <c r="L840" s="426"/>
      <c r="M840" s="532">
        <f t="shared" si="110"/>
        <v>3.2043123703175698E-2</v>
      </c>
      <c r="N840" s="127"/>
      <c r="O840" s="127"/>
    </row>
    <row r="841" spans="1:15" s="6" customFormat="1" ht="15.75">
      <c r="A841" s="55">
        <v>96</v>
      </c>
      <c r="B841" s="55" t="s">
        <v>18</v>
      </c>
      <c r="C841" s="8">
        <v>43.6</v>
      </c>
      <c r="D841" s="55"/>
      <c r="E841" s="55"/>
      <c r="F841" s="622">
        <f t="shared" si="109"/>
        <v>43.6</v>
      </c>
      <c r="G841" s="290">
        <f t="shared" si="107"/>
        <v>3.2139287544234827E-4</v>
      </c>
      <c r="H841" s="426">
        <f t="shared" si="108"/>
        <v>0.72928221545249572</v>
      </c>
      <c r="I841" s="148">
        <f t="shared" si="106"/>
        <v>0.26815707062188271</v>
      </c>
      <c r="J841" s="148">
        <v>0.28143582172514053</v>
      </c>
      <c r="K841" s="427">
        <f t="shared" si="105"/>
        <v>0.11820508565894128</v>
      </c>
      <c r="L841" s="426"/>
      <c r="M841" s="532">
        <f t="shared" si="110"/>
        <v>3.2043123703175691E-2</v>
      </c>
      <c r="N841" s="127"/>
      <c r="O841" s="127"/>
    </row>
    <row r="842" spans="1:15" s="6" customFormat="1" ht="15.75">
      <c r="A842" s="55">
        <v>97</v>
      </c>
      <c r="B842" s="55" t="s">
        <v>19</v>
      </c>
      <c r="C842" s="8">
        <v>229.9</v>
      </c>
      <c r="D842" s="55"/>
      <c r="E842" s="55"/>
      <c r="F842" s="622">
        <f t="shared" si="109"/>
        <v>229.9</v>
      </c>
      <c r="G842" s="290">
        <f t="shared" si="107"/>
        <v>1.6946839922980703E-3</v>
      </c>
      <c r="H842" s="426">
        <f t="shared" si="108"/>
        <v>3.8454582874433205</v>
      </c>
      <c r="I842" s="148">
        <f t="shared" si="106"/>
        <v>1.4139750122929091</v>
      </c>
      <c r="J842" s="148">
        <v>1.4839930140965552</v>
      </c>
      <c r="K842" s="427">
        <f t="shared" si="105"/>
        <v>0.62328782552730733</v>
      </c>
      <c r="L842" s="426"/>
      <c r="M842" s="532">
        <f t="shared" si="110"/>
        <v>3.2043123703175691E-2</v>
      </c>
      <c r="N842" s="127"/>
      <c r="O842" s="127"/>
    </row>
    <row r="843" spans="1:15" s="6" customFormat="1" ht="15.75">
      <c r="A843" s="55">
        <v>98</v>
      </c>
      <c r="B843" s="55" t="s">
        <v>20</v>
      </c>
      <c r="C843" s="8">
        <v>274.3</v>
      </c>
      <c r="D843" s="55"/>
      <c r="E843" s="55"/>
      <c r="F843" s="622">
        <f t="shared" si="109"/>
        <v>274.3</v>
      </c>
      <c r="G843" s="290">
        <f t="shared" si="107"/>
        <v>2.021973984721012E-3</v>
      </c>
      <c r="H843" s="426">
        <f t="shared" si="108"/>
        <v>4.5881218279499905</v>
      </c>
      <c r="I843" s="148">
        <f t="shared" si="106"/>
        <v>1.6870523961372117</v>
      </c>
      <c r="J843" s="148">
        <v>1.7705927958533496</v>
      </c>
      <c r="K843" s="427">
        <f t="shared" si="105"/>
        <v>0.74366181184054103</v>
      </c>
      <c r="L843" s="426"/>
      <c r="M843" s="532">
        <f t="shared" si="110"/>
        <v>3.2043123703175691E-2</v>
      </c>
      <c r="N843" s="127"/>
      <c r="O843" s="127"/>
    </row>
    <row r="844" spans="1:15" s="6" customFormat="1" ht="15.75">
      <c r="A844" s="55">
        <v>99</v>
      </c>
      <c r="B844" s="55" t="s">
        <v>21</v>
      </c>
      <c r="C844" s="8">
        <v>282</v>
      </c>
      <c r="D844" s="55"/>
      <c r="E844" s="55"/>
      <c r="F844" s="622">
        <f t="shared" si="109"/>
        <v>282</v>
      </c>
      <c r="G844" s="290">
        <f t="shared" si="107"/>
        <v>2.0787337356592251E-3</v>
      </c>
      <c r="H844" s="426">
        <f t="shared" si="108"/>
        <v>4.7169170815964172</v>
      </c>
      <c r="I844" s="148">
        <f t="shared" si="106"/>
        <v>1.7344104109030027</v>
      </c>
      <c r="J844" s="148">
        <v>1.820295911158019</v>
      </c>
      <c r="K844" s="427">
        <f t="shared" si="105"/>
        <v>0.76453748063810645</v>
      </c>
      <c r="L844" s="426"/>
      <c r="M844" s="532">
        <f t="shared" si="110"/>
        <v>3.2043123703175698E-2</v>
      </c>
      <c r="N844" s="127"/>
      <c r="O844" s="127"/>
    </row>
    <row r="845" spans="1:15" s="6" customFormat="1" ht="15.75">
      <c r="A845" s="55">
        <v>100</v>
      </c>
      <c r="B845" s="55" t="s">
        <v>22</v>
      </c>
      <c r="C845" s="8">
        <v>181.2</v>
      </c>
      <c r="D845" s="55"/>
      <c r="E845" s="55"/>
      <c r="F845" s="622">
        <f t="shared" si="109"/>
        <v>181.2</v>
      </c>
      <c r="G845" s="290">
        <f t="shared" si="107"/>
        <v>1.335696996104438E-3</v>
      </c>
      <c r="H845" s="426">
        <f t="shared" si="108"/>
        <v>3.0308701247704635</v>
      </c>
      <c r="I845" s="148">
        <f t="shared" si="106"/>
        <v>1.1144509448780995</v>
      </c>
      <c r="J845" s="148">
        <v>1.1696369471696206</v>
      </c>
      <c r="K845" s="427">
        <f t="shared" si="105"/>
        <v>0.4912559981972513</v>
      </c>
      <c r="L845" s="426"/>
      <c r="M845" s="532">
        <f t="shared" si="110"/>
        <v>3.2043123703175691E-2</v>
      </c>
      <c r="N845" s="127"/>
      <c r="O845" s="127"/>
    </row>
    <row r="846" spans="1:15" s="6" customFormat="1" ht="15.75">
      <c r="A846" s="55">
        <v>101</v>
      </c>
      <c r="B846" s="55" t="s">
        <v>23</v>
      </c>
      <c r="C846" s="8">
        <v>171</v>
      </c>
      <c r="D846" s="55"/>
      <c r="E846" s="55"/>
      <c r="F846" s="622">
        <f t="shared" si="109"/>
        <v>171</v>
      </c>
      <c r="G846" s="290">
        <f t="shared" si="107"/>
        <v>1.2605087546018704E-3</v>
      </c>
      <c r="H846" s="426">
        <f t="shared" si="108"/>
        <v>2.8602582303297424</v>
      </c>
      <c r="I846" s="148">
        <f t="shared" si="106"/>
        <v>1.0517169512922464</v>
      </c>
      <c r="J846" s="148">
        <v>1.1037964567660328</v>
      </c>
      <c r="K846" s="427">
        <f t="shared" si="105"/>
        <v>0.46360251485502191</v>
      </c>
      <c r="L846" s="426"/>
      <c r="M846" s="532">
        <f t="shared" si="110"/>
        <v>3.2043123703175691E-2</v>
      </c>
      <c r="N846" s="127"/>
      <c r="O846" s="127"/>
    </row>
    <row r="847" spans="1:15" s="6" customFormat="1" ht="15.75">
      <c r="A847" s="55">
        <v>102</v>
      </c>
      <c r="B847" s="55" t="s">
        <v>24</v>
      </c>
      <c r="C847" s="8">
        <v>160.5</v>
      </c>
      <c r="D847" s="55"/>
      <c r="E847" s="55"/>
      <c r="F847" s="622">
        <f t="shared" si="109"/>
        <v>160.5</v>
      </c>
      <c r="G847" s="290">
        <f t="shared" si="107"/>
        <v>1.1831090942315801E-3</v>
      </c>
      <c r="H847" s="426">
        <f t="shared" si="108"/>
        <v>2.6846283389937056</v>
      </c>
      <c r="I847" s="148">
        <f t="shared" si="106"/>
        <v>0.98713784024798557</v>
      </c>
      <c r="J847" s="148">
        <v>1.0360194813505745</v>
      </c>
      <c r="K847" s="427">
        <f t="shared" si="105"/>
        <v>0.43513569376743289</v>
      </c>
      <c r="L847" s="426"/>
      <c r="M847" s="532">
        <f t="shared" si="110"/>
        <v>3.2043123703175691E-2</v>
      </c>
      <c r="N847" s="127"/>
      <c r="O847" s="127"/>
    </row>
    <row r="848" spans="1:15" s="6" customFormat="1" ht="15.75">
      <c r="A848" s="55">
        <v>103</v>
      </c>
      <c r="B848" s="55" t="s">
        <v>25</v>
      </c>
      <c r="C848" s="8">
        <v>165.6</v>
      </c>
      <c r="D848" s="55"/>
      <c r="E848" s="55"/>
      <c r="F848" s="622">
        <f t="shared" si="109"/>
        <v>165.6</v>
      </c>
      <c r="G848" s="290">
        <f t="shared" si="107"/>
        <v>1.220703214982864E-3</v>
      </c>
      <c r="H848" s="426">
        <f t="shared" si="108"/>
        <v>2.7699342862140663</v>
      </c>
      <c r="I848" s="148">
        <f t="shared" si="106"/>
        <v>1.0185048370409122</v>
      </c>
      <c r="J848" s="148">
        <v>1.0689397265523686</v>
      </c>
      <c r="K848" s="427">
        <f t="shared" si="105"/>
        <v>0.44896243543854758</v>
      </c>
      <c r="L848" s="426"/>
      <c r="M848" s="532">
        <f t="shared" si="110"/>
        <v>3.2043123703175691E-2</v>
      </c>
      <c r="N848" s="127"/>
      <c r="O848" s="127"/>
    </row>
    <row r="849" spans="1:15" s="6" customFormat="1" ht="15.75">
      <c r="A849" s="55">
        <v>104</v>
      </c>
      <c r="B849" s="55" t="s">
        <v>26</v>
      </c>
      <c r="C849" s="8">
        <v>158.6</v>
      </c>
      <c r="D849" s="55"/>
      <c r="E849" s="55"/>
      <c r="F849" s="622">
        <f t="shared" si="109"/>
        <v>158.6</v>
      </c>
      <c r="G849" s="290">
        <f t="shared" si="107"/>
        <v>1.1691034414026704E-3</v>
      </c>
      <c r="H849" s="426">
        <f t="shared" si="108"/>
        <v>2.6528476919900417</v>
      </c>
      <c r="I849" s="148">
        <f t="shared" si="106"/>
        <v>0.9754520963447384</v>
      </c>
      <c r="J849" s="148">
        <v>1.0237550762753964</v>
      </c>
      <c r="K849" s="427">
        <f t="shared" si="105"/>
        <v>0.42998455471348818</v>
      </c>
      <c r="L849" s="426"/>
      <c r="M849" s="532">
        <f t="shared" si="110"/>
        <v>3.2043123703175691E-2</v>
      </c>
      <c r="N849" s="127"/>
      <c r="O849" s="127"/>
    </row>
    <row r="850" spans="1:15" s="6" customFormat="1" ht="15.75">
      <c r="A850" s="55">
        <v>105</v>
      </c>
      <c r="B850" s="55" t="s">
        <v>27</v>
      </c>
      <c r="C850" s="8">
        <v>414.61</v>
      </c>
      <c r="D850" s="55"/>
      <c r="E850" s="55"/>
      <c r="F850" s="622">
        <f t="shared" si="109"/>
        <v>414.61</v>
      </c>
      <c r="G850" s="290">
        <f t="shared" si="107"/>
        <v>3.0562545891548629E-3</v>
      </c>
      <c r="H850" s="426">
        <f t="shared" si="108"/>
        <v>6.9350389758889746</v>
      </c>
      <c r="I850" s="148">
        <f t="shared" si="106"/>
        <v>2.5500138314343763</v>
      </c>
      <c r="J850" s="148">
        <v>2.6762868359050578</v>
      </c>
      <c r="K850" s="427">
        <f t="shared" si="105"/>
        <v>1.1240598753452671</v>
      </c>
      <c r="L850" s="426"/>
      <c r="M850" s="532">
        <f t="shared" si="110"/>
        <v>3.2043123703175698E-2</v>
      </c>
      <c r="N850" s="127"/>
      <c r="O850" s="127"/>
    </row>
    <row r="851" spans="1:15" s="6" customFormat="1" ht="15.75">
      <c r="A851" s="55">
        <v>106</v>
      </c>
      <c r="B851" s="55" t="s">
        <v>28</v>
      </c>
      <c r="C851" s="8">
        <v>148.1</v>
      </c>
      <c r="D851" s="55"/>
      <c r="E851" s="55"/>
      <c r="F851" s="622">
        <f t="shared" si="109"/>
        <v>148.1</v>
      </c>
      <c r="G851" s="290">
        <f t="shared" si="107"/>
        <v>1.0917037810323801E-3</v>
      </c>
      <c r="H851" s="426">
        <f t="shared" si="108"/>
        <v>2.4772178006540049</v>
      </c>
      <c r="I851" s="148">
        <f t="shared" si="106"/>
        <v>0.91087298530047767</v>
      </c>
      <c r="J851" s="148">
        <v>0.9559781008599384</v>
      </c>
      <c r="K851" s="427">
        <f t="shared" si="105"/>
        <v>0.4015177336258991</v>
      </c>
      <c r="L851" s="426"/>
      <c r="M851" s="532">
        <f t="shared" si="110"/>
        <v>3.2043123703175691E-2</v>
      </c>
      <c r="N851" s="127"/>
      <c r="O851" s="127"/>
    </row>
    <row r="852" spans="1:15" s="6" customFormat="1" ht="15.75">
      <c r="A852" s="55">
        <v>107</v>
      </c>
      <c r="B852" s="55" t="s">
        <v>29</v>
      </c>
      <c r="C852" s="8">
        <v>27.8</v>
      </c>
      <c r="D852" s="55"/>
      <c r="E852" s="55"/>
      <c r="F852" s="622">
        <f t="shared" si="109"/>
        <v>27.8</v>
      </c>
      <c r="G852" s="290">
        <f t="shared" si="107"/>
        <v>2.0492481507562575E-4</v>
      </c>
      <c r="H852" s="426">
        <f t="shared" si="108"/>
        <v>0.46500104563255468</v>
      </c>
      <c r="I852" s="148">
        <f t="shared" si="106"/>
        <v>0.17098088447909038</v>
      </c>
      <c r="J852" s="148">
        <v>0.17944761109997492</v>
      </c>
      <c r="K852" s="427">
        <f t="shared" si="105"/>
        <v>7.5369297736664398E-2</v>
      </c>
      <c r="L852" s="426"/>
      <c r="M852" s="532">
        <f t="shared" si="110"/>
        <v>3.2043123703175698E-2</v>
      </c>
      <c r="N852" s="127"/>
      <c r="O852" s="127"/>
    </row>
    <row r="853" spans="1:15" s="6" customFormat="1" ht="15.75">
      <c r="A853" s="55">
        <v>108</v>
      </c>
      <c r="B853" s="55" t="s">
        <v>30</v>
      </c>
      <c r="C853" s="8">
        <v>140.9</v>
      </c>
      <c r="D853" s="55"/>
      <c r="E853" s="55"/>
      <c r="F853" s="622">
        <f t="shared" si="109"/>
        <v>140.9</v>
      </c>
      <c r="G853" s="290">
        <f t="shared" si="107"/>
        <v>1.0386297282070384E-3</v>
      </c>
      <c r="H853" s="426">
        <f t="shared" si="108"/>
        <v>2.356785875166437</v>
      </c>
      <c r="I853" s="148">
        <f t="shared" si="106"/>
        <v>0.86659016629869901</v>
      </c>
      <c r="J853" s="148">
        <v>0.90950246057505291</v>
      </c>
      <c r="K853" s="427">
        <f t="shared" si="105"/>
        <v>0.3819976277372667</v>
      </c>
      <c r="L853" s="426"/>
      <c r="M853" s="532">
        <f t="shared" si="110"/>
        <v>3.2043123703175698E-2</v>
      </c>
      <c r="N853" s="127"/>
      <c r="O853" s="127"/>
    </row>
    <row r="854" spans="1:15" s="6" customFormat="1" ht="15.75">
      <c r="A854" s="55">
        <v>109</v>
      </c>
      <c r="B854" s="55" t="s">
        <v>31</v>
      </c>
      <c r="C854" s="8">
        <v>66.599999999999994</v>
      </c>
      <c r="D854" s="55"/>
      <c r="E854" s="55"/>
      <c r="F854" s="622">
        <f t="shared" si="109"/>
        <v>66.599999999999994</v>
      </c>
      <c r="G854" s="290">
        <f t="shared" si="107"/>
        <v>4.9093498863441267E-4</v>
      </c>
      <c r="H854" s="426">
        <f t="shared" si="108"/>
        <v>1.1139953107600049</v>
      </c>
      <c r="I854" s="148">
        <f t="shared" si="106"/>
        <v>0.40961607576645381</v>
      </c>
      <c r="J854" s="148">
        <v>0.42989967263519169</v>
      </c>
      <c r="K854" s="427">
        <f t="shared" si="105"/>
        <v>0.18056097946985064</v>
      </c>
      <c r="L854" s="426"/>
      <c r="M854" s="532">
        <f t="shared" si="110"/>
        <v>3.2043123703175698E-2</v>
      </c>
      <c r="N854" s="127"/>
      <c r="O854" s="127"/>
    </row>
    <row r="855" spans="1:15" s="6" customFormat="1" ht="15.75">
      <c r="A855" s="55">
        <v>110</v>
      </c>
      <c r="B855" s="55" t="s">
        <v>32</v>
      </c>
      <c r="C855" s="8">
        <v>97.5</v>
      </c>
      <c r="D855" s="55"/>
      <c r="E855" s="55"/>
      <c r="F855" s="622">
        <f t="shared" si="109"/>
        <v>97.5</v>
      </c>
      <c r="G855" s="290">
        <f t="shared" si="107"/>
        <v>7.1871113200983841E-4</v>
      </c>
      <c r="H855" s="426">
        <f t="shared" si="108"/>
        <v>1.6308489909774848</v>
      </c>
      <c r="I855" s="148">
        <f t="shared" si="106"/>
        <v>0.59966317398242119</v>
      </c>
      <c r="J855" s="148">
        <v>0.62935762885782576</v>
      </c>
      <c r="K855" s="427">
        <f t="shared" si="105"/>
        <v>0.26433476724189847</v>
      </c>
      <c r="L855" s="426"/>
      <c r="M855" s="532">
        <f t="shared" si="110"/>
        <v>3.2043123703175698E-2</v>
      </c>
      <c r="N855" s="127"/>
      <c r="O855" s="127"/>
    </row>
    <row r="856" spans="1:15" s="6" customFormat="1" ht="15.75">
      <c r="A856" s="55">
        <v>111</v>
      </c>
      <c r="B856" s="55" t="s">
        <v>33</v>
      </c>
      <c r="C856" s="8">
        <v>522.6</v>
      </c>
      <c r="D856" s="55"/>
      <c r="E856" s="55"/>
      <c r="F856" s="622">
        <f t="shared" si="109"/>
        <v>522.6</v>
      </c>
      <c r="G856" s="290">
        <f t="shared" si="107"/>
        <v>3.8522916675727344E-3</v>
      </c>
      <c r="H856" s="426">
        <f t="shared" si="108"/>
        <v>8.7413505916393195</v>
      </c>
      <c r="I856" s="148">
        <f t="shared" si="106"/>
        <v>3.2141946125457781</v>
      </c>
      <c r="J856" s="148">
        <v>3.3733568906779459</v>
      </c>
      <c r="K856" s="427">
        <f t="shared" si="105"/>
        <v>1.4168343524165761</v>
      </c>
      <c r="L856" s="426"/>
      <c r="M856" s="532">
        <f t="shared" si="110"/>
        <v>3.2043123703175691E-2</v>
      </c>
      <c r="N856" s="127"/>
      <c r="O856" s="127"/>
    </row>
    <row r="857" spans="1:15" s="6" customFormat="1" ht="15.75">
      <c r="A857" s="55">
        <v>112</v>
      </c>
      <c r="B857" s="55" t="s">
        <v>34</v>
      </c>
      <c r="C857" s="8">
        <v>71.8</v>
      </c>
      <c r="D857" s="55"/>
      <c r="E857" s="55"/>
      <c r="F857" s="622">
        <f t="shared" si="109"/>
        <v>71.8</v>
      </c>
      <c r="G857" s="290">
        <f t="shared" si="107"/>
        <v>5.2926624900827073E-4</v>
      </c>
      <c r="H857" s="426">
        <f t="shared" si="108"/>
        <v>1.2009739236121375</v>
      </c>
      <c r="I857" s="148">
        <f t="shared" si="106"/>
        <v>0.44159811171218299</v>
      </c>
      <c r="J857" s="148">
        <v>0.46346541284094239</v>
      </c>
      <c r="K857" s="427">
        <f t="shared" si="105"/>
        <v>0.19465883372275192</v>
      </c>
      <c r="L857" s="426"/>
      <c r="M857" s="532">
        <f t="shared" si="110"/>
        <v>3.2043123703175691E-2</v>
      </c>
      <c r="N857" s="127"/>
      <c r="O857" s="127"/>
    </row>
    <row r="858" spans="1:15" s="6" customFormat="1" ht="15.75">
      <c r="A858" s="55">
        <v>113</v>
      </c>
      <c r="B858" s="55" t="s">
        <v>35</v>
      </c>
      <c r="C858" s="8">
        <v>199</v>
      </c>
      <c r="D858" s="55"/>
      <c r="E858" s="55"/>
      <c r="F858" s="622">
        <f t="shared" si="109"/>
        <v>199</v>
      </c>
      <c r="G858" s="290">
        <f t="shared" si="107"/>
        <v>1.4669078489226446E-3</v>
      </c>
      <c r="H858" s="426">
        <f t="shared" si="108"/>
        <v>3.3286046072258406</v>
      </c>
      <c r="I858" s="148">
        <f t="shared" si="106"/>
        <v>1.2239279140769417</v>
      </c>
      <c r="J858" s="148">
        <v>1.2845350578739212</v>
      </c>
      <c r="K858" s="427">
        <f t="shared" si="105"/>
        <v>0.53951403775525952</v>
      </c>
      <c r="L858" s="426"/>
      <c r="M858" s="532">
        <f t="shared" si="110"/>
        <v>3.2043123703175691E-2</v>
      </c>
      <c r="N858" s="127"/>
      <c r="O858" s="127"/>
    </row>
    <row r="859" spans="1:15" s="6" customFormat="1" ht="15.75">
      <c r="A859" s="55">
        <v>114</v>
      </c>
      <c r="B859" s="55" t="s">
        <v>36</v>
      </c>
      <c r="C859" s="8">
        <v>128.5</v>
      </c>
      <c r="D859" s="55"/>
      <c r="E859" s="55"/>
      <c r="F859" s="622">
        <f t="shared" si="109"/>
        <v>128.5</v>
      </c>
      <c r="G859" s="290">
        <f t="shared" si="107"/>
        <v>9.472244150078383E-4</v>
      </c>
      <c r="H859" s="426">
        <f t="shared" si="108"/>
        <v>2.1493753368267363</v>
      </c>
      <c r="I859" s="148">
        <f t="shared" si="106"/>
        <v>0.790325311351191</v>
      </c>
      <c r="J859" s="148">
        <v>0.82946108008441644</v>
      </c>
      <c r="K859" s="427">
        <f t="shared" si="105"/>
        <v>0.34837966759573286</v>
      </c>
      <c r="L859" s="426"/>
      <c r="M859" s="532">
        <f t="shared" si="110"/>
        <v>3.2043123703175691E-2</v>
      </c>
      <c r="N859" s="127"/>
      <c r="O859" s="127"/>
    </row>
    <row r="860" spans="1:15" s="6" customFormat="1" ht="15.75">
      <c r="A860" s="55">
        <v>115</v>
      </c>
      <c r="B860" s="55" t="s">
        <v>37</v>
      </c>
      <c r="C860" s="8">
        <v>43.4</v>
      </c>
      <c r="D860" s="55"/>
      <c r="E860" s="55"/>
      <c r="F860" s="622">
        <f t="shared" si="109"/>
        <v>43.4</v>
      </c>
      <c r="G860" s="290">
        <f t="shared" si="107"/>
        <v>3.1991859619719988E-4</v>
      </c>
      <c r="H860" s="426">
        <f t="shared" si="108"/>
        <v>0.72593688418895219</v>
      </c>
      <c r="I860" s="148">
        <f t="shared" si="106"/>
        <v>0.26692699231627776</v>
      </c>
      <c r="J860" s="148">
        <v>0.28014483171722704</v>
      </c>
      <c r="K860" s="427">
        <f t="shared" si="105"/>
        <v>0.11766286049536816</v>
      </c>
      <c r="L860" s="426"/>
      <c r="M860" s="532">
        <f t="shared" si="110"/>
        <v>3.2043123703175691E-2</v>
      </c>
      <c r="N860" s="127"/>
      <c r="O860" s="127"/>
    </row>
    <row r="861" spans="1:15" s="6" customFormat="1" ht="15.75">
      <c r="A861" s="55">
        <v>116</v>
      </c>
      <c r="B861" s="55" t="s">
        <v>38</v>
      </c>
      <c r="C861" s="8">
        <v>35.4</v>
      </c>
      <c r="D861" s="55"/>
      <c r="E861" s="55"/>
      <c r="F861" s="622">
        <f t="shared" si="109"/>
        <v>35.4</v>
      </c>
      <c r="G861" s="290">
        <f t="shared" si="107"/>
        <v>2.609474263912644E-4</v>
      </c>
      <c r="H861" s="426">
        <f t="shared" si="108"/>
        <v>0.59212363364720977</v>
      </c>
      <c r="I861" s="148">
        <f t="shared" si="106"/>
        <v>0.21772386009207906</v>
      </c>
      <c r="J861" s="148">
        <v>0.22850523140068746</v>
      </c>
      <c r="K861" s="427">
        <f t="shared" si="105"/>
        <v>9.5973853952443136E-2</v>
      </c>
      <c r="L861" s="426"/>
      <c r="M861" s="532">
        <f t="shared" si="110"/>
        <v>3.2043123703175691E-2</v>
      </c>
      <c r="N861" s="127"/>
      <c r="O861" s="127"/>
    </row>
    <row r="862" spans="1:15" s="6" customFormat="1" ht="15.75">
      <c r="A862" s="55">
        <v>117</v>
      </c>
      <c r="B862" s="55" t="s">
        <v>39</v>
      </c>
      <c r="C862" s="8">
        <v>407.14</v>
      </c>
      <c r="D862" s="55"/>
      <c r="E862" s="55"/>
      <c r="F862" s="622">
        <f t="shared" si="109"/>
        <v>407.14</v>
      </c>
      <c r="G862" s="290">
        <f t="shared" si="107"/>
        <v>3.0011902593485703E-3</v>
      </c>
      <c r="H862" s="426">
        <f t="shared" si="108"/>
        <v>6.8100908531956215</v>
      </c>
      <c r="I862" s="148">
        <f t="shared" si="106"/>
        <v>2.5040704067200301</v>
      </c>
      <c r="J862" s="148">
        <v>2.6280683591094887</v>
      </c>
      <c r="K862" s="427">
        <f t="shared" ref="K862:K870" si="111">G862*367.79</f>
        <v>1.1038077654858107</v>
      </c>
      <c r="L862" s="426"/>
      <c r="M862" s="532">
        <f t="shared" si="110"/>
        <v>3.2043123703175691E-2</v>
      </c>
      <c r="N862" s="127"/>
      <c r="O862" s="127"/>
    </row>
    <row r="863" spans="1:15" s="6" customFormat="1" ht="15.75">
      <c r="A863" s="55">
        <v>118</v>
      </c>
      <c r="B863" s="55" t="s">
        <v>40</v>
      </c>
      <c r="C863" s="8">
        <v>207.4</v>
      </c>
      <c r="D863" s="55"/>
      <c r="E863" s="55"/>
      <c r="F863" s="622">
        <f t="shared" si="109"/>
        <v>207.4</v>
      </c>
      <c r="G863" s="290">
        <f t="shared" si="107"/>
        <v>1.5288275772188768E-3</v>
      </c>
      <c r="H863" s="426">
        <f t="shared" si="108"/>
        <v>3.4691085202946703</v>
      </c>
      <c r="I863" s="148">
        <f t="shared" si="106"/>
        <v>1.2755912029123504</v>
      </c>
      <c r="J863" s="148">
        <v>1.3387566382062879</v>
      </c>
      <c r="K863" s="427">
        <f t="shared" si="111"/>
        <v>0.56228749462533079</v>
      </c>
      <c r="L863" s="426"/>
      <c r="M863" s="532">
        <f t="shared" si="110"/>
        <v>3.2043123703175698E-2</v>
      </c>
      <c r="N863" s="127"/>
      <c r="O863" s="127"/>
    </row>
    <row r="864" spans="1:15" s="6" customFormat="1" ht="15.75">
      <c r="A864" s="55">
        <v>119</v>
      </c>
      <c r="B864" s="55" t="s">
        <v>41</v>
      </c>
      <c r="C864" s="8">
        <v>388.5</v>
      </c>
      <c r="D864" s="55"/>
      <c r="E864" s="55">
        <v>230.8</v>
      </c>
      <c r="F864" s="622">
        <f t="shared" si="109"/>
        <v>619.29999999999995</v>
      </c>
      <c r="G864" s="290">
        <f t="shared" si="107"/>
        <v>4.5651056826019783E-3</v>
      </c>
      <c r="H864" s="426">
        <f t="shared" si="108"/>
        <v>10.358818257562627</v>
      </c>
      <c r="I864" s="148">
        <f t="shared" si="106"/>
        <v>3.8089374733057779</v>
      </c>
      <c r="J864" s="148">
        <v>3.9975505595041176</v>
      </c>
      <c r="K864" s="427">
        <f t="shared" si="111"/>
        <v>1.6790002190041817</v>
      </c>
      <c r="L864" s="426"/>
      <c r="M864" s="532">
        <f t="shared" si="110"/>
        <v>5.1079296034431669E-2</v>
      </c>
      <c r="N864" s="127"/>
      <c r="O864" s="127"/>
    </row>
    <row r="865" spans="1:15" s="6" customFormat="1" ht="15.75">
      <c r="A865" s="55">
        <v>120</v>
      </c>
      <c r="B865" s="55" t="s">
        <v>42</v>
      </c>
      <c r="C865" s="8">
        <v>326.7</v>
      </c>
      <c r="D865" s="55"/>
      <c r="E865" s="55"/>
      <c r="F865" s="622">
        <f t="shared" si="109"/>
        <v>326.7</v>
      </c>
      <c r="G865" s="290">
        <f t="shared" si="107"/>
        <v>2.4082351469498892E-3</v>
      </c>
      <c r="H865" s="426">
        <f t="shared" si="108"/>
        <v>5.4645986189984024</v>
      </c>
      <c r="I865" s="148">
        <f t="shared" si="106"/>
        <v>2.0093329122057129</v>
      </c>
      <c r="J865" s="148">
        <v>2.1088321779266836</v>
      </c>
      <c r="K865" s="427">
        <f t="shared" si="111"/>
        <v>0.88572480469669979</v>
      </c>
      <c r="L865" s="426"/>
      <c r="M865" s="532">
        <f t="shared" si="110"/>
        <v>3.2043123703175691E-2</v>
      </c>
      <c r="N865" s="127"/>
      <c r="O865" s="127"/>
    </row>
    <row r="866" spans="1:15" s="6" customFormat="1" ht="15.75">
      <c r="A866" s="55">
        <v>121</v>
      </c>
      <c r="B866" s="55" t="s">
        <v>43</v>
      </c>
      <c r="C866" s="8">
        <v>485.4</v>
      </c>
      <c r="D866" s="55"/>
      <c r="E866" s="55"/>
      <c r="F866" s="622">
        <f t="shared" si="109"/>
        <v>485.4</v>
      </c>
      <c r="G866" s="290">
        <f t="shared" si="107"/>
        <v>3.5780757279751342E-3</v>
      </c>
      <c r="H866" s="426">
        <f t="shared" si="108"/>
        <v>8.1191189766202161</v>
      </c>
      <c r="I866" s="148">
        <f t="shared" si="106"/>
        <v>2.9854000477032536</v>
      </c>
      <c r="J866" s="148">
        <v>3.1332327492060368</v>
      </c>
      <c r="K866" s="427">
        <f t="shared" si="111"/>
        <v>1.3159804719919748</v>
      </c>
      <c r="L866" s="426"/>
      <c r="M866" s="532">
        <f t="shared" si="110"/>
        <v>3.2043123703175691E-2</v>
      </c>
      <c r="N866" s="127"/>
      <c r="O866" s="127"/>
    </row>
    <row r="867" spans="1:15" s="6" customFormat="1" ht="15.75">
      <c r="A867" s="55">
        <v>122</v>
      </c>
      <c r="B867" s="55" t="s">
        <v>44</v>
      </c>
      <c r="C867" s="8">
        <v>133.6</v>
      </c>
      <c r="D867" s="55"/>
      <c r="E867" s="55"/>
      <c r="F867" s="622">
        <f t="shared" si="109"/>
        <v>133.6</v>
      </c>
      <c r="G867" s="290">
        <f t="shared" si="107"/>
        <v>9.8481853575912211E-4</v>
      </c>
      <c r="H867" s="426">
        <f t="shared" si="108"/>
        <v>2.2346812840470966</v>
      </c>
      <c r="I867" s="148">
        <f t="shared" si="106"/>
        <v>0.82169230814411753</v>
      </c>
      <c r="J867" s="148">
        <v>0.86238132528621037</v>
      </c>
      <c r="K867" s="427">
        <f t="shared" si="111"/>
        <v>0.36220640926684755</v>
      </c>
      <c r="L867" s="426"/>
      <c r="M867" s="532">
        <f t="shared" si="110"/>
        <v>3.2043123703175691E-2</v>
      </c>
      <c r="N867" s="127"/>
      <c r="O867" s="127"/>
    </row>
    <row r="868" spans="1:15" s="6" customFormat="1" ht="15.75">
      <c r="A868" s="55">
        <v>123</v>
      </c>
      <c r="B868" s="55" t="s">
        <v>45</v>
      </c>
      <c r="C868" s="8">
        <v>562.28</v>
      </c>
      <c r="D868" s="55"/>
      <c r="E868" s="55"/>
      <c r="F868" s="622">
        <f t="shared" si="109"/>
        <v>562.28</v>
      </c>
      <c r="G868" s="290">
        <f t="shared" si="107"/>
        <v>4.1447886698101734E-3</v>
      </c>
      <c r="H868" s="426">
        <f t="shared" si="108"/>
        <v>9.4050643143263599</v>
      </c>
      <c r="I868" s="148">
        <f t="shared" si="106"/>
        <v>3.4582421483778027</v>
      </c>
      <c r="J868" s="148">
        <v>3.6294893082479813</v>
      </c>
      <c r="K868" s="427">
        <f t="shared" si="111"/>
        <v>1.5244118248694838</v>
      </c>
      <c r="L868" s="426"/>
      <c r="M868" s="532">
        <f t="shared" si="110"/>
        <v>3.2043123703175691E-2</v>
      </c>
      <c r="N868" s="127"/>
      <c r="O868" s="127"/>
    </row>
    <row r="869" spans="1:15" s="6" customFormat="1" ht="15.75">
      <c r="A869" s="55">
        <v>124</v>
      </c>
      <c r="B869" s="55" t="s">
        <v>46</v>
      </c>
      <c r="C869" s="8">
        <v>156.78</v>
      </c>
      <c r="D869" s="55"/>
      <c r="E869" s="55"/>
      <c r="F869" s="622">
        <f t="shared" si="109"/>
        <v>156.78</v>
      </c>
      <c r="G869" s="290">
        <f t="shared" si="107"/>
        <v>1.1556875002718201E-3</v>
      </c>
      <c r="H869" s="426">
        <f t="shared" si="108"/>
        <v>2.6224051774917956</v>
      </c>
      <c r="I869" s="148">
        <f t="shared" si="106"/>
        <v>0.9642583837637333</v>
      </c>
      <c r="J869" s="148">
        <v>1.0120070672033836</v>
      </c>
      <c r="K869" s="427">
        <f t="shared" si="111"/>
        <v>0.42505030572497277</v>
      </c>
      <c r="L869" s="426"/>
      <c r="M869" s="532">
        <f t="shared" si="110"/>
        <v>3.2043123703175691E-2</v>
      </c>
      <c r="N869" s="127"/>
      <c r="O869" s="127"/>
    </row>
    <row r="870" spans="1:15" s="6" customFormat="1" ht="15.75">
      <c r="A870" s="55">
        <v>125</v>
      </c>
      <c r="B870" s="55" t="s">
        <v>47</v>
      </c>
      <c r="C870" s="8">
        <v>169.82</v>
      </c>
      <c r="D870" s="55"/>
      <c r="E870" s="55"/>
      <c r="F870" s="622">
        <f t="shared" si="109"/>
        <v>169.82</v>
      </c>
      <c r="G870" s="290">
        <f t="shared" si="107"/>
        <v>1.2518105070554949E-3</v>
      </c>
      <c r="H870" s="426">
        <f t="shared" si="108"/>
        <v>2.8405207758748352</v>
      </c>
      <c r="I870" s="148">
        <f t="shared" si="106"/>
        <v>1.044459489289177</v>
      </c>
      <c r="J870" s="148">
        <v>1.0961796157193431</v>
      </c>
      <c r="K870" s="427">
        <f t="shared" si="111"/>
        <v>0.46040338638994049</v>
      </c>
      <c r="L870" s="426"/>
      <c r="M870" s="532">
        <f t="shared" si="110"/>
        <v>3.2043123703175691E-2</v>
      </c>
      <c r="N870" s="127"/>
      <c r="O870" s="127"/>
    </row>
    <row r="871" spans="1:15" s="6" customFormat="1" ht="15.75">
      <c r="A871" s="55">
        <v>126</v>
      </c>
      <c r="B871" s="55" t="s">
        <v>48</v>
      </c>
      <c r="C871" s="8">
        <v>263.20999999999998</v>
      </c>
      <c r="D871" s="55"/>
      <c r="E871" s="55"/>
      <c r="F871" s="622">
        <f t="shared" si="109"/>
        <v>263.20999999999998</v>
      </c>
      <c r="G871" s="290">
        <f t="shared" si="107"/>
        <v>1.940225200577534E-3</v>
      </c>
      <c r="H871" s="426">
        <f t="shared" si="108"/>
        <v>4.4026232093865003</v>
      </c>
      <c r="I871" s="148">
        <f t="shared" si="106"/>
        <v>1.6188445540914163</v>
      </c>
      <c r="J871" s="148">
        <v>1.6990073999145465</v>
      </c>
      <c r="K871" s="427">
        <f t="shared" ref="K871:K878" si="112">G871*235.27</f>
        <v>0.45647678293987642</v>
      </c>
      <c r="L871" s="426"/>
      <c r="M871" s="532">
        <f t="shared" si="110"/>
        <v>3.1066266275340374E-2</v>
      </c>
      <c r="N871" s="127"/>
      <c r="O871" s="127"/>
    </row>
    <row r="872" spans="1:15" s="6" customFormat="1" ht="15.75">
      <c r="A872" s="55">
        <v>127</v>
      </c>
      <c r="B872" s="55" t="s">
        <v>49</v>
      </c>
      <c r="C872" s="8">
        <v>83.5</v>
      </c>
      <c r="D872" s="55"/>
      <c r="E872" s="55"/>
      <c r="F872" s="622">
        <f t="shared" si="109"/>
        <v>83.5</v>
      </c>
      <c r="G872" s="290">
        <f t="shared" si="107"/>
        <v>6.1551158484945143E-4</v>
      </c>
      <c r="H872" s="426">
        <f t="shared" si="108"/>
        <v>1.3966758025294357</v>
      </c>
      <c r="I872" s="148">
        <f t="shared" ref="I872:I879" si="113">H872*0.3677</f>
        <v>0.51355769259007356</v>
      </c>
      <c r="J872" s="148">
        <v>0.53898832830388144</v>
      </c>
      <c r="K872" s="427">
        <f t="shared" si="112"/>
        <v>0.14481141056753044</v>
      </c>
      <c r="L872" s="426"/>
      <c r="M872" s="532">
        <f t="shared" si="110"/>
        <v>3.1066266275340374E-2</v>
      </c>
      <c r="N872" s="127"/>
      <c r="O872" s="127"/>
    </row>
    <row r="873" spans="1:15" s="6" customFormat="1" ht="15.75">
      <c r="A873" s="55">
        <v>128</v>
      </c>
      <c r="B873" s="55" t="s">
        <v>1372</v>
      </c>
      <c r="C873" s="388">
        <v>1770.4</v>
      </c>
      <c r="D873" s="55"/>
      <c r="E873" s="55"/>
      <c r="F873" s="622">
        <f t="shared" si="109"/>
        <v>1770.4</v>
      </c>
      <c r="G873" s="290">
        <f t="shared" si="107"/>
        <v>1.3050319878053518E-2</v>
      </c>
      <c r="H873" s="426">
        <f t="shared" si="108"/>
        <v>29.612872344887581</v>
      </c>
      <c r="I873" s="148">
        <f t="shared" si="113"/>
        <v>10.888653161215164</v>
      </c>
      <c r="J873" s="148">
        <v>11.427843550050202</v>
      </c>
      <c r="K873" s="427">
        <f t="shared" si="112"/>
        <v>3.0703487577096515</v>
      </c>
      <c r="L873" s="426"/>
      <c r="M873" s="532">
        <f t="shared" si="110"/>
        <v>3.1066266275340374E-2</v>
      </c>
      <c r="N873" s="127"/>
      <c r="O873" s="127"/>
    </row>
    <row r="874" spans="1:15" s="6" customFormat="1" ht="15.75">
      <c r="A874" s="55">
        <v>129</v>
      </c>
      <c r="B874" s="55" t="s">
        <v>1373</v>
      </c>
      <c r="C874" s="388">
        <v>4227</v>
      </c>
      <c r="D874" s="55"/>
      <c r="E874" s="55">
        <v>534.20000000000005</v>
      </c>
      <c r="F874" s="622">
        <f t="shared" si="109"/>
        <v>4761.2</v>
      </c>
      <c r="G874" s="290">
        <f t="shared" si="107"/>
        <v>3.5096691710002487E-2</v>
      </c>
      <c r="H874" s="426">
        <f t="shared" si="108"/>
        <v>79.638956059917945</v>
      </c>
      <c r="I874" s="148">
        <f t="shared" si="113"/>
        <v>29.28324414323183</v>
      </c>
      <c r="J874" s="148">
        <v>30.733308128388508</v>
      </c>
      <c r="K874" s="427">
        <f t="shared" si="112"/>
        <v>8.2571986586122854</v>
      </c>
      <c r="L874" s="426"/>
      <c r="M874" s="532">
        <f t="shared" si="110"/>
        <v>3.4992360300485116E-2</v>
      </c>
      <c r="N874" s="127"/>
      <c r="O874" s="127"/>
    </row>
    <row r="875" spans="1:15" s="6" customFormat="1" ht="15.75">
      <c r="A875" s="55">
        <v>130</v>
      </c>
      <c r="B875" s="55" t="s">
        <v>1382</v>
      </c>
      <c r="C875" s="158">
        <v>725.2</v>
      </c>
      <c r="D875" s="160"/>
      <c r="E875" s="160"/>
      <c r="F875" s="622">
        <f t="shared" si="109"/>
        <v>725.2</v>
      </c>
      <c r="G875" s="290">
        <f t="shared" si="107"/>
        <v>5.3457365429080504E-3</v>
      </c>
      <c r="H875" s="426">
        <f t="shared" si="108"/>
        <v>12.130171161608946</v>
      </c>
      <c r="I875" s="148">
        <f t="shared" si="113"/>
        <v>4.4602639361236101</v>
      </c>
      <c r="J875" s="148">
        <v>4.6811297686943103</v>
      </c>
      <c r="K875" s="427">
        <f t="shared" si="112"/>
        <v>1.2576914364499772</v>
      </c>
      <c r="L875" s="426"/>
      <c r="M875" s="532">
        <f t="shared" si="110"/>
        <v>3.1066266275340378E-2</v>
      </c>
      <c r="N875" s="127"/>
      <c r="O875" s="127"/>
    </row>
    <row r="876" spans="1:15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622">
        <f t="shared" si="109"/>
        <v>2911.81</v>
      </c>
      <c r="G876" s="290">
        <f t="shared" si="107"/>
        <v>2.1464105244077616E-2</v>
      </c>
      <c r="H876" s="426">
        <f t="shared" si="108"/>
        <v>48.704845132493844</v>
      </c>
      <c r="I876" s="148">
        <f t="shared" si="113"/>
        <v>17.908771555217989</v>
      </c>
      <c r="J876" s="148">
        <v>11.427843550050202</v>
      </c>
      <c r="K876" s="144">
        <f t="shared" si="112"/>
        <v>5.0498600407741412</v>
      </c>
      <c r="L876" s="144"/>
      <c r="M876" s="532">
        <f t="shared" si="110"/>
        <v>2.8943510813511229E-2</v>
      </c>
      <c r="N876" s="127"/>
      <c r="O876" s="127"/>
    </row>
    <row r="877" spans="1:15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622">
        <f t="shared" si="109"/>
        <v>2933</v>
      </c>
      <c r="G877" s="290">
        <f>2/271319.02*F877</f>
        <v>2.1620305130101089E-2</v>
      </c>
      <c r="H877" s="426">
        <f>G877*2269.13</f>
        <v>49.059282979866289</v>
      </c>
      <c r="I877" s="148">
        <f t="shared" si="113"/>
        <v>18.039098351696836</v>
      </c>
      <c r="J877" s="148">
        <v>30.733308128388508</v>
      </c>
      <c r="K877" s="144">
        <f t="shared" si="112"/>
        <v>5.0866091879588833</v>
      </c>
      <c r="L877" s="144"/>
      <c r="M877" s="532">
        <f t="shared" si="110"/>
        <v>3.5089771103958584E-2</v>
      </c>
      <c r="N877" s="127"/>
      <c r="O877" s="127"/>
    </row>
    <row r="878" spans="1:15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622">
        <f t="shared" si="109"/>
        <v>3120.67</v>
      </c>
      <c r="G878" s="290">
        <f>2/271319.02*F878</f>
        <v>2.3003695059786076E-2</v>
      </c>
      <c r="H878" s="426">
        <f>G878*2269.13</f>
        <v>52.19837457101238</v>
      </c>
      <c r="I878" s="148">
        <f t="shared" si="113"/>
        <v>19.193342329761254</v>
      </c>
      <c r="J878" s="148">
        <v>4.6811297686943103</v>
      </c>
      <c r="K878" s="144">
        <f t="shared" si="112"/>
        <v>5.4120793367158706</v>
      </c>
      <c r="L878" s="144"/>
      <c r="M878" s="532">
        <f t="shared" si="110"/>
        <v>2.6111356217153308E-2</v>
      </c>
      <c r="N878" s="127"/>
      <c r="O878" s="127"/>
    </row>
    <row r="879" spans="1:15" s="5" customFormat="1" ht="16.5" thickBot="1">
      <c r="A879" s="160"/>
      <c r="B879" s="160" t="s">
        <v>681</v>
      </c>
      <c r="C879" s="160">
        <f>SUM(C749:C875)</f>
        <v>265493.51999999984</v>
      </c>
      <c r="D879" s="160">
        <f>SUM(D749:D875)</f>
        <v>216.9</v>
      </c>
      <c r="E879" s="160">
        <f>SUM(E749:E875)</f>
        <v>5608.6</v>
      </c>
      <c r="F879" s="629">
        <f>SUM(F749:F875)</f>
        <v>271319.01999999996</v>
      </c>
      <c r="G879" s="290">
        <f>2/271319.02*F879</f>
        <v>1.9999999999999996</v>
      </c>
      <c r="H879" s="426">
        <f>G879*2269.13</f>
        <v>4538.2599999999993</v>
      </c>
      <c r="I879" s="150">
        <f t="shared" si="113"/>
        <v>1668.7182019999998</v>
      </c>
      <c r="J879" s="148">
        <f>SUM(J748:J875)</f>
        <v>1751.3507188844001</v>
      </c>
      <c r="K879" s="150">
        <f>SUM(K749:K875)</f>
        <v>492.94622766513015</v>
      </c>
      <c r="L879" s="929"/>
      <c r="M879" s="532">
        <f t="shared" si="110"/>
        <v>3.1832321740091936E-2</v>
      </c>
      <c r="N879" s="127"/>
      <c r="O879" s="129"/>
    </row>
    <row r="880" spans="1:15" s="6" customFormat="1" ht="16.5" thickBot="1">
      <c r="A880" s="552" t="s">
        <v>392</v>
      </c>
      <c r="B880" s="197"/>
      <c r="C880" s="197"/>
      <c r="D880" s="197"/>
      <c r="E880" s="197"/>
      <c r="F880" s="622">
        <f t="shared" si="109"/>
        <v>0</v>
      </c>
      <c r="G880" s="534"/>
      <c r="H880" s="426"/>
      <c r="I880" s="216"/>
      <c r="J880" s="148">
        <v>0</v>
      </c>
      <c r="K880" s="216"/>
      <c r="L880" s="928"/>
      <c r="M880" s="532" t="e">
        <f t="shared" si="110"/>
        <v>#DIV/0!</v>
      </c>
      <c r="N880" s="127"/>
      <c r="O880" s="127"/>
    </row>
    <row r="881" spans="1:15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20">
        <f t="shared" si="109"/>
        <v>4265.91</v>
      </c>
      <c r="G881" s="290">
        <f t="shared" ref="G881:G944" si="114">2/282420.13*F881</f>
        <v>3.0209673793436746E-2</v>
      </c>
      <c r="H881" s="426">
        <f t="shared" ref="H881:H944" si="115">G881*2269.13</f>
        <v>68.549677094901128</v>
      </c>
      <c r="I881" s="426">
        <f t="shared" ref="I881:I943" si="116">H881*0.3677</f>
        <v>25.205716267795147</v>
      </c>
      <c r="J881" s="148">
        <v>26.354875122303692</v>
      </c>
      <c r="K881" s="920">
        <f>G881*1235.27</f>
        <v>37.31710374681861</v>
      </c>
      <c r="L881" s="426">
        <f>K881*1.219</f>
        <v>45.489549467371887</v>
      </c>
      <c r="M881" s="532">
        <f t="shared" si="110"/>
        <v>3.690358498698252E-2</v>
      </c>
      <c r="N881" s="523"/>
      <c r="O881" s="127"/>
    </row>
    <row r="882" spans="1:15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20">
        <f t="shared" si="109"/>
        <v>9865.73</v>
      </c>
      <c r="G882" s="290">
        <f t="shared" si="114"/>
        <v>6.9865628912499964E-2</v>
      </c>
      <c r="H882" s="426">
        <f t="shared" si="115"/>
        <v>158.53419453422106</v>
      </c>
      <c r="I882" s="427">
        <f t="shared" si="116"/>
        <v>58.29302333023309</v>
      </c>
      <c r="J882" s="148">
        <v>60.950672222425034</v>
      </c>
      <c r="K882" s="921">
        <f>G882*1235.27</f>
        <v>86.302915426743823</v>
      </c>
      <c r="L882" s="426">
        <f t="shared" ref="L882:L945" si="117">K882*1.219</f>
        <v>105.20325390520073</v>
      </c>
      <c r="M882" s="532">
        <f t="shared" si="110"/>
        <v>3.6903584986982513E-2</v>
      </c>
      <c r="N882" s="523"/>
      <c r="O882" s="127"/>
    </row>
    <row r="883" spans="1:15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20">
        <f t="shared" si="109"/>
        <v>4252.49</v>
      </c>
      <c r="G883" s="290">
        <f t="shared" si="114"/>
        <v>3.0114638074842607E-2</v>
      </c>
      <c r="H883" s="426">
        <f t="shared" si="115"/>
        <v>68.334028694767611</v>
      </c>
      <c r="I883" s="427">
        <f t="shared" si="116"/>
        <v>25.126422351066051</v>
      </c>
      <c r="J883" s="148">
        <v>26.271966100748781</v>
      </c>
      <c r="K883" s="921">
        <f t="shared" ref="K883:K896" si="118">G883*235.27</f>
        <v>7.0850708998682208</v>
      </c>
      <c r="L883" s="426">
        <f t="shared" si="117"/>
        <v>8.6367014269393625</v>
      </c>
      <c r="M883" s="532">
        <f t="shared" si="110"/>
        <v>2.982193680560111E-2</v>
      </c>
      <c r="N883" s="523"/>
      <c r="O883" s="127"/>
    </row>
    <row r="884" spans="1:15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20">
        <f t="shared" si="109"/>
        <v>5951.3</v>
      </c>
      <c r="G884" s="290">
        <f t="shared" si="114"/>
        <v>4.2145012821855156E-2</v>
      </c>
      <c r="H884" s="426">
        <f t="shared" si="115"/>
        <v>95.632512944456195</v>
      </c>
      <c r="I884" s="427">
        <f t="shared" si="116"/>
        <v>35.164075009676544</v>
      </c>
      <c r="J884" s="148">
        <v>36.767247390443302</v>
      </c>
      <c r="K884" s="921">
        <f t="shared" si="118"/>
        <v>9.9154571665978626</v>
      </c>
      <c r="L884" s="426">
        <f t="shared" si="117"/>
        <v>12.086942286082795</v>
      </c>
      <c r="M884" s="532">
        <f t="shared" si="110"/>
        <v>2.9858059674496378E-2</v>
      </c>
      <c r="N884" s="523"/>
      <c r="O884" s="127"/>
    </row>
    <row r="885" spans="1:15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20">
        <f t="shared" si="109"/>
        <v>4295.57</v>
      </c>
      <c r="G885" s="290">
        <f t="shared" si="114"/>
        <v>3.041971547849652E-2</v>
      </c>
      <c r="H885" s="426">
        <f t="shared" si="115"/>
        <v>69.026288983720818</v>
      </c>
      <c r="I885" s="427">
        <f t="shared" si="116"/>
        <v>25.380966459314145</v>
      </c>
      <c r="J885" s="148">
        <v>26.538115180375129</v>
      </c>
      <c r="K885" s="921">
        <f>G885*1235.27</f>
        <v>37.576561939122399</v>
      </c>
      <c r="L885" s="426">
        <f t="shared" si="117"/>
        <v>45.805829003790208</v>
      </c>
      <c r="M885" s="532">
        <f t="shared" si="110"/>
        <v>3.6903584986982513E-2</v>
      </c>
      <c r="N885" s="523"/>
      <c r="O885" s="127"/>
    </row>
    <row r="886" spans="1:15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20">
        <f t="shared" si="109"/>
        <v>7972.34</v>
      </c>
      <c r="G886" s="290">
        <f t="shared" si="114"/>
        <v>5.6457307062354231E-2</v>
      </c>
      <c r="H886" s="426">
        <f t="shared" si="115"/>
        <v>128.10896917439987</v>
      </c>
      <c r="I886" s="427">
        <f t="shared" si="116"/>
        <v>47.105667965426839</v>
      </c>
      <c r="J886" s="148">
        <v>49.253271900379204</v>
      </c>
      <c r="K886" s="921">
        <f>G886*135.27</f>
        <v>7.6369799263246572</v>
      </c>
      <c r="L886" s="426">
        <f t="shared" si="117"/>
        <v>9.3094785301897574</v>
      </c>
      <c r="M886" s="532">
        <f t="shared" si="110"/>
        <v>2.9113771987462976E-2</v>
      </c>
      <c r="N886" s="523"/>
      <c r="O886" s="127"/>
    </row>
    <row r="887" spans="1:15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20">
        <f t="shared" si="109"/>
        <v>3946.89</v>
      </c>
      <c r="G887" s="290">
        <f t="shared" si="114"/>
        <v>2.7950486390612452E-2</v>
      </c>
      <c r="H887" s="426">
        <f t="shared" si="115"/>
        <v>63.423287183530434</v>
      </c>
      <c r="I887" s="427">
        <f t="shared" si="116"/>
        <v>23.320742697384141</v>
      </c>
      <c r="J887" s="148">
        <v>24.383963344624995</v>
      </c>
      <c r="K887" s="921">
        <f>G887*1235.27</f>
        <v>34.526397323731842</v>
      </c>
      <c r="L887" s="426">
        <f t="shared" si="117"/>
        <v>42.087678337629121</v>
      </c>
      <c r="M887" s="532">
        <f t="shared" si="110"/>
        <v>3.6971028316763854E-2</v>
      </c>
      <c r="N887" s="523"/>
      <c r="O887" s="127"/>
    </row>
    <row r="888" spans="1:15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20">
        <f t="shared" si="109"/>
        <v>8036.22</v>
      </c>
      <c r="G888" s="290">
        <f t="shared" si="114"/>
        <v>5.6909682748180875E-2</v>
      </c>
      <c r="H888" s="426">
        <f t="shared" si="115"/>
        <v>129.13546841437969</v>
      </c>
      <c r="I888" s="427">
        <f t="shared" si="116"/>
        <v>47.483111735967412</v>
      </c>
      <c r="J888" s="148">
        <v>49.647923785396173</v>
      </c>
      <c r="K888" s="921">
        <f>G888*235.27</f>
        <v>13.389141060164516</v>
      </c>
      <c r="L888" s="426">
        <f t="shared" si="117"/>
        <v>16.321362952340547</v>
      </c>
      <c r="M888" s="532">
        <f t="shared" si="110"/>
        <v>2.9821936805601114E-2</v>
      </c>
      <c r="N888" s="523"/>
      <c r="O888" s="127"/>
    </row>
    <row r="889" spans="1:15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20">
        <f t="shared" si="109"/>
        <v>3993.05</v>
      </c>
      <c r="G889" s="290">
        <f t="shared" si="114"/>
        <v>2.8277375270665019E-2</v>
      </c>
      <c r="H889" s="426">
        <f t="shared" si="115"/>
        <v>64.165040547924121</v>
      </c>
      <c r="I889" s="427">
        <f t="shared" si="116"/>
        <v>23.5934854094717</v>
      </c>
      <c r="J889" s="148">
        <v>24.669140724280346</v>
      </c>
      <c r="K889" s="921">
        <f t="shared" si="118"/>
        <v>6.652818079929359</v>
      </c>
      <c r="L889" s="426">
        <f t="shared" si="117"/>
        <v>8.1097852394338901</v>
      </c>
      <c r="M889" s="532">
        <f t="shared" si="110"/>
        <v>2.9821936805601114E-2</v>
      </c>
      <c r="N889" s="523"/>
      <c r="O889" s="127"/>
    </row>
    <row r="890" spans="1:15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20">
        <f t="shared" si="109"/>
        <v>8196.09</v>
      </c>
      <c r="G890" s="290">
        <f t="shared" si="114"/>
        <v>5.8041825842938322E-2</v>
      </c>
      <c r="H890" s="426">
        <f t="shared" si="115"/>
        <v>131.70444827498665</v>
      </c>
      <c r="I890" s="427">
        <f t="shared" si="116"/>
        <v>48.427725630712594</v>
      </c>
      <c r="J890" s="148">
        <v>50.635603761251893</v>
      </c>
      <c r="K890" s="921">
        <f t="shared" si="118"/>
        <v>13.6555003660681</v>
      </c>
      <c r="L890" s="426">
        <f t="shared" si="117"/>
        <v>16.646054946237015</v>
      </c>
      <c r="M890" s="532">
        <f t="shared" si="110"/>
        <v>2.9821936805601114E-2</v>
      </c>
      <c r="N890" s="523"/>
      <c r="O890" s="127"/>
    </row>
    <row r="891" spans="1:15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20">
        <f t="shared" si="109"/>
        <v>3935.64</v>
      </c>
      <c r="G891" s="290">
        <f t="shared" si="114"/>
        <v>2.787081784857191E-2</v>
      </c>
      <c r="H891" s="426">
        <f t="shared" si="115"/>
        <v>63.242508904729981</v>
      </c>
      <c r="I891" s="427">
        <f t="shared" si="116"/>
        <v>23.254270524269216</v>
      </c>
      <c r="J891" s="148">
        <v>24.314460625363242</v>
      </c>
      <c r="K891" s="921">
        <f t="shared" si="118"/>
        <v>6.5571673152335137</v>
      </c>
      <c r="L891" s="426">
        <f t="shared" si="117"/>
        <v>7.9931869572696534</v>
      </c>
      <c r="M891" s="532">
        <f t="shared" si="110"/>
        <v>2.982193680560111E-2</v>
      </c>
      <c r="N891" s="523"/>
      <c r="O891" s="127"/>
    </row>
    <row r="892" spans="1:15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20">
        <f t="shared" si="109"/>
        <v>4128.3999999999996</v>
      </c>
      <c r="G892" s="290">
        <f t="shared" si="114"/>
        <v>2.9235876352014988E-2</v>
      </c>
      <c r="H892" s="426">
        <f t="shared" si="115"/>
        <v>66.340004106647768</v>
      </c>
      <c r="I892" s="427">
        <f t="shared" si="116"/>
        <v>24.393219510014386</v>
      </c>
      <c r="J892" s="148">
        <v>25.505335662242889</v>
      </c>
      <c r="K892" s="921">
        <f t="shared" si="118"/>
        <v>6.8783246293385663</v>
      </c>
      <c r="L892" s="426">
        <f t="shared" si="117"/>
        <v>8.384677723163712</v>
      </c>
      <c r="M892" s="532">
        <f t="shared" si="110"/>
        <v>3.1132575711385124E-2</v>
      </c>
      <c r="N892" s="523"/>
      <c r="O892" s="127"/>
    </row>
    <row r="893" spans="1:15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20">
        <f t="shared" si="109"/>
        <v>18171.13</v>
      </c>
      <c r="G893" s="290">
        <f t="shared" si="114"/>
        <v>0.12868154971814511</v>
      </c>
      <c r="H893" s="426">
        <f t="shared" si="115"/>
        <v>291.99516491193464</v>
      </c>
      <c r="I893" s="427">
        <f t="shared" si="116"/>
        <v>107.36662213811837</v>
      </c>
      <c r="J893" s="148">
        <v>112.26159529412162</v>
      </c>
      <c r="K893" s="921">
        <f t="shared" si="118"/>
        <v>30.274908202188001</v>
      </c>
      <c r="L893" s="426">
        <f t="shared" si="117"/>
        <v>36.905113098467176</v>
      </c>
      <c r="M893" s="532">
        <f t="shared" si="110"/>
        <v>3.0204245248006266E-2</v>
      </c>
      <c r="N893" s="523"/>
      <c r="O893" s="127"/>
    </row>
    <row r="894" spans="1:15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20">
        <f t="shared" si="109"/>
        <v>3212.3</v>
      </c>
      <c r="G894" s="290">
        <f t="shared" si="114"/>
        <v>2.2748378453051488E-2</v>
      </c>
      <c r="H894" s="426">
        <f t="shared" si="115"/>
        <v>51.619027999172729</v>
      </c>
      <c r="I894" s="427">
        <f t="shared" si="116"/>
        <v>18.980316595295815</v>
      </c>
      <c r="J894" s="148">
        <v>19.845652007514495</v>
      </c>
      <c r="K894" s="921">
        <f t="shared" si="118"/>
        <v>5.3520109986494235</v>
      </c>
      <c r="L894" s="426">
        <f t="shared" si="117"/>
        <v>6.5241014073536476</v>
      </c>
      <c r="M894" s="532">
        <f t="shared" si="110"/>
        <v>2.9821936805601114E-2</v>
      </c>
      <c r="N894" s="523"/>
      <c r="O894" s="127"/>
    </row>
    <row r="895" spans="1:15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20">
        <f t="shared" si="109"/>
        <v>4181.6099999999997</v>
      </c>
      <c r="G895" s="290">
        <f t="shared" si="114"/>
        <v>2.9612690851746296E-2</v>
      </c>
      <c r="H895" s="426">
        <f t="shared" si="115"/>
        <v>67.19504519242308</v>
      </c>
      <c r="I895" s="427">
        <f t="shared" si="116"/>
        <v>24.707618117253968</v>
      </c>
      <c r="J895" s="148">
        <v>25.834068079302266</v>
      </c>
      <c r="K895" s="921">
        <f t="shared" si="118"/>
        <v>6.9669777766903511</v>
      </c>
      <c r="L895" s="426">
        <f t="shared" si="117"/>
        <v>8.4927459097855387</v>
      </c>
      <c r="M895" s="532">
        <f t="shared" si="110"/>
        <v>3.1185204889872153E-2</v>
      </c>
      <c r="N895" s="523"/>
      <c r="O895" s="127"/>
    </row>
    <row r="896" spans="1:15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20">
        <f t="shared" si="109"/>
        <v>6299.01</v>
      </c>
      <c r="G896" s="290">
        <f t="shared" si="114"/>
        <v>4.4607372711003283E-2</v>
      </c>
      <c r="H896" s="426">
        <f t="shared" si="115"/>
        <v>101.21992763971889</v>
      </c>
      <c r="I896" s="427">
        <f t="shared" si="116"/>
        <v>37.218567393124637</v>
      </c>
      <c r="J896" s="148">
        <v>38.9154065472882</v>
      </c>
      <c r="K896" s="921">
        <f t="shared" si="118"/>
        <v>10.494776577717744</v>
      </c>
      <c r="L896" s="426">
        <f t="shared" si="117"/>
        <v>12.793132648237931</v>
      </c>
      <c r="M896" s="532">
        <f t="shared" si="110"/>
        <v>2.982193680560111E-2</v>
      </c>
      <c r="N896" s="523"/>
      <c r="O896" s="127"/>
    </row>
    <row r="897" spans="1:15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20">
        <f t="shared" si="109"/>
        <v>147.65</v>
      </c>
      <c r="G897" s="290">
        <f t="shared" si="114"/>
        <v>1.0456053539809646E-3</v>
      </c>
      <c r="H897" s="426">
        <f t="shared" si="115"/>
        <v>2.3726144768788262</v>
      </c>
      <c r="I897" s="427">
        <f t="shared" si="116"/>
        <v>0.87241034314834442</v>
      </c>
      <c r="J897" s="148">
        <v>0.91218457768873251</v>
      </c>
      <c r="K897" s="921">
        <f>G897*367.79</f>
        <v>0.38456319314065895</v>
      </c>
      <c r="L897" s="426">
        <f t="shared" si="117"/>
        <v>0.4687825324384633</v>
      </c>
      <c r="M897" s="532">
        <f t="shared" si="110"/>
        <v>3.0760396822597777E-2</v>
      </c>
      <c r="N897" s="523"/>
      <c r="O897" s="127"/>
    </row>
    <row r="898" spans="1:15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20">
        <f t="shared" si="109"/>
        <v>4248.3</v>
      </c>
      <c r="G898" s="290">
        <f t="shared" si="114"/>
        <v>3.0084965968962624E-2</v>
      </c>
      <c r="H898" s="426">
        <f t="shared" si="115"/>
        <v>68.266698829152162</v>
      </c>
      <c r="I898" s="427">
        <f t="shared" si="116"/>
        <v>25.101665159479253</v>
      </c>
      <c r="J898" s="148">
        <v>26.246080199085959</v>
      </c>
      <c r="K898" s="921">
        <f t="shared" ref="K898:K910" si="119">G898*235.27</f>
        <v>7.0780899435178366</v>
      </c>
      <c r="L898" s="426">
        <f t="shared" si="117"/>
        <v>8.6281916411482431</v>
      </c>
      <c r="M898" s="532">
        <f t="shared" si="110"/>
        <v>2.9821936805601114E-2</v>
      </c>
      <c r="N898" s="523"/>
      <c r="O898" s="127"/>
    </row>
    <row r="899" spans="1:15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20">
        <f t="shared" si="109"/>
        <v>4085.47</v>
      </c>
      <c r="G899" s="290">
        <f t="shared" si="114"/>
        <v>2.8931861195588285E-2</v>
      </c>
      <c r="H899" s="426">
        <f t="shared" si="115"/>
        <v>65.650154194745241</v>
      </c>
      <c r="I899" s="427">
        <f t="shared" si="116"/>
        <v>24.139561697407828</v>
      </c>
      <c r="J899" s="148">
        <v>25.24011328554003</v>
      </c>
      <c r="K899" s="921">
        <f t="shared" si="119"/>
        <v>6.8067989834860558</v>
      </c>
      <c r="L899" s="426">
        <f t="shared" si="117"/>
        <v>8.2974879608695034</v>
      </c>
      <c r="M899" s="532">
        <f t="shared" si="110"/>
        <v>2.982193680560111E-2</v>
      </c>
      <c r="N899" s="523"/>
      <c r="O899" s="127"/>
    </row>
    <row r="900" spans="1:15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20">
        <f t="shared" si="109"/>
        <v>4100.95</v>
      </c>
      <c r="G900" s="290">
        <f t="shared" si="114"/>
        <v>2.904148510943607E-2</v>
      </c>
      <c r="H900" s="426">
        <f t="shared" si="115"/>
        <v>65.89890510637467</v>
      </c>
      <c r="I900" s="427">
        <f t="shared" si="116"/>
        <v>24.231027407613968</v>
      </c>
      <c r="J900" s="148">
        <v>25.335749027244205</v>
      </c>
      <c r="K900" s="921">
        <f t="shared" si="119"/>
        <v>6.8325902016970241</v>
      </c>
      <c r="L900" s="426">
        <f t="shared" si="117"/>
        <v>8.3289274558686728</v>
      </c>
      <c r="M900" s="532">
        <f t="shared" si="110"/>
        <v>3.0933004120984372E-2</v>
      </c>
      <c r="N900" s="523"/>
      <c r="O900" s="127"/>
    </row>
    <row r="901" spans="1:15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20">
        <f t="shared" si="109"/>
        <v>7076.23</v>
      </c>
      <c r="G901" s="290">
        <f t="shared" si="114"/>
        <v>5.0111371310536536E-2</v>
      </c>
      <c r="H901" s="426">
        <f t="shared" si="115"/>
        <v>113.70921598187778</v>
      </c>
      <c r="I901" s="427">
        <f t="shared" si="116"/>
        <v>41.810878716536465</v>
      </c>
      <c r="J901" s="148">
        <v>43.717086855254578</v>
      </c>
      <c r="K901" s="921">
        <f>G901*1835.27</f>
        <v>91.967896425088384</v>
      </c>
      <c r="L901" s="426">
        <f t="shared" si="117"/>
        <v>112.10886574218274</v>
      </c>
      <c r="M901" s="532">
        <f t="shared" si="110"/>
        <v>4.1152573895811367E-2</v>
      </c>
      <c r="N901" s="523"/>
      <c r="O901" s="127"/>
    </row>
    <row r="902" spans="1:15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20">
        <f t="shared" si="109"/>
        <v>4062.74</v>
      </c>
      <c r="G902" s="290">
        <f t="shared" si="114"/>
        <v>2.8770895332425488E-2</v>
      </c>
      <c r="H902" s="426">
        <f t="shared" si="115"/>
        <v>65.284901725666643</v>
      </c>
      <c r="I902" s="427">
        <f t="shared" si="116"/>
        <v>24.005258364527627</v>
      </c>
      <c r="J902" s="148">
        <v>25.099686902533833</v>
      </c>
      <c r="K902" s="921">
        <f t="shared" si="119"/>
        <v>6.7689285448597447</v>
      </c>
      <c r="L902" s="426">
        <f t="shared" si="117"/>
        <v>8.2513238961840294</v>
      </c>
      <c r="M902" s="532">
        <f t="shared" ref="M902:M965" si="120">(K902+J902+I902+H902)/C902</f>
        <v>2.982193680560111E-2</v>
      </c>
      <c r="N902" s="523"/>
      <c r="O902" s="127"/>
    </row>
    <row r="903" spans="1:15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20">
        <f t="shared" si="109"/>
        <v>6379.08</v>
      </c>
      <c r="G903" s="290">
        <f t="shared" si="114"/>
        <v>4.5174400280886491E-2</v>
      </c>
      <c r="H903" s="426">
        <f t="shared" si="115"/>
        <v>102.50658690936797</v>
      </c>
      <c r="I903" s="427">
        <f t="shared" si="116"/>
        <v>37.691672006574606</v>
      </c>
      <c r="J903" s="148">
        <v>39.410080567847203</v>
      </c>
      <c r="K903" s="921">
        <f>G903*1835.27</f>
        <v>82.907221603502549</v>
      </c>
      <c r="L903" s="426">
        <f t="shared" si="117"/>
        <v>101.06390313466962</v>
      </c>
      <c r="M903" s="532">
        <f t="shared" si="120"/>
        <v>4.115257389581136E-2</v>
      </c>
      <c r="N903" s="523"/>
      <c r="O903" s="127"/>
    </row>
    <row r="904" spans="1:15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20">
        <f t="shared" ref="F904:F963" si="121">C904+D904+E904</f>
        <v>6509.3399999999992</v>
      </c>
      <c r="G904" s="290">
        <f t="shared" si="114"/>
        <v>4.6096855772993231E-2</v>
      </c>
      <c r="H904" s="426">
        <f t="shared" si="115"/>
        <v>104.59975834017213</v>
      </c>
      <c r="I904" s="427">
        <f t="shared" si="116"/>
        <v>38.461331141681292</v>
      </c>
      <c r="J904" s="148">
        <v>40.214829386605977</v>
      </c>
      <c r="K904" s="921">
        <f>G904*1235.27</f>
        <v>56.942063030705349</v>
      </c>
      <c r="L904" s="426">
        <f t="shared" si="117"/>
        <v>69.412374834429826</v>
      </c>
      <c r="M904" s="532">
        <f t="shared" si="120"/>
        <v>3.701389872620775E-2</v>
      </c>
      <c r="N904" s="523"/>
      <c r="O904" s="127"/>
    </row>
    <row r="905" spans="1:15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20">
        <f t="shared" si="121"/>
        <v>4249.6000000000004</v>
      </c>
      <c r="G905" s="290">
        <f t="shared" si="114"/>
        <v>3.009417211159842E-2</v>
      </c>
      <c r="H905" s="426">
        <f t="shared" si="115"/>
        <v>68.28758876359133</v>
      </c>
      <c r="I905" s="427">
        <f t="shared" si="116"/>
        <v>25.109346388372533</v>
      </c>
      <c r="J905" s="148">
        <v>26.254111624422872</v>
      </c>
      <c r="K905" s="921">
        <f>G905*1235.27</f>
        <v>37.174427984294184</v>
      </c>
      <c r="L905" s="426">
        <f t="shared" si="117"/>
        <v>45.315627712854614</v>
      </c>
      <c r="M905" s="532">
        <f t="shared" si="120"/>
        <v>3.690358498698252E-2</v>
      </c>
      <c r="N905" s="523"/>
      <c r="O905" s="127"/>
    </row>
    <row r="906" spans="1:15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20">
        <f t="shared" si="121"/>
        <v>2807.52</v>
      </c>
      <c r="G906" s="290">
        <f t="shared" si="114"/>
        <v>1.9881868902191922E-2</v>
      </c>
      <c r="H906" s="426">
        <f t="shared" si="115"/>
        <v>45.11454518203076</v>
      </c>
      <c r="I906" s="427">
        <f t="shared" si="116"/>
        <v>16.588618263432711</v>
      </c>
      <c r="J906" s="148">
        <v>17.344913278379071</v>
      </c>
      <c r="K906" s="921">
        <f t="shared" si="119"/>
        <v>4.6776072966186941</v>
      </c>
      <c r="L906" s="426">
        <f t="shared" si="117"/>
        <v>5.7020032945781889</v>
      </c>
      <c r="M906" s="532">
        <f t="shared" si="120"/>
        <v>2.9821936805601117E-2</v>
      </c>
      <c r="N906" s="523"/>
      <c r="O906" s="127"/>
    </row>
    <row r="907" spans="1:15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20">
        <f t="shared" si="121"/>
        <v>4226.7</v>
      </c>
      <c r="G907" s="290">
        <f t="shared" si="114"/>
        <v>2.9932002368244781E-2</v>
      </c>
      <c r="H907" s="426">
        <f t="shared" si="115"/>
        <v>67.919604533855278</v>
      </c>
      <c r="I907" s="427">
        <f t="shared" si="116"/>
        <v>24.974038587098587</v>
      </c>
      <c r="J907" s="148">
        <v>26.112634978103387</v>
      </c>
      <c r="K907" s="921">
        <f>G907*1235.27</f>
        <v>36.974104565421733</v>
      </c>
      <c r="L907" s="426">
        <f t="shared" si="117"/>
        <v>45.071433465249093</v>
      </c>
      <c r="M907" s="532">
        <f t="shared" si="120"/>
        <v>3.6903584986982513E-2</v>
      </c>
      <c r="N907" s="523"/>
      <c r="O907" s="127"/>
    </row>
    <row r="908" spans="1:15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20">
        <f t="shared" si="121"/>
        <v>4709.3599999999997</v>
      </c>
      <c r="G908" s="290">
        <f t="shared" si="114"/>
        <v>3.335003067947033E-2</v>
      </c>
      <c r="H908" s="426">
        <f t="shared" si="115"/>
        <v>75.675555115706516</v>
      </c>
      <c r="I908" s="427">
        <f t="shared" si="116"/>
        <v>27.825901616045289</v>
      </c>
      <c r="J908" s="148">
        <v>29.094517865114852</v>
      </c>
      <c r="K908" s="921">
        <f>G908*1235.27</f>
        <v>41.19629239742931</v>
      </c>
      <c r="L908" s="426">
        <f t="shared" si="117"/>
        <v>50.218280432466329</v>
      </c>
      <c r="M908" s="532">
        <f t="shared" si="120"/>
        <v>3.690358498698252E-2</v>
      </c>
      <c r="N908" s="523"/>
      <c r="O908" s="127"/>
    </row>
    <row r="909" spans="1:15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620">
        <f t="shared" si="121"/>
        <v>5750.25</v>
      </c>
      <c r="G909" s="290">
        <f t="shared" si="114"/>
        <v>4.0721247454988424E-2</v>
      </c>
      <c r="H909" s="426">
        <f t="shared" si="115"/>
        <v>92.401804237537888</v>
      </c>
      <c r="I909" s="427">
        <f t="shared" si="116"/>
        <v>33.976143418142684</v>
      </c>
      <c r="J909" s="148">
        <v>35.525156571992099</v>
      </c>
      <c r="K909" s="921">
        <f>G909*1235.27</f>
        <v>50.30173534372355</v>
      </c>
      <c r="L909" s="426">
        <f t="shared" si="117"/>
        <v>61.317815383999012</v>
      </c>
      <c r="M909" s="532">
        <f t="shared" si="120"/>
        <v>3.7101667014257454E-2</v>
      </c>
      <c r="N909" s="523"/>
      <c r="O909" s="127"/>
    </row>
    <row r="910" spans="1:15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20">
        <f t="shared" si="121"/>
        <v>3555.12</v>
      </c>
      <c r="G910" s="290">
        <f t="shared" si="114"/>
        <v>2.517610908259266E-2</v>
      </c>
      <c r="H910" s="426">
        <f t="shared" si="115"/>
        <v>57.127864402583484</v>
      </c>
      <c r="I910" s="427">
        <f t="shared" si="116"/>
        <v>21.005915740829948</v>
      </c>
      <c r="J910" s="148">
        <v>21.963600649053614</v>
      </c>
      <c r="K910" s="921">
        <f t="shared" si="119"/>
        <v>5.9231831838615756</v>
      </c>
      <c r="L910" s="426">
        <f t="shared" si="117"/>
        <v>7.2203603011272612</v>
      </c>
      <c r="M910" s="532">
        <f t="shared" si="120"/>
        <v>2.982193680560111E-2</v>
      </c>
      <c r="N910" s="523"/>
      <c r="O910" s="127"/>
    </row>
    <row r="911" spans="1:15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20">
        <f t="shared" si="121"/>
        <v>342.6</v>
      </c>
      <c r="G911" s="290">
        <f t="shared" si="114"/>
        <v>2.4261726669412694E-3</v>
      </c>
      <c r="H911" s="426">
        <f t="shared" si="115"/>
        <v>5.5053011837364432</v>
      </c>
      <c r="I911" s="427">
        <f t="shared" si="116"/>
        <v>2.0242992452598902</v>
      </c>
      <c r="J911" s="148">
        <v>2.1165894772513356</v>
      </c>
      <c r="K911" s="921">
        <f>G911*1367.79</f>
        <v>3.3184947121155988</v>
      </c>
      <c r="L911" s="426">
        <f t="shared" si="117"/>
        <v>4.0452450540689151</v>
      </c>
      <c r="M911" s="532">
        <f t="shared" si="120"/>
        <v>3.7842045003979183E-2</v>
      </c>
      <c r="N911" s="523"/>
      <c r="O911" s="127"/>
    </row>
    <row r="912" spans="1:15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20">
        <f t="shared" si="121"/>
        <v>361.6</v>
      </c>
      <c r="G912" s="290">
        <f t="shared" si="114"/>
        <v>2.5607239823875159E-3</v>
      </c>
      <c r="H912" s="426">
        <f t="shared" si="115"/>
        <v>5.8106156101549846</v>
      </c>
      <c r="I912" s="427">
        <f t="shared" si="116"/>
        <v>2.1365633598539882</v>
      </c>
      <c r="J912" s="148">
        <v>2.2339718475600789</v>
      </c>
      <c r="K912" s="921">
        <f>G912*2367.79</f>
        <v>6.0632566382573359</v>
      </c>
      <c r="L912" s="426">
        <f t="shared" si="117"/>
        <v>7.3911098420356929</v>
      </c>
      <c r="M912" s="532">
        <f t="shared" si="120"/>
        <v>4.4923693185360589E-2</v>
      </c>
      <c r="N912" s="523"/>
      <c r="O912" s="127"/>
    </row>
    <row r="913" spans="1:15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20">
        <f t="shared" si="121"/>
        <v>7926.65</v>
      </c>
      <c r="G913" s="290">
        <f t="shared" si="114"/>
        <v>5.613374655694691E-2</v>
      </c>
      <c r="H913" s="426">
        <f t="shared" si="115"/>
        <v>127.37476832476494</v>
      </c>
      <c r="I913" s="427">
        <f t="shared" si="116"/>
        <v>46.835702313016071</v>
      </c>
      <c r="J913" s="148">
        <v>48.970998189884121</v>
      </c>
      <c r="K913" s="921">
        <f>G913*1235.27</f>
        <v>69.340333109399808</v>
      </c>
      <c r="L913" s="426">
        <f t="shared" si="117"/>
        <v>84.525866060358368</v>
      </c>
      <c r="M913" s="532">
        <f t="shared" si="120"/>
        <v>3.7868125432805586E-2</v>
      </c>
      <c r="N913" s="523"/>
      <c r="O913" s="127"/>
    </row>
    <row r="914" spans="1:15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20">
        <f t="shared" si="121"/>
        <v>4021.5</v>
      </c>
      <c r="G914" s="290">
        <f t="shared" si="114"/>
        <v>2.8478848161425319E-2</v>
      </c>
      <c r="H914" s="426">
        <f t="shared" si="115"/>
        <v>64.622208728535043</v>
      </c>
      <c r="I914" s="427">
        <f t="shared" si="116"/>
        <v>23.761586149482337</v>
      </c>
      <c r="J914" s="148">
        <v>24.84490537876896</v>
      </c>
      <c r="K914" s="921">
        <f>G914*235.27</f>
        <v>6.7002186069385354</v>
      </c>
      <c r="L914" s="426">
        <f t="shared" si="117"/>
        <v>8.167566481858076</v>
      </c>
      <c r="M914" s="532">
        <f t="shared" si="120"/>
        <v>2.9821936805601114E-2</v>
      </c>
      <c r="N914" s="523"/>
      <c r="O914" s="127"/>
    </row>
    <row r="915" spans="1:15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20">
        <f t="shared" si="121"/>
        <v>4138.7700000000004</v>
      </c>
      <c r="G915" s="290">
        <f t="shared" si="114"/>
        <v>2.9309313043655919E-2</v>
      </c>
      <c r="H915" s="426">
        <f t="shared" si="115"/>
        <v>66.506641506750952</v>
      </c>
      <c r="I915" s="427">
        <f t="shared" si="116"/>
        <v>24.454492082032328</v>
      </c>
      <c r="J915" s="148">
        <v>25.569401724353508</v>
      </c>
      <c r="K915" s="921">
        <f>G915*1235.27</f>
        <v>36.204915123436848</v>
      </c>
      <c r="L915" s="426">
        <f t="shared" si="117"/>
        <v>44.13379153546952</v>
      </c>
      <c r="M915" s="532">
        <f t="shared" si="120"/>
        <v>3.6903584986982513E-2</v>
      </c>
      <c r="N915" s="523"/>
      <c r="O915" s="127"/>
    </row>
    <row r="916" spans="1:15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20">
        <f t="shared" si="121"/>
        <v>361.5</v>
      </c>
      <c r="G916" s="290">
        <f t="shared" si="114"/>
        <v>2.5600158175693778E-3</v>
      </c>
      <c r="H916" s="426">
        <f t="shared" si="115"/>
        <v>5.8090086921212025</v>
      </c>
      <c r="I916" s="427">
        <f t="shared" si="116"/>
        <v>2.1359724960929665</v>
      </c>
      <c r="J916" s="148">
        <v>2.233354045611085</v>
      </c>
      <c r="K916" s="921">
        <f>G916*1367.79</f>
        <v>3.5015640351132191</v>
      </c>
      <c r="L916" s="426">
        <f t="shared" si="117"/>
        <v>4.2684065588030142</v>
      </c>
      <c r="M916" s="532">
        <f t="shared" si="120"/>
        <v>3.7842045003979183E-2</v>
      </c>
      <c r="N916" s="523"/>
      <c r="O916" s="127"/>
    </row>
    <row r="917" spans="1:15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20">
        <f t="shared" si="121"/>
        <v>5864.56</v>
      </c>
      <c r="G917" s="290">
        <f t="shared" si="114"/>
        <v>4.1530750658602136E-2</v>
      </c>
      <c r="H917" s="426">
        <f t="shared" si="115"/>
        <v>94.238672241953864</v>
      </c>
      <c r="I917" s="427">
        <f t="shared" si="116"/>
        <v>34.651559783366437</v>
      </c>
      <c r="J917" s="148">
        <v>36.231365979886434</v>
      </c>
      <c r="K917" s="921">
        <f>G917*235.27</f>
        <v>9.7709397074493243</v>
      </c>
      <c r="L917" s="426">
        <f t="shared" si="117"/>
        <v>11.910775503380727</v>
      </c>
      <c r="M917" s="532">
        <f t="shared" si="120"/>
        <v>3.0763534195356962E-2</v>
      </c>
      <c r="N917" s="523"/>
      <c r="O917" s="127"/>
    </row>
    <row r="918" spans="1:15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20">
        <f t="shared" si="121"/>
        <v>135.35</v>
      </c>
      <c r="G918" s="290">
        <f t="shared" si="114"/>
        <v>9.5850108134997315E-4</v>
      </c>
      <c r="H918" s="426">
        <f t="shared" si="115"/>
        <v>2.1749635587236646</v>
      </c>
      <c r="I918" s="427">
        <f t="shared" si="116"/>
        <v>0.79973410054269156</v>
      </c>
      <c r="J918" s="148">
        <v>0.83619493796254607</v>
      </c>
      <c r="K918" s="921">
        <f>G918*367.79</f>
        <v>0.35252711270970666</v>
      </c>
      <c r="L918" s="426">
        <f t="shared" si="117"/>
        <v>0.42973055039313246</v>
      </c>
      <c r="M918" s="532">
        <f t="shared" si="120"/>
        <v>3.0760396822597773E-2</v>
      </c>
      <c r="N918" s="523"/>
      <c r="O918" s="127">
        <v>2</v>
      </c>
    </row>
    <row r="919" spans="1:15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20">
        <f t="shared" si="121"/>
        <v>37.4</v>
      </c>
      <c r="G919" s="290">
        <f t="shared" si="114"/>
        <v>2.6485364198366453E-4</v>
      </c>
      <c r="H919" s="426">
        <f t="shared" si="115"/>
        <v>0.60098734463439274</v>
      </c>
      <c r="I919" s="427">
        <f t="shared" si="116"/>
        <v>0.22098304662206622</v>
      </c>
      <c r="J919" s="148">
        <v>0.23105792892352583</v>
      </c>
      <c r="K919" s="921">
        <f>G919*367.79</f>
        <v>9.7410520985171986E-2</v>
      </c>
      <c r="L919" s="426">
        <f t="shared" si="117"/>
        <v>0.11874342508092466</v>
      </c>
      <c r="M919" s="532">
        <f t="shared" si="120"/>
        <v>3.076039682259778E-2</v>
      </c>
      <c r="N919" s="523"/>
      <c r="O919" s="127"/>
    </row>
    <row r="920" spans="1:15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20">
        <f t="shared" si="121"/>
        <v>236.9</v>
      </c>
      <c r="G920" s="290">
        <f t="shared" si="114"/>
        <v>1.6776424541692547E-3</v>
      </c>
      <c r="H920" s="426">
        <f t="shared" si="115"/>
        <v>3.8067888220290813</v>
      </c>
      <c r="I920" s="427">
        <f t="shared" si="116"/>
        <v>1.3997562498600933</v>
      </c>
      <c r="J920" s="148">
        <v>1.4635728171653282</v>
      </c>
      <c r="K920" s="921">
        <f>G920*1367.79</f>
        <v>2.2946625723881651</v>
      </c>
      <c r="L920" s="426">
        <f t="shared" si="117"/>
        <v>2.7971936757411733</v>
      </c>
      <c r="M920" s="532">
        <f t="shared" si="120"/>
        <v>4.260827215514576E-2</v>
      </c>
      <c r="N920" s="523"/>
      <c r="O920" s="127"/>
    </row>
    <row r="921" spans="1:15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20">
        <f t="shared" si="121"/>
        <v>362.6</v>
      </c>
      <c r="G921" s="290">
        <f t="shared" si="114"/>
        <v>2.5678056305688977E-3</v>
      </c>
      <c r="H921" s="426">
        <f t="shared" si="115"/>
        <v>5.826684790492803</v>
      </c>
      <c r="I921" s="427">
        <f t="shared" si="116"/>
        <v>2.1424719974642037</v>
      </c>
      <c r="J921" s="148">
        <v>2.2401498670500128</v>
      </c>
      <c r="K921" s="921">
        <f>G921*367.79</f>
        <v>0.9444132328669349</v>
      </c>
      <c r="L921" s="426">
        <f t="shared" si="117"/>
        <v>1.1512397308647937</v>
      </c>
      <c r="M921" s="532">
        <f t="shared" si="120"/>
        <v>3.7529340134165395E-2</v>
      </c>
      <c r="N921" s="523"/>
      <c r="O921" s="127"/>
    </row>
    <row r="922" spans="1:15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20">
        <f t="shared" si="121"/>
        <v>494.9</v>
      </c>
      <c r="G922" s="290">
        <f t="shared" si="114"/>
        <v>3.5047076849656572E-3</v>
      </c>
      <c r="H922" s="426">
        <f t="shared" si="115"/>
        <v>7.952637349186122</v>
      </c>
      <c r="I922" s="427">
        <f t="shared" si="116"/>
        <v>2.9241847532957372</v>
      </c>
      <c r="J922" s="148">
        <v>3.0575018455682605</v>
      </c>
      <c r="K922" s="921">
        <f>G922*2067.79</f>
        <v>7.246999503895136</v>
      </c>
      <c r="L922" s="426">
        <f t="shared" si="117"/>
        <v>8.834092395248172</v>
      </c>
      <c r="M922" s="532">
        <f t="shared" si="120"/>
        <v>4.2799198730946168E-2</v>
      </c>
      <c r="N922" s="523"/>
      <c r="O922" s="127"/>
    </row>
    <row r="923" spans="1:15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20">
        <f t="shared" si="121"/>
        <v>277.2</v>
      </c>
      <c r="G923" s="290">
        <f t="shared" si="114"/>
        <v>1.9630328758789253E-3</v>
      </c>
      <c r="H923" s="426">
        <f t="shared" si="115"/>
        <v>4.4543767896431463</v>
      </c>
      <c r="I923" s="427">
        <f t="shared" si="116"/>
        <v>1.637874345551785</v>
      </c>
      <c r="J923" s="148">
        <v>1.7125470026096621</v>
      </c>
      <c r="K923" s="921">
        <f>G923*2367.79</f>
        <v>4.6480496131773608</v>
      </c>
      <c r="L923" s="426">
        <f t="shared" si="117"/>
        <v>5.6659724784632033</v>
      </c>
      <c r="M923" s="532">
        <f t="shared" si="120"/>
        <v>4.4923693185360582E-2</v>
      </c>
      <c r="N923" s="523"/>
      <c r="O923" s="127"/>
    </row>
    <row r="924" spans="1:15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20">
        <f t="shared" si="121"/>
        <v>7127.52</v>
      </c>
      <c r="G924" s="290">
        <f t="shared" si="114"/>
        <v>5.0474589045759591E-2</v>
      </c>
      <c r="H924" s="426">
        <f t="shared" si="115"/>
        <v>114.53340424140447</v>
      </c>
      <c r="I924" s="427">
        <f t="shared" si="116"/>
        <v>42.113932739564426</v>
      </c>
      <c r="J924" s="148">
        <v>44.033957474893292</v>
      </c>
      <c r="K924" s="921">
        <f>G924*1235.27</f>
        <v>62.349745610555452</v>
      </c>
      <c r="L924" s="426">
        <f t="shared" si="117"/>
        <v>76.004339899267094</v>
      </c>
      <c r="M924" s="532">
        <f t="shared" si="120"/>
        <v>3.6903584986982513E-2</v>
      </c>
      <c r="N924" s="523"/>
      <c r="O924" s="127"/>
    </row>
    <row r="925" spans="1:15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20">
        <f t="shared" si="121"/>
        <v>52.9</v>
      </c>
      <c r="G925" s="290">
        <f t="shared" si="114"/>
        <v>3.7461918879507628E-4</v>
      </c>
      <c r="H925" s="426">
        <f t="shared" si="115"/>
        <v>0.85005963987057143</v>
      </c>
      <c r="I925" s="427">
        <f t="shared" si="116"/>
        <v>0.31256692958040916</v>
      </c>
      <c r="J925" s="148">
        <v>0.32681723101750043</v>
      </c>
      <c r="K925" s="921">
        <f>G925*367.79</f>
        <v>0.13778119144694112</v>
      </c>
      <c r="L925" s="426">
        <f t="shared" si="117"/>
        <v>0.16795527237382124</v>
      </c>
      <c r="M925" s="532">
        <f t="shared" si="120"/>
        <v>3.0760396822597773E-2</v>
      </c>
      <c r="N925" s="523"/>
      <c r="O925" s="127"/>
    </row>
    <row r="926" spans="1:15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20">
        <f t="shared" si="121"/>
        <v>119.9</v>
      </c>
      <c r="G926" s="290">
        <f t="shared" si="114"/>
        <v>8.4908961694763049E-4</v>
      </c>
      <c r="H926" s="426">
        <f t="shared" si="115"/>
        <v>1.9266947225043769</v>
      </c>
      <c r="I926" s="427">
        <f t="shared" si="116"/>
        <v>0.70844564946485944</v>
      </c>
      <c r="J926" s="148">
        <v>0.74074453684306818</v>
      </c>
      <c r="K926" s="921">
        <f>G926*1367.79</f>
        <v>1.1613762871647995</v>
      </c>
      <c r="L926" s="426">
        <f t="shared" si="117"/>
        <v>1.4157176940538907</v>
      </c>
      <c r="M926" s="532">
        <f t="shared" si="120"/>
        <v>3.7842045003979183E-2</v>
      </c>
      <c r="N926" s="523"/>
      <c r="O926" s="127"/>
    </row>
    <row r="927" spans="1:15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20">
        <f t="shared" si="121"/>
        <v>75.3</v>
      </c>
      <c r="G927" s="290">
        <f t="shared" si="114"/>
        <v>5.3324810805801973E-4</v>
      </c>
      <c r="H927" s="426">
        <f t="shared" si="115"/>
        <v>1.2100092794376944</v>
      </c>
      <c r="I927" s="427">
        <f t="shared" si="116"/>
        <v>0.44492041204924027</v>
      </c>
      <c r="J927" s="148">
        <v>0.46520486759201862</v>
      </c>
      <c r="K927" s="921">
        <f>G927*1367.79</f>
        <v>0.72937142972067881</v>
      </c>
      <c r="L927" s="426">
        <f t="shared" si="117"/>
        <v>0.88910377282950748</v>
      </c>
      <c r="M927" s="532">
        <f t="shared" si="120"/>
        <v>3.7842045003979183E-2</v>
      </c>
      <c r="N927" s="523"/>
      <c r="O927" s="127"/>
    </row>
    <row r="928" spans="1:15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20">
        <f t="shared" si="121"/>
        <v>120.8</v>
      </c>
      <c r="G928" s="290">
        <f t="shared" si="114"/>
        <v>8.5546310031087364E-4</v>
      </c>
      <c r="H928" s="426">
        <f t="shared" si="115"/>
        <v>1.9411569848084127</v>
      </c>
      <c r="I928" s="427">
        <f t="shared" si="116"/>
        <v>0.7137634233140534</v>
      </c>
      <c r="J928" s="148">
        <v>0.74630475438400856</v>
      </c>
      <c r="K928" s="921">
        <f>G928*1367.79</f>
        <v>1.1700938739742097</v>
      </c>
      <c r="L928" s="426">
        <f t="shared" si="117"/>
        <v>1.4263444323745618</v>
      </c>
      <c r="M928" s="532">
        <f t="shared" si="120"/>
        <v>3.7842045003979176E-2</v>
      </c>
      <c r="N928" s="523"/>
      <c r="O928" s="127"/>
    </row>
    <row r="929" spans="1:15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20">
        <f t="shared" si="121"/>
        <v>429.7</v>
      </c>
      <c r="G929" s="290">
        <f t="shared" si="114"/>
        <v>3.0429842235395895E-3</v>
      </c>
      <c r="H929" s="426">
        <f t="shared" si="115"/>
        <v>6.9049267911603893</v>
      </c>
      <c r="I929" s="427">
        <f t="shared" si="116"/>
        <v>2.5389415811096754</v>
      </c>
      <c r="J929" s="148">
        <v>2.6546949748245736</v>
      </c>
      <c r="K929" s="921">
        <f>G929*1367.79</f>
        <v>4.1621633911152154</v>
      </c>
      <c r="L929" s="426">
        <f t="shared" si="117"/>
        <v>5.0736771737694477</v>
      </c>
      <c r="M929" s="532">
        <f t="shared" si="120"/>
        <v>3.7842045003979183E-2</v>
      </c>
      <c r="N929" s="523"/>
      <c r="O929" s="127"/>
    </row>
    <row r="930" spans="1:15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20">
        <f t="shared" si="121"/>
        <v>249.1</v>
      </c>
      <c r="G930" s="290">
        <f t="shared" si="114"/>
        <v>1.7640385619821079E-3</v>
      </c>
      <c r="H930" s="426">
        <f t="shared" si="115"/>
        <v>4.0028328221504603</v>
      </c>
      <c r="I930" s="427">
        <f t="shared" si="116"/>
        <v>1.4718416287047245</v>
      </c>
      <c r="J930" s="148">
        <v>1.538944654942521</v>
      </c>
      <c r="K930" s="921">
        <f>G930*1367.79</f>
        <v>2.4128343046935075</v>
      </c>
      <c r="L930" s="426">
        <f t="shared" si="117"/>
        <v>2.941245017421386</v>
      </c>
      <c r="M930" s="532">
        <f t="shared" si="120"/>
        <v>3.7842045003979176E-2</v>
      </c>
      <c r="N930" s="523"/>
      <c r="O930" s="127"/>
    </row>
    <row r="931" spans="1:15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20">
        <f t="shared" si="121"/>
        <v>103</v>
      </c>
      <c r="G931" s="290">
        <f t="shared" si="114"/>
        <v>7.2940976268228471E-4</v>
      </c>
      <c r="H931" s="426">
        <f t="shared" si="115"/>
        <v>1.6551255747952527</v>
      </c>
      <c r="I931" s="427">
        <f t="shared" si="116"/>
        <v>0.60858967385221441</v>
      </c>
      <c r="J931" s="148">
        <v>0.63633600746318619</v>
      </c>
      <c r="K931" s="921">
        <f>G931*2867.79</f>
        <v>2.0917940233226293</v>
      </c>
      <c r="L931" s="426">
        <f t="shared" si="117"/>
        <v>2.5498969144302852</v>
      </c>
      <c r="M931" s="532">
        <f t="shared" si="120"/>
        <v>9.8264670854985872E-2</v>
      </c>
      <c r="N931" s="523"/>
      <c r="O931" s="127"/>
    </row>
    <row r="932" spans="1:15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20">
        <f t="shared" si="121"/>
        <v>176.5</v>
      </c>
      <c r="G932" s="290">
        <f>2/282420.13*F932</f>
        <v>1.2499109040138179E-3</v>
      </c>
      <c r="H932" s="426">
        <f t="shared" si="115"/>
        <v>2.8362103296248748</v>
      </c>
      <c r="I932" s="427">
        <f t="shared" si="116"/>
        <v>1.0428745382030666</v>
      </c>
      <c r="J932" s="148">
        <v>1.0904204399733237</v>
      </c>
      <c r="K932" s="921">
        <f>G932*2367.79</f>
        <v>2.959526539414878</v>
      </c>
      <c r="L932" s="426">
        <f t="shared" si="117"/>
        <v>3.6076628515467366</v>
      </c>
      <c r="M932" s="532">
        <f t="shared" si="120"/>
        <v>0.11105086620750899</v>
      </c>
      <c r="N932" s="523"/>
      <c r="O932" s="127"/>
    </row>
    <row r="933" spans="1:15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20">
        <f t="shared" si="121"/>
        <v>109.5</v>
      </c>
      <c r="G933" s="290">
        <f t="shared" si="114"/>
        <v>7.7544047586126388E-4</v>
      </c>
      <c r="H933" s="426">
        <f t="shared" si="115"/>
        <v>1.7595752469910697</v>
      </c>
      <c r="I933" s="427">
        <f t="shared" si="116"/>
        <v>0.64699581831861641</v>
      </c>
      <c r="J933" s="148">
        <v>0.67649313414775614</v>
      </c>
      <c r="K933" s="921">
        <f>G933*1367.79</f>
        <v>1.060639728478278</v>
      </c>
      <c r="L933" s="426">
        <f t="shared" si="117"/>
        <v>1.292919829015021</v>
      </c>
      <c r="M933" s="532">
        <f t="shared" si="120"/>
        <v>3.7842045003979176E-2</v>
      </c>
      <c r="N933" s="523"/>
      <c r="O933" s="127"/>
    </row>
    <row r="934" spans="1:15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20">
        <f t="shared" si="121"/>
        <v>111.4</v>
      </c>
      <c r="G934" s="290">
        <f t="shared" si="114"/>
        <v>7.8889560740588857E-4</v>
      </c>
      <c r="H934" s="426">
        <f t="shared" si="115"/>
        <v>1.7901066896329241</v>
      </c>
      <c r="I934" s="427">
        <f t="shared" si="116"/>
        <v>0.65822222977802625</v>
      </c>
      <c r="J934" s="148">
        <v>0.68823137117863042</v>
      </c>
      <c r="K934" s="921">
        <f>G934*367.79</f>
        <v>0.29014791544781177</v>
      </c>
      <c r="L934" s="426">
        <f t="shared" si="117"/>
        <v>0.35369030893088255</v>
      </c>
      <c r="M934" s="532">
        <f t="shared" si="120"/>
        <v>3.0760396822597777E-2</v>
      </c>
      <c r="N934" s="523"/>
      <c r="O934" s="127"/>
    </row>
    <row r="935" spans="1:15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20">
        <f t="shared" si="121"/>
        <v>92.9</v>
      </c>
      <c r="G935" s="290">
        <f t="shared" si="114"/>
        <v>6.5788511605033252E-4</v>
      </c>
      <c r="H935" s="426">
        <f t="shared" si="115"/>
        <v>1.4928268533832911</v>
      </c>
      <c r="I935" s="427">
        <f t="shared" si="116"/>
        <v>0.54891243398903622</v>
      </c>
      <c r="J935" s="148">
        <v>0.57393801061485439</v>
      </c>
      <c r="K935" s="921">
        <f>G935*367.79</f>
        <v>0.24196356683215181</v>
      </c>
      <c r="L935" s="426">
        <f t="shared" si="117"/>
        <v>0.29495358796839311</v>
      </c>
      <c r="M935" s="532">
        <f t="shared" si="120"/>
        <v>3.0760396822597773E-2</v>
      </c>
      <c r="N935" s="523"/>
      <c r="O935" s="127"/>
    </row>
    <row r="936" spans="1:15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20">
        <f t="shared" si="121"/>
        <v>101.8</v>
      </c>
      <c r="G936" s="290">
        <f t="shared" si="114"/>
        <v>7.2091178486462704E-4</v>
      </c>
      <c r="H936" s="426">
        <f t="shared" si="115"/>
        <v>1.6358425583898712</v>
      </c>
      <c r="I936" s="427">
        <f t="shared" si="116"/>
        <v>0.60149930871995572</v>
      </c>
      <c r="J936" s="148">
        <v>0.62892238407526557</v>
      </c>
      <c r="K936" s="921">
        <f>G936*1867.79</f>
        <v>1.3465118226523016</v>
      </c>
      <c r="L936" s="426">
        <f t="shared" si="117"/>
        <v>1.6413979118131559</v>
      </c>
      <c r="M936" s="532">
        <f t="shared" si="120"/>
        <v>4.1382869094669879E-2</v>
      </c>
      <c r="N936" s="523"/>
      <c r="O936" s="127"/>
    </row>
    <row r="937" spans="1:15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20">
        <f t="shared" si="121"/>
        <v>202</v>
      </c>
      <c r="G937" s="290">
        <f t="shared" si="114"/>
        <v>1.4304929326390437E-3</v>
      </c>
      <c r="H937" s="426">
        <f t="shared" si="115"/>
        <v>3.2459744282392333</v>
      </c>
      <c r="I937" s="427">
        <f t="shared" si="116"/>
        <v>1.1935447972635662</v>
      </c>
      <c r="J937" s="148">
        <v>1.247959936966637</v>
      </c>
      <c r="K937" s="921">
        <f>G937*1367.79</f>
        <v>1.9566139283343575</v>
      </c>
      <c r="L937" s="426">
        <f t="shared" si="117"/>
        <v>2.3851123786395818</v>
      </c>
      <c r="M937" s="532">
        <f t="shared" si="120"/>
        <v>3.7842045003979183E-2</v>
      </c>
      <c r="N937" s="523"/>
      <c r="O937" s="127"/>
    </row>
    <row r="938" spans="1:15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20">
        <f t="shared" si="121"/>
        <v>214.1</v>
      </c>
      <c r="G938" s="290">
        <f t="shared" si="114"/>
        <v>1.5161808756337586E-3</v>
      </c>
      <c r="H938" s="426">
        <f t="shared" si="115"/>
        <v>3.4404115103268311</v>
      </c>
      <c r="I938" s="427">
        <f t="shared" si="116"/>
        <v>1.2650393123471759</v>
      </c>
      <c r="J938" s="148">
        <v>1.3227139727948365</v>
      </c>
      <c r="K938" s="921">
        <f>G938*367.79</f>
        <v>0.55763616424934015</v>
      </c>
      <c r="L938" s="426">
        <f t="shared" si="117"/>
        <v>0.67975848421994567</v>
      </c>
      <c r="M938" s="532">
        <f t="shared" si="120"/>
        <v>3.0760396822597773E-2</v>
      </c>
      <c r="N938" s="523"/>
      <c r="O938" s="127"/>
    </row>
    <row r="939" spans="1:15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20">
        <f t="shared" si="121"/>
        <v>161.19999999999999</v>
      </c>
      <c r="G939" s="290">
        <f t="shared" si="114"/>
        <v>1.1415616868386824E-3</v>
      </c>
      <c r="H939" s="426">
        <f t="shared" si="115"/>
        <v>2.5903518704562596</v>
      </c>
      <c r="I939" s="427">
        <f t="shared" si="116"/>
        <v>0.95247238276676671</v>
      </c>
      <c r="J939" s="148">
        <v>0.99589674177733589</v>
      </c>
      <c r="K939" s="921">
        <f>G939*367.79</f>
        <v>0.41985497280239903</v>
      </c>
      <c r="L939" s="426">
        <f t="shared" si="117"/>
        <v>0.51180321184612443</v>
      </c>
      <c r="M939" s="532">
        <f t="shared" si="120"/>
        <v>3.0760396822597777E-2</v>
      </c>
      <c r="N939" s="523"/>
      <c r="O939" s="127"/>
    </row>
    <row r="940" spans="1:15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20">
        <f t="shared" si="121"/>
        <v>134.9</v>
      </c>
      <c r="G940" s="290">
        <f t="shared" si="114"/>
        <v>9.5531433966835157E-4</v>
      </c>
      <c r="H940" s="426">
        <f t="shared" si="115"/>
        <v>2.1677324275716465</v>
      </c>
      <c r="I940" s="427">
        <f t="shared" si="116"/>
        <v>0.79707521361809452</v>
      </c>
      <c r="J940" s="148">
        <v>0.83341482919207588</v>
      </c>
      <c r="K940" s="921">
        <f>G9387*367.79</f>
        <v>0</v>
      </c>
      <c r="L940" s="426">
        <f t="shared" si="117"/>
        <v>0</v>
      </c>
      <c r="M940" s="532">
        <f t="shared" si="120"/>
        <v>2.8155837437967509E-2</v>
      </c>
      <c r="N940" s="523"/>
      <c r="O940" s="127"/>
    </row>
    <row r="941" spans="1:15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20">
        <f t="shared" si="121"/>
        <v>80.599999999999994</v>
      </c>
      <c r="G941" s="290">
        <f t="shared" si="114"/>
        <v>5.7078084341934121E-4</v>
      </c>
      <c r="H941" s="426">
        <f t="shared" si="115"/>
        <v>1.2951759352281298</v>
      </c>
      <c r="I941" s="427">
        <f t="shared" si="116"/>
        <v>0.47623619138338336</v>
      </c>
      <c r="J941" s="148">
        <v>0.49794837088866795</v>
      </c>
      <c r="K941" s="921">
        <f>G941*1367.79</f>
        <v>0.78070832982054073</v>
      </c>
      <c r="L941" s="426">
        <f t="shared" si="117"/>
        <v>0.95168345405123922</v>
      </c>
      <c r="M941" s="532">
        <f t="shared" si="120"/>
        <v>3.7842045003979183E-2</v>
      </c>
      <c r="N941" s="523"/>
      <c r="O941" s="127"/>
    </row>
    <row r="942" spans="1:15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20">
        <f t="shared" si="121"/>
        <v>249.4</v>
      </c>
      <c r="G942" s="290">
        <f t="shared" si="114"/>
        <v>1.7661630564365224E-3</v>
      </c>
      <c r="H942" s="426">
        <f t="shared" si="115"/>
        <v>4.0076535762518066</v>
      </c>
      <c r="I942" s="427">
        <f t="shared" si="116"/>
        <v>1.4736142199877893</v>
      </c>
      <c r="J942" s="148">
        <v>1.5407980607895013</v>
      </c>
      <c r="K942" s="921">
        <f>G942*2897.79</f>
        <v>5.1179696433111905</v>
      </c>
      <c r="L942" s="426">
        <f t="shared" si="117"/>
        <v>6.2388049951963414</v>
      </c>
      <c r="M942" s="532">
        <f t="shared" si="120"/>
        <v>4.8676966721492729E-2</v>
      </c>
      <c r="N942" s="523"/>
      <c r="O942" s="127"/>
    </row>
    <row r="943" spans="1:15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20">
        <f t="shared" si="121"/>
        <v>110.5</v>
      </c>
      <c r="G943" s="290">
        <f t="shared" si="114"/>
        <v>7.825221240426452E-4</v>
      </c>
      <c r="H943" s="426">
        <f t="shared" si="115"/>
        <v>1.7756444273288876</v>
      </c>
      <c r="I943" s="427">
        <f t="shared" si="116"/>
        <v>0.65290445592883206</v>
      </c>
      <c r="J943" s="148">
        <v>0.68267115363769004</v>
      </c>
      <c r="K943" s="921">
        <f>G943*367.79</f>
        <v>0.28780381200164451</v>
      </c>
      <c r="L943" s="426">
        <f t="shared" si="117"/>
        <v>0.35083284683000471</v>
      </c>
      <c r="M943" s="532">
        <f t="shared" si="120"/>
        <v>3.0760396822597773E-2</v>
      </c>
      <c r="N943" s="523"/>
      <c r="O943" s="127"/>
    </row>
    <row r="944" spans="1:15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20">
        <f t="shared" si="121"/>
        <v>168.5</v>
      </c>
      <c r="G944" s="290">
        <f t="shared" si="114"/>
        <v>1.1932577185627667E-3</v>
      </c>
      <c r="H944" s="426">
        <f t="shared" si="115"/>
        <v>2.7076568869223308</v>
      </c>
      <c r="I944" s="427">
        <f t="shared" ref="I944:I1002" si="122">H944*0.3677</f>
        <v>0.9956054373213411</v>
      </c>
      <c r="J944" s="148">
        <v>1.0409962840538531</v>
      </c>
      <c r="K944" s="921">
        <f>G944*1367.79</f>
        <v>1.6321259748729666</v>
      </c>
      <c r="L944" s="426">
        <f t="shared" si="117"/>
        <v>1.9895615633701464</v>
      </c>
      <c r="M944" s="532">
        <f t="shared" si="120"/>
        <v>3.7842045003979176E-2</v>
      </c>
      <c r="N944" s="523"/>
      <c r="O944" s="127"/>
    </row>
    <row r="945" spans="1:15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20">
        <f t="shared" si="121"/>
        <v>130</v>
      </c>
      <c r="G945" s="290">
        <f t="shared" ref="G945:G1008" si="123">2/282420.13*F945</f>
        <v>9.2061426357958258E-4</v>
      </c>
      <c r="H945" s="426">
        <f t="shared" ref="H945:H1008" si="124">G945*2269.13</f>
        <v>2.0889934439163382</v>
      </c>
      <c r="I945" s="427">
        <f t="shared" si="122"/>
        <v>0.76812288932803763</v>
      </c>
      <c r="J945" s="148">
        <v>0.80314253369139998</v>
      </c>
      <c r="K945" s="921">
        <f>G945*1367.79</f>
        <v>1.2592069835815172</v>
      </c>
      <c r="L945" s="426">
        <f t="shared" si="117"/>
        <v>1.5349733129858696</v>
      </c>
      <c r="M945" s="532">
        <f t="shared" si="120"/>
        <v>3.7842045003979176E-2</v>
      </c>
      <c r="N945" s="523"/>
      <c r="O945" s="127"/>
    </row>
    <row r="946" spans="1:15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20">
        <f t="shared" si="121"/>
        <v>175.8</v>
      </c>
      <c r="G946" s="290">
        <f t="shared" si="123"/>
        <v>1.2449537502868511E-3</v>
      </c>
      <c r="H946" s="426">
        <f t="shared" si="124"/>
        <v>2.8249619033884028</v>
      </c>
      <c r="I946" s="427">
        <f t="shared" si="122"/>
        <v>1.0387384918759157</v>
      </c>
      <c r="J946" s="148">
        <v>1.0860958263303702</v>
      </c>
      <c r="K946" s="921">
        <f>G946*1367.79</f>
        <v>1.702835290104852</v>
      </c>
      <c r="L946" s="426">
        <f t="shared" ref="L946:L1009" si="125">K946*1.219</f>
        <v>2.0757562186378147</v>
      </c>
      <c r="M946" s="532">
        <f t="shared" si="120"/>
        <v>3.7842045003979183E-2</v>
      </c>
      <c r="N946" s="523"/>
      <c r="O946" s="127"/>
    </row>
    <row r="947" spans="1:15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20">
        <f t="shared" si="121"/>
        <v>129.80000000000001</v>
      </c>
      <c r="G947" s="290">
        <f t="shared" si="123"/>
        <v>9.1919793394330644E-4</v>
      </c>
      <c r="H947" s="426">
        <f t="shared" si="124"/>
        <v>2.0857796078487749</v>
      </c>
      <c r="I947" s="427">
        <f t="shared" si="122"/>
        <v>0.76694116180599459</v>
      </c>
      <c r="J947" s="148">
        <v>0.80190692979341338</v>
      </c>
      <c r="K947" s="921">
        <f>G947*1367.79</f>
        <v>1.257269742068315</v>
      </c>
      <c r="L947" s="426">
        <f t="shared" si="125"/>
        <v>1.532611815581276</v>
      </c>
      <c r="M947" s="532">
        <f t="shared" si="120"/>
        <v>3.7842045003979176E-2</v>
      </c>
      <c r="N947" s="523"/>
      <c r="O947" s="127"/>
    </row>
    <row r="948" spans="1:15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20">
        <f t="shared" si="121"/>
        <v>152.30000000000001</v>
      </c>
      <c r="G948" s="290">
        <f t="shared" si="123"/>
        <v>1.078535018024388E-3</v>
      </c>
      <c r="H948" s="426">
        <f t="shared" si="124"/>
        <v>2.4473361654496797</v>
      </c>
      <c r="I948" s="427">
        <f t="shared" si="122"/>
        <v>0.89988550803584733</v>
      </c>
      <c r="J948" s="148">
        <v>0.94091236831692482</v>
      </c>
      <c r="K948" s="921">
        <f>G948*367.79</f>
        <v>0.39667439427918971</v>
      </c>
      <c r="L948" s="426">
        <f t="shared" si="125"/>
        <v>0.48354608662633231</v>
      </c>
      <c r="M948" s="532">
        <f t="shared" si="120"/>
        <v>3.076039682259778E-2</v>
      </c>
      <c r="N948" s="523"/>
      <c r="O948" s="127"/>
    </row>
    <row r="949" spans="1:15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20">
        <f t="shared" si="121"/>
        <v>239.4</v>
      </c>
      <c r="G949" s="290">
        <f t="shared" si="123"/>
        <v>1.6953465746227083E-3</v>
      </c>
      <c r="H949" s="426">
        <f t="shared" si="124"/>
        <v>3.8469617728736263</v>
      </c>
      <c r="I949" s="427">
        <f t="shared" si="122"/>
        <v>1.4145278438856326</v>
      </c>
      <c r="J949" s="148">
        <v>1.4790178658901627</v>
      </c>
      <c r="K949" s="921">
        <f>G949*1367.79</f>
        <v>2.3188780913031941</v>
      </c>
      <c r="L949" s="426">
        <f t="shared" si="125"/>
        <v>2.8267123932985938</v>
      </c>
      <c r="M949" s="532">
        <f t="shared" si="120"/>
        <v>3.7842045003979183E-2</v>
      </c>
      <c r="N949" s="523"/>
      <c r="O949" s="127"/>
    </row>
    <row r="950" spans="1:15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20">
        <f t="shared" si="121"/>
        <v>84.2</v>
      </c>
      <c r="G950" s="290">
        <f t="shared" si="123"/>
        <v>5.9627477687231435E-4</v>
      </c>
      <c r="H950" s="426">
        <f t="shared" si="124"/>
        <v>1.3530249844442748</v>
      </c>
      <c r="I950" s="427">
        <f t="shared" si="122"/>
        <v>0.49750728678015987</v>
      </c>
      <c r="J950" s="148">
        <v>0.52018924105242992</v>
      </c>
      <c r="K950" s="921">
        <f>G950*367.79</f>
        <v>0.21930390018586851</v>
      </c>
      <c r="L950" s="426">
        <f t="shared" si="125"/>
        <v>0.26733145432657374</v>
      </c>
      <c r="M950" s="532">
        <f t="shared" si="120"/>
        <v>3.076039682259778E-2</v>
      </c>
      <c r="N950" s="523"/>
      <c r="O950" s="127"/>
    </row>
    <row r="951" spans="1:15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20">
        <f t="shared" si="121"/>
        <v>193.9</v>
      </c>
      <c r="G951" s="290">
        <f t="shared" si="123"/>
        <v>1.3731315823698545E-3</v>
      </c>
      <c r="H951" s="426">
        <f t="shared" si="124"/>
        <v>3.115814067502908</v>
      </c>
      <c r="I951" s="427">
        <f t="shared" si="122"/>
        <v>1.1456848326208193</v>
      </c>
      <c r="J951" s="148">
        <v>1.1979179790981729</v>
      </c>
      <c r="K951" s="921">
        <f t="shared" ref="K951:K958" si="126">G951*1367.79</f>
        <v>1.8781556470496632</v>
      </c>
      <c r="L951" s="426">
        <f t="shared" si="125"/>
        <v>2.2894717337535395</v>
      </c>
      <c r="M951" s="532">
        <f t="shared" si="120"/>
        <v>3.7842045003979176E-2</v>
      </c>
      <c r="N951" s="523"/>
      <c r="O951" s="127"/>
    </row>
    <row r="952" spans="1:15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20">
        <f t="shared" si="121"/>
        <v>252.4</v>
      </c>
      <c r="G952" s="290">
        <f t="shared" si="123"/>
        <v>1.7874080009806666E-3</v>
      </c>
      <c r="H952" s="426">
        <f t="shared" si="124"/>
        <v>4.0558611172652599</v>
      </c>
      <c r="I952" s="427">
        <f t="shared" si="122"/>
        <v>1.4913401328184361</v>
      </c>
      <c r="J952" s="148">
        <v>1.5593321192593028</v>
      </c>
      <c r="K952" s="921">
        <f t="shared" si="126"/>
        <v>2.4447987896613461</v>
      </c>
      <c r="L952" s="426">
        <f t="shared" si="125"/>
        <v>2.9802097245971813</v>
      </c>
      <c r="M952" s="532">
        <f t="shared" si="120"/>
        <v>3.7842045003979183E-2</v>
      </c>
      <c r="N952" s="523"/>
      <c r="O952" s="127"/>
    </row>
    <row r="953" spans="1:15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20">
        <f t="shared" si="121"/>
        <v>79</v>
      </c>
      <c r="G953" s="290">
        <f t="shared" si="123"/>
        <v>5.5945020632913094E-4</v>
      </c>
      <c r="H953" s="426">
        <f t="shared" si="124"/>
        <v>1.2694652466876208</v>
      </c>
      <c r="I953" s="427">
        <f t="shared" si="122"/>
        <v>0.46678237120703819</v>
      </c>
      <c r="J953" s="148">
        <v>0.48806353970477384</v>
      </c>
      <c r="K953" s="921">
        <f t="shared" si="126"/>
        <v>0.76521039771492194</v>
      </c>
      <c r="L953" s="426">
        <f t="shared" si="125"/>
        <v>0.93279147481448987</v>
      </c>
      <c r="M953" s="532">
        <f t="shared" si="120"/>
        <v>3.7842045003979176E-2</v>
      </c>
      <c r="N953" s="523"/>
      <c r="O953" s="127"/>
    </row>
    <row r="954" spans="1:15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20">
        <f t="shared" si="121"/>
        <v>549.69000000000005</v>
      </c>
      <c r="G954" s="290">
        <f t="shared" si="123"/>
        <v>3.892711188823545E-3</v>
      </c>
      <c r="H954" s="426">
        <f t="shared" si="124"/>
        <v>8.8330677398951707</v>
      </c>
      <c r="I954" s="427">
        <f t="shared" si="122"/>
        <v>3.2479190079594544</v>
      </c>
      <c r="J954" s="148">
        <v>3.3959955334217362</v>
      </c>
      <c r="K954" s="921">
        <f t="shared" si="126"/>
        <v>5.3244114369609568</v>
      </c>
      <c r="L954" s="426">
        <f t="shared" si="125"/>
        <v>6.4904575416554069</v>
      </c>
      <c r="M954" s="532">
        <f t="shared" si="120"/>
        <v>3.784204500397919E-2</v>
      </c>
      <c r="N954" s="523"/>
      <c r="O954" s="127"/>
    </row>
    <row r="955" spans="1:15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20">
        <f t="shared" si="121"/>
        <v>192.1</v>
      </c>
      <c r="G955" s="290">
        <f t="shared" si="123"/>
        <v>1.3603846156433677E-3</v>
      </c>
      <c r="H955" s="426">
        <f t="shared" si="124"/>
        <v>3.0868895428948351</v>
      </c>
      <c r="I955" s="427">
        <f t="shared" si="122"/>
        <v>1.135049284922431</v>
      </c>
      <c r="J955" s="148">
        <v>1.1867975440162917</v>
      </c>
      <c r="K955" s="921">
        <f t="shared" si="126"/>
        <v>1.860720473430842</v>
      </c>
      <c r="L955" s="426">
        <f t="shared" si="125"/>
        <v>2.2682182571121965</v>
      </c>
      <c r="M955" s="532">
        <f t="shared" si="120"/>
        <v>3.7842045003979176E-2</v>
      </c>
      <c r="N955" s="523"/>
      <c r="O955" s="127"/>
    </row>
    <row r="956" spans="1:15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20">
        <f t="shared" si="121"/>
        <v>166.8</v>
      </c>
      <c r="G956" s="290">
        <f t="shared" si="123"/>
        <v>1.1812189166544183E-3</v>
      </c>
      <c r="H956" s="426">
        <f t="shared" si="124"/>
        <v>2.6803392803480404</v>
      </c>
      <c r="I956" s="427">
        <f t="shared" si="122"/>
        <v>0.98556075338397453</v>
      </c>
      <c r="J956" s="148">
        <v>1.0304936509209657</v>
      </c>
      <c r="K956" s="921">
        <f t="shared" si="126"/>
        <v>1.6156594220107467</v>
      </c>
      <c r="L956" s="426">
        <f t="shared" si="125"/>
        <v>1.9694888354311004</v>
      </c>
      <c r="M956" s="532">
        <f t="shared" si="120"/>
        <v>3.7842045003979176E-2</v>
      </c>
      <c r="N956" s="523"/>
      <c r="O956" s="127"/>
    </row>
    <row r="957" spans="1:15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20">
        <f t="shared" si="121"/>
        <v>119.9</v>
      </c>
      <c r="G957" s="290">
        <f t="shared" si="123"/>
        <v>8.4908961694763049E-4</v>
      </c>
      <c r="H957" s="426">
        <f t="shared" si="124"/>
        <v>1.9266947225043769</v>
      </c>
      <c r="I957" s="427">
        <f t="shared" si="122"/>
        <v>0.70844564946485944</v>
      </c>
      <c r="J957" s="148">
        <v>0.74074453684306818</v>
      </c>
      <c r="K957" s="921">
        <f t="shared" si="126"/>
        <v>1.1613762871647995</v>
      </c>
      <c r="L957" s="426">
        <f t="shared" si="125"/>
        <v>1.4157176940538907</v>
      </c>
      <c r="M957" s="532">
        <f t="shared" si="120"/>
        <v>3.7842045003979183E-2</v>
      </c>
      <c r="N957" s="523"/>
      <c r="O957" s="127"/>
    </row>
    <row r="958" spans="1:15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20">
        <f t="shared" si="121"/>
        <v>188.7</v>
      </c>
      <c r="G958" s="290">
        <f t="shared" si="123"/>
        <v>1.3363070118266711E-3</v>
      </c>
      <c r="H958" s="426">
        <f t="shared" si="124"/>
        <v>3.0322543297462543</v>
      </c>
      <c r="I958" s="427">
        <f t="shared" si="122"/>
        <v>1.1149599170476978</v>
      </c>
      <c r="J958" s="148">
        <v>1.1657922777505167</v>
      </c>
      <c r="K958" s="921">
        <f t="shared" si="126"/>
        <v>1.8277873677064023</v>
      </c>
      <c r="L958" s="426">
        <f t="shared" si="125"/>
        <v>2.2280728012341044</v>
      </c>
      <c r="M958" s="532">
        <f t="shared" si="120"/>
        <v>3.7842045003979183E-2</v>
      </c>
      <c r="N958" s="523"/>
      <c r="O958" s="127"/>
    </row>
    <row r="959" spans="1:15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20">
        <f t="shared" si="121"/>
        <v>4734.5</v>
      </c>
      <c r="G959" s="290">
        <f t="shared" si="123"/>
        <v>3.3528063314750264E-2</v>
      </c>
      <c r="H959" s="426">
        <f t="shared" si="124"/>
        <v>76.079534309399264</v>
      </c>
      <c r="I959" s="427">
        <f t="shared" si="122"/>
        <v>27.974444765566112</v>
      </c>
      <c r="J959" s="148">
        <v>29.249833275091792</v>
      </c>
      <c r="K959" s="921">
        <f>G959*1235.27</f>
        <v>41.41621077081156</v>
      </c>
      <c r="L959" s="426">
        <f t="shared" si="125"/>
        <v>50.486360929619295</v>
      </c>
      <c r="M959" s="532">
        <f t="shared" si="120"/>
        <v>3.6903584986982513E-2</v>
      </c>
      <c r="N959" s="523"/>
      <c r="O959" s="127"/>
    </row>
    <row r="960" spans="1:15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20">
        <f t="shared" si="121"/>
        <v>66.3</v>
      </c>
      <c r="G960" s="290">
        <f t="shared" si="123"/>
        <v>4.6951327442558714E-4</v>
      </c>
      <c r="H960" s="426">
        <f t="shared" si="124"/>
        <v>1.0653866563973327</v>
      </c>
      <c r="I960" s="427">
        <f t="shared" si="122"/>
        <v>0.39174267355729925</v>
      </c>
      <c r="J960" s="148">
        <v>0.40960269218261397</v>
      </c>
      <c r="K960" s="921">
        <f>G960*1367.79</f>
        <v>0.64219556162657387</v>
      </c>
      <c r="L960" s="426">
        <f t="shared" si="125"/>
        <v>0.78283638962279356</v>
      </c>
      <c r="M960" s="532">
        <f t="shared" si="120"/>
        <v>3.7842045003979183E-2</v>
      </c>
      <c r="N960" s="523"/>
      <c r="O960" s="127"/>
    </row>
    <row r="961" spans="1:15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20">
        <f t="shared" si="121"/>
        <v>19.8</v>
      </c>
      <c r="G961" s="290">
        <f t="shared" si="123"/>
        <v>1.4021663399135182E-4</v>
      </c>
      <c r="H961" s="426">
        <f t="shared" si="124"/>
        <v>0.31816977068879615</v>
      </c>
      <c r="I961" s="427">
        <f t="shared" si="122"/>
        <v>0.11699102468227035</v>
      </c>
      <c r="J961" s="148">
        <v>0.12232478590069017</v>
      </c>
      <c r="K961" s="921">
        <f>G961*1367.79</f>
        <v>0.19178690980703111</v>
      </c>
      <c r="L961" s="426">
        <f t="shared" si="125"/>
        <v>0.23378824305477094</v>
      </c>
      <c r="M961" s="532">
        <f t="shared" si="120"/>
        <v>3.7842045003979183E-2</v>
      </c>
      <c r="N961" s="523"/>
      <c r="O961" s="127"/>
    </row>
    <row r="962" spans="1:15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20">
        <f t="shared" si="121"/>
        <v>61.2</v>
      </c>
      <c r="G962" s="290">
        <f t="shared" si="123"/>
        <v>4.3339686870054201E-4</v>
      </c>
      <c r="H962" s="426">
        <f t="shared" si="124"/>
        <v>0.98343383667446094</v>
      </c>
      <c r="I962" s="427">
        <f t="shared" si="122"/>
        <v>0.36160862174519931</v>
      </c>
      <c r="J962" s="148">
        <v>0.37809479278395142</v>
      </c>
      <c r="K962" s="921">
        <f>G962*367.79</f>
        <v>0.15939903433937236</v>
      </c>
      <c r="L962" s="426">
        <f t="shared" si="125"/>
        <v>0.19430742285969491</v>
      </c>
      <c r="M962" s="532">
        <f t="shared" si="120"/>
        <v>3.0760396822597773E-2</v>
      </c>
      <c r="N962" s="523"/>
      <c r="O962" s="127"/>
    </row>
    <row r="963" spans="1:15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20">
        <f t="shared" si="121"/>
        <v>47.1</v>
      </c>
      <c r="G963" s="290">
        <f>2/282420.13*F963</f>
        <v>3.3354562934306419E-4</v>
      </c>
      <c r="H963" s="426">
        <f t="shared" si="124"/>
        <v>0.75685839391122722</v>
      </c>
      <c r="I963" s="427">
        <f t="shared" si="122"/>
        <v>0.27829683144115824</v>
      </c>
      <c r="J963" s="148">
        <v>0.29098471797588421</v>
      </c>
      <c r="K963" s="921">
        <f>G963*367.79</f>
        <v>0.12267474701608558</v>
      </c>
      <c r="L963" s="426">
        <f t="shared" si="125"/>
        <v>0.14954051661260834</v>
      </c>
      <c r="M963" s="532">
        <f t="shared" si="120"/>
        <v>3.0760396822597777E-2</v>
      </c>
      <c r="N963" s="523"/>
      <c r="O963" s="127"/>
    </row>
    <row r="964" spans="1:15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20">
        <f t="shared" ref="F964:F1025" si="127">C964+D964+E964</f>
        <v>282.8</v>
      </c>
      <c r="G964" s="290">
        <f t="shared" si="123"/>
        <v>2.0026901056946615E-3</v>
      </c>
      <c r="H964" s="426">
        <f t="shared" si="124"/>
        <v>4.5443641995349271</v>
      </c>
      <c r="I964" s="427">
        <f t="shared" si="122"/>
        <v>1.6709627161689928</v>
      </c>
      <c r="J964" s="148">
        <v>1.7471439117532916</v>
      </c>
      <c r="K964" s="921">
        <f>G964*2097.79</f>
        <v>4.2012232768252042</v>
      </c>
      <c r="L964" s="426">
        <f t="shared" si="125"/>
        <v>5.1212911744499241</v>
      </c>
      <c r="M964" s="532">
        <f t="shared" si="120"/>
        <v>4.3011648176387612E-2</v>
      </c>
      <c r="N964" s="523"/>
      <c r="O964" s="127"/>
    </row>
    <row r="965" spans="1:15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20">
        <f t="shared" si="127"/>
        <v>46.6</v>
      </c>
      <c r="G965" s="290">
        <f t="shared" si="123"/>
        <v>3.3000480525237347E-4</v>
      </c>
      <c r="H965" s="426">
        <f t="shared" si="124"/>
        <v>0.74882380374231827</v>
      </c>
      <c r="I965" s="427">
        <f t="shared" si="122"/>
        <v>0.27534251263605047</v>
      </c>
      <c r="J965" s="148">
        <v>0.2878957082309172</v>
      </c>
      <c r="K965" s="921">
        <f>G965*367.79</f>
        <v>0.12137246732377044</v>
      </c>
      <c r="L965" s="426">
        <f t="shared" si="125"/>
        <v>0.14795303766767617</v>
      </c>
      <c r="M965" s="532">
        <f t="shared" si="120"/>
        <v>3.0760396822597777E-2</v>
      </c>
      <c r="N965" s="523"/>
      <c r="O965" s="127"/>
    </row>
    <row r="966" spans="1:15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20">
        <f t="shared" si="127"/>
        <v>3266.45</v>
      </c>
      <c r="G966" s="290">
        <f t="shared" si="123"/>
        <v>2.3131849702073288E-2</v>
      </c>
      <c r="H966" s="426">
        <f t="shared" si="124"/>
        <v>52.489174114465563</v>
      </c>
      <c r="I966" s="427">
        <f t="shared" si="122"/>
        <v>19.30026932188899</v>
      </c>
      <c r="J966" s="148">
        <v>20.18019176289441</v>
      </c>
      <c r="K966" s="921">
        <f>G966*735.27</f>
        <v>17.008155130443427</v>
      </c>
      <c r="L966" s="426">
        <f t="shared" si="125"/>
        <v>20.732941104010539</v>
      </c>
      <c r="M966" s="532">
        <f t="shared" ref="M966:M1029" si="128">(K966+J966+I966+H966)/C966</f>
        <v>3.3362760896291817E-2</v>
      </c>
      <c r="N966" s="523"/>
      <c r="O966" s="127"/>
    </row>
    <row r="967" spans="1:15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20">
        <f t="shared" si="127"/>
        <v>3257.47</v>
      </c>
      <c r="G967" s="290">
        <f t="shared" si="123"/>
        <v>2.3068256501404483E-2</v>
      </c>
      <c r="H967" s="426">
        <f t="shared" si="124"/>
        <v>52.344872875031953</v>
      </c>
      <c r="I967" s="427">
        <f t="shared" si="122"/>
        <v>19.24720975614925</v>
      </c>
      <c r="J967" s="148">
        <v>20.124713147874804</v>
      </c>
      <c r="K967" s="921">
        <f>G967*1235.27</f>
        <v>28.495525208489916</v>
      </c>
      <c r="L967" s="426">
        <f t="shared" si="125"/>
        <v>34.736045229149212</v>
      </c>
      <c r="M967" s="532">
        <f t="shared" si="128"/>
        <v>3.6903584986982513E-2</v>
      </c>
      <c r="N967" s="523"/>
      <c r="O967" s="127"/>
    </row>
    <row r="968" spans="1:15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20">
        <f t="shared" si="127"/>
        <v>24.3</v>
      </c>
      <c r="G968" s="290">
        <f t="shared" si="123"/>
        <v>1.7208405080756814E-4</v>
      </c>
      <c r="H968" s="426">
        <f t="shared" si="124"/>
        <v>0.39048108220897709</v>
      </c>
      <c r="I968" s="427">
        <f t="shared" si="122"/>
        <v>0.14357989392824089</v>
      </c>
      <c r="J968" s="148">
        <v>0.15012587360539245</v>
      </c>
      <c r="K968" s="921">
        <f>G968*367.79</f>
        <v>6.3290793046515484E-2</v>
      </c>
      <c r="L968" s="426">
        <f t="shared" si="125"/>
        <v>7.7151476723702386E-2</v>
      </c>
      <c r="M968" s="532">
        <f t="shared" si="128"/>
        <v>3.076039682259777E-2</v>
      </c>
      <c r="N968" s="523"/>
      <c r="O968" s="127"/>
    </row>
    <row r="969" spans="1:15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20">
        <f t="shared" si="127"/>
        <v>4572.4000000000005</v>
      </c>
      <c r="G969" s="290">
        <f t="shared" si="123"/>
        <v>3.238012814454834E-2</v>
      </c>
      <c r="H969" s="426">
        <f t="shared" si="124"/>
        <v>73.474720176638982</v>
      </c>
      <c r="I969" s="427">
        <f t="shared" si="122"/>
        <v>27.016654608950155</v>
      </c>
      <c r="J969" s="148">
        <v>28.24837631577352</v>
      </c>
      <c r="K969" s="921">
        <f>G969*2235.27</f>
        <v>72.378329037664571</v>
      </c>
      <c r="L969" s="426">
        <f t="shared" si="125"/>
        <v>88.229183096913118</v>
      </c>
      <c r="M969" s="532">
        <f t="shared" si="128"/>
        <v>4.7855632260749827E-2</v>
      </c>
      <c r="N969" s="523"/>
      <c r="O969" s="127"/>
    </row>
    <row r="970" spans="1:15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22">
        <f t="shared" si="127"/>
        <v>140.30000000000001</v>
      </c>
      <c r="G970" s="290">
        <f t="shared" si="123"/>
        <v>9.9355523984781123E-4</v>
      </c>
      <c r="H970" s="426">
        <f t="shared" si="124"/>
        <v>2.254506001395864</v>
      </c>
      <c r="I970" s="148">
        <f t="shared" si="122"/>
        <v>0.8289818567132593</v>
      </c>
      <c r="J970" s="148">
        <v>0.86677613443771862</v>
      </c>
      <c r="K970" s="921">
        <f>G970*367.79</f>
        <v>0.36541968166362654</v>
      </c>
      <c r="L970" s="426">
        <f t="shared" si="125"/>
        <v>0.44544659194796077</v>
      </c>
      <c r="M970" s="532">
        <f t="shared" si="128"/>
        <v>3.076039682259778E-2</v>
      </c>
      <c r="N970" s="127"/>
      <c r="O970" s="127"/>
    </row>
    <row r="971" spans="1:15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20">
        <f t="shared" si="127"/>
        <v>427.4</v>
      </c>
      <c r="G971" s="290">
        <f t="shared" si="123"/>
        <v>3.0266964327224123E-3</v>
      </c>
      <c r="H971" s="426">
        <f t="shared" si="124"/>
        <v>6.8679676763834081</v>
      </c>
      <c r="I971" s="427">
        <f t="shared" si="122"/>
        <v>2.5253517146061792</v>
      </c>
      <c r="J971" s="148">
        <v>2.6404855299977257</v>
      </c>
      <c r="K971" s="921">
        <f>G971*367.79</f>
        <v>1.1131886809909761</v>
      </c>
      <c r="L971" s="426">
        <f t="shared" si="125"/>
        <v>1.3569770021279999</v>
      </c>
      <c r="M971" s="532">
        <f t="shared" si="128"/>
        <v>3.0760396822597777E-2</v>
      </c>
      <c r="N971" s="523"/>
      <c r="O971" s="127"/>
    </row>
    <row r="972" spans="1:15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20">
        <f t="shared" si="127"/>
        <v>954</v>
      </c>
      <c r="G972" s="290">
        <f t="shared" si="123"/>
        <v>6.7558923650378605E-3</v>
      </c>
      <c r="H972" s="426">
        <f t="shared" si="124"/>
        <v>15.329998042278362</v>
      </c>
      <c r="I972" s="427">
        <f t="shared" si="122"/>
        <v>5.636840280145754</v>
      </c>
      <c r="J972" s="148">
        <v>5.8938305933968893</v>
      </c>
      <c r="K972" s="921">
        <f>G972*367.79</f>
        <v>2.4847496529372748</v>
      </c>
      <c r="L972" s="426">
        <f t="shared" si="125"/>
        <v>3.0289098269305383</v>
      </c>
      <c r="M972" s="532">
        <f t="shared" si="128"/>
        <v>3.0760396822597777E-2</v>
      </c>
      <c r="N972" s="523"/>
      <c r="O972" s="127"/>
    </row>
    <row r="973" spans="1:15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20">
        <f t="shared" si="127"/>
        <v>202.5</v>
      </c>
      <c r="G973" s="290">
        <f t="shared" si="123"/>
        <v>1.4340337567297346E-3</v>
      </c>
      <c r="H973" s="426">
        <f t="shared" si="124"/>
        <v>3.2540090184081429</v>
      </c>
      <c r="I973" s="427">
        <f t="shared" si="122"/>
        <v>1.1964991160686742</v>
      </c>
      <c r="J973" s="148">
        <v>1.2510489467116039</v>
      </c>
      <c r="K973" s="921">
        <f>G973*367.79</f>
        <v>0.52742327538762912</v>
      </c>
      <c r="L973" s="426">
        <f t="shared" si="125"/>
        <v>0.64292897269751992</v>
      </c>
      <c r="M973" s="532">
        <f t="shared" si="128"/>
        <v>3.076039682259778E-2</v>
      </c>
      <c r="N973" s="523"/>
      <c r="O973" s="127"/>
    </row>
    <row r="974" spans="1:15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20">
        <f t="shared" si="127"/>
        <v>308.2</v>
      </c>
      <c r="G974" s="290">
        <f t="shared" si="123"/>
        <v>2.1825639695017491E-3</v>
      </c>
      <c r="H974" s="426">
        <f t="shared" si="124"/>
        <v>4.9525213801155044</v>
      </c>
      <c r="I974" s="427">
        <f t="shared" si="122"/>
        <v>1.8210421114684712</v>
      </c>
      <c r="J974" s="148">
        <v>1.9040656067976114</v>
      </c>
      <c r="K974" s="921">
        <f>G974*367.79</f>
        <v>0.80272520234304834</v>
      </c>
      <c r="L974" s="426">
        <f t="shared" si="125"/>
        <v>0.97852202165617597</v>
      </c>
      <c r="M974" s="532">
        <f t="shared" si="128"/>
        <v>3.0760396822597777E-2</v>
      </c>
      <c r="N974" s="523"/>
      <c r="O974" s="127"/>
    </row>
    <row r="975" spans="1:15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20">
        <f t="shared" si="127"/>
        <v>44.1</v>
      </c>
      <c r="G975" s="290">
        <f t="shared" si="123"/>
        <v>3.1230068479891994E-4</v>
      </c>
      <c r="H975" s="426">
        <f t="shared" si="124"/>
        <v>0.70865085289777319</v>
      </c>
      <c r="I975" s="427">
        <f t="shared" si="122"/>
        <v>0.26057091861051124</v>
      </c>
      <c r="J975" s="148">
        <v>0.2724506595060826</v>
      </c>
      <c r="K975" s="921">
        <f>G975*2367.79</f>
        <v>0.73946243846003468</v>
      </c>
      <c r="L975" s="426">
        <f t="shared" si="125"/>
        <v>0.90140471248278231</v>
      </c>
      <c r="M975" s="532">
        <f t="shared" si="128"/>
        <v>4.4923693185360582E-2</v>
      </c>
      <c r="N975" s="523"/>
      <c r="O975" s="127"/>
    </row>
    <row r="976" spans="1:15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20">
        <f t="shared" si="127"/>
        <v>236.79</v>
      </c>
      <c r="G976" s="290">
        <f t="shared" si="123"/>
        <v>1.6768634728693028E-3</v>
      </c>
      <c r="H976" s="426">
        <f t="shared" si="124"/>
        <v>3.8050212121919214</v>
      </c>
      <c r="I976" s="427">
        <f t="shared" si="122"/>
        <v>1.3991062997229695</v>
      </c>
      <c r="J976" s="148">
        <v>1.4628932350214354</v>
      </c>
      <c r="K976" s="921">
        <f>G976*367.79</f>
        <v>0.61673361668660087</v>
      </c>
      <c r="L976" s="426">
        <f t="shared" si="125"/>
        <v>0.7517982787409665</v>
      </c>
      <c r="M976" s="532">
        <f t="shared" si="128"/>
        <v>3.0760396822597777E-2</v>
      </c>
      <c r="N976" s="523"/>
      <c r="O976" s="127"/>
    </row>
    <row r="977" spans="1:15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20">
        <f t="shared" si="127"/>
        <v>571.4</v>
      </c>
      <c r="G977" s="290">
        <f t="shared" si="123"/>
        <v>4.0464537708413345E-3</v>
      </c>
      <c r="H977" s="426">
        <f t="shared" si="124"/>
        <v>9.1819296450291983</v>
      </c>
      <c r="I977" s="427">
        <f t="shared" si="122"/>
        <v>3.3761955304772364</v>
      </c>
      <c r="J977" s="148">
        <v>3.5301203365481997</v>
      </c>
      <c r="K977" s="921">
        <f>G977*235.27</f>
        <v>0.95200917866584078</v>
      </c>
      <c r="L977" s="426">
        <f t="shared" si="125"/>
        <v>1.16049918879366</v>
      </c>
      <c r="M977" s="532">
        <f t="shared" si="128"/>
        <v>2.982193680560111E-2</v>
      </c>
      <c r="N977" s="523"/>
      <c r="O977" s="127"/>
    </row>
    <row r="978" spans="1:15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620">
        <f t="shared" si="127"/>
        <v>654.29999999999995</v>
      </c>
      <c r="G978" s="290">
        <f t="shared" si="123"/>
        <v>4.6335224050778525E-3</v>
      </c>
      <c r="H978" s="426">
        <f t="shared" si="124"/>
        <v>10.514064695034309</v>
      </c>
      <c r="I978" s="427">
        <f t="shared" si="122"/>
        <v>3.8660215883641156</v>
      </c>
      <c r="J978" s="148">
        <v>4.042278152263715</v>
      </c>
      <c r="K978" s="921">
        <f>G978*367.79</f>
        <v>1.7041632053635836</v>
      </c>
      <c r="L978" s="426">
        <f t="shared" si="125"/>
        <v>2.0773749473382086</v>
      </c>
      <c r="M978" s="532">
        <f t="shared" si="128"/>
        <v>3.0760396822597777E-2</v>
      </c>
      <c r="N978" s="523"/>
      <c r="O978" s="127"/>
    </row>
    <row r="979" spans="1:15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620">
        <f t="shared" si="127"/>
        <v>559.79999999999995</v>
      </c>
      <c r="G979" s="290">
        <f t="shared" si="123"/>
        <v>3.9643066519373105E-3</v>
      </c>
      <c r="H979" s="426">
        <f t="shared" si="124"/>
        <v>8.9955271531105101</v>
      </c>
      <c r="I979" s="427">
        <f t="shared" si="122"/>
        <v>3.3076553341987349</v>
      </c>
      <c r="J979" s="148">
        <v>3.4584553104649669</v>
      </c>
      <c r="K979" s="921">
        <f>G979*235.27</f>
        <v>0.93268242600129103</v>
      </c>
      <c r="L979" s="426">
        <f t="shared" si="125"/>
        <v>1.1369398772955739</v>
      </c>
      <c r="M979" s="532">
        <f t="shared" si="128"/>
        <v>2.9821936805601114E-2</v>
      </c>
      <c r="N979" s="523"/>
      <c r="O979" s="127"/>
    </row>
    <row r="980" spans="1:15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20">
        <f t="shared" si="127"/>
        <v>681</v>
      </c>
      <c r="G980" s="290">
        <f t="shared" si="123"/>
        <v>4.8226024115207364E-3</v>
      </c>
      <c r="H980" s="426">
        <f t="shared" si="124"/>
        <v>10.943111810054049</v>
      </c>
      <c r="I980" s="427">
        <f t="shared" si="122"/>
        <v>4.0237822125568741</v>
      </c>
      <c r="J980" s="148">
        <v>4.2072312726449494</v>
      </c>
      <c r="K980" s="921">
        <f>G980*235.27</f>
        <v>1.1346136693584836</v>
      </c>
      <c r="L980" s="426">
        <f t="shared" si="125"/>
        <v>1.3830940629479915</v>
      </c>
      <c r="M980" s="532">
        <f t="shared" si="128"/>
        <v>3.2282211038967341E-2</v>
      </c>
      <c r="N980" s="523"/>
      <c r="O980" s="127"/>
    </row>
    <row r="981" spans="1:15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620">
        <f t="shared" si="127"/>
        <v>373.3</v>
      </c>
      <c r="G981" s="290">
        <f t="shared" si="123"/>
        <v>2.6435792661096786E-3</v>
      </c>
      <c r="H981" s="426">
        <f t="shared" si="124"/>
        <v>5.9986250201074558</v>
      </c>
      <c r="I981" s="427">
        <f t="shared" si="122"/>
        <v>2.2056944198935118</v>
      </c>
      <c r="J981" s="148">
        <v>2.3062546755923048</v>
      </c>
      <c r="K981" s="921">
        <f>G981*367.79</f>
        <v>0.97228201828247873</v>
      </c>
      <c r="L981" s="426">
        <f t="shared" si="125"/>
        <v>1.1852117802863416</v>
      </c>
      <c r="M981" s="532">
        <f t="shared" si="128"/>
        <v>3.076039682259778E-2</v>
      </c>
      <c r="N981" s="523"/>
      <c r="O981" s="127"/>
    </row>
    <row r="982" spans="1:15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620">
        <f t="shared" si="127"/>
        <v>395.4</v>
      </c>
      <c r="G982" s="290">
        <f t="shared" si="123"/>
        <v>2.8000836909182073E-3</v>
      </c>
      <c r="H982" s="426">
        <f t="shared" si="124"/>
        <v>6.3537539055732317</v>
      </c>
      <c r="I982" s="427">
        <f t="shared" si="122"/>
        <v>2.3362753110792776</v>
      </c>
      <c r="J982" s="148">
        <v>2.4427889063198425</v>
      </c>
      <c r="K982" s="921">
        <f>G982*235.27</f>
        <v>0.6587756899623266</v>
      </c>
      <c r="L982" s="426">
        <f t="shared" si="125"/>
        <v>0.80304756606407623</v>
      </c>
      <c r="M982" s="532">
        <f t="shared" si="128"/>
        <v>2.982193680560111E-2</v>
      </c>
      <c r="N982" s="523"/>
      <c r="O982" s="127"/>
    </row>
    <row r="983" spans="1:15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620">
        <f t="shared" si="127"/>
        <v>359.5</v>
      </c>
      <c r="G983" s="290">
        <f t="shared" si="123"/>
        <v>2.5458525212066151E-3</v>
      </c>
      <c r="H983" s="426">
        <f t="shared" si="124"/>
        <v>5.7768703314455667</v>
      </c>
      <c r="I983" s="427">
        <f t="shared" si="122"/>
        <v>2.1241552208725349</v>
      </c>
      <c r="J983" s="148">
        <v>2.2209980066312176</v>
      </c>
      <c r="K983" s="921">
        <f>G983*235.27</f>
        <v>0.59896272266428041</v>
      </c>
      <c r="L983" s="426">
        <f t="shared" si="125"/>
        <v>0.73013555892775783</v>
      </c>
      <c r="M983" s="532">
        <f t="shared" si="128"/>
        <v>2.9821936805601114E-2</v>
      </c>
      <c r="N983" s="523"/>
      <c r="O983" s="127"/>
    </row>
    <row r="984" spans="1:15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20">
        <f t="shared" si="127"/>
        <v>581.70000000000005</v>
      </c>
      <c r="G984" s="290">
        <f t="shared" si="123"/>
        <v>4.1193947471095636E-3</v>
      </c>
      <c r="H984" s="426">
        <f t="shared" si="124"/>
        <v>9.3474422025087254</v>
      </c>
      <c r="I984" s="427">
        <f t="shared" si="122"/>
        <v>3.4370544978624586</v>
      </c>
      <c r="J984" s="148">
        <v>3.5937539372945189</v>
      </c>
      <c r="K984" s="921">
        <f>G984*235.27</f>
        <v>0.96917000215246707</v>
      </c>
      <c r="L984" s="426">
        <f t="shared" si="125"/>
        <v>1.1814182326238574</v>
      </c>
      <c r="M984" s="532">
        <f t="shared" si="128"/>
        <v>3.636775815475507E-2</v>
      </c>
      <c r="N984" s="523"/>
      <c r="O984" s="127"/>
    </row>
    <row r="985" spans="1:15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620">
        <f t="shared" si="127"/>
        <v>397</v>
      </c>
      <c r="G985" s="290">
        <f t="shared" si="123"/>
        <v>2.8114143280084177E-3</v>
      </c>
      <c r="H985" s="426">
        <f t="shared" si="124"/>
        <v>6.3794645941137409</v>
      </c>
      <c r="I985" s="427">
        <f t="shared" si="122"/>
        <v>2.3457291312556228</v>
      </c>
      <c r="J985" s="148">
        <v>2.4526737375037366</v>
      </c>
      <c r="K985" s="921">
        <f t="shared" ref="K985:K1007" si="129">G985*367.79</f>
        <v>1.034010075698216</v>
      </c>
      <c r="L985" s="426">
        <f t="shared" si="125"/>
        <v>1.2604582822761254</v>
      </c>
      <c r="M985" s="532">
        <f t="shared" si="128"/>
        <v>3.076039682259777E-2</v>
      </c>
      <c r="N985" s="523"/>
      <c r="O985" s="127"/>
    </row>
    <row r="986" spans="1:15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620">
        <f t="shared" si="127"/>
        <v>271.5</v>
      </c>
      <c r="G986" s="290">
        <f t="shared" si="123"/>
        <v>1.9226674812450515E-3</v>
      </c>
      <c r="H986" s="426">
        <f t="shared" si="124"/>
        <v>4.3627824617175843</v>
      </c>
      <c r="I986" s="427">
        <f t="shared" si="122"/>
        <v>1.604195111173556</v>
      </c>
      <c r="J986" s="148">
        <v>1.6773322915170392</v>
      </c>
      <c r="K986" s="921">
        <f>G986*367.79</f>
        <v>0.70713787292711749</v>
      </c>
      <c r="L986" s="426">
        <f t="shared" si="125"/>
        <v>0.86200106709815627</v>
      </c>
      <c r="M986" s="532">
        <f t="shared" si="128"/>
        <v>3.076039682259778E-2</v>
      </c>
      <c r="N986" s="523"/>
      <c r="O986" s="127"/>
    </row>
    <row r="987" spans="1:15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620">
        <f t="shared" si="127"/>
        <v>258.60000000000002</v>
      </c>
      <c r="G987" s="290">
        <f t="shared" si="123"/>
        <v>1.8313142197052313E-3</v>
      </c>
      <c r="H987" s="426">
        <f t="shared" si="124"/>
        <v>4.1554900353597315</v>
      </c>
      <c r="I987" s="427">
        <f t="shared" si="122"/>
        <v>1.5279736860017734</v>
      </c>
      <c r="J987" s="148">
        <v>1.5976358400968929</v>
      </c>
      <c r="K987" s="921">
        <f t="shared" si="129"/>
        <v>0.67353905686538706</v>
      </c>
      <c r="L987" s="426">
        <f t="shared" si="125"/>
        <v>0.82104411031890689</v>
      </c>
      <c r="M987" s="532">
        <f t="shared" si="128"/>
        <v>3.076039682259777E-2</v>
      </c>
      <c r="N987" s="523"/>
      <c r="O987" s="127"/>
    </row>
    <row r="988" spans="1:15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620">
        <f t="shared" si="127"/>
        <v>737.4</v>
      </c>
      <c r="G988" s="290">
        <f t="shared" si="123"/>
        <v>5.2220073689506477E-3</v>
      </c>
      <c r="H988" s="426">
        <f t="shared" si="124"/>
        <v>11.849413581106983</v>
      </c>
      <c r="I988" s="427">
        <f t="shared" si="122"/>
        <v>4.3570293737730381</v>
      </c>
      <c r="J988" s="148">
        <v>4.5556715718772178</v>
      </c>
      <c r="K988" s="921">
        <f t="shared" si="129"/>
        <v>1.9206020902263587</v>
      </c>
      <c r="L988" s="426">
        <f t="shared" si="125"/>
        <v>2.3412139479859313</v>
      </c>
      <c r="M988" s="532">
        <f t="shared" si="128"/>
        <v>3.0760396822597773E-2</v>
      </c>
      <c r="N988" s="523"/>
      <c r="O988" s="127"/>
    </row>
    <row r="989" spans="1:15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620">
        <f t="shared" si="127"/>
        <v>473.4</v>
      </c>
      <c r="G989" s="290">
        <f t="shared" si="123"/>
        <v>3.3524522490659568E-3</v>
      </c>
      <c r="H989" s="426">
        <f t="shared" si="124"/>
        <v>7.6071499719230351</v>
      </c>
      <c r="I989" s="427">
        <f t="shared" si="122"/>
        <v>2.7971490446761003</v>
      </c>
      <c r="J989" s="148">
        <v>2.9246744265346827</v>
      </c>
      <c r="K989" s="921">
        <f t="shared" si="129"/>
        <v>1.2329984126839684</v>
      </c>
      <c r="L989" s="426">
        <f t="shared" si="125"/>
        <v>1.5030250650617576</v>
      </c>
      <c r="M989" s="532">
        <f t="shared" si="128"/>
        <v>3.0760396822597777E-2</v>
      </c>
      <c r="N989" s="523"/>
      <c r="O989" s="127"/>
    </row>
    <row r="990" spans="1:15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620">
        <f t="shared" si="127"/>
        <v>320.60000000000002</v>
      </c>
      <c r="G990" s="290">
        <f t="shared" si="123"/>
        <v>2.2703764069508785E-3</v>
      </c>
      <c r="H990" s="426">
        <f t="shared" si="124"/>
        <v>5.1517792163044476</v>
      </c>
      <c r="I990" s="427">
        <f t="shared" si="122"/>
        <v>1.8943092178351455</v>
      </c>
      <c r="J990" s="148">
        <v>1.9806730484727912</v>
      </c>
      <c r="K990" s="921">
        <f t="shared" si="129"/>
        <v>0.83502173871246366</v>
      </c>
      <c r="L990" s="426">
        <f t="shared" si="125"/>
        <v>1.0178914994904933</v>
      </c>
      <c r="M990" s="532">
        <f t="shared" si="128"/>
        <v>3.076039682259778E-2</v>
      </c>
      <c r="N990" s="523"/>
      <c r="O990" s="127"/>
    </row>
    <row r="991" spans="1:15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620">
        <f t="shared" si="127"/>
        <v>963.8</v>
      </c>
      <c r="G991" s="290">
        <f t="shared" si="123"/>
        <v>6.8252925172153974E-3</v>
      </c>
      <c r="H991" s="426">
        <f t="shared" si="124"/>
        <v>15.487476009588976</v>
      </c>
      <c r="I991" s="427">
        <f t="shared" si="122"/>
        <v>5.6947449287258669</v>
      </c>
      <c r="J991" s="148">
        <v>5.9543751843982404</v>
      </c>
      <c r="K991" s="921">
        <f t="shared" si="129"/>
        <v>2.5102743349066512</v>
      </c>
      <c r="L991" s="426">
        <f t="shared" si="125"/>
        <v>3.0600244142512079</v>
      </c>
      <c r="M991" s="532">
        <f t="shared" si="128"/>
        <v>3.0760396822597773E-2</v>
      </c>
      <c r="N991" s="523"/>
      <c r="O991" s="127"/>
    </row>
    <row r="992" spans="1:15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620">
        <f t="shared" si="127"/>
        <v>143.69999999999999</v>
      </c>
      <c r="G992" s="290">
        <f t="shared" si="123"/>
        <v>1.0176328436645077E-3</v>
      </c>
      <c r="H992" s="426">
        <f t="shared" si="124"/>
        <v>2.3091412145444443</v>
      </c>
      <c r="I992" s="427">
        <f t="shared" si="122"/>
        <v>0.84907122458799222</v>
      </c>
      <c r="J992" s="148">
        <v>0.88778140070349354</v>
      </c>
      <c r="K992" s="921">
        <f>G992*367.79</f>
        <v>0.3742751835713693</v>
      </c>
      <c r="L992" s="426">
        <f t="shared" si="125"/>
        <v>0.4562414487734992</v>
      </c>
      <c r="M992" s="532">
        <f t="shared" si="128"/>
        <v>3.076039682259777E-2</v>
      </c>
      <c r="N992" s="523"/>
      <c r="O992" s="127"/>
    </row>
    <row r="993" spans="1:15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620">
        <f t="shared" si="127"/>
        <v>136.80000000000001</v>
      </c>
      <c r="G993" s="290">
        <f t="shared" si="123"/>
        <v>9.6876947121297627E-4</v>
      </c>
      <c r="H993" s="426">
        <f t="shared" si="124"/>
        <v>2.1982638702135011</v>
      </c>
      <c r="I993" s="427">
        <f t="shared" si="122"/>
        <v>0.80830162507750447</v>
      </c>
      <c r="J993" s="148">
        <v>0.84515306622295028</v>
      </c>
      <c r="K993" s="921">
        <f>G993*367.79</f>
        <v>0.35630372381742054</v>
      </c>
      <c r="L993" s="426">
        <f t="shared" si="125"/>
        <v>0.43433423933343568</v>
      </c>
      <c r="M993" s="532">
        <f t="shared" si="128"/>
        <v>3.0760396822597777E-2</v>
      </c>
      <c r="N993" s="523"/>
      <c r="O993" s="127"/>
    </row>
    <row r="994" spans="1:15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620">
        <f t="shared" si="127"/>
        <v>128.1</v>
      </c>
      <c r="G994" s="290">
        <f t="shared" si="123"/>
        <v>9.0715913203495788E-4</v>
      </c>
      <c r="H994" s="426">
        <f t="shared" si="124"/>
        <v>2.0584620012744841</v>
      </c>
      <c r="I994" s="427">
        <f t="shared" si="122"/>
        <v>0.7568964778686279</v>
      </c>
      <c r="J994" s="148">
        <v>0.7914042966605257</v>
      </c>
      <c r="K994" s="921">
        <f>G994*367.79</f>
        <v>0.33364405717113715</v>
      </c>
      <c r="L994" s="426">
        <f t="shared" si="125"/>
        <v>0.4067121056916162</v>
      </c>
      <c r="M994" s="532">
        <f t="shared" si="128"/>
        <v>3.0760396822597773E-2</v>
      </c>
      <c r="N994" s="523"/>
      <c r="O994" s="127"/>
    </row>
    <row r="995" spans="1:15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620">
        <f t="shared" si="127"/>
        <v>72.5</v>
      </c>
      <c r="G995" s="290">
        <f t="shared" si="123"/>
        <v>5.1341949315015188E-4</v>
      </c>
      <c r="H995" s="426">
        <f t="shared" si="124"/>
        <v>1.1650155744918043</v>
      </c>
      <c r="I995" s="427">
        <f t="shared" si="122"/>
        <v>0.42837622674063647</v>
      </c>
      <c r="J995" s="148">
        <v>0.44790641302020384</v>
      </c>
      <c r="K995" s="921">
        <f>G995*1367.79</f>
        <v>0.70225004853584627</v>
      </c>
      <c r="L995" s="426">
        <f t="shared" si="125"/>
        <v>0.85604280916519671</v>
      </c>
      <c r="M995" s="532">
        <f t="shared" si="128"/>
        <v>3.784204500397919E-2</v>
      </c>
      <c r="N995" s="523"/>
      <c r="O995" s="127"/>
    </row>
    <row r="996" spans="1:15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620">
        <f t="shared" si="127"/>
        <v>237.6</v>
      </c>
      <c r="G996" s="290">
        <f t="shared" si="123"/>
        <v>1.6825996078962218E-3</v>
      </c>
      <c r="H996" s="426">
        <f t="shared" si="124"/>
        <v>3.8180372482655538</v>
      </c>
      <c r="I996" s="427">
        <f t="shared" si="122"/>
        <v>1.4038922961872442</v>
      </c>
      <c r="J996" s="148">
        <v>1.4678974308082819</v>
      </c>
      <c r="K996" s="921">
        <f t="shared" si="129"/>
        <v>0.61884330978815139</v>
      </c>
      <c r="L996" s="426">
        <f t="shared" si="125"/>
        <v>0.75436999463175658</v>
      </c>
      <c r="M996" s="532">
        <f t="shared" si="128"/>
        <v>3.0760396822597777E-2</v>
      </c>
      <c r="N996" s="523"/>
      <c r="O996" s="127"/>
    </row>
    <row r="997" spans="1:15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620">
        <f t="shared" si="127"/>
        <v>106.4</v>
      </c>
      <c r="G997" s="290">
        <f t="shared" si="123"/>
        <v>7.534873664989815E-4</v>
      </c>
      <c r="H997" s="426">
        <f t="shared" si="124"/>
        <v>1.7097607879438339</v>
      </c>
      <c r="I997" s="427">
        <f t="shared" si="122"/>
        <v>0.62867904172694777</v>
      </c>
      <c r="J997" s="148">
        <v>0.65734127372896123</v>
      </c>
      <c r="K997" s="921">
        <f t="shared" si="129"/>
        <v>0.27712511852466043</v>
      </c>
      <c r="L997" s="426">
        <f t="shared" si="125"/>
        <v>0.33781551948156108</v>
      </c>
      <c r="M997" s="532">
        <f t="shared" si="128"/>
        <v>3.0760396822597773E-2</v>
      </c>
      <c r="N997" s="523"/>
      <c r="O997" s="127"/>
    </row>
    <row r="998" spans="1:15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620">
        <f t="shared" si="127"/>
        <v>348.62</v>
      </c>
      <c r="G998" s="290">
        <f t="shared" si="123"/>
        <v>2.4688041889931855E-3</v>
      </c>
      <c r="H998" s="426">
        <f t="shared" si="124"/>
        <v>5.6020376493701072</v>
      </c>
      <c r="I998" s="427">
        <f t="shared" si="122"/>
        <v>2.0598692436733885</v>
      </c>
      <c r="J998" s="148">
        <v>2.1537811545807375</v>
      </c>
      <c r="K998" s="921">
        <f t="shared" si="129"/>
        <v>0.90800149266980379</v>
      </c>
      <c r="L998" s="426">
        <f t="shared" si="125"/>
        <v>1.1068538195644908</v>
      </c>
      <c r="M998" s="532">
        <f t="shared" si="128"/>
        <v>3.0760396822597777E-2</v>
      </c>
      <c r="N998" s="523"/>
      <c r="O998" s="127"/>
    </row>
    <row r="999" spans="1:15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620">
        <f t="shared" si="127"/>
        <v>360.12</v>
      </c>
      <c r="G999" s="290">
        <f t="shared" si="123"/>
        <v>2.5502431430790714E-3</v>
      </c>
      <c r="H999" s="426">
        <f t="shared" si="124"/>
        <v>5.7868332232550133</v>
      </c>
      <c r="I999" s="427">
        <f t="shared" si="122"/>
        <v>2.1278185761908683</v>
      </c>
      <c r="J999" s="148">
        <v>2.2248283787149767</v>
      </c>
      <c r="K999" s="921">
        <f>G999*367.79</f>
        <v>0.93795392559305169</v>
      </c>
      <c r="L999" s="426">
        <f t="shared" si="125"/>
        <v>1.1433658352979301</v>
      </c>
      <c r="M999" s="532">
        <f t="shared" si="128"/>
        <v>3.076039682259777E-2</v>
      </c>
      <c r="N999" s="523"/>
      <c r="O999" s="127"/>
    </row>
    <row r="1000" spans="1:15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620">
        <f t="shared" si="127"/>
        <v>301.69</v>
      </c>
      <c r="G1000" s="290">
        <f t="shared" si="123"/>
        <v>2.1364624398409562E-3</v>
      </c>
      <c r="H1000" s="426">
        <f t="shared" si="124"/>
        <v>4.847911016116309</v>
      </c>
      <c r="I1000" s="427">
        <f t="shared" si="122"/>
        <v>1.782576880625967</v>
      </c>
      <c r="J1000" s="148">
        <v>1.863846699918142</v>
      </c>
      <c r="K1000" s="921">
        <f t="shared" si="129"/>
        <v>0.78576952074910533</v>
      </c>
      <c r="L1000" s="426">
        <f t="shared" si="125"/>
        <v>0.95785304579315944</v>
      </c>
      <c r="M1000" s="532">
        <f t="shared" si="128"/>
        <v>3.0760396822597773E-2</v>
      </c>
      <c r="N1000" s="523"/>
      <c r="O1000" s="127"/>
    </row>
    <row r="1001" spans="1:15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620">
        <f t="shared" si="127"/>
        <v>136.1</v>
      </c>
      <c r="G1001" s="290">
        <f t="shared" si="123"/>
        <v>9.6381231748600914E-4</v>
      </c>
      <c r="H1001" s="426">
        <f t="shared" si="124"/>
        <v>2.1870154439770282</v>
      </c>
      <c r="I1001" s="427">
        <f t="shared" si="122"/>
        <v>0.80416557875035333</v>
      </c>
      <c r="J1001" s="426">
        <v>0.84082845257999639</v>
      </c>
      <c r="K1001" s="921">
        <f t="shared" si="129"/>
        <v>0.35448053224817933</v>
      </c>
      <c r="L1001" s="426">
        <f t="shared" si="125"/>
        <v>0.43211176881053065</v>
      </c>
      <c r="M1001" s="532">
        <f t="shared" si="128"/>
        <v>3.0760396822597777E-2</v>
      </c>
      <c r="N1001" s="523"/>
      <c r="O1001" s="127"/>
    </row>
    <row r="1002" spans="1:15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620">
        <f t="shared" si="127"/>
        <v>113.9</v>
      </c>
      <c r="G1002" s="290">
        <f t="shared" si="123"/>
        <v>8.065997278593421E-4</v>
      </c>
      <c r="H1002" s="426">
        <f t="shared" si="124"/>
        <v>1.830279640477469</v>
      </c>
      <c r="I1002" s="427">
        <f t="shared" si="122"/>
        <v>0.67299382380356543</v>
      </c>
      <c r="J1002" s="426">
        <v>0.70367641990346519</v>
      </c>
      <c r="K1002" s="921">
        <f t="shared" si="129"/>
        <v>0.29665931390938743</v>
      </c>
      <c r="L1002" s="426">
        <f t="shared" si="125"/>
        <v>0.36162770365554331</v>
      </c>
      <c r="M1002" s="532">
        <f t="shared" si="128"/>
        <v>3.0760396822597777E-2</v>
      </c>
      <c r="N1002" s="523"/>
      <c r="O1002" s="127"/>
    </row>
    <row r="1003" spans="1:15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620">
        <f t="shared" si="127"/>
        <v>566.45000000000005</v>
      </c>
      <c r="G1003" s="290">
        <f t="shared" si="123"/>
        <v>4.0113996123434968E-3</v>
      </c>
      <c r="H1003" s="426">
        <f t="shared" si="124"/>
        <v>9.1023872023569989</v>
      </c>
      <c r="I1003" s="427">
        <f t="shared" ref="I1003:I1064" si="130">H1003*0.3677</f>
        <v>3.3469477743066687</v>
      </c>
      <c r="J1003" s="426">
        <v>3.4995391400730278</v>
      </c>
      <c r="K1003" s="921">
        <f t="shared" si="129"/>
        <v>1.4753526634238148</v>
      </c>
      <c r="L1003" s="426">
        <f t="shared" si="125"/>
        <v>1.7984548967136302</v>
      </c>
      <c r="M1003" s="532">
        <f t="shared" si="128"/>
        <v>3.0760396822597773E-2</v>
      </c>
      <c r="N1003" s="523"/>
      <c r="O1003" s="127"/>
    </row>
    <row r="1004" spans="1:15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620">
        <f t="shared" si="127"/>
        <v>760.45</v>
      </c>
      <c r="G1004" s="290">
        <f t="shared" si="123"/>
        <v>5.3852393595314896E-3</v>
      </c>
      <c r="H1004" s="426">
        <f t="shared" si="124"/>
        <v>12.21980818789369</v>
      </c>
      <c r="I1004" s="427">
        <f t="shared" si="130"/>
        <v>4.4932234706885099</v>
      </c>
      <c r="J1004" s="426">
        <v>4.6980749211201935</v>
      </c>
      <c r="K1004" s="921">
        <f t="shared" si="129"/>
        <v>1.9806371840420867</v>
      </c>
      <c r="L1004" s="426">
        <f t="shared" si="125"/>
        <v>2.4143967273473037</v>
      </c>
      <c r="M1004" s="532">
        <f t="shared" si="128"/>
        <v>3.0760396822597773E-2</v>
      </c>
      <c r="N1004" s="523"/>
      <c r="O1004" s="127"/>
    </row>
    <row r="1005" spans="1:15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620">
        <f t="shared" si="127"/>
        <v>275.3</v>
      </c>
      <c r="G1005" s="290">
        <f t="shared" si="123"/>
        <v>1.9495777443343009E-3</v>
      </c>
      <c r="H1005" s="426">
        <f t="shared" si="124"/>
        <v>4.4238453470012926</v>
      </c>
      <c r="I1005" s="427">
        <f t="shared" si="130"/>
        <v>1.6266479340923754</v>
      </c>
      <c r="J1005" s="426">
        <v>1.7008087655787878</v>
      </c>
      <c r="K1005" s="921">
        <f>G1005*367.79</f>
        <v>0.71703519858871256</v>
      </c>
      <c r="L1005" s="426">
        <f t="shared" si="125"/>
        <v>0.87406590707964071</v>
      </c>
      <c r="M1005" s="532">
        <f t="shared" si="128"/>
        <v>3.0760396822597773E-2</v>
      </c>
      <c r="N1005" s="523"/>
      <c r="O1005" s="127"/>
    </row>
    <row r="1006" spans="1:15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620">
        <f t="shared" si="127"/>
        <v>384.4</v>
      </c>
      <c r="G1006" s="290">
        <f t="shared" si="123"/>
        <v>2.7221855609230118E-3</v>
      </c>
      <c r="H1006" s="426">
        <f t="shared" si="124"/>
        <v>6.1769929218572344</v>
      </c>
      <c r="I1006" s="427">
        <f t="shared" si="130"/>
        <v>2.2712802973669053</v>
      </c>
      <c r="J1006" s="426">
        <v>2.3748306919305704</v>
      </c>
      <c r="K1006" s="921">
        <f t="shared" si="129"/>
        <v>1.0011926274518745</v>
      </c>
      <c r="L1006" s="426">
        <f t="shared" si="125"/>
        <v>1.2204538128638351</v>
      </c>
      <c r="M1006" s="532">
        <f t="shared" si="128"/>
        <v>3.076039682259778E-2</v>
      </c>
      <c r="N1006" s="523"/>
      <c r="O1006" s="127"/>
    </row>
    <row r="1007" spans="1:15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620">
        <f t="shared" si="127"/>
        <v>207.2</v>
      </c>
      <c r="G1007" s="290">
        <f t="shared" si="123"/>
        <v>1.4673175031822271E-3</v>
      </c>
      <c r="H1007" s="426">
        <f t="shared" si="124"/>
        <v>3.329534165995887</v>
      </c>
      <c r="I1007" s="427">
        <f t="shared" si="130"/>
        <v>1.2242697128366877</v>
      </c>
      <c r="J1007" s="426">
        <v>1.2800856383142927</v>
      </c>
      <c r="K1007" s="921">
        <f t="shared" si="129"/>
        <v>0.53966470449539139</v>
      </c>
      <c r="L1007" s="426">
        <f t="shared" si="125"/>
        <v>0.65785127477988214</v>
      </c>
      <c r="M1007" s="532">
        <f t="shared" si="128"/>
        <v>3.0760396822597777E-2</v>
      </c>
      <c r="N1007" s="523"/>
      <c r="O1007" s="127"/>
    </row>
    <row r="1008" spans="1:15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620">
        <f t="shared" si="127"/>
        <v>603.70000000000005</v>
      </c>
      <c r="G1008" s="290">
        <f t="shared" si="123"/>
        <v>4.2751910070999545E-3</v>
      </c>
      <c r="H1008" s="426">
        <f t="shared" si="124"/>
        <v>9.7009641699407201</v>
      </c>
      <c r="I1008" s="427">
        <f t="shared" si="130"/>
        <v>3.5670445252872032</v>
      </c>
      <c r="J1008" s="426">
        <v>3.7296703660730635</v>
      </c>
      <c r="K1008" s="921">
        <f>G1008*1367.79</f>
        <v>5.8475635076012464</v>
      </c>
      <c r="L1008" s="426">
        <f t="shared" si="125"/>
        <v>7.1281799157659202</v>
      </c>
      <c r="M1008" s="532">
        <f t="shared" si="128"/>
        <v>3.7842045003979183E-2</v>
      </c>
      <c r="N1008" s="523"/>
      <c r="O1008" s="127"/>
    </row>
    <row r="1009" spans="1:15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620">
        <f t="shared" si="127"/>
        <v>477.8</v>
      </c>
      <c r="G1009" s="290">
        <f t="shared" ref="G1009:G1072" si="131">2/282420.13*F1009</f>
        <v>3.3836115010640352E-3</v>
      </c>
      <c r="H1009" s="426">
        <f t="shared" ref="H1009:H1072" si="132">G1009*2269.13</f>
        <v>7.6778543654094342</v>
      </c>
      <c r="I1009" s="427">
        <f t="shared" si="130"/>
        <v>2.8231470501610492</v>
      </c>
      <c r="J1009" s="426">
        <v>2.951857712290392</v>
      </c>
      <c r="K1009" s="921">
        <f>G1009*1235.27</f>
        <v>4.179673778919371</v>
      </c>
      <c r="L1009" s="426">
        <f t="shared" si="125"/>
        <v>5.0950223365027139</v>
      </c>
      <c r="M1009" s="532">
        <f t="shared" si="128"/>
        <v>3.690358498698252E-2</v>
      </c>
      <c r="N1009" s="523"/>
      <c r="O1009" s="127"/>
    </row>
    <row r="1010" spans="1:15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620">
        <f t="shared" si="127"/>
        <v>481.5</v>
      </c>
      <c r="G1010" s="290">
        <f t="shared" si="131"/>
        <v>3.4098135993351464E-3</v>
      </c>
      <c r="H1010" s="426">
        <f t="shared" si="132"/>
        <v>7.7373103326593613</v>
      </c>
      <c r="I1010" s="427">
        <f t="shared" si="130"/>
        <v>2.8450090093188471</v>
      </c>
      <c r="J1010" s="426">
        <v>2.974716384403147</v>
      </c>
      <c r="K1010" s="921">
        <f>G1010*1235.27</f>
        <v>4.212040444850726</v>
      </c>
      <c r="L1010" s="426">
        <f t="shared" ref="L1010:L1073" si="133">K1010*1.219</f>
        <v>5.1344773022730354</v>
      </c>
      <c r="M1010" s="532">
        <f t="shared" si="128"/>
        <v>3.690358498698252E-2</v>
      </c>
      <c r="N1010" s="523"/>
      <c r="O1010" s="127"/>
    </row>
    <row r="1011" spans="1:15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620">
        <f t="shared" si="127"/>
        <v>539.4</v>
      </c>
      <c r="G1011" s="290">
        <f t="shared" si="131"/>
        <v>3.8198410290371295E-3</v>
      </c>
      <c r="H1011" s="426">
        <f t="shared" si="132"/>
        <v>8.6677158742190219</v>
      </c>
      <c r="I1011" s="427">
        <f t="shared" si="130"/>
        <v>3.1871191269503347</v>
      </c>
      <c r="J1011" s="426">
        <v>3.3324237128703165</v>
      </c>
      <c r="K1011" s="921">
        <f>G1011*235.27</f>
        <v>0.89869399890156554</v>
      </c>
      <c r="L1011" s="426">
        <f t="shared" si="133"/>
        <v>1.0955079846610085</v>
      </c>
      <c r="M1011" s="532">
        <f t="shared" si="128"/>
        <v>2.982193680560111E-2</v>
      </c>
      <c r="N1011" s="523"/>
      <c r="O1011" s="127"/>
    </row>
    <row r="1012" spans="1:15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620">
        <f t="shared" si="127"/>
        <v>120.6</v>
      </c>
      <c r="G1012" s="290">
        <f t="shared" si="131"/>
        <v>8.540467706745974E-4</v>
      </c>
      <c r="H1012" s="426">
        <f t="shared" si="132"/>
        <v>1.9379431487408494</v>
      </c>
      <c r="I1012" s="427">
        <f t="shared" si="130"/>
        <v>0.71258169579201036</v>
      </c>
      <c r="J1012" s="426">
        <v>0.74506915048602185</v>
      </c>
      <c r="K1012" s="921">
        <f>G1012*367.79</f>
        <v>0.3141098617864102</v>
      </c>
      <c r="L1012" s="426">
        <f t="shared" si="133"/>
        <v>0.38289992151763408</v>
      </c>
      <c r="M1012" s="532">
        <f t="shared" si="128"/>
        <v>3.0760396822597777E-2</v>
      </c>
      <c r="N1012" s="523"/>
      <c r="O1012" s="127"/>
    </row>
    <row r="1013" spans="1:15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620">
        <f t="shared" si="127"/>
        <v>98.1</v>
      </c>
      <c r="G1013" s="290">
        <f t="shared" si="131"/>
        <v>6.9470968659351583E-4</v>
      </c>
      <c r="H1013" s="426">
        <f t="shared" si="132"/>
        <v>1.5763865911399446</v>
      </c>
      <c r="I1013" s="427">
        <f t="shared" si="130"/>
        <v>0.57963734956215762</v>
      </c>
      <c r="J1013" s="426">
        <v>0.60606371196251019</v>
      </c>
      <c r="K1013" s="921">
        <f>G1013*367.79</f>
        <v>0.25550727563222919</v>
      </c>
      <c r="L1013" s="426">
        <f t="shared" si="133"/>
        <v>0.31146336899568738</v>
      </c>
      <c r="M1013" s="532">
        <f t="shared" si="128"/>
        <v>3.076039682259778E-2</v>
      </c>
      <c r="N1013" s="523"/>
      <c r="O1013" s="127"/>
    </row>
    <row r="1014" spans="1:15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620">
        <f t="shared" si="127"/>
        <v>95.2</v>
      </c>
      <c r="G1014" s="290">
        <f t="shared" si="131"/>
        <v>6.7417290686750981E-4</v>
      </c>
      <c r="H1014" s="426">
        <f t="shared" si="132"/>
        <v>1.5297859681602726</v>
      </c>
      <c r="I1014" s="427">
        <f t="shared" si="130"/>
        <v>0.56250230049253225</v>
      </c>
      <c r="J1014" s="426">
        <v>0.58814745544170222</v>
      </c>
      <c r="K1014" s="921">
        <f>G1014*367.79</f>
        <v>0.24795405341680143</v>
      </c>
      <c r="L1014" s="426">
        <f t="shared" si="133"/>
        <v>0.30225599111508095</v>
      </c>
      <c r="M1014" s="532">
        <f t="shared" si="128"/>
        <v>3.076039682259778E-2</v>
      </c>
      <c r="N1014" s="523"/>
      <c r="O1014" s="127"/>
    </row>
    <row r="1015" spans="1:15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620">
        <f t="shared" si="127"/>
        <v>2329.16</v>
      </c>
      <c r="G1015" s="290">
        <f t="shared" si="131"/>
        <v>1.6494291678146311E-2</v>
      </c>
      <c r="H1015" s="426">
        <f t="shared" si="132"/>
        <v>37.427692075632137</v>
      </c>
      <c r="I1015" s="427">
        <f t="shared" si="130"/>
        <v>13.762162376209938</v>
      </c>
      <c r="J1015" s="426">
        <v>14.389595875174317</v>
      </c>
      <c r="K1015" s="921">
        <f>G1015*1235.27</f>
        <v>20.374903681263792</v>
      </c>
      <c r="L1015" s="426">
        <f t="shared" si="133"/>
        <v>24.837007587460565</v>
      </c>
      <c r="M1015" s="532">
        <f t="shared" si="128"/>
        <v>3.6903584986982513E-2</v>
      </c>
      <c r="N1015" s="523"/>
      <c r="O1015" s="127"/>
    </row>
    <row r="1016" spans="1:15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620">
        <f t="shared" si="127"/>
        <v>188</v>
      </c>
      <c r="G1016" s="290">
        <f t="shared" si="131"/>
        <v>1.331349858099704E-3</v>
      </c>
      <c r="H1016" s="426">
        <f t="shared" si="132"/>
        <v>3.0210059035097814</v>
      </c>
      <c r="I1016" s="427">
        <f t="shared" si="130"/>
        <v>1.1108238707205467</v>
      </c>
      <c r="J1016" s="426">
        <v>1.1614676641075632</v>
      </c>
      <c r="K1016" s="921">
        <f t="shared" ref="K1016:K1026" si="134">G1016*367.79</f>
        <v>0.48965716431049017</v>
      </c>
      <c r="L1016" s="426">
        <f t="shared" si="133"/>
        <v>0.59689208329448751</v>
      </c>
      <c r="M1016" s="532">
        <f t="shared" si="128"/>
        <v>3.0760396822597773E-2</v>
      </c>
      <c r="N1016" s="523"/>
      <c r="O1016" s="127"/>
    </row>
    <row r="1017" spans="1:15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620">
        <f t="shared" si="127"/>
        <v>110.1</v>
      </c>
      <c r="G1017" s="290">
        <f t="shared" si="131"/>
        <v>7.7968946477009261E-4</v>
      </c>
      <c r="H1017" s="426">
        <f t="shared" si="132"/>
        <v>1.7692167551937603</v>
      </c>
      <c r="I1017" s="427">
        <f t="shared" si="130"/>
        <v>0.65054100088474576</v>
      </c>
      <c r="J1017" s="426">
        <v>0.6801999458417165</v>
      </c>
      <c r="K1017" s="921">
        <f>G1017*367.79</f>
        <v>0.28676198824779237</v>
      </c>
      <c r="L1017" s="426">
        <f t="shared" si="133"/>
        <v>0.34956286367405892</v>
      </c>
      <c r="M1017" s="532">
        <f t="shared" si="128"/>
        <v>3.0760396822597773E-2</v>
      </c>
      <c r="N1017" s="523"/>
      <c r="O1017" s="127"/>
    </row>
    <row r="1018" spans="1:15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620">
        <f t="shared" si="127"/>
        <v>215.8</v>
      </c>
      <c r="G1018" s="290">
        <f t="shared" si="131"/>
        <v>1.5282196775421072E-3</v>
      </c>
      <c r="H1018" s="426">
        <f t="shared" si="132"/>
        <v>3.467729116901122</v>
      </c>
      <c r="I1018" s="427">
        <f t="shared" si="130"/>
        <v>1.2750839962845426</v>
      </c>
      <c r="J1018" s="426">
        <v>1.3332166059277242</v>
      </c>
      <c r="K1018" s="921">
        <f t="shared" si="134"/>
        <v>0.56206391520321164</v>
      </c>
      <c r="L1018" s="426">
        <f t="shared" si="133"/>
        <v>0.68515591263271503</v>
      </c>
      <c r="M1018" s="532">
        <f t="shared" si="128"/>
        <v>3.0760396822597777E-2</v>
      </c>
      <c r="N1018" s="523"/>
      <c r="O1018" s="127"/>
    </row>
    <row r="1019" spans="1:15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620">
        <f t="shared" si="127"/>
        <v>1481.3</v>
      </c>
      <c r="G1019" s="290">
        <f t="shared" si="131"/>
        <v>1.0490045451080275E-2</v>
      </c>
      <c r="H1019" s="426">
        <f t="shared" si="132"/>
        <v>23.803276834409786</v>
      </c>
      <c r="I1019" s="427">
        <f t="shared" si="130"/>
        <v>8.7524648920124797</v>
      </c>
      <c r="J1019" s="426">
        <v>9.1515002704390067</v>
      </c>
      <c r="K1019" s="921">
        <f>G1019*367.79</f>
        <v>3.8581338164528147</v>
      </c>
      <c r="L1019" s="426">
        <f t="shared" si="133"/>
        <v>4.7030651222559818</v>
      </c>
      <c r="M1019" s="532">
        <f t="shared" si="128"/>
        <v>3.076039682259778E-2</v>
      </c>
      <c r="N1019" s="523"/>
      <c r="O1019" s="127"/>
    </row>
    <row r="1020" spans="1:15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620">
        <f t="shared" si="127"/>
        <v>152.6</v>
      </c>
      <c r="G1020" s="290">
        <f t="shared" si="131"/>
        <v>1.0806595124788023E-3</v>
      </c>
      <c r="H1020" s="426">
        <f t="shared" si="132"/>
        <v>2.4521569195510247</v>
      </c>
      <c r="I1020" s="427">
        <f t="shared" si="130"/>
        <v>0.90165809931891183</v>
      </c>
      <c r="J1020" s="426">
        <v>0.94276577416390483</v>
      </c>
      <c r="K1020" s="921">
        <f>G1020*367.79</f>
        <v>0.39745576209457872</v>
      </c>
      <c r="L1020" s="426">
        <f t="shared" si="133"/>
        <v>0.48449857399329149</v>
      </c>
      <c r="M1020" s="532">
        <f t="shared" si="128"/>
        <v>3.0760396822597773E-2</v>
      </c>
      <c r="N1020" s="523"/>
      <c r="O1020" s="127"/>
    </row>
    <row r="1021" spans="1:15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620">
        <f t="shared" si="127"/>
        <v>110.9</v>
      </c>
      <c r="G1021" s="290">
        <f t="shared" si="131"/>
        <v>7.853547833151978E-4</v>
      </c>
      <c r="H1021" s="426">
        <f t="shared" si="132"/>
        <v>1.7820720994640149</v>
      </c>
      <c r="I1021" s="427">
        <f t="shared" si="130"/>
        <v>0.65526791097291837</v>
      </c>
      <c r="J1021" s="426">
        <v>0.68514236143366358</v>
      </c>
      <c r="K1021" s="921">
        <f>G1021*367.79</f>
        <v>0.2888456357554966</v>
      </c>
      <c r="L1021" s="426">
        <f t="shared" si="133"/>
        <v>0.35210282998595038</v>
      </c>
      <c r="M1021" s="532">
        <f t="shared" si="128"/>
        <v>3.0760396822597777E-2</v>
      </c>
      <c r="N1021" s="523"/>
      <c r="O1021" s="127"/>
    </row>
    <row r="1022" spans="1:15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620">
        <f t="shared" si="127"/>
        <v>59.5</v>
      </c>
      <c r="G1022" s="290">
        <f t="shared" si="131"/>
        <v>4.2135806679219356E-4</v>
      </c>
      <c r="H1022" s="426">
        <f t="shared" si="132"/>
        <v>0.95611623010017022</v>
      </c>
      <c r="I1022" s="427">
        <f t="shared" si="130"/>
        <v>0.35156393780783263</v>
      </c>
      <c r="J1022" s="426">
        <v>0.36759215965106384</v>
      </c>
      <c r="K1022" s="921">
        <f t="shared" si="134"/>
        <v>0.15497128338550087</v>
      </c>
      <c r="L1022" s="426">
        <f t="shared" si="133"/>
        <v>0.18890999444692558</v>
      </c>
      <c r="M1022" s="532">
        <f t="shared" si="128"/>
        <v>3.0760396822597773E-2</v>
      </c>
      <c r="N1022" s="523"/>
      <c r="O1022" s="127"/>
    </row>
    <row r="1023" spans="1:15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620">
        <f t="shared" si="127"/>
        <v>38.700000000000003</v>
      </c>
      <c r="G1023" s="290">
        <f t="shared" si="131"/>
        <v>2.7405978461946039E-4</v>
      </c>
      <c r="H1023" s="426">
        <f t="shared" si="132"/>
        <v>0.62187727907355617</v>
      </c>
      <c r="I1023" s="427">
        <f t="shared" si="130"/>
        <v>0.22866427551534663</v>
      </c>
      <c r="J1023" s="426">
        <v>0.23908935426043987</v>
      </c>
      <c r="K1023" s="921">
        <f t="shared" si="134"/>
        <v>0.10079644818519135</v>
      </c>
      <c r="L1023" s="426">
        <f t="shared" si="133"/>
        <v>0.12287087033774825</v>
      </c>
      <c r="M1023" s="532">
        <f t="shared" si="128"/>
        <v>3.0760396822597777E-2</v>
      </c>
      <c r="N1023" s="523"/>
      <c r="O1023" s="127"/>
    </row>
    <row r="1024" spans="1:15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620">
        <f t="shared" si="127"/>
        <v>72.3</v>
      </c>
      <c r="G1024" s="290">
        <f t="shared" si="131"/>
        <v>5.1200316351387553E-4</v>
      </c>
      <c r="H1024" s="426">
        <f t="shared" si="132"/>
        <v>1.1618017384242405</v>
      </c>
      <c r="I1024" s="427">
        <f t="shared" si="130"/>
        <v>0.42719449921859326</v>
      </c>
      <c r="J1024" s="426">
        <v>0.44667080912221702</v>
      </c>
      <c r="K1024" s="921">
        <f t="shared" si="134"/>
        <v>0.1883096435087683</v>
      </c>
      <c r="L1024" s="426">
        <f t="shared" si="133"/>
        <v>0.22954945543718858</v>
      </c>
      <c r="M1024" s="532">
        <f t="shared" si="128"/>
        <v>3.0760396822597773E-2</v>
      </c>
      <c r="N1024" s="523"/>
      <c r="O1024" s="127"/>
    </row>
    <row r="1025" spans="1:15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620">
        <f t="shared" si="127"/>
        <v>99.09</v>
      </c>
      <c r="G1025" s="290">
        <f t="shared" si="131"/>
        <v>7.0172051829308344E-4</v>
      </c>
      <c r="H1025" s="426">
        <f t="shared" si="132"/>
        <v>1.5922950796743844</v>
      </c>
      <c r="I1025" s="427">
        <f t="shared" si="130"/>
        <v>0.58548690079627119</v>
      </c>
      <c r="J1025" s="426">
        <v>0.61217995125754476</v>
      </c>
      <c r="K1025" s="921">
        <f>G1025*367.79</f>
        <v>0.25808578942301319</v>
      </c>
      <c r="L1025" s="426">
        <f t="shared" si="133"/>
        <v>0.31460657730665309</v>
      </c>
      <c r="M1025" s="532">
        <f t="shared" si="128"/>
        <v>3.0760396822597777E-2</v>
      </c>
      <c r="N1025" s="523"/>
      <c r="O1025" s="127"/>
    </row>
    <row r="1026" spans="1:15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620">
        <f t="shared" ref="F1026:F1086" si="135">C1026+D1026+E1026</f>
        <v>78.7</v>
      </c>
      <c r="G1026" s="290">
        <f t="shared" si="131"/>
        <v>5.5732571187471663E-4</v>
      </c>
      <c r="H1026" s="426">
        <f t="shared" si="132"/>
        <v>1.2646444925862759</v>
      </c>
      <c r="I1026" s="427">
        <f t="shared" si="130"/>
        <v>0.46500977992397369</v>
      </c>
      <c r="J1026" s="426">
        <v>0.48621013385779371</v>
      </c>
      <c r="K1026" s="921">
        <f t="shared" si="134"/>
        <v>0.20497882357040204</v>
      </c>
      <c r="L1026" s="426">
        <f t="shared" si="133"/>
        <v>0.2498691859323201</v>
      </c>
      <c r="M1026" s="532">
        <f t="shared" si="128"/>
        <v>3.0760396822597777E-2</v>
      </c>
      <c r="N1026" s="523"/>
      <c r="O1026" s="127"/>
    </row>
    <row r="1027" spans="1:15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620">
        <f t="shared" si="135"/>
        <v>557.9</v>
      </c>
      <c r="G1027" s="290">
        <f t="shared" si="131"/>
        <v>3.9508515203926856E-3</v>
      </c>
      <c r="H1027" s="426">
        <f t="shared" si="132"/>
        <v>8.9649957104686546</v>
      </c>
      <c r="I1027" s="427">
        <f t="shared" si="130"/>
        <v>3.2964289227393246</v>
      </c>
      <c r="J1027" s="426">
        <v>3.4467170734340926</v>
      </c>
      <c r="K1027" s="921">
        <f>G1027*235.27</f>
        <v>0.92951683720278722</v>
      </c>
      <c r="L1027" s="426">
        <f t="shared" si="133"/>
        <v>1.1330810245501977</v>
      </c>
      <c r="M1027" s="532">
        <f t="shared" si="128"/>
        <v>2.9821936805601107E-2</v>
      </c>
      <c r="N1027" s="523"/>
      <c r="O1027" s="127"/>
    </row>
    <row r="1028" spans="1:15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620">
        <f t="shared" si="135"/>
        <v>122.5</v>
      </c>
      <c r="G1028" s="290">
        <f t="shared" si="131"/>
        <v>8.6750190221922209E-4</v>
      </c>
      <c r="H1028" s="426">
        <f t="shared" si="132"/>
        <v>1.9684745913827035</v>
      </c>
      <c r="I1028" s="427">
        <f t="shared" si="130"/>
        <v>0.7238081072514202</v>
      </c>
      <c r="J1028" s="426">
        <v>0.75680738751689614</v>
      </c>
      <c r="K1028" s="921">
        <f>G1028*367.79</f>
        <v>0.31905852461720768</v>
      </c>
      <c r="L1028" s="426">
        <f t="shared" si="133"/>
        <v>0.38893234150837619</v>
      </c>
      <c r="M1028" s="532">
        <f t="shared" si="128"/>
        <v>3.0760396822597777E-2</v>
      </c>
      <c r="N1028" s="523"/>
      <c r="O1028" s="127"/>
    </row>
    <row r="1029" spans="1:15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20">
        <f t="shared" si="135"/>
        <v>275.5</v>
      </c>
      <c r="G1029" s="290">
        <f t="shared" si="131"/>
        <v>1.950994073970577E-3</v>
      </c>
      <c r="H1029" s="426">
        <f t="shared" si="132"/>
        <v>4.4270591830688559</v>
      </c>
      <c r="I1029" s="427">
        <f t="shared" si="130"/>
        <v>1.6278296616144186</v>
      </c>
      <c r="J1029" s="426">
        <v>1.7020443694767746</v>
      </c>
      <c r="K1029" s="921">
        <f>G1029*367.79</f>
        <v>0.71755611046563861</v>
      </c>
      <c r="L1029" s="426">
        <f t="shared" si="133"/>
        <v>0.87470089865761347</v>
      </c>
      <c r="M1029" s="532">
        <f t="shared" si="128"/>
        <v>3.4505249693101335E-2</v>
      </c>
      <c r="N1029" s="523"/>
      <c r="O1029" s="127"/>
    </row>
    <row r="1030" spans="1:15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620">
        <f t="shared" si="135"/>
        <v>189.1</v>
      </c>
      <c r="G1030" s="290">
        <f t="shared" si="131"/>
        <v>1.3391396710992235E-3</v>
      </c>
      <c r="H1030" s="426">
        <f t="shared" si="132"/>
        <v>3.0386820018813814</v>
      </c>
      <c r="I1030" s="427">
        <f t="shared" si="130"/>
        <v>1.1173233720917841</v>
      </c>
      <c r="J1030" s="148">
        <v>1.1682634855464902</v>
      </c>
      <c r="K1030" s="921">
        <f>G1030*367.79</f>
        <v>0.49252217963358347</v>
      </c>
      <c r="L1030" s="426">
        <f t="shared" si="133"/>
        <v>0.60038453697333827</v>
      </c>
      <c r="M1030" s="532">
        <f t="shared" ref="M1030:M1093" si="136">(K1030+J1030+I1030+H1030)/C1030</f>
        <v>3.0760396822597777E-2</v>
      </c>
      <c r="N1030" s="523"/>
      <c r="O1030" s="127"/>
    </row>
    <row r="1031" spans="1:15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620">
        <f t="shared" si="135"/>
        <v>590.4</v>
      </c>
      <c r="G1031" s="290">
        <f t="shared" si="131"/>
        <v>4.181005086287581E-3</v>
      </c>
      <c r="H1031" s="426">
        <f t="shared" si="132"/>
        <v>9.4872440714477388</v>
      </c>
      <c r="I1031" s="427">
        <f t="shared" si="130"/>
        <v>3.4884596450713339</v>
      </c>
      <c r="J1031" s="148">
        <v>3.647502706856943</v>
      </c>
      <c r="K1031" s="921">
        <f>G1031*1235.27</f>
        <v>5.1646701529384602</v>
      </c>
      <c r="L1031" s="426">
        <f t="shared" si="133"/>
        <v>6.2957329164319837</v>
      </c>
      <c r="M1031" s="532">
        <f t="shared" si="136"/>
        <v>3.6903584986982513E-2</v>
      </c>
      <c r="N1031" s="523"/>
      <c r="O1031" s="127"/>
    </row>
    <row r="1032" spans="1:15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620">
        <f t="shared" si="135"/>
        <v>761.4</v>
      </c>
      <c r="G1032" s="290">
        <f t="shared" si="131"/>
        <v>5.3919669253038012E-3</v>
      </c>
      <c r="H1032" s="426">
        <f t="shared" si="132"/>
        <v>12.235073909214615</v>
      </c>
      <c r="I1032" s="427">
        <f t="shared" si="130"/>
        <v>4.4988366764182137</v>
      </c>
      <c r="J1032" s="148">
        <v>4.7039440396356307</v>
      </c>
      <c r="K1032" s="921">
        <f>G1032*1235.27</f>
        <v>6.6605349838200265</v>
      </c>
      <c r="L1032" s="426">
        <f t="shared" si="133"/>
        <v>8.119192145276612</v>
      </c>
      <c r="M1032" s="532">
        <f t="shared" si="136"/>
        <v>3.6903584986982513E-2</v>
      </c>
      <c r="N1032" s="523"/>
      <c r="O1032" s="127"/>
    </row>
    <row r="1033" spans="1:15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20">
        <f t="shared" si="135"/>
        <v>577.12</v>
      </c>
      <c r="G1033" s="290">
        <f t="shared" si="131"/>
        <v>4.0869607984388365E-3</v>
      </c>
      <c r="H1033" s="426">
        <f t="shared" si="132"/>
        <v>9.2738453565615178</v>
      </c>
      <c r="I1033" s="427">
        <f t="shared" si="130"/>
        <v>3.4099929376076705</v>
      </c>
      <c r="J1033" s="148">
        <v>3.565458608030621</v>
      </c>
      <c r="K1033" s="921">
        <f>G1033*235.27</f>
        <v>0.96153926704870507</v>
      </c>
      <c r="L1033" s="426">
        <f t="shared" si="133"/>
        <v>1.1721163665323715</v>
      </c>
      <c r="M1033" s="532">
        <f t="shared" si="136"/>
        <v>3.1941717399592652E-2</v>
      </c>
      <c r="N1033" s="523"/>
      <c r="O1033" s="127"/>
    </row>
    <row r="1034" spans="1:15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20">
        <f t="shared" si="135"/>
        <v>136.80000000000001</v>
      </c>
      <c r="G1034" s="290">
        <f t="shared" si="131"/>
        <v>9.6876947121297627E-4</v>
      </c>
      <c r="H1034" s="426">
        <f t="shared" si="132"/>
        <v>2.1982638702135011</v>
      </c>
      <c r="I1034" s="427">
        <f t="shared" si="130"/>
        <v>0.80830162507750447</v>
      </c>
      <c r="J1034" s="148">
        <v>0.84515306622295028</v>
      </c>
      <c r="K1034" s="921">
        <f>G1034*367.79</f>
        <v>0.35630372381742054</v>
      </c>
      <c r="L1034" s="426">
        <f t="shared" si="133"/>
        <v>0.43433423933343568</v>
      </c>
      <c r="M1034" s="532">
        <f t="shared" si="136"/>
        <v>4.0934068923456968E-2</v>
      </c>
      <c r="N1034" s="523"/>
      <c r="O1034" s="127"/>
    </row>
    <row r="1035" spans="1:15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620">
        <f t="shared" si="135"/>
        <v>578</v>
      </c>
      <c r="G1035" s="290">
        <f t="shared" si="131"/>
        <v>4.0931926488384516E-3</v>
      </c>
      <c r="H1035" s="426">
        <f t="shared" si="132"/>
        <v>9.2879862352587956</v>
      </c>
      <c r="I1035" s="427">
        <f t="shared" si="130"/>
        <v>3.4151925387046593</v>
      </c>
      <c r="J1035" s="148">
        <v>3.5708952651817625</v>
      </c>
      <c r="K1035" s="921">
        <f>G1035*235.27</f>
        <v>0.96300543449222253</v>
      </c>
      <c r="L1035" s="426">
        <f t="shared" si="133"/>
        <v>1.1739036246460193</v>
      </c>
      <c r="M1035" s="532">
        <f t="shared" si="136"/>
        <v>2.9821936805601107E-2</v>
      </c>
      <c r="N1035" s="523"/>
      <c r="O1035" s="127"/>
    </row>
    <row r="1036" spans="1:15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620">
        <f t="shared" si="135"/>
        <v>150</v>
      </c>
      <c r="G1036" s="290">
        <f t="shared" si="131"/>
        <v>1.0622472272072106E-3</v>
      </c>
      <c r="H1036" s="426">
        <f t="shared" si="132"/>
        <v>2.410377050672698</v>
      </c>
      <c r="I1036" s="427">
        <f t="shared" si="130"/>
        <v>0.88629564153235108</v>
      </c>
      <c r="J1036" s="148">
        <v>0.92670292349007688</v>
      </c>
      <c r="K1036" s="921">
        <f>G1036*1367.79</f>
        <v>1.4529311349017506</v>
      </c>
      <c r="L1036" s="426">
        <f t="shared" si="133"/>
        <v>1.7711230534452342</v>
      </c>
      <c r="M1036" s="532">
        <f t="shared" si="136"/>
        <v>3.7842045003979183E-2</v>
      </c>
      <c r="N1036" s="523"/>
      <c r="O1036" s="127"/>
    </row>
    <row r="1037" spans="1:15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620">
        <f t="shared" si="135"/>
        <v>106.6</v>
      </c>
      <c r="G1037" s="290">
        <f t="shared" si="131"/>
        <v>7.5490369613525775E-4</v>
      </c>
      <c r="H1037" s="426">
        <f t="shared" si="132"/>
        <v>1.7129746240113974</v>
      </c>
      <c r="I1037" s="427">
        <f t="shared" si="130"/>
        <v>0.62986076924899093</v>
      </c>
      <c r="J1037" s="148">
        <v>0.65857687762694794</v>
      </c>
      <c r="K1037" s="921">
        <f t="shared" ref="K1037:K1055" si="137">G1037*367.79</f>
        <v>0.27764603040158647</v>
      </c>
      <c r="L1037" s="426">
        <f t="shared" si="133"/>
        <v>0.33845051105953394</v>
      </c>
      <c r="M1037" s="532">
        <f t="shared" si="136"/>
        <v>3.0760396822597777E-2</v>
      </c>
      <c r="N1037" s="523"/>
      <c r="O1037" s="127"/>
    </row>
    <row r="1038" spans="1:15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620">
        <f t="shared" si="135"/>
        <v>128.4</v>
      </c>
      <c r="G1038" s="290">
        <f t="shared" si="131"/>
        <v>9.0928362648937241E-4</v>
      </c>
      <c r="H1038" s="426">
        <f t="shared" si="132"/>
        <v>2.0632827553758295</v>
      </c>
      <c r="I1038" s="427">
        <f t="shared" si="130"/>
        <v>0.75866906915169252</v>
      </c>
      <c r="J1038" s="148">
        <v>0.79325770250750582</v>
      </c>
      <c r="K1038" s="921">
        <f t="shared" si="137"/>
        <v>0.33442542498652628</v>
      </c>
      <c r="L1038" s="426">
        <f t="shared" si="133"/>
        <v>0.40766459305857555</v>
      </c>
      <c r="M1038" s="532">
        <f t="shared" si="136"/>
        <v>3.0760396822597773E-2</v>
      </c>
      <c r="N1038" s="523"/>
      <c r="O1038" s="127"/>
    </row>
    <row r="1039" spans="1:15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620">
        <f t="shared" si="135"/>
        <v>57.7</v>
      </c>
      <c r="G1039" s="290">
        <f t="shared" si="131"/>
        <v>4.086111000657071E-4</v>
      </c>
      <c r="H1039" s="426">
        <f t="shared" si="132"/>
        <v>0.92719170549209795</v>
      </c>
      <c r="I1039" s="427">
        <f t="shared" si="130"/>
        <v>0.34092839010944442</v>
      </c>
      <c r="J1039" s="148">
        <v>0.35647172456918297</v>
      </c>
      <c r="K1039" s="921">
        <f t="shared" si="137"/>
        <v>0.15028307649316641</v>
      </c>
      <c r="L1039" s="426">
        <f t="shared" si="133"/>
        <v>0.18319507024516987</v>
      </c>
      <c r="M1039" s="532">
        <f t="shared" si="136"/>
        <v>3.0760396822597773E-2</v>
      </c>
      <c r="N1039" s="523"/>
      <c r="O1039" s="127"/>
    </row>
    <row r="1040" spans="1:15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20">
        <f t="shared" si="135"/>
        <v>256.5</v>
      </c>
      <c r="G1040" s="290">
        <f t="shared" si="131"/>
        <v>1.8164427585243303E-3</v>
      </c>
      <c r="H1040" s="426">
        <f t="shared" si="132"/>
        <v>4.1217447566503136</v>
      </c>
      <c r="I1040" s="427">
        <f t="shared" si="130"/>
        <v>1.5155655470203204</v>
      </c>
      <c r="J1040" s="148">
        <v>1.5846619991680315</v>
      </c>
      <c r="K1040" s="921">
        <f t="shared" si="137"/>
        <v>0.66806948215766349</v>
      </c>
      <c r="L1040" s="426">
        <f t="shared" si="133"/>
        <v>0.81437669875019181</v>
      </c>
      <c r="M1040" s="532">
        <f t="shared" si="136"/>
        <v>3.557277630746767E-2</v>
      </c>
      <c r="N1040" s="523"/>
      <c r="O1040" s="127"/>
    </row>
    <row r="1041" spans="1:15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20">
        <f t="shared" si="135"/>
        <v>118.5</v>
      </c>
      <c r="G1041" s="290">
        <f t="shared" si="131"/>
        <v>8.3917530949369646E-4</v>
      </c>
      <c r="H1041" s="426">
        <f t="shared" si="132"/>
        <v>1.9041978700314315</v>
      </c>
      <c r="I1041" s="427">
        <f t="shared" si="130"/>
        <v>0.70017355681055737</v>
      </c>
      <c r="J1041" s="148">
        <v>0.73209530955716073</v>
      </c>
      <c r="K1041" s="921">
        <f t="shared" si="137"/>
        <v>0.30864028707868663</v>
      </c>
      <c r="L1041" s="426">
        <f t="shared" si="133"/>
        <v>0.37623250994891905</v>
      </c>
      <c r="M1041" s="532">
        <f t="shared" si="136"/>
        <v>4.0188611063702709E-2</v>
      </c>
      <c r="N1041" s="523"/>
      <c r="O1041" s="127"/>
    </row>
    <row r="1042" spans="1:15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620">
        <f t="shared" si="135"/>
        <v>142.1</v>
      </c>
      <c r="G1042" s="290">
        <f t="shared" si="131"/>
        <v>1.0063022065742975E-3</v>
      </c>
      <c r="H1042" s="426">
        <f t="shared" si="132"/>
        <v>2.283430526003936</v>
      </c>
      <c r="I1042" s="427">
        <f t="shared" si="130"/>
        <v>0.83961740441164734</v>
      </c>
      <c r="J1042" s="148">
        <v>0.8778965695195996</v>
      </c>
      <c r="K1042" s="921">
        <f t="shared" si="137"/>
        <v>0.37010788855596088</v>
      </c>
      <c r="L1042" s="426">
        <f t="shared" si="133"/>
        <v>0.45116151614971634</v>
      </c>
      <c r="M1042" s="532">
        <f t="shared" si="136"/>
        <v>3.0760396822597777E-2</v>
      </c>
      <c r="N1042" s="523"/>
      <c r="O1042" s="127"/>
    </row>
    <row r="1043" spans="1:15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620">
        <f t="shared" si="135"/>
        <v>259.7</v>
      </c>
      <c r="G1043" s="290">
        <f t="shared" si="131"/>
        <v>1.8391040327047508E-3</v>
      </c>
      <c r="H1043" s="426">
        <f t="shared" si="132"/>
        <v>4.1731661337313311</v>
      </c>
      <c r="I1043" s="427">
        <f t="shared" si="130"/>
        <v>1.5344731873730106</v>
      </c>
      <c r="J1043" s="148">
        <v>1.6044316615358198</v>
      </c>
      <c r="K1043" s="921">
        <f t="shared" si="137"/>
        <v>0.67640407218848031</v>
      </c>
      <c r="L1043" s="426">
        <f t="shared" si="133"/>
        <v>0.82453656399775754</v>
      </c>
      <c r="M1043" s="532">
        <f t="shared" si="136"/>
        <v>3.0760396822597777E-2</v>
      </c>
      <c r="N1043" s="523"/>
      <c r="O1043" s="127"/>
    </row>
    <row r="1044" spans="1:15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20">
        <f t="shared" si="135"/>
        <v>309.39999999999998</v>
      </c>
      <c r="G1044" s="290">
        <f t="shared" si="131"/>
        <v>2.1910619473194063E-3</v>
      </c>
      <c r="H1044" s="426">
        <f t="shared" si="132"/>
        <v>4.9718043965208842</v>
      </c>
      <c r="I1044" s="427">
        <f t="shared" si="130"/>
        <v>1.8281324766007292</v>
      </c>
      <c r="J1044" s="148">
        <v>1.9114792301855317</v>
      </c>
      <c r="K1044" s="921">
        <f t="shared" si="137"/>
        <v>0.80585067360460449</v>
      </c>
      <c r="L1044" s="426">
        <f t="shared" si="133"/>
        <v>0.98233197112401294</v>
      </c>
      <c r="M1044" s="532">
        <f t="shared" si="136"/>
        <v>4.6584761512049683E-2</v>
      </c>
      <c r="N1044" s="523"/>
      <c r="O1044" s="127"/>
    </row>
    <row r="1045" spans="1:15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620">
        <f t="shared" si="135"/>
        <v>432.1</v>
      </c>
      <c r="G1045" s="290">
        <f t="shared" si="131"/>
        <v>3.0599801791749053E-3</v>
      </c>
      <c r="H1045" s="426">
        <f t="shared" si="132"/>
        <v>6.9434928239711535</v>
      </c>
      <c r="I1045" s="427">
        <f t="shared" si="130"/>
        <v>2.5531223113741932</v>
      </c>
      <c r="J1045" s="148">
        <v>2.6695222216004151</v>
      </c>
      <c r="K1045" s="921">
        <f t="shared" si="137"/>
        <v>1.1254301100987385</v>
      </c>
      <c r="L1045" s="426">
        <f t="shared" si="133"/>
        <v>1.3718993042103624</v>
      </c>
      <c r="M1045" s="532">
        <f t="shared" si="136"/>
        <v>3.076039682259778E-2</v>
      </c>
      <c r="N1045" s="523"/>
      <c r="O1045" s="127"/>
    </row>
    <row r="1046" spans="1:15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20">
        <f t="shared" si="135"/>
        <v>241.89999999999998</v>
      </c>
      <c r="G1046" s="290">
        <f t="shared" si="131"/>
        <v>1.7130506950761616E-3</v>
      </c>
      <c r="H1046" s="426">
        <f t="shared" si="132"/>
        <v>3.8871347237181708</v>
      </c>
      <c r="I1046" s="427">
        <f t="shared" si="130"/>
        <v>1.4292994379111714</v>
      </c>
      <c r="J1046" s="148">
        <v>1.4944629146149973</v>
      </c>
      <c r="K1046" s="921">
        <f t="shared" si="137"/>
        <v>0.63004291514206145</v>
      </c>
      <c r="L1046" s="426">
        <f t="shared" si="133"/>
        <v>0.76802231355817296</v>
      </c>
      <c r="M1046" s="532">
        <f t="shared" si="136"/>
        <v>4.5316321506616332E-2</v>
      </c>
      <c r="N1046" s="523"/>
      <c r="O1046" s="127"/>
    </row>
    <row r="1047" spans="1:15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620">
        <f t="shared" si="135"/>
        <v>278.3</v>
      </c>
      <c r="G1047" s="290">
        <f t="shared" si="131"/>
        <v>1.9708226888784449E-3</v>
      </c>
      <c r="H1047" s="426">
        <f t="shared" si="132"/>
        <v>4.4720528880147459</v>
      </c>
      <c r="I1047" s="427">
        <f t="shared" si="130"/>
        <v>1.6443738469230222</v>
      </c>
      <c r="J1047" s="148">
        <v>1.7193428240485893</v>
      </c>
      <c r="K1047" s="921">
        <f t="shared" si="137"/>
        <v>0.72484887674260323</v>
      </c>
      <c r="L1047" s="426">
        <f t="shared" si="133"/>
        <v>0.88359078074923336</v>
      </c>
      <c r="M1047" s="532">
        <f t="shared" si="136"/>
        <v>3.0760396822597773E-2</v>
      </c>
      <c r="N1047" s="523"/>
      <c r="O1047" s="127"/>
    </row>
    <row r="1048" spans="1:15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620">
        <f t="shared" si="135"/>
        <v>150</v>
      </c>
      <c r="G1048" s="290">
        <f t="shared" si="131"/>
        <v>1.0622472272072106E-3</v>
      </c>
      <c r="H1048" s="426">
        <f t="shared" si="132"/>
        <v>2.410377050672698</v>
      </c>
      <c r="I1048" s="427">
        <f t="shared" si="130"/>
        <v>0.88629564153235108</v>
      </c>
      <c r="J1048" s="148">
        <v>0.92670292349007688</v>
      </c>
      <c r="K1048" s="921">
        <f t="shared" si="137"/>
        <v>0.39068390769454003</v>
      </c>
      <c r="L1048" s="426">
        <f t="shared" si="133"/>
        <v>0.47624368347964435</v>
      </c>
      <c r="M1048" s="532">
        <f t="shared" si="136"/>
        <v>3.0760396822597773E-2</v>
      </c>
      <c r="N1048" s="523"/>
      <c r="O1048" s="127"/>
    </row>
    <row r="1049" spans="1:15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620">
        <f t="shared" si="135"/>
        <v>140.6</v>
      </c>
      <c r="G1049" s="290">
        <f t="shared" si="131"/>
        <v>9.9567973430222554E-4</v>
      </c>
      <c r="H1049" s="426">
        <f t="shared" si="132"/>
        <v>2.259326755497209</v>
      </c>
      <c r="I1049" s="427">
        <f t="shared" si="130"/>
        <v>0.83075444799632381</v>
      </c>
      <c r="J1049" s="148">
        <v>0.86862954028469874</v>
      </c>
      <c r="K1049" s="921">
        <f>G1049*1367.79</f>
        <v>1.361880783781241</v>
      </c>
      <c r="L1049" s="426">
        <f t="shared" si="133"/>
        <v>1.6601326754293328</v>
      </c>
      <c r="M1049" s="532">
        <f t="shared" si="136"/>
        <v>3.7842045003979176E-2</v>
      </c>
      <c r="N1049" s="523"/>
      <c r="O1049" s="127"/>
    </row>
    <row r="1050" spans="1:15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620">
        <f t="shared" si="135"/>
        <v>209.1</v>
      </c>
      <c r="G1050" s="290">
        <f t="shared" si="131"/>
        <v>1.4807726347268518E-3</v>
      </c>
      <c r="H1050" s="426">
        <f t="shared" si="132"/>
        <v>3.3600656086377412</v>
      </c>
      <c r="I1050" s="427">
        <f t="shared" si="130"/>
        <v>1.2354961242960976</v>
      </c>
      <c r="J1050" s="148">
        <v>1.2918238753451672</v>
      </c>
      <c r="K1050" s="921">
        <f>G1050*1367.79</f>
        <v>2.0253860020530405</v>
      </c>
      <c r="L1050" s="426">
        <f t="shared" si="133"/>
        <v>2.4689455365026567</v>
      </c>
      <c r="M1050" s="532">
        <f t="shared" si="136"/>
        <v>3.7842045003979176E-2</v>
      </c>
      <c r="N1050" s="523"/>
      <c r="O1050" s="127"/>
    </row>
    <row r="1051" spans="1:15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620">
        <f t="shared" si="135"/>
        <v>463.5</v>
      </c>
      <c r="G1051" s="290">
        <f t="shared" si="131"/>
        <v>3.2823439320702813E-3</v>
      </c>
      <c r="H1051" s="426">
        <f t="shared" si="132"/>
        <v>7.4480650865786373</v>
      </c>
      <c r="I1051" s="427">
        <f t="shared" si="130"/>
        <v>2.7386535323349652</v>
      </c>
      <c r="J1051" s="148">
        <v>2.8635120335843376</v>
      </c>
      <c r="K1051" s="921">
        <f>G1051*1367.79</f>
        <v>4.4895572068464098</v>
      </c>
      <c r="L1051" s="426">
        <f t="shared" si="133"/>
        <v>5.4727702351457737</v>
      </c>
      <c r="M1051" s="532">
        <f t="shared" si="136"/>
        <v>3.7842045003979183E-2</v>
      </c>
      <c r="N1051" s="523"/>
      <c r="O1051" s="127"/>
    </row>
    <row r="1052" spans="1:15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620">
        <f t="shared" si="135"/>
        <v>126</v>
      </c>
      <c r="G1052" s="290">
        <f t="shared" si="131"/>
        <v>8.9228767085405706E-4</v>
      </c>
      <c r="H1052" s="426">
        <f t="shared" si="132"/>
        <v>2.0247167225650666</v>
      </c>
      <c r="I1052" s="427">
        <f t="shared" si="130"/>
        <v>0.74448833888717503</v>
      </c>
      <c r="J1052" s="148">
        <v>0.77843045573166469</v>
      </c>
      <c r="K1052" s="921">
        <f t="shared" si="137"/>
        <v>0.32817448246341369</v>
      </c>
      <c r="L1052" s="426">
        <f t="shared" si="133"/>
        <v>0.40004469412290133</v>
      </c>
      <c r="M1052" s="532">
        <f t="shared" si="136"/>
        <v>3.0760396822597777E-2</v>
      </c>
      <c r="N1052" s="523"/>
      <c r="O1052" s="127"/>
    </row>
    <row r="1053" spans="1:15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620">
        <f t="shared" si="135"/>
        <v>725.1</v>
      </c>
      <c r="G1053" s="290">
        <f t="shared" si="131"/>
        <v>5.1349030963196568E-3</v>
      </c>
      <c r="H1053" s="426">
        <f t="shared" si="132"/>
        <v>11.651762662951823</v>
      </c>
      <c r="I1053" s="427">
        <f t="shared" si="130"/>
        <v>4.2843531311673857</v>
      </c>
      <c r="J1053" s="148">
        <v>4.4796819321510322</v>
      </c>
      <c r="K1053" s="921">
        <f t="shared" si="137"/>
        <v>1.8885660097954067</v>
      </c>
      <c r="L1053" s="426">
        <f t="shared" si="133"/>
        <v>2.3021619659406007</v>
      </c>
      <c r="M1053" s="532">
        <f t="shared" si="136"/>
        <v>3.0760396822597773E-2</v>
      </c>
      <c r="N1053" s="523"/>
      <c r="O1053" s="127"/>
    </row>
    <row r="1054" spans="1:15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620">
        <f t="shared" si="135"/>
        <v>466.88</v>
      </c>
      <c r="G1054" s="290">
        <f t="shared" si="131"/>
        <v>3.3062799029233503E-3</v>
      </c>
      <c r="H1054" s="426">
        <f t="shared" si="132"/>
        <v>7.5023789161204624</v>
      </c>
      <c r="I1054" s="427">
        <f t="shared" si="130"/>
        <v>2.7586247274574944</v>
      </c>
      <c r="J1054" s="148">
        <v>2.8843937394603141</v>
      </c>
      <c r="K1054" s="921">
        <f t="shared" si="137"/>
        <v>1.2160166854961791</v>
      </c>
      <c r="L1054" s="426">
        <f t="shared" si="133"/>
        <v>1.4823243396198424</v>
      </c>
      <c r="M1054" s="532">
        <f t="shared" si="136"/>
        <v>3.076039682259778E-2</v>
      </c>
      <c r="N1054" s="523"/>
      <c r="O1054" s="127"/>
    </row>
    <row r="1055" spans="1:15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620">
        <f t="shared" si="135"/>
        <v>138.1</v>
      </c>
      <c r="G1055" s="290">
        <f t="shared" si="131"/>
        <v>9.7797561384877201E-4</v>
      </c>
      <c r="H1055" s="426">
        <f t="shared" si="132"/>
        <v>2.219153804652664</v>
      </c>
      <c r="I1055" s="427">
        <f t="shared" si="130"/>
        <v>0.81598285397078463</v>
      </c>
      <c r="J1055" s="148">
        <v>0.8531844915598642</v>
      </c>
      <c r="K1055" s="921">
        <f t="shared" si="137"/>
        <v>0.35968965101743988</v>
      </c>
      <c r="L1055" s="426">
        <f t="shared" si="133"/>
        <v>0.43846168459025925</v>
      </c>
      <c r="M1055" s="532">
        <f t="shared" si="136"/>
        <v>3.0760396822597777E-2</v>
      </c>
      <c r="N1055" s="523"/>
      <c r="O1055" s="127"/>
    </row>
    <row r="1056" spans="1:15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20">
        <f t="shared" si="135"/>
        <v>139.30000000000001</v>
      </c>
      <c r="G1056" s="290">
        <f t="shared" si="131"/>
        <v>9.8647359166642969E-4</v>
      </c>
      <c r="H1056" s="426">
        <f t="shared" si="132"/>
        <v>2.2384368210580456</v>
      </c>
      <c r="I1056" s="427">
        <f t="shared" si="130"/>
        <v>0.82307321910304343</v>
      </c>
      <c r="J1056" s="148">
        <v>0.86059811494778482</v>
      </c>
      <c r="K1056" s="921">
        <f>G1056*1367.79</f>
        <v>1.3492887139454259</v>
      </c>
      <c r="L1056" s="426">
        <f t="shared" si="133"/>
        <v>1.6447829422994744</v>
      </c>
      <c r="M1056" s="532">
        <f t="shared" si="136"/>
        <v>3.7842045003979176E-2</v>
      </c>
      <c r="N1056" s="523"/>
      <c r="O1056" s="127"/>
    </row>
    <row r="1057" spans="1:15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620">
        <f t="shared" si="135"/>
        <v>807</v>
      </c>
      <c r="G1057" s="290">
        <f t="shared" si="131"/>
        <v>5.7148900823747939E-3</v>
      </c>
      <c r="H1057" s="426">
        <f t="shared" si="132"/>
        <v>12.967828532619116</v>
      </c>
      <c r="I1057" s="427">
        <f t="shared" si="130"/>
        <v>4.7682705514440489</v>
      </c>
      <c r="J1057" s="148">
        <v>4.9856617283766136</v>
      </c>
      <c r="K1057" s="921">
        <f t="shared" ref="K1057:K1065" si="138">G1057*235.27</f>
        <v>1.3445421896803178</v>
      </c>
      <c r="L1057" s="426">
        <f t="shared" si="133"/>
        <v>1.6389969292203075</v>
      </c>
      <c r="M1057" s="532">
        <f t="shared" si="136"/>
        <v>2.9821936805601107E-2</v>
      </c>
      <c r="N1057" s="523"/>
      <c r="O1057" s="127"/>
    </row>
    <row r="1058" spans="1:15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620">
        <f t="shared" si="135"/>
        <v>1555.2</v>
      </c>
      <c r="G1058" s="290">
        <f t="shared" si="131"/>
        <v>1.1013379251684361E-2</v>
      </c>
      <c r="H1058" s="426">
        <f t="shared" si="132"/>
        <v>24.990789261374534</v>
      </c>
      <c r="I1058" s="427">
        <f t="shared" si="130"/>
        <v>9.1891132114074168</v>
      </c>
      <c r="J1058" s="148">
        <v>9.6080559107451169</v>
      </c>
      <c r="K1058" s="921">
        <f>G1058*367.79</f>
        <v>4.050610754976991</v>
      </c>
      <c r="L1058" s="426">
        <f t="shared" si="133"/>
        <v>4.9376945103169527</v>
      </c>
      <c r="M1058" s="532">
        <f t="shared" si="136"/>
        <v>3.076039682259777E-2</v>
      </c>
      <c r="N1058" s="523"/>
      <c r="O1058" s="127"/>
    </row>
    <row r="1059" spans="1:15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620">
        <f t="shared" si="135"/>
        <v>1514.3</v>
      </c>
      <c r="G1059" s="290">
        <f t="shared" si="131"/>
        <v>1.0723739841065861E-2</v>
      </c>
      <c r="H1059" s="426">
        <f t="shared" si="132"/>
        <v>24.333559785557778</v>
      </c>
      <c r="I1059" s="427">
        <f t="shared" si="130"/>
        <v>8.9474499331495956</v>
      </c>
      <c r="J1059" s="148">
        <v>9.3553749136068234</v>
      </c>
      <c r="K1059" s="921">
        <f t="shared" si="138"/>
        <v>2.522974272407565</v>
      </c>
      <c r="L1059" s="426">
        <f t="shared" si="133"/>
        <v>3.075505638064822</v>
      </c>
      <c r="M1059" s="532">
        <f t="shared" si="136"/>
        <v>2.9821936805601107E-2</v>
      </c>
      <c r="N1059" s="523"/>
      <c r="O1059" s="127"/>
    </row>
    <row r="1060" spans="1:15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620">
        <f t="shared" si="135"/>
        <v>394</v>
      </c>
      <c r="G1060" s="290">
        <f t="shared" si="131"/>
        <v>2.7901693834642737E-3</v>
      </c>
      <c r="H1060" s="426">
        <f t="shared" si="132"/>
        <v>6.3312570531002876</v>
      </c>
      <c r="I1060" s="427">
        <f t="shared" si="130"/>
        <v>2.3280032184249762</v>
      </c>
      <c r="J1060" s="148">
        <v>2.4341396790339354</v>
      </c>
      <c r="K1060" s="921">
        <f t="shared" si="138"/>
        <v>0.65644315084763971</v>
      </c>
      <c r="L1060" s="426">
        <f t="shared" si="133"/>
        <v>0.80020420088327282</v>
      </c>
      <c r="M1060" s="532">
        <f t="shared" si="136"/>
        <v>2.9821936805601114E-2</v>
      </c>
      <c r="N1060" s="523"/>
      <c r="O1060" s="127"/>
    </row>
    <row r="1061" spans="1:15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620">
        <f t="shared" si="135"/>
        <v>572.5</v>
      </c>
      <c r="G1061" s="290">
        <f t="shared" si="131"/>
        <v>4.054243583840854E-3</v>
      </c>
      <c r="H1061" s="426">
        <f t="shared" si="132"/>
        <v>9.199605743400797</v>
      </c>
      <c r="I1061" s="427">
        <f t="shared" si="130"/>
        <v>3.3826950318484732</v>
      </c>
      <c r="J1061" s="148">
        <v>3.5369161579871271</v>
      </c>
      <c r="K1061" s="921">
        <f t="shared" si="138"/>
        <v>0.95384188797023772</v>
      </c>
      <c r="L1061" s="426">
        <f t="shared" si="133"/>
        <v>1.1627332614357198</v>
      </c>
      <c r="M1061" s="532">
        <f t="shared" si="136"/>
        <v>2.982193680560111E-2</v>
      </c>
      <c r="N1061" s="523"/>
      <c r="O1061" s="127"/>
    </row>
    <row r="1062" spans="1:15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620">
        <f t="shared" si="135"/>
        <v>351.9</v>
      </c>
      <c r="G1062" s="290">
        <f t="shared" si="131"/>
        <v>2.4920319950281163E-3</v>
      </c>
      <c r="H1062" s="426">
        <f t="shared" si="132"/>
        <v>5.6547445608781501</v>
      </c>
      <c r="I1062" s="427">
        <f t="shared" si="130"/>
        <v>2.079249575034896</v>
      </c>
      <c r="J1062" s="148">
        <v>2.1740450585077205</v>
      </c>
      <c r="K1062" s="921">
        <f t="shared" si="138"/>
        <v>0.58630036747026493</v>
      </c>
      <c r="L1062" s="426">
        <f t="shared" si="133"/>
        <v>0.71470014794625303</v>
      </c>
      <c r="M1062" s="532">
        <f t="shared" si="136"/>
        <v>2.9821936805601114E-2</v>
      </c>
      <c r="N1062" s="523"/>
      <c r="O1062" s="127"/>
    </row>
    <row r="1063" spans="1:15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620">
        <f t="shared" si="135"/>
        <v>449.4</v>
      </c>
      <c r="G1063" s="290">
        <f t="shared" si="131"/>
        <v>3.1824926927128032E-3</v>
      </c>
      <c r="H1063" s="426">
        <f t="shared" si="132"/>
        <v>7.2214896438154037</v>
      </c>
      <c r="I1063" s="427">
        <f t="shared" si="130"/>
        <v>2.6553417420309242</v>
      </c>
      <c r="J1063" s="148">
        <v>2.7764019587762703</v>
      </c>
      <c r="K1063" s="921">
        <f t="shared" si="138"/>
        <v>0.7487450558145412</v>
      </c>
      <c r="L1063" s="426">
        <f t="shared" si="133"/>
        <v>0.91272022303792577</v>
      </c>
      <c r="M1063" s="532">
        <f t="shared" si="136"/>
        <v>2.9821936805601117E-2</v>
      </c>
      <c r="N1063" s="523"/>
      <c r="O1063" s="127"/>
    </row>
    <row r="1064" spans="1:15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620">
        <f t="shared" si="135"/>
        <v>1394.3</v>
      </c>
      <c r="G1064" s="290">
        <f t="shared" si="131"/>
        <v>9.8739420593000927E-3</v>
      </c>
      <c r="H1064" s="426">
        <f t="shared" si="132"/>
        <v>22.405258145019619</v>
      </c>
      <c r="I1064" s="427">
        <f t="shared" si="130"/>
        <v>8.2384134199237149</v>
      </c>
      <c r="J1064" s="148">
        <v>8.6140125748147618</v>
      </c>
      <c r="K1064" s="921">
        <f t="shared" si="138"/>
        <v>2.323042348291533</v>
      </c>
      <c r="L1064" s="426">
        <f t="shared" si="133"/>
        <v>2.831788622567379</v>
      </c>
      <c r="M1064" s="532">
        <f t="shared" si="136"/>
        <v>2.9821936805601117E-2</v>
      </c>
      <c r="N1064" s="523"/>
      <c r="O1064" s="127"/>
    </row>
    <row r="1065" spans="1:15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620">
        <f t="shared" si="135"/>
        <v>398.7</v>
      </c>
      <c r="G1065" s="290">
        <f t="shared" si="131"/>
        <v>2.8234531299167662E-3</v>
      </c>
      <c r="H1065" s="426">
        <f t="shared" si="132"/>
        <v>6.4067822006880322</v>
      </c>
      <c r="I1065" s="427">
        <f t="shared" ref="I1065:I1127" si="139">H1065*0.3677</f>
        <v>2.3557738151929897</v>
      </c>
      <c r="J1065" s="148">
        <v>2.4631763706366248</v>
      </c>
      <c r="K1065" s="921">
        <f t="shared" si="138"/>
        <v>0.66427381787551765</v>
      </c>
      <c r="L1065" s="426">
        <f t="shared" si="133"/>
        <v>0.8097497839902561</v>
      </c>
      <c r="M1065" s="532">
        <f t="shared" si="136"/>
        <v>2.9821936805601114E-2</v>
      </c>
      <c r="N1065" s="523"/>
      <c r="O1065" s="127"/>
    </row>
    <row r="1066" spans="1:15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620">
        <f t="shared" si="135"/>
        <v>359.4</v>
      </c>
      <c r="G1066" s="290">
        <f t="shared" si="131"/>
        <v>2.5451443563884769E-3</v>
      </c>
      <c r="H1066" s="426">
        <f t="shared" si="132"/>
        <v>5.7752634134117846</v>
      </c>
      <c r="I1066" s="427">
        <f t="shared" si="139"/>
        <v>2.1235643571115133</v>
      </c>
      <c r="J1066" s="148">
        <v>2.2203802046822241</v>
      </c>
      <c r="K1066" s="921">
        <f>G1066*367.79</f>
        <v>0.93607864283611797</v>
      </c>
      <c r="L1066" s="426">
        <f t="shared" si="133"/>
        <v>1.1410798656172279</v>
      </c>
      <c r="M1066" s="532">
        <f t="shared" si="136"/>
        <v>3.0760396822597777E-2</v>
      </c>
      <c r="N1066" s="523"/>
      <c r="O1066" s="127"/>
    </row>
    <row r="1067" spans="1:15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620">
        <f t="shared" si="135"/>
        <v>694.9</v>
      </c>
      <c r="G1067" s="290">
        <f t="shared" si="131"/>
        <v>4.9210373212419381E-3</v>
      </c>
      <c r="H1067" s="426">
        <f t="shared" si="132"/>
        <v>11.166473416749719</v>
      </c>
      <c r="I1067" s="427">
        <f t="shared" si="139"/>
        <v>4.1059122753388717</v>
      </c>
      <c r="J1067" s="148">
        <v>4.2931057435550297</v>
      </c>
      <c r="K1067" s="921">
        <f>G1067*235.27</f>
        <v>1.1577724505685909</v>
      </c>
      <c r="L1067" s="426">
        <f t="shared" si="133"/>
        <v>1.4113246172431124</v>
      </c>
      <c r="M1067" s="532">
        <f t="shared" si="136"/>
        <v>2.9821936805601107E-2</v>
      </c>
      <c r="N1067" s="523"/>
      <c r="O1067" s="127"/>
    </row>
    <row r="1068" spans="1:15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620">
        <f t="shared" si="135"/>
        <v>629.6</v>
      </c>
      <c r="G1068" s="290">
        <f t="shared" si="131"/>
        <v>4.458605694997733E-3</v>
      </c>
      <c r="H1068" s="426">
        <f t="shared" si="132"/>
        <v>10.117155940690207</v>
      </c>
      <c r="I1068" s="427">
        <f t="shared" si="139"/>
        <v>3.7200782393917895</v>
      </c>
      <c r="J1068" s="148">
        <v>3.8896810708623497</v>
      </c>
      <c r="K1068" s="921">
        <f>G1068*367.79</f>
        <v>1.6398305885632163</v>
      </c>
      <c r="L1068" s="426">
        <f t="shared" si="133"/>
        <v>1.9989534874585608</v>
      </c>
      <c r="M1068" s="532">
        <f t="shared" si="136"/>
        <v>3.0760396822597777E-2</v>
      </c>
      <c r="N1068" s="523"/>
      <c r="O1068" s="127"/>
    </row>
    <row r="1069" spans="1:15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620">
        <f t="shared" si="135"/>
        <v>969.07</v>
      </c>
      <c r="G1069" s="290">
        <f t="shared" si="131"/>
        <v>6.8626128031312782E-3</v>
      </c>
      <c r="H1069" s="426">
        <f t="shared" si="132"/>
        <v>15.572160589969277</v>
      </c>
      <c r="I1069" s="427">
        <f t="shared" si="139"/>
        <v>5.7258834489317039</v>
      </c>
      <c r="J1069" s="148">
        <v>5.9869333471101926</v>
      </c>
      <c r="K1069" s="921">
        <f>G1069*1235.27</f>
        <v>8.477179717323974</v>
      </c>
      <c r="L1069" s="426">
        <f t="shared" si="133"/>
        <v>10.333682075417926</v>
      </c>
      <c r="M1069" s="532">
        <f t="shared" si="136"/>
        <v>3.6903584986982513E-2</v>
      </c>
      <c r="N1069" s="523"/>
      <c r="O1069" s="127"/>
    </row>
    <row r="1070" spans="1:15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620">
        <f t="shared" si="135"/>
        <v>315.7</v>
      </c>
      <c r="G1070" s="290">
        <f t="shared" si="131"/>
        <v>2.2356763308621092E-3</v>
      </c>
      <c r="H1070" s="426">
        <f t="shared" si="132"/>
        <v>5.0730402326491379</v>
      </c>
      <c r="I1070" s="427">
        <f t="shared" si="139"/>
        <v>1.8653568935450882</v>
      </c>
      <c r="J1070" s="148">
        <v>1.950400752972115</v>
      </c>
      <c r="K1070" s="921">
        <f>G1070*367.79</f>
        <v>0.82225939772777523</v>
      </c>
      <c r="L1070" s="426">
        <f t="shared" si="133"/>
        <v>1.0023342058301581</v>
      </c>
      <c r="M1070" s="532">
        <f t="shared" si="136"/>
        <v>3.0760396822597773E-2</v>
      </c>
      <c r="N1070" s="523"/>
      <c r="O1070" s="127"/>
    </row>
    <row r="1071" spans="1:15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620">
        <f t="shared" si="135"/>
        <v>677.4</v>
      </c>
      <c r="G1071" s="290">
        <f t="shared" si="131"/>
        <v>4.7971084780677638E-3</v>
      </c>
      <c r="H1071" s="426">
        <f t="shared" si="132"/>
        <v>10.885262760837906</v>
      </c>
      <c r="I1071" s="427">
        <f t="shared" si="139"/>
        <v>4.0025111171600978</v>
      </c>
      <c r="J1071" s="148">
        <v>4.184990402481187</v>
      </c>
      <c r="K1071" s="921">
        <f>G1071*235.27</f>
        <v>1.1286157116350028</v>
      </c>
      <c r="L1071" s="426">
        <f t="shared" si="133"/>
        <v>1.3757825524830685</v>
      </c>
      <c r="M1071" s="532">
        <f t="shared" si="136"/>
        <v>2.982193680560111E-2</v>
      </c>
      <c r="N1071" s="523"/>
      <c r="O1071" s="127"/>
    </row>
    <row r="1072" spans="1:15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620">
        <f t="shared" si="135"/>
        <v>255.8</v>
      </c>
      <c r="G1072" s="290">
        <f t="shared" si="131"/>
        <v>1.8114856047973635E-3</v>
      </c>
      <c r="H1072" s="426">
        <f t="shared" si="132"/>
        <v>4.1104963304138415</v>
      </c>
      <c r="I1072" s="427">
        <f t="shared" si="139"/>
        <v>1.5114295006931697</v>
      </c>
      <c r="J1072" s="148">
        <v>1.580337385525078</v>
      </c>
      <c r="K1072" s="921">
        <f>G1072*367.79</f>
        <v>0.66624629058842233</v>
      </c>
      <c r="L1072" s="426">
        <f t="shared" si="133"/>
        <v>0.81215422822728689</v>
      </c>
      <c r="M1072" s="532">
        <f t="shared" si="136"/>
        <v>3.076039682259778E-2</v>
      </c>
      <c r="N1072" s="523"/>
      <c r="O1072" s="127"/>
    </row>
    <row r="1073" spans="1:15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20">
        <f t="shared" si="135"/>
        <v>352.5</v>
      </c>
      <c r="G1073" s="290">
        <f t="shared" ref="G1073:G1136" si="140">2/282420.13*F1073</f>
        <v>2.4962809839369454E-3</v>
      </c>
      <c r="H1073" s="426">
        <f t="shared" ref="H1073:H1136" si="141">G1073*2269.13</f>
        <v>5.664386069080841</v>
      </c>
      <c r="I1073" s="427">
        <f t="shared" si="139"/>
        <v>2.0827947576010253</v>
      </c>
      <c r="J1073" s="148">
        <v>2.1777518702016807</v>
      </c>
      <c r="K1073" s="921">
        <f>G1073*2397.79</f>
        <v>5.9855575804741683</v>
      </c>
      <c r="L1073" s="426">
        <f t="shared" si="133"/>
        <v>7.2963946905980119</v>
      </c>
      <c r="M1073" s="532">
        <f t="shared" si="136"/>
        <v>9.4818178053383273E-2</v>
      </c>
      <c r="N1073" s="523"/>
      <c r="O1073" s="127"/>
    </row>
    <row r="1074" spans="1:15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620">
        <f t="shared" si="135"/>
        <v>642.9</v>
      </c>
      <c r="G1074" s="290">
        <f t="shared" si="140"/>
        <v>4.5527916158101048E-3</v>
      </c>
      <c r="H1074" s="426">
        <f t="shared" si="141"/>
        <v>10.330876039183183</v>
      </c>
      <c r="I1074" s="427">
        <f t="shared" si="139"/>
        <v>3.7986631196076566</v>
      </c>
      <c r="J1074" s="148">
        <v>3.9718487300784697</v>
      </c>
      <c r="K1074" s="921">
        <f>G1074*235.27</f>
        <v>1.0711352834516434</v>
      </c>
      <c r="L1074" s="426">
        <f t="shared" ref="L1074:L1137" si="142">K1074*1.219</f>
        <v>1.3057139105275535</v>
      </c>
      <c r="M1074" s="532">
        <f t="shared" si="136"/>
        <v>2.9821936805601107E-2</v>
      </c>
      <c r="N1074" s="523"/>
      <c r="O1074" s="127"/>
    </row>
    <row r="1075" spans="1:15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20">
        <f t="shared" si="135"/>
        <v>324.39999999999998</v>
      </c>
      <c r="G1075" s="290">
        <f t="shared" si="140"/>
        <v>2.2972866700401275E-3</v>
      </c>
      <c r="H1075" s="426">
        <f t="shared" si="141"/>
        <v>5.212842101588155</v>
      </c>
      <c r="I1075" s="427">
        <f t="shared" si="139"/>
        <v>1.9167620407539647</v>
      </c>
      <c r="J1075" s="148">
        <v>2.0041495225345396</v>
      </c>
      <c r="K1075" s="921">
        <f>G1075*367.79</f>
        <v>0.8449190643740585</v>
      </c>
      <c r="L1075" s="426">
        <f t="shared" si="142"/>
        <v>1.0299563394719773</v>
      </c>
      <c r="M1075" s="532">
        <f t="shared" si="136"/>
        <v>3.0760396822597777E-2</v>
      </c>
      <c r="N1075" s="523"/>
      <c r="O1075" s="127"/>
    </row>
    <row r="1076" spans="1:15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620">
        <f t="shared" si="135"/>
        <v>505</v>
      </c>
      <c r="G1076" s="290">
        <f t="shared" si="140"/>
        <v>3.5762323315976095E-3</v>
      </c>
      <c r="H1076" s="426">
        <f t="shared" si="141"/>
        <v>8.114936070598084</v>
      </c>
      <c r="I1076" s="427">
        <f t="shared" si="139"/>
        <v>2.9838619931589156</v>
      </c>
      <c r="J1076" s="148">
        <v>3.1198998424165922</v>
      </c>
      <c r="K1076" s="921">
        <f>G1076*367.79</f>
        <v>1.315302489238285</v>
      </c>
      <c r="L1076" s="426">
        <f t="shared" si="142"/>
        <v>1.6033537343814694</v>
      </c>
      <c r="M1076" s="532">
        <f t="shared" si="136"/>
        <v>3.0760396822597773E-2</v>
      </c>
      <c r="N1076" s="523"/>
      <c r="O1076" s="127"/>
    </row>
    <row r="1077" spans="1:15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20">
        <f t="shared" si="135"/>
        <v>548.70000000000005</v>
      </c>
      <c r="G1077" s="290">
        <f t="shared" si="140"/>
        <v>3.8857003571239773E-3</v>
      </c>
      <c r="H1077" s="426">
        <f t="shared" si="141"/>
        <v>8.8171592513607315</v>
      </c>
      <c r="I1077" s="427">
        <f t="shared" si="139"/>
        <v>3.2420694567253414</v>
      </c>
      <c r="J1077" s="148">
        <v>3.3898792941267017</v>
      </c>
      <c r="K1077" s="921">
        <f>G1077*235.27</f>
        <v>0.9141887230205582</v>
      </c>
      <c r="L1077" s="426">
        <f t="shared" si="142"/>
        <v>1.1143960533620605</v>
      </c>
      <c r="M1077" s="532">
        <f t="shared" si="136"/>
        <v>2.9821936805601114E-2</v>
      </c>
      <c r="N1077" s="523"/>
      <c r="O1077" s="127"/>
    </row>
    <row r="1078" spans="1:15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620">
        <f t="shared" si="135"/>
        <v>222.33</v>
      </c>
      <c r="G1078" s="290">
        <f t="shared" si="140"/>
        <v>1.5744628401665279E-3</v>
      </c>
      <c r="H1078" s="426">
        <f t="shared" si="141"/>
        <v>3.5726608645070739</v>
      </c>
      <c r="I1078" s="427">
        <f t="shared" si="139"/>
        <v>1.3136673998792512</v>
      </c>
      <c r="J1078" s="148">
        <v>1.373559073196992</v>
      </c>
      <c r="K1078" s="921">
        <f>G1078*367.79</f>
        <v>0.57907168798484732</v>
      </c>
      <c r="L1078" s="426">
        <f t="shared" si="142"/>
        <v>0.7058883876535289</v>
      </c>
      <c r="M1078" s="532">
        <f t="shared" si="136"/>
        <v>3.0760396822597777E-2</v>
      </c>
      <c r="N1078" s="523"/>
      <c r="O1078" s="127"/>
    </row>
    <row r="1079" spans="1:15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620">
        <f t="shared" si="135"/>
        <v>461.2</v>
      </c>
      <c r="G1079" s="290">
        <f t="shared" si="140"/>
        <v>3.2660561412531037E-3</v>
      </c>
      <c r="H1079" s="426">
        <f t="shared" si="141"/>
        <v>7.4111059718016552</v>
      </c>
      <c r="I1079" s="427">
        <f t="shared" si="139"/>
        <v>2.7250636658314686</v>
      </c>
      <c r="J1079" s="148">
        <v>2.8493025887574897</v>
      </c>
      <c r="K1079" s="921">
        <f>G1079*367.79</f>
        <v>1.201222788191479</v>
      </c>
      <c r="L1079" s="426">
        <f t="shared" si="142"/>
        <v>1.464290578805413</v>
      </c>
      <c r="M1079" s="532">
        <f t="shared" si="136"/>
        <v>3.0760396822597773E-2</v>
      </c>
      <c r="N1079" s="523"/>
      <c r="O1079" s="127"/>
    </row>
    <row r="1080" spans="1:15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620">
        <f t="shared" si="135"/>
        <v>446.5</v>
      </c>
      <c r="G1080" s="290">
        <f t="shared" si="140"/>
        <v>3.1619559129867974E-3</v>
      </c>
      <c r="H1080" s="426">
        <f t="shared" si="141"/>
        <v>7.1748890208357317</v>
      </c>
      <c r="I1080" s="427">
        <f t="shared" si="139"/>
        <v>2.6382066929612988</v>
      </c>
      <c r="J1080" s="148">
        <v>2.7584857022554625</v>
      </c>
      <c r="K1080" s="921">
        <f>G1080*235.27</f>
        <v>0.74391336764840388</v>
      </c>
      <c r="L1080" s="426">
        <f t="shared" si="142"/>
        <v>0.90683039516340436</v>
      </c>
      <c r="M1080" s="532">
        <f t="shared" si="136"/>
        <v>2.9821936805601114E-2</v>
      </c>
      <c r="N1080" s="523"/>
      <c r="O1080" s="127"/>
    </row>
    <row r="1081" spans="1:15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620">
        <f t="shared" si="135"/>
        <v>291.5</v>
      </c>
      <c r="G1081" s="290">
        <f t="shared" si="140"/>
        <v>2.0643004448726793E-3</v>
      </c>
      <c r="H1081" s="426">
        <f t="shared" si="141"/>
        <v>4.6841660684739432</v>
      </c>
      <c r="I1081" s="427">
        <f t="shared" si="139"/>
        <v>1.722367863377869</v>
      </c>
      <c r="J1081" s="148">
        <v>1.800892681315716</v>
      </c>
      <c r="K1081" s="921">
        <f>G10877*367.79</f>
        <v>0</v>
      </c>
      <c r="L1081" s="426">
        <f t="shared" si="142"/>
        <v>0</v>
      </c>
      <c r="M1081" s="532">
        <f t="shared" si="136"/>
        <v>2.8155837437967502E-2</v>
      </c>
      <c r="N1081" s="523"/>
      <c r="O1081" s="127"/>
    </row>
    <row r="1082" spans="1:15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620">
        <f t="shared" si="135"/>
        <v>361.5</v>
      </c>
      <c r="G1082" s="290">
        <f t="shared" si="140"/>
        <v>2.5600158175693778E-3</v>
      </c>
      <c r="H1082" s="426">
        <f t="shared" si="141"/>
        <v>5.8090086921212025</v>
      </c>
      <c r="I1082" s="427">
        <f t="shared" si="139"/>
        <v>2.1359724960929665</v>
      </c>
      <c r="J1082" s="148">
        <v>2.233354045611085</v>
      </c>
      <c r="K1082" s="921">
        <f>G1082*1235.27</f>
        <v>3.1623107389689253</v>
      </c>
      <c r="L1082" s="426">
        <f t="shared" si="142"/>
        <v>3.8548567908031202</v>
      </c>
      <c r="M1082" s="532">
        <f t="shared" si="136"/>
        <v>3.6903584986982513E-2</v>
      </c>
      <c r="N1082" s="523"/>
      <c r="O1082" s="127"/>
    </row>
    <row r="1083" spans="1:15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20">
        <f t="shared" si="135"/>
        <v>485.90000000000003</v>
      </c>
      <c r="G1083" s="290">
        <f t="shared" si="140"/>
        <v>3.4409728513332249E-3</v>
      </c>
      <c r="H1083" s="426">
        <f t="shared" si="141"/>
        <v>7.8080147261457613</v>
      </c>
      <c r="I1083" s="427">
        <f t="shared" si="139"/>
        <v>2.8710070148037965</v>
      </c>
      <c r="J1083" s="148">
        <v>3.0018996701588563</v>
      </c>
      <c r="K1083" s="921">
        <f>G1083*235.27</f>
        <v>0.80955768273316786</v>
      </c>
      <c r="L1083" s="426">
        <f t="shared" si="142"/>
        <v>0.98685081525173168</v>
      </c>
      <c r="M1083" s="532">
        <f t="shared" si="136"/>
        <v>3.0531982920020188E-2</v>
      </c>
      <c r="N1083" s="523"/>
      <c r="O1083" s="127"/>
    </row>
    <row r="1084" spans="1:15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20">
        <f t="shared" si="135"/>
        <v>430.5</v>
      </c>
      <c r="G1084" s="290">
        <f t="shared" si="140"/>
        <v>3.0486495420846949E-3</v>
      </c>
      <c r="H1084" s="426">
        <f t="shared" si="141"/>
        <v>6.9177821354306444</v>
      </c>
      <c r="I1084" s="427">
        <f t="shared" si="139"/>
        <v>2.543668491197848</v>
      </c>
      <c r="J1084" s="148">
        <v>2.6596373904165209</v>
      </c>
      <c r="K1084" s="921">
        <f t="shared" ref="K1084:K1117" si="143">G1084*367.79</f>
        <v>1.1212628150833299</v>
      </c>
      <c r="L1084" s="426">
        <f t="shared" si="142"/>
        <v>1.3668193715865793</v>
      </c>
      <c r="M1084" s="532">
        <f t="shared" si="136"/>
        <v>3.3163913929697829E-2</v>
      </c>
      <c r="N1084" s="523"/>
      <c r="O1084" s="127"/>
    </row>
    <row r="1085" spans="1:15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620">
        <f t="shared" si="135"/>
        <v>96.4</v>
      </c>
      <c r="G1085" s="290">
        <f t="shared" si="140"/>
        <v>6.8267088468516748E-4</v>
      </c>
      <c r="H1085" s="426">
        <f t="shared" si="141"/>
        <v>1.5490689845656542</v>
      </c>
      <c r="I1085" s="427">
        <f t="shared" si="139"/>
        <v>0.56959266562479105</v>
      </c>
      <c r="J1085" s="148">
        <v>0.59556107882962273</v>
      </c>
      <c r="K1085" s="921">
        <f t="shared" si="143"/>
        <v>0.25107952467835776</v>
      </c>
      <c r="L1085" s="426">
        <f t="shared" si="142"/>
        <v>0.30606594058291814</v>
      </c>
      <c r="M1085" s="532">
        <f t="shared" si="136"/>
        <v>3.076039682259778E-2</v>
      </c>
      <c r="N1085" s="523"/>
      <c r="O1085" s="127"/>
    </row>
    <row r="1086" spans="1:15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620">
        <f t="shared" si="135"/>
        <v>76.2</v>
      </c>
      <c r="G1086" s="290">
        <f t="shared" si="140"/>
        <v>5.3962159142126309E-4</v>
      </c>
      <c r="H1086" s="426">
        <f t="shared" si="141"/>
        <v>1.2244715417417307</v>
      </c>
      <c r="I1086" s="427">
        <f t="shared" si="139"/>
        <v>0.4502381858984344</v>
      </c>
      <c r="J1086" s="148">
        <v>0.47076508513295906</v>
      </c>
      <c r="K1086" s="921">
        <f t="shared" si="143"/>
        <v>0.19846742510882637</v>
      </c>
      <c r="L1086" s="426">
        <f t="shared" si="142"/>
        <v>0.24193179120765937</v>
      </c>
      <c r="M1086" s="532">
        <f t="shared" si="136"/>
        <v>3.0760396822597777E-2</v>
      </c>
      <c r="N1086" s="523"/>
      <c r="O1086" s="127"/>
    </row>
    <row r="1087" spans="1:15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620">
        <f t="shared" ref="F1087:F1147" si="144">C1087+D1087+E1087</f>
        <v>84.3</v>
      </c>
      <c r="G1087" s="290">
        <f t="shared" si="140"/>
        <v>5.9698294169045242E-4</v>
      </c>
      <c r="H1087" s="426">
        <f t="shared" si="141"/>
        <v>1.3546319024780564</v>
      </c>
      <c r="I1087" s="427">
        <f t="shared" si="139"/>
        <v>0.49809815054118139</v>
      </c>
      <c r="J1087" s="148">
        <v>0.52080704300142322</v>
      </c>
      <c r="K1087" s="921">
        <f t="shared" si="143"/>
        <v>0.21956435612433151</v>
      </c>
      <c r="L1087" s="426">
        <f t="shared" si="142"/>
        <v>0.26764895011556011</v>
      </c>
      <c r="M1087" s="532">
        <f t="shared" si="136"/>
        <v>3.0760396822597777E-2</v>
      </c>
      <c r="N1087" s="523"/>
      <c r="O1087" s="127"/>
    </row>
    <row r="1088" spans="1:15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620">
        <f t="shared" si="144"/>
        <v>236.4</v>
      </c>
      <c r="G1088" s="290">
        <f t="shared" si="140"/>
        <v>1.6741016300785641E-3</v>
      </c>
      <c r="H1088" s="426">
        <f t="shared" si="141"/>
        <v>3.7987542318601721</v>
      </c>
      <c r="I1088" s="427">
        <f t="shared" si="139"/>
        <v>1.3968019310549853</v>
      </c>
      <c r="J1088" s="148">
        <v>1.4604838074203612</v>
      </c>
      <c r="K1088" s="921">
        <f t="shared" si="143"/>
        <v>0.61571783852659512</v>
      </c>
      <c r="L1088" s="426">
        <f t="shared" si="142"/>
        <v>0.7505600451639195</v>
      </c>
      <c r="M1088" s="532">
        <f t="shared" si="136"/>
        <v>3.0760396822597773E-2</v>
      </c>
      <c r="N1088" s="523"/>
      <c r="O1088" s="127"/>
    </row>
    <row r="1089" spans="1:15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620">
        <f t="shared" si="144"/>
        <v>84.3</v>
      </c>
      <c r="G1089" s="290">
        <f t="shared" si="140"/>
        <v>5.9698294169045242E-4</v>
      </c>
      <c r="H1089" s="426">
        <f t="shared" si="141"/>
        <v>1.3546319024780564</v>
      </c>
      <c r="I1089" s="427">
        <f t="shared" si="139"/>
        <v>0.49809815054118139</v>
      </c>
      <c r="J1089" s="148">
        <v>0.52080704300142322</v>
      </c>
      <c r="K1089" s="921">
        <f t="shared" si="143"/>
        <v>0.21956435612433151</v>
      </c>
      <c r="L1089" s="426">
        <f t="shared" si="142"/>
        <v>0.26764895011556011</v>
      </c>
      <c r="M1089" s="532">
        <f t="shared" si="136"/>
        <v>3.0760396822597777E-2</v>
      </c>
      <c r="N1089" s="523"/>
      <c r="O1089" s="127"/>
    </row>
    <row r="1090" spans="1:15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620">
        <f t="shared" si="144"/>
        <v>84.3</v>
      </c>
      <c r="G1090" s="290">
        <f t="shared" si="140"/>
        <v>5.9698294169045242E-4</v>
      </c>
      <c r="H1090" s="426">
        <f t="shared" si="141"/>
        <v>1.3546319024780564</v>
      </c>
      <c r="I1090" s="427">
        <f t="shared" si="139"/>
        <v>0.49809815054118139</v>
      </c>
      <c r="J1090" s="148">
        <v>0.52080704300142322</v>
      </c>
      <c r="K1090" s="921">
        <f t="shared" si="143"/>
        <v>0.21956435612433151</v>
      </c>
      <c r="L1090" s="426">
        <f t="shared" si="142"/>
        <v>0.26764895011556011</v>
      </c>
      <c r="M1090" s="532">
        <f t="shared" si="136"/>
        <v>3.0760396822597777E-2</v>
      </c>
      <c r="N1090" s="523"/>
      <c r="O1090" s="127"/>
    </row>
    <row r="1091" spans="1:15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620">
        <f t="shared" si="144"/>
        <v>176.6</v>
      </c>
      <c r="G1091" s="290">
        <f t="shared" si="140"/>
        <v>1.2506190688319561E-3</v>
      </c>
      <c r="H1091" s="426">
        <f t="shared" si="141"/>
        <v>2.8378172476586565</v>
      </c>
      <c r="I1091" s="427">
        <f t="shared" si="139"/>
        <v>1.0434654019640881</v>
      </c>
      <c r="J1091" s="148">
        <v>1.0910382419223172</v>
      </c>
      <c r="K1091" s="921">
        <f t="shared" si="143"/>
        <v>0.45996518732570518</v>
      </c>
      <c r="L1091" s="426">
        <f t="shared" si="142"/>
        <v>0.56069756335003462</v>
      </c>
      <c r="M1091" s="532">
        <f t="shared" si="136"/>
        <v>3.0760396822597777E-2</v>
      </c>
      <c r="N1091" s="523"/>
      <c r="O1091" s="127"/>
    </row>
    <row r="1092" spans="1:15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620">
        <f t="shared" si="144"/>
        <v>111.5</v>
      </c>
      <c r="G1092" s="290">
        <f t="shared" si="140"/>
        <v>7.8960377222402664E-4</v>
      </c>
      <c r="H1092" s="426">
        <f t="shared" si="141"/>
        <v>1.7917136076667057</v>
      </c>
      <c r="I1092" s="427">
        <f t="shared" si="139"/>
        <v>0.65881309353904771</v>
      </c>
      <c r="J1092" s="148">
        <v>0.68884917312762384</v>
      </c>
      <c r="K1092" s="921">
        <f t="shared" si="143"/>
        <v>0.29040837138627479</v>
      </c>
      <c r="L1092" s="426">
        <f t="shared" si="142"/>
        <v>0.35400780471986898</v>
      </c>
      <c r="M1092" s="532">
        <f t="shared" si="136"/>
        <v>3.076039682259778E-2</v>
      </c>
      <c r="N1092" s="523"/>
      <c r="O1092" s="127"/>
    </row>
    <row r="1093" spans="1:15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620">
        <f t="shared" si="144"/>
        <v>94.2</v>
      </c>
      <c r="G1093" s="290">
        <f t="shared" si="140"/>
        <v>6.6709125868612837E-4</v>
      </c>
      <c r="H1093" s="426">
        <f t="shared" si="141"/>
        <v>1.5137167878224544</v>
      </c>
      <c r="I1093" s="427">
        <f t="shared" si="139"/>
        <v>0.55659366288231649</v>
      </c>
      <c r="J1093" s="148">
        <v>0.58196943595176842</v>
      </c>
      <c r="K1093" s="921">
        <f t="shared" si="143"/>
        <v>0.24534949403217116</v>
      </c>
      <c r="L1093" s="426">
        <f t="shared" si="142"/>
        <v>0.29908103322521667</v>
      </c>
      <c r="M1093" s="532">
        <f t="shared" si="136"/>
        <v>3.0760396822597777E-2</v>
      </c>
      <c r="N1093" s="523"/>
      <c r="O1093" s="127"/>
    </row>
    <row r="1094" spans="1:15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620">
        <f t="shared" si="144"/>
        <v>131.4</v>
      </c>
      <c r="G1094" s="290">
        <f t="shared" si="140"/>
        <v>9.3052857103351661E-4</v>
      </c>
      <c r="H1094" s="426">
        <f t="shared" si="141"/>
        <v>2.1114902963892836</v>
      </c>
      <c r="I1094" s="427">
        <f t="shared" si="139"/>
        <v>0.77639498198233969</v>
      </c>
      <c r="J1094" s="148">
        <v>0.81179176097730743</v>
      </c>
      <c r="K1094" s="921">
        <f t="shared" si="143"/>
        <v>0.34223910314041711</v>
      </c>
      <c r="L1094" s="426">
        <f t="shared" si="142"/>
        <v>0.41718946672816848</v>
      </c>
      <c r="M1094" s="532">
        <f t="shared" ref="M1094:M1157" si="145">(K1094+J1094+I1094+H1094)/C1094</f>
        <v>3.0760396822597777E-2</v>
      </c>
      <c r="N1094" s="523"/>
      <c r="O1094" s="127"/>
    </row>
    <row r="1095" spans="1:15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620">
        <f t="shared" si="144"/>
        <v>87.9</v>
      </c>
      <c r="G1095" s="290">
        <f t="shared" si="140"/>
        <v>6.2247687514342556E-4</v>
      </c>
      <c r="H1095" s="426">
        <f t="shared" si="141"/>
        <v>1.4124809516942014</v>
      </c>
      <c r="I1095" s="427">
        <f t="shared" si="139"/>
        <v>0.51936924593795786</v>
      </c>
      <c r="J1095" s="148">
        <v>0.54304791316518508</v>
      </c>
      <c r="K1095" s="921">
        <f t="shared" si="143"/>
        <v>0.2289407699090005</v>
      </c>
      <c r="L1095" s="426">
        <f t="shared" si="142"/>
        <v>0.27907879851907164</v>
      </c>
      <c r="M1095" s="532">
        <f t="shared" si="145"/>
        <v>3.0760396822597773E-2</v>
      </c>
      <c r="N1095" s="523"/>
      <c r="O1095" s="127"/>
    </row>
    <row r="1096" spans="1:15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20">
        <f t="shared" si="144"/>
        <v>69.599999999999994</v>
      </c>
      <c r="G1096" s="290">
        <f t="shared" si="140"/>
        <v>4.9288271342414576E-4</v>
      </c>
      <c r="H1096" s="426">
        <f t="shared" si="141"/>
        <v>1.118414951512132</v>
      </c>
      <c r="I1096" s="427">
        <f t="shared" si="139"/>
        <v>0.41124117767101098</v>
      </c>
      <c r="J1096" s="148">
        <v>0.42999015649939565</v>
      </c>
      <c r="K1096" s="921">
        <f t="shared" si="143"/>
        <v>0.18127733317026659</v>
      </c>
      <c r="L1096" s="426">
        <f t="shared" si="142"/>
        <v>0.22097706913455498</v>
      </c>
      <c r="M1096" s="532">
        <f t="shared" si="145"/>
        <v>3.076039682259778E-2</v>
      </c>
      <c r="N1096" s="523"/>
      <c r="O1096" s="127"/>
    </row>
    <row r="1097" spans="1:15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620">
        <f t="shared" si="144"/>
        <v>101.5</v>
      </c>
      <c r="G1097" s="290">
        <f t="shared" si="140"/>
        <v>7.1878729041021262E-4</v>
      </c>
      <c r="H1097" s="426">
        <f t="shared" si="141"/>
        <v>1.6310218042885258</v>
      </c>
      <c r="I1097" s="427">
        <f t="shared" si="139"/>
        <v>0.59972671743689099</v>
      </c>
      <c r="J1097" s="148">
        <v>0.62706897822828533</v>
      </c>
      <c r="K1097" s="921">
        <f t="shared" si="143"/>
        <v>0.26436277753997212</v>
      </c>
      <c r="L1097" s="426">
        <f t="shared" si="142"/>
        <v>0.32225822582122604</v>
      </c>
      <c r="M1097" s="532">
        <f t="shared" si="145"/>
        <v>3.0760396822597777E-2</v>
      </c>
      <c r="N1097" s="523"/>
      <c r="O1097" s="127"/>
    </row>
    <row r="1098" spans="1:15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620">
        <f t="shared" si="144"/>
        <v>237.8</v>
      </c>
      <c r="G1098" s="290">
        <f t="shared" si="140"/>
        <v>1.6840159375324981E-3</v>
      </c>
      <c r="H1098" s="426">
        <f t="shared" si="141"/>
        <v>3.8212510843331176</v>
      </c>
      <c r="I1098" s="427">
        <f t="shared" si="139"/>
        <v>1.4050740237092874</v>
      </c>
      <c r="J1098" s="148">
        <v>1.4691330347062688</v>
      </c>
      <c r="K1098" s="921">
        <f t="shared" si="143"/>
        <v>0.61936422166507754</v>
      </c>
      <c r="L1098" s="426">
        <f t="shared" si="142"/>
        <v>0.75500498620972956</v>
      </c>
      <c r="M1098" s="532">
        <f t="shared" si="145"/>
        <v>3.0760396822597773E-2</v>
      </c>
      <c r="N1098" s="523"/>
      <c r="O1098" s="127"/>
    </row>
    <row r="1099" spans="1:15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620">
        <f t="shared" si="144"/>
        <v>96.6</v>
      </c>
      <c r="G1099" s="290">
        <f t="shared" si="140"/>
        <v>6.8408721432144362E-4</v>
      </c>
      <c r="H1099" s="426">
        <f t="shared" si="141"/>
        <v>1.5522828206332175</v>
      </c>
      <c r="I1099" s="427">
        <f t="shared" si="139"/>
        <v>0.57077439314683409</v>
      </c>
      <c r="J1099" s="148">
        <v>0.59679668272760944</v>
      </c>
      <c r="K1099" s="921">
        <f t="shared" si="143"/>
        <v>0.25160043655528375</v>
      </c>
      <c r="L1099" s="426">
        <f t="shared" si="142"/>
        <v>0.30670093216089089</v>
      </c>
      <c r="M1099" s="532">
        <f t="shared" si="145"/>
        <v>3.0760396822597773E-2</v>
      </c>
      <c r="N1099" s="523"/>
      <c r="O1099" s="127"/>
    </row>
    <row r="1100" spans="1:15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620">
        <f t="shared" si="144"/>
        <v>120.2</v>
      </c>
      <c r="G1100" s="290">
        <f t="shared" si="140"/>
        <v>8.5121411140204491E-4</v>
      </c>
      <c r="H1100" s="426">
        <f t="shared" si="141"/>
        <v>1.9315154766057223</v>
      </c>
      <c r="I1100" s="427">
        <f t="shared" si="139"/>
        <v>0.71021824074792417</v>
      </c>
      <c r="J1100" s="148">
        <v>0.74259794269004831</v>
      </c>
      <c r="K1100" s="921">
        <f t="shared" si="143"/>
        <v>0.31306803803255812</v>
      </c>
      <c r="L1100" s="426">
        <f t="shared" si="142"/>
        <v>0.38162993836168835</v>
      </c>
      <c r="M1100" s="532">
        <f t="shared" si="145"/>
        <v>3.0760396822597777E-2</v>
      </c>
      <c r="N1100" s="523"/>
      <c r="O1100" s="127"/>
    </row>
    <row r="1101" spans="1:15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620">
        <f t="shared" si="144"/>
        <v>340.3</v>
      </c>
      <c r="G1101" s="290">
        <f t="shared" si="140"/>
        <v>2.4098848761240923E-3</v>
      </c>
      <c r="H1101" s="426">
        <f t="shared" si="141"/>
        <v>5.468342068959462</v>
      </c>
      <c r="I1101" s="427">
        <f t="shared" si="139"/>
        <v>2.0107093787563941</v>
      </c>
      <c r="J1101" s="148">
        <v>2.1023800324244877</v>
      </c>
      <c r="K1101" s="921">
        <f t="shared" si="143"/>
        <v>0.88633155858967994</v>
      </c>
      <c r="L1101" s="426">
        <f t="shared" si="142"/>
        <v>1.0804381699208199</v>
      </c>
      <c r="M1101" s="532">
        <f t="shared" si="145"/>
        <v>3.0760396822597777E-2</v>
      </c>
      <c r="N1101" s="523"/>
      <c r="O1101" s="127"/>
    </row>
    <row r="1102" spans="1:15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20">
        <f t="shared" si="144"/>
        <v>264.89999999999998</v>
      </c>
      <c r="G1102" s="290">
        <f t="shared" si="140"/>
        <v>1.875928603247934E-3</v>
      </c>
      <c r="H1102" s="426">
        <f t="shared" si="141"/>
        <v>4.2567258714879852</v>
      </c>
      <c r="I1102" s="427">
        <f t="shared" si="139"/>
        <v>1.5651981029461324</v>
      </c>
      <c r="J1102" s="148">
        <v>1.6365573628834758</v>
      </c>
      <c r="K1102" s="921">
        <f t="shared" si="143"/>
        <v>0.68994778098855769</v>
      </c>
      <c r="L1102" s="426">
        <f t="shared" si="142"/>
        <v>0.84104634502505193</v>
      </c>
      <c r="M1102" s="532">
        <f t="shared" si="145"/>
        <v>3.0760396822597777E-2</v>
      </c>
      <c r="N1102" s="523"/>
      <c r="O1102" s="127"/>
    </row>
    <row r="1103" spans="1:15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620">
        <f t="shared" si="144"/>
        <v>299.7</v>
      </c>
      <c r="G1103" s="290">
        <f t="shared" si="140"/>
        <v>2.1223699599600071E-3</v>
      </c>
      <c r="H1103" s="426">
        <f t="shared" si="141"/>
        <v>4.8159333472440515</v>
      </c>
      <c r="I1103" s="427">
        <f t="shared" si="139"/>
        <v>1.770818691781638</v>
      </c>
      <c r="J1103" s="148">
        <v>1.8515524411331739</v>
      </c>
      <c r="K1103" s="921">
        <f t="shared" si="143"/>
        <v>0.78058644757369111</v>
      </c>
      <c r="L1103" s="426">
        <f t="shared" si="142"/>
        <v>0.95153487959232952</v>
      </c>
      <c r="M1103" s="532">
        <f t="shared" si="145"/>
        <v>3.0760396822597777E-2</v>
      </c>
      <c r="N1103" s="523"/>
      <c r="O1103" s="127"/>
    </row>
    <row r="1104" spans="1:15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20">
        <f t="shared" si="144"/>
        <v>143.69999999999999</v>
      </c>
      <c r="G1104" s="290">
        <f t="shared" si="140"/>
        <v>1.0176328436645077E-3</v>
      </c>
      <c r="H1104" s="426">
        <f t="shared" si="141"/>
        <v>2.3091412145444443</v>
      </c>
      <c r="I1104" s="427">
        <f t="shared" si="139"/>
        <v>0.84907122458799222</v>
      </c>
      <c r="J1104" s="148">
        <v>0.88778140070349354</v>
      </c>
      <c r="K1104" s="921">
        <f t="shared" si="143"/>
        <v>0.3742751835713693</v>
      </c>
      <c r="L1104" s="426">
        <f t="shared" si="142"/>
        <v>0.4562414487734992</v>
      </c>
      <c r="M1104" s="532">
        <f t="shared" si="145"/>
        <v>3.076039682259777E-2</v>
      </c>
      <c r="N1104" s="523"/>
      <c r="O1104" s="127"/>
    </row>
    <row r="1105" spans="1:15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20">
        <f t="shared" si="144"/>
        <v>295.10000000000002</v>
      </c>
      <c r="G1105" s="290">
        <f t="shared" si="140"/>
        <v>2.0897943783256528E-3</v>
      </c>
      <c r="H1105" s="426">
        <f t="shared" si="141"/>
        <v>4.7420151176900891</v>
      </c>
      <c r="I1105" s="427">
        <f t="shared" si="139"/>
        <v>1.7436389587746459</v>
      </c>
      <c r="J1105" s="148">
        <v>1.8231335514794782</v>
      </c>
      <c r="K1105" s="921">
        <f t="shared" si="143"/>
        <v>0.76860547440439186</v>
      </c>
      <c r="L1105" s="426">
        <f t="shared" si="142"/>
        <v>0.93693007329895373</v>
      </c>
      <c r="M1105" s="532">
        <f t="shared" si="145"/>
        <v>3.0760396822597777E-2</v>
      </c>
      <c r="N1105" s="523"/>
      <c r="O1105" s="127"/>
    </row>
    <row r="1106" spans="1:15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20">
        <f t="shared" si="144"/>
        <v>148.69999999999999</v>
      </c>
      <c r="G1106" s="290">
        <f t="shared" si="140"/>
        <v>1.0530410845714148E-3</v>
      </c>
      <c r="H1106" s="426">
        <f t="shared" si="141"/>
        <v>2.3894871162335347</v>
      </c>
      <c r="I1106" s="427">
        <f t="shared" si="139"/>
        <v>0.87861441263907081</v>
      </c>
      <c r="J1106" s="148">
        <v>0.91867149815316296</v>
      </c>
      <c r="K1106" s="921">
        <f t="shared" si="143"/>
        <v>0.38729798049452063</v>
      </c>
      <c r="L1106" s="426">
        <f t="shared" si="142"/>
        <v>0.47211623822282067</v>
      </c>
      <c r="M1106" s="532">
        <f t="shared" si="145"/>
        <v>3.0760396822597777E-2</v>
      </c>
      <c r="N1106" s="523"/>
      <c r="O1106" s="127"/>
    </row>
    <row r="1107" spans="1:15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620">
        <f t="shared" si="144"/>
        <v>339.7</v>
      </c>
      <c r="G1107" s="290">
        <f t="shared" si="140"/>
        <v>2.4056358872152632E-3</v>
      </c>
      <c r="H1107" s="426">
        <f t="shared" si="141"/>
        <v>5.4587005607567702</v>
      </c>
      <c r="I1107" s="427">
        <f t="shared" si="139"/>
        <v>2.0071641961902644</v>
      </c>
      <c r="J1107" s="148">
        <v>2.0986732207305274</v>
      </c>
      <c r="K1107" s="921">
        <f t="shared" si="143"/>
        <v>0.88476882295890169</v>
      </c>
      <c r="L1107" s="426">
        <f t="shared" si="142"/>
        <v>1.0785331951869013</v>
      </c>
      <c r="M1107" s="532">
        <f t="shared" si="145"/>
        <v>3.0760396822597773E-2</v>
      </c>
      <c r="N1107" s="523"/>
      <c r="O1107" s="127"/>
    </row>
    <row r="1108" spans="1:15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620">
        <f t="shared" si="144"/>
        <v>197.6</v>
      </c>
      <c r="G1108" s="290">
        <f t="shared" si="140"/>
        <v>1.3993336806409655E-3</v>
      </c>
      <c r="H1108" s="426">
        <f t="shared" si="141"/>
        <v>3.1752700347528342</v>
      </c>
      <c r="I1108" s="427">
        <f t="shared" si="139"/>
        <v>1.1675467917786173</v>
      </c>
      <c r="J1108" s="148">
        <v>1.2207766512109279</v>
      </c>
      <c r="K1108" s="921">
        <f t="shared" si="143"/>
        <v>0.5146609344029407</v>
      </c>
      <c r="L1108" s="426">
        <f t="shared" si="142"/>
        <v>0.62737167903718472</v>
      </c>
      <c r="M1108" s="532">
        <f t="shared" si="145"/>
        <v>3.0760396822597773E-2</v>
      </c>
      <c r="N1108" s="523"/>
      <c r="O1108" s="127"/>
    </row>
    <row r="1109" spans="1:15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620">
        <f t="shared" si="144"/>
        <v>251</v>
      </c>
      <c r="G1109" s="290">
        <f t="shared" si="140"/>
        <v>1.7774936935267326E-3</v>
      </c>
      <c r="H1109" s="426">
        <f t="shared" si="141"/>
        <v>4.0333642647923149</v>
      </c>
      <c r="I1109" s="427">
        <f t="shared" si="139"/>
        <v>1.4830680401641343</v>
      </c>
      <c r="J1109" s="148">
        <v>1.5506828919733955</v>
      </c>
      <c r="K1109" s="921">
        <f>G1109*1367.79</f>
        <v>2.4312380990689295</v>
      </c>
      <c r="L1109" s="426">
        <f t="shared" si="142"/>
        <v>2.9636792427650254</v>
      </c>
      <c r="M1109" s="532">
        <f t="shared" si="145"/>
        <v>3.7842045003979183E-2</v>
      </c>
      <c r="N1109" s="523"/>
      <c r="O1109" s="127"/>
    </row>
    <row r="1110" spans="1:15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620">
        <f t="shared" si="144"/>
        <v>172.7</v>
      </c>
      <c r="G1110" s="290">
        <f t="shared" si="140"/>
        <v>1.2230006409245685E-3</v>
      </c>
      <c r="H1110" s="426">
        <f t="shared" si="141"/>
        <v>2.7751474443411666</v>
      </c>
      <c r="I1110" s="427">
        <f t="shared" si="139"/>
        <v>1.020421715284247</v>
      </c>
      <c r="J1110" s="148">
        <v>1.0669439659115751</v>
      </c>
      <c r="K1110" s="921">
        <f t="shared" si="143"/>
        <v>0.44980740572564709</v>
      </c>
      <c r="L1110" s="426">
        <f t="shared" si="142"/>
        <v>0.54831522757956386</v>
      </c>
      <c r="M1110" s="532">
        <f t="shared" si="145"/>
        <v>3.0760396822597773E-2</v>
      </c>
      <c r="N1110" s="523"/>
      <c r="O1110" s="127"/>
    </row>
    <row r="1111" spans="1:15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620">
        <f t="shared" si="144"/>
        <v>294.2</v>
      </c>
      <c r="G1111" s="290">
        <f t="shared" si="140"/>
        <v>2.0834208949624092E-3</v>
      </c>
      <c r="H1111" s="426">
        <f t="shared" si="141"/>
        <v>4.727552855386052</v>
      </c>
      <c r="I1111" s="427">
        <f t="shared" si="139"/>
        <v>1.7383211849254514</v>
      </c>
      <c r="J1111" s="148">
        <v>1.8175733339385374</v>
      </c>
      <c r="K1111" s="921">
        <f t="shared" si="143"/>
        <v>0.76626137095822455</v>
      </c>
      <c r="L1111" s="426">
        <f t="shared" si="142"/>
        <v>0.93407261119807583</v>
      </c>
      <c r="M1111" s="532">
        <f t="shared" si="145"/>
        <v>3.076039682259777E-2</v>
      </c>
      <c r="N1111" s="523"/>
      <c r="O1111" s="127"/>
    </row>
    <row r="1112" spans="1:15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620">
        <f t="shared" si="144"/>
        <v>200.9</v>
      </c>
      <c r="G1112" s="290">
        <f t="shared" si="140"/>
        <v>1.4227031196395242E-3</v>
      </c>
      <c r="H1112" s="426">
        <f t="shared" si="141"/>
        <v>3.2282983298676338</v>
      </c>
      <c r="I1112" s="427">
        <f t="shared" si="139"/>
        <v>1.187045295892329</v>
      </c>
      <c r="J1112" s="148">
        <v>1.2411641155277098</v>
      </c>
      <c r="K1112" s="921">
        <f t="shared" si="143"/>
        <v>0.52325598037222065</v>
      </c>
      <c r="L1112" s="426">
        <f t="shared" si="142"/>
        <v>0.63784904007373699</v>
      </c>
      <c r="M1112" s="532">
        <f t="shared" si="145"/>
        <v>3.076039682259778E-2</v>
      </c>
      <c r="N1112" s="523"/>
      <c r="O1112" s="127"/>
    </row>
    <row r="1113" spans="1:15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620">
        <f t="shared" si="144"/>
        <v>297.8</v>
      </c>
      <c r="G1113" s="290">
        <f t="shared" si="140"/>
        <v>2.1089148284153822E-3</v>
      </c>
      <c r="H1113" s="426">
        <f t="shared" si="141"/>
        <v>4.7854019046021969</v>
      </c>
      <c r="I1113" s="427">
        <f t="shared" si="139"/>
        <v>1.7595922803222279</v>
      </c>
      <c r="J1113" s="148">
        <v>1.8398142041022993</v>
      </c>
      <c r="K1113" s="921">
        <f t="shared" si="143"/>
        <v>0.77563778474289347</v>
      </c>
      <c r="L1113" s="426">
        <f t="shared" si="142"/>
        <v>0.94550245960158719</v>
      </c>
      <c r="M1113" s="532">
        <f t="shared" si="145"/>
        <v>3.0760396822597773E-2</v>
      </c>
      <c r="N1113" s="523"/>
      <c r="O1113" s="127"/>
    </row>
    <row r="1114" spans="1:15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620">
        <f t="shared" si="144"/>
        <v>124.6</v>
      </c>
      <c r="G1114" s="290">
        <f t="shared" si="140"/>
        <v>8.8237336340012303E-4</v>
      </c>
      <c r="H1114" s="426">
        <f t="shared" si="141"/>
        <v>2.0022198700921212</v>
      </c>
      <c r="I1114" s="427">
        <f t="shared" si="139"/>
        <v>0.73621624623287307</v>
      </c>
      <c r="J1114" s="148">
        <v>0.76978122844575714</v>
      </c>
      <c r="K1114" s="921">
        <f t="shared" si="143"/>
        <v>0.32452809932493126</v>
      </c>
      <c r="L1114" s="426">
        <f t="shared" si="142"/>
        <v>0.39559975307709122</v>
      </c>
      <c r="M1114" s="532">
        <f t="shared" si="145"/>
        <v>3.0760396822597773E-2</v>
      </c>
      <c r="N1114" s="523"/>
      <c r="O1114" s="127"/>
    </row>
    <row r="1115" spans="1:15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20">
        <f t="shared" si="144"/>
        <v>132.19999999999999</v>
      </c>
      <c r="G1115" s="290">
        <f t="shared" si="140"/>
        <v>9.3619388957862169E-4</v>
      </c>
      <c r="H1115" s="426">
        <f t="shared" si="141"/>
        <v>2.1243456406595378</v>
      </c>
      <c r="I1115" s="427">
        <f t="shared" si="139"/>
        <v>0.78112189207051208</v>
      </c>
      <c r="J1115" s="148">
        <v>0.8167341765692544</v>
      </c>
      <c r="K1115" s="921">
        <f>G1115*367.79</f>
        <v>0.34432275064812129</v>
      </c>
      <c r="L1115" s="426">
        <f t="shared" si="142"/>
        <v>0.41972943304005988</v>
      </c>
      <c r="M1115" s="532">
        <f t="shared" si="145"/>
        <v>3.0760396822597773E-2</v>
      </c>
      <c r="N1115" s="523"/>
      <c r="O1115" s="127"/>
    </row>
    <row r="1116" spans="1:15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620">
        <f t="shared" si="144"/>
        <v>225.4</v>
      </c>
      <c r="G1116" s="290">
        <f t="shared" si="140"/>
        <v>1.5962035000833686E-3</v>
      </c>
      <c r="H1116" s="426">
        <f t="shared" si="141"/>
        <v>3.6219932481441743</v>
      </c>
      <c r="I1116" s="427">
        <f t="shared" si="139"/>
        <v>1.331806917342613</v>
      </c>
      <c r="J1116" s="148">
        <v>1.3925255930310889</v>
      </c>
      <c r="K1116" s="921">
        <f t="shared" si="143"/>
        <v>0.58706768529566222</v>
      </c>
      <c r="L1116" s="426">
        <f t="shared" si="142"/>
        <v>0.71563550837541234</v>
      </c>
      <c r="M1116" s="532">
        <f t="shared" si="145"/>
        <v>3.0760396822597773E-2</v>
      </c>
      <c r="N1116" s="523"/>
      <c r="O1116" s="127"/>
    </row>
    <row r="1117" spans="1:15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620">
        <f t="shared" si="144"/>
        <v>415.6</v>
      </c>
      <c r="G1117" s="290">
        <f t="shared" si="140"/>
        <v>2.9431329841821119E-3</v>
      </c>
      <c r="H1117" s="426">
        <f t="shared" si="141"/>
        <v>6.6783513483971557</v>
      </c>
      <c r="I1117" s="427">
        <f t="shared" si="139"/>
        <v>2.4556297908056344</v>
      </c>
      <c r="J1117" s="148">
        <v>2.5675849000165067</v>
      </c>
      <c r="K1117" s="921">
        <f t="shared" si="143"/>
        <v>1.082454880252339</v>
      </c>
      <c r="L1117" s="426">
        <f t="shared" si="142"/>
        <v>1.3195124990276015</v>
      </c>
      <c r="M1117" s="532">
        <f t="shared" si="145"/>
        <v>3.0760396822597777E-2</v>
      </c>
      <c r="N1117" s="523"/>
      <c r="O1117" s="127"/>
    </row>
    <row r="1118" spans="1:15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620">
        <f t="shared" si="144"/>
        <v>1495</v>
      </c>
      <c r="G1118" s="290">
        <f t="shared" si="140"/>
        <v>1.0587064031165201E-2</v>
      </c>
      <c r="H1118" s="426">
        <f t="shared" si="141"/>
        <v>24.023424605037892</v>
      </c>
      <c r="I1118" s="427">
        <f t="shared" si="139"/>
        <v>8.8334132272724339</v>
      </c>
      <c r="J1118" s="148">
        <v>9.2361391374511008</v>
      </c>
      <c r="K1118" s="921">
        <f>G1118*235.27</f>
        <v>2.490818554612237</v>
      </c>
      <c r="L1118" s="426">
        <f t="shared" si="142"/>
        <v>3.0363078180723173</v>
      </c>
      <c r="M1118" s="532">
        <f t="shared" si="145"/>
        <v>2.9821936805601114E-2</v>
      </c>
      <c r="N1118" s="523"/>
      <c r="O1118" s="127"/>
    </row>
    <row r="1119" spans="1:15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20">
        <f t="shared" si="144"/>
        <v>288.60000000000002</v>
      </c>
      <c r="G1119" s="290">
        <f t="shared" si="140"/>
        <v>2.0437636651466735E-3</v>
      </c>
      <c r="H1119" s="426">
        <f t="shared" si="141"/>
        <v>4.6375654454942712</v>
      </c>
      <c r="I1119" s="427">
        <f t="shared" si="139"/>
        <v>1.7052328143082436</v>
      </c>
      <c r="J1119" s="148">
        <v>1.7829764247949083</v>
      </c>
      <c r="K1119" s="921">
        <f>G1119*367.79</f>
        <v>0.75167583840429508</v>
      </c>
      <c r="L1119" s="426">
        <f t="shared" si="142"/>
        <v>0.91629284701483582</v>
      </c>
      <c r="M1119" s="532">
        <f t="shared" si="145"/>
        <v>3.0760396822597773E-2</v>
      </c>
      <c r="N1119" s="523"/>
      <c r="O1119" s="127"/>
    </row>
    <row r="1120" spans="1:15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20">
        <f t="shared" si="144"/>
        <v>272.10000000000002</v>
      </c>
      <c r="G1120" s="290">
        <f t="shared" si="140"/>
        <v>1.9269164701538803E-3</v>
      </c>
      <c r="H1120" s="426">
        <f t="shared" si="141"/>
        <v>4.3724239699202743</v>
      </c>
      <c r="I1120" s="427">
        <f t="shared" si="139"/>
        <v>1.607740293739685</v>
      </c>
      <c r="J1120" s="148">
        <v>1.6810391032109997</v>
      </c>
      <c r="K1120" s="921">
        <f>G1120*367.79</f>
        <v>0.70870060855789574</v>
      </c>
      <c r="L1120" s="426">
        <f t="shared" si="142"/>
        <v>0.86390604183207498</v>
      </c>
      <c r="M1120" s="532">
        <f t="shared" si="145"/>
        <v>3.0760396822597773E-2</v>
      </c>
      <c r="N1120" s="523"/>
      <c r="O1120" s="127"/>
    </row>
    <row r="1121" spans="1:15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20">
        <f t="shared" si="144"/>
        <v>313.7</v>
      </c>
      <c r="G1121" s="290">
        <f t="shared" si="140"/>
        <v>2.2215130344993466E-3</v>
      </c>
      <c r="H1121" s="426">
        <f t="shared" si="141"/>
        <v>5.0409018719735021</v>
      </c>
      <c r="I1121" s="427">
        <f t="shared" si="139"/>
        <v>1.8535396183246569</v>
      </c>
      <c r="J1121" s="148">
        <v>1.9380447139922474</v>
      </c>
      <c r="K1121" s="921">
        <f>G1121*367.79</f>
        <v>0.81705027895851468</v>
      </c>
      <c r="L1121" s="426">
        <f t="shared" si="142"/>
        <v>0.99598429005042943</v>
      </c>
      <c r="M1121" s="532">
        <f t="shared" si="145"/>
        <v>3.3516972849075795E-2</v>
      </c>
      <c r="N1121" s="523"/>
      <c r="O1121" s="127"/>
    </row>
    <row r="1122" spans="1:15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20">
        <f t="shared" si="144"/>
        <v>860.41000000000008</v>
      </c>
      <c r="G1122" s="290">
        <f t="shared" si="140"/>
        <v>6.0931209117423748E-3</v>
      </c>
      <c r="H1122" s="426">
        <f t="shared" si="141"/>
        <v>13.826083454461976</v>
      </c>
      <c r="I1122" s="427">
        <f t="shared" si="139"/>
        <v>5.0838508862056688</v>
      </c>
      <c r="J1122" s="148">
        <v>5.315629749333981</v>
      </c>
      <c r="K1122" s="921">
        <f>G1122*235.27</f>
        <v>1.4335285569056286</v>
      </c>
      <c r="L1122" s="426">
        <f t="shared" si="142"/>
        <v>1.7474713108679614</v>
      </c>
      <c r="M1122" s="532">
        <f t="shared" si="145"/>
        <v>3.5067298037347108E-2</v>
      </c>
      <c r="N1122" s="523"/>
      <c r="O1122" s="127"/>
    </row>
    <row r="1123" spans="1:15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620">
        <f t="shared" si="144"/>
        <v>294</v>
      </c>
      <c r="G1123" s="290">
        <f t="shared" si="140"/>
        <v>2.0820045653261328E-3</v>
      </c>
      <c r="H1123" s="426">
        <f t="shared" si="141"/>
        <v>4.7243390193184878</v>
      </c>
      <c r="I1123" s="427">
        <f t="shared" si="139"/>
        <v>1.737139457403408</v>
      </c>
      <c r="J1123" s="148">
        <v>1.8163377300405508</v>
      </c>
      <c r="K1123" s="921">
        <f>G1123*367.79</f>
        <v>0.7657404590812984</v>
      </c>
      <c r="L1123" s="426">
        <f t="shared" si="142"/>
        <v>0.93343761962010285</v>
      </c>
      <c r="M1123" s="532">
        <f t="shared" si="145"/>
        <v>3.0760396822597773E-2</v>
      </c>
      <c r="N1123" s="523"/>
      <c r="O1123" s="127"/>
    </row>
    <row r="1124" spans="1:15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620">
        <f t="shared" si="144"/>
        <v>1119.54</v>
      </c>
      <c r="G1124" s="290">
        <f t="shared" si="140"/>
        <v>7.9281884049837385E-3</v>
      </c>
      <c r="H1124" s="426">
        <f t="shared" si="141"/>
        <v>17.99009015540075</v>
      </c>
      <c r="I1124" s="427">
        <f t="shared" si="139"/>
        <v>6.6149561501408565</v>
      </c>
      <c r="J1124" s="148">
        <v>6.916539939760538</v>
      </c>
      <c r="K1124" s="921">
        <f>G1124*1235.27</f>
        <v>9.793453291024262</v>
      </c>
      <c r="L1124" s="426">
        <f t="shared" si="142"/>
        <v>11.938219561758576</v>
      </c>
      <c r="M1124" s="532">
        <f t="shared" si="145"/>
        <v>3.690358498698252E-2</v>
      </c>
      <c r="N1124" s="523"/>
      <c r="O1124" s="127"/>
    </row>
    <row r="1125" spans="1:15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620">
        <f t="shared" si="144"/>
        <v>542.66</v>
      </c>
      <c r="G1125" s="290">
        <f t="shared" si="140"/>
        <v>3.8429272021084327E-3</v>
      </c>
      <c r="H1125" s="426">
        <f t="shared" si="141"/>
        <v>8.7201014021203083</v>
      </c>
      <c r="I1125" s="427">
        <f t="shared" si="139"/>
        <v>3.2063812855596376</v>
      </c>
      <c r="J1125" s="148">
        <v>3.352564056407501</v>
      </c>
      <c r="K1125" s="921">
        <f>G1125*235.27</f>
        <v>0.90412548284005101</v>
      </c>
      <c r="L1125" s="426">
        <f t="shared" si="142"/>
        <v>1.1021289635820222</v>
      </c>
      <c r="M1125" s="532">
        <f t="shared" si="145"/>
        <v>2.9821936805601107E-2</v>
      </c>
      <c r="N1125" s="523"/>
      <c r="O1125" s="127"/>
    </row>
    <row r="1126" spans="1:15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620">
        <f t="shared" si="144"/>
        <v>507.72</v>
      </c>
      <c r="G1126" s="290">
        <f t="shared" si="140"/>
        <v>3.5954944146509671E-3</v>
      </c>
      <c r="H1126" s="426">
        <f t="shared" si="141"/>
        <v>8.1586442411169493</v>
      </c>
      <c r="I1126" s="427">
        <f t="shared" si="139"/>
        <v>2.9999334874587027</v>
      </c>
      <c r="J1126" s="148">
        <v>3.1367040554292127</v>
      </c>
      <c r="K1126" s="921">
        <f>G1126*235.27</f>
        <v>0.84591197093493309</v>
      </c>
      <c r="L1126" s="426">
        <f t="shared" si="142"/>
        <v>1.0311666925696834</v>
      </c>
      <c r="M1126" s="532">
        <f t="shared" si="145"/>
        <v>2.982193680560111E-2</v>
      </c>
      <c r="N1126" s="523"/>
      <c r="O1126" s="127"/>
    </row>
    <row r="1127" spans="1:15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620">
        <f t="shared" si="144"/>
        <v>517.03</v>
      </c>
      <c r="G1127" s="290">
        <f t="shared" si="140"/>
        <v>3.6614245592196276E-3</v>
      </c>
      <c r="H1127" s="426">
        <f t="shared" si="141"/>
        <v>8.3082483100620337</v>
      </c>
      <c r="I1127" s="427">
        <f t="shared" si="139"/>
        <v>3.0549429036098101</v>
      </c>
      <c r="J1127" s="148">
        <v>3.1942214168804961</v>
      </c>
      <c r="K1127" s="921">
        <f>G1127*367.79</f>
        <v>1.3466353386353869</v>
      </c>
      <c r="L1127" s="426">
        <f t="shared" si="142"/>
        <v>1.6415484777965368</v>
      </c>
      <c r="M1127" s="532">
        <f t="shared" si="145"/>
        <v>3.0760396822597773E-2</v>
      </c>
      <c r="N1127" s="523"/>
      <c r="O1127" s="127"/>
    </row>
    <row r="1128" spans="1:15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620">
        <f t="shared" si="144"/>
        <v>497.81</v>
      </c>
      <c r="G1128" s="290">
        <f t="shared" si="140"/>
        <v>3.5253152811734771E-3</v>
      </c>
      <c r="H1128" s="426">
        <f t="shared" si="141"/>
        <v>7.9993986639691723</v>
      </c>
      <c r="I1128" s="427">
        <f t="shared" ref="I1128:I1145" si="146">H1128*0.3677</f>
        <v>2.9413788887414647</v>
      </c>
      <c r="J1128" s="148">
        <v>3.0754798822839677</v>
      </c>
      <c r="K1128" s="921">
        <f>G1128*235.27</f>
        <v>0.82940092620168404</v>
      </c>
      <c r="L1128" s="426">
        <f t="shared" si="142"/>
        <v>1.011039729039853</v>
      </c>
      <c r="M1128" s="532">
        <f t="shared" si="145"/>
        <v>2.982193680560111E-2</v>
      </c>
      <c r="N1128" s="523"/>
      <c r="O1128" s="127"/>
    </row>
    <row r="1129" spans="1:15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20">
        <f t="shared" si="144"/>
        <v>301.3</v>
      </c>
      <c r="G1129" s="290">
        <f t="shared" si="140"/>
        <v>2.1337005970502175E-3</v>
      </c>
      <c r="H1129" s="426">
        <f t="shared" si="141"/>
        <v>4.8416440357845607</v>
      </c>
      <c r="I1129" s="427">
        <f t="shared" si="146"/>
        <v>1.7802725119579832</v>
      </c>
      <c r="J1129" s="148">
        <v>1.861437272317068</v>
      </c>
      <c r="K1129" s="921">
        <f>G1129*367.79</f>
        <v>0.78475374258909958</v>
      </c>
      <c r="L1129" s="426">
        <f t="shared" si="142"/>
        <v>0.95661481221611244</v>
      </c>
      <c r="M1129" s="532">
        <f t="shared" si="145"/>
        <v>3.0760396822597784E-2</v>
      </c>
      <c r="N1129" s="523"/>
      <c r="O1129" s="127"/>
    </row>
    <row r="1130" spans="1:15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20">
        <f t="shared" si="144"/>
        <v>493.5</v>
      </c>
      <c r="G1130" s="290">
        <f t="shared" si="140"/>
        <v>3.4947933775117232E-3</v>
      </c>
      <c r="H1130" s="426">
        <f t="shared" si="141"/>
        <v>7.930140496713177</v>
      </c>
      <c r="I1130" s="427">
        <f t="shared" si="146"/>
        <v>2.9159126606414354</v>
      </c>
      <c r="J1130" s="148">
        <v>3.048852618282353</v>
      </c>
      <c r="K1130" s="921">
        <f>G1130*1235.27</f>
        <v>4.3170134154389066</v>
      </c>
      <c r="L1130" s="426">
        <f t="shared" si="142"/>
        <v>5.2624393534200271</v>
      </c>
      <c r="M1130" s="532">
        <f t="shared" si="145"/>
        <v>3.6903584986982513E-2</v>
      </c>
      <c r="N1130" s="523"/>
      <c r="O1130" s="127"/>
    </row>
    <row r="1131" spans="1:15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20">
        <f t="shared" si="144"/>
        <v>264.8</v>
      </c>
      <c r="G1131" s="290">
        <f t="shared" si="140"/>
        <v>1.8752204384297961E-3</v>
      </c>
      <c r="H1131" s="426">
        <f t="shared" si="141"/>
        <v>4.2551189534542031</v>
      </c>
      <c r="I1131" s="427">
        <f t="shared" si="146"/>
        <v>1.5646072391851107</v>
      </c>
      <c r="J1131" s="148">
        <v>1.6359395609344825</v>
      </c>
      <c r="K1131" s="921">
        <f>G1131*1367.79</f>
        <v>2.5649077634798907</v>
      </c>
      <c r="L1131" s="426">
        <f t="shared" si="142"/>
        <v>3.1266225636819871</v>
      </c>
      <c r="M1131" s="532">
        <f t="shared" si="145"/>
        <v>3.7842045003979183E-2</v>
      </c>
      <c r="N1131" s="523"/>
      <c r="O1131" s="127"/>
    </row>
    <row r="1132" spans="1:15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20">
        <f t="shared" si="144"/>
        <v>544.79999999999995</v>
      </c>
      <c r="G1132" s="290">
        <f t="shared" si="140"/>
        <v>3.8580819292165888E-3</v>
      </c>
      <c r="H1132" s="426">
        <f t="shared" si="141"/>
        <v>8.7544894480432394</v>
      </c>
      <c r="I1132" s="427">
        <f t="shared" si="146"/>
        <v>3.2190257700454992</v>
      </c>
      <c r="J1132" s="148">
        <v>3.3657850181159592</v>
      </c>
      <c r="K1132" s="921">
        <f>G1132*35.27</f>
        <v>0.1360745496434691</v>
      </c>
      <c r="L1132" s="426">
        <f t="shared" si="142"/>
        <v>0.16587487601538883</v>
      </c>
      <c r="M1132" s="532">
        <f t="shared" si="145"/>
        <v>2.8405607169324831E-2</v>
      </c>
      <c r="N1132" s="523"/>
      <c r="O1132" s="127"/>
    </row>
    <row r="1133" spans="1:15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20">
        <f t="shared" si="144"/>
        <v>205</v>
      </c>
      <c r="G1133" s="290">
        <f t="shared" si="140"/>
        <v>1.4517378771831879E-3</v>
      </c>
      <c r="H1133" s="426">
        <f t="shared" si="141"/>
        <v>3.2941819692526875</v>
      </c>
      <c r="I1133" s="427">
        <f t="shared" si="146"/>
        <v>1.2112707100942133</v>
      </c>
      <c r="J1133" s="148">
        <v>1.2664939954364385</v>
      </c>
      <c r="K1133" s="921">
        <f>G1133*367.79</f>
        <v>0.53393467384920468</v>
      </c>
      <c r="L1133" s="426">
        <f t="shared" si="142"/>
        <v>0.65086636742218051</v>
      </c>
      <c r="M1133" s="532">
        <f t="shared" si="145"/>
        <v>3.0760396822597777E-2</v>
      </c>
      <c r="N1133" s="523"/>
      <c r="O1133" s="127"/>
    </row>
    <row r="1134" spans="1:15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20">
        <f t="shared" si="144"/>
        <v>577.32000000000005</v>
      </c>
      <c r="G1134" s="290">
        <f t="shared" si="140"/>
        <v>4.0883771280751128E-3</v>
      </c>
      <c r="H1134" s="426">
        <f t="shared" si="141"/>
        <v>9.277059192629082</v>
      </c>
      <c r="I1134" s="427">
        <f t="shared" si="146"/>
        <v>3.4111746651297139</v>
      </c>
      <c r="J1134" s="148">
        <v>3.566694211928608</v>
      </c>
      <c r="K1134" s="921">
        <f>G1134*235.27</f>
        <v>0.96187248692223182</v>
      </c>
      <c r="L1134" s="426">
        <f t="shared" si="142"/>
        <v>1.1725225615582007</v>
      </c>
      <c r="M1134" s="532">
        <f t="shared" si="145"/>
        <v>2.982193680560111E-2</v>
      </c>
      <c r="N1134" s="523"/>
      <c r="O1134" s="127"/>
    </row>
    <row r="1135" spans="1:15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20">
        <f t="shared" si="144"/>
        <v>353</v>
      </c>
      <c r="G1135" s="290">
        <f t="shared" si="140"/>
        <v>2.4998218080276358E-3</v>
      </c>
      <c r="H1135" s="426">
        <f t="shared" si="141"/>
        <v>5.6724206592497497</v>
      </c>
      <c r="I1135" s="427">
        <f t="shared" si="146"/>
        <v>2.0857490764061333</v>
      </c>
      <c r="J1135" s="148">
        <v>2.1808408799466474</v>
      </c>
      <c r="K1135" s="921">
        <f>G1135*367.79</f>
        <v>0.91940946277448421</v>
      </c>
      <c r="L1135" s="426">
        <f t="shared" si="142"/>
        <v>1.1207601351220964</v>
      </c>
      <c r="M1135" s="532">
        <f t="shared" si="145"/>
        <v>3.0760396822597777E-2</v>
      </c>
      <c r="N1135" s="523"/>
      <c r="O1135" s="127"/>
    </row>
    <row r="1136" spans="1:15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20">
        <f t="shared" si="144"/>
        <v>646.29999999999995</v>
      </c>
      <c r="G1136" s="290">
        <f t="shared" si="140"/>
        <v>4.5768692196268019E-3</v>
      </c>
      <c r="H1136" s="426">
        <f t="shared" si="141"/>
        <v>10.385511252331765</v>
      </c>
      <c r="I1136" s="427">
        <f t="shared" si="146"/>
        <v>3.8187524874823904</v>
      </c>
      <c r="J1136" s="148">
        <v>3.9928539963442446</v>
      </c>
      <c r="K1136" s="921">
        <f>G1136*1235.27</f>
        <v>5.6536692409283997</v>
      </c>
      <c r="L1136" s="426">
        <f t="shared" si="142"/>
        <v>6.8918228046917198</v>
      </c>
      <c r="M1136" s="532">
        <f t="shared" si="145"/>
        <v>3.826534089056121E-2</v>
      </c>
      <c r="N1136" s="523"/>
      <c r="O1136" s="127"/>
    </row>
    <row r="1137" spans="1:15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20">
        <f t="shared" si="144"/>
        <v>281.89999999999998</v>
      </c>
      <c r="G1137" s="290">
        <f t="shared" ref="G1137:G1145" si="147">2/282420.13*F1137</f>
        <v>1.9963166223314179E-3</v>
      </c>
      <c r="H1137" s="426">
        <f t="shared" ref="H1137:H1145" si="148">G1137*2269.13</f>
        <v>4.5299019372308909</v>
      </c>
      <c r="I1137" s="427">
        <f t="shared" si="146"/>
        <v>1.6656449423197988</v>
      </c>
      <c r="J1137" s="148">
        <v>1.7415836942123513</v>
      </c>
      <c r="K1137" s="921">
        <f>G1137*367.79</f>
        <v>0.73422529052727226</v>
      </c>
      <c r="L1137" s="426">
        <f t="shared" si="142"/>
        <v>0.89502062915274494</v>
      </c>
      <c r="M1137" s="532">
        <f t="shared" si="145"/>
        <v>3.0760396822597777E-2</v>
      </c>
      <c r="N1137" s="523"/>
      <c r="O1137" s="127"/>
    </row>
    <row r="1138" spans="1:15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20">
        <f t="shared" si="144"/>
        <v>305.10000000000002</v>
      </c>
      <c r="G1138" s="290">
        <f t="shared" si="147"/>
        <v>2.1606108601394669E-3</v>
      </c>
      <c r="H1138" s="426">
        <f t="shared" si="148"/>
        <v>4.902706921068269</v>
      </c>
      <c r="I1138" s="427">
        <f t="shared" si="146"/>
        <v>1.8027253348768026</v>
      </c>
      <c r="J1138" s="148">
        <v>1.8849137463788166</v>
      </c>
      <c r="K1138" s="921">
        <f>G1138*367.79</f>
        <v>0.79465106825069454</v>
      </c>
      <c r="L1138" s="426">
        <f t="shared" ref="L1138:L1146" si="149">K1138*1.219</f>
        <v>0.96867965219759666</v>
      </c>
      <c r="M1138" s="532">
        <f t="shared" si="145"/>
        <v>3.0760396822597777E-2</v>
      </c>
      <c r="N1138" s="523"/>
      <c r="O1138" s="127"/>
    </row>
    <row r="1139" spans="1:15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20">
        <f t="shared" si="144"/>
        <v>369.45</v>
      </c>
      <c r="G1139" s="290">
        <f t="shared" si="147"/>
        <v>2.6163149206113599E-3</v>
      </c>
      <c r="H1139" s="426">
        <f t="shared" si="148"/>
        <v>5.9367586758068551</v>
      </c>
      <c r="I1139" s="427">
        <f t="shared" si="146"/>
        <v>2.1829461650941808</v>
      </c>
      <c r="J1139" s="148">
        <v>2.2824693005560595</v>
      </c>
      <c r="K1139" s="921">
        <f>G1139*367.79</f>
        <v>0.9622544646516521</v>
      </c>
      <c r="L1139" s="426">
        <f t="shared" si="149"/>
        <v>1.172988192410364</v>
      </c>
      <c r="M1139" s="532">
        <f t="shared" si="145"/>
        <v>3.0760396822597773E-2</v>
      </c>
      <c r="N1139" s="523"/>
      <c r="O1139" s="127"/>
    </row>
    <row r="1140" spans="1:15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20">
        <f t="shared" si="144"/>
        <v>453.11</v>
      </c>
      <c r="G1140" s="290">
        <f t="shared" si="147"/>
        <v>3.2087656074657285E-3</v>
      </c>
      <c r="H1140" s="426">
        <f t="shared" si="148"/>
        <v>7.2811063028687091</v>
      </c>
      <c r="I1140" s="427">
        <f t="shared" si="146"/>
        <v>2.6772627875648247</v>
      </c>
      <c r="J1140" s="148">
        <v>2.7993224110839252</v>
      </c>
      <c r="K1140" s="921">
        <f>G1140*235.27</f>
        <v>0.75492628446846199</v>
      </c>
      <c r="L1140" s="426">
        <f t="shared" si="149"/>
        <v>0.92025514076705528</v>
      </c>
      <c r="M1140" s="532">
        <f t="shared" si="145"/>
        <v>2.9821936805601114E-2</v>
      </c>
      <c r="N1140" s="523"/>
      <c r="O1140" s="127"/>
    </row>
    <row r="1141" spans="1:15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20">
        <f t="shared" si="144"/>
        <v>729</v>
      </c>
      <c r="G1141" s="290">
        <f t="shared" si="147"/>
        <v>5.1625215242270444E-3</v>
      </c>
      <c r="H1141" s="426">
        <f t="shared" si="148"/>
        <v>11.714432466269313</v>
      </c>
      <c r="I1141" s="427">
        <f t="shared" si="146"/>
        <v>4.3073968178472271</v>
      </c>
      <c r="J1141" s="148">
        <v>4.5037762081617734</v>
      </c>
      <c r="K1141" s="921">
        <f>G1141*2367.79</f>
        <v>12.223766839849553</v>
      </c>
      <c r="L1141" s="426">
        <f t="shared" si="149"/>
        <v>14.900771777776606</v>
      </c>
      <c r="M1141" s="532">
        <f t="shared" si="145"/>
        <v>9.3276480581395232E-2</v>
      </c>
      <c r="N1141" s="523"/>
      <c r="O1141" s="127"/>
    </row>
    <row r="1142" spans="1:15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20">
        <f t="shared" si="144"/>
        <v>422.76</v>
      </c>
      <c r="G1142" s="290">
        <f t="shared" si="147"/>
        <v>2.9938375851608027E-3</v>
      </c>
      <c r="H1142" s="426">
        <f t="shared" si="148"/>
        <v>6.7934066796159325</v>
      </c>
      <c r="I1142" s="427">
        <f t="shared" si="146"/>
        <v>2.4979356360947786</v>
      </c>
      <c r="J1142" s="148">
        <v>2.6118195195644325</v>
      </c>
      <c r="K1142" s="921">
        <f>G1142*235.27</f>
        <v>0.7043601686607821</v>
      </c>
      <c r="L1142" s="426">
        <f t="shared" si="149"/>
        <v>0.85861504559749346</v>
      </c>
      <c r="M1142" s="532">
        <f t="shared" si="145"/>
        <v>2.9821936805601114E-2</v>
      </c>
      <c r="N1142" s="523"/>
      <c r="O1142" s="127"/>
    </row>
    <row r="1143" spans="1:15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20">
        <f t="shared" si="144"/>
        <v>152.30000000000001</v>
      </c>
      <c r="G1143" s="290">
        <f t="shared" si="147"/>
        <v>1.078535018024388E-3</v>
      </c>
      <c r="H1143" s="426">
        <f t="shared" si="148"/>
        <v>2.4473361654496797</v>
      </c>
      <c r="I1143" s="427">
        <f t="shared" si="146"/>
        <v>0.89988550803584733</v>
      </c>
      <c r="J1143" s="148">
        <v>0.94091236831692482</v>
      </c>
      <c r="K1143" s="921">
        <f>G1143*367.79</f>
        <v>0.39667439427918971</v>
      </c>
      <c r="L1143" s="426">
        <f t="shared" si="149"/>
        <v>0.48354608662633231</v>
      </c>
      <c r="M1143" s="532">
        <f t="shared" si="145"/>
        <v>3.076039682259778E-2</v>
      </c>
      <c r="N1143" s="523"/>
      <c r="O1143" s="127"/>
    </row>
    <row r="1144" spans="1:15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20">
        <f t="shared" si="144"/>
        <v>252.6</v>
      </c>
      <c r="G1144" s="290">
        <f t="shared" si="147"/>
        <v>1.7888243306169427E-3</v>
      </c>
      <c r="H1144" s="426">
        <f t="shared" si="148"/>
        <v>4.0590749533328232</v>
      </c>
      <c r="I1144" s="427">
        <f t="shared" si="146"/>
        <v>1.4925218603404793</v>
      </c>
      <c r="J1144" s="148">
        <v>1.5605677231572894</v>
      </c>
      <c r="K1144" s="921">
        <f>G1144*367.79</f>
        <v>0.65791170055760539</v>
      </c>
      <c r="L1144" s="426">
        <f t="shared" si="149"/>
        <v>0.80199436297972104</v>
      </c>
      <c r="M1144" s="532">
        <f t="shared" si="145"/>
        <v>3.0760396822597773E-2</v>
      </c>
      <c r="N1144" s="523"/>
      <c r="O1144" s="127"/>
    </row>
    <row r="1145" spans="1:15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22">
        <f t="shared" si="144"/>
        <v>143.69999999999999</v>
      </c>
      <c r="G1145" s="290">
        <f t="shared" si="147"/>
        <v>1.0176328436645077E-3</v>
      </c>
      <c r="H1145" s="426">
        <f t="shared" si="148"/>
        <v>2.3091412145444443</v>
      </c>
      <c r="I1145" s="148">
        <f t="shared" si="146"/>
        <v>0.84907122458799222</v>
      </c>
      <c r="J1145" s="148">
        <v>0.88778140070349354</v>
      </c>
      <c r="K1145" s="921">
        <f>G1145*367.79</f>
        <v>0.3742751835713693</v>
      </c>
      <c r="L1145" s="426">
        <f t="shared" si="149"/>
        <v>0.4562414487734992</v>
      </c>
      <c r="M1145" s="532">
        <f t="shared" si="145"/>
        <v>3.076039682259777E-2</v>
      </c>
      <c r="N1145" s="127"/>
      <c r="O1145" s="127"/>
    </row>
    <row r="1146" spans="1:15" s="114" customFormat="1" ht="16.5" thickBot="1">
      <c r="A1146" s="127"/>
      <c r="B1146" s="160" t="s">
        <v>681</v>
      </c>
      <c r="C1146" s="548">
        <f>SUM(C881:C1145)</f>
        <v>279334.62999999971</v>
      </c>
      <c r="D1146" s="548">
        <f>SUM(D881:D1145)</f>
        <v>1257.6999999999998</v>
      </c>
      <c r="E1146" s="548">
        <f>SUM(E881:E1145)</f>
        <v>1827.8000000000002</v>
      </c>
      <c r="F1146" s="630">
        <f>SUM(F881:F1145)</f>
        <v>282420.12999999977</v>
      </c>
      <c r="G1146" s="290">
        <f>2/282420.13*F1146</f>
        <v>1.9999999999999982</v>
      </c>
      <c r="H1146" s="426">
        <f>G1146*2269.13</f>
        <v>4538.2599999999966</v>
      </c>
      <c r="I1146" s="150">
        <f>H1146*0.3677</f>
        <v>1668.7182019999989</v>
      </c>
      <c r="J1146" s="148">
        <f>SUM(J880:J1145)</f>
        <v>1744.7970674896512</v>
      </c>
      <c r="K1146" s="427">
        <f>G1146*367.79*1.08</f>
        <v>794.42639999999938</v>
      </c>
      <c r="L1146" s="426">
        <f t="shared" si="149"/>
        <v>968.40578159999927</v>
      </c>
      <c r="M1146" s="532">
        <f t="shared" si="145"/>
        <v>3.1310839151914877E-2</v>
      </c>
      <c r="N1146" s="127"/>
      <c r="O1146" s="219"/>
    </row>
    <row r="1147" spans="1:15" s="6" customFormat="1" ht="16.5" thickBot="1">
      <c r="A1147" s="552" t="s">
        <v>617</v>
      </c>
      <c r="B1147" s="879"/>
      <c r="C1147" s="55"/>
      <c r="D1147" s="55"/>
      <c r="E1147" s="55"/>
      <c r="F1147" s="622">
        <f t="shared" si="144"/>
        <v>0</v>
      </c>
      <c r="G1147" s="290"/>
      <c r="H1147" s="426">
        <f>G1147*2077.52</f>
        <v>0</v>
      </c>
      <c r="I1147" s="216"/>
      <c r="J1147" s="148"/>
      <c r="K1147" s="216"/>
      <c r="L1147" s="928"/>
      <c r="M1147" s="532" t="e">
        <f t="shared" si="145"/>
        <v>#DIV/0!</v>
      </c>
      <c r="N1147" s="127"/>
      <c r="O1147" s="127"/>
    </row>
    <row r="1148" spans="1:15" s="6" customFormat="1" ht="15.75">
      <c r="A1148" s="142">
        <v>1</v>
      </c>
      <c r="B1148" s="142" t="s">
        <v>480</v>
      </c>
      <c r="C1148" s="386">
        <v>219.1</v>
      </c>
      <c r="D1148" s="386"/>
      <c r="E1148" s="386"/>
      <c r="F1148" s="611">
        <f>C1148+D1148+E1148</f>
        <v>219.1</v>
      </c>
      <c r="G1148" s="290">
        <f t="shared" ref="G1148:G1201" si="150">1/173207.23*F1148</f>
        <v>1.2649587433503785E-3</v>
      </c>
      <c r="H1148" s="426">
        <f t="shared" ref="H1148:H1201" si="151">G1148*2269.13</f>
        <v>2.8703558332986443</v>
      </c>
      <c r="I1148" s="144">
        <f t="shared" ref="I1148:I1201" si="152">H1148*0.3677</f>
        <v>1.0554298399039115</v>
      </c>
      <c r="J1148" s="148">
        <v>1.1121628394754803</v>
      </c>
      <c r="K1148" s="426">
        <f>G1148*235.27</f>
        <v>0.29760684354804356</v>
      </c>
      <c r="L1148" s="426"/>
      <c r="M1148" s="532">
        <f t="shared" si="145"/>
        <v>2.4352146765066543E-2</v>
      </c>
      <c r="N1148" s="243">
        <v>0.30851401525271649</v>
      </c>
      <c r="O1148" s="127"/>
    </row>
    <row r="1149" spans="1:15" s="6" customFormat="1" ht="15.75">
      <c r="A1149" s="55">
        <v>2</v>
      </c>
      <c r="B1149" s="55" t="s">
        <v>481</v>
      </c>
      <c r="C1149" s="330">
        <v>265.10000000000002</v>
      </c>
      <c r="D1149" s="330"/>
      <c r="E1149" s="330"/>
      <c r="F1149" s="611">
        <f t="shared" ref="F1149:F1201" si="153">C1149+D1149+E1149</f>
        <v>265.10000000000002</v>
      </c>
      <c r="G1149" s="290">
        <f t="shared" si="150"/>
        <v>1.5305365717123932E-3</v>
      </c>
      <c r="H1149" s="426">
        <f t="shared" si="151"/>
        <v>3.472986450969743</v>
      </c>
      <c r="I1149" s="148">
        <f t="shared" si="152"/>
        <v>1.2770171180215746</v>
      </c>
      <c r="J1149" s="148">
        <v>1.3456611992010492</v>
      </c>
      <c r="K1149" s="427">
        <f>G1149*235.27</f>
        <v>0.36008933922677477</v>
      </c>
      <c r="L1149" s="426"/>
      <c r="M1149" s="532">
        <f t="shared" si="145"/>
        <v>2.4352146765066546E-2</v>
      </c>
      <c r="N1149" s="243">
        <v>0.37328646939066706</v>
      </c>
      <c r="O1149" s="127"/>
    </row>
    <row r="1150" spans="1:15" s="6" customFormat="1" ht="15.75">
      <c r="A1150" s="55">
        <v>3</v>
      </c>
      <c r="B1150" s="55" t="s">
        <v>482</v>
      </c>
      <c r="C1150" s="330">
        <v>352.7</v>
      </c>
      <c r="D1150" s="330"/>
      <c r="E1150" s="330"/>
      <c r="F1150" s="611">
        <f t="shared" si="153"/>
        <v>352.7</v>
      </c>
      <c r="G1150" s="290">
        <f t="shared" si="150"/>
        <v>2.0362891318104906E-3</v>
      </c>
      <c r="H1150" s="426">
        <f t="shared" si="151"/>
        <v>4.6206047576651388</v>
      </c>
      <c r="I1150" s="148">
        <f t="shared" si="152"/>
        <v>1.6989963693934718</v>
      </c>
      <c r="J1150" s="148">
        <v>1.7903232929393056</v>
      </c>
      <c r="K1150" s="427">
        <f>G1150*367.79</f>
        <v>0.74892677978858035</v>
      </c>
      <c r="L1150" s="426"/>
      <c r="M1150" s="532">
        <f t="shared" si="145"/>
        <v>2.51172418479912E-2</v>
      </c>
      <c r="N1150" s="243">
        <v>0.49663575161859014</v>
      </c>
      <c r="O1150" s="127"/>
    </row>
    <row r="1151" spans="1:15" s="6" customFormat="1" ht="15.75">
      <c r="A1151" s="55">
        <v>4</v>
      </c>
      <c r="B1151" s="55" t="s">
        <v>483</v>
      </c>
      <c r="C1151" s="330">
        <v>350.15</v>
      </c>
      <c r="D1151" s="330"/>
      <c r="E1151" s="330"/>
      <c r="F1151" s="611">
        <f t="shared" si="153"/>
        <v>350.15</v>
      </c>
      <c r="G1151" s="290">
        <f t="shared" si="150"/>
        <v>2.0215668826295526E-3</v>
      </c>
      <c r="H1151" s="426">
        <f t="shared" si="151"/>
        <v>4.5871980603811968</v>
      </c>
      <c r="I1151" s="148">
        <f t="shared" si="152"/>
        <v>1.6867127268021662</v>
      </c>
      <c r="J1151" s="148">
        <v>1.7773793621284319</v>
      </c>
      <c r="K1151" s="427">
        <f t="shared" ref="K1151:K1201" si="154">G1151*367.79</f>
        <v>0.74351208376232314</v>
      </c>
      <c r="L1151" s="426"/>
      <c r="M1151" s="532">
        <f t="shared" si="145"/>
        <v>2.5117241847991204E-2</v>
      </c>
      <c r="N1151" s="243">
        <v>0.49304510470442114</v>
      </c>
      <c r="O1151" s="127"/>
    </row>
    <row r="1152" spans="1:15" s="6" customFormat="1" ht="15.75">
      <c r="A1152" s="55">
        <v>5</v>
      </c>
      <c r="B1152" s="55" t="s">
        <v>484</v>
      </c>
      <c r="C1152" s="330">
        <v>348.6</v>
      </c>
      <c r="D1152" s="330"/>
      <c r="E1152" s="330"/>
      <c r="F1152" s="611">
        <f t="shared" si="153"/>
        <v>348.6</v>
      </c>
      <c r="G1152" s="290">
        <f t="shared" si="150"/>
        <v>2.0126180644999634E-3</v>
      </c>
      <c r="H1152" s="426">
        <f t="shared" si="151"/>
        <v>4.5668920286988017</v>
      </c>
      <c r="I1152" s="148">
        <f t="shared" si="152"/>
        <v>1.6792461989525496</v>
      </c>
      <c r="J1152" s="148">
        <v>1.7695114826159402</v>
      </c>
      <c r="K1152" s="427">
        <f t="shared" si="154"/>
        <v>0.74022079794244156</v>
      </c>
      <c r="L1152" s="426"/>
      <c r="M1152" s="532">
        <f t="shared" si="145"/>
        <v>2.5117241847991197E-2</v>
      </c>
      <c r="N1152" s="243">
        <v>0.49086255461933814</v>
      </c>
      <c r="O1152" s="127"/>
    </row>
    <row r="1153" spans="1:15" s="6" customFormat="1" ht="15.75">
      <c r="A1153" s="55">
        <v>6</v>
      </c>
      <c r="B1153" s="55" t="s">
        <v>485</v>
      </c>
      <c r="C1153" s="330">
        <v>430.37</v>
      </c>
      <c r="D1153" s="330"/>
      <c r="E1153" s="330"/>
      <c r="F1153" s="611">
        <f t="shared" si="153"/>
        <v>430.37</v>
      </c>
      <c r="G1153" s="290">
        <f t="shared" si="150"/>
        <v>2.4847115215687011E-3</v>
      </c>
      <c r="H1153" s="426">
        <f t="shared" si="151"/>
        <v>5.6381334549371873</v>
      </c>
      <c r="I1153" s="148">
        <f t="shared" si="152"/>
        <v>2.0731416713804038</v>
      </c>
      <c r="J1153" s="148">
        <v>2.1845801972846304</v>
      </c>
      <c r="K1153" s="427">
        <f t="shared" si="154"/>
        <v>0.91385205051775265</v>
      </c>
      <c r="L1153" s="426"/>
      <c r="M1153" s="532">
        <f t="shared" si="145"/>
        <v>2.51172418479912E-2</v>
      </c>
      <c r="N1153" s="243">
        <v>0.60600263233369056</v>
      </c>
      <c r="O1153" s="127"/>
    </row>
    <row r="1154" spans="1:15" s="6" customFormat="1" ht="15.75">
      <c r="A1154" s="55">
        <v>7</v>
      </c>
      <c r="B1154" s="55" t="s">
        <v>486</v>
      </c>
      <c r="C1154" s="330">
        <v>79.3</v>
      </c>
      <c r="D1154" s="330"/>
      <c r="E1154" s="330"/>
      <c r="F1154" s="611">
        <f t="shared" si="153"/>
        <v>79.3</v>
      </c>
      <c r="G1154" s="290">
        <f t="shared" si="150"/>
        <v>4.5783308237190784E-4</v>
      </c>
      <c r="H1154" s="426">
        <f t="shared" si="151"/>
        <v>1.0388827822025672</v>
      </c>
      <c r="I1154" s="148">
        <f t="shared" si="152"/>
        <v>0.38199719901588403</v>
      </c>
      <c r="J1154" s="148">
        <v>0.40253086796168686</v>
      </c>
      <c r="K1154" s="427">
        <f t="shared" si="154"/>
        <v>0.168386429365564</v>
      </c>
      <c r="L1154" s="426"/>
      <c r="M1154" s="532">
        <f t="shared" si="145"/>
        <v>2.51172418479912E-2</v>
      </c>
      <c r="N1154" s="243">
        <v>0.11166207854651035</v>
      </c>
      <c r="O1154" s="127"/>
    </row>
    <row r="1155" spans="1:15" s="6" customFormat="1" ht="15.75">
      <c r="A1155" s="55">
        <v>8</v>
      </c>
      <c r="B1155" s="55" t="s">
        <v>487</v>
      </c>
      <c r="C1155" s="330">
        <v>70.099999999999994</v>
      </c>
      <c r="D1155" s="330"/>
      <c r="E1155" s="330"/>
      <c r="F1155" s="611">
        <f t="shared" si="153"/>
        <v>70.099999999999994</v>
      </c>
      <c r="G1155" s="290">
        <f t="shared" si="150"/>
        <v>4.0471751669950493E-4</v>
      </c>
      <c r="H1155" s="426">
        <f t="shared" si="151"/>
        <v>0.9183566586683477</v>
      </c>
      <c r="I1155" s="148">
        <f t="shared" si="152"/>
        <v>0.33767974339235146</v>
      </c>
      <c r="J1155" s="148">
        <v>0.35583119601657315</v>
      </c>
      <c r="K1155" s="427">
        <f t="shared" si="154"/>
        <v>0.14885105546691094</v>
      </c>
      <c r="L1155" s="426"/>
      <c r="M1155" s="532">
        <f t="shared" si="145"/>
        <v>2.5117241847991207E-2</v>
      </c>
      <c r="N1155" s="243">
        <v>9.8707587718920242E-2</v>
      </c>
      <c r="O1155" s="127"/>
    </row>
    <row r="1156" spans="1:15" s="6" customFormat="1" ht="15.75">
      <c r="A1156" s="55">
        <v>9</v>
      </c>
      <c r="B1156" s="55" t="s">
        <v>488</v>
      </c>
      <c r="C1156" s="330">
        <v>326.92</v>
      </c>
      <c r="D1156" s="330"/>
      <c r="E1156" s="330"/>
      <c r="F1156" s="611">
        <f t="shared" si="153"/>
        <v>326.92</v>
      </c>
      <c r="G1156" s="290">
        <f t="shared" si="150"/>
        <v>1.8874500793067356E-3</v>
      </c>
      <c r="H1156" s="426">
        <f t="shared" si="151"/>
        <v>4.2828695984572933</v>
      </c>
      <c r="I1156" s="148">
        <f t="shared" si="152"/>
        <v>1.574811151352747</v>
      </c>
      <c r="J1156" s="148">
        <v>1.65946269046702</v>
      </c>
      <c r="K1156" s="427">
        <f t="shared" si="154"/>
        <v>0.69418526466822428</v>
      </c>
      <c r="L1156" s="426"/>
      <c r="M1156" s="532">
        <f t="shared" si="145"/>
        <v>2.5117241847991204E-2</v>
      </c>
      <c r="N1156" s="243">
        <v>0.46033501536475618</v>
      </c>
      <c r="O1156" s="127"/>
    </row>
    <row r="1157" spans="1:15" s="6" customFormat="1" ht="15.75">
      <c r="A1157" s="55">
        <v>10</v>
      </c>
      <c r="B1157" s="55" t="s">
        <v>489</v>
      </c>
      <c r="C1157" s="330">
        <v>322.55</v>
      </c>
      <c r="D1157" s="330"/>
      <c r="E1157" s="330"/>
      <c r="F1157" s="611">
        <f t="shared" si="153"/>
        <v>322.55</v>
      </c>
      <c r="G1157" s="290">
        <f t="shared" si="150"/>
        <v>1.8622201856123442E-3</v>
      </c>
      <c r="H1157" s="426">
        <f t="shared" si="151"/>
        <v>4.2256196897785392</v>
      </c>
      <c r="I1157" s="148">
        <f t="shared" si="152"/>
        <v>1.553760359931569</v>
      </c>
      <c r="J1157" s="148">
        <v>1.6372803462930909</v>
      </c>
      <c r="K1157" s="427">
        <f t="shared" si="154"/>
        <v>0.68490596206636412</v>
      </c>
      <c r="L1157" s="426"/>
      <c r="M1157" s="532">
        <f t="shared" si="145"/>
        <v>2.5117241847991204E-2</v>
      </c>
      <c r="N1157" s="243">
        <v>0.45418163222165092</v>
      </c>
      <c r="O1157" s="127"/>
    </row>
    <row r="1158" spans="1:15" s="6" customFormat="1" ht="15.75">
      <c r="A1158" s="55">
        <v>11</v>
      </c>
      <c r="B1158" s="55" t="s">
        <v>490</v>
      </c>
      <c r="C1158" s="330">
        <v>415.5</v>
      </c>
      <c r="D1158" s="330"/>
      <c r="E1158" s="330"/>
      <c r="F1158" s="611">
        <f t="shared" si="153"/>
        <v>415.5</v>
      </c>
      <c r="G1158" s="290">
        <f t="shared" si="150"/>
        <v>2.3988606018351542E-3</v>
      </c>
      <c r="H1158" s="426">
        <f t="shared" si="151"/>
        <v>5.4433265574422034</v>
      </c>
      <c r="I1158" s="148">
        <f t="shared" si="152"/>
        <v>2.0015111751714985</v>
      </c>
      <c r="J1158" s="148">
        <v>2.1090993144776911</v>
      </c>
      <c r="K1158" s="427">
        <f t="shared" si="154"/>
        <v>0.88227694074895147</v>
      </c>
      <c r="L1158" s="426"/>
      <c r="M1158" s="532">
        <f t="shared" ref="M1158:M1221" si="155">(K1158+J1158+I1158+H1158)/C1158</f>
        <v>2.51172418479912E-2</v>
      </c>
      <c r="N1158" s="243">
        <v>0.58506423248518347</v>
      </c>
      <c r="O1158" s="127"/>
    </row>
    <row r="1159" spans="1:15" s="6" customFormat="1" ht="15.75">
      <c r="A1159" s="55">
        <v>12</v>
      </c>
      <c r="B1159" s="55" t="s">
        <v>491</v>
      </c>
      <c r="C1159" s="330">
        <v>372.82</v>
      </c>
      <c r="D1159" s="330"/>
      <c r="E1159" s="330"/>
      <c r="F1159" s="611">
        <f t="shared" si="153"/>
        <v>372.82</v>
      </c>
      <c r="G1159" s="290">
        <f t="shared" si="150"/>
        <v>2.1524505645636152E-3</v>
      </c>
      <c r="H1159" s="426">
        <f t="shared" si="151"/>
        <v>4.8841901495682363</v>
      </c>
      <c r="I1159" s="148">
        <f t="shared" si="152"/>
        <v>1.7959167179962405</v>
      </c>
      <c r="J1159" s="148">
        <v>1.8924534450627502</v>
      </c>
      <c r="K1159" s="427">
        <f t="shared" si="154"/>
        <v>0.79164979314085204</v>
      </c>
      <c r="L1159" s="426"/>
      <c r="M1159" s="532">
        <f t="shared" si="155"/>
        <v>2.51172418479912E-2</v>
      </c>
      <c r="N1159" s="243">
        <v>0.52496665981979806</v>
      </c>
      <c r="O1159" s="127"/>
    </row>
    <row r="1160" spans="1:15" s="6" customFormat="1" ht="15.75">
      <c r="A1160" s="55">
        <v>13</v>
      </c>
      <c r="B1160" s="55" t="s">
        <v>492</v>
      </c>
      <c r="C1160" s="330">
        <v>282.76</v>
      </c>
      <c r="D1160" s="330"/>
      <c r="E1160" s="330"/>
      <c r="F1160" s="611">
        <f t="shared" si="153"/>
        <v>282.76</v>
      </c>
      <c r="G1160" s="290">
        <f t="shared" si="150"/>
        <v>1.6324953640792013E-3</v>
      </c>
      <c r="H1160" s="426">
        <f t="shared" si="151"/>
        <v>3.7043442054930384</v>
      </c>
      <c r="I1160" s="148">
        <f t="shared" si="152"/>
        <v>1.3620873643597904</v>
      </c>
      <c r="J1160" s="148">
        <v>0</v>
      </c>
      <c r="K1160" s="427">
        <f t="shared" si="154"/>
        <v>0.60041546995468953</v>
      </c>
      <c r="L1160" s="426"/>
      <c r="M1160" s="532">
        <v>0</v>
      </c>
      <c r="N1160" s="243">
        <v>0.39815345939232366</v>
      </c>
      <c r="O1160" s="127"/>
    </row>
    <row r="1161" spans="1:15" s="6" customFormat="1" ht="15.75">
      <c r="A1161" s="55">
        <v>15</v>
      </c>
      <c r="B1161" s="55" t="s">
        <v>493</v>
      </c>
      <c r="C1161" s="330">
        <v>180.5</v>
      </c>
      <c r="D1161" s="330"/>
      <c r="E1161" s="330"/>
      <c r="F1161" s="611">
        <f t="shared" si="153"/>
        <v>180.5</v>
      </c>
      <c r="G1161" s="290">
        <f t="shared" si="150"/>
        <v>1.0421043047683402E-3</v>
      </c>
      <c r="H1161" s="426">
        <f t="shared" si="151"/>
        <v>2.3646701410789839</v>
      </c>
      <c r="I1161" s="148">
        <f t="shared" si="152"/>
        <v>0.8694892108747424</v>
      </c>
      <c r="J1161" s="148">
        <v>0.91622725935793803</v>
      </c>
      <c r="K1161" s="427">
        <f t="shared" si="154"/>
        <v>0.38327554225074784</v>
      </c>
      <c r="L1161" s="426"/>
      <c r="M1161" s="532">
        <f t="shared" si="155"/>
        <v>2.5117241847991204E-2</v>
      </c>
      <c r="N1161" s="243">
        <v>0.25416147765000152</v>
      </c>
      <c r="O1161" s="127"/>
    </row>
    <row r="1162" spans="1:15" s="6" customFormat="1" ht="15.75">
      <c r="A1162" s="55">
        <v>17</v>
      </c>
      <c r="B1162" s="55" t="s">
        <v>494</v>
      </c>
      <c r="C1162" s="330">
        <v>5520.77</v>
      </c>
      <c r="D1162" s="330"/>
      <c r="E1162" s="330"/>
      <c r="F1162" s="611">
        <f t="shared" si="153"/>
        <v>5520.77</v>
      </c>
      <c r="G1162" s="290">
        <f t="shared" si="150"/>
        <v>3.1873784945351299E-2</v>
      </c>
      <c r="H1162" s="426">
        <f t="shared" si="151"/>
        <v>72.325761633044991</v>
      </c>
      <c r="I1162" s="148">
        <f t="shared" si="152"/>
        <v>26.594182552470645</v>
      </c>
      <c r="J1162" s="148">
        <v>28.023711726567996</v>
      </c>
      <c r="K1162" s="427">
        <f t="shared" si="154"/>
        <v>11.722859365050756</v>
      </c>
      <c r="L1162" s="426"/>
      <c r="M1162" s="532">
        <f t="shared" si="155"/>
        <v>2.51172418479912E-2</v>
      </c>
      <c r="N1162" s="243">
        <v>7.7737787311124595</v>
      </c>
      <c r="O1162" s="127"/>
    </row>
    <row r="1163" spans="1:15" s="6" customFormat="1" ht="15.75">
      <c r="A1163" s="55">
        <v>18</v>
      </c>
      <c r="B1163" s="55" t="s">
        <v>495</v>
      </c>
      <c r="C1163" s="330">
        <v>5310.85</v>
      </c>
      <c r="D1163" s="330"/>
      <c r="E1163" s="330"/>
      <c r="F1163" s="611">
        <f t="shared" si="153"/>
        <v>5310.85</v>
      </c>
      <c r="G1163" s="290">
        <f t="shared" si="150"/>
        <v>3.0661826299052296E-2</v>
      </c>
      <c r="H1163" s="426">
        <f t="shared" si="151"/>
        <v>69.575669909968539</v>
      </c>
      <c r="I1163" s="148">
        <f t="shared" si="152"/>
        <v>25.582973825895433</v>
      </c>
      <c r="J1163" s="148">
        <v>26.958147038011663</v>
      </c>
      <c r="K1163" s="427">
        <f t="shared" si="154"/>
        <v>11.277113094528445</v>
      </c>
      <c r="L1163" s="426"/>
      <c r="M1163" s="532">
        <f t="shared" si="155"/>
        <v>2.5117241847991204E-2</v>
      </c>
      <c r="N1163" s="243">
        <v>7.4781910447507505</v>
      </c>
      <c r="O1163" s="127"/>
    </row>
    <row r="1164" spans="1:15" s="6" customFormat="1" ht="15.75">
      <c r="A1164" s="55">
        <v>19</v>
      </c>
      <c r="B1164" s="55" t="s">
        <v>496</v>
      </c>
      <c r="C1164" s="330">
        <v>5405.43</v>
      </c>
      <c r="D1164" s="330"/>
      <c r="E1164" s="330"/>
      <c r="F1164" s="611">
        <f t="shared" si="153"/>
        <v>5405.43</v>
      </c>
      <c r="G1164" s="290">
        <f t="shared" si="150"/>
        <v>3.1207877407888805E-2</v>
      </c>
      <c r="H1164" s="426">
        <f t="shared" si="151"/>
        <v>70.814730862562726</v>
      </c>
      <c r="I1164" s="148">
        <f t="shared" si="152"/>
        <v>26.038576538164317</v>
      </c>
      <c r="J1164" s="148">
        <v>27.438239969812624</v>
      </c>
      <c r="K1164" s="427">
        <f t="shared" si="154"/>
        <v>11.477945231847425</v>
      </c>
      <c r="L1164" s="426"/>
      <c r="M1164" s="532">
        <f t="shared" si="155"/>
        <v>2.5117241847991204E-2</v>
      </c>
      <c r="N1164" s="243">
        <v>7.6113688428456925</v>
      </c>
      <c r="O1164" s="127"/>
    </row>
    <row r="1165" spans="1:15" s="6" customFormat="1" ht="15.75">
      <c r="A1165" s="55">
        <v>20</v>
      </c>
      <c r="B1165" s="55" t="s">
        <v>497</v>
      </c>
      <c r="C1165" s="330">
        <v>349.2</v>
      </c>
      <c r="D1165" s="330"/>
      <c r="E1165" s="330"/>
      <c r="F1165" s="611">
        <f t="shared" si="153"/>
        <v>349.2</v>
      </c>
      <c r="G1165" s="290">
        <f t="shared" si="150"/>
        <v>2.0160821231307718E-3</v>
      </c>
      <c r="H1165" s="426">
        <f t="shared" si="151"/>
        <v>4.5747524280597283</v>
      </c>
      <c r="I1165" s="148">
        <f t="shared" si="152"/>
        <v>1.6821364677975621</v>
      </c>
      <c r="J1165" s="148">
        <v>1.7725571133949689</v>
      </c>
      <c r="K1165" s="427">
        <f t="shared" si="154"/>
        <v>0.74149484406626665</v>
      </c>
      <c r="L1165" s="426"/>
      <c r="M1165" s="532">
        <f t="shared" si="155"/>
        <v>2.5117241847991193E-2</v>
      </c>
      <c r="N1165" s="243">
        <v>0.49170741271678953</v>
      </c>
      <c r="O1165" s="127"/>
    </row>
    <row r="1166" spans="1:15" s="6" customFormat="1" ht="15.75">
      <c r="A1166" s="55">
        <v>21</v>
      </c>
      <c r="B1166" s="55" t="s">
        <v>498</v>
      </c>
      <c r="C1166" s="330">
        <v>433.4</v>
      </c>
      <c r="D1166" s="330"/>
      <c r="E1166" s="330"/>
      <c r="F1166" s="611">
        <f t="shared" si="153"/>
        <v>433.4</v>
      </c>
      <c r="G1166" s="290">
        <f t="shared" si="150"/>
        <v>2.502205017654286E-3</v>
      </c>
      <c r="H1166" s="426">
        <f t="shared" si="151"/>
        <v>5.6778284717098702</v>
      </c>
      <c r="I1166" s="148">
        <f t="shared" si="152"/>
        <v>2.0877375290477196</v>
      </c>
      <c r="J1166" s="148">
        <v>2.1999606327187271</v>
      </c>
      <c r="K1166" s="427">
        <f t="shared" si="154"/>
        <v>0.92028598344306989</v>
      </c>
      <c r="L1166" s="426"/>
      <c r="M1166" s="532">
        <f t="shared" si="155"/>
        <v>2.5117241847991207E-2</v>
      </c>
      <c r="N1166" s="243">
        <v>0.61026916572582079</v>
      </c>
      <c r="O1166" s="127"/>
    </row>
    <row r="1167" spans="1:15" s="6" customFormat="1" ht="15.75">
      <c r="A1167" s="55">
        <v>22</v>
      </c>
      <c r="B1167" s="55" t="s">
        <v>499</v>
      </c>
      <c r="C1167" s="330">
        <v>360.2</v>
      </c>
      <c r="D1167" s="330"/>
      <c r="E1167" s="330"/>
      <c r="F1167" s="611">
        <f t="shared" si="153"/>
        <v>360.2</v>
      </c>
      <c r="G1167" s="290">
        <f t="shared" si="150"/>
        <v>2.0795898646956018E-3</v>
      </c>
      <c r="H1167" s="426">
        <f t="shared" si="151"/>
        <v>4.7188597496767306</v>
      </c>
      <c r="I1167" s="148">
        <f t="shared" si="152"/>
        <v>1.7351247299561339</v>
      </c>
      <c r="J1167" s="148">
        <v>1.8283936776771703</v>
      </c>
      <c r="K1167" s="427">
        <f t="shared" si="154"/>
        <v>0.76485235633639537</v>
      </c>
      <c r="L1167" s="426"/>
      <c r="M1167" s="532">
        <f t="shared" si="155"/>
        <v>2.5117241847991197E-2</v>
      </c>
      <c r="N1167" s="243">
        <v>0.50719647783673427</v>
      </c>
      <c r="O1167" s="127"/>
    </row>
    <row r="1168" spans="1:15" s="6" customFormat="1" ht="15.75">
      <c r="A1168" s="55">
        <v>23</v>
      </c>
      <c r="B1168" s="55" t="s">
        <v>500</v>
      </c>
      <c r="C1168" s="330">
        <v>31.8</v>
      </c>
      <c r="D1168" s="330"/>
      <c r="E1168" s="330"/>
      <c r="F1168" s="611">
        <f t="shared" si="153"/>
        <v>31.8</v>
      </c>
      <c r="G1168" s="290">
        <f t="shared" si="150"/>
        <v>1.83595107432871E-4</v>
      </c>
      <c r="H1168" s="426">
        <f t="shared" si="151"/>
        <v>0.4166011661291506</v>
      </c>
      <c r="I1168" s="148">
        <f t="shared" si="152"/>
        <v>0.15318424878568868</v>
      </c>
      <c r="J1168" s="148">
        <v>0.1614184312885453</v>
      </c>
      <c r="K1168" s="427">
        <f t="shared" si="154"/>
        <v>6.7524444562735625E-2</v>
      </c>
      <c r="L1168" s="426"/>
      <c r="M1168" s="532">
        <f t="shared" si="155"/>
        <v>2.51172418479912E-2</v>
      </c>
      <c r="N1168" s="243">
        <v>4.4777479164931015E-2</v>
      </c>
      <c r="O1168" s="127"/>
    </row>
    <row r="1169" spans="1:15" s="6" customFormat="1" ht="15.75">
      <c r="A1169" s="55">
        <v>24</v>
      </c>
      <c r="B1169" s="55" t="s">
        <v>501</v>
      </c>
      <c r="C1169" s="330">
        <v>357.19</v>
      </c>
      <c r="D1169" s="330"/>
      <c r="E1169" s="330"/>
      <c r="F1169" s="611">
        <f t="shared" si="153"/>
        <v>357.19</v>
      </c>
      <c r="G1169" s="290">
        <f t="shared" si="150"/>
        <v>2.0622118372310436E-3</v>
      </c>
      <c r="H1169" s="426">
        <f t="shared" si="151"/>
        <v>4.6794267462160786</v>
      </c>
      <c r="I1169" s="148">
        <f t="shared" si="152"/>
        <v>1.7206252145836523</v>
      </c>
      <c r="J1169" s="148">
        <v>1.8131147632690408</v>
      </c>
      <c r="K1169" s="427">
        <f t="shared" si="154"/>
        <v>0.75846089161520558</v>
      </c>
      <c r="L1169" s="426"/>
      <c r="M1169" s="532">
        <f t="shared" si="155"/>
        <v>2.5117241847991204E-2</v>
      </c>
      <c r="N1169" s="243">
        <v>0.50295810638118577</v>
      </c>
      <c r="O1169" s="127"/>
    </row>
    <row r="1170" spans="1:15" s="6" customFormat="1" ht="15.75">
      <c r="A1170" s="55">
        <v>25</v>
      </c>
      <c r="B1170" s="55" t="s">
        <v>502</v>
      </c>
      <c r="C1170" s="330">
        <v>306.39999999999998</v>
      </c>
      <c r="D1170" s="330"/>
      <c r="E1170" s="330"/>
      <c r="F1170" s="611">
        <f t="shared" si="153"/>
        <v>306.39999999999998</v>
      </c>
      <c r="G1170" s="290">
        <f t="shared" si="150"/>
        <v>1.7689792741330714E-3</v>
      </c>
      <c r="H1170" s="426">
        <f t="shared" si="151"/>
        <v>4.0140439403135764</v>
      </c>
      <c r="I1170" s="148">
        <f t="shared" si="152"/>
        <v>1.4759639568533021</v>
      </c>
      <c r="J1170" s="148">
        <v>1.5553021178242226</v>
      </c>
      <c r="K1170" s="427">
        <f t="shared" si="154"/>
        <v>0.65061288723340238</v>
      </c>
      <c r="L1170" s="426"/>
      <c r="M1170" s="532">
        <f t="shared" si="155"/>
        <v>2.51172418479912E-2</v>
      </c>
      <c r="N1170" s="243">
        <v>0.43144086843191387</v>
      </c>
      <c r="O1170" s="127"/>
    </row>
    <row r="1171" spans="1:15" s="6" customFormat="1" ht="15.75">
      <c r="A1171" s="55">
        <v>26</v>
      </c>
      <c r="B1171" s="55" t="s">
        <v>503</v>
      </c>
      <c r="C1171" s="330">
        <v>407.2</v>
      </c>
      <c r="D1171" s="330"/>
      <c r="E1171" s="330"/>
      <c r="F1171" s="611">
        <f t="shared" si="153"/>
        <v>407.2</v>
      </c>
      <c r="G1171" s="290">
        <f t="shared" si="150"/>
        <v>2.3509411241089645E-3</v>
      </c>
      <c r="H1171" s="426">
        <f t="shared" si="151"/>
        <v>5.3345910329493744</v>
      </c>
      <c r="I1171" s="148">
        <f t="shared" si="152"/>
        <v>1.9615291228154852</v>
      </c>
      <c r="J1171" s="148">
        <v>2.0669680887011213</v>
      </c>
      <c r="K1171" s="427">
        <f t="shared" si="154"/>
        <v>0.86465263603603615</v>
      </c>
      <c r="L1171" s="426"/>
      <c r="M1171" s="532">
        <f t="shared" si="155"/>
        <v>2.51172418479912E-2</v>
      </c>
      <c r="N1171" s="243">
        <v>0.57337702880377073</v>
      </c>
      <c r="O1171" s="127"/>
    </row>
    <row r="1172" spans="1:15" s="6" customFormat="1" ht="15.75">
      <c r="A1172" s="55">
        <v>27</v>
      </c>
      <c r="B1172" s="55" t="s">
        <v>504</v>
      </c>
      <c r="C1172" s="330">
        <v>52.3</v>
      </c>
      <c r="D1172" s="330"/>
      <c r="E1172" s="330"/>
      <c r="F1172" s="611">
        <f t="shared" si="153"/>
        <v>52.3</v>
      </c>
      <c r="G1172" s="290">
        <f t="shared" si="150"/>
        <v>3.0195044398550797E-4</v>
      </c>
      <c r="H1172" s="426">
        <f t="shared" si="151"/>
        <v>0.6851648109608357</v>
      </c>
      <c r="I1172" s="148">
        <f t="shared" si="152"/>
        <v>0.25193510099029931</v>
      </c>
      <c r="J1172" s="148">
        <v>0.26547748290537482</v>
      </c>
      <c r="K1172" s="427">
        <f t="shared" si="154"/>
        <v>0.11105435379342998</v>
      </c>
      <c r="L1172" s="426"/>
      <c r="M1172" s="532">
        <f t="shared" si="155"/>
        <v>2.5117241847991204E-2</v>
      </c>
      <c r="N1172" s="243">
        <v>7.3643464161191566E-2</v>
      </c>
      <c r="O1172" s="127"/>
    </row>
    <row r="1173" spans="1:15" s="6" customFormat="1" ht="15.75">
      <c r="A1173" s="55">
        <v>28</v>
      </c>
      <c r="B1173" s="55" t="s">
        <v>505</v>
      </c>
      <c r="C1173" s="330">
        <v>122.2</v>
      </c>
      <c r="D1173" s="330"/>
      <c r="E1173" s="330"/>
      <c r="F1173" s="611">
        <f t="shared" si="153"/>
        <v>122.2</v>
      </c>
      <c r="G1173" s="290">
        <f t="shared" si="150"/>
        <v>7.0551327447474334E-4</v>
      </c>
      <c r="H1173" s="426">
        <f t="shared" si="151"/>
        <v>1.6009013365088745</v>
      </c>
      <c r="I1173" s="148">
        <f t="shared" si="152"/>
        <v>0.58865142143431315</v>
      </c>
      <c r="J1173" s="148">
        <v>0.62029346866227164</v>
      </c>
      <c r="K1173" s="427">
        <f t="shared" si="154"/>
        <v>0.25948072721906584</v>
      </c>
      <c r="L1173" s="426"/>
      <c r="M1173" s="532">
        <f t="shared" si="155"/>
        <v>2.51172418479912E-2</v>
      </c>
      <c r="N1173" s="243">
        <v>0.17206943251429466</v>
      </c>
      <c r="O1173" s="127"/>
    </row>
    <row r="1174" spans="1:15" s="6" customFormat="1" ht="15.75">
      <c r="A1174" s="55">
        <v>29</v>
      </c>
      <c r="B1174" s="55" t="s">
        <v>506</v>
      </c>
      <c r="C1174" s="330">
        <v>77.900000000000006</v>
      </c>
      <c r="D1174" s="330"/>
      <c r="E1174" s="330"/>
      <c r="F1174" s="611">
        <f t="shared" si="153"/>
        <v>77.900000000000006</v>
      </c>
      <c r="G1174" s="290">
        <f t="shared" si="150"/>
        <v>4.4975027890002049E-4</v>
      </c>
      <c r="H1174" s="426">
        <f t="shared" si="151"/>
        <v>1.0205418503604036</v>
      </c>
      <c r="I1174" s="148">
        <f t="shared" si="152"/>
        <v>0.37525323837752039</v>
      </c>
      <c r="J1174" s="148">
        <v>0.39542439614395219</v>
      </c>
      <c r="K1174" s="427">
        <f t="shared" si="154"/>
        <v>0.16541365507663855</v>
      </c>
      <c r="L1174" s="426"/>
      <c r="M1174" s="532">
        <f t="shared" si="155"/>
        <v>2.51172418479912E-2</v>
      </c>
      <c r="N1174" s="243">
        <v>0.10969074298579014</v>
      </c>
      <c r="O1174" s="127"/>
    </row>
    <row r="1175" spans="1:15" s="6" customFormat="1" ht="15.75">
      <c r="A1175" s="55">
        <v>30</v>
      </c>
      <c r="B1175" s="55" t="s">
        <v>507</v>
      </c>
      <c r="C1175" s="330">
        <v>205.19</v>
      </c>
      <c r="D1175" s="330"/>
      <c r="E1175" s="330"/>
      <c r="F1175" s="611">
        <f t="shared" si="153"/>
        <v>205.19</v>
      </c>
      <c r="G1175" s="290">
        <f t="shared" si="150"/>
        <v>1.1846503174261257E-3</v>
      </c>
      <c r="H1175" s="426">
        <f t="shared" si="151"/>
        <v>2.6881255747811448</v>
      </c>
      <c r="I1175" s="148">
        <f t="shared" si="152"/>
        <v>0.98842377384702695</v>
      </c>
      <c r="J1175" s="148">
        <v>1.0415549659149879</v>
      </c>
      <c r="K1175" s="427">
        <f t="shared" si="154"/>
        <v>0.43570254024615479</v>
      </c>
      <c r="L1175" s="426"/>
      <c r="M1175" s="532">
        <f t="shared" si="155"/>
        <v>2.51172418479912E-2</v>
      </c>
      <c r="N1175" s="243">
        <v>0.28892738836013188</v>
      </c>
      <c r="O1175" s="127"/>
    </row>
    <row r="1176" spans="1:15" s="6" customFormat="1" ht="15.75">
      <c r="A1176" s="55">
        <v>31</v>
      </c>
      <c r="B1176" s="55" t="s">
        <v>508</v>
      </c>
      <c r="C1176" s="330">
        <v>289.10000000000002</v>
      </c>
      <c r="D1176" s="330"/>
      <c r="E1176" s="330"/>
      <c r="F1176" s="611">
        <f t="shared" si="153"/>
        <v>289.10000000000002</v>
      </c>
      <c r="G1176" s="290">
        <f t="shared" si="150"/>
        <v>1.6690989169447488E-3</v>
      </c>
      <c r="H1176" s="426">
        <f t="shared" si="151"/>
        <v>3.7874024254068379</v>
      </c>
      <c r="I1176" s="148">
        <f t="shared" si="152"/>
        <v>1.3926278718220944</v>
      </c>
      <c r="J1176" s="148">
        <v>1.4674864303622155</v>
      </c>
      <c r="K1176" s="427">
        <f t="shared" si="154"/>
        <v>0.61387789066310916</v>
      </c>
      <c r="L1176" s="426"/>
      <c r="M1176" s="532">
        <f t="shared" si="155"/>
        <v>2.51172418479912E-2</v>
      </c>
      <c r="N1176" s="243">
        <v>0.4070807932887282</v>
      </c>
      <c r="O1176" s="127"/>
    </row>
    <row r="1177" spans="1:15" s="6" customFormat="1" ht="15.75">
      <c r="A1177" s="55">
        <v>32</v>
      </c>
      <c r="B1177" s="55" t="s">
        <v>509</v>
      </c>
      <c r="C1177" s="330">
        <v>117.92</v>
      </c>
      <c r="D1177" s="330"/>
      <c r="E1177" s="330"/>
      <c r="F1177" s="611">
        <f t="shared" si="153"/>
        <v>117.92</v>
      </c>
      <c r="G1177" s="290">
        <f t="shared" si="150"/>
        <v>6.8080298957497328E-4</v>
      </c>
      <c r="H1177" s="426">
        <f t="shared" si="151"/>
        <v>1.5448304877342591</v>
      </c>
      <c r="I1177" s="148">
        <f t="shared" si="152"/>
        <v>0.56803417033988712</v>
      </c>
      <c r="J1177" s="148">
        <v>0.59856796910519694</v>
      </c>
      <c r="K1177" s="427">
        <f>G1177*367.79</f>
        <v>0.25039253153577945</v>
      </c>
      <c r="L1177" s="426"/>
      <c r="M1177" s="532">
        <f t="shared" si="155"/>
        <v>2.5117241847991207E-2</v>
      </c>
      <c r="N1177" s="243">
        <v>0.16604277808580709</v>
      </c>
      <c r="O1177" s="127"/>
    </row>
    <row r="1178" spans="1:15" s="6" customFormat="1" ht="15.75">
      <c r="A1178" s="55">
        <v>33</v>
      </c>
      <c r="B1178" s="55" t="s">
        <v>510</v>
      </c>
      <c r="C1178" s="330">
        <v>242.85</v>
      </c>
      <c r="D1178" s="330"/>
      <c r="E1178" s="330"/>
      <c r="F1178" s="611">
        <f t="shared" si="153"/>
        <v>242.85</v>
      </c>
      <c r="G1178" s="290">
        <f t="shared" si="150"/>
        <v>1.4020777308198968E-3</v>
      </c>
      <c r="H1178" s="426">
        <f t="shared" si="151"/>
        <v>3.1814966413353525</v>
      </c>
      <c r="I1178" s="148">
        <f t="shared" si="152"/>
        <v>1.1698363150190092</v>
      </c>
      <c r="J1178" s="148">
        <v>1.2327190578120513</v>
      </c>
      <c r="K1178" s="427">
        <f t="shared" si="154"/>
        <v>0.51567016861824988</v>
      </c>
      <c r="L1178" s="426"/>
      <c r="M1178" s="532">
        <f t="shared" si="155"/>
        <v>2.51172418479912E-2</v>
      </c>
      <c r="N1178" s="243">
        <v>0.34195631494350615</v>
      </c>
      <c r="O1178" s="127"/>
    </row>
    <row r="1179" spans="1:15" s="6" customFormat="1" ht="15.75">
      <c r="A1179" s="55">
        <v>34</v>
      </c>
      <c r="B1179" s="55" t="s">
        <v>511</v>
      </c>
      <c r="C1179" s="330">
        <v>415.2</v>
      </c>
      <c r="D1179" s="330"/>
      <c r="E1179" s="330"/>
      <c r="F1179" s="611">
        <f t="shared" si="153"/>
        <v>415.2</v>
      </c>
      <c r="G1179" s="290">
        <f t="shared" si="150"/>
        <v>2.3971285725197496E-3</v>
      </c>
      <c r="H1179" s="426">
        <f t="shared" si="151"/>
        <v>5.4393963577617397</v>
      </c>
      <c r="I1179" s="148">
        <f t="shared" si="152"/>
        <v>2.0000660407489916</v>
      </c>
      <c r="J1179" s="148">
        <v>0</v>
      </c>
      <c r="K1179" s="427">
        <f t="shared" si="154"/>
        <v>0.88163991768703875</v>
      </c>
      <c r="L1179" s="426"/>
      <c r="M1179" s="532">
        <f t="shared" si="155"/>
        <v>2.0041190549609272E-2</v>
      </c>
      <c r="N1179" s="243">
        <v>0.58464180343645766</v>
      </c>
      <c r="O1179" s="127"/>
    </row>
    <row r="1180" spans="1:15" s="6" customFormat="1" ht="15.75">
      <c r="A1180" s="55">
        <v>35</v>
      </c>
      <c r="B1180" s="55" t="s">
        <v>512</v>
      </c>
      <c r="C1180" s="330">
        <v>8111.75</v>
      </c>
      <c r="D1180" s="330"/>
      <c r="E1180" s="330"/>
      <c r="F1180" s="611">
        <f t="shared" si="153"/>
        <v>8111.75</v>
      </c>
      <c r="G1180" s="290">
        <f t="shared" si="150"/>
        <v>4.6832629330773312E-2</v>
      </c>
      <c r="H1180" s="426">
        <f t="shared" si="151"/>
        <v>106.26932419333765</v>
      </c>
      <c r="I1180" s="148">
        <f t="shared" si="152"/>
        <v>39.075230505890261</v>
      </c>
      <c r="J1180" s="148">
        <v>41.175659119649602</v>
      </c>
      <c r="K1180" s="427">
        <f t="shared" si="154"/>
        <v>17.224572741565119</v>
      </c>
      <c r="L1180" s="426"/>
      <c r="M1180" s="532">
        <f t="shared" si="155"/>
        <v>2.5117241847991204E-2</v>
      </c>
      <c r="N1180" s="243">
        <v>11.422129453337394</v>
      </c>
      <c r="O1180" s="127"/>
    </row>
    <row r="1181" spans="1:15" s="6" customFormat="1" ht="15.75">
      <c r="A1181" s="55">
        <v>36</v>
      </c>
      <c r="B1181" s="55" t="s">
        <v>513</v>
      </c>
      <c r="C1181" s="330">
        <v>6280.23</v>
      </c>
      <c r="D1181" s="330"/>
      <c r="E1181" s="330"/>
      <c r="F1181" s="611">
        <f t="shared" si="153"/>
        <v>6280.23</v>
      </c>
      <c r="G1181" s="290">
        <f t="shared" si="150"/>
        <v>3.6258474891608154E-2</v>
      </c>
      <c r="H1181" s="426">
        <f t="shared" si="151"/>
        <v>82.275193130794818</v>
      </c>
      <c r="I1181" s="148">
        <f t="shared" si="152"/>
        <v>30.252588514193256</v>
      </c>
      <c r="J1181" s="148">
        <v>31.878769645637131</v>
      </c>
      <c r="K1181" s="427">
        <f t="shared" si="154"/>
        <v>13.335504480384564</v>
      </c>
      <c r="L1181" s="426"/>
      <c r="M1181" s="532">
        <f t="shared" si="155"/>
        <v>2.5117241847991197E-2</v>
      </c>
      <c r="N1181" s="243">
        <v>8.8431719489300207</v>
      </c>
      <c r="O1181" s="127"/>
    </row>
    <row r="1182" spans="1:15" s="6" customFormat="1" ht="15.75">
      <c r="A1182" s="55">
        <v>37</v>
      </c>
      <c r="B1182" s="55" t="s">
        <v>514</v>
      </c>
      <c r="C1182" s="330">
        <v>8361.6299999999992</v>
      </c>
      <c r="D1182" s="330"/>
      <c r="E1182" s="330"/>
      <c r="F1182" s="611">
        <f t="shared" si="153"/>
        <v>8361.6299999999992</v>
      </c>
      <c r="G1182" s="290">
        <f t="shared" si="150"/>
        <v>4.8275294281884179E-2</v>
      </c>
      <c r="H1182" s="426">
        <f t="shared" si="151"/>
        <v>109.54291851385186</v>
      </c>
      <c r="I1182" s="148">
        <f t="shared" si="152"/>
        <v>40.278931137543331</v>
      </c>
      <c r="J1182" s="148">
        <v>42.444062818089279</v>
      </c>
      <c r="K1182" s="427">
        <f>G1182*367.79</f>
        <v>17.755170483934183</v>
      </c>
      <c r="L1182" s="426"/>
      <c r="M1182" s="532">
        <f t="shared" si="155"/>
        <v>2.5117241847991204E-2</v>
      </c>
      <c r="N1182" s="243">
        <v>11.773984688989373</v>
      </c>
      <c r="O1182" s="127"/>
    </row>
    <row r="1183" spans="1:15" s="6" customFormat="1" ht="15.75">
      <c r="A1183" s="55">
        <v>38</v>
      </c>
      <c r="B1183" s="55" t="s">
        <v>515</v>
      </c>
      <c r="C1183" s="330">
        <v>6675.9</v>
      </c>
      <c r="D1183" s="330"/>
      <c r="E1183" s="330"/>
      <c r="F1183" s="611">
        <f t="shared" si="153"/>
        <v>6675.9</v>
      </c>
      <c r="G1183" s="290">
        <f t="shared" si="150"/>
        <v>3.8542848355695075E-2</v>
      </c>
      <c r="H1183" s="426">
        <f t="shared" si="151"/>
        <v>87.458733489358366</v>
      </c>
      <c r="I1183" s="148">
        <f t="shared" si="152"/>
        <v>32.158576304037076</v>
      </c>
      <c r="J1183" s="148">
        <v>33.88721086286791</v>
      </c>
      <c r="K1183" s="427">
        <f>G1183*433.91</f>
        <v>16.724127330019652</v>
      </c>
      <c r="L1183" s="426"/>
      <c r="M1183" s="532">
        <f t="shared" si="155"/>
        <v>2.5498981109106339E-2</v>
      </c>
      <c r="N1183" s="243">
        <v>9.4003136212944316</v>
      </c>
      <c r="O1183" s="127"/>
    </row>
    <row r="1184" spans="1:15" s="6" customFormat="1" ht="15.75">
      <c r="A1184" s="55">
        <v>39</v>
      </c>
      <c r="B1184" s="55" t="s">
        <v>516</v>
      </c>
      <c r="C1184" s="330">
        <v>4489.2299999999996</v>
      </c>
      <c r="D1184" s="330"/>
      <c r="E1184" s="330">
        <v>48.5</v>
      </c>
      <c r="F1184" s="611">
        <f t="shared" si="153"/>
        <v>4537.7299999999996</v>
      </c>
      <c r="G1184" s="290">
        <f t="shared" si="150"/>
        <v>2.6198271284634013E-2</v>
      </c>
      <c r="H1184" s="426">
        <f t="shared" si="151"/>
        <v>59.447283320101583</v>
      </c>
      <c r="I1184" s="148">
        <f t="shared" si="152"/>
        <v>21.858766076801352</v>
      </c>
      <c r="J1184" s="148">
        <v>23.033750258206624</v>
      </c>
      <c r="K1184" s="427">
        <f t="shared" si="154"/>
        <v>9.6354621957755437</v>
      </c>
      <c r="L1184" s="426"/>
      <c r="M1184" s="532">
        <f t="shared" si="155"/>
        <v>2.5388599347969498E-2</v>
      </c>
      <c r="N1184" s="243">
        <v>6.3212705280372079</v>
      </c>
      <c r="O1184" s="127"/>
    </row>
    <row r="1185" spans="1:15" s="6" customFormat="1" ht="15.75">
      <c r="A1185" s="55">
        <v>40</v>
      </c>
      <c r="B1185" s="55" t="s">
        <v>517</v>
      </c>
      <c r="C1185" s="330">
        <v>4352.13</v>
      </c>
      <c r="D1185" s="330"/>
      <c r="E1185" s="330"/>
      <c r="F1185" s="611">
        <f t="shared" si="153"/>
        <v>4352.13</v>
      </c>
      <c r="G1185" s="290">
        <f t="shared" si="150"/>
        <v>2.5126722481503803E-2</v>
      </c>
      <c r="H1185" s="426">
        <f t="shared" si="151"/>
        <v>57.015799784454728</v>
      </c>
      <c r="I1185" s="148">
        <f t="shared" si="152"/>
        <v>20.964709580744007</v>
      </c>
      <c r="J1185" s="148">
        <v>22.091635137226941</v>
      </c>
      <c r="K1185" s="427">
        <f t="shared" si="154"/>
        <v>9.2413572614722845</v>
      </c>
      <c r="L1185" s="426"/>
      <c r="M1185" s="532">
        <f t="shared" si="155"/>
        <v>2.5117241847991204E-2</v>
      </c>
      <c r="N1185" s="243">
        <v>6.1282204527695345</v>
      </c>
      <c r="O1185" s="127"/>
    </row>
    <row r="1186" spans="1:15" s="6" customFormat="1" ht="15.75">
      <c r="A1186" s="55">
        <v>41</v>
      </c>
      <c r="B1186" s="55" t="s">
        <v>518</v>
      </c>
      <c r="C1186" s="330">
        <v>4481.0200000000004</v>
      </c>
      <c r="D1186" s="330"/>
      <c r="E1186" s="330">
        <v>48.33</v>
      </c>
      <c r="F1186" s="611">
        <f t="shared" si="153"/>
        <v>4529.3500000000004</v>
      </c>
      <c r="G1186" s="290">
        <f t="shared" si="150"/>
        <v>2.6149889932423721E-2</v>
      </c>
      <c r="H1186" s="426">
        <f t="shared" si="151"/>
        <v>59.337499742360642</v>
      </c>
      <c r="I1186" s="148">
        <f t="shared" si="152"/>
        <v>21.818398655266009</v>
      </c>
      <c r="J1186" s="148">
        <v>22.991212948326186</v>
      </c>
      <c r="K1186" s="427">
        <f t="shared" si="154"/>
        <v>9.6176680182461212</v>
      </c>
      <c r="L1186" s="426"/>
      <c r="M1186" s="532">
        <f t="shared" si="155"/>
        <v>2.5388143628950317E-2</v>
      </c>
      <c r="N1186" s="243">
        <v>6.3097100530704147</v>
      </c>
      <c r="O1186" s="127"/>
    </row>
    <row r="1187" spans="1:15" s="6" customFormat="1" ht="15.75">
      <c r="A1187" s="55">
        <v>42</v>
      </c>
      <c r="B1187" s="55" t="s">
        <v>519</v>
      </c>
      <c r="C1187" s="330">
        <v>4132.3900000000003</v>
      </c>
      <c r="D1187" s="330"/>
      <c r="E1187" s="330">
        <v>18.8</v>
      </c>
      <c r="F1187" s="611">
        <f t="shared" si="153"/>
        <v>4151.1900000000005</v>
      </c>
      <c r="G1187" s="290">
        <f t="shared" si="150"/>
        <v>2.3966609246045909E-2</v>
      </c>
      <c r="H1187" s="426">
        <f t="shared" si="151"/>
        <v>54.383352038480155</v>
      </c>
      <c r="I1187" s="148">
        <f t="shared" si="152"/>
        <v>19.996758544549156</v>
      </c>
      <c r="J1187" s="148">
        <v>21.071653389330077</v>
      </c>
      <c r="K1187" s="427">
        <f t="shared" si="154"/>
        <v>8.8146792146032258</v>
      </c>
      <c r="L1187" s="426"/>
      <c r="M1187" s="532">
        <f t="shared" si="155"/>
        <v>2.5231510865857919E-2</v>
      </c>
      <c r="N1187" s="243">
        <v>5.818805255546204</v>
      </c>
      <c r="O1187" s="127"/>
    </row>
    <row r="1188" spans="1:15" s="6" customFormat="1" ht="15.75">
      <c r="A1188" s="55">
        <v>43</v>
      </c>
      <c r="B1188" s="55" t="s">
        <v>520</v>
      </c>
      <c r="C1188" s="330">
        <v>8136.02</v>
      </c>
      <c r="D1188" s="330"/>
      <c r="E1188" s="330"/>
      <c r="F1188" s="611">
        <f t="shared" si="153"/>
        <v>8136.02</v>
      </c>
      <c r="G1188" s="290">
        <f t="shared" si="150"/>
        <v>4.6972750502389533E-2</v>
      </c>
      <c r="H1188" s="426">
        <f t="shared" si="151"/>
        <v>106.58727734748717</v>
      </c>
      <c r="I1188" s="148">
        <f t="shared" si="152"/>
        <v>39.192141880671038</v>
      </c>
      <c r="J1188" s="148">
        <v>41.298854884661331</v>
      </c>
      <c r="K1188" s="427">
        <f t="shared" si="154"/>
        <v>17.276107907273847</v>
      </c>
      <c r="L1188" s="426"/>
      <c r="M1188" s="532">
        <f t="shared" si="155"/>
        <v>2.5117241847991204E-2</v>
      </c>
      <c r="N1188" s="243">
        <v>11.456303963379309</v>
      </c>
      <c r="O1188" s="127"/>
    </row>
    <row r="1189" spans="1:15" s="6" customFormat="1" ht="15.75">
      <c r="A1189" s="55">
        <v>44</v>
      </c>
      <c r="B1189" s="55" t="s">
        <v>521</v>
      </c>
      <c r="C1189" s="330">
        <v>5922.13</v>
      </c>
      <c r="D1189" s="330">
        <v>77.599999999999994</v>
      </c>
      <c r="E1189" s="330">
        <v>240.4</v>
      </c>
      <c r="F1189" s="611">
        <f t="shared" si="153"/>
        <v>6240.13</v>
      </c>
      <c r="G1189" s="290">
        <f t="shared" si="150"/>
        <v>3.6026960306449099E-2</v>
      </c>
      <c r="H1189" s="426">
        <f t="shared" si="151"/>
        <v>81.749856440172849</v>
      </c>
      <c r="I1189" s="148">
        <f t="shared" si="152"/>
        <v>30.059422213051558</v>
      </c>
      <c r="J1189" s="148">
        <v>31.675219988572017</v>
      </c>
      <c r="K1189" s="427">
        <f t="shared" si="154"/>
        <v>13.250355731108915</v>
      </c>
      <c r="L1189" s="426"/>
      <c r="M1189" s="532">
        <f t="shared" si="155"/>
        <v>2.6465959776787295E-2</v>
      </c>
      <c r="N1189" s="243">
        <v>8.3389324744343689</v>
      </c>
      <c r="O1189" s="127"/>
    </row>
    <row r="1190" spans="1:15" s="6" customFormat="1" ht="15.75">
      <c r="A1190" s="55">
        <v>45</v>
      </c>
      <c r="B1190" s="55" t="s">
        <v>522</v>
      </c>
      <c r="C1190" s="330">
        <v>5641.92</v>
      </c>
      <c r="D1190" s="330">
        <v>100.4</v>
      </c>
      <c r="E1190" s="330">
        <v>535.70000000000005</v>
      </c>
      <c r="F1190" s="611">
        <f t="shared" si="153"/>
        <v>6278.0199999999995</v>
      </c>
      <c r="G1190" s="290">
        <f t="shared" si="150"/>
        <v>3.624571560898468E-2</v>
      </c>
      <c r="H1190" s="426">
        <f t="shared" si="151"/>
        <v>82.246240659815413</v>
      </c>
      <c r="I1190" s="148">
        <f t="shared" si="152"/>
        <v>30.241942690614131</v>
      </c>
      <c r="J1190" s="148">
        <v>31.867551572267708</v>
      </c>
      <c r="K1190" s="427">
        <f t="shared" si="154"/>
        <v>13.330811743828477</v>
      </c>
      <c r="L1190" s="426"/>
      <c r="M1190" s="532">
        <f t="shared" si="155"/>
        <v>2.7949092980142524E-2</v>
      </c>
      <c r="N1190" s="243">
        <v>7.9443696619562134</v>
      </c>
      <c r="O1190" s="127"/>
    </row>
    <row r="1191" spans="1:15" s="6" customFormat="1" ht="15.75">
      <c r="A1191" s="55">
        <v>46</v>
      </c>
      <c r="B1191" s="55" t="s">
        <v>523</v>
      </c>
      <c r="C1191" s="330">
        <f>3994.79-6.68</f>
        <v>3988.11</v>
      </c>
      <c r="D1191" s="330"/>
      <c r="E1191" s="330"/>
      <c r="F1191" s="611">
        <f t="shared" si="153"/>
        <v>3988.11</v>
      </c>
      <c r="G1191" s="290">
        <f t="shared" si="150"/>
        <v>2.3025078110192051E-2</v>
      </c>
      <c r="H1191" s="426">
        <f t="shared" si="151"/>
        <v>52.246895492180094</v>
      </c>
      <c r="I1191" s="148">
        <f t="shared" si="152"/>
        <v>19.211183472474623</v>
      </c>
      <c r="J1191" s="148">
        <v>20.243850943589951</v>
      </c>
      <c r="K1191" s="427">
        <f>G1191*167.79</f>
        <v>3.8633778561091239</v>
      </c>
      <c r="L1191" s="426"/>
      <c r="M1191" s="532">
        <f t="shared" si="155"/>
        <v>2.3962555637721577E-2</v>
      </c>
      <c r="N1191" s="243">
        <v>5.6250511318639864</v>
      </c>
      <c r="O1191" s="127"/>
    </row>
    <row r="1192" spans="1:15" s="6" customFormat="1" ht="15.75">
      <c r="A1192" s="55">
        <v>47</v>
      </c>
      <c r="B1192" s="55" t="s">
        <v>524</v>
      </c>
      <c r="C1192" s="330">
        <v>4150.55</v>
      </c>
      <c r="D1192" s="330"/>
      <c r="E1192" s="330"/>
      <c r="F1192" s="611">
        <f t="shared" si="153"/>
        <v>4150.55</v>
      </c>
      <c r="G1192" s="290">
        <f t="shared" si="150"/>
        <v>2.3962914250173044E-2</v>
      </c>
      <c r="H1192" s="426">
        <f t="shared" si="151"/>
        <v>54.374967612495162</v>
      </c>
      <c r="I1192" s="148">
        <f t="shared" si="152"/>
        <v>19.993675591114471</v>
      </c>
      <c r="J1192" s="148">
        <v>21.06840471649911</v>
      </c>
      <c r="K1192" s="427">
        <f t="shared" si="154"/>
        <v>8.8133202320711437</v>
      </c>
      <c r="L1192" s="426"/>
      <c r="M1192" s="532">
        <f t="shared" si="155"/>
        <v>2.51172418479912E-2</v>
      </c>
      <c r="N1192" s="243">
        <v>5.8443762939624033</v>
      </c>
      <c r="O1192" s="127"/>
    </row>
    <row r="1193" spans="1:15" s="6" customFormat="1" ht="15.75">
      <c r="A1193" s="55">
        <v>48</v>
      </c>
      <c r="B1193" s="55" t="s">
        <v>525</v>
      </c>
      <c r="C1193" s="330">
        <v>14374.02</v>
      </c>
      <c r="D1193" s="330"/>
      <c r="E1193" s="330"/>
      <c r="F1193" s="611">
        <f t="shared" si="153"/>
        <v>14374.02</v>
      </c>
      <c r="G1193" s="290">
        <f t="shared" si="150"/>
        <v>8.2987413400699261E-2</v>
      </c>
      <c r="H1193" s="426">
        <f t="shared" si="151"/>
        <v>188.30922936992872</v>
      </c>
      <c r="I1193" s="148">
        <f t="shared" si="152"/>
        <v>69.241303639322794</v>
      </c>
      <c r="J1193" s="148">
        <v>72.963262883967801</v>
      </c>
      <c r="K1193" s="427">
        <f t="shared" si="154"/>
        <v>30.521940774643184</v>
      </c>
      <c r="L1193" s="426"/>
      <c r="M1193" s="532">
        <f t="shared" si="155"/>
        <v>2.51172418479912E-2</v>
      </c>
      <c r="N1193" s="243">
        <v>20.240011983217034</v>
      </c>
      <c r="O1193" s="127"/>
    </row>
    <row r="1194" spans="1:15" s="6" customFormat="1" ht="15.75">
      <c r="A1194" s="55">
        <v>49</v>
      </c>
      <c r="B1194" s="55" t="s">
        <v>526</v>
      </c>
      <c r="C1194" s="330">
        <v>4120.28</v>
      </c>
      <c r="D1194" s="330"/>
      <c r="E1194" s="330"/>
      <c r="F1194" s="611">
        <f t="shared" si="153"/>
        <v>4120.28</v>
      </c>
      <c r="G1194" s="290">
        <f t="shared" si="150"/>
        <v>2.3788152492248731E-2</v>
      </c>
      <c r="H1194" s="426">
        <f t="shared" si="151"/>
        <v>53.978410464736363</v>
      </c>
      <c r="I1194" s="148">
        <f t="shared" si="152"/>
        <v>19.847861527883563</v>
      </c>
      <c r="J1194" s="148">
        <v>20.914752643697085</v>
      </c>
      <c r="K1194" s="427">
        <f t="shared" si="154"/>
        <v>8.7490446051241619</v>
      </c>
      <c r="L1194" s="426"/>
      <c r="M1194" s="532">
        <f t="shared" si="155"/>
        <v>2.51172418479912E-2</v>
      </c>
      <c r="N1194" s="243">
        <v>5.8017532029459726</v>
      </c>
      <c r="O1194" s="127"/>
    </row>
    <row r="1195" spans="1:15" s="6" customFormat="1" ht="15.75">
      <c r="A1195" s="55">
        <v>50</v>
      </c>
      <c r="B1195" s="55" t="s">
        <v>527</v>
      </c>
      <c r="C1195" s="330">
        <v>14371.39</v>
      </c>
      <c r="D1195" s="330"/>
      <c r="E1195" s="330"/>
      <c r="F1195" s="611">
        <f t="shared" si="153"/>
        <v>14371.39</v>
      </c>
      <c r="G1195" s="290">
        <f t="shared" si="150"/>
        <v>8.297222927703421E-2</v>
      </c>
      <c r="H1195" s="426">
        <f t="shared" si="151"/>
        <v>188.27477461939665</v>
      </c>
      <c r="I1195" s="148">
        <f t="shared" si="152"/>
        <v>69.228634627552154</v>
      </c>
      <c r="J1195" s="148">
        <v>72.949912869053051</v>
      </c>
      <c r="K1195" s="427">
        <f t="shared" si="154"/>
        <v>30.516356205800413</v>
      </c>
      <c r="L1195" s="426"/>
      <c r="M1195" s="532">
        <f t="shared" si="155"/>
        <v>2.51172418479912E-2</v>
      </c>
      <c r="N1195" s="243">
        <v>20.236308688556537</v>
      </c>
      <c r="O1195" s="127"/>
    </row>
    <row r="1196" spans="1:15" s="6" customFormat="1" ht="15.75">
      <c r="A1196" s="55">
        <v>51</v>
      </c>
      <c r="B1196" s="55" t="s">
        <v>528</v>
      </c>
      <c r="C1196" s="330">
        <v>9061.4</v>
      </c>
      <c r="D1196" s="330"/>
      <c r="E1196" s="330">
        <v>2450</v>
      </c>
      <c r="F1196" s="611">
        <f t="shared" si="153"/>
        <v>11511.4</v>
      </c>
      <c r="G1196" s="290">
        <f t="shared" si="150"/>
        <v>6.6460274204489037E-2</v>
      </c>
      <c r="H1196" s="426">
        <f t="shared" si="151"/>
        <v>150.80700200563223</v>
      </c>
      <c r="I1196" s="148">
        <f t="shared" si="152"/>
        <v>55.451734637470977</v>
      </c>
      <c r="J1196" s="148">
        <v>58.432456916193722</v>
      </c>
      <c r="K1196" s="427">
        <f>G1196*433.91</f>
        <v>28.83777758006984</v>
      </c>
      <c r="L1196" s="426"/>
      <c r="M1196" s="532">
        <f t="shared" si="155"/>
        <v>3.2393335592664135E-2</v>
      </c>
      <c r="N1196" s="243">
        <v>12.7593286070788</v>
      </c>
      <c r="O1196" s="127"/>
    </row>
    <row r="1197" spans="1:15" s="6" customFormat="1" ht="15.75">
      <c r="A1197" s="55">
        <v>52</v>
      </c>
      <c r="B1197" s="55" t="s">
        <v>529</v>
      </c>
      <c r="C1197" s="330">
        <v>6826.1</v>
      </c>
      <c r="D1197" s="330"/>
      <c r="E1197" s="330">
        <v>98.1</v>
      </c>
      <c r="F1197" s="611">
        <f t="shared" si="153"/>
        <v>6924.2000000000007</v>
      </c>
      <c r="G1197" s="290">
        <f t="shared" si="150"/>
        <v>3.9976391285744831E-2</v>
      </c>
      <c r="H1197" s="426">
        <f t="shared" si="151"/>
        <v>90.711628758222176</v>
      </c>
      <c r="I1197" s="148">
        <f t="shared" si="152"/>
        <v>33.354665894398295</v>
      </c>
      <c r="J1197" s="148">
        <v>35.147594400256146</v>
      </c>
      <c r="K1197" s="427">
        <f>G1197*433.91</f>
        <v>17.346155942797541</v>
      </c>
      <c r="L1197" s="426"/>
      <c r="M1197" s="532">
        <f t="shared" si="155"/>
        <v>2.5865434874331485E-2</v>
      </c>
      <c r="N1197" s="243">
        <v>9.611809765023132</v>
      </c>
      <c r="O1197" s="127"/>
    </row>
    <row r="1198" spans="1:15" s="6" customFormat="1" ht="15.75">
      <c r="A1198" s="55">
        <v>53</v>
      </c>
      <c r="B1198" s="55" t="s">
        <v>530</v>
      </c>
      <c r="C1198" s="330">
        <v>9038.0300000000007</v>
      </c>
      <c r="D1198" s="330"/>
      <c r="E1198" s="330">
        <v>1829.2</v>
      </c>
      <c r="F1198" s="611">
        <f t="shared" si="153"/>
        <v>10867.230000000001</v>
      </c>
      <c r="G1198" s="290">
        <f t="shared" si="150"/>
        <v>6.2741203124142109E-2</v>
      </c>
      <c r="H1198" s="426">
        <f t="shared" si="151"/>
        <v>142.3679462450846</v>
      </c>
      <c r="I1198" s="148">
        <f t="shared" si="152"/>
        <v>52.348693834317608</v>
      </c>
      <c r="J1198" s="148">
        <v>55.162616951315037</v>
      </c>
      <c r="K1198" s="427">
        <f>G1198*433.91</f>
        <v>27.224035447596503</v>
      </c>
      <c r="L1198" s="426"/>
      <c r="M1198" s="532">
        <f t="shared" si="155"/>
        <v>3.0659700452235025E-2</v>
      </c>
      <c r="N1198" s="243">
        <v>12.726421384183066</v>
      </c>
      <c r="O1198" s="127"/>
    </row>
    <row r="1199" spans="1:15" s="6" customFormat="1" ht="15.75">
      <c r="A1199" s="55">
        <v>54</v>
      </c>
      <c r="B1199" s="55" t="s">
        <v>531</v>
      </c>
      <c r="C1199" s="330">
        <v>6690.6</v>
      </c>
      <c r="D1199" s="330"/>
      <c r="E1199" s="330">
        <v>855.4</v>
      </c>
      <c r="F1199" s="611">
        <f t="shared" si="153"/>
        <v>7546</v>
      </c>
      <c r="G1199" s="290">
        <f t="shared" si="150"/>
        <v>4.3566310713473097E-2</v>
      </c>
      <c r="H1199" s="426">
        <f t="shared" si="151"/>
        <v>98.857622629263219</v>
      </c>
      <c r="I1199" s="148">
        <f t="shared" si="152"/>
        <v>36.349947840780089</v>
      </c>
      <c r="J1199" s="148">
        <v>38.303883097590024</v>
      </c>
      <c r="K1199" s="427">
        <f>G1199*433.91</f>
        <v>18.903857881683113</v>
      </c>
      <c r="L1199" s="426"/>
      <c r="M1199" s="532">
        <f t="shared" si="155"/>
        <v>2.8759051721716503E-2</v>
      </c>
      <c r="N1199" s="243">
        <v>9.421012644681996</v>
      </c>
      <c r="O1199" s="127"/>
    </row>
    <row r="1200" spans="1:15" s="6" customFormat="1" ht="15.75">
      <c r="A1200" s="55">
        <v>55</v>
      </c>
      <c r="B1200" s="55" t="s">
        <v>1370</v>
      </c>
      <c r="C1200" s="330">
        <v>2503.4</v>
      </c>
      <c r="D1200" s="330"/>
      <c r="E1200" s="330"/>
      <c r="F1200" s="611">
        <f t="shared" si="153"/>
        <v>2503.4</v>
      </c>
      <c r="G1200" s="290">
        <f t="shared" si="150"/>
        <v>1.4453207293944946E-2</v>
      </c>
      <c r="H1200" s="426">
        <f t="shared" si="151"/>
        <v>32.796206266909294</v>
      </c>
      <c r="I1200" s="148">
        <f t="shared" si="152"/>
        <v>12.059165044342549</v>
      </c>
      <c r="J1200" s="148">
        <v>12.707386820369319</v>
      </c>
      <c r="K1200" s="427">
        <f t="shared" si="154"/>
        <v>5.3157451106400115</v>
      </c>
      <c r="L1200" s="426"/>
      <c r="M1200" s="532">
        <f t="shared" si="155"/>
        <v>2.51172418479912E-2</v>
      </c>
      <c r="N1200" s="243">
        <v>3.525029601933594</v>
      </c>
      <c r="O1200" s="127"/>
    </row>
    <row r="1201" spans="1:15" s="6" customFormat="1" ht="15.75">
      <c r="A1201" s="55">
        <v>56</v>
      </c>
      <c r="B1201" s="55" t="s">
        <v>1371</v>
      </c>
      <c r="C1201" s="330">
        <v>1175</v>
      </c>
      <c r="D1201" s="330"/>
      <c r="E1201" s="330"/>
      <c r="F1201" s="611">
        <f t="shared" si="153"/>
        <v>1175</v>
      </c>
      <c r="G1201" s="290">
        <f t="shared" si="150"/>
        <v>6.7837814853340698E-3</v>
      </c>
      <c r="H1201" s="426">
        <f t="shared" si="151"/>
        <v>15.393282081816098</v>
      </c>
      <c r="I1201" s="148">
        <f t="shared" si="152"/>
        <v>5.6601098214837799</v>
      </c>
      <c r="J1201" s="148">
        <v>5.9643602755987652</v>
      </c>
      <c r="K1201" s="427">
        <f t="shared" si="154"/>
        <v>2.4950069924910179</v>
      </c>
      <c r="L1201" s="426"/>
      <c r="M1201" s="532">
        <f t="shared" si="155"/>
        <v>2.51172418479912E-2</v>
      </c>
      <c r="N1201" s="243">
        <v>1.6545137741759102</v>
      </c>
      <c r="O1201" s="127"/>
    </row>
    <row r="1202" spans="1:15" s="69" customFormat="1" ht="16.5" thickBot="1">
      <c r="A1202" s="160"/>
      <c r="B1202" s="160" t="s">
        <v>681</v>
      </c>
      <c r="C1202" s="160">
        <f>SUM(C1148:C1201)</f>
        <v>166904.80000000002</v>
      </c>
      <c r="D1202" s="160">
        <f>SUM(D1148:D1201)</f>
        <v>178</v>
      </c>
      <c r="E1202" s="160">
        <f>SUM(E1148:E1201)</f>
        <v>6124.4299999999994</v>
      </c>
      <c r="F1202" s="629">
        <f>SUM(F1148:F1201)</f>
        <v>173207.23</v>
      </c>
      <c r="G1202" s="290">
        <f>1/173207.23*F1202</f>
        <v>1</v>
      </c>
      <c r="H1202" s="426">
        <f>G1202*2269.13</f>
        <v>2269.13</v>
      </c>
      <c r="I1202" s="150">
        <f>H1202*0.3677</f>
        <v>834.35910100000012</v>
      </c>
      <c r="J1202" s="148">
        <f>SUM(J1148:J1201)</f>
        <v>875.66590396641845</v>
      </c>
      <c r="K1202" s="144">
        <f>G1202*235.27</f>
        <v>235.27</v>
      </c>
      <c r="L1202" s="144"/>
      <c r="M1202" s="532">
        <f t="shared" si="155"/>
        <v>2.5250472155183185E-2</v>
      </c>
      <c r="N1202" s="127"/>
      <c r="O1202" s="190"/>
    </row>
    <row r="1203" spans="1:15" s="6" customFormat="1" ht="16.5" thickBot="1">
      <c r="A1203" s="552" t="s">
        <v>618</v>
      </c>
      <c r="B1203" s="197"/>
      <c r="C1203" s="197"/>
      <c r="D1203" s="197"/>
      <c r="E1203" s="197"/>
      <c r="F1203" s="622"/>
      <c r="G1203" s="534"/>
      <c r="H1203" s="426">
        <f>G1203*2077.52</f>
        <v>0</v>
      </c>
      <c r="I1203" s="216"/>
      <c r="J1203" s="148"/>
      <c r="K1203" s="144">
        <f>G1203*235.27*1.1</f>
        <v>0</v>
      </c>
      <c r="L1203" s="144"/>
      <c r="M1203" s="532" t="e">
        <f t="shared" si="155"/>
        <v>#DIV/0!</v>
      </c>
      <c r="N1203" s="127"/>
      <c r="O1203" s="127"/>
    </row>
    <row r="1204" spans="1:15" s="6" customFormat="1" ht="15.75">
      <c r="A1204" s="142">
        <v>1</v>
      </c>
      <c r="B1204" s="142" t="s">
        <v>532</v>
      </c>
      <c r="C1204" s="142">
        <v>3898.29</v>
      </c>
      <c r="D1204" s="142">
        <v>123.1</v>
      </c>
      <c r="E1204" s="142">
        <v>374.5</v>
      </c>
      <c r="F1204" s="611">
        <f t="shared" ref="F1204:F1231" si="156">C1204+D1204+E1204</f>
        <v>4395.8899999999994</v>
      </c>
      <c r="G1204" s="178">
        <f t="shared" ref="G1204:G1231" si="157">0.5/93179.59*F1204</f>
        <v>2.3588266486255196E-2</v>
      </c>
      <c r="H1204" s="426">
        <f t="shared" ref="H1204:H1231" si="158">G1204*2269.13</f>
        <v>53.524843131956253</v>
      </c>
      <c r="I1204" s="144">
        <f t="shared" ref="I1204:I1232" si="159">H1204*0.3677</f>
        <v>19.681084819620317</v>
      </c>
      <c r="J1204" s="148">
        <v>24.77274777885204</v>
      </c>
      <c r="K1204" s="426">
        <f>G1204*235.27</f>
        <v>5.5496114562212604</v>
      </c>
      <c r="L1204" s="426"/>
      <c r="M1204" s="532">
        <f t="shared" si="155"/>
        <v>2.6557359043747352E-2</v>
      </c>
      <c r="N1204" s="127"/>
      <c r="O1204" s="127">
        <v>2.2261868975565959E-2</v>
      </c>
    </row>
    <row r="1205" spans="1:15" s="6" customFormat="1" ht="15.75">
      <c r="A1205" s="55">
        <v>2</v>
      </c>
      <c r="B1205" s="55" t="s">
        <v>533</v>
      </c>
      <c r="C1205" s="55">
        <v>3600.73</v>
      </c>
      <c r="D1205" s="55"/>
      <c r="E1205" s="55">
        <v>290.5</v>
      </c>
      <c r="F1205" s="611">
        <f t="shared" si="156"/>
        <v>3891.23</v>
      </c>
      <c r="G1205" s="178">
        <f t="shared" si="157"/>
        <v>2.088027002479835E-2</v>
      </c>
      <c r="H1205" s="426">
        <f t="shared" si="158"/>
        <v>47.38004712137068</v>
      </c>
      <c r="I1205" s="148">
        <f t="shared" si="159"/>
        <v>17.421643326527999</v>
      </c>
      <c r="J1205" s="148">
        <v>21.928769677926983</v>
      </c>
      <c r="K1205" s="426">
        <f t="shared" ref="K1205:K1231" si="160">G1205*235.27</f>
        <v>4.9125011287343083</v>
      </c>
      <c r="L1205" s="426"/>
      <c r="M1205" s="532">
        <f t="shared" si="155"/>
        <v>2.5451217185004142E-2</v>
      </c>
      <c r="N1205" s="127"/>
      <c r="O1205" s="127">
        <v>2.1334638783468678E-2</v>
      </c>
    </row>
    <row r="1206" spans="1:15" s="6" customFormat="1" ht="15.75">
      <c r="A1206" s="55">
        <v>3</v>
      </c>
      <c r="B1206" s="55" t="s">
        <v>534</v>
      </c>
      <c r="C1206" s="55">
        <v>5868.42</v>
      </c>
      <c r="D1206" s="55">
        <v>489.8</v>
      </c>
      <c r="E1206" s="55"/>
      <c r="F1206" s="611">
        <f t="shared" si="156"/>
        <v>6358.22</v>
      </c>
      <c r="G1206" s="178">
        <f t="shared" si="157"/>
        <v>3.4118093887298709E-2</v>
      </c>
      <c r="H1206" s="426">
        <f t="shared" si="158"/>
        <v>77.418390382486123</v>
      </c>
      <c r="I1206" s="148">
        <f t="shared" si="159"/>
        <v>28.46674214364015</v>
      </c>
      <c r="J1206" s="148">
        <v>35.831328896412934</v>
      </c>
      <c r="K1206" s="426">
        <f t="shared" si="160"/>
        <v>8.0269639488647684</v>
      </c>
      <c r="L1206" s="426"/>
      <c r="M1206" s="532">
        <f t="shared" si="155"/>
        <v>2.5516821456440401E-2</v>
      </c>
      <c r="N1206" s="127"/>
      <c r="O1206" s="127">
        <v>2.138963196605681E-2</v>
      </c>
    </row>
    <row r="1207" spans="1:15" s="6" customFormat="1" ht="15.75">
      <c r="A1207" s="55">
        <v>4</v>
      </c>
      <c r="B1207" s="55" t="s">
        <v>535</v>
      </c>
      <c r="C1207" s="55">
        <v>4090.86</v>
      </c>
      <c r="D1207" s="55"/>
      <c r="E1207" s="55"/>
      <c r="F1207" s="611">
        <f t="shared" si="156"/>
        <v>4090.86</v>
      </c>
      <c r="G1207" s="178">
        <f t="shared" si="157"/>
        <v>2.1951481005658E-2</v>
      </c>
      <c r="H1207" s="426">
        <f t="shared" si="158"/>
        <v>49.810764094368743</v>
      </c>
      <c r="I1207" s="148">
        <f t="shared" si="159"/>
        <v>18.315417957499388</v>
      </c>
      <c r="J1207" s="148">
        <v>23.053771358836251</v>
      </c>
      <c r="K1207" s="426">
        <f t="shared" si="160"/>
        <v>5.1645249362011576</v>
      </c>
      <c r="L1207" s="426"/>
      <c r="M1207" s="532">
        <f t="shared" si="155"/>
        <v>2.3551155098660313E-2</v>
      </c>
      <c r="N1207" s="127"/>
      <c r="O1207" s="127">
        <v>1.9741900095034008E-2</v>
      </c>
    </row>
    <row r="1208" spans="1:15" s="6" customFormat="1" ht="15.75">
      <c r="A1208" s="55">
        <v>5</v>
      </c>
      <c r="B1208" s="55" t="s">
        <v>536</v>
      </c>
      <c r="C1208" s="55">
        <v>3274.15</v>
      </c>
      <c r="D1208" s="55"/>
      <c r="E1208" s="55"/>
      <c r="F1208" s="611">
        <f t="shared" si="156"/>
        <v>3274.15</v>
      </c>
      <c r="G1208" s="178">
        <f t="shared" si="157"/>
        <v>1.756902987016792E-2</v>
      </c>
      <c r="H1208" s="426">
        <f t="shared" si="158"/>
        <v>39.866412749294135</v>
      </c>
      <c r="I1208" s="148">
        <f t="shared" si="159"/>
        <v>14.658879967915455</v>
      </c>
      <c r="J1208" s="148">
        <v>18.451256091514669</v>
      </c>
      <c r="K1208" s="426">
        <f t="shared" si="160"/>
        <v>4.1334656575544066</v>
      </c>
      <c r="L1208" s="426"/>
      <c r="M1208" s="532">
        <f t="shared" si="155"/>
        <v>2.3551155098660313E-2</v>
      </c>
      <c r="N1208" s="127"/>
      <c r="O1208" s="127">
        <v>1.9741900095034005E-2</v>
      </c>
    </row>
    <row r="1209" spans="1:15" s="6" customFormat="1" ht="15.75">
      <c r="A1209" s="55">
        <v>6</v>
      </c>
      <c r="B1209" s="55" t="s">
        <v>537</v>
      </c>
      <c r="C1209" s="55">
        <v>6596</v>
      </c>
      <c r="D1209" s="55"/>
      <c r="E1209" s="55"/>
      <c r="F1209" s="611">
        <f t="shared" si="156"/>
        <v>6596</v>
      </c>
      <c r="G1209" s="178">
        <f t="shared" si="157"/>
        <v>3.5394017080349893E-2</v>
      </c>
      <c r="H1209" s="426">
        <f t="shared" si="158"/>
        <v>80.313625977534358</v>
      </c>
      <c r="I1209" s="148">
        <f t="shared" si="159"/>
        <v>29.531320271939386</v>
      </c>
      <c r="J1209" s="148">
        <v>37.171322382795758</v>
      </c>
      <c r="K1209" s="426">
        <f t="shared" si="160"/>
        <v>8.3271503984939201</v>
      </c>
      <c r="L1209" s="426"/>
      <c r="M1209" s="532">
        <f t="shared" si="155"/>
        <v>2.355115509866031E-2</v>
      </c>
      <c r="N1209" s="127"/>
      <c r="O1209" s="127">
        <v>1.9741900095034001E-2</v>
      </c>
    </row>
    <row r="1210" spans="1:15" s="6" customFormat="1" ht="15.75">
      <c r="A1210" s="55">
        <v>7</v>
      </c>
      <c r="B1210" s="55" t="s">
        <v>538</v>
      </c>
      <c r="C1210" s="55">
        <v>7101.2</v>
      </c>
      <c r="D1210" s="55"/>
      <c r="E1210" s="55"/>
      <c r="F1210" s="611">
        <f t="shared" si="156"/>
        <v>7101.2</v>
      </c>
      <c r="G1210" s="178">
        <f t="shared" si="157"/>
        <v>3.810491117207105E-2</v>
      </c>
      <c r="H1210" s="426">
        <f t="shared" si="158"/>
        <v>86.464997087881585</v>
      </c>
      <c r="I1210" s="148">
        <f t="shared" si="159"/>
        <v>31.79317942921406</v>
      </c>
      <c r="J1210" s="148">
        <v>40.018343618057806</v>
      </c>
      <c r="K1210" s="426">
        <f t="shared" si="160"/>
        <v>8.9649424514531564</v>
      </c>
      <c r="L1210" s="426"/>
      <c r="M1210" s="532">
        <f t="shared" si="155"/>
        <v>2.355115509866031E-2</v>
      </c>
      <c r="N1210" s="127"/>
      <c r="O1210" s="127">
        <v>1.9741900095034001E-2</v>
      </c>
    </row>
    <row r="1211" spans="1:15" s="6" customFormat="1" ht="15.75">
      <c r="A1211" s="55">
        <v>8</v>
      </c>
      <c r="B1211" s="55" t="s">
        <v>539</v>
      </c>
      <c r="C1211" s="55">
        <v>7470.48</v>
      </c>
      <c r="D1211" s="55"/>
      <c r="E1211" s="55"/>
      <c r="F1211" s="611">
        <f t="shared" si="156"/>
        <v>7470.48</v>
      </c>
      <c r="G1211" s="178">
        <f t="shared" si="157"/>
        <v>4.008646099430143E-2</v>
      </c>
      <c r="H1211" s="426">
        <f t="shared" si="158"/>
        <v>90.961391235999216</v>
      </c>
      <c r="I1211" s="148">
        <f t="shared" si="159"/>
        <v>33.446503557476916</v>
      </c>
      <c r="J1211" s="148">
        <v>42.099396669834455</v>
      </c>
      <c r="K1211" s="426">
        <f t="shared" si="160"/>
        <v>9.4311416781292987</v>
      </c>
      <c r="L1211" s="426"/>
      <c r="M1211" s="532">
        <f t="shared" si="155"/>
        <v>2.355115509866031E-2</v>
      </c>
      <c r="N1211" s="127"/>
      <c r="O1211" s="127">
        <v>1.9741900095034001E-2</v>
      </c>
    </row>
    <row r="1212" spans="1:15" s="6" customFormat="1" ht="15.75">
      <c r="A1212" s="55">
        <v>9</v>
      </c>
      <c r="B1212" s="55" t="s">
        <v>540</v>
      </c>
      <c r="C1212" s="55">
        <v>2276.6</v>
      </c>
      <c r="D1212" s="55"/>
      <c r="E1212" s="55"/>
      <c r="F1212" s="611">
        <f t="shared" si="156"/>
        <v>2276.6</v>
      </c>
      <c r="G1212" s="178">
        <f t="shared" si="157"/>
        <v>1.2216194555052238E-2</v>
      </c>
      <c r="H1212" s="426">
        <f t="shared" si="158"/>
        <v>27.720133550705686</v>
      </c>
      <c r="I1212" s="148">
        <f t="shared" si="159"/>
        <v>10.192693106594481</v>
      </c>
      <c r="J1212" s="148">
        <v>12.829628947342757</v>
      </c>
      <c r="K1212" s="426">
        <f t="shared" si="160"/>
        <v>2.8741040929671402</v>
      </c>
      <c r="L1212" s="426"/>
      <c r="M1212" s="532">
        <f t="shared" si="155"/>
        <v>2.3551155098660313E-2</v>
      </c>
      <c r="N1212" s="127"/>
      <c r="O1212" s="127">
        <v>1.9741900095034001E-2</v>
      </c>
    </row>
    <row r="1213" spans="1:15" s="6" customFormat="1" ht="15.75">
      <c r="A1213" s="55">
        <v>10</v>
      </c>
      <c r="B1213" s="55" t="s">
        <v>541</v>
      </c>
      <c r="C1213" s="55">
        <v>4642.43</v>
      </c>
      <c r="D1213" s="55"/>
      <c r="E1213" s="55"/>
      <c r="F1213" s="611">
        <f t="shared" si="156"/>
        <v>4642.43</v>
      </c>
      <c r="G1213" s="178">
        <f t="shared" si="157"/>
        <v>2.4911195681371855E-2</v>
      </c>
      <c r="H1213" s="426">
        <f t="shared" si="158"/>
        <v>56.526741456471321</v>
      </c>
      <c r="I1213" s="148">
        <f t="shared" si="159"/>
        <v>20.784882833544508</v>
      </c>
      <c r="J1213" s="148">
        <v>26.162107666701417</v>
      </c>
      <c r="K1213" s="426">
        <f t="shared" si="160"/>
        <v>5.8608570079563567</v>
      </c>
      <c r="L1213" s="426"/>
      <c r="M1213" s="532">
        <f t="shared" si="155"/>
        <v>2.3551155098660313E-2</v>
      </c>
      <c r="N1213" s="127"/>
      <c r="O1213" s="127">
        <v>1.9741900095034001E-2</v>
      </c>
    </row>
    <row r="1214" spans="1:15" s="6" customFormat="1" ht="15.75">
      <c r="A1214" s="55">
        <v>11</v>
      </c>
      <c r="B1214" s="55" t="s">
        <v>542</v>
      </c>
      <c r="C1214" s="55">
        <v>3634.2</v>
      </c>
      <c r="D1214" s="55"/>
      <c r="E1214" s="55"/>
      <c r="F1214" s="611">
        <f t="shared" si="156"/>
        <v>3634.2</v>
      </c>
      <c r="G1214" s="178">
        <f t="shared" si="157"/>
        <v>1.9501051678806485E-2</v>
      </c>
      <c r="H1214" s="426">
        <f t="shared" si="158"/>
        <v>44.250421395930161</v>
      </c>
      <c r="I1214" s="148">
        <f t="shared" si="159"/>
        <v>16.270879947283522</v>
      </c>
      <c r="J1214" s="148">
        <v>20.480294087864824</v>
      </c>
      <c r="K1214" s="426">
        <f t="shared" si="160"/>
        <v>4.5880124284728021</v>
      </c>
      <c r="L1214" s="426"/>
      <c r="M1214" s="532">
        <f t="shared" si="155"/>
        <v>2.3551155098660313E-2</v>
      </c>
      <c r="N1214" s="127"/>
      <c r="O1214" s="127">
        <v>1.9741900095034005E-2</v>
      </c>
    </row>
    <row r="1215" spans="1:15" s="6" customFormat="1" ht="15.75">
      <c r="A1215" s="55">
        <v>12</v>
      </c>
      <c r="B1215" s="55" t="s">
        <v>543</v>
      </c>
      <c r="C1215" s="55">
        <v>5551.35</v>
      </c>
      <c r="D1215" s="55"/>
      <c r="E1215" s="55"/>
      <c r="F1215" s="611">
        <f t="shared" si="156"/>
        <v>5551.35</v>
      </c>
      <c r="G1215" s="178">
        <f t="shared" si="157"/>
        <v>2.9788444014402726E-2</v>
      </c>
      <c r="H1215" s="426">
        <f t="shared" si="158"/>
        <v>67.593851966401658</v>
      </c>
      <c r="I1215" s="148">
        <f t="shared" si="159"/>
        <v>24.854259368045891</v>
      </c>
      <c r="J1215" s="148">
        <v>31.284266299231845</v>
      </c>
      <c r="K1215" s="426">
        <f t="shared" si="160"/>
        <v>7.0083272232685294</v>
      </c>
      <c r="L1215" s="426"/>
      <c r="M1215" s="532">
        <f t="shared" si="155"/>
        <v>2.355115509866031E-2</v>
      </c>
      <c r="N1215" s="127"/>
      <c r="O1215" s="127">
        <v>1.9741900095034001E-2</v>
      </c>
    </row>
    <row r="1216" spans="1:15" s="6" customFormat="1" ht="15.75">
      <c r="A1216" s="55">
        <v>13</v>
      </c>
      <c r="B1216" s="55" t="s">
        <v>545</v>
      </c>
      <c r="C1216" s="55">
        <v>4556.37</v>
      </c>
      <c r="D1216" s="55"/>
      <c r="E1216" s="55"/>
      <c r="F1216" s="611">
        <f t="shared" si="156"/>
        <v>4556.37</v>
      </c>
      <c r="G1216" s="178">
        <f t="shared" si="157"/>
        <v>2.4449399272952369E-2</v>
      </c>
      <c r="H1216" s="426">
        <f t="shared" si="158"/>
        <v>55.478865372234409</v>
      </c>
      <c r="I1216" s="148">
        <f t="shared" si="159"/>
        <v>20.399578797370594</v>
      </c>
      <c r="J1216" s="148">
        <v>25.677122220330372</v>
      </c>
      <c r="K1216" s="426">
        <f t="shared" si="160"/>
        <v>5.7522101669475045</v>
      </c>
      <c r="L1216" s="426"/>
      <c r="M1216" s="532">
        <f t="shared" si="155"/>
        <v>2.3551155098660313E-2</v>
      </c>
      <c r="N1216" s="127"/>
      <c r="O1216" s="127">
        <v>1.9741900095034001E-2</v>
      </c>
    </row>
    <row r="1217" spans="1:15" s="6" customFormat="1" ht="15.75">
      <c r="A1217" s="55">
        <v>14</v>
      </c>
      <c r="B1217" s="55" t="s">
        <v>546</v>
      </c>
      <c r="C1217" s="55">
        <v>4596.6099999999997</v>
      </c>
      <c r="D1217" s="55"/>
      <c r="E1217" s="55"/>
      <c r="F1217" s="611">
        <f t="shared" si="156"/>
        <v>4596.6099999999997</v>
      </c>
      <c r="G1217" s="178">
        <f t="shared" si="157"/>
        <v>2.4665326387463177E-2</v>
      </c>
      <c r="H1217" s="426">
        <f t="shared" si="158"/>
        <v>55.968832065584323</v>
      </c>
      <c r="I1217" s="148">
        <f t="shared" si="159"/>
        <v>20.579739550515356</v>
      </c>
      <c r="J1217" s="148">
        <v>25.903892082774838</v>
      </c>
      <c r="K1217" s="426">
        <f t="shared" si="160"/>
        <v>5.8030113391784619</v>
      </c>
      <c r="L1217" s="426"/>
      <c r="M1217" s="532">
        <f t="shared" si="155"/>
        <v>2.3551155098660313E-2</v>
      </c>
      <c r="N1217" s="127"/>
      <c r="O1217" s="127">
        <v>1.9741900095034005E-2</v>
      </c>
    </row>
    <row r="1218" spans="1:15" s="6" customFormat="1" ht="15.75">
      <c r="A1218" s="55">
        <v>15</v>
      </c>
      <c r="B1218" s="55" t="s">
        <v>567</v>
      </c>
      <c r="C1218" s="55">
        <v>4490.43</v>
      </c>
      <c r="D1218" s="55"/>
      <c r="E1218" s="55"/>
      <c r="F1218" s="611">
        <f t="shared" si="156"/>
        <v>4490.43</v>
      </c>
      <c r="G1218" s="178">
        <f t="shared" si="157"/>
        <v>2.4095566421788294E-2</v>
      </c>
      <c r="H1218" s="426">
        <f t="shared" si="158"/>
        <v>54.675972634672476</v>
      </c>
      <c r="I1218" s="148">
        <f t="shared" si="159"/>
        <v>20.104355137769073</v>
      </c>
      <c r="J1218" s="148">
        <v>25.305521705181565</v>
      </c>
      <c r="K1218" s="426">
        <f t="shared" si="160"/>
        <v>5.6689639120541324</v>
      </c>
      <c r="L1218" s="426"/>
      <c r="M1218" s="532">
        <f t="shared" si="155"/>
        <v>2.3551155098660317E-2</v>
      </c>
      <c r="N1218" s="127"/>
      <c r="O1218" s="127">
        <v>1.9741900095034005E-2</v>
      </c>
    </row>
    <row r="1219" spans="1:15" s="6" customFormat="1" ht="15.75">
      <c r="A1219" s="55">
        <v>16</v>
      </c>
      <c r="B1219" s="55" t="s">
        <v>568</v>
      </c>
      <c r="C1219" s="55">
        <v>4338.5</v>
      </c>
      <c r="D1219" s="55"/>
      <c r="E1219" s="55"/>
      <c r="F1219" s="611">
        <f t="shared" si="156"/>
        <v>4338.5</v>
      </c>
      <c r="G1219" s="178">
        <f t="shared" si="157"/>
        <v>2.3280312780942693E-2</v>
      </c>
      <c r="H1219" s="426">
        <f t="shared" si="158"/>
        <v>52.826056140620494</v>
      </c>
      <c r="I1219" s="148">
        <f t="shared" si="159"/>
        <v>19.424140842906159</v>
      </c>
      <c r="J1219" s="148">
        <v>24.449330224038722</v>
      </c>
      <c r="K1219" s="426">
        <f t="shared" si="160"/>
        <v>5.4771591879723873</v>
      </c>
      <c r="L1219" s="426"/>
      <c r="M1219" s="532">
        <f t="shared" si="155"/>
        <v>2.355115509866031E-2</v>
      </c>
      <c r="N1219" s="127"/>
      <c r="O1219" s="127">
        <v>1.9741900095034001E-2</v>
      </c>
    </row>
    <row r="1220" spans="1:15" s="6" customFormat="1" ht="15.75">
      <c r="A1220" s="55">
        <v>17</v>
      </c>
      <c r="B1220" s="55" t="s">
        <v>569</v>
      </c>
      <c r="C1220" s="55">
        <v>3131.06</v>
      </c>
      <c r="D1220" s="55"/>
      <c r="E1220" s="55"/>
      <c r="F1220" s="611">
        <f t="shared" si="156"/>
        <v>3131.06</v>
      </c>
      <c r="G1220" s="178">
        <f t="shared" si="157"/>
        <v>1.6801211509945471E-2</v>
      </c>
      <c r="H1220" s="426">
        <f t="shared" si="158"/>
        <v>38.124133073562568</v>
      </c>
      <c r="I1220" s="148">
        <f t="shared" si="159"/>
        <v>14.018243731148956</v>
      </c>
      <c r="J1220" s="148">
        <v>17.644881846554959</v>
      </c>
      <c r="K1220" s="426">
        <f t="shared" si="160"/>
        <v>3.9528210319448713</v>
      </c>
      <c r="L1220" s="426"/>
      <c r="M1220" s="532">
        <f t="shared" si="155"/>
        <v>2.355115509866031E-2</v>
      </c>
      <c r="N1220" s="127"/>
      <c r="O1220" s="127">
        <v>1.9741900095034005E-2</v>
      </c>
    </row>
    <row r="1221" spans="1:15" s="6" customFormat="1" ht="15.75">
      <c r="A1221" s="55">
        <v>18</v>
      </c>
      <c r="B1221" s="55" t="s">
        <v>570</v>
      </c>
      <c r="C1221" s="55">
        <v>3376.98</v>
      </c>
      <c r="D1221" s="55"/>
      <c r="E1221" s="55"/>
      <c r="F1221" s="611">
        <f t="shared" si="156"/>
        <v>3376.98</v>
      </c>
      <c r="G1221" s="178">
        <f t="shared" si="157"/>
        <v>1.8120813796240143E-2</v>
      </c>
      <c r="H1221" s="426">
        <f t="shared" si="158"/>
        <v>41.1184822094624</v>
      </c>
      <c r="I1221" s="148">
        <f t="shared" si="159"/>
        <v>15.119265908419326</v>
      </c>
      <c r="J1221" s="148">
        <v>19.030747765350768</v>
      </c>
      <c r="K1221" s="426">
        <f t="shared" si="160"/>
        <v>4.2632838618414182</v>
      </c>
      <c r="L1221" s="426"/>
      <c r="M1221" s="532">
        <f t="shared" si="155"/>
        <v>2.3551155098660317E-2</v>
      </c>
      <c r="N1221" s="127"/>
      <c r="O1221" s="127">
        <v>1.9741900095034005E-2</v>
      </c>
    </row>
    <row r="1222" spans="1:15" s="6" customFormat="1" ht="15.75">
      <c r="A1222" s="55">
        <v>20</v>
      </c>
      <c r="B1222" s="55" t="s">
        <v>571</v>
      </c>
      <c r="C1222" s="55">
        <v>50.5</v>
      </c>
      <c r="D1222" s="55"/>
      <c r="E1222" s="55"/>
      <c r="F1222" s="611">
        <f t="shared" si="156"/>
        <v>50.5</v>
      </c>
      <c r="G1222" s="178">
        <f t="shared" si="157"/>
        <v>2.7098208953269703E-4</v>
      </c>
      <c r="H1222" s="426">
        <f t="shared" si="158"/>
        <v>0.61489358882132883</v>
      </c>
      <c r="I1222" s="148">
        <f t="shared" si="159"/>
        <v>0.22609637260960264</v>
      </c>
      <c r="J1222" s="148">
        <v>0.28458941484705674</v>
      </c>
      <c r="K1222" s="426">
        <f t="shared" si="160"/>
        <v>6.3753956204357629E-2</v>
      </c>
      <c r="L1222" s="426"/>
      <c r="M1222" s="532">
        <f t="shared" ref="M1222:M1232" si="161">(K1222+J1222+I1222+H1222)/C1222</f>
        <v>2.3551155098660313E-2</v>
      </c>
      <c r="N1222" s="127"/>
      <c r="O1222" s="127"/>
    </row>
    <row r="1223" spans="1:15" s="6" customFormat="1" ht="15.75">
      <c r="A1223" s="55">
        <v>22</v>
      </c>
      <c r="B1223" s="55" t="s">
        <v>356</v>
      </c>
      <c r="C1223" s="55">
        <v>306.8</v>
      </c>
      <c r="D1223" s="55"/>
      <c r="E1223" s="55"/>
      <c r="F1223" s="611">
        <f t="shared" si="156"/>
        <v>306.8</v>
      </c>
      <c r="G1223" s="178">
        <f t="shared" si="157"/>
        <v>1.6462832686857712E-3</v>
      </c>
      <c r="H1223" s="426">
        <f t="shared" si="158"/>
        <v>3.735630753472944</v>
      </c>
      <c r="I1223" s="148">
        <f t="shared" si="159"/>
        <v>1.3735914280520016</v>
      </c>
      <c r="J1223" s="148">
        <v>1.7289511381203366</v>
      </c>
      <c r="K1223" s="426">
        <f t="shared" si="160"/>
        <v>0.38732106462370142</v>
      </c>
      <c r="L1223" s="426"/>
      <c r="M1223" s="532">
        <f t="shared" si="161"/>
        <v>2.3551155098660313E-2</v>
      </c>
      <c r="N1223" s="127"/>
      <c r="O1223" s="127"/>
    </row>
    <row r="1224" spans="1:15" s="6" customFormat="1" ht="15.75">
      <c r="A1224" s="55">
        <v>23</v>
      </c>
      <c r="B1224" s="55" t="s">
        <v>357</v>
      </c>
      <c r="C1224" s="55">
        <v>304.18</v>
      </c>
      <c r="D1224" s="55"/>
      <c r="E1224" s="55"/>
      <c r="F1224" s="611">
        <f t="shared" si="156"/>
        <v>304.18</v>
      </c>
      <c r="G1224" s="178">
        <f t="shared" si="157"/>
        <v>1.6322243959218967E-3</v>
      </c>
      <c r="H1224" s="426">
        <f t="shared" si="158"/>
        <v>3.7037293435182534</v>
      </c>
      <c r="I1224" s="148">
        <f t="shared" si="159"/>
        <v>1.3618612796116618</v>
      </c>
      <c r="J1224" s="148">
        <v>1.714186301152034</v>
      </c>
      <c r="K1224" s="426">
        <f t="shared" si="160"/>
        <v>0.38401343362854462</v>
      </c>
      <c r="L1224" s="426"/>
      <c r="M1224" s="532">
        <f t="shared" si="161"/>
        <v>2.3551155098660313E-2</v>
      </c>
      <c r="N1224" s="127"/>
      <c r="O1224" s="127"/>
    </row>
    <row r="1225" spans="1:15" s="6" customFormat="1" ht="15.75">
      <c r="A1225" s="55">
        <v>24</v>
      </c>
      <c r="B1225" s="55" t="s">
        <v>358</v>
      </c>
      <c r="C1225" s="55">
        <v>823.48</v>
      </c>
      <c r="D1225" s="55"/>
      <c r="E1225" s="55"/>
      <c r="F1225" s="611">
        <f t="shared" si="156"/>
        <v>823.48</v>
      </c>
      <c r="G1225" s="178">
        <f t="shared" si="157"/>
        <v>4.4187788334333735E-3</v>
      </c>
      <c r="H1225" s="426">
        <f t="shared" si="158"/>
        <v>10.026783614308671</v>
      </c>
      <c r="I1225" s="148">
        <f t="shared" si="159"/>
        <v>3.6868483349812986</v>
      </c>
      <c r="J1225" s="148">
        <v>4.640667155212955</v>
      </c>
      <c r="K1225" s="426">
        <f t="shared" si="160"/>
        <v>1.0396060961418698</v>
      </c>
      <c r="L1225" s="426"/>
      <c r="M1225" s="532">
        <f t="shared" si="161"/>
        <v>2.3551155098660313E-2</v>
      </c>
      <c r="N1225" s="127"/>
      <c r="O1225" s="127"/>
    </row>
    <row r="1226" spans="1:15" s="6" customFormat="1" ht="15.75">
      <c r="A1226" s="55">
        <v>25</v>
      </c>
      <c r="B1226" s="55" t="s">
        <v>359</v>
      </c>
      <c r="C1226" s="55">
        <v>733.47</v>
      </c>
      <c r="D1226" s="55"/>
      <c r="E1226" s="55">
        <v>70</v>
      </c>
      <c r="F1226" s="611">
        <f t="shared" si="156"/>
        <v>803.47</v>
      </c>
      <c r="G1226" s="178">
        <f t="shared" si="157"/>
        <v>4.3114055341947743E-3</v>
      </c>
      <c r="H1226" s="426">
        <f t="shared" si="158"/>
        <v>9.7831396398073878</v>
      </c>
      <c r="I1226" s="148">
        <f t="shared" si="159"/>
        <v>3.5972604455571768</v>
      </c>
      <c r="J1226" s="148">
        <v>4.5279021217260329</v>
      </c>
      <c r="K1226" s="426">
        <f t="shared" si="160"/>
        <v>1.0143443800300045</v>
      </c>
      <c r="L1226" s="426"/>
      <c r="M1226" s="532">
        <f t="shared" si="161"/>
        <v>2.5798801024064517E-2</v>
      </c>
      <c r="N1226" s="127"/>
      <c r="O1226" s="127"/>
    </row>
    <row r="1227" spans="1:15" s="6" customFormat="1" ht="15.75">
      <c r="A1227" s="55">
        <v>26</v>
      </c>
      <c r="B1227" s="55" t="s">
        <v>360</v>
      </c>
      <c r="C1227" s="55">
        <v>4465.32</v>
      </c>
      <c r="D1227" s="55"/>
      <c r="E1227" s="55"/>
      <c r="F1227" s="611">
        <f t="shared" si="156"/>
        <v>4465.32</v>
      </c>
      <c r="G1227" s="178">
        <f t="shared" si="157"/>
        <v>2.3960826614497874E-2</v>
      </c>
      <c r="H1227" s="426">
        <f t="shared" si="158"/>
        <v>54.370230495755564</v>
      </c>
      <c r="I1227" s="148">
        <f t="shared" si="159"/>
        <v>19.991933753289324</v>
      </c>
      <c r="J1227" s="148">
        <v>25.164015958512064</v>
      </c>
      <c r="K1227" s="426">
        <f t="shared" si="160"/>
        <v>5.637263677592915</v>
      </c>
      <c r="L1227" s="426"/>
      <c r="M1227" s="532">
        <f t="shared" si="161"/>
        <v>2.3551155098660313E-2</v>
      </c>
      <c r="N1227" s="127"/>
      <c r="O1227" s="127"/>
    </row>
    <row r="1228" spans="1:15" s="6" customFormat="1" ht="15.75">
      <c r="A1228" s="55">
        <v>27</v>
      </c>
      <c r="B1228" s="55" t="s">
        <v>361</v>
      </c>
      <c r="C1228" s="55">
        <v>2218.6799999999998</v>
      </c>
      <c r="D1228" s="55"/>
      <c r="E1228" s="55"/>
      <c r="F1228" s="611">
        <f t="shared" si="156"/>
        <v>2218.6799999999998</v>
      </c>
      <c r="G1228" s="178">
        <f t="shared" si="157"/>
        <v>1.1905396879295132E-2</v>
      </c>
      <c r="H1228" s="426">
        <f t="shared" si="158"/>
        <v>27.014893220714963</v>
      </c>
      <c r="I1228" s="148">
        <f t="shared" si="159"/>
        <v>9.9333762372568923</v>
      </c>
      <c r="J1228" s="148">
        <v>12.503224612532035</v>
      </c>
      <c r="K1228" s="426">
        <f t="shared" si="160"/>
        <v>2.8009827237917659</v>
      </c>
      <c r="L1228" s="426"/>
      <c r="M1228" s="532">
        <f t="shared" si="161"/>
        <v>2.3551155098660313E-2</v>
      </c>
      <c r="N1228" s="127"/>
      <c r="O1228" s="127"/>
    </row>
    <row r="1229" spans="1:15" s="6" customFormat="1" ht="15.75">
      <c r="A1229" s="55">
        <v>28</v>
      </c>
      <c r="B1229" s="55" t="s">
        <v>362</v>
      </c>
      <c r="C1229" s="55">
        <v>120.8</v>
      </c>
      <c r="D1229" s="55"/>
      <c r="E1229" s="55"/>
      <c r="F1229" s="611">
        <f t="shared" si="156"/>
        <v>120.8</v>
      </c>
      <c r="G1229" s="178">
        <f t="shared" si="157"/>
        <v>6.4821062209009502E-4</v>
      </c>
      <c r="H1229" s="426">
        <f t="shared" si="158"/>
        <v>1.4708741689032974</v>
      </c>
      <c r="I1229" s="148">
        <f t="shared" si="159"/>
        <v>0.54084043190574249</v>
      </c>
      <c r="J1229" s="148">
        <v>0.6807604220499891</v>
      </c>
      <c r="K1229" s="426">
        <f t="shared" si="160"/>
        <v>0.15250451305913665</v>
      </c>
      <c r="L1229" s="426"/>
      <c r="M1229" s="532">
        <f t="shared" si="161"/>
        <v>2.355115509866031E-2</v>
      </c>
      <c r="N1229" s="127"/>
      <c r="O1229" s="127"/>
    </row>
    <row r="1230" spans="1:15" s="6" customFormat="1" ht="15.75">
      <c r="A1230" s="55">
        <v>30</v>
      </c>
      <c r="B1230" s="55" t="s">
        <v>363</v>
      </c>
      <c r="C1230" s="55">
        <v>174.6</v>
      </c>
      <c r="D1230" s="55"/>
      <c r="E1230" s="55"/>
      <c r="F1230" s="611">
        <f t="shared" si="156"/>
        <v>174.6</v>
      </c>
      <c r="G1230" s="178">
        <f t="shared" si="157"/>
        <v>9.3690045212690889E-4</v>
      </c>
      <c r="H1230" s="426">
        <f t="shared" si="158"/>
        <v>2.1259489229347328</v>
      </c>
      <c r="I1230" s="148">
        <f t="shared" si="159"/>
        <v>0.78171141896310126</v>
      </c>
      <c r="J1230" s="426">
        <v>0.98394676895635835</v>
      </c>
      <c r="K1230" s="426">
        <f t="shared" si="160"/>
        <v>0.22042456937189786</v>
      </c>
      <c r="L1230" s="426"/>
      <c r="M1230" s="532">
        <f t="shared" si="161"/>
        <v>2.3551155098660313E-2</v>
      </c>
      <c r="N1230" s="127"/>
      <c r="O1230" s="127"/>
    </row>
    <row r="1231" spans="1:15" s="6" customFormat="1" ht="15.75">
      <c r="A1231" s="55">
        <v>31</v>
      </c>
      <c r="B1231" s="55" t="s">
        <v>364</v>
      </c>
      <c r="C1231" s="55">
        <v>139.19999999999999</v>
      </c>
      <c r="D1231" s="55"/>
      <c r="E1231" s="55"/>
      <c r="F1231" s="611">
        <f t="shared" si="156"/>
        <v>139.19999999999999</v>
      </c>
      <c r="G1231" s="178">
        <f t="shared" si="157"/>
        <v>7.4694469035547367E-4</v>
      </c>
      <c r="H1231" s="426">
        <f t="shared" si="158"/>
        <v>1.694914605226316</v>
      </c>
      <c r="I1231" s="148">
        <f t="shared" si="159"/>
        <v>0.62322010034171649</v>
      </c>
      <c r="J1231" s="426">
        <v>0.78445240686555029</v>
      </c>
      <c r="K1231" s="426">
        <f t="shared" si="160"/>
        <v>0.17573367729993231</v>
      </c>
      <c r="L1231" s="426"/>
      <c r="M1231" s="532">
        <f t="shared" si="161"/>
        <v>2.355115509866031E-2</v>
      </c>
      <c r="N1231" s="127"/>
      <c r="O1231" s="127"/>
    </row>
    <row r="1232" spans="1:15" s="69" customFormat="1" ht="15.75">
      <c r="A1232" s="55"/>
      <c r="B1232" s="55" t="s">
        <v>572</v>
      </c>
      <c r="C1232" s="8">
        <f>SUM(C1204:C1231)</f>
        <v>91831.689999999973</v>
      </c>
      <c r="D1232" s="8">
        <f>SUM(D1204:D1231)</f>
        <v>612.9</v>
      </c>
      <c r="E1232" s="8">
        <f>SUM(E1204:E1231)</f>
        <v>735</v>
      </c>
      <c r="F1232" s="625">
        <f>SUM(F1204:F1231)</f>
        <v>93179.589999999967</v>
      </c>
      <c r="G1232" s="178">
        <f>0.5/93179.59*F1232</f>
        <v>0.49999999999999983</v>
      </c>
      <c r="H1232" s="426">
        <f>G1232*2269.13</f>
        <v>1134.5649999999996</v>
      </c>
      <c r="I1232" s="148">
        <f t="shared" si="159"/>
        <v>417.17955049999989</v>
      </c>
      <c r="J1232" s="148">
        <f>SUM(J1204:J1231)</f>
        <v>525.10742561957727</v>
      </c>
      <c r="K1232" s="144">
        <f>G1232*235.27</f>
        <v>117.63499999999996</v>
      </c>
      <c r="L1232" s="144"/>
      <c r="M1232" s="532">
        <f t="shared" si="161"/>
        <v>2.389683753091746E-2</v>
      </c>
      <c r="N1232" s="127"/>
      <c r="O1232" s="190"/>
    </row>
    <row r="1233" spans="1:15" s="6" customFormat="1" ht="16.5" thickBot="1">
      <c r="A1233" s="127"/>
      <c r="B1233" s="127"/>
      <c r="C1233" s="127"/>
      <c r="D1233" s="127"/>
      <c r="E1233" s="127"/>
      <c r="F1233" s="336"/>
      <c r="G1233" s="118"/>
      <c r="H1233" s="144">
        <f>G1233*1780.72</f>
        <v>0</v>
      </c>
      <c r="I1233" s="150"/>
      <c r="J1233" s="118"/>
      <c r="K1233" s="118"/>
      <c r="L1233" s="118"/>
      <c r="M1233" s="180"/>
      <c r="N1233" s="127"/>
      <c r="O1233" s="127"/>
    </row>
    <row r="1234" spans="1:15" s="67" customFormat="1" ht="16.5" thickBot="1">
      <c r="A1234" s="557" t="s">
        <v>573</v>
      </c>
      <c r="B1234" s="558"/>
      <c r="C1234" s="559">
        <f t="shared" ref="C1234:M1234" si="162">C1232+C1202+C1146+C879+C747+C535+C384+C90+C67</f>
        <v>1871681.0599999996</v>
      </c>
      <c r="D1234" s="559">
        <f t="shared" si="162"/>
        <v>10680.369999999999</v>
      </c>
      <c r="E1234" s="559">
        <f t="shared" si="162"/>
        <v>25132.499999999996</v>
      </c>
      <c r="F1234" s="631">
        <f t="shared" si="162"/>
        <v>1907874.13</v>
      </c>
      <c r="G1234" s="564">
        <f t="shared" si="162"/>
        <v>13.499999999999998</v>
      </c>
      <c r="H1234" s="564">
        <f t="shared" si="162"/>
        <v>30633.255000000005</v>
      </c>
      <c r="I1234" s="564">
        <f t="shared" si="162"/>
        <v>11209.239954302069</v>
      </c>
      <c r="J1234" s="564">
        <f t="shared" si="162"/>
        <v>12709.385695326531</v>
      </c>
      <c r="K1234" s="564">
        <f t="shared" si="162"/>
        <v>3921.066154809761</v>
      </c>
      <c r="L1234" s="564"/>
      <c r="M1234" s="564">
        <f t="shared" si="162"/>
        <v>0.27706852563534884</v>
      </c>
      <c r="N1234" s="127"/>
      <c r="O1234" s="152"/>
    </row>
    <row r="1235" spans="1:15" s="6" customFormat="1" ht="15.75">
      <c r="A1235" s="127"/>
      <c r="B1235" s="127"/>
      <c r="C1235" s="127"/>
      <c r="D1235" s="127"/>
      <c r="E1235" s="127"/>
      <c r="F1235" s="336"/>
      <c r="G1235" s="118"/>
      <c r="H1235" s="118"/>
      <c r="I1235" s="118"/>
      <c r="J1235" s="118"/>
      <c r="K1235" s="118"/>
      <c r="L1235" s="118"/>
      <c r="M1235" s="182"/>
      <c r="N1235" s="127"/>
      <c r="O1235" s="127"/>
    </row>
    <row r="1236" spans="1:15" s="6" customFormat="1" ht="15.75">
      <c r="A1236" s="127"/>
      <c r="B1236" s="127"/>
      <c r="C1236" s="127"/>
      <c r="D1236" s="127"/>
      <c r="E1236" s="127"/>
      <c r="F1236" s="336"/>
      <c r="G1236" s="118"/>
      <c r="H1236" s="118"/>
      <c r="I1236" s="118"/>
      <c r="J1236" s="118"/>
      <c r="K1236" s="118"/>
      <c r="L1236" s="118"/>
      <c r="M1236" s="182"/>
      <c r="N1236" s="127"/>
      <c r="O1236" s="127"/>
    </row>
    <row r="1237" spans="1:15" s="6" customFormat="1" ht="15.75">
      <c r="A1237" s="127"/>
      <c r="B1237" s="127"/>
      <c r="C1237" s="127"/>
      <c r="D1237" s="127"/>
      <c r="E1237" s="127"/>
      <c r="F1237" s="336"/>
      <c r="G1237" s="118"/>
      <c r="H1237" s="118"/>
      <c r="I1237" s="118"/>
      <c r="J1237" s="118"/>
      <c r="K1237" s="118"/>
      <c r="L1237" s="118"/>
      <c r="M1237" s="118"/>
      <c r="N1237" s="127"/>
      <c r="O1237" s="127"/>
    </row>
    <row r="1238" spans="1:15" s="6" customFormat="1" ht="15.75">
      <c r="A1238" s="127"/>
      <c r="B1238" s="127"/>
      <c r="C1238" s="127"/>
      <c r="D1238" s="127"/>
      <c r="E1238" s="127"/>
      <c r="F1238" s="336"/>
      <c r="G1238" s="118"/>
      <c r="H1238" s="118"/>
      <c r="I1238" s="118"/>
      <c r="J1238" s="118"/>
      <c r="K1238" s="118"/>
      <c r="L1238" s="118"/>
      <c r="M1238" s="118"/>
      <c r="N1238" s="127"/>
      <c r="O1238" s="127"/>
    </row>
    <row r="1239" spans="1:15" s="6" customFormat="1" ht="15.75">
      <c r="A1239" s="127"/>
      <c r="B1239" s="127"/>
      <c r="C1239" s="127"/>
      <c r="D1239" s="127"/>
      <c r="E1239" s="127"/>
      <c r="F1239" s="336"/>
      <c r="G1239" s="118"/>
      <c r="H1239" s="118"/>
      <c r="I1239" s="118"/>
      <c r="J1239" s="118"/>
      <c r="K1239" s="118"/>
      <c r="L1239" s="118"/>
      <c r="M1239" s="118"/>
      <c r="N1239" s="127"/>
      <c r="O1239" s="127"/>
    </row>
    <row r="1240" spans="1:15" s="6" customFormat="1" ht="15.75">
      <c r="A1240" s="127"/>
      <c r="B1240" s="127"/>
      <c r="C1240" s="127"/>
      <c r="D1240" s="127"/>
      <c r="E1240" s="127"/>
      <c r="F1240" s="336"/>
      <c r="G1240" s="118"/>
      <c r="H1240" s="118"/>
      <c r="I1240" s="118"/>
      <c r="J1240" s="118"/>
      <c r="K1240" s="118"/>
      <c r="L1240" s="118"/>
      <c r="M1240" s="118"/>
      <c r="N1240" s="127"/>
      <c r="O1240" s="127"/>
    </row>
    <row r="1241" spans="1:15" s="6" customFormat="1" ht="15.75">
      <c r="A1241" s="127"/>
      <c r="B1241" s="127"/>
      <c r="C1241" s="127"/>
      <c r="D1241" s="127"/>
      <c r="E1241" s="127"/>
      <c r="F1241" s="336"/>
      <c r="G1241" s="118"/>
      <c r="H1241" s="118"/>
      <c r="I1241" s="118"/>
      <c r="J1241" s="118"/>
      <c r="K1241" s="118"/>
      <c r="L1241" s="118"/>
      <c r="M1241" s="118"/>
      <c r="N1241" s="127"/>
      <c r="O1241" s="127"/>
    </row>
    <row r="1242" spans="1:15" s="6" customFormat="1" ht="15.75">
      <c r="A1242" s="127"/>
      <c r="B1242" s="127"/>
      <c r="C1242" s="127"/>
      <c r="D1242" s="127"/>
      <c r="E1242" s="127"/>
      <c r="F1242" s="336"/>
      <c r="G1242" s="118"/>
      <c r="H1242" s="118"/>
      <c r="I1242" s="118"/>
      <c r="J1242" s="118"/>
      <c r="K1242" s="118"/>
      <c r="L1242" s="118"/>
      <c r="M1242" s="118"/>
      <c r="N1242" s="127"/>
      <c r="O1242" s="127"/>
    </row>
    <row r="1243" spans="1:15" s="6" customFormat="1" ht="15.75">
      <c r="A1243" s="127"/>
      <c r="B1243" s="127"/>
      <c r="C1243" s="127"/>
      <c r="D1243" s="127"/>
      <c r="E1243" s="127"/>
      <c r="F1243" s="336"/>
      <c r="G1243" s="118"/>
      <c r="H1243" s="118"/>
      <c r="I1243" s="118"/>
      <c r="J1243" s="118"/>
      <c r="K1243" s="118"/>
      <c r="L1243" s="118"/>
      <c r="M1243" s="118"/>
      <c r="N1243" s="127"/>
      <c r="O1243" s="127"/>
    </row>
    <row r="1244" spans="1:15" s="6" customFormat="1" ht="15.75">
      <c r="A1244" s="127"/>
      <c r="B1244" s="127"/>
      <c r="C1244" s="127"/>
      <c r="D1244" s="127"/>
      <c r="E1244" s="127"/>
      <c r="F1244" s="336"/>
      <c r="G1244" s="118"/>
      <c r="H1244" s="118"/>
      <c r="I1244" s="118"/>
      <c r="J1244" s="118"/>
      <c r="K1244" s="118"/>
      <c r="L1244" s="118"/>
      <c r="M1244" s="118"/>
      <c r="N1244" s="127"/>
      <c r="O1244" s="127"/>
    </row>
    <row r="1245" spans="1:15" s="6" customFormat="1" ht="15.75">
      <c r="A1245" s="127"/>
      <c r="B1245" s="127"/>
      <c r="C1245" s="127"/>
      <c r="D1245" s="127"/>
      <c r="E1245" s="127"/>
      <c r="F1245" s="336"/>
      <c r="G1245" s="118"/>
      <c r="H1245" s="118"/>
      <c r="I1245" s="118"/>
      <c r="J1245" s="118"/>
      <c r="K1245" s="118"/>
      <c r="L1245" s="118"/>
      <c r="M1245" s="118"/>
      <c r="N1245" s="127"/>
      <c r="O1245" s="127"/>
    </row>
    <row r="1246" spans="1:15" s="6" customFormat="1" ht="15.75">
      <c r="A1246" s="127"/>
      <c r="B1246" s="127"/>
      <c r="C1246" s="127"/>
      <c r="D1246" s="127"/>
      <c r="E1246" s="127"/>
      <c r="F1246" s="336"/>
      <c r="G1246" s="118"/>
      <c r="H1246" s="118"/>
      <c r="I1246" s="118"/>
      <c r="J1246" s="118"/>
      <c r="K1246" s="118"/>
      <c r="L1246" s="118"/>
      <c r="M1246" s="118"/>
      <c r="N1246" s="127"/>
      <c r="O1246" s="127"/>
    </row>
    <row r="1247" spans="1:15" s="6" customFormat="1" ht="15.75">
      <c r="A1247" s="127"/>
      <c r="B1247" s="127"/>
      <c r="C1247" s="127"/>
      <c r="D1247" s="127"/>
      <c r="E1247" s="127"/>
      <c r="F1247" s="336"/>
      <c r="G1247" s="118"/>
      <c r="H1247" s="118"/>
      <c r="I1247" s="118"/>
      <c r="J1247" s="118"/>
      <c r="K1247" s="118"/>
      <c r="L1247" s="118"/>
      <c r="M1247" s="118"/>
      <c r="N1247" s="127"/>
      <c r="O1247" s="127"/>
    </row>
    <row r="1248" spans="1:15" s="6" customFormat="1" ht="15.75">
      <c r="A1248" s="127"/>
      <c r="B1248" s="127"/>
      <c r="C1248" s="127"/>
      <c r="D1248" s="127"/>
      <c r="E1248" s="127"/>
      <c r="F1248" s="336"/>
      <c r="G1248" s="118"/>
      <c r="H1248" s="118"/>
      <c r="I1248" s="118"/>
      <c r="J1248" s="118"/>
      <c r="K1248" s="118"/>
      <c r="L1248" s="118"/>
      <c r="M1248" s="118"/>
      <c r="N1248" s="127"/>
      <c r="O1248" s="127"/>
    </row>
    <row r="1249" spans="1:15" s="6" customFormat="1" ht="15.75">
      <c r="A1249" s="127"/>
      <c r="B1249" s="127"/>
      <c r="C1249" s="127"/>
      <c r="D1249" s="127"/>
      <c r="E1249" s="127"/>
      <c r="F1249" s="336"/>
      <c r="G1249" s="118"/>
      <c r="H1249" s="118"/>
      <c r="I1249" s="118"/>
      <c r="J1249" s="118"/>
      <c r="K1249" s="118"/>
      <c r="L1249" s="118"/>
      <c r="M1249" s="118"/>
      <c r="N1249" s="127"/>
      <c r="O1249" s="127"/>
    </row>
    <row r="1250" spans="1:15" s="6" customFormat="1" ht="15.75">
      <c r="A1250" s="127"/>
      <c r="B1250" s="127"/>
      <c r="C1250" s="127"/>
      <c r="D1250" s="127"/>
      <c r="E1250" s="127"/>
      <c r="F1250" s="336"/>
      <c r="G1250" s="118"/>
      <c r="H1250" s="118"/>
      <c r="I1250" s="118"/>
      <c r="J1250" s="118"/>
      <c r="K1250" s="118"/>
      <c r="L1250" s="118"/>
      <c r="M1250" s="118"/>
      <c r="N1250" s="127"/>
      <c r="O1250" s="127"/>
    </row>
    <row r="1251" spans="1:15" s="6" customFormat="1" ht="15.75">
      <c r="A1251" s="127"/>
      <c r="B1251" s="127"/>
      <c r="C1251" s="127"/>
      <c r="D1251" s="127"/>
      <c r="E1251" s="127"/>
      <c r="F1251" s="336"/>
      <c r="G1251" s="118"/>
      <c r="H1251" s="118"/>
      <c r="I1251" s="118"/>
      <c r="J1251" s="118"/>
      <c r="K1251" s="118"/>
      <c r="L1251" s="118"/>
      <c r="M1251" s="118"/>
      <c r="N1251" s="127"/>
      <c r="O1251" s="127"/>
    </row>
    <row r="1252" spans="1:15" s="6" customFormat="1" ht="15.75">
      <c r="A1252" s="127"/>
      <c r="B1252" s="127"/>
      <c r="C1252" s="127"/>
      <c r="D1252" s="127"/>
      <c r="E1252" s="127"/>
      <c r="F1252" s="336"/>
      <c r="G1252" s="118"/>
      <c r="H1252" s="118"/>
      <c r="I1252" s="118"/>
      <c r="J1252" s="118"/>
      <c r="K1252" s="118"/>
      <c r="L1252" s="118"/>
      <c r="M1252" s="118"/>
      <c r="N1252" s="127"/>
      <c r="O1252" s="127"/>
    </row>
    <row r="1253" spans="1:15" s="6" customFormat="1" ht="15.75">
      <c r="A1253" s="127"/>
      <c r="B1253" s="127"/>
      <c r="C1253" s="127"/>
      <c r="D1253" s="127"/>
      <c r="E1253" s="127"/>
      <c r="F1253" s="336"/>
      <c r="G1253" s="118"/>
      <c r="H1253" s="118"/>
      <c r="I1253" s="118"/>
      <c r="J1253" s="118"/>
      <c r="K1253" s="118"/>
      <c r="L1253" s="118"/>
      <c r="M1253" s="118"/>
      <c r="N1253" s="127"/>
      <c r="O1253" s="127"/>
    </row>
    <row r="1254" spans="1:15" s="6" customFormat="1" ht="15.75">
      <c r="A1254" s="127"/>
      <c r="B1254" s="127"/>
      <c r="C1254" s="127"/>
      <c r="D1254" s="127"/>
      <c r="E1254" s="127"/>
      <c r="F1254" s="336"/>
      <c r="G1254" s="118"/>
      <c r="H1254" s="118"/>
      <c r="I1254" s="118"/>
      <c r="J1254" s="118"/>
      <c r="K1254" s="118"/>
      <c r="L1254" s="118"/>
      <c r="M1254" s="118"/>
      <c r="N1254" s="127"/>
      <c r="O1254" s="127"/>
    </row>
    <row r="1255" spans="1:15" s="6" customFormat="1" ht="15.75">
      <c r="A1255" s="127"/>
      <c r="B1255" s="127"/>
      <c r="C1255" s="127"/>
      <c r="D1255" s="127"/>
      <c r="E1255" s="127"/>
      <c r="F1255" s="336"/>
      <c r="G1255" s="118"/>
      <c r="H1255" s="118"/>
      <c r="I1255" s="118"/>
      <c r="J1255" s="118"/>
      <c r="K1255" s="118"/>
      <c r="L1255" s="118"/>
      <c r="M1255" s="118"/>
      <c r="N1255" s="127"/>
      <c r="O1255" s="127"/>
    </row>
    <row r="1256" spans="1:15" s="6" customFormat="1" ht="15.75">
      <c r="A1256" s="127"/>
      <c r="B1256" s="127"/>
      <c r="C1256" s="127"/>
      <c r="D1256" s="127"/>
      <c r="E1256" s="127"/>
      <c r="F1256" s="336"/>
      <c r="G1256" s="118"/>
      <c r="H1256" s="118"/>
      <c r="I1256" s="118"/>
      <c r="J1256" s="118"/>
      <c r="K1256" s="118"/>
      <c r="L1256" s="118"/>
      <c r="M1256" s="118"/>
      <c r="N1256" s="127"/>
      <c r="O1256" s="127"/>
    </row>
    <row r="1257" spans="1:15" s="6" customFormat="1" ht="15.75">
      <c r="A1257" s="127"/>
      <c r="B1257" s="127"/>
      <c r="C1257" s="127"/>
      <c r="D1257" s="127"/>
      <c r="E1257" s="127"/>
      <c r="F1257" s="336"/>
      <c r="G1257" s="118"/>
      <c r="H1257" s="118"/>
      <c r="I1257" s="118"/>
      <c r="J1257" s="118"/>
      <c r="K1257" s="118"/>
      <c r="L1257" s="118"/>
      <c r="M1257" s="118"/>
      <c r="N1257" s="127"/>
      <c r="O1257" s="127"/>
    </row>
    <row r="1258" spans="1:15" s="6" customFormat="1" ht="15.75">
      <c r="A1258" s="127"/>
      <c r="B1258" s="127"/>
      <c r="C1258" s="127"/>
      <c r="D1258" s="127"/>
      <c r="E1258" s="127"/>
      <c r="F1258" s="336"/>
      <c r="G1258" s="118"/>
      <c r="H1258" s="118"/>
      <c r="I1258" s="118"/>
      <c r="J1258" s="118"/>
      <c r="K1258" s="118"/>
      <c r="L1258" s="118"/>
      <c r="M1258" s="118"/>
      <c r="N1258" s="127"/>
      <c r="O1258" s="127"/>
    </row>
    <row r="1259" spans="1:15" s="6" customFormat="1" ht="15.75">
      <c r="A1259" s="127"/>
      <c r="B1259" s="127"/>
      <c r="C1259" s="127"/>
      <c r="D1259" s="127"/>
      <c r="E1259" s="127"/>
      <c r="F1259" s="336"/>
      <c r="G1259" s="118"/>
      <c r="H1259" s="118"/>
      <c r="I1259" s="118"/>
      <c r="J1259" s="118"/>
      <c r="K1259" s="118"/>
      <c r="L1259" s="118"/>
      <c r="M1259" s="118"/>
      <c r="N1259" s="127"/>
      <c r="O1259" s="127"/>
    </row>
    <row r="1260" spans="1:15" s="6" customFormat="1" ht="15.75">
      <c r="A1260" s="127"/>
      <c r="B1260" s="127"/>
      <c r="C1260" s="127"/>
      <c r="D1260" s="127"/>
      <c r="E1260" s="127"/>
      <c r="F1260" s="336"/>
      <c r="G1260" s="118"/>
      <c r="H1260" s="118"/>
      <c r="I1260" s="118"/>
      <c r="J1260" s="118"/>
      <c r="K1260" s="118"/>
      <c r="L1260" s="118"/>
      <c r="M1260" s="118"/>
      <c r="N1260" s="127"/>
      <c r="O1260" s="127"/>
    </row>
    <row r="1261" spans="1:15" s="6" customFormat="1" ht="15.75">
      <c r="A1261" s="127"/>
      <c r="B1261" s="127"/>
      <c r="C1261" s="127"/>
      <c r="D1261" s="127"/>
      <c r="E1261" s="127"/>
      <c r="F1261" s="336"/>
      <c r="G1261" s="118"/>
      <c r="H1261" s="118"/>
      <c r="I1261" s="118"/>
      <c r="J1261" s="118"/>
      <c r="K1261" s="118"/>
      <c r="L1261" s="118"/>
      <c r="M1261" s="118"/>
      <c r="N1261" s="127"/>
      <c r="O1261" s="127"/>
    </row>
    <row r="1262" spans="1:15" s="6" customFormat="1" ht="15.75">
      <c r="A1262" s="127"/>
      <c r="B1262" s="127"/>
      <c r="C1262" s="127"/>
      <c r="D1262" s="127"/>
      <c r="E1262" s="127"/>
      <c r="F1262" s="336"/>
      <c r="G1262" s="118"/>
      <c r="H1262" s="118"/>
      <c r="I1262" s="118"/>
      <c r="J1262" s="118"/>
      <c r="K1262" s="118"/>
      <c r="L1262" s="118"/>
      <c r="M1262" s="118"/>
      <c r="N1262" s="127"/>
      <c r="O1262" s="127"/>
    </row>
    <row r="1263" spans="1:15" s="6" customFormat="1" ht="15.75">
      <c r="A1263" s="127"/>
      <c r="B1263" s="127"/>
      <c r="C1263" s="127"/>
      <c r="D1263" s="127"/>
      <c r="E1263" s="127"/>
      <c r="F1263" s="336"/>
      <c r="G1263" s="118"/>
      <c r="H1263" s="118"/>
      <c r="I1263" s="118"/>
      <c r="J1263" s="118"/>
      <c r="K1263" s="118"/>
      <c r="L1263" s="118"/>
      <c r="M1263" s="118"/>
      <c r="N1263" s="127"/>
      <c r="O1263" s="127"/>
    </row>
    <row r="1264" spans="1:15" s="6" customFormat="1" ht="15.75">
      <c r="A1264" s="127"/>
      <c r="B1264" s="127"/>
      <c r="C1264" s="127"/>
      <c r="D1264" s="127"/>
      <c r="E1264" s="127"/>
      <c r="F1264" s="336"/>
      <c r="G1264" s="118"/>
      <c r="H1264" s="118"/>
      <c r="I1264" s="118"/>
      <c r="J1264" s="118"/>
      <c r="K1264" s="118"/>
      <c r="L1264" s="118"/>
      <c r="M1264" s="118"/>
      <c r="N1264" s="127"/>
      <c r="O1264" s="127"/>
    </row>
    <row r="1265" spans="1:15" s="6" customFormat="1" ht="15.75">
      <c r="A1265" s="127"/>
      <c r="B1265" s="127"/>
      <c r="C1265" s="127"/>
      <c r="D1265" s="127"/>
      <c r="E1265" s="127"/>
      <c r="F1265" s="336"/>
      <c r="G1265" s="118"/>
      <c r="H1265" s="118"/>
      <c r="I1265" s="118"/>
      <c r="J1265" s="118"/>
      <c r="K1265" s="118"/>
      <c r="L1265" s="118"/>
      <c r="M1265" s="118"/>
      <c r="N1265" s="127"/>
      <c r="O1265" s="127"/>
    </row>
    <row r="1266" spans="1:15" s="6" customFormat="1" ht="15.75">
      <c r="A1266" s="127"/>
      <c r="B1266" s="127"/>
      <c r="C1266" s="127"/>
      <c r="D1266" s="127"/>
      <c r="E1266" s="127"/>
      <c r="F1266" s="336"/>
      <c r="G1266" s="118"/>
      <c r="H1266" s="118"/>
      <c r="I1266" s="118"/>
      <c r="J1266" s="118"/>
      <c r="K1266" s="118"/>
      <c r="L1266" s="118"/>
      <c r="M1266" s="118"/>
      <c r="N1266" s="127"/>
      <c r="O1266" s="127"/>
    </row>
    <row r="1267" spans="1:15" s="6" customFormat="1" ht="15.75">
      <c r="A1267" s="127"/>
      <c r="B1267" s="127"/>
      <c r="C1267" s="127"/>
      <c r="D1267" s="127"/>
      <c r="E1267" s="127"/>
      <c r="F1267" s="336"/>
      <c r="G1267" s="118"/>
      <c r="H1267" s="118"/>
      <c r="I1267" s="118"/>
      <c r="J1267" s="118"/>
      <c r="K1267" s="118"/>
      <c r="L1267" s="118"/>
      <c r="M1267" s="118"/>
      <c r="N1267" s="127"/>
      <c r="O1267" s="127"/>
    </row>
    <row r="1268" spans="1:15" s="6" customFormat="1" ht="15.75">
      <c r="A1268" s="127"/>
      <c r="B1268" s="127"/>
      <c r="C1268" s="127"/>
      <c r="D1268" s="127"/>
      <c r="E1268" s="127"/>
      <c r="F1268" s="336"/>
      <c r="G1268" s="118"/>
      <c r="H1268" s="118"/>
      <c r="I1268" s="118"/>
      <c r="J1268" s="118"/>
      <c r="K1268" s="118"/>
      <c r="L1268" s="118"/>
      <c r="M1268" s="118"/>
      <c r="N1268" s="127"/>
      <c r="O1268" s="127"/>
    </row>
    <row r="1269" spans="1:15" s="6" customFormat="1" ht="15.75">
      <c r="A1269" s="127"/>
      <c r="B1269" s="127"/>
      <c r="C1269" s="127"/>
      <c r="D1269" s="127"/>
      <c r="E1269" s="127"/>
      <c r="F1269" s="336"/>
      <c r="G1269" s="118"/>
      <c r="H1269" s="118"/>
      <c r="I1269" s="118"/>
      <c r="J1269" s="118"/>
      <c r="K1269" s="118"/>
      <c r="L1269" s="118"/>
      <c r="M1269" s="118"/>
      <c r="N1269" s="127"/>
      <c r="O1269" s="127"/>
    </row>
    <row r="1270" spans="1:15" s="6" customFormat="1" ht="15.75">
      <c r="A1270" s="127"/>
      <c r="B1270" s="127"/>
      <c r="C1270" s="127"/>
      <c r="D1270" s="127"/>
      <c r="E1270" s="127"/>
      <c r="F1270" s="336"/>
      <c r="G1270" s="118"/>
      <c r="H1270" s="118"/>
      <c r="I1270" s="118"/>
      <c r="J1270" s="118"/>
      <c r="K1270" s="118"/>
      <c r="L1270" s="118"/>
      <c r="M1270" s="118"/>
      <c r="N1270" s="127"/>
      <c r="O1270" s="127"/>
    </row>
    <row r="1271" spans="1:15" s="6" customFormat="1" ht="15.75">
      <c r="A1271" s="127"/>
      <c r="B1271" s="127"/>
      <c r="C1271" s="127"/>
      <c r="D1271" s="127"/>
      <c r="E1271" s="127"/>
      <c r="F1271" s="336"/>
      <c r="G1271" s="118"/>
      <c r="H1271" s="118"/>
      <c r="I1271" s="118"/>
      <c r="J1271" s="118"/>
      <c r="K1271" s="118"/>
      <c r="L1271" s="118"/>
      <c r="M1271" s="118"/>
      <c r="N1271" s="127"/>
      <c r="O1271" s="127"/>
    </row>
    <row r="1272" spans="1:15" s="6" customFormat="1" ht="15.75">
      <c r="A1272" s="127"/>
      <c r="B1272" s="127"/>
      <c r="C1272" s="127"/>
      <c r="D1272" s="127"/>
      <c r="E1272" s="127"/>
      <c r="F1272" s="336"/>
      <c r="G1272" s="118"/>
      <c r="H1272" s="118"/>
      <c r="I1272" s="118"/>
      <c r="J1272" s="118"/>
      <c r="K1272" s="118"/>
      <c r="L1272" s="118"/>
      <c r="M1272" s="118"/>
      <c r="N1272" s="127"/>
      <c r="O1272" s="127"/>
    </row>
    <row r="1273" spans="1:15" s="6" customFormat="1" ht="15.75">
      <c r="A1273" s="127"/>
      <c r="B1273" s="127"/>
      <c r="C1273" s="127"/>
      <c r="D1273" s="127"/>
      <c r="E1273" s="127"/>
      <c r="F1273" s="336"/>
      <c r="G1273" s="118"/>
      <c r="H1273" s="118"/>
      <c r="I1273" s="118"/>
      <c r="J1273" s="118"/>
      <c r="K1273" s="118"/>
      <c r="L1273" s="118"/>
      <c r="M1273" s="118"/>
      <c r="N1273" s="127"/>
      <c r="O1273" s="127"/>
    </row>
    <row r="1274" spans="1:15" s="6" customFormat="1" ht="15.75">
      <c r="A1274" s="127"/>
      <c r="B1274" s="127"/>
      <c r="C1274" s="127"/>
      <c r="D1274" s="127"/>
      <c r="E1274" s="127"/>
      <c r="F1274" s="336"/>
      <c r="G1274" s="118"/>
      <c r="H1274" s="118"/>
      <c r="I1274" s="118"/>
      <c r="J1274" s="118"/>
      <c r="K1274" s="118"/>
      <c r="L1274" s="118"/>
      <c r="M1274" s="118"/>
      <c r="N1274" s="127"/>
      <c r="O1274" s="127"/>
    </row>
    <row r="1275" spans="1:15" s="6" customFormat="1" ht="15.75">
      <c r="A1275" s="127"/>
      <c r="B1275" s="127"/>
      <c r="C1275" s="127"/>
      <c r="D1275" s="127"/>
      <c r="E1275" s="127"/>
      <c r="F1275" s="336"/>
      <c r="G1275" s="118"/>
      <c r="H1275" s="118"/>
      <c r="I1275" s="118"/>
      <c r="J1275" s="118"/>
      <c r="K1275" s="118"/>
      <c r="L1275" s="118"/>
      <c r="M1275" s="118"/>
      <c r="N1275" s="127"/>
      <c r="O1275" s="127"/>
    </row>
    <row r="1276" spans="1:15" s="6" customFormat="1" ht="15.75">
      <c r="A1276" s="127"/>
      <c r="B1276" s="127"/>
      <c r="C1276" s="127"/>
      <c r="D1276" s="127"/>
      <c r="E1276" s="127"/>
      <c r="F1276" s="336"/>
      <c r="G1276" s="118"/>
      <c r="H1276" s="118"/>
      <c r="I1276" s="118"/>
      <c r="J1276" s="118"/>
      <c r="K1276" s="118"/>
      <c r="L1276" s="118"/>
      <c r="M1276" s="118"/>
      <c r="N1276" s="127"/>
      <c r="O1276" s="127"/>
    </row>
    <row r="1277" spans="1:15" s="6" customFormat="1" ht="15.75">
      <c r="A1277" s="127"/>
      <c r="B1277" s="127"/>
      <c r="C1277" s="127"/>
      <c r="D1277" s="127"/>
      <c r="E1277" s="127"/>
      <c r="F1277" s="336"/>
      <c r="G1277" s="118"/>
      <c r="H1277" s="118"/>
      <c r="I1277" s="118"/>
      <c r="J1277" s="118"/>
      <c r="K1277" s="118"/>
      <c r="L1277" s="118"/>
      <c r="M1277" s="118"/>
      <c r="N1277" s="127"/>
      <c r="O1277" s="127"/>
    </row>
    <row r="1278" spans="1:15" s="6" customFormat="1" ht="15.75">
      <c r="A1278" s="127"/>
      <c r="B1278" s="127"/>
      <c r="C1278" s="127"/>
      <c r="D1278" s="127"/>
      <c r="E1278" s="127"/>
      <c r="F1278" s="336"/>
      <c r="G1278" s="118"/>
      <c r="H1278" s="118"/>
      <c r="I1278" s="118"/>
      <c r="J1278" s="118"/>
      <c r="K1278" s="118"/>
      <c r="L1278" s="118"/>
      <c r="M1278" s="118"/>
      <c r="N1278" s="127"/>
      <c r="O1278" s="127"/>
    </row>
    <row r="1279" spans="1:15" s="6" customFormat="1" ht="15.75">
      <c r="A1279" s="127"/>
      <c r="B1279" s="127"/>
      <c r="C1279" s="127"/>
      <c r="D1279" s="127"/>
      <c r="E1279" s="127"/>
      <c r="F1279" s="336"/>
      <c r="G1279" s="118"/>
      <c r="H1279" s="118"/>
      <c r="I1279" s="118"/>
      <c r="J1279" s="118"/>
      <c r="K1279" s="118"/>
      <c r="L1279" s="118"/>
      <c r="M1279" s="118"/>
      <c r="N1279" s="127"/>
      <c r="O1279" s="127"/>
    </row>
    <row r="1280" spans="1:15" s="6" customFormat="1" ht="15.75">
      <c r="A1280" s="127"/>
      <c r="B1280" s="127"/>
      <c r="C1280" s="127"/>
      <c r="D1280" s="127"/>
      <c r="E1280" s="127"/>
      <c r="F1280" s="336"/>
      <c r="G1280" s="118"/>
      <c r="H1280" s="118"/>
      <c r="I1280" s="118"/>
      <c r="J1280" s="118"/>
      <c r="K1280" s="118"/>
      <c r="L1280" s="118"/>
      <c r="M1280" s="118"/>
      <c r="N1280" s="127"/>
      <c r="O1280" s="127"/>
    </row>
    <row r="1281" spans="1:15" s="6" customFormat="1" ht="15.75">
      <c r="A1281" s="127"/>
      <c r="B1281" s="127"/>
      <c r="C1281" s="127"/>
      <c r="D1281" s="127"/>
      <c r="E1281" s="127"/>
      <c r="F1281" s="336"/>
      <c r="G1281" s="118"/>
      <c r="H1281" s="118"/>
      <c r="I1281" s="118"/>
      <c r="J1281" s="118"/>
      <c r="K1281" s="118"/>
      <c r="L1281" s="118"/>
      <c r="M1281" s="118"/>
      <c r="N1281" s="127"/>
      <c r="O1281" s="127"/>
    </row>
    <row r="1282" spans="1:15" s="6" customFormat="1" ht="15.75">
      <c r="A1282" s="127"/>
      <c r="B1282" s="127"/>
      <c r="C1282" s="127"/>
      <c r="D1282" s="127"/>
      <c r="E1282" s="127"/>
      <c r="F1282" s="336"/>
      <c r="G1282" s="118"/>
      <c r="H1282" s="118"/>
      <c r="I1282" s="118"/>
      <c r="J1282" s="118"/>
      <c r="K1282" s="118"/>
      <c r="L1282" s="118"/>
      <c r="M1282" s="118"/>
      <c r="N1282" s="127"/>
      <c r="O1282" s="127"/>
    </row>
    <row r="1283" spans="1:15" s="6" customFormat="1" ht="15.75">
      <c r="A1283" s="127"/>
      <c r="B1283" s="127"/>
      <c r="C1283" s="127"/>
      <c r="D1283" s="127"/>
      <c r="E1283" s="127"/>
      <c r="F1283" s="336"/>
      <c r="G1283" s="118"/>
      <c r="H1283" s="118"/>
      <c r="I1283" s="118"/>
      <c r="J1283" s="118"/>
      <c r="K1283" s="118"/>
      <c r="L1283" s="118"/>
      <c r="M1283" s="118"/>
      <c r="N1283" s="127"/>
      <c r="O1283" s="127"/>
    </row>
    <row r="1284" spans="1:15" s="6" customFormat="1" ht="15.75">
      <c r="A1284" s="127"/>
      <c r="B1284" s="127"/>
      <c r="C1284" s="127"/>
      <c r="D1284" s="127"/>
      <c r="E1284" s="127"/>
      <c r="F1284" s="336"/>
      <c r="G1284" s="118"/>
      <c r="H1284" s="118"/>
      <c r="I1284" s="118"/>
      <c r="J1284" s="118"/>
      <c r="K1284" s="118"/>
      <c r="L1284" s="118"/>
      <c r="M1284" s="118"/>
      <c r="N1284" s="127"/>
      <c r="O1284" s="127"/>
    </row>
    <row r="1285" spans="1:15" s="6" customFormat="1" ht="15.75">
      <c r="A1285" s="127"/>
      <c r="B1285" s="127"/>
      <c r="C1285" s="127"/>
      <c r="D1285" s="127"/>
      <c r="E1285" s="127"/>
      <c r="F1285" s="336"/>
      <c r="G1285" s="118"/>
      <c r="H1285" s="118"/>
      <c r="I1285" s="118"/>
      <c r="J1285" s="118"/>
      <c r="K1285" s="118"/>
      <c r="L1285" s="118"/>
      <c r="M1285" s="118"/>
      <c r="N1285" s="127"/>
      <c r="O1285" s="127"/>
    </row>
    <row r="1286" spans="1:15" s="6" customFormat="1" ht="15.75">
      <c r="A1286" s="127"/>
      <c r="B1286" s="127"/>
      <c r="C1286" s="127"/>
      <c r="D1286" s="127"/>
      <c r="E1286" s="127"/>
      <c r="F1286" s="336"/>
      <c r="G1286" s="118"/>
      <c r="H1286" s="118"/>
      <c r="I1286" s="118"/>
      <c r="J1286" s="118"/>
      <c r="K1286" s="118"/>
      <c r="L1286" s="118"/>
      <c r="M1286" s="118"/>
      <c r="N1286" s="127"/>
      <c r="O1286" s="127"/>
    </row>
    <row r="1287" spans="1:15" s="6" customFormat="1" ht="15.75">
      <c r="A1287" s="127"/>
      <c r="B1287" s="127"/>
      <c r="C1287" s="127"/>
      <c r="D1287" s="127"/>
      <c r="E1287" s="127"/>
      <c r="F1287" s="336"/>
      <c r="G1287" s="118"/>
      <c r="H1287" s="118"/>
      <c r="I1287" s="118"/>
      <c r="J1287" s="118"/>
      <c r="K1287" s="118"/>
      <c r="L1287" s="118"/>
      <c r="M1287" s="118"/>
      <c r="N1287" s="127"/>
      <c r="O1287" s="127"/>
    </row>
    <row r="1288" spans="1:15" s="6" customFormat="1" ht="15.75">
      <c r="A1288" s="127"/>
      <c r="B1288" s="127"/>
      <c r="C1288" s="127"/>
      <c r="D1288" s="127"/>
      <c r="E1288" s="127"/>
      <c r="F1288" s="336"/>
      <c r="G1288" s="118"/>
      <c r="H1288" s="118"/>
      <c r="I1288" s="118"/>
      <c r="J1288" s="118"/>
      <c r="K1288" s="118"/>
      <c r="L1288" s="118"/>
      <c r="M1288" s="118"/>
      <c r="N1288" s="127"/>
      <c r="O1288" s="127"/>
    </row>
    <row r="1289" spans="1:15" s="6" customFormat="1" ht="15.75">
      <c r="A1289" s="127"/>
      <c r="B1289" s="127"/>
      <c r="C1289" s="127"/>
      <c r="D1289" s="127"/>
      <c r="E1289" s="127"/>
      <c r="F1289" s="336"/>
      <c r="G1289" s="118"/>
      <c r="H1289" s="118"/>
      <c r="I1289" s="118"/>
      <c r="J1289" s="118"/>
      <c r="K1289" s="118"/>
      <c r="L1289" s="118"/>
      <c r="M1289" s="118"/>
      <c r="N1289" s="127"/>
      <c r="O1289" s="127"/>
    </row>
    <row r="1290" spans="1:15" s="6" customFormat="1" ht="15.75">
      <c r="A1290" s="127"/>
      <c r="B1290" s="127"/>
      <c r="C1290" s="127"/>
      <c r="D1290" s="127"/>
      <c r="E1290" s="127"/>
      <c r="F1290" s="336"/>
      <c r="G1290" s="118"/>
      <c r="H1290" s="118"/>
      <c r="I1290" s="118"/>
      <c r="J1290" s="118"/>
      <c r="K1290" s="118"/>
      <c r="L1290" s="118"/>
      <c r="M1290" s="118"/>
      <c r="N1290" s="127"/>
      <c r="O1290" s="127"/>
    </row>
    <row r="1291" spans="1:15" s="6" customFormat="1" ht="15.75">
      <c r="A1291" s="127"/>
      <c r="B1291" s="127"/>
      <c r="C1291" s="127"/>
      <c r="D1291" s="127"/>
      <c r="E1291" s="127"/>
      <c r="F1291" s="336"/>
      <c r="G1291" s="118"/>
      <c r="H1291" s="118"/>
      <c r="I1291" s="118"/>
      <c r="J1291" s="118"/>
      <c r="K1291" s="118"/>
      <c r="L1291" s="118"/>
      <c r="M1291" s="118"/>
      <c r="N1291" s="127"/>
      <c r="O1291" s="127"/>
    </row>
    <row r="1292" spans="1:15" s="6" customFormat="1" ht="15.75">
      <c r="A1292" s="127"/>
      <c r="B1292" s="127"/>
      <c r="C1292" s="127"/>
      <c r="D1292" s="127"/>
      <c r="E1292" s="127"/>
      <c r="F1292" s="336"/>
      <c r="G1292" s="118"/>
      <c r="H1292" s="118"/>
      <c r="I1292" s="118"/>
      <c r="J1292" s="118"/>
      <c r="K1292" s="118"/>
      <c r="L1292" s="118"/>
      <c r="M1292" s="118"/>
      <c r="N1292" s="127"/>
      <c r="O1292" s="127"/>
    </row>
    <row r="1293" spans="1:15" s="6" customFormat="1" ht="15.75">
      <c r="A1293" s="127"/>
      <c r="B1293" s="127"/>
      <c r="C1293" s="127"/>
      <c r="D1293" s="127"/>
      <c r="E1293" s="127"/>
      <c r="F1293" s="336"/>
      <c r="G1293" s="118"/>
      <c r="H1293" s="118"/>
      <c r="I1293" s="118"/>
      <c r="J1293" s="118"/>
      <c r="K1293" s="118"/>
      <c r="L1293" s="118"/>
      <c r="M1293" s="118"/>
      <c r="N1293" s="127"/>
      <c r="O1293" s="127"/>
    </row>
    <row r="1294" spans="1:15" s="6" customFormat="1" ht="15.75">
      <c r="A1294" s="127"/>
      <c r="B1294" s="127"/>
      <c r="C1294" s="127"/>
      <c r="D1294" s="127"/>
      <c r="E1294" s="127"/>
      <c r="F1294" s="336"/>
      <c r="G1294" s="118"/>
      <c r="H1294" s="118"/>
      <c r="I1294" s="118"/>
      <c r="J1294" s="118"/>
      <c r="K1294" s="118"/>
      <c r="L1294" s="118"/>
      <c r="M1294" s="118"/>
      <c r="N1294" s="127"/>
      <c r="O1294" s="127"/>
    </row>
    <row r="1295" spans="1:15" s="6" customFormat="1" ht="15.75">
      <c r="A1295" s="127"/>
      <c r="B1295" s="127"/>
      <c r="C1295" s="127"/>
      <c r="D1295" s="127"/>
      <c r="E1295" s="127"/>
      <c r="F1295" s="336"/>
      <c r="G1295" s="118"/>
      <c r="H1295" s="118"/>
      <c r="I1295" s="118"/>
      <c r="J1295" s="118"/>
      <c r="K1295" s="118"/>
      <c r="L1295" s="118"/>
      <c r="M1295" s="118"/>
      <c r="N1295" s="127"/>
      <c r="O1295" s="127"/>
    </row>
    <row r="1296" spans="1:15" s="6" customFormat="1" ht="15.75">
      <c r="A1296" s="127"/>
      <c r="B1296" s="127"/>
      <c r="C1296" s="127"/>
      <c r="D1296" s="127"/>
      <c r="E1296" s="127"/>
      <c r="F1296" s="336"/>
      <c r="G1296" s="118"/>
      <c r="H1296" s="118"/>
      <c r="I1296" s="118"/>
      <c r="J1296" s="118"/>
      <c r="K1296" s="118"/>
      <c r="L1296" s="118"/>
      <c r="M1296" s="118"/>
      <c r="N1296" s="127"/>
      <c r="O1296" s="127"/>
    </row>
    <row r="1297" spans="1:15" s="6" customFormat="1" ht="15.75">
      <c r="A1297" s="127"/>
      <c r="B1297" s="127"/>
      <c r="C1297" s="127"/>
      <c r="D1297" s="127"/>
      <c r="E1297" s="127"/>
      <c r="F1297" s="336"/>
      <c r="G1297" s="118"/>
      <c r="H1297" s="118"/>
      <c r="I1297" s="118"/>
      <c r="J1297" s="118"/>
      <c r="K1297" s="118"/>
      <c r="L1297" s="118"/>
      <c r="M1297" s="118"/>
      <c r="N1297" s="127"/>
      <c r="O1297" s="127"/>
    </row>
    <row r="1298" spans="1:15" s="6" customFormat="1" ht="15.75">
      <c r="A1298" s="127"/>
      <c r="B1298" s="127"/>
      <c r="C1298" s="127"/>
      <c r="D1298" s="127"/>
      <c r="E1298" s="127"/>
      <c r="F1298" s="336"/>
      <c r="G1298" s="118"/>
      <c r="H1298" s="118"/>
      <c r="I1298" s="118"/>
      <c r="J1298" s="118"/>
      <c r="K1298" s="118"/>
      <c r="L1298" s="118"/>
      <c r="M1298" s="118"/>
      <c r="N1298" s="127"/>
      <c r="O1298" s="127"/>
    </row>
    <row r="1299" spans="1:15" s="6" customFormat="1" ht="15.75">
      <c r="A1299" s="127"/>
      <c r="B1299" s="127"/>
      <c r="C1299" s="127"/>
      <c r="D1299" s="127"/>
      <c r="E1299" s="127"/>
      <c r="F1299" s="336"/>
      <c r="G1299" s="118"/>
      <c r="H1299" s="118"/>
      <c r="I1299" s="118"/>
      <c r="J1299" s="118"/>
      <c r="K1299" s="118"/>
      <c r="L1299" s="118"/>
      <c r="M1299" s="118"/>
      <c r="N1299" s="127"/>
      <c r="O1299" s="127"/>
    </row>
    <row r="1300" spans="1:15" s="6" customFormat="1" ht="15.75">
      <c r="A1300" s="127"/>
      <c r="B1300" s="127"/>
      <c r="C1300" s="127"/>
      <c r="D1300" s="127"/>
      <c r="E1300" s="127"/>
      <c r="F1300" s="336"/>
      <c r="G1300" s="118"/>
      <c r="H1300" s="118"/>
      <c r="I1300" s="118"/>
      <c r="J1300" s="118"/>
      <c r="K1300" s="118"/>
      <c r="L1300" s="118"/>
      <c r="M1300" s="118"/>
      <c r="N1300" s="127"/>
      <c r="O1300" s="127"/>
    </row>
    <row r="1301" spans="1:15" s="6" customFormat="1" ht="15.75">
      <c r="A1301" s="127"/>
      <c r="B1301" s="127"/>
      <c r="C1301" s="127"/>
      <c r="D1301" s="127"/>
      <c r="E1301" s="127"/>
      <c r="F1301" s="336"/>
      <c r="G1301" s="118"/>
      <c r="H1301" s="118"/>
      <c r="I1301" s="118"/>
      <c r="J1301" s="118"/>
      <c r="K1301" s="118"/>
      <c r="L1301" s="118"/>
      <c r="M1301" s="118"/>
      <c r="N1301" s="127"/>
      <c r="O1301" s="127"/>
    </row>
    <row r="1302" spans="1:15" s="6" customFormat="1" ht="15.75">
      <c r="A1302" s="127"/>
      <c r="B1302" s="127"/>
      <c r="C1302" s="127"/>
      <c r="D1302" s="127"/>
      <c r="E1302" s="127"/>
      <c r="F1302" s="336"/>
      <c r="G1302" s="118"/>
      <c r="H1302" s="118"/>
      <c r="I1302" s="118"/>
      <c r="J1302" s="118"/>
      <c r="K1302" s="118"/>
      <c r="L1302" s="118"/>
      <c r="M1302" s="118"/>
      <c r="N1302" s="127"/>
      <c r="O1302" s="127"/>
    </row>
    <row r="1303" spans="1:15" s="6" customFormat="1" ht="15.75">
      <c r="A1303" s="127"/>
      <c r="B1303" s="127"/>
      <c r="C1303" s="127"/>
      <c r="D1303" s="127"/>
      <c r="E1303" s="127"/>
      <c r="F1303" s="336"/>
      <c r="G1303" s="118"/>
      <c r="H1303" s="118"/>
      <c r="I1303" s="118"/>
      <c r="J1303" s="118"/>
      <c r="K1303" s="118"/>
      <c r="L1303" s="118"/>
      <c r="M1303" s="118"/>
      <c r="N1303" s="127"/>
      <c r="O1303" s="127"/>
    </row>
    <row r="1304" spans="1:15" s="6" customFormat="1" ht="15.75">
      <c r="A1304" s="127"/>
      <c r="B1304" s="127"/>
      <c r="C1304" s="127"/>
      <c r="D1304" s="127"/>
      <c r="E1304" s="127"/>
      <c r="F1304" s="336"/>
      <c r="G1304" s="118"/>
      <c r="H1304" s="118"/>
      <c r="I1304" s="118"/>
      <c r="J1304" s="118"/>
      <c r="K1304" s="118"/>
      <c r="L1304" s="118"/>
      <c r="M1304" s="118"/>
      <c r="N1304" s="127"/>
      <c r="O1304" s="127"/>
    </row>
    <row r="1305" spans="1:15" s="6" customFormat="1" ht="15.75">
      <c r="A1305" s="127"/>
      <c r="B1305" s="127"/>
      <c r="C1305" s="127"/>
      <c r="D1305" s="127"/>
      <c r="E1305" s="127"/>
      <c r="F1305" s="336"/>
      <c r="G1305" s="118"/>
      <c r="H1305" s="118"/>
      <c r="I1305" s="118"/>
      <c r="J1305" s="118"/>
      <c r="K1305" s="118"/>
      <c r="L1305" s="118"/>
      <c r="M1305" s="118"/>
      <c r="N1305" s="127"/>
      <c r="O1305" s="127"/>
    </row>
    <row r="1306" spans="1:15" s="6" customFormat="1" ht="15.75">
      <c r="A1306" s="127"/>
      <c r="B1306" s="127"/>
      <c r="C1306" s="127"/>
      <c r="D1306" s="127"/>
      <c r="E1306" s="127"/>
      <c r="F1306" s="336"/>
      <c r="G1306" s="118"/>
      <c r="H1306" s="118"/>
      <c r="I1306" s="118"/>
      <c r="J1306" s="118"/>
      <c r="K1306" s="118"/>
      <c r="L1306" s="118"/>
      <c r="M1306" s="118"/>
      <c r="N1306" s="127"/>
      <c r="O1306" s="127"/>
    </row>
    <row r="1307" spans="1:15" s="10" customFormat="1" ht="15.75">
      <c r="A1307" s="127"/>
      <c r="B1307" s="127"/>
      <c r="C1307" s="127"/>
      <c r="D1307" s="127"/>
      <c r="E1307" s="127"/>
      <c r="F1307" s="336"/>
      <c r="G1307" s="118"/>
      <c r="H1307" s="118"/>
      <c r="I1307" s="118"/>
      <c r="J1307" s="118"/>
      <c r="K1307" s="118"/>
      <c r="L1307" s="118"/>
      <c r="M1307" s="118"/>
      <c r="N1307" s="127"/>
      <c r="O1307" s="162"/>
    </row>
    <row r="1308" spans="1:15" s="10" customFormat="1" ht="15.75">
      <c r="A1308" s="127"/>
      <c r="B1308" s="127"/>
      <c r="C1308" s="127"/>
      <c r="D1308" s="127"/>
      <c r="E1308" s="127"/>
      <c r="F1308" s="336"/>
      <c r="G1308" s="118"/>
      <c r="H1308" s="118"/>
      <c r="I1308" s="118"/>
      <c r="J1308" s="118"/>
      <c r="K1308" s="118"/>
      <c r="L1308" s="118"/>
      <c r="M1308" s="118"/>
      <c r="N1308" s="127"/>
      <c r="O1308" s="162"/>
    </row>
    <row r="1309" spans="1:15" s="10" customFormat="1" ht="15.75">
      <c r="A1309" s="127"/>
      <c r="B1309" s="127"/>
      <c r="C1309" s="127"/>
      <c r="D1309" s="127"/>
      <c r="E1309" s="127"/>
      <c r="F1309" s="336"/>
      <c r="G1309" s="118"/>
      <c r="H1309" s="118"/>
      <c r="I1309" s="118"/>
      <c r="J1309" s="118"/>
      <c r="K1309" s="118"/>
      <c r="L1309" s="118"/>
      <c r="M1309" s="118"/>
      <c r="N1309" s="127"/>
      <c r="O1309" s="162"/>
    </row>
    <row r="1310" spans="1:15" s="10" customFormat="1" ht="15.75">
      <c r="A1310" s="127"/>
      <c r="B1310" s="127"/>
      <c r="C1310" s="127"/>
      <c r="D1310" s="127"/>
      <c r="E1310" s="127"/>
      <c r="F1310" s="336"/>
      <c r="G1310" s="118"/>
      <c r="H1310" s="118"/>
      <c r="I1310" s="118"/>
      <c r="J1310" s="118"/>
      <c r="K1310" s="118"/>
      <c r="L1310" s="118"/>
      <c r="M1310" s="118"/>
      <c r="N1310" s="127"/>
      <c r="O1310" s="162"/>
    </row>
    <row r="1311" spans="1:15" s="10" customFormat="1" ht="15.75">
      <c r="A1311" s="127"/>
      <c r="B1311" s="127"/>
      <c r="C1311" s="127"/>
      <c r="D1311" s="127"/>
      <c r="E1311" s="127"/>
      <c r="F1311" s="336"/>
      <c r="G1311" s="118"/>
      <c r="H1311" s="118"/>
      <c r="I1311" s="118"/>
      <c r="J1311" s="118"/>
      <c r="K1311" s="118"/>
      <c r="L1311" s="118"/>
      <c r="M1311" s="118"/>
      <c r="N1311" s="127"/>
      <c r="O1311" s="162"/>
    </row>
    <row r="1312" spans="1:15" s="10" customFormat="1" ht="15.75">
      <c r="A1312" s="127"/>
      <c r="B1312" s="127"/>
      <c r="C1312" s="127"/>
      <c r="D1312" s="127"/>
      <c r="E1312" s="127"/>
      <c r="F1312" s="336"/>
      <c r="G1312" s="118"/>
      <c r="H1312" s="118"/>
      <c r="I1312" s="118"/>
      <c r="J1312" s="118"/>
      <c r="K1312" s="118"/>
      <c r="L1312" s="118"/>
      <c r="M1312" s="118"/>
      <c r="N1312" s="127"/>
      <c r="O1312" s="162"/>
    </row>
    <row r="1313" spans="1:15" s="10" customFormat="1" ht="15.75">
      <c r="A1313" s="127"/>
      <c r="B1313" s="127"/>
      <c r="C1313" s="127"/>
      <c r="D1313" s="127"/>
      <c r="E1313" s="127"/>
      <c r="F1313" s="336"/>
      <c r="G1313" s="118"/>
      <c r="H1313" s="118"/>
      <c r="I1313" s="118"/>
      <c r="J1313" s="118"/>
      <c r="K1313" s="118"/>
      <c r="L1313" s="118"/>
      <c r="M1313" s="118"/>
      <c r="N1313" s="127"/>
      <c r="O1313" s="162"/>
    </row>
    <row r="1314" spans="1:15" s="10" customFormat="1" ht="15.75">
      <c r="A1314" s="127"/>
      <c r="B1314" s="127"/>
      <c r="C1314" s="127"/>
      <c r="D1314" s="127"/>
      <c r="E1314" s="127"/>
      <c r="F1314" s="336"/>
      <c r="G1314" s="118"/>
      <c r="H1314" s="118"/>
      <c r="I1314" s="118"/>
      <c r="J1314" s="118"/>
      <c r="K1314" s="118"/>
      <c r="L1314" s="118"/>
      <c r="M1314" s="118"/>
      <c r="N1314" s="127"/>
      <c r="O1314" s="162"/>
    </row>
    <row r="1315" spans="1:15" s="10" customFormat="1" ht="15.75">
      <c r="A1315" s="127"/>
      <c r="B1315" s="127"/>
      <c r="C1315" s="127"/>
      <c r="D1315" s="127"/>
      <c r="E1315" s="127"/>
      <c r="F1315" s="336"/>
      <c r="G1315" s="118"/>
      <c r="H1315" s="118"/>
      <c r="I1315" s="118"/>
      <c r="J1315" s="118"/>
      <c r="K1315" s="118"/>
      <c r="L1315" s="118"/>
      <c r="M1315" s="118"/>
      <c r="N1315" s="127"/>
      <c r="O1315" s="162"/>
    </row>
    <row r="1316" spans="1:15" s="10" customFormat="1" ht="15.75">
      <c r="A1316" s="127"/>
      <c r="B1316" s="127"/>
      <c r="C1316" s="127"/>
      <c r="D1316" s="127"/>
      <c r="E1316" s="127"/>
      <c r="F1316" s="336"/>
      <c r="G1316" s="118"/>
      <c r="H1316" s="118"/>
      <c r="I1316" s="118"/>
      <c r="J1316" s="118"/>
      <c r="K1316" s="118"/>
      <c r="L1316" s="118"/>
      <c r="M1316" s="118"/>
      <c r="N1316" s="127"/>
      <c r="O1316" s="162"/>
    </row>
    <row r="1317" spans="1:15" s="10" customFormat="1" ht="15.75">
      <c r="A1317" s="127"/>
      <c r="B1317" s="127"/>
      <c r="C1317" s="127"/>
      <c r="D1317" s="127"/>
      <c r="E1317" s="127"/>
      <c r="F1317" s="336"/>
      <c r="G1317" s="118"/>
      <c r="H1317" s="118"/>
      <c r="I1317" s="118"/>
      <c r="J1317" s="118"/>
      <c r="K1317" s="118"/>
      <c r="L1317" s="118"/>
      <c r="M1317" s="118"/>
      <c r="N1317" s="127"/>
      <c r="O1317" s="162"/>
    </row>
    <row r="1318" spans="1:15" s="10" customFormat="1" ht="15.75">
      <c r="A1318" s="127"/>
      <c r="B1318" s="127"/>
      <c r="C1318" s="127"/>
      <c r="D1318" s="127"/>
      <c r="E1318" s="127"/>
      <c r="F1318" s="336"/>
      <c r="G1318" s="118"/>
      <c r="H1318" s="118"/>
      <c r="I1318" s="118"/>
      <c r="J1318" s="118"/>
      <c r="K1318" s="118"/>
      <c r="L1318" s="118"/>
      <c r="M1318" s="118"/>
      <c r="N1318" s="127"/>
      <c r="O1318" s="162"/>
    </row>
    <row r="1319" spans="1:15" s="10" customFormat="1" ht="15.75">
      <c r="A1319" s="127"/>
      <c r="B1319" s="127"/>
      <c r="C1319" s="127"/>
      <c r="D1319" s="127"/>
      <c r="E1319" s="127"/>
      <c r="F1319" s="336"/>
      <c r="G1319" s="118"/>
      <c r="H1319" s="118"/>
      <c r="I1319" s="118"/>
      <c r="J1319" s="118"/>
      <c r="K1319" s="118"/>
      <c r="L1319" s="118"/>
      <c r="M1319" s="118"/>
      <c r="N1319" s="127"/>
      <c r="O1319" s="162"/>
    </row>
    <row r="1320" spans="1:15" s="10" customFormat="1" ht="15.75">
      <c r="A1320" s="127"/>
      <c r="B1320" s="127"/>
      <c r="C1320" s="127"/>
      <c r="D1320" s="127"/>
      <c r="E1320" s="127"/>
      <c r="F1320" s="336"/>
      <c r="G1320" s="118"/>
      <c r="H1320" s="118"/>
      <c r="I1320" s="118"/>
      <c r="J1320" s="118"/>
      <c r="K1320" s="118"/>
      <c r="L1320" s="118"/>
      <c r="M1320" s="118"/>
      <c r="N1320" s="127"/>
      <c r="O1320" s="162"/>
    </row>
    <row r="1321" spans="1:15" s="10" customFormat="1" ht="15.75">
      <c r="A1321" s="127"/>
      <c r="B1321" s="127"/>
      <c r="C1321" s="127"/>
      <c r="D1321" s="127"/>
      <c r="E1321" s="127"/>
      <c r="F1321" s="336"/>
      <c r="G1321" s="118"/>
      <c r="H1321" s="118"/>
      <c r="I1321" s="118"/>
      <c r="J1321" s="118"/>
      <c r="K1321" s="118"/>
      <c r="L1321" s="118"/>
      <c r="M1321" s="118"/>
      <c r="N1321" s="127"/>
      <c r="O1321" s="162"/>
    </row>
    <row r="1322" spans="1:15" s="10" customFormat="1" ht="15.75">
      <c r="A1322" s="127"/>
      <c r="B1322" s="127"/>
      <c r="C1322" s="127"/>
      <c r="D1322" s="127"/>
      <c r="E1322" s="127"/>
      <c r="F1322" s="336"/>
      <c r="G1322" s="118"/>
      <c r="H1322" s="118"/>
      <c r="I1322" s="118"/>
      <c r="J1322" s="118"/>
      <c r="K1322" s="118"/>
      <c r="L1322" s="118"/>
      <c r="M1322" s="118"/>
      <c r="N1322" s="127"/>
      <c r="O1322" s="162"/>
    </row>
    <row r="1323" spans="1:15" s="10" customFormat="1" ht="15.75">
      <c r="A1323" s="127"/>
      <c r="B1323" s="127"/>
      <c r="C1323" s="127"/>
      <c r="D1323" s="127"/>
      <c r="E1323" s="127"/>
      <c r="F1323" s="336"/>
      <c r="G1323" s="118"/>
      <c r="H1323" s="118"/>
      <c r="I1323" s="118"/>
      <c r="J1323" s="118"/>
      <c r="K1323" s="118"/>
      <c r="L1323" s="118"/>
      <c r="M1323" s="118"/>
      <c r="N1323" s="127"/>
      <c r="O1323" s="162"/>
    </row>
    <row r="1324" spans="1:15" s="10" customFormat="1" ht="15.75">
      <c r="A1324" s="127"/>
      <c r="B1324" s="127"/>
      <c r="C1324" s="127"/>
      <c r="D1324" s="127"/>
      <c r="E1324" s="127"/>
      <c r="F1324" s="336"/>
      <c r="G1324" s="118"/>
      <c r="H1324" s="118"/>
      <c r="I1324" s="118"/>
      <c r="J1324" s="118"/>
      <c r="K1324" s="118"/>
      <c r="L1324" s="118"/>
      <c r="M1324" s="118"/>
      <c r="N1324" s="127"/>
      <c r="O1324" s="162"/>
    </row>
    <row r="1325" spans="1:15" s="10" customFormat="1" ht="15.75">
      <c r="A1325" s="127"/>
      <c r="B1325" s="127"/>
      <c r="C1325" s="127"/>
      <c r="D1325" s="127"/>
      <c r="E1325" s="127"/>
      <c r="F1325" s="336"/>
      <c r="G1325" s="118"/>
      <c r="H1325" s="118"/>
      <c r="I1325" s="118"/>
      <c r="J1325" s="118"/>
      <c r="K1325" s="118"/>
      <c r="L1325" s="118"/>
      <c r="M1325" s="118"/>
      <c r="N1325" s="127"/>
      <c r="O1325" s="162"/>
    </row>
    <row r="1326" spans="1:15" s="10" customFormat="1" ht="15.75">
      <c r="A1326" s="127"/>
      <c r="B1326" s="127"/>
      <c r="C1326" s="127"/>
      <c r="D1326" s="127"/>
      <c r="E1326" s="127"/>
      <c r="F1326" s="336"/>
      <c r="G1326" s="118"/>
      <c r="H1326" s="118"/>
      <c r="I1326" s="118"/>
      <c r="J1326" s="118"/>
      <c r="K1326" s="118"/>
      <c r="L1326" s="118"/>
      <c r="M1326" s="118"/>
      <c r="N1326" s="127"/>
      <c r="O1326" s="162"/>
    </row>
    <row r="1327" spans="1:15" s="10" customFormat="1" ht="15.75">
      <c r="A1327" s="127"/>
      <c r="B1327" s="127"/>
      <c r="C1327" s="127"/>
      <c r="D1327" s="127"/>
      <c r="E1327" s="127"/>
      <c r="F1327" s="336"/>
      <c r="G1327" s="118"/>
      <c r="H1327" s="118"/>
      <c r="I1327" s="118"/>
      <c r="J1327" s="118"/>
      <c r="K1327" s="118"/>
      <c r="L1327" s="118"/>
      <c r="M1327" s="118"/>
      <c r="N1327" s="127"/>
      <c r="O1327" s="162"/>
    </row>
    <row r="1328" spans="1:15" s="10" customFormat="1" ht="15.75">
      <c r="A1328" s="127"/>
      <c r="B1328" s="127"/>
      <c r="C1328" s="127"/>
      <c r="D1328" s="127"/>
      <c r="E1328" s="127"/>
      <c r="F1328" s="336"/>
      <c r="G1328" s="118"/>
      <c r="H1328" s="118"/>
      <c r="I1328" s="118"/>
      <c r="J1328" s="118"/>
      <c r="K1328" s="118"/>
      <c r="L1328" s="118"/>
      <c r="M1328" s="118"/>
      <c r="N1328" s="127"/>
      <c r="O1328" s="162"/>
    </row>
    <row r="1329" spans="1:15" s="10" customFormat="1" ht="15.75">
      <c r="A1329" s="127"/>
      <c r="B1329" s="127"/>
      <c r="C1329" s="127"/>
      <c r="D1329" s="127"/>
      <c r="E1329" s="127"/>
      <c r="F1329" s="336"/>
      <c r="G1329" s="118"/>
      <c r="H1329" s="118"/>
      <c r="I1329" s="118"/>
      <c r="J1329" s="118"/>
      <c r="K1329" s="118"/>
      <c r="L1329" s="118"/>
      <c r="M1329" s="118"/>
      <c r="N1329" s="127"/>
      <c r="O1329" s="162"/>
    </row>
    <row r="1330" spans="1:15" s="10" customFormat="1" ht="15.75">
      <c r="A1330" s="127"/>
      <c r="B1330" s="127"/>
      <c r="C1330" s="127"/>
      <c r="D1330" s="127"/>
      <c r="E1330" s="127"/>
      <c r="F1330" s="336"/>
      <c r="G1330" s="118"/>
      <c r="H1330" s="118"/>
      <c r="I1330" s="118"/>
      <c r="J1330" s="118"/>
      <c r="K1330" s="118"/>
      <c r="L1330" s="118"/>
      <c r="M1330" s="118"/>
      <c r="N1330" s="127"/>
      <c r="O1330" s="162"/>
    </row>
    <row r="1331" spans="1:15" s="10" customFormat="1" ht="15.75">
      <c r="A1331" s="127"/>
      <c r="B1331" s="127"/>
      <c r="C1331" s="127"/>
      <c r="D1331" s="127"/>
      <c r="E1331" s="127"/>
      <c r="F1331" s="336"/>
      <c r="G1331" s="118"/>
      <c r="H1331" s="118"/>
      <c r="I1331" s="118"/>
      <c r="J1331" s="118"/>
      <c r="K1331" s="118"/>
      <c r="L1331" s="118"/>
      <c r="M1331" s="118"/>
      <c r="N1331" s="127"/>
      <c r="O1331" s="162"/>
    </row>
    <row r="1332" spans="1:15" s="10" customFormat="1" ht="15.75">
      <c r="A1332" s="127"/>
      <c r="B1332" s="127"/>
      <c r="C1332" s="127"/>
      <c r="D1332" s="127"/>
      <c r="E1332" s="127"/>
      <c r="F1332" s="336"/>
      <c r="G1332" s="118"/>
      <c r="H1332" s="118"/>
      <c r="I1332" s="118"/>
      <c r="J1332" s="118"/>
      <c r="K1332" s="118"/>
      <c r="L1332" s="118"/>
      <c r="M1332" s="118"/>
      <c r="N1332" s="127"/>
      <c r="O1332" s="162"/>
    </row>
    <row r="1333" spans="1:15" s="10" customFormat="1" ht="15.75">
      <c r="A1333" s="127"/>
      <c r="B1333" s="127"/>
      <c r="C1333" s="127"/>
      <c r="D1333" s="127"/>
      <c r="E1333" s="127"/>
      <c r="F1333" s="336"/>
      <c r="G1333" s="118"/>
      <c r="H1333" s="118"/>
      <c r="I1333" s="118"/>
      <c r="J1333" s="118"/>
      <c r="K1333" s="118"/>
      <c r="L1333" s="118"/>
      <c r="M1333" s="118"/>
      <c r="N1333" s="127"/>
      <c r="O1333" s="162"/>
    </row>
    <row r="1334" spans="1:15" s="10" customFormat="1" ht="15.75">
      <c r="A1334" s="127"/>
      <c r="B1334" s="127"/>
      <c r="C1334" s="127"/>
      <c r="D1334" s="127"/>
      <c r="E1334" s="127"/>
      <c r="F1334" s="336"/>
      <c r="G1334" s="118"/>
      <c r="H1334" s="118"/>
      <c r="I1334" s="118"/>
      <c r="J1334" s="118"/>
      <c r="K1334" s="118"/>
      <c r="L1334" s="118"/>
      <c r="M1334" s="118"/>
      <c r="N1334" s="127"/>
      <c r="O1334" s="162"/>
    </row>
    <row r="1335" spans="1:15" s="10" customFormat="1" ht="15.75">
      <c r="A1335" s="127"/>
      <c r="B1335" s="127"/>
      <c r="C1335" s="127"/>
      <c r="D1335" s="127"/>
      <c r="E1335" s="127"/>
      <c r="F1335" s="336"/>
      <c r="G1335" s="118"/>
      <c r="H1335" s="118"/>
      <c r="I1335" s="118"/>
      <c r="J1335" s="118"/>
      <c r="K1335" s="118"/>
      <c r="L1335" s="118"/>
      <c r="M1335" s="118"/>
      <c r="N1335" s="127"/>
      <c r="O1335" s="162"/>
    </row>
    <row r="1336" spans="1:15" s="10" customFormat="1" ht="15.75">
      <c r="A1336" s="127"/>
      <c r="B1336" s="127"/>
      <c r="C1336" s="127"/>
      <c r="D1336" s="127"/>
      <c r="E1336" s="127"/>
      <c r="F1336" s="336"/>
      <c r="G1336" s="118"/>
      <c r="H1336" s="118"/>
      <c r="I1336" s="118"/>
      <c r="J1336" s="118"/>
      <c r="K1336" s="118"/>
      <c r="L1336" s="118"/>
      <c r="M1336" s="118"/>
      <c r="N1336" s="127"/>
      <c r="O1336" s="162"/>
    </row>
    <row r="1337" spans="1:15" s="10" customFormat="1" ht="15.75">
      <c r="A1337" s="127"/>
      <c r="B1337" s="127"/>
      <c r="C1337" s="127"/>
      <c r="D1337" s="127"/>
      <c r="E1337" s="127"/>
      <c r="F1337" s="336"/>
      <c r="G1337" s="118"/>
      <c r="H1337" s="118"/>
      <c r="I1337" s="118"/>
      <c r="J1337" s="118"/>
      <c r="K1337" s="118"/>
      <c r="L1337" s="118"/>
      <c r="M1337" s="118"/>
      <c r="N1337" s="127"/>
      <c r="O1337" s="162"/>
    </row>
    <row r="1338" spans="1:15" s="10" customFormat="1" ht="15.75">
      <c r="A1338" s="127"/>
      <c r="B1338" s="127"/>
      <c r="C1338" s="127"/>
      <c r="D1338" s="127"/>
      <c r="E1338" s="127"/>
      <c r="F1338" s="336"/>
      <c r="G1338" s="118"/>
      <c r="H1338" s="118"/>
      <c r="I1338" s="118"/>
      <c r="J1338" s="118"/>
      <c r="K1338" s="118"/>
      <c r="L1338" s="118"/>
      <c r="M1338" s="118"/>
      <c r="N1338" s="127"/>
      <c r="O1338" s="162"/>
    </row>
    <row r="1339" spans="1:15" s="10" customFormat="1" ht="15.75">
      <c r="A1339" s="127"/>
      <c r="B1339" s="127"/>
      <c r="C1339" s="127"/>
      <c r="D1339" s="127"/>
      <c r="E1339" s="127"/>
      <c r="F1339" s="336"/>
      <c r="G1339" s="118"/>
      <c r="H1339" s="118"/>
      <c r="I1339" s="118"/>
      <c r="J1339" s="118"/>
      <c r="K1339" s="118"/>
      <c r="L1339" s="118"/>
      <c r="M1339" s="118"/>
      <c r="N1339" s="127"/>
      <c r="O1339" s="162"/>
    </row>
    <row r="1340" spans="1:15" s="10" customFormat="1" ht="15.75">
      <c r="A1340" s="127"/>
      <c r="B1340" s="127"/>
      <c r="C1340" s="127"/>
      <c r="D1340" s="127"/>
      <c r="E1340" s="127"/>
      <c r="F1340" s="336"/>
      <c r="G1340" s="118"/>
      <c r="H1340" s="118"/>
      <c r="I1340" s="118"/>
      <c r="J1340" s="118"/>
      <c r="K1340" s="118"/>
      <c r="L1340" s="118"/>
      <c r="M1340" s="118"/>
      <c r="N1340" s="127"/>
      <c r="O1340" s="162"/>
    </row>
    <row r="1341" spans="1:15" s="10" customFormat="1" ht="15.75">
      <c r="A1341" s="127"/>
      <c r="B1341" s="127"/>
      <c r="C1341" s="127"/>
      <c r="D1341" s="127"/>
      <c r="E1341" s="127"/>
      <c r="F1341" s="336"/>
      <c r="G1341" s="118"/>
      <c r="H1341" s="118"/>
      <c r="I1341" s="118"/>
      <c r="J1341" s="118"/>
      <c r="K1341" s="118"/>
      <c r="L1341" s="118"/>
      <c r="M1341" s="118"/>
      <c r="N1341" s="127"/>
      <c r="O1341" s="162"/>
    </row>
    <row r="1342" spans="1:15" s="10" customFormat="1" ht="15.75">
      <c r="A1342" s="127"/>
      <c r="B1342" s="127"/>
      <c r="C1342" s="127"/>
      <c r="D1342" s="127"/>
      <c r="E1342" s="127"/>
      <c r="F1342" s="336"/>
      <c r="G1342" s="118"/>
      <c r="H1342" s="118"/>
      <c r="I1342" s="118"/>
      <c r="J1342" s="118"/>
      <c r="K1342" s="118"/>
      <c r="L1342" s="118"/>
      <c r="M1342" s="118"/>
      <c r="N1342" s="127"/>
      <c r="O1342" s="162"/>
    </row>
    <row r="1343" spans="1:15" s="10" customFormat="1" ht="15.75">
      <c r="A1343" s="127"/>
      <c r="B1343" s="127"/>
      <c r="C1343" s="127"/>
      <c r="D1343" s="127"/>
      <c r="E1343" s="127"/>
      <c r="F1343" s="336"/>
      <c r="G1343" s="118"/>
      <c r="H1343" s="118"/>
      <c r="I1343" s="118"/>
      <c r="J1343" s="118"/>
      <c r="K1343" s="118"/>
      <c r="L1343" s="118"/>
      <c r="M1343" s="118"/>
      <c r="N1343" s="127"/>
      <c r="O1343" s="162"/>
    </row>
    <row r="1344" spans="1:15" s="10" customFormat="1" ht="15.75">
      <c r="A1344" s="127"/>
      <c r="B1344" s="127"/>
      <c r="C1344" s="127"/>
      <c r="D1344" s="127"/>
      <c r="E1344" s="127"/>
      <c r="F1344" s="336"/>
      <c r="G1344" s="118"/>
      <c r="H1344" s="118"/>
      <c r="I1344" s="118"/>
      <c r="J1344" s="118"/>
      <c r="K1344" s="118"/>
      <c r="L1344" s="118"/>
      <c r="M1344" s="118"/>
      <c r="N1344" s="127"/>
      <c r="O1344" s="162"/>
    </row>
    <row r="1345" spans="1:15" s="10" customFormat="1" ht="15.75">
      <c r="A1345" s="127"/>
      <c r="B1345" s="127"/>
      <c r="C1345" s="127"/>
      <c r="D1345" s="127"/>
      <c r="E1345" s="127"/>
      <c r="F1345" s="336"/>
      <c r="G1345" s="118"/>
      <c r="H1345" s="118"/>
      <c r="I1345" s="118"/>
      <c r="J1345" s="118"/>
      <c r="K1345" s="118"/>
      <c r="L1345" s="118"/>
      <c r="M1345" s="118"/>
      <c r="N1345" s="127"/>
      <c r="O1345" s="162"/>
    </row>
    <row r="1346" spans="1:15" s="10" customFormat="1" ht="15.75">
      <c r="A1346" s="127"/>
      <c r="B1346" s="127"/>
      <c r="C1346" s="127"/>
      <c r="D1346" s="127"/>
      <c r="E1346" s="127"/>
      <c r="F1346" s="336"/>
      <c r="G1346" s="118"/>
      <c r="H1346" s="118"/>
      <c r="I1346" s="118"/>
      <c r="J1346" s="118"/>
      <c r="K1346" s="118"/>
      <c r="L1346" s="118"/>
      <c r="M1346" s="118"/>
      <c r="N1346" s="127"/>
      <c r="O1346" s="162"/>
    </row>
    <row r="1347" spans="1:15" s="10" customFormat="1" ht="15.75">
      <c r="A1347" s="127"/>
      <c r="B1347" s="127"/>
      <c r="C1347" s="127"/>
      <c r="D1347" s="127"/>
      <c r="E1347" s="127"/>
      <c r="F1347" s="336"/>
      <c r="G1347" s="118"/>
      <c r="H1347" s="118"/>
      <c r="I1347" s="118"/>
      <c r="J1347" s="118"/>
      <c r="K1347" s="118"/>
      <c r="L1347" s="118"/>
      <c r="M1347" s="118"/>
      <c r="N1347" s="127"/>
      <c r="O1347" s="162"/>
    </row>
    <row r="1348" spans="1:15" s="10" customFormat="1" ht="15.75">
      <c r="A1348" s="127"/>
      <c r="B1348" s="127"/>
      <c r="C1348" s="127"/>
      <c r="D1348" s="127"/>
      <c r="E1348" s="127"/>
      <c r="F1348" s="336"/>
      <c r="G1348" s="118"/>
      <c r="H1348" s="118"/>
      <c r="I1348" s="118"/>
      <c r="J1348" s="118"/>
      <c r="K1348" s="118"/>
      <c r="L1348" s="118"/>
      <c r="M1348" s="118"/>
      <c r="N1348" s="127"/>
      <c r="O1348" s="162"/>
    </row>
    <row r="1349" spans="1:15" s="10" customFormat="1" ht="15.75">
      <c r="A1349" s="127"/>
      <c r="B1349" s="127"/>
      <c r="C1349" s="127"/>
      <c r="D1349" s="127"/>
      <c r="E1349" s="127"/>
      <c r="F1349" s="336"/>
      <c r="G1349" s="118"/>
      <c r="H1349" s="118"/>
      <c r="I1349" s="118"/>
      <c r="J1349" s="118"/>
      <c r="K1349" s="118"/>
      <c r="L1349" s="118"/>
      <c r="M1349" s="118"/>
      <c r="N1349" s="127"/>
      <c r="O1349" s="162"/>
    </row>
    <row r="1350" spans="1:15" s="10" customFormat="1" ht="15.75">
      <c r="A1350" s="127"/>
      <c r="B1350" s="127"/>
      <c r="C1350" s="127"/>
      <c r="D1350" s="127"/>
      <c r="E1350" s="127"/>
      <c r="F1350" s="336"/>
      <c r="G1350" s="118"/>
      <c r="H1350" s="118"/>
      <c r="I1350" s="118"/>
      <c r="J1350" s="118"/>
      <c r="K1350" s="118"/>
      <c r="L1350" s="118"/>
      <c r="M1350" s="118"/>
      <c r="N1350" s="127"/>
      <c r="O1350" s="162"/>
    </row>
    <row r="1351" spans="1:15" s="10" customFormat="1" ht="15.75">
      <c r="A1351" s="127"/>
      <c r="B1351" s="127"/>
      <c r="C1351" s="127"/>
      <c r="D1351" s="127"/>
      <c r="E1351" s="127"/>
      <c r="F1351" s="336"/>
      <c r="G1351" s="118"/>
      <c r="H1351" s="118"/>
      <c r="I1351" s="118"/>
      <c r="J1351" s="118"/>
      <c r="K1351" s="118"/>
      <c r="L1351" s="118"/>
      <c r="M1351" s="118"/>
      <c r="N1351" s="127"/>
      <c r="O1351" s="162"/>
    </row>
    <row r="1352" spans="1:15" s="10" customFormat="1" ht="15.75">
      <c r="A1352" s="127"/>
      <c r="B1352" s="127"/>
      <c r="C1352" s="127"/>
      <c r="D1352" s="127"/>
      <c r="E1352" s="127"/>
      <c r="F1352" s="336"/>
      <c r="G1352" s="118"/>
      <c r="H1352" s="118"/>
      <c r="I1352" s="118"/>
      <c r="J1352" s="118"/>
      <c r="K1352" s="118"/>
      <c r="L1352" s="118"/>
      <c r="M1352" s="118"/>
      <c r="N1352" s="127"/>
      <c r="O1352" s="162"/>
    </row>
    <row r="1353" spans="1:15" s="10" customFormat="1" ht="15.75">
      <c r="A1353" s="127"/>
      <c r="B1353" s="127"/>
      <c r="C1353" s="127"/>
      <c r="D1353" s="127"/>
      <c r="E1353" s="127"/>
      <c r="F1353" s="336"/>
      <c r="G1353" s="118"/>
      <c r="H1353" s="118"/>
      <c r="I1353" s="118"/>
      <c r="J1353" s="118"/>
      <c r="K1353" s="118"/>
      <c r="L1353" s="118"/>
      <c r="M1353" s="118"/>
      <c r="N1353" s="127"/>
      <c r="O1353" s="162"/>
    </row>
    <row r="1354" spans="1:15" s="10" customFormat="1" ht="15.75">
      <c r="A1354" s="127"/>
      <c r="B1354" s="127"/>
      <c r="C1354" s="127"/>
      <c r="D1354" s="127"/>
      <c r="E1354" s="127"/>
      <c r="F1354" s="336"/>
      <c r="G1354" s="118"/>
      <c r="H1354" s="118"/>
      <c r="I1354" s="118"/>
      <c r="J1354" s="118"/>
      <c r="K1354" s="118"/>
      <c r="L1354" s="118"/>
      <c r="M1354" s="118"/>
      <c r="N1354" s="127"/>
      <c r="O1354" s="162"/>
    </row>
    <row r="1355" spans="1:15" s="10" customFormat="1" ht="15.75">
      <c r="A1355" s="127"/>
      <c r="B1355" s="127"/>
      <c r="C1355" s="127"/>
      <c r="D1355" s="127"/>
      <c r="E1355" s="127"/>
      <c r="F1355" s="336"/>
      <c r="G1355" s="118"/>
      <c r="H1355" s="118"/>
      <c r="I1355" s="118"/>
      <c r="J1355" s="118"/>
      <c r="K1355" s="118"/>
      <c r="L1355" s="118"/>
      <c r="M1355" s="118"/>
      <c r="N1355" s="127"/>
      <c r="O1355" s="162"/>
    </row>
    <row r="1356" spans="1:15" s="10" customFormat="1" ht="15.75">
      <c r="A1356" s="127"/>
      <c r="B1356" s="127"/>
      <c r="C1356" s="127"/>
      <c r="D1356" s="127"/>
      <c r="E1356" s="127"/>
      <c r="F1356" s="336"/>
      <c r="G1356" s="118"/>
      <c r="H1356" s="118"/>
      <c r="I1356" s="118"/>
      <c r="J1356" s="118"/>
      <c r="K1356" s="118"/>
      <c r="L1356" s="118"/>
      <c r="M1356" s="118"/>
      <c r="N1356" s="127"/>
      <c r="O1356" s="162"/>
    </row>
    <row r="1357" spans="1:15" s="10" customFormat="1" ht="15.75">
      <c r="A1357" s="127"/>
      <c r="B1357" s="127"/>
      <c r="C1357" s="127"/>
      <c r="D1357" s="127"/>
      <c r="E1357" s="127"/>
      <c r="F1357" s="336"/>
      <c r="G1357" s="118"/>
      <c r="H1357" s="118"/>
      <c r="I1357" s="118"/>
      <c r="J1357" s="118"/>
      <c r="K1357" s="118"/>
      <c r="L1357" s="118"/>
      <c r="M1357" s="118"/>
      <c r="N1357" s="127"/>
      <c r="O1357" s="162"/>
    </row>
    <row r="1358" spans="1:15" s="10" customFormat="1" ht="15.75">
      <c r="A1358" s="127"/>
      <c r="B1358" s="127"/>
      <c r="C1358" s="127"/>
      <c r="D1358" s="127"/>
      <c r="E1358" s="127"/>
      <c r="F1358" s="336"/>
      <c r="G1358" s="118"/>
      <c r="H1358" s="118"/>
      <c r="I1358" s="118"/>
      <c r="J1358" s="118"/>
      <c r="K1358" s="118"/>
      <c r="L1358" s="118"/>
      <c r="M1358" s="118"/>
      <c r="N1358" s="127"/>
      <c r="O1358" s="162"/>
    </row>
    <row r="1359" spans="1:15" s="10" customFormat="1" ht="15.75">
      <c r="A1359" s="127"/>
      <c r="B1359" s="127"/>
      <c r="C1359" s="127"/>
      <c r="D1359" s="127"/>
      <c r="E1359" s="127"/>
      <c r="F1359" s="336"/>
      <c r="G1359" s="118"/>
      <c r="H1359" s="118"/>
      <c r="I1359" s="118"/>
      <c r="J1359" s="118"/>
      <c r="K1359" s="118"/>
      <c r="L1359" s="118"/>
      <c r="M1359" s="118"/>
      <c r="N1359" s="127"/>
      <c r="O1359" s="162"/>
    </row>
    <row r="1360" spans="1:15" s="10" customFormat="1" ht="15.75">
      <c r="A1360" s="127"/>
      <c r="B1360" s="127"/>
      <c r="C1360" s="127"/>
      <c r="D1360" s="127"/>
      <c r="E1360" s="127"/>
      <c r="F1360" s="336"/>
      <c r="G1360" s="118"/>
      <c r="H1360" s="118"/>
      <c r="I1360" s="118"/>
      <c r="J1360" s="118"/>
      <c r="K1360" s="118"/>
      <c r="L1360" s="118"/>
      <c r="M1360" s="118"/>
      <c r="N1360" s="127"/>
      <c r="O1360" s="162"/>
    </row>
    <row r="1361" spans="1:15" s="10" customFormat="1" ht="15.75">
      <c r="A1361" s="127"/>
      <c r="B1361" s="127"/>
      <c r="C1361" s="127"/>
      <c r="D1361" s="127"/>
      <c r="E1361" s="127"/>
      <c r="F1361" s="336"/>
      <c r="G1361" s="118"/>
      <c r="H1361" s="118"/>
      <c r="I1361" s="118"/>
      <c r="J1361" s="118"/>
      <c r="K1361" s="118"/>
      <c r="L1361" s="118"/>
      <c r="M1361" s="118"/>
      <c r="N1361" s="127"/>
      <c r="O1361" s="162"/>
    </row>
    <row r="1362" spans="1:15" s="10" customFormat="1" ht="15.75">
      <c r="A1362" s="127"/>
      <c r="B1362" s="127"/>
      <c r="C1362" s="127"/>
      <c r="D1362" s="127"/>
      <c r="E1362" s="127"/>
      <c r="F1362" s="336"/>
      <c r="G1362" s="118"/>
      <c r="H1362" s="118"/>
      <c r="I1362" s="118"/>
      <c r="J1362" s="118"/>
      <c r="K1362" s="118"/>
      <c r="L1362" s="118"/>
      <c r="M1362" s="118"/>
      <c r="N1362" s="127"/>
      <c r="O1362" s="162"/>
    </row>
    <row r="1363" spans="1:15" s="10" customFormat="1" ht="15.75">
      <c r="A1363" s="127"/>
      <c r="B1363" s="127"/>
      <c r="C1363" s="127"/>
      <c r="D1363" s="127"/>
      <c r="E1363" s="127"/>
      <c r="F1363" s="336"/>
      <c r="G1363" s="118"/>
      <c r="H1363" s="118"/>
      <c r="I1363" s="118"/>
      <c r="J1363" s="118"/>
      <c r="K1363" s="118"/>
      <c r="L1363" s="118"/>
      <c r="M1363" s="118"/>
      <c r="N1363" s="127"/>
      <c r="O1363" s="162"/>
    </row>
    <row r="1364" spans="1:15" s="10" customFormat="1" ht="15.75">
      <c r="A1364" s="127"/>
      <c r="B1364" s="127"/>
      <c r="C1364" s="127"/>
      <c r="D1364" s="127"/>
      <c r="E1364" s="127"/>
      <c r="F1364" s="336"/>
      <c r="G1364" s="118"/>
      <c r="H1364" s="118"/>
      <c r="I1364" s="118"/>
      <c r="J1364" s="118"/>
      <c r="K1364" s="118"/>
      <c r="L1364" s="118"/>
      <c r="M1364" s="118"/>
      <c r="N1364" s="127"/>
      <c r="O1364" s="162"/>
    </row>
    <row r="1365" spans="1:15" s="10" customFormat="1" ht="15.75">
      <c r="A1365" s="127"/>
      <c r="B1365" s="127"/>
      <c r="C1365" s="127"/>
      <c r="D1365" s="127"/>
      <c r="E1365" s="127"/>
      <c r="F1365" s="336"/>
      <c r="G1365" s="118"/>
      <c r="H1365" s="118"/>
      <c r="I1365" s="118"/>
      <c r="J1365" s="118"/>
      <c r="K1365" s="118"/>
      <c r="L1365" s="118"/>
      <c r="M1365" s="118"/>
      <c r="N1365" s="127"/>
      <c r="O1365" s="162"/>
    </row>
    <row r="1366" spans="1:15" s="10" customFormat="1" ht="15.75">
      <c r="A1366" s="127"/>
      <c r="B1366" s="127"/>
      <c r="C1366" s="127"/>
      <c r="D1366" s="127"/>
      <c r="E1366" s="127"/>
      <c r="F1366" s="336"/>
      <c r="G1366" s="118"/>
      <c r="H1366" s="118"/>
      <c r="I1366" s="118"/>
      <c r="J1366" s="118"/>
      <c r="K1366" s="118"/>
      <c r="L1366" s="118"/>
      <c r="M1366" s="118"/>
      <c r="N1366" s="127"/>
      <c r="O1366" s="162"/>
    </row>
    <row r="1367" spans="1:15" s="10" customFormat="1" ht="15.75">
      <c r="A1367" s="127"/>
      <c r="B1367" s="127"/>
      <c r="C1367" s="127"/>
      <c r="D1367" s="127"/>
      <c r="E1367" s="127"/>
      <c r="F1367" s="336"/>
      <c r="G1367" s="118"/>
      <c r="H1367" s="118"/>
      <c r="I1367" s="118"/>
      <c r="J1367" s="118"/>
      <c r="K1367" s="118"/>
      <c r="L1367" s="118"/>
      <c r="M1367" s="118"/>
      <c r="N1367" s="127"/>
      <c r="O1367" s="162"/>
    </row>
    <row r="1368" spans="1:15" s="10" customFormat="1" ht="15.75">
      <c r="A1368" s="127"/>
      <c r="B1368" s="127"/>
      <c r="C1368" s="127"/>
      <c r="D1368" s="127"/>
      <c r="E1368" s="127"/>
      <c r="F1368" s="336"/>
      <c r="G1368" s="118"/>
      <c r="H1368" s="118"/>
      <c r="I1368" s="118"/>
      <c r="J1368" s="118"/>
      <c r="K1368" s="118"/>
      <c r="L1368" s="118"/>
      <c r="M1368" s="118"/>
      <c r="N1368" s="127"/>
      <c r="O1368" s="162"/>
    </row>
    <row r="1369" spans="1:15" s="10" customFormat="1" ht="15.75">
      <c r="A1369" s="127"/>
      <c r="B1369" s="127"/>
      <c r="C1369" s="127"/>
      <c r="D1369" s="127"/>
      <c r="E1369" s="127"/>
      <c r="F1369" s="336"/>
      <c r="G1369" s="118"/>
      <c r="H1369" s="118"/>
      <c r="I1369" s="118"/>
      <c r="J1369" s="118"/>
      <c r="K1369" s="118"/>
      <c r="L1369" s="118"/>
      <c r="M1369" s="118"/>
      <c r="N1369" s="127"/>
      <c r="O1369" s="162"/>
    </row>
    <row r="1370" spans="1:15" s="10" customFormat="1" ht="15.75">
      <c r="A1370" s="127"/>
      <c r="B1370" s="127"/>
      <c r="C1370" s="127"/>
      <c r="D1370" s="127"/>
      <c r="E1370" s="127"/>
      <c r="F1370" s="336"/>
      <c r="G1370" s="118"/>
      <c r="H1370" s="118"/>
      <c r="I1370" s="118"/>
      <c r="J1370" s="118"/>
      <c r="K1370" s="118"/>
      <c r="L1370" s="118"/>
      <c r="M1370" s="118"/>
      <c r="N1370" s="127"/>
      <c r="O1370" s="162"/>
    </row>
    <row r="1371" spans="1:15" s="10" customFormat="1" ht="15.75">
      <c r="A1371" s="127"/>
      <c r="B1371" s="127"/>
      <c r="C1371" s="127"/>
      <c r="D1371" s="127"/>
      <c r="E1371" s="127"/>
      <c r="F1371" s="336"/>
      <c r="G1371" s="118"/>
      <c r="H1371" s="118"/>
      <c r="I1371" s="118"/>
      <c r="J1371" s="118"/>
      <c r="K1371" s="118"/>
      <c r="L1371" s="118"/>
      <c r="M1371" s="118"/>
      <c r="N1371" s="127"/>
      <c r="O1371" s="162"/>
    </row>
    <row r="1372" spans="1:15" s="10" customFormat="1" ht="15.75">
      <c r="A1372" s="127"/>
      <c r="B1372" s="127"/>
      <c r="C1372" s="127"/>
      <c r="D1372" s="127"/>
      <c r="E1372" s="127"/>
      <c r="F1372" s="336"/>
      <c r="G1372" s="118"/>
      <c r="H1372" s="118"/>
      <c r="I1372" s="118"/>
      <c r="J1372" s="118"/>
      <c r="K1372" s="118"/>
      <c r="L1372" s="118"/>
      <c r="M1372" s="118"/>
      <c r="N1372" s="127"/>
      <c r="O1372" s="162"/>
    </row>
    <row r="1373" spans="1:15" s="10" customFormat="1" ht="15.75">
      <c r="A1373" s="127"/>
      <c r="B1373" s="127"/>
      <c r="C1373" s="127"/>
      <c r="D1373" s="127"/>
      <c r="E1373" s="127"/>
      <c r="F1373" s="336"/>
      <c r="G1373" s="118"/>
      <c r="H1373" s="118"/>
      <c r="I1373" s="118"/>
      <c r="J1373" s="118"/>
      <c r="K1373" s="118"/>
      <c r="L1373" s="118"/>
      <c r="M1373" s="118"/>
      <c r="N1373" s="127"/>
      <c r="O1373" s="162"/>
    </row>
    <row r="1374" spans="1:15" s="10" customFormat="1" ht="15.75">
      <c r="A1374" s="127"/>
      <c r="B1374" s="127"/>
      <c r="C1374" s="127"/>
      <c r="D1374" s="127"/>
      <c r="E1374" s="127"/>
      <c r="F1374" s="336"/>
      <c r="G1374" s="118"/>
      <c r="H1374" s="118"/>
      <c r="I1374" s="118"/>
      <c r="J1374" s="118"/>
      <c r="K1374" s="118"/>
      <c r="L1374" s="118"/>
      <c r="M1374" s="118"/>
      <c r="N1374" s="127"/>
      <c r="O1374" s="162"/>
    </row>
    <row r="1375" spans="1:15" s="10" customFormat="1" ht="15.75">
      <c r="A1375" s="127"/>
      <c r="B1375" s="127"/>
      <c r="C1375" s="127"/>
      <c r="D1375" s="127"/>
      <c r="E1375" s="127"/>
      <c r="F1375" s="336"/>
      <c r="G1375" s="118"/>
      <c r="H1375" s="118"/>
      <c r="I1375" s="118"/>
      <c r="J1375" s="118"/>
      <c r="K1375" s="118"/>
      <c r="L1375" s="118"/>
      <c r="M1375" s="118"/>
      <c r="N1375" s="127"/>
      <c r="O1375" s="162"/>
    </row>
    <row r="1376" spans="1:15" s="10" customFormat="1" ht="15.75">
      <c r="A1376" s="127"/>
      <c r="B1376" s="127"/>
      <c r="C1376" s="127"/>
      <c r="D1376" s="127"/>
      <c r="E1376" s="127"/>
      <c r="F1376" s="336"/>
      <c r="G1376" s="118"/>
      <c r="H1376" s="118"/>
      <c r="I1376" s="118"/>
      <c r="J1376" s="118"/>
      <c r="K1376" s="118"/>
      <c r="L1376" s="118"/>
      <c r="M1376" s="118"/>
      <c r="N1376" s="127"/>
      <c r="O1376" s="162"/>
    </row>
    <row r="1377" spans="1:15" s="10" customFormat="1" ht="15.75">
      <c r="A1377" s="127"/>
      <c r="B1377" s="127"/>
      <c r="C1377" s="127"/>
      <c r="D1377" s="127"/>
      <c r="E1377" s="127"/>
      <c r="F1377" s="336"/>
      <c r="G1377" s="118"/>
      <c r="H1377" s="118"/>
      <c r="I1377" s="118"/>
      <c r="J1377" s="118"/>
      <c r="K1377" s="118"/>
      <c r="L1377" s="118"/>
      <c r="M1377" s="118"/>
      <c r="N1377" s="127"/>
      <c r="O1377" s="162"/>
    </row>
    <row r="1378" spans="1:15" s="10" customFormat="1" ht="15.75">
      <c r="A1378" s="127"/>
      <c r="B1378" s="127"/>
      <c r="C1378" s="127"/>
      <c r="D1378" s="127"/>
      <c r="E1378" s="127"/>
      <c r="F1378" s="336"/>
      <c r="G1378" s="118"/>
      <c r="H1378" s="118"/>
      <c r="I1378" s="118"/>
      <c r="J1378" s="118"/>
      <c r="K1378" s="118"/>
      <c r="L1378" s="118"/>
      <c r="M1378" s="118"/>
      <c r="N1378" s="127"/>
      <c r="O1378" s="162"/>
    </row>
    <row r="1379" spans="1:15" s="10" customFormat="1" ht="15.75">
      <c r="A1379" s="127"/>
      <c r="B1379" s="127"/>
      <c r="C1379" s="127"/>
      <c r="D1379" s="127"/>
      <c r="E1379" s="127"/>
      <c r="F1379" s="336"/>
      <c r="G1379" s="118"/>
      <c r="H1379" s="118"/>
      <c r="I1379" s="118"/>
      <c r="J1379" s="118"/>
      <c r="K1379" s="118"/>
      <c r="L1379" s="118"/>
      <c r="M1379" s="118"/>
      <c r="N1379" s="127"/>
      <c r="O1379" s="162"/>
    </row>
    <row r="1380" spans="1:15" s="10" customFormat="1" ht="15.75">
      <c r="A1380" s="127"/>
      <c r="B1380" s="127"/>
      <c r="C1380" s="127"/>
      <c r="D1380" s="127"/>
      <c r="E1380" s="127"/>
      <c r="F1380" s="336"/>
      <c r="G1380" s="118"/>
      <c r="H1380" s="118"/>
      <c r="I1380" s="118"/>
      <c r="J1380" s="118"/>
      <c r="K1380" s="118"/>
      <c r="L1380" s="118"/>
      <c r="M1380" s="118"/>
      <c r="N1380" s="127"/>
      <c r="O1380" s="162"/>
    </row>
    <row r="1381" spans="1:15" s="10" customFormat="1" ht="15.75">
      <c r="A1381" s="127"/>
      <c r="B1381" s="127"/>
      <c r="C1381" s="127"/>
      <c r="D1381" s="127"/>
      <c r="E1381" s="127"/>
      <c r="F1381" s="336"/>
      <c r="G1381" s="118"/>
      <c r="H1381" s="118"/>
      <c r="I1381" s="118"/>
      <c r="J1381" s="118"/>
      <c r="K1381" s="118"/>
      <c r="L1381" s="118"/>
      <c r="M1381" s="118"/>
      <c r="N1381" s="127"/>
      <c r="O1381" s="162"/>
    </row>
    <row r="1382" spans="1:15" s="10" customFormat="1" ht="15.75">
      <c r="A1382" s="127"/>
      <c r="B1382" s="127"/>
      <c r="C1382" s="127"/>
      <c r="D1382" s="127"/>
      <c r="E1382" s="127"/>
      <c r="F1382" s="336"/>
      <c r="G1382" s="118"/>
      <c r="H1382" s="118"/>
      <c r="I1382" s="118"/>
      <c r="J1382" s="118"/>
      <c r="K1382" s="118"/>
      <c r="L1382" s="118"/>
      <c r="M1382" s="118"/>
      <c r="N1382" s="127"/>
      <c r="O1382" s="162"/>
    </row>
    <row r="1383" spans="1:15" s="10" customFormat="1" ht="15.75">
      <c r="A1383" s="127"/>
      <c r="B1383" s="127"/>
      <c r="C1383" s="127"/>
      <c r="D1383" s="127"/>
      <c r="E1383" s="127"/>
      <c r="F1383" s="336"/>
      <c r="G1383" s="118"/>
      <c r="H1383" s="118"/>
      <c r="I1383" s="118"/>
      <c r="J1383" s="118"/>
      <c r="K1383" s="118"/>
      <c r="L1383" s="118"/>
      <c r="M1383" s="118"/>
      <c r="N1383" s="127"/>
      <c r="O1383" s="162"/>
    </row>
    <row r="1384" spans="1:15" s="10" customFormat="1" ht="15.75">
      <c r="A1384" s="127"/>
      <c r="B1384" s="127"/>
      <c r="C1384" s="127"/>
      <c r="D1384" s="127"/>
      <c r="E1384" s="127"/>
      <c r="F1384" s="336"/>
      <c r="G1384" s="118"/>
      <c r="H1384" s="118"/>
      <c r="I1384" s="118"/>
      <c r="J1384" s="118"/>
      <c r="K1384" s="118"/>
      <c r="L1384" s="118"/>
      <c r="M1384" s="118"/>
      <c r="N1384" s="127"/>
      <c r="O1384" s="162"/>
    </row>
    <row r="1385" spans="1:15" s="10" customFormat="1" ht="15.75">
      <c r="A1385" s="127"/>
      <c r="B1385" s="127"/>
      <c r="C1385" s="127"/>
      <c r="D1385" s="127"/>
      <c r="E1385" s="127"/>
      <c r="F1385" s="336"/>
      <c r="G1385" s="118"/>
      <c r="H1385" s="118"/>
      <c r="I1385" s="118"/>
      <c r="J1385" s="118"/>
      <c r="K1385" s="118"/>
      <c r="L1385" s="118"/>
      <c r="M1385" s="118"/>
      <c r="N1385" s="127"/>
      <c r="O1385" s="162"/>
    </row>
    <row r="1386" spans="1:15" s="10" customFormat="1" ht="15.75">
      <c r="A1386" s="127"/>
      <c r="B1386" s="127"/>
      <c r="C1386" s="127"/>
      <c r="D1386" s="127"/>
      <c r="E1386" s="127"/>
      <c r="F1386" s="336"/>
      <c r="G1386" s="118"/>
      <c r="H1386" s="118"/>
      <c r="I1386" s="118"/>
      <c r="J1386" s="118"/>
      <c r="K1386" s="118"/>
      <c r="L1386" s="118"/>
      <c r="M1386" s="118"/>
      <c r="N1386" s="127"/>
      <c r="O1386" s="162"/>
    </row>
    <row r="1387" spans="1:15" s="10" customFormat="1" ht="15.75">
      <c r="A1387" s="127"/>
      <c r="B1387" s="127"/>
      <c r="C1387" s="127"/>
      <c r="D1387" s="127"/>
      <c r="E1387" s="127"/>
      <c r="F1387" s="336"/>
      <c r="G1387" s="118"/>
      <c r="H1387" s="118"/>
      <c r="I1387" s="118"/>
      <c r="J1387" s="118"/>
      <c r="K1387" s="118"/>
      <c r="L1387" s="118"/>
      <c r="M1387" s="118"/>
      <c r="N1387" s="127"/>
      <c r="O1387" s="162"/>
    </row>
    <row r="1388" spans="1:15" s="10" customFormat="1" ht="15.75">
      <c r="A1388" s="127"/>
      <c r="B1388" s="127"/>
      <c r="C1388" s="127"/>
      <c r="D1388" s="127"/>
      <c r="E1388" s="127"/>
      <c r="F1388" s="336"/>
      <c r="G1388" s="118"/>
      <c r="H1388" s="118"/>
      <c r="I1388" s="118"/>
      <c r="J1388" s="118"/>
      <c r="K1388" s="118"/>
      <c r="L1388" s="118"/>
      <c r="M1388" s="118"/>
      <c r="N1388" s="127"/>
      <c r="O1388" s="162"/>
    </row>
    <row r="1389" spans="1:15" s="10" customFormat="1" ht="15.75">
      <c r="A1389" s="127"/>
      <c r="B1389" s="127"/>
      <c r="C1389" s="127"/>
      <c r="D1389" s="127"/>
      <c r="E1389" s="127"/>
      <c r="F1389" s="336"/>
      <c r="G1389" s="118"/>
      <c r="H1389" s="118"/>
      <c r="I1389" s="118"/>
      <c r="J1389" s="118"/>
      <c r="K1389" s="118"/>
      <c r="L1389" s="118"/>
      <c r="M1389" s="118"/>
      <c r="N1389" s="127"/>
      <c r="O1389" s="162"/>
    </row>
    <row r="1390" spans="1:15" s="10" customFormat="1" ht="15.75">
      <c r="A1390" s="127"/>
      <c r="B1390" s="127"/>
      <c r="C1390" s="127"/>
      <c r="D1390" s="127"/>
      <c r="E1390" s="127"/>
      <c r="F1390" s="336"/>
      <c r="G1390" s="118"/>
      <c r="H1390" s="118"/>
      <c r="I1390" s="118"/>
      <c r="J1390" s="118"/>
      <c r="K1390" s="118"/>
      <c r="L1390" s="118"/>
      <c r="M1390" s="118"/>
      <c r="N1390" s="127"/>
      <c r="O1390" s="162"/>
    </row>
    <row r="1391" spans="1:15" s="10" customFormat="1" ht="15.75">
      <c r="A1391" s="127"/>
      <c r="B1391" s="127"/>
      <c r="C1391" s="127"/>
      <c r="D1391" s="127"/>
      <c r="E1391" s="127"/>
      <c r="F1391" s="336"/>
      <c r="G1391" s="118"/>
      <c r="H1391" s="118"/>
      <c r="I1391" s="118"/>
      <c r="J1391" s="118"/>
      <c r="K1391" s="118"/>
      <c r="L1391" s="118"/>
      <c r="M1391" s="118"/>
      <c r="N1391" s="127"/>
      <c r="O1391" s="162"/>
    </row>
    <row r="1392" spans="1:15" s="10" customFormat="1" ht="15.75">
      <c r="A1392" s="127"/>
      <c r="B1392" s="127"/>
      <c r="C1392" s="127"/>
      <c r="D1392" s="127"/>
      <c r="E1392" s="127"/>
      <c r="F1392" s="336"/>
      <c r="G1392" s="118"/>
      <c r="H1392" s="118"/>
      <c r="I1392" s="118"/>
      <c r="J1392" s="118"/>
      <c r="K1392" s="118"/>
      <c r="L1392" s="118"/>
      <c r="M1392" s="118"/>
      <c r="N1392" s="127"/>
      <c r="O1392" s="162"/>
    </row>
    <row r="1393" spans="1:15" s="10" customFormat="1" ht="15.75">
      <c r="A1393" s="127"/>
      <c r="B1393" s="127"/>
      <c r="C1393" s="127"/>
      <c r="D1393" s="127"/>
      <c r="E1393" s="127"/>
      <c r="F1393" s="336"/>
      <c r="G1393" s="118"/>
      <c r="H1393" s="118"/>
      <c r="I1393" s="118"/>
      <c r="J1393" s="118"/>
      <c r="K1393" s="118"/>
      <c r="L1393" s="118"/>
      <c r="M1393" s="118"/>
      <c r="N1393" s="127"/>
      <c r="O1393" s="162"/>
    </row>
    <row r="1394" spans="1:15" s="10" customFormat="1" ht="15.75">
      <c r="A1394" s="127"/>
      <c r="B1394" s="127"/>
      <c r="C1394" s="127"/>
      <c r="D1394" s="127"/>
      <c r="E1394" s="127"/>
      <c r="F1394" s="336"/>
      <c r="G1394" s="118"/>
      <c r="H1394" s="118"/>
      <c r="I1394" s="118"/>
      <c r="J1394" s="118"/>
      <c r="K1394" s="118"/>
      <c r="L1394" s="118"/>
      <c r="M1394" s="118"/>
      <c r="N1394" s="127"/>
      <c r="O1394" s="162"/>
    </row>
    <row r="1395" spans="1:15" s="10" customFormat="1" ht="15.75">
      <c r="A1395" s="127"/>
      <c r="B1395" s="127"/>
      <c r="C1395" s="127"/>
      <c r="D1395" s="127"/>
      <c r="E1395" s="127"/>
      <c r="F1395" s="336"/>
      <c r="G1395" s="118"/>
      <c r="H1395" s="118"/>
      <c r="I1395" s="118"/>
      <c r="J1395" s="118"/>
      <c r="K1395" s="118"/>
      <c r="L1395" s="118"/>
      <c r="M1395" s="118"/>
      <c r="N1395" s="127"/>
      <c r="O1395" s="162"/>
    </row>
    <row r="1396" spans="1:15" s="10" customFormat="1" ht="15.75">
      <c r="A1396" s="127"/>
      <c r="B1396" s="127"/>
      <c r="C1396" s="127"/>
      <c r="D1396" s="127"/>
      <c r="E1396" s="127"/>
      <c r="F1396" s="336"/>
      <c r="G1396" s="118"/>
      <c r="H1396" s="118"/>
      <c r="I1396" s="118"/>
      <c r="J1396" s="118"/>
      <c r="K1396" s="118"/>
      <c r="L1396" s="118"/>
      <c r="M1396" s="118"/>
      <c r="N1396" s="127"/>
      <c r="O1396" s="162"/>
    </row>
    <row r="1397" spans="1:15" s="10" customFormat="1" ht="15.75">
      <c r="A1397" s="127"/>
      <c r="B1397" s="127"/>
      <c r="C1397" s="127"/>
      <c r="D1397" s="127"/>
      <c r="E1397" s="127"/>
      <c r="F1397" s="336"/>
      <c r="G1397" s="118"/>
      <c r="H1397" s="118"/>
      <c r="I1397" s="118"/>
      <c r="J1397" s="118"/>
      <c r="K1397" s="118"/>
      <c r="L1397" s="118"/>
      <c r="M1397" s="118"/>
      <c r="N1397" s="127"/>
      <c r="O1397" s="162"/>
    </row>
    <row r="1398" spans="1:15" s="10" customFormat="1" ht="15.75">
      <c r="A1398" s="127"/>
      <c r="B1398" s="127"/>
      <c r="C1398" s="127"/>
      <c r="D1398" s="127"/>
      <c r="E1398" s="127"/>
      <c r="F1398" s="336"/>
      <c r="G1398" s="118"/>
      <c r="H1398" s="118"/>
      <c r="I1398" s="118"/>
      <c r="J1398" s="118"/>
      <c r="K1398" s="118"/>
      <c r="L1398" s="118"/>
      <c r="M1398" s="118"/>
      <c r="N1398" s="127"/>
      <c r="O1398" s="162"/>
    </row>
    <row r="1399" spans="1:15" s="10" customFormat="1" ht="15.75">
      <c r="A1399" s="127"/>
      <c r="B1399" s="127"/>
      <c r="C1399" s="127"/>
      <c r="D1399" s="127"/>
      <c r="E1399" s="127"/>
      <c r="F1399" s="336"/>
      <c r="G1399" s="118"/>
      <c r="H1399" s="118"/>
      <c r="I1399" s="118"/>
      <c r="J1399" s="118"/>
      <c r="K1399" s="118"/>
      <c r="L1399" s="118"/>
      <c r="M1399" s="118"/>
      <c r="N1399" s="127"/>
      <c r="O1399" s="162"/>
    </row>
    <row r="1400" spans="1:15" s="10" customFormat="1" ht="15.75">
      <c r="A1400" s="127"/>
      <c r="B1400" s="127"/>
      <c r="C1400" s="127"/>
      <c r="D1400" s="127"/>
      <c r="E1400" s="127"/>
      <c r="F1400" s="336"/>
      <c r="G1400" s="118"/>
      <c r="H1400" s="118"/>
      <c r="I1400" s="118"/>
      <c r="J1400" s="118"/>
      <c r="K1400" s="118"/>
      <c r="L1400" s="118"/>
      <c r="M1400" s="118"/>
      <c r="N1400" s="127"/>
      <c r="O1400" s="162"/>
    </row>
    <row r="1401" spans="1:15" s="10" customFormat="1" ht="15.75">
      <c r="A1401" s="127"/>
      <c r="B1401" s="127"/>
      <c r="C1401" s="127"/>
      <c r="D1401" s="127"/>
      <c r="E1401" s="127"/>
      <c r="F1401" s="336"/>
      <c r="G1401" s="118"/>
      <c r="H1401" s="118"/>
      <c r="I1401" s="118"/>
      <c r="J1401" s="118"/>
      <c r="K1401" s="118"/>
      <c r="L1401" s="118"/>
      <c r="M1401" s="118"/>
      <c r="N1401" s="127"/>
      <c r="O1401" s="162"/>
    </row>
    <row r="1402" spans="1:15" s="10" customFormat="1" ht="15.75">
      <c r="A1402" s="127"/>
      <c r="B1402" s="127"/>
      <c r="C1402" s="127"/>
      <c r="D1402" s="127"/>
      <c r="E1402" s="127"/>
      <c r="F1402" s="336"/>
      <c r="G1402" s="118"/>
      <c r="H1402" s="118"/>
      <c r="I1402" s="118"/>
      <c r="J1402" s="118"/>
      <c r="K1402" s="118"/>
      <c r="L1402" s="118"/>
      <c r="M1402" s="118"/>
      <c r="N1402" s="127"/>
      <c r="O1402" s="162"/>
    </row>
    <row r="1403" spans="1:15" s="10" customFormat="1" ht="15.75">
      <c r="A1403" s="127"/>
      <c r="B1403" s="127"/>
      <c r="C1403" s="127"/>
      <c r="D1403" s="127"/>
      <c r="E1403" s="127"/>
      <c r="F1403" s="336"/>
      <c r="G1403" s="118"/>
      <c r="H1403" s="118"/>
      <c r="I1403" s="118"/>
      <c r="J1403" s="118"/>
      <c r="K1403" s="118"/>
      <c r="L1403" s="118"/>
      <c r="M1403" s="118"/>
      <c r="N1403" s="127"/>
      <c r="O1403" s="162"/>
    </row>
    <row r="1404" spans="1:15" s="10" customFormat="1" ht="15.75">
      <c r="A1404" s="127"/>
      <c r="B1404" s="127"/>
      <c r="C1404" s="127"/>
      <c r="D1404" s="127"/>
      <c r="E1404" s="127"/>
      <c r="F1404" s="336"/>
      <c r="G1404" s="118"/>
      <c r="H1404" s="118"/>
      <c r="I1404" s="118"/>
      <c r="J1404" s="118"/>
      <c r="K1404" s="118"/>
      <c r="L1404" s="118"/>
      <c r="M1404" s="118"/>
      <c r="N1404" s="127"/>
      <c r="O1404" s="162"/>
    </row>
    <row r="1405" spans="1:15" s="10" customFormat="1" ht="15.75">
      <c r="A1405" s="127"/>
      <c r="B1405" s="127"/>
      <c r="C1405" s="127"/>
      <c r="D1405" s="127"/>
      <c r="E1405" s="127"/>
      <c r="F1405" s="336"/>
      <c r="G1405" s="118"/>
      <c r="H1405" s="118"/>
      <c r="I1405" s="118"/>
      <c r="J1405" s="118"/>
      <c r="K1405" s="118"/>
      <c r="L1405" s="118"/>
      <c r="M1405" s="118"/>
      <c r="N1405" s="127"/>
      <c r="O1405" s="162"/>
    </row>
    <row r="1406" spans="1:15" s="10" customFormat="1" ht="15.75">
      <c r="A1406" s="127"/>
      <c r="B1406" s="127"/>
      <c r="C1406" s="127"/>
      <c r="D1406" s="127"/>
      <c r="E1406" s="127"/>
      <c r="F1406" s="336"/>
      <c r="G1406" s="118"/>
      <c r="H1406" s="118"/>
      <c r="I1406" s="118"/>
      <c r="J1406" s="118"/>
      <c r="K1406" s="118"/>
      <c r="L1406" s="118"/>
      <c r="M1406" s="118"/>
      <c r="N1406" s="127"/>
      <c r="O1406" s="162"/>
    </row>
    <row r="1407" spans="1:15" s="10" customFormat="1" ht="15.75">
      <c r="A1407" s="127"/>
      <c r="B1407" s="127"/>
      <c r="C1407" s="127"/>
      <c r="D1407" s="127"/>
      <c r="E1407" s="127"/>
      <c r="F1407" s="336"/>
      <c r="G1407" s="118"/>
      <c r="H1407" s="118"/>
      <c r="I1407" s="118"/>
      <c r="J1407" s="118"/>
      <c r="K1407" s="118"/>
      <c r="L1407" s="118"/>
      <c r="M1407" s="118"/>
      <c r="N1407" s="127"/>
      <c r="O1407" s="162"/>
    </row>
    <row r="1408" spans="1:15" s="10" customFormat="1" ht="15.75">
      <c r="A1408" s="127"/>
      <c r="B1408" s="127"/>
      <c r="C1408" s="127"/>
      <c r="D1408" s="127"/>
      <c r="E1408" s="127"/>
      <c r="F1408" s="336"/>
      <c r="G1408" s="118"/>
      <c r="H1408" s="118"/>
      <c r="I1408" s="118"/>
      <c r="J1408" s="118"/>
      <c r="K1408" s="118"/>
      <c r="L1408" s="118"/>
      <c r="M1408" s="118"/>
      <c r="N1408" s="127"/>
      <c r="O1408" s="162"/>
    </row>
    <row r="1409" spans="1:15" s="10" customFormat="1" ht="15.75">
      <c r="A1409" s="127"/>
      <c r="B1409" s="127"/>
      <c r="C1409" s="127"/>
      <c r="D1409" s="127"/>
      <c r="E1409" s="127"/>
      <c r="F1409" s="336"/>
      <c r="G1409" s="118"/>
      <c r="H1409" s="118"/>
      <c r="I1409" s="118"/>
      <c r="J1409" s="118"/>
      <c r="K1409" s="118"/>
      <c r="L1409" s="118"/>
      <c r="M1409" s="118"/>
      <c r="N1409" s="127"/>
      <c r="O1409" s="162"/>
    </row>
    <row r="1410" spans="1:15" s="10" customFormat="1" ht="15.75">
      <c r="A1410" s="127"/>
      <c r="B1410" s="127"/>
      <c r="C1410" s="127"/>
      <c r="D1410" s="127"/>
      <c r="E1410" s="127"/>
      <c r="F1410" s="336"/>
      <c r="G1410" s="118"/>
      <c r="H1410" s="118"/>
      <c r="I1410" s="118"/>
      <c r="J1410" s="118"/>
      <c r="K1410" s="118"/>
      <c r="L1410" s="118"/>
      <c r="M1410" s="118"/>
      <c r="N1410" s="127"/>
      <c r="O1410" s="162"/>
    </row>
    <row r="1411" spans="1:15" s="10" customFormat="1" ht="15.75">
      <c r="A1411" s="127"/>
      <c r="B1411" s="127"/>
      <c r="C1411" s="127"/>
      <c r="D1411" s="127"/>
      <c r="E1411" s="127"/>
      <c r="F1411" s="336"/>
      <c r="G1411" s="118"/>
      <c r="H1411" s="118"/>
      <c r="I1411" s="118"/>
      <c r="J1411" s="118"/>
      <c r="K1411" s="118"/>
      <c r="L1411" s="118"/>
      <c r="M1411" s="118"/>
      <c r="N1411" s="127"/>
      <c r="O1411" s="162"/>
    </row>
    <row r="1412" spans="1:15" s="10" customFormat="1" ht="15.75">
      <c r="A1412" s="127"/>
      <c r="B1412" s="127"/>
      <c r="C1412" s="127"/>
      <c r="D1412" s="127"/>
      <c r="E1412" s="127"/>
      <c r="F1412" s="336"/>
      <c r="G1412" s="118"/>
      <c r="H1412" s="118"/>
      <c r="I1412" s="118"/>
      <c r="J1412" s="118"/>
      <c r="K1412" s="118"/>
      <c r="L1412" s="118"/>
      <c r="M1412" s="118"/>
      <c r="N1412" s="127"/>
      <c r="O1412" s="162"/>
    </row>
    <row r="1413" spans="1:15" s="10" customFormat="1" ht="15.75">
      <c r="A1413" s="127"/>
      <c r="B1413" s="127"/>
      <c r="C1413" s="127"/>
      <c r="D1413" s="127"/>
      <c r="E1413" s="127"/>
      <c r="F1413" s="336"/>
      <c r="G1413" s="118"/>
      <c r="H1413" s="118"/>
      <c r="I1413" s="118"/>
      <c r="J1413" s="118"/>
      <c r="K1413" s="118"/>
      <c r="L1413" s="118"/>
      <c r="M1413" s="118"/>
      <c r="N1413" s="127"/>
      <c r="O1413" s="162"/>
    </row>
    <row r="1414" spans="1:15" s="10" customFormat="1" ht="15.75">
      <c r="A1414" s="127"/>
      <c r="B1414" s="127"/>
      <c r="C1414" s="127"/>
      <c r="D1414" s="127"/>
      <c r="E1414" s="127"/>
      <c r="F1414" s="336"/>
      <c r="G1414" s="118"/>
      <c r="H1414" s="118"/>
      <c r="I1414" s="118"/>
      <c r="J1414" s="118"/>
      <c r="K1414" s="118"/>
      <c r="L1414" s="118"/>
      <c r="M1414" s="118"/>
      <c r="N1414" s="127"/>
      <c r="O1414" s="162"/>
    </row>
    <row r="1415" spans="1:15" s="10" customFormat="1" ht="15.75">
      <c r="A1415" s="127"/>
      <c r="B1415" s="127"/>
      <c r="C1415" s="127"/>
      <c r="D1415" s="127"/>
      <c r="E1415" s="127"/>
      <c r="F1415" s="336"/>
      <c r="G1415" s="118"/>
      <c r="H1415" s="118"/>
      <c r="I1415" s="118"/>
      <c r="J1415" s="118"/>
      <c r="K1415" s="118"/>
      <c r="L1415" s="118"/>
      <c r="M1415" s="118"/>
      <c r="N1415" s="127"/>
      <c r="O1415" s="162"/>
    </row>
    <row r="1416" spans="1:15" s="10" customFormat="1" ht="15.75">
      <c r="A1416" s="127"/>
      <c r="B1416" s="127"/>
      <c r="C1416" s="127"/>
      <c r="D1416" s="127"/>
      <c r="E1416" s="127"/>
      <c r="F1416" s="336"/>
      <c r="G1416" s="118"/>
      <c r="H1416" s="118"/>
      <c r="I1416" s="118"/>
      <c r="J1416" s="118"/>
      <c r="K1416" s="118"/>
      <c r="L1416" s="118"/>
      <c r="M1416" s="118"/>
      <c r="N1416" s="127"/>
      <c r="O1416" s="162"/>
    </row>
    <row r="1417" spans="1:15" s="10" customFormat="1" ht="15.75">
      <c r="A1417" s="127"/>
      <c r="B1417" s="127"/>
      <c r="C1417" s="127"/>
      <c r="D1417" s="127"/>
      <c r="E1417" s="127"/>
      <c r="F1417" s="336"/>
      <c r="G1417" s="118"/>
      <c r="H1417" s="118"/>
      <c r="I1417" s="118"/>
      <c r="J1417" s="118"/>
      <c r="K1417" s="118"/>
      <c r="L1417" s="118"/>
      <c r="M1417" s="118"/>
      <c r="N1417" s="127"/>
      <c r="O1417" s="162"/>
    </row>
    <row r="1418" spans="1:15" s="10" customFormat="1" ht="15.75">
      <c r="A1418" s="127"/>
      <c r="B1418" s="127"/>
      <c r="C1418" s="127"/>
      <c r="D1418" s="127"/>
      <c r="E1418" s="127"/>
      <c r="F1418" s="336"/>
      <c r="G1418" s="118"/>
      <c r="H1418" s="118"/>
      <c r="I1418" s="118"/>
      <c r="J1418" s="118"/>
      <c r="K1418" s="118"/>
      <c r="L1418" s="118"/>
      <c r="M1418" s="118"/>
      <c r="N1418" s="127"/>
      <c r="O1418" s="162"/>
    </row>
    <row r="1419" spans="1:15" s="10" customFormat="1" ht="15.75">
      <c r="A1419" s="127"/>
      <c r="B1419" s="127"/>
      <c r="C1419" s="127"/>
      <c r="D1419" s="127"/>
      <c r="E1419" s="127"/>
      <c r="F1419" s="336"/>
      <c r="G1419" s="118"/>
      <c r="H1419" s="118"/>
      <c r="I1419" s="118"/>
      <c r="J1419" s="118"/>
      <c r="K1419" s="118"/>
      <c r="L1419" s="118"/>
      <c r="M1419" s="118"/>
      <c r="N1419" s="127"/>
      <c r="O1419" s="162"/>
    </row>
    <row r="1420" spans="1:15" s="10" customFormat="1" ht="15.75">
      <c r="A1420" s="127"/>
      <c r="B1420" s="127"/>
      <c r="C1420" s="127"/>
      <c r="D1420" s="127"/>
      <c r="E1420" s="127"/>
      <c r="F1420" s="336"/>
      <c r="G1420" s="118"/>
      <c r="H1420" s="118"/>
      <c r="I1420" s="118"/>
      <c r="J1420" s="118"/>
      <c r="K1420" s="118"/>
      <c r="L1420" s="118"/>
      <c r="M1420" s="118"/>
      <c r="N1420" s="127"/>
      <c r="O1420" s="162"/>
    </row>
    <row r="1421" spans="1:15" s="10" customFormat="1" ht="15.75">
      <c r="A1421" s="127"/>
      <c r="B1421" s="127"/>
      <c r="C1421" s="127"/>
      <c r="D1421" s="127"/>
      <c r="E1421" s="127"/>
      <c r="F1421" s="336"/>
      <c r="G1421" s="118"/>
      <c r="H1421" s="118"/>
      <c r="I1421" s="118"/>
      <c r="J1421" s="118"/>
      <c r="K1421" s="118"/>
      <c r="L1421" s="118"/>
      <c r="M1421" s="118"/>
      <c r="N1421" s="127"/>
      <c r="O1421" s="162"/>
    </row>
    <row r="1422" spans="1:15" s="10" customFormat="1" ht="15.75">
      <c r="A1422" s="127"/>
      <c r="B1422" s="127"/>
      <c r="C1422" s="127"/>
      <c r="D1422" s="127"/>
      <c r="E1422" s="127"/>
      <c r="F1422" s="336"/>
      <c r="G1422" s="118"/>
      <c r="H1422" s="118"/>
      <c r="I1422" s="118"/>
      <c r="J1422" s="118"/>
      <c r="K1422" s="118"/>
      <c r="L1422" s="118"/>
      <c r="M1422" s="118"/>
      <c r="N1422" s="127"/>
      <c r="O1422" s="162"/>
    </row>
    <row r="1423" spans="1:15" s="10" customFormat="1" ht="15.75">
      <c r="A1423" s="127"/>
      <c r="B1423" s="127"/>
      <c r="C1423" s="127"/>
      <c r="D1423" s="127"/>
      <c r="E1423" s="127"/>
      <c r="F1423" s="336"/>
      <c r="G1423" s="118"/>
      <c r="H1423" s="118"/>
      <c r="I1423" s="118"/>
      <c r="J1423" s="118"/>
      <c r="K1423" s="118"/>
      <c r="L1423" s="118"/>
      <c r="M1423" s="118"/>
      <c r="N1423" s="127"/>
      <c r="O1423" s="162"/>
    </row>
    <row r="1424" spans="1:15" s="10" customFormat="1" ht="15.75">
      <c r="A1424" s="127"/>
      <c r="B1424" s="127"/>
      <c r="C1424" s="127"/>
      <c r="D1424" s="127"/>
      <c r="E1424" s="127"/>
      <c r="F1424" s="336"/>
      <c r="G1424" s="118"/>
      <c r="H1424" s="118"/>
      <c r="I1424" s="118"/>
      <c r="J1424" s="118"/>
      <c r="K1424" s="118"/>
      <c r="L1424" s="118"/>
      <c r="M1424" s="118"/>
      <c r="N1424" s="127"/>
      <c r="O1424" s="162"/>
    </row>
    <row r="1425" spans="1:15" s="10" customFormat="1" ht="15.75">
      <c r="A1425" s="127"/>
      <c r="B1425" s="127"/>
      <c r="C1425" s="127"/>
      <c r="D1425" s="127"/>
      <c r="E1425" s="127"/>
      <c r="F1425" s="336"/>
      <c r="G1425" s="118"/>
      <c r="H1425" s="118"/>
      <c r="I1425" s="118"/>
      <c r="J1425" s="118"/>
      <c r="K1425" s="118"/>
      <c r="L1425" s="118"/>
      <c r="M1425" s="118"/>
      <c r="N1425" s="127"/>
      <c r="O1425" s="162"/>
    </row>
    <row r="1426" spans="1:15" s="10" customFormat="1" ht="15.75">
      <c r="A1426" s="127"/>
      <c r="B1426" s="127"/>
      <c r="C1426" s="127"/>
      <c r="D1426" s="127"/>
      <c r="E1426" s="127"/>
      <c r="F1426" s="336"/>
      <c r="G1426" s="118"/>
      <c r="H1426" s="118"/>
      <c r="I1426" s="118"/>
      <c r="J1426" s="118"/>
      <c r="K1426" s="118"/>
      <c r="L1426" s="118"/>
      <c r="M1426" s="118"/>
      <c r="N1426" s="127"/>
      <c r="O1426" s="162"/>
    </row>
    <row r="1427" spans="1:15" s="10" customFormat="1" ht="15.75">
      <c r="A1427" s="127"/>
      <c r="B1427" s="127"/>
      <c r="C1427" s="127"/>
      <c r="D1427" s="127"/>
      <c r="E1427" s="127"/>
      <c r="F1427" s="336"/>
      <c r="G1427" s="118"/>
      <c r="H1427" s="118"/>
      <c r="I1427" s="118"/>
      <c r="J1427" s="118"/>
      <c r="K1427" s="118"/>
      <c r="L1427" s="118"/>
      <c r="M1427" s="118"/>
      <c r="N1427" s="127"/>
      <c r="O1427" s="162"/>
    </row>
    <row r="1428" spans="1:15" s="10" customFormat="1" ht="15.75">
      <c r="A1428" s="127"/>
      <c r="B1428" s="127"/>
      <c r="C1428" s="127"/>
      <c r="D1428" s="127"/>
      <c r="E1428" s="127"/>
      <c r="F1428" s="336"/>
      <c r="G1428" s="118"/>
      <c r="H1428" s="118"/>
      <c r="I1428" s="118"/>
      <c r="J1428" s="118"/>
      <c r="K1428" s="118"/>
      <c r="L1428" s="118"/>
      <c r="M1428" s="118"/>
      <c r="N1428" s="127"/>
      <c r="O1428" s="162"/>
    </row>
    <row r="1429" spans="1:15" s="10" customFormat="1" ht="15.75">
      <c r="A1429" s="127"/>
      <c r="B1429" s="127"/>
      <c r="C1429" s="127"/>
      <c r="D1429" s="127"/>
      <c r="E1429" s="127"/>
      <c r="F1429" s="336"/>
      <c r="G1429" s="118"/>
      <c r="H1429" s="118"/>
      <c r="I1429" s="118"/>
      <c r="J1429" s="118"/>
      <c r="K1429" s="118"/>
      <c r="L1429" s="118"/>
      <c r="M1429" s="118"/>
      <c r="N1429" s="127"/>
      <c r="O1429" s="162"/>
    </row>
    <row r="1430" spans="1:15" s="10" customFormat="1" ht="15.75">
      <c r="A1430" s="127"/>
      <c r="B1430" s="127"/>
      <c r="C1430" s="127"/>
      <c r="D1430" s="127"/>
      <c r="E1430" s="127"/>
      <c r="F1430" s="336"/>
      <c r="G1430" s="118"/>
      <c r="H1430" s="118"/>
      <c r="I1430" s="118"/>
      <c r="J1430" s="118"/>
      <c r="K1430" s="118"/>
      <c r="L1430" s="118"/>
      <c r="M1430" s="118"/>
      <c r="N1430" s="127"/>
      <c r="O1430" s="162"/>
    </row>
    <row r="1431" spans="1:15" s="10" customFormat="1" ht="15.75">
      <c r="A1431" s="127"/>
      <c r="B1431" s="127"/>
      <c r="C1431" s="127"/>
      <c r="D1431" s="127"/>
      <c r="E1431" s="127"/>
      <c r="F1431" s="336"/>
      <c r="G1431" s="118"/>
      <c r="H1431" s="118"/>
      <c r="I1431" s="118"/>
      <c r="J1431" s="118"/>
      <c r="K1431" s="118"/>
      <c r="L1431" s="118"/>
      <c r="M1431" s="118"/>
      <c r="N1431" s="127"/>
      <c r="O1431" s="162"/>
    </row>
    <row r="1432" spans="1:15" s="10" customFormat="1" ht="15.75">
      <c r="A1432" s="127"/>
      <c r="B1432" s="127"/>
      <c r="C1432" s="127"/>
      <c r="D1432" s="127"/>
      <c r="E1432" s="127"/>
      <c r="F1432" s="336"/>
      <c r="G1432" s="118"/>
      <c r="H1432" s="118"/>
      <c r="I1432" s="118"/>
      <c r="J1432" s="118"/>
      <c r="K1432" s="118"/>
      <c r="L1432" s="118"/>
      <c r="M1432" s="118"/>
      <c r="N1432" s="127"/>
      <c r="O1432" s="162"/>
    </row>
    <row r="1433" spans="1:15" s="10" customFormat="1" ht="15.75">
      <c r="A1433" s="127"/>
      <c r="B1433" s="127"/>
      <c r="C1433" s="127"/>
      <c r="D1433" s="127"/>
      <c r="E1433" s="127"/>
      <c r="F1433" s="336"/>
      <c r="G1433" s="118"/>
      <c r="H1433" s="118"/>
      <c r="I1433" s="118"/>
      <c r="J1433" s="118"/>
      <c r="K1433" s="118"/>
      <c r="L1433" s="118"/>
      <c r="M1433" s="118"/>
      <c r="N1433" s="127"/>
      <c r="O1433" s="162"/>
    </row>
    <row r="1434" spans="1:15" s="10" customFormat="1" ht="15.75">
      <c r="A1434" s="127"/>
      <c r="B1434" s="127"/>
      <c r="C1434" s="127"/>
      <c r="D1434" s="127"/>
      <c r="E1434" s="127"/>
      <c r="F1434" s="336"/>
      <c r="G1434" s="118"/>
      <c r="H1434" s="118"/>
      <c r="I1434" s="118"/>
      <c r="J1434" s="118"/>
      <c r="K1434" s="118"/>
      <c r="L1434" s="118"/>
      <c r="M1434" s="118"/>
      <c r="N1434" s="127"/>
      <c r="O1434" s="162"/>
    </row>
    <row r="1435" spans="1:15" s="10" customFormat="1" ht="15.75">
      <c r="A1435" s="127"/>
      <c r="B1435" s="127"/>
      <c r="C1435" s="127"/>
      <c r="D1435" s="127"/>
      <c r="E1435" s="127"/>
      <c r="F1435" s="336"/>
      <c r="G1435" s="118"/>
      <c r="H1435" s="118"/>
      <c r="I1435" s="118"/>
      <c r="J1435" s="118"/>
      <c r="K1435" s="118"/>
      <c r="L1435" s="118"/>
      <c r="M1435" s="118"/>
      <c r="N1435" s="127"/>
      <c r="O1435" s="162"/>
    </row>
    <row r="1436" spans="1:15" s="10" customFormat="1" ht="15.75">
      <c r="A1436" s="127"/>
      <c r="B1436" s="127"/>
      <c r="C1436" s="127"/>
      <c r="D1436" s="127"/>
      <c r="E1436" s="127"/>
      <c r="F1436" s="336"/>
      <c r="G1436" s="118"/>
      <c r="H1436" s="118"/>
      <c r="I1436" s="118"/>
      <c r="J1436" s="118"/>
      <c r="K1436" s="118"/>
      <c r="L1436" s="118"/>
      <c r="M1436" s="118"/>
      <c r="N1436" s="127"/>
      <c r="O1436" s="162"/>
    </row>
    <row r="1437" spans="1:15" s="10" customFormat="1" ht="15.75">
      <c r="A1437" s="127"/>
      <c r="B1437" s="127"/>
      <c r="C1437" s="127"/>
      <c r="D1437" s="127"/>
      <c r="E1437" s="127"/>
      <c r="F1437" s="336"/>
      <c r="G1437" s="118"/>
      <c r="H1437" s="118"/>
      <c r="I1437" s="118"/>
      <c r="J1437" s="118"/>
      <c r="K1437" s="118"/>
      <c r="L1437" s="118"/>
      <c r="M1437" s="118"/>
      <c r="N1437" s="127"/>
      <c r="O1437" s="162"/>
    </row>
    <row r="1438" spans="1:15" s="10" customFormat="1" ht="15.75">
      <c r="A1438" s="127"/>
      <c r="B1438" s="127"/>
      <c r="C1438" s="127"/>
      <c r="D1438" s="127"/>
      <c r="E1438" s="127"/>
      <c r="F1438" s="336"/>
      <c r="G1438" s="118"/>
      <c r="H1438" s="118"/>
      <c r="I1438" s="118"/>
      <c r="J1438" s="118"/>
      <c r="K1438" s="118"/>
      <c r="L1438" s="118"/>
      <c r="M1438" s="118"/>
      <c r="N1438" s="127"/>
      <c r="O1438" s="162"/>
    </row>
    <row r="1439" spans="1:15" s="10" customFormat="1" ht="15.75">
      <c r="A1439" s="127"/>
      <c r="B1439" s="127"/>
      <c r="C1439" s="127"/>
      <c r="D1439" s="127"/>
      <c r="E1439" s="127"/>
      <c r="F1439" s="336"/>
      <c r="G1439" s="118"/>
      <c r="H1439" s="118"/>
      <c r="I1439" s="118"/>
      <c r="J1439" s="118"/>
      <c r="K1439" s="118"/>
      <c r="L1439" s="118"/>
      <c r="M1439" s="118"/>
      <c r="N1439" s="127"/>
      <c r="O1439" s="162"/>
    </row>
    <row r="1440" spans="1:15" s="10" customFormat="1" ht="15.75">
      <c r="A1440" s="127"/>
      <c r="B1440" s="127"/>
      <c r="C1440" s="127"/>
      <c r="D1440" s="127"/>
      <c r="E1440" s="127"/>
      <c r="F1440" s="336"/>
      <c r="G1440" s="118"/>
      <c r="H1440" s="118"/>
      <c r="I1440" s="118"/>
      <c r="J1440" s="118"/>
      <c r="K1440" s="118"/>
      <c r="L1440" s="118"/>
      <c r="M1440" s="118"/>
      <c r="N1440" s="127"/>
      <c r="O1440" s="162"/>
    </row>
    <row r="1441" spans="1:15" s="10" customFormat="1" ht="15.75">
      <c r="A1441" s="127"/>
      <c r="B1441" s="127"/>
      <c r="C1441" s="127"/>
      <c r="D1441" s="127"/>
      <c r="E1441" s="127"/>
      <c r="F1441" s="336"/>
      <c r="G1441" s="118"/>
      <c r="H1441" s="118"/>
      <c r="I1441" s="118"/>
      <c r="J1441" s="118"/>
      <c r="K1441" s="118"/>
      <c r="L1441" s="118"/>
      <c r="M1441" s="118"/>
      <c r="N1441" s="127"/>
      <c r="O1441" s="162"/>
    </row>
    <row r="1442" spans="1:15" s="10" customFormat="1" ht="15.75">
      <c r="A1442" s="127"/>
      <c r="B1442" s="127"/>
      <c r="C1442" s="127"/>
      <c r="D1442" s="127"/>
      <c r="E1442" s="127"/>
      <c r="F1442" s="336"/>
      <c r="G1442" s="118"/>
      <c r="H1442" s="118"/>
      <c r="I1442" s="118"/>
      <c r="J1442" s="118"/>
      <c r="K1442" s="118"/>
      <c r="L1442" s="118"/>
      <c r="M1442" s="118"/>
      <c r="N1442" s="127"/>
      <c r="O1442" s="162"/>
    </row>
    <row r="1443" spans="1:15" s="10" customFormat="1" ht="15.75">
      <c r="A1443" s="127"/>
      <c r="B1443" s="127"/>
      <c r="C1443" s="127"/>
      <c r="D1443" s="127"/>
      <c r="E1443" s="127"/>
      <c r="F1443" s="336"/>
      <c r="G1443" s="118"/>
      <c r="H1443" s="118"/>
      <c r="I1443" s="118"/>
      <c r="J1443" s="118"/>
      <c r="K1443" s="118"/>
      <c r="L1443" s="118"/>
      <c r="M1443" s="118"/>
      <c r="N1443" s="127"/>
      <c r="O1443" s="162"/>
    </row>
    <row r="1444" spans="1:15" s="10" customFormat="1" ht="15.75">
      <c r="A1444" s="127"/>
      <c r="B1444" s="127"/>
      <c r="C1444" s="127"/>
      <c r="D1444" s="127"/>
      <c r="E1444" s="127"/>
      <c r="F1444" s="336"/>
      <c r="G1444" s="118"/>
      <c r="H1444" s="118"/>
      <c r="I1444" s="118"/>
      <c r="J1444" s="118"/>
      <c r="K1444" s="118"/>
      <c r="L1444" s="118"/>
      <c r="M1444" s="118"/>
      <c r="N1444" s="127"/>
      <c r="O1444" s="162"/>
    </row>
    <row r="1445" spans="1:15" s="10" customFormat="1" ht="15.75">
      <c r="A1445" s="127"/>
      <c r="B1445" s="127"/>
      <c r="C1445" s="127"/>
      <c r="D1445" s="127"/>
      <c r="E1445" s="127"/>
      <c r="F1445" s="336"/>
      <c r="G1445" s="118"/>
      <c r="H1445" s="118"/>
      <c r="I1445" s="118"/>
      <c r="J1445" s="118"/>
      <c r="K1445" s="118"/>
      <c r="L1445" s="118"/>
      <c r="M1445" s="118"/>
      <c r="N1445" s="127"/>
      <c r="O1445" s="162"/>
    </row>
    <row r="1446" spans="1:15" s="10" customFormat="1" ht="15.75">
      <c r="A1446" s="127"/>
      <c r="B1446" s="127"/>
      <c r="C1446" s="127"/>
      <c r="D1446" s="127"/>
      <c r="E1446" s="127"/>
      <c r="F1446" s="336"/>
      <c r="G1446" s="118"/>
      <c r="H1446" s="118"/>
      <c r="I1446" s="118"/>
      <c r="J1446" s="118"/>
      <c r="K1446" s="118"/>
      <c r="L1446" s="118"/>
      <c r="M1446" s="118"/>
      <c r="N1446" s="127"/>
      <c r="O1446" s="162"/>
    </row>
    <row r="1447" spans="1:15" s="10" customFormat="1" ht="15.75">
      <c r="A1447" s="127"/>
      <c r="B1447" s="127"/>
      <c r="C1447" s="127"/>
      <c r="D1447" s="127"/>
      <c r="E1447" s="127"/>
      <c r="F1447" s="336"/>
      <c r="G1447" s="118"/>
      <c r="H1447" s="118"/>
      <c r="I1447" s="118"/>
      <c r="J1447" s="118"/>
      <c r="K1447" s="118"/>
      <c r="L1447" s="118"/>
      <c r="M1447" s="118"/>
      <c r="N1447" s="127"/>
      <c r="O1447" s="162"/>
    </row>
    <row r="1448" spans="1:15" s="10" customFormat="1" ht="15.75">
      <c r="A1448" s="127"/>
      <c r="B1448" s="127"/>
      <c r="C1448" s="127"/>
      <c r="D1448" s="127"/>
      <c r="E1448" s="127"/>
      <c r="F1448" s="336"/>
      <c r="G1448" s="118"/>
      <c r="H1448" s="118"/>
      <c r="I1448" s="118"/>
      <c r="J1448" s="118"/>
      <c r="K1448" s="118"/>
      <c r="L1448" s="118"/>
      <c r="M1448" s="118"/>
      <c r="N1448" s="127"/>
      <c r="O1448" s="162"/>
    </row>
    <row r="1449" spans="1:15" s="10" customFormat="1" ht="15.75">
      <c r="A1449" s="127"/>
      <c r="B1449" s="127"/>
      <c r="C1449" s="127"/>
      <c r="D1449" s="127"/>
      <c r="E1449" s="127"/>
      <c r="F1449" s="336"/>
      <c r="G1449" s="118"/>
      <c r="H1449" s="118"/>
      <c r="I1449" s="118"/>
      <c r="J1449" s="118"/>
      <c r="K1449" s="118"/>
      <c r="L1449" s="118"/>
      <c r="M1449" s="118"/>
      <c r="N1449" s="127"/>
      <c r="O1449" s="162"/>
    </row>
    <row r="1450" spans="1:15" s="10" customFormat="1" ht="15.75">
      <c r="A1450" s="127"/>
      <c r="B1450" s="127"/>
      <c r="C1450" s="127"/>
      <c r="D1450" s="127"/>
      <c r="E1450" s="127"/>
      <c r="F1450" s="336"/>
      <c r="G1450" s="118"/>
      <c r="H1450" s="118"/>
      <c r="I1450" s="118"/>
      <c r="J1450" s="118"/>
      <c r="K1450" s="118"/>
      <c r="L1450" s="118"/>
      <c r="M1450" s="118"/>
      <c r="N1450" s="127"/>
      <c r="O1450" s="162"/>
    </row>
    <row r="1451" spans="1:15" s="10" customFormat="1" ht="15.75">
      <c r="A1451" s="127"/>
      <c r="B1451" s="127"/>
      <c r="C1451" s="127"/>
      <c r="D1451" s="127"/>
      <c r="E1451" s="127"/>
      <c r="F1451" s="336"/>
      <c r="G1451" s="118"/>
      <c r="H1451" s="118"/>
      <c r="I1451" s="118"/>
      <c r="J1451" s="118"/>
      <c r="K1451" s="118"/>
      <c r="L1451" s="118"/>
      <c r="M1451" s="118"/>
      <c r="N1451" s="127"/>
      <c r="O1451" s="162"/>
    </row>
    <row r="1452" spans="1:15" s="10" customFormat="1" ht="15.75">
      <c r="A1452" s="127"/>
      <c r="B1452" s="127"/>
      <c r="C1452" s="127"/>
      <c r="D1452" s="127"/>
      <c r="E1452" s="127"/>
      <c r="F1452" s="336"/>
      <c r="G1452" s="118"/>
      <c r="H1452" s="118"/>
      <c r="I1452" s="118"/>
      <c r="J1452" s="118"/>
      <c r="K1452" s="118"/>
      <c r="L1452" s="118"/>
      <c r="M1452" s="118"/>
      <c r="N1452" s="127"/>
      <c r="O1452" s="162"/>
    </row>
    <row r="1453" spans="1:15" s="10" customFormat="1" ht="15.75">
      <c r="A1453" s="127"/>
      <c r="B1453" s="127"/>
      <c r="C1453" s="127"/>
      <c r="D1453" s="127"/>
      <c r="E1453" s="127"/>
      <c r="F1453" s="336"/>
      <c r="G1453" s="118"/>
      <c r="H1453" s="118"/>
      <c r="I1453" s="118"/>
      <c r="J1453" s="118"/>
      <c r="K1453" s="118"/>
      <c r="L1453" s="118"/>
      <c r="M1453" s="118"/>
      <c r="N1453" s="127"/>
      <c r="O1453" s="162"/>
    </row>
    <row r="1454" spans="1:15" s="10" customFormat="1" ht="15.75">
      <c r="A1454" s="127"/>
      <c r="B1454" s="127"/>
      <c r="C1454" s="127"/>
      <c r="D1454" s="127"/>
      <c r="E1454" s="127"/>
      <c r="F1454" s="336"/>
      <c r="G1454" s="118"/>
      <c r="H1454" s="118"/>
      <c r="I1454" s="118"/>
      <c r="J1454" s="118"/>
      <c r="K1454" s="118"/>
      <c r="L1454" s="118"/>
      <c r="M1454" s="118"/>
      <c r="N1454" s="127"/>
      <c r="O1454" s="162"/>
    </row>
    <row r="1455" spans="1:15" s="10" customFormat="1" ht="15.75">
      <c r="A1455" s="127"/>
      <c r="B1455" s="127"/>
      <c r="C1455" s="127"/>
      <c r="D1455" s="127"/>
      <c r="E1455" s="127"/>
      <c r="F1455" s="336"/>
      <c r="G1455" s="118"/>
      <c r="H1455" s="118"/>
      <c r="I1455" s="118"/>
      <c r="J1455" s="118"/>
      <c r="K1455" s="118"/>
      <c r="L1455" s="118"/>
      <c r="M1455" s="118"/>
      <c r="N1455" s="127"/>
      <c r="O1455" s="162"/>
    </row>
    <row r="1456" spans="1:15" s="10" customFormat="1" ht="15.75">
      <c r="A1456" s="127"/>
      <c r="B1456" s="127"/>
      <c r="C1456" s="127"/>
      <c r="D1456" s="127"/>
      <c r="E1456" s="127"/>
      <c r="F1456" s="336"/>
      <c r="G1456" s="118"/>
      <c r="H1456" s="118"/>
      <c r="I1456" s="118"/>
      <c r="J1456" s="118"/>
      <c r="K1456" s="118"/>
      <c r="L1456" s="118"/>
      <c r="M1456" s="118"/>
      <c r="N1456" s="127"/>
      <c r="O1456" s="162"/>
    </row>
    <row r="1457" spans="1:15" s="10" customFormat="1" ht="15.75">
      <c r="A1457" s="127"/>
      <c r="B1457" s="127"/>
      <c r="C1457" s="127"/>
      <c r="D1457" s="127"/>
      <c r="E1457" s="127"/>
      <c r="F1457" s="336"/>
      <c r="G1457" s="118"/>
      <c r="H1457" s="118"/>
      <c r="I1457" s="118"/>
      <c r="J1457" s="118"/>
      <c r="K1457" s="118"/>
      <c r="L1457" s="118"/>
      <c r="M1457" s="118"/>
      <c r="N1457" s="127"/>
      <c r="O1457" s="162"/>
    </row>
    <row r="1458" spans="1:15" s="10" customFormat="1" ht="15.75">
      <c r="A1458" s="127"/>
      <c r="B1458" s="127"/>
      <c r="C1458" s="127"/>
      <c r="D1458" s="127"/>
      <c r="E1458" s="127"/>
      <c r="F1458" s="336"/>
      <c r="G1458" s="118"/>
      <c r="H1458" s="118"/>
      <c r="I1458" s="118"/>
      <c r="J1458" s="118"/>
      <c r="K1458" s="118"/>
      <c r="L1458" s="118"/>
      <c r="M1458" s="118"/>
      <c r="N1458" s="127"/>
      <c r="O1458" s="162"/>
    </row>
    <row r="1459" spans="1:15" s="10" customFormat="1" ht="15.75">
      <c r="A1459" s="127"/>
      <c r="B1459" s="127"/>
      <c r="C1459" s="127"/>
      <c r="D1459" s="127"/>
      <c r="E1459" s="127"/>
      <c r="F1459" s="336"/>
      <c r="G1459" s="118"/>
      <c r="H1459" s="118"/>
      <c r="I1459" s="118"/>
      <c r="J1459" s="118"/>
      <c r="K1459" s="118"/>
      <c r="L1459" s="118"/>
      <c r="M1459" s="118"/>
      <c r="N1459" s="127"/>
      <c r="O1459" s="162"/>
    </row>
    <row r="1460" spans="1:15" s="10" customFormat="1" ht="15.75">
      <c r="A1460" s="127"/>
      <c r="B1460" s="127"/>
      <c r="C1460" s="127"/>
      <c r="D1460" s="127"/>
      <c r="E1460" s="127"/>
      <c r="F1460" s="336"/>
      <c r="G1460" s="118"/>
      <c r="H1460" s="118"/>
      <c r="I1460" s="118"/>
      <c r="J1460" s="118"/>
      <c r="K1460" s="118"/>
      <c r="L1460" s="118"/>
      <c r="M1460" s="118"/>
      <c r="N1460" s="127"/>
      <c r="O1460" s="162"/>
    </row>
    <row r="1461" spans="1:15" s="10" customFormat="1" ht="15.75">
      <c r="A1461" s="127"/>
      <c r="B1461" s="127"/>
      <c r="C1461" s="127"/>
      <c r="D1461" s="127"/>
      <c r="E1461" s="127"/>
      <c r="F1461" s="336"/>
      <c r="G1461" s="118"/>
      <c r="H1461" s="118"/>
      <c r="I1461" s="118"/>
      <c r="J1461" s="118"/>
      <c r="K1461" s="118"/>
      <c r="L1461" s="118"/>
      <c r="M1461" s="118"/>
      <c r="N1461" s="127"/>
      <c r="O1461" s="162"/>
    </row>
    <row r="1462" spans="1:15" s="10" customFormat="1" ht="15.75">
      <c r="A1462" s="127"/>
      <c r="B1462" s="127"/>
      <c r="C1462" s="127"/>
      <c r="D1462" s="127"/>
      <c r="E1462" s="127"/>
      <c r="F1462" s="336"/>
      <c r="G1462" s="118"/>
      <c r="H1462" s="118"/>
      <c r="I1462" s="118"/>
      <c r="J1462" s="118"/>
      <c r="K1462" s="118"/>
      <c r="L1462" s="118"/>
      <c r="M1462" s="118"/>
      <c r="N1462" s="127"/>
      <c r="O1462" s="162"/>
    </row>
    <row r="1463" spans="1:15" s="10" customFormat="1" ht="15.75">
      <c r="A1463" s="127"/>
      <c r="B1463" s="127"/>
      <c r="C1463" s="127"/>
      <c r="D1463" s="127"/>
      <c r="E1463" s="127"/>
      <c r="F1463" s="336"/>
      <c r="G1463" s="118"/>
      <c r="H1463" s="118"/>
      <c r="I1463" s="118"/>
      <c r="J1463" s="118"/>
      <c r="K1463" s="118"/>
      <c r="L1463" s="118"/>
      <c r="M1463" s="118"/>
      <c r="N1463" s="127"/>
      <c r="O1463" s="162"/>
    </row>
    <row r="1464" spans="1:15" s="10" customFormat="1" ht="15.75">
      <c r="A1464" s="127"/>
      <c r="B1464" s="127"/>
      <c r="C1464" s="127"/>
      <c r="D1464" s="127"/>
      <c r="E1464" s="127"/>
      <c r="F1464" s="336"/>
      <c r="G1464" s="118"/>
      <c r="H1464" s="118"/>
      <c r="I1464" s="118"/>
      <c r="J1464" s="118"/>
      <c r="K1464" s="118"/>
      <c r="L1464" s="118"/>
      <c r="M1464" s="118"/>
      <c r="N1464" s="127"/>
      <c r="O1464" s="162"/>
    </row>
    <row r="1465" spans="1:15" s="10" customFormat="1" ht="15.75">
      <c r="A1465" s="127"/>
      <c r="B1465" s="127"/>
      <c r="C1465" s="127"/>
      <c r="D1465" s="127"/>
      <c r="E1465" s="127"/>
      <c r="F1465" s="336"/>
      <c r="G1465" s="118"/>
      <c r="H1465" s="118"/>
      <c r="I1465" s="118"/>
      <c r="J1465" s="118"/>
      <c r="K1465" s="118"/>
      <c r="L1465" s="118"/>
      <c r="M1465" s="118"/>
      <c r="N1465" s="127"/>
      <c r="O1465" s="162"/>
    </row>
    <row r="1466" spans="1:15" s="10" customFormat="1" ht="15.75">
      <c r="A1466" s="127"/>
      <c r="B1466" s="127"/>
      <c r="C1466" s="127"/>
      <c r="D1466" s="127"/>
      <c r="E1466" s="127"/>
      <c r="F1466" s="336"/>
      <c r="G1466" s="118"/>
      <c r="H1466" s="118"/>
      <c r="I1466" s="118"/>
      <c r="J1466" s="118"/>
      <c r="K1466" s="118"/>
      <c r="L1466" s="118"/>
      <c r="M1466" s="118"/>
      <c r="N1466" s="127"/>
      <c r="O1466" s="162"/>
    </row>
    <row r="1467" spans="1:15" s="10" customFormat="1" ht="15.75">
      <c r="A1467" s="127"/>
      <c r="B1467" s="127"/>
      <c r="C1467" s="127"/>
      <c r="D1467" s="127"/>
      <c r="E1467" s="127"/>
      <c r="F1467" s="336"/>
      <c r="G1467" s="118"/>
      <c r="H1467" s="118"/>
      <c r="I1467" s="118"/>
      <c r="J1467" s="118"/>
      <c r="K1467" s="118"/>
      <c r="L1467" s="118"/>
      <c r="M1467" s="118"/>
      <c r="N1467" s="127"/>
      <c r="O1467" s="162"/>
    </row>
    <row r="1468" spans="1:15" s="10" customFormat="1" ht="15.75">
      <c r="A1468" s="127"/>
      <c r="B1468" s="127"/>
      <c r="C1468" s="127"/>
      <c r="D1468" s="127"/>
      <c r="E1468" s="127"/>
      <c r="F1468" s="336"/>
      <c r="G1468" s="118"/>
      <c r="H1468" s="118"/>
      <c r="I1468" s="118"/>
      <c r="J1468" s="118"/>
      <c r="K1468" s="118"/>
      <c r="L1468" s="118"/>
      <c r="M1468" s="118"/>
      <c r="N1468" s="127"/>
      <c r="O1468" s="162"/>
    </row>
    <row r="1469" spans="1:15" s="10" customFormat="1" ht="15.75">
      <c r="A1469" s="127"/>
      <c r="B1469" s="127"/>
      <c r="C1469" s="127"/>
      <c r="D1469" s="127"/>
      <c r="E1469" s="127"/>
      <c r="F1469" s="336"/>
      <c r="G1469" s="118"/>
      <c r="H1469" s="118"/>
      <c r="I1469" s="118"/>
      <c r="J1469" s="118"/>
      <c r="K1469" s="118"/>
      <c r="L1469" s="118"/>
      <c r="M1469" s="118"/>
      <c r="N1469" s="127"/>
      <c r="O1469" s="162"/>
    </row>
    <row r="1470" spans="1:15" s="10" customFormat="1" ht="15.75">
      <c r="A1470" s="127"/>
      <c r="B1470" s="127"/>
      <c r="C1470" s="127"/>
      <c r="D1470" s="127"/>
      <c r="E1470" s="127"/>
      <c r="F1470" s="336"/>
      <c r="G1470" s="118"/>
      <c r="H1470" s="118"/>
      <c r="I1470" s="118"/>
      <c r="J1470" s="118"/>
      <c r="K1470" s="118"/>
      <c r="L1470" s="118"/>
      <c r="M1470" s="118"/>
      <c r="N1470" s="127"/>
      <c r="O1470" s="162"/>
    </row>
    <row r="1471" spans="1:15" s="10" customFormat="1" ht="15.75">
      <c r="A1471" s="127"/>
      <c r="B1471" s="127"/>
      <c r="C1471" s="127"/>
      <c r="D1471" s="127"/>
      <c r="E1471" s="127"/>
      <c r="F1471" s="336"/>
      <c r="G1471" s="118"/>
      <c r="H1471" s="118"/>
      <c r="I1471" s="118"/>
      <c r="J1471" s="118"/>
      <c r="K1471" s="118"/>
      <c r="L1471" s="118"/>
      <c r="M1471" s="118"/>
      <c r="N1471" s="127"/>
      <c r="O1471" s="162"/>
    </row>
    <row r="1472" spans="1:15" s="10" customFormat="1" ht="15.75">
      <c r="A1472" s="127"/>
      <c r="B1472" s="127"/>
      <c r="C1472" s="127"/>
      <c r="D1472" s="127"/>
      <c r="E1472" s="127"/>
      <c r="F1472" s="336"/>
      <c r="G1472" s="118"/>
      <c r="H1472" s="118"/>
      <c r="I1472" s="118"/>
      <c r="J1472" s="118"/>
      <c r="K1472" s="118"/>
      <c r="L1472" s="118"/>
      <c r="M1472" s="118"/>
      <c r="N1472" s="127"/>
      <c r="O1472" s="162"/>
    </row>
    <row r="1473" spans="1:15" s="10" customFormat="1" ht="15.75">
      <c r="A1473" s="127"/>
      <c r="B1473" s="127"/>
      <c r="C1473" s="127"/>
      <c r="D1473" s="127"/>
      <c r="E1473" s="127"/>
      <c r="F1473" s="336"/>
      <c r="G1473" s="118"/>
      <c r="H1473" s="118"/>
      <c r="I1473" s="118"/>
      <c r="J1473" s="118"/>
      <c r="K1473" s="118"/>
      <c r="L1473" s="118"/>
      <c r="M1473" s="118"/>
      <c r="N1473" s="127"/>
      <c r="O1473" s="162"/>
    </row>
    <row r="1474" spans="1:15" s="10" customFormat="1" ht="15.75">
      <c r="A1474" s="127"/>
      <c r="B1474" s="127"/>
      <c r="C1474" s="127"/>
      <c r="D1474" s="127"/>
      <c r="E1474" s="127"/>
      <c r="F1474" s="336"/>
      <c r="G1474" s="118"/>
      <c r="H1474" s="118"/>
      <c r="I1474" s="118"/>
      <c r="J1474" s="118"/>
      <c r="K1474" s="118"/>
      <c r="L1474" s="118"/>
      <c r="M1474" s="118"/>
      <c r="N1474" s="127"/>
      <c r="O1474" s="162"/>
    </row>
    <row r="1475" spans="1:15" s="10" customFormat="1" ht="15.75">
      <c r="A1475" s="127"/>
      <c r="B1475" s="127"/>
      <c r="C1475" s="127"/>
      <c r="D1475" s="127"/>
      <c r="E1475" s="127"/>
      <c r="F1475" s="336"/>
      <c r="G1475" s="118"/>
      <c r="H1475" s="118"/>
      <c r="I1475" s="118"/>
      <c r="J1475" s="118"/>
      <c r="K1475" s="118"/>
      <c r="L1475" s="118"/>
      <c r="M1475" s="118"/>
      <c r="N1475" s="127"/>
      <c r="O1475" s="162"/>
    </row>
    <row r="1476" spans="1:15" s="10" customFormat="1" ht="15.75">
      <c r="A1476" s="127"/>
      <c r="B1476" s="127"/>
      <c r="C1476" s="127"/>
      <c r="D1476" s="127"/>
      <c r="E1476" s="127"/>
      <c r="F1476" s="336"/>
      <c r="G1476" s="118"/>
      <c r="H1476" s="118"/>
      <c r="I1476" s="118"/>
      <c r="J1476" s="118"/>
      <c r="K1476" s="118"/>
      <c r="L1476" s="118"/>
      <c r="M1476" s="118"/>
      <c r="N1476" s="127"/>
      <c r="O1476" s="162"/>
    </row>
    <row r="1477" spans="1:15" s="10" customFormat="1" ht="15.75">
      <c r="A1477" s="127"/>
      <c r="B1477" s="127"/>
      <c r="C1477" s="127"/>
      <c r="D1477" s="127"/>
      <c r="E1477" s="127"/>
      <c r="F1477" s="336"/>
      <c r="G1477" s="118"/>
      <c r="H1477" s="118"/>
      <c r="I1477" s="118"/>
      <c r="J1477" s="118"/>
      <c r="K1477" s="118"/>
      <c r="L1477" s="118"/>
      <c r="M1477" s="118"/>
      <c r="N1477" s="127"/>
      <c r="O1477" s="162"/>
    </row>
    <row r="1478" spans="1:15" s="10" customFormat="1" ht="15.75">
      <c r="A1478" s="127"/>
      <c r="B1478" s="127"/>
      <c r="C1478" s="127"/>
      <c r="D1478" s="127"/>
      <c r="E1478" s="127"/>
      <c r="F1478" s="336"/>
      <c r="G1478" s="118"/>
      <c r="H1478" s="118"/>
      <c r="I1478" s="118"/>
      <c r="J1478" s="118"/>
      <c r="K1478" s="118"/>
      <c r="L1478" s="118"/>
      <c r="M1478" s="118"/>
      <c r="N1478" s="127"/>
      <c r="O1478" s="162"/>
    </row>
    <row r="1479" spans="1:15" s="10" customFormat="1" ht="15.75">
      <c r="A1479" s="127"/>
      <c r="B1479" s="127"/>
      <c r="C1479" s="127"/>
      <c r="D1479" s="127"/>
      <c r="E1479" s="127"/>
      <c r="F1479" s="336"/>
      <c r="G1479" s="118"/>
      <c r="H1479" s="118"/>
      <c r="I1479" s="118"/>
      <c r="J1479" s="118"/>
      <c r="K1479" s="118"/>
      <c r="L1479" s="118"/>
      <c r="M1479" s="118"/>
      <c r="N1479" s="127"/>
      <c r="O1479" s="162"/>
    </row>
    <row r="1480" spans="1:15" s="10" customFormat="1" ht="15.75">
      <c r="A1480" s="127"/>
      <c r="B1480" s="127"/>
      <c r="C1480" s="127"/>
      <c r="D1480" s="127"/>
      <c r="E1480" s="127"/>
      <c r="F1480" s="336"/>
      <c r="G1480" s="118"/>
      <c r="H1480" s="118"/>
      <c r="I1480" s="118"/>
      <c r="J1480" s="118"/>
      <c r="K1480" s="118"/>
      <c r="L1480" s="118"/>
      <c r="M1480" s="118"/>
      <c r="N1480" s="127"/>
      <c r="O1480" s="162"/>
    </row>
    <row r="1481" spans="1:15" s="10" customFormat="1" ht="15.75">
      <c r="A1481" s="127"/>
      <c r="B1481" s="127"/>
      <c r="C1481" s="127"/>
      <c r="D1481" s="127"/>
      <c r="E1481" s="127"/>
      <c r="F1481" s="336"/>
      <c r="G1481" s="118"/>
      <c r="H1481" s="118"/>
      <c r="I1481" s="118"/>
      <c r="J1481" s="118"/>
      <c r="K1481" s="118"/>
      <c r="L1481" s="118"/>
      <c r="M1481" s="118"/>
      <c r="N1481" s="127"/>
      <c r="O1481" s="162"/>
    </row>
    <row r="1482" spans="1:15" s="10" customFormat="1" ht="15.75">
      <c r="A1482" s="127"/>
      <c r="B1482" s="127"/>
      <c r="C1482" s="127"/>
      <c r="D1482" s="127"/>
      <c r="E1482" s="127"/>
      <c r="F1482" s="336"/>
      <c r="G1482" s="118"/>
      <c r="H1482" s="118"/>
      <c r="I1482" s="118"/>
      <c r="J1482" s="118"/>
      <c r="K1482" s="118"/>
      <c r="L1482" s="118"/>
      <c r="M1482" s="118"/>
      <c r="N1482" s="127"/>
      <c r="O1482" s="162"/>
    </row>
    <row r="1483" spans="1:15" s="10" customFormat="1" ht="15.75">
      <c r="A1483" s="127"/>
      <c r="B1483" s="127"/>
      <c r="C1483" s="127"/>
      <c r="D1483" s="127"/>
      <c r="E1483" s="127"/>
      <c r="F1483" s="336"/>
      <c r="G1483" s="118"/>
      <c r="H1483" s="118"/>
      <c r="I1483" s="118"/>
      <c r="J1483" s="118"/>
      <c r="K1483" s="118"/>
      <c r="L1483" s="118"/>
      <c r="M1483" s="118"/>
      <c r="N1483" s="127"/>
      <c r="O1483" s="162"/>
    </row>
    <row r="1484" spans="1:15" s="10" customFormat="1" ht="15.75">
      <c r="A1484" s="127"/>
      <c r="B1484" s="127"/>
      <c r="C1484" s="127"/>
      <c r="D1484" s="127"/>
      <c r="E1484" s="127"/>
      <c r="F1484" s="336"/>
      <c r="G1484" s="118"/>
      <c r="H1484" s="118"/>
      <c r="I1484" s="118"/>
      <c r="J1484" s="118"/>
      <c r="K1484" s="118"/>
      <c r="L1484" s="118"/>
      <c r="M1484" s="118"/>
      <c r="N1484" s="127"/>
      <c r="O1484" s="162"/>
    </row>
    <row r="1485" spans="1:15" s="10" customFormat="1" ht="15.75">
      <c r="A1485" s="127"/>
      <c r="B1485" s="127"/>
      <c r="C1485" s="127"/>
      <c r="D1485" s="127"/>
      <c r="E1485" s="127"/>
      <c r="F1485" s="336"/>
      <c r="G1485" s="118"/>
      <c r="H1485" s="118"/>
      <c r="I1485" s="118"/>
      <c r="J1485" s="118"/>
      <c r="K1485" s="118"/>
      <c r="L1485" s="118"/>
      <c r="M1485" s="118"/>
      <c r="N1485" s="127"/>
      <c r="O1485" s="162"/>
    </row>
    <row r="1486" spans="1:15" s="10" customFormat="1" ht="15.75">
      <c r="A1486" s="127"/>
      <c r="B1486" s="127"/>
      <c r="C1486" s="127"/>
      <c r="D1486" s="127"/>
      <c r="E1486" s="127"/>
      <c r="F1486" s="336"/>
      <c r="G1486" s="118"/>
      <c r="H1486" s="118"/>
      <c r="I1486" s="118"/>
      <c r="J1486" s="118"/>
      <c r="K1486" s="118"/>
      <c r="L1486" s="118"/>
      <c r="M1486" s="118"/>
      <c r="N1486" s="127"/>
      <c r="O1486" s="162"/>
    </row>
    <row r="1487" spans="1:15" s="10" customFormat="1" ht="15.75">
      <c r="A1487" s="127"/>
      <c r="B1487" s="127"/>
      <c r="C1487" s="127"/>
      <c r="D1487" s="127"/>
      <c r="E1487" s="127"/>
      <c r="F1487" s="336"/>
      <c r="G1487" s="118"/>
      <c r="H1487" s="118"/>
      <c r="I1487" s="118"/>
      <c r="J1487" s="118"/>
      <c r="K1487" s="118"/>
      <c r="L1487" s="118"/>
      <c r="M1487" s="118"/>
      <c r="N1487" s="127"/>
      <c r="O1487" s="162"/>
    </row>
    <row r="1488" spans="1:15" s="10" customFormat="1" ht="15.75">
      <c r="A1488" s="127"/>
      <c r="B1488" s="127"/>
      <c r="C1488" s="127"/>
      <c r="D1488" s="127"/>
      <c r="E1488" s="127"/>
      <c r="F1488" s="336"/>
      <c r="G1488" s="118"/>
      <c r="H1488" s="118"/>
      <c r="I1488" s="118"/>
      <c r="J1488" s="118"/>
      <c r="K1488" s="118"/>
      <c r="L1488" s="118"/>
      <c r="M1488" s="118"/>
      <c r="N1488" s="127"/>
      <c r="O1488" s="162"/>
    </row>
    <row r="1489" spans="1:15" s="10" customFormat="1" ht="15.75">
      <c r="A1489" s="127"/>
      <c r="B1489" s="127"/>
      <c r="C1489" s="127"/>
      <c r="D1489" s="127"/>
      <c r="E1489" s="127"/>
      <c r="F1489" s="336"/>
      <c r="G1489" s="118"/>
      <c r="H1489" s="118"/>
      <c r="I1489" s="118"/>
      <c r="J1489" s="118"/>
      <c r="K1489" s="118"/>
      <c r="L1489" s="118"/>
      <c r="M1489" s="118"/>
      <c r="N1489" s="127"/>
      <c r="O1489" s="162"/>
    </row>
    <row r="1490" spans="1:15" s="10" customFormat="1" ht="15.75">
      <c r="A1490" s="127"/>
      <c r="B1490" s="127"/>
      <c r="C1490" s="127"/>
      <c r="D1490" s="127"/>
      <c r="E1490" s="127"/>
      <c r="F1490" s="336"/>
      <c r="G1490" s="118"/>
      <c r="H1490" s="118"/>
      <c r="I1490" s="118"/>
      <c r="J1490" s="118"/>
      <c r="K1490" s="118"/>
      <c r="L1490" s="118"/>
      <c r="M1490" s="118"/>
      <c r="N1490" s="127"/>
      <c r="O1490" s="162"/>
    </row>
    <row r="1491" spans="1:15" s="10" customFormat="1" ht="15.75">
      <c r="A1491" s="127"/>
      <c r="B1491" s="127"/>
      <c r="C1491" s="127"/>
      <c r="D1491" s="127"/>
      <c r="E1491" s="127"/>
      <c r="F1491" s="336"/>
      <c r="G1491" s="118"/>
      <c r="H1491" s="118"/>
      <c r="I1491" s="118"/>
      <c r="J1491" s="118"/>
      <c r="K1491" s="118"/>
      <c r="L1491" s="118"/>
      <c r="M1491" s="118"/>
      <c r="N1491" s="127"/>
      <c r="O1491" s="162"/>
    </row>
    <row r="1492" spans="1:15" s="10" customFormat="1" ht="15.75">
      <c r="A1492" s="127"/>
      <c r="B1492" s="127"/>
      <c r="C1492" s="127"/>
      <c r="D1492" s="127"/>
      <c r="E1492" s="127"/>
      <c r="F1492" s="336"/>
      <c r="G1492" s="118"/>
      <c r="H1492" s="118"/>
      <c r="I1492" s="118"/>
      <c r="J1492" s="118"/>
      <c r="K1492" s="118"/>
      <c r="L1492" s="118"/>
      <c r="M1492" s="118"/>
      <c r="N1492" s="127"/>
      <c r="O1492" s="162"/>
    </row>
    <row r="1493" spans="1:15" s="10" customFormat="1" ht="15.75">
      <c r="A1493" s="127"/>
      <c r="B1493" s="127"/>
      <c r="C1493" s="127"/>
      <c r="D1493" s="127"/>
      <c r="E1493" s="127"/>
      <c r="F1493" s="336"/>
      <c r="G1493" s="118"/>
      <c r="H1493" s="118"/>
      <c r="I1493" s="118"/>
      <c r="J1493" s="118"/>
      <c r="K1493" s="118"/>
      <c r="L1493" s="118"/>
      <c r="M1493" s="118"/>
      <c r="N1493" s="127"/>
      <c r="O1493" s="162"/>
    </row>
    <row r="1494" spans="1:15" s="10" customFormat="1" ht="15.75">
      <c r="A1494" s="127"/>
      <c r="B1494" s="127"/>
      <c r="C1494" s="127"/>
      <c r="D1494" s="127"/>
      <c r="E1494" s="127"/>
      <c r="F1494" s="336"/>
      <c r="G1494" s="118"/>
      <c r="H1494" s="118"/>
      <c r="I1494" s="118"/>
      <c r="J1494" s="118"/>
      <c r="K1494" s="118"/>
      <c r="L1494" s="118"/>
      <c r="M1494" s="118"/>
      <c r="N1494" s="127"/>
      <c r="O1494" s="162"/>
    </row>
    <row r="1495" spans="1:15" s="10" customFormat="1" ht="15.75">
      <c r="A1495" s="127"/>
      <c r="B1495" s="127"/>
      <c r="C1495" s="127"/>
      <c r="D1495" s="127"/>
      <c r="E1495" s="127"/>
      <c r="F1495" s="336"/>
      <c r="G1495" s="118"/>
      <c r="H1495" s="118"/>
      <c r="I1495" s="118"/>
      <c r="J1495" s="118"/>
      <c r="K1495" s="118"/>
      <c r="L1495" s="118"/>
      <c r="M1495" s="118"/>
      <c r="N1495" s="127"/>
      <c r="O1495" s="162"/>
    </row>
    <row r="1496" spans="1:15" s="10" customFormat="1" ht="15.75">
      <c r="A1496" s="127"/>
      <c r="B1496" s="127"/>
      <c r="C1496" s="127"/>
      <c r="D1496" s="127"/>
      <c r="E1496" s="127"/>
      <c r="F1496" s="336"/>
      <c r="G1496" s="118"/>
      <c r="H1496" s="118"/>
      <c r="I1496" s="118"/>
      <c r="J1496" s="118"/>
      <c r="K1496" s="118"/>
      <c r="L1496" s="118"/>
      <c r="M1496" s="118"/>
      <c r="N1496" s="127"/>
      <c r="O1496" s="162"/>
    </row>
    <row r="1497" spans="1:15" s="10" customFormat="1" ht="15.75">
      <c r="A1497" s="127"/>
      <c r="B1497" s="127"/>
      <c r="C1497" s="127"/>
      <c r="D1497" s="127"/>
      <c r="E1497" s="127"/>
      <c r="F1497" s="336"/>
      <c r="G1497" s="118"/>
      <c r="H1497" s="118"/>
      <c r="I1497" s="118"/>
      <c r="J1497" s="118"/>
      <c r="K1497" s="118"/>
      <c r="L1497" s="118"/>
      <c r="M1497" s="118"/>
      <c r="N1497" s="127"/>
      <c r="O1497" s="162"/>
    </row>
    <row r="1498" spans="1:15" s="10" customFormat="1" ht="15.75">
      <c r="A1498" s="127"/>
      <c r="B1498" s="127"/>
      <c r="C1498" s="127"/>
      <c r="D1498" s="127"/>
      <c r="E1498" s="127"/>
      <c r="F1498" s="336"/>
      <c r="G1498" s="118"/>
      <c r="H1498" s="118"/>
      <c r="I1498" s="118"/>
      <c r="J1498" s="118"/>
      <c r="K1498" s="118"/>
      <c r="L1498" s="118"/>
      <c r="M1498" s="118"/>
      <c r="N1498" s="127"/>
      <c r="O1498" s="162"/>
    </row>
    <row r="1499" spans="1:15" s="10" customFormat="1" ht="15.75">
      <c r="A1499" s="127"/>
      <c r="B1499" s="127"/>
      <c r="C1499" s="127"/>
      <c r="D1499" s="127"/>
      <c r="E1499" s="127"/>
      <c r="F1499" s="336"/>
      <c r="G1499" s="118"/>
      <c r="H1499" s="118"/>
      <c r="I1499" s="118"/>
      <c r="J1499" s="118"/>
      <c r="K1499" s="118"/>
      <c r="L1499" s="118"/>
      <c r="M1499" s="118"/>
      <c r="N1499" s="127"/>
      <c r="O1499" s="162"/>
    </row>
    <row r="1500" spans="1:15" s="10" customFormat="1" ht="15.75">
      <c r="A1500" s="127"/>
      <c r="B1500" s="127"/>
      <c r="C1500" s="127"/>
      <c r="D1500" s="127"/>
      <c r="E1500" s="127"/>
      <c r="F1500" s="336"/>
      <c r="G1500" s="118"/>
      <c r="H1500" s="118"/>
      <c r="I1500" s="118"/>
      <c r="J1500" s="118"/>
      <c r="K1500" s="118"/>
      <c r="L1500" s="118"/>
      <c r="M1500" s="118"/>
      <c r="N1500" s="127"/>
      <c r="O1500" s="162"/>
    </row>
    <row r="1501" spans="1:15" s="10" customFormat="1" ht="15.75">
      <c r="A1501" s="127"/>
      <c r="B1501" s="127"/>
      <c r="C1501" s="127"/>
      <c r="D1501" s="127"/>
      <c r="E1501" s="127"/>
      <c r="F1501" s="336"/>
      <c r="G1501" s="118"/>
      <c r="H1501" s="118"/>
      <c r="I1501" s="118"/>
      <c r="J1501" s="118"/>
      <c r="K1501" s="118"/>
      <c r="L1501" s="118"/>
      <c r="M1501" s="118"/>
      <c r="N1501" s="127"/>
      <c r="O1501" s="162"/>
    </row>
    <row r="1502" spans="1:15" s="10" customFormat="1" ht="15.75">
      <c r="A1502" s="127"/>
      <c r="B1502" s="127"/>
      <c r="C1502" s="127"/>
      <c r="D1502" s="127"/>
      <c r="E1502" s="127"/>
      <c r="F1502" s="336"/>
      <c r="G1502" s="118"/>
      <c r="H1502" s="118"/>
      <c r="I1502" s="118"/>
      <c r="J1502" s="118"/>
      <c r="K1502" s="118"/>
      <c r="L1502" s="118"/>
      <c r="M1502" s="118"/>
      <c r="N1502" s="127"/>
      <c r="O1502" s="162"/>
    </row>
    <row r="1503" spans="1:15" s="10" customFormat="1" ht="15.75">
      <c r="A1503" s="127"/>
      <c r="B1503" s="127"/>
      <c r="C1503" s="127"/>
      <c r="D1503" s="127"/>
      <c r="E1503" s="127"/>
      <c r="F1503" s="336"/>
      <c r="G1503" s="118"/>
      <c r="H1503" s="118"/>
      <c r="I1503" s="118"/>
      <c r="J1503" s="118"/>
      <c r="K1503" s="118"/>
      <c r="L1503" s="118"/>
      <c r="M1503" s="118"/>
      <c r="N1503" s="127"/>
      <c r="O1503" s="162"/>
    </row>
    <row r="1504" spans="1:15" s="10" customFormat="1" ht="15.75">
      <c r="A1504" s="127"/>
      <c r="B1504" s="127"/>
      <c r="C1504" s="127"/>
      <c r="D1504" s="127"/>
      <c r="E1504" s="127"/>
      <c r="F1504" s="336"/>
      <c r="G1504" s="118"/>
      <c r="H1504" s="118"/>
      <c r="I1504" s="118"/>
      <c r="J1504" s="118"/>
      <c r="K1504" s="118"/>
      <c r="L1504" s="118"/>
      <c r="M1504" s="118"/>
      <c r="N1504" s="127"/>
      <c r="O1504" s="162"/>
    </row>
    <row r="1505" spans="1:15" s="10" customFormat="1" ht="15.75">
      <c r="A1505" s="127"/>
      <c r="B1505" s="127"/>
      <c r="C1505" s="127"/>
      <c r="D1505" s="127"/>
      <c r="E1505" s="127"/>
      <c r="F1505" s="336"/>
      <c r="G1505" s="118"/>
      <c r="H1505" s="118"/>
      <c r="I1505" s="118"/>
      <c r="J1505" s="118"/>
      <c r="K1505" s="118"/>
      <c r="L1505" s="118"/>
      <c r="M1505" s="118"/>
      <c r="N1505" s="127"/>
      <c r="O1505" s="162"/>
    </row>
    <row r="1506" spans="1:15" s="10" customFormat="1" ht="15.75">
      <c r="A1506" s="127"/>
      <c r="B1506" s="127"/>
      <c r="C1506" s="127"/>
      <c r="D1506" s="127"/>
      <c r="E1506" s="127"/>
      <c r="F1506" s="336"/>
      <c r="G1506" s="118"/>
      <c r="H1506" s="118"/>
      <c r="I1506" s="118"/>
      <c r="J1506" s="118"/>
      <c r="K1506" s="118"/>
      <c r="L1506" s="118"/>
      <c r="M1506" s="118"/>
      <c r="N1506" s="127"/>
      <c r="O1506" s="162"/>
    </row>
    <row r="1507" spans="1:15" s="10" customFormat="1" ht="15.75">
      <c r="A1507" s="127"/>
      <c r="B1507" s="127"/>
      <c r="C1507" s="127"/>
      <c r="D1507" s="127"/>
      <c r="E1507" s="127"/>
      <c r="F1507" s="336"/>
      <c r="G1507" s="118"/>
      <c r="H1507" s="118"/>
      <c r="I1507" s="118"/>
      <c r="J1507" s="118"/>
      <c r="K1507" s="118"/>
      <c r="L1507" s="118"/>
      <c r="M1507" s="118"/>
      <c r="N1507" s="127"/>
      <c r="O1507" s="162"/>
    </row>
    <row r="1508" spans="1:15" s="10" customFormat="1" ht="15.75">
      <c r="A1508" s="127"/>
      <c r="B1508" s="127"/>
      <c r="C1508" s="127"/>
      <c r="D1508" s="127"/>
      <c r="E1508" s="127"/>
      <c r="F1508" s="336"/>
      <c r="G1508" s="118"/>
      <c r="H1508" s="118"/>
      <c r="I1508" s="118"/>
      <c r="J1508" s="118"/>
      <c r="K1508" s="118"/>
      <c r="L1508" s="118"/>
      <c r="M1508" s="118"/>
      <c r="N1508" s="127"/>
      <c r="O1508" s="162"/>
    </row>
    <row r="1509" spans="1:15" s="10" customFormat="1" ht="15.75">
      <c r="A1509" s="127"/>
      <c r="B1509" s="127"/>
      <c r="C1509" s="127"/>
      <c r="D1509" s="127"/>
      <c r="E1509" s="127"/>
      <c r="F1509" s="336"/>
      <c r="G1509" s="118"/>
      <c r="H1509" s="118"/>
      <c r="I1509" s="118"/>
      <c r="J1509" s="118"/>
      <c r="K1509" s="118"/>
      <c r="L1509" s="118"/>
      <c r="M1509" s="118"/>
      <c r="N1509" s="127"/>
      <c r="O1509" s="162"/>
    </row>
    <row r="1510" spans="1:15" s="10" customFormat="1" ht="15.75">
      <c r="A1510" s="127"/>
      <c r="B1510" s="127"/>
      <c r="C1510" s="127"/>
      <c r="D1510" s="127"/>
      <c r="E1510" s="127"/>
      <c r="F1510" s="336"/>
      <c r="G1510" s="118"/>
      <c r="H1510" s="118"/>
      <c r="I1510" s="118"/>
      <c r="J1510" s="118"/>
      <c r="K1510" s="118"/>
      <c r="L1510" s="118"/>
      <c r="M1510" s="118"/>
      <c r="N1510" s="127"/>
      <c r="O1510" s="162"/>
    </row>
    <row r="1511" spans="1:15" s="10" customFormat="1" ht="15.75">
      <c r="A1511" s="127"/>
      <c r="B1511" s="127"/>
      <c r="C1511" s="127"/>
      <c r="D1511" s="127"/>
      <c r="E1511" s="127"/>
      <c r="F1511" s="336"/>
      <c r="G1511" s="118"/>
      <c r="H1511" s="118"/>
      <c r="I1511" s="118"/>
      <c r="J1511" s="118"/>
      <c r="K1511" s="118"/>
      <c r="L1511" s="118"/>
      <c r="M1511" s="118"/>
      <c r="N1511" s="127"/>
      <c r="O1511" s="162"/>
    </row>
    <row r="1512" spans="1:15" s="10" customFormat="1" ht="15.75">
      <c r="A1512" s="127"/>
      <c r="B1512" s="127"/>
      <c r="C1512" s="127"/>
      <c r="D1512" s="127"/>
      <c r="E1512" s="127"/>
      <c r="F1512" s="336"/>
      <c r="G1512" s="118"/>
      <c r="H1512" s="118"/>
      <c r="I1512" s="118"/>
      <c r="J1512" s="118"/>
      <c r="K1512" s="118"/>
      <c r="L1512" s="118"/>
      <c r="M1512" s="118"/>
      <c r="N1512" s="127"/>
      <c r="O1512" s="162"/>
    </row>
    <row r="1513" spans="1:15" s="10" customFormat="1" ht="15.75">
      <c r="A1513" s="127"/>
      <c r="B1513" s="127"/>
      <c r="C1513" s="127"/>
      <c r="D1513" s="127"/>
      <c r="E1513" s="127"/>
      <c r="F1513" s="336"/>
      <c r="G1513" s="118"/>
      <c r="H1513" s="118"/>
      <c r="I1513" s="118"/>
      <c r="J1513" s="118"/>
      <c r="K1513" s="118"/>
      <c r="L1513" s="118"/>
      <c r="M1513" s="118"/>
      <c r="N1513" s="127"/>
      <c r="O1513" s="162"/>
    </row>
    <row r="1514" spans="1:15" s="10" customFormat="1" ht="15.75">
      <c r="A1514" s="127"/>
      <c r="B1514" s="127"/>
      <c r="C1514" s="127"/>
      <c r="D1514" s="127"/>
      <c r="E1514" s="127"/>
      <c r="F1514" s="336"/>
      <c r="G1514" s="118"/>
      <c r="H1514" s="118"/>
      <c r="I1514" s="118"/>
      <c r="J1514" s="118"/>
      <c r="K1514" s="118"/>
      <c r="L1514" s="118"/>
      <c r="M1514" s="118"/>
      <c r="N1514" s="127"/>
      <c r="O1514" s="162"/>
    </row>
    <row r="1515" spans="1:15" s="10" customFormat="1" ht="15.75">
      <c r="A1515" s="127"/>
      <c r="B1515" s="127"/>
      <c r="C1515" s="127"/>
      <c r="D1515" s="127"/>
      <c r="E1515" s="127"/>
      <c r="F1515" s="336"/>
      <c r="G1515" s="118"/>
      <c r="H1515" s="118"/>
      <c r="I1515" s="118"/>
      <c r="J1515" s="118"/>
      <c r="K1515" s="118"/>
      <c r="L1515" s="118"/>
      <c r="M1515" s="118"/>
      <c r="N1515" s="127"/>
      <c r="O1515" s="162"/>
    </row>
    <row r="1516" spans="1:15" s="10" customFormat="1" ht="15.75">
      <c r="A1516" s="127"/>
      <c r="B1516" s="127"/>
      <c r="C1516" s="127"/>
      <c r="D1516" s="127"/>
      <c r="E1516" s="127"/>
      <c r="F1516" s="336"/>
      <c r="G1516" s="118"/>
      <c r="H1516" s="118"/>
      <c r="I1516" s="118"/>
      <c r="J1516" s="118"/>
      <c r="K1516" s="118"/>
      <c r="L1516" s="118"/>
      <c r="M1516" s="118"/>
      <c r="N1516" s="127"/>
      <c r="O1516" s="162"/>
    </row>
    <row r="1517" spans="1:15" s="10" customFormat="1" ht="15.75">
      <c r="A1517" s="127"/>
      <c r="B1517" s="127"/>
      <c r="C1517" s="127"/>
      <c r="D1517" s="127"/>
      <c r="E1517" s="127"/>
      <c r="F1517" s="336"/>
      <c r="G1517" s="118"/>
      <c r="H1517" s="118"/>
      <c r="I1517" s="118"/>
      <c r="J1517" s="118"/>
      <c r="K1517" s="118"/>
      <c r="L1517" s="118"/>
      <c r="M1517" s="118"/>
      <c r="N1517" s="127"/>
      <c r="O1517" s="162"/>
    </row>
    <row r="1518" spans="1:15" s="10" customFormat="1" ht="15.75">
      <c r="A1518" s="127"/>
      <c r="B1518" s="127"/>
      <c r="C1518" s="127"/>
      <c r="D1518" s="127"/>
      <c r="E1518" s="127"/>
      <c r="F1518" s="336"/>
      <c r="G1518" s="118"/>
      <c r="H1518" s="118"/>
      <c r="I1518" s="118"/>
      <c r="J1518" s="118"/>
      <c r="K1518" s="118"/>
      <c r="L1518" s="118"/>
      <c r="M1518" s="118"/>
      <c r="N1518" s="127"/>
      <c r="O1518" s="162"/>
    </row>
    <row r="1519" spans="1:15" s="10" customFormat="1" ht="15.75">
      <c r="A1519" s="127"/>
      <c r="B1519" s="127"/>
      <c r="C1519" s="127"/>
      <c r="D1519" s="127"/>
      <c r="E1519" s="127"/>
      <c r="F1519" s="336"/>
      <c r="G1519" s="118"/>
      <c r="H1519" s="118"/>
      <c r="I1519" s="118"/>
      <c r="J1519" s="118"/>
      <c r="K1519" s="118"/>
      <c r="L1519" s="118"/>
      <c r="M1519" s="118"/>
      <c r="N1519" s="127"/>
      <c r="O1519" s="162"/>
    </row>
    <row r="1520" spans="1:15" s="10" customFormat="1" ht="15.75">
      <c r="A1520" s="127"/>
      <c r="B1520" s="127"/>
      <c r="C1520" s="127"/>
      <c r="D1520" s="127"/>
      <c r="E1520" s="127"/>
      <c r="F1520" s="336"/>
      <c r="G1520" s="118"/>
      <c r="H1520" s="118"/>
      <c r="I1520" s="118"/>
      <c r="J1520" s="118"/>
      <c r="K1520" s="118"/>
      <c r="L1520" s="118"/>
      <c r="M1520" s="118"/>
      <c r="N1520" s="127"/>
      <c r="O1520" s="162"/>
    </row>
    <row r="1521" spans="1:15" s="10" customFormat="1" ht="15.75">
      <c r="A1521" s="127"/>
      <c r="B1521" s="127"/>
      <c r="C1521" s="127"/>
      <c r="D1521" s="127"/>
      <c r="E1521" s="127"/>
      <c r="F1521" s="336"/>
      <c r="G1521" s="118"/>
      <c r="H1521" s="118"/>
      <c r="I1521" s="118"/>
      <c r="J1521" s="118"/>
      <c r="K1521" s="118"/>
      <c r="L1521" s="118"/>
      <c r="M1521" s="118"/>
      <c r="N1521" s="127"/>
      <c r="O1521" s="162"/>
    </row>
    <row r="1522" spans="1:15" s="10" customFormat="1" ht="15.75">
      <c r="A1522" s="127"/>
      <c r="B1522" s="127"/>
      <c r="C1522" s="127"/>
      <c r="D1522" s="127"/>
      <c r="E1522" s="127"/>
      <c r="F1522" s="336"/>
      <c r="G1522" s="118"/>
      <c r="H1522" s="118"/>
      <c r="I1522" s="118"/>
      <c r="J1522" s="118"/>
      <c r="K1522" s="118"/>
      <c r="L1522" s="118"/>
      <c r="M1522" s="118"/>
      <c r="N1522" s="127"/>
      <c r="O1522" s="162"/>
    </row>
    <row r="1523" spans="1:15" s="10" customFormat="1" ht="15.75">
      <c r="A1523" s="127"/>
      <c r="B1523" s="127"/>
      <c r="C1523" s="127"/>
      <c r="D1523" s="127"/>
      <c r="E1523" s="127"/>
      <c r="F1523" s="336"/>
      <c r="G1523" s="118"/>
      <c r="H1523" s="118"/>
      <c r="I1523" s="118"/>
      <c r="J1523" s="118"/>
      <c r="K1523" s="118"/>
      <c r="L1523" s="118"/>
      <c r="M1523" s="118"/>
      <c r="N1523" s="127"/>
      <c r="O1523" s="162"/>
    </row>
    <row r="1524" spans="1:15" s="10" customFormat="1" ht="15.75">
      <c r="A1524" s="127"/>
      <c r="B1524" s="127"/>
      <c r="C1524" s="127"/>
      <c r="D1524" s="127"/>
      <c r="E1524" s="127"/>
      <c r="F1524" s="336"/>
      <c r="G1524" s="118"/>
      <c r="H1524" s="118"/>
      <c r="I1524" s="118"/>
      <c r="J1524" s="118"/>
      <c r="K1524" s="118"/>
      <c r="L1524" s="118"/>
      <c r="M1524" s="118"/>
      <c r="N1524" s="127"/>
      <c r="O1524" s="162"/>
    </row>
    <row r="1525" spans="1:15" s="10" customFormat="1" ht="15.75">
      <c r="A1525" s="127"/>
      <c r="B1525" s="127"/>
      <c r="C1525" s="127"/>
      <c r="D1525" s="127"/>
      <c r="E1525" s="127"/>
      <c r="F1525" s="336"/>
      <c r="G1525" s="118"/>
      <c r="H1525" s="118"/>
      <c r="I1525" s="118"/>
      <c r="J1525" s="118"/>
      <c r="K1525" s="118"/>
      <c r="L1525" s="118"/>
      <c r="M1525" s="118"/>
      <c r="N1525" s="127"/>
      <c r="O1525" s="162"/>
    </row>
    <row r="1526" spans="1:15" s="10" customFormat="1" ht="15.75">
      <c r="A1526" s="127"/>
      <c r="B1526" s="127"/>
      <c r="C1526" s="127"/>
      <c r="D1526" s="127"/>
      <c r="E1526" s="127"/>
      <c r="F1526" s="336"/>
      <c r="G1526" s="118"/>
      <c r="H1526" s="118"/>
      <c r="I1526" s="118"/>
      <c r="J1526" s="118"/>
      <c r="K1526" s="118"/>
      <c r="L1526" s="118"/>
      <c r="M1526" s="118"/>
      <c r="N1526" s="127"/>
      <c r="O1526" s="162"/>
    </row>
    <row r="1527" spans="1:15" s="10" customFormat="1" ht="15.75">
      <c r="A1527" s="127"/>
      <c r="B1527" s="127"/>
      <c r="C1527" s="127"/>
      <c r="D1527" s="127"/>
      <c r="E1527" s="127"/>
      <c r="F1527" s="336"/>
      <c r="G1527" s="118"/>
      <c r="H1527" s="118"/>
      <c r="I1527" s="118"/>
      <c r="J1527" s="118"/>
      <c r="K1527" s="118"/>
      <c r="L1527" s="118"/>
      <c r="M1527" s="118"/>
      <c r="N1527" s="127"/>
      <c r="O1527" s="162"/>
    </row>
    <row r="1528" spans="1:15" s="10" customFormat="1" ht="15.75">
      <c r="A1528" s="127"/>
      <c r="B1528" s="127"/>
      <c r="C1528" s="127"/>
      <c r="D1528" s="127"/>
      <c r="E1528" s="127"/>
      <c r="F1528" s="336"/>
      <c r="G1528" s="118"/>
      <c r="H1528" s="118"/>
      <c r="I1528" s="118"/>
      <c r="J1528" s="118"/>
      <c r="K1528" s="118"/>
      <c r="L1528" s="118"/>
      <c r="M1528" s="118"/>
      <c r="N1528" s="127"/>
      <c r="O1528" s="162"/>
    </row>
    <row r="1529" spans="1:15" s="10" customFormat="1" ht="15.75">
      <c r="A1529" s="127"/>
      <c r="B1529" s="127"/>
      <c r="C1529" s="127"/>
      <c r="D1529" s="127"/>
      <c r="E1529" s="127"/>
      <c r="F1529" s="336"/>
      <c r="G1529" s="118"/>
      <c r="H1529" s="118"/>
      <c r="I1529" s="118"/>
      <c r="J1529" s="118"/>
      <c r="K1529" s="118"/>
      <c r="L1529" s="118"/>
      <c r="M1529" s="118"/>
      <c r="N1529" s="127"/>
      <c r="O1529" s="162"/>
    </row>
    <row r="1530" spans="1:15" s="10" customFormat="1" ht="15.75">
      <c r="A1530" s="127"/>
      <c r="B1530" s="127"/>
      <c r="C1530" s="127"/>
      <c r="D1530" s="127"/>
      <c r="E1530" s="127"/>
      <c r="F1530" s="336"/>
      <c r="G1530" s="118"/>
      <c r="H1530" s="118"/>
      <c r="I1530" s="118"/>
      <c r="J1530" s="118"/>
      <c r="K1530" s="118"/>
      <c r="L1530" s="118"/>
      <c r="M1530" s="118"/>
      <c r="N1530" s="127"/>
      <c r="O1530" s="162"/>
    </row>
    <row r="1531" spans="1:15" s="10" customFormat="1" ht="15.75">
      <c r="A1531" s="127"/>
      <c r="B1531" s="127"/>
      <c r="C1531" s="127"/>
      <c r="D1531" s="127"/>
      <c r="E1531" s="127"/>
      <c r="F1531" s="336"/>
      <c r="G1531" s="118"/>
      <c r="H1531" s="118"/>
      <c r="I1531" s="118"/>
      <c r="J1531" s="118"/>
      <c r="K1531" s="118"/>
      <c r="L1531" s="118"/>
      <c r="M1531" s="118"/>
      <c r="N1531" s="127"/>
      <c r="O1531" s="162"/>
    </row>
    <row r="1532" spans="1:15" s="10" customFormat="1" ht="15.75">
      <c r="A1532" s="127"/>
      <c r="B1532" s="127"/>
      <c r="C1532" s="127"/>
      <c r="D1532" s="127"/>
      <c r="E1532" s="127"/>
      <c r="F1532" s="336"/>
      <c r="G1532" s="118"/>
      <c r="H1532" s="118"/>
      <c r="I1532" s="118"/>
      <c r="J1532" s="118"/>
      <c r="K1532" s="118"/>
      <c r="L1532" s="118"/>
      <c r="M1532" s="118"/>
      <c r="N1532" s="127"/>
      <c r="O1532" s="162"/>
    </row>
    <row r="1533" spans="1:15" s="10" customFormat="1" ht="15.75">
      <c r="A1533" s="127"/>
      <c r="B1533" s="127"/>
      <c r="C1533" s="127"/>
      <c r="D1533" s="127"/>
      <c r="E1533" s="127"/>
      <c r="F1533" s="336"/>
      <c r="G1533" s="118"/>
      <c r="H1533" s="118"/>
      <c r="I1533" s="118"/>
      <c r="J1533" s="118"/>
      <c r="K1533" s="118"/>
      <c r="L1533" s="118"/>
      <c r="M1533" s="118"/>
      <c r="N1533" s="127"/>
      <c r="O1533" s="162"/>
    </row>
    <row r="1534" spans="1:15" s="10" customFormat="1" ht="15.75">
      <c r="A1534" s="127"/>
      <c r="B1534" s="127"/>
      <c r="C1534" s="127"/>
      <c r="D1534" s="127"/>
      <c r="E1534" s="127"/>
      <c r="F1534" s="336"/>
      <c r="G1534" s="118"/>
      <c r="H1534" s="118"/>
      <c r="I1534" s="118"/>
      <c r="J1534" s="118"/>
      <c r="K1534" s="118"/>
      <c r="L1534" s="118"/>
      <c r="M1534" s="118"/>
      <c r="N1534" s="127"/>
      <c r="O1534" s="162"/>
    </row>
    <row r="1535" spans="1:15" s="10" customFormat="1" ht="15.75">
      <c r="A1535" s="127"/>
      <c r="B1535" s="127"/>
      <c r="C1535" s="127"/>
      <c r="D1535" s="127"/>
      <c r="E1535" s="127"/>
      <c r="F1535" s="336"/>
      <c r="G1535" s="118"/>
      <c r="H1535" s="118"/>
      <c r="I1535" s="118"/>
      <c r="J1535" s="118"/>
      <c r="K1535" s="118"/>
      <c r="L1535" s="118"/>
      <c r="M1535" s="118"/>
      <c r="N1535" s="127"/>
      <c r="O1535" s="162"/>
    </row>
    <row r="1536" spans="1:15" s="10" customFormat="1" ht="15.75">
      <c r="A1536" s="127"/>
      <c r="B1536" s="127"/>
      <c r="C1536" s="127"/>
      <c r="D1536" s="127"/>
      <c r="E1536" s="127"/>
      <c r="F1536" s="336"/>
      <c r="G1536" s="118"/>
      <c r="H1536" s="118"/>
      <c r="I1536" s="118"/>
      <c r="J1536" s="118"/>
      <c r="K1536" s="118"/>
      <c r="L1536" s="118"/>
      <c r="M1536" s="118"/>
      <c r="N1536" s="127"/>
      <c r="O1536" s="162"/>
    </row>
    <row r="1537" spans="1:15" s="10" customFormat="1" ht="15.75">
      <c r="A1537" s="127"/>
      <c r="B1537" s="127"/>
      <c r="C1537" s="127"/>
      <c r="D1537" s="127"/>
      <c r="E1537" s="127"/>
      <c r="F1537" s="336"/>
      <c r="G1537" s="118"/>
      <c r="H1537" s="118"/>
      <c r="I1537" s="118"/>
      <c r="J1537" s="118"/>
      <c r="K1537" s="118"/>
      <c r="L1537" s="118"/>
      <c r="M1537" s="118"/>
      <c r="N1537" s="127"/>
      <c r="O1537" s="162"/>
    </row>
    <row r="1538" spans="1:15" s="10" customFormat="1" ht="15.75">
      <c r="A1538" s="127"/>
      <c r="B1538" s="127"/>
      <c r="C1538" s="127"/>
      <c r="D1538" s="127"/>
      <c r="E1538" s="127"/>
      <c r="F1538" s="336"/>
      <c r="G1538" s="118"/>
      <c r="H1538" s="118"/>
      <c r="I1538" s="118"/>
      <c r="J1538" s="118"/>
      <c r="K1538" s="118"/>
      <c r="L1538" s="118"/>
      <c r="M1538" s="118"/>
      <c r="N1538" s="127"/>
      <c r="O1538" s="162"/>
    </row>
    <row r="1539" spans="1:15" s="10" customFormat="1" ht="15.75">
      <c r="A1539" s="127"/>
      <c r="B1539" s="127"/>
      <c r="C1539" s="127"/>
      <c r="D1539" s="127"/>
      <c r="E1539" s="127"/>
      <c r="F1539" s="336"/>
      <c r="G1539" s="118"/>
      <c r="H1539" s="118"/>
      <c r="I1539" s="118"/>
      <c r="J1539" s="118"/>
      <c r="K1539" s="118"/>
      <c r="L1539" s="118"/>
      <c r="M1539" s="118"/>
      <c r="N1539" s="127"/>
      <c r="O1539" s="162"/>
    </row>
    <row r="1540" spans="1:15" s="10" customFormat="1" ht="15.75">
      <c r="A1540" s="127"/>
      <c r="B1540" s="127"/>
      <c r="C1540" s="127"/>
      <c r="D1540" s="127"/>
      <c r="E1540" s="127"/>
      <c r="F1540" s="336"/>
      <c r="G1540" s="118"/>
      <c r="H1540" s="118"/>
      <c r="I1540" s="118"/>
      <c r="J1540" s="118"/>
      <c r="K1540" s="118"/>
      <c r="L1540" s="118"/>
      <c r="M1540" s="118"/>
      <c r="N1540" s="127"/>
      <c r="O1540" s="162"/>
    </row>
    <row r="1541" spans="1:15" s="10" customFormat="1" ht="15.75">
      <c r="A1541" s="127"/>
      <c r="B1541" s="127"/>
      <c r="C1541" s="127"/>
      <c r="D1541" s="127"/>
      <c r="E1541" s="127"/>
      <c r="F1541" s="336"/>
      <c r="G1541" s="118"/>
      <c r="H1541" s="118"/>
      <c r="I1541" s="118"/>
      <c r="J1541" s="118"/>
      <c r="K1541" s="118"/>
      <c r="L1541" s="118"/>
      <c r="M1541" s="118"/>
      <c r="N1541" s="127"/>
      <c r="O1541" s="162"/>
    </row>
    <row r="1542" spans="1:15" s="10" customFormat="1" ht="15.75">
      <c r="A1542" s="127"/>
      <c r="B1542" s="127"/>
      <c r="C1542" s="127"/>
      <c r="D1542" s="127"/>
      <c r="E1542" s="127"/>
      <c r="F1542" s="336"/>
      <c r="G1542" s="118"/>
      <c r="H1542" s="118"/>
      <c r="I1542" s="118"/>
      <c r="J1542" s="118"/>
      <c r="K1542" s="118"/>
      <c r="L1542" s="118"/>
      <c r="M1542" s="118"/>
      <c r="N1542" s="127"/>
      <c r="O1542" s="162"/>
    </row>
    <row r="1543" spans="1:15" s="10" customFormat="1" ht="15.75">
      <c r="A1543" s="127"/>
      <c r="B1543" s="127"/>
      <c r="C1543" s="127"/>
      <c r="D1543" s="127"/>
      <c r="E1543" s="127"/>
      <c r="F1543" s="336"/>
      <c r="G1543" s="118"/>
      <c r="H1543" s="118"/>
      <c r="I1543" s="118"/>
      <c r="J1543" s="118"/>
      <c r="K1543" s="118"/>
      <c r="L1543" s="118"/>
      <c r="M1543" s="118"/>
      <c r="N1543" s="127"/>
      <c r="O1543" s="162"/>
    </row>
    <row r="1544" spans="1:15" s="10" customFormat="1" ht="15.75">
      <c r="A1544" s="127"/>
      <c r="B1544" s="127"/>
      <c r="C1544" s="127"/>
      <c r="D1544" s="127"/>
      <c r="E1544" s="127"/>
      <c r="F1544" s="336"/>
      <c r="G1544" s="118"/>
      <c r="H1544" s="118"/>
      <c r="I1544" s="118"/>
      <c r="J1544" s="118"/>
      <c r="K1544" s="118"/>
      <c r="L1544" s="118"/>
      <c r="M1544" s="118"/>
      <c r="N1544" s="127"/>
      <c r="O1544" s="162"/>
    </row>
    <row r="1545" spans="1:15" s="10" customFormat="1" ht="15.75">
      <c r="A1545" s="127"/>
      <c r="B1545" s="127"/>
      <c r="C1545" s="127"/>
      <c r="D1545" s="127"/>
      <c r="E1545" s="127"/>
      <c r="F1545" s="336"/>
      <c r="G1545" s="118"/>
      <c r="H1545" s="118"/>
      <c r="I1545" s="118"/>
      <c r="J1545" s="118"/>
      <c r="K1545" s="118"/>
      <c r="L1545" s="118"/>
      <c r="M1545" s="118"/>
      <c r="N1545" s="127"/>
      <c r="O1545" s="162"/>
    </row>
    <row r="1546" spans="1:15" s="10" customFormat="1" ht="15.75">
      <c r="A1546" s="127"/>
      <c r="B1546" s="127"/>
      <c r="C1546" s="127"/>
      <c r="D1546" s="127"/>
      <c r="E1546" s="127"/>
      <c r="F1546" s="336"/>
      <c r="G1546" s="118"/>
      <c r="H1546" s="118"/>
      <c r="I1546" s="118"/>
      <c r="J1546" s="118"/>
      <c r="K1546" s="118"/>
      <c r="L1546" s="118"/>
      <c r="M1546" s="118"/>
      <c r="N1546" s="127"/>
      <c r="O1546" s="162"/>
    </row>
    <row r="1547" spans="1:15" s="10" customFormat="1" ht="15.75">
      <c r="A1547" s="127"/>
      <c r="B1547" s="127"/>
      <c r="C1547" s="127"/>
      <c r="D1547" s="127"/>
      <c r="E1547" s="127"/>
      <c r="F1547" s="336"/>
      <c r="G1547" s="118"/>
      <c r="H1547" s="118"/>
      <c r="I1547" s="118"/>
      <c r="J1547" s="118"/>
      <c r="K1547" s="118"/>
      <c r="L1547" s="118"/>
      <c r="M1547" s="118"/>
      <c r="N1547" s="127"/>
      <c r="O1547" s="162"/>
    </row>
    <row r="1548" spans="1:15" s="10" customFormat="1" ht="15.75">
      <c r="A1548" s="127"/>
      <c r="B1548" s="127"/>
      <c r="C1548" s="127"/>
      <c r="D1548" s="127"/>
      <c r="E1548" s="127"/>
      <c r="F1548" s="336"/>
      <c r="G1548" s="118"/>
      <c r="H1548" s="118"/>
      <c r="I1548" s="118"/>
      <c r="J1548" s="118"/>
      <c r="K1548" s="118"/>
      <c r="L1548" s="118"/>
      <c r="M1548" s="118"/>
      <c r="N1548" s="127"/>
      <c r="O1548" s="162"/>
    </row>
    <row r="1549" spans="1:15" s="10" customFormat="1" ht="15.75">
      <c r="A1549" s="127"/>
      <c r="B1549" s="127"/>
      <c r="C1549" s="127"/>
      <c r="D1549" s="127"/>
      <c r="E1549" s="127"/>
      <c r="F1549" s="336"/>
      <c r="G1549" s="118"/>
      <c r="H1549" s="118"/>
      <c r="I1549" s="118"/>
      <c r="J1549" s="118"/>
      <c r="K1549" s="118"/>
      <c r="L1549" s="118"/>
      <c r="M1549" s="118"/>
      <c r="N1549" s="127"/>
      <c r="O1549" s="162"/>
    </row>
    <row r="1550" spans="1:15" s="10" customFormat="1" ht="15.75">
      <c r="A1550" s="127"/>
      <c r="B1550" s="127"/>
      <c r="C1550" s="127"/>
      <c r="D1550" s="127"/>
      <c r="E1550" s="127"/>
      <c r="F1550" s="336"/>
      <c r="G1550" s="118"/>
      <c r="H1550" s="118"/>
      <c r="I1550" s="118"/>
      <c r="J1550" s="118"/>
      <c r="K1550" s="118"/>
      <c r="L1550" s="118"/>
      <c r="M1550" s="118"/>
      <c r="N1550" s="127"/>
      <c r="O1550" s="162"/>
    </row>
    <row r="1551" spans="1:15" s="10" customFormat="1" ht="15.75">
      <c r="A1551" s="127"/>
      <c r="B1551" s="127"/>
      <c r="C1551" s="127"/>
      <c r="D1551" s="127"/>
      <c r="E1551" s="127"/>
      <c r="F1551" s="336"/>
      <c r="G1551" s="118"/>
      <c r="H1551" s="118"/>
      <c r="I1551" s="118"/>
      <c r="J1551" s="118"/>
      <c r="K1551" s="118"/>
      <c r="L1551" s="118"/>
      <c r="M1551" s="118"/>
      <c r="N1551" s="127"/>
      <c r="O1551" s="162"/>
    </row>
    <row r="1552" spans="1:15" s="10" customFormat="1" ht="15.75">
      <c r="A1552" s="127"/>
      <c r="B1552" s="127"/>
      <c r="C1552" s="127"/>
      <c r="D1552" s="127"/>
      <c r="E1552" s="127"/>
      <c r="F1552" s="336"/>
      <c r="G1552" s="118"/>
      <c r="H1552" s="118"/>
      <c r="I1552" s="118"/>
      <c r="J1552" s="118"/>
      <c r="K1552" s="118"/>
      <c r="L1552" s="118"/>
      <c r="M1552" s="118"/>
      <c r="N1552" s="127"/>
      <c r="O1552" s="162"/>
    </row>
  </sheetData>
  <mergeCells count="1">
    <mergeCell ref="A91:B91"/>
  </mergeCells>
  <phoneticPr fontId="0" type="noConversion"/>
  <pageMargins left="0.19685039370078741" right="0.15748031496062992" top="0.19685039370078741" bottom="0.19685039370078741" header="0.51181102362204722" footer="0.51181102362204722"/>
  <pageSetup paperSize="9" scale="99" orientation="landscape" horizontalDpi="120" verticalDpi="144" r:id="rId1"/>
  <headerFooter alignWithMargins="0"/>
  <colBreaks count="1" manualBreakCount="1">
    <brk id="13" max="1558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U1297"/>
  <sheetViews>
    <sheetView view="pageBreakPreview" topLeftCell="C1" zoomScale="75" zoomScaleNormal="100" workbookViewId="0">
      <pane ySplit="2085" topLeftCell="A1212" activePane="bottomLeft"/>
      <selection activeCell="Q1" sqref="Q1:Q65536"/>
      <selection pane="bottomLeft" activeCell="M1226" sqref="M1226"/>
    </sheetView>
  </sheetViews>
  <sheetFormatPr defaultRowHeight="12.75"/>
  <cols>
    <col min="1" max="1" width="6" style="162" customWidth="1"/>
    <col min="2" max="2" width="29.28515625" style="523" customWidth="1"/>
    <col min="3" max="5" width="13.140625" style="523" customWidth="1"/>
    <col min="6" max="6" width="13.140625" style="604" customWidth="1"/>
    <col min="7" max="7" width="13.140625" style="523" hidden="1" customWidth="1"/>
    <col min="8" max="8" width="9.140625" style="421"/>
    <col min="9" max="9" width="11.28515625" style="523" customWidth="1"/>
    <col min="10" max="11" width="11.42578125" style="523" customWidth="1"/>
    <col min="12" max="12" width="11.42578125" style="421" customWidth="1"/>
    <col min="13" max="13" width="10.7109375" style="421" customWidth="1"/>
    <col min="14" max="14" width="12" style="421" customWidth="1"/>
    <col min="15" max="15" width="13.85546875" style="421" customWidth="1"/>
    <col min="16" max="16" width="10.42578125" style="421" customWidth="1"/>
    <col min="17" max="17" width="10.42578125" style="421" hidden="1" customWidth="1"/>
    <col min="18" max="18" width="9.140625" style="421"/>
    <col min="19" max="19" width="16.7109375" customWidth="1"/>
  </cols>
  <sheetData>
    <row r="1" spans="1:19" s="20" customFormat="1" ht="15.75" customHeight="1">
      <c r="A1" s="189"/>
      <c r="B1" s="1053" t="s">
        <v>662</v>
      </c>
      <c r="C1" s="1053"/>
      <c r="D1" s="1053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587"/>
      <c r="Q1" s="587"/>
      <c r="R1" s="587"/>
    </row>
    <row r="2" spans="1:19" s="6" customFormat="1" ht="15.75">
      <c r="A2" s="127"/>
      <c r="B2" s="523"/>
      <c r="C2" s="129" t="s">
        <v>672</v>
      </c>
      <c r="D2" s="129"/>
      <c r="E2" s="129"/>
      <c r="F2" s="650"/>
      <c r="G2" s="129"/>
      <c r="H2" s="421"/>
      <c r="I2" s="523"/>
      <c r="J2" s="523"/>
      <c r="K2" s="523"/>
      <c r="L2" s="421"/>
      <c r="M2" s="421"/>
      <c r="N2" s="421"/>
      <c r="O2" s="421"/>
      <c r="P2" s="421">
        <v>244.91</v>
      </c>
      <c r="Q2" s="421"/>
      <c r="R2" s="421"/>
    </row>
    <row r="3" spans="1:19" s="6" customFormat="1" ht="76.5" customHeight="1">
      <c r="A3" s="55" t="s">
        <v>574</v>
      </c>
      <c r="B3" s="330" t="s">
        <v>674</v>
      </c>
      <c r="C3" s="525" t="s">
        <v>1331</v>
      </c>
      <c r="D3" s="525" t="s">
        <v>610</v>
      </c>
      <c r="E3" s="525" t="s">
        <v>611</v>
      </c>
      <c r="F3" s="605" t="s">
        <v>575</v>
      </c>
      <c r="G3" s="525" t="s">
        <v>1369</v>
      </c>
      <c r="H3" s="527" t="s">
        <v>587</v>
      </c>
      <c r="I3" s="584" t="s">
        <v>1329</v>
      </c>
      <c r="J3" s="584" t="s">
        <v>1330</v>
      </c>
      <c r="K3" s="525" t="s">
        <v>1333</v>
      </c>
      <c r="L3" s="527" t="s">
        <v>588</v>
      </c>
      <c r="M3" s="527" t="s">
        <v>578</v>
      </c>
      <c r="N3" s="527" t="s">
        <v>579</v>
      </c>
      <c r="O3" s="527" t="s">
        <v>580</v>
      </c>
      <c r="P3" s="527" t="s">
        <v>581</v>
      </c>
      <c r="Q3" s="527">
        <v>1.29</v>
      </c>
      <c r="R3" s="527" t="s">
        <v>663</v>
      </c>
    </row>
    <row r="4" spans="1:19" s="6" customFormat="1" ht="16.5" thickBot="1">
      <c r="A4" s="168">
        <v>1</v>
      </c>
      <c r="B4" s="528">
        <v>2</v>
      </c>
      <c r="C4" s="585">
        <v>3</v>
      </c>
      <c r="D4" s="585">
        <v>4</v>
      </c>
      <c r="E4" s="585">
        <v>5</v>
      </c>
      <c r="F4" s="606"/>
      <c r="G4" s="585"/>
      <c r="H4" s="588">
        <v>6</v>
      </c>
      <c r="I4" s="585"/>
      <c r="J4" s="585"/>
      <c r="K4" s="585"/>
      <c r="L4" s="588">
        <v>7</v>
      </c>
      <c r="M4" s="588">
        <v>8</v>
      </c>
      <c r="N4" s="588">
        <v>9</v>
      </c>
      <c r="O4" s="588">
        <v>10</v>
      </c>
      <c r="P4" s="588">
        <v>11</v>
      </c>
      <c r="Q4" s="588"/>
      <c r="R4" s="588">
        <v>12</v>
      </c>
    </row>
    <row r="5" spans="1:19" s="209" customFormat="1" ht="18" customHeight="1" thickBot="1">
      <c r="A5" s="137" t="s">
        <v>589</v>
      </c>
      <c r="B5" s="595"/>
      <c r="C5" s="436"/>
      <c r="D5" s="436"/>
      <c r="E5" s="436"/>
      <c r="F5" s="607"/>
      <c r="G5" s="436"/>
      <c r="H5" s="423"/>
      <c r="I5" s="436"/>
      <c r="J5" s="436"/>
      <c r="K5" s="549"/>
      <c r="L5" s="565"/>
      <c r="M5" s="596"/>
      <c r="N5" s="596"/>
      <c r="O5" s="566"/>
      <c r="P5" s="566"/>
      <c r="Q5" s="566"/>
      <c r="R5" s="597"/>
    </row>
    <row r="6" spans="1:19" s="6" customFormat="1" ht="15.75">
      <c r="A6" s="308">
        <v>1</v>
      </c>
      <c r="B6" s="283" t="s">
        <v>683</v>
      </c>
      <c r="C6" s="386">
        <v>9570.0499999999993</v>
      </c>
      <c r="D6" s="386"/>
      <c r="E6" s="386"/>
      <c r="F6" s="608">
        <f>C6+D6+E6</f>
        <v>9570.0499999999993</v>
      </c>
      <c r="G6" s="386">
        <v>140</v>
      </c>
      <c r="H6" s="432">
        <v>140</v>
      </c>
      <c r="I6" s="386"/>
      <c r="J6" s="386"/>
      <c r="K6" s="386">
        <f t="shared" ref="K6:K76" si="0">H6+I6+J6</f>
        <v>140</v>
      </c>
      <c r="L6" s="589">
        <f>1/5179*K6</f>
        <v>2.7032245607260089E-2</v>
      </c>
      <c r="M6" s="315">
        <f t="shared" ref="M6:M66" si="1">L6*2269.13</f>
        <v>61.339679474802089</v>
      </c>
      <c r="N6" s="590">
        <f>M6*0.3677</f>
        <v>22.55460014288473</v>
      </c>
      <c r="O6" s="498">
        <v>28.691980360065468</v>
      </c>
      <c r="P6" s="426">
        <f>L6*244.91</f>
        <v>6.6204672716740687</v>
      </c>
      <c r="Q6" s="426"/>
      <c r="R6" s="532">
        <f>(M6+N6+O6+P6)/C6</f>
        <v>1.2456228258935572E-2</v>
      </c>
      <c r="S6" s="6" t="s">
        <v>1415</v>
      </c>
    </row>
    <row r="7" spans="1:19" s="6" customFormat="1" ht="15.75">
      <c r="A7" s="309">
        <v>2</v>
      </c>
      <c r="B7" s="306" t="s">
        <v>684</v>
      </c>
      <c r="C7" s="330">
        <v>4259.1400000000003</v>
      </c>
      <c r="D7" s="330"/>
      <c r="E7" s="330"/>
      <c r="F7" s="608">
        <f t="shared" ref="F7:F77" si="2">C7+D7+E7</f>
        <v>4259.1400000000003</v>
      </c>
      <c r="G7" s="330">
        <v>71</v>
      </c>
      <c r="H7" s="433">
        <v>71</v>
      </c>
      <c r="I7" s="330"/>
      <c r="J7" s="330"/>
      <c r="K7" s="386">
        <f t="shared" si="0"/>
        <v>71</v>
      </c>
      <c r="L7" s="589">
        <f t="shared" ref="L7:L66" si="3">1/5179*K7</f>
        <v>1.370921027225333E-2</v>
      </c>
      <c r="M7" s="315">
        <f t="shared" si="1"/>
        <v>31.1079803050782</v>
      </c>
      <c r="N7" s="425">
        <f t="shared" ref="N7:N79" si="4">M7*0.3677</f>
        <v>11.438404358177255</v>
      </c>
      <c r="O7" s="498">
        <v>14.550932896890343</v>
      </c>
      <c r="P7" s="427">
        <f t="shared" ref="P7:P59" si="5">L7*244.91</f>
        <v>3.3575226877775632</v>
      </c>
      <c r="Q7" s="426"/>
      <c r="R7" s="532">
        <f t="shared" ref="R7:R70" si="6">(M7+N7+O7+P7)/C7</f>
        <v>1.4194142537677408E-2</v>
      </c>
    </row>
    <row r="8" spans="1:19" s="6" customFormat="1" ht="15.75">
      <c r="A8" s="309">
        <v>3</v>
      </c>
      <c r="B8" s="306" t="s">
        <v>685</v>
      </c>
      <c r="C8" s="330">
        <v>8696.41</v>
      </c>
      <c r="D8" s="330"/>
      <c r="E8" s="330"/>
      <c r="F8" s="608">
        <f t="shared" si="2"/>
        <v>8696.41</v>
      </c>
      <c r="G8" s="330">
        <v>145</v>
      </c>
      <c r="H8" s="433">
        <v>145</v>
      </c>
      <c r="I8" s="330"/>
      <c r="J8" s="330"/>
      <c r="K8" s="386">
        <f t="shared" si="0"/>
        <v>145</v>
      </c>
      <c r="L8" s="589">
        <f t="shared" si="3"/>
        <v>2.799768295037652E-2</v>
      </c>
      <c r="M8" s="315">
        <f t="shared" si="1"/>
        <v>63.530382313187879</v>
      </c>
      <c r="N8" s="425">
        <f t="shared" si="4"/>
        <v>23.360121576559184</v>
      </c>
      <c r="O8" s="498">
        <v>29.716693944353519</v>
      </c>
      <c r="P8" s="427">
        <f t="shared" si="5"/>
        <v>6.8569125313767136</v>
      </c>
      <c r="Q8" s="426"/>
      <c r="R8" s="532">
        <f t="shared" si="6"/>
        <v>1.4197135411678762E-2</v>
      </c>
    </row>
    <row r="9" spans="1:19" s="6" customFormat="1" ht="15.75">
      <c r="A9" s="309">
        <v>4</v>
      </c>
      <c r="B9" s="306" t="s">
        <v>686</v>
      </c>
      <c r="C9" s="330">
        <v>2719.72</v>
      </c>
      <c r="D9" s="330"/>
      <c r="E9" s="330"/>
      <c r="F9" s="608">
        <f t="shared" si="2"/>
        <v>2719.72</v>
      </c>
      <c r="G9" s="330">
        <v>50</v>
      </c>
      <c r="H9" s="433">
        <v>50</v>
      </c>
      <c r="I9" s="330"/>
      <c r="J9" s="330"/>
      <c r="K9" s="386">
        <f t="shared" si="0"/>
        <v>50</v>
      </c>
      <c r="L9" s="589">
        <f t="shared" si="3"/>
        <v>9.6543734311643169E-3</v>
      </c>
      <c r="M9" s="315">
        <f t="shared" si="1"/>
        <v>21.907028383857888</v>
      </c>
      <c r="N9" s="425">
        <f t="shared" si="4"/>
        <v>8.0552143367445463</v>
      </c>
      <c r="O9" s="498">
        <v>10.247135842880523</v>
      </c>
      <c r="P9" s="427">
        <f t="shared" si="5"/>
        <v>2.3644525970264527</v>
      </c>
      <c r="Q9" s="426"/>
      <c r="R9" s="532">
        <f t="shared" si="6"/>
        <v>1.5653755224989855E-2</v>
      </c>
    </row>
    <row r="10" spans="1:19" s="6" customFormat="1" ht="15.75">
      <c r="A10" s="309">
        <v>5</v>
      </c>
      <c r="B10" s="306" t="s">
        <v>687</v>
      </c>
      <c r="C10" s="330">
        <v>4138.7</v>
      </c>
      <c r="D10" s="330"/>
      <c r="E10" s="330"/>
      <c r="F10" s="608">
        <f t="shared" si="2"/>
        <v>4138.7</v>
      </c>
      <c r="G10" s="330">
        <v>72</v>
      </c>
      <c r="H10" s="433">
        <v>72</v>
      </c>
      <c r="I10" s="330"/>
      <c r="J10" s="330"/>
      <c r="K10" s="386">
        <f t="shared" si="0"/>
        <v>72</v>
      </c>
      <c r="L10" s="589">
        <f t="shared" si="3"/>
        <v>1.3902297740876618E-2</v>
      </c>
      <c r="M10" s="315">
        <f t="shared" si="1"/>
        <v>31.546120872755363</v>
      </c>
      <c r="N10" s="425">
        <f t="shared" si="4"/>
        <v>11.599508644912149</v>
      </c>
      <c r="O10" s="498">
        <v>14.755875613747955</v>
      </c>
      <c r="P10" s="427">
        <f t="shared" si="5"/>
        <v>3.4048117397180926</v>
      </c>
      <c r="Q10" s="426"/>
      <c r="R10" s="532">
        <f t="shared" si="6"/>
        <v>1.4812940505746627E-2</v>
      </c>
    </row>
    <row r="11" spans="1:19" s="6" customFormat="1" ht="15.75">
      <c r="A11" s="309">
        <v>6</v>
      </c>
      <c r="B11" s="306" t="s">
        <v>688</v>
      </c>
      <c r="C11" s="330">
        <v>4166.1899999999996</v>
      </c>
      <c r="D11" s="330"/>
      <c r="E11" s="330"/>
      <c r="F11" s="608">
        <f t="shared" si="2"/>
        <v>4166.1899999999996</v>
      </c>
      <c r="G11" s="330">
        <v>72</v>
      </c>
      <c r="H11" s="433">
        <v>72</v>
      </c>
      <c r="I11" s="330"/>
      <c r="J11" s="330"/>
      <c r="K11" s="386">
        <f t="shared" si="0"/>
        <v>72</v>
      </c>
      <c r="L11" s="589">
        <f t="shared" si="3"/>
        <v>1.3902297740876618E-2</v>
      </c>
      <c r="M11" s="315">
        <f t="shared" si="1"/>
        <v>31.546120872755363</v>
      </c>
      <c r="N11" s="425">
        <f t="shared" si="4"/>
        <v>11.599508644912149</v>
      </c>
      <c r="O11" s="498">
        <v>14.755875613747955</v>
      </c>
      <c r="P11" s="427">
        <f t="shared" si="5"/>
        <v>3.4048117397180926</v>
      </c>
      <c r="Q11" s="426"/>
      <c r="R11" s="532">
        <f t="shared" si="6"/>
        <v>1.4715199467891182E-2</v>
      </c>
    </row>
    <row r="12" spans="1:19" s="6" customFormat="1" ht="15.75">
      <c r="A12" s="309">
        <v>7</v>
      </c>
      <c r="B12" s="306" t="s">
        <v>689</v>
      </c>
      <c r="C12" s="330">
        <v>3572.8</v>
      </c>
      <c r="D12" s="330"/>
      <c r="E12" s="330"/>
      <c r="F12" s="608">
        <f t="shared" si="2"/>
        <v>3572.8</v>
      </c>
      <c r="G12" s="330">
        <v>72</v>
      </c>
      <c r="H12" s="433">
        <v>72</v>
      </c>
      <c r="I12" s="330"/>
      <c r="J12" s="330"/>
      <c r="K12" s="386">
        <f t="shared" si="0"/>
        <v>72</v>
      </c>
      <c r="L12" s="589">
        <f t="shared" si="3"/>
        <v>1.3902297740876618E-2</v>
      </c>
      <c r="M12" s="315">
        <f t="shared" si="1"/>
        <v>31.546120872755363</v>
      </c>
      <c r="N12" s="425">
        <f t="shared" si="4"/>
        <v>11.599508644912149</v>
      </c>
      <c r="O12" s="498">
        <v>14.755875613747955</v>
      </c>
      <c r="P12" s="427">
        <f t="shared" si="5"/>
        <v>3.4048117397180926</v>
      </c>
      <c r="Q12" s="426"/>
      <c r="R12" s="532">
        <f t="shared" si="6"/>
        <v>1.7159179598951399E-2</v>
      </c>
    </row>
    <row r="13" spans="1:19" s="6" customFormat="1" ht="15.75">
      <c r="A13" s="309">
        <v>8</v>
      </c>
      <c r="B13" s="306" t="s">
        <v>690</v>
      </c>
      <c r="C13" s="330">
        <v>6443.05</v>
      </c>
      <c r="D13" s="330"/>
      <c r="E13" s="330"/>
      <c r="F13" s="608">
        <f t="shared" si="2"/>
        <v>6443.05</v>
      </c>
      <c r="G13" s="330">
        <v>107</v>
      </c>
      <c r="H13" s="433">
        <v>107</v>
      </c>
      <c r="I13" s="330"/>
      <c r="J13" s="330"/>
      <c r="K13" s="386">
        <f t="shared" si="0"/>
        <v>107</v>
      </c>
      <c r="L13" s="589">
        <f t="shared" si="3"/>
        <v>2.0660359142691639E-2</v>
      </c>
      <c r="M13" s="315">
        <f t="shared" si="1"/>
        <v>46.881040741455884</v>
      </c>
      <c r="N13" s="425">
        <f t="shared" si="4"/>
        <v>17.23815868063333</v>
      </c>
      <c r="O13" s="498">
        <v>21.928870703764318</v>
      </c>
      <c r="P13" s="427">
        <f t="shared" si="5"/>
        <v>5.0599285576366091</v>
      </c>
      <c r="Q13" s="426"/>
      <c r="R13" s="532">
        <f t="shared" si="6"/>
        <v>1.4140507784898478E-2</v>
      </c>
    </row>
    <row r="14" spans="1:19" s="6" customFormat="1" ht="15.75">
      <c r="A14" s="309">
        <v>9</v>
      </c>
      <c r="B14" s="306" t="s">
        <v>691</v>
      </c>
      <c r="C14" s="330">
        <v>6459.7</v>
      </c>
      <c r="D14" s="330"/>
      <c r="E14" s="330"/>
      <c r="F14" s="608">
        <f t="shared" si="2"/>
        <v>6459.7</v>
      </c>
      <c r="G14" s="330">
        <v>106</v>
      </c>
      <c r="H14" s="433">
        <v>106</v>
      </c>
      <c r="I14" s="330"/>
      <c r="J14" s="330"/>
      <c r="K14" s="386">
        <f t="shared" si="0"/>
        <v>106</v>
      </c>
      <c r="L14" s="589">
        <f t="shared" si="3"/>
        <v>2.0467271674068352E-2</v>
      </c>
      <c r="M14" s="315">
        <f t="shared" si="1"/>
        <v>46.442900173778725</v>
      </c>
      <c r="N14" s="425">
        <f t="shared" si="4"/>
        <v>17.07705439389844</v>
      </c>
      <c r="O14" s="498">
        <v>21.723927986906709</v>
      </c>
      <c r="P14" s="427">
        <f t="shared" si="5"/>
        <v>5.0126395056960797</v>
      </c>
      <c r="Q14" s="426"/>
      <c r="R14" s="532">
        <f t="shared" si="6"/>
        <v>1.3972246708094797E-2</v>
      </c>
    </row>
    <row r="15" spans="1:19" s="6" customFormat="1" ht="15.75">
      <c r="A15" s="309">
        <v>10</v>
      </c>
      <c r="B15" s="306" t="s">
        <v>692</v>
      </c>
      <c r="C15" s="330">
        <v>4374.04</v>
      </c>
      <c r="D15" s="330"/>
      <c r="E15" s="330"/>
      <c r="F15" s="608">
        <f t="shared" si="2"/>
        <v>4374.04</v>
      </c>
      <c r="G15" s="330">
        <v>71</v>
      </c>
      <c r="H15" s="433">
        <v>71</v>
      </c>
      <c r="I15" s="330"/>
      <c r="J15" s="330"/>
      <c r="K15" s="386">
        <f t="shared" si="0"/>
        <v>71</v>
      </c>
      <c r="L15" s="589">
        <f t="shared" si="3"/>
        <v>1.370921027225333E-2</v>
      </c>
      <c r="M15" s="315">
        <f t="shared" si="1"/>
        <v>31.1079803050782</v>
      </c>
      <c r="N15" s="425">
        <f t="shared" si="4"/>
        <v>11.438404358177255</v>
      </c>
      <c r="O15" s="498">
        <v>14.550932896890343</v>
      </c>
      <c r="P15" s="427">
        <f t="shared" si="5"/>
        <v>3.3575226877775632</v>
      </c>
      <c r="Q15" s="426"/>
      <c r="R15" s="532">
        <f t="shared" si="6"/>
        <v>1.382128198368633E-2</v>
      </c>
    </row>
    <row r="16" spans="1:19" s="6" customFormat="1" ht="15.75">
      <c r="A16" s="309">
        <v>11</v>
      </c>
      <c r="B16" s="306" t="s">
        <v>693</v>
      </c>
      <c r="C16" s="330">
        <v>3413.87</v>
      </c>
      <c r="D16" s="330"/>
      <c r="E16" s="330">
        <v>85.7</v>
      </c>
      <c r="F16" s="608">
        <f t="shared" si="2"/>
        <v>3499.5699999999997</v>
      </c>
      <c r="G16" s="330">
        <v>70</v>
      </c>
      <c r="H16" s="433">
        <v>70</v>
      </c>
      <c r="I16" s="330"/>
      <c r="J16" s="330">
        <v>2</v>
      </c>
      <c r="K16" s="386">
        <f t="shared" si="0"/>
        <v>72</v>
      </c>
      <c r="L16" s="589">
        <f t="shared" si="3"/>
        <v>1.3902297740876618E-2</v>
      </c>
      <c r="M16" s="315">
        <f t="shared" si="1"/>
        <v>31.546120872755363</v>
      </c>
      <c r="N16" s="425">
        <f t="shared" si="4"/>
        <v>11.599508644912149</v>
      </c>
      <c r="O16" s="498">
        <v>14.755875613747955</v>
      </c>
      <c r="P16" s="427">
        <f t="shared" si="5"/>
        <v>3.4048117397180926</v>
      </c>
      <c r="Q16" s="426"/>
      <c r="R16" s="532">
        <f t="shared" si="6"/>
        <v>1.7958011544415446E-2</v>
      </c>
    </row>
    <row r="17" spans="1:18" s="6" customFormat="1" ht="15.75">
      <c r="A17" s="309">
        <v>12</v>
      </c>
      <c r="B17" s="306" t="s">
        <v>694</v>
      </c>
      <c r="C17" s="330">
        <v>3466.61</v>
      </c>
      <c r="D17" s="330">
        <v>97.8</v>
      </c>
      <c r="E17" s="330"/>
      <c r="F17" s="608">
        <f t="shared" si="2"/>
        <v>3564.4100000000003</v>
      </c>
      <c r="G17" s="330">
        <v>70</v>
      </c>
      <c r="H17" s="433">
        <v>70</v>
      </c>
      <c r="I17" s="330">
        <v>1</v>
      </c>
      <c r="J17" s="330"/>
      <c r="K17" s="386">
        <f t="shared" si="0"/>
        <v>71</v>
      </c>
      <c r="L17" s="589">
        <f t="shared" si="3"/>
        <v>1.370921027225333E-2</v>
      </c>
      <c r="M17" s="315">
        <f t="shared" si="1"/>
        <v>31.1079803050782</v>
      </c>
      <c r="N17" s="425">
        <f t="shared" si="4"/>
        <v>11.438404358177255</v>
      </c>
      <c r="O17" s="498">
        <v>14.550932896890343</v>
      </c>
      <c r="P17" s="427">
        <f t="shared" si="5"/>
        <v>3.3575226877775632</v>
      </c>
      <c r="Q17" s="426"/>
      <c r="R17" s="532">
        <f t="shared" si="6"/>
        <v>1.7439181288902806E-2</v>
      </c>
    </row>
    <row r="18" spans="1:18" s="6" customFormat="1" ht="15.75">
      <c r="A18" s="309">
        <v>13</v>
      </c>
      <c r="B18" s="306" t="s">
        <v>695</v>
      </c>
      <c r="C18" s="330">
        <v>5767.21</v>
      </c>
      <c r="D18" s="330">
        <v>261.60000000000002</v>
      </c>
      <c r="E18" s="330">
        <v>456.05</v>
      </c>
      <c r="F18" s="608">
        <f t="shared" si="2"/>
        <v>6484.8600000000006</v>
      </c>
      <c r="G18" s="330">
        <v>98</v>
      </c>
      <c r="H18" s="433">
        <v>98</v>
      </c>
      <c r="I18" s="330">
        <v>1</v>
      </c>
      <c r="J18" s="330">
        <v>7</v>
      </c>
      <c r="K18" s="386">
        <f t="shared" si="0"/>
        <v>106</v>
      </c>
      <c r="L18" s="589">
        <f t="shared" si="3"/>
        <v>2.0467271674068352E-2</v>
      </c>
      <c r="M18" s="315">
        <f t="shared" si="1"/>
        <v>46.442900173778725</v>
      </c>
      <c r="N18" s="425">
        <f t="shared" si="4"/>
        <v>17.07705439389844</v>
      </c>
      <c r="O18" s="498">
        <v>21.723927986906709</v>
      </c>
      <c r="P18" s="427">
        <f t="shared" si="5"/>
        <v>5.0126395056960797</v>
      </c>
      <c r="Q18" s="426"/>
      <c r="R18" s="532">
        <f t="shared" si="6"/>
        <v>1.564994547801796E-2</v>
      </c>
    </row>
    <row r="19" spans="1:18" s="6" customFormat="1" ht="15.75">
      <c r="A19" s="309">
        <v>14</v>
      </c>
      <c r="B19" s="306" t="s">
        <v>696</v>
      </c>
      <c r="C19" s="330">
        <v>5966.95</v>
      </c>
      <c r="D19" s="330"/>
      <c r="E19" s="330">
        <v>49.5</v>
      </c>
      <c r="F19" s="608">
        <f t="shared" si="2"/>
        <v>6016.45</v>
      </c>
      <c r="G19" s="330">
        <v>104</v>
      </c>
      <c r="H19" s="433">
        <v>104</v>
      </c>
      <c r="I19" s="330"/>
      <c r="J19" s="330">
        <v>1</v>
      </c>
      <c r="K19" s="386">
        <f t="shared" si="0"/>
        <v>105</v>
      </c>
      <c r="L19" s="589">
        <f t="shared" si="3"/>
        <v>2.0274184205445068E-2</v>
      </c>
      <c r="M19" s="315">
        <f t="shared" si="1"/>
        <v>46.004759606101572</v>
      </c>
      <c r="N19" s="425">
        <f t="shared" si="4"/>
        <v>16.91595010716355</v>
      </c>
      <c r="O19" s="498">
        <v>21.5189852700491</v>
      </c>
      <c r="P19" s="427">
        <f t="shared" si="5"/>
        <v>4.9653504537555513</v>
      </c>
      <c r="Q19" s="426"/>
      <c r="R19" s="532">
        <f t="shared" si="6"/>
        <v>1.4983374326426361E-2</v>
      </c>
    </row>
    <row r="20" spans="1:18" s="6" customFormat="1" ht="15.75">
      <c r="A20" s="309">
        <v>15</v>
      </c>
      <c r="B20" s="306" t="s">
        <v>697</v>
      </c>
      <c r="C20" s="330">
        <v>8566.1200000000008</v>
      </c>
      <c r="D20" s="330"/>
      <c r="E20" s="330"/>
      <c r="F20" s="608">
        <f t="shared" si="2"/>
        <v>8566.1200000000008</v>
      </c>
      <c r="G20" s="330">
        <v>145</v>
      </c>
      <c r="H20" s="433">
        <v>145</v>
      </c>
      <c r="I20" s="330"/>
      <c r="J20" s="330"/>
      <c r="K20" s="386">
        <f t="shared" si="0"/>
        <v>145</v>
      </c>
      <c r="L20" s="589">
        <f t="shared" si="3"/>
        <v>2.799768295037652E-2</v>
      </c>
      <c r="M20" s="315">
        <f t="shared" si="1"/>
        <v>63.530382313187879</v>
      </c>
      <c r="N20" s="425">
        <f t="shared" si="4"/>
        <v>23.360121576559184</v>
      </c>
      <c r="O20" s="498">
        <v>29.716693944353519</v>
      </c>
      <c r="P20" s="427">
        <f t="shared" si="5"/>
        <v>6.8569125313767136</v>
      </c>
      <c r="Q20" s="426"/>
      <c r="R20" s="532">
        <f t="shared" si="6"/>
        <v>1.4413072705668059E-2</v>
      </c>
    </row>
    <row r="21" spans="1:18" s="6" customFormat="1" ht="15.75">
      <c r="A21" s="309">
        <v>16</v>
      </c>
      <c r="B21" s="306" t="s">
        <v>698</v>
      </c>
      <c r="C21" s="330">
        <v>5774.55</v>
      </c>
      <c r="D21" s="330">
        <v>201.5</v>
      </c>
      <c r="E21" s="330"/>
      <c r="F21" s="608">
        <f t="shared" si="2"/>
        <v>5976.05</v>
      </c>
      <c r="G21" s="330">
        <v>124</v>
      </c>
      <c r="H21" s="433">
        <v>124</v>
      </c>
      <c r="I21" s="330">
        <v>2</v>
      </c>
      <c r="J21" s="330"/>
      <c r="K21" s="386">
        <f t="shared" si="0"/>
        <v>126</v>
      </c>
      <c r="L21" s="589">
        <f t="shared" si="3"/>
        <v>2.4329021046534081E-2</v>
      </c>
      <c r="M21" s="315">
        <f t="shared" si="1"/>
        <v>55.205711527321881</v>
      </c>
      <c r="N21" s="425">
        <f t="shared" si="4"/>
        <v>20.299140128596257</v>
      </c>
      <c r="O21" s="498">
        <v>25.82278232405892</v>
      </c>
      <c r="P21" s="427">
        <f t="shared" si="5"/>
        <v>5.9584205445066614</v>
      </c>
      <c r="Q21" s="426"/>
      <c r="R21" s="532">
        <f t="shared" si="6"/>
        <v>1.8579119502728995E-2</v>
      </c>
    </row>
    <row r="22" spans="1:18" s="6" customFormat="1" ht="15.75">
      <c r="A22" s="309">
        <v>17</v>
      </c>
      <c r="B22" s="306" t="s">
        <v>699</v>
      </c>
      <c r="C22" s="330">
        <v>3226.62</v>
      </c>
      <c r="D22" s="330"/>
      <c r="E22" s="330"/>
      <c r="F22" s="608">
        <f t="shared" si="2"/>
        <v>3226.62</v>
      </c>
      <c r="G22" s="330">
        <v>120</v>
      </c>
      <c r="H22" s="433">
        <v>120</v>
      </c>
      <c r="I22" s="330"/>
      <c r="J22" s="330"/>
      <c r="K22" s="386">
        <f t="shared" si="0"/>
        <v>120</v>
      </c>
      <c r="L22" s="589">
        <f t="shared" si="3"/>
        <v>2.3170496234794363E-2</v>
      </c>
      <c r="M22" s="315">
        <f t="shared" si="1"/>
        <v>52.576868121258933</v>
      </c>
      <c r="N22" s="425">
        <f t="shared" si="4"/>
        <v>19.33251440818691</v>
      </c>
      <c r="O22" s="498">
        <v>24.593126022913257</v>
      </c>
      <c r="P22" s="427">
        <f t="shared" si="5"/>
        <v>5.6746862328634871</v>
      </c>
      <c r="Q22" s="426"/>
      <c r="R22" s="532">
        <f t="shared" si="6"/>
        <v>3.1666943980147209E-2</v>
      </c>
    </row>
    <row r="23" spans="1:18" s="6" customFormat="1" ht="15.75">
      <c r="A23" s="309">
        <v>18</v>
      </c>
      <c r="B23" s="306" t="s">
        <v>700</v>
      </c>
      <c r="C23" s="330">
        <v>3233.9</v>
      </c>
      <c r="D23" s="330"/>
      <c r="E23" s="330"/>
      <c r="F23" s="608">
        <f t="shared" si="2"/>
        <v>3233.9</v>
      </c>
      <c r="G23" s="330">
        <v>120</v>
      </c>
      <c r="H23" s="433">
        <v>120</v>
      </c>
      <c r="I23" s="330"/>
      <c r="J23" s="330"/>
      <c r="K23" s="386">
        <f t="shared" si="0"/>
        <v>120</v>
      </c>
      <c r="L23" s="589">
        <f t="shared" si="3"/>
        <v>2.3170496234794363E-2</v>
      </c>
      <c r="M23" s="315">
        <f t="shared" si="1"/>
        <v>52.576868121258933</v>
      </c>
      <c r="N23" s="425">
        <f t="shared" si="4"/>
        <v>19.33251440818691</v>
      </c>
      <c r="O23" s="498">
        <v>24.593126022913257</v>
      </c>
      <c r="P23" s="427">
        <f t="shared" si="5"/>
        <v>5.6746862328634871</v>
      </c>
      <c r="Q23" s="426"/>
      <c r="R23" s="532">
        <f t="shared" si="6"/>
        <v>3.1595656880306314E-2</v>
      </c>
    </row>
    <row r="24" spans="1:18" s="6" customFormat="1" ht="15.75">
      <c r="A24" s="309">
        <v>19</v>
      </c>
      <c r="B24" s="306" t="s">
        <v>701</v>
      </c>
      <c r="C24" s="330">
        <v>6095.4</v>
      </c>
      <c r="D24" s="330"/>
      <c r="E24" s="330"/>
      <c r="F24" s="608">
        <f t="shared" si="2"/>
        <v>6095.4</v>
      </c>
      <c r="G24" s="330">
        <v>129</v>
      </c>
      <c r="H24" s="433">
        <v>129</v>
      </c>
      <c r="I24" s="330"/>
      <c r="J24" s="330"/>
      <c r="K24" s="386">
        <f t="shared" si="0"/>
        <v>129</v>
      </c>
      <c r="L24" s="589">
        <f t="shared" si="3"/>
        <v>2.4908283452403941E-2</v>
      </c>
      <c r="M24" s="315">
        <f t="shared" si="1"/>
        <v>56.520133230353359</v>
      </c>
      <c r="N24" s="425">
        <f t="shared" si="4"/>
        <v>20.78245298880093</v>
      </c>
      <c r="O24" s="498">
        <v>26.43761047463175</v>
      </c>
      <c r="P24" s="427">
        <f t="shared" si="5"/>
        <v>6.1002877003282494</v>
      </c>
      <c r="Q24" s="426"/>
      <c r="R24" s="532">
        <f t="shared" si="6"/>
        <v>1.8020225808661337E-2</v>
      </c>
    </row>
    <row r="25" spans="1:18" s="6" customFormat="1" ht="15.75">
      <c r="A25" s="309">
        <v>20</v>
      </c>
      <c r="B25" s="306" t="s">
        <v>702</v>
      </c>
      <c r="C25" s="330">
        <v>6384.91</v>
      </c>
      <c r="D25" s="330"/>
      <c r="E25" s="330"/>
      <c r="F25" s="608">
        <f t="shared" si="2"/>
        <v>6384.91</v>
      </c>
      <c r="G25" s="330">
        <v>109</v>
      </c>
      <c r="H25" s="433">
        <v>109</v>
      </c>
      <c r="I25" s="330"/>
      <c r="J25" s="330"/>
      <c r="K25" s="386">
        <f t="shared" si="0"/>
        <v>109</v>
      </c>
      <c r="L25" s="589">
        <f t="shared" si="3"/>
        <v>2.1046534079938211E-2</v>
      </c>
      <c r="M25" s="315">
        <f t="shared" si="1"/>
        <v>47.757321876810195</v>
      </c>
      <c r="N25" s="425">
        <f t="shared" si="4"/>
        <v>17.56036725410311</v>
      </c>
      <c r="O25" s="498">
        <v>22.338756137479539</v>
      </c>
      <c r="P25" s="427">
        <f t="shared" si="5"/>
        <v>5.1545066615176669</v>
      </c>
      <c r="Q25" s="426"/>
      <c r="R25" s="532">
        <f t="shared" si="6"/>
        <v>1.4535984364683374E-2</v>
      </c>
    </row>
    <row r="26" spans="1:18" s="6" customFormat="1" ht="15.75">
      <c r="A26" s="309">
        <v>21</v>
      </c>
      <c r="B26" s="306" t="s">
        <v>703</v>
      </c>
      <c r="C26" s="330">
        <v>3929.49</v>
      </c>
      <c r="D26" s="330">
        <v>464.4</v>
      </c>
      <c r="E26" s="330"/>
      <c r="F26" s="608">
        <f t="shared" si="2"/>
        <v>4393.8899999999994</v>
      </c>
      <c r="G26" s="330">
        <v>63</v>
      </c>
      <c r="H26" s="433">
        <v>63</v>
      </c>
      <c r="I26" s="330">
        <v>2</v>
      </c>
      <c r="J26" s="330"/>
      <c r="K26" s="386">
        <f t="shared" si="0"/>
        <v>65</v>
      </c>
      <c r="L26" s="589">
        <f t="shared" si="3"/>
        <v>1.2550685460513612E-2</v>
      </c>
      <c r="M26" s="315">
        <f t="shared" si="1"/>
        <v>28.479136899015256</v>
      </c>
      <c r="N26" s="425">
        <f t="shared" si="4"/>
        <v>10.47177863776791</v>
      </c>
      <c r="O26" s="498">
        <v>13.321276595744681</v>
      </c>
      <c r="P26" s="427">
        <f t="shared" si="5"/>
        <v>3.0737883761343889</v>
      </c>
      <c r="Q26" s="426"/>
      <c r="R26" s="532">
        <f t="shared" si="6"/>
        <v>1.4084774489478848E-2</v>
      </c>
    </row>
    <row r="27" spans="1:18" s="6" customFormat="1" ht="15.75">
      <c r="A27" s="309">
        <v>22</v>
      </c>
      <c r="B27" s="306" t="s">
        <v>704</v>
      </c>
      <c r="C27" s="330">
        <v>7174.09</v>
      </c>
      <c r="D27" s="330"/>
      <c r="E27" s="330"/>
      <c r="F27" s="608">
        <f t="shared" si="2"/>
        <v>7174.09</v>
      </c>
      <c r="G27" s="330">
        <v>143</v>
      </c>
      <c r="H27" s="433">
        <v>143</v>
      </c>
      <c r="I27" s="330"/>
      <c r="J27" s="330"/>
      <c r="K27" s="386">
        <f t="shared" si="0"/>
        <v>143</v>
      </c>
      <c r="L27" s="589">
        <f t="shared" si="3"/>
        <v>2.7611508013129948E-2</v>
      </c>
      <c r="M27" s="315">
        <f t="shared" si="1"/>
        <v>62.65410117783356</v>
      </c>
      <c r="N27" s="425">
        <f t="shared" si="4"/>
        <v>23.0379130030894</v>
      </c>
      <c r="O27" s="498">
        <v>29.306808510638295</v>
      </c>
      <c r="P27" s="427">
        <f t="shared" si="5"/>
        <v>6.7623344274956558</v>
      </c>
      <c r="Q27" s="426"/>
      <c r="R27" s="532">
        <f t="shared" si="6"/>
        <v>1.6972348704721703E-2</v>
      </c>
    </row>
    <row r="28" spans="1:18" s="6" customFormat="1" ht="15.75">
      <c r="A28" s="309">
        <v>23</v>
      </c>
      <c r="B28" s="306" t="s">
        <v>705</v>
      </c>
      <c r="C28" s="330">
        <v>3836.07</v>
      </c>
      <c r="D28" s="330"/>
      <c r="E28" s="330">
        <v>416</v>
      </c>
      <c r="F28" s="608">
        <f t="shared" si="2"/>
        <v>4252.07</v>
      </c>
      <c r="G28" s="330">
        <v>64</v>
      </c>
      <c r="H28" s="433">
        <v>64</v>
      </c>
      <c r="I28" s="330"/>
      <c r="J28" s="330">
        <v>2</v>
      </c>
      <c r="K28" s="386">
        <f t="shared" si="0"/>
        <v>66</v>
      </c>
      <c r="L28" s="589">
        <f t="shared" si="3"/>
        <v>1.27437729291369E-2</v>
      </c>
      <c r="M28" s="315">
        <f t="shared" si="1"/>
        <v>28.917277466692415</v>
      </c>
      <c r="N28" s="425">
        <f t="shared" si="4"/>
        <v>10.632882924502802</v>
      </c>
      <c r="O28" s="498">
        <v>13.526219312602292</v>
      </c>
      <c r="P28" s="427">
        <f t="shared" si="5"/>
        <v>3.1210774280749183</v>
      </c>
      <c r="Q28" s="426"/>
      <c r="R28" s="532">
        <f t="shared" si="6"/>
        <v>1.4649747562446053E-2</v>
      </c>
    </row>
    <row r="29" spans="1:18" s="6" customFormat="1" ht="15.75">
      <c r="A29" s="309">
        <v>24</v>
      </c>
      <c r="B29" s="306" t="s">
        <v>706</v>
      </c>
      <c r="C29" s="330">
        <v>2413.89</v>
      </c>
      <c r="D29" s="330"/>
      <c r="E29" s="330"/>
      <c r="F29" s="608">
        <f t="shared" si="2"/>
        <v>2413.89</v>
      </c>
      <c r="G29" s="330">
        <v>40</v>
      </c>
      <c r="H29" s="433">
        <v>40</v>
      </c>
      <c r="I29" s="330"/>
      <c r="J29" s="330"/>
      <c r="K29" s="386">
        <f t="shared" si="0"/>
        <v>40</v>
      </c>
      <c r="L29" s="589">
        <f t="shared" si="3"/>
        <v>7.7234987449314538E-3</v>
      </c>
      <c r="M29" s="315">
        <f t="shared" si="1"/>
        <v>17.52562270708631</v>
      </c>
      <c r="N29" s="425">
        <f t="shared" si="4"/>
        <v>6.4441714693956369</v>
      </c>
      <c r="O29" s="498">
        <v>8.197708674304419</v>
      </c>
      <c r="P29" s="427">
        <f t="shared" si="5"/>
        <v>1.8915620776211624</v>
      </c>
      <c r="Q29" s="426"/>
      <c r="R29" s="532">
        <f t="shared" si="6"/>
        <v>1.4109617641403512E-2</v>
      </c>
    </row>
    <row r="30" spans="1:18" s="6" customFormat="1" ht="15.75">
      <c r="A30" s="309">
        <v>25</v>
      </c>
      <c r="B30" s="306" t="s">
        <v>707</v>
      </c>
      <c r="C30" s="330">
        <v>6323.28</v>
      </c>
      <c r="D30" s="330"/>
      <c r="E30" s="330"/>
      <c r="F30" s="608">
        <f t="shared" si="2"/>
        <v>6323.28</v>
      </c>
      <c r="G30" s="330">
        <v>109</v>
      </c>
      <c r="H30" s="433">
        <v>109</v>
      </c>
      <c r="I30" s="330"/>
      <c r="J30" s="330"/>
      <c r="K30" s="386">
        <f t="shared" si="0"/>
        <v>109</v>
      </c>
      <c r="L30" s="589">
        <f t="shared" si="3"/>
        <v>2.1046534079938211E-2</v>
      </c>
      <c r="M30" s="315">
        <f t="shared" si="1"/>
        <v>47.757321876810195</v>
      </c>
      <c r="N30" s="425">
        <f t="shared" si="4"/>
        <v>17.56036725410311</v>
      </c>
      <c r="O30" s="498">
        <v>22.338756137479539</v>
      </c>
      <c r="P30" s="427">
        <f t="shared" si="5"/>
        <v>5.1545066615176669</v>
      </c>
      <c r="Q30" s="426"/>
      <c r="R30" s="532">
        <f t="shared" si="6"/>
        <v>1.4677659684516663E-2</v>
      </c>
    </row>
    <row r="31" spans="1:18" s="6" customFormat="1" ht="15.75">
      <c r="A31" s="309">
        <v>26</v>
      </c>
      <c r="B31" s="306" t="s">
        <v>708</v>
      </c>
      <c r="C31" s="330">
        <v>4396.59</v>
      </c>
      <c r="D31" s="330"/>
      <c r="E31" s="330"/>
      <c r="F31" s="608">
        <f t="shared" si="2"/>
        <v>4396.59</v>
      </c>
      <c r="G31" s="330">
        <v>71</v>
      </c>
      <c r="H31" s="433">
        <v>71</v>
      </c>
      <c r="I31" s="330"/>
      <c r="J31" s="330"/>
      <c r="K31" s="386">
        <f t="shared" si="0"/>
        <v>71</v>
      </c>
      <c r="L31" s="589">
        <f t="shared" si="3"/>
        <v>1.370921027225333E-2</v>
      </c>
      <c r="M31" s="315">
        <f t="shared" si="1"/>
        <v>31.1079803050782</v>
      </c>
      <c r="N31" s="425">
        <f t="shared" si="4"/>
        <v>11.438404358177255</v>
      </c>
      <c r="O31" s="498">
        <v>14.550932896890343</v>
      </c>
      <c r="P31" s="427">
        <f t="shared" si="5"/>
        <v>3.3575226877775632</v>
      </c>
      <c r="Q31" s="426"/>
      <c r="R31" s="532">
        <f t="shared" si="6"/>
        <v>1.3750392974537848E-2</v>
      </c>
    </row>
    <row r="32" spans="1:18" s="6" customFormat="1" ht="15.75">
      <c r="A32" s="309">
        <v>27</v>
      </c>
      <c r="B32" s="306" t="s">
        <v>709</v>
      </c>
      <c r="C32" s="330">
        <v>6702.46</v>
      </c>
      <c r="D32" s="330"/>
      <c r="E32" s="330"/>
      <c r="F32" s="608">
        <f t="shared" si="2"/>
        <v>6702.46</v>
      </c>
      <c r="G32" s="330">
        <v>107</v>
      </c>
      <c r="H32" s="433">
        <v>107</v>
      </c>
      <c r="I32" s="330"/>
      <c r="J32" s="330"/>
      <c r="K32" s="386">
        <f t="shared" si="0"/>
        <v>107</v>
      </c>
      <c r="L32" s="589">
        <f t="shared" si="3"/>
        <v>2.0660359142691639E-2</v>
      </c>
      <c r="M32" s="315">
        <f t="shared" si="1"/>
        <v>46.881040741455884</v>
      </c>
      <c r="N32" s="425">
        <f t="shared" si="4"/>
        <v>17.23815868063333</v>
      </c>
      <c r="O32" s="498">
        <v>21.928870703764318</v>
      </c>
      <c r="P32" s="427">
        <f t="shared" si="5"/>
        <v>5.0599285576366091</v>
      </c>
      <c r="Q32" s="426"/>
      <c r="R32" s="532">
        <f t="shared" si="6"/>
        <v>1.3593217816069045E-2</v>
      </c>
    </row>
    <row r="33" spans="1:18" s="6" customFormat="1" ht="15.75">
      <c r="A33" s="309">
        <v>28</v>
      </c>
      <c r="B33" s="306" t="s">
        <v>710</v>
      </c>
      <c r="C33" s="330">
        <v>6185.24</v>
      </c>
      <c r="D33" s="330"/>
      <c r="E33" s="330"/>
      <c r="F33" s="608">
        <f t="shared" si="2"/>
        <v>6185.24</v>
      </c>
      <c r="G33" s="330">
        <v>106</v>
      </c>
      <c r="H33" s="433">
        <v>106</v>
      </c>
      <c r="I33" s="330"/>
      <c r="J33" s="330"/>
      <c r="K33" s="386">
        <f t="shared" si="0"/>
        <v>106</v>
      </c>
      <c r="L33" s="589">
        <f t="shared" si="3"/>
        <v>2.0467271674068352E-2</v>
      </c>
      <c r="M33" s="315">
        <f t="shared" si="1"/>
        <v>46.442900173778725</v>
      </c>
      <c r="N33" s="425">
        <f t="shared" si="4"/>
        <v>17.07705439389844</v>
      </c>
      <c r="O33" s="498">
        <v>21.723927986906709</v>
      </c>
      <c r="P33" s="427">
        <f t="shared" si="5"/>
        <v>5.0126395056960797</v>
      </c>
      <c r="Q33" s="426"/>
      <c r="R33" s="532">
        <f t="shared" si="6"/>
        <v>1.4592242509632604E-2</v>
      </c>
    </row>
    <row r="34" spans="1:18" s="6" customFormat="1" ht="15.75">
      <c r="A34" s="309">
        <v>29</v>
      </c>
      <c r="B34" s="306" t="s">
        <v>711</v>
      </c>
      <c r="C34" s="330">
        <v>6856.85</v>
      </c>
      <c r="D34" s="330"/>
      <c r="E34" s="330"/>
      <c r="F34" s="608">
        <f t="shared" si="2"/>
        <v>6856.85</v>
      </c>
      <c r="G34" s="330">
        <v>107</v>
      </c>
      <c r="H34" s="433">
        <v>107</v>
      </c>
      <c r="I34" s="330"/>
      <c r="J34" s="330"/>
      <c r="K34" s="386">
        <f t="shared" si="0"/>
        <v>107</v>
      </c>
      <c r="L34" s="589">
        <f t="shared" si="3"/>
        <v>2.0660359142691639E-2</v>
      </c>
      <c r="M34" s="315">
        <f t="shared" si="1"/>
        <v>46.881040741455884</v>
      </c>
      <c r="N34" s="425">
        <f t="shared" si="4"/>
        <v>17.23815868063333</v>
      </c>
      <c r="O34" s="498">
        <v>21.928870703764318</v>
      </c>
      <c r="P34" s="427">
        <f t="shared" si="5"/>
        <v>5.0599285576366091</v>
      </c>
      <c r="Q34" s="426"/>
      <c r="R34" s="532">
        <f t="shared" si="6"/>
        <v>1.3287150613399759E-2</v>
      </c>
    </row>
    <row r="35" spans="1:18" s="6" customFormat="1" ht="15.75">
      <c r="A35" s="309">
        <v>30</v>
      </c>
      <c r="B35" s="306" t="s">
        <v>712</v>
      </c>
      <c r="C35" s="330">
        <v>6358.97</v>
      </c>
      <c r="D35" s="330"/>
      <c r="E35" s="330"/>
      <c r="F35" s="608">
        <f t="shared" si="2"/>
        <v>6358.97</v>
      </c>
      <c r="G35" s="330">
        <v>106</v>
      </c>
      <c r="H35" s="433">
        <v>106</v>
      </c>
      <c r="I35" s="330"/>
      <c r="J35" s="330"/>
      <c r="K35" s="386">
        <f t="shared" si="0"/>
        <v>106</v>
      </c>
      <c r="L35" s="589">
        <f t="shared" si="3"/>
        <v>2.0467271674068352E-2</v>
      </c>
      <c r="M35" s="315">
        <f t="shared" si="1"/>
        <v>46.442900173778725</v>
      </c>
      <c r="N35" s="425">
        <f t="shared" si="4"/>
        <v>17.07705439389844</v>
      </c>
      <c r="O35" s="498">
        <v>21.723927986906709</v>
      </c>
      <c r="P35" s="427">
        <f t="shared" si="5"/>
        <v>5.0126395056960797</v>
      </c>
      <c r="Q35" s="426"/>
      <c r="R35" s="532">
        <f t="shared" si="6"/>
        <v>1.4193575698624141E-2</v>
      </c>
    </row>
    <row r="36" spans="1:18" s="6" customFormat="1" ht="15.75">
      <c r="A36" s="309">
        <v>31</v>
      </c>
      <c r="B36" s="306" t="s">
        <v>713</v>
      </c>
      <c r="C36" s="330">
        <v>4302.43</v>
      </c>
      <c r="D36" s="330"/>
      <c r="E36" s="330"/>
      <c r="F36" s="608">
        <f t="shared" si="2"/>
        <v>4302.43</v>
      </c>
      <c r="G36" s="330">
        <v>71</v>
      </c>
      <c r="H36" s="433">
        <v>71</v>
      </c>
      <c r="I36" s="330"/>
      <c r="J36" s="330"/>
      <c r="K36" s="386">
        <f t="shared" si="0"/>
        <v>71</v>
      </c>
      <c r="L36" s="589">
        <f t="shared" si="3"/>
        <v>1.370921027225333E-2</v>
      </c>
      <c r="M36" s="315">
        <f t="shared" si="1"/>
        <v>31.1079803050782</v>
      </c>
      <c r="N36" s="425">
        <f t="shared" si="4"/>
        <v>11.438404358177255</v>
      </c>
      <c r="O36" s="498">
        <v>14.550932896890343</v>
      </c>
      <c r="P36" s="427">
        <f t="shared" si="5"/>
        <v>3.3575226877775632</v>
      </c>
      <c r="Q36" s="426"/>
      <c r="R36" s="532">
        <f t="shared" si="6"/>
        <v>1.405132454169466E-2</v>
      </c>
    </row>
    <row r="37" spans="1:18" s="6" customFormat="1" ht="15.75">
      <c r="A37" s="309">
        <v>32</v>
      </c>
      <c r="B37" s="306" t="s">
        <v>714</v>
      </c>
      <c r="C37" s="330">
        <v>4355.7</v>
      </c>
      <c r="D37" s="330"/>
      <c r="E37" s="330"/>
      <c r="F37" s="608">
        <f t="shared" si="2"/>
        <v>4355.7</v>
      </c>
      <c r="G37" s="330">
        <v>72</v>
      </c>
      <c r="H37" s="433">
        <v>72</v>
      </c>
      <c r="I37" s="330"/>
      <c r="J37" s="330"/>
      <c r="K37" s="386">
        <f t="shared" si="0"/>
        <v>72</v>
      </c>
      <c r="L37" s="589">
        <f t="shared" si="3"/>
        <v>1.3902297740876618E-2</v>
      </c>
      <c r="M37" s="315">
        <f t="shared" si="1"/>
        <v>31.546120872755363</v>
      </c>
      <c r="N37" s="425">
        <f t="shared" si="4"/>
        <v>11.599508644912149</v>
      </c>
      <c r="O37" s="498">
        <v>14.755875613747955</v>
      </c>
      <c r="P37" s="427">
        <f t="shared" si="5"/>
        <v>3.4048117397180926</v>
      </c>
      <c r="Q37" s="426"/>
      <c r="R37" s="532">
        <f t="shared" si="6"/>
        <v>1.4074963122146513E-2</v>
      </c>
    </row>
    <row r="38" spans="1:18" s="6" customFormat="1" ht="15.75">
      <c r="A38" s="309">
        <v>33</v>
      </c>
      <c r="B38" s="306" t="s">
        <v>715</v>
      </c>
      <c r="C38" s="330">
        <v>61.3</v>
      </c>
      <c r="D38" s="330"/>
      <c r="E38" s="330"/>
      <c r="F38" s="608">
        <f t="shared" si="2"/>
        <v>61.3</v>
      </c>
      <c r="G38" s="330">
        <v>2</v>
      </c>
      <c r="H38" s="433">
        <v>2</v>
      </c>
      <c r="I38" s="330"/>
      <c r="J38" s="330"/>
      <c r="K38" s="386">
        <f t="shared" si="0"/>
        <v>2</v>
      </c>
      <c r="L38" s="589">
        <f t="shared" si="3"/>
        <v>3.861749372465727E-4</v>
      </c>
      <c r="M38" s="315">
        <f t="shared" si="1"/>
        <v>0.87628113535431551</v>
      </c>
      <c r="N38" s="425">
        <f t="shared" si="4"/>
        <v>0.32220857346978182</v>
      </c>
      <c r="O38" s="498">
        <v>0.40988543371522096</v>
      </c>
      <c r="P38" s="427">
        <f t="shared" si="5"/>
        <v>9.4578103881058126E-2</v>
      </c>
      <c r="Q38" s="426"/>
      <c r="R38" s="532">
        <f t="shared" si="6"/>
        <v>2.7780640235242682E-2</v>
      </c>
    </row>
    <row r="39" spans="1:18" s="6" customFormat="1" ht="15.75">
      <c r="A39" s="309">
        <v>34</v>
      </c>
      <c r="B39" s="306" t="s">
        <v>716</v>
      </c>
      <c r="C39" s="330">
        <v>105.7</v>
      </c>
      <c r="D39" s="330"/>
      <c r="E39" s="330"/>
      <c r="F39" s="608">
        <f t="shared" si="2"/>
        <v>105.7</v>
      </c>
      <c r="G39" s="330">
        <v>4</v>
      </c>
      <c r="H39" s="433">
        <v>4</v>
      </c>
      <c r="I39" s="330"/>
      <c r="J39" s="330"/>
      <c r="K39" s="386">
        <f t="shared" si="0"/>
        <v>4</v>
      </c>
      <c r="L39" s="589">
        <f t="shared" si="3"/>
        <v>7.7234987449314541E-4</v>
      </c>
      <c r="M39" s="315">
        <f t="shared" si="1"/>
        <v>1.752562270708631</v>
      </c>
      <c r="N39" s="425">
        <f t="shared" si="4"/>
        <v>0.64441714693956365</v>
      </c>
      <c r="O39" s="498">
        <v>0.81977086743044192</v>
      </c>
      <c r="P39" s="427">
        <f t="shared" si="5"/>
        <v>0.18915620776211625</v>
      </c>
      <c r="Q39" s="426"/>
      <c r="R39" s="532">
        <f t="shared" si="6"/>
        <v>3.2222388768597468E-2</v>
      </c>
    </row>
    <row r="40" spans="1:18" s="6" customFormat="1" ht="15.75">
      <c r="A40" s="309">
        <v>35</v>
      </c>
      <c r="B40" s="306" t="s">
        <v>717</v>
      </c>
      <c r="C40" s="330">
        <v>124.1</v>
      </c>
      <c r="D40" s="330"/>
      <c r="E40" s="330"/>
      <c r="F40" s="608">
        <f t="shared" si="2"/>
        <v>124.1</v>
      </c>
      <c r="G40" s="330">
        <v>2</v>
      </c>
      <c r="H40" s="433">
        <v>2</v>
      </c>
      <c r="I40" s="330"/>
      <c r="J40" s="330"/>
      <c r="K40" s="386">
        <f t="shared" si="0"/>
        <v>2</v>
      </c>
      <c r="L40" s="589">
        <f t="shared" si="3"/>
        <v>3.861749372465727E-4</v>
      </c>
      <c r="M40" s="315">
        <f t="shared" si="1"/>
        <v>0.87628113535431551</v>
      </c>
      <c r="N40" s="425">
        <f t="shared" si="4"/>
        <v>0.32220857346978182</v>
      </c>
      <c r="O40" s="498">
        <v>0.40988543371522096</v>
      </c>
      <c r="P40" s="427">
        <f t="shared" si="5"/>
        <v>9.4578103881058126E-2</v>
      </c>
      <c r="Q40" s="426"/>
      <c r="R40" s="532">
        <f t="shared" si="6"/>
        <v>1.372242744899578E-2</v>
      </c>
    </row>
    <row r="41" spans="1:18" s="6" customFormat="1" ht="15.75">
      <c r="A41" s="309">
        <v>36</v>
      </c>
      <c r="B41" s="306" t="s">
        <v>718</v>
      </c>
      <c r="C41" s="330">
        <v>2349.19</v>
      </c>
      <c r="D41" s="330"/>
      <c r="E41" s="330"/>
      <c r="F41" s="608">
        <f t="shared" si="2"/>
        <v>2349.19</v>
      </c>
      <c r="G41" s="330">
        <v>40</v>
      </c>
      <c r="H41" s="433">
        <v>40</v>
      </c>
      <c r="I41" s="330"/>
      <c r="J41" s="330"/>
      <c r="K41" s="386">
        <f t="shared" si="0"/>
        <v>40</v>
      </c>
      <c r="L41" s="589">
        <f t="shared" si="3"/>
        <v>7.7234987449314538E-3</v>
      </c>
      <c r="M41" s="315">
        <f t="shared" si="1"/>
        <v>17.52562270708631</v>
      </c>
      <c r="N41" s="425">
        <f t="shared" si="4"/>
        <v>6.4441714693956369</v>
      </c>
      <c r="O41" s="498">
        <v>8.197708674304419</v>
      </c>
      <c r="P41" s="427">
        <f t="shared" si="5"/>
        <v>1.8915620776211624</v>
      </c>
      <c r="Q41" s="426"/>
      <c r="R41" s="532">
        <f t="shared" si="6"/>
        <v>1.4498216376030684E-2</v>
      </c>
    </row>
    <row r="42" spans="1:18" s="6" customFormat="1" ht="15.75">
      <c r="A42" s="309">
        <v>37</v>
      </c>
      <c r="B42" s="306" t="s">
        <v>719</v>
      </c>
      <c r="C42" s="330">
        <v>3321.01</v>
      </c>
      <c r="D42" s="330"/>
      <c r="E42" s="330"/>
      <c r="F42" s="608">
        <f t="shared" si="2"/>
        <v>3321.01</v>
      </c>
      <c r="G42" s="330">
        <v>119</v>
      </c>
      <c r="H42" s="433">
        <v>119</v>
      </c>
      <c r="I42" s="330"/>
      <c r="J42" s="330"/>
      <c r="K42" s="386">
        <f t="shared" si="0"/>
        <v>119</v>
      </c>
      <c r="L42" s="589">
        <f t="shared" si="3"/>
        <v>2.2977408766171076E-2</v>
      </c>
      <c r="M42" s="315">
        <f t="shared" si="1"/>
        <v>52.138727553581774</v>
      </c>
      <c r="N42" s="425">
        <f t="shared" si="4"/>
        <v>19.17141012145202</v>
      </c>
      <c r="O42" s="498">
        <v>24.388183306055645</v>
      </c>
      <c r="P42" s="427">
        <f t="shared" si="5"/>
        <v>5.6273971809229577</v>
      </c>
      <c r="Q42" s="426"/>
      <c r="R42" s="532">
        <f t="shared" si="6"/>
        <v>3.0510512814478846E-2</v>
      </c>
    </row>
    <row r="43" spans="1:18" s="6" customFormat="1" ht="15.75">
      <c r="A43" s="309">
        <v>38</v>
      </c>
      <c r="B43" s="306" t="s">
        <v>720</v>
      </c>
      <c r="C43" s="330">
        <v>3969.9</v>
      </c>
      <c r="D43" s="330"/>
      <c r="E43" s="330"/>
      <c r="F43" s="608">
        <f t="shared" si="2"/>
        <v>3969.9</v>
      </c>
      <c r="G43" s="330">
        <v>107</v>
      </c>
      <c r="H43" s="433">
        <v>107</v>
      </c>
      <c r="I43" s="330"/>
      <c r="J43" s="330"/>
      <c r="K43" s="386">
        <f t="shared" si="0"/>
        <v>107</v>
      </c>
      <c r="L43" s="589">
        <f t="shared" si="3"/>
        <v>2.0660359142691639E-2</v>
      </c>
      <c r="M43" s="315">
        <f t="shared" si="1"/>
        <v>46.881040741455884</v>
      </c>
      <c r="N43" s="425">
        <f t="shared" si="4"/>
        <v>17.23815868063333</v>
      </c>
      <c r="O43" s="498">
        <v>21.928870703764318</v>
      </c>
      <c r="P43" s="427">
        <f t="shared" si="5"/>
        <v>5.0599285576366091</v>
      </c>
      <c r="Q43" s="426"/>
      <c r="R43" s="532">
        <f t="shared" si="6"/>
        <v>2.2949696134283014E-2</v>
      </c>
    </row>
    <row r="44" spans="1:18" s="6" customFormat="1" ht="15.75">
      <c r="A44" s="309">
        <v>39</v>
      </c>
      <c r="B44" s="306" t="s">
        <v>721</v>
      </c>
      <c r="C44" s="330">
        <v>6582.1</v>
      </c>
      <c r="D44" s="330"/>
      <c r="E44" s="330"/>
      <c r="F44" s="608">
        <f t="shared" si="2"/>
        <v>6582.1</v>
      </c>
      <c r="G44" s="330">
        <v>118</v>
      </c>
      <c r="H44" s="433">
        <v>118</v>
      </c>
      <c r="I44" s="330"/>
      <c r="J44" s="330"/>
      <c r="K44" s="386">
        <f t="shared" si="0"/>
        <v>118</v>
      </c>
      <c r="L44" s="589">
        <f t="shared" si="3"/>
        <v>2.2784321297547788E-2</v>
      </c>
      <c r="M44" s="315">
        <f t="shared" si="1"/>
        <v>51.700586985904614</v>
      </c>
      <c r="N44" s="425">
        <f t="shared" si="4"/>
        <v>19.010305834717126</v>
      </c>
      <c r="O44" s="498">
        <v>24.183240589198032</v>
      </c>
      <c r="P44" s="427">
        <f t="shared" si="5"/>
        <v>5.5801081289824284</v>
      </c>
      <c r="Q44" s="426"/>
      <c r="R44" s="532">
        <f t="shared" si="6"/>
        <v>1.526476983619243E-2</v>
      </c>
    </row>
    <row r="45" spans="1:18" s="6" customFormat="1" ht="15.75">
      <c r="A45" s="309">
        <v>40</v>
      </c>
      <c r="B45" s="306" t="s">
        <v>722</v>
      </c>
      <c r="C45" s="330">
        <v>8461.27</v>
      </c>
      <c r="D45" s="330">
        <v>287.3</v>
      </c>
      <c r="E45" s="330"/>
      <c r="F45" s="608">
        <f t="shared" si="2"/>
        <v>8748.57</v>
      </c>
      <c r="G45" s="330">
        <v>156</v>
      </c>
      <c r="H45" s="433">
        <v>156</v>
      </c>
      <c r="I45" s="330">
        <v>1</v>
      </c>
      <c r="J45" s="330"/>
      <c r="K45" s="386">
        <f t="shared" si="0"/>
        <v>157</v>
      </c>
      <c r="L45" s="589">
        <f t="shared" si="3"/>
        <v>3.0314732573855956E-2</v>
      </c>
      <c r="M45" s="315">
        <f t="shared" si="1"/>
        <v>68.788069125313768</v>
      </c>
      <c r="N45" s="425">
        <f t="shared" si="4"/>
        <v>25.293373017377874</v>
      </c>
      <c r="O45" s="498">
        <v>32.176006546644849</v>
      </c>
      <c r="P45" s="427">
        <f t="shared" si="5"/>
        <v>7.4243811546630623</v>
      </c>
      <c r="Q45" s="426"/>
      <c r="R45" s="532">
        <f t="shared" si="6"/>
        <v>1.5799262976361649E-2</v>
      </c>
    </row>
    <row r="46" spans="1:18" s="6" customFormat="1" ht="15.75">
      <c r="A46" s="309">
        <v>41</v>
      </c>
      <c r="B46" s="306" t="s">
        <v>723</v>
      </c>
      <c r="C46" s="330">
        <v>3715.24</v>
      </c>
      <c r="D46" s="330"/>
      <c r="E46" s="330">
        <v>109.3</v>
      </c>
      <c r="F46" s="608">
        <f t="shared" si="2"/>
        <v>3824.54</v>
      </c>
      <c r="G46" s="330">
        <v>105</v>
      </c>
      <c r="H46" s="433">
        <v>105</v>
      </c>
      <c r="I46" s="330"/>
      <c r="J46" s="330">
        <v>1</v>
      </c>
      <c r="K46" s="386">
        <f t="shared" si="0"/>
        <v>106</v>
      </c>
      <c r="L46" s="589">
        <f t="shared" si="3"/>
        <v>2.0467271674068352E-2</v>
      </c>
      <c r="M46" s="315">
        <f t="shared" si="1"/>
        <v>46.442900173778725</v>
      </c>
      <c r="N46" s="425">
        <f t="shared" si="4"/>
        <v>17.07705439389844</v>
      </c>
      <c r="O46" s="498">
        <v>21.723927986906709</v>
      </c>
      <c r="P46" s="427">
        <f t="shared" si="5"/>
        <v>5.0126395056960797</v>
      </c>
      <c r="Q46" s="426"/>
      <c r="R46" s="532">
        <f t="shared" si="6"/>
        <v>2.4293591278162371E-2</v>
      </c>
    </row>
    <row r="47" spans="1:18" s="6" customFormat="1" ht="15.75">
      <c r="A47" s="309">
        <v>42</v>
      </c>
      <c r="B47" s="306" t="s">
        <v>724</v>
      </c>
      <c r="C47" s="330">
        <v>355.8</v>
      </c>
      <c r="D47" s="330"/>
      <c r="E47" s="330"/>
      <c r="F47" s="608">
        <f t="shared" si="2"/>
        <v>355.8</v>
      </c>
      <c r="G47" s="330">
        <v>8</v>
      </c>
      <c r="H47" s="433">
        <v>8</v>
      </c>
      <c r="I47" s="330"/>
      <c r="J47" s="330"/>
      <c r="K47" s="386">
        <f t="shared" si="0"/>
        <v>8</v>
      </c>
      <c r="L47" s="589">
        <f t="shared" si="3"/>
        <v>1.5446997489862908E-3</v>
      </c>
      <c r="M47" s="315">
        <f t="shared" si="1"/>
        <v>3.505124541417262</v>
      </c>
      <c r="N47" s="425">
        <f t="shared" si="4"/>
        <v>1.2888342938791273</v>
      </c>
      <c r="O47" s="498">
        <v>1.6395417348608838</v>
      </c>
      <c r="P47" s="427">
        <f t="shared" si="5"/>
        <v>0.3783124155242325</v>
      </c>
      <c r="Q47" s="426"/>
      <c r="R47" s="532">
        <f t="shared" si="6"/>
        <v>1.9145061792247061E-2</v>
      </c>
    </row>
    <row r="48" spans="1:18" s="6" customFormat="1" ht="15.75">
      <c r="A48" s="309">
        <v>43</v>
      </c>
      <c r="B48" s="306" t="s">
        <v>725</v>
      </c>
      <c r="C48" s="330">
        <v>907.4</v>
      </c>
      <c r="D48" s="330"/>
      <c r="E48" s="330"/>
      <c r="F48" s="608">
        <f t="shared" si="2"/>
        <v>907.4</v>
      </c>
      <c r="G48" s="330">
        <v>17</v>
      </c>
      <c r="H48" s="433">
        <v>17</v>
      </c>
      <c r="I48" s="330"/>
      <c r="J48" s="330"/>
      <c r="K48" s="386">
        <f t="shared" si="0"/>
        <v>17</v>
      </c>
      <c r="L48" s="589">
        <f t="shared" si="3"/>
        <v>3.2824869665958678E-3</v>
      </c>
      <c r="M48" s="315">
        <f t="shared" si="1"/>
        <v>7.4483896505116816</v>
      </c>
      <c r="N48" s="425">
        <f t="shared" si="4"/>
        <v>2.7387728744931454</v>
      </c>
      <c r="O48" s="498">
        <v>3.4840261865793782</v>
      </c>
      <c r="P48" s="427">
        <f t="shared" si="5"/>
        <v>0.80391388298899402</v>
      </c>
      <c r="Q48" s="426"/>
      <c r="R48" s="532">
        <f t="shared" si="6"/>
        <v>1.5952284102461096E-2</v>
      </c>
    </row>
    <row r="49" spans="1:18" s="6" customFormat="1" ht="15.75">
      <c r="A49" s="309">
        <v>44</v>
      </c>
      <c r="B49" s="306" t="s">
        <v>726</v>
      </c>
      <c r="C49" s="330">
        <v>2273.6</v>
      </c>
      <c r="D49" s="330"/>
      <c r="E49" s="330"/>
      <c r="F49" s="608">
        <f t="shared" si="2"/>
        <v>2273.6</v>
      </c>
      <c r="G49" s="330">
        <v>40</v>
      </c>
      <c r="H49" s="433">
        <v>40</v>
      </c>
      <c r="I49" s="330"/>
      <c r="J49" s="330"/>
      <c r="K49" s="386">
        <f t="shared" si="0"/>
        <v>40</v>
      </c>
      <c r="L49" s="589">
        <f t="shared" si="3"/>
        <v>7.7234987449314538E-3</v>
      </c>
      <c r="M49" s="315">
        <f t="shared" si="1"/>
        <v>17.52562270708631</v>
      </c>
      <c r="N49" s="425">
        <f t="shared" si="4"/>
        <v>6.4441714693956369</v>
      </c>
      <c r="O49" s="498">
        <v>8.197708674304419</v>
      </c>
      <c r="P49" s="427">
        <f t="shared" si="5"/>
        <v>1.8915620776211624</v>
      </c>
      <c r="Q49" s="426"/>
      <c r="R49" s="532">
        <f t="shared" si="6"/>
        <v>1.498023615781471E-2</v>
      </c>
    </row>
    <row r="50" spans="1:18" s="6" customFormat="1" ht="15.75">
      <c r="A50" s="309">
        <v>45</v>
      </c>
      <c r="B50" s="306" t="s">
        <v>727</v>
      </c>
      <c r="C50" s="330">
        <v>154.1</v>
      </c>
      <c r="D50" s="330"/>
      <c r="E50" s="330"/>
      <c r="F50" s="608">
        <f t="shared" si="2"/>
        <v>154.1</v>
      </c>
      <c r="G50" s="330">
        <v>3</v>
      </c>
      <c r="H50" s="433">
        <v>3</v>
      </c>
      <c r="I50" s="330"/>
      <c r="J50" s="330"/>
      <c r="K50" s="386">
        <f t="shared" si="0"/>
        <v>3</v>
      </c>
      <c r="L50" s="589">
        <f t="shared" si="3"/>
        <v>5.7926240586985908E-4</v>
      </c>
      <c r="M50" s="315">
        <f t="shared" si="1"/>
        <v>1.3144217030314733</v>
      </c>
      <c r="N50" s="425">
        <f t="shared" si="4"/>
        <v>0.48331286020467279</v>
      </c>
      <c r="O50" s="498">
        <v>0.61482815057283147</v>
      </c>
      <c r="P50" s="427">
        <f t="shared" si="5"/>
        <v>0.14186715582158718</v>
      </c>
      <c r="Q50" s="426"/>
      <c r="R50" s="532">
        <f t="shared" si="6"/>
        <v>1.657644302161301E-2</v>
      </c>
    </row>
    <row r="51" spans="1:18" s="6" customFormat="1" ht="15.75">
      <c r="A51" s="309">
        <v>46</v>
      </c>
      <c r="B51" s="306" t="s">
        <v>728</v>
      </c>
      <c r="C51" s="330">
        <v>93.9</v>
      </c>
      <c r="D51" s="330"/>
      <c r="E51" s="330"/>
      <c r="F51" s="608">
        <f t="shared" si="2"/>
        <v>93.9</v>
      </c>
      <c r="G51" s="330">
        <v>3</v>
      </c>
      <c r="H51" s="433">
        <v>3</v>
      </c>
      <c r="I51" s="330"/>
      <c r="J51" s="330"/>
      <c r="K51" s="386">
        <f t="shared" si="0"/>
        <v>3</v>
      </c>
      <c r="L51" s="589">
        <f t="shared" si="3"/>
        <v>5.7926240586985908E-4</v>
      </c>
      <c r="M51" s="315">
        <f t="shared" si="1"/>
        <v>1.3144217030314733</v>
      </c>
      <c r="N51" s="425">
        <f t="shared" si="4"/>
        <v>0.48331286020467279</v>
      </c>
      <c r="O51" s="498">
        <v>0.61482815057283147</v>
      </c>
      <c r="P51" s="427">
        <f t="shared" si="5"/>
        <v>0.14186715582158718</v>
      </c>
      <c r="Q51" s="426"/>
      <c r="R51" s="532">
        <f t="shared" si="6"/>
        <v>2.7203725981156172E-2</v>
      </c>
    </row>
    <row r="52" spans="1:18" s="6" customFormat="1" ht="15.75">
      <c r="A52" s="309">
        <v>47</v>
      </c>
      <c r="B52" s="306" t="s">
        <v>729</v>
      </c>
      <c r="C52" s="330">
        <v>296.10000000000002</v>
      </c>
      <c r="D52" s="330"/>
      <c r="E52" s="330"/>
      <c r="F52" s="608">
        <f t="shared" si="2"/>
        <v>296.10000000000002</v>
      </c>
      <c r="G52" s="330">
        <v>9</v>
      </c>
      <c r="H52" s="433">
        <v>9</v>
      </c>
      <c r="I52" s="330"/>
      <c r="J52" s="330"/>
      <c r="K52" s="386">
        <f t="shared" si="0"/>
        <v>9</v>
      </c>
      <c r="L52" s="589">
        <f t="shared" si="3"/>
        <v>1.7377872176095772E-3</v>
      </c>
      <c r="M52" s="315">
        <f t="shared" si="1"/>
        <v>3.9432651090944204</v>
      </c>
      <c r="N52" s="425">
        <f t="shared" si="4"/>
        <v>1.4499385806140186</v>
      </c>
      <c r="O52" s="498">
        <v>1.8444844517184944</v>
      </c>
      <c r="P52" s="427">
        <f t="shared" si="5"/>
        <v>0.42560146746476157</v>
      </c>
      <c r="Q52" s="426"/>
      <c r="R52" s="532">
        <f t="shared" si="6"/>
        <v>2.588074842584159E-2</v>
      </c>
    </row>
    <row r="53" spans="1:18" s="6" customFormat="1" ht="15.75">
      <c r="A53" s="309">
        <v>48</v>
      </c>
      <c r="B53" s="306" t="s">
        <v>647</v>
      </c>
      <c r="C53" s="330">
        <v>4177.21</v>
      </c>
      <c r="D53" s="330">
        <v>6.6</v>
      </c>
      <c r="E53" s="330"/>
      <c r="F53" s="608">
        <f t="shared" si="2"/>
        <v>4183.8100000000004</v>
      </c>
      <c r="G53" s="330">
        <v>108</v>
      </c>
      <c r="H53" s="433">
        <v>108</v>
      </c>
      <c r="I53" s="330"/>
      <c r="J53" s="330"/>
      <c r="K53" s="386">
        <f t="shared" si="0"/>
        <v>108</v>
      </c>
      <c r="L53" s="589">
        <f t="shared" si="3"/>
        <v>2.0853446611314927E-2</v>
      </c>
      <c r="M53" s="315">
        <f t="shared" si="1"/>
        <v>47.319181309133043</v>
      </c>
      <c r="N53" s="425">
        <f t="shared" si="4"/>
        <v>17.39926296736822</v>
      </c>
      <c r="O53" s="498">
        <v>22.13381342062193</v>
      </c>
      <c r="P53" s="427">
        <f t="shared" si="5"/>
        <v>5.1072176095771384</v>
      </c>
      <c r="Q53" s="426"/>
      <c r="R53" s="532">
        <f t="shared" si="6"/>
        <v>2.2014568409704161E-2</v>
      </c>
    </row>
    <row r="54" spans="1:18" s="6" customFormat="1" ht="15.75">
      <c r="A54" s="309">
        <v>49</v>
      </c>
      <c r="B54" s="306" t="s">
        <v>648</v>
      </c>
      <c r="C54" s="330">
        <v>4140.68</v>
      </c>
      <c r="D54" s="330"/>
      <c r="E54" s="330"/>
      <c r="F54" s="608">
        <f t="shared" si="2"/>
        <v>4140.68</v>
      </c>
      <c r="G54" s="330">
        <v>108</v>
      </c>
      <c r="H54" s="433">
        <v>108</v>
      </c>
      <c r="I54" s="330"/>
      <c r="J54" s="330"/>
      <c r="K54" s="386">
        <f t="shared" si="0"/>
        <v>108</v>
      </c>
      <c r="L54" s="589">
        <f t="shared" si="3"/>
        <v>2.0853446611314927E-2</v>
      </c>
      <c r="M54" s="315">
        <f t="shared" si="1"/>
        <v>47.319181309133043</v>
      </c>
      <c r="N54" s="425">
        <f t="shared" si="4"/>
        <v>17.39926296736822</v>
      </c>
      <c r="O54" s="498">
        <v>22.13381342062193</v>
      </c>
      <c r="P54" s="427">
        <f t="shared" si="5"/>
        <v>5.1072176095771384</v>
      </c>
      <c r="Q54" s="426"/>
      <c r="R54" s="532">
        <f t="shared" si="6"/>
        <v>2.22087858290668E-2</v>
      </c>
    </row>
    <row r="55" spans="1:18" s="6" customFormat="1" ht="15.75">
      <c r="A55" s="309">
        <v>50</v>
      </c>
      <c r="B55" s="306" t="s">
        <v>1354</v>
      </c>
      <c r="C55" s="818">
        <v>7831.81</v>
      </c>
      <c r="D55" s="330"/>
      <c r="E55" s="330"/>
      <c r="F55" s="608">
        <f t="shared" si="2"/>
        <v>7831.81</v>
      </c>
      <c r="G55" s="330">
        <v>162</v>
      </c>
      <c r="H55" s="433">
        <v>162</v>
      </c>
      <c r="I55" s="330"/>
      <c r="J55" s="330"/>
      <c r="K55" s="386">
        <f t="shared" si="0"/>
        <v>162</v>
      </c>
      <c r="L55" s="589">
        <f t="shared" si="3"/>
        <v>3.128016991697239E-2</v>
      </c>
      <c r="M55" s="315">
        <f t="shared" si="1"/>
        <v>70.978771963699558</v>
      </c>
      <c r="N55" s="425">
        <f t="shared" si="4"/>
        <v>26.098894451052328</v>
      </c>
      <c r="O55" s="498">
        <v>33.200720130932901</v>
      </c>
      <c r="P55" s="427">
        <f t="shared" si="5"/>
        <v>7.6608264143657081</v>
      </c>
      <c r="Q55" s="426"/>
      <c r="R55" s="532">
        <f t="shared" si="6"/>
        <v>1.761268633432763E-2</v>
      </c>
    </row>
    <row r="56" spans="1:18" s="6" customFormat="1" ht="15.75">
      <c r="A56" s="309">
        <v>51</v>
      </c>
      <c r="B56" s="306" t="s">
        <v>1374</v>
      </c>
      <c r="C56" s="818">
        <v>996.1</v>
      </c>
      <c r="D56" s="330"/>
      <c r="E56" s="330"/>
      <c r="F56" s="608">
        <f t="shared" si="2"/>
        <v>996.1</v>
      </c>
      <c r="G56" s="330">
        <v>35</v>
      </c>
      <c r="H56" s="433">
        <v>35</v>
      </c>
      <c r="I56" s="330"/>
      <c r="J56" s="330"/>
      <c r="K56" s="386">
        <f t="shared" si="0"/>
        <v>35</v>
      </c>
      <c r="L56" s="589">
        <f t="shared" si="3"/>
        <v>6.7580614018150223E-3</v>
      </c>
      <c r="M56" s="315">
        <f t="shared" si="1"/>
        <v>15.334919868700522</v>
      </c>
      <c r="N56" s="425">
        <f t="shared" si="4"/>
        <v>5.6386500357211826</v>
      </c>
      <c r="O56" s="498">
        <v>7.172995090016367</v>
      </c>
      <c r="P56" s="427">
        <f t="shared" si="5"/>
        <v>1.6551168179185172</v>
      </c>
      <c r="Q56" s="426"/>
      <c r="R56" s="532">
        <f t="shared" si="6"/>
        <v>2.9918363429732548E-2</v>
      </c>
    </row>
    <row r="57" spans="1:18" s="6" customFormat="1" ht="15.75">
      <c r="A57" s="309">
        <v>52</v>
      </c>
      <c r="B57" s="306" t="s">
        <v>1376</v>
      </c>
      <c r="C57" s="818">
        <v>533.79999999999995</v>
      </c>
      <c r="D57" s="330"/>
      <c r="E57" s="330"/>
      <c r="F57" s="608">
        <f t="shared" si="2"/>
        <v>533.79999999999995</v>
      </c>
      <c r="G57" s="330">
        <v>12</v>
      </c>
      <c r="H57" s="433">
        <v>12</v>
      </c>
      <c r="I57" s="330"/>
      <c r="J57" s="330"/>
      <c r="K57" s="386">
        <f t="shared" si="0"/>
        <v>12</v>
      </c>
      <c r="L57" s="589">
        <f t="shared" si="3"/>
        <v>2.3170496234794363E-3</v>
      </c>
      <c r="M57" s="315">
        <f t="shared" si="1"/>
        <v>5.2576868121258933</v>
      </c>
      <c r="N57" s="425">
        <f t="shared" si="4"/>
        <v>1.9332514408186912</v>
      </c>
      <c r="O57" s="498">
        <v>2.4593126022913259</v>
      </c>
      <c r="P57" s="427">
        <f t="shared" si="5"/>
        <v>0.56746862328634873</v>
      </c>
      <c r="Q57" s="426"/>
      <c r="R57" s="532">
        <f t="shared" si="6"/>
        <v>1.914147523140176E-2</v>
      </c>
    </row>
    <row r="58" spans="1:18" s="6" customFormat="1" ht="15.75">
      <c r="A58" s="309">
        <v>53</v>
      </c>
      <c r="B58" s="306" t="s">
        <v>1375</v>
      </c>
      <c r="C58" s="818">
        <v>987.3</v>
      </c>
      <c r="D58" s="330"/>
      <c r="E58" s="330"/>
      <c r="F58" s="608">
        <f t="shared" si="2"/>
        <v>987.3</v>
      </c>
      <c r="G58" s="330">
        <v>34</v>
      </c>
      <c r="H58" s="433">
        <v>34</v>
      </c>
      <c r="I58" s="330"/>
      <c r="J58" s="330"/>
      <c r="K58" s="386">
        <f t="shared" si="0"/>
        <v>34</v>
      </c>
      <c r="L58" s="589">
        <f t="shared" si="3"/>
        <v>6.5649739331917357E-3</v>
      </c>
      <c r="M58" s="315">
        <f t="shared" si="1"/>
        <v>14.896779301023363</v>
      </c>
      <c r="N58" s="425">
        <f t="shared" si="4"/>
        <v>5.4775457489862909</v>
      </c>
      <c r="O58" s="498">
        <v>6.9680523731587565</v>
      </c>
      <c r="P58" s="427">
        <f t="shared" si="5"/>
        <v>1.607827765977988</v>
      </c>
      <c r="Q58" s="426"/>
      <c r="R58" s="532">
        <f t="shared" si="6"/>
        <v>2.9322602237563451E-2</v>
      </c>
    </row>
    <row r="59" spans="1:18" s="6" customFormat="1" ht="15.75">
      <c r="A59" s="309">
        <v>54</v>
      </c>
      <c r="B59" s="306" t="s">
        <v>1377</v>
      </c>
      <c r="C59" s="818">
        <v>442.6</v>
      </c>
      <c r="D59" s="330"/>
      <c r="E59" s="330"/>
      <c r="F59" s="608">
        <f t="shared" si="2"/>
        <v>442.6</v>
      </c>
      <c r="G59" s="330">
        <v>11</v>
      </c>
      <c r="H59" s="433">
        <v>11</v>
      </c>
      <c r="I59" s="330"/>
      <c r="J59" s="330"/>
      <c r="K59" s="386">
        <f t="shared" si="0"/>
        <v>11</v>
      </c>
      <c r="L59" s="589">
        <f t="shared" si="3"/>
        <v>2.1239621548561497E-3</v>
      </c>
      <c r="M59" s="315">
        <f t="shared" si="1"/>
        <v>4.8195462444487349</v>
      </c>
      <c r="N59" s="425">
        <f t="shared" si="4"/>
        <v>1.7721471540837999</v>
      </c>
      <c r="O59" s="498">
        <v>2.2543698854337153</v>
      </c>
      <c r="P59" s="427">
        <f t="shared" si="5"/>
        <v>0.5201795713458196</v>
      </c>
      <c r="Q59" s="426"/>
      <c r="R59" s="532">
        <f t="shared" si="6"/>
        <v>2.1161868177388313E-2</v>
      </c>
    </row>
    <row r="60" spans="1:18" s="6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609">
        <f t="shared" ref="F60:F66" si="7">C60+D60+E60</f>
        <v>7013.2</v>
      </c>
      <c r="G60" s="284">
        <v>342</v>
      </c>
      <c r="H60" s="599">
        <v>226</v>
      </c>
      <c r="I60" s="284"/>
      <c r="J60" s="284"/>
      <c r="K60" s="284">
        <f t="shared" ref="K60:K66" si="8">H60+I60+J60</f>
        <v>226</v>
      </c>
      <c r="L60" s="589">
        <f t="shared" si="3"/>
        <v>4.3637767908862715E-2</v>
      </c>
      <c r="M60" s="315">
        <f t="shared" si="1"/>
        <v>99.019768295037665</v>
      </c>
      <c r="N60" s="425">
        <f t="shared" si="4"/>
        <v>36.409568802085353</v>
      </c>
      <c r="O60" s="498">
        <v>46.317054009819962</v>
      </c>
      <c r="P60" s="426">
        <f t="shared" ref="P60:P67" si="9">L60*244.91</f>
        <v>10.687325738559567</v>
      </c>
      <c r="Q60" s="426"/>
      <c r="R60" s="532">
        <f t="shared" si="6"/>
        <v>2.7438789261036694E-2</v>
      </c>
    </row>
    <row r="61" spans="1:18" s="6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609">
        <f t="shared" si="7"/>
        <v>8402.66</v>
      </c>
      <c r="G61" s="284">
        <v>342</v>
      </c>
      <c r="H61" s="599">
        <v>342</v>
      </c>
      <c r="I61" s="284"/>
      <c r="J61" s="284"/>
      <c r="K61" s="284">
        <f t="shared" si="8"/>
        <v>342</v>
      </c>
      <c r="L61" s="589">
        <f t="shared" si="3"/>
        <v>6.6035914269163928E-2</v>
      </c>
      <c r="M61" s="315">
        <f t="shared" si="1"/>
        <v>149.84407414558794</v>
      </c>
      <c r="N61" s="425">
        <f t="shared" si="4"/>
        <v>55.097666063332689</v>
      </c>
      <c r="O61" s="498">
        <v>70.090409165302788</v>
      </c>
      <c r="P61" s="426">
        <f t="shared" si="9"/>
        <v>16.172855763660937</v>
      </c>
      <c r="Q61" s="426"/>
      <c r="R61" s="532">
        <f t="shared" si="6"/>
        <v>3.4656288025206823E-2</v>
      </c>
    </row>
    <row r="62" spans="1:18" s="6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609">
        <f t="shared" si="7"/>
        <v>2601.63</v>
      </c>
      <c r="G62" s="285">
        <v>54</v>
      </c>
      <c r="H62" s="601">
        <v>54</v>
      </c>
      <c r="I62" s="285"/>
      <c r="J62" s="285"/>
      <c r="K62" s="284">
        <f t="shared" si="8"/>
        <v>54</v>
      </c>
      <c r="L62" s="589">
        <f t="shared" si="3"/>
        <v>1.0426723305657463E-2</v>
      </c>
      <c r="M62" s="315">
        <f t="shared" si="1"/>
        <v>23.659590654566522</v>
      </c>
      <c r="N62" s="425">
        <f t="shared" si="4"/>
        <v>8.6996314836841098</v>
      </c>
      <c r="O62" s="498">
        <v>11.066906710310965</v>
      </c>
      <c r="P62" s="426">
        <f t="shared" si="9"/>
        <v>2.5536088047885692</v>
      </c>
      <c r="Q62" s="426"/>
      <c r="R62" s="532">
        <f t="shared" si="6"/>
        <v>1.7673434598059739E-2</v>
      </c>
    </row>
    <row r="63" spans="1:18" s="6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609">
        <f t="shared" si="7"/>
        <v>2594.2600000000002</v>
      </c>
      <c r="G63" s="285">
        <v>54</v>
      </c>
      <c r="H63" s="601">
        <v>54</v>
      </c>
      <c r="I63" s="285"/>
      <c r="J63" s="285"/>
      <c r="K63" s="284">
        <f t="shared" si="8"/>
        <v>54</v>
      </c>
      <c r="L63" s="589">
        <f t="shared" si="3"/>
        <v>1.0426723305657463E-2</v>
      </c>
      <c r="M63" s="315">
        <f t="shared" si="1"/>
        <v>23.659590654566522</v>
      </c>
      <c r="N63" s="425">
        <f t="shared" si="4"/>
        <v>8.6996314836841098</v>
      </c>
      <c r="O63" s="498">
        <v>11.066906710310965</v>
      </c>
      <c r="P63" s="426">
        <f t="shared" si="9"/>
        <v>2.5536088047885692</v>
      </c>
      <c r="Q63" s="426"/>
      <c r="R63" s="532">
        <f t="shared" si="6"/>
        <v>1.772364283200225E-2</v>
      </c>
    </row>
    <row r="64" spans="1:18" s="6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609">
        <f t="shared" si="7"/>
        <v>2653.52</v>
      </c>
      <c r="G64" s="285">
        <v>72</v>
      </c>
      <c r="H64" s="601">
        <v>72</v>
      </c>
      <c r="I64" s="285"/>
      <c r="J64" s="285"/>
      <c r="K64" s="284">
        <f t="shared" si="8"/>
        <v>72</v>
      </c>
      <c r="L64" s="589">
        <f t="shared" si="3"/>
        <v>1.3902297740876618E-2</v>
      </c>
      <c r="M64" s="315">
        <f t="shared" si="1"/>
        <v>31.546120872755363</v>
      </c>
      <c r="N64" s="425">
        <f t="shared" si="4"/>
        <v>11.599508644912149</v>
      </c>
      <c r="O64" s="498">
        <v>14.755875613747955</v>
      </c>
      <c r="P64" s="426">
        <f t="shared" si="9"/>
        <v>3.4048117397180926</v>
      </c>
      <c r="Q64" s="426"/>
      <c r="R64" s="532">
        <f t="shared" si="6"/>
        <v>2.310377041482015E-2</v>
      </c>
    </row>
    <row r="65" spans="1:20" s="6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609">
        <f t="shared" si="7"/>
        <v>2150.9</v>
      </c>
      <c r="G65" s="285">
        <v>40</v>
      </c>
      <c r="H65" s="601">
        <v>40</v>
      </c>
      <c r="I65" s="285"/>
      <c r="J65" s="285"/>
      <c r="K65" s="284">
        <f t="shared" si="8"/>
        <v>40</v>
      </c>
      <c r="L65" s="589">
        <f t="shared" si="3"/>
        <v>7.7234987449314538E-3</v>
      </c>
      <c r="M65" s="315">
        <f t="shared" si="1"/>
        <v>17.52562270708631</v>
      </c>
      <c r="N65" s="425">
        <f t="shared" si="4"/>
        <v>6.4441714693956369</v>
      </c>
      <c r="O65" s="498">
        <v>8.197708674304419</v>
      </c>
      <c r="P65" s="426">
        <f t="shared" si="9"/>
        <v>1.8915620776211624</v>
      </c>
      <c r="Q65" s="426"/>
      <c r="R65" s="532">
        <f t="shared" si="6"/>
        <v>1.5834797028410209E-2</v>
      </c>
    </row>
    <row r="66" spans="1:20" s="6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609">
        <f t="shared" si="7"/>
        <v>3353.7</v>
      </c>
      <c r="G66" s="284">
        <v>114</v>
      </c>
      <c r="H66" s="599">
        <v>114</v>
      </c>
      <c r="I66" s="284"/>
      <c r="J66" s="284"/>
      <c r="K66" s="284">
        <f t="shared" si="8"/>
        <v>114</v>
      </c>
      <c r="L66" s="589">
        <f t="shared" si="3"/>
        <v>2.2011971423054645E-2</v>
      </c>
      <c r="M66" s="315">
        <f t="shared" si="1"/>
        <v>49.948024715195992</v>
      </c>
      <c r="N66" s="425">
        <f t="shared" si="4"/>
        <v>18.365888687777566</v>
      </c>
      <c r="O66" s="498">
        <v>23.363469721767594</v>
      </c>
      <c r="P66" s="426">
        <f t="shared" si="9"/>
        <v>5.3909519212203127</v>
      </c>
      <c r="Q66" s="426"/>
      <c r="R66" s="532">
        <f t="shared" si="6"/>
        <v>2.8943654783063915E-2</v>
      </c>
    </row>
    <row r="67" spans="1:20" s="6" customFormat="1" ht="15.75">
      <c r="A67" s="378"/>
      <c r="B67" s="163" t="s">
        <v>749</v>
      </c>
      <c r="C67" s="313">
        <f t="shared" ref="C67:K67" si="10">SUM(C6:C66)</f>
        <v>249781.08</v>
      </c>
      <c r="D67" s="313">
        <f t="shared" si="10"/>
        <v>1319.2</v>
      </c>
      <c r="E67" s="313">
        <f t="shared" si="10"/>
        <v>1116.55</v>
      </c>
      <c r="F67" s="610">
        <f t="shared" si="10"/>
        <v>252216.83000000002</v>
      </c>
      <c r="G67" s="313">
        <f t="shared" si="10"/>
        <v>5275</v>
      </c>
      <c r="H67" s="434">
        <f t="shared" si="10"/>
        <v>5159</v>
      </c>
      <c r="I67" s="313">
        <f t="shared" si="10"/>
        <v>7</v>
      </c>
      <c r="J67" s="313">
        <f t="shared" si="10"/>
        <v>13</v>
      </c>
      <c r="K67" s="313">
        <f t="shared" si="10"/>
        <v>5179</v>
      </c>
      <c r="L67" s="589">
        <f>1/5179*K67</f>
        <v>1</v>
      </c>
      <c r="M67" s="315">
        <f>L67*2269.13</f>
        <v>2269.13</v>
      </c>
      <c r="N67" s="589">
        <f t="shared" si="4"/>
        <v>834.35910100000012</v>
      </c>
      <c r="O67" s="498">
        <f>SUM(O6:O66)</f>
        <v>1061.3983306055648</v>
      </c>
      <c r="P67" s="426">
        <f t="shared" si="9"/>
        <v>244.91</v>
      </c>
      <c r="Q67" s="426"/>
      <c r="R67" s="532">
        <f t="shared" si="6"/>
        <v>1.765464954994015E-2</v>
      </c>
    </row>
    <row r="68" spans="1:20" s="209" customFormat="1" ht="21" thickBot="1">
      <c r="A68" s="577" t="s">
        <v>984</v>
      </c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315">
        <f>L68*2077.52</f>
        <v>0</v>
      </c>
      <c r="N68" s="507"/>
      <c r="O68" s="498"/>
      <c r="P68" s="508"/>
      <c r="Q68" s="508"/>
      <c r="R68" s="532" t="e">
        <f t="shared" si="6"/>
        <v>#DIV/0!</v>
      </c>
    </row>
    <row r="69" spans="1:20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611">
        <f t="shared" si="2"/>
        <v>6328.85</v>
      </c>
      <c r="G69" s="437">
        <v>367</v>
      </c>
      <c r="H69" s="820">
        <v>108</v>
      </c>
      <c r="I69" s="386"/>
      <c r="J69" s="386"/>
      <c r="K69" s="142">
        <f t="shared" si="0"/>
        <v>108</v>
      </c>
      <c r="L69" s="589">
        <f t="shared" ref="L69:L89" si="11">1/2063*K69</f>
        <v>5.2350945225399903E-2</v>
      </c>
      <c r="M69" s="793">
        <f t="shared" ref="M69:M89" si="12">L69*2269.3</f>
        <v>118.80000000000001</v>
      </c>
      <c r="N69" s="590">
        <f t="shared" si="4"/>
        <v>43.682760000000009</v>
      </c>
      <c r="O69" s="498">
        <v>49.177309090909084</v>
      </c>
      <c r="P69" s="426">
        <f t="shared" ref="P69:P87" si="13">L69*244.91</f>
        <v>12.82126999515269</v>
      </c>
      <c r="Q69" s="426"/>
      <c r="R69" s="532">
        <f t="shared" si="6"/>
        <v>3.5469530655026074E-2</v>
      </c>
      <c r="S69" s="6" t="s">
        <v>549</v>
      </c>
    </row>
    <row r="70" spans="1:20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611">
        <f t="shared" si="2"/>
        <v>7565.74</v>
      </c>
      <c r="G70" s="438">
        <v>400</v>
      </c>
      <c r="H70" s="730">
        <v>165</v>
      </c>
      <c r="I70" s="330">
        <v>1</v>
      </c>
      <c r="J70" s="330"/>
      <c r="K70" s="142">
        <f t="shared" si="0"/>
        <v>166</v>
      </c>
      <c r="L70" s="589">
        <f t="shared" si="11"/>
        <v>8.0465341735336898E-2</v>
      </c>
      <c r="M70" s="793">
        <f t="shared" si="12"/>
        <v>182.60000000000005</v>
      </c>
      <c r="N70" s="425">
        <f t="shared" si="4"/>
        <v>67.142020000000031</v>
      </c>
      <c r="O70" s="498">
        <v>75.587345454545456</v>
      </c>
      <c r="P70" s="427">
        <f t="shared" si="13"/>
        <v>19.706766844401358</v>
      </c>
      <c r="Q70" s="426"/>
      <c r="R70" s="532">
        <f t="shared" si="6"/>
        <v>4.5895647193734755E-2</v>
      </c>
      <c r="S70" s="6" t="s">
        <v>550</v>
      </c>
    </row>
    <row r="71" spans="1:20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611">
        <f t="shared" si="2"/>
        <v>7217.2</v>
      </c>
      <c r="G71" s="438">
        <v>408</v>
      </c>
      <c r="H71" s="730">
        <v>120</v>
      </c>
      <c r="I71" s="330"/>
      <c r="J71" s="330"/>
      <c r="K71" s="142">
        <f t="shared" si="0"/>
        <v>120</v>
      </c>
      <c r="L71" s="589">
        <f t="shared" si="11"/>
        <v>5.8167716917111006E-2</v>
      </c>
      <c r="M71" s="793">
        <f t="shared" si="12"/>
        <v>132.00000000000003</v>
      </c>
      <c r="N71" s="425">
        <f t="shared" si="4"/>
        <v>48.536400000000015</v>
      </c>
      <c r="O71" s="498">
        <v>54.641454545454543</v>
      </c>
      <c r="P71" s="427">
        <f t="shared" si="13"/>
        <v>14.245855550169656</v>
      </c>
      <c r="Q71" s="426"/>
      <c r="R71" s="532">
        <f t="shared" ref="R71:R134" si="14">(M71+N71+O71+P71)/C71</f>
        <v>3.455962285867431E-2</v>
      </c>
      <c r="S71" s="769" t="s">
        <v>551</v>
      </c>
      <c r="T71" s="767"/>
    </row>
    <row r="72" spans="1:20" s="259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611">
        <f t="shared" si="2"/>
        <v>6435.2</v>
      </c>
      <c r="G72" s="438">
        <v>369</v>
      </c>
      <c r="H72" s="821">
        <v>106</v>
      </c>
      <c r="I72" s="822"/>
      <c r="J72" s="822">
        <v>1</v>
      </c>
      <c r="K72" s="142">
        <f t="shared" si="0"/>
        <v>107</v>
      </c>
      <c r="L72" s="589">
        <f t="shared" si="11"/>
        <v>5.1866214251090649E-2</v>
      </c>
      <c r="M72" s="793">
        <f t="shared" si="12"/>
        <v>117.70000000000002</v>
      </c>
      <c r="N72" s="425">
        <f t="shared" si="4"/>
        <v>43.278290000000013</v>
      </c>
      <c r="O72" s="498">
        <v>48.721963636363633</v>
      </c>
      <c r="P72" s="922">
        <f t="shared" si="13"/>
        <v>12.702554532234611</v>
      </c>
      <c r="Q72" s="930"/>
      <c r="R72" s="532">
        <f t="shared" si="14"/>
        <v>3.4955254721980078E-2</v>
      </c>
      <c r="S72" s="768"/>
      <c r="T72" s="768"/>
    </row>
    <row r="73" spans="1:20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611">
        <f t="shared" si="2"/>
        <v>8881.51</v>
      </c>
      <c r="G73" s="438">
        <v>464</v>
      </c>
      <c r="H73" s="730">
        <v>144</v>
      </c>
      <c r="I73" s="330"/>
      <c r="J73" s="330"/>
      <c r="K73" s="142">
        <f t="shared" si="0"/>
        <v>144</v>
      </c>
      <c r="L73" s="589">
        <f t="shared" si="11"/>
        <v>6.9801260300533213E-2</v>
      </c>
      <c r="M73" s="793">
        <f t="shared" si="12"/>
        <v>158.40000000000003</v>
      </c>
      <c r="N73" s="425">
        <f t="shared" si="4"/>
        <v>58.243680000000019</v>
      </c>
      <c r="O73" s="498">
        <v>65.569745454545455</v>
      </c>
      <c r="P73" s="427">
        <f t="shared" si="13"/>
        <v>17.09502666020359</v>
      </c>
      <c r="Q73" s="426"/>
      <c r="R73" s="532">
        <f t="shared" si="14"/>
        <v>3.3700176221695306E-2</v>
      </c>
    </row>
    <row r="74" spans="1:20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611">
        <f t="shared" si="2"/>
        <v>7938.92</v>
      </c>
      <c r="G74" s="438">
        <v>444</v>
      </c>
      <c r="H74" s="730">
        <v>213</v>
      </c>
      <c r="I74" s="330"/>
      <c r="J74" s="330"/>
      <c r="K74" s="142">
        <f t="shared" si="0"/>
        <v>213</v>
      </c>
      <c r="L74" s="589">
        <f t="shared" si="11"/>
        <v>0.10324769752787204</v>
      </c>
      <c r="M74" s="793">
        <f t="shared" si="12"/>
        <v>234.30000000000004</v>
      </c>
      <c r="N74" s="425">
        <f t="shared" si="4"/>
        <v>86.152110000000022</v>
      </c>
      <c r="O74" s="498">
        <v>96.988581818181814</v>
      </c>
      <c r="P74" s="427">
        <f t="shared" si="13"/>
        <v>25.28639360155114</v>
      </c>
      <c r="Q74" s="426"/>
      <c r="R74" s="532">
        <f t="shared" si="14"/>
        <v>5.5766664158315368E-2</v>
      </c>
    </row>
    <row r="75" spans="1:20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611">
        <f t="shared" si="2"/>
        <v>7102.99</v>
      </c>
      <c r="G75" s="438">
        <v>393</v>
      </c>
      <c r="H75" s="730">
        <v>108</v>
      </c>
      <c r="I75" s="330"/>
      <c r="J75" s="330"/>
      <c r="K75" s="142">
        <f t="shared" si="0"/>
        <v>108</v>
      </c>
      <c r="L75" s="589">
        <f t="shared" si="11"/>
        <v>5.2350945225399903E-2</v>
      </c>
      <c r="M75" s="793">
        <f t="shared" si="12"/>
        <v>118.80000000000001</v>
      </c>
      <c r="N75" s="425">
        <f t="shared" si="4"/>
        <v>43.682760000000009</v>
      </c>
      <c r="O75" s="498">
        <v>49.177309090909084</v>
      </c>
      <c r="P75" s="427">
        <f t="shared" si="13"/>
        <v>12.82126999515269</v>
      </c>
      <c r="Q75" s="426"/>
      <c r="R75" s="532">
        <f t="shared" si="14"/>
        <v>3.1603780814285505E-2</v>
      </c>
    </row>
    <row r="76" spans="1:20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611">
        <f t="shared" si="2"/>
        <v>2982.2</v>
      </c>
      <c r="G76" s="438">
        <v>372</v>
      </c>
      <c r="H76" s="730">
        <v>55</v>
      </c>
      <c r="I76" s="330"/>
      <c r="J76" s="330"/>
      <c r="K76" s="142">
        <f t="shared" si="0"/>
        <v>55</v>
      </c>
      <c r="L76" s="589">
        <f t="shared" si="11"/>
        <v>2.6660203587009212E-2</v>
      </c>
      <c r="M76" s="793">
        <f t="shared" si="12"/>
        <v>60.500000000000007</v>
      </c>
      <c r="N76" s="425">
        <f t="shared" si="4"/>
        <v>22.245850000000004</v>
      </c>
      <c r="O76" s="498">
        <v>25.043999999999997</v>
      </c>
      <c r="P76" s="427">
        <f t="shared" si="13"/>
        <v>6.5293504604944257</v>
      </c>
      <c r="Q76" s="426"/>
      <c r="R76" s="532">
        <f t="shared" si="14"/>
        <v>3.8333847649552159E-2</v>
      </c>
    </row>
    <row r="77" spans="1:20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611">
        <f t="shared" si="2"/>
        <v>2528.85</v>
      </c>
      <c r="G77" s="438">
        <v>403</v>
      </c>
      <c r="H77" s="730">
        <v>43</v>
      </c>
      <c r="I77" s="330">
        <v>1</v>
      </c>
      <c r="J77" s="330"/>
      <c r="K77" s="142">
        <f t="shared" ref="K77:K142" si="15">H77+I77+J77</f>
        <v>44</v>
      </c>
      <c r="L77" s="589">
        <f t="shared" si="11"/>
        <v>2.132816286960737E-2</v>
      </c>
      <c r="M77" s="793">
        <f t="shared" si="12"/>
        <v>48.400000000000006</v>
      </c>
      <c r="N77" s="425">
        <f t="shared" si="4"/>
        <v>17.796680000000002</v>
      </c>
      <c r="O77" s="498">
        <v>20.0352</v>
      </c>
      <c r="P77" s="427">
        <f t="shared" si="13"/>
        <v>5.2234803683955411</v>
      </c>
      <c r="Q77" s="426"/>
      <c r="R77" s="532">
        <f t="shared" si="14"/>
        <v>3.6957633705809248E-2</v>
      </c>
    </row>
    <row r="78" spans="1:20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611">
        <f t="shared" ref="F78:F143" si="16">C78+D78+E78</f>
        <v>4250.83</v>
      </c>
      <c r="G78" s="438">
        <v>343</v>
      </c>
      <c r="H78" s="730">
        <v>72</v>
      </c>
      <c r="I78" s="330"/>
      <c r="J78" s="330"/>
      <c r="K78" s="142">
        <f t="shared" si="15"/>
        <v>72</v>
      </c>
      <c r="L78" s="589">
        <f t="shared" si="11"/>
        <v>3.4900630150266607E-2</v>
      </c>
      <c r="M78" s="793">
        <f t="shared" si="12"/>
        <v>79.200000000000017</v>
      </c>
      <c r="N78" s="425">
        <f t="shared" si="4"/>
        <v>29.121840000000009</v>
      </c>
      <c r="O78" s="498">
        <v>32.784872727272727</v>
      </c>
      <c r="P78" s="427">
        <f t="shared" si="13"/>
        <v>8.5475133301017951</v>
      </c>
      <c r="Q78" s="426"/>
      <c r="R78" s="532">
        <f t="shared" si="14"/>
        <v>3.5205883570355562E-2</v>
      </c>
    </row>
    <row r="79" spans="1:20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611">
        <f t="shared" si="16"/>
        <v>2862.08</v>
      </c>
      <c r="G79" s="438">
        <v>345</v>
      </c>
      <c r="H79" s="730">
        <v>69</v>
      </c>
      <c r="I79" s="330"/>
      <c r="J79" s="330"/>
      <c r="K79" s="142">
        <f t="shared" si="15"/>
        <v>69</v>
      </c>
      <c r="L79" s="589">
        <f t="shared" si="11"/>
        <v>3.3446437227338831E-2</v>
      </c>
      <c r="M79" s="793">
        <f t="shared" si="12"/>
        <v>75.90000000000002</v>
      </c>
      <c r="N79" s="425">
        <f t="shared" si="4"/>
        <v>27.90843000000001</v>
      </c>
      <c r="O79" s="498">
        <v>31.418836363636363</v>
      </c>
      <c r="P79" s="427">
        <f>L79*144.91</f>
        <v>4.8467232186136702</v>
      </c>
      <c r="Q79" s="426"/>
      <c r="R79" s="532">
        <f t="shared" si="14"/>
        <v>4.8941325742903788E-2</v>
      </c>
    </row>
    <row r="80" spans="1:20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611">
        <f t="shared" si="16"/>
        <v>6415.24</v>
      </c>
      <c r="G80" s="438">
        <v>347</v>
      </c>
      <c r="H80" s="730">
        <v>106</v>
      </c>
      <c r="I80" s="330"/>
      <c r="J80" s="330"/>
      <c r="K80" s="142">
        <f t="shared" si="15"/>
        <v>106</v>
      </c>
      <c r="L80" s="589">
        <f t="shared" si="11"/>
        <v>5.1381483276781388E-2</v>
      </c>
      <c r="M80" s="793">
        <f t="shared" si="12"/>
        <v>116.60000000000001</v>
      </c>
      <c r="N80" s="425">
        <f t="shared" ref="N80:N89" si="17">M80*0.3677</f>
        <v>42.873820000000009</v>
      </c>
      <c r="O80" s="498">
        <v>48.266618181818181</v>
      </c>
      <c r="P80" s="427">
        <f t="shared" si="13"/>
        <v>12.583839069316529</v>
      </c>
      <c r="Q80" s="426"/>
      <c r="R80" s="532">
        <f t="shared" si="14"/>
        <v>3.4632162589932271E-2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611">
        <f t="shared" si="16"/>
        <v>2523.4899999999998</v>
      </c>
      <c r="G81" s="438">
        <v>427</v>
      </c>
      <c r="H81" s="730">
        <v>40</v>
      </c>
      <c r="I81" s="330"/>
      <c r="J81" s="330"/>
      <c r="K81" s="142">
        <f t="shared" si="15"/>
        <v>40</v>
      </c>
      <c r="L81" s="589">
        <f t="shared" si="11"/>
        <v>1.9389238972370337E-2</v>
      </c>
      <c r="M81" s="793">
        <f t="shared" si="12"/>
        <v>44.000000000000007</v>
      </c>
      <c r="N81" s="425">
        <f t="shared" si="17"/>
        <v>16.178800000000003</v>
      </c>
      <c r="O81" s="498">
        <v>18.21381818181818</v>
      </c>
      <c r="P81" s="427">
        <f t="shared" si="13"/>
        <v>4.7486185167232193</v>
      </c>
      <c r="Q81" s="426"/>
      <c r="R81" s="532">
        <f t="shared" si="14"/>
        <v>3.2946925368652707E-2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611">
        <f t="shared" si="16"/>
        <v>2727.04</v>
      </c>
      <c r="G82" s="438">
        <v>416</v>
      </c>
      <c r="H82" s="730">
        <v>75</v>
      </c>
      <c r="I82" s="330"/>
      <c r="J82" s="330"/>
      <c r="K82" s="142">
        <f t="shared" si="15"/>
        <v>75</v>
      </c>
      <c r="L82" s="589">
        <f t="shared" si="11"/>
        <v>3.6354823073194376E-2</v>
      </c>
      <c r="M82" s="793">
        <f t="shared" si="12"/>
        <v>82.5</v>
      </c>
      <c r="N82" s="425">
        <f t="shared" si="17"/>
        <v>30.335250000000002</v>
      </c>
      <c r="O82" s="498">
        <v>34.150909090909089</v>
      </c>
      <c r="P82" s="427">
        <f t="shared" si="13"/>
        <v>8.9036597188560336</v>
      </c>
      <c r="Q82" s="426"/>
      <c r="R82" s="532">
        <f t="shared" si="14"/>
        <v>5.716447826572589E-2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611">
        <f t="shared" si="16"/>
        <v>11075.779999999999</v>
      </c>
      <c r="G83" s="438">
        <v>504</v>
      </c>
      <c r="H83" s="730">
        <v>179</v>
      </c>
      <c r="I83" s="330"/>
      <c r="J83" s="330"/>
      <c r="K83" s="142">
        <f t="shared" si="15"/>
        <v>179</v>
      </c>
      <c r="L83" s="589">
        <f t="shared" si="11"/>
        <v>8.6766844401357249E-2</v>
      </c>
      <c r="M83" s="793">
        <f t="shared" si="12"/>
        <v>196.90000000000003</v>
      </c>
      <c r="N83" s="425">
        <f t="shared" si="17"/>
        <v>72.400130000000019</v>
      </c>
      <c r="O83" s="498">
        <v>81.506836363636367</v>
      </c>
      <c r="P83" s="427">
        <f t="shared" si="13"/>
        <v>21.250067862336405</v>
      </c>
      <c r="Q83" s="426"/>
      <c r="R83" s="532">
        <f t="shared" si="14"/>
        <v>3.3808060916600741E-2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611">
        <f t="shared" si="16"/>
        <v>6438.12</v>
      </c>
      <c r="G84" s="438">
        <v>434</v>
      </c>
      <c r="H84" s="730">
        <v>107</v>
      </c>
      <c r="I84" s="330"/>
      <c r="J84" s="330"/>
      <c r="K84" s="142">
        <f t="shared" si="15"/>
        <v>107</v>
      </c>
      <c r="L84" s="589">
        <f t="shared" si="11"/>
        <v>5.1866214251090649E-2</v>
      </c>
      <c r="M84" s="793">
        <f t="shared" si="12"/>
        <v>117.70000000000002</v>
      </c>
      <c r="N84" s="425">
        <f t="shared" si="17"/>
        <v>43.278290000000013</v>
      </c>
      <c r="O84" s="498">
        <v>48.721963636363633</v>
      </c>
      <c r="P84" s="427">
        <f t="shared" si="13"/>
        <v>12.702554532234611</v>
      </c>
      <c r="Q84" s="426"/>
      <c r="R84" s="532">
        <f t="shared" si="14"/>
        <v>3.4544682014097015E-2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611">
        <f t="shared" si="16"/>
        <v>6322.5</v>
      </c>
      <c r="G85" s="438">
        <v>452</v>
      </c>
      <c r="H85" s="730">
        <v>109</v>
      </c>
      <c r="I85" s="330"/>
      <c r="J85" s="330"/>
      <c r="K85" s="142">
        <f t="shared" si="15"/>
        <v>109</v>
      </c>
      <c r="L85" s="589">
        <f t="shared" si="11"/>
        <v>5.2835676199709164E-2</v>
      </c>
      <c r="M85" s="793">
        <f t="shared" si="12"/>
        <v>119.90000000000002</v>
      </c>
      <c r="N85" s="425">
        <f t="shared" si="17"/>
        <v>44.087230000000012</v>
      </c>
      <c r="O85" s="498">
        <v>49.632654545454542</v>
      </c>
      <c r="P85" s="427">
        <f t="shared" si="13"/>
        <v>12.939985458070771</v>
      </c>
      <c r="Q85" s="426"/>
      <c r="R85" s="532">
        <f t="shared" si="14"/>
        <v>3.5833905892214364E-2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611">
        <f t="shared" si="16"/>
        <v>3207.6099999999997</v>
      </c>
      <c r="G86" s="438">
        <v>524</v>
      </c>
      <c r="H86" s="730">
        <v>53</v>
      </c>
      <c r="I86" s="330"/>
      <c r="J86" s="330"/>
      <c r="K86" s="142">
        <f t="shared" si="15"/>
        <v>53</v>
      </c>
      <c r="L86" s="589">
        <f t="shared" si="11"/>
        <v>2.5690741638390694E-2</v>
      </c>
      <c r="M86" s="793">
        <f t="shared" si="12"/>
        <v>58.300000000000004</v>
      </c>
      <c r="N86" s="425">
        <f t="shared" si="17"/>
        <v>21.436910000000005</v>
      </c>
      <c r="O86" s="498">
        <v>24.133309090909091</v>
      </c>
      <c r="P86" s="427">
        <f t="shared" si="13"/>
        <v>6.2919195346582644</v>
      </c>
      <c r="Q86" s="426"/>
      <c r="R86" s="532">
        <f t="shared" si="14"/>
        <v>3.5966495465282154E-2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611">
        <f t="shared" si="16"/>
        <v>2997.37</v>
      </c>
      <c r="G87" s="689">
        <v>512</v>
      </c>
      <c r="H87" s="730">
        <v>50</v>
      </c>
      <c r="I87" s="330"/>
      <c r="J87" s="330"/>
      <c r="K87" s="142">
        <f t="shared" si="15"/>
        <v>50</v>
      </c>
      <c r="L87" s="589">
        <f t="shared" si="11"/>
        <v>2.4236548715462918E-2</v>
      </c>
      <c r="M87" s="793">
        <f t="shared" si="12"/>
        <v>55.000000000000007</v>
      </c>
      <c r="N87" s="425">
        <f t="shared" si="17"/>
        <v>20.223500000000005</v>
      </c>
      <c r="O87" s="498">
        <v>22.767272727272729</v>
      </c>
      <c r="P87" s="427">
        <f t="shared" si="13"/>
        <v>5.9357731459040233</v>
      </c>
      <c r="Q87" s="426"/>
      <c r="R87" s="532">
        <f t="shared" si="14"/>
        <v>3.4672578251325921E-2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611">
        <f t="shared" si="16"/>
        <v>6397.6</v>
      </c>
      <c r="G88" s="234">
        <v>108</v>
      </c>
      <c r="H88" s="124">
        <v>108</v>
      </c>
      <c r="I88" s="234"/>
      <c r="J88" s="234"/>
      <c r="K88" s="234">
        <f>H88+I88+J88</f>
        <v>108</v>
      </c>
      <c r="L88" s="589">
        <f t="shared" si="11"/>
        <v>5.2350945225399903E-2</v>
      </c>
      <c r="M88" s="793">
        <f t="shared" si="12"/>
        <v>118.80000000000001</v>
      </c>
      <c r="N88" s="425">
        <f t="shared" si="17"/>
        <v>43.682760000000009</v>
      </c>
      <c r="O88" s="498">
        <v>24.133309090909091</v>
      </c>
      <c r="P88" s="426">
        <f>L88*244.91</f>
        <v>12.82126999515269</v>
      </c>
      <c r="Q88" s="426"/>
      <c r="R88" s="532">
        <f t="shared" si="14"/>
        <v>3.1173774397596252E-2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798">
        <f t="shared" si="16"/>
        <v>566.29999999999995</v>
      </c>
      <c r="G89" s="799"/>
      <c r="H89" s="800">
        <v>30</v>
      </c>
      <c r="I89" s="799"/>
      <c r="J89" s="799"/>
      <c r="K89" s="234">
        <v>30</v>
      </c>
      <c r="L89" s="589">
        <f t="shared" si="11"/>
        <v>1.4541929229277752E-2</v>
      </c>
      <c r="M89" s="793">
        <f t="shared" si="12"/>
        <v>33.000000000000007</v>
      </c>
      <c r="N89" s="425">
        <f t="shared" si="17"/>
        <v>12.134100000000004</v>
      </c>
      <c r="O89" s="498">
        <v>0</v>
      </c>
      <c r="P89" s="426">
        <f>L89*244.91</f>
        <v>3.5614638875424141</v>
      </c>
      <c r="Q89" s="426"/>
      <c r="R89" s="532">
        <f t="shared" si="14"/>
        <v>8.5988987970232092E-2</v>
      </c>
      <c r="S89" s="6">
        <v>2</v>
      </c>
    </row>
    <row r="90" spans="1:19" s="69" customFormat="1" ht="16.5" thickBot="1">
      <c r="A90" s="190"/>
      <c r="B90" s="163" t="s">
        <v>749</v>
      </c>
      <c r="C90" s="313">
        <f>SUM(C69:C89)</f>
        <v>112321.67</v>
      </c>
      <c r="D90" s="313">
        <f t="shared" ref="D90:J90" si="18">SUM(D69:D88)</f>
        <v>0</v>
      </c>
      <c r="E90" s="313">
        <f t="shared" si="18"/>
        <v>443.75</v>
      </c>
      <c r="F90" s="610">
        <f>SUM(F69:F89)</f>
        <v>112765.42</v>
      </c>
      <c r="G90" s="313">
        <f t="shared" si="18"/>
        <v>8032</v>
      </c>
      <c r="H90" s="434">
        <f>SUM(H69:H89)</f>
        <v>2060</v>
      </c>
      <c r="I90" s="313">
        <f t="shared" si="18"/>
        <v>2</v>
      </c>
      <c r="J90" s="313">
        <f t="shared" si="18"/>
        <v>1</v>
      </c>
      <c r="K90" s="770">
        <f>H90+I90+J90</f>
        <v>2063</v>
      </c>
      <c r="L90" s="589">
        <f>1/2063*K90</f>
        <v>1</v>
      </c>
      <c r="M90" s="793">
        <f>L90*2269.3</f>
        <v>2269.3000000000002</v>
      </c>
      <c r="N90" s="315">
        <f>SUM(N69:N88)</f>
        <v>822.28751000000022</v>
      </c>
      <c r="O90" s="498">
        <f>SUM(O70:O89)</f>
        <v>851.49599999999987</v>
      </c>
      <c r="P90" s="426">
        <f>L90*244.91</f>
        <v>244.91</v>
      </c>
      <c r="Q90" s="426"/>
      <c r="R90" s="532">
        <f t="shared" si="14"/>
        <v>3.7285712632299718E-2</v>
      </c>
    </row>
    <row r="91" spans="1:19" s="209" customFormat="1" ht="16.5" thickBot="1">
      <c r="A91" s="137" t="s">
        <v>50</v>
      </c>
      <c r="B91" s="436"/>
      <c r="C91" s="436"/>
      <c r="D91" s="436"/>
      <c r="E91" s="436"/>
      <c r="F91" s="608">
        <f t="shared" si="16"/>
        <v>0</v>
      </c>
      <c r="G91" s="436"/>
      <c r="H91" s="423"/>
      <c r="I91" s="436"/>
      <c r="J91" s="436"/>
      <c r="K91" s="386">
        <f t="shared" si="15"/>
        <v>0</v>
      </c>
      <c r="L91" s="598"/>
      <c r="M91" s="315">
        <f>L91*2077.52</f>
        <v>0</v>
      </c>
      <c r="N91" s="596"/>
      <c r="O91" s="498">
        <v>0</v>
      </c>
      <c r="P91" s="566"/>
      <c r="Q91" s="931"/>
      <c r="R91" s="532" t="e">
        <f t="shared" si="14"/>
        <v>#DIV/0!</v>
      </c>
    </row>
    <row r="92" spans="1:19" s="6" customFormat="1" ht="15.75">
      <c r="A92" s="275">
        <v>1</v>
      </c>
      <c r="B92" s="249" t="s">
        <v>51</v>
      </c>
      <c r="C92" s="157">
        <v>478.7</v>
      </c>
      <c r="D92" s="157">
        <v>165.3</v>
      </c>
      <c r="E92" s="157">
        <v>45.3</v>
      </c>
      <c r="F92" s="611">
        <f t="shared" si="16"/>
        <v>689.3</v>
      </c>
      <c r="G92" s="18">
        <v>163.19999999999999</v>
      </c>
      <c r="H92" s="827">
        <v>10</v>
      </c>
      <c r="I92" s="330">
        <v>1</v>
      </c>
      <c r="J92" s="330">
        <v>1</v>
      </c>
      <c r="K92" s="142">
        <f t="shared" si="15"/>
        <v>12</v>
      </c>
      <c r="L92" s="589">
        <f t="shared" ref="L92:L155" si="19">1/4989*K92</f>
        <v>2.4052916416115455E-3</v>
      </c>
      <c r="M92" s="315">
        <f>L92*2269.13</f>
        <v>5.457919422730007</v>
      </c>
      <c r="N92" s="591">
        <f t="shared" ref="N92:N155" si="20">M92*0.3677</f>
        <v>2.0068769717378236</v>
      </c>
      <c r="O92" s="498">
        <v>2.1781901014702836</v>
      </c>
      <c r="P92" s="426">
        <f t="shared" ref="P92:P155" si="21">L92*244.91</f>
        <v>0.58907997594708361</v>
      </c>
      <c r="Q92" s="426">
        <f>P92*1.219</f>
        <v>0.71808849067949498</v>
      </c>
      <c r="R92" s="532">
        <f t="shared" si="14"/>
        <v>2.1374694948579898E-2</v>
      </c>
      <c r="S92" s="6" t="s">
        <v>13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157"/>
      <c r="E93" s="157">
        <v>39.9</v>
      </c>
      <c r="F93" s="611">
        <f t="shared" si="16"/>
        <v>356.29999999999995</v>
      </c>
      <c r="G93" s="18">
        <v>95.9</v>
      </c>
      <c r="H93" s="827">
        <v>7</v>
      </c>
      <c r="I93" s="330"/>
      <c r="J93" s="330">
        <v>1</v>
      </c>
      <c r="K93" s="142">
        <f t="shared" si="15"/>
        <v>8</v>
      </c>
      <c r="L93" s="589">
        <f t="shared" si="19"/>
        <v>1.6035277610743637E-3</v>
      </c>
      <c r="M93" s="315">
        <f t="shared" ref="M93:M156" si="22">L93*2269.13</f>
        <v>3.6386129484866712</v>
      </c>
      <c r="N93" s="592">
        <f t="shared" si="20"/>
        <v>1.3379179811585491</v>
      </c>
      <c r="O93" s="498">
        <v>1.4521267343135225</v>
      </c>
      <c r="P93" s="427">
        <f t="shared" si="21"/>
        <v>0.39271998396472241</v>
      </c>
      <c r="Q93" s="426">
        <f t="shared" ref="Q93:Q156" si="23">P93*1.219</f>
        <v>0.47872566045299664</v>
      </c>
      <c r="R93" s="532">
        <f t="shared" si="14"/>
        <v>2.1559347812653177E-2</v>
      </c>
      <c r="S93" s="6" t="s">
        <v>550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157"/>
      <c r="E94" s="157"/>
      <c r="F94" s="611">
        <f t="shared" si="16"/>
        <v>425.13</v>
      </c>
      <c r="G94" s="18">
        <v>98.2</v>
      </c>
      <c r="H94" s="827">
        <v>9</v>
      </c>
      <c r="I94" s="330"/>
      <c r="J94" s="330"/>
      <c r="K94" s="142">
        <f t="shared" si="15"/>
        <v>9</v>
      </c>
      <c r="L94" s="589">
        <f t="shared" si="19"/>
        <v>1.8039687312086591E-3</v>
      </c>
      <c r="M94" s="315">
        <f t="shared" si="22"/>
        <v>4.093439567047505</v>
      </c>
      <c r="N94" s="592">
        <f t="shared" si="20"/>
        <v>1.5051577288033677</v>
      </c>
      <c r="O94" s="498">
        <v>1.6336425761027129</v>
      </c>
      <c r="P94" s="427">
        <f t="shared" si="21"/>
        <v>0.44180998196031268</v>
      </c>
      <c r="Q94" s="426">
        <f t="shared" si="23"/>
        <v>0.53856636800962121</v>
      </c>
      <c r="R94" s="532">
        <f t="shared" si="14"/>
        <v>1.8051066388901978E-2</v>
      </c>
    </row>
    <row r="95" spans="1:19" s="6" customFormat="1" ht="15.75">
      <c r="A95" s="268">
        <v>4</v>
      </c>
      <c r="B95" s="176" t="s">
        <v>54</v>
      </c>
      <c r="C95" s="157">
        <v>690.66</v>
      </c>
      <c r="D95" s="157"/>
      <c r="E95" s="157"/>
      <c r="F95" s="611">
        <f t="shared" si="16"/>
        <v>690.66</v>
      </c>
      <c r="G95" s="18">
        <v>119.9</v>
      </c>
      <c r="H95" s="827">
        <v>12</v>
      </c>
      <c r="I95" s="330"/>
      <c r="J95" s="330"/>
      <c r="K95" s="142">
        <f t="shared" si="15"/>
        <v>12</v>
      </c>
      <c r="L95" s="589">
        <f t="shared" si="19"/>
        <v>2.4052916416115455E-3</v>
      </c>
      <c r="M95" s="315">
        <f t="shared" si="22"/>
        <v>5.457919422730007</v>
      </c>
      <c r="N95" s="592">
        <f t="shared" si="20"/>
        <v>2.0068769717378236</v>
      </c>
      <c r="O95" s="498">
        <v>2.1781901014702836</v>
      </c>
      <c r="P95" s="427">
        <f t="shared" si="21"/>
        <v>0.58907997594708361</v>
      </c>
      <c r="Q95" s="426">
        <f t="shared" si="23"/>
        <v>0.71808849067949498</v>
      </c>
      <c r="R95" s="532">
        <f t="shared" si="14"/>
        <v>1.4814911058820835E-2</v>
      </c>
    </row>
    <row r="96" spans="1:19" s="6" customFormat="1" ht="15.75">
      <c r="A96" s="268">
        <v>5</v>
      </c>
      <c r="B96" s="176" t="s">
        <v>55</v>
      </c>
      <c r="C96" s="157">
        <v>590.26</v>
      </c>
      <c r="D96" s="157"/>
      <c r="E96" s="157">
        <v>27.8</v>
      </c>
      <c r="F96" s="611">
        <f t="shared" si="16"/>
        <v>618.05999999999995</v>
      </c>
      <c r="G96" s="18">
        <v>142.30000000000001</v>
      </c>
      <c r="H96" s="827">
        <v>15</v>
      </c>
      <c r="I96" s="330"/>
      <c r="J96" s="330">
        <v>1</v>
      </c>
      <c r="K96" s="142">
        <f t="shared" si="15"/>
        <v>16</v>
      </c>
      <c r="L96" s="589">
        <f t="shared" si="19"/>
        <v>3.2070555221487274E-3</v>
      </c>
      <c r="M96" s="315">
        <f t="shared" si="22"/>
        <v>7.2772258969733423</v>
      </c>
      <c r="N96" s="592">
        <f t="shared" si="20"/>
        <v>2.6758359623170982</v>
      </c>
      <c r="O96" s="498">
        <v>2.9042534686270449</v>
      </c>
      <c r="P96" s="427">
        <f t="shared" si="21"/>
        <v>0.78543996792944482</v>
      </c>
      <c r="Q96" s="426">
        <f t="shared" si="23"/>
        <v>0.95745132090599328</v>
      </c>
      <c r="R96" s="532">
        <f t="shared" si="14"/>
        <v>2.3113128614249533E-2</v>
      </c>
    </row>
    <row r="97" spans="1:18" s="6" customFormat="1" ht="15.75">
      <c r="A97" s="268">
        <v>6</v>
      </c>
      <c r="B97" s="176" t="s">
        <v>56</v>
      </c>
      <c r="C97" s="157">
        <v>1277.7</v>
      </c>
      <c r="D97" s="157"/>
      <c r="E97" s="157">
        <v>49.7</v>
      </c>
      <c r="F97" s="611">
        <f t="shared" si="16"/>
        <v>1327.4</v>
      </c>
      <c r="G97" s="18">
        <v>259.60000000000002</v>
      </c>
      <c r="H97" s="827">
        <v>21</v>
      </c>
      <c r="I97" s="330"/>
      <c r="J97" s="330">
        <v>1</v>
      </c>
      <c r="K97" s="142">
        <f t="shared" si="15"/>
        <v>22</v>
      </c>
      <c r="L97" s="589">
        <f t="shared" si="19"/>
        <v>4.4097013429545001E-3</v>
      </c>
      <c r="M97" s="315">
        <f t="shared" si="22"/>
        <v>10.006185608338345</v>
      </c>
      <c r="N97" s="592">
        <f t="shared" si="20"/>
        <v>3.67927444818601</v>
      </c>
      <c r="O97" s="498">
        <v>3.9933485193621863</v>
      </c>
      <c r="P97" s="427">
        <f t="shared" si="21"/>
        <v>1.0799799559029866</v>
      </c>
      <c r="Q97" s="426">
        <f t="shared" si="23"/>
        <v>1.3164955662457407</v>
      </c>
      <c r="R97" s="532">
        <f t="shared" si="14"/>
        <v>1.4681684692642661E-2</v>
      </c>
    </row>
    <row r="98" spans="1:18" s="6" customFormat="1" ht="15.75">
      <c r="A98" s="268">
        <v>7</v>
      </c>
      <c r="B98" s="176" t="s">
        <v>57</v>
      </c>
      <c r="C98" s="157">
        <v>1422.3</v>
      </c>
      <c r="D98" s="157"/>
      <c r="E98" s="157">
        <v>106</v>
      </c>
      <c r="F98" s="611">
        <f t="shared" si="16"/>
        <v>1528.3</v>
      </c>
      <c r="G98" s="18">
        <v>286.3</v>
      </c>
      <c r="H98" s="827">
        <v>23</v>
      </c>
      <c r="I98" s="330"/>
      <c r="J98" s="330">
        <v>2</v>
      </c>
      <c r="K98" s="142">
        <f t="shared" si="15"/>
        <v>25</v>
      </c>
      <c r="L98" s="589">
        <f t="shared" si="19"/>
        <v>5.0110242533573865E-3</v>
      </c>
      <c r="M98" s="315">
        <f t="shared" si="22"/>
        <v>11.370665464020847</v>
      </c>
      <c r="N98" s="592">
        <f t="shared" si="20"/>
        <v>4.1809936911204657</v>
      </c>
      <c r="O98" s="498">
        <v>4.5378960447297576</v>
      </c>
      <c r="P98" s="427">
        <f t="shared" si="21"/>
        <v>1.2272499498897576</v>
      </c>
      <c r="Q98" s="426">
        <f t="shared" si="23"/>
        <v>1.4960176889156145</v>
      </c>
      <c r="R98" s="532">
        <f t="shared" si="14"/>
        <v>1.4987558988793384E-2</v>
      </c>
    </row>
    <row r="99" spans="1:18" s="6" customFormat="1" ht="15.75">
      <c r="A99" s="275">
        <v>8</v>
      </c>
      <c r="B99" s="176" t="s">
        <v>58</v>
      </c>
      <c r="C99" s="157">
        <v>736.94</v>
      </c>
      <c r="D99" s="157"/>
      <c r="E99" s="157"/>
      <c r="F99" s="611">
        <f t="shared" si="16"/>
        <v>736.94</v>
      </c>
      <c r="G99" s="18">
        <v>136</v>
      </c>
      <c r="H99" s="827">
        <v>15</v>
      </c>
      <c r="I99" s="330"/>
      <c r="J99" s="330"/>
      <c r="K99" s="142">
        <f t="shared" si="15"/>
        <v>15</v>
      </c>
      <c r="L99" s="589">
        <f t="shared" si="19"/>
        <v>3.0066145520144319E-3</v>
      </c>
      <c r="M99" s="315">
        <f t="shared" si="22"/>
        <v>6.822399278412508</v>
      </c>
      <c r="N99" s="592">
        <f t="shared" si="20"/>
        <v>2.5085962146722793</v>
      </c>
      <c r="O99" s="498">
        <v>2.7227376268378545</v>
      </c>
      <c r="P99" s="427">
        <f t="shared" si="21"/>
        <v>0.73634996993385449</v>
      </c>
      <c r="Q99" s="426">
        <f t="shared" si="23"/>
        <v>0.89761061334936865</v>
      </c>
      <c r="R99" s="532">
        <f t="shared" si="14"/>
        <v>1.7355664083719836E-2</v>
      </c>
    </row>
    <row r="100" spans="1:18" s="6" customFormat="1" ht="15.75">
      <c r="A100" s="268">
        <v>9</v>
      </c>
      <c r="B100" s="176" t="s">
        <v>59</v>
      </c>
      <c r="C100" s="157">
        <v>588.29</v>
      </c>
      <c r="D100" s="157"/>
      <c r="E100" s="157"/>
      <c r="F100" s="611">
        <f t="shared" si="16"/>
        <v>588.29</v>
      </c>
      <c r="G100" s="18">
        <v>152.6</v>
      </c>
      <c r="H100" s="827">
        <v>13</v>
      </c>
      <c r="I100" s="330"/>
      <c r="J100" s="330"/>
      <c r="K100" s="142">
        <f t="shared" si="15"/>
        <v>13</v>
      </c>
      <c r="L100" s="589">
        <f t="shared" si="19"/>
        <v>2.605732611745841E-3</v>
      </c>
      <c r="M100" s="315">
        <f t="shared" si="22"/>
        <v>5.9127460412908404</v>
      </c>
      <c r="N100" s="592">
        <f t="shared" si="20"/>
        <v>2.1741167193826421</v>
      </c>
      <c r="O100" s="498">
        <v>2.359705943259474</v>
      </c>
      <c r="P100" s="427">
        <f t="shared" si="21"/>
        <v>0.63816997394267394</v>
      </c>
      <c r="Q100" s="426">
        <f t="shared" si="23"/>
        <v>0.77792919823611961</v>
      </c>
      <c r="R100" s="532">
        <f t="shared" si="14"/>
        <v>1.8842303418170683E-2</v>
      </c>
    </row>
    <row r="101" spans="1:18" s="6" customFormat="1" ht="15.75">
      <c r="A101" s="268">
        <v>10</v>
      </c>
      <c r="B101" s="274" t="s">
        <v>60</v>
      </c>
      <c r="C101" s="157">
        <v>264.32</v>
      </c>
      <c r="D101" s="157"/>
      <c r="E101" s="157"/>
      <c r="F101" s="611">
        <f t="shared" si="16"/>
        <v>264.32</v>
      </c>
      <c r="G101" s="18">
        <v>75.3</v>
      </c>
      <c r="H101" s="827">
        <v>6</v>
      </c>
      <c r="I101" s="330"/>
      <c r="J101" s="330"/>
      <c r="K101" s="142">
        <f t="shared" si="15"/>
        <v>6</v>
      </c>
      <c r="L101" s="589">
        <f t="shared" si="19"/>
        <v>1.2026458208057728E-3</v>
      </c>
      <c r="M101" s="315">
        <f t="shared" si="22"/>
        <v>2.7289597113650035</v>
      </c>
      <c r="N101" s="592">
        <f t="shared" si="20"/>
        <v>1.0034384858689118</v>
      </c>
      <c r="O101" s="498">
        <v>1.0890950507351418</v>
      </c>
      <c r="P101" s="427">
        <f t="shared" si="21"/>
        <v>0.29453998797354181</v>
      </c>
      <c r="Q101" s="426">
        <f t="shared" si="23"/>
        <v>0.35904424533974749</v>
      </c>
      <c r="R101" s="532">
        <f t="shared" si="14"/>
        <v>1.9355452617821574E-2</v>
      </c>
    </row>
    <row r="102" spans="1:18" s="6" customFormat="1" ht="15.75">
      <c r="A102" s="268">
        <v>11</v>
      </c>
      <c r="B102" s="176" t="s">
        <v>61</v>
      </c>
      <c r="C102" s="157">
        <v>181.4</v>
      </c>
      <c r="D102" s="157"/>
      <c r="E102" s="157">
        <v>21.3</v>
      </c>
      <c r="F102" s="611">
        <f t="shared" si="16"/>
        <v>202.70000000000002</v>
      </c>
      <c r="G102" s="18">
        <v>38</v>
      </c>
      <c r="H102" s="827">
        <v>5</v>
      </c>
      <c r="I102" s="330"/>
      <c r="J102" s="330">
        <v>1</v>
      </c>
      <c r="K102" s="142">
        <f t="shared" si="15"/>
        <v>6</v>
      </c>
      <c r="L102" s="589">
        <f t="shared" si="19"/>
        <v>1.2026458208057728E-3</v>
      </c>
      <c r="M102" s="315">
        <f t="shared" si="22"/>
        <v>2.7289597113650035</v>
      </c>
      <c r="N102" s="592">
        <f t="shared" si="20"/>
        <v>1.0034384858689118</v>
      </c>
      <c r="O102" s="498">
        <v>1.0890950507351418</v>
      </c>
      <c r="P102" s="427">
        <f t="shared" si="21"/>
        <v>0.29453998797354181</v>
      </c>
      <c r="Q102" s="426">
        <f t="shared" si="23"/>
        <v>0.35904424533974749</v>
      </c>
      <c r="R102" s="532">
        <f t="shared" si="14"/>
        <v>2.8203049812252471E-2</v>
      </c>
    </row>
    <row r="103" spans="1:18" s="6" customFormat="1" ht="15.75">
      <c r="A103" s="268">
        <v>12</v>
      </c>
      <c r="B103" s="176" t="s">
        <v>62</v>
      </c>
      <c r="C103" s="157">
        <v>366.9</v>
      </c>
      <c r="D103" s="157"/>
      <c r="E103" s="157"/>
      <c r="F103" s="611">
        <f t="shared" si="16"/>
        <v>366.9</v>
      </c>
      <c r="G103" s="18">
        <v>97.5</v>
      </c>
      <c r="H103" s="827">
        <v>9</v>
      </c>
      <c r="I103" s="330"/>
      <c r="J103" s="330"/>
      <c r="K103" s="142">
        <f t="shared" si="15"/>
        <v>9</v>
      </c>
      <c r="L103" s="589">
        <f t="shared" si="19"/>
        <v>1.8039687312086591E-3</v>
      </c>
      <c r="M103" s="315">
        <f t="shared" si="22"/>
        <v>4.093439567047505</v>
      </c>
      <c r="N103" s="592">
        <f t="shared" si="20"/>
        <v>1.5051577288033677</v>
      </c>
      <c r="O103" s="498">
        <v>1.6336425761027129</v>
      </c>
      <c r="P103" s="427">
        <f t="shared" si="21"/>
        <v>0.44180998196031268</v>
      </c>
      <c r="Q103" s="426">
        <f t="shared" si="23"/>
        <v>0.53856636800962121</v>
      </c>
      <c r="R103" s="532">
        <f t="shared" si="14"/>
        <v>2.0915916745472603E-2</v>
      </c>
    </row>
    <row r="104" spans="1:18" s="6" customFormat="1" ht="15.75">
      <c r="A104" s="268">
        <v>13</v>
      </c>
      <c r="B104" s="176" t="s">
        <v>63</v>
      </c>
      <c r="C104" s="157">
        <v>580.66999999999996</v>
      </c>
      <c r="D104" s="157"/>
      <c r="E104" s="157"/>
      <c r="F104" s="611">
        <f t="shared" si="16"/>
        <v>580.66999999999996</v>
      </c>
      <c r="G104" s="18">
        <v>155.30000000000001</v>
      </c>
      <c r="H104" s="827">
        <v>13</v>
      </c>
      <c r="I104" s="330"/>
      <c r="J104" s="330"/>
      <c r="K104" s="142">
        <f t="shared" si="15"/>
        <v>13</v>
      </c>
      <c r="L104" s="589">
        <f t="shared" si="19"/>
        <v>2.605732611745841E-3</v>
      </c>
      <c r="M104" s="315">
        <f t="shared" si="22"/>
        <v>5.9127460412908404</v>
      </c>
      <c r="N104" s="592">
        <f t="shared" si="20"/>
        <v>2.1741167193826421</v>
      </c>
      <c r="O104" s="498">
        <v>2.359705943259474</v>
      </c>
      <c r="P104" s="427">
        <f t="shared" si="21"/>
        <v>0.63816997394267394</v>
      </c>
      <c r="Q104" s="426">
        <f t="shared" si="23"/>
        <v>0.77792919823611961</v>
      </c>
      <c r="R104" s="532">
        <f t="shared" si="14"/>
        <v>1.9089566669322735E-2</v>
      </c>
    </row>
    <row r="105" spans="1:18" s="6" customFormat="1" ht="15.75">
      <c r="A105" s="268">
        <v>14</v>
      </c>
      <c r="B105" s="176" t="s">
        <v>64</v>
      </c>
      <c r="C105" s="157">
        <v>583.6</v>
      </c>
      <c r="D105" s="157">
        <v>29.3</v>
      </c>
      <c r="E105" s="157"/>
      <c r="F105" s="611">
        <f t="shared" si="16"/>
        <v>612.9</v>
      </c>
      <c r="G105" s="18">
        <v>158.69999999999999</v>
      </c>
      <c r="H105" s="827">
        <v>14</v>
      </c>
      <c r="I105" s="330">
        <v>1</v>
      </c>
      <c r="J105" s="330"/>
      <c r="K105" s="142">
        <f t="shared" si="15"/>
        <v>15</v>
      </c>
      <c r="L105" s="589">
        <f t="shared" si="19"/>
        <v>3.0066145520144319E-3</v>
      </c>
      <c r="M105" s="315">
        <f t="shared" si="22"/>
        <v>6.822399278412508</v>
      </c>
      <c r="N105" s="592">
        <f t="shared" si="20"/>
        <v>2.5085962146722793</v>
      </c>
      <c r="O105" s="498">
        <v>2.7227376268378545</v>
      </c>
      <c r="P105" s="427">
        <f t="shared" si="21"/>
        <v>0.73634996993385449</v>
      </c>
      <c r="Q105" s="426">
        <f t="shared" si="23"/>
        <v>0.89761061334936865</v>
      </c>
      <c r="R105" s="532">
        <f t="shared" si="14"/>
        <v>2.1915838056642385E-2</v>
      </c>
    </row>
    <row r="106" spans="1:18" s="6" customFormat="1" ht="15.75">
      <c r="A106" s="275">
        <v>15</v>
      </c>
      <c r="B106" s="176" t="s">
        <v>67</v>
      </c>
      <c r="C106" s="157">
        <v>851.5</v>
      </c>
      <c r="D106" s="157"/>
      <c r="E106" s="157"/>
      <c r="F106" s="611">
        <f t="shared" si="16"/>
        <v>851.5</v>
      </c>
      <c r="G106" s="18">
        <v>155.4</v>
      </c>
      <c r="H106" s="827">
        <v>14</v>
      </c>
      <c r="I106" s="330"/>
      <c r="J106" s="330"/>
      <c r="K106" s="142">
        <f t="shared" si="15"/>
        <v>14</v>
      </c>
      <c r="L106" s="589">
        <f t="shared" si="19"/>
        <v>2.8061735818801364E-3</v>
      </c>
      <c r="M106" s="315">
        <f t="shared" si="22"/>
        <v>6.3675726598516746</v>
      </c>
      <c r="N106" s="592">
        <f t="shared" si="20"/>
        <v>2.3413564670274609</v>
      </c>
      <c r="O106" s="498">
        <v>2.541221785048664</v>
      </c>
      <c r="P106" s="427">
        <f t="shared" si="21"/>
        <v>0.68725997193826416</v>
      </c>
      <c r="Q106" s="426">
        <f t="shared" si="23"/>
        <v>0.83776990579274402</v>
      </c>
      <c r="R106" s="532">
        <f t="shared" si="14"/>
        <v>1.4019272911175648E-2</v>
      </c>
    </row>
    <row r="107" spans="1:18" s="6" customFormat="1" ht="15.75">
      <c r="A107" s="268">
        <v>16</v>
      </c>
      <c r="B107" s="176" t="s">
        <v>68</v>
      </c>
      <c r="C107" s="157">
        <v>510.4</v>
      </c>
      <c r="D107" s="157"/>
      <c r="E107" s="157">
        <v>35.200000000000003</v>
      </c>
      <c r="F107" s="611">
        <f t="shared" si="16"/>
        <v>545.6</v>
      </c>
      <c r="G107" s="18">
        <v>146.69999999999999</v>
      </c>
      <c r="H107" s="827">
        <v>8</v>
      </c>
      <c r="I107" s="330"/>
      <c r="J107" s="330">
        <v>1</v>
      </c>
      <c r="K107" s="142">
        <f t="shared" si="15"/>
        <v>9</v>
      </c>
      <c r="L107" s="589">
        <f t="shared" si="19"/>
        <v>1.8039687312086591E-3</v>
      </c>
      <c r="M107" s="315">
        <f t="shared" si="22"/>
        <v>4.093439567047505</v>
      </c>
      <c r="N107" s="592">
        <f t="shared" si="20"/>
        <v>1.5051577288033677</v>
      </c>
      <c r="O107" s="498">
        <v>1.6336425761027129</v>
      </c>
      <c r="P107" s="427">
        <f t="shared" si="21"/>
        <v>0.44180998196031268</v>
      </c>
      <c r="Q107" s="426">
        <f t="shared" si="23"/>
        <v>0.53856636800962121</v>
      </c>
      <c r="R107" s="532">
        <f t="shared" si="14"/>
        <v>1.5035364133843845E-2</v>
      </c>
    </row>
    <row r="108" spans="1:18" s="6" customFormat="1" ht="15.75">
      <c r="A108" s="268">
        <v>17</v>
      </c>
      <c r="B108" s="176" t="s">
        <v>69</v>
      </c>
      <c r="C108" s="157">
        <v>545.21</v>
      </c>
      <c r="D108" s="157"/>
      <c r="E108" s="157">
        <v>19.600000000000001</v>
      </c>
      <c r="F108" s="611">
        <f t="shared" si="16"/>
        <v>564.81000000000006</v>
      </c>
      <c r="G108" s="18">
        <v>146.6</v>
      </c>
      <c r="H108" s="827">
        <v>8</v>
      </c>
      <c r="I108" s="330"/>
      <c r="J108" s="330">
        <v>1</v>
      </c>
      <c r="K108" s="142">
        <f t="shared" si="15"/>
        <v>9</v>
      </c>
      <c r="L108" s="589">
        <f t="shared" si="19"/>
        <v>1.8039687312086591E-3</v>
      </c>
      <c r="M108" s="315">
        <f t="shared" si="22"/>
        <v>4.093439567047505</v>
      </c>
      <c r="N108" s="592">
        <f t="shared" si="20"/>
        <v>1.5051577288033677</v>
      </c>
      <c r="O108" s="498">
        <v>1.6336425761027129</v>
      </c>
      <c r="P108" s="427">
        <f t="shared" si="21"/>
        <v>0.44180998196031268</v>
      </c>
      <c r="Q108" s="426">
        <f t="shared" si="23"/>
        <v>0.53856636800962121</v>
      </c>
      <c r="R108" s="532">
        <f t="shared" si="14"/>
        <v>1.4075401870680834E-2</v>
      </c>
    </row>
    <row r="109" spans="1:18" s="6" customFormat="1" ht="15.75">
      <c r="A109" s="268">
        <v>18</v>
      </c>
      <c r="B109" s="176" t="s">
        <v>70</v>
      </c>
      <c r="C109" s="157">
        <v>536.25</v>
      </c>
      <c r="D109" s="157"/>
      <c r="E109" s="157"/>
      <c r="F109" s="611">
        <f t="shared" si="16"/>
        <v>536.25</v>
      </c>
      <c r="G109" s="18">
        <v>135.19999999999999</v>
      </c>
      <c r="H109" s="827">
        <v>12</v>
      </c>
      <c r="I109" s="330"/>
      <c r="J109" s="330"/>
      <c r="K109" s="142">
        <f t="shared" si="15"/>
        <v>12</v>
      </c>
      <c r="L109" s="589">
        <f t="shared" si="19"/>
        <v>2.4052916416115455E-3</v>
      </c>
      <c r="M109" s="315">
        <f t="shared" si="22"/>
        <v>5.457919422730007</v>
      </c>
      <c r="N109" s="592">
        <f t="shared" si="20"/>
        <v>2.0068769717378236</v>
      </c>
      <c r="O109" s="498">
        <v>2.1781901014702836</v>
      </c>
      <c r="P109" s="427">
        <f t="shared" si="21"/>
        <v>0.58907997594708361</v>
      </c>
      <c r="Q109" s="426">
        <f t="shared" si="23"/>
        <v>0.71808849067949498</v>
      </c>
      <c r="R109" s="532">
        <f t="shared" si="14"/>
        <v>1.9080776637548154E-2</v>
      </c>
    </row>
    <row r="110" spans="1:18" s="6" customFormat="1" ht="15.75">
      <c r="A110" s="268">
        <v>19</v>
      </c>
      <c r="B110" s="176" t="s">
        <v>71</v>
      </c>
      <c r="C110" s="157">
        <v>534.97</v>
      </c>
      <c r="D110" s="157">
        <v>68.2</v>
      </c>
      <c r="E110" s="157"/>
      <c r="F110" s="611">
        <f t="shared" si="16"/>
        <v>603.17000000000007</v>
      </c>
      <c r="G110" s="18">
        <v>118.5</v>
      </c>
      <c r="H110" s="827">
        <v>9</v>
      </c>
      <c r="I110" s="330">
        <v>1</v>
      </c>
      <c r="J110" s="330"/>
      <c r="K110" s="142">
        <f t="shared" si="15"/>
        <v>10</v>
      </c>
      <c r="L110" s="589">
        <f t="shared" si="19"/>
        <v>2.0044097013429546E-3</v>
      </c>
      <c r="M110" s="315">
        <f t="shared" si="22"/>
        <v>4.5482661856083384</v>
      </c>
      <c r="N110" s="592">
        <f t="shared" si="20"/>
        <v>1.6723974764481861</v>
      </c>
      <c r="O110" s="498">
        <v>1.8151584178919031</v>
      </c>
      <c r="P110" s="427">
        <f t="shared" si="21"/>
        <v>0.49089997995590301</v>
      </c>
      <c r="Q110" s="426">
        <f t="shared" si="23"/>
        <v>0.59840707556624584</v>
      </c>
      <c r="R110" s="532">
        <f t="shared" si="14"/>
        <v>1.593869200124181E-2</v>
      </c>
    </row>
    <row r="111" spans="1:18" s="6" customFormat="1" ht="15.75">
      <c r="A111" s="268">
        <v>20</v>
      </c>
      <c r="B111" s="176" t="s">
        <v>72</v>
      </c>
      <c r="C111" s="157">
        <v>191.9</v>
      </c>
      <c r="D111" s="157"/>
      <c r="E111" s="157">
        <v>35</v>
      </c>
      <c r="F111" s="611">
        <f t="shared" si="16"/>
        <v>226.9</v>
      </c>
      <c r="G111" s="18">
        <v>36.799999999999997</v>
      </c>
      <c r="H111" s="827">
        <v>5</v>
      </c>
      <c r="I111" s="330"/>
      <c r="J111" s="330">
        <v>1</v>
      </c>
      <c r="K111" s="142">
        <f t="shared" si="15"/>
        <v>6</v>
      </c>
      <c r="L111" s="589">
        <f t="shared" si="19"/>
        <v>1.2026458208057728E-3</v>
      </c>
      <c r="M111" s="315">
        <f t="shared" si="22"/>
        <v>2.7289597113650035</v>
      </c>
      <c r="N111" s="592">
        <f t="shared" si="20"/>
        <v>1.0034384858689118</v>
      </c>
      <c r="O111" s="498">
        <v>1.0890950507351418</v>
      </c>
      <c r="P111" s="427">
        <f t="shared" si="21"/>
        <v>0.29453998797354181</v>
      </c>
      <c r="Q111" s="426">
        <f t="shared" si="23"/>
        <v>0.35904424533974749</v>
      </c>
      <c r="R111" s="532">
        <f t="shared" si="14"/>
        <v>2.6659891797512238E-2</v>
      </c>
    </row>
    <row r="112" spans="1:18" s="6" customFormat="1" ht="15.75">
      <c r="A112" s="268">
        <v>21</v>
      </c>
      <c r="B112" s="176" t="s">
        <v>73</v>
      </c>
      <c r="C112" s="157">
        <v>368.4</v>
      </c>
      <c r="D112" s="157"/>
      <c r="E112" s="157">
        <v>17.2</v>
      </c>
      <c r="F112" s="611">
        <f t="shared" si="16"/>
        <v>385.59999999999997</v>
      </c>
      <c r="G112" s="18">
        <v>90.7</v>
      </c>
      <c r="H112" s="827">
        <v>6</v>
      </c>
      <c r="I112" s="330"/>
      <c r="J112" s="330">
        <v>1</v>
      </c>
      <c r="K112" s="142">
        <f t="shared" si="15"/>
        <v>7</v>
      </c>
      <c r="L112" s="589">
        <f t="shared" si="19"/>
        <v>1.4030867909400682E-3</v>
      </c>
      <c r="M112" s="315">
        <f t="shared" si="22"/>
        <v>3.1837863299258373</v>
      </c>
      <c r="N112" s="592">
        <f t="shared" si="20"/>
        <v>1.1706782335137305</v>
      </c>
      <c r="O112" s="498">
        <v>1.270610892524332</v>
      </c>
      <c r="P112" s="427">
        <f t="shared" si="21"/>
        <v>0.34362998596913208</v>
      </c>
      <c r="Q112" s="426">
        <f t="shared" si="23"/>
        <v>0.41888495289637201</v>
      </c>
      <c r="R112" s="532">
        <f t="shared" si="14"/>
        <v>1.6201697725116811E-2</v>
      </c>
    </row>
    <row r="113" spans="1:18" s="6" customFormat="1" ht="15.75">
      <c r="A113" s="275">
        <v>22</v>
      </c>
      <c r="B113" s="176" t="s">
        <v>74</v>
      </c>
      <c r="C113" s="157">
        <v>298.58</v>
      </c>
      <c r="D113" s="157">
        <v>41.6</v>
      </c>
      <c r="E113" s="157"/>
      <c r="F113" s="611">
        <f t="shared" si="16"/>
        <v>340.18</v>
      </c>
      <c r="G113" s="18">
        <v>90.7</v>
      </c>
      <c r="H113" s="827">
        <v>6</v>
      </c>
      <c r="I113" s="330">
        <v>1</v>
      </c>
      <c r="J113" s="330"/>
      <c r="K113" s="142">
        <f t="shared" si="15"/>
        <v>7</v>
      </c>
      <c r="L113" s="589">
        <f t="shared" si="19"/>
        <v>1.4030867909400682E-3</v>
      </c>
      <c r="M113" s="315">
        <f t="shared" si="22"/>
        <v>3.1837863299258373</v>
      </c>
      <c r="N113" s="592">
        <f t="shared" si="20"/>
        <v>1.1706782335137305</v>
      </c>
      <c r="O113" s="498">
        <v>1.270610892524332</v>
      </c>
      <c r="P113" s="427">
        <f t="shared" si="21"/>
        <v>0.34362998596913208</v>
      </c>
      <c r="Q113" s="426">
        <f t="shared" si="23"/>
        <v>0.41888495289637201</v>
      </c>
      <c r="R113" s="532">
        <f t="shared" si="14"/>
        <v>1.9990305586218209E-2</v>
      </c>
    </row>
    <row r="114" spans="1:18" s="6" customFormat="1" ht="15.75">
      <c r="A114" s="268">
        <v>23</v>
      </c>
      <c r="B114" s="176" t="s">
        <v>75</v>
      </c>
      <c r="C114" s="157">
        <v>304.7</v>
      </c>
      <c r="D114" s="157"/>
      <c r="E114" s="157"/>
      <c r="F114" s="611">
        <f t="shared" si="16"/>
        <v>304.7</v>
      </c>
      <c r="G114" s="18">
        <v>25.4</v>
      </c>
      <c r="H114" s="827">
        <v>6</v>
      </c>
      <c r="I114" s="330"/>
      <c r="J114" s="330"/>
      <c r="K114" s="142">
        <f t="shared" si="15"/>
        <v>6</v>
      </c>
      <c r="L114" s="589">
        <f t="shared" si="19"/>
        <v>1.2026458208057728E-3</v>
      </c>
      <c r="M114" s="315">
        <f t="shared" si="22"/>
        <v>2.7289597113650035</v>
      </c>
      <c r="N114" s="592">
        <f t="shared" si="20"/>
        <v>1.0034384858689118</v>
      </c>
      <c r="O114" s="498">
        <v>1.0890950507351418</v>
      </c>
      <c r="P114" s="427">
        <f t="shared" si="21"/>
        <v>0.29453998797354181</v>
      </c>
      <c r="Q114" s="426">
        <f t="shared" si="23"/>
        <v>0.35904424533974749</v>
      </c>
      <c r="R114" s="532">
        <f t="shared" si="14"/>
        <v>1.6790394604340658E-2</v>
      </c>
    </row>
    <row r="115" spans="1:18" s="6" customFormat="1" ht="15.75">
      <c r="A115" s="268">
        <v>24</v>
      </c>
      <c r="B115" s="176" t="s">
        <v>76</v>
      </c>
      <c r="C115" s="157">
        <v>820.07</v>
      </c>
      <c r="D115" s="157"/>
      <c r="E115" s="157">
        <v>159.9</v>
      </c>
      <c r="F115" s="611">
        <f t="shared" si="16"/>
        <v>979.97</v>
      </c>
      <c r="G115" s="18">
        <v>91.3</v>
      </c>
      <c r="H115" s="827">
        <v>14</v>
      </c>
      <c r="I115" s="330"/>
      <c r="J115" s="330">
        <v>2</v>
      </c>
      <c r="K115" s="142">
        <f t="shared" si="15"/>
        <v>16</v>
      </c>
      <c r="L115" s="589">
        <f t="shared" si="19"/>
        <v>3.2070555221487274E-3</v>
      </c>
      <c r="M115" s="315">
        <f t="shared" si="22"/>
        <v>7.2772258969733423</v>
      </c>
      <c r="N115" s="592">
        <f t="shared" si="20"/>
        <v>2.6758359623170982</v>
      </c>
      <c r="O115" s="498">
        <v>2.9042534686270449</v>
      </c>
      <c r="P115" s="427">
        <f t="shared" si="21"/>
        <v>0.78543996792944482</v>
      </c>
      <c r="Q115" s="426">
        <f t="shared" si="23"/>
        <v>0.95745132090599328</v>
      </c>
      <c r="R115" s="532">
        <f t="shared" si="14"/>
        <v>1.663608630464098E-2</v>
      </c>
    </row>
    <row r="116" spans="1:18" s="6" customFormat="1" ht="15.75">
      <c r="A116" s="268">
        <v>25</v>
      </c>
      <c r="B116" s="176" t="s">
        <v>77</v>
      </c>
      <c r="C116" s="157">
        <v>1330.1</v>
      </c>
      <c r="D116" s="157"/>
      <c r="E116" s="157"/>
      <c r="F116" s="611">
        <f t="shared" si="16"/>
        <v>1330.1</v>
      </c>
      <c r="G116" s="18">
        <v>180.8</v>
      </c>
      <c r="H116" s="827">
        <v>24</v>
      </c>
      <c r="I116" s="330"/>
      <c r="J116" s="330"/>
      <c r="K116" s="142">
        <f t="shared" si="15"/>
        <v>24</v>
      </c>
      <c r="L116" s="589">
        <f t="shared" si="19"/>
        <v>4.810583283223091E-3</v>
      </c>
      <c r="M116" s="315">
        <f t="shared" si="22"/>
        <v>10.915838845460014</v>
      </c>
      <c r="N116" s="592">
        <f t="shared" si="20"/>
        <v>4.0137539434756473</v>
      </c>
      <c r="O116" s="498">
        <v>4.3563802029405672</v>
      </c>
      <c r="P116" s="427">
        <f t="shared" si="21"/>
        <v>1.1781599518941672</v>
      </c>
      <c r="Q116" s="426">
        <f t="shared" si="23"/>
        <v>1.43617698135899</v>
      </c>
      <c r="R116" s="532">
        <f t="shared" si="14"/>
        <v>1.5385409325441994E-2</v>
      </c>
    </row>
    <row r="117" spans="1:18" s="6" customFormat="1" ht="15.75">
      <c r="A117" s="268">
        <v>26</v>
      </c>
      <c r="B117" s="176" t="s">
        <v>78</v>
      </c>
      <c r="C117" s="157">
        <v>788.55</v>
      </c>
      <c r="D117" s="157">
        <v>32.1</v>
      </c>
      <c r="E117" s="157"/>
      <c r="F117" s="611">
        <f t="shared" si="16"/>
        <v>820.65</v>
      </c>
      <c r="G117" s="18">
        <v>250.1</v>
      </c>
      <c r="H117" s="827">
        <v>23</v>
      </c>
      <c r="I117" s="330">
        <v>1</v>
      </c>
      <c r="J117" s="330"/>
      <c r="K117" s="142">
        <f t="shared" si="15"/>
        <v>24</v>
      </c>
      <c r="L117" s="589">
        <f t="shared" si="19"/>
        <v>4.810583283223091E-3</v>
      </c>
      <c r="M117" s="315">
        <f t="shared" si="22"/>
        <v>10.915838845460014</v>
      </c>
      <c r="N117" s="592">
        <f t="shared" si="20"/>
        <v>4.0137539434756473</v>
      </c>
      <c r="O117" s="498">
        <v>4.3563802029405672</v>
      </c>
      <c r="P117" s="427">
        <f t="shared" si="21"/>
        <v>1.1781599518941672</v>
      </c>
      <c r="Q117" s="426">
        <f t="shared" si="23"/>
        <v>1.43617698135899</v>
      </c>
      <c r="R117" s="532">
        <f t="shared" si="14"/>
        <v>2.595159843227493E-2</v>
      </c>
    </row>
    <row r="118" spans="1:18" s="6" customFormat="1" ht="15.75">
      <c r="A118" s="268">
        <v>27</v>
      </c>
      <c r="B118" s="176" t="s">
        <v>79</v>
      </c>
      <c r="C118" s="157">
        <v>1286.57</v>
      </c>
      <c r="D118" s="157">
        <v>132.1</v>
      </c>
      <c r="E118" s="157">
        <v>45.2</v>
      </c>
      <c r="F118" s="611">
        <f t="shared" si="16"/>
        <v>1463.87</v>
      </c>
      <c r="G118" s="18">
        <v>200.6</v>
      </c>
      <c r="H118" s="827">
        <v>29</v>
      </c>
      <c r="I118" s="330">
        <v>1</v>
      </c>
      <c r="J118" s="330">
        <v>1</v>
      </c>
      <c r="K118" s="142">
        <f t="shared" si="15"/>
        <v>31</v>
      </c>
      <c r="L118" s="589">
        <f t="shared" si="19"/>
        <v>6.2136700741631593E-3</v>
      </c>
      <c r="M118" s="315">
        <f t="shared" si="22"/>
        <v>14.099625175385849</v>
      </c>
      <c r="N118" s="592">
        <f t="shared" si="20"/>
        <v>5.1844321769893771</v>
      </c>
      <c r="O118" s="498">
        <v>5.6269910954648994</v>
      </c>
      <c r="P118" s="427">
        <f t="shared" si="21"/>
        <v>1.5217899378632993</v>
      </c>
      <c r="Q118" s="426">
        <f t="shared" si="23"/>
        <v>1.855061934255362</v>
      </c>
      <c r="R118" s="532">
        <f t="shared" si="14"/>
        <v>2.0545200327773405E-2</v>
      </c>
    </row>
    <row r="119" spans="1:18" s="6" customFormat="1" ht="15.75">
      <c r="A119" s="268">
        <v>28</v>
      </c>
      <c r="B119" s="176" t="s">
        <v>80</v>
      </c>
      <c r="C119" s="157">
        <v>498.78</v>
      </c>
      <c r="D119" s="157">
        <v>48.7</v>
      </c>
      <c r="E119" s="157">
        <v>47.7</v>
      </c>
      <c r="F119" s="611">
        <f t="shared" si="16"/>
        <v>595.18000000000006</v>
      </c>
      <c r="G119" s="18">
        <v>160.1</v>
      </c>
      <c r="H119" s="827">
        <v>14</v>
      </c>
      <c r="I119" s="330">
        <v>1</v>
      </c>
      <c r="J119" s="330">
        <v>1</v>
      </c>
      <c r="K119" s="142">
        <f t="shared" si="15"/>
        <v>16</v>
      </c>
      <c r="L119" s="589">
        <f t="shared" si="19"/>
        <v>3.2070555221487274E-3</v>
      </c>
      <c r="M119" s="315">
        <f t="shared" si="22"/>
        <v>7.2772258969733423</v>
      </c>
      <c r="N119" s="592">
        <f t="shared" si="20"/>
        <v>2.6758359623170982</v>
      </c>
      <c r="O119" s="498">
        <v>2.9042534686270449</v>
      </c>
      <c r="P119" s="427">
        <f t="shared" si="21"/>
        <v>0.78543996792944482</v>
      </c>
      <c r="Q119" s="426">
        <f t="shared" si="23"/>
        <v>0.95745132090599328</v>
      </c>
      <c r="R119" s="532">
        <f t="shared" si="14"/>
        <v>2.7352250081893681E-2</v>
      </c>
    </row>
    <row r="120" spans="1:18" s="6" customFormat="1" ht="15.75">
      <c r="A120" s="275">
        <v>29</v>
      </c>
      <c r="B120" s="176" t="s">
        <v>81</v>
      </c>
      <c r="C120" s="157">
        <v>142</v>
      </c>
      <c r="D120" s="157"/>
      <c r="E120" s="157"/>
      <c r="F120" s="611">
        <f t="shared" si="16"/>
        <v>142</v>
      </c>
      <c r="G120" s="18">
        <v>10.8</v>
      </c>
      <c r="H120" s="827">
        <v>4</v>
      </c>
      <c r="I120" s="330"/>
      <c r="J120" s="330"/>
      <c r="K120" s="142">
        <f t="shared" si="15"/>
        <v>4</v>
      </c>
      <c r="L120" s="589">
        <f t="shared" si="19"/>
        <v>8.0176388053718184E-4</v>
      </c>
      <c r="M120" s="315">
        <f t="shared" si="22"/>
        <v>1.8193064742433356</v>
      </c>
      <c r="N120" s="592">
        <f t="shared" si="20"/>
        <v>0.66895899057927455</v>
      </c>
      <c r="O120" s="498">
        <v>0.72606336715676123</v>
      </c>
      <c r="P120" s="427">
        <f t="shared" si="21"/>
        <v>0.1963599919823612</v>
      </c>
      <c r="Q120" s="426">
        <f t="shared" si="23"/>
        <v>0.23936283022649832</v>
      </c>
      <c r="R120" s="532">
        <f t="shared" si="14"/>
        <v>2.40189353800122E-2</v>
      </c>
    </row>
    <row r="121" spans="1:18" s="6" customFormat="1" ht="15.75">
      <c r="A121" s="268">
        <v>30</v>
      </c>
      <c r="B121" s="176" t="s">
        <v>82</v>
      </c>
      <c r="C121" s="157">
        <v>537.64</v>
      </c>
      <c r="D121" s="157">
        <v>39.299999999999997</v>
      </c>
      <c r="E121" s="157"/>
      <c r="F121" s="611">
        <f t="shared" si="16"/>
        <v>576.93999999999994</v>
      </c>
      <c r="G121" s="18">
        <v>220</v>
      </c>
      <c r="H121" s="827">
        <v>12</v>
      </c>
      <c r="I121" s="330">
        <v>1</v>
      </c>
      <c r="J121" s="330"/>
      <c r="K121" s="142">
        <f t="shared" si="15"/>
        <v>13</v>
      </c>
      <c r="L121" s="589">
        <f t="shared" si="19"/>
        <v>2.605732611745841E-3</v>
      </c>
      <c r="M121" s="315">
        <f t="shared" si="22"/>
        <v>5.9127460412908404</v>
      </c>
      <c r="N121" s="592">
        <f t="shared" si="20"/>
        <v>2.1741167193826421</v>
      </c>
      <c r="O121" s="498">
        <v>2.359705943259474</v>
      </c>
      <c r="P121" s="427">
        <f t="shared" si="21"/>
        <v>0.63816997394267394</v>
      </c>
      <c r="Q121" s="426">
        <f t="shared" si="23"/>
        <v>0.77792919823611961</v>
      </c>
      <c r="R121" s="532">
        <f t="shared" si="14"/>
        <v>2.0617399519893668E-2</v>
      </c>
    </row>
    <row r="122" spans="1:18" s="6" customFormat="1" ht="15.75">
      <c r="A122" s="268">
        <v>31</v>
      </c>
      <c r="B122" s="176" t="s">
        <v>83</v>
      </c>
      <c r="C122" s="157">
        <v>587.76</v>
      </c>
      <c r="D122" s="157"/>
      <c r="E122" s="157"/>
      <c r="F122" s="611">
        <f t="shared" si="16"/>
        <v>587.76</v>
      </c>
      <c r="G122" s="18">
        <v>280</v>
      </c>
      <c r="H122" s="827">
        <v>12</v>
      </c>
      <c r="I122" s="330"/>
      <c r="J122" s="330"/>
      <c r="K122" s="142">
        <f t="shared" si="15"/>
        <v>12</v>
      </c>
      <c r="L122" s="589">
        <f t="shared" si="19"/>
        <v>2.4052916416115455E-3</v>
      </c>
      <c r="M122" s="315">
        <f t="shared" si="22"/>
        <v>5.457919422730007</v>
      </c>
      <c r="N122" s="592">
        <f t="shared" si="20"/>
        <v>2.0068769717378236</v>
      </c>
      <c r="O122" s="498">
        <v>2.1781901014702836</v>
      </c>
      <c r="P122" s="427">
        <f t="shared" si="21"/>
        <v>0.58907997594708361</v>
      </c>
      <c r="Q122" s="426">
        <f t="shared" si="23"/>
        <v>0.71808849067949498</v>
      </c>
      <c r="R122" s="532">
        <f t="shared" si="14"/>
        <v>1.7408579134145227E-2</v>
      </c>
    </row>
    <row r="123" spans="1:18" s="6" customFormat="1" ht="15.75">
      <c r="A123" s="268">
        <v>32</v>
      </c>
      <c r="B123" s="176" t="s">
        <v>84</v>
      </c>
      <c r="C123" s="157">
        <v>1869.7</v>
      </c>
      <c r="D123" s="157"/>
      <c r="E123" s="157">
        <v>22</v>
      </c>
      <c r="F123" s="611">
        <f t="shared" si="16"/>
        <v>1891.7</v>
      </c>
      <c r="G123" s="18">
        <v>39.9</v>
      </c>
      <c r="H123" s="827">
        <v>38</v>
      </c>
      <c r="I123" s="330"/>
      <c r="J123" s="330">
        <v>1</v>
      </c>
      <c r="K123" s="142">
        <f t="shared" si="15"/>
        <v>39</v>
      </c>
      <c r="L123" s="589">
        <f t="shared" si="19"/>
        <v>7.8171978352375229E-3</v>
      </c>
      <c r="M123" s="315">
        <f t="shared" si="22"/>
        <v>17.73823812387252</v>
      </c>
      <c r="N123" s="592">
        <f t="shared" si="20"/>
        <v>6.5223501581479262</v>
      </c>
      <c r="O123" s="498">
        <v>7.0791178297784221</v>
      </c>
      <c r="P123" s="427">
        <f t="shared" si="21"/>
        <v>1.9145099218280217</v>
      </c>
      <c r="Q123" s="426">
        <f t="shared" si="23"/>
        <v>2.3337875947083586</v>
      </c>
      <c r="R123" s="532">
        <f t="shared" si="14"/>
        <v>1.7785856572512644E-2</v>
      </c>
    </row>
    <row r="124" spans="1:18" s="6" customFormat="1" ht="15.75">
      <c r="A124" s="268">
        <v>33</v>
      </c>
      <c r="B124" s="176" t="s">
        <v>85</v>
      </c>
      <c r="C124" s="157">
        <v>262.7</v>
      </c>
      <c r="D124" s="157"/>
      <c r="E124" s="157"/>
      <c r="F124" s="611">
        <f t="shared" si="16"/>
        <v>262.7</v>
      </c>
      <c r="G124" s="18">
        <v>174</v>
      </c>
      <c r="H124" s="827">
        <v>8</v>
      </c>
      <c r="I124" s="330"/>
      <c r="J124" s="330"/>
      <c r="K124" s="142">
        <f t="shared" si="15"/>
        <v>8</v>
      </c>
      <c r="L124" s="589">
        <f t="shared" si="19"/>
        <v>1.6035277610743637E-3</v>
      </c>
      <c r="M124" s="315">
        <f t="shared" si="22"/>
        <v>3.6386129484866712</v>
      </c>
      <c r="N124" s="592">
        <f t="shared" si="20"/>
        <v>1.3379179811585491</v>
      </c>
      <c r="O124" s="498">
        <v>1.4521267343135225</v>
      </c>
      <c r="P124" s="427">
        <f t="shared" si="21"/>
        <v>0.39271998396472241</v>
      </c>
      <c r="Q124" s="426">
        <f t="shared" si="23"/>
        <v>0.47872566045299664</v>
      </c>
      <c r="R124" s="532">
        <f t="shared" si="14"/>
        <v>2.5966416627040217E-2</v>
      </c>
    </row>
    <row r="125" spans="1:18" s="6" customFormat="1" ht="15.75">
      <c r="A125" s="268">
        <v>34</v>
      </c>
      <c r="B125" s="176" t="s">
        <v>86</v>
      </c>
      <c r="C125" s="157">
        <v>1857.4</v>
      </c>
      <c r="D125" s="157"/>
      <c r="E125" s="157"/>
      <c r="F125" s="611">
        <f t="shared" si="16"/>
        <v>1857.4</v>
      </c>
      <c r="G125" s="18">
        <v>174</v>
      </c>
      <c r="H125" s="827">
        <v>40</v>
      </c>
      <c r="I125" s="330"/>
      <c r="J125" s="330"/>
      <c r="K125" s="142">
        <f t="shared" si="15"/>
        <v>40</v>
      </c>
      <c r="L125" s="589">
        <f t="shared" si="19"/>
        <v>8.0176388053718184E-3</v>
      </c>
      <c r="M125" s="315">
        <f t="shared" si="22"/>
        <v>18.193064742433354</v>
      </c>
      <c r="N125" s="592">
        <f t="shared" si="20"/>
        <v>6.6895899057927446</v>
      </c>
      <c r="O125" s="498">
        <v>7.2606336715676125</v>
      </c>
      <c r="P125" s="427">
        <f t="shared" si="21"/>
        <v>1.963599919823612</v>
      </c>
      <c r="Q125" s="426">
        <f t="shared" si="23"/>
        <v>2.3936283022649834</v>
      </c>
      <c r="R125" s="532">
        <f t="shared" si="14"/>
        <v>1.8362704985257525E-2</v>
      </c>
    </row>
    <row r="126" spans="1:18" s="6" customFormat="1" ht="15.75">
      <c r="A126" s="268">
        <v>35</v>
      </c>
      <c r="B126" s="176" t="s">
        <v>87</v>
      </c>
      <c r="C126" s="157">
        <v>2470.1999999999998</v>
      </c>
      <c r="D126" s="157"/>
      <c r="E126" s="157"/>
      <c r="F126" s="611">
        <f t="shared" si="16"/>
        <v>2470.1999999999998</v>
      </c>
      <c r="G126" s="18">
        <v>74.599999999999994</v>
      </c>
      <c r="H126" s="827">
        <v>55</v>
      </c>
      <c r="I126" s="330"/>
      <c r="J126" s="330"/>
      <c r="K126" s="142">
        <f t="shared" si="15"/>
        <v>55</v>
      </c>
      <c r="L126" s="589">
        <f t="shared" si="19"/>
        <v>1.102425335738625E-2</v>
      </c>
      <c r="M126" s="315">
        <f t="shared" si="22"/>
        <v>25.015464020845862</v>
      </c>
      <c r="N126" s="592">
        <f t="shared" si="20"/>
        <v>9.1981861204650244</v>
      </c>
      <c r="O126" s="498">
        <v>9.9833712984054674</v>
      </c>
      <c r="P126" s="427">
        <f t="shared" si="21"/>
        <v>2.6999498897574665</v>
      </c>
      <c r="Q126" s="426">
        <f t="shared" si="23"/>
        <v>3.2912389156143518</v>
      </c>
      <c r="R126" s="532">
        <f t="shared" si="14"/>
        <v>1.8985090814295936E-2</v>
      </c>
    </row>
    <row r="127" spans="1:18" s="6" customFormat="1" ht="15.75">
      <c r="A127" s="275">
        <v>36</v>
      </c>
      <c r="B127" s="176" t="s">
        <v>88</v>
      </c>
      <c r="C127" s="157">
        <v>121.8</v>
      </c>
      <c r="D127" s="157"/>
      <c r="E127" s="157"/>
      <c r="F127" s="611">
        <f t="shared" si="16"/>
        <v>121.8</v>
      </c>
      <c r="G127" s="18">
        <v>146.69999999999999</v>
      </c>
      <c r="H127" s="827">
        <v>3</v>
      </c>
      <c r="I127" s="330"/>
      <c r="J127" s="330"/>
      <c r="K127" s="142">
        <f t="shared" si="15"/>
        <v>3</v>
      </c>
      <c r="L127" s="589">
        <f t="shared" si="19"/>
        <v>6.0132291040288638E-4</v>
      </c>
      <c r="M127" s="315">
        <f t="shared" si="22"/>
        <v>1.3644798556825017</v>
      </c>
      <c r="N127" s="592">
        <f t="shared" si="20"/>
        <v>0.50171924293445591</v>
      </c>
      <c r="O127" s="498">
        <v>0.54454752536757089</v>
      </c>
      <c r="P127" s="427">
        <f t="shared" si="21"/>
        <v>0.1472699939867709</v>
      </c>
      <c r="Q127" s="426">
        <f t="shared" si="23"/>
        <v>0.17952212266987375</v>
      </c>
      <c r="R127" s="532">
        <f t="shared" si="14"/>
        <v>2.1001778472670766E-2</v>
      </c>
    </row>
    <row r="128" spans="1:18" s="6" customFormat="1" ht="15.75">
      <c r="A128" s="268">
        <v>37</v>
      </c>
      <c r="B128" s="176" t="s">
        <v>89</v>
      </c>
      <c r="C128" s="157">
        <v>1831.3</v>
      </c>
      <c r="D128" s="157"/>
      <c r="E128" s="157"/>
      <c r="F128" s="611">
        <f t="shared" si="16"/>
        <v>1831.3</v>
      </c>
      <c r="G128" s="18">
        <v>128.5</v>
      </c>
      <c r="H128" s="827">
        <v>38</v>
      </c>
      <c r="I128" s="330"/>
      <c r="J128" s="330"/>
      <c r="K128" s="142">
        <f t="shared" si="15"/>
        <v>38</v>
      </c>
      <c r="L128" s="589">
        <f t="shared" si="19"/>
        <v>7.6167568651032275E-3</v>
      </c>
      <c r="M128" s="315">
        <f t="shared" si="22"/>
        <v>17.283411505311687</v>
      </c>
      <c r="N128" s="592">
        <f t="shared" si="20"/>
        <v>6.3551104105031078</v>
      </c>
      <c r="O128" s="498">
        <v>6.8976019879892316</v>
      </c>
      <c r="P128" s="427">
        <f t="shared" si="21"/>
        <v>1.8654199238324314</v>
      </c>
      <c r="Q128" s="426">
        <f t="shared" si="23"/>
        <v>2.2739468871517339</v>
      </c>
      <c r="R128" s="532">
        <f t="shared" si="14"/>
        <v>1.7693192719727222E-2</v>
      </c>
    </row>
    <row r="129" spans="1:18" s="6" customFormat="1" ht="15.75">
      <c r="A129" s="268">
        <v>38</v>
      </c>
      <c r="B129" s="176" t="s">
        <v>90</v>
      </c>
      <c r="C129" s="157">
        <v>1844.3</v>
      </c>
      <c r="D129" s="157"/>
      <c r="E129" s="157"/>
      <c r="F129" s="611">
        <f t="shared" si="16"/>
        <v>1844.3</v>
      </c>
      <c r="G129" s="18">
        <v>88.3</v>
      </c>
      <c r="H129" s="827">
        <v>38</v>
      </c>
      <c r="I129" s="330"/>
      <c r="J129" s="330"/>
      <c r="K129" s="142">
        <f t="shared" si="15"/>
        <v>38</v>
      </c>
      <c r="L129" s="589">
        <f t="shared" si="19"/>
        <v>7.6167568651032275E-3</v>
      </c>
      <c r="M129" s="315">
        <f t="shared" si="22"/>
        <v>17.283411505311687</v>
      </c>
      <c r="N129" s="592">
        <f t="shared" si="20"/>
        <v>6.3551104105031078</v>
      </c>
      <c r="O129" s="498">
        <v>6.8976019879892316</v>
      </c>
      <c r="P129" s="427">
        <f t="shared" si="21"/>
        <v>1.8654199238324314</v>
      </c>
      <c r="Q129" s="426">
        <f t="shared" si="23"/>
        <v>2.2739468871517339</v>
      </c>
      <c r="R129" s="532">
        <f t="shared" si="14"/>
        <v>1.7568477919880962E-2</v>
      </c>
    </row>
    <row r="130" spans="1:18" s="6" customFormat="1" ht="15.75">
      <c r="A130" s="268">
        <v>39</v>
      </c>
      <c r="B130" s="176" t="s">
        <v>91</v>
      </c>
      <c r="C130" s="157">
        <v>193.76</v>
      </c>
      <c r="D130" s="157"/>
      <c r="E130" s="157"/>
      <c r="F130" s="611">
        <f t="shared" si="16"/>
        <v>193.76</v>
      </c>
      <c r="G130" s="18">
        <v>71.2</v>
      </c>
      <c r="H130" s="827">
        <v>4</v>
      </c>
      <c r="I130" s="330"/>
      <c r="J130" s="330"/>
      <c r="K130" s="142">
        <f t="shared" si="15"/>
        <v>4</v>
      </c>
      <c r="L130" s="589">
        <f t="shared" si="19"/>
        <v>8.0176388053718184E-4</v>
      </c>
      <c r="M130" s="315">
        <f t="shared" si="22"/>
        <v>1.8193064742433356</v>
      </c>
      <c r="N130" s="592">
        <f t="shared" si="20"/>
        <v>0.66895899057927455</v>
      </c>
      <c r="O130" s="498">
        <v>0.72606336715676123</v>
      </c>
      <c r="P130" s="427">
        <f t="shared" si="21"/>
        <v>0.1963599919823612</v>
      </c>
      <c r="Q130" s="426">
        <f t="shared" si="23"/>
        <v>0.23936283022649832</v>
      </c>
      <c r="R130" s="532">
        <f t="shared" si="14"/>
        <v>1.7602646696747177E-2</v>
      </c>
    </row>
    <row r="131" spans="1:18" s="6" customFormat="1" ht="15.75">
      <c r="A131" s="268">
        <v>40</v>
      </c>
      <c r="B131" s="176" t="s">
        <v>92</v>
      </c>
      <c r="C131" s="157">
        <v>1841.4</v>
      </c>
      <c r="D131" s="157"/>
      <c r="E131" s="157"/>
      <c r="F131" s="611">
        <f t="shared" si="16"/>
        <v>1841.4</v>
      </c>
      <c r="G131" s="18">
        <v>44.5</v>
      </c>
      <c r="H131" s="827">
        <v>40</v>
      </c>
      <c r="I131" s="330"/>
      <c r="J131" s="330"/>
      <c r="K131" s="142">
        <f t="shared" si="15"/>
        <v>40</v>
      </c>
      <c r="L131" s="589">
        <f t="shared" si="19"/>
        <v>8.0176388053718184E-3</v>
      </c>
      <c r="M131" s="315">
        <f t="shared" si="22"/>
        <v>18.193064742433354</v>
      </c>
      <c r="N131" s="592">
        <f t="shared" si="20"/>
        <v>6.6895899057927446</v>
      </c>
      <c r="O131" s="498">
        <v>7.2606336715676125</v>
      </c>
      <c r="P131" s="427">
        <f t="shared" si="21"/>
        <v>1.963599919823612</v>
      </c>
      <c r="Q131" s="426">
        <f t="shared" si="23"/>
        <v>2.3936283022649834</v>
      </c>
      <c r="R131" s="532">
        <f t="shared" si="14"/>
        <v>1.8522259280774046E-2</v>
      </c>
    </row>
    <row r="132" spans="1:18" s="6" customFormat="1" ht="15.75">
      <c r="A132" s="268">
        <v>41</v>
      </c>
      <c r="B132" s="176" t="s">
        <v>93</v>
      </c>
      <c r="C132" s="157">
        <v>262.3</v>
      </c>
      <c r="D132" s="157"/>
      <c r="E132" s="157"/>
      <c r="F132" s="611">
        <f t="shared" si="16"/>
        <v>262.3</v>
      </c>
      <c r="G132" s="18">
        <v>201.3</v>
      </c>
      <c r="H132" s="827">
        <v>5</v>
      </c>
      <c r="I132" s="330"/>
      <c r="J132" s="330"/>
      <c r="K132" s="142">
        <f t="shared" si="15"/>
        <v>5</v>
      </c>
      <c r="L132" s="589">
        <f t="shared" si="19"/>
        <v>1.0022048506714773E-3</v>
      </c>
      <c r="M132" s="315">
        <f t="shared" si="22"/>
        <v>2.2741330928041692</v>
      </c>
      <c r="N132" s="592">
        <f t="shared" si="20"/>
        <v>0.83619873822409307</v>
      </c>
      <c r="O132" s="498">
        <v>0.90757920894595157</v>
      </c>
      <c r="P132" s="427">
        <f t="shared" si="21"/>
        <v>0.2454499899779515</v>
      </c>
      <c r="Q132" s="426">
        <f t="shared" si="23"/>
        <v>0.29920353778312292</v>
      </c>
      <c r="R132" s="532">
        <f t="shared" si="14"/>
        <v>1.6253759168708217E-2</v>
      </c>
    </row>
    <row r="133" spans="1:18" s="6" customFormat="1" ht="15.75">
      <c r="A133" s="268">
        <v>42</v>
      </c>
      <c r="B133" s="176" t="s">
        <v>94</v>
      </c>
      <c r="C133" s="157">
        <v>94.7</v>
      </c>
      <c r="D133" s="157"/>
      <c r="E133" s="157"/>
      <c r="F133" s="611">
        <f t="shared" si="16"/>
        <v>94.7</v>
      </c>
      <c r="G133" s="18">
        <v>38.799999999999997</v>
      </c>
      <c r="H133" s="827">
        <v>3</v>
      </c>
      <c r="I133" s="330"/>
      <c r="J133" s="330"/>
      <c r="K133" s="142">
        <f t="shared" si="15"/>
        <v>3</v>
      </c>
      <c r="L133" s="589">
        <f t="shared" si="19"/>
        <v>6.0132291040288638E-4</v>
      </c>
      <c r="M133" s="315">
        <f t="shared" si="22"/>
        <v>1.3644798556825017</v>
      </c>
      <c r="N133" s="592">
        <f t="shared" si="20"/>
        <v>0.50171924293445591</v>
      </c>
      <c r="O133" s="498">
        <v>0.54454752536757089</v>
      </c>
      <c r="P133" s="427">
        <f t="shared" si="21"/>
        <v>0.1472699939867709</v>
      </c>
      <c r="Q133" s="426">
        <f t="shared" si="23"/>
        <v>0.17952212266987375</v>
      </c>
      <c r="R133" s="532">
        <f t="shared" si="14"/>
        <v>2.7011791108461448E-2</v>
      </c>
    </row>
    <row r="134" spans="1:18" s="6" customFormat="1" ht="15.75">
      <c r="A134" s="275">
        <v>43</v>
      </c>
      <c r="B134" s="176" t="s">
        <v>95</v>
      </c>
      <c r="C134" s="157">
        <v>38</v>
      </c>
      <c r="D134" s="157"/>
      <c r="E134" s="157"/>
      <c r="F134" s="611">
        <f t="shared" si="16"/>
        <v>38</v>
      </c>
      <c r="G134" s="18">
        <v>33.6</v>
      </c>
      <c r="H134" s="827">
        <v>1</v>
      </c>
      <c r="I134" s="330"/>
      <c r="J134" s="330"/>
      <c r="K134" s="142">
        <f t="shared" si="15"/>
        <v>1</v>
      </c>
      <c r="L134" s="589">
        <f t="shared" si="19"/>
        <v>2.0044097013429546E-4</v>
      </c>
      <c r="M134" s="315">
        <f t="shared" si="22"/>
        <v>0.4548266185608339</v>
      </c>
      <c r="N134" s="592">
        <f t="shared" si="20"/>
        <v>0.16723974764481864</v>
      </c>
      <c r="O134" s="498">
        <v>0.18151584178919031</v>
      </c>
      <c r="P134" s="427">
        <f t="shared" si="21"/>
        <v>4.9089997995590301E-2</v>
      </c>
      <c r="Q134" s="426">
        <f t="shared" si="23"/>
        <v>5.984070755662458E-2</v>
      </c>
      <c r="R134" s="532">
        <f t="shared" si="14"/>
        <v>2.2438742262906135E-2</v>
      </c>
    </row>
    <row r="135" spans="1:18" s="6" customFormat="1" ht="15.75">
      <c r="A135" s="268">
        <v>44</v>
      </c>
      <c r="B135" s="176" t="s">
        <v>96</v>
      </c>
      <c r="C135" s="157">
        <v>1687.6</v>
      </c>
      <c r="D135" s="157">
        <v>124.8</v>
      </c>
      <c r="E135" s="157"/>
      <c r="F135" s="611">
        <f t="shared" si="16"/>
        <v>1812.3999999999999</v>
      </c>
      <c r="G135" s="18">
        <v>84.1</v>
      </c>
      <c r="H135" s="827">
        <v>37</v>
      </c>
      <c r="I135" s="330">
        <v>2</v>
      </c>
      <c r="J135" s="330"/>
      <c r="K135" s="142">
        <f t="shared" si="15"/>
        <v>39</v>
      </c>
      <c r="L135" s="589">
        <f t="shared" si="19"/>
        <v>7.8171978352375229E-3</v>
      </c>
      <c r="M135" s="315">
        <f t="shared" si="22"/>
        <v>17.73823812387252</v>
      </c>
      <c r="N135" s="592">
        <f t="shared" si="20"/>
        <v>6.5223501581479262</v>
      </c>
      <c r="O135" s="498">
        <v>7.0791178297784221</v>
      </c>
      <c r="P135" s="427">
        <f t="shared" si="21"/>
        <v>1.9145099218280217</v>
      </c>
      <c r="Q135" s="426">
        <f t="shared" si="23"/>
        <v>2.3337875947083586</v>
      </c>
      <c r="R135" s="532">
        <f t="shared" ref="R135:R198" si="24">(M135+N135+O135+P135)/C135</f>
        <v>1.9705034388259594E-2</v>
      </c>
    </row>
    <row r="136" spans="1:18" s="6" customFormat="1" ht="15.75">
      <c r="A136" s="268">
        <v>45</v>
      </c>
      <c r="B136" s="176" t="s">
        <v>97</v>
      </c>
      <c r="C136" s="157">
        <v>155.80000000000001</v>
      </c>
      <c r="D136" s="157"/>
      <c r="E136" s="157"/>
      <c r="F136" s="611">
        <f t="shared" si="16"/>
        <v>155.80000000000001</v>
      </c>
      <c r="G136" s="18">
        <v>30.8</v>
      </c>
      <c r="H136" s="827">
        <v>4</v>
      </c>
      <c r="I136" s="330"/>
      <c r="J136" s="330"/>
      <c r="K136" s="142">
        <f t="shared" si="15"/>
        <v>4</v>
      </c>
      <c r="L136" s="589">
        <f t="shared" si="19"/>
        <v>8.0176388053718184E-4</v>
      </c>
      <c r="M136" s="315">
        <f t="shared" si="22"/>
        <v>1.8193064742433356</v>
      </c>
      <c r="N136" s="592">
        <f t="shared" si="20"/>
        <v>0.66895899057927455</v>
      </c>
      <c r="O136" s="498">
        <v>0.72606336715676123</v>
      </c>
      <c r="P136" s="427">
        <f t="shared" si="21"/>
        <v>0.1963599919823612</v>
      </c>
      <c r="Q136" s="426">
        <f t="shared" si="23"/>
        <v>0.23936283022649832</v>
      </c>
      <c r="R136" s="532">
        <f t="shared" si="24"/>
        <v>2.1891455866249885E-2</v>
      </c>
    </row>
    <row r="137" spans="1:18" s="6" customFormat="1" ht="15.75">
      <c r="A137" s="268">
        <v>46</v>
      </c>
      <c r="B137" s="176" t="s">
        <v>98</v>
      </c>
      <c r="C137" s="157">
        <v>378.1</v>
      </c>
      <c r="D137" s="157"/>
      <c r="E137" s="157"/>
      <c r="F137" s="611">
        <f t="shared" si="16"/>
        <v>378.1</v>
      </c>
      <c r="G137" s="18">
        <v>137.80000000000001</v>
      </c>
      <c r="H137" s="827">
        <v>14</v>
      </c>
      <c r="I137" s="330"/>
      <c r="J137" s="330"/>
      <c r="K137" s="142">
        <f t="shared" si="15"/>
        <v>14</v>
      </c>
      <c r="L137" s="589">
        <f t="shared" si="19"/>
        <v>2.8061735818801364E-3</v>
      </c>
      <c r="M137" s="315">
        <f t="shared" si="22"/>
        <v>6.3675726598516746</v>
      </c>
      <c r="N137" s="592">
        <f t="shared" si="20"/>
        <v>2.3413564670274609</v>
      </c>
      <c r="O137" s="498">
        <v>2.541221785048664</v>
      </c>
      <c r="P137" s="427">
        <f t="shared" si="21"/>
        <v>0.68725997193826416</v>
      </c>
      <c r="Q137" s="426">
        <f t="shared" si="23"/>
        <v>0.83776990579274402</v>
      </c>
      <c r="R137" s="532">
        <f t="shared" si="24"/>
        <v>3.1572099666400594E-2</v>
      </c>
    </row>
    <row r="138" spans="1:18" s="6" customFormat="1" ht="15.75">
      <c r="A138" s="268">
        <v>47</v>
      </c>
      <c r="B138" s="176" t="s">
        <v>99</v>
      </c>
      <c r="C138" s="157">
        <v>120.9</v>
      </c>
      <c r="D138" s="157"/>
      <c r="E138" s="157"/>
      <c r="F138" s="611">
        <f t="shared" si="16"/>
        <v>120.9</v>
      </c>
      <c r="G138" s="18">
        <v>18.2</v>
      </c>
      <c r="H138" s="827">
        <v>4</v>
      </c>
      <c r="I138" s="330"/>
      <c r="J138" s="330"/>
      <c r="K138" s="142">
        <f t="shared" si="15"/>
        <v>4</v>
      </c>
      <c r="L138" s="589">
        <f t="shared" si="19"/>
        <v>8.0176388053718184E-4</v>
      </c>
      <c r="M138" s="315">
        <f t="shared" si="22"/>
        <v>1.8193064742433356</v>
      </c>
      <c r="N138" s="592">
        <f t="shared" si="20"/>
        <v>0.66895899057927455</v>
      </c>
      <c r="O138" s="498">
        <v>0.72606336715676123</v>
      </c>
      <c r="P138" s="427">
        <f t="shared" si="21"/>
        <v>0.1963599919823612</v>
      </c>
      <c r="Q138" s="426">
        <f t="shared" si="23"/>
        <v>0.23936283022649832</v>
      </c>
      <c r="R138" s="532">
        <f t="shared" si="24"/>
        <v>2.8210825673794314E-2</v>
      </c>
    </row>
    <row r="139" spans="1:18" s="6" customFormat="1" ht="15.75">
      <c r="A139" s="268">
        <v>48</v>
      </c>
      <c r="B139" s="176" t="s">
        <v>100</v>
      </c>
      <c r="C139" s="157">
        <v>2458.6999999999998</v>
      </c>
      <c r="D139" s="157"/>
      <c r="E139" s="157">
        <v>90.3</v>
      </c>
      <c r="F139" s="611">
        <f t="shared" si="16"/>
        <v>2549</v>
      </c>
      <c r="G139" s="18">
        <v>411.2</v>
      </c>
      <c r="H139" s="827">
        <v>58</v>
      </c>
      <c r="I139" s="330"/>
      <c r="J139" s="330">
        <v>1</v>
      </c>
      <c r="K139" s="142">
        <f t="shared" si="15"/>
        <v>59</v>
      </c>
      <c r="L139" s="589">
        <f t="shared" si="19"/>
        <v>1.1826017237923432E-2</v>
      </c>
      <c r="M139" s="315">
        <f t="shared" si="22"/>
        <v>26.834770495089199</v>
      </c>
      <c r="N139" s="592">
        <f t="shared" si="20"/>
        <v>9.8671451110442998</v>
      </c>
      <c r="O139" s="498">
        <v>10.709434665562227</v>
      </c>
      <c r="P139" s="427">
        <f t="shared" si="21"/>
        <v>2.8963098817398278</v>
      </c>
      <c r="Q139" s="426">
        <f t="shared" si="23"/>
        <v>3.5306017458408503</v>
      </c>
      <c r="R139" s="532">
        <f t="shared" si="24"/>
        <v>2.0461081121501426E-2</v>
      </c>
    </row>
    <row r="140" spans="1:18" s="6" customFormat="1" ht="15.75">
      <c r="A140" s="268">
        <v>49</v>
      </c>
      <c r="B140" s="176" t="s">
        <v>101</v>
      </c>
      <c r="C140" s="157">
        <v>2593.29</v>
      </c>
      <c r="D140" s="157"/>
      <c r="E140" s="157"/>
      <c r="F140" s="611">
        <f t="shared" si="16"/>
        <v>2593.29</v>
      </c>
      <c r="G140" s="18">
        <v>415.9</v>
      </c>
      <c r="H140" s="827">
        <v>60</v>
      </c>
      <c r="I140" s="330"/>
      <c r="J140" s="330"/>
      <c r="K140" s="142">
        <f t="shared" si="15"/>
        <v>60</v>
      </c>
      <c r="L140" s="589">
        <f t="shared" si="19"/>
        <v>1.2026458208057728E-2</v>
      </c>
      <c r="M140" s="315">
        <f t="shared" si="22"/>
        <v>27.289597113650032</v>
      </c>
      <c r="N140" s="592">
        <f t="shared" si="20"/>
        <v>10.034384858689117</v>
      </c>
      <c r="O140" s="498">
        <v>10.890950507351418</v>
      </c>
      <c r="P140" s="427">
        <f t="shared" si="21"/>
        <v>2.9453998797354179</v>
      </c>
      <c r="Q140" s="426">
        <f t="shared" si="23"/>
        <v>3.5904424533974746</v>
      </c>
      <c r="R140" s="532">
        <f t="shared" si="24"/>
        <v>1.9727964230543436E-2</v>
      </c>
    </row>
    <row r="141" spans="1:18" s="6" customFormat="1" ht="15.75">
      <c r="A141" s="275">
        <v>50</v>
      </c>
      <c r="B141" s="274" t="s">
        <v>102</v>
      </c>
      <c r="C141" s="157">
        <v>330.82</v>
      </c>
      <c r="D141" s="157">
        <v>55</v>
      </c>
      <c r="E141" s="157"/>
      <c r="F141" s="611">
        <f t="shared" si="16"/>
        <v>385.82</v>
      </c>
      <c r="G141" s="18">
        <v>111.4</v>
      </c>
      <c r="H141" s="827">
        <v>8</v>
      </c>
      <c r="I141" s="330">
        <v>2</v>
      </c>
      <c r="J141" s="330"/>
      <c r="K141" s="142">
        <f t="shared" si="15"/>
        <v>10</v>
      </c>
      <c r="L141" s="589">
        <f t="shared" si="19"/>
        <v>2.0044097013429546E-3</v>
      </c>
      <c r="M141" s="315">
        <f t="shared" si="22"/>
        <v>4.5482661856083384</v>
      </c>
      <c r="N141" s="592">
        <f t="shared" si="20"/>
        <v>1.6723974764481861</v>
      </c>
      <c r="O141" s="498">
        <v>1.8151584178919031</v>
      </c>
      <c r="P141" s="427">
        <f t="shared" si="21"/>
        <v>0.49089997995590301</v>
      </c>
      <c r="Q141" s="426">
        <f t="shared" si="23"/>
        <v>0.59840707556624584</v>
      </c>
      <c r="R141" s="532">
        <f t="shared" si="24"/>
        <v>2.5774505954610762E-2</v>
      </c>
    </row>
    <row r="142" spans="1:18" s="6" customFormat="1" ht="15.75">
      <c r="A142" s="268">
        <v>51</v>
      </c>
      <c r="B142" s="176" t="s">
        <v>103</v>
      </c>
      <c r="C142" s="157">
        <v>1699.75</v>
      </c>
      <c r="D142" s="157"/>
      <c r="E142" s="157"/>
      <c r="F142" s="611">
        <f t="shared" si="16"/>
        <v>1699.75</v>
      </c>
      <c r="G142" s="18">
        <v>110.2</v>
      </c>
      <c r="H142" s="827">
        <v>36</v>
      </c>
      <c r="I142" s="330"/>
      <c r="J142" s="330"/>
      <c r="K142" s="142">
        <f t="shared" si="15"/>
        <v>36</v>
      </c>
      <c r="L142" s="589">
        <f t="shared" si="19"/>
        <v>7.2158749248346366E-3</v>
      </c>
      <c r="M142" s="315">
        <f t="shared" si="22"/>
        <v>16.37375826819002</v>
      </c>
      <c r="N142" s="592">
        <f t="shared" si="20"/>
        <v>6.0206309152134709</v>
      </c>
      <c r="O142" s="498">
        <v>6.5345703044108516</v>
      </c>
      <c r="P142" s="427">
        <f t="shared" si="21"/>
        <v>1.7672399278412507</v>
      </c>
      <c r="Q142" s="426">
        <f t="shared" si="23"/>
        <v>2.1542654720384848</v>
      </c>
      <c r="R142" s="532">
        <f t="shared" si="24"/>
        <v>1.8059243662688979E-2</v>
      </c>
    </row>
    <row r="143" spans="1:18" s="6" customFormat="1" ht="15.75">
      <c r="A143" s="268">
        <v>52</v>
      </c>
      <c r="B143" s="176" t="s">
        <v>104</v>
      </c>
      <c r="C143" s="157">
        <v>211.46</v>
      </c>
      <c r="D143" s="157"/>
      <c r="E143" s="157">
        <v>12.6</v>
      </c>
      <c r="F143" s="611">
        <f t="shared" si="16"/>
        <v>224.06</v>
      </c>
      <c r="G143" s="18">
        <v>37.9</v>
      </c>
      <c r="H143" s="827">
        <v>3</v>
      </c>
      <c r="I143" s="330"/>
      <c r="J143" s="330">
        <v>1</v>
      </c>
      <c r="K143" s="142">
        <f t="shared" ref="K143:K205" si="25">H143+I143+J143</f>
        <v>4</v>
      </c>
      <c r="L143" s="589">
        <f t="shared" si="19"/>
        <v>8.0176388053718184E-4</v>
      </c>
      <c r="M143" s="315">
        <f t="shared" si="22"/>
        <v>1.8193064742433356</v>
      </c>
      <c r="N143" s="592">
        <f t="shared" si="20"/>
        <v>0.66895899057927455</v>
      </c>
      <c r="O143" s="498">
        <v>0.72606336715676123</v>
      </c>
      <c r="P143" s="427">
        <f t="shared" si="21"/>
        <v>0.1963599919823612</v>
      </c>
      <c r="Q143" s="426">
        <f t="shared" si="23"/>
        <v>0.23936283022649832</v>
      </c>
      <c r="R143" s="532">
        <f t="shared" si="24"/>
        <v>1.61292387400063E-2</v>
      </c>
    </row>
    <row r="144" spans="1:18" s="6" customFormat="1" ht="15.75">
      <c r="A144" s="268">
        <v>53</v>
      </c>
      <c r="B144" s="176" t="s">
        <v>105</v>
      </c>
      <c r="C144" s="157">
        <v>138.9</v>
      </c>
      <c r="D144" s="157"/>
      <c r="E144" s="157"/>
      <c r="F144" s="611">
        <f t="shared" ref="F144:F206" si="26">C144+D144+E144</f>
        <v>138.9</v>
      </c>
      <c r="G144" s="18">
        <v>55</v>
      </c>
      <c r="H144" s="827">
        <v>4</v>
      </c>
      <c r="I144" s="330"/>
      <c r="J144" s="330"/>
      <c r="K144" s="142">
        <f t="shared" si="25"/>
        <v>4</v>
      </c>
      <c r="L144" s="589">
        <f t="shared" si="19"/>
        <v>8.0176388053718184E-4</v>
      </c>
      <c r="M144" s="315">
        <f t="shared" si="22"/>
        <v>1.8193064742433356</v>
      </c>
      <c r="N144" s="592">
        <f t="shared" si="20"/>
        <v>0.66895899057927455</v>
      </c>
      <c r="O144" s="498">
        <v>0.72606336715676123</v>
      </c>
      <c r="P144" s="427">
        <f t="shared" si="21"/>
        <v>0.1963599919823612</v>
      </c>
      <c r="Q144" s="426">
        <f t="shared" si="23"/>
        <v>0.23936283022649832</v>
      </c>
      <c r="R144" s="532">
        <f t="shared" si="24"/>
        <v>2.4554995132913839E-2</v>
      </c>
    </row>
    <row r="145" spans="1:18" s="6" customFormat="1" ht="15.75">
      <c r="A145" s="268">
        <v>54</v>
      </c>
      <c r="B145" s="176" t="s">
        <v>106</v>
      </c>
      <c r="C145" s="157">
        <v>8219.0300000000007</v>
      </c>
      <c r="D145" s="157">
        <v>69.3</v>
      </c>
      <c r="E145" s="157">
        <v>122.5</v>
      </c>
      <c r="F145" s="611">
        <f t="shared" si="26"/>
        <v>8410.83</v>
      </c>
      <c r="G145" s="18">
        <v>695.7</v>
      </c>
      <c r="H145" s="827">
        <v>141</v>
      </c>
      <c r="I145" s="330">
        <v>1</v>
      </c>
      <c r="J145" s="330">
        <v>2</v>
      </c>
      <c r="K145" s="142">
        <f t="shared" si="25"/>
        <v>144</v>
      </c>
      <c r="L145" s="589">
        <f t="shared" si="19"/>
        <v>2.8863499699338546E-2</v>
      </c>
      <c r="M145" s="315">
        <f t="shared" si="22"/>
        <v>65.49503307276008</v>
      </c>
      <c r="N145" s="592">
        <f t="shared" si="20"/>
        <v>24.082523660853884</v>
      </c>
      <c r="O145" s="498">
        <v>26.138281217643407</v>
      </c>
      <c r="P145" s="427">
        <f t="shared" si="21"/>
        <v>7.0689597113650029</v>
      </c>
      <c r="Q145" s="426">
        <f t="shared" si="23"/>
        <v>8.6170618881539394</v>
      </c>
      <c r="R145" s="532">
        <f t="shared" si="24"/>
        <v>1.4939086201488783E-2</v>
      </c>
    </row>
    <row r="146" spans="1:18" s="6" customFormat="1" ht="15.75">
      <c r="A146" s="268">
        <v>55</v>
      </c>
      <c r="B146" s="176" t="s">
        <v>1347</v>
      </c>
      <c r="C146" s="157">
        <v>953.56</v>
      </c>
      <c r="D146" s="157"/>
      <c r="E146" s="157"/>
      <c r="F146" s="611">
        <f t="shared" si="26"/>
        <v>953.56</v>
      </c>
      <c r="G146" s="18">
        <v>130</v>
      </c>
      <c r="H146" s="827">
        <v>20</v>
      </c>
      <c r="I146" s="330"/>
      <c r="J146" s="330"/>
      <c r="K146" s="142">
        <f t="shared" si="25"/>
        <v>20</v>
      </c>
      <c r="L146" s="589">
        <f t="shared" si="19"/>
        <v>4.0088194026859092E-3</v>
      </c>
      <c r="M146" s="315">
        <f t="shared" si="22"/>
        <v>9.0965323712166768</v>
      </c>
      <c r="N146" s="592">
        <f t="shared" si="20"/>
        <v>3.3447949528963723</v>
      </c>
      <c r="O146" s="498">
        <v>3.6303168357838063</v>
      </c>
      <c r="P146" s="427">
        <f t="shared" si="21"/>
        <v>0.98179995991180602</v>
      </c>
      <c r="Q146" s="426">
        <f t="shared" si="23"/>
        <v>1.1968141511324917</v>
      </c>
      <c r="R146" s="532">
        <f t="shared" si="24"/>
        <v>1.7883975963556214E-2</v>
      </c>
    </row>
    <row r="147" spans="1:18" s="6" customFormat="1" ht="15.75">
      <c r="A147" s="268">
        <v>56</v>
      </c>
      <c r="B147" s="176" t="s">
        <v>1348</v>
      </c>
      <c r="C147" s="157">
        <v>1663</v>
      </c>
      <c r="D147" s="157"/>
      <c r="E147" s="157">
        <v>57.1</v>
      </c>
      <c r="F147" s="611">
        <f t="shared" si="26"/>
        <v>1720.1</v>
      </c>
      <c r="G147" s="18">
        <v>250</v>
      </c>
      <c r="H147" s="827">
        <v>30</v>
      </c>
      <c r="I147" s="330"/>
      <c r="J147" s="330">
        <v>1</v>
      </c>
      <c r="K147" s="142">
        <f t="shared" si="25"/>
        <v>31</v>
      </c>
      <c r="L147" s="589">
        <f t="shared" si="19"/>
        <v>6.2136700741631593E-3</v>
      </c>
      <c r="M147" s="315">
        <f t="shared" si="22"/>
        <v>14.099625175385849</v>
      </c>
      <c r="N147" s="592">
        <f t="shared" si="20"/>
        <v>5.1844321769893771</v>
      </c>
      <c r="O147" s="498">
        <v>5.6269910954648994</v>
      </c>
      <c r="P147" s="427">
        <f t="shared" si="21"/>
        <v>1.5217899378632993</v>
      </c>
      <c r="Q147" s="426">
        <f t="shared" si="23"/>
        <v>1.855061934255362</v>
      </c>
      <c r="R147" s="532">
        <f t="shared" si="24"/>
        <v>1.5894671308300318E-2</v>
      </c>
    </row>
    <row r="148" spans="1:18" s="6" customFormat="1" ht="15.75">
      <c r="A148" s="275">
        <v>57</v>
      </c>
      <c r="B148" s="176" t="s">
        <v>1350</v>
      </c>
      <c r="C148" s="157">
        <v>1033.02</v>
      </c>
      <c r="D148" s="157"/>
      <c r="E148" s="157"/>
      <c r="F148" s="611">
        <f t="shared" si="26"/>
        <v>1033.02</v>
      </c>
      <c r="G148" s="18">
        <v>255.2</v>
      </c>
      <c r="H148" s="827">
        <v>4</v>
      </c>
      <c r="I148" s="330"/>
      <c r="J148" s="330"/>
      <c r="K148" s="142">
        <f t="shared" si="25"/>
        <v>4</v>
      </c>
      <c r="L148" s="589">
        <f t="shared" si="19"/>
        <v>8.0176388053718184E-4</v>
      </c>
      <c r="M148" s="315">
        <f t="shared" si="22"/>
        <v>1.8193064742433356</v>
      </c>
      <c r="N148" s="592">
        <f t="shared" si="20"/>
        <v>0.66895899057927455</v>
      </c>
      <c r="O148" s="498">
        <v>0.72606336715676123</v>
      </c>
      <c r="P148" s="427">
        <f t="shared" si="21"/>
        <v>0.1963599919823612</v>
      </c>
      <c r="Q148" s="426">
        <f t="shared" si="23"/>
        <v>0.23936283022649832</v>
      </c>
      <c r="R148" s="532">
        <f t="shared" si="24"/>
        <v>3.3016677547014896E-3</v>
      </c>
    </row>
    <row r="149" spans="1:18" s="6" customFormat="1" ht="15.75">
      <c r="A149" s="268">
        <v>58</v>
      </c>
      <c r="B149" s="176" t="s">
        <v>1351</v>
      </c>
      <c r="C149" s="157">
        <v>220.38</v>
      </c>
      <c r="D149" s="157"/>
      <c r="E149" s="157"/>
      <c r="F149" s="611">
        <f t="shared" si="26"/>
        <v>220.38</v>
      </c>
      <c r="G149" s="18">
        <v>55.2</v>
      </c>
      <c r="H149" s="827">
        <v>20</v>
      </c>
      <c r="I149" s="330"/>
      <c r="J149" s="330"/>
      <c r="K149" s="142">
        <f t="shared" si="25"/>
        <v>20</v>
      </c>
      <c r="L149" s="589">
        <f t="shared" si="19"/>
        <v>4.0088194026859092E-3</v>
      </c>
      <c r="M149" s="315">
        <f t="shared" si="22"/>
        <v>9.0965323712166768</v>
      </c>
      <c r="N149" s="592">
        <f t="shared" si="20"/>
        <v>3.3447949528963723</v>
      </c>
      <c r="O149" s="498">
        <v>3.6303168357838063</v>
      </c>
      <c r="P149" s="427">
        <f t="shared" si="21"/>
        <v>0.98179995991180602</v>
      </c>
      <c r="Q149" s="426">
        <f t="shared" si="23"/>
        <v>1.1968141511324917</v>
      </c>
      <c r="R149" s="532">
        <f t="shared" si="24"/>
        <v>7.7381995280010274E-2</v>
      </c>
    </row>
    <row r="150" spans="1:18" s="6" customFormat="1" ht="15.75">
      <c r="A150" s="268">
        <v>59</v>
      </c>
      <c r="B150" s="176" t="s">
        <v>107</v>
      </c>
      <c r="C150" s="157">
        <v>1928.15</v>
      </c>
      <c r="D150" s="157">
        <v>45.4</v>
      </c>
      <c r="E150" s="157"/>
      <c r="F150" s="611">
        <f t="shared" si="26"/>
        <v>1973.5500000000002</v>
      </c>
      <c r="G150" s="18">
        <v>407.9</v>
      </c>
      <c r="H150" s="827">
        <v>24</v>
      </c>
      <c r="I150" s="330">
        <v>1</v>
      </c>
      <c r="J150" s="330"/>
      <c r="K150" s="142">
        <f t="shared" si="25"/>
        <v>25</v>
      </c>
      <c r="L150" s="589">
        <f t="shared" si="19"/>
        <v>5.0110242533573865E-3</v>
      </c>
      <c r="M150" s="315">
        <f t="shared" si="22"/>
        <v>11.370665464020847</v>
      </c>
      <c r="N150" s="592">
        <f t="shared" si="20"/>
        <v>4.1809936911204657</v>
      </c>
      <c r="O150" s="498">
        <v>4.5378960447297576</v>
      </c>
      <c r="P150" s="427">
        <f t="shared" si="21"/>
        <v>1.2272499498897576</v>
      </c>
      <c r="Q150" s="426">
        <f t="shared" si="23"/>
        <v>1.4960176889156145</v>
      </c>
      <c r="R150" s="532">
        <f t="shared" si="24"/>
        <v>1.1055574073469817E-2</v>
      </c>
    </row>
    <row r="151" spans="1:18" s="6" customFormat="1" ht="15.75">
      <c r="A151" s="268">
        <v>60</v>
      </c>
      <c r="B151" s="176" t="s">
        <v>108</v>
      </c>
      <c r="C151" s="157">
        <v>1135.5999999999999</v>
      </c>
      <c r="D151" s="157">
        <v>154.9</v>
      </c>
      <c r="E151" s="157"/>
      <c r="F151" s="611">
        <f t="shared" si="26"/>
        <v>1290.5</v>
      </c>
      <c r="G151" s="18">
        <v>302.10000000000002</v>
      </c>
      <c r="H151" s="827">
        <v>24</v>
      </c>
      <c r="I151" s="330">
        <v>3</v>
      </c>
      <c r="J151" s="330"/>
      <c r="K151" s="142">
        <f t="shared" si="25"/>
        <v>27</v>
      </c>
      <c r="L151" s="589">
        <f t="shared" si="19"/>
        <v>5.4119061936259774E-3</v>
      </c>
      <c r="M151" s="315">
        <f t="shared" si="22"/>
        <v>12.280318701142514</v>
      </c>
      <c r="N151" s="592">
        <f t="shared" si="20"/>
        <v>4.5154731864101025</v>
      </c>
      <c r="O151" s="498">
        <v>4.9009277283081385</v>
      </c>
      <c r="P151" s="427">
        <f t="shared" si="21"/>
        <v>1.3254299458809382</v>
      </c>
      <c r="Q151" s="426">
        <f t="shared" si="23"/>
        <v>1.6156991040288637</v>
      </c>
      <c r="R151" s="532">
        <f t="shared" si="24"/>
        <v>2.0273115147711955E-2</v>
      </c>
    </row>
    <row r="152" spans="1:18" s="6" customFormat="1" ht="15.75">
      <c r="A152" s="268">
        <v>61</v>
      </c>
      <c r="B152" s="176" t="s">
        <v>109</v>
      </c>
      <c r="C152" s="157">
        <v>194.37</v>
      </c>
      <c r="D152" s="157">
        <v>37.4</v>
      </c>
      <c r="E152" s="157"/>
      <c r="F152" s="611">
        <f t="shared" si="26"/>
        <v>231.77</v>
      </c>
      <c r="G152" s="18">
        <v>93.3</v>
      </c>
      <c r="H152" s="827">
        <v>5</v>
      </c>
      <c r="I152" s="330">
        <v>1</v>
      </c>
      <c r="J152" s="330"/>
      <c r="K152" s="142">
        <f t="shared" si="25"/>
        <v>6</v>
      </c>
      <c r="L152" s="589">
        <f t="shared" si="19"/>
        <v>1.2026458208057728E-3</v>
      </c>
      <c r="M152" s="315">
        <f t="shared" si="22"/>
        <v>2.7289597113650035</v>
      </c>
      <c r="N152" s="592">
        <f t="shared" si="20"/>
        <v>1.0034384858689118</v>
      </c>
      <c r="O152" s="498">
        <v>1.0890950507351418</v>
      </c>
      <c r="P152" s="427">
        <f t="shared" si="21"/>
        <v>0.29453998797354181</v>
      </c>
      <c r="Q152" s="426">
        <f t="shared" si="23"/>
        <v>0.35904424533974749</v>
      </c>
      <c r="R152" s="532">
        <f t="shared" si="24"/>
        <v>2.6321105293731537E-2</v>
      </c>
    </row>
    <row r="153" spans="1:18" s="6" customFormat="1" ht="15.75">
      <c r="A153" s="268">
        <v>62</v>
      </c>
      <c r="B153" s="176" t="s">
        <v>110</v>
      </c>
      <c r="C153" s="157">
        <v>1422.83</v>
      </c>
      <c r="D153" s="157"/>
      <c r="E153" s="157"/>
      <c r="F153" s="611">
        <f t="shared" si="26"/>
        <v>1422.83</v>
      </c>
      <c r="G153" s="18">
        <v>299.2</v>
      </c>
      <c r="H153" s="827">
        <v>30</v>
      </c>
      <c r="I153" s="330"/>
      <c r="J153" s="330"/>
      <c r="K153" s="142">
        <f t="shared" si="25"/>
        <v>30</v>
      </c>
      <c r="L153" s="589">
        <f t="shared" si="19"/>
        <v>6.0132291040288638E-3</v>
      </c>
      <c r="M153" s="315">
        <f t="shared" si="22"/>
        <v>13.644798556825016</v>
      </c>
      <c r="N153" s="592">
        <f t="shared" si="20"/>
        <v>5.0171924293445587</v>
      </c>
      <c r="O153" s="498">
        <v>5.4454752536757089</v>
      </c>
      <c r="P153" s="427">
        <f t="shared" si="21"/>
        <v>1.472699939867709</v>
      </c>
      <c r="Q153" s="426">
        <f t="shared" si="23"/>
        <v>1.7952212266987373</v>
      </c>
      <c r="R153" s="532">
        <f t="shared" si="24"/>
        <v>1.7978371400457535E-2</v>
      </c>
    </row>
    <row r="154" spans="1:18" s="6" customFormat="1" ht="15.75">
      <c r="A154" s="268">
        <v>63</v>
      </c>
      <c r="B154" s="176" t="s">
        <v>111</v>
      </c>
      <c r="C154" s="157">
        <v>377.6</v>
      </c>
      <c r="D154" s="157"/>
      <c r="E154" s="157"/>
      <c r="F154" s="611">
        <f t="shared" si="26"/>
        <v>377.6</v>
      </c>
      <c r="G154" s="18">
        <v>51.7</v>
      </c>
      <c r="H154" s="827">
        <v>8</v>
      </c>
      <c r="I154" s="330"/>
      <c r="J154" s="330"/>
      <c r="K154" s="142">
        <f t="shared" si="25"/>
        <v>8</v>
      </c>
      <c r="L154" s="589">
        <f t="shared" si="19"/>
        <v>1.6035277610743637E-3</v>
      </c>
      <c r="M154" s="315">
        <f t="shared" si="22"/>
        <v>3.6386129484866712</v>
      </c>
      <c r="N154" s="592">
        <f t="shared" si="20"/>
        <v>1.3379179811585491</v>
      </c>
      <c r="O154" s="498">
        <v>1.4521267343135225</v>
      </c>
      <c r="P154" s="427">
        <f t="shared" si="21"/>
        <v>0.39271998396472241</v>
      </c>
      <c r="Q154" s="426">
        <f t="shared" si="23"/>
        <v>0.47872566045299664</v>
      </c>
      <c r="R154" s="532">
        <f t="shared" si="24"/>
        <v>1.8065089109966802E-2</v>
      </c>
    </row>
    <row r="155" spans="1:18" s="6" customFormat="1" ht="15.75">
      <c r="A155" s="275">
        <v>64</v>
      </c>
      <c r="B155" s="176" t="s">
        <v>112</v>
      </c>
      <c r="C155" s="157">
        <v>1527.61</v>
      </c>
      <c r="D155" s="157">
        <v>324.89999999999998</v>
      </c>
      <c r="E155" s="157"/>
      <c r="F155" s="611">
        <f t="shared" si="26"/>
        <v>1852.5099999999998</v>
      </c>
      <c r="G155" s="18">
        <v>372.9</v>
      </c>
      <c r="H155" s="827">
        <v>36</v>
      </c>
      <c r="I155" s="330">
        <v>2</v>
      </c>
      <c r="J155" s="330"/>
      <c r="K155" s="142">
        <f t="shared" si="25"/>
        <v>38</v>
      </c>
      <c r="L155" s="589">
        <f t="shared" si="19"/>
        <v>7.6167568651032275E-3</v>
      </c>
      <c r="M155" s="315">
        <f t="shared" si="22"/>
        <v>17.283411505311687</v>
      </c>
      <c r="N155" s="592">
        <f t="shared" si="20"/>
        <v>6.3551104105031078</v>
      </c>
      <c r="O155" s="498">
        <v>6.8976019879892316</v>
      </c>
      <c r="P155" s="427">
        <f t="shared" si="21"/>
        <v>1.8654199238324314</v>
      </c>
      <c r="Q155" s="426">
        <f t="shared" si="23"/>
        <v>2.2739468871517339</v>
      </c>
      <c r="R155" s="532">
        <f t="shared" si="24"/>
        <v>2.1210612543539557E-2</v>
      </c>
    </row>
    <row r="156" spans="1:18" s="6" customFormat="1" ht="15.75">
      <c r="A156" s="268">
        <v>65</v>
      </c>
      <c r="B156" s="176" t="s">
        <v>113</v>
      </c>
      <c r="C156" s="157">
        <v>2010.19</v>
      </c>
      <c r="D156" s="157"/>
      <c r="E156" s="157"/>
      <c r="F156" s="611">
        <f t="shared" si="26"/>
        <v>2010.19</v>
      </c>
      <c r="G156" s="18">
        <v>257.60000000000002</v>
      </c>
      <c r="H156" s="827">
        <v>48</v>
      </c>
      <c r="I156" s="330"/>
      <c r="J156" s="330"/>
      <c r="K156" s="142">
        <f t="shared" si="25"/>
        <v>48</v>
      </c>
      <c r="L156" s="589">
        <f t="shared" ref="L156:L219" si="27">1/4989*K156</f>
        <v>9.6211665664461821E-3</v>
      </c>
      <c r="M156" s="315">
        <f t="shared" si="22"/>
        <v>21.831677690920028</v>
      </c>
      <c r="N156" s="592">
        <f t="shared" ref="N156:N217" si="28">M156*0.3677</f>
        <v>8.0275078869512946</v>
      </c>
      <c r="O156" s="498">
        <v>8.7127604058811343</v>
      </c>
      <c r="P156" s="427">
        <f t="shared" ref="P156:P219" si="29">L156*244.91</f>
        <v>2.3563199037883344</v>
      </c>
      <c r="Q156" s="426">
        <f t="shared" si="23"/>
        <v>2.8723539627179799</v>
      </c>
      <c r="R156" s="532">
        <f t="shared" si="24"/>
        <v>2.0360396722469414E-2</v>
      </c>
    </row>
    <row r="157" spans="1:18" s="6" customFormat="1" ht="15.75">
      <c r="A157" s="268">
        <v>66</v>
      </c>
      <c r="B157" s="176" t="s">
        <v>114</v>
      </c>
      <c r="C157" s="157">
        <v>1464.32</v>
      </c>
      <c r="D157" s="157"/>
      <c r="E157" s="157"/>
      <c r="F157" s="611">
        <f t="shared" si="26"/>
        <v>1464.32</v>
      </c>
      <c r="G157" s="18">
        <v>308</v>
      </c>
      <c r="H157" s="827">
        <v>32</v>
      </c>
      <c r="I157" s="330"/>
      <c r="J157" s="330"/>
      <c r="K157" s="142">
        <f t="shared" si="25"/>
        <v>32</v>
      </c>
      <c r="L157" s="589">
        <f t="shared" si="27"/>
        <v>6.4141110442974547E-3</v>
      </c>
      <c r="M157" s="315">
        <f t="shared" ref="M157:M220" si="30">L157*2269.13</f>
        <v>14.554451793946685</v>
      </c>
      <c r="N157" s="592">
        <f t="shared" si="28"/>
        <v>5.3516719246341964</v>
      </c>
      <c r="O157" s="498">
        <v>5.8085069372540898</v>
      </c>
      <c r="P157" s="427">
        <f t="shared" si="29"/>
        <v>1.5708799358588896</v>
      </c>
      <c r="Q157" s="426">
        <f t="shared" ref="Q157:Q220" si="31">P157*1.219</f>
        <v>1.9149026418119866</v>
      </c>
      <c r="R157" s="532">
        <f t="shared" si="24"/>
        <v>1.863357093510562E-2</v>
      </c>
    </row>
    <row r="158" spans="1:18" s="6" customFormat="1" ht="15.75">
      <c r="A158" s="268">
        <v>67</v>
      </c>
      <c r="B158" s="176" t="s">
        <v>115</v>
      </c>
      <c r="C158" s="157">
        <v>152.11000000000001</v>
      </c>
      <c r="D158" s="157"/>
      <c r="E158" s="157"/>
      <c r="F158" s="611">
        <f t="shared" si="26"/>
        <v>152.11000000000001</v>
      </c>
      <c r="G158" s="18">
        <v>60.9</v>
      </c>
      <c r="H158" s="827">
        <v>4</v>
      </c>
      <c r="I158" s="330"/>
      <c r="J158" s="330"/>
      <c r="K158" s="142">
        <f t="shared" si="25"/>
        <v>4</v>
      </c>
      <c r="L158" s="589">
        <f t="shared" si="27"/>
        <v>8.0176388053718184E-4</v>
      </c>
      <c r="M158" s="315">
        <f t="shared" si="30"/>
        <v>1.8193064742433356</v>
      </c>
      <c r="N158" s="592">
        <f t="shared" si="28"/>
        <v>0.66895899057927455</v>
      </c>
      <c r="O158" s="498">
        <v>0.72606336715676123</v>
      </c>
      <c r="P158" s="427">
        <f t="shared" si="29"/>
        <v>0.1963599919823612</v>
      </c>
      <c r="Q158" s="426">
        <f t="shared" si="31"/>
        <v>0.23936283022649832</v>
      </c>
      <c r="R158" s="532">
        <f t="shared" si="24"/>
        <v>2.2422515442520097E-2</v>
      </c>
    </row>
    <row r="159" spans="1:18" s="6" customFormat="1" ht="15.75">
      <c r="A159" s="268">
        <v>68</v>
      </c>
      <c r="B159" s="176" t="s">
        <v>116</v>
      </c>
      <c r="C159" s="157">
        <v>2553.5700000000002</v>
      </c>
      <c r="D159" s="157"/>
      <c r="E159" s="157"/>
      <c r="F159" s="611">
        <f t="shared" si="26"/>
        <v>2553.5700000000002</v>
      </c>
      <c r="G159" s="18">
        <v>157.1</v>
      </c>
      <c r="H159" s="827">
        <v>60</v>
      </c>
      <c r="I159" s="330"/>
      <c r="J159" s="330"/>
      <c r="K159" s="142">
        <f t="shared" si="25"/>
        <v>60</v>
      </c>
      <c r="L159" s="589">
        <f t="shared" si="27"/>
        <v>1.2026458208057728E-2</v>
      </c>
      <c r="M159" s="315">
        <f t="shared" si="30"/>
        <v>27.289597113650032</v>
      </c>
      <c r="N159" s="592">
        <f t="shared" si="28"/>
        <v>10.034384858689117</v>
      </c>
      <c r="O159" s="498">
        <v>10.890950507351418</v>
      </c>
      <c r="P159" s="427">
        <f t="shared" si="29"/>
        <v>2.9453998797354179</v>
      </c>
      <c r="Q159" s="426">
        <f t="shared" si="31"/>
        <v>3.5904424533974746</v>
      </c>
      <c r="R159" s="532">
        <f t="shared" si="24"/>
        <v>2.0034826677720205E-2</v>
      </c>
    </row>
    <row r="160" spans="1:18" s="6" customFormat="1" ht="15.75">
      <c r="A160" s="268">
        <v>69</v>
      </c>
      <c r="B160" s="176" t="s">
        <v>117</v>
      </c>
      <c r="C160" s="157">
        <v>56.69</v>
      </c>
      <c r="D160" s="157">
        <v>45.3</v>
      </c>
      <c r="E160" s="157"/>
      <c r="F160" s="611">
        <f t="shared" si="26"/>
        <v>101.99</v>
      </c>
      <c r="G160" s="18">
        <v>80</v>
      </c>
      <c r="H160" s="827">
        <v>1</v>
      </c>
      <c r="I160" s="330">
        <v>1</v>
      </c>
      <c r="J160" s="330"/>
      <c r="K160" s="142">
        <f t="shared" si="25"/>
        <v>2</v>
      </c>
      <c r="L160" s="589">
        <f t="shared" si="27"/>
        <v>4.0088194026859092E-4</v>
      </c>
      <c r="M160" s="315">
        <f t="shared" si="30"/>
        <v>0.90965323712166779</v>
      </c>
      <c r="N160" s="592">
        <f t="shared" si="28"/>
        <v>0.33447949528963727</v>
      </c>
      <c r="O160" s="498">
        <v>0.36303168357838062</v>
      </c>
      <c r="P160" s="427">
        <f t="shared" si="29"/>
        <v>9.8179995991180602E-2</v>
      </c>
      <c r="Q160" s="426">
        <f t="shared" si="31"/>
        <v>0.11968141511324916</v>
      </c>
      <c r="R160" s="532">
        <f t="shared" si="24"/>
        <v>3.0081926476995348E-2</v>
      </c>
    </row>
    <row r="161" spans="1:18" s="6" customFormat="1" ht="15.75">
      <c r="A161" s="268">
        <v>70</v>
      </c>
      <c r="B161" s="176" t="s">
        <v>118</v>
      </c>
      <c r="C161" s="157">
        <v>166.1</v>
      </c>
      <c r="D161" s="157"/>
      <c r="E161" s="157"/>
      <c r="F161" s="611">
        <f t="shared" si="26"/>
        <v>166.1</v>
      </c>
      <c r="G161" s="18">
        <v>85.3</v>
      </c>
      <c r="H161" s="827">
        <v>3</v>
      </c>
      <c r="I161" s="330"/>
      <c r="J161" s="330"/>
      <c r="K161" s="142">
        <f t="shared" si="25"/>
        <v>3</v>
      </c>
      <c r="L161" s="589">
        <f t="shared" si="27"/>
        <v>6.0132291040288638E-4</v>
      </c>
      <c r="M161" s="315">
        <f t="shared" si="30"/>
        <v>1.3644798556825017</v>
      </c>
      <c r="N161" s="592">
        <f t="shared" si="28"/>
        <v>0.50171924293445591</v>
      </c>
      <c r="O161" s="498">
        <v>0.54454752536757089</v>
      </c>
      <c r="P161" s="427">
        <f t="shared" si="29"/>
        <v>0.1472699939867709</v>
      </c>
      <c r="Q161" s="426">
        <f t="shared" si="31"/>
        <v>0.17952212266987375</v>
      </c>
      <c r="R161" s="532">
        <f t="shared" si="24"/>
        <v>1.5400461276166764E-2</v>
      </c>
    </row>
    <row r="162" spans="1:18" s="6" customFormat="1" ht="15.75">
      <c r="A162" s="275">
        <v>71</v>
      </c>
      <c r="B162" s="176" t="s">
        <v>119</v>
      </c>
      <c r="C162" s="157">
        <v>315.39999999999998</v>
      </c>
      <c r="D162" s="157"/>
      <c r="E162" s="157"/>
      <c r="F162" s="611">
        <f t="shared" si="26"/>
        <v>315.39999999999998</v>
      </c>
      <c r="G162" s="18">
        <v>70</v>
      </c>
      <c r="H162" s="827">
        <v>8</v>
      </c>
      <c r="I162" s="330"/>
      <c r="J162" s="330"/>
      <c r="K162" s="142">
        <f t="shared" si="25"/>
        <v>8</v>
      </c>
      <c r="L162" s="589">
        <f t="shared" si="27"/>
        <v>1.6035277610743637E-3</v>
      </c>
      <c r="M162" s="315">
        <f t="shared" si="30"/>
        <v>3.6386129484866712</v>
      </c>
      <c r="N162" s="592">
        <f t="shared" si="28"/>
        <v>1.3379179811585491</v>
      </c>
      <c r="O162" s="498">
        <v>1.4521267343135225</v>
      </c>
      <c r="P162" s="427">
        <f t="shared" si="29"/>
        <v>0.39271998396472241</v>
      </c>
      <c r="Q162" s="426">
        <f t="shared" si="31"/>
        <v>0.47872566045299664</v>
      </c>
      <c r="R162" s="532">
        <f t="shared" si="24"/>
        <v>2.1627703385933627E-2</v>
      </c>
    </row>
    <row r="163" spans="1:18" s="6" customFormat="1" ht="15.75">
      <c r="A163" s="268">
        <v>72</v>
      </c>
      <c r="B163" s="176" t="s">
        <v>120</v>
      </c>
      <c r="C163" s="157">
        <v>1364.91</v>
      </c>
      <c r="D163" s="157">
        <v>133</v>
      </c>
      <c r="E163" s="157"/>
      <c r="F163" s="611">
        <f t="shared" si="26"/>
        <v>1497.91</v>
      </c>
      <c r="G163" s="18">
        <v>18.600000000000001</v>
      </c>
      <c r="H163" s="827">
        <v>29</v>
      </c>
      <c r="I163" s="330">
        <v>2</v>
      </c>
      <c r="J163" s="330"/>
      <c r="K163" s="142">
        <f t="shared" si="25"/>
        <v>31</v>
      </c>
      <c r="L163" s="589">
        <f t="shared" si="27"/>
        <v>6.2136700741631593E-3</v>
      </c>
      <c r="M163" s="315">
        <f t="shared" si="30"/>
        <v>14.099625175385849</v>
      </c>
      <c r="N163" s="592">
        <f t="shared" si="28"/>
        <v>5.1844321769893771</v>
      </c>
      <c r="O163" s="498">
        <v>5.6269910954648994</v>
      </c>
      <c r="P163" s="427">
        <f t="shared" si="29"/>
        <v>1.5217899378632993</v>
      </c>
      <c r="Q163" s="426">
        <f t="shared" si="31"/>
        <v>1.855061934255362</v>
      </c>
      <c r="R163" s="532">
        <f t="shared" si="24"/>
        <v>1.9365993644784949E-2</v>
      </c>
    </row>
    <row r="164" spans="1:18" s="6" customFormat="1" ht="15.75">
      <c r="A164" s="268">
        <v>73</v>
      </c>
      <c r="B164" s="176" t="s">
        <v>122</v>
      </c>
      <c r="C164" s="157">
        <v>165.93</v>
      </c>
      <c r="D164" s="157"/>
      <c r="E164" s="157"/>
      <c r="F164" s="611">
        <f t="shared" si="26"/>
        <v>165.93</v>
      </c>
      <c r="G164" s="18">
        <v>28.4</v>
      </c>
      <c r="H164" s="827">
        <v>3</v>
      </c>
      <c r="I164" s="330"/>
      <c r="J164" s="330"/>
      <c r="K164" s="142">
        <f t="shared" si="25"/>
        <v>3</v>
      </c>
      <c r="L164" s="589">
        <f t="shared" si="27"/>
        <v>6.0132291040288638E-4</v>
      </c>
      <c r="M164" s="315">
        <f t="shared" si="30"/>
        <v>1.3644798556825017</v>
      </c>
      <c r="N164" s="592">
        <f t="shared" si="28"/>
        <v>0.50171924293445591</v>
      </c>
      <c r="O164" s="498">
        <v>0.54454752536757089</v>
      </c>
      <c r="P164" s="427">
        <f t="shared" si="29"/>
        <v>0.1472699939867709</v>
      </c>
      <c r="Q164" s="426">
        <f t="shared" si="31"/>
        <v>0.17952212266987375</v>
      </c>
      <c r="R164" s="532">
        <f t="shared" si="24"/>
        <v>1.5416239486357496E-2</v>
      </c>
    </row>
    <row r="165" spans="1:18" s="6" customFormat="1" ht="15.75">
      <c r="A165" s="268">
        <v>74</v>
      </c>
      <c r="B165" s="176" t="s">
        <v>123</v>
      </c>
      <c r="C165" s="157">
        <v>783.19</v>
      </c>
      <c r="D165" s="157">
        <v>194.1</v>
      </c>
      <c r="E165" s="157"/>
      <c r="F165" s="611">
        <f t="shared" si="26"/>
        <v>977.29000000000008</v>
      </c>
      <c r="G165" s="18">
        <v>70.7</v>
      </c>
      <c r="H165" s="827">
        <v>15</v>
      </c>
      <c r="I165" s="330">
        <v>2</v>
      </c>
      <c r="J165" s="330"/>
      <c r="K165" s="142">
        <f t="shared" si="25"/>
        <v>17</v>
      </c>
      <c r="L165" s="589">
        <f t="shared" si="27"/>
        <v>3.4074964922830228E-3</v>
      </c>
      <c r="M165" s="315">
        <f t="shared" si="30"/>
        <v>7.7320525155341757</v>
      </c>
      <c r="N165" s="592">
        <f t="shared" si="28"/>
        <v>2.8430757099619166</v>
      </c>
      <c r="O165" s="498">
        <v>3.0857693104162354</v>
      </c>
      <c r="P165" s="427">
        <f t="shared" si="29"/>
        <v>0.83452996592503514</v>
      </c>
      <c r="Q165" s="426">
        <f t="shared" si="31"/>
        <v>1.0172920284626179</v>
      </c>
      <c r="R165" s="532">
        <f t="shared" si="24"/>
        <v>1.8508187670727871E-2</v>
      </c>
    </row>
    <row r="166" spans="1:18" s="6" customFormat="1" ht="15.75">
      <c r="A166" s="268">
        <v>75</v>
      </c>
      <c r="B166" s="176" t="s">
        <v>124</v>
      </c>
      <c r="C166" s="157">
        <v>144.9</v>
      </c>
      <c r="D166" s="157"/>
      <c r="E166" s="157"/>
      <c r="F166" s="611">
        <f t="shared" si="26"/>
        <v>144.9</v>
      </c>
      <c r="G166" s="18">
        <v>34.9</v>
      </c>
      <c r="H166" s="827">
        <v>3</v>
      </c>
      <c r="I166" s="330"/>
      <c r="J166" s="330"/>
      <c r="K166" s="142">
        <f t="shared" si="25"/>
        <v>3</v>
      </c>
      <c r="L166" s="589">
        <f t="shared" si="27"/>
        <v>6.0132291040288638E-4</v>
      </c>
      <c r="M166" s="315">
        <f t="shared" si="30"/>
        <v>1.3644798556825017</v>
      </c>
      <c r="N166" s="592">
        <f t="shared" si="28"/>
        <v>0.50171924293445591</v>
      </c>
      <c r="O166" s="498">
        <v>0.54454752536757089</v>
      </c>
      <c r="P166" s="427">
        <f t="shared" si="29"/>
        <v>0.1472699939867709</v>
      </c>
      <c r="Q166" s="426">
        <f t="shared" si="31"/>
        <v>0.17952212266987375</v>
      </c>
      <c r="R166" s="532">
        <f t="shared" si="24"/>
        <v>1.7653668861085572E-2</v>
      </c>
    </row>
    <row r="167" spans="1:18" s="6" customFormat="1" ht="15.75">
      <c r="A167" s="268">
        <v>76</v>
      </c>
      <c r="B167" s="176" t="s">
        <v>125</v>
      </c>
      <c r="C167" s="157">
        <v>213.4</v>
      </c>
      <c r="D167" s="157">
        <v>18.5</v>
      </c>
      <c r="E167" s="157"/>
      <c r="F167" s="611">
        <f t="shared" si="26"/>
        <v>231.9</v>
      </c>
      <c r="G167" s="18">
        <v>30</v>
      </c>
      <c r="H167" s="827">
        <v>4</v>
      </c>
      <c r="I167" s="330">
        <v>1</v>
      </c>
      <c r="J167" s="330"/>
      <c r="K167" s="142">
        <f t="shared" si="25"/>
        <v>5</v>
      </c>
      <c r="L167" s="589">
        <f t="shared" si="27"/>
        <v>1.0022048506714773E-3</v>
      </c>
      <c r="M167" s="315">
        <f t="shared" si="30"/>
        <v>2.2741330928041692</v>
      </c>
      <c r="N167" s="592">
        <f t="shared" si="28"/>
        <v>0.83619873822409307</v>
      </c>
      <c r="O167" s="498">
        <v>0.90757920894595157</v>
      </c>
      <c r="P167" s="427">
        <f t="shared" si="29"/>
        <v>0.2454499899779515</v>
      </c>
      <c r="Q167" s="426">
        <f t="shared" si="31"/>
        <v>0.29920353778312292</v>
      </c>
      <c r="R167" s="532">
        <f t="shared" si="24"/>
        <v>1.9978261621144168E-2</v>
      </c>
    </row>
    <row r="168" spans="1:18" s="6" customFormat="1" ht="15.75">
      <c r="A168" s="268">
        <v>77</v>
      </c>
      <c r="B168" s="274" t="s">
        <v>126</v>
      </c>
      <c r="C168" s="157">
        <v>3146.6</v>
      </c>
      <c r="D168" s="157"/>
      <c r="E168" s="157"/>
      <c r="F168" s="611">
        <f t="shared" si="26"/>
        <v>3146.6</v>
      </c>
      <c r="G168" s="18">
        <v>347.2</v>
      </c>
      <c r="H168" s="827">
        <v>52</v>
      </c>
      <c r="I168" s="330"/>
      <c r="J168" s="330"/>
      <c r="K168" s="142">
        <f t="shared" si="25"/>
        <v>52</v>
      </c>
      <c r="L168" s="589">
        <f t="shared" si="27"/>
        <v>1.0422930446983364E-2</v>
      </c>
      <c r="M168" s="315">
        <f t="shared" si="30"/>
        <v>23.650984165163361</v>
      </c>
      <c r="N168" s="592">
        <f t="shared" si="28"/>
        <v>8.6964668775305682</v>
      </c>
      <c r="O168" s="498">
        <v>9.4388237730378961</v>
      </c>
      <c r="P168" s="427">
        <f t="shared" si="29"/>
        <v>2.5526798957706958</v>
      </c>
      <c r="Q168" s="426">
        <f t="shared" si="31"/>
        <v>3.1117167929444784</v>
      </c>
      <c r="R168" s="532">
        <f t="shared" si="24"/>
        <v>1.4091068045351339E-2</v>
      </c>
    </row>
    <row r="169" spans="1:18" s="6" customFormat="1" ht="15.75">
      <c r="A169" s="275">
        <v>78</v>
      </c>
      <c r="B169" s="176" t="s">
        <v>127</v>
      </c>
      <c r="C169" s="157">
        <v>848.35</v>
      </c>
      <c r="D169" s="157"/>
      <c r="E169" s="157"/>
      <c r="F169" s="611">
        <f t="shared" si="26"/>
        <v>848.35</v>
      </c>
      <c r="G169" s="18">
        <v>104.7</v>
      </c>
      <c r="H169" s="827">
        <v>17</v>
      </c>
      <c r="I169" s="330"/>
      <c r="J169" s="330"/>
      <c r="K169" s="142">
        <f t="shared" si="25"/>
        <v>17</v>
      </c>
      <c r="L169" s="589">
        <f t="shared" si="27"/>
        <v>3.4074964922830228E-3</v>
      </c>
      <c r="M169" s="315">
        <f t="shared" si="30"/>
        <v>7.7320525155341757</v>
      </c>
      <c r="N169" s="592">
        <f t="shared" si="28"/>
        <v>2.8430757099619166</v>
      </c>
      <c r="O169" s="498">
        <v>3.0857693104162354</v>
      </c>
      <c r="P169" s="427">
        <f t="shared" si="29"/>
        <v>0.83452996592503514</v>
      </c>
      <c r="Q169" s="426">
        <f t="shared" si="31"/>
        <v>1.0172920284626179</v>
      </c>
      <c r="R169" s="532">
        <f t="shared" si="24"/>
        <v>1.7086612249469398E-2</v>
      </c>
    </row>
    <row r="170" spans="1:18" s="6" customFormat="1" ht="15.75">
      <c r="A170" s="268">
        <v>79</v>
      </c>
      <c r="B170" s="176" t="s">
        <v>128</v>
      </c>
      <c r="C170" s="157">
        <v>885.4</v>
      </c>
      <c r="D170" s="157"/>
      <c r="E170" s="157"/>
      <c r="F170" s="611">
        <f t="shared" si="26"/>
        <v>885.4</v>
      </c>
      <c r="G170" s="18">
        <v>81.8</v>
      </c>
      <c r="H170" s="827">
        <v>18</v>
      </c>
      <c r="I170" s="330"/>
      <c r="J170" s="330"/>
      <c r="K170" s="142">
        <f t="shared" si="25"/>
        <v>18</v>
      </c>
      <c r="L170" s="589">
        <f t="shared" si="27"/>
        <v>3.6079374624173183E-3</v>
      </c>
      <c r="M170" s="315">
        <f t="shared" si="30"/>
        <v>8.18687913409501</v>
      </c>
      <c r="N170" s="592">
        <f t="shared" si="28"/>
        <v>3.0103154576067355</v>
      </c>
      <c r="O170" s="498">
        <v>3.2672851522054258</v>
      </c>
      <c r="P170" s="427">
        <f t="shared" si="29"/>
        <v>0.88361996392062536</v>
      </c>
      <c r="Q170" s="426">
        <f t="shared" si="31"/>
        <v>1.0771327360192424</v>
      </c>
      <c r="R170" s="532">
        <f t="shared" si="24"/>
        <v>1.7334650675206457E-2</v>
      </c>
    </row>
    <row r="171" spans="1:18" s="6" customFormat="1" ht="15.75">
      <c r="A171" s="268">
        <v>80</v>
      </c>
      <c r="B171" s="176" t="s">
        <v>129</v>
      </c>
      <c r="C171" s="157">
        <v>877.79</v>
      </c>
      <c r="D171" s="157"/>
      <c r="E171" s="157"/>
      <c r="F171" s="611">
        <f t="shared" si="26"/>
        <v>877.79</v>
      </c>
      <c r="G171" s="18">
        <v>89.6</v>
      </c>
      <c r="H171" s="827">
        <v>17</v>
      </c>
      <c r="I171" s="330"/>
      <c r="J171" s="330"/>
      <c r="K171" s="142">
        <f t="shared" si="25"/>
        <v>17</v>
      </c>
      <c r="L171" s="589">
        <f t="shared" si="27"/>
        <v>3.4074964922830228E-3</v>
      </c>
      <c r="M171" s="315">
        <f t="shared" si="30"/>
        <v>7.7320525155341757</v>
      </c>
      <c r="N171" s="592">
        <f t="shared" si="28"/>
        <v>2.8430757099619166</v>
      </c>
      <c r="O171" s="498">
        <v>3.0857693104162354</v>
      </c>
      <c r="P171" s="427">
        <f t="shared" si="29"/>
        <v>0.83452996592503514</v>
      </c>
      <c r="Q171" s="426">
        <f t="shared" si="31"/>
        <v>1.0172920284626179</v>
      </c>
      <c r="R171" s="532">
        <f t="shared" si="24"/>
        <v>1.6513548231168462E-2</v>
      </c>
    </row>
    <row r="172" spans="1:18" s="6" customFormat="1" ht="15.75">
      <c r="A172" s="268">
        <v>81</v>
      </c>
      <c r="B172" s="176" t="s">
        <v>130</v>
      </c>
      <c r="C172" s="157">
        <v>917.6</v>
      </c>
      <c r="D172" s="157"/>
      <c r="E172" s="157">
        <v>32.299999999999997</v>
      </c>
      <c r="F172" s="611">
        <f t="shared" si="26"/>
        <v>949.9</v>
      </c>
      <c r="G172" s="18">
        <v>67</v>
      </c>
      <c r="H172" s="827">
        <v>19</v>
      </c>
      <c r="I172" s="330"/>
      <c r="J172" s="330">
        <v>1</v>
      </c>
      <c r="K172" s="142">
        <f t="shared" si="25"/>
        <v>20</v>
      </c>
      <c r="L172" s="589">
        <f t="shared" si="27"/>
        <v>4.0088194026859092E-3</v>
      </c>
      <c r="M172" s="315">
        <f t="shared" si="30"/>
        <v>9.0965323712166768</v>
      </c>
      <c r="N172" s="592">
        <f t="shared" si="28"/>
        <v>3.3447949528963723</v>
      </c>
      <c r="O172" s="498">
        <v>3.6303168357838063</v>
      </c>
      <c r="P172" s="427">
        <f t="shared" si="29"/>
        <v>0.98179995991180602</v>
      </c>
      <c r="Q172" s="426">
        <f t="shared" si="31"/>
        <v>1.1968141511324917</v>
      </c>
      <c r="R172" s="532">
        <f t="shared" si="24"/>
        <v>1.8584834481046929E-2</v>
      </c>
    </row>
    <row r="173" spans="1:18" s="6" customFormat="1" ht="15.75">
      <c r="A173" s="268">
        <v>82</v>
      </c>
      <c r="B173" s="176" t="s">
        <v>131</v>
      </c>
      <c r="C173" s="157">
        <v>1018.2</v>
      </c>
      <c r="D173" s="157"/>
      <c r="E173" s="157">
        <v>37.799999999999997</v>
      </c>
      <c r="F173" s="611">
        <f t="shared" si="26"/>
        <v>1056</v>
      </c>
      <c r="G173" s="18">
        <v>123.2</v>
      </c>
      <c r="H173" s="827">
        <v>13</v>
      </c>
      <c r="I173" s="330"/>
      <c r="J173" s="330">
        <v>1</v>
      </c>
      <c r="K173" s="142">
        <f t="shared" si="25"/>
        <v>14</v>
      </c>
      <c r="L173" s="589">
        <f t="shared" si="27"/>
        <v>2.8061735818801364E-3</v>
      </c>
      <c r="M173" s="315">
        <f t="shared" si="30"/>
        <v>6.3675726598516746</v>
      </c>
      <c r="N173" s="592">
        <f t="shared" si="28"/>
        <v>2.3413564670274609</v>
      </c>
      <c r="O173" s="498">
        <v>2.541221785048664</v>
      </c>
      <c r="P173" s="427">
        <f t="shared" si="29"/>
        <v>0.68725997193826416</v>
      </c>
      <c r="Q173" s="426">
        <f t="shared" si="31"/>
        <v>0.83776990579274402</v>
      </c>
      <c r="R173" s="532">
        <f t="shared" si="24"/>
        <v>1.1724033474627837E-2</v>
      </c>
    </row>
    <row r="174" spans="1:18" s="6" customFormat="1" ht="15.75">
      <c r="A174" s="268">
        <v>83</v>
      </c>
      <c r="B174" s="176" t="s">
        <v>132</v>
      </c>
      <c r="C174" s="157">
        <v>837.9</v>
      </c>
      <c r="D174" s="157">
        <v>160.4</v>
      </c>
      <c r="E174" s="157"/>
      <c r="F174" s="611">
        <f t="shared" si="26"/>
        <v>998.3</v>
      </c>
      <c r="G174" s="18">
        <v>143.19999999999999</v>
      </c>
      <c r="H174" s="827">
        <v>17</v>
      </c>
      <c r="I174" s="330">
        <v>1</v>
      </c>
      <c r="J174" s="330"/>
      <c r="K174" s="142">
        <f t="shared" si="25"/>
        <v>18</v>
      </c>
      <c r="L174" s="589">
        <f t="shared" si="27"/>
        <v>3.6079374624173183E-3</v>
      </c>
      <c r="M174" s="315">
        <f t="shared" si="30"/>
        <v>8.18687913409501</v>
      </c>
      <c r="N174" s="592">
        <f t="shared" si="28"/>
        <v>3.0103154576067355</v>
      </c>
      <c r="O174" s="498">
        <v>3.2672851522054258</v>
      </c>
      <c r="P174" s="427">
        <f t="shared" si="29"/>
        <v>0.88361996392062536</v>
      </c>
      <c r="Q174" s="426">
        <f t="shared" si="31"/>
        <v>1.0771327360192424</v>
      </c>
      <c r="R174" s="532">
        <f t="shared" si="24"/>
        <v>1.831734062278052E-2</v>
      </c>
    </row>
    <row r="175" spans="1:18" s="6" customFormat="1" ht="15.75">
      <c r="A175" s="268">
        <v>84</v>
      </c>
      <c r="B175" s="176" t="s">
        <v>133</v>
      </c>
      <c r="C175" s="157">
        <v>304</v>
      </c>
      <c r="D175" s="157"/>
      <c r="E175" s="157"/>
      <c r="F175" s="611">
        <f t="shared" si="26"/>
        <v>304</v>
      </c>
      <c r="G175" s="18">
        <v>23.7</v>
      </c>
      <c r="H175" s="827">
        <v>7</v>
      </c>
      <c r="I175" s="330"/>
      <c r="J175" s="330"/>
      <c r="K175" s="142">
        <f t="shared" si="25"/>
        <v>7</v>
      </c>
      <c r="L175" s="589">
        <f t="shared" si="27"/>
        <v>1.4030867909400682E-3</v>
      </c>
      <c r="M175" s="315">
        <f t="shared" si="30"/>
        <v>3.1837863299258373</v>
      </c>
      <c r="N175" s="592">
        <f t="shared" si="28"/>
        <v>1.1706782335137305</v>
      </c>
      <c r="O175" s="498">
        <v>1.270610892524332</v>
      </c>
      <c r="P175" s="427">
        <f t="shared" si="29"/>
        <v>0.34362998596913208</v>
      </c>
      <c r="Q175" s="426">
        <f t="shared" si="31"/>
        <v>0.41888495289637201</v>
      </c>
      <c r="R175" s="532">
        <f t="shared" si="24"/>
        <v>1.963389948004287E-2</v>
      </c>
    </row>
    <row r="176" spans="1:18" s="6" customFormat="1" ht="15.75">
      <c r="A176" s="275">
        <v>85</v>
      </c>
      <c r="B176" s="176" t="s">
        <v>134</v>
      </c>
      <c r="C176" s="157">
        <v>1272.1600000000001</v>
      </c>
      <c r="D176" s="157">
        <v>51.6</v>
      </c>
      <c r="E176" s="157">
        <v>23.7</v>
      </c>
      <c r="F176" s="611">
        <f t="shared" si="26"/>
        <v>1347.46</v>
      </c>
      <c r="G176" s="18">
        <v>123.5</v>
      </c>
      <c r="H176" s="827">
        <v>24</v>
      </c>
      <c r="I176" s="330">
        <v>1</v>
      </c>
      <c r="J176" s="330">
        <v>1</v>
      </c>
      <c r="K176" s="142">
        <f t="shared" si="25"/>
        <v>26</v>
      </c>
      <c r="L176" s="589">
        <f t="shared" si="27"/>
        <v>5.211465223491682E-3</v>
      </c>
      <c r="M176" s="315">
        <f t="shared" si="30"/>
        <v>11.825492082581681</v>
      </c>
      <c r="N176" s="592">
        <f t="shared" si="28"/>
        <v>4.3482334387652841</v>
      </c>
      <c r="O176" s="498">
        <v>4.7194118865189481</v>
      </c>
      <c r="P176" s="427">
        <f t="shared" si="29"/>
        <v>1.2763399478853479</v>
      </c>
      <c r="Q176" s="426">
        <f t="shared" si="31"/>
        <v>1.5558583964722392</v>
      </c>
      <c r="R176" s="532">
        <f t="shared" si="24"/>
        <v>1.7426642368688891E-2</v>
      </c>
    </row>
    <row r="177" spans="1:18" s="6" customFormat="1" ht="15.75">
      <c r="A177" s="268">
        <v>86</v>
      </c>
      <c r="B177" s="176" t="s">
        <v>135</v>
      </c>
      <c r="C177" s="157">
        <v>930.9</v>
      </c>
      <c r="D177" s="157"/>
      <c r="E177" s="157"/>
      <c r="F177" s="611">
        <f t="shared" si="26"/>
        <v>930.9</v>
      </c>
      <c r="G177" s="18">
        <v>142.6</v>
      </c>
      <c r="H177" s="827">
        <v>16</v>
      </c>
      <c r="I177" s="330"/>
      <c r="J177" s="330"/>
      <c r="K177" s="142">
        <f t="shared" si="25"/>
        <v>16</v>
      </c>
      <c r="L177" s="589">
        <f t="shared" si="27"/>
        <v>3.2070555221487274E-3</v>
      </c>
      <c r="M177" s="315">
        <f t="shared" si="30"/>
        <v>7.2772258969733423</v>
      </c>
      <c r="N177" s="592">
        <f t="shared" si="28"/>
        <v>2.6758359623170982</v>
      </c>
      <c r="O177" s="498">
        <v>2.9042534686270449</v>
      </c>
      <c r="P177" s="427">
        <f t="shared" si="29"/>
        <v>0.78543996792944482</v>
      </c>
      <c r="Q177" s="426">
        <f t="shared" si="31"/>
        <v>0.95745132090599328</v>
      </c>
      <c r="R177" s="532">
        <f t="shared" si="24"/>
        <v>1.4655446660056859E-2</v>
      </c>
    </row>
    <row r="178" spans="1:18" s="6" customFormat="1" ht="15.75">
      <c r="A178" s="268">
        <v>87</v>
      </c>
      <c r="B178" s="176" t="s">
        <v>136</v>
      </c>
      <c r="C178" s="157">
        <v>791.4</v>
      </c>
      <c r="D178" s="157"/>
      <c r="E178" s="157"/>
      <c r="F178" s="611">
        <f t="shared" si="26"/>
        <v>791.4</v>
      </c>
      <c r="G178" s="18">
        <v>119.9</v>
      </c>
      <c r="H178" s="827">
        <v>19</v>
      </c>
      <c r="I178" s="330"/>
      <c r="J178" s="330"/>
      <c r="K178" s="142">
        <f t="shared" si="25"/>
        <v>19</v>
      </c>
      <c r="L178" s="589">
        <f t="shared" si="27"/>
        <v>3.8083784325516137E-3</v>
      </c>
      <c r="M178" s="315">
        <f t="shared" si="30"/>
        <v>8.6417057526558434</v>
      </c>
      <c r="N178" s="592">
        <f t="shared" si="28"/>
        <v>3.1775552052515539</v>
      </c>
      <c r="O178" s="498">
        <v>3.4488009939946158</v>
      </c>
      <c r="P178" s="427">
        <f t="shared" si="29"/>
        <v>0.93270996191621569</v>
      </c>
      <c r="Q178" s="426">
        <f t="shared" si="31"/>
        <v>1.1369734435758669</v>
      </c>
      <c r="R178" s="532">
        <f t="shared" si="24"/>
        <v>2.0471028448089752E-2</v>
      </c>
    </row>
    <row r="179" spans="1:18" s="6" customFormat="1" ht="15.75">
      <c r="A179" s="268">
        <v>88</v>
      </c>
      <c r="B179" s="176" t="s">
        <v>137</v>
      </c>
      <c r="C179" s="157">
        <v>574.42999999999995</v>
      </c>
      <c r="D179" s="157"/>
      <c r="E179" s="157"/>
      <c r="F179" s="611">
        <f t="shared" si="26"/>
        <v>574.42999999999995</v>
      </c>
      <c r="G179" s="18">
        <v>114.1</v>
      </c>
      <c r="H179" s="827">
        <v>17</v>
      </c>
      <c r="I179" s="330"/>
      <c r="J179" s="330"/>
      <c r="K179" s="142">
        <f t="shared" si="25"/>
        <v>17</v>
      </c>
      <c r="L179" s="589">
        <f t="shared" si="27"/>
        <v>3.4074964922830228E-3</v>
      </c>
      <c r="M179" s="315">
        <f t="shared" si="30"/>
        <v>7.7320525155341757</v>
      </c>
      <c r="N179" s="592">
        <f t="shared" si="28"/>
        <v>2.8430757099619166</v>
      </c>
      <c r="O179" s="498">
        <v>3.0857693104162354</v>
      </c>
      <c r="P179" s="427">
        <f t="shared" si="29"/>
        <v>0.83452996592503514</v>
      </c>
      <c r="Q179" s="426">
        <f t="shared" si="31"/>
        <v>1.0172920284626179</v>
      </c>
      <c r="R179" s="532">
        <f t="shared" si="24"/>
        <v>2.5234454157751798E-2</v>
      </c>
    </row>
    <row r="180" spans="1:18" s="6" customFormat="1" ht="15.75">
      <c r="A180" s="268">
        <v>89</v>
      </c>
      <c r="B180" s="176" t="s">
        <v>138</v>
      </c>
      <c r="C180" s="157">
        <v>326.89999999999998</v>
      </c>
      <c r="D180" s="157"/>
      <c r="E180" s="157"/>
      <c r="F180" s="611">
        <f t="shared" si="26"/>
        <v>326.89999999999998</v>
      </c>
      <c r="G180" s="18">
        <v>71.099999999999994</v>
      </c>
      <c r="H180" s="827">
        <v>5</v>
      </c>
      <c r="I180" s="330"/>
      <c r="J180" s="330"/>
      <c r="K180" s="142">
        <f t="shared" si="25"/>
        <v>5</v>
      </c>
      <c r="L180" s="589">
        <f t="shared" si="27"/>
        <v>1.0022048506714773E-3</v>
      </c>
      <c r="M180" s="315">
        <f t="shared" si="30"/>
        <v>2.2741330928041692</v>
      </c>
      <c r="N180" s="592">
        <f t="shared" si="28"/>
        <v>0.83619873822409307</v>
      </c>
      <c r="O180" s="498">
        <v>0.90757920894595157</v>
      </c>
      <c r="P180" s="427">
        <f t="shared" si="29"/>
        <v>0.2454499899779515</v>
      </c>
      <c r="Q180" s="426">
        <f t="shared" si="31"/>
        <v>0.29920353778312292</v>
      </c>
      <c r="R180" s="532">
        <f t="shared" si="24"/>
        <v>1.3041789629709899E-2</v>
      </c>
    </row>
    <row r="181" spans="1:18" s="6" customFormat="1" ht="15.75">
      <c r="A181" s="268">
        <v>90</v>
      </c>
      <c r="B181" s="176" t="s">
        <v>139</v>
      </c>
      <c r="C181" s="157">
        <v>323.60000000000002</v>
      </c>
      <c r="D181" s="157"/>
      <c r="E181" s="157"/>
      <c r="F181" s="611">
        <f t="shared" si="26"/>
        <v>323.60000000000002</v>
      </c>
      <c r="G181" s="18">
        <v>74.2</v>
      </c>
      <c r="H181" s="827">
        <v>6</v>
      </c>
      <c r="I181" s="330"/>
      <c r="J181" s="330"/>
      <c r="K181" s="142">
        <f t="shared" si="25"/>
        <v>6</v>
      </c>
      <c r="L181" s="589">
        <f t="shared" si="27"/>
        <v>1.2026458208057728E-3</v>
      </c>
      <c r="M181" s="315">
        <f t="shared" si="30"/>
        <v>2.7289597113650035</v>
      </c>
      <c r="N181" s="592">
        <f t="shared" si="28"/>
        <v>1.0034384858689118</v>
      </c>
      <c r="O181" s="498">
        <v>1.0890950507351418</v>
      </c>
      <c r="P181" s="427">
        <f t="shared" si="29"/>
        <v>0.29453998797354181</v>
      </c>
      <c r="Q181" s="426">
        <f t="shared" si="31"/>
        <v>0.35904424533974749</v>
      </c>
      <c r="R181" s="532">
        <f t="shared" si="24"/>
        <v>1.5809744239624841E-2</v>
      </c>
    </row>
    <row r="182" spans="1:18" s="6" customFormat="1" ht="15.75">
      <c r="A182" s="268">
        <v>91</v>
      </c>
      <c r="B182" s="176" t="s">
        <v>140</v>
      </c>
      <c r="C182" s="157">
        <v>483.2</v>
      </c>
      <c r="D182" s="157"/>
      <c r="E182" s="157"/>
      <c r="F182" s="611">
        <f t="shared" si="26"/>
        <v>483.2</v>
      </c>
      <c r="G182" s="18">
        <v>7</v>
      </c>
      <c r="H182" s="827">
        <v>8</v>
      </c>
      <c r="I182" s="330"/>
      <c r="J182" s="330"/>
      <c r="K182" s="142">
        <f t="shared" si="25"/>
        <v>8</v>
      </c>
      <c r="L182" s="589">
        <f t="shared" si="27"/>
        <v>1.6035277610743637E-3</v>
      </c>
      <c r="M182" s="315">
        <f t="shared" si="30"/>
        <v>3.6386129484866712</v>
      </c>
      <c r="N182" s="592">
        <f t="shared" si="28"/>
        <v>1.3379179811585491</v>
      </c>
      <c r="O182" s="498">
        <v>1.4521267343135225</v>
      </c>
      <c r="P182" s="427">
        <f t="shared" si="29"/>
        <v>0.39271998396472241</v>
      </c>
      <c r="Q182" s="426">
        <f t="shared" si="31"/>
        <v>0.47872566045299664</v>
      </c>
      <c r="R182" s="532">
        <f t="shared" si="24"/>
        <v>1.4117089503152868E-2</v>
      </c>
    </row>
    <row r="183" spans="1:18" s="6" customFormat="1" ht="15.75">
      <c r="A183" s="275">
        <v>92</v>
      </c>
      <c r="B183" s="176" t="s">
        <v>141</v>
      </c>
      <c r="C183" s="157">
        <v>408.2</v>
      </c>
      <c r="D183" s="157"/>
      <c r="E183" s="157"/>
      <c r="F183" s="611">
        <f t="shared" si="26"/>
        <v>408.2</v>
      </c>
      <c r="G183" s="18">
        <v>24.9</v>
      </c>
      <c r="H183" s="827">
        <v>8</v>
      </c>
      <c r="I183" s="330"/>
      <c r="J183" s="330"/>
      <c r="K183" s="142">
        <f t="shared" si="25"/>
        <v>8</v>
      </c>
      <c r="L183" s="589">
        <f t="shared" si="27"/>
        <v>1.6035277610743637E-3</v>
      </c>
      <c r="M183" s="315">
        <f t="shared" si="30"/>
        <v>3.6386129484866712</v>
      </c>
      <c r="N183" s="592">
        <f t="shared" si="28"/>
        <v>1.3379179811585491</v>
      </c>
      <c r="O183" s="498">
        <v>1.4521267343135225</v>
      </c>
      <c r="P183" s="427">
        <f t="shared" si="29"/>
        <v>0.39271998396472241</v>
      </c>
      <c r="Q183" s="426">
        <f t="shared" si="31"/>
        <v>0.47872566045299664</v>
      </c>
      <c r="R183" s="532">
        <f t="shared" si="24"/>
        <v>1.6710871258999178E-2</v>
      </c>
    </row>
    <row r="184" spans="1:18" s="6" customFormat="1" ht="15.75">
      <c r="A184" s="268">
        <v>93</v>
      </c>
      <c r="B184" s="176" t="s">
        <v>145</v>
      </c>
      <c r="C184" s="157">
        <v>482.97</v>
      </c>
      <c r="D184" s="157"/>
      <c r="E184" s="157"/>
      <c r="F184" s="611">
        <f t="shared" si="26"/>
        <v>482.97</v>
      </c>
      <c r="G184" s="18">
        <v>80.8</v>
      </c>
      <c r="H184" s="827">
        <v>8</v>
      </c>
      <c r="I184" s="330"/>
      <c r="J184" s="330"/>
      <c r="K184" s="142">
        <f t="shared" si="25"/>
        <v>8</v>
      </c>
      <c r="L184" s="589">
        <f t="shared" si="27"/>
        <v>1.6035277610743637E-3</v>
      </c>
      <c r="M184" s="315">
        <f t="shared" si="30"/>
        <v>3.6386129484866712</v>
      </c>
      <c r="N184" s="592">
        <f t="shared" si="28"/>
        <v>1.3379179811585491</v>
      </c>
      <c r="O184" s="498">
        <v>1.4521267343135225</v>
      </c>
      <c r="P184" s="427">
        <f t="shared" si="29"/>
        <v>0.39271998396472241</v>
      </c>
      <c r="Q184" s="426">
        <f t="shared" si="31"/>
        <v>0.47872566045299664</v>
      </c>
      <c r="R184" s="532">
        <f t="shared" si="24"/>
        <v>1.4123812344293569E-2</v>
      </c>
    </row>
    <row r="185" spans="1:18" s="6" customFormat="1" ht="15.75">
      <c r="A185" s="268">
        <v>94</v>
      </c>
      <c r="B185" s="176" t="s">
        <v>146</v>
      </c>
      <c r="C185" s="157">
        <v>699.05</v>
      </c>
      <c r="D185" s="157"/>
      <c r="E185" s="157"/>
      <c r="F185" s="611">
        <f t="shared" si="26"/>
        <v>699.05</v>
      </c>
      <c r="G185" s="18">
        <v>45.1</v>
      </c>
      <c r="H185" s="827">
        <v>13</v>
      </c>
      <c r="I185" s="330"/>
      <c r="J185" s="330"/>
      <c r="K185" s="142">
        <f t="shared" si="25"/>
        <v>13</v>
      </c>
      <c r="L185" s="589">
        <f t="shared" si="27"/>
        <v>2.605732611745841E-3</v>
      </c>
      <c r="M185" s="315">
        <f t="shared" si="30"/>
        <v>5.9127460412908404</v>
      </c>
      <c r="N185" s="592">
        <f t="shared" si="28"/>
        <v>2.1741167193826421</v>
      </c>
      <c r="O185" s="498">
        <v>2.359705943259474</v>
      </c>
      <c r="P185" s="427">
        <f t="shared" si="29"/>
        <v>0.63816997394267394</v>
      </c>
      <c r="Q185" s="426">
        <f t="shared" si="31"/>
        <v>0.77792919823611961</v>
      </c>
      <c r="R185" s="532">
        <f t="shared" si="24"/>
        <v>1.5856860994028513E-2</v>
      </c>
    </row>
    <row r="186" spans="1:18" s="6" customFormat="1" ht="15.75">
      <c r="A186" s="268">
        <v>95</v>
      </c>
      <c r="B186" s="176" t="s">
        <v>147</v>
      </c>
      <c r="C186" s="157">
        <v>6095.81</v>
      </c>
      <c r="D186" s="157"/>
      <c r="E186" s="157"/>
      <c r="F186" s="611">
        <f t="shared" si="26"/>
        <v>6095.81</v>
      </c>
      <c r="G186" s="18">
        <v>101.4</v>
      </c>
      <c r="H186" s="827">
        <v>108</v>
      </c>
      <c r="I186" s="330"/>
      <c r="J186" s="330"/>
      <c r="K186" s="142">
        <f t="shared" si="25"/>
        <v>108</v>
      </c>
      <c r="L186" s="589">
        <f t="shared" si="27"/>
        <v>2.164762477450391E-2</v>
      </c>
      <c r="M186" s="315">
        <f t="shared" si="30"/>
        <v>49.121274804570056</v>
      </c>
      <c r="N186" s="592">
        <f t="shared" si="28"/>
        <v>18.06189274564041</v>
      </c>
      <c r="O186" s="498">
        <v>19.603710913232554</v>
      </c>
      <c r="P186" s="427">
        <f t="shared" si="29"/>
        <v>5.3017197835237528</v>
      </c>
      <c r="Q186" s="426">
        <f t="shared" si="31"/>
        <v>6.462796416115455</v>
      </c>
      <c r="R186" s="532">
        <f t="shared" si="24"/>
        <v>1.5106868200775087E-2</v>
      </c>
    </row>
    <row r="187" spans="1:18" s="6" customFormat="1" ht="15.75">
      <c r="A187" s="268">
        <v>96</v>
      </c>
      <c r="B187" s="176" t="s">
        <v>148</v>
      </c>
      <c r="C187" s="157">
        <v>166.2</v>
      </c>
      <c r="D187" s="157"/>
      <c r="E187" s="157"/>
      <c r="F187" s="611">
        <f t="shared" si="26"/>
        <v>166.2</v>
      </c>
      <c r="G187" s="18">
        <v>599.4</v>
      </c>
      <c r="H187" s="827">
        <v>5</v>
      </c>
      <c r="I187" s="330"/>
      <c r="J187" s="330"/>
      <c r="K187" s="142">
        <f t="shared" si="25"/>
        <v>5</v>
      </c>
      <c r="L187" s="589">
        <f t="shared" si="27"/>
        <v>1.0022048506714773E-3</v>
      </c>
      <c r="M187" s="315">
        <f t="shared" si="30"/>
        <v>2.2741330928041692</v>
      </c>
      <c r="N187" s="592">
        <f t="shared" si="28"/>
        <v>0.83619873822409307</v>
      </c>
      <c r="O187" s="498">
        <v>0.90757920894595157</v>
      </c>
      <c r="P187" s="427">
        <f t="shared" si="29"/>
        <v>0.2454499899779515</v>
      </c>
      <c r="Q187" s="426">
        <f t="shared" si="31"/>
        <v>0.29920353778312292</v>
      </c>
      <c r="R187" s="532">
        <f t="shared" si="24"/>
        <v>2.5651991756631565E-2</v>
      </c>
    </row>
    <row r="188" spans="1:18" s="6" customFormat="1" ht="15.75">
      <c r="A188" s="268">
        <v>97</v>
      </c>
      <c r="B188" s="176" t="s">
        <v>149</v>
      </c>
      <c r="C188" s="157">
        <v>273.2</v>
      </c>
      <c r="D188" s="157"/>
      <c r="E188" s="157"/>
      <c r="F188" s="611">
        <f t="shared" si="26"/>
        <v>273.2</v>
      </c>
      <c r="G188" s="18">
        <v>72</v>
      </c>
      <c r="H188" s="827">
        <v>8</v>
      </c>
      <c r="I188" s="330"/>
      <c r="J188" s="330"/>
      <c r="K188" s="142">
        <f t="shared" si="25"/>
        <v>8</v>
      </c>
      <c r="L188" s="589">
        <f t="shared" si="27"/>
        <v>1.6035277610743637E-3</v>
      </c>
      <c r="M188" s="315">
        <f t="shared" si="30"/>
        <v>3.6386129484866712</v>
      </c>
      <c r="N188" s="592">
        <f t="shared" si="28"/>
        <v>1.3379179811585491</v>
      </c>
      <c r="O188" s="498">
        <v>1.4521267343135225</v>
      </c>
      <c r="P188" s="427">
        <f t="shared" si="29"/>
        <v>0.39271998396472241</v>
      </c>
      <c r="Q188" s="426">
        <f t="shared" si="31"/>
        <v>0.47872566045299664</v>
      </c>
      <c r="R188" s="532">
        <f t="shared" si="24"/>
        <v>2.496843941406832E-2</v>
      </c>
    </row>
    <row r="189" spans="1:18" s="6" customFormat="1" ht="15.75">
      <c r="A189" s="268">
        <v>98</v>
      </c>
      <c r="B189" s="176" t="s">
        <v>150</v>
      </c>
      <c r="C189" s="157">
        <v>4159.58</v>
      </c>
      <c r="D189" s="157"/>
      <c r="E189" s="157"/>
      <c r="F189" s="611">
        <f t="shared" si="26"/>
        <v>4159.58</v>
      </c>
      <c r="G189" s="18">
        <v>87.3</v>
      </c>
      <c r="H189" s="827">
        <v>72</v>
      </c>
      <c r="I189" s="330"/>
      <c r="J189" s="330"/>
      <c r="K189" s="142">
        <f t="shared" si="25"/>
        <v>72</v>
      </c>
      <c r="L189" s="589">
        <f t="shared" si="27"/>
        <v>1.4431749849669273E-2</v>
      </c>
      <c r="M189" s="315">
        <f t="shared" si="30"/>
        <v>32.74751653638004</v>
      </c>
      <c r="N189" s="592">
        <f t="shared" si="28"/>
        <v>12.041261830426942</v>
      </c>
      <c r="O189" s="498">
        <v>13.069140608821703</v>
      </c>
      <c r="P189" s="427">
        <f t="shared" si="29"/>
        <v>3.5344798556825014</v>
      </c>
      <c r="Q189" s="426">
        <f t="shared" si="31"/>
        <v>4.3085309440769697</v>
      </c>
      <c r="R189" s="532">
        <f t="shared" si="24"/>
        <v>1.4759278300047404E-2</v>
      </c>
    </row>
    <row r="190" spans="1:18" s="6" customFormat="1" ht="15.75">
      <c r="A190" s="275">
        <v>99</v>
      </c>
      <c r="B190" s="176" t="s">
        <v>151</v>
      </c>
      <c r="C190" s="157">
        <v>2107.77</v>
      </c>
      <c r="D190" s="157"/>
      <c r="E190" s="157">
        <v>133</v>
      </c>
      <c r="F190" s="611">
        <f t="shared" si="26"/>
        <v>2240.77</v>
      </c>
      <c r="G190" s="18">
        <v>416.5</v>
      </c>
      <c r="H190" s="827">
        <v>42</v>
      </c>
      <c r="I190" s="330"/>
      <c r="J190" s="330">
        <v>1</v>
      </c>
      <c r="K190" s="142">
        <f t="shared" si="25"/>
        <v>43</v>
      </c>
      <c r="L190" s="589">
        <f t="shared" si="27"/>
        <v>8.6189617157747048E-3</v>
      </c>
      <c r="M190" s="315">
        <f t="shared" si="30"/>
        <v>19.557544598115857</v>
      </c>
      <c r="N190" s="592">
        <f t="shared" si="28"/>
        <v>7.1913091487272016</v>
      </c>
      <c r="O190" s="498">
        <v>7.8051811969351821</v>
      </c>
      <c r="P190" s="427">
        <f t="shared" si="29"/>
        <v>2.110869913810383</v>
      </c>
      <c r="Q190" s="426">
        <f t="shared" si="31"/>
        <v>2.5731504249348571</v>
      </c>
      <c r="R190" s="532">
        <f t="shared" si="24"/>
        <v>1.7395116572296136E-2</v>
      </c>
    </row>
    <row r="191" spans="1:18" s="6" customFormat="1" ht="15.75">
      <c r="A191" s="268">
        <v>100</v>
      </c>
      <c r="B191" s="176" t="s">
        <v>152</v>
      </c>
      <c r="C191" s="157">
        <v>454.48</v>
      </c>
      <c r="D191" s="157"/>
      <c r="E191" s="157"/>
      <c r="F191" s="611">
        <f t="shared" si="26"/>
        <v>454.48</v>
      </c>
      <c r="G191" s="18">
        <v>245.6</v>
      </c>
      <c r="H191" s="827">
        <v>12</v>
      </c>
      <c r="I191" s="330"/>
      <c r="J191" s="330"/>
      <c r="K191" s="142">
        <f t="shared" si="25"/>
        <v>12</v>
      </c>
      <c r="L191" s="589">
        <f t="shared" si="27"/>
        <v>2.4052916416115455E-3</v>
      </c>
      <c r="M191" s="315">
        <f t="shared" si="30"/>
        <v>5.457919422730007</v>
      </c>
      <c r="N191" s="592">
        <f t="shared" si="28"/>
        <v>2.0068769717378236</v>
      </c>
      <c r="O191" s="498">
        <v>2.1781901014702836</v>
      </c>
      <c r="P191" s="427">
        <f t="shared" si="29"/>
        <v>0.58907997594708361</v>
      </c>
      <c r="Q191" s="426">
        <f t="shared" si="31"/>
        <v>0.71808849067949498</v>
      </c>
      <c r="R191" s="532">
        <f t="shared" si="24"/>
        <v>2.2513788223651639E-2</v>
      </c>
    </row>
    <row r="192" spans="1:18" s="6" customFormat="1" ht="15.75">
      <c r="A192" s="268">
        <v>101</v>
      </c>
      <c r="B192" s="176" t="s">
        <v>153</v>
      </c>
      <c r="C192" s="157">
        <v>166.2</v>
      </c>
      <c r="D192" s="157"/>
      <c r="E192" s="157"/>
      <c r="F192" s="611">
        <f t="shared" si="26"/>
        <v>166.2</v>
      </c>
      <c r="G192" s="18">
        <v>55</v>
      </c>
      <c r="H192" s="827">
        <v>2</v>
      </c>
      <c r="I192" s="330"/>
      <c r="J192" s="330"/>
      <c r="K192" s="142">
        <f t="shared" si="25"/>
        <v>2</v>
      </c>
      <c r="L192" s="589">
        <f t="shared" si="27"/>
        <v>4.0088194026859092E-4</v>
      </c>
      <c r="M192" s="315">
        <f t="shared" si="30"/>
        <v>0.90965323712166779</v>
      </c>
      <c r="N192" s="592">
        <f t="shared" si="28"/>
        <v>0.33447949528963727</v>
      </c>
      <c r="O192" s="498">
        <v>0.36303168357838062</v>
      </c>
      <c r="P192" s="427">
        <f t="shared" si="29"/>
        <v>9.8179995991180602E-2</v>
      </c>
      <c r="Q192" s="426">
        <f t="shared" si="31"/>
        <v>0.11968141511324916</v>
      </c>
      <c r="R192" s="532">
        <f t="shared" si="24"/>
        <v>1.0260796702652626E-2</v>
      </c>
    </row>
    <row r="193" spans="1:18" s="6" customFormat="1" ht="15.75">
      <c r="A193" s="268">
        <v>102</v>
      </c>
      <c r="B193" s="176" t="s">
        <v>154</v>
      </c>
      <c r="C193" s="157">
        <v>297.3</v>
      </c>
      <c r="D193" s="157">
        <v>41.3</v>
      </c>
      <c r="E193" s="157"/>
      <c r="F193" s="611">
        <f t="shared" si="26"/>
        <v>338.6</v>
      </c>
      <c r="G193" s="18">
        <v>34.299999999999997</v>
      </c>
      <c r="H193" s="827">
        <v>5</v>
      </c>
      <c r="I193" s="330">
        <v>1</v>
      </c>
      <c r="J193" s="330"/>
      <c r="K193" s="142">
        <f t="shared" si="25"/>
        <v>6</v>
      </c>
      <c r="L193" s="589">
        <f t="shared" si="27"/>
        <v>1.2026458208057728E-3</v>
      </c>
      <c r="M193" s="315">
        <f t="shared" si="30"/>
        <v>2.7289597113650035</v>
      </c>
      <c r="N193" s="592">
        <f t="shared" si="28"/>
        <v>1.0034384858689118</v>
      </c>
      <c r="O193" s="498">
        <v>1.0890950507351418</v>
      </c>
      <c r="P193" s="427">
        <f t="shared" si="29"/>
        <v>0.29453998797354181</v>
      </c>
      <c r="Q193" s="426">
        <f t="shared" si="31"/>
        <v>0.35904424533974749</v>
      </c>
      <c r="R193" s="532">
        <f t="shared" si="24"/>
        <v>1.720831899072519E-2</v>
      </c>
    </row>
    <row r="194" spans="1:18" s="6" customFormat="1" ht="15.75">
      <c r="A194" s="268">
        <v>103</v>
      </c>
      <c r="B194" s="176" t="s">
        <v>155</v>
      </c>
      <c r="C194" s="157">
        <v>453.7</v>
      </c>
      <c r="D194" s="157"/>
      <c r="E194" s="157"/>
      <c r="F194" s="611">
        <f t="shared" si="26"/>
        <v>453.7</v>
      </c>
      <c r="G194" s="18">
        <v>8.1999999999999993</v>
      </c>
      <c r="H194" s="827">
        <v>9</v>
      </c>
      <c r="I194" s="330"/>
      <c r="J194" s="330"/>
      <c r="K194" s="142">
        <f t="shared" si="25"/>
        <v>9</v>
      </c>
      <c r="L194" s="589">
        <f t="shared" si="27"/>
        <v>1.8039687312086591E-3</v>
      </c>
      <c r="M194" s="315">
        <f t="shared" si="30"/>
        <v>4.093439567047505</v>
      </c>
      <c r="N194" s="592">
        <f t="shared" si="28"/>
        <v>1.5051577288033677</v>
      </c>
      <c r="O194" s="498">
        <v>1.6336425761027129</v>
      </c>
      <c r="P194" s="427">
        <f t="shared" si="29"/>
        <v>0.44180998196031268</v>
      </c>
      <c r="Q194" s="426">
        <f t="shared" si="31"/>
        <v>0.53856636800962121</v>
      </c>
      <c r="R194" s="532">
        <f t="shared" si="24"/>
        <v>1.6914370407568654E-2</v>
      </c>
    </row>
    <row r="195" spans="1:18" s="6" customFormat="1" ht="15.75">
      <c r="A195" s="268">
        <v>104</v>
      </c>
      <c r="B195" s="176" t="s">
        <v>156</v>
      </c>
      <c r="C195" s="157">
        <v>135</v>
      </c>
      <c r="D195" s="157"/>
      <c r="E195" s="157"/>
      <c r="F195" s="611">
        <f t="shared" si="26"/>
        <v>135</v>
      </c>
      <c r="G195" s="18">
        <v>17.8</v>
      </c>
      <c r="H195" s="827">
        <v>2</v>
      </c>
      <c r="I195" s="330"/>
      <c r="J195" s="330"/>
      <c r="K195" s="142">
        <f t="shared" si="25"/>
        <v>2</v>
      </c>
      <c r="L195" s="589">
        <f t="shared" si="27"/>
        <v>4.0088194026859092E-4</v>
      </c>
      <c r="M195" s="315">
        <f t="shared" si="30"/>
        <v>0.90965323712166779</v>
      </c>
      <c r="N195" s="592">
        <f t="shared" si="28"/>
        <v>0.33447949528963727</v>
      </c>
      <c r="O195" s="498">
        <v>0.50824435700973281</v>
      </c>
      <c r="P195" s="427">
        <f t="shared" si="29"/>
        <v>9.8179995991180602E-2</v>
      </c>
      <c r="Q195" s="426">
        <f t="shared" si="31"/>
        <v>0.11968141511324916</v>
      </c>
      <c r="R195" s="532">
        <f t="shared" si="24"/>
        <v>1.370783026231273E-2</v>
      </c>
    </row>
    <row r="196" spans="1:18" s="6" customFormat="1" ht="15.75">
      <c r="A196" s="268">
        <v>105</v>
      </c>
      <c r="B196" s="176" t="s">
        <v>157</v>
      </c>
      <c r="C196" s="157">
        <v>89.9</v>
      </c>
      <c r="D196" s="157"/>
      <c r="E196" s="157"/>
      <c r="F196" s="611">
        <f t="shared" si="26"/>
        <v>89.9</v>
      </c>
      <c r="G196" s="18">
        <v>19.5</v>
      </c>
      <c r="H196" s="827">
        <v>3</v>
      </c>
      <c r="I196" s="330"/>
      <c r="J196" s="330"/>
      <c r="K196" s="142">
        <f t="shared" si="25"/>
        <v>3</v>
      </c>
      <c r="L196" s="589">
        <f t="shared" si="27"/>
        <v>6.0132291040288638E-4</v>
      </c>
      <c r="M196" s="315">
        <f t="shared" si="30"/>
        <v>1.3644798556825017</v>
      </c>
      <c r="N196" s="592">
        <f t="shared" si="28"/>
        <v>0.50171924293445591</v>
      </c>
      <c r="O196" s="498">
        <v>0.76236653551459921</v>
      </c>
      <c r="P196" s="427">
        <f t="shared" si="29"/>
        <v>0.1472699939867709</v>
      </c>
      <c r="Q196" s="426">
        <f t="shared" si="31"/>
        <v>0.17952212266987375</v>
      </c>
      <c r="R196" s="532">
        <f t="shared" si="24"/>
        <v>3.0876925785520887E-2</v>
      </c>
    </row>
    <row r="197" spans="1:18" s="6" customFormat="1" ht="15.75">
      <c r="A197" s="275">
        <v>106</v>
      </c>
      <c r="B197" s="176" t="s">
        <v>158</v>
      </c>
      <c r="C197" s="157">
        <v>224.08</v>
      </c>
      <c r="D197" s="157"/>
      <c r="E197" s="157"/>
      <c r="F197" s="611">
        <f t="shared" si="26"/>
        <v>224.08</v>
      </c>
      <c r="G197" s="18">
        <v>53.5</v>
      </c>
      <c r="H197" s="827">
        <v>3</v>
      </c>
      <c r="I197" s="330"/>
      <c r="J197" s="330"/>
      <c r="K197" s="142">
        <f t="shared" si="25"/>
        <v>3</v>
      </c>
      <c r="L197" s="589">
        <f t="shared" si="27"/>
        <v>6.0132291040288638E-4</v>
      </c>
      <c r="M197" s="315">
        <f t="shared" si="30"/>
        <v>1.3644798556825017</v>
      </c>
      <c r="N197" s="592">
        <f t="shared" si="28"/>
        <v>0.50171924293445591</v>
      </c>
      <c r="O197" s="498">
        <v>0.76236653551459921</v>
      </c>
      <c r="P197" s="427">
        <f t="shared" si="29"/>
        <v>0.1472699939867709</v>
      </c>
      <c r="Q197" s="426">
        <f t="shared" si="31"/>
        <v>0.17952212266987375</v>
      </c>
      <c r="R197" s="532">
        <f t="shared" si="24"/>
        <v>1.2387699161541983E-2</v>
      </c>
    </row>
    <row r="198" spans="1:18" s="6" customFormat="1" ht="15.75">
      <c r="A198" s="268">
        <v>107</v>
      </c>
      <c r="B198" s="176" t="s">
        <v>159</v>
      </c>
      <c r="C198" s="157">
        <v>653.71</v>
      </c>
      <c r="D198" s="157"/>
      <c r="E198" s="157"/>
      <c r="F198" s="611">
        <f t="shared" si="26"/>
        <v>653.71</v>
      </c>
      <c r="G198" s="18">
        <v>37.6</v>
      </c>
      <c r="H198" s="827">
        <v>12</v>
      </c>
      <c r="I198" s="330"/>
      <c r="J198" s="330"/>
      <c r="K198" s="142">
        <f t="shared" si="25"/>
        <v>12</v>
      </c>
      <c r="L198" s="589">
        <f t="shared" si="27"/>
        <v>2.4052916416115455E-3</v>
      </c>
      <c r="M198" s="315">
        <f t="shared" si="30"/>
        <v>5.457919422730007</v>
      </c>
      <c r="N198" s="592">
        <f t="shared" si="28"/>
        <v>2.0068769717378236</v>
      </c>
      <c r="O198" s="498">
        <v>3.0494661420583968</v>
      </c>
      <c r="P198" s="427">
        <f t="shared" si="29"/>
        <v>0.58907997594708361</v>
      </c>
      <c r="Q198" s="426">
        <f t="shared" si="31"/>
        <v>0.71808849067949498</v>
      </c>
      <c r="R198" s="532">
        <f t="shared" si="24"/>
        <v>1.6985119567504415E-2</v>
      </c>
    </row>
    <row r="199" spans="1:18" s="6" customFormat="1" ht="15.75">
      <c r="A199" s="268">
        <v>108</v>
      </c>
      <c r="B199" s="176" t="s">
        <v>160</v>
      </c>
      <c r="C199" s="157">
        <v>182.11</v>
      </c>
      <c r="D199" s="157"/>
      <c r="E199" s="157"/>
      <c r="F199" s="611">
        <f t="shared" si="26"/>
        <v>182.11</v>
      </c>
      <c r="G199" s="18">
        <v>27</v>
      </c>
      <c r="H199" s="827">
        <v>2</v>
      </c>
      <c r="I199" s="330"/>
      <c r="J199" s="330"/>
      <c r="K199" s="142">
        <f t="shared" si="25"/>
        <v>2</v>
      </c>
      <c r="L199" s="589">
        <f t="shared" si="27"/>
        <v>4.0088194026859092E-4</v>
      </c>
      <c r="M199" s="315">
        <f t="shared" si="30"/>
        <v>0.90965323712166779</v>
      </c>
      <c r="N199" s="592">
        <f t="shared" si="28"/>
        <v>0.33447949528963727</v>
      </c>
      <c r="O199" s="498">
        <v>0.50824435700973281</v>
      </c>
      <c r="P199" s="427">
        <f t="shared" si="29"/>
        <v>9.8179995991180602E-2</v>
      </c>
      <c r="Q199" s="426">
        <f t="shared" si="31"/>
        <v>0.11968141511324916</v>
      </c>
      <c r="R199" s="532">
        <f>(M199+N199+O199+P199)/C199</f>
        <v>1.0161754354028983E-2</v>
      </c>
    </row>
    <row r="200" spans="1:18" s="6" customFormat="1" ht="15.75">
      <c r="A200" s="268">
        <v>109</v>
      </c>
      <c r="B200" s="176" t="s">
        <v>161</v>
      </c>
      <c r="C200" s="157">
        <v>2379.1</v>
      </c>
      <c r="D200" s="157"/>
      <c r="E200" s="157"/>
      <c r="F200" s="611">
        <f t="shared" si="26"/>
        <v>2379.1</v>
      </c>
      <c r="G200" s="18">
        <v>44.2</v>
      </c>
      <c r="H200" s="827">
        <v>44</v>
      </c>
      <c r="I200" s="330"/>
      <c r="J200" s="330"/>
      <c r="K200" s="142">
        <f t="shared" si="25"/>
        <v>44</v>
      </c>
      <c r="L200" s="589">
        <f t="shared" si="27"/>
        <v>8.8194026859090002E-3</v>
      </c>
      <c r="M200" s="315">
        <f t="shared" si="30"/>
        <v>20.012371216676691</v>
      </c>
      <c r="N200" s="592">
        <f t="shared" si="28"/>
        <v>7.35854889637202</v>
      </c>
      <c r="O200" s="498">
        <v>7.9866970387243725</v>
      </c>
      <c r="P200" s="427">
        <f t="shared" si="29"/>
        <v>2.1599599118059731</v>
      </c>
      <c r="Q200" s="426">
        <f t="shared" si="31"/>
        <v>2.6329911324914814</v>
      </c>
      <c r="R200" s="532">
        <f>(M200+N200+O200+P200)/C200</f>
        <v>1.5769651155302027E-2</v>
      </c>
    </row>
    <row r="201" spans="1:18" s="6" customFormat="1" ht="15.75">
      <c r="A201" s="268">
        <v>110</v>
      </c>
      <c r="B201" s="176" t="s">
        <v>162</v>
      </c>
      <c r="C201" s="157">
        <v>140.19999999999999</v>
      </c>
      <c r="D201" s="157"/>
      <c r="E201" s="157"/>
      <c r="F201" s="611">
        <f t="shared" si="26"/>
        <v>140.19999999999999</v>
      </c>
      <c r="G201" s="18">
        <v>270</v>
      </c>
      <c r="H201" s="827">
        <v>4</v>
      </c>
      <c r="I201" s="330"/>
      <c r="J201" s="330"/>
      <c r="K201" s="142">
        <f t="shared" si="25"/>
        <v>4</v>
      </c>
      <c r="L201" s="589">
        <f t="shared" si="27"/>
        <v>8.0176388053718184E-4</v>
      </c>
      <c r="M201" s="315">
        <f t="shared" si="30"/>
        <v>1.8193064742433356</v>
      </c>
      <c r="N201" s="592">
        <f t="shared" si="28"/>
        <v>0.66895899057927455</v>
      </c>
      <c r="O201" s="498">
        <v>1.0164887140194656</v>
      </c>
      <c r="P201" s="427">
        <f t="shared" si="29"/>
        <v>0.1963599919823612</v>
      </c>
      <c r="Q201" s="426">
        <f t="shared" si="31"/>
        <v>0.23936283022649832</v>
      </c>
      <c r="R201" s="532">
        <f>(M201+N201+O201+P201)/C201</f>
        <v>2.6398817195609395E-2</v>
      </c>
    </row>
    <row r="202" spans="1:18" s="6" customFormat="1" ht="15.75">
      <c r="A202" s="268">
        <v>111</v>
      </c>
      <c r="B202" s="176" t="s">
        <v>163</v>
      </c>
      <c r="C202" s="157">
        <v>116.79</v>
      </c>
      <c r="D202" s="157"/>
      <c r="E202" s="157"/>
      <c r="F202" s="611">
        <f t="shared" si="26"/>
        <v>116.79</v>
      </c>
      <c r="G202" s="18">
        <v>12.2</v>
      </c>
      <c r="H202" s="827">
        <v>2</v>
      </c>
      <c r="I202" s="330"/>
      <c r="J202" s="330"/>
      <c r="K202" s="142">
        <f t="shared" si="25"/>
        <v>2</v>
      </c>
      <c r="L202" s="589">
        <f t="shared" si="27"/>
        <v>4.0088194026859092E-4</v>
      </c>
      <c r="M202" s="315">
        <f t="shared" si="30"/>
        <v>0.90965323712166779</v>
      </c>
      <c r="N202" s="592">
        <f t="shared" si="28"/>
        <v>0.33447949528963727</v>
      </c>
      <c r="O202" s="498">
        <v>0.50824435700973281</v>
      </c>
      <c r="P202" s="427">
        <f t="shared" si="29"/>
        <v>9.8179995991180602E-2</v>
      </c>
      <c r="Q202" s="426">
        <f t="shared" si="31"/>
        <v>0.11968141511324916</v>
      </c>
      <c r="R202" s="532">
        <f t="shared" ref="R202:R265" si="32">(M202+N202+O202+P202)/C202</f>
        <v>1.5845167269562619E-2</v>
      </c>
    </row>
    <row r="203" spans="1:18" s="6" customFormat="1" ht="15.75">
      <c r="A203" s="268">
        <v>112</v>
      </c>
      <c r="B203" s="176" t="s">
        <v>164</v>
      </c>
      <c r="C203" s="157">
        <v>59.7</v>
      </c>
      <c r="D203" s="157"/>
      <c r="E203" s="157"/>
      <c r="F203" s="611">
        <f t="shared" si="26"/>
        <v>59.7</v>
      </c>
      <c r="G203" s="18">
        <v>10.5</v>
      </c>
      <c r="H203" s="827">
        <v>1</v>
      </c>
      <c r="I203" s="330"/>
      <c r="J203" s="330"/>
      <c r="K203" s="142">
        <f t="shared" si="25"/>
        <v>1</v>
      </c>
      <c r="L203" s="589">
        <f t="shared" si="27"/>
        <v>2.0044097013429546E-4</v>
      </c>
      <c r="M203" s="315">
        <f t="shared" si="30"/>
        <v>0.4548266185608339</v>
      </c>
      <c r="N203" s="592">
        <f t="shared" si="28"/>
        <v>0.16723974764481864</v>
      </c>
      <c r="O203" s="498">
        <v>0.2541221785048664</v>
      </c>
      <c r="P203" s="427">
        <f t="shared" si="29"/>
        <v>4.9089997995590301E-2</v>
      </c>
      <c r="Q203" s="426">
        <f t="shared" si="31"/>
        <v>5.984070755662458E-2</v>
      </c>
      <c r="R203" s="532">
        <f t="shared" si="32"/>
        <v>1.5498803060403838E-2</v>
      </c>
    </row>
    <row r="204" spans="1:18" s="6" customFormat="1" ht="15.75">
      <c r="A204" s="275">
        <v>113</v>
      </c>
      <c r="B204" s="176" t="s">
        <v>165</v>
      </c>
      <c r="C204" s="157">
        <v>137.5</v>
      </c>
      <c r="D204" s="157"/>
      <c r="E204" s="157"/>
      <c r="F204" s="611">
        <f t="shared" si="26"/>
        <v>137.5</v>
      </c>
      <c r="G204" s="18">
        <v>12.6</v>
      </c>
      <c r="H204" s="827">
        <v>2</v>
      </c>
      <c r="I204" s="330"/>
      <c r="J204" s="330"/>
      <c r="K204" s="142">
        <f t="shared" si="25"/>
        <v>2</v>
      </c>
      <c r="L204" s="589">
        <f t="shared" si="27"/>
        <v>4.0088194026859092E-4</v>
      </c>
      <c r="M204" s="315">
        <f t="shared" si="30"/>
        <v>0.90965323712166779</v>
      </c>
      <c r="N204" s="592">
        <f t="shared" si="28"/>
        <v>0.33447949528963727</v>
      </c>
      <c r="O204" s="498">
        <v>0.50824435700973281</v>
      </c>
      <c r="P204" s="427">
        <f t="shared" si="29"/>
        <v>9.8179995991180602E-2</v>
      </c>
      <c r="Q204" s="426">
        <f t="shared" si="31"/>
        <v>0.11968141511324916</v>
      </c>
      <c r="R204" s="532">
        <f t="shared" si="32"/>
        <v>1.3458596984816135E-2</v>
      </c>
    </row>
    <row r="205" spans="1:18" s="6" customFormat="1" ht="15.75">
      <c r="A205" s="268">
        <v>114</v>
      </c>
      <c r="B205" s="176" t="s">
        <v>166</v>
      </c>
      <c r="C205" s="157">
        <v>1812.9</v>
      </c>
      <c r="D205" s="157">
        <v>95.4</v>
      </c>
      <c r="E205" s="157"/>
      <c r="F205" s="611">
        <f t="shared" si="26"/>
        <v>1908.3000000000002</v>
      </c>
      <c r="G205" s="18">
        <v>9.1999999999999993</v>
      </c>
      <c r="H205" s="827">
        <v>32</v>
      </c>
      <c r="I205" s="330">
        <v>1</v>
      </c>
      <c r="J205" s="330"/>
      <c r="K205" s="142">
        <f t="shared" si="25"/>
        <v>33</v>
      </c>
      <c r="L205" s="589">
        <f t="shared" si="27"/>
        <v>6.6145520144317502E-3</v>
      </c>
      <c r="M205" s="315">
        <f t="shared" si="30"/>
        <v>15.009278412507518</v>
      </c>
      <c r="N205" s="592">
        <f t="shared" si="28"/>
        <v>5.5189116722790148</v>
      </c>
      <c r="O205" s="498">
        <v>8.3860318906605915</v>
      </c>
      <c r="P205" s="427">
        <f t="shared" si="29"/>
        <v>1.61996993385448</v>
      </c>
      <c r="Q205" s="426">
        <f t="shared" si="31"/>
        <v>1.9747433493686113</v>
      </c>
      <c r="R205" s="532">
        <f t="shared" si="32"/>
        <v>1.6842733691489663E-2</v>
      </c>
    </row>
    <row r="206" spans="1:18" s="6" customFormat="1" ht="15.75">
      <c r="A206" s="268">
        <v>115</v>
      </c>
      <c r="B206" s="176" t="s">
        <v>167</v>
      </c>
      <c r="C206" s="157">
        <v>140.4</v>
      </c>
      <c r="D206" s="157"/>
      <c r="E206" s="157"/>
      <c r="F206" s="611">
        <f t="shared" si="26"/>
        <v>140.4</v>
      </c>
      <c r="G206" s="18">
        <v>236.4</v>
      </c>
      <c r="H206" s="827">
        <v>4</v>
      </c>
      <c r="I206" s="330"/>
      <c r="J206" s="330"/>
      <c r="K206" s="142">
        <f t="shared" ref="K206:K267" si="33">H206+I206+J206</f>
        <v>4</v>
      </c>
      <c r="L206" s="589">
        <f t="shared" si="27"/>
        <v>8.0176388053718184E-4</v>
      </c>
      <c r="M206" s="315">
        <f t="shared" si="30"/>
        <v>1.8193064742433356</v>
      </c>
      <c r="N206" s="592">
        <f t="shared" si="28"/>
        <v>0.66895899057927455</v>
      </c>
      <c r="O206" s="498">
        <v>1.0164887140194656</v>
      </c>
      <c r="P206" s="427">
        <f t="shared" si="29"/>
        <v>0.1963599919823612</v>
      </c>
      <c r="Q206" s="426">
        <f t="shared" si="31"/>
        <v>0.23936283022649832</v>
      </c>
      <c r="R206" s="532">
        <f t="shared" si="32"/>
        <v>2.6361212042909095E-2</v>
      </c>
    </row>
    <row r="207" spans="1:18" s="6" customFormat="1" ht="15.75">
      <c r="A207" s="268">
        <v>116</v>
      </c>
      <c r="B207" s="176" t="s">
        <v>168</v>
      </c>
      <c r="C207" s="157">
        <v>290.7</v>
      </c>
      <c r="D207" s="157"/>
      <c r="E207" s="157"/>
      <c r="F207" s="611">
        <f t="shared" ref="F207:F268" si="34">C207+D207+E207</f>
        <v>290.7</v>
      </c>
      <c r="G207" s="18">
        <v>21.3</v>
      </c>
      <c r="H207" s="827">
        <v>6</v>
      </c>
      <c r="I207" s="330"/>
      <c r="J207" s="330"/>
      <c r="K207" s="142">
        <f t="shared" si="33"/>
        <v>6</v>
      </c>
      <c r="L207" s="589">
        <f t="shared" si="27"/>
        <v>1.2026458208057728E-3</v>
      </c>
      <c r="M207" s="315">
        <f t="shared" si="30"/>
        <v>2.7289597113650035</v>
      </c>
      <c r="N207" s="592">
        <f t="shared" si="28"/>
        <v>1.0034384858689118</v>
      </c>
      <c r="O207" s="498">
        <v>1.0890950507351418</v>
      </c>
      <c r="P207" s="427">
        <f t="shared" si="29"/>
        <v>0.29453998797354181</v>
      </c>
      <c r="Q207" s="426">
        <f t="shared" si="31"/>
        <v>0.35904424533974749</v>
      </c>
      <c r="R207" s="532">
        <f t="shared" si="32"/>
        <v>1.7599013539534223E-2</v>
      </c>
    </row>
    <row r="208" spans="1:18" s="6" customFormat="1" ht="15.75">
      <c r="A208" s="268">
        <v>117</v>
      </c>
      <c r="B208" s="176" t="s">
        <v>169</v>
      </c>
      <c r="C208" s="157">
        <v>2427.7199999999998</v>
      </c>
      <c r="D208" s="157"/>
      <c r="E208" s="157"/>
      <c r="F208" s="611">
        <f t="shared" si="34"/>
        <v>2427.7199999999998</v>
      </c>
      <c r="G208" s="18">
        <v>18.2</v>
      </c>
      <c r="H208" s="827">
        <v>40</v>
      </c>
      <c r="I208" s="330"/>
      <c r="J208" s="330"/>
      <c r="K208" s="142">
        <f t="shared" si="33"/>
        <v>40</v>
      </c>
      <c r="L208" s="589">
        <f t="shared" si="27"/>
        <v>8.0176388053718184E-3</v>
      </c>
      <c r="M208" s="315">
        <f t="shared" si="30"/>
        <v>18.193064742433354</v>
      </c>
      <c r="N208" s="592">
        <f t="shared" si="28"/>
        <v>6.6895899057927446</v>
      </c>
      <c r="O208" s="498">
        <v>7.2606336715676125</v>
      </c>
      <c r="P208" s="427">
        <f t="shared" si="29"/>
        <v>1.963599919823612</v>
      </c>
      <c r="Q208" s="426">
        <f t="shared" si="31"/>
        <v>2.3936283022649834</v>
      </c>
      <c r="R208" s="532">
        <f t="shared" si="32"/>
        <v>1.4048938196998553E-2</v>
      </c>
    </row>
    <row r="209" spans="1:18" s="6" customFormat="1" ht="15.75">
      <c r="A209" s="268">
        <v>118</v>
      </c>
      <c r="B209" s="176" t="s">
        <v>170</v>
      </c>
      <c r="C209" s="157">
        <v>93</v>
      </c>
      <c r="D209" s="157"/>
      <c r="E209" s="157"/>
      <c r="F209" s="611">
        <f t="shared" si="34"/>
        <v>93</v>
      </c>
      <c r="G209" s="18">
        <v>284.8</v>
      </c>
      <c r="H209" s="827">
        <v>2</v>
      </c>
      <c r="I209" s="330"/>
      <c r="J209" s="330"/>
      <c r="K209" s="142">
        <f t="shared" si="33"/>
        <v>2</v>
      </c>
      <c r="L209" s="589">
        <f t="shared" si="27"/>
        <v>4.0088194026859092E-4</v>
      </c>
      <c r="M209" s="315">
        <f t="shared" si="30"/>
        <v>0.90965323712166779</v>
      </c>
      <c r="N209" s="592">
        <f t="shared" si="28"/>
        <v>0.33447949528963727</v>
      </c>
      <c r="O209" s="498">
        <v>0.50824435700973281</v>
      </c>
      <c r="P209" s="427">
        <f t="shared" si="29"/>
        <v>9.8179995991180602E-2</v>
      </c>
      <c r="Q209" s="426">
        <f t="shared" si="31"/>
        <v>0.11968141511324916</v>
      </c>
      <c r="R209" s="532">
        <f t="shared" si="32"/>
        <v>1.9898463284002348E-2</v>
      </c>
    </row>
    <row r="210" spans="1:18" s="6" customFormat="1" ht="15.75">
      <c r="A210" s="268">
        <v>119</v>
      </c>
      <c r="B210" s="176" t="s">
        <v>171</v>
      </c>
      <c r="C210" s="157">
        <v>1387.9</v>
      </c>
      <c r="D210" s="157">
        <v>85.8</v>
      </c>
      <c r="E210" s="157"/>
      <c r="F210" s="611">
        <f t="shared" si="34"/>
        <v>1473.7</v>
      </c>
      <c r="G210" s="18">
        <v>29.8</v>
      </c>
      <c r="H210" s="827">
        <v>30</v>
      </c>
      <c r="I210" s="330">
        <v>1</v>
      </c>
      <c r="J210" s="330"/>
      <c r="K210" s="142">
        <f t="shared" si="33"/>
        <v>31</v>
      </c>
      <c r="L210" s="589">
        <f t="shared" si="27"/>
        <v>6.2136700741631593E-3</v>
      </c>
      <c r="M210" s="315">
        <f t="shared" si="30"/>
        <v>14.099625175385849</v>
      </c>
      <c r="N210" s="592">
        <f t="shared" si="28"/>
        <v>5.1844321769893771</v>
      </c>
      <c r="O210" s="498">
        <v>5.6269910954648994</v>
      </c>
      <c r="P210" s="427">
        <f t="shared" si="29"/>
        <v>1.5217899378632993</v>
      </c>
      <c r="Q210" s="426">
        <f t="shared" si="31"/>
        <v>1.855061934255362</v>
      </c>
      <c r="R210" s="532">
        <f t="shared" si="32"/>
        <v>1.904520382282832E-2</v>
      </c>
    </row>
    <row r="211" spans="1:18" s="6" customFormat="1" ht="15.75">
      <c r="A211" s="275">
        <v>120</v>
      </c>
      <c r="B211" s="176" t="s">
        <v>172</v>
      </c>
      <c r="C211" s="157">
        <v>2507</v>
      </c>
      <c r="D211" s="157"/>
      <c r="E211" s="157"/>
      <c r="F211" s="611">
        <f t="shared" si="34"/>
        <v>2507</v>
      </c>
      <c r="G211" s="18">
        <v>58.6</v>
      </c>
      <c r="H211" s="827">
        <v>60</v>
      </c>
      <c r="I211" s="330"/>
      <c r="J211" s="330"/>
      <c r="K211" s="142">
        <f t="shared" si="33"/>
        <v>60</v>
      </c>
      <c r="L211" s="589">
        <f t="shared" si="27"/>
        <v>1.2026458208057728E-2</v>
      </c>
      <c r="M211" s="315">
        <f t="shared" si="30"/>
        <v>27.289597113650032</v>
      </c>
      <c r="N211" s="592">
        <f t="shared" si="28"/>
        <v>10.034384858689117</v>
      </c>
      <c r="O211" s="498">
        <v>10.890950507351418</v>
      </c>
      <c r="P211" s="427">
        <f t="shared" si="29"/>
        <v>2.9453998797354179</v>
      </c>
      <c r="Q211" s="426">
        <f t="shared" si="31"/>
        <v>3.5904424533974746</v>
      </c>
      <c r="R211" s="532">
        <f t="shared" si="32"/>
        <v>2.04069933623558E-2</v>
      </c>
    </row>
    <row r="212" spans="1:18" s="6" customFormat="1" ht="15.75">
      <c r="A212" s="268">
        <v>121</v>
      </c>
      <c r="B212" s="176" t="s">
        <v>173</v>
      </c>
      <c r="C212" s="157">
        <v>3505.3</v>
      </c>
      <c r="D212" s="157"/>
      <c r="E212" s="157"/>
      <c r="F212" s="611">
        <f t="shared" si="34"/>
        <v>3505.3</v>
      </c>
      <c r="G212" s="18">
        <v>194.8</v>
      </c>
      <c r="H212" s="827">
        <v>86</v>
      </c>
      <c r="I212" s="330"/>
      <c r="J212" s="330"/>
      <c r="K212" s="142">
        <f t="shared" si="33"/>
        <v>86</v>
      </c>
      <c r="L212" s="589">
        <f t="shared" si="27"/>
        <v>1.723792343154941E-2</v>
      </c>
      <c r="M212" s="315">
        <f t="shared" si="30"/>
        <v>39.115089196231715</v>
      </c>
      <c r="N212" s="592">
        <f t="shared" si="28"/>
        <v>14.382618297454403</v>
      </c>
      <c r="O212" s="498">
        <v>15.610362393870364</v>
      </c>
      <c r="P212" s="427">
        <f t="shared" si="29"/>
        <v>4.2217398276207661</v>
      </c>
      <c r="Q212" s="426">
        <f t="shared" si="31"/>
        <v>5.1463008498697143</v>
      </c>
      <c r="R212" s="532">
        <f t="shared" si="32"/>
        <v>2.0919695807827359E-2</v>
      </c>
    </row>
    <row r="213" spans="1:18" s="6" customFormat="1" ht="15.75">
      <c r="A213" s="268">
        <v>122</v>
      </c>
      <c r="B213" s="176" t="s">
        <v>174</v>
      </c>
      <c r="C213" s="157">
        <v>191.78</v>
      </c>
      <c r="D213" s="157"/>
      <c r="E213" s="157"/>
      <c r="F213" s="611">
        <f t="shared" si="34"/>
        <v>191.78</v>
      </c>
      <c r="G213" s="18">
        <v>275.2</v>
      </c>
      <c r="H213" s="827">
        <v>4</v>
      </c>
      <c r="I213" s="330"/>
      <c r="J213" s="330"/>
      <c r="K213" s="142">
        <f t="shared" si="33"/>
        <v>4</v>
      </c>
      <c r="L213" s="589">
        <f t="shared" si="27"/>
        <v>8.0176388053718184E-4</v>
      </c>
      <c r="M213" s="315">
        <f t="shared" si="30"/>
        <v>1.8193064742433356</v>
      </c>
      <c r="N213" s="592">
        <f t="shared" si="28"/>
        <v>0.66895899057927455</v>
      </c>
      <c r="O213" s="498">
        <v>0.72606336715676123</v>
      </c>
      <c r="P213" s="427">
        <f t="shared" si="29"/>
        <v>0.1963599919823612</v>
      </c>
      <c r="Q213" s="426">
        <f t="shared" si="31"/>
        <v>0.23936283022649832</v>
      </c>
      <c r="R213" s="532">
        <f t="shared" si="32"/>
        <v>1.7784382229438588E-2</v>
      </c>
    </row>
    <row r="214" spans="1:18" s="6" customFormat="1" ht="15.75">
      <c r="A214" s="268">
        <v>123</v>
      </c>
      <c r="B214" s="176" t="s">
        <v>175</v>
      </c>
      <c r="C214" s="157">
        <v>3560.1</v>
      </c>
      <c r="D214" s="157"/>
      <c r="E214" s="157"/>
      <c r="F214" s="611">
        <f t="shared" si="34"/>
        <v>3560.1</v>
      </c>
      <c r="G214" s="18"/>
      <c r="H214" s="827">
        <v>88</v>
      </c>
      <c r="I214" s="330"/>
      <c r="J214" s="330"/>
      <c r="K214" s="142">
        <f t="shared" si="33"/>
        <v>88</v>
      </c>
      <c r="L214" s="589">
        <f t="shared" si="27"/>
        <v>1.7638805371818E-2</v>
      </c>
      <c r="M214" s="315">
        <f t="shared" si="30"/>
        <v>40.024742433353381</v>
      </c>
      <c r="N214" s="592">
        <f t="shared" si="28"/>
        <v>14.71709779274404</v>
      </c>
      <c r="O214" s="498">
        <v>15.973394077448745</v>
      </c>
      <c r="P214" s="427">
        <f t="shared" si="29"/>
        <v>4.3199198236119463</v>
      </c>
      <c r="Q214" s="426">
        <f t="shared" si="31"/>
        <v>5.2659822649829628</v>
      </c>
      <c r="R214" s="532">
        <f t="shared" si="32"/>
        <v>2.1076698443065676E-2</v>
      </c>
    </row>
    <row r="215" spans="1:18" s="6" customFormat="1" ht="15.75">
      <c r="A215" s="268">
        <v>124</v>
      </c>
      <c r="B215" s="176" t="s">
        <v>176</v>
      </c>
      <c r="C215" s="157">
        <v>291.19</v>
      </c>
      <c r="D215" s="157"/>
      <c r="E215" s="157"/>
      <c r="F215" s="611">
        <f t="shared" si="34"/>
        <v>291.19</v>
      </c>
      <c r="G215" s="18">
        <v>229.2</v>
      </c>
      <c r="H215" s="827">
        <v>8</v>
      </c>
      <c r="I215" s="330"/>
      <c r="J215" s="330"/>
      <c r="K215" s="142">
        <f t="shared" si="33"/>
        <v>8</v>
      </c>
      <c r="L215" s="589">
        <f t="shared" si="27"/>
        <v>1.6035277610743637E-3</v>
      </c>
      <c r="M215" s="315">
        <f t="shared" si="30"/>
        <v>3.6386129484866712</v>
      </c>
      <c r="N215" s="592">
        <f t="shared" si="28"/>
        <v>1.3379179811585491</v>
      </c>
      <c r="O215" s="498">
        <v>2.0329774280389312</v>
      </c>
      <c r="P215" s="427">
        <f t="shared" si="29"/>
        <v>0.39271998396472241</v>
      </c>
      <c r="Q215" s="426">
        <f t="shared" si="31"/>
        <v>0.47872566045299664</v>
      </c>
      <c r="R215" s="532">
        <f t="shared" si="32"/>
        <v>2.5420613144850009E-2</v>
      </c>
    </row>
    <row r="216" spans="1:18" s="6" customFormat="1" ht="15.75">
      <c r="A216" s="268">
        <v>125</v>
      </c>
      <c r="B216" s="176" t="s">
        <v>177</v>
      </c>
      <c r="C216" s="157">
        <v>162.44999999999999</v>
      </c>
      <c r="D216" s="157">
        <v>11</v>
      </c>
      <c r="E216" s="157"/>
      <c r="F216" s="611">
        <f t="shared" si="34"/>
        <v>173.45</v>
      </c>
      <c r="G216" s="18"/>
      <c r="H216" s="827">
        <v>5</v>
      </c>
      <c r="I216" s="330">
        <v>1</v>
      </c>
      <c r="J216" s="330"/>
      <c r="K216" s="142">
        <f t="shared" si="33"/>
        <v>6</v>
      </c>
      <c r="L216" s="589">
        <f t="shared" si="27"/>
        <v>1.2026458208057728E-3</v>
      </c>
      <c r="M216" s="315">
        <f t="shared" si="30"/>
        <v>2.7289597113650035</v>
      </c>
      <c r="N216" s="592">
        <f t="shared" si="28"/>
        <v>1.0034384858689118</v>
      </c>
      <c r="O216" s="498">
        <v>1.5247330710291984</v>
      </c>
      <c r="P216" s="427">
        <f t="shared" si="29"/>
        <v>0.29453998797354181</v>
      </c>
      <c r="Q216" s="426">
        <f t="shared" si="31"/>
        <v>0.35904424533974749</v>
      </c>
      <c r="R216" s="532">
        <f t="shared" si="32"/>
        <v>3.4174646083328139E-2</v>
      </c>
    </row>
    <row r="217" spans="1:18" s="6" customFormat="1" ht="15.75">
      <c r="A217" s="268">
        <v>126</v>
      </c>
      <c r="B217" s="176" t="s">
        <v>178</v>
      </c>
      <c r="C217" s="157">
        <v>132.96</v>
      </c>
      <c r="D217" s="157">
        <v>37.299999999999997</v>
      </c>
      <c r="E217" s="157">
        <v>39.4</v>
      </c>
      <c r="F217" s="611">
        <f t="shared" si="34"/>
        <v>209.66</v>
      </c>
      <c r="G217" s="18"/>
      <c r="H217" s="827">
        <v>3</v>
      </c>
      <c r="I217" s="330">
        <v>1</v>
      </c>
      <c r="J217" s="330">
        <v>1</v>
      </c>
      <c r="K217" s="142">
        <f t="shared" si="33"/>
        <v>5</v>
      </c>
      <c r="L217" s="589">
        <f t="shared" si="27"/>
        <v>1.0022048506714773E-3</v>
      </c>
      <c r="M217" s="315">
        <f t="shared" si="30"/>
        <v>2.2741330928041692</v>
      </c>
      <c r="N217" s="592">
        <f t="shared" si="28"/>
        <v>0.83619873822409307</v>
      </c>
      <c r="O217" s="427">
        <v>1.270610892524332</v>
      </c>
      <c r="P217" s="427">
        <f t="shared" si="29"/>
        <v>0.2454499899779515</v>
      </c>
      <c r="Q217" s="426">
        <f t="shared" si="31"/>
        <v>0.29920353778312292</v>
      </c>
      <c r="R217" s="532">
        <f t="shared" si="32"/>
        <v>3.4795372394182802E-2</v>
      </c>
    </row>
    <row r="218" spans="1:18" s="6" customFormat="1" ht="15.75">
      <c r="A218" s="275">
        <v>127</v>
      </c>
      <c r="B218" s="176" t="s">
        <v>179</v>
      </c>
      <c r="C218" s="157">
        <v>408.46</v>
      </c>
      <c r="D218" s="157"/>
      <c r="E218" s="157"/>
      <c r="F218" s="611">
        <f t="shared" si="34"/>
        <v>408.46</v>
      </c>
      <c r="G218" s="18"/>
      <c r="H218" s="827">
        <v>14</v>
      </c>
      <c r="I218" s="330"/>
      <c r="J218" s="330"/>
      <c r="K218" s="142">
        <f t="shared" si="33"/>
        <v>14</v>
      </c>
      <c r="L218" s="589">
        <f t="shared" si="27"/>
        <v>2.8061735818801364E-3</v>
      </c>
      <c r="M218" s="315">
        <f t="shared" si="30"/>
        <v>6.3675726598516746</v>
      </c>
      <c r="N218" s="592">
        <f t="shared" ref="N218:N280" si="35">M218*0.3677</f>
        <v>2.3413564670274609</v>
      </c>
      <c r="O218" s="427">
        <v>3.5577104990681292</v>
      </c>
      <c r="P218" s="427">
        <f t="shared" si="29"/>
        <v>0.68725997193826416</v>
      </c>
      <c r="Q218" s="426">
        <f t="shared" si="31"/>
        <v>0.83776990579274402</v>
      </c>
      <c r="R218" s="532">
        <f t="shared" si="32"/>
        <v>3.1713997938318389E-2</v>
      </c>
    </row>
    <row r="219" spans="1:18" s="6" customFormat="1" ht="15.75">
      <c r="A219" s="268">
        <v>128</v>
      </c>
      <c r="B219" s="176" t="s">
        <v>180</v>
      </c>
      <c r="C219" s="157">
        <v>67.3</v>
      </c>
      <c r="D219" s="157"/>
      <c r="E219" s="157"/>
      <c r="F219" s="611">
        <f t="shared" si="34"/>
        <v>67.3</v>
      </c>
      <c r="G219" s="18"/>
      <c r="H219" s="827">
        <v>1</v>
      </c>
      <c r="I219" s="330"/>
      <c r="J219" s="330"/>
      <c r="K219" s="142">
        <f t="shared" si="33"/>
        <v>1</v>
      </c>
      <c r="L219" s="589">
        <f t="shared" si="27"/>
        <v>2.0044097013429546E-4</v>
      </c>
      <c r="M219" s="315">
        <f t="shared" si="30"/>
        <v>0.4548266185608339</v>
      </c>
      <c r="N219" s="592">
        <f t="shared" si="35"/>
        <v>0.16723974764481864</v>
      </c>
      <c r="O219" s="427">
        <v>0.2541221785048664</v>
      </c>
      <c r="P219" s="427">
        <f t="shared" si="29"/>
        <v>4.9089997995590301E-2</v>
      </c>
      <c r="Q219" s="426">
        <f t="shared" si="31"/>
        <v>5.984070755662458E-2</v>
      </c>
      <c r="R219" s="532">
        <f t="shared" si="32"/>
        <v>1.3748566756405784E-2</v>
      </c>
    </row>
    <row r="220" spans="1:18" s="6" customFormat="1" ht="15.75">
      <c r="A220" s="268">
        <v>129</v>
      </c>
      <c r="B220" s="176" t="s">
        <v>181</v>
      </c>
      <c r="C220" s="157">
        <v>352.8</v>
      </c>
      <c r="D220" s="157"/>
      <c r="E220" s="157"/>
      <c r="F220" s="611">
        <f t="shared" si="34"/>
        <v>352.8</v>
      </c>
      <c r="G220" s="18"/>
      <c r="H220" s="827">
        <v>12</v>
      </c>
      <c r="I220" s="330"/>
      <c r="J220" s="330"/>
      <c r="K220" s="142">
        <f t="shared" si="33"/>
        <v>12</v>
      </c>
      <c r="L220" s="589">
        <f t="shared" ref="L220:L283" si="36">1/4989*K220</f>
        <v>2.4052916416115455E-3</v>
      </c>
      <c r="M220" s="315">
        <f t="shared" si="30"/>
        <v>5.457919422730007</v>
      </c>
      <c r="N220" s="592">
        <f t="shared" si="35"/>
        <v>2.0068769717378236</v>
      </c>
      <c r="O220" s="427">
        <v>2.1781901014702836</v>
      </c>
      <c r="P220" s="427">
        <f t="shared" ref="P220:P283" si="37">L220*244.91</f>
        <v>0.58907997594708361</v>
      </c>
      <c r="Q220" s="426">
        <f t="shared" si="31"/>
        <v>0.71808849067949498</v>
      </c>
      <c r="R220" s="532">
        <f t="shared" si="32"/>
        <v>2.9002455986069153E-2</v>
      </c>
    </row>
    <row r="221" spans="1:18" s="6" customFormat="1" ht="15.75">
      <c r="A221" s="268">
        <v>130</v>
      </c>
      <c r="B221" s="176" t="s">
        <v>182</v>
      </c>
      <c r="C221" s="157">
        <v>111.58</v>
      </c>
      <c r="D221" s="157"/>
      <c r="E221" s="157"/>
      <c r="F221" s="611">
        <f t="shared" si="34"/>
        <v>111.58</v>
      </c>
      <c r="G221" s="18"/>
      <c r="H221" s="827">
        <v>3</v>
      </c>
      <c r="I221" s="330"/>
      <c r="J221" s="330"/>
      <c r="K221" s="142">
        <f t="shared" si="33"/>
        <v>3</v>
      </c>
      <c r="L221" s="589">
        <f t="shared" si="36"/>
        <v>6.0132291040288638E-4</v>
      </c>
      <c r="M221" s="315">
        <f t="shared" ref="M221:M284" si="38">L221*2269.13</f>
        <v>1.3644798556825017</v>
      </c>
      <c r="N221" s="592">
        <f t="shared" si="35"/>
        <v>0.50171924293445591</v>
      </c>
      <c r="O221" s="427">
        <v>0.76236653551459921</v>
      </c>
      <c r="P221" s="427">
        <f t="shared" si="37"/>
        <v>0.1472699939867709</v>
      </c>
      <c r="Q221" s="426">
        <f t="shared" ref="Q221:Q284" si="39">P221*1.219</f>
        <v>0.17952212266987375</v>
      </c>
      <c r="R221" s="532">
        <f t="shared" si="32"/>
        <v>2.4877537445046852E-2</v>
      </c>
    </row>
    <row r="222" spans="1:18" s="6" customFormat="1" ht="15.75">
      <c r="A222" s="268">
        <v>131</v>
      </c>
      <c r="B222" s="176" t="s">
        <v>183</v>
      </c>
      <c r="C222" s="157">
        <v>115.8</v>
      </c>
      <c r="D222" s="157"/>
      <c r="E222" s="157"/>
      <c r="F222" s="611">
        <f t="shared" si="34"/>
        <v>115.8</v>
      </c>
      <c r="G222" s="18"/>
      <c r="H222" s="827">
        <v>4</v>
      </c>
      <c r="I222" s="330"/>
      <c r="J222" s="330"/>
      <c r="K222" s="142">
        <f t="shared" si="33"/>
        <v>4</v>
      </c>
      <c r="L222" s="589">
        <f t="shared" si="36"/>
        <v>8.0176388053718184E-4</v>
      </c>
      <c r="M222" s="315">
        <f t="shared" si="38"/>
        <v>1.8193064742433356</v>
      </c>
      <c r="N222" s="592">
        <f t="shared" si="35"/>
        <v>0.66895899057927455</v>
      </c>
      <c r="O222" s="427">
        <v>1.0164887140194656</v>
      </c>
      <c r="P222" s="427">
        <f t="shared" si="37"/>
        <v>0.1963599919823612</v>
      </c>
      <c r="Q222" s="426">
        <f t="shared" si="39"/>
        <v>0.23936283022649832</v>
      </c>
      <c r="R222" s="532">
        <f t="shared" si="32"/>
        <v>3.1961262269641078E-2</v>
      </c>
    </row>
    <row r="223" spans="1:18" s="6" customFormat="1" ht="15.75">
      <c r="A223" s="268">
        <v>132</v>
      </c>
      <c r="B223" s="176" t="s">
        <v>184</v>
      </c>
      <c r="C223" s="157">
        <v>74.2</v>
      </c>
      <c r="D223" s="157">
        <v>67.099999999999994</v>
      </c>
      <c r="E223" s="157"/>
      <c r="F223" s="611">
        <f t="shared" si="34"/>
        <v>141.30000000000001</v>
      </c>
      <c r="G223" s="18"/>
      <c r="H223" s="827">
        <v>3</v>
      </c>
      <c r="I223" s="330">
        <v>1</v>
      </c>
      <c r="J223" s="330"/>
      <c r="K223" s="142">
        <f t="shared" si="33"/>
        <v>4</v>
      </c>
      <c r="L223" s="589">
        <f t="shared" si="36"/>
        <v>8.0176388053718184E-4</v>
      </c>
      <c r="M223" s="315">
        <f t="shared" si="38"/>
        <v>1.8193064742433356</v>
      </c>
      <c r="N223" s="592">
        <f t="shared" si="35"/>
        <v>0.66895899057927455</v>
      </c>
      <c r="O223" s="427">
        <v>1.0164887140194656</v>
      </c>
      <c r="P223" s="427">
        <f t="shared" si="37"/>
        <v>0.1963599919823612</v>
      </c>
      <c r="Q223" s="426">
        <f t="shared" si="39"/>
        <v>0.23936283022649832</v>
      </c>
      <c r="R223" s="532">
        <f t="shared" si="32"/>
        <v>4.9880244889817203E-2</v>
      </c>
    </row>
    <row r="224" spans="1:18" s="6" customFormat="1" ht="15.75">
      <c r="A224" s="268">
        <v>133</v>
      </c>
      <c r="B224" s="176" t="s">
        <v>185</v>
      </c>
      <c r="C224" s="157">
        <v>130.9</v>
      </c>
      <c r="D224" s="157"/>
      <c r="E224" s="157">
        <v>30.2</v>
      </c>
      <c r="F224" s="611">
        <f t="shared" si="34"/>
        <v>161.1</v>
      </c>
      <c r="G224" s="18">
        <v>108</v>
      </c>
      <c r="H224" s="827">
        <v>3</v>
      </c>
      <c r="I224" s="330"/>
      <c r="J224" s="330">
        <v>1</v>
      </c>
      <c r="K224" s="142">
        <f t="shared" si="33"/>
        <v>4</v>
      </c>
      <c r="L224" s="589">
        <f t="shared" si="36"/>
        <v>8.0176388053718184E-4</v>
      </c>
      <c r="M224" s="315">
        <f t="shared" si="38"/>
        <v>1.8193064742433356</v>
      </c>
      <c r="N224" s="592">
        <f t="shared" si="35"/>
        <v>0.66895899057927455</v>
      </c>
      <c r="O224" s="427">
        <v>1.0164887140194656</v>
      </c>
      <c r="P224" s="427">
        <f t="shared" si="37"/>
        <v>0.1963599919823612</v>
      </c>
      <c r="Q224" s="426">
        <f t="shared" si="39"/>
        <v>0.23936283022649832</v>
      </c>
      <c r="R224" s="532">
        <f t="shared" si="32"/>
        <v>2.8274363413479272E-2</v>
      </c>
    </row>
    <row r="225" spans="1:18" s="6" customFormat="1" ht="15.75">
      <c r="A225" s="275">
        <v>134</v>
      </c>
      <c r="B225" s="176" t="s">
        <v>186</v>
      </c>
      <c r="C225" s="157">
        <v>308.8</v>
      </c>
      <c r="D225" s="157"/>
      <c r="E225" s="157"/>
      <c r="F225" s="611">
        <f t="shared" si="34"/>
        <v>308.8</v>
      </c>
      <c r="G225" s="18">
        <v>36</v>
      </c>
      <c r="H225" s="827">
        <v>8</v>
      </c>
      <c r="I225" s="330"/>
      <c r="J225" s="330"/>
      <c r="K225" s="142">
        <f t="shared" si="33"/>
        <v>8</v>
      </c>
      <c r="L225" s="589">
        <f t="shared" si="36"/>
        <v>1.6035277610743637E-3</v>
      </c>
      <c r="M225" s="315">
        <f t="shared" si="38"/>
        <v>3.6386129484866712</v>
      </c>
      <c r="N225" s="592">
        <f t="shared" si="35"/>
        <v>1.3379179811585491</v>
      </c>
      <c r="O225" s="427">
        <v>2.0329774280389312</v>
      </c>
      <c r="P225" s="427">
        <f t="shared" si="37"/>
        <v>0.39271998396472241</v>
      </c>
      <c r="Q225" s="426">
        <f t="shared" si="39"/>
        <v>0.47872566045299664</v>
      </c>
      <c r="R225" s="532">
        <f t="shared" si="32"/>
        <v>2.3970946702230808E-2</v>
      </c>
    </row>
    <row r="226" spans="1:18" s="6" customFormat="1" ht="15.75">
      <c r="A226" s="268">
        <v>135</v>
      </c>
      <c r="B226" s="176" t="s">
        <v>187</v>
      </c>
      <c r="C226" s="157">
        <v>343.31</v>
      </c>
      <c r="D226" s="157"/>
      <c r="E226" s="157"/>
      <c r="F226" s="611">
        <f t="shared" si="34"/>
        <v>343.31</v>
      </c>
      <c r="G226" s="18">
        <v>88</v>
      </c>
      <c r="H226" s="827">
        <v>8</v>
      </c>
      <c r="I226" s="330"/>
      <c r="J226" s="330"/>
      <c r="K226" s="142">
        <f t="shared" si="33"/>
        <v>8</v>
      </c>
      <c r="L226" s="589">
        <f t="shared" si="36"/>
        <v>1.6035277610743637E-3</v>
      </c>
      <c r="M226" s="315">
        <f t="shared" si="38"/>
        <v>3.6386129484866712</v>
      </c>
      <c r="N226" s="592">
        <f t="shared" si="35"/>
        <v>1.3379179811585491</v>
      </c>
      <c r="O226" s="427">
        <v>1.4521267343135225</v>
      </c>
      <c r="P226" s="427">
        <f t="shared" si="37"/>
        <v>0.39271998396472241</v>
      </c>
      <c r="Q226" s="426">
        <f t="shared" si="39"/>
        <v>0.47872566045299664</v>
      </c>
      <c r="R226" s="532">
        <f t="shared" si="32"/>
        <v>1.9869440587001443E-2</v>
      </c>
    </row>
    <row r="227" spans="1:18" s="6" customFormat="1" ht="15.75">
      <c r="A227" s="268">
        <v>136</v>
      </c>
      <c r="B227" s="176" t="s">
        <v>188</v>
      </c>
      <c r="C227" s="157">
        <v>146.82</v>
      </c>
      <c r="D227" s="157"/>
      <c r="E227" s="157"/>
      <c r="F227" s="611">
        <f t="shared" si="34"/>
        <v>146.82</v>
      </c>
      <c r="G227" s="18">
        <v>8</v>
      </c>
      <c r="H227" s="827">
        <v>3</v>
      </c>
      <c r="I227" s="330"/>
      <c r="J227" s="330"/>
      <c r="K227" s="142">
        <f t="shared" si="33"/>
        <v>3</v>
      </c>
      <c r="L227" s="589">
        <f t="shared" si="36"/>
        <v>6.0132291040288638E-4</v>
      </c>
      <c r="M227" s="315">
        <f t="shared" si="38"/>
        <v>1.3644798556825017</v>
      </c>
      <c r="N227" s="592">
        <f t="shared" si="35"/>
        <v>0.50171924293445591</v>
      </c>
      <c r="O227" s="427">
        <v>0.76236653551459921</v>
      </c>
      <c r="P227" s="427">
        <f t="shared" si="37"/>
        <v>0.1472699939867709</v>
      </c>
      <c r="Q227" s="426">
        <f t="shared" si="39"/>
        <v>0.17952212266987375</v>
      </c>
      <c r="R227" s="532">
        <f t="shared" si="32"/>
        <v>1.8906386242462388E-2</v>
      </c>
    </row>
    <row r="228" spans="1:18" s="6" customFormat="1" ht="15.75">
      <c r="A228" s="268">
        <v>137</v>
      </c>
      <c r="B228" s="176" t="s">
        <v>189</v>
      </c>
      <c r="C228" s="157">
        <v>218.19</v>
      </c>
      <c r="D228" s="157"/>
      <c r="E228" s="157"/>
      <c r="F228" s="611">
        <f t="shared" si="34"/>
        <v>218.19</v>
      </c>
      <c r="G228" s="18">
        <v>44</v>
      </c>
      <c r="H228" s="827">
        <v>4</v>
      </c>
      <c r="I228" s="330"/>
      <c r="J228" s="330"/>
      <c r="K228" s="142">
        <f t="shared" si="33"/>
        <v>4</v>
      </c>
      <c r="L228" s="589">
        <f t="shared" si="36"/>
        <v>8.0176388053718184E-4</v>
      </c>
      <c r="M228" s="315">
        <f t="shared" si="38"/>
        <v>1.8193064742433356</v>
      </c>
      <c r="N228" s="592">
        <f t="shared" si="35"/>
        <v>0.66895899057927455</v>
      </c>
      <c r="O228" s="427">
        <v>1.0164887140194656</v>
      </c>
      <c r="P228" s="427">
        <f t="shared" si="37"/>
        <v>0.1963599919823612</v>
      </c>
      <c r="Q228" s="426">
        <f t="shared" si="39"/>
        <v>0.23936283022649832</v>
      </c>
      <c r="R228" s="532">
        <f t="shared" si="32"/>
        <v>1.6962803844467834E-2</v>
      </c>
    </row>
    <row r="229" spans="1:18" s="6" customFormat="1" ht="15.75">
      <c r="A229" s="268">
        <v>138</v>
      </c>
      <c r="B229" s="176" t="s">
        <v>190</v>
      </c>
      <c r="C229" s="157">
        <v>109.6</v>
      </c>
      <c r="D229" s="157"/>
      <c r="E229" s="157"/>
      <c r="F229" s="611">
        <f t="shared" si="34"/>
        <v>109.6</v>
      </c>
      <c r="G229" s="18">
        <v>45</v>
      </c>
      <c r="H229" s="827">
        <v>4</v>
      </c>
      <c r="I229" s="330"/>
      <c r="J229" s="330"/>
      <c r="K229" s="142">
        <f t="shared" si="33"/>
        <v>4</v>
      </c>
      <c r="L229" s="589">
        <f t="shared" si="36"/>
        <v>8.0176388053718184E-4</v>
      </c>
      <c r="M229" s="315">
        <f t="shared" si="38"/>
        <v>1.8193064742433356</v>
      </c>
      <c r="N229" s="592">
        <f t="shared" si="35"/>
        <v>0.66895899057927455</v>
      </c>
      <c r="O229" s="427">
        <v>1.0164887140194656</v>
      </c>
      <c r="P229" s="427">
        <f t="shared" si="37"/>
        <v>0.1963599919823612</v>
      </c>
      <c r="Q229" s="426">
        <f t="shared" si="39"/>
        <v>0.23936283022649832</v>
      </c>
      <c r="R229" s="532">
        <f t="shared" si="32"/>
        <v>3.376928987978501E-2</v>
      </c>
    </row>
    <row r="230" spans="1:18" s="6" customFormat="1" ht="15.75">
      <c r="A230" s="268">
        <v>139</v>
      </c>
      <c r="B230" s="176" t="s">
        <v>191</v>
      </c>
      <c r="C230" s="157">
        <v>41.4</v>
      </c>
      <c r="D230" s="157"/>
      <c r="E230" s="157"/>
      <c r="F230" s="611">
        <f t="shared" si="34"/>
        <v>41.4</v>
      </c>
      <c r="G230" s="18">
        <v>25</v>
      </c>
      <c r="H230" s="827">
        <v>1</v>
      </c>
      <c r="I230" s="330"/>
      <c r="J230" s="330"/>
      <c r="K230" s="142">
        <f t="shared" si="33"/>
        <v>1</v>
      </c>
      <c r="L230" s="589">
        <f t="shared" si="36"/>
        <v>2.0044097013429546E-4</v>
      </c>
      <c r="M230" s="315">
        <f t="shared" si="38"/>
        <v>0.4548266185608339</v>
      </c>
      <c r="N230" s="592">
        <f t="shared" si="35"/>
        <v>0.16723974764481864</v>
      </c>
      <c r="O230" s="427">
        <v>0.2541221785048664</v>
      </c>
      <c r="P230" s="427">
        <f t="shared" si="37"/>
        <v>4.9089997995590301E-2</v>
      </c>
      <c r="Q230" s="426">
        <f t="shared" si="39"/>
        <v>5.984070755662458E-2</v>
      </c>
      <c r="R230" s="532">
        <f t="shared" si="32"/>
        <v>2.2349723253770756E-2</v>
      </c>
    </row>
    <row r="231" spans="1:18" s="6" customFormat="1" ht="15.75">
      <c r="A231" s="268">
        <v>140</v>
      </c>
      <c r="B231" s="176" t="s">
        <v>192</v>
      </c>
      <c r="C231" s="157">
        <v>143.4</v>
      </c>
      <c r="D231" s="157"/>
      <c r="E231" s="157"/>
      <c r="F231" s="611">
        <f t="shared" si="34"/>
        <v>143.4</v>
      </c>
      <c r="G231" s="18">
        <v>31</v>
      </c>
      <c r="H231" s="827">
        <v>4</v>
      </c>
      <c r="I231" s="330"/>
      <c r="J231" s="330"/>
      <c r="K231" s="142">
        <f t="shared" si="33"/>
        <v>4</v>
      </c>
      <c r="L231" s="589">
        <f t="shared" si="36"/>
        <v>8.0176388053718184E-4</v>
      </c>
      <c r="M231" s="315">
        <f t="shared" si="38"/>
        <v>1.8193064742433356</v>
      </c>
      <c r="N231" s="592">
        <f t="shared" si="35"/>
        <v>0.66895899057927455</v>
      </c>
      <c r="O231" s="427">
        <v>1.0164887140194656</v>
      </c>
      <c r="P231" s="427">
        <f t="shared" si="37"/>
        <v>0.1963599919823612</v>
      </c>
      <c r="Q231" s="426">
        <f t="shared" si="39"/>
        <v>0.23936283022649832</v>
      </c>
      <c r="R231" s="532">
        <f t="shared" si="32"/>
        <v>2.5809722251216433E-2</v>
      </c>
    </row>
    <row r="232" spans="1:18" s="6" customFormat="1" ht="15.75">
      <c r="A232" s="275">
        <v>141</v>
      </c>
      <c r="B232" s="274" t="s">
        <v>193</v>
      </c>
      <c r="C232" s="157">
        <v>473.2</v>
      </c>
      <c r="D232" s="157"/>
      <c r="E232" s="157"/>
      <c r="F232" s="611">
        <f t="shared" si="34"/>
        <v>473.2</v>
      </c>
      <c r="G232" s="18"/>
      <c r="H232" s="827">
        <v>10</v>
      </c>
      <c r="I232" s="330"/>
      <c r="J232" s="330"/>
      <c r="K232" s="142">
        <f t="shared" si="33"/>
        <v>10</v>
      </c>
      <c r="L232" s="589">
        <f t="shared" si="36"/>
        <v>2.0044097013429546E-3</v>
      </c>
      <c r="M232" s="315">
        <f t="shared" si="38"/>
        <v>4.5482661856083384</v>
      </c>
      <c r="N232" s="592">
        <f t="shared" si="35"/>
        <v>1.6723974764481861</v>
      </c>
      <c r="O232" s="427">
        <v>2.541221785048664</v>
      </c>
      <c r="P232" s="427">
        <f t="shared" si="37"/>
        <v>0.49089997995590301</v>
      </c>
      <c r="Q232" s="426">
        <f t="shared" si="39"/>
        <v>0.59840707556624584</v>
      </c>
      <c r="R232" s="532">
        <f t="shared" si="32"/>
        <v>1.9553646295564438E-2</v>
      </c>
    </row>
    <row r="233" spans="1:18" s="6" customFormat="1" ht="15.75">
      <c r="A233" s="268">
        <v>142</v>
      </c>
      <c r="B233" s="176" t="s">
        <v>194</v>
      </c>
      <c r="C233" s="157">
        <v>306.10000000000002</v>
      </c>
      <c r="D233" s="157"/>
      <c r="E233" s="157"/>
      <c r="F233" s="611">
        <f t="shared" si="34"/>
        <v>306.10000000000002</v>
      </c>
      <c r="G233" s="18">
        <v>99</v>
      </c>
      <c r="H233" s="827">
        <v>8</v>
      </c>
      <c r="I233" s="330"/>
      <c r="J233" s="330"/>
      <c r="K233" s="142">
        <f t="shared" si="33"/>
        <v>8</v>
      </c>
      <c r="L233" s="589">
        <f t="shared" si="36"/>
        <v>1.6035277610743637E-3</v>
      </c>
      <c r="M233" s="315">
        <f t="shared" si="38"/>
        <v>3.6386129484866712</v>
      </c>
      <c r="N233" s="592">
        <f t="shared" si="35"/>
        <v>1.3379179811585491</v>
      </c>
      <c r="O233" s="427">
        <v>2.0329774280389312</v>
      </c>
      <c r="P233" s="427">
        <f t="shared" si="37"/>
        <v>0.39271998396472241</v>
      </c>
      <c r="Q233" s="426">
        <f t="shared" si="39"/>
        <v>0.47872566045299664</v>
      </c>
      <c r="R233" s="532">
        <f t="shared" si="32"/>
        <v>2.4182385957689883E-2</v>
      </c>
    </row>
    <row r="234" spans="1:18" s="6" customFormat="1" ht="15.75">
      <c r="A234" s="268">
        <v>143</v>
      </c>
      <c r="B234" s="176" t="s">
        <v>195</v>
      </c>
      <c r="C234" s="157">
        <v>239.7</v>
      </c>
      <c r="D234" s="157"/>
      <c r="E234" s="157"/>
      <c r="F234" s="611">
        <f t="shared" si="34"/>
        <v>239.7</v>
      </c>
      <c r="G234" s="18">
        <v>8</v>
      </c>
      <c r="H234" s="827">
        <v>7</v>
      </c>
      <c r="I234" s="330"/>
      <c r="J234" s="330"/>
      <c r="K234" s="142">
        <f t="shared" si="33"/>
        <v>7</v>
      </c>
      <c r="L234" s="589">
        <f t="shared" si="36"/>
        <v>1.4030867909400682E-3</v>
      </c>
      <c r="M234" s="315">
        <f t="shared" si="38"/>
        <v>3.1837863299258373</v>
      </c>
      <c r="N234" s="592">
        <f t="shared" si="35"/>
        <v>1.1706782335137305</v>
      </c>
      <c r="O234" s="427">
        <v>1.7788552495340646</v>
      </c>
      <c r="P234" s="427">
        <f t="shared" si="37"/>
        <v>0.34362998596913208</v>
      </c>
      <c r="Q234" s="426">
        <f t="shared" si="39"/>
        <v>0.41888495289637201</v>
      </c>
      <c r="R234" s="532">
        <f t="shared" si="32"/>
        <v>2.7021067162881791E-2</v>
      </c>
    </row>
    <row r="235" spans="1:18" s="6" customFormat="1" ht="15.75">
      <c r="A235" s="268">
        <v>144</v>
      </c>
      <c r="B235" s="176" t="s">
        <v>196</v>
      </c>
      <c r="C235" s="157">
        <v>193.7</v>
      </c>
      <c r="D235" s="157"/>
      <c r="E235" s="157"/>
      <c r="F235" s="611">
        <f t="shared" si="34"/>
        <v>193.7</v>
      </c>
      <c r="G235" s="18">
        <v>16.399999999999999</v>
      </c>
      <c r="H235" s="827">
        <v>4</v>
      </c>
      <c r="I235" s="330"/>
      <c r="J235" s="330"/>
      <c r="K235" s="142">
        <f t="shared" si="33"/>
        <v>4</v>
      </c>
      <c r="L235" s="589">
        <f t="shared" si="36"/>
        <v>8.0176388053718184E-4</v>
      </c>
      <c r="M235" s="315">
        <f t="shared" si="38"/>
        <v>1.8193064742433356</v>
      </c>
      <c r="N235" s="592">
        <f t="shared" si="35"/>
        <v>0.66895899057927455</v>
      </c>
      <c r="O235" s="427">
        <v>1.0164887140194656</v>
      </c>
      <c r="P235" s="427">
        <f t="shared" si="37"/>
        <v>0.1963599919823612</v>
      </c>
      <c r="Q235" s="426">
        <f t="shared" si="39"/>
        <v>0.23936283022649832</v>
      </c>
      <c r="R235" s="532">
        <f t="shared" si="32"/>
        <v>1.9107455708954245E-2</v>
      </c>
    </row>
    <row r="236" spans="1:18" s="6" customFormat="1" ht="15.75">
      <c r="A236" s="268">
        <v>145</v>
      </c>
      <c r="B236" s="176" t="s">
        <v>197</v>
      </c>
      <c r="C236" s="157">
        <v>83.9</v>
      </c>
      <c r="D236" s="157"/>
      <c r="E236" s="157"/>
      <c r="F236" s="611">
        <f t="shared" si="34"/>
        <v>83.9</v>
      </c>
      <c r="G236" s="18">
        <v>76.5</v>
      </c>
      <c r="H236" s="827">
        <v>3</v>
      </c>
      <c r="I236" s="330"/>
      <c r="J236" s="330"/>
      <c r="K236" s="142">
        <f t="shared" si="33"/>
        <v>3</v>
      </c>
      <c r="L236" s="589">
        <f t="shared" si="36"/>
        <v>6.0132291040288638E-4</v>
      </c>
      <c r="M236" s="315">
        <f t="shared" si="38"/>
        <v>1.3644798556825017</v>
      </c>
      <c r="N236" s="592">
        <f t="shared" si="35"/>
        <v>0.50171924293445591</v>
      </c>
      <c r="O236" s="427">
        <v>0.76236653551459921</v>
      </c>
      <c r="P236" s="427">
        <f t="shared" si="37"/>
        <v>0.1472699939867709</v>
      </c>
      <c r="Q236" s="426">
        <f t="shared" si="39"/>
        <v>0.17952212266987375</v>
      </c>
      <c r="R236" s="532">
        <f t="shared" si="32"/>
        <v>3.3085049202840618E-2</v>
      </c>
    </row>
    <row r="237" spans="1:18" s="6" customFormat="1" ht="15.75">
      <c r="A237" s="268">
        <v>146</v>
      </c>
      <c r="B237" s="176" t="s">
        <v>198</v>
      </c>
      <c r="C237" s="157">
        <v>2111.66</v>
      </c>
      <c r="D237" s="157"/>
      <c r="E237" s="157"/>
      <c r="F237" s="611">
        <f t="shared" si="34"/>
        <v>2111.66</v>
      </c>
      <c r="G237" s="18">
        <v>11.8</v>
      </c>
      <c r="H237" s="827">
        <v>40</v>
      </c>
      <c r="I237" s="330"/>
      <c r="J237" s="330"/>
      <c r="K237" s="142">
        <f t="shared" si="33"/>
        <v>40</v>
      </c>
      <c r="L237" s="589">
        <f t="shared" si="36"/>
        <v>8.0176388053718184E-3</v>
      </c>
      <c r="M237" s="315">
        <f t="shared" si="38"/>
        <v>18.193064742433354</v>
      </c>
      <c r="N237" s="592">
        <f t="shared" si="35"/>
        <v>6.6895899057927446</v>
      </c>
      <c r="O237" s="427">
        <v>7.2606336715676125</v>
      </c>
      <c r="P237" s="427">
        <f t="shared" si="37"/>
        <v>1.963599919823612</v>
      </c>
      <c r="Q237" s="426">
        <f t="shared" si="39"/>
        <v>2.3936283022649834</v>
      </c>
      <c r="R237" s="532">
        <f t="shared" si="32"/>
        <v>1.6151694988595384E-2</v>
      </c>
    </row>
    <row r="238" spans="1:18" s="6" customFormat="1" ht="15.75">
      <c r="A238" s="268">
        <v>147</v>
      </c>
      <c r="B238" s="176" t="s">
        <v>199</v>
      </c>
      <c r="C238" s="157">
        <v>424.8</v>
      </c>
      <c r="D238" s="157"/>
      <c r="E238" s="157"/>
      <c r="F238" s="611">
        <f t="shared" si="34"/>
        <v>424.8</v>
      </c>
      <c r="G238" s="18">
        <v>35</v>
      </c>
      <c r="H238" s="827">
        <v>7</v>
      </c>
      <c r="I238" s="330"/>
      <c r="J238" s="330"/>
      <c r="K238" s="142">
        <f t="shared" si="33"/>
        <v>7</v>
      </c>
      <c r="L238" s="589">
        <f t="shared" si="36"/>
        <v>1.4030867909400682E-3</v>
      </c>
      <c r="M238" s="315">
        <f t="shared" si="38"/>
        <v>3.1837863299258373</v>
      </c>
      <c r="N238" s="592">
        <f t="shared" si="35"/>
        <v>1.1706782335137305</v>
      </c>
      <c r="O238" s="427">
        <v>1.7788552495340646</v>
      </c>
      <c r="P238" s="427">
        <f t="shared" si="37"/>
        <v>0.34362998596913208</v>
      </c>
      <c r="Q238" s="426">
        <f t="shared" si="39"/>
        <v>0.41888495289637201</v>
      </c>
      <c r="R238" s="532">
        <f t="shared" si="32"/>
        <v>1.524705696549615E-2</v>
      </c>
    </row>
    <row r="239" spans="1:18" s="6" customFormat="1" ht="15.75">
      <c r="A239" s="275">
        <v>148</v>
      </c>
      <c r="B239" s="176" t="s">
        <v>200</v>
      </c>
      <c r="C239" s="157">
        <v>105.5</v>
      </c>
      <c r="D239" s="157"/>
      <c r="E239" s="157"/>
      <c r="F239" s="611">
        <f t="shared" si="34"/>
        <v>105.5</v>
      </c>
      <c r="G239" s="18">
        <v>123</v>
      </c>
      <c r="H239" s="827">
        <v>3</v>
      </c>
      <c r="I239" s="330"/>
      <c r="J239" s="330"/>
      <c r="K239" s="142">
        <f t="shared" si="33"/>
        <v>3</v>
      </c>
      <c r="L239" s="589">
        <f t="shared" si="36"/>
        <v>6.0132291040288638E-4</v>
      </c>
      <c r="M239" s="315">
        <f t="shared" si="38"/>
        <v>1.3644798556825017</v>
      </c>
      <c r="N239" s="592">
        <f t="shared" si="35"/>
        <v>0.50171924293445591</v>
      </c>
      <c r="O239" s="427">
        <v>0.76236653551459921</v>
      </c>
      <c r="P239" s="427">
        <f t="shared" si="37"/>
        <v>0.1472699939867709</v>
      </c>
      <c r="Q239" s="426">
        <f t="shared" si="39"/>
        <v>0.17952212266987375</v>
      </c>
      <c r="R239" s="532">
        <f t="shared" si="32"/>
        <v>2.6311238181216379E-2</v>
      </c>
    </row>
    <row r="240" spans="1:18" s="6" customFormat="1" ht="15.75">
      <c r="A240" s="268">
        <v>149</v>
      </c>
      <c r="B240" s="176" t="s">
        <v>201</v>
      </c>
      <c r="C240" s="157">
        <v>158.6</v>
      </c>
      <c r="D240" s="157"/>
      <c r="E240" s="157"/>
      <c r="F240" s="611">
        <f t="shared" si="34"/>
        <v>158.6</v>
      </c>
      <c r="G240" s="18">
        <v>20</v>
      </c>
      <c r="H240" s="827">
        <v>5</v>
      </c>
      <c r="I240" s="330"/>
      <c r="J240" s="330"/>
      <c r="K240" s="142">
        <f t="shared" si="33"/>
        <v>5</v>
      </c>
      <c r="L240" s="589">
        <f t="shared" si="36"/>
        <v>1.0022048506714773E-3</v>
      </c>
      <c r="M240" s="315">
        <f t="shared" si="38"/>
        <v>2.2741330928041692</v>
      </c>
      <c r="N240" s="592">
        <f t="shared" si="35"/>
        <v>0.83619873822409307</v>
      </c>
      <c r="O240" s="427">
        <v>1.270610892524332</v>
      </c>
      <c r="P240" s="427">
        <f t="shared" si="37"/>
        <v>0.2454499899779515</v>
      </c>
      <c r="Q240" s="426">
        <f t="shared" si="39"/>
        <v>0.29920353778312292</v>
      </c>
      <c r="R240" s="532">
        <f t="shared" si="32"/>
        <v>2.9170193654038751E-2</v>
      </c>
    </row>
    <row r="241" spans="1:18" s="6" customFormat="1" ht="15.75">
      <c r="A241" s="268">
        <v>150</v>
      </c>
      <c r="B241" s="176" t="s">
        <v>202</v>
      </c>
      <c r="C241" s="157">
        <v>84.9</v>
      </c>
      <c r="D241" s="157"/>
      <c r="E241" s="157"/>
      <c r="F241" s="611">
        <f t="shared" si="34"/>
        <v>84.9</v>
      </c>
      <c r="G241" s="18"/>
      <c r="H241" s="827">
        <v>2</v>
      </c>
      <c r="I241" s="330"/>
      <c r="J241" s="330"/>
      <c r="K241" s="142">
        <f t="shared" si="33"/>
        <v>2</v>
      </c>
      <c r="L241" s="589">
        <f t="shared" si="36"/>
        <v>4.0088194026859092E-4</v>
      </c>
      <c r="M241" s="315">
        <f t="shared" si="38"/>
        <v>0.90965323712166779</v>
      </c>
      <c r="N241" s="592">
        <f t="shared" si="35"/>
        <v>0.33447949528963727</v>
      </c>
      <c r="O241" s="427">
        <v>0.50824435700973281</v>
      </c>
      <c r="P241" s="427">
        <f t="shared" si="37"/>
        <v>9.8179995991180602E-2</v>
      </c>
      <c r="Q241" s="426">
        <f t="shared" si="39"/>
        <v>0.11968141511324916</v>
      </c>
      <c r="R241" s="532">
        <f t="shared" si="32"/>
        <v>2.1796903243960167E-2</v>
      </c>
    </row>
    <row r="242" spans="1:18" s="6" customFormat="1" ht="15.75">
      <c r="A242" s="268">
        <v>151</v>
      </c>
      <c r="B242" s="176" t="s">
        <v>203</v>
      </c>
      <c r="C242" s="157">
        <v>191.6</v>
      </c>
      <c r="D242" s="157"/>
      <c r="E242" s="157"/>
      <c r="F242" s="611">
        <f t="shared" si="34"/>
        <v>191.6</v>
      </c>
      <c r="G242" s="18"/>
      <c r="H242" s="827">
        <v>4</v>
      </c>
      <c r="I242" s="330"/>
      <c r="J242" s="330"/>
      <c r="K242" s="142">
        <f t="shared" si="33"/>
        <v>4</v>
      </c>
      <c r="L242" s="589">
        <f t="shared" si="36"/>
        <v>8.0176388053718184E-4</v>
      </c>
      <c r="M242" s="315">
        <f t="shared" si="38"/>
        <v>1.8193064742433356</v>
      </c>
      <c r="N242" s="592">
        <f t="shared" si="35"/>
        <v>0.66895899057927455</v>
      </c>
      <c r="O242" s="427">
        <v>1.0164887140194656</v>
      </c>
      <c r="P242" s="427">
        <f t="shared" si="37"/>
        <v>0.1963599919823612</v>
      </c>
      <c r="Q242" s="426">
        <f t="shared" si="39"/>
        <v>0.23936283022649832</v>
      </c>
      <c r="R242" s="532">
        <f t="shared" si="32"/>
        <v>1.9316879805973054E-2</v>
      </c>
    </row>
    <row r="243" spans="1:18" s="6" customFormat="1" ht="15.75">
      <c r="A243" s="268">
        <v>152</v>
      </c>
      <c r="B243" s="176" t="s">
        <v>204</v>
      </c>
      <c r="C243" s="157">
        <v>220.11</v>
      </c>
      <c r="D243" s="157"/>
      <c r="E243" s="157"/>
      <c r="F243" s="611">
        <f t="shared" si="34"/>
        <v>220.11</v>
      </c>
      <c r="G243" s="18"/>
      <c r="H243" s="827">
        <v>5</v>
      </c>
      <c r="I243" s="330"/>
      <c r="J243" s="330"/>
      <c r="K243" s="142">
        <f t="shared" si="33"/>
        <v>5</v>
      </c>
      <c r="L243" s="589">
        <f t="shared" si="36"/>
        <v>1.0022048506714773E-3</v>
      </c>
      <c r="M243" s="315">
        <f t="shared" si="38"/>
        <v>2.2741330928041692</v>
      </c>
      <c r="N243" s="592">
        <f t="shared" si="35"/>
        <v>0.83619873822409307</v>
      </c>
      <c r="O243" s="427">
        <v>1.270610892524332</v>
      </c>
      <c r="P243" s="427">
        <f t="shared" si="37"/>
        <v>0.2454499899779515</v>
      </c>
      <c r="Q243" s="426">
        <f t="shared" si="39"/>
        <v>0.29920353778312292</v>
      </c>
      <c r="R243" s="532">
        <f t="shared" si="32"/>
        <v>2.1018548514517947E-2</v>
      </c>
    </row>
    <row r="244" spans="1:18" s="6" customFormat="1" ht="15.75">
      <c r="A244" s="268">
        <v>153</v>
      </c>
      <c r="B244" s="176" t="s">
        <v>205</v>
      </c>
      <c r="C244" s="157">
        <v>154.1</v>
      </c>
      <c r="D244" s="157"/>
      <c r="E244" s="157"/>
      <c r="F244" s="611">
        <f t="shared" si="34"/>
        <v>154.1</v>
      </c>
      <c r="G244" s="18"/>
      <c r="H244" s="827">
        <v>3</v>
      </c>
      <c r="I244" s="330"/>
      <c r="J244" s="330"/>
      <c r="K244" s="142">
        <f t="shared" si="33"/>
        <v>3</v>
      </c>
      <c r="L244" s="589">
        <f t="shared" si="36"/>
        <v>6.0132291040288638E-4</v>
      </c>
      <c r="M244" s="315">
        <f t="shared" si="38"/>
        <v>1.3644798556825017</v>
      </c>
      <c r="N244" s="592">
        <f t="shared" si="35"/>
        <v>0.50171924293445591</v>
      </c>
      <c r="O244" s="427">
        <v>0.76236653551459921</v>
      </c>
      <c r="P244" s="427">
        <f>L244*744.91</f>
        <v>0.44793144918821409</v>
      </c>
      <c r="Q244" s="426">
        <f t="shared" si="39"/>
        <v>0.54602843656043298</v>
      </c>
      <c r="R244" s="532">
        <f t="shared" si="32"/>
        <v>1.9964289963139335E-2</v>
      </c>
    </row>
    <row r="245" spans="1:18" s="6" customFormat="1" ht="15.75">
      <c r="A245" s="268">
        <v>154</v>
      </c>
      <c r="B245" s="176" t="s">
        <v>206</v>
      </c>
      <c r="C245" s="157">
        <v>219.1</v>
      </c>
      <c r="D245" s="157"/>
      <c r="E245" s="157"/>
      <c r="F245" s="611">
        <f t="shared" si="34"/>
        <v>219.1</v>
      </c>
      <c r="G245" s="18"/>
      <c r="H245" s="827">
        <v>4</v>
      </c>
      <c r="I245" s="330"/>
      <c r="J245" s="330"/>
      <c r="K245" s="142">
        <f t="shared" si="33"/>
        <v>4</v>
      </c>
      <c r="L245" s="589">
        <f t="shared" si="36"/>
        <v>8.0176388053718184E-4</v>
      </c>
      <c r="M245" s="315">
        <f t="shared" si="38"/>
        <v>1.8193064742433356</v>
      </c>
      <c r="N245" s="592">
        <f t="shared" si="35"/>
        <v>0.66895899057927455</v>
      </c>
      <c r="O245" s="427">
        <v>1.0164887140194656</v>
      </c>
      <c r="P245" s="427">
        <f t="shared" si="37"/>
        <v>0.1963599919823612</v>
      </c>
      <c r="Q245" s="426">
        <f t="shared" si="39"/>
        <v>0.23936283022649832</v>
      </c>
      <c r="R245" s="532">
        <f t="shared" si="32"/>
        <v>1.6892351304538734E-2</v>
      </c>
    </row>
    <row r="246" spans="1:18" s="6" customFormat="1" ht="15.75">
      <c r="A246" s="275">
        <v>155</v>
      </c>
      <c r="B246" s="176" t="s">
        <v>207</v>
      </c>
      <c r="C246" s="157">
        <v>255.8</v>
      </c>
      <c r="D246" s="157"/>
      <c r="E246" s="157"/>
      <c r="F246" s="611">
        <f t="shared" si="34"/>
        <v>255.8</v>
      </c>
      <c r="G246" s="18"/>
      <c r="H246" s="827">
        <v>6</v>
      </c>
      <c r="I246" s="330"/>
      <c r="J246" s="330"/>
      <c r="K246" s="142">
        <f t="shared" si="33"/>
        <v>6</v>
      </c>
      <c r="L246" s="589">
        <f t="shared" si="36"/>
        <v>1.2026458208057728E-3</v>
      </c>
      <c r="M246" s="315">
        <f t="shared" si="38"/>
        <v>2.7289597113650035</v>
      </c>
      <c r="N246" s="592">
        <f t="shared" si="35"/>
        <v>1.0034384858689118</v>
      </c>
      <c r="O246" s="427">
        <v>1.5247330710291984</v>
      </c>
      <c r="P246" s="427">
        <f t="shared" si="37"/>
        <v>0.29453998797354181</v>
      </c>
      <c r="Q246" s="426">
        <f t="shared" si="39"/>
        <v>0.35904424533974749</v>
      </c>
      <c r="R246" s="532">
        <f t="shared" si="32"/>
        <v>2.1703171447367692E-2</v>
      </c>
    </row>
    <row r="247" spans="1:18" s="6" customFormat="1" ht="15.75">
      <c r="A247" s="268">
        <v>156</v>
      </c>
      <c r="B247" s="176" t="s">
        <v>208</v>
      </c>
      <c r="C247" s="157">
        <v>58.3</v>
      </c>
      <c r="D247" s="157"/>
      <c r="E247" s="157"/>
      <c r="F247" s="611">
        <f t="shared" si="34"/>
        <v>58.3</v>
      </c>
      <c r="G247" s="18"/>
      <c r="H247" s="827">
        <v>2</v>
      </c>
      <c r="I247" s="330"/>
      <c r="J247" s="330"/>
      <c r="K247" s="142">
        <f t="shared" si="33"/>
        <v>2</v>
      </c>
      <c r="L247" s="589">
        <f t="shared" si="36"/>
        <v>4.0088194026859092E-4</v>
      </c>
      <c r="M247" s="315">
        <f t="shared" si="38"/>
        <v>0.90965323712166779</v>
      </c>
      <c r="N247" s="592">
        <f t="shared" si="35"/>
        <v>0.33447949528963727</v>
      </c>
      <c r="O247" s="427">
        <v>0.50824435700973281</v>
      </c>
      <c r="P247" s="427">
        <f t="shared" si="37"/>
        <v>9.8179995991180602E-2</v>
      </c>
      <c r="Q247" s="426">
        <f t="shared" si="39"/>
        <v>0.11968141511324916</v>
      </c>
      <c r="R247" s="532">
        <f t="shared" si="32"/>
        <v>3.1741974020792769E-2</v>
      </c>
    </row>
    <row r="248" spans="1:18" s="6" customFormat="1" ht="15.75">
      <c r="A248" s="268">
        <v>157</v>
      </c>
      <c r="B248" s="176" t="s">
        <v>209</v>
      </c>
      <c r="C248" s="157">
        <v>47.2</v>
      </c>
      <c r="D248" s="157"/>
      <c r="E248" s="157"/>
      <c r="F248" s="611">
        <f t="shared" si="34"/>
        <v>47.2</v>
      </c>
      <c r="G248" s="18"/>
      <c r="H248" s="827">
        <v>1</v>
      </c>
      <c r="I248" s="330"/>
      <c r="J248" s="330"/>
      <c r="K248" s="142">
        <f t="shared" si="33"/>
        <v>1</v>
      </c>
      <c r="L248" s="589">
        <f t="shared" si="36"/>
        <v>2.0044097013429546E-4</v>
      </c>
      <c r="M248" s="315">
        <f t="shared" si="38"/>
        <v>0.4548266185608339</v>
      </c>
      <c r="N248" s="592">
        <f t="shared" si="35"/>
        <v>0.16723974764481864</v>
      </c>
      <c r="O248" s="427">
        <v>0.2541221785048664</v>
      </c>
      <c r="P248" s="427">
        <f t="shared" si="37"/>
        <v>4.9089997995590301E-2</v>
      </c>
      <c r="Q248" s="426">
        <f t="shared" si="39"/>
        <v>5.984070755662458E-2</v>
      </c>
      <c r="R248" s="532">
        <f t="shared" si="32"/>
        <v>1.9603358955637907E-2</v>
      </c>
    </row>
    <row r="249" spans="1:18" s="6" customFormat="1" ht="15.75">
      <c r="A249" s="268">
        <v>158</v>
      </c>
      <c r="B249" s="176" t="s">
        <v>210</v>
      </c>
      <c r="C249" s="157">
        <v>101.5</v>
      </c>
      <c r="D249" s="157"/>
      <c r="E249" s="157"/>
      <c r="F249" s="611">
        <f t="shared" si="34"/>
        <v>101.5</v>
      </c>
      <c r="G249" s="18"/>
      <c r="H249" s="827">
        <v>1</v>
      </c>
      <c r="I249" s="330"/>
      <c r="J249" s="330"/>
      <c r="K249" s="142">
        <f t="shared" si="33"/>
        <v>1</v>
      </c>
      <c r="L249" s="589">
        <f t="shared" si="36"/>
        <v>2.0044097013429546E-4</v>
      </c>
      <c r="M249" s="315">
        <f t="shared" si="38"/>
        <v>0.4548266185608339</v>
      </c>
      <c r="N249" s="592">
        <f t="shared" si="35"/>
        <v>0.16723974764481864</v>
      </c>
      <c r="O249" s="427">
        <v>0.2541221785048664</v>
      </c>
      <c r="P249" s="427">
        <f t="shared" si="37"/>
        <v>4.9089997995590301E-2</v>
      </c>
      <c r="Q249" s="426">
        <f t="shared" si="39"/>
        <v>5.984070755662458E-2</v>
      </c>
      <c r="R249" s="532">
        <f t="shared" si="32"/>
        <v>9.1160447557252135E-3</v>
      </c>
    </row>
    <row r="250" spans="1:18" s="6" customFormat="1" ht="15.75">
      <c r="A250" s="268">
        <v>159</v>
      </c>
      <c r="B250" s="176" t="s">
        <v>211</v>
      </c>
      <c r="C250" s="157">
        <v>57.8</v>
      </c>
      <c r="D250" s="157"/>
      <c r="E250" s="157"/>
      <c r="F250" s="611">
        <f t="shared" si="34"/>
        <v>57.8</v>
      </c>
      <c r="G250" s="18"/>
      <c r="H250" s="827">
        <v>2</v>
      </c>
      <c r="I250" s="330"/>
      <c r="J250" s="330"/>
      <c r="K250" s="142">
        <f t="shared" si="33"/>
        <v>2</v>
      </c>
      <c r="L250" s="589">
        <f t="shared" si="36"/>
        <v>4.0088194026859092E-4</v>
      </c>
      <c r="M250" s="315">
        <f t="shared" si="38"/>
        <v>0.90965323712166779</v>
      </c>
      <c r="N250" s="592">
        <f t="shared" si="35"/>
        <v>0.33447949528963727</v>
      </c>
      <c r="O250" s="427">
        <v>0.50824435700973281</v>
      </c>
      <c r="P250" s="427">
        <f t="shared" si="37"/>
        <v>9.8179995991180602E-2</v>
      </c>
      <c r="Q250" s="426">
        <f t="shared" si="39"/>
        <v>0.11968141511324916</v>
      </c>
      <c r="R250" s="532">
        <f t="shared" si="32"/>
        <v>3.2016558571145652E-2</v>
      </c>
    </row>
    <row r="251" spans="1:18" s="6" customFormat="1" ht="15.75">
      <c r="A251" s="268">
        <v>160</v>
      </c>
      <c r="B251" s="122" t="s">
        <v>1203</v>
      </c>
      <c r="C251" s="55">
        <v>569.54999999999995</v>
      </c>
      <c r="D251" s="55">
        <v>76.3</v>
      </c>
      <c r="E251" s="55">
        <v>25</v>
      </c>
      <c r="F251" s="611">
        <f t="shared" si="34"/>
        <v>670.84999999999991</v>
      </c>
      <c r="G251" s="18"/>
      <c r="H251" s="827">
        <v>13</v>
      </c>
      <c r="I251" s="330">
        <v>1</v>
      </c>
      <c r="J251" s="330">
        <v>1</v>
      </c>
      <c r="K251" s="142">
        <f t="shared" si="33"/>
        <v>15</v>
      </c>
      <c r="L251" s="589">
        <f t="shared" si="36"/>
        <v>3.0066145520144319E-3</v>
      </c>
      <c r="M251" s="315">
        <f t="shared" si="38"/>
        <v>6.822399278412508</v>
      </c>
      <c r="N251" s="592">
        <f t="shared" si="35"/>
        <v>2.5085962146722793</v>
      </c>
      <c r="O251" s="427">
        <v>2.7227376268378545</v>
      </c>
      <c r="P251" s="427">
        <f t="shared" si="37"/>
        <v>0.73634996993385449</v>
      </c>
      <c r="Q251" s="426">
        <f t="shared" si="39"/>
        <v>0.89761061334936865</v>
      </c>
      <c r="R251" s="532">
        <f t="shared" si="32"/>
        <v>2.2456471055844963E-2</v>
      </c>
    </row>
    <row r="252" spans="1:18" s="6" customFormat="1" ht="15.75">
      <c r="A252" s="268">
        <v>161</v>
      </c>
      <c r="B252" s="122" t="s">
        <v>1204</v>
      </c>
      <c r="C252" s="55">
        <v>648.9</v>
      </c>
      <c r="D252" s="55"/>
      <c r="E252" s="55"/>
      <c r="F252" s="611">
        <f t="shared" si="34"/>
        <v>648.9</v>
      </c>
      <c r="G252" s="18"/>
      <c r="H252" s="827">
        <v>15</v>
      </c>
      <c r="I252" s="330"/>
      <c r="J252" s="330"/>
      <c r="K252" s="142">
        <f t="shared" si="33"/>
        <v>15</v>
      </c>
      <c r="L252" s="589">
        <f t="shared" si="36"/>
        <v>3.0066145520144319E-3</v>
      </c>
      <c r="M252" s="315">
        <f t="shared" si="38"/>
        <v>6.822399278412508</v>
      </c>
      <c r="N252" s="592">
        <f t="shared" si="35"/>
        <v>2.5085962146722793</v>
      </c>
      <c r="O252" s="427">
        <v>2.7227376268378545</v>
      </c>
      <c r="P252" s="427">
        <f t="shared" si="37"/>
        <v>0.73634996993385449</v>
      </c>
      <c r="Q252" s="426">
        <f t="shared" si="39"/>
        <v>0.89761061334936865</v>
      </c>
      <c r="R252" s="532">
        <f t="shared" si="32"/>
        <v>1.9710406980823696E-2</v>
      </c>
    </row>
    <row r="253" spans="1:18" s="6" customFormat="1" ht="15.75">
      <c r="A253" s="275">
        <v>162</v>
      </c>
      <c r="B253" s="122" t="s">
        <v>1205</v>
      </c>
      <c r="C253" s="55">
        <v>527.70000000000005</v>
      </c>
      <c r="D253" s="55">
        <v>115.4</v>
      </c>
      <c r="E253" s="55">
        <v>110</v>
      </c>
      <c r="F253" s="611">
        <f t="shared" si="34"/>
        <v>753.1</v>
      </c>
      <c r="G253" s="18"/>
      <c r="H253" s="827">
        <v>11</v>
      </c>
      <c r="I253" s="330">
        <v>1</v>
      </c>
      <c r="J253" s="330">
        <v>2</v>
      </c>
      <c r="K253" s="142">
        <f t="shared" si="33"/>
        <v>14</v>
      </c>
      <c r="L253" s="589">
        <f t="shared" si="36"/>
        <v>2.8061735818801364E-3</v>
      </c>
      <c r="M253" s="315">
        <f t="shared" si="38"/>
        <v>6.3675726598516746</v>
      </c>
      <c r="N253" s="592">
        <f t="shared" si="35"/>
        <v>2.3413564670274609</v>
      </c>
      <c r="O253" s="427">
        <v>2.541221785048664</v>
      </c>
      <c r="P253" s="427">
        <f t="shared" si="37"/>
        <v>0.68725997193826416</v>
      </c>
      <c r="Q253" s="426">
        <f t="shared" si="39"/>
        <v>0.83776990579274402</v>
      </c>
      <c r="R253" s="532">
        <f t="shared" si="32"/>
        <v>2.2621585908406412E-2</v>
      </c>
    </row>
    <row r="254" spans="1:18" s="6" customFormat="1" ht="15.75">
      <c r="A254" s="268">
        <v>163</v>
      </c>
      <c r="B254" s="122" t="s">
        <v>1206</v>
      </c>
      <c r="C254" s="55">
        <v>276.60000000000002</v>
      </c>
      <c r="D254" s="55"/>
      <c r="E254" s="55"/>
      <c r="F254" s="611">
        <f t="shared" si="34"/>
        <v>276.60000000000002</v>
      </c>
      <c r="G254" s="18">
        <v>65.3</v>
      </c>
      <c r="H254" s="827">
        <v>7</v>
      </c>
      <c r="I254" s="330"/>
      <c r="J254" s="330"/>
      <c r="K254" s="142">
        <f t="shared" si="33"/>
        <v>7</v>
      </c>
      <c r="L254" s="589">
        <f t="shared" si="36"/>
        <v>1.4030867909400682E-3</v>
      </c>
      <c r="M254" s="315">
        <f t="shared" si="38"/>
        <v>3.1837863299258373</v>
      </c>
      <c r="N254" s="592">
        <f t="shared" si="35"/>
        <v>1.1706782335137305</v>
      </c>
      <c r="O254" s="427">
        <v>1.270610892524332</v>
      </c>
      <c r="P254" s="427">
        <f t="shared" si="37"/>
        <v>0.34362998596913208</v>
      </c>
      <c r="Q254" s="426">
        <f t="shared" si="39"/>
        <v>0.41888495289637201</v>
      </c>
      <c r="R254" s="532">
        <f t="shared" si="32"/>
        <v>2.157883384646794E-2</v>
      </c>
    </row>
    <row r="255" spans="1:18" s="6" customFormat="1" ht="15.75">
      <c r="A255" s="268">
        <v>164</v>
      </c>
      <c r="B255" s="122" t="s">
        <v>1207</v>
      </c>
      <c r="C255" s="55">
        <v>238.8</v>
      </c>
      <c r="D255" s="55"/>
      <c r="E255" s="55"/>
      <c r="F255" s="611">
        <f t="shared" si="34"/>
        <v>238.8</v>
      </c>
      <c r="G255" s="18">
        <v>49.7</v>
      </c>
      <c r="H255" s="827">
        <v>7</v>
      </c>
      <c r="I255" s="330"/>
      <c r="J255" s="330"/>
      <c r="K255" s="142">
        <f t="shared" si="33"/>
        <v>7</v>
      </c>
      <c r="L255" s="589">
        <f t="shared" si="36"/>
        <v>1.4030867909400682E-3</v>
      </c>
      <c r="M255" s="315">
        <f t="shared" si="38"/>
        <v>3.1837863299258373</v>
      </c>
      <c r="N255" s="592">
        <f t="shared" si="35"/>
        <v>1.1706782335137305</v>
      </c>
      <c r="O255" s="427">
        <v>1.270610892524332</v>
      </c>
      <c r="P255" s="427">
        <f t="shared" si="37"/>
        <v>0.34362998596913208</v>
      </c>
      <c r="Q255" s="426">
        <f t="shared" si="39"/>
        <v>0.41888495289637201</v>
      </c>
      <c r="R255" s="532">
        <f t="shared" si="32"/>
        <v>2.4994578902567136E-2</v>
      </c>
    </row>
    <row r="256" spans="1:18" s="6" customFormat="1" ht="15.75">
      <c r="A256" s="268">
        <v>165</v>
      </c>
      <c r="B256" s="122" t="s">
        <v>1208</v>
      </c>
      <c r="C256" s="55">
        <v>754.13</v>
      </c>
      <c r="D256" s="55"/>
      <c r="E256" s="55"/>
      <c r="F256" s="611">
        <f t="shared" si="34"/>
        <v>754.13</v>
      </c>
      <c r="G256" s="18">
        <v>72.3</v>
      </c>
      <c r="H256" s="827">
        <v>9</v>
      </c>
      <c r="I256" s="330"/>
      <c r="J256" s="330"/>
      <c r="K256" s="142">
        <f t="shared" si="33"/>
        <v>9</v>
      </c>
      <c r="L256" s="589">
        <f t="shared" si="36"/>
        <v>1.8039687312086591E-3</v>
      </c>
      <c r="M256" s="315">
        <f t="shared" si="38"/>
        <v>4.093439567047505</v>
      </c>
      <c r="N256" s="592">
        <f t="shared" si="35"/>
        <v>1.5051577288033677</v>
      </c>
      <c r="O256" s="427">
        <v>2.2870996065437978</v>
      </c>
      <c r="P256" s="427">
        <f t="shared" si="37"/>
        <v>0.44180998196031268</v>
      </c>
      <c r="Q256" s="426">
        <f t="shared" si="39"/>
        <v>0.53856636800962121</v>
      </c>
      <c r="R256" s="532">
        <f t="shared" si="32"/>
        <v>1.1042534953330307E-2</v>
      </c>
    </row>
    <row r="257" spans="1:18" s="6" customFormat="1" ht="15.75">
      <c r="A257" s="268">
        <v>166</v>
      </c>
      <c r="B257" s="122" t="s">
        <v>1209</v>
      </c>
      <c r="C257" s="55">
        <v>838.38</v>
      </c>
      <c r="D257" s="55">
        <v>72.7</v>
      </c>
      <c r="E257" s="55"/>
      <c r="F257" s="611">
        <f t="shared" si="34"/>
        <v>911.08</v>
      </c>
      <c r="G257" s="18">
        <v>21</v>
      </c>
      <c r="H257" s="827">
        <v>15</v>
      </c>
      <c r="I257" s="330">
        <v>2</v>
      </c>
      <c r="J257" s="330"/>
      <c r="K257" s="142">
        <f t="shared" si="33"/>
        <v>17</v>
      </c>
      <c r="L257" s="589">
        <f t="shared" si="36"/>
        <v>3.4074964922830228E-3</v>
      </c>
      <c r="M257" s="315">
        <f t="shared" si="38"/>
        <v>7.7320525155341757</v>
      </c>
      <c r="N257" s="592">
        <f t="shared" si="35"/>
        <v>2.8430757099619166</v>
      </c>
      <c r="O257" s="427">
        <v>3.0857693104162354</v>
      </c>
      <c r="P257" s="427">
        <f t="shared" si="37"/>
        <v>0.83452996592503514</v>
      </c>
      <c r="Q257" s="426">
        <f t="shared" si="39"/>
        <v>1.0172920284626179</v>
      </c>
      <c r="R257" s="532">
        <f t="shared" si="32"/>
        <v>1.7289805937447653E-2</v>
      </c>
    </row>
    <row r="258" spans="1:18" s="6" customFormat="1" ht="15.75">
      <c r="A258" s="268">
        <v>167</v>
      </c>
      <c r="B258" s="122" t="s">
        <v>1210</v>
      </c>
      <c r="C258" s="55">
        <v>676.2</v>
      </c>
      <c r="D258" s="55"/>
      <c r="E258" s="55">
        <v>31.7</v>
      </c>
      <c r="F258" s="611">
        <f t="shared" si="34"/>
        <v>707.90000000000009</v>
      </c>
      <c r="G258" s="18">
        <v>30</v>
      </c>
      <c r="H258" s="827">
        <v>10</v>
      </c>
      <c r="I258" s="330"/>
      <c r="J258" s="330">
        <v>1</v>
      </c>
      <c r="K258" s="142">
        <f t="shared" si="33"/>
        <v>11</v>
      </c>
      <c r="L258" s="589">
        <f t="shared" si="36"/>
        <v>2.2048506714772501E-3</v>
      </c>
      <c r="M258" s="315">
        <f t="shared" si="38"/>
        <v>5.0030928041691727</v>
      </c>
      <c r="N258" s="592">
        <f t="shared" si="35"/>
        <v>1.839637224093005</v>
      </c>
      <c r="O258" s="427">
        <v>1.9966742596810931</v>
      </c>
      <c r="P258" s="427">
        <f t="shared" si="37"/>
        <v>0.53998997795149328</v>
      </c>
      <c r="Q258" s="426">
        <f t="shared" si="39"/>
        <v>0.65824778312287036</v>
      </c>
      <c r="R258" s="532">
        <f t="shared" si="32"/>
        <v>1.3870739819424376E-2</v>
      </c>
    </row>
    <row r="259" spans="1:18" s="6" customFormat="1" ht="15.75">
      <c r="A259" s="268">
        <v>168</v>
      </c>
      <c r="B259" s="273" t="s">
        <v>1211</v>
      </c>
      <c r="C259" s="55">
        <v>814.34</v>
      </c>
      <c r="D259" s="55"/>
      <c r="E259" s="55"/>
      <c r="F259" s="611">
        <f t="shared" si="34"/>
        <v>814.34</v>
      </c>
      <c r="G259" s="18">
        <v>80.3</v>
      </c>
      <c r="H259" s="827">
        <v>17</v>
      </c>
      <c r="I259" s="330"/>
      <c r="J259" s="330"/>
      <c r="K259" s="142">
        <f t="shared" si="33"/>
        <v>17</v>
      </c>
      <c r="L259" s="589">
        <f t="shared" si="36"/>
        <v>3.4074964922830228E-3</v>
      </c>
      <c r="M259" s="315">
        <f t="shared" si="38"/>
        <v>7.7320525155341757</v>
      </c>
      <c r="N259" s="592">
        <f t="shared" si="35"/>
        <v>2.8430757099619166</v>
      </c>
      <c r="O259" s="427">
        <v>3.0857693104162354</v>
      </c>
      <c r="P259" s="427">
        <f t="shared" si="37"/>
        <v>0.83452996592503514</v>
      </c>
      <c r="Q259" s="426">
        <f t="shared" si="39"/>
        <v>1.0172920284626179</v>
      </c>
      <c r="R259" s="532">
        <f t="shared" si="32"/>
        <v>1.7800215514204586E-2</v>
      </c>
    </row>
    <row r="260" spans="1:18" s="6" customFormat="1" ht="15.75">
      <c r="A260" s="275">
        <v>169</v>
      </c>
      <c r="B260" s="273" t="s">
        <v>1212</v>
      </c>
      <c r="C260" s="55">
        <v>562.29999999999995</v>
      </c>
      <c r="D260" s="55"/>
      <c r="E260" s="55"/>
      <c r="F260" s="611">
        <f t="shared" si="34"/>
        <v>562.29999999999995</v>
      </c>
      <c r="G260" s="18">
        <v>80.3</v>
      </c>
      <c r="H260" s="827">
        <v>9</v>
      </c>
      <c r="I260" s="330"/>
      <c r="J260" s="330"/>
      <c r="K260" s="142">
        <f t="shared" si="33"/>
        <v>9</v>
      </c>
      <c r="L260" s="589">
        <f t="shared" si="36"/>
        <v>1.8039687312086591E-3</v>
      </c>
      <c r="M260" s="315">
        <f t="shared" si="38"/>
        <v>4.093439567047505</v>
      </c>
      <c r="N260" s="592">
        <f t="shared" si="35"/>
        <v>1.5051577288033677</v>
      </c>
      <c r="O260" s="427">
        <v>1.6336425761027129</v>
      </c>
      <c r="P260" s="427">
        <f t="shared" si="37"/>
        <v>0.44180998196031268</v>
      </c>
      <c r="Q260" s="426">
        <f t="shared" si="39"/>
        <v>0.53856636800962121</v>
      </c>
      <c r="R260" s="532">
        <f t="shared" si="32"/>
        <v>1.364760777861266E-2</v>
      </c>
    </row>
    <row r="261" spans="1:18" s="6" customFormat="1" ht="15.75">
      <c r="A261" s="268">
        <v>170</v>
      </c>
      <c r="B261" s="122" t="s">
        <v>1213</v>
      </c>
      <c r="C261" s="55">
        <v>410.5</v>
      </c>
      <c r="D261" s="55"/>
      <c r="E261" s="55"/>
      <c r="F261" s="611">
        <f t="shared" si="34"/>
        <v>410.5</v>
      </c>
      <c r="G261" s="18">
        <v>66</v>
      </c>
      <c r="H261" s="827">
        <v>10</v>
      </c>
      <c r="I261" s="330"/>
      <c r="J261" s="330"/>
      <c r="K261" s="142">
        <f t="shared" si="33"/>
        <v>10</v>
      </c>
      <c r="L261" s="589">
        <f t="shared" si="36"/>
        <v>2.0044097013429546E-3</v>
      </c>
      <c r="M261" s="315">
        <f t="shared" si="38"/>
        <v>4.5482661856083384</v>
      </c>
      <c r="N261" s="592">
        <f t="shared" si="35"/>
        <v>1.6723974764481861</v>
      </c>
      <c r="O261" s="427">
        <v>1.8151584178919031</v>
      </c>
      <c r="P261" s="427">
        <f t="shared" si="37"/>
        <v>0.49089997995590301</v>
      </c>
      <c r="Q261" s="426">
        <f t="shared" si="39"/>
        <v>0.59840707556624584</v>
      </c>
      <c r="R261" s="532">
        <f t="shared" si="32"/>
        <v>2.0771551912069017E-2</v>
      </c>
    </row>
    <row r="262" spans="1:18" s="6" customFormat="1" ht="15.75">
      <c r="A262" s="268">
        <v>171</v>
      </c>
      <c r="B262" s="122" t="s">
        <v>1214</v>
      </c>
      <c r="C262" s="55">
        <v>504.87</v>
      </c>
      <c r="D262" s="55"/>
      <c r="E262" s="55">
        <v>18.399999999999999</v>
      </c>
      <c r="F262" s="611">
        <f t="shared" si="34"/>
        <v>523.27</v>
      </c>
      <c r="G262" s="18">
        <v>84</v>
      </c>
      <c r="H262" s="827">
        <v>12</v>
      </c>
      <c r="I262" s="330"/>
      <c r="J262" s="330">
        <v>1</v>
      </c>
      <c r="K262" s="142">
        <f t="shared" si="33"/>
        <v>13</v>
      </c>
      <c r="L262" s="589">
        <f t="shared" si="36"/>
        <v>2.605732611745841E-3</v>
      </c>
      <c r="M262" s="315">
        <f t="shared" si="38"/>
        <v>5.9127460412908404</v>
      </c>
      <c r="N262" s="592">
        <f t="shared" si="35"/>
        <v>2.1741167193826421</v>
      </c>
      <c r="O262" s="427">
        <v>2.359705943259474</v>
      </c>
      <c r="P262" s="427">
        <f t="shared" si="37"/>
        <v>0.63816997394267394</v>
      </c>
      <c r="Q262" s="426">
        <f t="shared" si="39"/>
        <v>0.77792919823611961</v>
      </c>
      <c r="R262" s="532">
        <f t="shared" si="32"/>
        <v>2.1955629524185692E-2</v>
      </c>
    </row>
    <row r="263" spans="1:18" s="6" customFormat="1" ht="15.75">
      <c r="A263" s="268">
        <v>172</v>
      </c>
      <c r="B263" s="273" t="s">
        <v>1215</v>
      </c>
      <c r="C263" s="55">
        <v>684.1</v>
      </c>
      <c r="D263" s="55"/>
      <c r="E263" s="55"/>
      <c r="F263" s="611">
        <f t="shared" si="34"/>
        <v>684.1</v>
      </c>
      <c r="G263" s="18">
        <v>78.599999999999994</v>
      </c>
      <c r="H263" s="827">
        <v>15</v>
      </c>
      <c r="I263" s="330">
        <v>2</v>
      </c>
      <c r="J263" s="330"/>
      <c r="K263" s="142">
        <f t="shared" si="33"/>
        <v>17</v>
      </c>
      <c r="L263" s="589">
        <f t="shared" si="36"/>
        <v>3.4074964922830228E-3</v>
      </c>
      <c r="M263" s="315">
        <f t="shared" si="38"/>
        <v>7.7320525155341757</v>
      </c>
      <c r="N263" s="592">
        <f t="shared" si="35"/>
        <v>2.8430757099619166</v>
      </c>
      <c r="O263" s="427">
        <v>3.0857693104162354</v>
      </c>
      <c r="P263" s="427">
        <f t="shared" si="37"/>
        <v>0.83452996592503514</v>
      </c>
      <c r="Q263" s="426">
        <f t="shared" si="39"/>
        <v>1.0172920284626179</v>
      </c>
      <c r="R263" s="532">
        <f t="shared" si="32"/>
        <v>2.1189047656537587E-2</v>
      </c>
    </row>
    <row r="264" spans="1:18" s="6" customFormat="1" ht="15.75">
      <c r="A264" s="268">
        <v>173</v>
      </c>
      <c r="B264" s="122" t="s">
        <v>1216</v>
      </c>
      <c r="C264" s="55">
        <v>525.58000000000004</v>
      </c>
      <c r="D264" s="55">
        <v>133.5</v>
      </c>
      <c r="E264" s="55"/>
      <c r="F264" s="611">
        <f t="shared" si="34"/>
        <v>659.08</v>
      </c>
      <c r="G264" s="18">
        <v>64</v>
      </c>
      <c r="H264" s="827">
        <v>12</v>
      </c>
      <c r="I264" s="330"/>
      <c r="J264" s="330"/>
      <c r="K264" s="142">
        <f t="shared" si="33"/>
        <v>12</v>
      </c>
      <c r="L264" s="589">
        <f t="shared" si="36"/>
        <v>2.4052916416115455E-3</v>
      </c>
      <c r="M264" s="315">
        <f t="shared" si="38"/>
        <v>5.457919422730007</v>
      </c>
      <c r="N264" s="592">
        <f t="shared" si="35"/>
        <v>2.0068769717378236</v>
      </c>
      <c r="O264" s="427">
        <v>2.1781901014702836</v>
      </c>
      <c r="P264" s="427">
        <f t="shared" si="37"/>
        <v>0.58907997594708361</v>
      </c>
      <c r="Q264" s="426">
        <f t="shared" si="39"/>
        <v>0.71808849067949498</v>
      </c>
      <c r="R264" s="532">
        <f t="shared" si="32"/>
        <v>1.9468142760160578E-2</v>
      </c>
    </row>
    <row r="265" spans="1:18" s="6" customFormat="1" ht="15.75">
      <c r="A265" s="268">
        <v>174</v>
      </c>
      <c r="B265" s="122" t="s">
        <v>1217</v>
      </c>
      <c r="C265" s="55">
        <v>418.1</v>
      </c>
      <c r="D265" s="55"/>
      <c r="E265" s="55">
        <v>48.4</v>
      </c>
      <c r="F265" s="611">
        <f t="shared" si="34"/>
        <v>466.5</v>
      </c>
      <c r="G265" s="18">
        <v>88.3</v>
      </c>
      <c r="H265" s="827">
        <v>13</v>
      </c>
      <c r="I265" s="330"/>
      <c r="J265" s="330">
        <v>1</v>
      </c>
      <c r="K265" s="142">
        <f t="shared" si="33"/>
        <v>14</v>
      </c>
      <c r="L265" s="589">
        <f t="shared" si="36"/>
        <v>2.8061735818801364E-3</v>
      </c>
      <c r="M265" s="315">
        <f t="shared" si="38"/>
        <v>6.3675726598516746</v>
      </c>
      <c r="N265" s="592">
        <f t="shared" si="35"/>
        <v>2.3413564670274609</v>
      </c>
      <c r="O265" s="427">
        <v>2.541221785048664</v>
      </c>
      <c r="P265" s="427">
        <f t="shared" si="37"/>
        <v>0.68725997193826416</v>
      </c>
      <c r="Q265" s="426">
        <f t="shared" si="39"/>
        <v>0.83776990579274402</v>
      </c>
      <c r="R265" s="532">
        <f t="shared" si="32"/>
        <v>2.8551568724865018E-2</v>
      </c>
    </row>
    <row r="266" spans="1:18" s="6" customFormat="1" ht="15.75">
      <c r="A266" s="268">
        <v>175</v>
      </c>
      <c r="B266" s="122" t="s">
        <v>1218</v>
      </c>
      <c r="C266" s="55">
        <v>399.54</v>
      </c>
      <c r="D266" s="55"/>
      <c r="E266" s="55">
        <v>12.5</v>
      </c>
      <c r="F266" s="611">
        <f t="shared" si="34"/>
        <v>412.04</v>
      </c>
      <c r="G266" s="18">
        <v>88.3</v>
      </c>
      <c r="H266" s="827">
        <v>9</v>
      </c>
      <c r="I266" s="330"/>
      <c r="J266" s="330">
        <v>1</v>
      </c>
      <c r="K266" s="142">
        <f t="shared" si="33"/>
        <v>10</v>
      </c>
      <c r="L266" s="589">
        <f t="shared" si="36"/>
        <v>2.0044097013429546E-3</v>
      </c>
      <c r="M266" s="315">
        <f t="shared" si="38"/>
        <v>4.5482661856083384</v>
      </c>
      <c r="N266" s="592">
        <f t="shared" si="35"/>
        <v>1.6723974764481861</v>
      </c>
      <c r="O266" s="427">
        <v>1.8151584178919031</v>
      </c>
      <c r="P266" s="427">
        <f t="shared" si="37"/>
        <v>0.49089997995590301</v>
      </c>
      <c r="Q266" s="426">
        <f t="shared" si="39"/>
        <v>0.59840707556624584</v>
      </c>
      <c r="R266" s="532">
        <f t="shared" ref="R266:R329" si="40">(M266+N266+O266+P266)/C266</f>
        <v>2.1341347699615387E-2</v>
      </c>
    </row>
    <row r="267" spans="1:18" s="6" customFormat="1" ht="15.75">
      <c r="A267" s="275">
        <v>176</v>
      </c>
      <c r="B267" s="122" t="s">
        <v>1219</v>
      </c>
      <c r="C267" s="55">
        <v>303.5</v>
      </c>
      <c r="D267" s="55"/>
      <c r="E267" s="55"/>
      <c r="F267" s="611">
        <f t="shared" si="34"/>
        <v>303.5</v>
      </c>
      <c r="G267" s="18">
        <v>83.7</v>
      </c>
      <c r="H267" s="827">
        <v>11</v>
      </c>
      <c r="I267" s="330"/>
      <c r="J267" s="330"/>
      <c r="K267" s="142">
        <f t="shared" si="33"/>
        <v>11</v>
      </c>
      <c r="L267" s="589">
        <f t="shared" si="36"/>
        <v>2.2048506714772501E-3</v>
      </c>
      <c r="M267" s="315">
        <f t="shared" si="38"/>
        <v>5.0030928041691727</v>
      </c>
      <c r="N267" s="592">
        <f t="shared" si="35"/>
        <v>1.839637224093005</v>
      </c>
      <c r="O267" s="427">
        <v>1.9966742596810931</v>
      </c>
      <c r="P267" s="427">
        <f t="shared" si="37"/>
        <v>0.53998997795149328</v>
      </c>
      <c r="Q267" s="426">
        <f t="shared" si="39"/>
        <v>0.65824778312287036</v>
      </c>
      <c r="R267" s="532">
        <f t="shared" si="40"/>
        <v>3.0904099722882251E-2</v>
      </c>
    </row>
    <row r="268" spans="1:18" s="6" customFormat="1" ht="15.75">
      <c r="A268" s="268">
        <v>177</v>
      </c>
      <c r="B268" s="122" t="s">
        <v>1220</v>
      </c>
      <c r="C268" s="55">
        <v>654.13</v>
      </c>
      <c r="D268" s="55"/>
      <c r="E268" s="55"/>
      <c r="F268" s="611">
        <f t="shared" si="34"/>
        <v>654.13</v>
      </c>
      <c r="G268" s="18">
        <v>138.69999999999999</v>
      </c>
      <c r="H268" s="827">
        <v>12</v>
      </c>
      <c r="I268" s="330"/>
      <c r="J268" s="330"/>
      <c r="K268" s="142">
        <f t="shared" ref="K268:K331" si="41">H268+I268+J268</f>
        <v>12</v>
      </c>
      <c r="L268" s="589">
        <f t="shared" si="36"/>
        <v>2.4052916416115455E-3</v>
      </c>
      <c r="M268" s="315">
        <f t="shared" si="38"/>
        <v>5.457919422730007</v>
      </c>
      <c r="N268" s="592">
        <f t="shared" si="35"/>
        <v>2.0068769717378236</v>
      </c>
      <c r="O268" s="427">
        <v>2.1781901014702836</v>
      </c>
      <c r="P268" s="427">
        <f t="shared" si="37"/>
        <v>0.58907997594708361</v>
      </c>
      <c r="Q268" s="426">
        <f t="shared" si="39"/>
        <v>0.71808849067949498</v>
      </c>
      <c r="R268" s="532">
        <f t="shared" si="40"/>
        <v>1.5642252261607321E-2</v>
      </c>
    </row>
    <row r="269" spans="1:18" s="6" customFormat="1" ht="15.75">
      <c r="A269" s="268">
        <v>178</v>
      </c>
      <c r="B269" s="122" t="s">
        <v>1221</v>
      </c>
      <c r="C269" s="55">
        <v>598.02</v>
      </c>
      <c r="D269" s="55"/>
      <c r="E269" s="55">
        <v>44.6</v>
      </c>
      <c r="F269" s="611">
        <f t="shared" ref="F269:F332" si="42">C269+D269+E269</f>
        <v>642.62</v>
      </c>
      <c r="G269" s="18">
        <v>50.7</v>
      </c>
      <c r="H269" s="827">
        <v>20</v>
      </c>
      <c r="I269" s="330"/>
      <c r="J269" s="330">
        <v>2</v>
      </c>
      <c r="K269" s="142">
        <f t="shared" si="41"/>
        <v>22</v>
      </c>
      <c r="L269" s="589">
        <f t="shared" si="36"/>
        <v>4.4097013429545001E-3</v>
      </c>
      <c r="M269" s="315">
        <f t="shared" si="38"/>
        <v>10.006185608338345</v>
      </c>
      <c r="N269" s="592">
        <f t="shared" si="35"/>
        <v>3.67927444818601</v>
      </c>
      <c r="O269" s="427">
        <v>3.9933485193621863</v>
      </c>
      <c r="P269" s="427">
        <f t="shared" si="37"/>
        <v>1.0799799559029866</v>
      </c>
      <c r="Q269" s="426">
        <f t="shared" si="39"/>
        <v>1.3164955662457407</v>
      </c>
      <c r="R269" s="532">
        <f t="shared" si="40"/>
        <v>3.1368162489196896E-2</v>
      </c>
    </row>
    <row r="270" spans="1:18" s="6" customFormat="1" ht="15.75">
      <c r="A270" s="268">
        <v>179</v>
      </c>
      <c r="B270" s="122" t="s">
        <v>1222</v>
      </c>
      <c r="C270" s="55">
        <v>278.7</v>
      </c>
      <c r="D270" s="55"/>
      <c r="E270" s="55"/>
      <c r="F270" s="611">
        <f t="shared" si="42"/>
        <v>278.7</v>
      </c>
      <c r="G270" s="18">
        <v>58</v>
      </c>
      <c r="H270" s="827">
        <v>9</v>
      </c>
      <c r="I270" s="330"/>
      <c r="J270" s="330"/>
      <c r="K270" s="142">
        <f t="shared" si="41"/>
        <v>9</v>
      </c>
      <c r="L270" s="589">
        <f t="shared" si="36"/>
        <v>1.8039687312086591E-3</v>
      </c>
      <c r="M270" s="315">
        <f t="shared" si="38"/>
        <v>4.093439567047505</v>
      </c>
      <c r="N270" s="592">
        <f t="shared" si="35"/>
        <v>1.5051577288033677</v>
      </c>
      <c r="O270" s="427">
        <v>1.6336425761027129</v>
      </c>
      <c r="P270" s="427">
        <f t="shared" si="37"/>
        <v>0.44180998196031268</v>
      </c>
      <c r="Q270" s="426">
        <f t="shared" si="39"/>
        <v>0.53856636800962121</v>
      </c>
      <c r="R270" s="532">
        <f t="shared" si="40"/>
        <v>2.7535162733813772E-2</v>
      </c>
    </row>
    <row r="271" spans="1:18" s="6" customFormat="1" ht="15.75">
      <c r="A271" s="268">
        <v>180</v>
      </c>
      <c r="B271" s="122" t="s">
        <v>1223</v>
      </c>
      <c r="C271" s="55">
        <v>3583.55</v>
      </c>
      <c r="D271" s="55"/>
      <c r="E271" s="55"/>
      <c r="F271" s="611">
        <f t="shared" si="42"/>
        <v>3583.55</v>
      </c>
      <c r="G271" s="18">
        <v>71</v>
      </c>
      <c r="H271" s="827">
        <v>59</v>
      </c>
      <c r="I271" s="330"/>
      <c r="J271" s="330"/>
      <c r="K271" s="142">
        <f t="shared" si="41"/>
        <v>59</v>
      </c>
      <c r="L271" s="589">
        <f t="shared" si="36"/>
        <v>1.1826017237923432E-2</v>
      </c>
      <c r="M271" s="315">
        <f t="shared" si="38"/>
        <v>26.834770495089199</v>
      </c>
      <c r="N271" s="592">
        <f t="shared" si="35"/>
        <v>9.8671451110442998</v>
      </c>
      <c r="O271" s="427">
        <v>10.709434665562227</v>
      </c>
      <c r="P271" s="427">
        <f t="shared" si="37"/>
        <v>2.8963098817398278</v>
      </c>
      <c r="Q271" s="426">
        <f t="shared" si="39"/>
        <v>3.5306017458408503</v>
      </c>
      <c r="R271" s="532">
        <f t="shared" si="40"/>
        <v>1.4038498180138562E-2</v>
      </c>
    </row>
    <row r="272" spans="1:18" s="6" customFormat="1" ht="15.75">
      <c r="A272" s="268">
        <v>181</v>
      </c>
      <c r="B272" s="122" t="s">
        <v>1224</v>
      </c>
      <c r="C272" s="55">
        <v>486.9</v>
      </c>
      <c r="D272" s="55"/>
      <c r="E272" s="55">
        <v>26.6</v>
      </c>
      <c r="F272" s="611">
        <f t="shared" si="42"/>
        <v>513.5</v>
      </c>
      <c r="G272" s="18">
        <v>88.7</v>
      </c>
      <c r="H272" s="827">
        <v>16</v>
      </c>
      <c r="I272" s="330"/>
      <c r="J272" s="330">
        <v>1</v>
      </c>
      <c r="K272" s="142">
        <f t="shared" si="41"/>
        <v>17</v>
      </c>
      <c r="L272" s="589">
        <f t="shared" si="36"/>
        <v>3.4074964922830228E-3</v>
      </c>
      <c r="M272" s="315">
        <f t="shared" si="38"/>
        <v>7.7320525155341757</v>
      </c>
      <c r="N272" s="592">
        <f t="shared" si="35"/>
        <v>2.8430757099619166</v>
      </c>
      <c r="O272" s="427">
        <v>3.0857693104162354</v>
      </c>
      <c r="P272" s="427">
        <f t="shared" si="37"/>
        <v>0.83452996592503514</v>
      </c>
      <c r="Q272" s="426">
        <f t="shared" si="39"/>
        <v>1.0172920284626179</v>
      </c>
      <c r="R272" s="532">
        <f t="shared" si="40"/>
        <v>2.9770851307942832E-2</v>
      </c>
    </row>
    <row r="273" spans="1:18" s="6" customFormat="1" ht="15.75">
      <c r="A273" s="268">
        <v>182</v>
      </c>
      <c r="B273" s="122" t="s">
        <v>1225</v>
      </c>
      <c r="C273" s="55">
        <v>420.4</v>
      </c>
      <c r="D273" s="55"/>
      <c r="E273" s="55"/>
      <c r="F273" s="611">
        <f t="shared" si="42"/>
        <v>420.4</v>
      </c>
      <c r="G273" s="18">
        <v>11.7</v>
      </c>
      <c r="H273" s="827">
        <v>12</v>
      </c>
      <c r="I273" s="330"/>
      <c r="J273" s="330"/>
      <c r="K273" s="142">
        <f t="shared" si="41"/>
        <v>12</v>
      </c>
      <c r="L273" s="589">
        <f t="shared" si="36"/>
        <v>2.4052916416115455E-3</v>
      </c>
      <c r="M273" s="315">
        <f t="shared" si="38"/>
        <v>5.457919422730007</v>
      </c>
      <c r="N273" s="592">
        <f t="shared" si="35"/>
        <v>2.0068769717378236</v>
      </c>
      <c r="O273" s="427">
        <v>2.1781901014702836</v>
      </c>
      <c r="P273" s="427">
        <f t="shared" si="37"/>
        <v>0.58907997594708361</v>
      </c>
      <c r="Q273" s="426">
        <f t="shared" si="39"/>
        <v>0.71808849067949498</v>
      </c>
      <c r="R273" s="532">
        <f t="shared" si="40"/>
        <v>2.4338883139593714E-2</v>
      </c>
    </row>
    <row r="274" spans="1:18" s="6" customFormat="1" ht="15.75">
      <c r="A274" s="275">
        <v>183</v>
      </c>
      <c r="B274" s="122" t="s">
        <v>1226</v>
      </c>
      <c r="C274" s="55">
        <v>313.2</v>
      </c>
      <c r="D274" s="55"/>
      <c r="E274" s="55">
        <v>31</v>
      </c>
      <c r="F274" s="611">
        <f t="shared" si="42"/>
        <v>344.2</v>
      </c>
      <c r="G274" s="18">
        <v>369.8</v>
      </c>
      <c r="H274" s="827">
        <v>11</v>
      </c>
      <c r="I274" s="330"/>
      <c r="J274" s="330">
        <v>1</v>
      </c>
      <c r="K274" s="142">
        <f t="shared" si="41"/>
        <v>12</v>
      </c>
      <c r="L274" s="589">
        <f t="shared" si="36"/>
        <v>2.4052916416115455E-3</v>
      </c>
      <c r="M274" s="315">
        <f t="shared" si="38"/>
        <v>5.457919422730007</v>
      </c>
      <c r="N274" s="592">
        <f t="shared" si="35"/>
        <v>2.0068769717378236</v>
      </c>
      <c r="O274" s="427">
        <v>2.1781901014702836</v>
      </c>
      <c r="P274" s="427">
        <f t="shared" si="37"/>
        <v>0.58907997594708361</v>
      </c>
      <c r="Q274" s="426">
        <f t="shared" si="39"/>
        <v>0.71808849067949498</v>
      </c>
      <c r="R274" s="532">
        <f t="shared" si="40"/>
        <v>3.2669433179710085E-2</v>
      </c>
    </row>
    <row r="275" spans="1:18" s="6" customFormat="1" ht="15.75">
      <c r="A275" s="268">
        <v>184</v>
      </c>
      <c r="B275" s="122" t="s">
        <v>1227</v>
      </c>
      <c r="C275" s="55">
        <v>349.5</v>
      </c>
      <c r="D275" s="55"/>
      <c r="E275" s="55"/>
      <c r="F275" s="611">
        <f t="shared" si="42"/>
        <v>349.5</v>
      </c>
      <c r="G275" s="18">
        <v>68.5</v>
      </c>
      <c r="H275" s="827">
        <v>11</v>
      </c>
      <c r="I275" s="330"/>
      <c r="J275" s="330"/>
      <c r="K275" s="142">
        <f t="shared" si="41"/>
        <v>11</v>
      </c>
      <c r="L275" s="589">
        <f t="shared" si="36"/>
        <v>2.2048506714772501E-3</v>
      </c>
      <c r="M275" s="315">
        <f t="shared" si="38"/>
        <v>5.0030928041691727</v>
      </c>
      <c r="N275" s="592">
        <f t="shared" si="35"/>
        <v>1.839637224093005</v>
      </c>
      <c r="O275" s="427">
        <v>1.9966742596810931</v>
      </c>
      <c r="P275" s="427">
        <f t="shared" si="37"/>
        <v>0.53998997795149328</v>
      </c>
      <c r="Q275" s="426">
        <f t="shared" si="39"/>
        <v>0.65824778312287036</v>
      </c>
      <c r="R275" s="532">
        <f t="shared" si="40"/>
        <v>2.6836607341615918E-2</v>
      </c>
    </row>
    <row r="276" spans="1:18" s="6" customFormat="1" ht="15.75">
      <c r="A276" s="268">
        <v>185</v>
      </c>
      <c r="B276" s="122" t="s">
        <v>1228</v>
      </c>
      <c r="C276" s="55">
        <v>350</v>
      </c>
      <c r="D276" s="55">
        <v>24.5</v>
      </c>
      <c r="E276" s="55">
        <v>63.2</v>
      </c>
      <c r="F276" s="611">
        <f t="shared" si="42"/>
        <v>437.7</v>
      </c>
      <c r="G276" s="18">
        <v>61.3</v>
      </c>
      <c r="H276" s="827">
        <v>11</v>
      </c>
      <c r="I276" s="330">
        <v>1</v>
      </c>
      <c r="J276" s="330">
        <v>1</v>
      </c>
      <c r="K276" s="142">
        <f t="shared" si="41"/>
        <v>13</v>
      </c>
      <c r="L276" s="589">
        <f t="shared" si="36"/>
        <v>2.605732611745841E-3</v>
      </c>
      <c r="M276" s="315">
        <f t="shared" si="38"/>
        <v>5.9127460412908404</v>
      </c>
      <c r="N276" s="592">
        <f t="shared" si="35"/>
        <v>2.1741167193826421</v>
      </c>
      <c r="O276" s="427">
        <v>2.359705943259474</v>
      </c>
      <c r="P276" s="427">
        <f t="shared" si="37"/>
        <v>0.63816997394267394</v>
      </c>
      <c r="Q276" s="426">
        <f t="shared" si="39"/>
        <v>0.77792919823611961</v>
      </c>
      <c r="R276" s="532">
        <f t="shared" si="40"/>
        <v>3.1670681936787515E-2</v>
      </c>
    </row>
    <row r="277" spans="1:18" s="6" customFormat="1" ht="15.75">
      <c r="A277" s="268">
        <v>186</v>
      </c>
      <c r="B277" s="273" t="s">
        <v>1229</v>
      </c>
      <c r="C277" s="55">
        <v>483.54</v>
      </c>
      <c r="D277" s="55">
        <v>72.2</v>
      </c>
      <c r="E277" s="55"/>
      <c r="F277" s="611">
        <f t="shared" si="42"/>
        <v>555.74</v>
      </c>
      <c r="G277" s="18">
        <v>72</v>
      </c>
      <c r="H277" s="827">
        <v>13</v>
      </c>
      <c r="I277" s="330">
        <v>1</v>
      </c>
      <c r="J277" s="330"/>
      <c r="K277" s="142">
        <f t="shared" si="41"/>
        <v>14</v>
      </c>
      <c r="L277" s="589">
        <f t="shared" si="36"/>
        <v>2.8061735818801364E-3</v>
      </c>
      <c r="M277" s="315">
        <f t="shared" si="38"/>
        <v>6.3675726598516746</v>
      </c>
      <c r="N277" s="592">
        <f t="shared" si="35"/>
        <v>2.3413564670274609</v>
      </c>
      <c r="O277" s="427">
        <v>2.541221785048664</v>
      </c>
      <c r="P277" s="427">
        <f t="shared" si="37"/>
        <v>0.68725997193826416</v>
      </c>
      <c r="Q277" s="426">
        <f t="shared" si="39"/>
        <v>0.83776990579274402</v>
      </c>
      <c r="R277" s="532">
        <f t="shared" si="40"/>
        <v>2.4687535434226877E-2</v>
      </c>
    </row>
    <row r="278" spans="1:18" s="6" customFormat="1" ht="15.75">
      <c r="A278" s="268">
        <v>187</v>
      </c>
      <c r="B278" s="122" t="s">
        <v>1230</v>
      </c>
      <c r="C278" s="55">
        <v>381.8</v>
      </c>
      <c r="D278" s="55"/>
      <c r="E278" s="55">
        <v>14.8</v>
      </c>
      <c r="F278" s="611">
        <f t="shared" si="42"/>
        <v>396.6</v>
      </c>
      <c r="G278" s="18">
        <v>65.8</v>
      </c>
      <c r="H278" s="827">
        <v>11</v>
      </c>
      <c r="I278" s="330"/>
      <c r="J278" s="330">
        <v>1</v>
      </c>
      <c r="K278" s="142">
        <f t="shared" si="41"/>
        <v>12</v>
      </c>
      <c r="L278" s="589">
        <f t="shared" si="36"/>
        <v>2.4052916416115455E-3</v>
      </c>
      <c r="M278" s="315">
        <f t="shared" si="38"/>
        <v>5.457919422730007</v>
      </c>
      <c r="N278" s="592">
        <f t="shared" si="35"/>
        <v>2.0068769717378236</v>
      </c>
      <c r="O278" s="427">
        <v>2.1781901014702836</v>
      </c>
      <c r="P278" s="427">
        <f t="shared" si="37"/>
        <v>0.58907997594708361</v>
      </c>
      <c r="Q278" s="426">
        <f t="shared" si="39"/>
        <v>0.71808849067949498</v>
      </c>
      <c r="R278" s="532">
        <f t="shared" si="40"/>
        <v>2.679954549996123E-2</v>
      </c>
    </row>
    <row r="279" spans="1:18" s="6" customFormat="1" ht="15.75">
      <c r="A279" s="268">
        <v>188</v>
      </c>
      <c r="B279" s="122" t="s">
        <v>1231</v>
      </c>
      <c r="C279" s="55">
        <v>1654.3</v>
      </c>
      <c r="D279" s="55">
        <v>62.7</v>
      </c>
      <c r="E279" s="55">
        <v>61.9</v>
      </c>
      <c r="F279" s="611">
        <f t="shared" si="42"/>
        <v>1778.9</v>
      </c>
      <c r="G279" s="18">
        <v>59</v>
      </c>
      <c r="H279" s="827">
        <v>29</v>
      </c>
      <c r="I279" s="330">
        <v>2</v>
      </c>
      <c r="J279" s="330">
        <v>2</v>
      </c>
      <c r="K279" s="142">
        <f t="shared" si="41"/>
        <v>33</v>
      </c>
      <c r="L279" s="589">
        <f t="shared" si="36"/>
        <v>6.6145520144317502E-3</v>
      </c>
      <c r="M279" s="315">
        <f t="shared" si="38"/>
        <v>15.009278412507518</v>
      </c>
      <c r="N279" s="592">
        <f t="shared" si="35"/>
        <v>5.5189116722790148</v>
      </c>
      <c r="O279" s="427">
        <v>5.9900227790432803</v>
      </c>
      <c r="P279" s="427">
        <f t="shared" si="37"/>
        <v>1.61996993385448</v>
      </c>
      <c r="Q279" s="426">
        <f t="shared" si="39"/>
        <v>1.9747433493686113</v>
      </c>
      <c r="R279" s="532">
        <f t="shared" si="40"/>
        <v>1.7009117329193191E-2</v>
      </c>
    </row>
    <row r="280" spans="1:18" s="6" customFormat="1" ht="15.75">
      <c r="A280" s="268">
        <v>189</v>
      </c>
      <c r="B280" s="122" t="s">
        <v>1232</v>
      </c>
      <c r="C280" s="55">
        <v>709.28</v>
      </c>
      <c r="D280" s="55"/>
      <c r="E280" s="55">
        <v>22.5</v>
      </c>
      <c r="F280" s="611">
        <f t="shared" si="42"/>
        <v>731.78</v>
      </c>
      <c r="G280" s="18">
        <v>68.599999999999994</v>
      </c>
      <c r="H280" s="827">
        <v>21</v>
      </c>
      <c r="I280" s="330"/>
      <c r="J280" s="330">
        <v>1</v>
      </c>
      <c r="K280" s="142">
        <f t="shared" si="41"/>
        <v>22</v>
      </c>
      <c r="L280" s="589">
        <f t="shared" si="36"/>
        <v>4.4097013429545001E-3</v>
      </c>
      <c r="M280" s="315">
        <f t="shared" si="38"/>
        <v>10.006185608338345</v>
      </c>
      <c r="N280" s="592">
        <f t="shared" si="35"/>
        <v>3.67927444818601</v>
      </c>
      <c r="O280" s="427">
        <v>3.9933485193621863</v>
      </c>
      <c r="P280" s="427">
        <f t="shared" si="37"/>
        <v>1.0799799559029866</v>
      </c>
      <c r="Q280" s="426">
        <f t="shared" si="39"/>
        <v>1.3164955662457407</v>
      </c>
      <c r="R280" s="532">
        <f t="shared" si="40"/>
        <v>2.6447649069182167E-2</v>
      </c>
    </row>
    <row r="281" spans="1:18" s="6" customFormat="1" ht="15.75">
      <c r="A281" s="275">
        <v>190</v>
      </c>
      <c r="B281" s="122" t="s">
        <v>1233</v>
      </c>
      <c r="C281" s="55">
        <v>185.4</v>
      </c>
      <c r="D281" s="55"/>
      <c r="E281" s="55"/>
      <c r="F281" s="611">
        <f t="shared" si="42"/>
        <v>185.4</v>
      </c>
      <c r="G281" s="18">
        <v>72.3</v>
      </c>
      <c r="H281" s="827">
        <v>6</v>
      </c>
      <c r="I281" s="330"/>
      <c r="J281" s="330"/>
      <c r="K281" s="142">
        <f t="shared" si="41"/>
        <v>6</v>
      </c>
      <c r="L281" s="589">
        <f t="shared" si="36"/>
        <v>1.2026458208057728E-3</v>
      </c>
      <c r="M281" s="315">
        <f t="shared" si="38"/>
        <v>2.7289597113650035</v>
      </c>
      <c r="N281" s="592">
        <f t="shared" ref="N281:N344" si="43">M281*0.3677</f>
        <v>1.0034384858689118</v>
      </c>
      <c r="O281" s="427">
        <v>1.0890950507351418</v>
      </c>
      <c r="P281" s="427">
        <f t="shared" si="37"/>
        <v>0.29453998797354181</v>
      </c>
      <c r="Q281" s="426">
        <f t="shared" si="39"/>
        <v>0.35904424533974749</v>
      </c>
      <c r="R281" s="532">
        <f t="shared" si="40"/>
        <v>2.7594569773153173E-2</v>
      </c>
    </row>
    <row r="282" spans="1:18" s="6" customFormat="1" ht="15.75">
      <c r="A282" s="268">
        <v>191</v>
      </c>
      <c r="B282" s="122" t="s">
        <v>1234</v>
      </c>
      <c r="C282" s="55">
        <v>478.6</v>
      </c>
      <c r="D282" s="55"/>
      <c r="E282" s="55"/>
      <c r="F282" s="611">
        <f t="shared" si="42"/>
        <v>478.6</v>
      </c>
      <c r="G282" s="18">
        <v>218</v>
      </c>
      <c r="H282" s="827">
        <v>15</v>
      </c>
      <c r="I282" s="330"/>
      <c r="J282" s="330"/>
      <c r="K282" s="142">
        <f t="shared" si="41"/>
        <v>15</v>
      </c>
      <c r="L282" s="589">
        <f t="shared" si="36"/>
        <v>3.0066145520144319E-3</v>
      </c>
      <c r="M282" s="315">
        <f t="shared" si="38"/>
        <v>6.822399278412508</v>
      </c>
      <c r="N282" s="592">
        <f t="shared" si="43"/>
        <v>2.5085962146722793</v>
      </c>
      <c r="O282" s="427">
        <v>2.7227376268378545</v>
      </c>
      <c r="P282" s="427">
        <f t="shared" si="37"/>
        <v>0.73634996993385449</v>
      </c>
      <c r="Q282" s="426">
        <f t="shared" si="39"/>
        <v>0.89761061334936865</v>
      </c>
      <c r="R282" s="532">
        <f t="shared" si="40"/>
        <v>2.6723951295145206E-2</v>
      </c>
    </row>
    <row r="283" spans="1:18" s="6" customFormat="1" ht="15.75">
      <c r="A283" s="268">
        <v>192</v>
      </c>
      <c r="B283" s="122" t="s">
        <v>1235</v>
      </c>
      <c r="C283" s="55">
        <v>496.38</v>
      </c>
      <c r="D283" s="55"/>
      <c r="E283" s="55"/>
      <c r="F283" s="611">
        <f t="shared" si="42"/>
        <v>496.38</v>
      </c>
      <c r="G283" s="18">
        <v>79.3</v>
      </c>
      <c r="H283" s="827">
        <v>9</v>
      </c>
      <c r="I283" s="330"/>
      <c r="J283" s="330"/>
      <c r="K283" s="142">
        <f t="shared" si="41"/>
        <v>9</v>
      </c>
      <c r="L283" s="589">
        <f t="shared" si="36"/>
        <v>1.8039687312086591E-3</v>
      </c>
      <c r="M283" s="315">
        <f t="shared" si="38"/>
        <v>4.093439567047505</v>
      </c>
      <c r="N283" s="592">
        <f t="shared" si="43"/>
        <v>1.5051577288033677</v>
      </c>
      <c r="O283" s="427">
        <v>1.6336425761027129</v>
      </c>
      <c r="P283" s="427">
        <f t="shared" si="37"/>
        <v>0.44180998196031268</v>
      </c>
      <c r="Q283" s="426">
        <f t="shared" si="39"/>
        <v>0.53856636800962121</v>
      </c>
      <c r="R283" s="532">
        <f t="shared" si="40"/>
        <v>1.5460030327398159E-2</v>
      </c>
    </row>
    <row r="284" spans="1:18" s="6" customFormat="1" ht="15.75">
      <c r="A284" s="268">
        <v>193</v>
      </c>
      <c r="B284" s="122" t="s">
        <v>1236</v>
      </c>
      <c r="C284" s="55">
        <v>182.3</v>
      </c>
      <c r="D284" s="55"/>
      <c r="E284" s="55">
        <v>78.5</v>
      </c>
      <c r="F284" s="611">
        <f t="shared" si="42"/>
        <v>260.8</v>
      </c>
      <c r="G284" s="18">
        <v>37.299999999999997</v>
      </c>
      <c r="H284" s="827">
        <v>7</v>
      </c>
      <c r="I284" s="330"/>
      <c r="J284" s="330">
        <v>1</v>
      </c>
      <c r="K284" s="142">
        <f t="shared" si="41"/>
        <v>8</v>
      </c>
      <c r="L284" s="589">
        <f t="shared" ref="L284:L347" si="44">1/4989*K284</f>
        <v>1.6035277610743637E-3</v>
      </c>
      <c r="M284" s="315">
        <f t="shared" si="38"/>
        <v>3.6386129484866712</v>
      </c>
      <c r="N284" s="592">
        <f t="shared" si="43"/>
        <v>1.3379179811585491</v>
      </c>
      <c r="O284" s="427">
        <v>1.4521267343135225</v>
      </c>
      <c r="P284" s="427">
        <f t="shared" ref="P284:P347" si="45">L284*244.91</f>
        <v>0.39271998396472241</v>
      </c>
      <c r="Q284" s="426">
        <f t="shared" si="39"/>
        <v>0.47872566045299664</v>
      </c>
      <c r="R284" s="532">
        <f t="shared" si="40"/>
        <v>3.7418418255202771E-2</v>
      </c>
    </row>
    <row r="285" spans="1:18" s="6" customFormat="1" ht="15.75">
      <c r="A285" s="268">
        <v>194</v>
      </c>
      <c r="B285" s="122" t="s">
        <v>1237</v>
      </c>
      <c r="C285" s="55">
        <v>282.8</v>
      </c>
      <c r="D285" s="55"/>
      <c r="E285" s="55"/>
      <c r="F285" s="611">
        <f t="shared" si="42"/>
        <v>282.8</v>
      </c>
      <c r="G285" s="18">
        <v>51.2</v>
      </c>
      <c r="H285" s="827">
        <v>6</v>
      </c>
      <c r="I285" s="330"/>
      <c r="J285" s="330"/>
      <c r="K285" s="142">
        <f t="shared" si="41"/>
        <v>6</v>
      </c>
      <c r="L285" s="589">
        <f t="shared" si="44"/>
        <v>1.2026458208057728E-3</v>
      </c>
      <c r="M285" s="315">
        <f t="shared" ref="M285:M348" si="46">L285*2269.13</f>
        <v>2.7289597113650035</v>
      </c>
      <c r="N285" s="592">
        <f t="shared" si="43"/>
        <v>1.0034384858689118</v>
      </c>
      <c r="O285" s="427">
        <v>1.0890950507351418</v>
      </c>
      <c r="P285" s="427">
        <f t="shared" si="45"/>
        <v>0.29453998797354181</v>
      </c>
      <c r="Q285" s="426">
        <f t="shared" ref="Q285:Q348" si="47">P285*1.219</f>
        <v>0.35904424533974749</v>
      </c>
      <c r="R285" s="532">
        <f t="shared" si="40"/>
        <v>1.8090640862597589E-2</v>
      </c>
    </row>
    <row r="286" spans="1:18" s="6" customFormat="1" ht="15.75">
      <c r="A286" s="268">
        <v>195</v>
      </c>
      <c r="B286" s="122" t="s">
        <v>1238</v>
      </c>
      <c r="C286" s="55">
        <v>227.3</v>
      </c>
      <c r="D286" s="55"/>
      <c r="E286" s="55"/>
      <c r="F286" s="611">
        <f t="shared" si="42"/>
        <v>227.3</v>
      </c>
      <c r="G286" s="18">
        <v>50.3</v>
      </c>
      <c r="H286" s="827">
        <v>5</v>
      </c>
      <c r="I286" s="330"/>
      <c r="J286" s="330"/>
      <c r="K286" s="142">
        <f t="shared" si="41"/>
        <v>5</v>
      </c>
      <c r="L286" s="589">
        <f t="shared" si="44"/>
        <v>1.0022048506714773E-3</v>
      </c>
      <c r="M286" s="315">
        <f t="shared" si="46"/>
        <v>2.2741330928041692</v>
      </c>
      <c r="N286" s="592">
        <f t="shared" si="43"/>
        <v>0.83619873822409307</v>
      </c>
      <c r="O286" s="427">
        <v>0.90757920894595157</v>
      </c>
      <c r="P286" s="427">
        <f t="shared" si="45"/>
        <v>0.2454499899779515</v>
      </c>
      <c r="Q286" s="426">
        <f t="shared" si="47"/>
        <v>0.29920353778312292</v>
      </c>
      <c r="R286" s="532">
        <f t="shared" si="40"/>
        <v>1.8756537747259858E-2</v>
      </c>
    </row>
    <row r="287" spans="1:18" s="6" customFormat="1" ht="15.75">
      <c r="A287" s="268">
        <v>196</v>
      </c>
      <c r="B287" s="122" t="s">
        <v>1239</v>
      </c>
      <c r="C287" s="55">
        <v>7849.73</v>
      </c>
      <c r="D287" s="55"/>
      <c r="E287" s="55"/>
      <c r="F287" s="611">
        <f t="shared" si="42"/>
        <v>7849.73</v>
      </c>
      <c r="G287" s="18">
        <v>35.299999999999997</v>
      </c>
      <c r="H287" s="827">
        <v>192</v>
      </c>
      <c r="I287" s="330"/>
      <c r="J287" s="330"/>
      <c r="K287" s="142">
        <f t="shared" si="41"/>
        <v>192</v>
      </c>
      <c r="L287" s="589">
        <f t="shared" si="44"/>
        <v>3.8484666265784728E-2</v>
      </c>
      <c r="M287" s="315">
        <f t="shared" si="46"/>
        <v>87.326710763680111</v>
      </c>
      <c r="N287" s="592">
        <f t="shared" si="43"/>
        <v>32.110031547805178</v>
      </c>
      <c r="O287" s="427">
        <v>34.851041623524537</v>
      </c>
      <c r="P287" s="427">
        <f t="shared" si="45"/>
        <v>9.4252796151533378</v>
      </c>
      <c r="Q287" s="426">
        <f t="shared" si="47"/>
        <v>11.48941585087192</v>
      </c>
      <c r="R287" s="532">
        <f t="shared" si="40"/>
        <v>2.0855884667391512E-2</v>
      </c>
    </row>
    <row r="288" spans="1:18" s="6" customFormat="1" ht="15.75">
      <c r="A288" s="275">
        <v>197</v>
      </c>
      <c r="B288" s="122" t="s">
        <v>1240</v>
      </c>
      <c r="C288" s="55">
        <v>388.5</v>
      </c>
      <c r="D288" s="55">
        <v>24.1</v>
      </c>
      <c r="E288" s="55">
        <v>41.6</v>
      </c>
      <c r="F288" s="611">
        <f t="shared" si="42"/>
        <v>454.20000000000005</v>
      </c>
      <c r="G288" s="18">
        <v>51.5</v>
      </c>
      <c r="H288" s="827">
        <v>13</v>
      </c>
      <c r="I288" s="330">
        <v>1</v>
      </c>
      <c r="J288" s="330">
        <v>1</v>
      </c>
      <c r="K288" s="142">
        <f t="shared" si="41"/>
        <v>15</v>
      </c>
      <c r="L288" s="589">
        <f t="shared" si="44"/>
        <v>3.0066145520144319E-3</v>
      </c>
      <c r="M288" s="315">
        <f t="shared" si="46"/>
        <v>6.822399278412508</v>
      </c>
      <c r="N288" s="592">
        <f t="shared" si="43"/>
        <v>2.5085962146722793</v>
      </c>
      <c r="O288" s="427">
        <v>2.7227376268378545</v>
      </c>
      <c r="P288" s="427">
        <f t="shared" si="45"/>
        <v>0.73634996993385449</v>
      </c>
      <c r="Q288" s="426">
        <f t="shared" si="47"/>
        <v>0.89761061334936865</v>
      </c>
      <c r="R288" s="532">
        <f t="shared" si="40"/>
        <v>3.2921706794997417E-2</v>
      </c>
    </row>
    <row r="289" spans="1:18" s="6" customFormat="1" ht="15.75">
      <c r="A289" s="268">
        <v>198</v>
      </c>
      <c r="B289" s="122" t="s">
        <v>1241</v>
      </c>
      <c r="C289" s="55">
        <v>380</v>
      </c>
      <c r="D289" s="55">
        <v>28.6</v>
      </c>
      <c r="E289" s="55">
        <v>85.3</v>
      </c>
      <c r="F289" s="611">
        <f t="shared" si="42"/>
        <v>493.90000000000003</v>
      </c>
      <c r="G289" s="18">
        <v>67</v>
      </c>
      <c r="H289" s="827">
        <v>13</v>
      </c>
      <c r="I289" s="330">
        <v>1</v>
      </c>
      <c r="J289" s="330">
        <v>1</v>
      </c>
      <c r="K289" s="142">
        <f t="shared" si="41"/>
        <v>15</v>
      </c>
      <c r="L289" s="589">
        <f t="shared" si="44"/>
        <v>3.0066145520144319E-3</v>
      </c>
      <c r="M289" s="315">
        <f t="shared" si="46"/>
        <v>6.822399278412508</v>
      </c>
      <c r="N289" s="592">
        <f t="shared" si="43"/>
        <v>2.5085962146722793</v>
      </c>
      <c r="O289" s="427">
        <v>2.7227376268378545</v>
      </c>
      <c r="P289" s="427">
        <f t="shared" si="45"/>
        <v>0.73634996993385449</v>
      </c>
      <c r="Q289" s="426">
        <f t="shared" si="47"/>
        <v>0.89761061334936865</v>
      </c>
      <c r="R289" s="532">
        <f t="shared" si="40"/>
        <v>3.3658113394359201E-2</v>
      </c>
    </row>
    <row r="290" spans="1:18" s="6" customFormat="1" ht="15.75">
      <c r="A290" s="268">
        <v>199</v>
      </c>
      <c r="B290" s="122" t="s">
        <v>1242</v>
      </c>
      <c r="C290" s="55">
        <v>580.32000000000005</v>
      </c>
      <c r="D290" s="55"/>
      <c r="E290" s="55">
        <v>118.5</v>
      </c>
      <c r="F290" s="611">
        <f t="shared" si="42"/>
        <v>698.82</v>
      </c>
      <c r="G290" s="18">
        <v>949.2</v>
      </c>
      <c r="H290" s="827">
        <v>16</v>
      </c>
      <c r="I290" s="330"/>
      <c r="J290" s="330">
        <v>2</v>
      </c>
      <c r="K290" s="142">
        <f t="shared" si="41"/>
        <v>18</v>
      </c>
      <c r="L290" s="589">
        <f t="shared" si="44"/>
        <v>3.6079374624173183E-3</v>
      </c>
      <c r="M290" s="315">
        <f t="shared" si="46"/>
        <v>8.18687913409501</v>
      </c>
      <c r="N290" s="592">
        <f t="shared" si="43"/>
        <v>3.0103154576067355</v>
      </c>
      <c r="O290" s="427">
        <v>3.2672851522054258</v>
      </c>
      <c r="P290" s="427">
        <f t="shared" si="45"/>
        <v>0.88361996392062536</v>
      </c>
      <c r="Q290" s="426">
        <f t="shared" si="47"/>
        <v>1.0771327360192424</v>
      </c>
      <c r="R290" s="532">
        <f t="shared" si="40"/>
        <v>2.6447649069182167E-2</v>
      </c>
    </row>
    <row r="291" spans="1:18" s="6" customFormat="1" ht="15.75">
      <c r="A291" s="268">
        <v>200</v>
      </c>
      <c r="B291" s="122" t="s">
        <v>1243</v>
      </c>
      <c r="C291" s="55">
        <v>478.62</v>
      </c>
      <c r="D291" s="55">
        <v>27.8</v>
      </c>
      <c r="E291" s="55">
        <v>53.1</v>
      </c>
      <c r="F291" s="611">
        <f t="shared" si="42"/>
        <v>559.52</v>
      </c>
      <c r="G291" s="18">
        <v>32</v>
      </c>
      <c r="H291" s="827">
        <v>15</v>
      </c>
      <c r="I291" s="330">
        <v>1</v>
      </c>
      <c r="J291" s="330">
        <v>1</v>
      </c>
      <c r="K291" s="142">
        <f t="shared" si="41"/>
        <v>17</v>
      </c>
      <c r="L291" s="589">
        <f t="shared" si="44"/>
        <v>3.4074964922830228E-3</v>
      </c>
      <c r="M291" s="315">
        <f t="shared" si="46"/>
        <v>7.7320525155341757</v>
      </c>
      <c r="N291" s="592">
        <f t="shared" si="43"/>
        <v>2.8430757099619166</v>
      </c>
      <c r="O291" s="427">
        <v>3.0857693104162354</v>
      </c>
      <c r="P291" s="427">
        <f t="shared" si="45"/>
        <v>0.83452996592503514</v>
      </c>
      <c r="Q291" s="426">
        <f t="shared" si="47"/>
        <v>1.0172920284626179</v>
      </c>
      <c r="R291" s="532">
        <f t="shared" si="40"/>
        <v>3.0285879198189303E-2</v>
      </c>
    </row>
    <row r="292" spans="1:18" s="6" customFormat="1" ht="15.75">
      <c r="A292" s="268">
        <v>201</v>
      </c>
      <c r="B292" s="122" t="s">
        <v>1244</v>
      </c>
      <c r="C292" s="55">
        <v>781.2</v>
      </c>
      <c r="D292" s="55">
        <v>176.8</v>
      </c>
      <c r="E292" s="55"/>
      <c r="F292" s="611">
        <f t="shared" si="42"/>
        <v>958</v>
      </c>
      <c r="G292" s="18">
        <v>69</v>
      </c>
      <c r="H292" s="827">
        <v>19</v>
      </c>
      <c r="I292" s="330">
        <v>1</v>
      </c>
      <c r="J292" s="330"/>
      <c r="K292" s="142">
        <f t="shared" si="41"/>
        <v>20</v>
      </c>
      <c r="L292" s="589">
        <f t="shared" si="44"/>
        <v>4.0088194026859092E-3</v>
      </c>
      <c r="M292" s="315">
        <f t="shared" si="46"/>
        <v>9.0965323712166768</v>
      </c>
      <c r="N292" s="592">
        <f t="shared" si="43"/>
        <v>3.3447949528963723</v>
      </c>
      <c r="O292" s="427">
        <v>3.6303168357838063</v>
      </c>
      <c r="P292" s="427">
        <f t="shared" si="45"/>
        <v>0.98179995991180602</v>
      </c>
      <c r="Q292" s="426">
        <f t="shared" si="47"/>
        <v>1.1968141511324917</v>
      </c>
      <c r="R292" s="532">
        <f t="shared" si="40"/>
        <v>2.1829805580912267E-2</v>
      </c>
    </row>
    <row r="293" spans="1:18" s="6" customFormat="1" ht="15.75">
      <c r="A293" s="268">
        <v>202</v>
      </c>
      <c r="B293" s="122" t="s">
        <v>1245</v>
      </c>
      <c r="C293" s="55">
        <v>676.2</v>
      </c>
      <c r="D293" s="55">
        <v>23.8</v>
      </c>
      <c r="E293" s="55"/>
      <c r="F293" s="611">
        <f t="shared" si="42"/>
        <v>700</v>
      </c>
      <c r="G293" s="18">
        <v>79.7</v>
      </c>
      <c r="H293" s="827">
        <v>22</v>
      </c>
      <c r="I293" s="330">
        <v>1</v>
      </c>
      <c r="J293" s="330"/>
      <c r="K293" s="142">
        <f t="shared" si="41"/>
        <v>23</v>
      </c>
      <c r="L293" s="589">
        <f t="shared" si="44"/>
        <v>4.6101423130887956E-3</v>
      </c>
      <c r="M293" s="315">
        <f t="shared" si="46"/>
        <v>10.461012226899179</v>
      </c>
      <c r="N293" s="592">
        <f t="shared" si="43"/>
        <v>3.8465141958308284</v>
      </c>
      <c r="O293" s="427">
        <v>4.1748643611513767</v>
      </c>
      <c r="P293" s="427">
        <f t="shared" si="45"/>
        <v>1.1290699538985769</v>
      </c>
      <c r="Q293" s="426">
        <f t="shared" si="47"/>
        <v>1.3763362738023652</v>
      </c>
      <c r="R293" s="532">
        <f t="shared" si="40"/>
        <v>2.900245598606915E-2</v>
      </c>
    </row>
    <row r="294" spans="1:18" s="6" customFormat="1" ht="15.75">
      <c r="A294" s="268">
        <v>203</v>
      </c>
      <c r="B294" s="122" t="s">
        <v>1246</v>
      </c>
      <c r="C294" s="55">
        <v>209.86</v>
      </c>
      <c r="D294" s="55"/>
      <c r="E294" s="55"/>
      <c r="F294" s="611">
        <f t="shared" si="42"/>
        <v>209.86</v>
      </c>
      <c r="G294" s="18">
        <v>60.3</v>
      </c>
      <c r="H294" s="827">
        <v>6</v>
      </c>
      <c r="I294" s="330"/>
      <c r="J294" s="330"/>
      <c r="K294" s="142">
        <f t="shared" si="41"/>
        <v>6</v>
      </c>
      <c r="L294" s="589">
        <f t="shared" si="44"/>
        <v>1.2026458208057728E-3</v>
      </c>
      <c r="M294" s="315">
        <f t="shared" si="46"/>
        <v>2.7289597113650035</v>
      </c>
      <c r="N294" s="592">
        <f t="shared" si="43"/>
        <v>1.0034384858689118</v>
      </c>
      <c r="O294" s="427">
        <v>1.0890950507351418</v>
      </c>
      <c r="P294" s="427">
        <f t="shared" si="45"/>
        <v>0.29453998797354181</v>
      </c>
      <c r="Q294" s="426">
        <f t="shared" si="47"/>
        <v>0.35904424533974749</v>
      </c>
      <c r="R294" s="532">
        <f t="shared" si="40"/>
        <v>2.4378315238457057E-2</v>
      </c>
    </row>
    <row r="295" spans="1:18" s="6" customFormat="1" ht="15.75">
      <c r="A295" s="275">
        <v>204</v>
      </c>
      <c r="B295" s="122" t="s">
        <v>1247</v>
      </c>
      <c r="C295" s="55">
        <v>577.53</v>
      </c>
      <c r="D295" s="55"/>
      <c r="E295" s="55"/>
      <c r="F295" s="611">
        <f t="shared" si="42"/>
        <v>577.53</v>
      </c>
      <c r="G295" s="18">
        <v>105</v>
      </c>
      <c r="H295" s="827">
        <v>18</v>
      </c>
      <c r="I295" s="330"/>
      <c r="J295" s="330"/>
      <c r="K295" s="142">
        <f t="shared" si="41"/>
        <v>18</v>
      </c>
      <c r="L295" s="589">
        <f t="shared" si="44"/>
        <v>3.6079374624173183E-3</v>
      </c>
      <c r="M295" s="315">
        <f t="shared" si="46"/>
        <v>8.18687913409501</v>
      </c>
      <c r="N295" s="592">
        <f t="shared" si="43"/>
        <v>3.0103154576067355</v>
      </c>
      <c r="O295" s="427">
        <v>3.2672851522054258</v>
      </c>
      <c r="P295" s="427">
        <f t="shared" si="45"/>
        <v>0.88361996392062536</v>
      </c>
      <c r="Q295" s="426">
        <f t="shared" si="47"/>
        <v>1.0771327360192424</v>
      </c>
      <c r="R295" s="532">
        <f t="shared" si="40"/>
        <v>2.6575415489806239E-2</v>
      </c>
    </row>
    <row r="296" spans="1:18" s="6" customFormat="1" ht="15.75">
      <c r="A296" s="268">
        <v>205</v>
      </c>
      <c r="B296" s="122" t="s">
        <v>1248</v>
      </c>
      <c r="C296" s="55">
        <v>265.16000000000003</v>
      </c>
      <c r="D296" s="55"/>
      <c r="E296" s="55"/>
      <c r="F296" s="611">
        <f t="shared" si="42"/>
        <v>265.16000000000003</v>
      </c>
      <c r="G296" s="18">
        <v>74</v>
      </c>
      <c r="H296" s="827">
        <v>8</v>
      </c>
      <c r="I296" s="330"/>
      <c r="J296" s="330"/>
      <c r="K296" s="142">
        <f t="shared" si="41"/>
        <v>8</v>
      </c>
      <c r="L296" s="589">
        <f t="shared" si="44"/>
        <v>1.6035277610743637E-3</v>
      </c>
      <c r="M296" s="315">
        <f t="shared" si="46"/>
        <v>3.6386129484866712</v>
      </c>
      <c r="N296" s="592">
        <f t="shared" si="43"/>
        <v>1.3379179811585491</v>
      </c>
      <c r="O296" s="427">
        <v>1.4521267343135225</v>
      </c>
      <c r="P296" s="427">
        <f t="shared" si="45"/>
        <v>0.39271998396472241</v>
      </c>
      <c r="Q296" s="426">
        <f t="shared" si="47"/>
        <v>0.47872566045299664</v>
      </c>
      <c r="R296" s="532">
        <f t="shared" si="40"/>
        <v>2.5725515341391857E-2</v>
      </c>
    </row>
    <row r="297" spans="1:18" s="6" customFormat="1" ht="15.75">
      <c r="A297" s="268">
        <v>206</v>
      </c>
      <c r="B297" s="122" t="s">
        <v>1249</v>
      </c>
      <c r="C297" s="55">
        <v>134.88</v>
      </c>
      <c r="D297" s="55"/>
      <c r="E297" s="55"/>
      <c r="F297" s="611">
        <f t="shared" si="42"/>
        <v>134.88</v>
      </c>
      <c r="G297" s="18">
        <v>48</v>
      </c>
      <c r="H297" s="827">
        <v>4</v>
      </c>
      <c r="I297" s="330"/>
      <c r="J297" s="330"/>
      <c r="K297" s="142">
        <f t="shared" si="41"/>
        <v>4</v>
      </c>
      <c r="L297" s="589">
        <f t="shared" si="44"/>
        <v>8.0176388053718184E-4</v>
      </c>
      <c r="M297" s="315">
        <f t="shared" si="46"/>
        <v>1.8193064742433356</v>
      </c>
      <c r="N297" s="592">
        <f t="shared" si="43"/>
        <v>0.66895899057927455</v>
      </c>
      <c r="O297" s="427">
        <v>0.72606336715676123</v>
      </c>
      <c r="P297" s="427">
        <f t="shared" si="45"/>
        <v>0.1963599919823612</v>
      </c>
      <c r="Q297" s="426">
        <f t="shared" si="47"/>
        <v>0.23936283022649832</v>
      </c>
      <c r="R297" s="532">
        <f t="shared" si="40"/>
        <v>2.5286838849063853E-2</v>
      </c>
    </row>
    <row r="298" spans="1:18" s="6" customFormat="1" ht="15.75">
      <c r="A298" s="268">
        <v>207</v>
      </c>
      <c r="B298" s="122" t="s">
        <v>1250</v>
      </c>
      <c r="C298" s="55">
        <v>383.74</v>
      </c>
      <c r="D298" s="55"/>
      <c r="E298" s="55">
        <v>43.6</v>
      </c>
      <c r="F298" s="611">
        <f t="shared" si="42"/>
        <v>427.34000000000003</v>
      </c>
      <c r="G298" s="18">
        <v>49</v>
      </c>
      <c r="H298" s="827">
        <v>7</v>
      </c>
      <c r="I298" s="330"/>
      <c r="J298" s="330">
        <v>1</v>
      </c>
      <c r="K298" s="142">
        <f t="shared" si="41"/>
        <v>8</v>
      </c>
      <c r="L298" s="589">
        <f t="shared" si="44"/>
        <v>1.6035277610743637E-3</v>
      </c>
      <c r="M298" s="315">
        <f t="shared" si="46"/>
        <v>3.6386129484866712</v>
      </c>
      <c r="N298" s="592">
        <f t="shared" si="43"/>
        <v>1.3379179811585491</v>
      </c>
      <c r="O298" s="427">
        <v>1.4521267343135225</v>
      </c>
      <c r="P298" s="427">
        <f t="shared" si="45"/>
        <v>0.39271998396472241</v>
      </c>
      <c r="Q298" s="426">
        <f t="shared" si="47"/>
        <v>0.47872566045299664</v>
      </c>
      <c r="R298" s="532">
        <f t="shared" si="40"/>
        <v>1.777604015198693E-2</v>
      </c>
    </row>
    <row r="299" spans="1:18" s="6" customFormat="1" ht="15.75">
      <c r="A299" s="268">
        <v>208</v>
      </c>
      <c r="B299" s="122" t="s">
        <v>1251</v>
      </c>
      <c r="C299" s="55">
        <v>569.4</v>
      </c>
      <c r="D299" s="55"/>
      <c r="E299" s="55">
        <v>33.6</v>
      </c>
      <c r="F299" s="611">
        <f t="shared" si="42"/>
        <v>603</v>
      </c>
      <c r="G299" s="18">
        <v>35.700000000000003</v>
      </c>
      <c r="H299" s="827">
        <v>13</v>
      </c>
      <c r="I299" s="330"/>
      <c r="J299" s="330">
        <v>1</v>
      </c>
      <c r="K299" s="142">
        <f t="shared" si="41"/>
        <v>14</v>
      </c>
      <c r="L299" s="589">
        <f t="shared" si="44"/>
        <v>2.8061735818801364E-3</v>
      </c>
      <c r="M299" s="315">
        <f t="shared" si="46"/>
        <v>6.3675726598516746</v>
      </c>
      <c r="N299" s="592">
        <f t="shared" si="43"/>
        <v>2.3413564670274609</v>
      </c>
      <c r="O299" s="427">
        <v>2.541221785048664</v>
      </c>
      <c r="P299" s="427">
        <f t="shared" si="45"/>
        <v>0.68725997193826416</v>
      </c>
      <c r="Q299" s="426">
        <f t="shared" si="47"/>
        <v>0.83776990579274402</v>
      </c>
      <c r="R299" s="532">
        <f t="shared" si="40"/>
        <v>2.0964894421963583E-2</v>
      </c>
    </row>
    <row r="300" spans="1:18" s="6" customFormat="1" ht="15.75">
      <c r="A300" s="268">
        <v>209</v>
      </c>
      <c r="B300" s="122" t="s">
        <v>1252</v>
      </c>
      <c r="C300" s="55">
        <v>340.6</v>
      </c>
      <c r="D300" s="55">
        <v>35.1</v>
      </c>
      <c r="E300" s="55"/>
      <c r="F300" s="611">
        <f t="shared" si="42"/>
        <v>375.70000000000005</v>
      </c>
      <c r="G300" s="18">
        <v>12</v>
      </c>
      <c r="H300" s="827">
        <v>9</v>
      </c>
      <c r="I300" s="330">
        <v>1</v>
      </c>
      <c r="J300" s="330"/>
      <c r="K300" s="142">
        <f t="shared" si="41"/>
        <v>10</v>
      </c>
      <c r="L300" s="589">
        <f t="shared" si="44"/>
        <v>2.0044097013429546E-3</v>
      </c>
      <c r="M300" s="315">
        <f t="shared" si="46"/>
        <v>4.5482661856083384</v>
      </c>
      <c r="N300" s="592">
        <f t="shared" si="43"/>
        <v>1.6723974764481861</v>
      </c>
      <c r="O300" s="427">
        <v>1.8151584178919031</v>
      </c>
      <c r="P300" s="427">
        <f t="shared" si="45"/>
        <v>0.49089997995590301</v>
      </c>
      <c r="Q300" s="426">
        <f t="shared" si="47"/>
        <v>0.59840707556624584</v>
      </c>
      <c r="R300" s="532">
        <f t="shared" si="40"/>
        <v>2.5034415912813655E-2</v>
      </c>
    </row>
    <row r="301" spans="1:18" s="6" customFormat="1" ht="15.75">
      <c r="A301" s="268">
        <v>210</v>
      </c>
      <c r="B301" s="122" t="s">
        <v>1253</v>
      </c>
      <c r="C301" s="55">
        <v>587.91999999999996</v>
      </c>
      <c r="D301" s="55"/>
      <c r="E301" s="55">
        <v>19.7</v>
      </c>
      <c r="F301" s="611">
        <f t="shared" si="42"/>
        <v>607.62</v>
      </c>
      <c r="G301" s="18">
        <v>54</v>
      </c>
      <c r="H301" s="827">
        <v>13</v>
      </c>
      <c r="I301" s="330"/>
      <c r="J301" s="330">
        <v>1</v>
      </c>
      <c r="K301" s="142">
        <f t="shared" si="41"/>
        <v>14</v>
      </c>
      <c r="L301" s="589">
        <f t="shared" si="44"/>
        <v>2.8061735818801364E-3</v>
      </c>
      <c r="M301" s="315">
        <f t="shared" si="46"/>
        <v>6.3675726598516746</v>
      </c>
      <c r="N301" s="592">
        <f t="shared" si="43"/>
        <v>2.3413564670274609</v>
      </c>
      <c r="O301" s="427">
        <v>2.541221785048664</v>
      </c>
      <c r="P301" s="427">
        <f t="shared" si="45"/>
        <v>0.68725997193826416</v>
      </c>
      <c r="Q301" s="426">
        <f t="shared" si="47"/>
        <v>0.83776990579274402</v>
      </c>
      <c r="R301" s="532">
        <f t="shared" si="40"/>
        <v>2.0304481704766064E-2</v>
      </c>
    </row>
    <row r="302" spans="1:18" s="6" customFormat="1" ht="15.75">
      <c r="A302" s="275">
        <v>211</v>
      </c>
      <c r="B302" s="122" t="s">
        <v>1254</v>
      </c>
      <c r="C302" s="55">
        <v>368.22</v>
      </c>
      <c r="D302" s="55"/>
      <c r="E302" s="55">
        <v>32.1</v>
      </c>
      <c r="F302" s="611">
        <f t="shared" si="42"/>
        <v>400.32000000000005</v>
      </c>
      <c r="G302" s="18">
        <v>65.7</v>
      </c>
      <c r="H302" s="827">
        <v>11</v>
      </c>
      <c r="I302" s="330"/>
      <c r="J302" s="330">
        <v>1</v>
      </c>
      <c r="K302" s="142">
        <f t="shared" si="41"/>
        <v>12</v>
      </c>
      <c r="L302" s="589">
        <f t="shared" si="44"/>
        <v>2.4052916416115455E-3</v>
      </c>
      <c r="M302" s="315">
        <f t="shared" si="46"/>
        <v>5.457919422730007</v>
      </c>
      <c r="N302" s="592">
        <f t="shared" si="43"/>
        <v>2.0068769717378236</v>
      </c>
      <c r="O302" s="427">
        <v>2.1781901014702836</v>
      </c>
      <c r="P302" s="427">
        <f t="shared" si="45"/>
        <v>0.58907997594708361</v>
      </c>
      <c r="Q302" s="426">
        <f t="shared" si="47"/>
        <v>0.71808849067949498</v>
      </c>
      <c r="R302" s="532">
        <f t="shared" si="40"/>
        <v>2.7787916115054035E-2</v>
      </c>
    </row>
    <row r="303" spans="1:18" s="6" customFormat="1" ht="15.75">
      <c r="A303" s="268">
        <v>212</v>
      </c>
      <c r="B303" s="122" t="s">
        <v>1255</v>
      </c>
      <c r="C303" s="55">
        <v>267.72000000000003</v>
      </c>
      <c r="D303" s="55"/>
      <c r="E303" s="55">
        <v>43.8</v>
      </c>
      <c r="F303" s="611">
        <f t="shared" si="42"/>
        <v>311.52000000000004</v>
      </c>
      <c r="G303" s="18">
        <v>44</v>
      </c>
      <c r="H303" s="827">
        <v>5</v>
      </c>
      <c r="I303" s="330"/>
      <c r="J303" s="330">
        <v>1</v>
      </c>
      <c r="K303" s="142">
        <f t="shared" si="41"/>
        <v>6</v>
      </c>
      <c r="L303" s="589">
        <f t="shared" si="44"/>
        <v>1.2026458208057728E-3</v>
      </c>
      <c r="M303" s="315">
        <f t="shared" si="46"/>
        <v>2.7289597113650035</v>
      </c>
      <c r="N303" s="592">
        <f t="shared" si="43"/>
        <v>1.0034384858689118</v>
      </c>
      <c r="O303" s="427">
        <v>1.0890950507351418</v>
      </c>
      <c r="P303" s="427">
        <f t="shared" si="45"/>
        <v>0.29453998797354181</v>
      </c>
      <c r="Q303" s="426">
        <f t="shared" si="47"/>
        <v>0.35904424533974749</v>
      </c>
      <c r="R303" s="532">
        <f t="shared" si="40"/>
        <v>1.9109641550659636E-2</v>
      </c>
    </row>
    <row r="304" spans="1:18" s="6" customFormat="1" ht="15.75">
      <c r="A304" s="268">
        <v>213</v>
      </c>
      <c r="B304" s="122" t="s">
        <v>1256</v>
      </c>
      <c r="C304" s="55">
        <v>410.1</v>
      </c>
      <c r="D304" s="55">
        <v>41.6</v>
      </c>
      <c r="E304" s="55"/>
      <c r="F304" s="611">
        <f t="shared" si="42"/>
        <v>451.70000000000005</v>
      </c>
      <c r="G304" s="18">
        <v>65</v>
      </c>
      <c r="H304" s="827">
        <v>11</v>
      </c>
      <c r="I304" s="330">
        <v>1</v>
      </c>
      <c r="J304" s="330"/>
      <c r="K304" s="142">
        <f t="shared" si="41"/>
        <v>12</v>
      </c>
      <c r="L304" s="589">
        <f t="shared" si="44"/>
        <v>2.4052916416115455E-3</v>
      </c>
      <c r="M304" s="315">
        <f t="shared" si="46"/>
        <v>5.457919422730007</v>
      </c>
      <c r="N304" s="592">
        <f t="shared" si="43"/>
        <v>2.0068769717378236</v>
      </c>
      <c r="O304" s="427">
        <v>2.1781901014702836</v>
      </c>
      <c r="P304" s="427">
        <f t="shared" si="45"/>
        <v>0.58907997594708361</v>
      </c>
      <c r="Q304" s="426">
        <f t="shared" si="47"/>
        <v>0.71808849067949498</v>
      </c>
      <c r="R304" s="532">
        <f t="shared" si="40"/>
        <v>2.4950174279164097E-2</v>
      </c>
    </row>
    <row r="305" spans="1:18" s="6" customFormat="1" ht="15.75">
      <c r="A305" s="268">
        <v>214</v>
      </c>
      <c r="B305" s="122" t="s">
        <v>1257</v>
      </c>
      <c r="C305" s="55">
        <v>468.6</v>
      </c>
      <c r="D305" s="55">
        <v>32.299999999999997</v>
      </c>
      <c r="E305" s="55">
        <v>28.8</v>
      </c>
      <c r="F305" s="611">
        <f t="shared" si="42"/>
        <v>529.70000000000005</v>
      </c>
      <c r="G305" s="18">
        <v>55.7</v>
      </c>
      <c r="H305" s="827">
        <v>17</v>
      </c>
      <c r="I305" s="330">
        <v>1</v>
      </c>
      <c r="J305" s="330">
        <v>1</v>
      </c>
      <c r="K305" s="142">
        <f t="shared" si="41"/>
        <v>19</v>
      </c>
      <c r="L305" s="589">
        <f t="shared" si="44"/>
        <v>3.8083784325516137E-3</v>
      </c>
      <c r="M305" s="315">
        <f t="shared" si="46"/>
        <v>8.6417057526558434</v>
      </c>
      <c r="N305" s="592">
        <f t="shared" si="43"/>
        <v>3.1775552052515539</v>
      </c>
      <c r="O305" s="427">
        <v>3.4488009939946158</v>
      </c>
      <c r="P305" s="427">
        <f t="shared" si="45"/>
        <v>0.93270996191621569</v>
      </c>
      <c r="Q305" s="426">
        <f t="shared" si="47"/>
        <v>1.1369734435758669</v>
      </c>
      <c r="R305" s="532">
        <f t="shared" si="40"/>
        <v>3.457271001668423E-2</v>
      </c>
    </row>
    <row r="306" spans="1:18" s="6" customFormat="1" ht="15.75">
      <c r="A306" s="268">
        <v>215</v>
      </c>
      <c r="B306" s="122" t="s">
        <v>1258</v>
      </c>
      <c r="C306" s="55">
        <v>267.60000000000002</v>
      </c>
      <c r="D306" s="55"/>
      <c r="E306" s="55">
        <v>38.5</v>
      </c>
      <c r="F306" s="611">
        <f t="shared" si="42"/>
        <v>306.10000000000002</v>
      </c>
      <c r="G306" s="18">
        <v>55.7</v>
      </c>
      <c r="H306" s="827">
        <v>7</v>
      </c>
      <c r="I306" s="330"/>
      <c r="J306" s="330">
        <v>1</v>
      </c>
      <c r="K306" s="142">
        <f t="shared" si="41"/>
        <v>8</v>
      </c>
      <c r="L306" s="589">
        <f t="shared" si="44"/>
        <v>1.6035277610743637E-3</v>
      </c>
      <c r="M306" s="315">
        <f t="shared" si="46"/>
        <v>3.6386129484866712</v>
      </c>
      <c r="N306" s="592">
        <f t="shared" si="43"/>
        <v>1.3379179811585491</v>
      </c>
      <c r="O306" s="427">
        <v>1.4521267343135225</v>
      </c>
      <c r="P306" s="427">
        <f t="shared" si="45"/>
        <v>0.39271998396472241</v>
      </c>
      <c r="Q306" s="426">
        <f t="shared" si="47"/>
        <v>0.47872566045299664</v>
      </c>
      <c r="R306" s="532">
        <f t="shared" si="40"/>
        <v>2.5490947862195308E-2</v>
      </c>
    </row>
    <row r="307" spans="1:18" s="6" customFormat="1" ht="15.75">
      <c r="A307" s="268">
        <v>216</v>
      </c>
      <c r="B307" s="122" t="s">
        <v>1259</v>
      </c>
      <c r="C307" s="55">
        <v>551.6</v>
      </c>
      <c r="D307" s="55"/>
      <c r="E307" s="55"/>
      <c r="F307" s="611">
        <f t="shared" si="42"/>
        <v>551.6</v>
      </c>
      <c r="G307" s="18">
        <v>65.3</v>
      </c>
      <c r="H307" s="827">
        <v>10</v>
      </c>
      <c r="I307" s="330"/>
      <c r="J307" s="330"/>
      <c r="K307" s="142">
        <f t="shared" si="41"/>
        <v>10</v>
      </c>
      <c r="L307" s="589">
        <f t="shared" si="44"/>
        <v>2.0044097013429546E-3</v>
      </c>
      <c r="M307" s="315">
        <f t="shared" si="46"/>
        <v>4.5482661856083384</v>
      </c>
      <c r="N307" s="592">
        <f t="shared" si="43"/>
        <v>1.6723974764481861</v>
      </c>
      <c r="O307" s="427">
        <v>1.8151584178919031</v>
      </c>
      <c r="P307" s="427">
        <f t="shared" si="45"/>
        <v>0.49089997995590301</v>
      </c>
      <c r="Q307" s="426">
        <f t="shared" si="47"/>
        <v>0.59840707556624584</v>
      </c>
      <c r="R307" s="532">
        <f t="shared" si="40"/>
        <v>1.5458161819986098E-2</v>
      </c>
    </row>
    <row r="308" spans="1:18" s="6" customFormat="1" ht="15.75">
      <c r="A308" s="268">
        <v>217</v>
      </c>
      <c r="B308" s="122" t="s">
        <v>1260</v>
      </c>
      <c r="C308" s="55">
        <v>291.2</v>
      </c>
      <c r="D308" s="55"/>
      <c r="E308" s="55">
        <v>38</v>
      </c>
      <c r="F308" s="611">
        <f t="shared" si="42"/>
        <v>329.2</v>
      </c>
      <c r="G308" s="18">
        <v>72</v>
      </c>
      <c r="H308" s="827">
        <v>6</v>
      </c>
      <c r="I308" s="330"/>
      <c r="J308" s="330">
        <v>1</v>
      </c>
      <c r="K308" s="142">
        <f t="shared" si="41"/>
        <v>7</v>
      </c>
      <c r="L308" s="589">
        <f t="shared" si="44"/>
        <v>1.4030867909400682E-3</v>
      </c>
      <c r="M308" s="315">
        <f t="shared" si="46"/>
        <v>3.1837863299258373</v>
      </c>
      <c r="N308" s="592">
        <f t="shared" si="43"/>
        <v>1.1706782335137305</v>
      </c>
      <c r="O308" s="427">
        <v>1.270610892524332</v>
      </c>
      <c r="P308" s="427">
        <f t="shared" si="45"/>
        <v>0.34362998596913208</v>
      </c>
      <c r="Q308" s="426">
        <f t="shared" si="47"/>
        <v>0.41888495289637201</v>
      </c>
      <c r="R308" s="532">
        <f t="shared" si="40"/>
        <v>2.0496928028616183E-2</v>
      </c>
    </row>
    <row r="309" spans="1:18" s="6" customFormat="1" ht="15.75">
      <c r="A309" s="275">
        <v>218</v>
      </c>
      <c r="B309" s="122" t="s">
        <v>1261</v>
      </c>
      <c r="C309" s="55">
        <v>620.70000000000005</v>
      </c>
      <c r="D309" s="55">
        <v>10.7</v>
      </c>
      <c r="E309" s="55"/>
      <c r="F309" s="611">
        <f t="shared" si="42"/>
        <v>631.40000000000009</v>
      </c>
      <c r="G309" s="18">
        <v>68</v>
      </c>
      <c r="H309" s="827">
        <v>12</v>
      </c>
      <c r="I309" s="330">
        <v>1</v>
      </c>
      <c r="J309" s="330"/>
      <c r="K309" s="142">
        <f t="shared" si="41"/>
        <v>13</v>
      </c>
      <c r="L309" s="589">
        <f t="shared" si="44"/>
        <v>2.605732611745841E-3</v>
      </c>
      <c r="M309" s="315">
        <f t="shared" si="46"/>
        <v>5.9127460412908404</v>
      </c>
      <c r="N309" s="592">
        <f t="shared" si="43"/>
        <v>2.1741167193826421</v>
      </c>
      <c r="O309" s="427">
        <v>2.359705943259474</v>
      </c>
      <c r="P309" s="427">
        <f t="shared" si="45"/>
        <v>0.63816997394267394</v>
      </c>
      <c r="Q309" s="426">
        <f t="shared" si="47"/>
        <v>0.77792919823611961</v>
      </c>
      <c r="R309" s="532">
        <f t="shared" si="40"/>
        <v>1.7858448006888402E-2</v>
      </c>
    </row>
    <row r="310" spans="1:18" s="6" customFormat="1" ht="15.75">
      <c r="A310" s="268">
        <v>219</v>
      </c>
      <c r="B310" s="122" t="s">
        <v>1262</v>
      </c>
      <c r="C310" s="55">
        <v>373.3</v>
      </c>
      <c r="D310" s="55"/>
      <c r="E310" s="55"/>
      <c r="F310" s="611">
        <f t="shared" si="42"/>
        <v>373.3</v>
      </c>
      <c r="G310" s="18">
        <v>108.7</v>
      </c>
      <c r="H310" s="827">
        <v>8</v>
      </c>
      <c r="I310" s="330"/>
      <c r="J310" s="330"/>
      <c r="K310" s="142">
        <f t="shared" si="41"/>
        <v>8</v>
      </c>
      <c r="L310" s="589">
        <f t="shared" si="44"/>
        <v>1.6035277610743637E-3</v>
      </c>
      <c r="M310" s="315">
        <f t="shared" si="46"/>
        <v>3.6386129484866712</v>
      </c>
      <c r="N310" s="592">
        <f t="shared" si="43"/>
        <v>1.3379179811585491</v>
      </c>
      <c r="O310" s="427">
        <v>1.4521267343135225</v>
      </c>
      <c r="P310" s="427">
        <f t="shared" si="45"/>
        <v>0.39271998396472241</v>
      </c>
      <c r="Q310" s="426">
        <f t="shared" si="47"/>
        <v>0.47872566045299664</v>
      </c>
      <c r="R310" s="532">
        <f t="shared" si="40"/>
        <v>1.8273178805045445E-2</v>
      </c>
    </row>
    <row r="311" spans="1:18" s="6" customFormat="1" ht="15.75">
      <c r="A311" s="268">
        <v>220</v>
      </c>
      <c r="B311" s="122" t="s">
        <v>1263</v>
      </c>
      <c r="C311" s="55">
        <v>851.4</v>
      </c>
      <c r="D311" s="55"/>
      <c r="E311" s="55">
        <v>67</v>
      </c>
      <c r="F311" s="611">
        <f t="shared" si="42"/>
        <v>918.4</v>
      </c>
      <c r="G311" s="18">
        <v>50.7</v>
      </c>
      <c r="H311" s="827">
        <v>17</v>
      </c>
      <c r="I311" s="330"/>
      <c r="J311" s="330">
        <v>1</v>
      </c>
      <c r="K311" s="142">
        <f t="shared" si="41"/>
        <v>18</v>
      </c>
      <c r="L311" s="589">
        <f t="shared" si="44"/>
        <v>3.6079374624173183E-3</v>
      </c>
      <c r="M311" s="315">
        <f t="shared" si="46"/>
        <v>8.18687913409501</v>
      </c>
      <c r="N311" s="592">
        <f t="shared" si="43"/>
        <v>3.0103154576067355</v>
      </c>
      <c r="O311" s="427">
        <v>3.2672851522054258</v>
      </c>
      <c r="P311" s="427">
        <f t="shared" si="45"/>
        <v>0.88361996392062536</v>
      </c>
      <c r="Q311" s="426">
        <f t="shared" si="47"/>
        <v>1.0771327360192424</v>
      </c>
      <c r="R311" s="532">
        <f t="shared" si="40"/>
        <v>1.8026896532567296E-2</v>
      </c>
    </row>
    <row r="312" spans="1:18" s="6" customFormat="1" ht="15.75">
      <c r="A312" s="268">
        <v>221</v>
      </c>
      <c r="B312" s="122" t="s">
        <v>1264</v>
      </c>
      <c r="C312" s="55">
        <v>756.6</v>
      </c>
      <c r="D312" s="55"/>
      <c r="E312" s="55">
        <v>22.2</v>
      </c>
      <c r="F312" s="611">
        <f t="shared" si="42"/>
        <v>778.80000000000007</v>
      </c>
      <c r="G312" s="18">
        <v>87</v>
      </c>
      <c r="H312" s="827">
        <v>13</v>
      </c>
      <c r="I312" s="330"/>
      <c r="J312" s="330">
        <v>1</v>
      </c>
      <c r="K312" s="142">
        <f t="shared" si="41"/>
        <v>14</v>
      </c>
      <c r="L312" s="589">
        <f t="shared" si="44"/>
        <v>2.8061735818801364E-3</v>
      </c>
      <c r="M312" s="315">
        <f t="shared" si="46"/>
        <v>6.3675726598516746</v>
      </c>
      <c r="N312" s="592">
        <f t="shared" si="43"/>
        <v>2.3413564670274609</v>
      </c>
      <c r="O312" s="427">
        <v>2.541221785048664</v>
      </c>
      <c r="P312" s="427">
        <f t="shared" si="45"/>
        <v>0.68725997193826416</v>
      </c>
      <c r="Q312" s="426">
        <f t="shared" si="47"/>
        <v>0.83776990579274402</v>
      </c>
      <c r="R312" s="532">
        <f t="shared" si="40"/>
        <v>1.5777704049518986E-2</v>
      </c>
    </row>
    <row r="313" spans="1:18" s="6" customFormat="1" ht="15.75">
      <c r="A313" s="268">
        <v>222</v>
      </c>
      <c r="B313" s="122" t="s">
        <v>1265</v>
      </c>
      <c r="C313" s="55">
        <v>806.91</v>
      </c>
      <c r="D313" s="55"/>
      <c r="E313" s="55"/>
      <c r="F313" s="611">
        <f t="shared" si="42"/>
        <v>806.91</v>
      </c>
      <c r="G313" s="18">
        <v>56.7</v>
      </c>
      <c r="H313" s="827">
        <v>14</v>
      </c>
      <c r="I313" s="330"/>
      <c r="J313" s="330"/>
      <c r="K313" s="142">
        <f t="shared" si="41"/>
        <v>14</v>
      </c>
      <c r="L313" s="589">
        <f t="shared" si="44"/>
        <v>2.8061735818801364E-3</v>
      </c>
      <c r="M313" s="315">
        <f t="shared" si="46"/>
        <v>6.3675726598516746</v>
      </c>
      <c r="N313" s="592">
        <f t="shared" si="43"/>
        <v>2.3413564670274609</v>
      </c>
      <c r="O313" s="427">
        <v>2.541221785048664</v>
      </c>
      <c r="P313" s="427">
        <f t="shared" si="45"/>
        <v>0.68725997193826416</v>
      </c>
      <c r="Q313" s="426">
        <f t="shared" si="47"/>
        <v>0.83776990579274402</v>
      </c>
      <c r="R313" s="532">
        <f t="shared" si="40"/>
        <v>1.4793980597422346E-2</v>
      </c>
    </row>
    <row r="314" spans="1:18" s="6" customFormat="1" ht="15.75">
      <c r="A314" s="268">
        <v>223</v>
      </c>
      <c r="B314" s="122" t="s">
        <v>1266</v>
      </c>
      <c r="C314" s="55">
        <v>751.2</v>
      </c>
      <c r="D314" s="55"/>
      <c r="E314" s="55">
        <v>53.8</v>
      </c>
      <c r="F314" s="611">
        <f t="shared" si="42"/>
        <v>805</v>
      </c>
      <c r="G314" s="18">
        <v>81.7</v>
      </c>
      <c r="H314" s="827">
        <v>14</v>
      </c>
      <c r="I314" s="330"/>
      <c r="J314" s="330">
        <v>1</v>
      </c>
      <c r="K314" s="142">
        <f t="shared" si="41"/>
        <v>15</v>
      </c>
      <c r="L314" s="589">
        <f t="shared" si="44"/>
        <v>3.0066145520144319E-3</v>
      </c>
      <c r="M314" s="315">
        <f t="shared" si="46"/>
        <v>6.822399278412508</v>
      </c>
      <c r="N314" s="592">
        <f t="shared" si="43"/>
        <v>2.5085962146722793</v>
      </c>
      <c r="O314" s="427">
        <v>2.7227376268378545</v>
      </c>
      <c r="P314" s="427">
        <f t="shared" si="45"/>
        <v>0.73634996993385449</v>
      </c>
      <c r="Q314" s="426">
        <f t="shared" si="47"/>
        <v>0.89761061334936865</v>
      </c>
      <c r="R314" s="532">
        <f t="shared" si="40"/>
        <v>1.7026202196294589E-2</v>
      </c>
    </row>
    <row r="315" spans="1:18" s="6" customFormat="1" ht="15.75">
      <c r="A315" s="268">
        <v>224</v>
      </c>
      <c r="B315" s="122" t="s">
        <v>1267</v>
      </c>
      <c r="C315" s="55">
        <v>426.8</v>
      </c>
      <c r="D315" s="55"/>
      <c r="E315" s="55">
        <v>65.099999999999994</v>
      </c>
      <c r="F315" s="611">
        <f t="shared" si="42"/>
        <v>491.9</v>
      </c>
      <c r="G315" s="18">
        <v>79</v>
      </c>
      <c r="H315" s="827">
        <v>12</v>
      </c>
      <c r="I315" s="330"/>
      <c r="J315" s="330">
        <v>1</v>
      </c>
      <c r="K315" s="142">
        <f t="shared" si="41"/>
        <v>13</v>
      </c>
      <c r="L315" s="589">
        <f t="shared" si="44"/>
        <v>2.605732611745841E-3</v>
      </c>
      <c r="M315" s="315">
        <f t="shared" si="46"/>
        <v>5.9127460412908404</v>
      </c>
      <c r="N315" s="592">
        <f t="shared" si="43"/>
        <v>2.1741167193826421</v>
      </c>
      <c r="O315" s="427">
        <v>2.359705943259474</v>
      </c>
      <c r="P315" s="427">
        <f t="shared" si="45"/>
        <v>0.63816997394267394</v>
      </c>
      <c r="Q315" s="426">
        <f t="shared" si="47"/>
        <v>0.77792919823611961</v>
      </c>
      <c r="R315" s="532">
        <f t="shared" si="40"/>
        <v>2.5971740107487418E-2</v>
      </c>
    </row>
    <row r="316" spans="1:18" s="6" customFormat="1" ht="15.75">
      <c r="A316" s="275">
        <v>225</v>
      </c>
      <c r="B316" s="122" t="s">
        <v>1268</v>
      </c>
      <c r="C316" s="55">
        <v>640.20000000000005</v>
      </c>
      <c r="D316" s="55"/>
      <c r="E316" s="55"/>
      <c r="F316" s="611">
        <f t="shared" si="42"/>
        <v>640.20000000000005</v>
      </c>
      <c r="G316" s="18">
        <v>100</v>
      </c>
      <c r="H316" s="827">
        <v>16</v>
      </c>
      <c r="I316" s="330"/>
      <c r="J316" s="330"/>
      <c r="K316" s="142">
        <f t="shared" si="41"/>
        <v>16</v>
      </c>
      <c r="L316" s="589">
        <f t="shared" si="44"/>
        <v>3.2070555221487274E-3</v>
      </c>
      <c r="M316" s="315">
        <f t="shared" si="46"/>
        <v>7.2772258969733423</v>
      </c>
      <c r="N316" s="592">
        <f t="shared" si="43"/>
        <v>2.6758359623170982</v>
      </c>
      <c r="O316" s="427">
        <v>2.9042534686270449</v>
      </c>
      <c r="P316" s="427">
        <f t="shared" si="45"/>
        <v>0.78543996792944482</v>
      </c>
      <c r="Q316" s="426">
        <f t="shared" si="47"/>
        <v>0.95745132090599328</v>
      </c>
      <c r="R316" s="532">
        <f t="shared" si="40"/>
        <v>2.1310145729220447E-2</v>
      </c>
    </row>
    <row r="317" spans="1:18" s="6" customFormat="1" ht="15.75">
      <c r="A317" s="268">
        <v>226</v>
      </c>
      <c r="B317" s="122" t="s">
        <v>1269</v>
      </c>
      <c r="C317" s="55">
        <v>537.94000000000005</v>
      </c>
      <c r="D317" s="55"/>
      <c r="E317" s="55"/>
      <c r="F317" s="611">
        <f t="shared" si="42"/>
        <v>537.94000000000005</v>
      </c>
      <c r="G317" s="18">
        <v>78.5</v>
      </c>
      <c r="H317" s="827">
        <v>9</v>
      </c>
      <c r="I317" s="330"/>
      <c r="J317" s="330"/>
      <c r="K317" s="142">
        <f t="shared" si="41"/>
        <v>9</v>
      </c>
      <c r="L317" s="589">
        <f t="shared" si="44"/>
        <v>1.8039687312086591E-3</v>
      </c>
      <c r="M317" s="315">
        <f t="shared" si="46"/>
        <v>4.093439567047505</v>
      </c>
      <c r="N317" s="592">
        <f t="shared" si="43"/>
        <v>1.5051577288033677</v>
      </c>
      <c r="O317" s="427">
        <v>1.6336425761027129</v>
      </c>
      <c r="P317" s="427">
        <f t="shared" si="45"/>
        <v>0.44180998196031268</v>
      </c>
      <c r="Q317" s="426">
        <f t="shared" si="47"/>
        <v>0.53856636800962121</v>
      </c>
      <c r="R317" s="532">
        <f t="shared" si="40"/>
        <v>1.4265624147514401E-2</v>
      </c>
    </row>
    <row r="318" spans="1:18" s="6" customFormat="1" ht="15.75">
      <c r="A318" s="268">
        <v>227</v>
      </c>
      <c r="B318" s="122" t="s">
        <v>1270</v>
      </c>
      <c r="C318" s="55">
        <v>905.4</v>
      </c>
      <c r="D318" s="55"/>
      <c r="E318" s="55">
        <v>24.5</v>
      </c>
      <c r="F318" s="611">
        <f t="shared" si="42"/>
        <v>929.9</v>
      </c>
      <c r="G318" s="18">
        <v>61.3</v>
      </c>
      <c r="H318" s="827">
        <v>24</v>
      </c>
      <c r="I318" s="330"/>
      <c r="J318" s="330">
        <v>1</v>
      </c>
      <c r="K318" s="142">
        <f t="shared" si="41"/>
        <v>25</v>
      </c>
      <c r="L318" s="589">
        <f t="shared" si="44"/>
        <v>5.0110242533573865E-3</v>
      </c>
      <c r="M318" s="315">
        <f t="shared" si="46"/>
        <v>11.370665464020847</v>
      </c>
      <c r="N318" s="592">
        <f t="shared" si="43"/>
        <v>4.1809936911204657</v>
      </c>
      <c r="O318" s="427">
        <v>4.5378960447297576</v>
      </c>
      <c r="P318" s="427">
        <f t="shared" si="45"/>
        <v>1.2272499498897576</v>
      </c>
      <c r="Q318" s="426">
        <f t="shared" si="47"/>
        <v>1.4960176889156145</v>
      </c>
      <c r="R318" s="532">
        <f t="shared" si="40"/>
        <v>2.3544074607643947E-2</v>
      </c>
    </row>
    <row r="319" spans="1:18" s="6" customFormat="1" ht="15.75">
      <c r="A319" s="268">
        <v>228</v>
      </c>
      <c r="B319" s="122" t="s">
        <v>1271</v>
      </c>
      <c r="C319" s="55">
        <v>1352.86</v>
      </c>
      <c r="D319" s="55">
        <v>33</v>
      </c>
      <c r="E319" s="55">
        <v>31.5</v>
      </c>
      <c r="F319" s="611">
        <f t="shared" si="42"/>
        <v>1417.36</v>
      </c>
      <c r="G319" s="18">
        <v>74.3</v>
      </c>
      <c r="H319" s="827">
        <v>27</v>
      </c>
      <c r="I319" s="330">
        <v>1</v>
      </c>
      <c r="J319" s="330">
        <v>1</v>
      </c>
      <c r="K319" s="142">
        <f t="shared" si="41"/>
        <v>29</v>
      </c>
      <c r="L319" s="589">
        <f t="shared" si="44"/>
        <v>5.8127881338945683E-3</v>
      </c>
      <c r="M319" s="315">
        <f t="shared" si="46"/>
        <v>13.189971938264183</v>
      </c>
      <c r="N319" s="592">
        <f t="shared" si="43"/>
        <v>4.8499526816997403</v>
      </c>
      <c r="O319" s="427">
        <v>5.2639594118865185</v>
      </c>
      <c r="P319" s="427">
        <f t="shared" si="45"/>
        <v>1.4236099418721186</v>
      </c>
      <c r="Q319" s="426">
        <f t="shared" si="47"/>
        <v>1.7353805191421128</v>
      </c>
      <c r="R319" s="532">
        <f t="shared" si="40"/>
        <v>1.8277940048284789E-2</v>
      </c>
    </row>
    <row r="320" spans="1:18" s="6" customFormat="1" ht="15.75">
      <c r="A320" s="268">
        <v>229</v>
      </c>
      <c r="B320" s="122" t="s">
        <v>1272</v>
      </c>
      <c r="C320" s="55">
        <v>725.18</v>
      </c>
      <c r="D320" s="55"/>
      <c r="E320" s="55">
        <v>60.8</v>
      </c>
      <c r="F320" s="611">
        <f t="shared" si="42"/>
        <v>785.9799999999999</v>
      </c>
      <c r="G320" s="18">
        <v>65.8</v>
      </c>
      <c r="H320" s="827">
        <v>19</v>
      </c>
      <c r="I320" s="330"/>
      <c r="J320" s="330">
        <v>2</v>
      </c>
      <c r="K320" s="142">
        <f t="shared" si="41"/>
        <v>21</v>
      </c>
      <c r="L320" s="589">
        <f t="shared" si="44"/>
        <v>4.2092603728202047E-3</v>
      </c>
      <c r="M320" s="315">
        <f t="shared" si="46"/>
        <v>9.551358989777512</v>
      </c>
      <c r="N320" s="592">
        <f t="shared" si="43"/>
        <v>3.5120347005411916</v>
      </c>
      <c r="O320" s="427">
        <v>3.8118326775729958</v>
      </c>
      <c r="P320" s="427">
        <f t="shared" si="45"/>
        <v>1.0308899579073962</v>
      </c>
      <c r="Q320" s="426">
        <f t="shared" si="47"/>
        <v>1.2566548586891162</v>
      </c>
      <c r="R320" s="532">
        <f t="shared" si="40"/>
        <v>2.4691961065941005E-2</v>
      </c>
    </row>
    <row r="321" spans="1:18" s="6" customFormat="1" ht="15.75">
      <c r="A321" s="268">
        <v>230</v>
      </c>
      <c r="B321" s="122" t="s">
        <v>1273</v>
      </c>
      <c r="C321" s="55">
        <v>426.28</v>
      </c>
      <c r="D321" s="55">
        <v>59.4</v>
      </c>
      <c r="E321" s="55"/>
      <c r="F321" s="611">
        <f t="shared" si="42"/>
        <v>485.67999999999995</v>
      </c>
      <c r="G321" s="18">
        <v>84.8</v>
      </c>
      <c r="H321" s="827">
        <v>14</v>
      </c>
      <c r="I321" s="330">
        <v>2</v>
      </c>
      <c r="J321" s="330"/>
      <c r="K321" s="142">
        <f t="shared" si="41"/>
        <v>16</v>
      </c>
      <c r="L321" s="589">
        <f t="shared" si="44"/>
        <v>3.2070555221487274E-3</v>
      </c>
      <c r="M321" s="315">
        <f t="shared" si="46"/>
        <v>7.2772258969733423</v>
      </c>
      <c r="N321" s="592">
        <f t="shared" si="43"/>
        <v>2.6758359623170982</v>
      </c>
      <c r="O321" s="427">
        <v>2.9042534686270449</v>
      </c>
      <c r="P321" s="427">
        <f t="shared" si="45"/>
        <v>0.78543996792944482</v>
      </c>
      <c r="Q321" s="426">
        <f t="shared" si="47"/>
        <v>0.95745132090599328</v>
      </c>
      <c r="R321" s="532">
        <f t="shared" si="40"/>
        <v>3.2004211541350594E-2</v>
      </c>
    </row>
    <row r="322" spans="1:18" s="6" customFormat="1" ht="15.75">
      <c r="A322" s="268">
        <v>231</v>
      </c>
      <c r="B322" s="122" t="s">
        <v>1274</v>
      </c>
      <c r="C322" s="55">
        <v>402.07</v>
      </c>
      <c r="D322" s="55">
        <v>59.1</v>
      </c>
      <c r="E322" s="55"/>
      <c r="F322" s="611">
        <f t="shared" si="42"/>
        <v>461.17</v>
      </c>
      <c r="G322" s="18">
        <v>108.9</v>
      </c>
      <c r="H322" s="827">
        <v>13</v>
      </c>
      <c r="I322" s="330">
        <v>2</v>
      </c>
      <c r="J322" s="330"/>
      <c r="K322" s="142">
        <f t="shared" si="41"/>
        <v>15</v>
      </c>
      <c r="L322" s="589">
        <f t="shared" si="44"/>
        <v>3.0066145520144319E-3</v>
      </c>
      <c r="M322" s="315">
        <f t="shared" si="46"/>
        <v>6.822399278412508</v>
      </c>
      <c r="N322" s="592">
        <f t="shared" si="43"/>
        <v>2.5085962146722793</v>
      </c>
      <c r="O322" s="427">
        <v>2.7227376268378545</v>
      </c>
      <c r="P322" s="427">
        <f t="shared" si="45"/>
        <v>0.73634996993385449</v>
      </c>
      <c r="Q322" s="426">
        <f t="shared" si="47"/>
        <v>0.89761061334936865</v>
      </c>
      <c r="R322" s="532">
        <f t="shared" si="40"/>
        <v>3.1810587932092661E-2</v>
      </c>
    </row>
    <row r="323" spans="1:18" s="6" customFormat="1" ht="15.75">
      <c r="A323" s="275">
        <v>232</v>
      </c>
      <c r="B323" s="122" t="s">
        <v>1275</v>
      </c>
      <c r="C323" s="55">
        <v>305.37</v>
      </c>
      <c r="D323" s="55"/>
      <c r="E323" s="55"/>
      <c r="F323" s="611">
        <f t="shared" si="42"/>
        <v>305.37</v>
      </c>
      <c r="G323" s="18">
        <v>82.3</v>
      </c>
      <c r="H323" s="827">
        <v>6</v>
      </c>
      <c r="I323" s="330"/>
      <c r="J323" s="330"/>
      <c r="K323" s="142">
        <f t="shared" si="41"/>
        <v>6</v>
      </c>
      <c r="L323" s="589">
        <f t="shared" si="44"/>
        <v>1.2026458208057728E-3</v>
      </c>
      <c r="M323" s="315">
        <f t="shared" si="46"/>
        <v>2.7289597113650035</v>
      </c>
      <c r="N323" s="592">
        <f t="shared" si="43"/>
        <v>1.0034384858689118</v>
      </c>
      <c r="O323" s="427">
        <v>1.0890950507351418</v>
      </c>
      <c r="P323" s="427">
        <f t="shared" si="45"/>
        <v>0.29453998797354181</v>
      </c>
      <c r="Q323" s="426">
        <f t="shared" si="47"/>
        <v>0.35904424533974749</v>
      </c>
      <c r="R323" s="532">
        <f t="shared" si="40"/>
        <v>1.6753555476774401E-2</v>
      </c>
    </row>
    <row r="324" spans="1:18" s="6" customFormat="1" ht="15.75">
      <c r="A324" s="268">
        <v>233</v>
      </c>
      <c r="B324" s="122" t="s">
        <v>1276</v>
      </c>
      <c r="C324" s="55">
        <v>170.8</v>
      </c>
      <c r="D324" s="55"/>
      <c r="E324" s="55"/>
      <c r="F324" s="611">
        <f t="shared" si="42"/>
        <v>170.8</v>
      </c>
      <c r="G324" s="18">
        <v>74.7</v>
      </c>
      <c r="H324" s="827">
        <v>2</v>
      </c>
      <c r="I324" s="330"/>
      <c r="J324" s="330"/>
      <c r="K324" s="142">
        <f t="shared" si="41"/>
        <v>2</v>
      </c>
      <c r="L324" s="589">
        <f t="shared" si="44"/>
        <v>4.0088194026859092E-4</v>
      </c>
      <c r="M324" s="315">
        <f t="shared" si="46"/>
        <v>0.90965323712166779</v>
      </c>
      <c r="N324" s="592">
        <f t="shared" si="43"/>
        <v>0.33447949528963727</v>
      </c>
      <c r="O324" s="427">
        <v>0.36303168357838062</v>
      </c>
      <c r="P324" s="427">
        <f t="shared" si="45"/>
        <v>9.8179995991180602E-2</v>
      </c>
      <c r="Q324" s="426">
        <f t="shared" si="47"/>
        <v>0.11968141511324916</v>
      </c>
      <c r="R324" s="532">
        <f t="shared" si="40"/>
        <v>9.9844520607779048E-3</v>
      </c>
    </row>
    <row r="325" spans="1:18" s="6" customFormat="1" ht="15.75">
      <c r="A325" s="268">
        <v>234</v>
      </c>
      <c r="B325" s="122" t="s">
        <v>1277</v>
      </c>
      <c r="C325" s="55">
        <v>678.2</v>
      </c>
      <c r="D325" s="55"/>
      <c r="E325" s="55"/>
      <c r="F325" s="611">
        <f t="shared" si="42"/>
        <v>678.2</v>
      </c>
      <c r="G325" s="18">
        <v>58</v>
      </c>
      <c r="H325" s="827">
        <v>15</v>
      </c>
      <c r="I325" s="330"/>
      <c r="J325" s="330"/>
      <c r="K325" s="142">
        <f t="shared" si="41"/>
        <v>15</v>
      </c>
      <c r="L325" s="589">
        <f t="shared" si="44"/>
        <v>3.0066145520144319E-3</v>
      </c>
      <c r="M325" s="315">
        <f t="shared" si="46"/>
        <v>6.822399278412508</v>
      </c>
      <c r="N325" s="592">
        <f t="shared" si="43"/>
        <v>2.5085962146722793</v>
      </c>
      <c r="O325" s="427">
        <v>2.7227376268378545</v>
      </c>
      <c r="P325" s="427">
        <f t="shared" si="45"/>
        <v>0.73634996993385449</v>
      </c>
      <c r="Q325" s="426">
        <f t="shared" si="47"/>
        <v>0.89761061334936865</v>
      </c>
      <c r="R325" s="532">
        <f t="shared" si="40"/>
        <v>1.8858866248682535E-2</v>
      </c>
    </row>
    <row r="326" spans="1:18" s="6" customFormat="1" ht="15.75">
      <c r="A326" s="268">
        <v>235</v>
      </c>
      <c r="B326" s="122" t="s">
        <v>1278</v>
      </c>
      <c r="C326" s="55">
        <v>2613.27</v>
      </c>
      <c r="D326" s="55"/>
      <c r="E326" s="55"/>
      <c r="F326" s="611">
        <f t="shared" si="42"/>
        <v>2613.27</v>
      </c>
      <c r="G326" s="18">
        <v>25</v>
      </c>
      <c r="H326" s="827">
        <v>55</v>
      </c>
      <c r="I326" s="330"/>
      <c r="J326" s="330"/>
      <c r="K326" s="142">
        <f t="shared" si="41"/>
        <v>55</v>
      </c>
      <c r="L326" s="589">
        <f t="shared" si="44"/>
        <v>1.102425335738625E-2</v>
      </c>
      <c r="M326" s="315">
        <f t="shared" si="46"/>
        <v>25.015464020845862</v>
      </c>
      <c r="N326" s="592">
        <f t="shared" si="43"/>
        <v>9.1981861204650244</v>
      </c>
      <c r="O326" s="427">
        <v>9.9833712984054674</v>
      </c>
      <c r="P326" s="427">
        <f t="shared" si="45"/>
        <v>2.6999498897574665</v>
      </c>
      <c r="Q326" s="426">
        <f t="shared" si="47"/>
        <v>3.2912389156143518</v>
      </c>
      <c r="R326" s="532">
        <f t="shared" si="40"/>
        <v>1.7945704550036475E-2</v>
      </c>
    </row>
    <row r="327" spans="1:18" s="6" customFormat="1" ht="15.75">
      <c r="A327" s="268">
        <v>236</v>
      </c>
      <c r="B327" s="122" t="s">
        <v>1279</v>
      </c>
      <c r="C327" s="55">
        <v>2055.4499999999998</v>
      </c>
      <c r="D327" s="55"/>
      <c r="E327" s="55"/>
      <c r="F327" s="611">
        <f t="shared" si="42"/>
        <v>2055.4499999999998</v>
      </c>
      <c r="G327" s="18"/>
      <c r="H327" s="827">
        <v>48</v>
      </c>
      <c r="I327" s="330"/>
      <c r="J327" s="330"/>
      <c r="K327" s="142">
        <f t="shared" si="41"/>
        <v>48</v>
      </c>
      <c r="L327" s="589">
        <f t="shared" si="44"/>
        <v>9.6211665664461821E-3</v>
      </c>
      <c r="M327" s="315">
        <f t="shared" si="46"/>
        <v>21.831677690920028</v>
      </c>
      <c r="N327" s="592">
        <f t="shared" si="43"/>
        <v>8.0275078869512946</v>
      </c>
      <c r="O327" s="427">
        <v>8.7127604058811343</v>
      </c>
      <c r="P327" s="427">
        <f t="shared" si="45"/>
        <v>2.3563199037883344</v>
      </c>
      <c r="Q327" s="426">
        <f t="shared" si="47"/>
        <v>2.8723539627179799</v>
      </c>
      <c r="R327" s="532">
        <f t="shared" si="40"/>
        <v>1.9912070781357268E-2</v>
      </c>
    </row>
    <row r="328" spans="1:18" s="6" customFormat="1" ht="15.75">
      <c r="A328" s="268">
        <v>237</v>
      </c>
      <c r="B328" s="122" t="s">
        <v>1280</v>
      </c>
      <c r="C328" s="55">
        <v>3486.96</v>
      </c>
      <c r="D328" s="55"/>
      <c r="E328" s="55"/>
      <c r="F328" s="611">
        <f t="shared" si="42"/>
        <v>3486.96</v>
      </c>
      <c r="G328" s="18">
        <v>70</v>
      </c>
      <c r="H328" s="827">
        <v>74</v>
      </c>
      <c r="I328" s="330"/>
      <c r="J328" s="330"/>
      <c r="K328" s="142">
        <f t="shared" si="41"/>
        <v>74</v>
      </c>
      <c r="L328" s="589">
        <f t="shared" si="44"/>
        <v>1.4832631789937864E-2</v>
      </c>
      <c r="M328" s="315">
        <f t="shared" si="46"/>
        <v>33.657169773501707</v>
      </c>
      <c r="N328" s="592">
        <f t="shared" si="43"/>
        <v>12.375741325716579</v>
      </c>
      <c r="O328" s="427">
        <v>13.432172292400082</v>
      </c>
      <c r="P328" s="427">
        <f t="shared" si="45"/>
        <v>3.6326598516736821</v>
      </c>
      <c r="Q328" s="426">
        <f t="shared" si="47"/>
        <v>4.4282123591902192</v>
      </c>
      <c r="R328" s="532">
        <f t="shared" si="40"/>
        <v>1.8095344725288516E-2</v>
      </c>
    </row>
    <row r="329" spans="1:18" s="6" customFormat="1" ht="15.75">
      <c r="A329" s="268">
        <v>238</v>
      </c>
      <c r="B329" s="122" t="s">
        <v>1281</v>
      </c>
      <c r="C329" s="55">
        <v>394.94</v>
      </c>
      <c r="D329" s="55"/>
      <c r="E329" s="55"/>
      <c r="F329" s="611">
        <f t="shared" si="42"/>
        <v>394.94</v>
      </c>
      <c r="G329" s="18">
        <v>207.3</v>
      </c>
      <c r="H329" s="827">
        <v>13</v>
      </c>
      <c r="I329" s="330"/>
      <c r="J329" s="330"/>
      <c r="K329" s="142">
        <f t="shared" si="41"/>
        <v>13</v>
      </c>
      <c r="L329" s="589">
        <f t="shared" si="44"/>
        <v>2.605732611745841E-3</v>
      </c>
      <c r="M329" s="315">
        <f t="shared" si="46"/>
        <v>5.9127460412908404</v>
      </c>
      <c r="N329" s="592">
        <f t="shared" si="43"/>
        <v>2.1741167193826421</v>
      </c>
      <c r="O329" s="427">
        <v>2.359705943259474</v>
      </c>
      <c r="P329" s="427">
        <f t="shared" si="45"/>
        <v>0.63816997394267394</v>
      </c>
      <c r="Q329" s="426">
        <f t="shared" si="47"/>
        <v>0.77792919823611961</v>
      </c>
      <c r="R329" s="532">
        <f t="shared" si="40"/>
        <v>2.8066892889744344E-2</v>
      </c>
    </row>
    <row r="330" spans="1:18" s="6" customFormat="1" ht="15.75">
      <c r="A330" s="275">
        <v>239</v>
      </c>
      <c r="B330" s="122" t="s">
        <v>1282</v>
      </c>
      <c r="C330" s="55">
        <v>333.47</v>
      </c>
      <c r="D330" s="55"/>
      <c r="E330" s="55">
        <v>18.2</v>
      </c>
      <c r="F330" s="611">
        <f t="shared" si="42"/>
        <v>351.67</v>
      </c>
      <c r="G330" s="18">
        <v>85</v>
      </c>
      <c r="H330" s="827">
        <v>10</v>
      </c>
      <c r="I330" s="330"/>
      <c r="J330" s="330">
        <v>1</v>
      </c>
      <c r="K330" s="142">
        <f t="shared" si="41"/>
        <v>11</v>
      </c>
      <c r="L330" s="589">
        <f t="shared" si="44"/>
        <v>2.2048506714772501E-3</v>
      </c>
      <c r="M330" s="315">
        <f t="shared" si="46"/>
        <v>5.0030928041691727</v>
      </c>
      <c r="N330" s="592">
        <f t="shared" si="43"/>
        <v>1.839637224093005</v>
      </c>
      <c r="O330" s="427">
        <v>1.9966742596810931</v>
      </c>
      <c r="P330" s="427">
        <f t="shared" si="45"/>
        <v>0.53998997795149328</v>
      </c>
      <c r="Q330" s="426">
        <f t="shared" si="47"/>
        <v>0.65824778312287036</v>
      </c>
      <c r="R330" s="532">
        <f t="shared" ref="R330:R393" si="48">(M330+N330+O330+P330)/C330</f>
        <v>2.812665087082725E-2</v>
      </c>
    </row>
    <row r="331" spans="1:18" s="6" customFormat="1" ht="15.75">
      <c r="A331" s="268">
        <v>240</v>
      </c>
      <c r="B331" s="122" t="s">
        <v>1283</v>
      </c>
      <c r="C331" s="55">
        <v>615.6</v>
      </c>
      <c r="D331" s="55"/>
      <c r="E331" s="55"/>
      <c r="F331" s="611">
        <f t="shared" si="42"/>
        <v>615.6</v>
      </c>
      <c r="G331" s="18">
        <v>348.2</v>
      </c>
      <c r="H331" s="827">
        <v>12</v>
      </c>
      <c r="I331" s="330"/>
      <c r="J331" s="330"/>
      <c r="K331" s="142">
        <f t="shared" si="41"/>
        <v>12</v>
      </c>
      <c r="L331" s="589">
        <f t="shared" si="44"/>
        <v>2.4052916416115455E-3</v>
      </c>
      <c r="M331" s="315">
        <f t="shared" si="46"/>
        <v>5.457919422730007</v>
      </c>
      <c r="N331" s="592">
        <f t="shared" si="43"/>
        <v>2.0068769717378236</v>
      </c>
      <c r="O331" s="427">
        <v>2.1781901014702836</v>
      </c>
      <c r="P331" s="427">
        <f t="shared" si="45"/>
        <v>0.58907997594708361</v>
      </c>
      <c r="Q331" s="426">
        <f t="shared" si="47"/>
        <v>0.71808849067949498</v>
      </c>
      <c r="R331" s="532">
        <f t="shared" si="48"/>
        <v>1.6621290565115656E-2</v>
      </c>
    </row>
    <row r="332" spans="1:18" s="6" customFormat="1" ht="15.75">
      <c r="A332" s="268">
        <v>241</v>
      </c>
      <c r="B332" s="122" t="s">
        <v>1284</v>
      </c>
      <c r="C332" s="55">
        <v>571.49</v>
      </c>
      <c r="D332" s="55"/>
      <c r="E332" s="55"/>
      <c r="F332" s="611">
        <f t="shared" si="42"/>
        <v>571.49</v>
      </c>
      <c r="G332" s="18">
        <v>44.7</v>
      </c>
      <c r="H332" s="827">
        <v>15</v>
      </c>
      <c r="I332" s="330"/>
      <c r="J332" s="330"/>
      <c r="K332" s="142">
        <f t="shared" ref="K332:K399" si="49">H332+I332+J332</f>
        <v>15</v>
      </c>
      <c r="L332" s="589">
        <f t="shared" si="44"/>
        <v>3.0066145520144319E-3</v>
      </c>
      <c r="M332" s="315">
        <f t="shared" si="46"/>
        <v>6.822399278412508</v>
      </c>
      <c r="N332" s="592">
        <f t="shared" si="43"/>
        <v>2.5085962146722793</v>
      </c>
      <c r="O332" s="427">
        <v>2.7227376268378545</v>
      </c>
      <c r="P332" s="427">
        <f t="shared" si="45"/>
        <v>0.73634996993385449</v>
      </c>
      <c r="Q332" s="426">
        <f t="shared" si="47"/>
        <v>0.89761061334936865</v>
      </c>
      <c r="R332" s="532">
        <f t="shared" si="48"/>
        <v>2.2380239531499233E-2</v>
      </c>
    </row>
    <row r="333" spans="1:18" s="6" customFormat="1" ht="15.75">
      <c r="A333" s="268">
        <v>242</v>
      </c>
      <c r="B333" s="122" t="s">
        <v>1285</v>
      </c>
      <c r="C333" s="55">
        <v>316.76</v>
      </c>
      <c r="D333" s="55">
        <v>22.5</v>
      </c>
      <c r="E333" s="55"/>
      <c r="F333" s="611">
        <f t="shared" ref="F333:F400" si="50">C333+D333+E333</f>
        <v>339.26</v>
      </c>
      <c r="G333" s="18">
        <v>39.700000000000003</v>
      </c>
      <c r="H333" s="827">
        <v>11</v>
      </c>
      <c r="I333" s="330">
        <v>1</v>
      </c>
      <c r="J333" s="330"/>
      <c r="K333" s="142">
        <f t="shared" si="49"/>
        <v>12</v>
      </c>
      <c r="L333" s="589">
        <f t="shared" si="44"/>
        <v>2.4052916416115455E-3</v>
      </c>
      <c r="M333" s="315">
        <f t="shared" si="46"/>
        <v>5.457919422730007</v>
      </c>
      <c r="N333" s="592">
        <f t="shared" si="43"/>
        <v>2.0068769717378236</v>
      </c>
      <c r="O333" s="427">
        <v>2.1781901014702836</v>
      </c>
      <c r="P333" s="427">
        <f t="shared" si="45"/>
        <v>0.58907997594708361</v>
      </c>
      <c r="Q333" s="426">
        <f t="shared" si="47"/>
        <v>0.71808849067949498</v>
      </c>
      <c r="R333" s="532">
        <f t="shared" si="48"/>
        <v>3.230226819006566E-2</v>
      </c>
    </row>
    <row r="334" spans="1:18" s="6" customFormat="1" ht="15.75">
      <c r="A334" s="268">
        <v>243</v>
      </c>
      <c r="B334" s="122" t="s">
        <v>1286</v>
      </c>
      <c r="C334" s="55">
        <v>364.76</v>
      </c>
      <c r="D334" s="55"/>
      <c r="E334" s="55"/>
      <c r="F334" s="611">
        <f t="shared" si="50"/>
        <v>364.76</v>
      </c>
      <c r="G334" s="18">
        <v>69.3</v>
      </c>
      <c r="H334" s="827">
        <v>11</v>
      </c>
      <c r="I334" s="330"/>
      <c r="J334" s="330"/>
      <c r="K334" s="142">
        <f t="shared" si="49"/>
        <v>11</v>
      </c>
      <c r="L334" s="589">
        <f t="shared" si="44"/>
        <v>2.2048506714772501E-3</v>
      </c>
      <c r="M334" s="315">
        <f t="shared" si="46"/>
        <v>5.0030928041691727</v>
      </c>
      <c r="N334" s="592">
        <f t="shared" si="43"/>
        <v>1.839637224093005</v>
      </c>
      <c r="O334" s="427">
        <v>1.9966742596810931</v>
      </c>
      <c r="P334" s="427">
        <f t="shared" si="45"/>
        <v>0.53998997795149328</v>
      </c>
      <c r="Q334" s="426">
        <f t="shared" si="47"/>
        <v>0.65824778312287036</v>
      </c>
      <c r="R334" s="532">
        <f t="shared" si="48"/>
        <v>2.5713878347118007E-2</v>
      </c>
    </row>
    <row r="335" spans="1:18" s="6" customFormat="1" ht="15.75">
      <c r="A335" s="268">
        <v>244</v>
      </c>
      <c r="B335" s="122" t="s">
        <v>1287</v>
      </c>
      <c r="C335" s="55">
        <v>303</v>
      </c>
      <c r="D335" s="55"/>
      <c r="E335" s="55">
        <v>26.3</v>
      </c>
      <c r="F335" s="611">
        <f t="shared" si="50"/>
        <v>329.3</v>
      </c>
      <c r="G335" s="18">
        <v>119.3</v>
      </c>
      <c r="H335" s="827">
        <v>12</v>
      </c>
      <c r="I335" s="330"/>
      <c r="J335" s="330">
        <v>1</v>
      </c>
      <c r="K335" s="142">
        <f t="shared" si="49"/>
        <v>13</v>
      </c>
      <c r="L335" s="589">
        <f t="shared" si="44"/>
        <v>2.605732611745841E-3</v>
      </c>
      <c r="M335" s="315">
        <f t="shared" si="46"/>
        <v>5.9127460412908404</v>
      </c>
      <c r="N335" s="592">
        <f t="shared" si="43"/>
        <v>2.1741167193826421</v>
      </c>
      <c r="O335" s="427">
        <v>2.359705943259474</v>
      </c>
      <c r="P335" s="427">
        <f t="shared" si="45"/>
        <v>0.63816997394267394</v>
      </c>
      <c r="Q335" s="426">
        <f t="shared" si="47"/>
        <v>0.77792919823611961</v>
      </c>
      <c r="R335" s="532">
        <f t="shared" si="48"/>
        <v>3.6583295966586243E-2</v>
      </c>
    </row>
    <row r="336" spans="1:18" s="6" customFormat="1" ht="15.75">
      <c r="A336" s="268">
        <v>245</v>
      </c>
      <c r="B336" s="122" t="s">
        <v>1288</v>
      </c>
      <c r="C336" s="55">
        <v>406.15</v>
      </c>
      <c r="D336" s="55"/>
      <c r="E336" s="55">
        <v>39.5</v>
      </c>
      <c r="F336" s="611">
        <f t="shared" si="50"/>
        <v>445.65</v>
      </c>
      <c r="G336" s="18">
        <v>53.3</v>
      </c>
      <c r="H336" s="827">
        <v>15</v>
      </c>
      <c r="I336" s="330"/>
      <c r="J336" s="330">
        <v>1</v>
      </c>
      <c r="K336" s="142">
        <f t="shared" si="49"/>
        <v>16</v>
      </c>
      <c r="L336" s="589">
        <f t="shared" si="44"/>
        <v>3.2070555221487274E-3</v>
      </c>
      <c r="M336" s="315">
        <f t="shared" si="46"/>
        <v>7.2772258969733423</v>
      </c>
      <c r="N336" s="592">
        <f t="shared" si="43"/>
        <v>2.6758359623170982</v>
      </c>
      <c r="O336" s="427">
        <v>2.9042534686270449</v>
      </c>
      <c r="P336" s="427">
        <f t="shared" si="45"/>
        <v>0.78543996792944482</v>
      </c>
      <c r="Q336" s="426">
        <f t="shared" si="47"/>
        <v>0.95745132090599328</v>
      </c>
      <c r="R336" s="532">
        <f t="shared" si="48"/>
        <v>3.3590435296927075E-2</v>
      </c>
    </row>
    <row r="337" spans="1:18" s="6" customFormat="1" ht="15.75">
      <c r="A337" s="275">
        <v>246</v>
      </c>
      <c r="B337" s="122" t="s">
        <v>1289</v>
      </c>
      <c r="C337" s="55">
        <v>515.54999999999995</v>
      </c>
      <c r="D337" s="55"/>
      <c r="E337" s="55"/>
      <c r="F337" s="611">
        <f t="shared" si="50"/>
        <v>515.54999999999995</v>
      </c>
      <c r="G337" s="18">
        <v>83.3</v>
      </c>
      <c r="H337" s="827">
        <v>18</v>
      </c>
      <c r="I337" s="330"/>
      <c r="J337" s="330"/>
      <c r="K337" s="142">
        <f t="shared" si="49"/>
        <v>18</v>
      </c>
      <c r="L337" s="589">
        <f t="shared" si="44"/>
        <v>3.6079374624173183E-3</v>
      </c>
      <c r="M337" s="315">
        <f t="shared" si="46"/>
        <v>8.18687913409501</v>
      </c>
      <c r="N337" s="592">
        <f t="shared" si="43"/>
        <v>3.0103154576067355</v>
      </c>
      <c r="O337" s="427">
        <v>3.2672851522054258</v>
      </c>
      <c r="P337" s="427">
        <f t="shared" si="45"/>
        <v>0.88361996392062536</v>
      </c>
      <c r="Q337" s="426">
        <f t="shared" si="47"/>
        <v>1.0771327360192424</v>
      </c>
      <c r="R337" s="532">
        <f t="shared" si="48"/>
        <v>2.9770341786107647E-2</v>
      </c>
    </row>
    <row r="338" spans="1:18" s="6" customFormat="1" ht="15.75">
      <c r="A338" s="268">
        <v>247</v>
      </c>
      <c r="B338" s="122" t="s">
        <v>1290</v>
      </c>
      <c r="C338" s="55">
        <v>938.04</v>
      </c>
      <c r="D338" s="55">
        <v>31.8</v>
      </c>
      <c r="E338" s="55"/>
      <c r="F338" s="611">
        <f t="shared" si="50"/>
        <v>969.83999999999992</v>
      </c>
      <c r="G338" s="18">
        <v>54</v>
      </c>
      <c r="H338" s="827">
        <v>28</v>
      </c>
      <c r="I338" s="330">
        <v>1</v>
      </c>
      <c r="J338" s="330"/>
      <c r="K338" s="142">
        <f t="shared" si="49"/>
        <v>29</v>
      </c>
      <c r="L338" s="589">
        <f t="shared" si="44"/>
        <v>5.8127881338945683E-3</v>
      </c>
      <c r="M338" s="315">
        <f t="shared" si="46"/>
        <v>13.189971938264183</v>
      </c>
      <c r="N338" s="592">
        <f t="shared" si="43"/>
        <v>4.8499526816997403</v>
      </c>
      <c r="O338" s="427">
        <v>5.2639594118865185</v>
      </c>
      <c r="P338" s="427">
        <f t="shared" si="45"/>
        <v>1.4236099418721186</v>
      </c>
      <c r="Q338" s="426">
        <f t="shared" si="47"/>
        <v>1.7353805191421128</v>
      </c>
      <c r="R338" s="532">
        <f t="shared" si="48"/>
        <v>2.6360809745557288E-2</v>
      </c>
    </row>
    <row r="339" spans="1:18" s="6" customFormat="1" ht="15.75">
      <c r="A339" s="268">
        <v>248</v>
      </c>
      <c r="B339" s="122" t="s">
        <v>1291</v>
      </c>
      <c r="C339" s="55">
        <v>476.24</v>
      </c>
      <c r="D339" s="55"/>
      <c r="E339" s="55">
        <v>29</v>
      </c>
      <c r="F339" s="611">
        <f t="shared" si="50"/>
        <v>505.24</v>
      </c>
      <c r="G339" s="18">
        <v>60.7</v>
      </c>
      <c r="H339" s="827">
        <v>16</v>
      </c>
      <c r="I339" s="330"/>
      <c r="J339" s="330">
        <v>1</v>
      </c>
      <c r="K339" s="142">
        <f t="shared" si="49"/>
        <v>17</v>
      </c>
      <c r="L339" s="589">
        <f t="shared" si="44"/>
        <v>3.4074964922830228E-3</v>
      </c>
      <c r="M339" s="315">
        <f t="shared" si="46"/>
        <v>7.7320525155341757</v>
      </c>
      <c r="N339" s="592">
        <f t="shared" si="43"/>
        <v>2.8430757099619166</v>
      </c>
      <c r="O339" s="427">
        <v>3.0857693104162354</v>
      </c>
      <c r="P339" s="427">
        <f t="shared" si="45"/>
        <v>0.83452996592503514</v>
      </c>
      <c r="Q339" s="426">
        <f t="shared" si="47"/>
        <v>1.0172920284626179</v>
      </c>
      <c r="R339" s="532">
        <f t="shared" si="48"/>
        <v>3.0437232281701167E-2</v>
      </c>
    </row>
    <row r="340" spans="1:18" s="6" customFormat="1" ht="15.75">
      <c r="A340" s="268">
        <v>249</v>
      </c>
      <c r="B340" s="122" t="s">
        <v>1292</v>
      </c>
      <c r="C340" s="55">
        <v>473.28</v>
      </c>
      <c r="D340" s="55"/>
      <c r="E340" s="55">
        <v>24.4</v>
      </c>
      <c r="F340" s="611">
        <f t="shared" si="50"/>
        <v>497.67999999999995</v>
      </c>
      <c r="G340" s="18">
        <v>64</v>
      </c>
      <c r="H340" s="827">
        <v>12</v>
      </c>
      <c r="I340" s="330"/>
      <c r="J340" s="330">
        <v>1</v>
      </c>
      <c r="K340" s="142">
        <f t="shared" si="49"/>
        <v>13</v>
      </c>
      <c r="L340" s="589">
        <f t="shared" si="44"/>
        <v>2.605732611745841E-3</v>
      </c>
      <c r="M340" s="315">
        <f t="shared" si="46"/>
        <v>5.9127460412908404</v>
      </c>
      <c r="N340" s="592">
        <f t="shared" si="43"/>
        <v>2.1741167193826421</v>
      </c>
      <c r="O340" s="427">
        <v>2.359705943259474</v>
      </c>
      <c r="P340" s="427">
        <f t="shared" si="45"/>
        <v>0.63816997394267394</v>
      </c>
      <c r="Q340" s="426">
        <f t="shared" si="47"/>
        <v>0.77792919823611961</v>
      </c>
      <c r="R340" s="532">
        <f t="shared" si="48"/>
        <v>2.3421100992806861E-2</v>
      </c>
    </row>
    <row r="341" spans="1:18" s="6" customFormat="1" ht="15.75">
      <c r="A341" s="268">
        <v>250</v>
      </c>
      <c r="B341" s="122" t="s">
        <v>1293</v>
      </c>
      <c r="C341" s="55">
        <v>232.2</v>
      </c>
      <c r="D341" s="55"/>
      <c r="E341" s="55">
        <v>12.6</v>
      </c>
      <c r="F341" s="611">
        <f t="shared" si="50"/>
        <v>244.79999999999998</v>
      </c>
      <c r="G341" s="18">
        <v>110</v>
      </c>
      <c r="H341" s="827">
        <v>9</v>
      </c>
      <c r="I341" s="330"/>
      <c r="J341" s="330">
        <v>1</v>
      </c>
      <c r="K341" s="142">
        <f t="shared" si="49"/>
        <v>10</v>
      </c>
      <c r="L341" s="589">
        <f t="shared" si="44"/>
        <v>2.0044097013429546E-3</v>
      </c>
      <c r="M341" s="315">
        <f t="shared" si="46"/>
        <v>4.5482661856083384</v>
      </c>
      <c r="N341" s="592">
        <f t="shared" si="43"/>
        <v>1.6723974764481861</v>
      </c>
      <c r="O341" s="427">
        <v>1.8151584178919031</v>
      </c>
      <c r="P341" s="427">
        <f t="shared" si="45"/>
        <v>0.49089997995590301</v>
      </c>
      <c r="Q341" s="426">
        <f t="shared" si="47"/>
        <v>0.59840707556624584</v>
      </c>
      <c r="R341" s="532">
        <f t="shared" si="48"/>
        <v>3.6721455899674127E-2</v>
      </c>
    </row>
    <row r="342" spans="1:18" s="6" customFormat="1" ht="15.75">
      <c r="A342" s="268">
        <v>251</v>
      </c>
      <c r="B342" s="122" t="s">
        <v>1294</v>
      </c>
      <c r="C342" s="55">
        <v>553.98</v>
      </c>
      <c r="D342" s="55">
        <v>42.3</v>
      </c>
      <c r="E342" s="55">
        <v>11.2</v>
      </c>
      <c r="F342" s="611">
        <f t="shared" si="50"/>
        <v>607.48</v>
      </c>
      <c r="G342" s="18">
        <v>58</v>
      </c>
      <c r="H342" s="827">
        <v>17</v>
      </c>
      <c r="I342" s="330">
        <v>1</v>
      </c>
      <c r="J342" s="330">
        <v>1</v>
      </c>
      <c r="K342" s="142">
        <f t="shared" si="49"/>
        <v>19</v>
      </c>
      <c r="L342" s="589">
        <f t="shared" si="44"/>
        <v>3.8083784325516137E-3</v>
      </c>
      <c r="M342" s="315">
        <f t="shared" si="46"/>
        <v>8.6417057526558434</v>
      </c>
      <c r="N342" s="592">
        <f t="shared" si="43"/>
        <v>3.1775552052515539</v>
      </c>
      <c r="O342" s="427">
        <v>3.4488009939946158</v>
      </c>
      <c r="P342" s="427">
        <f t="shared" si="45"/>
        <v>0.93270996191621569</v>
      </c>
      <c r="Q342" s="426">
        <f t="shared" si="47"/>
        <v>1.1369734435758669</v>
      </c>
      <c r="R342" s="532">
        <f t="shared" si="48"/>
        <v>2.924432635441393E-2</v>
      </c>
    </row>
    <row r="343" spans="1:18" s="6" customFormat="1" ht="15.75">
      <c r="A343" s="268">
        <v>252</v>
      </c>
      <c r="B343" s="122" t="s">
        <v>1295</v>
      </c>
      <c r="C343" s="55">
        <v>419.75</v>
      </c>
      <c r="D343" s="55">
        <v>47.9</v>
      </c>
      <c r="E343" s="55">
        <v>12.7</v>
      </c>
      <c r="F343" s="611">
        <f t="shared" si="50"/>
        <v>480.34999999999997</v>
      </c>
      <c r="G343" s="18">
        <v>48.7</v>
      </c>
      <c r="H343" s="827">
        <v>15</v>
      </c>
      <c r="I343" s="330">
        <v>1</v>
      </c>
      <c r="J343" s="330">
        <v>1</v>
      </c>
      <c r="K343" s="142">
        <f t="shared" si="49"/>
        <v>17</v>
      </c>
      <c r="L343" s="589">
        <f t="shared" si="44"/>
        <v>3.4074964922830228E-3</v>
      </c>
      <c r="M343" s="315">
        <f t="shared" si="46"/>
        <v>7.7320525155341757</v>
      </c>
      <c r="N343" s="592">
        <f t="shared" si="43"/>
        <v>2.8430757099619166</v>
      </c>
      <c r="O343" s="427">
        <v>3.0857693104162354</v>
      </c>
      <c r="P343" s="427">
        <f t="shared" si="45"/>
        <v>0.83452996592503514</v>
      </c>
      <c r="Q343" s="426">
        <f t="shared" si="47"/>
        <v>1.0172920284626179</v>
      </c>
      <c r="R343" s="532">
        <f t="shared" si="48"/>
        <v>3.4533478265246845E-2</v>
      </c>
    </row>
    <row r="344" spans="1:18" s="6" customFormat="1" ht="15.75">
      <c r="A344" s="275">
        <v>253</v>
      </c>
      <c r="B344" s="122" t="s">
        <v>1296</v>
      </c>
      <c r="C344" s="55">
        <v>970.33</v>
      </c>
      <c r="D344" s="55">
        <v>195</v>
      </c>
      <c r="E344" s="55"/>
      <c r="F344" s="611">
        <f t="shared" si="50"/>
        <v>1165.33</v>
      </c>
      <c r="G344" s="18">
        <v>42.7</v>
      </c>
      <c r="H344" s="827">
        <v>14</v>
      </c>
      <c r="I344" s="330">
        <v>2</v>
      </c>
      <c r="J344" s="330"/>
      <c r="K344" s="142">
        <f t="shared" si="49"/>
        <v>16</v>
      </c>
      <c r="L344" s="589">
        <f t="shared" si="44"/>
        <v>3.2070555221487274E-3</v>
      </c>
      <c r="M344" s="315">
        <f t="shared" si="46"/>
        <v>7.2772258969733423</v>
      </c>
      <c r="N344" s="592">
        <f t="shared" si="43"/>
        <v>2.6758359623170982</v>
      </c>
      <c r="O344" s="427">
        <v>2.9042534686270449</v>
      </c>
      <c r="P344" s="427">
        <f t="shared" si="45"/>
        <v>0.78543996792944482</v>
      </c>
      <c r="Q344" s="426">
        <f t="shared" si="47"/>
        <v>0.95745132090599328</v>
      </c>
      <c r="R344" s="532">
        <f t="shared" si="48"/>
        <v>1.4059912911944318E-2</v>
      </c>
    </row>
    <row r="345" spans="1:18" s="6" customFormat="1" ht="15.75">
      <c r="A345" s="268">
        <v>254</v>
      </c>
      <c r="B345" s="122" t="s">
        <v>1297</v>
      </c>
      <c r="C345" s="55">
        <v>1351.02</v>
      </c>
      <c r="D345" s="55"/>
      <c r="E345" s="55">
        <v>65</v>
      </c>
      <c r="F345" s="611">
        <f t="shared" si="50"/>
        <v>1416.02</v>
      </c>
      <c r="G345" s="18">
        <v>60</v>
      </c>
      <c r="H345" s="827">
        <v>19</v>
      </c>
      <c r="I345" s="330"/>
      <c r="J345" s="330">
        <v>1</v>
      </c>
      <c r="K345" s="142">
        <f t="shared" si="49"/>
        <v>20</v>
      </c>
      <c r="L345" s="589">
        <f t="shared" si="44"/>
        <v>4.0088194026859092E-3</v>
      </c>
      <c r="M345" s="315">
        <f t="shared" si="46"/>
        <v>9.0965323712166768</v>
      </c>
      <c r="N345" s="592">
        <f t="shared" ref="N345:N383" si="51">M345*0.3677</f>
        <v>3.3447949528963723</v>
      </c>
      <c r="O345" s="427">
        <v>3.6303168357838063</v>
      </c>
      <c r="P345" s="427">
        <f t="shared" si="45"/>
        <v>0.98179995991180602</v>
      </c>
      <c r="Q345" s="426">
        <f t="shared" si="47"/>
        <v>1.1968141511324917</v>
      </c>
      <c r="R345" s="532">
        <f t="shared" si="48"/>
        <v>1.2622643720898776E-2</v>
      </c>
    </row>
    <row r="346" spans="1:18" s="6" customFormat="1" ht="15.75">
      <c r="A346" s="268">
        <v>255</v>
      </c>
      <c r="B346" s="122" t="s">
        <v>1298</v>
      </c>
      <c r="C346" s="55">
        <v>1448.01</v>
      </c>
      <c r="D346" s="55">
        <v>53.8</v>
      </c>
      <c r="E346" s="55"/>
      <c r="F346" s="611">
        <f t="shared" si="50"/>
        <v>1501.81</v>
      </c>
      <c r="G346" s="18">
        <v>65.5</v>
      </c>
      <c r="H346" s="827">
        <v>21</v>
      </c>
      <c r="I346" s="330">
        <v>1</v>
      </c>
      <c r="J346" s="330"/>
      <c r="K346" s="142">
        <f t="shared" si="49"/>
        <v>22</v>
      </c>
      <c r="L346" s="589">
        <f t="shared" si="44"/>
        <v>4.4097013429545001E-3</v>
      </c>
      <c r="M346" s="315">
        <f t="shared" si="46"/>
        <v>10.006185608338345</v>
      </c>
      <c r="N346" s="592">
        <f t="shared" si="51"/>
        <v>3.67927444818601</v>
      </c>
      <c r="O346" s="427">
        <v>3.9933485193621863</v>
      </c>
      <c r="P346" s="427">
        <f t="shared" si="45"/>
        <v>1.0799799559029866</v>
      </c>
      <c r="Q346" s="426">
        <f t="shared" si="47"/>
        <v>1.3164955662457407</v>
      </c>
      <c r="R346" s="532">
        <f t="shared" si="48"/>
        <v>1.2954874988287048E-2</v>
      </c>
    </row>
    <row r="347" spans="1:18" s="6" customFormat="1" ht="15.75">
      <c r="A347" s="268">
        <v>256</v>
      </c>
      <c r="B347" s="122" t="s">
        <v>1299</v>
      </c>
      <c r="C347" s="55">
        <v>938.2</v>
      </c>
      <c r="D347" s="55"/>
      <c r="E347" s="55">
        <v>31.8</v>
      </c>
      <c r="F347" s="611">
        <f t="shared" si="50"/>
        <v>970</v>
      </c>
      <c r="G347" s="18">
        <v>90.8</v>
      </c>
      <c r="H347" s="827">
        <v>16</v>
      </c>
      <c r="I347" s="330"/>
      <c r="J347" s="330">
        <v>1</v>
      </c>
      <c r="K347" s="142">
        <f t="shared" si="49"/>
        <v>17</v>
      </c>
      <c r="L347" s="589">
        <f t="shared" si="44"/>
        <v>3.4074964922830228E-3</v>
      </c>
      <c r="M347" s="315">
        <f t="shared" si="46"/>
        <v>7.7320525155341757</v>
      </c>
      <c r="N347" s="592">
        <f t="shared" si="51"/>
        <v>2.8430757099619166</v>
      </c>
      <c r="O347" s="427">
        <v>3.0857693104162354</v>
      </c>
      <c r="P347" s="427">
        <f t="shared" si="45"/>
        <v>0.83452996592503514</v>
      </c>
      <c r="Q347" s="426">
        <f t="shared" si="47"/>
        <v>1.0172920284626179</v>
      </c>
      <c r="R347" s="532">
        <f t="shared" si="48"/>
        <v>1.54502531462773E-2</v>
      </c>
    </row>
    <row r="348" spans="1:18" s="6" customFormat="1" ht="15.75">
      <c r="A348" s="268">
        <v>257</v>
      </c>
      <c r="B348" s="122" t="s">
        <v>1300</v>
      </c>
      <c r="C348" s="55">
        <v>2158</v>
      </c>
      <c r="D348" s="55"/>
      <c r="E348" s="55"/>
      <c r="F348" s="611">
        <f t="shared" si="50"/>
        <v>2158</v>
      </c>
      <c r="G348" s="18">
        <v>227</v>
      </c>
      <c r="H348" s="827">
        <v>29</v>
      </c>
      <c r="I348" s="330"/>
      <c r="J348" s="330"/>
      <c r="K348" s="142">
        <f t="shared" si="49"/>
        <v>29</v>
      </c>
      <c r="L348" s="589">
        <f t="shared" ref="L348:L383" si="52">1/4989*K348</f>
        <v>5.8127881338945683E-3</v>
      </c>
      <c r="M348" s="315">
        <f t="shared" si="46"/>
        <v>13.189971938264183</v>
      </c>
      <c r="N348" s="592">
        <f t="shared" si="51"/>
        <v>4.8499526816997403</v>
      </c>
      <c r="O348" s="427">
        <v>5.2639594118865185</v>
      </c>
      <c r="P348" s="427">
        <f t="shared" ref="P348:P378" si="53">L348*244.91</f>
        <v>1.4236099418721186</v>
      </c>
      <c r="Q348" s="426">
        <f t="shared" si="47"/>
        <v>1.7353805191421128</v>
      </c>
      <c r="R348" s="532">
        <f t="shared" si="48"/>
        <v>1.1458523620816756E-2</v>
      </c>
    </row>
    <row r="349" spans="1:18" s="6" customFormat="1" ht="15.75">
      <c r="A349" s="268">
        <v>258</v>
      </c>
      <c r="B349" s="122" t="s">
        <v>1301</v>
      </c>
      <c r="C349" s="55">
        <v>700</v>
      </c>
      <c r="D349" s="55"/>
      <c r="E349" s="55">
        <v>29.1</v>
      </c>
      <c r="F349" s="611">
        <f t="shared" si="50"/>
        <v>729.1</v>
      </c>
      <c r="G349" s="18">
        <v>107.3</v>
      </c>
      <c r="H349" s="827">
        <v>10</v>
      </c>
      <c r="I349" s="330"/>
      <c r="J349" s="330">
        <v>1</v>
      </c>
      <c r="K349" s="142">
        <f t="shared" si="49"/>
        <v>11</v>
      </c>
      <c r="L349" s="589">
        <f t="shared" si="52"/>
        <v>2.2048506714772501E-3</v>
      </c>
      <c r="M349" s="315">
        <f t="shared" ref="M349:M384" si="54">L349*2269.13</f>
        <v>5.0030928041691727</v>
      </c>
      <c r="N349" s="592">
        <f t="shared" si="51"/>
        <v>1.839637224093005</v>
      </c>
      <c r="O349" s="427">
        <v>1.9966742596810931</v>
      </c>
      <c r="P349" s="427">
        <f t="shared" si="53"/>
        <v>0.53998997795149328</v>
      </c>
      <c r="Q349" s="426">
        <f t="shared" ref="Q349:Q412" si="55">P349*1.219</f>
        <v>0.65824778312287036</v>
      </c>
      <c r="R349" s="532">
        <f t="shared" si="48"/>
        <v>1.3399134665563948E-2</v>
      </c>
    </row>
    <row r="350" spans="1:18" s="6" customFormat="1" ht="15.75">
      <c r="A350" s="268">
        <v>259</v>
      </c>
      <c r="B350" s="122" t="s">
        <v>1302</v>
      </c>
      <c r="C350" s="55">
        <v>913.54</v>
      </c>
      <c r="D350" s="55">
        <v>123.3</v>
      </c>
      <c r="E350" s="55">
        <v>15.2</v>
      </c>
      <c r="F350" s="611">
        <f t="shared" si="50"/>
        <v>1052.04</v>
      </c>
      <c r="G350" s="18">
        <v>180</v>
      </c>
      <c r="H350" s="827">
        <v>14</v>
      </c>
      <c r="I350" s="330">
        <v>2</v>
      </c>
      <c r="J350" s="330">
        <v>1</v>
      </c>
      <c r="K350" s="142">
        <f t="shared" si="49"/>
        <v>17</v>
      </c>
      <c r="L350" s="589">
        <f t="shared" si="52"/>
        <v>3.4074964922830228E-3</v>
      </c>
      <c r="M350" s="315">
        <f t="shared" si="54"/>
        <v>7.7320525155341757</v>
      </c>
      <c r="N350" s="592">
        <f t="shared" si="51"/>
        <v>2.8430757099619166</v>
      </c>
      <c r="O350" s="427">
        <v>3.0857693104162354</v>
      </c>
      <c r="P350" s="427">
        <f t="shared" si="53"/>
        <v>0.83452996592503514</v>
      </c>
      <c r="Q350" s="426">
        <f t="shared" si="55"/>
        <v>1.0172920284626179</v>
      </c>
      <c r="R350" s="532">
        <f t="shared" si="48"/>
        <v>1.5867315609428556E-2</v>
      </c>
    </row>
    <row r="351" spans="1:18" s="6" customFormat="1" ht="15.75">
      <c r="A351" s="275">
        <v>260</v>
      </c>
      <c r="B351" s="122" t="s">
        <v>1303</v>
      </c>
      <c r="C351" s="55">
        <v>608.6</v>
      </c>
      <c r="D351" s="55"/>
      <c r="E351" s="55"/>
      <c r="F351" s="611">
        <f t="shared" si="50"/>
        <v>608.6</v>
      </c>
      <c r="G351" s="18">
        <v>201.2</v>
      </c>
      <c r="H351" s="827">
        <v>13</v>
      </c>
      <c r="I351" s="330"/>
      <c r="J351" s="330"/>
      <c r="K351" s="142">
        <f t="shared" si="49"/>
        <v>13</v>
      </c>
      <c r="L351" s="589">
        <f t="shared" si="52"/>
        <v>2.605732611745841E-3</v>
      </c>
      <c r="M351" s="315">
        <f t="shared" si="54"/>
        <v>5.9127460412908404</v>
      </c>
      <c r="N351" s="592">
        <f t="shared" si="51"/>
        <v>2.1741167193826421</v>
      </c>
      <c r="O351" s="427">
        <v>2.359705943259474</v>
      </c>
      <c r="P351" s="427">
        <f t="shared" si="53"/>
        <v>0.63816997394267394</v>
      </c>
      <c r="Q351" s="426">
        <f t="shared" si="55"/>
        <v>0.77792919823611961</v>
      </c>
      <c r="R351" s="532">
        <f t="shared" si="48"/>
        <v>1.8213504235747011E-2</v>
      </c>
    </row>
    <row r="352" spans="1:18" s="6" customFormat="1" ht="15.75">
      <c r="A352" s="268">
        <v>261</v>
      </c>
      <c r="B352" s="122" t="s">
        <v>1304</v>
      </c>
      <c r="C352" s="55">
        <v>415.8</v>
      </c>
      <c r="D352" s="55"/>
      <c r="E352" s="55"/>
      <c r="F352" s="611">
        <f t="shared" si="50"/>
        <v>415.8</v>
      </c>
      <c r="G352" s="18">
        <v>95.3</v>
      </c>
      <c r="H352" s="827">
        <v>9</v>
      </c>
      <c r="I352" s="330"/>
      <c r="J352" s="330"/>
      <c r="K352" s="142">
        <f t="shared" si="49"/>
        <v>9</v>
      </c>
      <c r="L352" s="589">
        <f t="shared" si="52"/>
        <v>1.8039687312086591E-3</v>
      </c>
      <c r="M352" s="315">
        <f t="shared" si="54"/>
        <v>4.093439567047505</v>
      </c>
      <c r="N352" s="592">
        <f t="shared" si="51"/>
        <v>1.5051577288033677</v>
      </c>
      <c r="O352" s="427">
        <v>1.6336425761027129</v>
      </c>
      <c r="P352" s="427">
        <f t="shared" si="53"/>
        <v>0.44180998196031268</v>
      </c>
      <c r="Q352" s="426">
        <f t="shared" si="55"/>
        <v>0.53856636800962121</v>
      </c>
      <c r="R352" s="532">
        <f t="shared" si="48"/>
        <v>1.8456108354771277E-2</v>
      </c>
    </row>
    <row r="353" spans="1:18" s="6" customFormat="1" ht="15.75">
      <c r="A353" s="268">
        <v>262</v>
      </c>
      <c r="B353" s="122" t="s">
        <v>1305</v>
      </c>
      <c r="C353" s="55">
        <v>460.4</v>
      </c>
      <c r="D353" s="55"/>
      <c r="E353" s="55"/>
      <c r="F353" s="611">
        <f t="shared" si="50"/>
        <v>460.4</v>
      </c>
      <c r="G353" s="18">
        <v>91.5</v>
      </c>
      <c r="H353" s="827">
        <v>9</v>
      </c>
      <c r="I353" s="330"/>
      <c r="J353" s="330"/>
      <c r="K353" s="142">
        <f t="shared" si="49"/>
        <v>9</v>
      </c>
      <c r="L353" s="589">
        <f t="shared" si="52"/>
        <v>1.8039687312086591E-3</v>
      </c>
      <c r="M353" s="315">
        <f t="shared" si="54"/>
        <v>4.093439567047505</v>
      </c>
      <c r="N353" s="592">
        <f t="shared" si="51"/>
        <v>1.5051577288033677</v>
      </c>
      <c r="O353" s="427">
        <v>1.6336425761027129</v>
      </c>
      <c r="P353" s="427">
        <f t="shared" si="53"/>
        <v>0.44180998196031268</v>
      </c>
      <c r="Q353" s="426">
        <f t="shared" si="55"/>
        <v>0.53856636800962121</v>
      </c>
      <c r="R353" s="532">
        <f t="shared" si="48"/>
        <v>1.6668222966798214E-2</v>
      </c>
    </row>
    <row r="354" spans="1:18" s="6" customFormat="1" ht="15.75">
      <c r="A354" s="268">
        <v>263</v>
      </c>
      <c r="B354" s="122" t="s">
        <v>1306</v>
      </c>
      <c r="C354" s="55">
        <v>485</v>
      </c>
      <c r="D354" s="55">
        <v>37.9</v>
      </c>
      <c r="E354" s="55">
        <v>50.1</v>
      </c>
      <c r="F354" s="611">
        <f t="shared" si="50"/>
        <v>573</v>
      </c>
      <c r="G354" s="18">
        <v>91.3</v>
      </c>
      <c r="H354" s="827">
        <v>11</v>
      </c>
      <c r="I354" s="330">
        <v>1</v>
      </c>
      <c r="J354" s="330">
        <v>2</v>
      </c>
      <c r="K354" s="142">
        <f t="shared" si="49"/>
        <v>14</v>
      </c>
      <c r="L354" s="589">
        <f t="shared" si="52"/>
        <v>2.8061735818801364E-3</v>
      </c>
      <c r="M354" s="315">
        <f t="shared" si="54"/>
        <v>6.3675726598516746</v>
      </c>
      <c r="N354" s="592">
        <f t="shared" si="51"/>
        <v>2.3413564670274609</v>
      </c>
      <c r="O354" s="427">
        <v>2.541221785048664</v>
      </c>
      <c r="P354" s="427">
        <f t="shared" si="53"/>
        <v>0.68725997193826416</v>
      </c>
      <c r="Q354" s="426">
        <f t="shared" si="55"/>
        <v>0.83776990579274402</v>
      </c>
      <c r="R354" s="532">
        <f t="shared" si="48"/>
        <v>2.4613218317249618E-2</v>
      </c>
    </row>
    <row r="355" spans="1:18" s="6" customFormat="1" ht="15.75">
      <c r="A355" s="268">
        <v>264</v>
      </c>
      <c r="B355" s="122" t="s">
        <v>1307</v>
      </c>
      <c r="C355" s="55">
        <v>791.22</v>
      </c>
      <c r="D355" s="55"/>
      <c r="E355" s="55"/>
      <c r="F355" s="611">
        <f t="shared" si="50"/>
        <v>791.22</v>
      </c>
      <c r="G355" s="18">
        <v>56.7</v>
      </c>
      <c r="H355" s="827">
        <v>17</v>
      </c>
      <c r="I355" s="330"/>
      <c r="J355" s="330"/>
      <c r="K355" s="142">
        <f t="shared" si="49"/>
        <v>17</v>
      </c>
      <c r="L355" s="589">
        <f t="shared" si="52"/>
        <v>3.4074964922830228E-3</v>
      </c>
      <c r="M355" s="315">
        <f t="shared" si="54"/>
        <v>7.7320525155341757</v>
      </c>
      <c r="N355" s="592">
        <f t="shared" si="51"/>
        <v>2.8430757099619166</v>
      </c>
      <c r="O355" s="427">
        <v>3.0857693104162354</v>
      </c>
      <c r="P355" s="427">
        <f t="shared" si="53"/>
        <v>0.83452996592503514</v>
      </c>
      <c r="Q355" s="426">
        <f t="shared" si="55"/>
        <v>1.0172920284626179</v>
      </c>
      <c r="R355" s="532">
        <f t="shared" si="48"/>
        <v>1.8320350220971872E-2</v>
      </c>
    </row>
    <row r="356" spans="1:18" s="6" customFormat="1" ht="15.75">
      <c r="A356" s="268">
        <v>265</v>
      </c>
      <c r="B356" s="122" t="s">
        <v>1308</v>
      </c>
      <c r="C356" s="55">
        <v>765.5</v>
      </c>
      <c r="D356" s="55"/>
      <c r="E356" s="55"/>
      <c r="F356" s="611">
        <f t="shared" si="50"/>
        <v>765.5</v>
      </c>
      <c r="G356" s="18">
        <v>59</v>
      </c>
      <c r="H356" s="827">
        <v>19</v>
      </c>
      <c r="I356" s="330"/>
      <c r="J356" s="330"/>
      <c r="K356" s="142">
        <f t="shared" si="49"/>
        <v>19</v>
      </c>
      <c r="L356" s="589">
        <f t="shared" si="52"/>
        <v>3.8083784325516137E-3</v>
      </c>
      <c r="M356" s="315">
        <f t="shared" si="54"/>
        <v>8.6417057526558434</v>
      </c>
      <c r="N356" s="592">
        <f t="shared" si="51"/>
        <v>3.1775552052515539</v>
      </c>
      <c r="O356" s="427">
        <v>3.4488009939946158</v>
      </c>
      <c r="P356" s="427">
        <f t="shared" si="53"/>
        <v>0.93270996191621569</v>
      </c>
      <c r="Q356" s="426">
        <f t="shared" si="55"/>
        <v>1.1369734435758669</v>
      </c>
      <c r="R356" s="532">
        <f t="shared" si="48"/>
        <v>2.1163647176771039E-2</v>
      </c>
    </row>
    <row r="357" spans="1:18" s="6" customFormat="1" ht="15.75">
      <c r="A357" s="268">
        <v>266</v>
      </c>
      <c r="B357" s="122" t="s">
        <v>1309</v>
      </c>
      <c r="C357" s="55">
        <v>777.3</v>
      </c>
      <c r="D357" s="55"/>
      <c r="E357" s="55">
        <v>28.9</v>
      </c>
      <c r="F357" s="611">
        <f t="shared" si="50"/>
        <v>806.19999999999993</v>
      </c>
      <c r="G357" s="18">
        <v>146</v>
      </c>
      <c r="H357" s="827">
        <v>20</v>
      </c>
      <c r="I357" s="330"/>
      <c r="J357" s="330">
        <v>1</v>
      </c>
      <c r="K357" s="142">
        <f t="shared" si="49"/>
        <v>21</v>
      </c>
      <c r="L357" s="589">
        <f t="shared" si="52"/>
        <v>4.2092603728202047E-3</v>
      </c>
      <c r="M357" s="315">
        <f t="shared" si="54"/>
        <v>9.551358989777512</v>
      </c>
      <c r="N357" s="592">
        <f t="shared" si="51"/>
        <v>3.5120347005411916</v>
      </c>
      <c r="O357" s="427">
        <v>3.8118326775729958</v>
      </c>
      <c r="P357" s="427">
        <f t="shared" si="53"/>
        <v>1.0308899579073962</v>
      </c>
      <c r="Q357" s="426">
        <f t="shared" si="55"/>
        <v>1.2566548586891162</v>
      </c>
      <c r="R357" s="532">
        <f t="shared" si="48"/>
        <v>2.3036300432007072E-2</v>
      </c>
    </row>
    <row r="358" spans="1:18" s="6" customFormat="1" ht="15.75">
      <c r="A358" s="275">
        <v>267</v>
      </c>
      <c r="B358" s="122" t="s">
        <v>1310</v>
      </c>
      <c r="C358" s="55">
        <v>723.6</v>
      </c>
      <c r="D358" s="55"/>
      <c r="E358" s="55">
        <v>29.4</v>
      </c>
      <c r="F358" s="611">
        <f t="shared" si="50"/>
        <v>753</v>
      </c>
      <c r="G358" s="18">
        <v>63.8</v>
      </c>
      <c r="H358" s="827">
        <v>18</v>
      </c>
      <c r="I358" s="330"/>
      <c r="J358" s="330">
        <v>1</v>
      </c>
      <c r="K358" s="142">
        <f t="shared" si="49"/>
        <v>19</v>
      </c>
      <c r="L358" s="589">
        <f t="shared" si="52"/>
        <v>3.8083784325516137E-3</v>
      </c>
      <c r="M358" s="315">
        <f t="shared" si="54"/>
        <v>8.6417057526558434</v>
      </c>
      <c r="N358" s="592">
        <f t="shared" si="51"/>
        <v>3.1775552052515539</v>
      </c>
      <c r="O358" s="427">
        <v>3.4488009939946158</v>
      </c>
      <c r="P358" s="427">
        <f t="shared" si="53"/>
        <v>0.93270996191621569</v>
      </c>
      <c r="Q358" s="426">
        <f t="shared" si="55"/>
        <v>1.1369734435758669</v>
      </c>
      <c r="R358" s="532">
        <f t="shared" si="48"/>
        <v>2.2389126470174447E-2</v>
      </c>
    </row>
    <row r="359" spans="1:18" s="6" customFormat="1" ht="15.75">
      <c r="A359" s="268">
        <v>268</v>
      </c>
      <c r="B359" s="122" t="s">
        <v>1311</v>
      </c>
      <c r="C359" s="55">
        <v>579.6</v>
      </c>
      <c r="D359" s="55"/>
      <c r="E359" s="55">
        <v>32.6</v>
      </c>
      <c r="F359" s="611">
        <f t="shared" si="50"/>
        <v>612.20000000000005</v>
      </c>
      <c r="G359" s="18">
        <v>96.3</v>
      </c>
      <c r="H359" s="827">
        <v>15</v>
      </c>
      <c r="I359" s="330"/>
      <c r="J359" s="330">
        <v>1</v>
      </c>
      <c r="K359" s="142">
        <f t="shared" si="49"/>
        <v>16</v>
      </c>
      <c r="L359" s="589">
        <f t="shared" si="52"/>
        <v>3.2070555221487274E-3</v>
      </c>
      <c r="M359" s="315">
        <f t="shared" si="54"/>
        <v>7.2772258969733423</v>
      </c>
      <c r="N359" s="592">
        <f t="shared" si="51"/>
        <v>2.6758359623170982</v>
      </c>
      <c r="O359" s="427">
        <v>2.9042534686270449</v>
      </c>
      <c r="P359" s="427">
        <f t="shared" si="53"/>
        <v>0.78543996792944482</v>
      </c>
      <c r="Q359" s="426">
        <f t="shared" si="55"/>
        <v>0.95745132090599328</v>
      </c>
      <c r="R359" s="532">
        <f t="shared" si="48"/>
        <v>2.3538225148114097E-2</v>
      </c>
    </row>
    <row r="360" spans="1:18" s="6" customFormat="1" ht="15.75">
      <c r="A360" s="268">
        <v>269</v>
      </c>
      <c r="B360" s="122" t="s">
        <v>1312</v>
      </c>
      <c r="C360" s="55">
        <v>611.79999999999995</v>
      </c>
      <c r="D360" s="55"/>
      <c r="E360" s="55"/>
      <c r="F360" s="611">
        <f t="shared" si="50"/>
        <v>611.79999999999995</v>
      </c>
      <c r="G360" s="18">
        <v>98</v>
      </c>
      <c r="H360" s="827">
        <v>13</v>
      </c>
      <c r="I360" s="330"/>
      <c r="J360" s="330"/>
      <c r="K360" s="142">
        <f t="shared" si="49"/>
        <v>13</v>
      </c>
      <c r="L360" s="589">
        <f t="shared" si="52"/>
        <v>2.605732611745841E-3</v>
      </c>
      <c r="M360" s="315">
        <f t="shared" si="54"/>
        <v>5.9127460412908404</v>
      </c>
      <c r="N360" s="592">
        <f t="shared" si="51"/>
        <v>2.1741167193826421</v>
      </c>
      <c r="O360" s="427">
        <v>2.359705943259474</v>
      </c>
      <c r="P360" s="427">
        <f t="shared" si="53"/>
        <v>0.63816997394267394</v>
      </c>
      <c r="Q360" s="426">
        <f t="shared" si="55"/>
        <v>0.77792919823611961</v>
      </c>
      <c r="R360" s="532">
        <f t="shared" si="48"/>
        <v>1.8118239094272036E-2</v>
      </c>
    </row>
    <row r="361" spans="1:18" s="6" customFormat="1" ht="15.75">
      <c r="A361" s="268">
        <v>270</v>
      </c>
      <c r="B361" s="122" t="s">
        <v>1313</v>
      </c>
      <c r="C361" s="55">
        <v>510.4</v>
      </c>
      <c r="D361" s="55"/>
      <c r="E361" s="55"/>
      <c r="F361" s="611">
        <f t="shared" si="50"/>
        <v>510.4</v>
      </c>
      <c r="G361" s="18">
        <v>66.3</v>
      </c>
      <c r="H361" s="827">
        <v>8</v>
      </c>
      <c r="I361" s="330"/>
      <c r="J361" s="330"/>
      <c r="K361" s="142">
        <f t="shared" si="49"/>
        <v>8</v>
      </c>
      <c r="L361" s="589">
        <f t="shared" si="52"/>
        <v>1.6035277610743637E-3</v>
      </c>
      <c r="M361" s="315">
        <f t="shared" si="54"/>
        <v>3.6386129484866712</v>
      </c>
      <c r="N361" s="592">
        <f t="shared" si="51"/>
        <v>1.3379179811585491</v>
      </c>
      <c r="O361" s="427">
        <v>1.4521267343135225</v>
      </c>
      <c r="P361" s="427">
        <f t="shared" si="53"/>
        <v>0.39271998396472241</v>
      </c>
      <c r="Q361" s="426">
        <f t="shared" si="55"/>
        <v>0.47872566045299664</v>
      </c>
      <c r="R361" s="532">
        <f t="shared" si="48"/>
        <v>1.3364768118972307E-2</v>
      </c>
    </row>
    <row r="362" spans="1:18" s="6" customFormat="1" ht="15.75">
      <c r="A362" s="268">
        <v>271</v>
      </c>
      <c r="B362" s="122" t="s">
        <v>1314</v>
      </c>
      <c r="C362" s="55">
        <v>564</v>
      </c>
      <c r="D362" s="55">
        <v>87.5</v>
      </c>
      <c r="E362" s="55"/>
      <c r="F362" s="611">
        <f t="shared" si="50"/>
        <v>651.5</v>
      </c>
      <c r="G362" s="18">
        <v>54</v>
      </c>
      <c r="H362" s="827">
        <v>12</v>
      </c>
      <c r="I362" s="330">
        <v>2</v>
      </c>
      <c r="J362" s="330"/>
      <c r="K362" s="142">
        <f t="shared" si="49"/>
        <v>14</v>
      </c>
      <c r="L362" s="589">
        <f t="shared" si="52"/>
        <v>2.8061735818801364E-3</v>
      </c>
      <c r="M362" s="315">
        <f t="shared" si="54"/>
        <v>6.3675726598516746</v>
      </c>
      <c r="N362" s="592">
        <f t="shared" si="51"/>
        <v>2.3413564670274609</v>
      </c>
      <c r="O362" s="427">
        <v>2.541221785048664</v>
      </c>
      <c r="P362" s="427">
        <f t="shared" si="53"/>
        <v>0.68725997193826416</v>
      </c>
      <c r="Q362" s="426">
        <f t="shared" si="55"/>
        <v>0.83776990579274402</v>
      </c>
      <c r="R362" s="532">
        <f t="shared" si="48"/>
        <v>2.1165622134514298E-2</v>
      </c>
    </row>
    <row r="363" spans="1:18" s="6" customFormat="1" ht="15.75">
      <c r="A363" s="268">
        <v>272</v>
      </c>
      <c r="B363" s="273" t="s">
        <v>1315</v>
      </c>
      <c r="C363" s="55">
        <v>699.7</v>
      </c>
      <c r="D363" s="55">
        <v>90.2</v>
      </c>
      <c r="E363" s="55"/>
      <c r="F363" s="611">
        <f t="shared" si="50"/>
        <v>789.90000000000009</v>
      </c>
      <c r="G363" s="18">
        <v>54.5</v>
      </c>
      <c r="H363" s="827">
        <v>13</v>
      </c>
      <c r="I363" s="330">
        <v>2</v>
      </c>
      <c r="J363" s="330"/>
      <c r="K363" s="142">
        <f t="shared" si="49"/>
        <v>15</v>
      </c>
      <c r="L363" s="589">
        <f t="shared" si="52"/>
        <v>3.0066145520144319E-3</v>
      </c>
      <c r="M363" s="315">
        <f t="shared" si="54"/>
        <v>6.822399278412508</v>
      </c>
      <c r="N363" s="592">
        <f t="shared" si="51"/>
        <v>2.5085962146722793</v>
      </c>
      <c r="O363" s="427">
        <v>2.7227376268378545</v>
      </c>
      <c r="P363" s="427">
        <f t="shared" si="53"/>
        <v>0.73634996993385449</v>
      </c>
      <c r="Q363" s="426">
        <f t="shared" si="55"/>
        <v>0.89761061334936865</v>
      </c>
      <c r="R363" s="532">
        <f t="shared" si="48"/>
        <v>1.8279381291777183E-2</v>
      </c>
    </row>
    <row r="364" spans="1:18" s="6" customFormat="1" ht="15.75">
      <c r="A364" s="268">
        <v>273</v>
      </c>
      <c r="B364" s="122" t="s">
        <v>1316</v>
      </c>
      <c r="C364" s="55">
        <v>770.6</v>
      </c>
      <c r="D364" s="55"/>
      <c r="E364" s="55"/>
      <c r="F364" s="611">
        <f t="shared" si="50"/>
        <v>770.6</v>
      </c>
      <c r="G364" s="18">
        <v>68</v>
      </c>
      <c r="H364" s="827">
        <v>17</v>
      </c>
      <c r="I364" s="330"/>
      <c r="J364" s="330"/>
      <c r="K364" s="142">
        <f t="shared" si="49"/>
        <v>17</v>
      </c>
      <c r="L364" s="589">
        <f t="shared" si="52"/>
        <v>3.4074964922830228E-3</v>
      </c>
      <c r="M364" s="315">
        <f t="shared" si="54"/>
        <v>7.7320525155341757</v>
      </c>
      <c r="N364" s="592">
        <f t="shared" si="51"/>
        <v>2.8430757099619166</v>
      </c>
      <c r="O364" s="427">
        <v>3.0857693104162354</v>
      </c>
      <c r="P364" s="427">
        <f t="shared" si="53"/>
        <v>0.83452996592503514</v>
      </c>
      <c r="Q364" s="426">
        <f t="shared" si="55"/>
        <v>1.0172920284626179</v>
      </c>
      <c r="R364" s="532">
        <f t="shared" si="48"/>
        <v>1.88105729325686E-2</v>
      </c>
    </row>
    <row r="365" spans="1:18" s="6" customFormat="1" ht="15.75">
      <c r="A365" s="275">
        <v>274</v>
      </c>
      <c r="B365" s="122" t="s">
        <v>1317</v>
      </c>
      <c r="C365" s="55">
        <v>958.2</v>
      </c>
      <c r="D365" s="55"/>
      <c r="E365" s="55"/>
      <c r="F365" s="611">
        <f t="shared" si="50"/>
        <v>958.2</v>
      </c>
      <c r="G365" s="18">
        <v>47</v>
      </c>
      <c r="H365" s="827">
        <v>16</v>
      </c>
      <c r="I365" s="330"/>
      <c r="J365" s="330"/>
      <c r="K365" s="142">
        <f t="shared" si="49"/>
        <v>16</v>
      </c>
      <c r="L365" s="589">
        <f t="shared" si="52"/>
        <v>3.2070555221487274E-3</v>
      </c>
      <c r="M365" s="315">
        <f t="shared" si="54"/>
        <v>7.2772258969733423</v>
      </c>
      <c r="N365" s="592">
        <f t="shared" si="51"/>
        <v>2.6758359623170982</v>
      </c>
      <c r="O365" s="427">
        <v>2.9042534686270449</v>
      </c>
      <c r="P365" s="427">
        <f t="shared" si="53"/>
        <v>0.78543996792944482</v>
      </c>
      <c r="Q365" s="426">
        <f t="shared" si="55"/>
        <v>0.95745132090599328</v>
      </c>
      <c r="R365" s="532">
        <f t="shared" si="48"/>
        <v>1.4237899494726498E-2</v>
      </c>
    </row>
    <row r="366" spans="1:18" s="6" customFormat="1" ht="15.75">
      <c r="A366" s="268">
        <v>275</v>
      </c>
      <c r="B366" s="122" t="s">
        <v>1318</v>
      </c>
      <c r="C366" s="55">
        <v>950.92</v>
      </c>
      <c r="D366" s="55">
        <v>124.7</v>
      </c>
      <c r="E366" s="55">
        <v>118.8</v>
      </c>
      <c r="F366" s="611">
        <f t="shared" si="50"/>
        <v>1194.4199999999998</v>
      </c>
      <c r="G366" s="18">
        <v>100.3</v>
      </c>
      <c r="H366" s="827">
        <v>14</v>
      </c>
      <c r="I366" s="330">
        <v>1</v>
      </c>
      <c r="J366" s="330">
        <v>2</v>
      </c>
      <c r="K366" s="142">
        <f t="shared" si="49"/>
        <v>17</v>
      </c>
      <c r="L366" s="589">
        <f t="shared" si="52"/>
        <v>3.4074964922830228E-3</v>
      </c>
      <c r="M366" s="315">
        <f t="shared" si="54"/>
        <v>7.7320525155341757</v>
      </c>
      <c r="N366" s="592">
        <f t="shared" si="51"/>
        <v>2.8430757099619166</v>
      </c>
      <c r="O366" s="427">
        <v>3.0857693104162354</v>
      </c>
      <c r="P366" s="427">
        <f>L366*44.91</f>
        <v>0.15303066746843055</v>
      </c>
      <c r="Q366" s="426">
        <f t="shared" si="55"/>
        <v>0.18654438364401685</v>
      </c>
      <c r="R366" s="532">
        <f t="shared" si="48"/>
        <v>1.4526908891789802E-2</v>
      </c>
    </row>
    <row r="367" spans="1:18" s="6" customFormat="1" ht="15.75">
      <c r="A367" s="268">
        <v>276</v>
      </c>
      <c r="B367" s="122" t="s">
        <v>1319</v>
      </c>
      <c r="C367" s="55">
        <v>290.51</v>
      </c>
      <c r="D367" s="55">
        <v>32.65</v>
      </c>
      <c r="E367" s="55">
        <v>114.7</v>
      </c>
      <c r="F367" s="611">
        <f t="shared" si="50"/>
        <v>437.85999999999996</v>
      </c>
      <c r="G367" s="18">
        <v>100.7</v>
      </c>
      <c r="H367" s="827">
        <v>8</v>
      </c>
      <c r="I367" s="330">
        <v>1</v>
      </c>
      <c r="J367" s="330">
        <v>3</v>
      </c>
      <c r="K367" s="142">
        <f t="shared" si="49"/>
        <v>12</v>
      </c>
      <c r="L367" s="589">
        <f t="shared" si="52"/>
        <v>2.4052916416115455E-3</v>
      </c>
      <c r="M367" s="315">
        <f t="shared" si="54"/>
        <v>5.457919422730007</v>
      </c>
      <c r="N367" s="592">
        <f t="shared" si="51"/>
        <v>2.0068769717378236</v>
      </c>
      <c r="O367" s="427">
        <v>0.43563802029405674</v>
      </c>
      <c r="P367" s="427">
        <f t="shared" si="53"/>
        <v>0.58907997594708361</v>
      </c>
      <c r="Q367" s="426">
        <f t="shared" si="55"/>
        <v>0.71808849067949498</v>
      </c>
      <c r="R367" s="532">
        <f t="shared" si="48"/>
        <v>2.922279574096923E-2</v>
      </c>
    </row>
    <row r="368" spans="1:18" s="6" customFormat="1" ht="15.75">
      <c r="A368" s="268">
        <v>277</v>
      </c>
      <c r="B368" s="122" t="s">
        <v>1320</v>
      </c>
      <c r="C368" s="55">
        <v>612.5</v>
      </c>
      <c r="D368" s="55">
        <v>100</v>
      </c>
      <c r="E368" s="55"/>
      <c r="F368" s="611">
        <f t="shared" si="50"/>
        <v>712.5</v>
      </c>
      <c r="G368" s="18">
        <v>110</v>
      </c>
      <c r="H368" s="827">
        <v>13</v>
      </c>
      <c r="I368" s="330">
        <v>1</v>
      </c>
      <c r="J368" s="330"/>
      <c r="K368" s="142">
        <f t="shared" si="49"/>
        <v>14</v>
      </c>
      <c r="L368" s="589">
        <f t="shared" si="52"/>
        <v>2.8061735818801364E-3</v>
      </c>
      <c r="M368" s="315">
        <f t="shared" si="54"/>
        <v>6.3675726598516746</v>
      </c>
      <c r="N368" s="592">
        <f t="shared" si="51"/>
        <v>2.3413564670274609</v>
      </c>
      <c r="O368" s="427">
        <v>2.541221785048664</v>
      </c>
      <c r="P368" s="427">
        <f t="shared" si="53"/>
        <v>0.68725997193826416</v>
      </c>
      <c r="Q368" s="426">
        <f t="shared" si="55"/>
        <v>0.83776990579274402</v>
      </c>
      <c r="R368" s="532">
        <f t="shared" si="48"/>
        <v>1.9489650422638474E-2</v>
      </c>
    </row>
    <row r="369" spans="1:21" s="6" customFormat="1" ht="15.75">
      <c r="A369" s="268">
        <v>278</v>
      </c>
      <c r="B369" s="122" t="s">
        <v>1321</v>
      </c>
      <c r="C369" s="55">
        <v>1001.86</v>
      </c>
      <c r="D369" s="55">
        <v>33.200000000000003</v>
      </c>
      <c r="E369" s="55"/>
      <c r="F369" s="611">
        <f t="shared" si="50"/>
        <v>1035.06</v>
      </c>
      <c r="G369" s="18">
        <v>109</v>
      </c>
      <c r="H369" s="827">
        <v>17</v>
      </c>
      <c r="I369" s="330">
        <v>1</v>
      </c>
      <c r="J369" s="330"/>
      <c r="K369" s="142">
        <f t="shared" si="49"/>
        <v>18</v>
      </c>
      <c r="L369" s="589">
        <f t="shared" si="52"/>
        <v>3.6079374624173183E-3</v>
      </c>
      <c r="M369" s="315">
        <f t="shared" si="54"/>
        <v>8.18687913409501</v>
      </c>
      <c r="N369" s="592">
        <f t="shared" si="51"/>
        <v>3.0103154576067355</v>
      </c>
      <c r="O369" s="427">
        <v>3.2672851522054258</v>
      </c>
      <c r="P369" s="427">
        <f t="shared" si="53"/>
        <v>0.88361996392062536</v>
      </c>
      <c r="Q369" s="426">
        <f t="shared" si="55"/>
        <v>1.0771327360192424</v>
      </c>
      <c r="R369" s="532">
        <f t="shared" si="48"/>
        <v>1.5319605242077532E-2</v>
      </c>
    </row>
    <row r="370" spans="1:21" s="6" customFormat="1" ht="15.75">
      <c r="A370" s="268">
        <v>279</v>
      </c>
      <c r="B370" s="122" t="s">
        <v>1322</v>
      </c>
      <c r="C370" s="55">
        <v>592</v>
      </c>
      <c r="D370" s="55"/>
      <c r="E370" s="55">
        <v>92.4</v>
      </c>
      <c r="F370" s="611">
        <f t="shared" si="50"/>
        <v>684.4</v>
      </c>
      <c r="G370" s="18">
        <v>51</v>
      </c>
      <c r="H370" s="827">
        <v>13</v>
      </c>
      <c r="I370" s="330"/>
      <c r="J370" s="330">
        <v>1</v>
      </c>
      <c r="K370" s="142">
        <f t="shared" si="49"/>
        <v>14</v>
      </c>
      <c r="L370" s="589">
        <f t="shared" si="52"/>
        <v>2.8061735818801364E-3</v>
      </c>
      <c r="M370" s="315">
        <f t="shared" si="54"/>
        <v>6.3675726598516746</v>
      </c>
      <c r="N370" s="592">
        <f t="shared" si="51"/>
        <v>2.3413564670274609</v>
      </c>
      <c r="O370" s="427">
        <v>2.541221785048664</v>
      </c>
      <c r="P370" s="427">
        <f t="shared" si="53"/>
        <v>0.68725997193826416</v>
      </c>
      <c r="Q370" s="426">
        <f t="shared" si="55"/>
        <v>0.83776990579274402</v>
      </c>
      <c r="R370" s="532">
        <f t="shared" si="48"/>
        <v>2.0164545411935918E-2</v>
      </c>
    </row>
    <row r="371" spans="1:21" s="6" customFormat="1" ht="15.75">
      <c r="A371" s="268">
        <v>280</v>
      </c>
      <c r="B371" s="122" t="s">
        <v>1323</v>
      </c>
      <c r="C371" s="55">
        <v>796.45</v>
      </c>
      <c r="D371" s="55">
        <v>32.4</v>
      </c>
      <c r="E371" s="55">
        <v>30</v>
      </c>
      <c r="F371" s="611">
        <f t="shared" si="50"/>
        <v>858.85</v>
      </c>
      <c r="G371" s="18">
        <v>70.3</v>
      </c>
      <c r="H371" s="827">
        <v>16</v>
      </c>
      <c r="I371" s="330">
        <v>1</v>
      </c>
      <c r="J371" s="330">
        <v>1</v>
      </c>
      <c r="K371" s="142">
        <f t="shared" si="49"/>
        <v>18</v>
      </c>
      <c r="L371" s="589">
        <f t="shared" si="52"/>
        <v>3.6079374624173183E-3</v>
      </c>
      <c r="M371" s="315">
        <f t="shared" si="54"/>
        <v>8.18687913409501</v>
      </c>
      <c r="N371" s="592">
        <f t="shared" si="51"/>
        <v>3.0103154576067355</v>
      </c>
      <c r="O371" s="427">
        <v>3.2672851522054258</v>
      </c>
      <c r="P371" s="427">
        <f t="shared" si="53"/>
        <v>0.88361996392062536</v>
      </c>
      <c r="Q371" s="426">
        <f t="shared" si="55"/>
        <v>1.0771327360192424</v>
      </c>
      <c r="R371" s="532">
        <f t="shared" si="48"/>
        <v>1.9270638091314955E-2</v>
      </c>
    </row>
    <row r="372" spans="1:21" s="6" customFormat="1" ht="15.75">
      <c r="A372" s="275">
        <v>281</v>
      </c>
      <c r="B372" s="122" t="s">
        <v>1324</v>
      </c>
      <c r="C372" s="55">
        <v>711</v>
      </c>
      <c r="D372" s="55"/>
      <c r="E372" s="55">
        <v>116.7</v>
      </c>
      <c r="F372" s="611">
        <f t="shared" si="50"/>
        <v>827.7</v>
      </c>
      <c r="G372" s="18">
        <v>129.30000000000001</v>
      </c>
      <c r="H372" s="827">
        <v>14</v>
      </c>
      <c r="I372" s="330"/>
      <c r="J372" s="330">
        <v>2</v>
      </c>
      <c r="K372" s="142">
        <f t="shared" si="49"/>
        <v>16</v>
      </c>
      <c r="L372" s="589">
        <f t="shared" si="52"/>
        <v>3.2070555221487274E-3</v>
      </c>
      <c r="M372" s="315">
        <f t="shared" si="54"/>
        <v>7.2772258969733423</v>
      </c>
      <c r="N372" s="592">
        <f t="shared" si="51"/>
        <v>2.6758359623170982</v>
      </c>
      <c r="O372" s="427">
        <v>2.9042534686270449</v>
      </c>
      <c r="P372" s="427">
        <f t="shared" si="53"/>
        <v>0.78543996792944482</v>
      </c>
      <c r="Q372" s="426">
        <f t="shared" si="55"/>
        <v>0.95745132090599328</v>
      </c>
      <c r="R372" s="532">
        <f t="shared" si="48"/>
        <v>1.9188122778968961E-2</v>
      </c>
    </row>
    <row r="373" spans="1:21" s="6" customFormat="1" ht="15.75">
      <c r="A373" s="268">
        <v>282</v>
      </c>
      <c r="B373" s="273" t="s">
        <v>1325</v>
      </c>
      <c r="C373" s="55">
        <v>837.19</v>
      </c>
      <c r="D373" s="55"/>
      <c r="E373" s="55"/>
      <c r="F373" s="611">
        <f t="shared" si="50"/>
        <v>837.19</v>
      </c>
      <c r="G373" s="18">
        <v>90.7</v>
      </c>
      <c r="H373" s="827">
        <v>14</v>
      </c>
      <c r="I373" s="330"/>
      <c r="J373" s="330"/>
      <c r="K373" s="142">
        <f t="shared" si="49"/>
        <v>14</v>
      </c>
      <c r="L373" s="589">
        <f t="shared" si="52"/>
        <v>2.8061735818801364E-3</v>
      </c>
      <c r="M373" s="315">
        <f t="shared" si="54"/>
        <v>6.3675726598516746</v>
      </c>
      <c r="N373" s="592">
        <f t="shared" si="51"/>
        <v>2.3413564670274609</v>
      </c>
      <c r="O373" s="427">
        <v>2.541221785048664</v>
      </c>
      <c r="P373" s="427">
        <f t="shared" si="53"/>
        <v>0.68725997193826416</v>
      </c>
      <c r="Q373" s="426">
        <f t="shared" si="55"/>
        <v>0.83776990579274402</v>
      </c>
      <c r="R373" s="532">
        <f t="shared" si="48"/>
        <v>1.4258902858211474E-2</v>
      </c>
    </row>
    <row r="374" spans="1:21" s="6" customFormat="1" ht="15.75">
      <c r="A374" s="268">
        <v>283</v>
      </c>
      <c r="B374" s="122" t="s">
        <v>1326</v>
      </c>
      <c r="C374" s="55">
        <v>325.10000000000002</v>
      </c>
      <c r="D374" s="55"/>
      <c r="E374" s="55"/>
      <c r="F374" s="611">
        <f t="shared" si="50"/>
        <v>325.10000000000002</v>
      </c>
      <c r="G374" s="18">
        <v>85.7</v>
      </c>
      <c r="H374" s="827">
        <v>7</v>
      </c>
      <c r="I374" s="330"/>
      <c r="J374" s="330"/>
      <c r="K374" s="142">
        <f t="shared" si="49"/>
        <v>7</v>
      </c>
      <c r="L374" s="589">
        <f t="shared" si="52"/>
        <v>1.4030867909400682E-3</v>
      </c>
      <c r="M374" s="315">
        <f t="shared" si="54"/>
        <v>3.1837863299258373</v>
      </c>
      <c r="N374" s="592">
        <f t="shared" si="51"/>
        <v>1.1706782335137305</v>
      </c>
      <c r="O374" s="427">
        <v>1.270610892524332</v>
      </c>
      <c r="P374" s="427">
        <f t="shared" si="53"/>
        <v>0.34362998596913208</v>
      </c>
      <c r="Q374" s="426">
        <f t="shared" si="55"/>
        <v>0.41888495289637201</v>
      </c>
      <c r="R374" s="532">
        <f t="shared" si="48"/>
        <v>1.8359598406438117E-2</v>
      </c>
    </row>
    <row r="375" spans="1:21" s="6" customFormat="1" ht="15.75">
      <c r="A375" s="268">
        <v>284</v>
      </c>
      <c r="B375" s="122" t="s">
        <v>1327</v>
      </c>
      <c r="C375" s="55">
        <v>456.1</v>
      </c>
      <c r="D375" s="55"/>
      <c r="E375" s="55">
        <v>56.9</v>
      </c>
      <c r="F375" s="611">
        <f t="shared" si="50"/>
        <v>513</v>
      </c>
      <c r="G375" s="18">
        <v>89.3</v>
      </c>
      <c r="H375" s="827">
        <v>9</v>
      </c>
      <c r="I375" s="330"/>
      <c r="J375" s="330">
        <v>1</v>
      </c>
      <c r="K375" s="142">
        <f t="shared" si="49"/>
        <v>10</v>
      </c>
      <c r="L375" s="589">
        <f t="shared" si="52"/>
        <v>2.0044097013429546E-3</v>
      </c>
      <c r="M375" s="315">
        <f t="shared" si="54"/>
        <v>4.5482661856083384</v>
      </c>
      <c r="N375" s="592">
        <f t="shared" si="51"/>
        <v>1.6723974764481861</v>
      </c>
      <c r="O375" s="427">
        <v>1.8151584178919031</v>
      </c>
      <c r="P375" s="427">
        <f t="shared" si="53"/>
        <v>0.49089997995590301</v>
      </c>
      <c r="Q375" s="426">
        <f t="shared" si="55"/>
        <v>0.59840707556624584</v>
      </c>
      <c r="R375" s="532">
        <f t="shared" si="48"/>
        <v>1.8694852137479349E-2</v>
      </c>
    </row>
    <row r="376" spans="1:21" s="6" customFormat="1" ht="15.75">
      <c r="A376" s="268">
        <v>285</v>
      </c>
      <c r="B376" s="122" t="s">
        <v>1328</v>
      </c>
      <c r="C376" s="55">
        <v>1004.92</v>
      </c>
      <c r="D376" s="55"/>
      <c r="E376" s="55">
        <v>18.5</v>
      </c>
      <c r="F376" s="611">
        <f t="shared" si="50"/>
        <v>1023.42</v>
      </c>
      <c r="G376" s="18">
        <v>97</v>
      </c>
      <c r="H376" s="827">
        <v>16</v>
      </c>
      <c r="I376" s="330"/>
      <c r="J376" s="330">
        <v>1</v>
      </c>
      <c r="K376" s="142">
        <f t="shared" si="49"/>
        <v>17</v>
      </c>
      <c r="L376" s="589">
        <f t="shared" si="52"/>
        <v>3.4074964922830228E-3</v>
      </c>
      <c r="M376" s="315">
        <f t="shared" si="54"/>
        <v>7.7320525155341757</v>
      </c>
      <c r="N376" s="592">
        <f t="shared" si="51"/>
        <v>2.8430757099619166</v>
      </c>
      <c r="O376" s="427">
        <v>3.0857693104162354</v>
      </c>
      <c r="P376" s="427">
        <f>L376*944.91</f>
        <v>3.219777510523151</v>
      </c>
      <c r="Q376" s="426">
        <f t="shared" si="55"/>
        <v>3.9249087853277214</v>
      </c>
      <c r="R376" s="532">
        <f t="shared" si="48"/>
        <v>1.6798028745010029E-2</v>
      </c>
    </row>
    <row r="377" spans="1:21" s="6" customFormat="1" ht="15.75">
      <c r="A377" s="268">
        <v>286</v>
      </c>
      <c r="B377" s="122" t="s">
        <v>1355</v>
      </c>
      <c r="C377" s="157">
        <v>74.599999999999994</v>
      </c>
      <c r="D377" s="157"/>
      <c r="E377" s="157"/>
      <c r="F377" s="611">
        <f t="shared" si="50"/>
        <v>74.599999999999994</v>
      </c>
      <c r="G377" s="18">
        <v>55.7</v>
      </c>
      <c r="H377" s="827">
        <v>1</v>
      </c>
      <c r="I377" s="154"/>
      <c r="J377" s="154"/>
      <c r="K377" s="386">
        <f t="shared" si="49"/>
        <v>1</v>
      </c>
      <c r="L377" s="589">
        <f t="shared" si="52"/>
        <v>2.0044097013429546E-4</v>
      </c>
      <c r="M377" s="315">
        <f t="shared" si="54"/>
        <v>0.4548266185608339</v>
      </c>
      <c r="N377" s="592">
        <f t="shared" si="51"/>
        <v>0.16723974764481864</v>
      </c>
      <c r="O377" s="427">
        <v>0.18151584178919031</v>
      </c>
      <c r="P377" s="427">
        <f t="shared" si="53"/>
        <v>4.9089997995590301E-2</v>
      </c>
      <c r="Q377" s="426">
        <f t="shared" si="55"/>
        <v>5.984070755662458E-2</v>
      </c>
      <c r="R377" s="532">
        <f t="shared" si="48"/>
        <v>1.1429922332311437E-2</v>
      </c>
      <c r="S377" s="5"/>
      <c r="T377" s="5"/>
      <c r="U377" s="5"/>
    </row>
    <row r="378" spans="1:21" s="6" customFormat="1" ht="15.75">
      <c r="A378" s="268">
        <v>287</v>
      </c>
      <c r="B378" s="122" t="s">
        <v>1356</v>
      </c>
      <c r="C378" s="535">
        <v>539</v>
      </c>
      <c r="D378" s="535"/>
      <c r="E378" s="535">
        <v>38.799999999999997</v>
      </c>
      <c r="F378" s="608">
        <f t="shared" si="50"/>
        <v>577.79999999999995</v>
      </c>
      <c r="G378" s="18">
        <v>59.3</v>
      </c>
      <c r="H378" s="827">
        <v>17</v>
      </c>
      <c r="I378" s="330"/>
      <c r="J378" s="330">
        <v>1</v>
      </c>
      <c r="K378" s="386">
        <f t="shared" si="49"/>
        <v>18</v>
      </c>
      <c r="L378" s="589">
        <f t="shared" si="52"/>
        <v>3.6079374624173183E-3</v>
      </c>
      <c r="M378" s="315">
        <f t="shared" si="54"/>
        <v>8.18687913409501</v>
      </c>
      <c r="N378" s="592">
        <f t="shared" si="51"/>
        <v>3.0103154576067355</v>
      </c>
      <c r="O378" s="427">
        <v>3.2672851522054258</v>
      </c>
      <c r="P378" s="427">
        <f t="shared" si="53"/>
        <v>0.88361996392062536</v>
      </c>
      <c r="Q378" s="426">
        <f t="shared" si="55"/>
        <v>1.0771327360192424</v>
      </c>
      <c r="R378" s="532">
        <f t="shared" si="48"/>
        <v>2.847513860450426E-2</v>
      </c>
    </row>
    <row r="379" spans="1:21" s="6" customFormat="1" ht="15.75">
      <c r="A379" s="275">
        <v>288</v>
      </c>
      <c r="B379" s="122" t="s">
        <v>1357</v>
      </c>
      <c r="C379" s="535">
        <v>379.4</v>
      </c>
      <c r="D379" s="535"/>
      <c r="E379" s="535"/>
      <c r="F379" s="608">
        <f t="shared" si="50"/>
        <v>379.4</v>
      </c>
      <c r="G379" s="18">
        <v>103.5</v>
      </c>
      <c r="H379" s="827">
        <v>9</v>
      </c>
      <c r="I379" s="330"/>
      <c r="J379" s="330"/>
      <c r="K379" s="386">
        <f t="shared" si="49"/>
        <v>9</v>
      </c>
      <c r="L379" s="589">
        <f t="shared" si="52"/>
        <v>1.8039687312086591E-3</v>
      </c>
      <c r="M379" s="315">
        <f t="shared" si="54"/>
        <v>4.093439567047505</v>
      </c>
      <c r="N379" s="592">
        <f t="shared" si="51"/>
        <v>1.5051577288033677</v>
      </c>
      <c r="O379" s="427">
        <v>1.6336425761027129</v>
      </c>
      <c r="P379" s="426">
        <f t="shared" ref="P379:P384" si="56">L379*244.91</f>
        <v>0.44180998196031268</v>
      </c>
      <c r="Q379" s="426">
        <f t="shared" si="55"/>
        <v>0.53856636800962121</v>
      </c>
      <c r="R379" s="532">
        <f t="shared" si="48"/>
        <v>2.0226805097295464E-2</v>
      </c>
    </row>
    <row r="380" spans="1:21" s="6" customFormat="1" ht="15.75">
      <c r="A380" s="268">
        <v>289</v>
      </c>
      <c r="B380" s="291" t="s">
        <v>1395</v>
      </c>
      <c r="C380" s="538">
        <f>1893+1096.4</f>
        <v>2989.4</v>
      </c>
      <c r="D380" s="553"/>
      <c r="E380" s="553"/>
      <c r="F380" s="611">
        <f t="shared" si="50"/>
        <v>2989.4</v>
      </c>
      <c r="G380" s="830">
        <v>0</v>
      </c>
      <c r="H380" s="800">
        <v>91</v>
      </c>
      <c r="I380" s="160"/>
      <c r="J380" s="799"/>
      <c r="K380" s="142">
        <f t="shared" si="49"/>
        <v>91</v>
      </c>
      <c r="L380" s="589">
        <f t="shared" si="52"/>
        <v>1.8240128282220887E-2</v>
      </c>
      <c r="M380" s="315">
        <f t="shared" si="54"/>
        <v>41.389222289035885</v>
      </c>
      <c r="N380" s="592">
        <f t="shared" si="51"/>
        <v>15.218817035678496</v>
      </c>
      <c r="O380" s="498">
        <v>16.517941602816318</v>
      </c>
      <c r="P380" s="426">
        <f t="shared" si="56"/>
        <v>4.467189817598717</v>
      </c>
      <c r="Q380" s="426">
        <f t="shared" si="55"/>
        <v>5.4455043876528366</v>
      </c>
      <c r="R380" s="532">
        <f t="shared" si="48"/>
        <v>2.5956101808098424E-2</v>
      </c>
    </row>
    <row r="381" spans="1:21" s="6" customFormat="1" ht="15.75">
      <c r="A381" s="268">
        <v>290</v>
      </c>
      <c r="B381" s="292" t="s">
        <v>1396</v>
      </c>
      <c r="C381" s="586">
        <v>527.29999999999995</v>
      </c>
      <c r="D381" s="553"/>
      <c r="E381" s="553"/>
      <c r="F381" s="611">
        <f t="shared" si="50"/>
        <v>527.29999999999995</v>
      </c>
      <c r="G381" s="831">
        <v>0</v>
      </c>
      <c r="H381" s="800">
        <v>14</v>
      </c>
      <c r="I381" s="160"/>
      <c r="J381" s="799"/>
      <c r="K381" s="142">
        <f t="shared" si="49"/>
        <v>14</v>
      </c>
      <c r="L381" s="589">
        <f t="shared" si="52"/>
        <v>2.8061735818801364E-3</v>
      </c>
      <c r="M381" s="315">
        <f t="shared" si="54"/>
        <v>6.3675726598516746</v>
      </c>
      <c r="N381" s="592">
        <f t="shared" si="51"/>
        <v>2.3413564670274609</v>
      </c>
      <c r="O381" s="498">
        <v>2.541221785048664</v>
      </c>
      <c r="P381" s="426">
        <f t="shared" si="56"/>
        <v>0.68725997193826416</v>
      </c>
      <c r="Q381" s="426">
        <f t="shared" si="55"/>
        <v>0.83776990579274402</v>
      </c>
      <c r="R381" s="532">
        <f t="shared" si="48"/>
        <v>2.2638746223906818E-2</v>
      </c>
    </row>
    <row r="382" spans="1:21" s="6" customFormat="1" ht="15.75">
      <c r="A382" s="268">
        <v>291</v>
      </c>
      <c r="B382" s="301" t="s">
        <v>1400</v>
      </c>
      <c r="C382" s="538">
        <v>2299.1999999999998</v>
      </c>
      <c r="D382" s="553"/>
      <c r="E382" s="553"/>
      <c r="F382" s="611">
        <f t="shared" si="50"/>
        <v>2299.1999999999998</v>
      </c>
      <c r="G382" s="832">
        <v>0</v>
      </c>
      <c r="H382" s="800">
        <v>56</v>
      </c>
      <c r="I382" s="160"/>
      <c r="J382" s="799"/>
      <c r="K382" s="142">
        <f t="shared" si="49"/>
        <v>56</v>
      </c>
      <c r="L382" s="589">
        <f t="shared" si="52"/>
        <v>1.1224694327520546E-2</v>
      </c>
      <c r="M382" s="315">
        <f t="shared" si="54"/>
        <v>25.470290639406699</v>
      </c>
      <c r="N382" s="592">
        <f t="shared" si="51"/>
        <v>9.3654258681098437</v>
      </c>
      <c r="O382" s="498">
        <v>10.164887140194656</v>
      </c>
      <c r="P382" s="426">
        <f t="shared" si="56"/>
        <v>2.7490398877530566</v>
      </c>
      <c r="Q382" s="426">
        <f t="shared" si="55"/>
        <v>3.3510796231709761</v>
      </c>
      <c r="R382" s="532">
        <f t="shared" si="48"/>
        <v>2.0767938211318834E-2</v>
      </c>
    </row>
    <row r="383" spans="1:21" s="6" customFormat="1" ht="15.75">
      <c r="A383" s="268">
        <v>292</v>
      </c>
      <c r="B383" s="302" t="s">
        <v>1401</v>
      </c>
      <c r="C383" s="539">
        <v>292.60000000000002</v>
      </c>
      <c r="D383" s="554"/>
      <c r="E383" s="554"/>
      <c r="F383" s="608">
        <f t="shared" si="50"/>
        <v>292.60000000000002</v>
      </c>
      <c r="G383" s="832">
        <v>203.4</v>
      </c>
      <c r="H383" s="800">
        <v>7</v>
      </c>
      <c r="I383" s="533"/>
      <c r="J383" s="799"/>
      <c r="K383" s="386">
        <f t="shared" si="49"/>
        <v>7</v>
      </c>
      <c r="L383" s="589">
        <f t="shared" si="52"/>
        <v>1.4030867909400682E-3</v>
      </c>
      <c r="M383" s="315">
        <f t="shared" si="54"/>
        <v>3.1837863299258373</v>
      </c>
      <c r="N383" s="592">
        <f t="shared" si="51"/>
        <v>1.1706782335137305</v>
      </c>
      <c r="O383" s="498">
        <v>0</v>
      </c>
      <c r="P383" s="426">
        <f t="shared" si="56"/>
        <v>0.34362998596913208</v>
      </c>
      <c r="Q383" s="426">
        <f t="shared" si="55"/>
        <v>0.41888495289637201</v>
      </c>
      <c r="R383" s="532">
        <f t="shared" si="48"/>
        <v>1.605637234931203E-2</v>
      </c>
    </row>
    <row r="384" spans="1:21" s="69" customFormat="1" ht="16.5" thickBot="1">
      <c r="A384" s="190"/>
      <c r="B384" s="163" t="s">
        <v>244</v>
      </c>
      <c r="C384" s="163">
        <f>SUM(C92:C383)</f>
        <v>223930.76000000007</v>
      </c>
      <c r="D384" s="163">
        <f>SUM(D92:D383)</f>
        <v>4473.8499999999995</v>
      </c>
      <c r="E384" s="163">
        <f>SUM(E92:E383)</f>
        <v>3784.1</v>
      </c>
      <c r="F384" s="612">
        <f>C384+D384+E384</f>
        <v>232188.71000000008</v>
      </c>
      <c r="G384" s="163">
        <f>SUM(G92:G383)</f>
        <v>28268.899999999998</v>
      </c>
      <c r="H384" s="186">
        <f>SUM(H92:H383)</f>
        <v>4818</v>
      </c>
      <c r="I384" s="163">
        <f>SUM(I92:I383)</f>
        <v>77</v>
      </c>
      <c r="J384" s="163">
        <f>SUM(J92:J383)</f>
        <v>94</v>
      </c>
      <c r="K384" s="580">
        <f>H384+I384+J384</f>
        <v>4989</v>
      </c>
      <c r="L384" s="589">
        <f>1/4989*K384</f>
        <v>1</v>
      </c>
      <c r="M384" s="315">
        <f t="shared" si="54"/>
        <v>2269.13</v>
      </c>
      <c r="N384" s="589">
        <f>M384*0.3677</f>
        <v>834.35910100000012</v>
      </c>
      <c r="O384" s="498">
        <f>SUM(O91:O383)</f>
        <v>919.19622282046123</v>
      </c>
      <c r="P384" s="426">
        <f t="shared" si="56"/>
        <v>244.91</v>
      </c>
      <c r="Q384" s="426">
        <f t="shared" si="55"/>
        <v>298.54529000000002</v>
      </c>
      <c r="R384" s="532">
        <f t="shared" si="48"/>
        <v>1.9057655695985935E-2</v>
      </c>
    </row>
    <row r="385" spans="1:18" s="209" customFormat="1" ht="16.5" thickBot="1">
      <c r="A385" s="137" t="s">
        <v>668</v>
      </c>
      <c r="B385" s="436"/>
      <c r="C385" s="436"/>
      <c r="D385" s="436"/>
      <c r="E385" s="436"/>
      <c r="F385" s="608">
        <f t="shared" si="50"/>
        <v>0</v>
      </c>
      <c r="G385" s="436"/>
      <c r="H385" s="423"/>
      <c r="I385" s="436"/>
      <c r="J385" s="436"/>
      <c r="K385" s="386">
        <f t="shared" si="49"/>
        <v>0</v>
      </c>
      <c r="L385" s="565"/>
      <c r="M385" s="315">
        <f>L385*2077.52</f>
        <v>0</v>
      </c>
      <c r="N385" s="596"/>
      <c r="O385" s="498">
        <v>0</v>
      </c>
      <c r="P385" s="508"/>
      <c r="Q385" s="426">
        <f t="shared" si="55"/>
        <v>0</v>
      </c>
      <c r="R385" s="532" t="e">
        <f t="shared" si="48"/>
        <v>#DIV/0!</v>
      </c>
    </row>
    <row r="386" spans="1:18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625">
        <f t="shared" si="50"/>
        <v>4235</v>
      </c>
      <c r="G386" s="142">
        <v>70</v>
      </c>
      <c r="H386" s="820">
        <v>70</v>
      </c>
      <c r="I386" s="386"/>
      <c r="J386" s="386"/>
      <c r="K386" s="142">
        <f t="shared" si="49"/>
        <v>70</v>
      </c>
      <c r="L386" s="589">
        <f t="shared" ref="L386:L449" si="57">1/5435*K386</f>
        <v>1.2879484820607174E-2</v>
      </c>
      <c r="M386" s="276">
        <f t="shared" ref="M386:M449" si="58">L386*2269.13</f>
        <v>29.22522539098436</v>
      </c>
      <c r="N386" s="590">
        <f t="shared" ref="N386:N449" si="59">M386*0.3677</f>
        <v>10.74611537626495</v>
      </c>
      <c r="O386" s="498">
        <v>11.349944506104329</v>
      </c>
      <c r="P386" s="426">
        <f t="shared" ref="P386:P449" si="60">L386*244.91</f>
        <v>3.154314627414903</v>
      </c>
      <c r="Q386" s="426">
        <f t="shared" si="55"/>
        <v>3.8451095308187671</v>
      </c>
      <c r="R386" s="532">
        <f t="shared" si="48"/>
        <v>1.2863187697938263E-2</v>
      </c>
    </row>
    <row r="387" spans="1:18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625">
        <f t="shared" si="50"/>
        <v>12601</v>
      </c>
      <c r="G387" s="55">
        <v>220</v>
      </c>
      <c r="H387" s="730">
        <v>220</v>
      </c>
      <c r="I387" s="330"/>
      <c r="J387" s="330"/>
      <c r="K387" s="142">
        <f t="shared" si="49"/>
        <v>220</v>
      </c>
      <c r="L387" s="589">
        <f t="shared" si="57"/>
        <v>4.0478380864765406E-2</v>
      </c>
      <c r="M387" s="276">
        <f t="shared" si="58"/>
        <v>91.850708371665135</v>
      </c>
      <c r="N387" s="425">
        <f t="shared" si="59"/>
        <v>33.77350546826127</v>
      </c>
      <c r="O387" s="498">
        <v>35.671254162042175</v>
      </c>
      <c r="P387" s="427">
        <f t="shared" si="60"/>
        <v>9.9135602575896957</v>
      </c>
      <c r="Q387" s="426">
        <f t="shared" si="55"/>
        <v>12.084629954001841</v>
      </c>
      <c r="R387" s="532">
        <f t="shared" si="48"/>
        <v>1.3586939787283411E-2</v>
      </c>
    </row>
    <row r="388" spans="1:18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625">
        <f t="shared" si="50"/>
        <v>12482</v>
      </c>
      <c r="G388" s="55">
        <v>220</v>
      </c>
      <c r="H388" s="730">
        <v>220</v>
      </c>
      <c r="I388" s="330"/>
      <c r="J388" s="330"/>
      <c r="K388" s="142">
        <f t="shared" si="49"/>
        <v>220</v>
      </c>
      <c r="L388" s="589">
        <f t="shared" si="57"/>
        <v>4.0478380864765406E-2</v>
      </c>
      <c r="M388" s="276">
        <f t="shared" si="58"/>
        <v>91.850708371665135</v>
      </c>
      <c r="N388" s="425">
        <f t="shared" si="59"/>
        <v>33.77350546826127</v>
      </c>
      <c r="O388" s="498">
        <v>35.671254162042175</v>
      </c>
      <c r="P388" s="427">
        <f t="shared" si="60"/>
        <v>9.9135602575896957</v>
      </c>
      <c r="Q388" s="426">
        <f t="shared" si="55"/>
        <v>12.084629954001841</v>
      </c>
      <c r="R388" s="532">
        <f t="shared" si="48"/>
        <v>1.3716473983300614E-2</v>
      </c>
    </row>
    <row r="389" spans="1:18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625">
        <f t="shared" si="50"/>
        <v>6092</v>
      </c>
      <c r="G389" s="55">
        <v>136</v>
      </c>
      <c r="H389" s="730">
        <v>136</v>
      </c>
      <c r="I389" s="330"/>
      <c r="J389" s="330"/>
      <c r="K389" s="142">
        <f t="shared" si="49"/>
        <v>136</v>
      </c>
      <c r="L389" s="589">
        <f t="shared" si="57"/>
        <v>2.5022999080036797E-2</v>
      </c>
      <c r="M389" s="276">
        <f t="shared" si="58"/>
        <v>56.780437902483904</v>
      </c>
      <c r="N389" s="425">
        <f t="shared" si="59"/>
        <v>20.878167016743333</v>
      </c>
      <c r="O389" s="498">
        <v>22.051320754716983</v>
      </c>
      <c r="P389" s="427">
        <f t="shared" si="60"/>
        <v>6.1283827046918118</v>
      </c>
      <c r="Q389" s="426">
        <f t="shared" si="55"/>
        <v>7.470498517019319</v>
      </c>
      <c r="R389" s="532">
        <f t="shared" si="48"/>
        <v>1.7373327048364418E-2</v>
      </c>
    </row>
    <row r="390" spans="1:18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625">
        <f t="shared" si="50"/>
        <v>12853.2</v>
      </c>
      <c r="G390" s="55">
        <v>221</v>
      </c>
      <c r="H390" s="730">
        <v>220</v>
      </c>
      <c r="I390" s="330"/>
      <c r="J390" s="330"/>
      <c r="K390" s="142">
        <f t="shared" si="49"/>
        <v>220</v>
      </c>
      <c r="L390" s="589">
        <f t="shared" si="57"/>
        <v>4.0478380864765406E-2</v>
      </c>
      <c r="M390" s="276">
        <f t="shared" si="58"/>
        <v>91.850708371665135</v>
      </c>
      <c r="N390" s="425">
        <f t="shared" si="59"/>
        <v>33.77350546826127</v>
      </c>
      <c r="O390" s="498">
        <v>35.671254162042175</v>
      </c>
      <c r="P390" s="427">
        <f t="shared" si="60"/>
        <v>9.9135602575896957</v>
      </c>
      <c r="Q390" s="426">
        <f t="shared" si="55"/>
        <v>12.084629954001841</v>
      </c>
      <c r="R390" s="532">
        <f t="shared" si="48"/>
        <v>1.3320342658603169E-2</v>
      </c>
    </row>
    <row r="391" spans="1:18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625">
        <f t="shared" si="50"/>
        <v>6317.1</v>
      </c>
      <c r="G391" s="55">
        <v>136</v>
      </c>
      <c r="H391" s="730">
        <v>136</v>
      </c>
      <c r="I391" s="330">
        <v>1</v>
      </c>
      <c r="J391" s="330"/>
      <c r="K391" s="142">
        <f t="shared" si="49"/>
        <v>137</v>
      </c>
      <c r="L391" s="589">
        <f t="shared" si="57"/>
        <v>2.5206991720331185E-2</v>
      </c>
      <c r="M391" s="276">
        <f t="shared" si="58"/>
        <v>57.197941122355104</v>
      </c>
      <c r="N391" s="425">
        <f t="shared" si="59"/>
        <v>21.031682950689973</v>
      </c>
      <c r="O391" s="498">
        <v>22.213462819089898</v>
      </c>
      <c r="P391" s="427">
        <f t="shared" si="60"/>
        <v>6.1734443422263103</v>
      </c>
      <c r="Q391" s="426">
        <f t="shared" si="55"/>
        <v>7.525428653173873</v>
      </c>
      <c r="R391" s="532">
        <f t="shared" si="48"/>
        <v>1.727422735488679E-2</v>
      </c>
    </row>
    <row r="392" spans="1:18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625">
        <f t="shared" si="50"/>
        <v>6243.1</v>
      </c>
      <c r="G392" s="55">
        <v>136</v>
      </c>
      <c r="H392" s="730">
        <v>136</v>
      </c>
      <c r="I392" s="330">
        <v>1</v>
      </c>
      <c r="J392" s="330"/>
      <c r="K392" s="142">
        <f t="shared" si="49"/>
        <v>137</v>
      </c>
      <c r="L392" s="589">
        <f t="shared" si="57"/>
        <v>2.5206991720331185E-2</v>
      </c>
      <c r="M392" s="276">
        <f t="shared" si="58"/>
        <v>57.197941122355104</v>
      </c>
      <c r="N392" s="425">
        <f t="shared" si="59"/>
        <v>21.031682950689973</v>
      </c>
      <c r="O392" s="498">
        <v>22.213462819089898</v>
      </c>
      <c r="P392" s="427">
        <f t="shared" si="60"/>
        <v>6.1734443422263103</v>
      </c>
      <c r="Q392" s="426">
        <f t="shared" si="55"/>
        <v>7.525428653173873</v>
      </c>
      <c r="R392" s="532">
        <f t="shared" si="48"/>
        <v>1.727422735488679E-2</v>
      </c>
    </row>
    <row r="393" spans="1:18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625">
        <f t="shared" si="50"/>
        <v>3918</v>
      </c>
      <c r="G393" s="55">
        <v>70</v>
      </c>
      <c r="H393" s="730">
        <v>70</v>
      </c>
      <c r="I393" s="330"/>
      <c r="J393" s="330"/>
      <c r="K393" s="142">
        <f t="shared" si="49"/>
        <v>70</v>
      </c>
      <c r="L393" s="589">
        <f t="shared" si="57"/>
        <v>1.2879484820607174E-2</v>
      </c>
      <c r="M393" s="276">
        <f t="shared" si="58"/>
        <v>29.22522539098436</v>
      </c>
      <c r="N393" s="425">
        <f t="shared" si="59"/>
        <v>10.74611537626495</v>
      </c>
      <c r="O393" s="498">
        <v>11.349944506104329</v>
      </c>
      <c r="P393" s="427">
        <f t="shared" si="60"/>
        <v>3.154314627414903</v>
      </c>
      <c r="Q393" s="426">
        <f t="shared" si="55"/>
        <v>3.8451095308187671</v>
      </c>
      <c r="R393" s="532">
        <f t="shared" si="48"/>
        <v>1.3903930551497842E-2</v>
      </c>
    </row>
    <row r="394" spans="1:18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625">
        <f t="shared" si="50"/>
        <v>4332</v>
      </c>
      <c r="G394" s="55">
        <v>70</v>
      </c>
      <c r="H394" s="730">
        <v>70</v>
      </c>
      <c r="I394" s="330"/>
      <c r="J394" s="330"/>
      <c r="K394" s="142">
        <f t="shared" si="49"/>
        <v>70</v>
      </c>
      <c r="L394" s="589">
        <f t="shared" si="57"/>
        <v>1.2879484820607174E-2</v>
      </c>
      <c r="M394" s="276">
        <f t="shared" si="58"/>
        <v>29.22522539098436</v>
      </c>
      <c r="N394" s="425">
        <f t="shared" si="59"/>
        <v>10.74611537626495</v>
      </c>
      <c r="O394" s="498">
        <v>11.349944506104329</v>
      </c>
      <c r="P394" s="427">
        <f t="shared" si="60"/>
        <v>3.154314627414903</v>
      </c>
      <c r="Q394" s="426">
        <f t="shared" si="55"/>
        <v>3.8451095308187671</v>
      </c>
      <c r="R394" s="532">
        <f t="shared" ref="R394:R457" si="61">(M394+N394+O394+P394)/C394</f>
        <v>1.2575161565274363E-2</v>
      </c>
    </row>
    <row r="395" spans="1:18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625">
        <f t="shared" si="50"/>
        <v>3911</v>
      </c>
      <c r="G395" s="55">
        <v>70</v>
      </c>
      <c r="H395" s="730">
        <v>70</v>
      </c>
      <c r="I395" s="330"/>
      <c r="J395" s="330"/>
      <c r="K395" s="142">
        <f t="shared" si="49"/>
        <v>70</v>
      </c>
      <c r="L395" s="589">
        <f t="shared" si="57"/>
        <v>1.2879484820607174E-2</v>
      </c>
      <c r="M395" s="276">
        <f t="shared" si="58"/>
        <v>29.22522539098436</v>
      </c>
      <c r="N395" s="425">
        <f t="shared" si="59"/>
        <v>10.74611537626495</v>
      </c>
      <c r="O395" s="498">
        <v>11.349944506104329</v>
      </c>
      <c r="P395" s="427">
        <f t="shared" si="60"/>
        <v>3.154314627414903</v>
      </c>
      <c r="Q395" s="426">
        <f t="shared" si="55"/>
        <v>3.8451095308187671</v>
      </c>
      <c r="R395" s="532">
        <f t="shared" si="61"/>
        <v>1.3928816134177588E-2</v>
      </c>
    </row>
    <row r="396" spans="1:18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625">
        <f t="shared" si="50"/>
        <v>3338</v>
      </c>
      <c r="G396" s="55">
        <v>120</v>
      </c>
      <c r="H396" s="730">
        <v>120</v>
      </c>
      <c r="I396" s="330"/>
      <c r="J396" s="330"/>
      <c r="K396" s="142">
        <f t="shared" si="49"/>
        <v>120</v>
      </c>
      <c r="L396" s="589">
        <f t="shared" si="57"/>
        <v>2.2079116835326585E-2</v>
      </c>
      <c r="M396" s="276">
        <f t="shared" si="58"/>
        <v>50.100386384544613</v>
      </c>
      <c r="N396" s="425">
        <f t="shared" si="59"/>
        <v>18.421912073597056</v>
      </c>
      <c r="O396" s="498">
        <v>19.457047724750275</v>
      </c>
      <c r="P396" s="427">
        <f t="shared" si="60"/>
        <v>5.4073965041398342</v>
      </c>
      <c r="Q396" s="426">
        <f t="shared" si="55"/>
        <v>6.5916163385464586</v>
      </c>
      <c r="R396" s="532">
        <f t="shared" si="61"/>
        <v>2.7976855208817195E-2</v>
      </c>
    </row>
    <row r="397" spans="1:18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625">
        <f t="shared" si="50"/>
        <v>3353</v>
      </c>
      <c r="G397" s="55">
        <v>120</v>
      </c>
      <c r="H397" s="730">
        <v>120</v>
      </c>
      <c r="I397" s="330"/>
      <c r="J397" s="330"/>
      <c r="K397" s="142">
        <f t="shared" si="49"/>
        <v>120</v>
      </c>
      <c r="L397" s="589">
        <f t="shared" si="57"/>
        <v>2.2079116835326585E-2</v>
      </c>
      <c r="M397" s="276">
        <f t="shared" si="58"/>
        <v>50.100386384544613</v>
      </c>
      <c r="N397" s="425">
        <f t="shared" si="59"/>
        <v>18.421912073597056</v>
      </c>
      <c r="O397" s="498">
        <v>19.457047724750275</v>
      </c>
      <c r="P397" s="427">
        <f t="shared" si="60"/>
        <v>5.4073965041398342</v>
      </c>
      <c r="Q397" s="426">
        <f t="shared" si="55"/>
        <v>6.5916163385464586</v>
      </c>
      <c r="R397" s="532">
        <f t="shared" si="61"/>
        <v>2.7851697789153532E-2</v>
      </c>
    </row>
    <row r="398" spans="1:18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625">
        <f t="shared" si="50"/>
        <v>4050</v>
      </c>
      <c r="G398" s="55">
        <v>90</v>
      </c>
      <c r="H398" s="730">
        <v>90</v>
      </c>
      <c r="I398" s="330"/>
      <c r="J398" s="330"/>
      <c r="K398" s="142">
        <f t="shared" si="49"/>
        <v>90</v>
      </c>
      <c r="L398" s="589">
        <f t="shared" si="57"/>
        <v>1.655933762649494E-2</v>
      </c>
      <c r="M398" s="276">
        <f t="shared" si="58"/>
        <v>37.575289788408462</v>
      </c>
      <c r="N398" s="425">
        <f t="shared" si="59"/>
        <v>13.816434055197792</v>
      </c>
      <c r="O398" s="498">
        <v>14.592785793562708</v>
      </c>
      <c r="P398" s="427">
        <f t="shared" si="60"/>
        <v>4.0555473781048752</v>
      </c>
      <c r="Q398" s="426">
        <f t="shared" si="55"/>
        <v>4.943712253909843</v>
      </c>
      <c r="R398" s="532">
        <f t="shared" si="61"/>
        <v>1.7293841238339221E-2</v>
      </c>
    </row>
    <row r="399" spans="1:18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625">
        <f t="shared" si="50"/>
        <v>4035</v>
      </c>
      <c r="G399" s="55">
        <v>90</v>
      </c>
      <c r="H399" s="730">
        <v>90</v>
      </c>
      <c r="I399" s="330"/>
      <c r="J399" s="330"/>
      <c r="K399" s="142">
        <f t="shared" si="49"/>
        <v>90</v>
      </c>
      <c r="L399" s="589">
        <f t="shared" si="57"/>
        <v>1.655933762649494E-2</v>
      </c>
      <c r="M399" s="276">
        <f t="shared" si="58"/>
        <v>37.575289788408462</v>
      </c>
      <c r="N399" s="425">
        <f t="shared" si="59"/>
        <v>13.816434055197792</v>
      </c>
      <c r="O399" s="498">
        <v>14.592785793562708</v>
      </c>
      <c r="P399" s="427">
        <f t="shared" si="60"/>
        <v>4.0555473781048752</v>
      </c>
      <c r="Q399" s="426">
        <f t="shared" si="55"/>
        <v>4.943712253909843</v>
      </c>
      <c r="R399" s="532">
        <f t="shared" si="61"/>
        <v>1.7358130610972453E-2</v>
      </c>
    </row>
    <row r="400" spans="1:18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625">
        <f t="shared" si="50"/>
        <v>4018</v>
      </c>
      <c r="G400" s="55">
        <v>90</v>
      </c>
      <c r="H400" s="730">
        <v>90</v>
      </c>
      <c r="I400" s="330"/>
      <c r="J400" s="330"/>
      <c r="K400" s="142">
        <f t="shared" ref="K400:K463" si="62">H400+I400+J400</f>
        <v>90</v>
      </c>
      <c r="L400" s="589">
        <f t="shared" si="57"/>
        <v>1.655933762649494E-2</v>
      </c>
      <c r="M400" s="276">
        <f t="shared" si="58"/>
        <v>37.575289788408462</v>
      </c>
      <c r="N400" s="425">
        <f t="shared" si="59"/>
        <v>13.816434055197792</v>
      </c>
      <c r="O400" s="498">
        <v>14.592785793562708</v>
      </c>
      <c r="P400" s="427">
        <f t="shared" si="60"/>
        <v>4.0555473781048752</v>
      </c>
      <c r="Q400" s="426">
        <f t="shared" si="55"/>
        <v>4.943712253909843</v>
      </c>
      <c r="R400" s="532">
        <f t="shared" si="61"/>
        <v>1.7431572179012905E-2</v>
      </c>
    </row>
    <row r="401" spans="1:18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625">
        <f t="shared" ref="F401:F464" si="63">C401+D401+E401</f>
        <v>4031</v>
      </c>
      <c r="G401" s="55">
        <v>90</v>
      </c>
      <c r="H401" s="730">
        <v>90</v>
      </c>
      <c r="I401" s="330"/>
      <c r="J401" s="330"/>
      <c r="K401" s="142">
        <f t="shared" si="62"/>
        <v>90</v>
      </c>
      <c r="L401" s="589">
        <f t="shared" si="57"/>
        <v>1.655933762649494E-2</v>
      </c>
      <c r="M401" s="276">
        <f t="shared" si="58"/>
        <v>37.575289788408462</v>
      </c>
      <c r="N401" s="425">
        <f t="shared" si="59"/>
        <v>13.816434055197792</v>
      </c>
      <c r="O401" s="498">
        <v>14.592785793562708</v>
      </c>
      <c r="P401" s="427">
        <f t="shared" si="60"/>
        <v>4.0555473781048752</v>
      </c>
      <c r="Q401" s="426">
        <f t="shared" si="55"/>
        <v>4.943712253909843</v>
      </c>
      <c r="R401" s="532">
        <f t="shared" si="61"/>
        <v>1.7375355250626109E-2</v>
      </c>
    </row>
    <row r="402" spans="1:18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625">
        <f t="shared" si="63"/>
        <v>4302</v>
      </c>
      <c r="G402" s="55">
        <v>70</v>
      </c>
      <c r="H402" s="730">
        <v>70</v>
      </c>
      <c r="I402" s="330"/>
      <c r="J402" s="330"/>
      <c r="K402" s="142">
        <f t="shared" si="62"/>
        <v>70</v>
      </c>
      <c r="L402" s="589">
        <f t="shared" si="57"/>
        <v>1.2879484820607174E-2</v>
      </c>
      <c r="M402" s="276">
        <f t="shared" si="58"/>
        <v>29.22522539098436</v>
      </c>
      <c r="N402" s="425">
        <f t="shared" si="59"/>
        <v>10.74611537626495</v>
      </c>
      <c r="O402" s="498">
        <v>11.349944506104329</v>
      </c>
      <c r="P402" s="427">
        <f t="shared" si="60"/>
        <v>3.154314627414903</v>
      </c>
      <c r="Q402" s="426">
        <f t="shared" si="55"/>
        <v>3.8451095308187671</v>
      </c>
      <c r="R402" s="532">
        <f t="shared" si="61"/>
        <v>1.2662854463219094E-2</v>
      </c>
    </row>
    <row r="403" spans="1:18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625">
        <f t="shared" si="63"/>
        <v>4275</v>
      </c>
      <c r="G403" s="55">
        <v>70</v>
      </c>
      <c r="H403" s="730">
        <v>70</v>
      </c>
      <c r="I403" s="330"/>
      <c r="J403" s="330"/>
      <c r="K403" s="142">
        <f t="shared" si="62"/>
        <v>70</v>
      </c>
      <c r="L403" s="589">
        <f t="shared" si="57"/>
        <v>1.2879484820607174E-2</v>
      </c>
      <c r="M403" s="276">
        <f t="shared" si="58"/>
        <v>29.22522539098436</v>
      </c>
      <c r="N403" s="425">
        <f t="shared" si="59"/>
        <v>10.74611537626495</v>
      </c>
      <c r="O403" s="498">
        <v>11.349944506104329</v>
      </c>
      <c r="P403" s="427">
        <f t="shared" si="60"/>
        <v>3.154314627414903</v>
      </c>
      <c r="Q403" s="426">
        <f t="shared" si="55"/>
        <v>3.8451095308187671</v>
      </c>
      <c r="R403" s="532">
        <f t="shared" si="61"/>
        <v>1.2742830386144689E-2</v>
      </c>
    </row>
    <row r="404" spans="1:18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625">
        <f t="shared" si="63"/>
        <v>4125</v>
      </c>
      <c r="G404" s="55">
        <v>171</v>
      </c>
      <c r="H404" s="730">
        <v>171</v>
      </c>
      <c r="I404" s="330"/>
      <c r="J404" s="330"/>
      <c r="K404" s="142">
        <f t="shared" si="62"/>
        <v>171</v>
      </c>
      <c r="L404" s="589">
        <f t="shared" si="57"/>
        <v>3.1462741490340382E-2</v>
      </c>
      <c r="M404" s="276">
        <f t="shared" si="58"/>
        <v>71.393050597976071</v>
      </c>
      <c r="N404" s="425">
        <f t="shared" si="59"/>
        <v>26.251224704875803</v>
      </c>
      <c r="O404" s="498">
        <v>27.726293007769144</v>
      </c>
      <c r="P404" s="427">
        <f t="shared" si="60"/>
        <v>7.7055400183992626</v>
      </c>
      <c r="Q404" s="426">
        <f t="shared" si="55"/>
        <v>9.393053282428701</v>
      </c>
      <c r="R404" s="532">
        <f t="shared" si="61"/>
        <v>3.2260874746429163E-2</v>
      </c>
    </row>
    <row r="405" spans="1:18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625">
        <f t="shared" si="63"/>
        <v>3975</v>
      </c>
      <c r="G405" s="55">
        <v>90</v>
      </c>
      <c r="H405" s="730">
        <v>90</v>
      </c>
      <c r="I405" s="330"/>
      <c r="J405" s="330"/>
      <c r="K405" s="142">
        <f t="shared" si="62"/>
        <v>90</v>
      </c>
      <c r="L405" s="589">
        <f t="shared" si="57"/>
        <v>1.655933762649494E-2</v>
      </c>
      <c r="M405" s="276">
        <f t="shared" si="58"/>
        <v>37.575289788408462</v>
      </c>
      <c r="N405" s="425">
        <f t="shared" si="59"/>
        <v>13.816434055197792</v>
      </c>
      <c r="O405" s="498">
        <v>14.592785793562708</v>
      </c>
      <c r="P405" s="427">
        <f t="shared" si="60"/>
        <v>4.0555473781048752</v>
      </c>
      <c r="Q405" s="426">
        <f t="shared" si="55"/>
        <v>4.943712253909843</v>
      </c>
      <c r="R405" s="532">
        <f t="shared" si="61"/>
        <v>1.7620140129628641E-2</v>
      </c>
    </row>
    <row r="406" spans="1:18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625">
        <f t="shared" si="63"/>
        <v>3357</v>
      </c>
      <c r="G406" s="55">
        <v>120</v>
      </c>
      <c r="H406" s="730">
        <v>120</v>
      </c>
      <c r="I406" s="330"/>
      <c r="J406" s="330"/>
      <c r="K406" s="142">
        <f t="shared" si="62"/>
        <v>120</v>
      </c>
      <c r="L406" s="589">
        <f t="shared" si="57"/>
        <v>2.2079116835326585E-2</v>
      </c>
      <c r="M406" s="276">
        <f t="shared" si="58"/>
        <v>50.100386384544613</v>
      </c>
      <c r="N406" s="425">
        <f t="shared" si="59"/>
        <v>18.421912073597056</v>
      </c>
      <c r="O406" s="498">
        <v>19.457047724750275</v>
      </c>
      <c r="P406" s="427">
        <f t="shared" si="60"/>
        <v>5.4073965041398342</v>
      </c>
      <c r="Q406" s="426">
        <f t="shared" si="55"/>
        <v>6.5916163385464586</v>
      </c>
      <c r="R406" s="532">
        <f t="shared" si="61"/>
        <v>2.7818511375344593E-2</v>
      </c>
    </row>
    <row r="407" spans="1:18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625">
        <f t="shared" si="63"/>
        <v>6146</v>
      </c>
      <c r="G407" s="55">
        <v>106</v>
      </c>
      <c r="H407" s="730">
        <v>106</v>
      </c>
      <c r="I407" s="330"/>
      <c r="J407" s="330"/>
      <c r="K407" s="142">
        <f t="shared" si="62"/>
        <v>106</v>
      </c>
      <c r="L407" s="589">
        <f t="shared" si="57"/>
        <v>1.9503219871205152E-2</v>
      </c>
      <c r="M407" s="276">
        <f t="shared" si="58"/>
        <v>44.255341306347745</v>
      </c>
      <c r="N407" s="425">
        <f t="shared" si="59"/>
        <v>16.272688998344066</v>
      </c>
      <c r="O407" s="498">
        <v>17.187058823529412</v>
      </c>
      <c r="P407" s="427">
        <f t="shared" si="60"/>
        <v>4.7765335786568537</v>
      </c>
      <c r="Q407" s="426">
        <f t="shared" si="55"/>
        <v>5.8225944323827052</v>
      </c>
      <c r="R407" s="532">
        <f t="shared" si="61"/>
        <v>1.342200174208885E-2</v>
      </c>
    </row>
    <row r="408" spans="1:18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625">
        <f t="shared" si="63"/>
        <v>983</v>
      </c>
      <c r="G408" s="55">
        <v>15</v>
      </c>
      <c r="H408" s="730">
        <v>15</v>
      </c>
      <c r="I408" s="330"/>
      <c r="J408" s="330"/>
      <c r="K408" s="142">
        <f t="shared" si="62"/>
        <v>15</v>
      </c>
      <c r="L408" s="589">
        <f t="shared" si="57"/>
        <v>2.7598896044158231E-3</v>
      </c>
      <c r="M408" s="276">
        <f t="shared" si="58"/>
        <v>6.2625482980680767</v>
      </c>
      <c r="N408" s="425">
        <f t="shared" si="59"/>
        <v>2.302739009199632</v>
      </c>
      <c r="O408" s="498">
        <v>2.4321309655937844</v>
      </c>
      <c r="P408" s="427">
        <f t="shared" si="60"/>
        <v>0.67592456301747927</v>
      </c>
      <c r="Q408" s="426">
        <f t="shared" si="55"/>
        <v>0.82395204231830732</v>
      </c>
      <c r="R408" s="532">
        <f t="shared" si="61"/>
        <v>1.1875221603132223E-2</v>
      </c>
    </row>
    <row r="409" spans="1:18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625">
        <f t="shared" si="63"/>
        <v>3815</v>
      </c>
      <c r="G409" s="55">
        <v>70</v>
      </c>
      <c r="H409" s="730">
        <v>70</v>
      </c>
      <c r="I409" s="330"/>
      <c r="J409" s="330"/>
      <c r="K409" s="142">
        <f t="shared" si="62"/>
        <v>70</v>
      </c>
      <c r="L409" s="589">
        <f t="shared" si="57"/>
        <v>1.2879484820607174E-2</v>
      </c>
      <c r="M409" s="276">
        <f t="shared" si="58"/>
        <v>29.22522539098436</v>
      </c>
      <c r="N409" s="425">
        <f t="shared" si="59"/>
        <v>10.74611537626495</v>
      </c>
      <c r="O409" s="498">
        <v>11.349944506104329</v>
      </c>
      <c r="P409" s="427">
        <f t="shared" si="60"/>
        <v>3.154314627414903</v>
      </c>
      <c r="Q409" s="426">
        <f t="shared" si="55"/>
        <v>3.8451095308187671</v>
      </c>
      <c r="R409" s="532">
        <f t="shared" si="61"/>
        <v>1.4279318453674585E-2</v>
      </c>
    </row>
    <row r="410" spans="1:18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625">
        <f t="shared" si="63"/>
        <v>4215</v>
      </c>
      <c r="G410" s="55">
        <v>171</v>
      </c>
      <c r="H410" s="730">
        <v>171</v>
      </c>
      <c r="I410" s="330"/>
      <c r="J410" s="330"/>
      <c r="K410" s="142">
        <f t="shared" si="62"/>
        <v>171</v>
      </c>
      <c r="L410" s="589">
        <f t="shared" si="57"/>
        <v>3.1462741490340382E-2</v>
      </c>
      <c r="M410" s="276">
        <f t="shared" si="58"/>
        <v>71.393050597976071</v>
      </c>
      <c r="N410" s="425">
        <f t="shared" si="59"/>
        <v>26.251224704875803</v>
      </c>
      <c r="O410" s="498">
        <v>27.726293007769144</v>
      </c>
      <c r="P410" s="427">
        <f t="shared" si="60"/>
        <v>7.7055400183992626</v>
      </c>
      <c r="Q410" s="426">
        <f t="shared" si="55"/>
        <v>9.393053282428701</v>
      </c>
      <c r="R410" s="532">
        <f t="shared" si="61"/>
        <v>3.157203044579366E-2</v>
      </c>
    </row>
    <row r="411" spans="1:18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625">
        <f t="shared" si="63"/>
        <v>12662</v>
      </c>
      <c r="G411" s="55">
        <v>216</v>
      </c>
      <c r="H411" s="730">
        <v>216</v>
      </c>
      <c r="I411" s="330"/>
      <c r="J411" s="330"/>
      <c r="K411" s="142">
        <f t="shared" si="62"/>
        <v>216</v>
      </c>
      <c r="L411" s="589">
        <f t="shared" si="57"/>
        <v>3.9742410303587855E-2</v>
      </c>
      <c r="M411" s="276">
        <f t="shared" si="58"/>
        <v>90.18069549218032</v>
      </c>
      <c r="N411" s="425">
        <f t="shared" si="59"/>
        <v>33.159441732474704</v>
      </c>
      <c r="O411" s="498">
        <v>35.022685904550499</v>
      </c>
      <c r="P411" s="427">
        <f t="shared" si="60"/>
        <v>9.7333137074517015</v>
      </c>
      <c r="Q411" s="426">
        <f t="shared" si="55"/>
        <v>11.864909409383625</v>
      </c>
      <c r="R411" s="532">
        <f t="shared" si="61"/>
        <v>1.3275638669772331E-2</v>
      </c>
    </row>
    <row r="412" spans="1:18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625">
        <f t="shared" si="63"/>
        <v>3976</v>
      </c>
      <c r="G412" s="55">
        <v>108</v>
      </c>
      <c r="H412" s="730">
        <v>108</v>
      </c>
      <c r="I412" s="330"/>
      <c r="J412" s="330"/>
      <c r="K412" s="142">
        <f t="shared" si="62"/>
        <v>108</v>
      </c>
      <c r="L412" s="589">
        <f t="shared" si="57"/>
        <v>1.9871205151793928E-2</v>
      </c>
      <c r="M412" s="276">
        <f t="shared" si="58"/>
        <v>45.09034774609016</v>
      </c>
      <c r="N412" s="425">
        <f t="shared" si="59"/>
        <v>16.579720866237352</v>
      </c>
      <c r="O412" s="498">
        <v>17.51134295227525</v>
      </c>
      <c r="P412" s="427">
        <f t="shared" si="60"/>
        <v>4.8666568537258508</v>
      </c>
      <c r="Q412" s="426">
        <f t="shared" si="55"/>
        <v>5.9324547046918124</v>
      </c>
      <c r="R412" s="532">
        <f t="shared" si="61"/>
        <v>2.1138850205817059E-2</v>
      </c>
    </row>
    <row r="413" spans="1:18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625">
        <f t="shared" si="63"/>
        <v>12839</v>
      </c>
      <c r="G413" s="55">
        <v>216</v>
      </c>
      <c r="H413" s="730">
        <v>216</v>
      </c>
      <c r="I413" s="330"/>
      <c r="J413" s="330"/>
      <c r="K413" s="142">
        <f t="shared" si="62"/>
        <v>216</v>
      </c>
      <c r="L413" s="589">
        <f t="shared" si="57"/>
        <v>3.9742410303587855E-2</v>
      </c>
      <c r="M413" s="276">
        <f t="shared" si="58"/>
        <v>90.18069549218032</v>
      </c>
      <c r="N413" s="425">
        <f t="shared" si="59"/>
        <v>33.159441732474704</v>
      </c>
      <c r="O413" s="498">
        <v>35.022685904550499</v>
      </c>
      <c r="P413" s="427">
        <f t="shared" si="60"/>
        <v>9.7333137074517015</v>
      </c>
      <c r="Q413" s="426">
        <f t="shared" ref="Q413:Q476" si="64">P413*1.219</f>
        <v>11.864909409383625</v>
      </c>
      <c r="R413" s="532">
        <f t="shared" si="61"/>
        <v>1.3092619116493282E-2</v>
      </c>
    </row>
    <row r="414" spans="1:18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625">
        <f t="shared" si="63"/>
        <v>10313</v>
      </c>
      <c r="G414" s="55">
        <v>180</v>
      </c>
      <c r="H414" s="730">
        <v>180</v>
      </c>
      <c r="I414" s="330"/>
      <c r="J414" s="330"/>
      <c r="K414" s="142">
        <f t="shared" si="62"/>
        <v>180</v>
      </c>
      <c r="L414" s="589">
        <f t="shared" si="57"/>
        <v>3.3118675252989879E-2</v>
      </c>
      <c r="M414" s="276">
        <f t="shared" si="58"/>
        <v>75.150579576816924</v>
      </c>
      <c r="N414" s="425">
        <f t="shared" si="59"/>
        <v>27.632868110395584</v>
      </c>
      <c r="O414" s="498">
        <v>29.185571587125416</v>
      </c>
      <c r="P414" s="427">
        <f t="shared" si="60"/>
        <v>8.1110947562097504</v>
      </c>
      <c r="Q414" s="426">
        <f t="shared" si="64"/>
        <v>9.8874245078196861</v>
      </c>
      <c r="R414" s="532">
        <f t="shared" si="61"/>
        <v>1.3582867645743013E-2</v>
      </c>
    </row>
    <row r="415" spans="1:18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625">
        <f t="shared" si="63"/>
        <v>6385</v>
      </c>
      <c r="G415" s="55">
        <v>108</v>
      </c>
      <c r="H415" s="730">
        <v>108</v>
      </c>
      <c r="I415" s="330"/>
      <c r="J415" s="330"/>
      <c r="K415" s="142">
        <f t="shared" si="62"/>
        <v>108</v>
      </c>
      <c r="L415" s="589">
        <f t="shared" si="57"/>
        <v>1.9871205151793928E-2</v>
      </c>
      <c r="M415" s="276">
        <f t="shared" si="58"/>
        <v>45.09034774609016</v>
      </c>
      <c r="N415" s="425">
        <f t="shared" si="59"/>
        <v>16.579720866237352</v>
      </c>
      <c r="O415" s="498">
        <v>17.51134295227525</v>
      </c>
      <c r="P415" s="427">
        <f t="shared" si="60"/>
        <v>4.8666568537258508</v>
      </c>
      <c r="Q415" s="426">
        <f t="shared" si="64"/>
        <v>5.9324547046918124</v>
      </c>
      <c r="R415" s="532">
        <f t="shared" si="61"/>
        <v>1.3163362320803231E-2</v>
      </c>
    </row>
    <row r="416" spans="1:18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625">
        <f t="shared" si="63"/>
        <v>3041.2</v>
      </c>
      <c r="G416" s="55">
        <v>53</v>
      </c>
      <c r="H416" s="730">
        <v>53</v>
      </c>
      <c r="I416" s="330">
        <v>1</v>
      </c>
      <c r="J416" s="330"/>
      <c r="K416" s="142">
        <f t="shared" si="62"/>
        <v>54</v>
      </c>
      <c r="L416" s="589">
        <f t="shared" si="57"/>
        <v>9.9356025758969638E-3</v>
      </c>
      <c r="M416" s="276">
        <f t="shared" si="58"/>
        <v>22.54517387304508</v>
      </c>
      <c r="N416" s="425">
        <f t="shared" si="59"/>
        <v>8.289860433118676</v>
      </c>
      <c r="O416" s="498">
        <v>8.7556714761376249</v>
      </c>
      <c r="P416" s="427">
        <f t="shared" si="60"/>
        <v>2.4333284268629254</v>
      </c>
      <c r="Q416" s="426">
        <f t="shared" si="64"/>
        <v>2.9662273523459062</v>
      </c>
      <c r="R416" s="532">
        <f t="shared" si="61"/>
        <v>1.3864742398272621E-2</v>
      </c>
    </row>
    <row r="417" spans="1:18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625">
        <f t="shared" si="63"/>
        <v>3886</v>
      </c>
      <c r="G417" s="55">
        <v>78</v>
      </c>
      <c r="H417" s="730">
        <v>78</v>
      </c>
      <c r="I417" s="330"/>
      <c r="J417" s="330"/>
      <c r="K417" s="142">
        <f t="shared" si="62"/>
        <v>78</v>
      </c>
      <c r="L417" s="589">
        <f t="shared" si="57"/>
        <v>1.435142594296228E-2</v>
      </c>
      <c r="M417" s="276">
        <f t="shared" si="58"/>
        <v>32.565251149954001</v>
      </c>
      <c r="N417" s="425">
        <f t="shared" si="59"/>
        <v>11.974242847838086</v>
      </c>
      <c r="O417" s="498">
        <v>12.647081021087679</v>
      </c>
      <c r="P417" s="427">
        <f t="shared" si="60"/>
        <v>3.5148077276908922</v>
      </c>
      <c r="Q417" s="426">
        <f t="shared" si="64"/>
        <v>4.2845506200551977</v>
      </c>
      <c r="R417" s="532">
        <f t="shared" si="61"/>
        <v>1.5620530814866355E-2</v>
      </c>
    </row>
    <row r="418" spans="1:18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625">
        <f t="shared" si="63"/>
        <v>4071</v>
      </c>
      <c r="G418" s="55">
        <v>144</v>
      </c>
      <c r="H418" s="730">
        <v>144</v>
      </c>
      <c r="I418" s="330"/>
      <c r="J418" s="330"/>
      <c r="K418" s="142">
        <f t="shared" si="62"/>
        <v>144</v>
      </c>
      <c r="L418" s="589">
        <f t="shared" si="57"/>
        <v>2.6494940202391903E-2</v>
      </c>
      <c r="M418" s="276">
        <f t="shared" si="58"/>
        <v>60.120463661453542</v>
      </c>
      <c r="N418" s="425">
        <f t="shared" si="59"/>
        <v>22.106294488316468</v>
      </c>
      <c r="O418" s="498">
        <v>23.348457269700333</v>
      </c>
      <c r="P418" s="427">
        <f t="shared" si="60"/>
        <v>6.488875804967801</v>
      </c>
      <c r="Q418" s="426">
        <f t="shared" si="64"/>
        <v>7.9099396062557501</v>
      </c>
      <c r="R418" s="532">
        <f t="shared" si="61"/>
        <v>2.7527411256310034E-2</v>
      </c>
    </row>
    <row r="419" spans="1:18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625">
        <f t="shared" si="63"/>
        <v>352.6</v>
      </c>
      <c r="G419" s="55">
        <v>3</v>
      </c>
      <c r="H419" s="730">
        <v>3</v>
      </c>
      <c r="I419" s="330"/>
      <c r="J419" s="330">
        <v>3</v>
      </c>
      <c r="K419" s="142">
        <f t="shared" si="62"/>
        <v>6</v>
      </c>
      <c r="L419" s="589">
        <f t="shared" si="57"/>
        <v>1.1039558417663292E-3</v>
      </c>
      <c r="M419" s="276">
        <f t="shared" si="58"/>
        <v>2.5050193192272308</v>
      </c>
      <c r="N419" s="425">
        <f t="shared" si="59"/>
        <v>0.92109560367985277</v>
      </c>
      <c r="O419" s="498">
        <v>0.9728523862375138</v>
      </c>
      <c r="P419" s="427">
        <f>L419*1244.91</f>
        <v>1.374325666973321</v>
      </c>
      <c r="Q419" s="426">
        <f t="shared" si="64"/>
        <v>1.6753029880404784</v>
      </c>
      <c r="R419" s="532">
        <f t="shared" si="61"/>
        <v>3.5836703762370685E-2</v>
      </c>
    </row>
    <row r="420" spans="1:18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625">
        <f t="shared" si="63"/>
        <v>656.95</v>
      </c>
      <c r="G420" s="55">
        <v>19</v>
      </c>
      <c r="H420" s="730">
        <v>19</v>
      </c>
      <c r="I420" s="330"/>
      <c r="J420" s="330"/>
      <c r="K420" s="142">
        <f t="shared" si="62"/>
        <v>19</v>
      </c>
      <c r="L420" s="589">
        <f t="shared" si="57"/>
        <v>3.4958601655933762E-3</v>
      </c>
      <c r="M420" s="276">
        <f t="shared" si="58"/>
        <v>7.9325611775528984</v>
      </c>
      <c r="N420" s="425">
        <f t="shared" si="59"/>
        <v>2.9168027449862008</v>
      </c>
      <c r="O420" s="498">
        <v>3.0806992230854604</v>
      </c>
      <c r="P420" s="427">
        <f t="shared" si="60"/>
        <v>0.85617111315547378</v>
      </c>
      <c r="Q420" s="426">
        <f t="shared" si="64"/>
        <v>1.0436725869365227</v>
      </c>
      <c r="R420" s="532">
        <f t="shared" si="61"/>
        <v>2.2507396694999671E-2</v>
      </c>
    </row>
    <row r="421" spans="1:18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625">
        <f t="shared" si="63"/>
        <v>485.16</v>
      </c>
      <c r="G421" s="55">
        <v>10</v>
      </c>
      <c r="H421" s="730">
        <v>10</v>
      </c>
      <c r="I421" s="330"/>
      <c r="J421" s="330"/>
      <c r="K421" s="142">
        <f t="shared" si="62"/>
        <v>10</v>
      </c>
      <c r="L421" s="589">
        <f t="shared" si="57"/>
        <v>1.8399264029438822E-3</v>
      </c>
      <c r="M421" s="276">
        <f t="shared" si="58"/>
        <v>4.175032198712052</v>
      </c>
      <c r="N421" s="425">
        <f t="shared" si="59"/>
        <v>1.5351593394664216</v>
      </c>
      <c r="O421" s="498">
        <v>1.6214206437291898</v>
      </c>
      <c r="P421" s="427">
        <f t="shared" si="60"/>
        <v>0.45061637534498616</v>
      </c>
      <c r="Q421" s="426">
        <f t="shared" si="64"/>
        <v>0.54930136154553821</v>
      </c>
      <c r="R421" s="532">
        <f t="shared" si="61"/>
        <v>1.6040540352157327E-2</v>
      </c>
    </row>
    <row r="422" spans="1:18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625">
        <f t="shared" si="63"/>
        <v>286.92</v>
      </c>
      <c r="G422" s="55">
        <v>8</v>
      </c>
      <c r="H422" s="730">
        <v>8</v>
      </c>
      <c r="I422" s="330"/>
      <c r="J422" s="330"/>
      <c r="K422" s="142">
        <f t="shared" si="62"/>
        <v>8</v>
      </c>
      <c r="L422" s="589">
        <f t="shared" si="57"/>
        <v>1.4719411223551057E-3</v>
      </c>
      <c r="M422" s="276">
        <f t="shared" si="58"/>
        <v>3.3400257589696412</v>
      </c>
      <c r="N422" s="425">
        <f t="shared" si="59"/>
        <v>1.2281274715731372</v>
      </c>
      <c r="O422" s="498">
        <v>1.2971365149833518</v>
      </c>
      <c r="P422" s="427">
        <f t="shared" si="60"/>
        <v>0.36049310027598891</v>
      </c>
      <c r="Q422" s="426">
        <f t="shared" si="64"/>
        <v>0.43944108923643049</v>
      </c>
      <c r="R422" s="532">
        <f t="shared" si="61"/>
        <v>2.169867156629764E-2</v>
      </c>
    </row>
    <row r="423" spans="1:18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625">
        <f t="shared" si="63"/>
        <v>226.94</v>
      </c>
      <c r="G423" s="55">
        <v>5</v>
      </c>
      <c r="H423" s="730">
        <v>5</v>
      </c>
      <c r="I423" s="330"/>
      <c r="J423" s="330"/>
      <c r="K423" s="142">
        <f t="shared" si="62"/>
        <v>5</v>
      </c>
      <c r="L423" s="589">
        <f t="shared" si="57"/>
        <v>9.1996320147194111E-4</v>
      </c>
      <c r="M423" s="276">
        <f t="shared" si="58"/>
        <v>2.087516099356026</v>
      </c>
      <c r="N423" s="425">
        <f t="shared" si="59"/>
        <v>0.76757966973321079</v>
      </c>
      <c r="O423" s="498">
        <v>0.81071032186459491</v>
      </c>
      <c r="P423" s="427">
        <f t="shared" si="60"/>
        <v>0.22530818767249308</v>
      </c>
      <c r="Q423" s="426">
        <f t="shared" si="64"/>
        <v>0.27465068077276911</v>
      </c>
      <c r="R423" s="532">
        <f t="shared" si="61"/>
        <v>1.7146004576656052E-2</v>
      </c>
    </row>
    <row r="424" spans="1:18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625">
        <f t="shared" si="63"/>
        <v>307.14999999999998</v>
      </c>
      <c r="G424" s="55">
        <v>10</v>
      </c>
      <c r="H424" s="730">
        <v>10</v>
      </c>
      <c r="I424" s="330"/>
      <c r="J424" s="330"/>
      <c r="K424" s="142">
        <f t="shared" si="62"/>
        <v>10</v>
      </c>
      <c r="L424" s="589">
        <f t="shared" si="57"/>
        <v>1.8399264029438822E-3</v>
      </c>
      <c r="M424" s="276">
        <f t="shared" si="58"/>
        <v>4.175032198712052</v>
      </c>
      <c r="N424" s="425">
        <f t="shared" si="59"/>
        <v>1.5351593394664216</v>
      </c>
      <c r="O424" s="498">
        <v>1.6214206437291898</v>
      </c>
      <c r="P424" s="427">
        <f t="shared" si="60"/>
        <v>0.45061637534498616</v>
      </c>
      <c r="Q424" s="426">
        <f t="shared" si="64"/>
        <v>0.54930136154553821</v>
      </c>
      <c r="R424" s="532">
        <f t="shared" si="61"/>
        <v>2.5336899095727332E-2</v>
      </c>
    </row>
    <row r="425" spans="1:18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625">
        <f t="shared" si="63"/>
        <v>329.65</v>
      </c>
      <c r="G425" s="55">
        <v>10</v>
      </c>
      <c r="H425" s="730">
        <v>10</v>
      </c>
      <c r="I425" s="330"/>
      <c r="J425" s="330"/>
      <c r="K425" s="142">
        <f t="shared" si="62"/>
        <v>10</v>
      </c>
      <c r="L425" s="589">
        <f t="shared" si="57"/>
        <v>1.8399264029438822E-3</v>
      </c>
      <c r="M425" s="276">
        <f t="shared" si="58"/>
        <v>4.175032198712052</v>
      </c>
      <c r="N425" s="425">
        <f t="shared" si="59"/>
        <v>1.5351593394664216</v>
      </c>
      <c r="O425" s="498">
        <v>1.6214206437291898</v>
      </c>
      <c r="P425" s="427">
        <f t="shared" si="60"/>
        <v>0.45061637534498616</v>
      </c>
      <c r="Q425" s="426">
        <f t="shared" si="64"/>
        <v>0.54930136154553821</v>
      </c>
      <c r="R425" s="532">
        <f t="shared" si="61"/>
        <v>2.3607549089193536E-2</v>
      </c>
    </row>
    <row r="426" spans="1:18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625">
        <f t="shared" si="63"/>
        <v>255.16</v>
      </c>
      <c r="G426" s="55">
        <v>8</v>
      </c>
      <c r="H426" s="730">
        <v>8</v>
      </c>
      <c r="I426" s="330"/>
      <c r="J426" s="330"/>
      <c r="K426" s="142">
        <f t="shared" si="62"/>
        <v>8</v>
      </c>
      <c r="L426" s="589">
        <f t="shared" si="57"/>
        <v>1.4719411223551057E-3</v>
      </c>
      <c r="M426" s="276">
        <f t="shared" si="58"/>
        <v>3.3400257589696412</v>
      </c>
      <c r="N426" s="425">
        <f t="shared" si="59"/>
        <v>1.2281274715731372</v>
      </c>
      <c r="O426" s="498">
        <v>1.2971365149833518</v>
      </c>
      <c r="P426" s="427">
        <f t="shared" si="60"/>
        <v>0.36049310027598891</v>
      </c>
      <c r="Q426" s="426">
        <f t="shared" si="64"/>
        <v>0.43944108923643049</v>
      </c>
      <c r="R426" s="532">
        <f t="shared" si="61"/>
        <v>2.4399525183422636E-2</v>
      </c>
    </row>
    <row r="427" spans="1:18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625">
        <f t="shared" si="63"/>
        <v>509.32</v>
      </c>
      <c r="G427" s="55">
        <v>15</v>
      </c>
      <c r="H427" s="730">
        <v>16</v>
      </c>
      <c r="I427" s="330"/>
      <c r="J427" s="330"/>
      <c r="K427" s="142">
        <f t="shared" si="62"/>
        <v>16</v>
      </c>
      <c r="L427" s="589">
        <f t="shared" si="57"/>
        <v>2.9438822447102114E-3</v>
      </c>
      <c r="M427" s="276">
        <f t="shared" si="58"/>
        <v>6.6800515179392823</v>
      </c>
      <c r="N427" s="425">
        <f t="shared" si="59"/>
        <v>2.4562549431462743</v>
      </c>
      <c r="O427" s="498">
        <v>2.5942730299667036</v>
      </c>
      <c r="P427" s="427">
        <f t="shared" si="60"/>
        <v>0.72098620055197782</v>
      </c>
      <c r="Q427" s="426">
        <f t="shared" si="64"/>
        <v>0.87888217847286099</v>
      </c>
      <c r="R427" s="532">
        <f t="shared" si="61"/>
        <v>2.444743126443933E-2</v>
      </c>
    </row>
    <row r="428" spans="1:18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625">
        <f t="shared" si="63"/>
        <v>509.19</v>
      </c>
      <c r="G428" s="55">
        <v>14</v>
      </c>
      <c r="H428" s="730">
        <v>14</v>
      </c>
      <c r="I428" s="330"/>
      <c r="J428" s="330"/>
      <c r="K428" s="142">
        <f t="shared" si="62"/>
        <v>14</v>
      </c>
      <c r="L428" s="589">
        <f t="shared" si="57"/>
        <v>2.5758969641214349E-3</v>
      </c>
      <c r="M428" s="276">
        <f t="shared" si="58"/>
        <v>5.8450450781968719</v>
      </c>
      <c r="N428" s="425">
        <f t="shared" si="59"/>
        <v>2.1492230752529902</v>
      </c>
      <c r="O428" s="498">
        <v>2.2699889012208656</v>
      </c>
      <c r="P428" s="427">
        <f t="shared" si="60"/>
        <v>0.63086292548298062</v>
      </c>
      <c r="Q428" s="426">
        <f t="shared" si="64"/>
        <v>0.76902190616375343</v>
      </c>
      <c r="R428" s="532">
        <f t="shared" si="61"/>
        <v>2.1396963766283136E-2</v>
      </c>
    </row>
    <row r="429" spans="1:18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625">
        <f t="shared" si="63"/>
        <v>291.43</v>
      </c>
      <c r="G429" s="55">
        <v>10</v>
      </c>
      <c r="H429" s="730">
        <v>10</v>
      </c>
      <c r="I429" s="330"/>
      <c r="J429" s="330"/>
      <c r="K429" s="142">
        <f t="shared" si="62"/>
        <v>10</v>
      </c>
      <c r="L429" s="589">
        <f t="shared" si="57"/>
        <v>1.8399264029438822E-3</v>
      </c>
      <c r="M429" s="276">
        <f t="shared" si="58"/>
        <v>4.175032198712052</v>
      </c>
      <c r="N429" s="425">
        <f t="shared" si="59"/>
        <v>1.5351593394664216</v>
      </c>
      <c r="O429" s="498">
        <v>1.6214206437291898</v>
      </c>
      <c r="P429" s="427">
        <f t="shared" si="60"/>
        <v>0.45061637534498616</v>
      </c>
      <c r="Q429" s="426">
        <f t="shared" si="64"/>
        <v>0.54930136154553821</v>
      </c>
      <c r="R429" s="532">
        <f t="shared" si="61"/>
        <v>2.6703594541579966E-2</v>
      </c>
    </row>
    <row r="430" spans="1:18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625">
        <f t="shared" si="63"/>
        <v>449.48</v>
      </c>
      <c r="G430" s="55">
        <v>13</v>
      </c>
      <c r="H430" s="730">
        <v>13</v>
      </c>
      <c r="I430" s="330"/>
      <c r="J430" s="330"/>
      <c r="K430" s="142">
        <f t="shared" si="62"/>
        <v>13</v>
      </c>
      <c r="L430" s="589">
        <f t="shared" si="57"/>
        <v>2.3919043238270466E-3</v>
      </c>
      <c r="M430" s="276">
        <f t="shared" si="58"/>
        <v>5.4275418583256663</v>
      </c>
      <c r="N430" s="425">
        <f t="shared" si="59"/>
        <v>1.9957071413063476</v>
      </c>
      <c r="O430" s="498">
        <v>2.1078468368479468</v>
      </c>
      <c r="P430" s="427">
        <f t="shared" si="60"/>
        <v>0.58580128794848196</v>
      </c>
      <c r="Q430" s="426">
        <f t="shared" si="64"/>
        <v>0.71409177000919954</v>
      </c>
      <c r="R430" s="532">
        <f t="shared" si="61"/>
        <v>2.2508002857587524E-2</v>
      </c>
    </row>
    <row r="431" spans="1:18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625">
        <f t="shared" si="63"/>
        <v>467.46</v>
      </c>
      <c r="G431" s="55">
        <v>10</v>
      </c>
      <c r="H431" s="730">
        <v>10</v>
      </c>
      <c r="I431" s="330"/>
      <c r="J431" s="330"/>
      <c r="K431" s="142">
        <f t="shared" si="62"/>
        <v>10</v>
      </c>
      <c r="L431" s="589">
        <f t="shared" si="57"/>
        <v>1.8399264029438822E-3</v>
      </c>
      <c r="M431" s="276">
        <f t="shared" si="58"/>
        <v>4.175032198712052</v>
      </c>
      <c r="N431" s="425">
        <f t="shared" si="59"/>
        <v>1.5351593394664216</v>
      </c>
      <c r="O431" s="498">
        <v>1.6214206437291898</v>
      </c>
      <c r="P431" s="427">
        <f t="shared" si="60"/>
        <v>0.45061637534498616</v>
      </c>
      <c r="Q431" s="426">
        <f t="shared" si="64"/>
        <v>0.54930136154553821</v>
      </c>
      <c r="R431" s="532">
        <f t="shared" si="61"/>
        <v>1.6647902616807105E-2</v>
      </c>
    </row>
    <row r="432" spans="1:18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625">
        <f t="shared" si="63"/>
        <v>558.4</v>
      </c>
      <c r="G432" s="55">
        <v>11</v>
      </c>
      <c r="H432" s="730">
        <v>11</v>
      </c>
      <c r="I432" s="330"/>
      <c r="J432" s="330">
        <v>3</v>
      </c>
      <c r="K432" s="142">
        <f t="shared" si="62"/>
        <v>14</v>
      </c>
      <c r="L432" s="589">
        <f t="shared" si="57"/>
        <v>2.5758969641214349E-3</v>
      </c>
      <c r="M432" s="276">
        <f t="shared" si="58"/>
        <v>5.8450450781968719</v>
      </c>
      <c r="N432" s="425">
        <f t="shared" si="59"/>
        <v>2.1492230752529902</v>
      </c>
      <c r="O432" s="498">
        <v>2.2699889012208656</v>
      </c>
      <c r="P432" s="427">
        <f t="shared" si="60"/>
        <v>0.63086292548298062</v>
      </c>
      <c r="Q432" s="426">
        <f t="shared" si="64"/>
        <v>0.76902190616375343</v>
      </c>
      <c r="R432" s="532">
        <f t="shared" si="61"/>
        <v>2.5384715703992804E-2</v>
      </c>
    </row>
    <row r="433" spans="1:19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625">
        <f t="shared" si="63"/>
        <v>331.42</v>
      </c>
      <c r="G433" s="55">
        <v>10</v>
      </c>
      <c r="H433" s="730">
        <v>10</v>
      </c>
      <c r="I433" s="330"/>
      <c r="J433" s="330"/>
      <c r="K433" s="142">
        <f t="shared" si="62"/>
        <v>10</v>
      </c>
      <c r="L433" s="589">
        <f t="shared" si="57"/>
        <v>1.8399264029438822E-3</v>
      </c>
      <c r="M433" s="276">
        <f t="shared" si="58"/>
        <v>4.175032198712052</v>
      </c>
      <c r="N433" s="425">
        <f t="shared" si="59"/>
        <v>1.5351593394664216</v>
      </c>
      <c r="O433" s="498">
        <v>1.6214206437291898</v>
      </c>
      <c r="P433" s="427">
        <f t="shared" si="60"/>
        <v>0.45061637534498616</v>
      </c>
      <c r="Q433" s="426">
        <f t="shared" si="64"/>
        <v>0.54930136154553821</v>
      </c>
      <c r="R433" s="532">
        <f t="shared" si="61"/>
        <v>2.348146930557193E-2</v>
      </c>
    </row>
    <row r="434" spans="1:19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625">
        <f t="shared" si="63"/>
        <v>154.9</v>
      </c>
      <c r="G434" s="55">
        <v>3</v>
      </c>
      <c r="H434" s="730">
        <v>3</v>
      </c>
      <c r="I434" s="330"/>
      <c r="J434" s="330"/>
      <c r="K434" s="142">
        <f t="shared" si="62"/>
        <v>3</v>
      </c>
      <c r="L434" s="589">
        <f t="shared" si="57"/>
        <v>5.5197792088316458E-4</v>
      </c>
      <c r="M434" s="276">
        <f t="shared" si="58"/>
        <v>1.2525096596136154</v>
      </c>
      <c r="N434" s="425">
        <f t="shared" si="59"/>
        <v>0.46054780183992639</v>
      </c>
      <c r="O434" s="498">
        <v>0.4864261931187569</v>
      </c>
      <c r="P434" s="427">
        <f t="shared" si="60"/>
        <v>0.13518491260349583</v>
      </c>
      <c r="Q434" s="426">
        <f t="shared" si="64"/>
        <v>0.16479040846366141</v>
      </c>
      <c r="R434" s="532">
        <f t="shared" si="61"/>
        <v>1.5072101789385371E-2</v>
      </c>
    </row>
    <row r="435" spans="1:19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625">
        <f t="shared" si="63"/>
        <v>119.9</v>
      </c>
      <c r="G435" s="55">
        <v>3</v>
      </c>
      <c r="H435" s="730">
        <v>3</v>
      </c>
      <c r="I435" s="330"/>
      <c r="J435" s="330"/>
      <c r="K435" s="142">
        <f t="shared" si="62"/>
        <v>3</v>
      </c>
      <c r="L435" s="589">
        <f t="shared" si="57"/>
        <v>5.5197792088316458E-4</v>
      </c>
      <c r="M435" s="276">
        <f t="shared" si="58"/>
        <v>1.2525096596136154</v>
      </c>
      <c r="N435" s="425">
        <f t="shared" si="59"/>
        <v>0.46054780183992639</v>
      </c>
      <c r="O435" s="498">
        <v>0.4864261931187569</v>
      </c>
      <c r="P435" s="427">
        <f t="shared" si="60"/>
        <v>0.13518491260349583</v>
      </c>
      <c r="Q435" s="426">
        <f t="shared" si="64"/>
        <v>0.16479040846366141</v>
      </c>
      <c r="R435" s="532">
        <f t="shared" si="61"/>
        <v>1.9471797891374428E-2</v>
      </c>
    </row>
    <row r="436" spans="1:19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625">
        <f t="shared" si="63"/>
        <v>300.3</v>
      </c>
      <c r="G436" s="55">
        <v>10</v>
      </c>
      <c r="H436" s="730">
        <v>10</v>
      </c>
      <c r="I436" s="330"/>
      <c r="J436" s="330">
        <v>1</v>
      </c>
      <c r="K436" s="142">
        <f t="shared" si="62"/>
        <v>11</v>
      </c>
      <c r="L436" s="589">
        <f t="shared" si="57"/>
        <v>2.0239190432382705E-3</v>
      </c>
      <c r="M436" s="276">
        <f t="shared" si="58"/>
        <v>4.5925354185832568</v>
      </c>
      <c r="N436" s="425">
        <f t="shared" si="59"/>
        <v>1.6886752734130637</v>
      </c>
      <c r="O436" s="498">
        <v>1.7835627081021086</v>
      </c>
      <c r="P436" s="427">
        <f t="shared" si="60"/>
        <v>0.49567801287948482</v>
      </c>
      <c r="Q436" s="426">
        <f t="shared" si="64"/>
        <v>0.60423149770009199</v>
      </c>
      <c r="R436" s="532">
        <f t="shared" si="61"/>
        <v>3.0496798763726091E-2</v>
      </c>
    </row>
    <row r="437" spans="1:19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625">
        <f t="shared" si="63"/>
        <v>226.84</v>
      </c>
      <c r="G437" s="55">
        <v>8</v>
      </c>
      <c r="H437" s="730">
        <v>8</v>
      </c>
      <c r="I437" s="330"/>
      <c r="J437" s="330"/>
      <c r="K437" s="142">
        <f t="shared" si="62"/>
        <v>8</v>
      </c>
      <c r="L437" s="589">
        <f t="shared" si="57"/>
        <v>1.4719411223551057E-3</v>
      </c>
      <c r="M437" s="276">
        <f t="shared" si="58"/>
        <v>3.3400257589696412</v>
      </c>
      <c r="N437" s="425">
        <f t="shared" si="59"/>
        <v>1.2281274715731372</v>
      </c>
      <c r="O437" s="498">
        <v>1.2971365149833518</v>
      </c>
      <c r="P437" s="427">
        <f t="shared" si="60"/>
        <v>0.36049310027598891</v>
      </c>
      <c r="Q437" s="426">
        <f t="shared" si="64"/>
        <v>0.43944108923643049</v>
      </c>
      <c r="R437" s="532">
        <f t="shared" si="61"/>
        <v>2.7445701136493209E-2</v>
      </c>
    </row>
    <row r="438" spans="1:19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625">
        <f t="shared" si="63"/>
        <v>216.3</v>
      </c>
      <c r="G438" s="55">
        <v>7</v>
      </c>
      <c r="H438" s="730">
        <v>7</v>
      </c>
      <c r="I438" s="330"/>
      <c r="J438" s="330"/>
      <c r="K438" s="142">
        <f t="shared" si="62"/>
        <v>7</v>
      </c>
      <c r="L438" s="589">
        <f t="shared" si="57"/>
        <v>1.2879484820607174E-3</v>
      </c>
      <c r="M438" s="276">
        <f t="shared" si="58"/>
        <v>2.922522539098436</v>
      </c>
      <c r="N438" s="425">
        <f t="shared" si="59"/>
        <v>1.0746115376264951</v>
      </c>
      <c r="O438" s="498">
        <v>1.1349944506104328</v>
      </c>
      <c r="P438" s="427">
        <f t="shared" si="60"/>
        <v>0.31543146274149031</v>
      </c>
      <c r="Q438" s="426">
        <f t="shared" si="64"/>
        <v>0.38451095308187672</v>
      </c>
      <c r="R438" s="532">
        <f t="shared" si="61"/>
        <v>2.5185205686901781E-2</v>
      </c>
      <c r="S438" s="6"/>
    </row>
    <row r="439" spans="1:19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625">
        <f t="shared" si="63"/>
        <v>307.64999999999998</v>
      </c>
      <c r="G439" s="55">
        <v>7</v>
      </c>
      <c r="H439" s="730">
        <v>7</v>
      </c>
      <c r="I439" s="330"/>
      <c r="J439" s="330"/>
      <c r="K439" s="142">
        <f t="shared" si="62"/>
        <v>7</v>
      </c>
      <c r="L439" s="589">
        <f t="shared" si="57"/>
        <v>1.2879484820607174E-3</v>
      </c>
      <c r="M439" s="276">
        <f t="shared" si="58"/>
        <v>2.922522539098436</v>
      </c>
      <c r="N439" s="425">
        <f t="shared" si="59"/>
        <v>1.0746115376264951</v>
      </c>
      <c r="O439" s="498">
        <v>1.1349944506104328</v>
      </c>
      <c r="P439" s="427">
        <f t="shared" si="60"/>
        <v>0.31543146274149031</v>
      </c>
      <c r="Q439" s="426">
        <f t="shared" si="64"/>
        <v>0.38451095308187672</v>
      </c>
      <c r="R439" s="532">
        <f t="shared" si="61"/>
        <v>1.7707004680893403E-2</v>
      </c>
    </row>
    <row r="440" spans="1:19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625">
        <f t="shared" si="63"/>
        <v>350.66</v>
      </c>
      <c r="G440" s="55">
        <v>6</v>
      </c>
      <c r="H440" s="730">
        <v>6</v>
      </c>
      <c r="I440" s="330"/>
      <c r="J440" s="330"/>
      <c r="K440" s="142">
        <f t="shared" si="62"/>
        <v>6</v>
      </c>
      <c r="L440" s="589">
        <f t="shared" si="57"/>
        <v>1.1039558417663292E-3</v>
      </c>
      <c r="M440" s="276">
        <f t="shared" si="58"/>
        <v>2.5050193192272308</v>
      </c>
      <c r="N440" s="425">
        <f t="shared" si="59"/>
        <v>0.92109560367985277</v>
      </c>
      <c r="O440" s="498">
        <v>0.9728523862375138</v>
      </c>
      <c r="P440" s="427">
        <f t="shared" si="60"/>
        <v>0.27036982520699165</v>
      </c>
      <c r="Q440" s="426">
        <f t="shared" si="64"/>
        <v>0.32958081692732283</v>
      </c>
      <c r="R440" s="532">
        <f t="shared" si="61"/>
        <v>1.3315853346123275E-2</v>
      </c>
    </row>
    <row r="441" spans="1:19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625">
        <f t="shared" si="63"/>
        <v>485.8</v>
      </c>
      <c r="G441" s="55">
        <v>10</v>
      </c>
      <c r="H441" s="730">
        <v>10</v>
      </c>
      <c r="I441" s="330"/>
      <c r="J441" s="330"/>
      <c r="K441" s="142">
        <f t="shared" si="62"/>
        <v>10</v>
      </c>
      <c r="L441" s="589">
        <f t="shared" si="57"/>
        <v>1.8399264029438822E-3</v>
      </c>
      <c r="M441" s="276">
        <f t="shared" si="58"/>
        <v>4.175032198712052</v>
      </c>
      <c r="N441" s="425">
        <f t="shared" si="59"/>
        <v>1.5351593394664216</v>
      </c>
      <c r="O441" s="498">
        <v>1.6214206437291898</v>
      </c>
      <c r="P441" s="427">
        <f t="shared" si="60"/>
        <v>0.45061637534498616</v>
      </c>
      <c r="Q441" s="426">
        <f t="shared" si="64"/>
        <v>0.54930136154553821</v>
      </c>
      <c r="R441" s="532">
        <f t="shared" si="61"/>
        <v>1.6019408310524185E-2</v>
      </c>
    </row>
    <row r="442" spans="1:19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625">
        <f t="shared" si="63"/>
        <v>402.96</v>
      </c>
      <c r="G442" s="55">
        <v>7</v>
      </c>
      <c r="H442" s="730">
        <v>7</v>
      </c>
      <c r="I442" s="330"/>
      <c r="J442" s="330"/>
      <c r="K442" s="142">
        <f t="shared" si="62"/>
        <v>7</v>
      </c>
      <c r="L442" s="589">
        <f t="shared" si="57"/>
        <v>1.2879484820607174E-3</v>
      </c>
      <c r="M442" s="276">
        <f t="shared" si="58"/>
        <v>2.922522539098436</v>
      </c>
      <c r="N442" s="425">
        <f t="shared" si="59"/>
        <v>1.0746115376264951</v>
      </c>
      <c r="O442" s="498">
        <v>1.1349944506104328</v>
      </c>
      <c r="P442" s="427">
        <f t="shared" si="60"/>
        <v>0.31543146274149031</v>
      </c>
      <c r="Q442" s="426">
        <f t="shared" si="64"/>
        <v>0.38451095308187672</v>
      </c>
      <c r="R442" s="532">
        <f t="shared" si="61"/>
        <v>1.3518860408171669E-2</v>
      </c>
    </row>
    <row r="443" spans="1:19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625">
        <f t="shared" si="63"/>
        <v>526.67999999999995</v>
      </c>
      <c r="G443" s="55">
        <v>12</v>
      </c>
      <c r="H443" s="730">
        <v>12</v>
      </c>
      <c r="I443" s="330"/>
      <c r="J443" s="330"/>
      <c r="K443" s="142">
        <f t="shared" si="62"/>
        <v>12</v>
      </c>
      <c r="L443" s="589">
        <f t="shared" si="57"/>
        <v>2.2079116835326583E-3</v>
      </c>
      <c r="M443" s="276">
        <f t="shared" si="58"/>
        <v>5.0100386384544615</v>
      </c>
      <c r="N443" s="425">
        <f t="shared" si="59"/>
        <v>1.8421912073597055</v>
      </c>
      <c r="O443" s="498">
        <v>1.9457047724750276</v>
      </c>
      <c r="P443" s="427">
        <f t="shared" si="60"/>
        <v>0.54073965041398331</v>
      </c>
      <c r="Q443" s="426">
        <f t="shared" si="64"/>
        <v>0.65916163385464566</v>
      </c>
      <c r="R443" s="532">
        <f t="shared" si="61"/>
        <v>1.7731211112446223E-2</v>
      </c>
    </row>
    <row r="444" spans="1:19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625">
        <f t="shared" si="63"/>
        <v>198.5</v>
      </c>
      <c r="G444" s="55">
        <v>8</v>
      </c>
      <c r="H444" s="730">
        <v>8</v>
      </c>
      <c r="I444" s="330"/>
      <c r="J444" s="330"/>
      <c r="K444" s="142">
        <f t="shared" si="62"/>
        <v>8</v>
      </c>
      <c r="L444" s="589">
        <f t="shared" si="57"/>
        <v>1.4719411223551057E-3</v>
      </c>
      <c r="M444" s="276">
        <f t="shared" si="58"/>
        <v>3.3400257589696412</v>
      </c>
      <c r="N444" s="425">
        <f t="shared" si="59"/>
        <v>1.2281274715731372</v>
      </c>
      <c r="O444" s="498">
        <v>1.2971365149833518</v>
      </c>
      <c r="P444" s="427">
        <f t="shared" si="60"/>
        <v>0.36049310027598891</v>
      </c>
      <c r="Q444" s="426">
        <f t="shared" si="64"/>
        <v>0.43944108923643049</v>
      </c>
      <c r="R444" s="532">
        <f t="shared" si="61"/>
        <v>3.1364145318902366E-2</v>
      </c>
    </row>
    <row r="445" spans="1:19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625">
        <f t="shared" si="63"/>
        <v>879.8</v>
      </c>
      <c r="G445" s="55">
        <v>15</v>
      </c>
      <c r="H445" s="730">
        <v>15</v>
      </c>
      <c r="I445" s="330"/>
      <c r="J445" s="330">
        <v>3</v>
      </c>
      <c r="K445" s="142">
        <f t="shared" si="62"/>
        <v>18</v>
      </c>
      <c r="L445" s="589">
        <f t="shared" si="57"/>
        <v>3.3118675252989879E-3</v>
      </c>
      <c r="M445" s="276">
        <f t="shared" si="58"/>
        <v>7.5150579576816927</v>
      </c>
      <c r="N445" s="425">
        <f t="shared" si="59"/>
        <v>2.7632868110395585</v>
      </c>
      <c r="O445" s="498">
        <v>2.9185571587125416</v>
      </c>
      <c r="P445" s="427">
        <f t="shared" si="60"/>
        <v>0.81110947562097513</v>
      </c>
      <c r="Q445" s="426">
        <f t="shared" si="64"/>
        <v>0.98874245078196876</v>
      </c>
      <c r="R445" s="532">
        <f t="shared" si="61"/>
        <v>2.0973216653772674E-2</v>
      </c>
    </row>
    <row r="446" spans="1:19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625">
        <f t="shared" si="63"/>
        <v>1786.8</v>
      </c>
      <c r="G446" s="55">
        <v>45</v>
      </c>
      <c r="H446" s="730">
        <v>45</v>
      </c>
      <c r="I446" s="330">
        <v>1</v>
      </c>
      <c r="J446" s="330">
        <v>4</v>
      </c>
      <c r="K446" s="142">
        <f t="shared" si="62"/>
        <v>50</v>
      </c>
      <c r="L446" s="589">
        <f t="shared" si="57"/>
        <v>9.1996320147194107E-3</v>
      </c>
      <c r="M446" s="276">
        <f t="shared" si="58"/>
        <v>20.875160993560257</v>
      </c>
      <c r="N446" s="425">
        <f t="shared" si="59"/>
        <v>7.6757966973321068</v>
      </c>
      <c r="O446" s="498">
        <v>8.1071032186459497</v>
      </c>
      <c r="P446" s="427">
        <f t="shared" si="60"/>
        <v>2.2530818767249308</v>
      </c>
      <c r="Q446" s="426">
        <f t="shared" si="64"/>
        <v>2.7465068077276906</v>
      </c>
      <c r="R446" s="532">
        <f t="shared" si="61"/>
        <v>2.526861665449915E-2</v>
      </c>
    </row>
    <row r="447" spans="1:19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625">
        <f t="shared" si="63"/>
        <v>776.28</v>
      </c>
      <c r="G447" s="55">
        <v>13</v>
      </c>
      <c r="H447" s="730">
        <v>13</v>
      </c>
      <c r="I447" s="330">
        <v>1</v>
      </c>
      <c r="J447" s="330"/>
      <c r="K447" s="142">
        <f t="shared" si="62"/>
        <v>14</v>
      </c>
      <c r="L447" s="589">
        <f t="shared" si="57"/>
        <v>2.5758969641214349E-3</v>
      </c>
      <c r="M447" s="276">
        <f t="shared" si="58"/>
        <v>5.8450450781968719</v>
      </c>
      <c r="N447" s="425">
        <f t="shared" si="59"/>
        <v>2.1492230752529902</v>
      </c>
      <c r="O447" s="498">
        <v>2.2699889012208656</v>
      </c>
      <c r="P447" s="427">
        <f t="shared" si="60"/>
        <v>0.63086292548298062</v>
      </c>
      <c r="Q447" s="426">
        <f t="shared" si="64"/>
        <v>0.76902190616375343</v>
      </c>
      <c r="R447" s="532">
        <f t="shared" si="61"/>
        <v>2.0150773063833897E-2</v>
      </c>
    </row>
    <row r="448" spans="1:19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625">
        <f t="shared" si="63"/>
        <v>475.29</v>
      </c>
      <c r="G448" s="55">
        <v>10</v>
      </c>
      <c r="H448" s="730">
        <v>10</v>
      </c>
      <c r="I448" s="330"/>
      <c r="J448" s="330"/>
      <c r="K448" s="142">
        <f t="shared" si="62"/>
        <v>10</v>
      </c>
      <c r="L448" s="589">
        <f t="shared" si="57"/>
        <v>1.8399264029438822E-3</v>
      </c>
      <c r="M448" s="276">
        <f t="shared" si="58"/>
        <v>4.175032198712052</v>
      </c>
      <c r="N448" s="425">
        <f t="shared" si="59"/>
        <v>1.5351593394664216</v>
      </c>
      <c r="O448" s="498">
        <v>1.6214206437291898</v>
      </c>
      <c r="P448" s="427">
        <f t="shared" si="60"/>
        <v>0.45061637534498616</v>
      </c>
      <c r="Q448" s="426">
        <f t="shared" si="64"/>
        <v>0.54930136154553821</v>
      </c>
      <c r="R448" s="532">
        <f t="shared" si="61"/>
        <v>1.6373642528251485E-2</v>
      </c>
    </row>
    <row r="449" spans="1:19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625">
        <f t="shared" si="63"/>
        <v>487.96</v>
      </c>
      <c r="G449" s="55">
        <v>8</v>
      </c>
      <c r="H449" s="730">
        <v>8</v>
      </c>
      <c r="I449" s="330"/>
      <c r="J449" s="330"/>
      <c r="K449" s="142">
        <f t="shared" si="62"/>
        <v>8</v>
      </c>
      <c r="L449" s="589">
        <f t="shared" si="57"/>
        <v>1.4719411223551057E-3</v>
      </c>
      <c r="M449" s="276">
        <f t="shared" si="58"/>
        <v>3.3400257589696412</v>
      </c>
      <c r="N449" s="425">
        <f t="shared" si="59"/>
        <v>1.2281274715731372</v>
      </c>
      <c r="O449" s="498">
        <v>1.2971365149833518</v>
      </c>
      <c r="P449" s="427">
        <f t="shared" si="60"/>
        <v>0.36049310027598891</v>
      </c>
      <c r="Q449" s="426">
        <f t="shared" si="64"/>
        <v>0.43944108923643049</v>
      </c>
      <c r="R449" s="532">
        <f t="shared" si="61"/>
        <v>1.2758797536277809E-2</v>
      </c>
    </row>
    <row r="450" spans="1:19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625">
        <f t="shared" si="63"/>
        <v>1058.94</v>
      </c>
      <c r="G450" s="55">
        <v>15</v>
      </c>
      <c r="H450" s="730">
        <v>15</v>
      </c>
      <c r="I450" s="330">
        <v>1</v>
      </c>
      <c r="J450" s="330">
        <v>3</v>
      </c>
      <c r="K450" s="142">
        <f t="shared" si="62"/>
        <v>19</v>
      </c>
      <c r="L450" s="589">
        <f t="shared" ref="L450:L513" si="65">1/5435*K450</f>
        <v>3.4958601655933762E-3</v>
      </c>
      <c r="M450" s="276">
        <f t="shared" ref="M450:M513" si="66">L450*2269.13</f>
        <v>7.9325611775528984</v>
      </c>
      <c r="N450" s="425">
        <f t="shared" ref="N450:N511" si="67">M450*0.3677</f>
        <v>2.9168027449862008</v>
      </c>
      <c r="O450" s="498">
        <v>3.0806992230854604</v>
      </c>
      <c r="P450" s="427">
        <f t="shared" ref="P450:P513" si="68">L450*244.91</f>
        <v>0.85617111315547378</v>
      </c>
      <c r="Q450" s="426">
        <f t="shared" si="64"/>
        <v>1.0436725869365227</v>
      </c>
      <c r="R450" s="532">
        <f t="shared" si="61"/>
        <v>2.0954359530043699E-2</v>
      </c>
    </row>
    <row r="451" spans="1:19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625">
        <f t="shared" si="63"/>
        <v>435.39</v>
      </c>
      <c r="G451" s="55">
        <v>9</v>
      </c>
      <c r="H451" s="730">
        <v>9</v>
      </c>
      <c r="I451" s="330"/>
      <c r="J451" s="330"/>
      <c r="K451" s="142">
        <f t="shared" si="62"/>
        <v>9</v>
      </c>
      <c r="L451" s="589">
        <f t="shared" si="65"/>
        <v>1.655933762649494E-3</v>
      </c>
      <c r="M451" s="276">
        <f t="shared" si="66"/>
        <v>3.7575289788408464</v>
      </c>
      <c r="N451" s="425">
        <f t="shared" si="67"/>
        <v>1.3816434055197793</v>
      </c>
      <c r="O451" s="498">
        <v>1.4592785793562708</v>
      </c>
      <c r="P451" s="427">
        <f t="shared" si="68"/>
        <v>0.40555473781048756</v>
      </c>
      <c r="Q451" s="426">
        <f t="shared" si="64"/>
        <v>0.49437122539098438</v>
      </c>
      <c r="R451" s="532">
        <f t="shared" si="61"/>
        <v>1.6086739937819849E-2</v>
      </c>
    </row>
    <row r="452" spans="1:19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625">
        <f t="shared" si="63"/>
        <v>539.61</v>
      </c>
      <c r="G452" s="55">
        <v>15</v>
      </c>
      <c r="H452" s="730">
        <v>15</v>
      </c>
      <c r="I452" s="330"/>
      <c r="J452" s="330">
        <v>2</v>
      </c>
      <c r="K452" s="142">
        <f t="shared" si="62"/>
        <v>17</v>
      </c>
      <c r="L452" s="589">
        <f t="shared" si="65"/>
        <v>3.1278748850045997E-3</v>
      </c>
      <c r="M452" s="276">
        <f t="shared" si="66"/>
        <v>7.097554737810488</v>
      </c>
      <c r="N452" s="425">
        <f t="shared" si="67"/>
        <v>2.6097708770929167</v>
      </c>
      <c r="O452" s="498">
        <v>2.7564150943396228</v>
      </c>
      <c r="P452" s="427">
        <f t="shared" si="68"/>
        <v>0.76604783808647647</v>
      </c>
      <c r="Q452" s="426">
        <f t="shared" si="64"/>
        <v>0.93381231462741487</v>
      </c>
      <c r="R452" s="532">
        <f t="shared" si="61"/>
        <v>2.657597988656215E-2</v>
      </c>
    </row>
    <row r="453" spans="1:19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625">
        <f t="shared" si="63"/>
        <v>466.35</v>
      </c>
      <c r="G453" s="55">
        <v>16</v>
      </c>
      <c r="H453" s="730">
        <v>16</v>
      </c>
      <c r="I453" s="330"/>
      <c r="J453" s="330">
        <v>1</v>
      </c>
      <c r="K453" s="142">
        <f t="shared" si="62"/>
        <v>17</v>
      </c>
      <c r="L453" s="589">
        <f t="shared" si="65"/>
        <v>3.1278748850045997E-3</v>
      </c>
      <c r="M453" s="276">
        <f t="shared" si="66"/>
        <v>7.097554737810488</v>
      </c>
      <c r="N453" s="425">
        <f t="shared" si="67"/>
        <v>2.6097708770929167</v>
      </c>
      <c r="O453" s="498">
        <v>2.7564150943396228</v>
      </c>
      <c r="P453" s="427">
        <f t="shared" si="68"/>
        <v>0.76604783808647647</v>
      </c>
      <c r="Q453" s="426">
        <f t="shared" si="64"/>
        <v>0.93381231462741487</v>
      </c>
      <c r="R453" s="532">
        <f t="shared" si="61"/>
        <v>3.1661573644440597E-2</v>
      </c>
    </row>
    <row r="454" spans="1:19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625">
        <f t="shared" si="63"/>
        <v>270.3</v>
      </c>
      <c r="G454" s="55">
        <v>8</v>
      </c>
      <c r="H454" s="730">
        <v>8</v>
      </c>
      <c r="I454" s="330"/>
      <c r="J454" s="330"/>
      <c r="K454" s="142">
        <f t="shared" si="62"/>
        <v>8</v>
      </c>
      <c r="L454" s="589">
        <f t="shared" si="65"/>
        <v>1.4719411223551057E-3</v>
      </c>
      <c r="M454" s="276">
        <f t="shared" si="66"/>
        <v>3.3400257589696412</v>
      </c>
      <c r="N454" s="425">
        <f t="shared" si="67"/>
        <v>1.2281274715731372</v>
      </c>
      <c r="O454" s="498">
        <v>1.2971365149833518</v>
      </c>
      <c r="P454" s="427">
        <f t="shared" si="68"/>
        <v>0.36049310027598891</v>
      </c>
      <c r="Q454" s="426">
        <f t="shared" si="64"/>
        <v>0.43944108923643049</v>
      </c>
      <c r="R454" s="532">
        <f t="shared" si="61"/>
        <v>2.3032862914547241E-2</v>
      </c>
    </row>
    <row r="455" spans="1:19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625">
        <f t="shared" si="63"/>
        <v>1056.99</v>
      </c>
      <c r="G455" s="55">
        <v>25</v>
      </c>
      <c r="H455" s="730">
        <v>25</v>
      </c>
      <c r="I455" s="330"/>
      <c r="J455" s="330"/>
      <c r="K455" s="142">
        <f t="shared" si="62"/>
        <v>25</v>
      </c>
      <c r="L455" s="589">
        <f t="shared" si="65"/>
        <v>4.5998160073597054E-3</v>
      </c>
      <c r="M455" s="276">
        <f t="shared" si="66"/>
        <v>10.437580496780129</v>
      </c>
      <c r="N455" s="425">
        <f t="shared" si="67"/>
        <v>3.8378983486660534</v>
      </c>
      <c r="O455" s="498">
        <v>4.0535516093229749</v>
      </c>
      <c r="P455" s="427">
        <f t="shared" si="68"/>
        <v>1.1265409383624654</v>
      </c>
      <c r="Q455" s="426">
        <f t="shared" si="64"/>
        <v>1.3732534038638453</v>
      </c>
      <c r="R455" s="532">
        <f t="shared" si="61"/>
        <v>1.8406580377422321E-2</v>
      </c>
    </row>
    <row r="456" spans="1:19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625">
        <f t="shared" si="63"/>
        <v>353.79999999999995</v>
      </c>
      <c r="G456" s="55">
        <v>8</v>
      </c>
      <c r="H456" s="730">
        <v>8</v>
      </c>
      <c r="I456" s="330"/>
      <c r="J456" s="330">
        <v>1</v>
      </c>
      <c r="K456" s="142">
        <f t="shared" si="62"/>
        <v>9</v>
      </c>
      <c r="L456" s="589">
        <f t="shared" si="65"/>
        <v>1.655933762649494E-3</v>
      </c>
      <c r="M456" s="276">
        <f t="shared" si="66"/>
        <v>3.7575289788408464</v>
      </c>
      <c r="N456" s="425">
        <f t="shared" si="67"/>
        <v>1.3816434055197793</v>
      </c>
      <c r="O456" s="498">
        <v>1.4592785793562708</v>
      </c>
      <c r="P456" s="427">
        <f t="shared" si="68"/>
        <v>0.40555473781048756</v>
      </c>
      <c r="Q456" s="426">
        <f t="shared" si="64"/>
        <v>0.49437122539098438</v>
      </c>
      <c r="R456" s="532">
        <f t="shared" si="61"/>
        <v>2.1724583441462112E-2</v>
      </c>
    </row>
    <row r="457" spans="1:19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625">
        <f t="shared" si="63"/>
        <v>239.3</v>
      </c>
      <c r="G457" s="55">
        <v>5</v>
      </c>
      <c r="H457" s="730">
        <v>5</v>
      </c>
      <c r="I457" s="330"/>
      <c r="J457" s="330"/>
      <c r="K457" s="142">
        <f t="shared" si="62"/>
        <v>5</v>
      </c>
      <c r="L457" s="589">
        <f t="shared" si="65"/>
        <v>9.1996320147194111E-4</v>
      </c>
      <c r="M457" s="276">
        <f t="shared" si="66"/>
        <v>2.087516099356026</v>
      </c>
      <c r="N457" s="425">
        <f t="shared" si="67"/>
        <v>0.76757966973321079</v>
      </c>
      <c r="O457" s="498">
        <v>0.81071032186459491</v>
      </c>
      <c r="P457" s="427">
        <f t="shared" si="68"/>
        <v>0.22530818767249308</v>
      </c>
      <c r="Q457" s="426">
        <f t="shared" si="64"/>
        <v>0.27465068077276911</v>
      </c>
      <c r="R457" s="532">
        <f t="shared" si="61"/>
        <v>1.6260402334418406E-2</v>
      </c>
    </row>
    <row r="458" spans="1:19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625">
        <f t="shared" si="63"/>
        <v>144.6</v>
      </c>
      <c r="G458" s="55">
        <v>4</v>
      </c>
      <c r="H458" s="730">
        <v>4</v>
      </c>
      <c r="I458" s="330"/>
      <c r="J458" s="330">
        <v>1</v>
      </c>
      <c r="K458" s="142">
        <f t="shared" si="62"/>
        <v>5</v>
      </c>
      <c r="L458" s="589">
        <f t="shared" si="65"/>
        <v>9.1996320147194111E-4</v>
      </c>
      <c r="M458" s="276">
        <f t="shared" si="66"/>
        <v>2.087516099356026</v>
      </c>
      <c r="N458" s="425">
        <f t="shared" si="67"/>
        <v>0.76757966973321079</v>
      </c>
      <c r="O458" s="498">
        <v>0.81071032186459491</v>
      </c>
      <c r="P458" s="427">
        <f t="shared" si="68"/>
        <v>0.22530818767249308</v>
      </c>
      <c r="Q458" s="426">
        <f t="shared" si="64"/>
        <v>0.27465068077276911</v>
      </c>
      <c r="R458" s="532">
        <f t="shared" ref="R458:R521" si="69">(M458+N458+O458+P458)/C458</f>
        <v>4.2202974822411331E-2</v>
      </c>
    </row>
    <row r="459" spans="1:19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625">
        <f t="shared" si="63"/>
        <v>375.5</v>
      </c>
      <c r="G459" s="55">
        <v>9</v>
      </c>
      <c r="H459" s="730">
        <v>9</v>
      </c>
      <c r="I459" s="330"/>
      <c r="J459" s="330"/>
      <c r="K459" s="142">
        <f t="shared" si="62"/>
        <v>9</v>
      </c>
      <c r="L459" s="589">
        <f t="shared" si="65"/>
        <v>1.655933762649494E-3</v>
      </c>
      <c r="M459" s="276">
        <f t="shared" si="66"/>
        <v>3.7575289788408464</v>
      </c>
      <c r="N459" s="425">
        <f t="shared" si="67"/>
        <v>1.3816434055197793</v>
      </c>
      <c r="O459" s="498">
        <v>1.4592785793562708</v>
      </c>
      <c r="P459" s="427">
        <f t="shared" si="68"/>
        <v>0.40555473781048756</v>
      </c>
      <c r="Q459" s="426">
        <f t="shared" si="64"/>
        <v>0.49437122539098438</v>
      </c>
      <c r="R459" s="532">
        <f t="shared" si="69"/>
        <v>1.8652478565985044E-2</v>
      </c>
      <c r="S459" s="6"/>
    </row>
    <row r="460" spans="1:19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625">
        <f t="shared" si="63"/>
        <v>993.91</v>
      </c>
      <c r="G460" s="55">
        <v>28</v>
      </c>
      <c r="H460" s="730">
        <v>28</v>
      </c>
      <c r="I460" s="330"/>
      <c r="J460" s="330">
        <v>1</v>
      </c>
      <c r="K460" s="142">
        <f t="shared" si="62"/>
        <v>29</v>
      </c>
      <c r="L460" s="589">
        <f t="shared" si="65"/>
        <v>5.3357865685372584E-3</v>
      </c>
      <c r="M460" s="276">
        <f t="shared" si="66"/>
        <v>12.107593376264949</v>
      </c>
      <c r="N460" s="425">
        <f t="shared" si="67"/>
        <v>4.4519620844526226</v>
      </c>
      <c r="O460" s="498">
        <v>4.70211986681465</v>
      </c>
      <c r="P460" s="427">
        <f t="shared" si="68"/>
        <v>1.30678748850046</v>
      </c>
      <c r="Q460" s="426">
        <f t="shared" si="64"/>
        <v>1.5929739484820609</v>
      </c>
      <c r="R460" s="532">
        <f t="shared" si="69"/>
        <v>2.3283018658667182E-2</v>
      </c>
    </row>
    <row r="461" spans="1:19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625">
        <f t="shared" si="63"/>
        <v>716.19999999999993</v>
      </c>
      <c r="G461" s="55">
        <v>14</v>
      </c>
      <c r="H461" s="730">
        <v>14</v>
      </c>
      <c r="I461" s="330"/>
      <c r="J461" s="330">
        <v>2</v>
      </c>
      <c r="K461" s="142">
        <f t="shared" si="62"/>
        <v>16</v>
      </c>
      <c r="L461" s="589">
        <f t="shared" si="65"/>
        <v>2.9438822447102114E-3</v>
      </c>
      <c r="M461" s="276">
        <f t="shared" si="66"/>
        <v>6.6800515179392823</v>
      </c>
      <c r="N461" s="425">
        <f t="shared" si="67"/>
        <v>2.4562549431462743</v>
      </c>
      <c r="O461" s="498">
        <v>2.5942730299667036</v>
      </c>
      <c r="P461" s="427">
        <f t="shared" si="68"/>
        <v>0.72098620055197782</v>
      </c>
      <c r="Q461" s="426">
        <f t="shared" si="64"/>
        <v>0.87888217847286099</v>
      </c>
      <c r="R461" s="532">
        <f t="shared" si="69"/>
        <v>2.1310227094992709E-2</v>
      </c>
    </row>
    <row r="462" spans="1:19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625">
        <f t="shared" si="63"/>
        <v>472.2</v>
      </c>
      <c r="G462" s="55">
        <v>13</v>
      </c>
      <c r="H462" s="730">
        <v>13</v>
      </c>
      <c r="I462" s="330"/>
      <c r="J462" s="330"/>
      <c r="K462" s="142">
        <f t="shared" si="62"/>
        <v>13</v>
      </c>
      <c r="L462" s="589">
        <f t="shared" si="65"/>
        <v>2.3919043238270466E-3</v>
      </c>
      <c r="M462" s="276">
        <f t="shared" si="66"/>
        <v>5.4275418583256663</v>
      </c>
      <c r="N462" s="425">
        <f t="shared" si="67"/>
        <v>1.9957071413063476</v>
      </c>
      <c r="O462" s="498">
        <v>2.1078468368479468</v>
      </c>
      <c r="P462" s="427">
        <f t="shared" si="68"/>
        <v>0.58580128794848196</v>
      </c>
      <c r="Q462" s="426">
        <f t="shared" si="64"/>
        <v>0.71409177000919954</v>
      </c>
      <c r="R462" s="532">
        <f t="shared" si="69"/>
        <v>2.1425025676468531E-2</v>
      </c>
    </row>
    <row r="463" spans="1:19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625">
        <f t="shared" si="63"/>
        <v>337.29999999999995</v>
      </c>
      <c r="G463" s="55">
        <v>8</v>
      </c>
      <c r="H463" s="730">
        <v>8</v>
      </c>
      <c r="I463" s="330"/>
      <c r="J463" s="330">
        <v>2</v>
      </c>
      <c r="K463" s="142">
        <f t="shared" si="62"/>
        <v>10</v>
      </c>
      <c r="L463" s="589">
        <f t="shared" si="65"/>
        <v>1.8399264029438822E-3</v>
      </c>
      <c r="M463" s="276">
        <f t="shared" si="66"/>
        <v>4.175032198712052</v>
      </c>
      <c r="N463" s="425">
        <f t="shared" si="67"/>
        <v>1.5351593394664216</v>
      </c>
      <c r="O463" s="498">
        <v>1.6214206437291898</v>
      </c>
      <c r="P463" s="427">
        <f t="shared" si="68"/>
        <v>0.45061637534498616</v>
      </c>
      <c r="Q463" s="426">
        <f t="shared" si="64"/>
        <v>0.54930136154553821</v>
      </c>
      <c r="R463" s="532">
        <f t="shared" si="69"/>
        <v>2.973721267578391E-2</v>
      </c>
    </row>
    <row r="464" spans="1:19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625">
        <f t="shared" si="63"/>
        <v>395.5</v>
      </c>
      <c r="G464" s="55">
        <v>11</v>
      </c>
      <c r="H464" s="730">
        <v>11</v>
      </c>
      <c r="I464" s="330"/>
      <c r="J464" s="330"/>
      <c r="K464" s="142">
        <f t="shared" ref="K464:K525" si="70">H464+I464+J464</f>
        <v>11</v>
      </c>
      <c r="L464" s="589">
        <f t="shared" si="65"/>
        <v>2.0239190432382705E-3</v>
      </c>
      <c r="M464" s="276">
        <f t="shared" si="66"/>
        <v>4.5925354185832568</v>
      </c>
      <c r="N464" s="425">
        <f t="shared" si="67"/>
        <v>1.6886752734130637</v>
      </c>
      <c r="O464" s="498">
        <v>1.7835627081021086</v>
      </c>
      <c r="P464" s="427">
        <f t="shared" si="68"/>
        <v>0.49567801287948482</v>
      </c>
      <c r="Q464" s="426">
        <f t="shared" si="64"/>
        <v>0.60423149770009199</v>
      </c>
      <c r="R464" s="532">
        <f t="shared" si="69"/>
        <v>2.1644630626998517E-2</v>
      </c>
    </row>
    <row r="465" spans="1:18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625">
        <f t="shared" ref="F465:F527" si="71">C465+D465+E465</f>
        <v>464.09999999999997</v>
      </c>
      <c r="G465" s="55">
        <v>10</v>
      </c>
      <c r="H465" s="730">
        <v>10</v>
      </c>
      <c r="I465" s="330"/>
      <c r="J465" s="330">
        <v>2</v>
      </c>
      <c r="K465" s="142">
        <f t="shared" si="70"/>
        <v>12</v>
      </c>
      <c r="L465" s="589">
        <f t="shared" si="65"/>
        <v>2.2079116835326583E-3</v>
      </c>
      <c r="M465" s="276">
        <f t="shared" si="66"/>
        <v>5.0100386384544615</v>
      </c>
      <c r="N465" s="425">
        <f t="shared" si="67"/>
        <v>1.8421912073597055</v>
      </c>
      <c r="O465" s="498">
        <v>1.9457047724750276</v>
      </c>
      <c r="P465" s="427">
        <f t="shared" si="68"/>
        <v>0.54073965041398331</v>
      </c>
      <c r="Q465" s="426">
        <f t="shared" si="64"/>
        <v>0.65916163385464566</v>
      </c>
      <c r="R465" s="532">
        <f t="shared" si="69"/>
        <v>2.4712025056107905E-2</v>
      </c>
    </row>
    <row r="466" spans="1:18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625">
        <f t="shared" si="71"/>
        <v>350.27000000000004</v>
      </c>
      <c r="G466" s="55">
        <v>8</v>
      </c>
      <c r="H466" s="730">
        <v>8</v>
      </c>
      <c r="I466" s="330"/>
      <c r="J466" s="330">
        <v>1</v>
      </c>
      <c r="K466" s="142">
        <f t="shared" si="70"/>
        <v>9</v>
      </c>
      <c r="L466" s="589">
        <f t="shared" si="65"/>
        <v>1.655933762649494E-3</v>
      </c>
      <c r="M466" s="276">
        <f t="shared" si="66"/>
        <v>3.7575289788408464</v>
      </c>
      <c r="N466" s="425">
        <f t="shared" si="67"/>
        <v>1.3816434055197793</v>
      </c>
      <c r="O466" s="498">
        <v>1.4592785793562708</v>
      </c>
      <c r="P466" s="427">
        <f t="shared" si="68"/>
        <v>0.40555473781048756</v>
      </c>
      <c r="Q466" s="426">
        <f t="shared" si="64"/>
        <v>0.49437122539098438</v>
      </c>
      <c r="R466" s="532">
        <f t="shared" si="69"/>
        <v>2.7136790784685717E-2</v>
      </c>
    </row>
    <row r="467" spans="1:18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625">
        <f t="shared" si="71"/>
        <v>396.61</v>
      </c>
      <c r="G467" s="55">
        <v>9</v>
      </c>
      <c r="H467" s="730">
        <v>9</v>
      </c>
      <c r="I467" s="330"/>
      <c r="J467" s="330"/>
      <c r="K467" s="142">
        <f t="shared" si="70"/>
        <v>9</v>
      </c>
      <c r="L467" s="589">
        <f t="shared" si="65"/>
        <v>1.655933762649494E-3</v>
      </c>
      <c r="M467" s="276">
        <f t="shared" si="66"/>
        <v>3.7575289788408464</v>
      </c>
      <c r="N467" s="425">
        <f t="shared" si="67"/>
        <v>1.3816434055197793</v>
      </c>
      <c r="O467" s="498">
        <v>1.4592785793562708</v>
      </c>
      <c r="P467" s="427">
        <f t="shared" si="68"/>
        <v>0.40555473781048756</v>
      </c>
      <c r="Q467" s="426">
        <f t="shared" si="64"/>
        <v>0.49437122539098438</v>
      </c>
      <c r="R467" s="532">
        <f t="shared" si="69"/>
        <v>1.7659680042175899E-2</v>
      </c>
    </row>
    <row r="468" spans="1:18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625">
        <f t="shared" si="71"/>
        <v>380.01000000000005</v>
      </c>
      <c r="G468" s="55">
        <v>9</v>
      </c>
      <c r="H468" s="730">
        <v>9</v>
      </c>
      <c r="I468" s="330"/>
      <c r="J468" s="330">
        <v>1</v>
      </c>
      <c r="K468" s="142">
        <f t="shared" si="70"/>
        <v>10</v>
      </c>
      <c r="L468" s="589">
        <f t="shared" si="65"/>
        <v>1.8399264029438822E-3</v>
      </c>
      <c r="M468" s="276">
        <f t="shared" si="66"/>
        <v>4.175032198712052</v>
      </c>
      <c r="N468" s="425">
        <f t="shared" si="67"/>
        <v>1.5351593394664216</v>
      </c>
      <c r="O468" s="498">
        <v>1.6214206437291898</v>
      </c>
      <c r="P468" s="427">
        <f t="shared" si="68"/>
        <v>0.45061637534498616</v>
      </c>
      <c r="Q468" s="426">
        <f t="shared" si="64"/>
        <v>0.54930136154553821</v>
      </c>
      <c r="R468" s="532">
        <f t="shared" si="69"/>
        <v>2.2497842089713071E-2</v>
      </c>
    </row>
    <row r="469" spans="1:18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625">
        <f t="shared" si="71"/>
        <v>501.9</v>
      </c>
      <c r="G469" s="55">
        <v>13</v>
      </c>
      <c r="H469" s="730">
        <v>13</v>
      </c>
      <c r="I469" s="330"/>
      <c r="J469" s="330"/>
      <c r="K469" s="142">
        <f t="shared" si="70"/>
        <v>13</v>
      </c>
      <c r="L469" s="589">
        <f t="shared" si="65"/>
        <v>2.3919043238270466E-3</v>
      </c>
      <c r="M469" s="276">
        <f t="shared" si="66"/>
        <v>5.4275418583256663</v>
      </c>
      <c r="N469" s="425">
        <f t="shared" si="67"/>
        <v>1.9957071413063476</v>
      </c>
      <c r="O469" s="498">
        <v>2.1078468368479468</v>
      </c>
      <c r="P469" s="427">
        <f t="shared" si="68"/>
        <v>0.58580128794848196</v>
      </c>
      <c r="Q469" s="426">
        <f t="shared" si="64"/>
        <v>0.71409177000919954</v>
      </c>
      <c r="R469" s="532">
        <f t="shared" si="69"/>
        <v>2.0157196900634472E-2</v>
      </c>
    </row>
    <row r="470" spans="1:18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625">
        <f t="shared" si="71"/>
        <v>406.9</v>
      </c>
      <c r="G470" s="55">
        <v>10</v>
      </c>
      <c r="H470" s="730">
        <v>10</v>
      </c>
      <c r="I470" s="330"/>
      <c r="J470" s="330"/>
      <c r="K470" s="142">
        <f t="shared" si="70"/>
        <v>10</v>
      </c>
      <c r="L470" s="589">
        <f t="shared" si="65"/>
        <v>1.8399264029438822E-3</v>
      </c>
      <c r="M470" s="276">
        <f t="shared" si="66"/>
        <v>4.175032198712052</v>
      </c>
      <c r="N470" s="425">
        <f t="shared" si="67"/>
        <v>1.5351593394664216</v>
      </c>
      <c r="O470" s="498">
        <v>1.6214206437291898</v>
      </c>
      <c r="P470" s="427">
        <f t="shared" si="68"/>
        <v>0.45061637534498616</v>
      </c>
      <c r="Q470" s="426">
        <f t="shared" si="64"/>
        <v>0.54930136154553821</v>
      </c>
      <c r="R470" s="532">
        <f t="shared" si="69"/>
        <v>1.9125653863978003E-2</v>
      </c>
    </row>
    <row r="471" spans="1:18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625">
        <f t="shared" si="71"/>
        <v>583.66999999999996</v>
      </c>
      <c r="G471" s="55">
        <v>13</v>
      </c>
      <c r="H471" s="730">
        <v>13</v>
      </c>
      <c r="I471" s="330"/>
      <c r="J471" s="330"/>
      <c r="K471" s="142">
        <f t="shared" si="70"/>
        <v>13</v>
      </c>
      <c r="L471" s="589">
        <f t="shared" si="65"/>
        <v>2.3919043238270466E-3</v>
      </c>
      <c r="M471" s="276">
        <f t="shared" si="66"/>
        <v>5.4275418583256663</v>
      </c>
      <c r="N471" s="425">
        <f t="shared" si="67"/>
        <v>1.9957071413063476</v>
      </c>
      <c r="O471" s="498">
        <v>2.1078468368479468</v>
      </c>
      <c r="P471" s="427">
        <f t="shared" si="68"/>
        <v>0.58580128794848196</v>
      </c>
      <c r="Q471" s="426">
        <f t="shared" si="64"/>
        <v>0.71409177000919954</v>
      </c>
      <c r="R471" s="532">
        <f t="shared" si="69"/>
        <v>1.7333248452770299E-2</v>
      </c>
    </row>
    <row r="472" spans="1:18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625">
        <f t="shared" si="71"/>
        <v>634.80999999999995</v>
      </c>
      <c r="G472" s="55">
        <v>19</v>
      </c>
      <c r="H472" s="730">
        <v>19</v>
      </c>
      <c r="I472" s="330"/>
      <c r="J472" s="330"/>
      <c r="K472" s="142">
        <f t="shared" si="70"/>
        <v>19</v>
      </c>
      <c r="L472" s="589">
        <f t="shared" si="65"/>
        <v>3.4958601655933762E-3</v>
      </c>
      <c r="M472" s="276">
        <f t="shared" si="66"/>
        <v>7.9325611775528984</v>
      </c>
      <c r="N472" s="425">
        <f t="shared" si="67"/>
        <v>2.9168027449862008</v>
      </c>
      <c r="O472" s="498">
        <v>3.0806992230854604</v>
      </c>
      <c r="P472" s="427">
        <f t="shared" si="68"/>
        <v>0.85617111315547378</v>
      </c>
      <c r="Q472" s="426">
        <f t="shared" si="64"/>
        <v>1.0436725869365227</v>
      </c>
      <c r="R472" s="532">
        <f t="shared" si="69"/>
        <v>2.3292377654384834E-2</v>
      </c>
    </row>
    <row r="473" spans="1:18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625">
        <f t="shared" si="71"/>
        <v>312.74</v>
      </c>
      <c r="G473" s="55">
        <v>6</v>
      </c>
      <c r="H473" s="730">
        <v>6</v>
      </c>
      <c r="I473" s="330"/>
      <c r="J473" s="330"/>
      <c r="K473" s="142">
        <f t="shared" si="70"/>
        <v>6</v>
      </c>
      <c r="L473" s="589">
        <f t="shared" si="65"/>
        <v>1.1039558417663292E-3</v>
      </c>
      <c r="M473" s="276">
        <f t="shared" si="66"/>
        <v>2.5050193192272308</v>
      </c>
      <c r="N473" s="425">
        <f t="shared" si="67"/>
        <v>0.92109560367985277</v>
      </c>
      <c r="O473" s="498">
        <v>0.9728523862375138</v>
      </c>
      <c r="P473" s="427">
        <f t="shared" si="68"/>
        <v>0.27036982520699165</v>
      </c>
      <c r="Q473" s="426">
        <f t="shared" si="64"/>
        <v>0.32958081692732283</v>
      </c>
      <c r="R473" s="532">
        <f t="shared" si="69"/>
        <v>1.4930412273299188E-2</v>
      </c>
    </row>
    <row r="474" spans="1:18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625">
        <f t="shared" si="71"/>
        <v>359.3</v>
      </c>
      <c r="G474" s="55">
        <v>6</v>
      </c>
      <c r="H474" s="730">
        <v>6</v>
      </c>
      <c r="I474" s="330"/>
      <c r="J474" s="330"/>
      <c r="K474" s="142">
        <f t="shared" si="70"/>
        <v>6</v>
      </c>
      <c r="L474" s="589">
        <f t="shared" si="65"/>
        <v>1.1039558417663292E-3</v>
      </c>
      <c r="M474" s="276">
        <f t="shared" si="66"/>
        <v>2.5050193192272308</v>
      </c>
      <c r="N474" s="425">
        <f t="shared" si="67"/>
        <v>0.92109560367985277</v>
      </c>
      <c r="O474" s="498">
        <v>0.9728523862375138</v>
      </c>
      <c r="P474" s="427">
        <f t="shared" si="68"/>
        <v>0.27036982520699165</v>
      </c>
      <c r="Q474" s="426">
        <f t="shared" si="64"/>
        <v>0.32958081692732283</v>
      </c>
      <c r="R474" s="532">
        <f t="shared" si="69"/>
        <v>1.2995650248682405E-2</v>
      </c>
    </row>
    <row r="475" spans="1:18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625">
        <f t="shared" si="71"/>
        <v>417.17</v>
      </c>
      <c r="G475" s="55">
        <v>12</v>
      </c>
      <c r="H475" s="730">
        <v>12</v>
      </c>
      <c r="I475" s="330"/>
      <c r="J475" s="330">
        <v>1</v>
      </c>
      <c r="K475" s="142">
        <f t="shared" si="70"/>
        <v>13</v>
      </c>
      <c r="L475" s="589">
        <f t="shared" si="65"/>
        <v>2.3919043238270466E-3</v>
      </c>
      <c r="M475" s="276">
        <f t="shared" si="66"/>
        <v>5.4275418583256663</v>
      </c>
      <c r="N475" s="425">
        <f t="shared" si="67"/>
        <v>1.9957071413063476</v>
      </c>
      <c r="O475" s="498">
        <v>2.1078468368479468</v>
      </c>
      <c r="P475" s="427">
        <f t="shared" si="68"/>
        <v>0.58580128794848196</v>
      </c>
      <c r="Q475" s="426">
        <f t="shared" si="64"/>
        <v>0.71409177000919954</v>
      </c>
      <c r="R475" s="532">
        <f t="shared" si="69"/>
        <v>2.5830155805725331E-2</v>
      </c>
    </row>
    <row r="476" spans="1:18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625">
        <f t="shared" si="71"/>
        <v>249.3</v>
      </c>
      <c r="G476" s="55">
        <v>6</v>
      </c>
      <c r="H476" s="730">
        <v>6</v>
      </c>
      <c r="I476" s="330"/>
      <c r="J476" s="330">
        <v>1</v>
      </c>
      <c r="K476" s="142">
        <f t="shared" si="70"/>
        <v>7</v>
      </c>
      <c r="L476" s="589">
        <f t="shared" si="65"/>
        <v>1.2879484820607174E-3</v>
      </c>
      <c r="M476" s="276">
        <f t="shared" si="66"/>
        <v>2.922522539098436</v>
      </c>
      <c r="N476" s="425">
        <f t="shared" si="67"/>
        <v>1.0746115376264951</v>
      </c>
      <c r="O476" s="498">
        <v>1.1349944506104328</v>
      </c>
      <c r="P476" s="427">
        <f t="shared" si="68"/>
        <v>0.31543146274149031</v>
      </c>
      <c r="Q476" s="426">
        <f t="shared" si="64"/>
        <v>0.38451095308187672</v>
      </c>
      <c r="R476" s="532">
        <f t="shared" si="69"/>
        <v>2.7864756982490309E-2</v>
      </c>
    </row>
    <row r="477" spans="1:18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625">
        <f t="shared" si="71"/>
        <v>534.94000000000005</v>
      </c>
      <c r="G477" s="55">
        <v>13</v>
      </c>
      <c r="H477" s="730">
        <v>13</v>
      </c>
      <c r="I477" s="330"/>
      <c r="J477" s="330">
        <v>2</v>
      </c>
      <c r="K477" s="142">
        <f t="shared" si="70"/>
        <v>15</v>
      </c>
      <c r="L477" s="589">
        <f t="shared" si="65"/>
        <v>2.7598896044158231E-3</v>
      </c>
      <c r="M477" s="276">
        <f t="shared" si="66"/>
        <v>6.2625482980680767</v>
      </c>
      <c r="N477" s="425">
        <f t="shared" si="67"/>
        <v>2.302739009199632</v>
      </c>
      <c r="O477" s="498">
        <v>2.4321309655937844</v>
      </c>
      <c r="P477" s="427">
        <f t="shared" si="68"/>
        <v>0.67592456301747927</v>
      </c>
      <c r="Q477" s="426">
        <f t="shared" ref="Q477:Q540" si="72">P477*1.219</f>
        <v>0.82395204231830732</v>
      </c>
      <c r="R477" s="532">
        <f t="shared" si="69"/>
        <v>2.3826066122135312E-2</v>
      </c>
    </row>
    <row r="478" spans="1:18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625">
        <f t="shared" si="71"/>
        <v>382.94</v>
      </c>
      <c r="G478" s="55">
        <v>9</v>
      </c>
      <c r="H478" s="730">
        <v>9</v>
      </c>
      <c r="I478" s="330"/>
      <c r="J478" s="330">
        <v>2</v>
      </c>
      <c r="K478" s="142">
        <f t="shared" si="70"/>
        <v>11</v>
      </c>
      <c r="L478" s="589">
        <f t="shared" si="65"/>
        <v>2.0239190432382705E-3</v>
      </c>
      <c r="M478" s="276">
        <f t="shared" si="66"/>
        <v>4.5925354185832568</v>
      </c>
      <c r="N478" s="425">
        <f t="shared" si="67"/>
        <v>1.6886752734130637</v>
      </c>
      <c r="O478" s="498">
        <v>1.7835627081021086</v>
      </c>
      <c r="P478" s="427">
        <f t="shared" si="68"/>
        <v>0.49567801287948482</v>
      </c>
      <c r="Q478" s="426">
        <f t="shared" si="72"/>
        <v>0.60423149770009199</v>
      </c>
      <c r="R478" s="532">
        <f t="shared" si="69"/>
        <v>2.7754024811885339E-2</v>
      </c>
    </row>
    <row r="479" spans="1:18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625">
        <f t="shared" si="71"/>
        <v>367.5</v>
      </c>
      <c r="G479" s="55">
        <v>11</v>
      </c>
      <c r="H479" s="730">
        <v>11</v>
      </c>
      <c r="I479" s="330"/>
      <c r="J479" s="330"/>
      <c r="K479" s="142">
        <f t="shared" si="70"/>
        <v>11</v>
      </c>
      <c r="L479" s="589">
        <f t="shared" si="65"/>
        <v>2.0239190432382705E-3</v>
      </c>
      <c r="M479" s="276">
        <f t="shared" si="66"/>
        <v>4.5925354185832568</v>
      </c>
      <c r="N479" s="425">
        <f t="shared" si="67"/>
        <v>1.6886752734130637</v>
      </c>
      <c r="O479" s="498">
        <v>1.7835627081021086</v>
      </c>
      <c r="P479" s="427">
        <f t="shared" si="68"/>
        <v>0.49567801287948482</v>
      </c>
      <c r="Q479" s="426">
        <f t="shared" si="72"/>
        <v>0.60423149770009199</v>
      </c>
      <c r="R479" s="532">
        <f t="shared" si="69"/>
        <v>2.3293745341436498E-2</v>
      </c>
    </row>
    <row r="480" spans="1:18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625">
        <f t="shared" si="71"/>
        <v>131.4</v>
      </c>
      <c r="G480" s="55">
        <v>4</v>
      </c>
      <c r="H480" s="730">
        <v>4</v>
      </c>
      <c r="I480" s="330"/>
      <c r="J480" s="330"/>
      <c r="K480" s="142">
        <f t="shared" si="70"/>
        <v>4</v>
      </c>
      <c r="L480" s="589">
        <f t="shared" si="65"/>
        <v>7.3597056117755285E-4</v>
      </c>
      <c r="M480" s="276">
        <f t="shared" si="66"/>
        <v>1.6700128794848206</v>
      </c>
      <c r="N480" s="425">
        <f t="shared" si="67"/>
        <v>0.61406373578656859</v>
      </c>
      <c r="O480" s="498">
        <v>0.6485682574916759</v>
      </c>
      <c r="P480" s="427">
        <f t="shared" si="68"/>
        <v>0.18024655013799445</v>
      </c>
      <c r="Q480" s="426">
        <f t="shared" si="72"/>
        <v>0.21972054461821525</v>
      </c>
      <c r="R480" s="532">
        <f t="shared" si="69"/>
        <v>2.3690193477177015E-2</v>
      </c>
    </row>
    <row r="481" spans="1:18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625">
        <f t="shared" si="71"/>
        <v>471.36</v>
      </c>
      <c r="G481" s="55">
        <v>15</v>
      </c>
      <c r="H481" s="730">
        <v>15</v>
      </c>
      <c r="I481" s="330"/>
      <c r="J481" s="330"/>
      <c r="K481" s="142">
        <f t="shared" si="70"/>
        <v>15</v>
      </c>
      <c r="L481" s="589">
        <f t="shared" si="65"/>
        <v>2.7598896044158231E-3</v>
      </c>
      <c r="M481" s="276">
        <f t="shared" si="66"/>
        <v>6.2625482980680767</v>
      </c>
      <c r="N481" s="425">
        <f t="shared" si="67"/>
        <v>2.302739009199632</v>
      </c>
      <c r="O481" s="498">
        <v>2.4321309655937844</v>
      </c>
      <c r="P481" s="427">
        <f t="shared" si="68"/>
        <v>0.67592456301747927</v>
      </c>
      <c r="Q481" s="426">
        <f t="shared" si="72"/>
        <v>0.82395204231830732</v>
      </c>
      <c r="R481" s="532">
        <f t="shared" si="69"/>
        <v>2.4765238535045347E-2</v>
      </c>
    </row>
    <row r="482" spans="1:18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625">
        <f t="shared" si="71"/>
        <v>530.79999999999995</v>
      </c>
      <c r="G482" s="55">
        <v>17</v>
      </c>
      <c r="H482" s="730">
        <v>17</v>
      </c>
      <c r="I482" s="330"/>
      <c r="J482" s="330"/>
      <c r="K482" s="142">
        <f t="shared" si="70"/>
        <v>17</v>
      </c>
      <c r="L482" s="589">
        <f t="shared" si="65"/>
        <v>3.1278748850045997E-3</v>
      </c>
      <c r="M482" s="276">
        <f t="shared" si="66"/>
        <v>7.097554737810488</v>
      </c>
      <c r="N482" s="425">
        <f t="shared" si="67"/>
        <v>2.6097708770929167</v>
      </c>
      <c r="O482" s="498">
        <v>2.7564150943396228</v>
      </c>
      <c r="P482" s="427">
        <f t="shared" si="68"/>
        <v>0.76604783808647647</v>
      </c>
      <c r="Q482" s="426">
        <f t="shared" si="72"/>
        <v>0.93381231462741487</v>
      </c>
      <c r="R482" s="532">
        <f t="shared" si="69"/>
        <v>2.4924243683740591E-2</v>
      </c>
    </row>
    <row r="483" spans="1:18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625">
        <f t="shared" si="71"/>
        <v>330.15</v>
      </c>
      <c r="G483" s="55">
        <v>10</v>
      </c>
      <c r="H483" s="730">
        <v>10</v>
      </c>
      <c r="I483" s="330"/>
      <c r="J483" s="330"/>
      <c r="K483" s="142">
        <f t="shared" si="70"/>
        <v>10</v>
      </c>
      <c r="L483" s="589">
        <f t="shared" si="65"/>
        <v>1.8399264029438822E-3</v>
      </c>
      <c r="M483" s="276">
        <f t="shared" si="66"/>
        <v>4.175032198712052</v>
      </c>
      <c r="N483" s="425">
        <f t="shared" si="67"/>
        <v>1.5351593394664216</v>
      </c>
      <c r="O483" s="498">
        <v>1.6214206437291898</v>
      </c>
      <c r="P483" s="427">
        <f t="shared" si="68"/>
        <v>0.45061637534498616</v>
      </c>
      <c r="Q483" s="426">
        <f t="shared" si="72"/>
        <v>0.54930136154553821</v>
      </c>
      <c r="R483" s="532">
        <f t="shared" si="69"/>
        <v>2.3571796326677722E-2</v>
      </c>
    </row>
    <row r="484" spans="1:18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625">
        <f t="shared" si="71"/>
        <v>242.1</v>
      </c>
      <c r="G484" s="55">
        <v>5</v>
      </c>
      <c r="H484" s="730">
        <v>5</v>
      </c>
      <c r="I484" s="330"/>
      <c r="J484" s="330"/>
      <c r="K484" s="142">
        <f t="shared" si="70"/>
        <v>5</v>
      </c>
      <c r="L484" s="589">
        <f t="shared" si="65"/>
        <v>9.1996320147194111E-4</v>
      </c>
      <c r="M484" s="276">
        <f t="shared" si="66"/>
        <v>2.087516099356026</v>
      </c>
      <c r="N484" s="425">
        <f t="shared" si="67"/>
        <v>0.76757966973321079</v>
      </c>
      <c r="O484" s="498">
        <v>0.81071032186459491</v>
      </c>
      <c r="P484" s="427">
        <f t="shared" si="68"/>
        <v>0.22530818767249308</v>
      </c>
      <c r="Q484" s="426">
        <f t="shared" si="72"/>
        <v>0.27465068077276911</v>
      </c>
      <c r="R484" s="532">
        <f t="shared" si="69"/>
        <v>1.6072343158307825E-2</v>
      </c>
    </row>
    <row r="485" spans="1:18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625">
        <f t="shared" si="71"/>
        <v>528.74</v>
      </c>
      <c r="G485" s="55">
        <v>16</v>
      </c>
      <c r="H485" s="730">
        <v>16</v>
      </c>
      <c r="I485" s="330"/>
      <c r="J485" s="330"/>
      <c r="K485" s="142">
        <f t="shared" si="70"/>
        <v>16</v>
      </c>
      <c r="L485" s="589">
        <f t="shared" si="65"/>
        <v>2.9438822447102114E-3</v>
      </c>
      <c r="M485" s="276">
        <f t="shared" si="66"/>
        <v>6.6800515179392823</v>
      </c>
      <c r="N485" s="425">
        <f t="shared" si="67"/>
        <v>2.4562549431462743</v>
      </c>
      <c r="O485" s="498">
        <v>2.5942730299667036</v>
      </c>
      <c r="P485" s="427">
        <f t="shared" si="68"/>
        <v>0.72098620055197782</v>
      </c>
      <c r="Q485" s="426">
        <f t="shared" si="72"/>
        <v>0.87888217847286099</v>
      </c>
      <c r="R485" s="532">
        <f t="shared" si="69"/>
        <v>2.3549505790377574E-2</v>
      </c>
    </row>
    <row r="486" spans="1:18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625">
        <f t="shared" si="71"/>
        <v>140.6</v>
      </c>
      <c r="G486" s="55">
        <v>2</v>
      </c>
      <c r="H486" s="730">
        <v>2</v>
      </c>
      <c r="I486" s="330"/>
      <c r="J486" s="330"/>
      <c r="K486" s="142">
        <f t="shared" si="70"/>
        <v>2</v>
      </c>
      <c r="L486" s="589">
        <f t="shared" si="65"/>
        <v>3.6798528058877642E-4</v>
      </c>
      <c r="M486" s="276">
        <f t="shared" si="66"/>
        <v>0.83500643974241029</v>
      </c>
      <c r="N486" s="425">
        <f t="shared" si="67"/>
        <v>0.30703186789328429</v>
      </c>
      <c r="O486" s="498">
        <v>0.32428412874583795</v>
      </c>
      <c r="P486" s="427">
        <f t="shared" si="68"/>
        <v>9.0123275068997227E-2</v>
      </c>
      <c r="Q486" s="426">
        <f t="shared" si="72"/>
        <v>0.10986027230910762</v>
      </c>
      <c r="R486" s="532">
        <f t="shared" si="69"/>
        <v>1.1070026397229944E-2</v>
      </c>
    </row>
    <row r="487" spans="1:18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625">
        <f t="shared" si="71"/>
        <v>183.6</v>
      </c>
      <c r="G487" s="55">
        <v>4</v>
      </c>
      <c r="H487" s="730">
        <v>4</v>
      </c>
      <c r="I487" s="330"/>
      <c r="J487" s="330"/>
      <c r="K487" s="142">
        <f t="shared" si="70"/>
        <v>4</v>
      </c>
      <c r="L487" s="589">
        <f t="shared" si="65"/>
        <v>7.3597056117755285E-4</v>
      </c>
      <c r="M487" s="276">
        <f t="shared" si="66"/>
        <v>1.6700128794848206</v>
      </c>
      <c r="N487" s="425">
        <f t="shared" si="67"/>
        <v>0.61406373578656859</v>
      </c>
      <c r="O487" s="498">
        <v>0.6485682574916759</v>
      </c>
      <c r="P487" s="427">
        <f t="shared" si="68"/>
        <v>0.18024655013799445</v>
      </c>
      <c r="Q487" s="426">
        <f t="shared" si="72"/>
        <v>0.21972054461821525</v>
      </c>
      <c r="R487" s="532">
        <f t="shared" si="69"/>
        <v>1.6954746312097275E-2</v>
      </c>
    </row>
    <row r="488" spans="1:18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625">
        <f t="shared" si="71"/>
        <v>384.7</v>
      </c>
      <c r="G488" s="55">
        <v>9</v>
      </c>
      <c r="H488" s="730">
        <v>9</v>
      </c>
      <c r="I488" s="330"/>
      <c r="J488" s="330"/>
      <c r="K488" s="142">
        <f t="shared" si="70"/>
        <v>9</v>
      </c>
      <c r="L488" s="589">
        <f t="shared" si="65"/>
        <v>1.655933762649494E-3</v>
      </c>
      <c r="M488" s="276">
        <f t="shared" si="66"/>
        <v>3.7575289788408464</v>
      </c>
      <c r="N488" s="425">
        <f t="shared" si="67"/>
        <v>1.3816434055197793</v>
      </c>
      <c r="O488" s="498">
        <v>1.4592785793562708</v>
      </c>
      <c r="P488" s="427">
        <f t="shared" si="68"/>
        <v>0.40555473781048756</v>
      </c>
      <c r="Q488" s="426">
        <f t="shared" si="72"/>
        <v>0.49437122539098438</v>
      </c>
      <c r="R488" s="532">
        <f t="shared" si="69"/>
        <v>1.820640941390014E-2</v>
      </c>
    </row>
    <row r="489" spans="1:18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625">
        <f>C489+E489</f>
        <v>1900.8700000000001</v>
      </c>
      <c r="G489" s="55">
        <v>52</v>
      </c>
      <c r="H489" s="730">
        <v>52</v>
      </c>
      <c r="I489" s="330"/>
      <c r="J489" s="330">
        <v>3</v>
      </c>
      <c r="K489" s="142">
        <f t="shared" si="70"/>
        <v>55</v>
      </c>
      <c r="L489" s="589">
        <f t="shared" si="65"/>
        <v>1.0119595216191352E-2</v>
      </c>
      <c r="M489" s="276">
        <f t="shared" si="66"/>
        <v>22.962677092916284</v>
      </c>
      <c r="N489" s="425">
        <f t="shared" si="67"/>
        <v>8.4433763670653175</v>
      </c>
      <c r="O489" s="498">
        <v>8.9178135405105436</v>
      </c>
      <c r="P489" s="427">
        <f t="shared" si="68"/>
        <v>2.4783900643974239</v>
      </c>
      <c r="Q489" s="426">
        <f t="shared" si="72"/>
        <v>3.0211574885004602</v>
      </c>
      <c r="R489" s="532">
        <f t="shared" si="69"/>
        <v>2.5528134376406546E-2</v>
      </c>
    </row>
    <row r="490" spans="1:18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625">
        <f>C490+D490+E490</f>
        <v>362.4</v>
      </c>
      <c r="G490" s="55">
        <v>9</v>
      </c>
      <c r="H490" s="730">
        <v>9</v>
      </c>
      <c r="I490" s="330"/>
      <c r="J490" s="330"/>
      <c r="K490" s="142">
        <f t="shared" si="70"/>
        <v>9</v>
      </c>
      <c r="L490" s="589">
        <f t="shared" si="65"/>
        <v>1.655933762649494E-3</v>
      </c>
      <c r="M490" s="276">
        <f t="shared" si="66"/>
        <v>3.7575289788408464</v>
      </c>
      <c r="N490" s="425">
        <f t="shared" si="67"/>
        <v>1.3816434055197793</v>
      </c>
      <c r="O490" s="498">
        <v>1.4592785793562708</v>
      </c>
      <c r="P490" s="427">
        <f t="shared" si="68"/>
        <v>0.40555473781048756</v>
      </c>
      <c r="Q490" s="426">
        <f t="shared" si="72"/>
        <v>0.49437122539098438</v>
      </c>
      <c r="R490" s="532">
        <f t="shared" si="69"/>
        <v>1.9326726549468501E-2</v>
      </c>
    </row>
    <row r="491" spans="1:18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625">
        <f t="shared" si="71"/>
        <v>196.1</v>
      </c>
      <c r="G491" s="55">
        <v>4</v>
      </c>
      <c r="H491" s="730">
        <v>4</v>
      </c>
      <c r="I491" s="330"/>
      <c r="J491" s="330">
        <v>1</v>
      </c>
      <c r="K491" s="142">
        <f t="shared" si="70"/>
        <v>5</v>
      </c>
      <c r="L491" s="589">
        <f t="shared" si="65"/>
        <v>9.1996320147194111E-4</v>
      </c>
      <c r="M491" s="276">
        <f t="shared" si="66"/>
        <v>2.087516099356026</v>
      </c>
      <c r="N491" s="425">
        <f t="shared" si="67"/>
        <v>0.76757966973321079</v>
      </c>
      <c r="O491" s="498">
        <v>0.81071032186459491</v>
      </c>
      <c r="P491" s="427">
        <f t="shared" si="68"/>
        <v>0.22530818767249308</v>
      </c>
      <c r="Q491" s="426">
        <f t="shared" si="72"/>
        <v>0.27465068077276911</v>
      </c>
      <c r="R491" s="532">
        <f t="shared" si="69"/>
        <v>2.4911102936148045E-2</v>
      </c>
    </row>
    <row r="492" spans="1:18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625">
        <f t="shared" si="71"/>
        <v>98.48</v>
      </c>
      <c r="G492" s="55">
        <v>4</v>
      </c>
      <c r="H492" s="730">
        <v>4</v>
      </c>
      <c r="I492" s="330"/>
      <c r="J492" s="330"/>
      <c r="K492" s="142">
        <f t="shared" si="70"/>
        <v>4</v>
      </c>
      <c r="L492" s="589">
        <f t="shared" si="65"/>
        <v>7.3597056117755285E-4</v>
      </c>
      <c r="M492" s="276">
        <f t="shared" si="66"/>
        <v>1.6700128794848206</v>
      </c>
      <c r="N492" s="425">
        <f t="shared" si="67"/>
        <v>0.61406373578656859</v>
      </c>
      <c r="O492" s="498">
        <v>0.6485682574916759</v>
      </c>
      <c r="P492" s="427">
        <f t="shared" si="68"/>
        <v>0.18024655013799445</v>
      </c>
      <c r="Q492" s="426">
        <f t="shared" si="72"/>
        <v>0.21972054461821525</v>
      </c>
      <c r="R492" s="532">
        <f t="shared" si="69"/>
        <v>3.1609376755697194E-2</v>
      </c>
    </row>
    <row r="493" spans="1:18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625">
        <f t="shared" si="71"/>
        <v>2328.6</v>
      </c>
      <c r="G493" s="55">
        <v>48</v>
      </c>
      <c r="H493" s="730">
        <v>48</v>
      </c>
      <c r="I493" s="330"/>
      <c r="J493" s="330"/>
      <c r="K493" s="142">
        <f t="shared" si="70"/>
        <v>48</v>
      </c>
      <c r="L493" s="589">
        <f t="shared" si="65"/>
        <v>8.8316467341306333E-3</v>
      </c>
      <c r="M493" s="276">
        <f t="shared" si="66"/>
        <v>20.040154553817846</v>
      </c>
      <c r="N493" s="425">
        <f t="shared" si="67"/>
        <v>7.3687648294388222</v>
      </c>
      <c r="O493" s="427">
        <v>7.7828190899001104</v>
      </c>
      <c r="P493" s="427">
        <f t="shared" si="68"/>
        <v>2.1629586016559332</v>
      </c>
      <c r="Q493" s="426">
        <f t="shared" si="72"/>
        <v>2.6366465354185826</v>
      </c>
      <c r="R493" s="532">
        <f t="shared" si="69"/>
        <v>1.6041697618660443E-2</v>
      </c>
    </row>
    <row r="494" spans="1:18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625">
        <f t="shared" si="71"/>
        <v>479.01</v>
      </c>
      <c r="G494" s="55">
        <v>15</v>
      </c>
      <c r="H494" s="730">
        <v>15</v>
      </c>
      <c r="I494" s="330"/>
      <c r="J494" s="330"/>
      <c r="K494" s="142">
        <f t="shared" si="70"/>
        <v>15</v>
      </c>
      <c r="L494" s="589">
        <f t="shared" si="65"/>
        <v>2.7598896044158231E-3</v>
      </c>
      <c r="M494" s="276">
        <f t="shared" si="66"/>
        <v>6.2625482980680767</v>
      </c>
      <c r="N494" s="425">
        <f t="shared" si="67"/>
        <v>2.302739009199632</v>
      </c>
      <c r="O494" s="427">
        <v>2.4321309655937844</v>
      </c>
      <c r="P494" s="427">
        <f t="shared" si="68"/>
        <v>0.67592456301747927</v>
      </c>
      <c r="Q494" s="426">
        <f t="shared" si="72"/>
        <v>0.82395204231830732</v>
      </c>
      <c r="R494" s="532">
        <f t="shared" si="69"/>
        <v>2.4369726802945607E-2</v>
      </c>
    </row>
    <row r="495" spans="1:18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625">
        <f t="shared" si="71"/>
        <v>479.14</v>
      </c>
      <c r="G495" s="55">
        <v>15</v>
      </c>
      <c r="H495" s="730">
        <v>15</v>
      </c>
      <c r="I495" s="330"/>
      <c r="J495" s="330"/>
      <c r="K495" s="142">
        <f t="shared" si="70"/>
        <v>15</v>
      </c>
      <c r="L495" s="589">
        <f t="shared" si="65"/>
        <v>2.7598896044158231E-3</v>
      </c>
      <c r="M495" s="276">
        <f t="shared" si="66"/>
        <v>6.2625482980680767</v>
      </c>
      <c r="N495" s="425">
        <f t="shared" si="67"/>
        <v>2.302739009199632</v>
      </c>
      <c r="O495" s="427">
        <v>2.4321309655937844</v>
      </c>
      <c r="P495" s="427">
        <f t="shared" si="68"/>
        <v>0.67592456301747927</v>
      </c>
      <c r="Q495" s="426">
        <f t="shared" si="72"/>
        <v>0.82395204231830732</v>
      </c>
      <c r="R495" s="532">
        <f t="shared" si="69"/>
        <v>2.4363114822137526E-2</v>
      </c>
    </row>
    <row r="496" spans="1:18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625">
        <f t="shared" si="71"/>
        <v>1158.5899999999999</v>
      </c>
      <c r="G496" s="55">
        <v>34</v>
      </c>
      <c r="H496" s="730">
        <v>34</v>
      </c>
      <c r="I496" s="330"/>
      <c r="J496" s="330"/>
      <c r="K496" s="142">
        <f t="shared" si="70"/>
        <v>34</v>
      </c>
      <c r="L496" s="589">
        <f t="shared" si="65"/>
        <v>6.2557497700091993E-3</v>
      </c>
      <c r="M496" s="276">
        <f t="shared" si="66"/>
        <v>14.195109475620976</v>
      </c>
      <c r="N496" s="425">
        <f t="shared" si="67"/>
        <v>5.2195417541858333</v>
      </c>
      <c r="O496" s="427">
        <v>5.5128301886792457</v>
      </c>
      <c r="P496" s="427">
        <f t="shared" si="68"/>
        <v>1.5320956761729529</v>
      </c>
      <c r="Q496" s="426">
        <f t="shared" si="72"/>
        <v>1.8676246292548297</v>
      </c>
      <c r="R496" s="532">
        <f t="shared" si="69"/>
        <v>2.2837739920644067E-2</v>
      </c>
    </row>
    <row r="497" spans="1:18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625">
        <f t="shared" si="71"/>
        <v>368.99</v>
      </c>
      <c r="G497" s="55">
        <v>12</v>
      </c>
      <c r="H497" s="730">
        <v>12</v>
      </c>
      <c r="I497" s="330"/>
      <c r="J497" s="330"/>
      <c r="K497" s="142">
        <f t="shared" si="70"/>
        <v>12</v>
      </c>
      <c r="L497" s="589">
        <f t="shared" si="65"/>
        <v>2.2079116835326583E-3</v>
      </c>
      <c r="M497" s="276">
        <f t="shared" si="66"/>
        <v>5.0100386384544615</v>
      </c>
      <c r="N497" s="425">
        <f t="shared" si="67"/>
        <v>1.8421912073597055</v>
      </c>
      <c r="O497" s="427">
        <v>1.9457047724750276</v>
      </c>
      <c r="P497" s="427">
        <f t="shared" si="68"/>
        <v>0.54073965041398331</v>
      </c>
      <c r="Q497" s="426">
        <f t="shared" si="72"/>
        <v>0.65916163385464566</v>
      </c>
      <c r="R497" s="532">
        <f t="shared" si="69"/>
        <v>2.5308746222670469E-2</v>
      </c>
    </row>
    <row r="498" spans="1:18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625">
        <f t="shared" si="71"/>
        <v>346.24</v>
      </c>
      <c r="G498" s="55">
        <v>9</v>
      </c>
      <c r="H498" s="730">
        <v>9</v>
      </c>
      <c r="I498" s="330"/>
      <c r="J498" s="330"/>
      <c r="K498" s="142">
        <f t="shared" si="70"/>
        <v>9</v>
      </c>
      <c r="L498" s="589">
        <f t="shared" si="65"/>
        <v>1.655933762649494E-3</v>
      </c>
      <c r="M498" s="276">
        <f t="shared" si="66"/>
        <v>3.7575289788408464</v>
      </c>
      <c r="N498" s="425">
        <f t="shared" si="67"/>
        <v>1.3816434055197793</v>
      </c>
      <c r="O498" s="427">
        <v>1.4592785793562708</v>
      </c>
      <c r="P498" s="427">
        <f t="shared" si="68"/>
        <v>0.40555473781048756</v>
      </c>
      <c r="Q498" s="426">
        <f t="shared" si="72"/>
        <v>0.49437122539098438</v>
      </c>
      <c r="R498" s="532">
        <f t="shared" si="69"/>
        <v>2.0228759535372526E-2</v>
      </c>
    </row>
    <row r="499" spans="1:18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625">
        <f t="shared" si="71"/>
        <v>151.5</v>
      </c>
      <c r="G499" s="55">
        <v>3</v>
      </c>
      <c r="H499" s="730">
        <v>3</v>
      </c>
      <c r="I499" s="330"/>
      <c r="J499" s="330"/>
      <c r="K499" s="142">
        <f t="shared" si="70"/>
        <v>3</v>
      </c>
      <c r="L499" s="589">
        <f t="shared" si="65"/>
        <v>5.5197792088316458E-4</v>
      </c>
      <c r="M499" s="276">
        <f t="shared" si="66"/>
        <v>1.2525096596136154</v>
      </c>
      <c r="N499" s="425">
        <f t="shared" si="67"/>
        <v>0.46054780183992639</v>
      </c>
      <c r="O499" s="498">
        <v>0.4864261931187569</v>
      </c>
      <c r="P499" s="427">
        <f t="shared" si="68"/>
        <v>0.13518491260349583</v>
      </c>
      <c r="Q499" s="426">
        <f t="shared" si="72"/>
        <v>0.16479040846366141</v>
      </c>
      <c r="R499" s="532">
        <f t="shared" si="69"/>
        <v>1.5410353578718113E-2</v>
      </c>
    </row>
    <row r="500" spans="1:18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625">
        <f t="shared" si="71"/>
        <v>123.6</v>
      </c>
      <c r="G500" s="55">
        <v>4</v>
      </c>
      <c r="H500" s="730">
        <v>4</v>
      </c>
      <c r="I500" s="330"/>
      <c r="J500" s="330">
        <v>1</v>
      </c>
      <c r="K500" s="142">
        <f t="shared" si="70"/>
        <v>5</v>
      </c>
      <c r="L500" s="589">
        <f t="shared" si="65"/>
        <v>9.1996320147194111E-4</v>
      </c>
      <c r="M500" s="276">
        <f t="shared" si="66"/>
        <v>2.087516099356026</v>
      </c>
      <c r="N500" s="425">
        <f t="shared" si="67"/>
        <v>0.76757966973321079</v>
      </c>
      <c r="O500" s="498">
        <v>0.81071032186459491</v>
      </c>
      <c r="P500" s="427">
        <f t="shared" si="68"/>
        <v>0.22530818767249308</v>
      </c>
      <c r="Q500" s="426">
        <f t="shared" si="72"/>
        <v>0.27465068077276911</v>
      </c>
      <c r="R500" s="532">
        <f t="shared" si="69"/>
        <v>3.9185440872369838E-2</v>
      </c>
    </row>
    <row r="501" spans="1:18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625">
        <f t="shared" si="71"/>
        <v>624.51</v>
      </c>
      <c r="G501" s="55">
        <v>20</v>
      </c>
      <c r="H501" s="730">
        <v>20</v>
      </c>
      <c r="I501" s="330"/>
      <c r="J501" s="330"/>
      <c r="K501" s="142">
        <f t="shared" si="70"/>
        <v>20</v>
      </c>
      <c r="L501" s="589">
        <f t="shared" si="65"/>
        <v>3.6798528058877645E-3</v>
      </c>
      <c r="M501" s="276">
        <f t="shared" si="66"/>
        <v>8.350064397424104</v>
      </c>
      <c r="N501" s="425">
        <f t="shared" si="67"/>
        <v>3.0703186789328432</v>
      </c>
      <c r="O501" s="498">
        <v>3.2428412874583796</v>
      </c>
      <c r="P501" s="427">
        <f t="shared" si="68"/>
        <v>0.90123275068997233</v>
      </c>
      <c r="Q501" s="426">
        <f t="shared" si="72"/>
        <v>1.0986027230910764</v>
      </c>
      <c r="R501" s="532">
        <f t="shared" si="69"/>
        <v>2.492267075708203E-2</v>
      </c>
    </row>
    <row r="502" spans="1:18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625">
        <f t="shared" si="71"/>
        <v>202.5</v>
      </c>
      <c r="G502" s="55">
        <v>5</v>
      </c>
      <c r="H502" s="730">
        <v>5</v>
      </c>
      <c r="I502" s="330"/>
      <c r="J502" s="330"/>
      <c r="K502" s="142">
        <f t="shared" si="70"/>
        <v>5</v>
      </c>
      <c r="L502" s="589">
        <f t="shared" si="65"/>
        <v>9.1996320147194111E-4</v>
      </c>
      <c r="M502" s="276">
        <f t="shared" si="66"/>
        <v>2.087516099356026</v>
      </c>
      <c r="N502" s="425">
        <f t="shared" si="67"/>
        <v>0.76757966973321079</v>
      </c>
      <c r="O502" s="498">
        <v>0.81071032186459491</v>
      </c>
      <c r="P502" s="427">
        <f t="shared" si="68"/>
        <v>0.22530818767249308</v>
      </c>
      <c r="Q502" s="426">
        <f t="shared" si="72"/>
        <v>0.27465068077276911</v>
      </c>
      <c r="R502" s="532">
        <f t="shared" si="69"/>
        <v>1.9215379153710244E-2</v>
      </c>
    </row>
    <row r="503" spans="1:18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625">
        <f t="shared" si="71"/>
        <v>132.5</v>
      </c>
      <c r="G503" s="55">
        <v>4</v>
      </c>
      <c r="H503" s="730">
        <v>4</v>
      </c>
      <c r="I503" s="330"/>
      <c r="J503" s="330"/>
      <c r="K503" s="142">
        <f t="shared" si="70"/>
        <v>4</v>
      </c>
      <c r="L503" s="589">
        <f t="shared" si="65"/>
        <v>7.3597056117755285E-4</v>
      </c>
      <c r="M503" s="276">
        <f t="shared" si="66"/>
        <v>1.6700128794848206</v>
      </c>
      <c r="N503" s="425">
        <f t="shared" si="67"/>
        <v>0.61406373578656859</v>
      </c>
      <c r="O503" s="498">
        <v>0.6485682574916759</v>
      </c>
      <c r="P503" s="427">
        <f t="shared" si="68"/>
        <v>0.18024655013799445</v>
      </c>
      <c r="Q503" s="426">
        <f t="shared" si="72"/>
        <v>0.21972054461821525</v>
      </c>
      <c r="R503" s="532">
        <f t="shared" si="69"/>
        <v>2.3493520172838189E-2</v>
      </c>
    </row>
    <row r="504" spans="1:18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625">
        <f t="shared" si="71"/>
        <v>156.1</v>
      </c>
      <c r="G504" s="55">
        <v>2</v>
      </c>
      <c r="H504" s="730">
        <v>2</v>
      </c>
      <c r="I504" s="330"/>
      <c r="J504" s="330"/>
      <c r="K504" s="142">
        <f t="shared" si="70"/>
        <v>2</v>
      </c>
      <c r="L504" s="589">
        <f t="shared" si="65"/>
        <v>3.6798528058877642E-4</v>
      </c>
      <c r="M504" s="276">
        <f t="shared" si="66"/>
        <v>0.83500643974241029</v>
      </c>
      <c r="N504" s="425">
        <f t="shared" si="67"/>
        <v>0.30703186789328429</v>
      </c>
      <c r="O504" s="498">
        <v>0.32428412874583795</v>
      </c>
      <c r="P504" s="427">
        <f t="shared" si="68"/>
        <v>9.0123275068997227E-2</v>
      </c>
      <c r="Q504" s="426">
        <f t="shared" si="72"/>
        <v>0.10986027230910762</v>
      </c>
      <c r="R504" s="532">
        <f t="shared" si="69"/>
        <v>9.9708245448464437E-3</v>
      </c>
    </row>
    <row r="505" spans="1:18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625">
        <f t="shared" si="71"/>
        <v>138</v>
      </c>
      <c r="G505" s="55">
        <v>5</v>
      </c>
      <c r="H505" s="730">
        <v>5</v>
      </c>
      <c r="I505" s="330"/>
      <c r="J505" s="330"/>
      <c r="K505" s="142">
        <f t="shared" si="70"/>
        <v>5</v>
      </c>
      <c r="L505" s="589">
        <f t="shared" si="65"/>
        <v>9.1996320147194111E-4</v>
      </c>
      <c r="M505" s="276">
        <f t="shared" si="66"/>
        <v>2.087516099356026</v>
      </c>
      <c r="N505" s="425">
        <f t="shared" si="67"/>
        <v>0.76757966973321079</v>
      </c>
      <c r="O505" s="498">
        <v>0.81071032186459491</v>
      </c>
      <c r="P505" s="427">
        <f t="shared" si="68"/>
        <v>0.22530818767249308</v>
      </c>
      <c r="Q505" s="426">
        <f t="shared" si="72"/>
        <v>0.27465068077276911</v>
      </c>
      <c r="R505" s="532">
        <f t="shared" si="69"/>
        <v>2.8196480279900904E-2</v>
      </c>
    </row>
    <row r="506" spans="1:18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625">
        <f t="shared" si="71"/>
        <v>137.69999999999999</v>
      </c>
      <c r="G506" s="55">
        <v>4</v>
      </c>
      <c r="H506" s="730">
        <v>4</v>
      </c>
      <c r="I506" s="330"/>
      <c r="J506" s="330"/>
      <c r="K506" s="142">
        <f t="shared" si="70"/>
        <v>4</v>
      </c>
      <c r="L506" s="589">
        <f t="shared" si="65"/>
        <v>7.3597056117755285E-4</v>
      </c>
      <c r="M506" s="276">
        <f t="shared" si="66"/>
        <v>1.6700128794848206</v>
      </c>
      <c r="N506" s="425">
        <f t="shared" si="67"/>
        <v>0.61406373578656859</v>
      </c>
      <c r="O506" s="498">
        <v>0.6485682574916759</v>
      </c>
      <c r="P506" s="427">
        <f t="shared" si="68"/>
        <v>0.18024655013799445</v>
      </c>
      <c r="Q506" s="426">
        <f t="shared" si="72"/>
        <v>0.21972054461821525</v>
      </c>
      <c r="R506" s="532">
        <f t="shared" si="69"/>
        <v>2.2606328416129702E-2</v>
      </c>
    </row>
    <row r="507" spans="1:18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625">
        <f t="shared" si="71"/>
        <v>184.88</v>
      </c>
      <c r="G507" s="55">
        <v>4</v>
      </c>
      <c r="H507" s="730">
        <v>4</v>
      </c>
      <c r="I507" s="330"/>
      <c r="J507" s="330"/>
      <c r="K507" s="142">
        <f t="shared" si="70"/>
        <v>4</v>
      </c>
      <c r="L507" s="589">
        <f t="shared" si="65"/>
        <v>7.3597056117755285E-4</v>
      </c>
      <c r="M507" s="276">
        <f t="shared" si="66"/>
        <v>1.6700128794848206</v>
      </c>
      <c r="N507" s="425">
        <f t="shared" si="67"/>
        <v>0.61406373578656859</v>
      </c>
      <c r="O507" s="498">
        <v>0.6485682574916759</v>
      </c>
      <c r="P507" s="427">
        <f t="shared" si="68"/>
        <v>0.18024655013799445</v>
      </c>
      <c r="Q507" s="426">
        <f t="shared" si="72"/>
        <v>0.21972054461821525</v>
      </c>
      <c r="R507" s="532">
        <f t="shared" si="69"/>
        <v>1.6837361655674274E-2</v>
      </c>
    </row>
    <row r="508" spans="1:18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625">
        <f t="shared" si="71"/>
        <v>657.19</v>
      </c>
      <c r="G508" s="55">
        <v>20</v>
      </c>
      <c r="H508" s="730">
        <v>20</v>
      </c>
      <c r="I508" s="330"/>
      <c r="J508" s="330">
        <v>1</v>
      </c>
      <c r="K508" s="142">
        <f t="shared" si="70"/>
        <v>21</v>
      </c>
      <c r="L508" s="589">
        <f t="shared" si="65"/>
        <v>3.8638454461821523E-3</v>
      </c>
      <c r="M508" s="276">
        <f t="shared" si="66"/>
        <v>8.7675676172953079</v>
      </c>
      <c r="N508" s="425">
        <f t="shared" si="67"/>
        <v>3.223834612879485</v>
      </c>
      <c r="O508" s="498">
        <v>3.4049833518312984</v>
      </c>
      <c r="P508" s="427">
        <f t="shared" si="68"/>
        <v>0.94629438822447087</v>
      </c>
      <c r="Q508" s="426">
        <f t="shared" si="72"/>
        <v>1.15353285924563</v>
      </c>
      <c r="R508" s="532">
        <f t="shared" si="69"/>
        <v>2.5854988957633499E-2</v>
      </c>
    </row>
    <row r="509" spans="1:18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625">
        <f t="shared" si="71"/>
        <v>815.3</v>
      </c>
      <c r="G509" s="55">
        <v>29</v>
      </c>
      <c r="H509" s="730">
        <v>29</v>
      </c>
      <c r="I509" s="330"/>
      <c r="J509" s="330"/>
      <c r="K509" s="142">
        <f t="shared" si="70"/>
        <v>29</v>
      </c>
      <c r="L509" s="589">
        <f t="shared" si="65"/>
        <v>5.3357865685372584E-3</v>
      </c>
      <c r="M509" s="276">
        <f t="shared" si="66"/>
        <v>12.107593376264949</v>
      </c>
      <c r="N509" s="425">
        <f t="shared" si="67"/>
        <v>4.4519620844526226</v>
      </c>
      <c r="O509" s="498">
        <v>4.70211986681465</v>
      </c>
      <c r="P509" s="427">
        <f t="shared" si="68"/>
        <v>1.30678748850046</v>
      </c>
      <c r="Q509" s="426">
        <f t="shared" si="72"/>
        <v>1.5929739484820609</v>
      </c>
      <c r="R509" s="532">
        <f t="shared" si="69"/>
        <v>2.7681176028495874E-2</v>
      </c>
    </row>
    <row r="510" spans="1:18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625">
        <f t="shared" si="71"/>
        <v>800.4</v>
      </c>
      <c r="G510" s="55">
        <v>32</v>
      </c>
      <c r="H510" s="730">
        <v>32</v>
      </c>
      <c r="I510" s="330"/>
      <c r="J510" s="330"/>
      <c r="K510" s="142">
        <f t="shared" si="70"/>
        <v>32</v>
      </c>
      <c r="L510" s="589">
        <f t="shared" si="65"/>
        <v>5.8877644894204228E-3</v>
      </c>
      <c r="M510" s="276">
        <f t="shared" si="66"/>
        <v>13.360103035878565</v>
      </c>
      <c r="N510" s="425">
        <f t="shared" si="67"/>
        <v>4.9125098862925487</v>
      </c>
      <c r="O510" s="498">
        <v>5.1885460599334072</v>
      </c>
      <c r="P510" s="427">
        <f t="shared" si="68"/>
        <v>1.4419724011039556</v>
      </c>
      <c r="Q510" s="426">
        <f t="shared" si="72"/>
        <v>1.757764356945722</v>
      </c>
      <c r="R510" s="532">
        <f t="shared" si="69"/>
        <v>3.111335755023548E-2</v>
      </c>
    </row>
    <row r="511" spans="1:18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625">
        <f t="shared" si="71"/>
        <v>285.10000000000002</v>
      </c>
      <c r="G511" s="55">
        <v>12</v>
      </c>
      <c r="H511" s="730">
        <v>12</v>
      </c>
      <c r="I511" s="330"/>
      <c r="J511" s="330"/>
      <c r="K511" s="142">
        <f t="shared" si="70"/>
        <v>12</v>
      </c>
      <c r="L511" s="589">
        <f t="shared" si="65"/>
        <v>2.2079116835326583E-3</v>
      </c>
      <c r="M511" s="276">
        <f t="shared" si="66"/>
        <v>5.0100386384544615</v>
      </c>
      <c r="N511" s="425">
        <f t="shared" si="67"/>
        <v>1.8421912073597055</v>
      </c>
      <c r="O511" s="498">
        <v>1.9457047724750276</v>
      </c>
      <c r="P511" s="427">
        <f t="shared" si="68"/>
        <v>0.54073965041398331</v>
      </c>
      <c r="Q511" s="426">
        <f t="shared" si="72"/>
        <v>0.65916163385464566</v>
      </c>
      <c r="R511" s="532">
        <f t="shared" si="69"/>
        <v>3.2755784877948703E-2</v>
      </c>
    </row>
    <row r="512" spans="1:18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625">
        <f t="shared" si="71"/>
        <v>415.84</v>
      </c>
      <c r="G512" s="55">
        <v>10</v>
      </c>
      <c r="H512" s="730">
        <v>10</v>
      </c>
      <c r="I512" s="330"/>
      <c r="J512" s="330"/>
      <c r="K512" s="142">
        <f t="shared" si="70"/>
        <v>10</v>
      </c>
      <c r="L512" s="589">
        <f t="shared" si="65"/>
        <v>1.8399264029438822E-3</v>
      </c>
      <c r="M512" s="276">
        <f t="shared" si="66"/>
        <v>4.175032198712052</v>
      </c>
      <c r="N512" s="425">
        <f t="shared" ref="N512:N534" si="73">M512*0.3677</f>
        <v>1.5351593394664216</v>
      </c>
      <c r="O512" s="498">
        <v>1.6214206437291898</v>
      </c>
      <c r="P512" s="427">
        <f t="shared" si="68"/>
        <v>0.45061637534498616</v>
      </c>
      <c r="Q512" s="426">
        <f t="shared" si="72"/>
        <v>0.54930136154553821</v>
      </c>
      <c r="R512" s="532">
        <f t="shared" si="69"/>
        <v>1.8714478061881132E-2</v>
      </c>
    </row>
    <row r="513" spans="1:18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625">
        <f t="shared" si="71"/>
        <v>516.34</v>
      </c>
      <c r="G513" s="55">
        <v>15</v>
      </c>
      <c r="H513" s="730">
        <v>15</v>
      </c>
      <c r="I513" s="330"/>
      <c r="J513" s="330"/>
      <c r="K513" s="142">
        <f t="shared" si="70"/>
        <v>15</v>
      </c>
      <c r="L513" s="589">
        <f t="shared" si="65"/>
        <v>2.7598896044158231E-3</v>
      </c>
      <c r="M513" s="276">
        <f t="shared" si="66"/>
        <v>6.2625482980680767</v>
      </c>
      <c r="N513" s="425">
        <f t="shared" si="73"/>
        <v>2.302739009199632</v>
      </c>
      <c r="O513" s="498">
        <v>2.4321309655937844</v>
      </c>
      <c r="P513" s="427">
        <f t="shared" si="68"/>
        <v>0.67592456301747927</v>
      </c>
      <c r="Q513" s="426">
        <f t="shared" si="72"/>
        <v>0.82395204231830732</v>
      </c>
      <c r="R513" s="532">
        <f t="shared" si="69"/>
        <v>2.2607860781421105E-2</v>
      </c>
    </row>
    <row r="514" spans="1:18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625">
        <f t="shared" si="71"/>
        <v>605.14</v>
      </c>
      <c r="G514" s="55">
        <v>14</v>
      </c>
      <c r="H514" s="730">
        <v>14</v>
      </c>
      <c r="I514" s="330"/>
      <c r="J514" s="330"/>
      <c r="K514" s="142">
        <f t="shared" si="70"/>
        <v>14</v>
      </c>
      <c r="L514" s="589">
        <f t="shared" ref="L514:L534" si="74">1/5435*K514</f>
        <v>2.5758969641214349E-3</v>
      </c>
      <c r="M514" s="276">
        <f t="shared" ref="M514:M534" si="75">L514*2269.13</f>
        <v>5.8450450781968719</v>
      </c>
      <c r="N514" s="425">
        <f t="shared" si="73"/>
        <v>2.1492230752529902</v>
      </c>
      <c r="O514" s="498">
        <v>2.2699889012208656</v>
      </c>
      <c r="P514" s="427">
        <f t="shared" ref="P514:P533" si="76">L514*244.91</f>
        <v>0.63086292548298062</v>
      </c>
      <c r="Q514" s="426">
        <f t="shared" si="72"/>
        <v>0.76902190616375343</v>
      </c>
      <c r="R514" s="532">
        <f t="shared" si="69"/>
        <v>1.8004296493627444E-2</v>
      </c>
    </row>
    <row r="515" spans="1:18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625">
        <f t="shared" si="71"/>
        <v>476.1</v>
      </c>
      <c r="G515" s="55">
        <v>16</v>
      </c>
      <c r="H515" s="730">
        <v>16</v>
      </c>
      <c r="I515" s="330"/>
      <c r="J515" s="330"/>
      <c r="K515" s="142">
        <f t="shared" si="70"/>
        <v>16</v>
      </c>
      <c r="L515" s="589">
        <f t="shared" si="74"/>
        <v>2.9438822447102114E-3</v>
      </c>
      <c r="M515" s="276">
        <f t="shared" si="75"/>
        <v>6.6800515179392823</v>
      </c>
      <c r="N515" s="425">
        <f t="shared" si="73"/>
        <v>2.4562549431462743</v>
      </c>
      <c r="O515" s="498">
        <v>2.5942730299667036</v>
      </c>
      <c r="P515" s="427">
        <f t="shared" si="76"/>
        <v>0.72098620055197782</v>
      </c>
      <c r="Q515" s="426">
        <f t="shared" si="72"/>
        <v>0.87888217847286099</v>
      </c>
      <c r="R515" s="532">
        <f t="shared" si="69"/>
        <v>2.6153257071212431E-2</v>
      </c>
    </row>
    <row r="516" spans="1:18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625">
        <f t="shared" si="71"/>
        <v>417.52</v>
      </c>
      <c r="G516" s="55">
        <v>14</v>
      </c>
      <c r="H516" s="730">
        <v>14</v>
      </c>
      <c r="I516" s="330"/>
      <c r="J516" s="330"/>
      <c r="K516" s="142">
        <f t="shared" si="70"/>
        <v>14</v>
      </c>
      <c r="L516" s="589">
        <f t="shared" si="74"/>
        <v>2.5758969641214349E-3</v>
      </c>
      <c r="M516" s="276">
        <f t="shared" si="75"/>
        <v>5.8450450781968719</v>
      </c>
      <c r="N516" s="425">
        <f t="shared" si="73"/>
        <v>2.1492230752529902</v>
      </c>
      <c r="O516" s="498">
        <v>2.2699889012208656</v>
      </c>
      <c r="P516" s="427">
        <f t="shared" si="76"/>
        <v>0.63086292548298062</v>
      </c>
      <c r="Q516" s="426">
        <f t="shared" si="72"/>
        <v>0.76902190616375343</v>
      </c>
      <c r="R516" s="532">
        <f t="shared" si="69"/>
        <v>2.609484570835819E-2</v>
      </c>
    </row>
    <row r="517" spans="1:18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625">
        <f t="shared" si="71"/>
        <v>273.56</v>
      </c>
      <c r="G517" s="55">
        <v>11</v>
      </c>
      <c r="H517" s="730">
        <v>11</v>
      </c>
      <c r="I517" s="330"/>
      <c r="J517" s="330"/>
      <c r="K517" s="142">
        <f t="shared" si="70"/>
        <v>11</v>
      </c>
      <c r="L517" s="589">
        <f t="shared" si="74"/>
        <v>2.0239190432382705E-3</v>
      </c>
      <c r="M517" s="276">
        <f t="shared" si="75"/>
        <v>4.5925354185832568</v>
      </c>
      <c r="N517" s="425">
        <f t="shared" si="73"/>
        <v>1.6886752734130637</v>
      </c>
      <c r="O517" s="498">
        <v>1.7835627081021086</v>
      </c>
      <c r="P517" s="427">
        <f t="shared" si="76"/>
        <v>0.49567801287948482</v>
      </c>
      <c r="Q517" s="426">
        <f t="shared" si="72"/>
        <v>0.60423149770009199</v>
      </c>
      <c r="R517" s="532">
        <f t="shared" si="69"/>
        <v>3.1292774575880658E-2</v>
      </c>
    </row>
    <row r="518" spans="1:18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625">
        <f t="shared" si="71"/>
        <v>645.95000000000005</v>
      </c>
      <c r="G518" s="55">
        <v>19</v>
      </c>
      <c r="H518" s="730">
        <v>19</v>
      </c>
      <c r="I518" s="330"/>
      <c r="J518" s="330"/>
      <c r="K518" s="142">
        <f t="shared" si="70"/>
        <v>19</v>
      </c>
      <c r="L518" s="589">
        <f t="shared" si="74"/>
        <v>3.4958601655933762E-3</v>
      </c>
      <c r="M518" s="276">
        <f t="shared" si="75"/>
        <v>7.9325611775528984</v>
      </c>
      <c r="N518" s="425">
        <f t="shared" si="73"/>
        <v>2.9168027449862008</v>
      </c>
      <c r="O518" s="498">
        <v>3.0806992230854604</v>
      </c>
      <c r="P518" s="427">
        <f t="shared" si="76"/>
        <v>0.85617111315547378</v>
      </c>
      <c r="Q518" s="426">
        <f t="shared" si="72"/>
        <v>1.0436725869365227</v>
      </c>
      <c r="R518" s="532">
        <f t="shared" si="69"/>
        <v>2.2890679245731144E-2</v>
      </c>
    </row>
    <row r="519" spans="1:18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625">
        <f t="shared" si="71"/>
        <v>867.68</v>
      </c>
      <c r="G519" s="55">
        <v>27</v>
      </c>
      <c r="H519" s="730">
        <v>27</v>
      </c>
      <c r="I519" s="330"/>
      <c r="J519" s="330"/>
      <c r="K519" s="142">
        <f t="shared" si="70"/>
        <v>27</v>
      </c>
      <c r="L519" s="589">
        <f t="shared" si="74"/>
        <v>4.9678012879484819E-3</v>
      </c>
      <c r="M519" s="276">
        <f t="shared" si="75"/>
        <v>11.27258693652254</v>
      </c>
      <c r="N519" s="425">
        <f t="shared" si="73"/>
        <v>4.144930216559338</v>
      </c>
      <c r="O519" s="498">
        <v>4.3778357380688124</v>
      </c>
      <c r="P519" s="427">
        <f t="shared" si="76"/>
        <v>1.2166642134314627</v>
      </c>
      <c r="Q519" s="426">
        <f t="shared" si="72"/>
        <v>1.4831136761729531</v>
      </c>
      <c r="R519" s="532">
        <f t="shared" si="69"/>
        <v>2.4216320653446151E-2</v>
      </c>
    </row>
    <row r="520" spans="1:18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625">
        <f t="shared" si="71"/>
        <v>556.85</v>
      </c>
      <c r="G520" s="55">
        <v>14</v>
      </c>
      <c r="H520" s="730">
        <v>14</v>
      </c>
      <c r="I520" s="330"/>
      <c r="J520" s="330">
        <v>1</v>
      </c>
      <c r="K520" s="142">
        <f t="shared" si="70"/>
        <v>15</v>
      </c>
      <c r="L520" s="589">
        <f t="shared" si="74"/>
        <v>2.7598896044158231E-3</v>
      </c>
      <c r="M520" s="276">
        <f t="shared" si="75"/>
        <v>6.2625482980680767</v>
      </c>
      <c r="N520" s="425">
        <f t="shared" si="73"/>
        <v>2.302739009199632</v>
      </c>
      <c r="O520" s="498">
        <v>2.4321309655937844</v>
      </c>
      <c r="P520" s="427">
        <f t="shared" si="76"/>
        <v>0.67592456301747927</v>
      </c>
      <c r="Q520" s="426">
        <f t="shared" si="72"/>
        <v>0.82395204231830732</v>
      </c>
      <c r="R520" s="532">
        <f t="shared" si="69"/>
        <v>2.2006490406030678E-2</v>
      </c>
    </row>
    <row r="521" spans="1:18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625">
        <f t="shared" si="71"/>
        <v>335.18</v>
      </c>
      <c r="G521" s="55">
        <v>8</v>
      </c>
      <c r="H521" s="730">
        <v>8</v>
      </c>
      <c r="I521" s="330"/>
      <c r="J521" s="330"/>
      <c r="K521" s="142">
        <f t="shared" si="70"/>
        <v>8</v>
      </c>
      <c r="L521" s="589">
        <f t="shared" si="74"/>
        <v>1.4719411223551057E-3</v>
      </c>
      <c r="M521" s="276">
        <f t="shared" si="75"/>
        <v>3.3400257589696412</v>
      </c>
      <c r="N521" s="425">
        <f t="shared" si="73"/>
        <v>1.2281274715731372</v>
      </c>
      <c r="O521" s="498">
        <v>1.2971365149833518</v>
      </c>
      <c r="P521" s="427">
        <f t="shared" si="76"/>
        <v>0.36049310027598891</v>
      </c>
      <c r="Q521" s="426">
        <f t="shared" si="72"/>
        <v>0.43944108923643049</v>
      </c>
      <c r="R521" s="532">
        <f t="shared" si="69"/>
        <v>1.8574446105979234E-2</v>
      </c>
    </row>
    <row r="522" spans="1:18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625">
        <f t="shared" si="71"/>
        <v>274.58999999999997</v>
      </c>
      <c r="G522" s="55">
        <v>7</v>
      </c>
      <c r="H522" s="730">
        <v>7</v>
      </c>
      <c r="I522" s="330"/>
      <c r="J522" s="330"/>
      <c r="K522" s="142">
        <f t="shared" si="70"/>
        <v>7</v>
      </c>
      <c r="L522" s="589">
        <f t="shared" si="74"/>
        <v>1.2879484820607174E-3</v>
      </c>
      <c r="M522" s="276">
        <f t="shared" si="75"/>
        <v>2.922522539098436</v>
      </c>
      <c r="N522" s="425">
        <f t="shared" si="73"/>
        <v>1.0746115376264951</v>
      </c>
      <c r="O522" s="498">
        <v>1.1349944506104328</v>
      </c>
      <c r="P522" s="427">
        <f t="shared" si="76"/>
        <v>0.31543146274149031</v>
      </c>
      <c r="Q522" s="426">
        <f t="shared" si="72"/>
        <v>0.38451095308187672</v>
      </c>
      <c r="R522" s="532">
        <f t="shared" ref="R522:R585" si="77">(M522+N522+O522+P522)/C522</f>
        <v>1.9838887031854241E-2</v>
      </c>
    </row>
    <row r="523" spans="1:18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625">
        <f t="shared" si="71"/>
        <v>345.54</v>
      </c>
      <c r="G523" s="55">
        <v>10</v>
      </c>
      <c r="H523" s="730">
        <v>10</v>
      </c>
      <c r="I523" s="330"/>
      <c r="J523" s="330"/>
      <c r="K523" s="142">
        <f t="shared" si="70"/>
        <v>10</v>
      </c>
      <c r="L523" s="589">
        <f t="shared" si="74"/>
        <v>1.8399264029438822E-3</v>
      </c>
      <c r="M523" s="276">
        <f t="shared" si="75"/>
        <v>4.175032198712052</v>
      </c>
      <c r="N523" s="425">
        <f t="shared" si="73"/>
        <v>1.5351593394664216</v>
      </c>
      <c r="O523" s="498">
        <v>1.6214206437291898</v>
      </c>
      <c r="P523" s="427">
        <f t="shared" si="76"/>
        <v>0.45061637534498616</v>
      </c>
      <c r="Q523" s="426">
        <f t="shared" si="72"/>
        <v>0.54930136154553821</v>
      </c>
      <c r="R523" s="532">
        <f t="shared" si="77"/>
        <v>2.2521932503480491E-2</v>
      </c>
    </row>
    <row r="524" spans="1:18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625">
        <f t="shared" si="71"/>
        <v>212.4</v>
      </c>
      <c r="G524" s="55">
        <v>7</v>
      </c>
      <c r="H524" s="730">
        <v>7</v>
      </c>
      <c r="I524" s="330"/>
      <c r="J524" s="330"/>
      <c r="K524" s="142">
        <f t="shared" si="70"/>
        <v>7</v>
      </c>
      <c r="L524" s="589">
        <f t="shared" si="74"/>
        <v>1.2879484820607174E-3</v>
      </c>
      <c r="M524" s="276">
        <f t="shared" si="75"/>
        <v>2.922522539098436</v>
      </c>
      <c r="N524" s="425">
        <f t="shared" si="73"/>
        <v>1.0746115376264951</v>
      </c>
      <c r="O524" s="498">
        <v>1.1349944506104328</v>
      </c>
      <c r="P524" s="427">
        <f t="shared" si="76"/>
        <v>0.31543146274149031</v>
      </c>
      <c r="Q524" s="426">
        <f t="shared" si="72"/>
        <v>0.38451095308187672</v>
      </c>
      <c r="R524" s="532">
        <f t="shared" si="77"/>
        <v>2.5647645904316643E-2</v>
      </c>
    </row>
    <row r="525" spans="1:18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625">
        <f t="shared" si="71"/>
        <v>257.2</v>
      </c>
      <c r="G525" s="55">
        <v>7</v>
      </c>
      <c r="H525" s="730">
        <v>7</v>
      </c>
      <c r="I525" s="330"/>
      <c r="J525" s="330"/>
      <c r="K525" s="142">
        <f t="shared" si="70"/>
        <v>7</v>
      </c>
      <c r="L525" s="589">
        <f t="shared" si="74"/>
        <v>1.2879484820607174E-3</v>
      </c>
      <c r="M525" s="276">
        <f t="shared" si="75"/>
        <v>2.922522539098436</v>
      </c>
      <c r="N525" s="425">
        <f t="shared" si="73"/>
        <v>1.0746115376264951</v>
      </c>
      <c r="O525" s="498">
        <v>1.1349944506104328</v>
      </c>
      <c r="P525" s="427">
        <f t="shared" si="76"/>
        <v>0.31543146274149031</v>
      </c>
      <c r="Q525" s="426">
        <f t="shared" si="72"/>
        <v>0.38451095308187672</v>
      </c>
      <c r="R525" s="532">
        <f t="shared" si="77"/>
        <v>2.1180248795011101E-2</v>
      </c>
    </row>
    <row r="526" spans="1:18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625">
        <f t="shared" si="71"/>
        <v>406.14</v>
      </c>
      <c r="G526" s="55">
        <v>9</v>
      </c>
      <c r="H526" s="730">
        <v>9</v>
      </c>
      <c r="I526" s="330"/>
      <c r="J526" s="330">
        <v>1</v>
      </c>
      <c r="K526" s="142">
        <f t="shared" ref="K526:K590" si="78">H526+I526+J526</f>
        <v>10</v>
      </c>
      <c r="L526" s="589">
        <f t="shared" si="74"/>
        <v>1.8399264029438822E-3</v>
      </c>
      <c r="M526" s="276">
        <f t="shared" si="75"/>
        <v>4.175032198712052</v>
      </c>
      <c r="N526" s="425">
        <f t="shared" si="73"/>
        <v>1.5351593394664216</v>
      </c>
      <c r="O526" s="498">
        <v>1.6214206437291898</v>
      </c>
      <c r="P526" s="427">
        <f t="shared" si="76"/>
        <v>0.45061637534498616</v>
      </c>
      <c r="Q526" s="426">
        <f t="shared" si="72"/>
        <v>0.54930136154553821</v>
      </c>
      <c r="R526" s="532">
        <f t="shared" si="77"/>
        <v>2.1632925327327093E-2</v>
      </c>
    </row>
    <row r="527" spans="1:18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625">
        <f t="shared" si="71"/>
        <v>253.51</v>
      </c>
      <c r="G527" s="55">
        <v>9</v>
      </c>
      <c r="H527" s="730">
        <v>9</v>
      </c>
      <c r="I527" s="330"/>
      <c r="J527" s="330"/>
      <c r="K527" s="142">
        <f t="shared" si="78"/>
        <v>9</v>
      </c>
      <c r="L527" s="589">
        <f t="shared" si="74"/>
        <v>1.655933762649494E-3</v>
      </c>
      <c r="M527" s="276">
        <f t="shared" si="75"/>
        <v>3.7575289788408464</v>
      </c>
      <c r="N527" s="425">
        <f t="shared" si="73"/>
        <v>1.3816434055197793</v>
      </c>
      <c r="O527" s="498">
        <v>1.4592785793562708</v>
      </c>
      <c r="P527" s="427">
        <f t="shared" si="76"/>
        <v>0.40555473781048756</v>
      </c>
      <c r="Q527" s="426">
        <f t="shared" si="72"/>
        <v>0.49437122539098438</v>
      </c>
      <c r="R527" s="532">
        <f t="shared" si="77"/>
        <v>2.7628123945908974E-2</v>
      </c>
    </row>
    <row r="528" spans="1:18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625">
        <f t="shared" ref="F528:F535" si="79">C528+D528+E528</f>
        <v>354.64</v>
      </c>
      <c r="G528" s="55">
        <v>11</v>
      </c>
      <c r="H528" s="730">
        <v>11</v>
      </c>
      <c r="I528" s="330"/>
      <c r="J528" s="330"/>
      <c r="K528" s="142">
        <f t="shared" si="78"/>
        <v>11</v>
      </c>
      <c r="L528" s="589">
        <f t="shared" si="74"/>
        <v>2.0239190432382705E-3</v>
      </c>
      <c r="M528" s="276">
        <f t="shared" si="75"/>
        <v>4.5925354185832568</v>
      </c>
      <c r="N528" s="425">
        <f t="shared" si="73"/>
        <v>1.6886752734130637</v>
      </c>
      <c r="O528" s="498">
        <v>1.7835627081021086</v>
      </c>
      <c r="P528" s="427">
        <f t="shared" si="76"/>
        <v>0.49567801287948482</v>
      </c>
      <c r="Q528" s="426">
        <f t="shared" si="72"/>
        <v>0.60423149770009199</v>
      </c>
      <c r="R528" s="532">
        <f t="shared" si="77"/>
        <v>2.4138426046069011E-2</v>
      </c>
    </row>
    <row r="529" spans="1:18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625">
        <f t="shared" si="79"/>
        <v>286.98</v>
      </c>
      <c r="G529" s="55">
        <v>8</v>
      </c>
      <c r="H529" s="730">
        <v>8</v>
      </c>
      <c r="I529" s="330"/>
      <c r="J529" s="330"/>
      <c r="K529" s="142">
        <f t="shared" si="78"/>
        <v>8</v>
      </c>
      <c r="L529" s="589">
        <f t="shared" si="74"/>
        <v>1.4719411223551057E-3</v>
      </c>
      <c r="M529" s="276">
        <f t="shared" si="75"/>
        <v>3.3400257589696412</v>
      </c>
      <c r="N529" s="425">
        <f t="shared" si="73"/>
        <v>1.2281274715731372</v>
      </c>
      <c r="O529" s="498">
        <v>1.2971365149833518</v>
      </c>
      <c r="P529" s="427">
        <f t="shared" si="76"/>
        <v>0.36049310027598891</v>
      </c>
      <c r="Q529" s="426">
        <f t="shared" si="72"/>
        <v>0.43944108923643049</v>
      </c>
      <c r="R529" s="532">
        <f t="shared" si="77"/>
        <v>2.169413494251209E-2</v>
      </c>
    </row>
    <row r="530" spans="1:18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625">
        <f t="shared" si="79"/>
        <v>128.9</v>
      </c>
      <c r="G530" s="55">
        <v>3</v>
      </c>
      <c r="H530" s="730">
        <v>3</v>
      </c>
      <c r="I530" s="330"/>
      <c r="J530" s="330"/>
      <c r="K530" s="142">
        <f t="shared" si="78"/>
        <v>3</v>
      </c>
      <c r="L530" s="589">
        <f t="shared" si="74"/>
        <v>5.5197792088316458E-4</v>
      </c>
      <c r="M530" s="276">
        <f t="shared" si="75"/>
        <v>1.2525096596136154</v>
      </c>
      <c r="N530" s="425">
        <f t="shared" si="73"/>
        <v>0.46054780183992639</v>
      </c>
      <c r="O530" s="498">
        <v>0.4864261931187569</v>
      </c>
      <c r="P530" s="427">
        <f t="shared" si="76"/>
        <v>0.13518491260349583</v>
      </c>
      <c r="Q530" s="426">
        <f t="shared" si="72"/>
        <v>0.16479040846366141</v>
      </c>
      <c r="R530" s="532">
        <f t="shared" si="77"/>
        <v>1.811224644822183E-2</v>
      </c>
    </row>
    <row r="531" spans="1:18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625">
        <f t="shared" si="79"/>
        <v>2048.73</v>
      </c>
      <c r="G531" s="55">
        <v>48</v>
      </c>
      <c r="H531" s="730">
        <v>48</v>
      </c>
      <c r="I531" s="330"/>
      <c r="J531" s="330"/>
      <c r="K531" s="142">
        <f t="shared" si="78"/>
        <v>48</v>
      </c>
      <c r="L531" s="589">
        <f t="shared" si="74"/>
        <v>8.8316467341306333E-3</v>
      </c>
      <c r="M531" s="276">
        <f t="shared" si="75"/>
        <v>20.040154553817846</v>
      </c>
      <c r="N531" s="425">
        <f t="shared" si="73"/>
        <v>7.3687648294388222</v>
      </c>
      <c r="O531" s="498">
        <v>7.7828190899001104</v>
      </c>
      <c r="P531" s="427">
        <f t="shared" si="76"/>
        <v>2.1629586016559332</v>
      </c>
      <c r="Q531" s="426">
        <f t="shared" si="72"/>
        <v>2.6366465354185826</v>
      </c>
      <c r="R531" s="532">
        <f t="shared" si="77"/>
        <v>1.8233099078362063E-2</v>
      </c>
    </row>
    <row r="532" spans="1:18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625">
        <f t="shared" si="79"/>
        <v>2056.27</v>
      </c>
      <c r="G532" s="55">
        <v>48</v>
      </c>
      <c r="H532" s="730">
        <v>48</v>
      </c>
      <c r="I532" s="330"/>
      <c r="J532" s="330"/>
      <c r="K532" s="142">
        <f t="shared" si="78"/>
        <v>48</v>
      </c>
      <c r="L532" s="589">
        <f t="shared" si="74"/>
        <v>8.8316467341306333E-3</v>
      </c>
      <c r="M532" s="276">
        <f t="shared" si="75"/>
        <v>20.040154553817846</v>
      </c>
      <c r="N532" s="425">
        <f t="shared" si="73"/>
        <v>7.3687648294388222</v>
      </c>
      <c r="O532" s="498">
        <v>7.7828190899001104</v>
      </c>
      <c r="P532" s="427">
        <f t="shared" si="76"/>
        <v>2.1629586016559332</v>
      </c>
      <c r="Q532" s="426">
        <f t="shared" si="72"/>
        <v>2.6366465354185826</v>
      </c>
      <c r="R532" s="532">
        <f t="shared" si="77"/>
        <v>1.816624133737919E-2</v>
      </c>
    </row>
    <row r="533" spans="1:18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625">
        <f t="shared" si="79"/>
        <v>75.900000000000006</v>
      </c>
      <c r="G533" s="55">
        <v>2</v>
      </c>
      <c r="H533" s="730">
        <v>2</v>
      </c>
      <c r="I533" s="330"/>
      <c r="J533" s="330"/>
      <c r="K533" s="142">
        <f t="shared" si="78"/>
        <v>2</v>
      </c>
      <c r="L533" s="589">
        <f t="shared" si="74"/>
        <v>3.6798528058877642E-4</v>
      </c>
      <c r="M533" s="276">
        <f t="shared" si="75"/>
        <v>0.83500643974241029</v>
      </c>
      <c r="N533" s="425">
        <f t="shared" si="73"/>
        <v>0.30703186789328429</v>
      </c>
      <c r="O533" s="498">
        <v>0.32428412874583795</v>
      </c>
      <c r="P533" s="427">
        <f t="shared" si="76"/>
        <v>9.0123275068997227E-2</v>
      </c>
      <c r="Q533" s="426">
        <f t="shared" si="72"/>
        <v>0.10986027230910762</v>
      </c>
      <c r="R533" s="532">
        <f t="shared" si="77"/>
        <v>2.0506531112655203E-2</v>
      </c>
    </row>
    <row r="534" spans="1:18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625">
        <f t="shared" si="79"/>
        <v>903</v>
      </c>
      <c r="G534" s="160">
        <v>34</v>
      </c>
      <c r="H534" s="281">
        <v>34</v>
      </c>
      <c r="I534" s="160"/>
      <c r="J534" s="160"/>
      <c r="K534" s="142">
        <f t="shared" si="78"/>
        <v>34</v>
      </c>
      <c r="L534" s="589">
        <f t="shared" si="74"/>
        <v>6.2557497700091993E-3</v>
      </c>
      <c r="M534" s="276">
        <f t="shared" si="75"/>
        <v>14.195109475620976</v>
      </c>
      <c r="N534" s="593">
        <f t="shared" si="73"/>
        <v>5.2195417541858333</v>
      </c>
      <c r="O534" s="498">
        <v>5.5128301886792457</v>
      </c>
      <c r="P534" s="426">
        <f>L534*244.91*1.08</f>
        <v>1.6546633302667892</v>
      </c>
      <c r="Q534" s="426">
        <f t="shared" si="72"/>
        <v>2.0170345995952164</v>
      </c>
      <c r="R534" s="532">
        <f t="shared" si="77"/>
        <v>2.9437591083890192E-2</v>
      </c>
    </row>
    <row r="535" spans="1:18" s="69" customFormat="1" ht="16.5" thickBot="1">
      <c r="A535" s="190"/>
      <c r="B535" s="163" t="s">
        <v>244</v>
      </c>
      <c r="C535" s="9">
        <f>SUM(C386:C534)</f>
        <v>241054.44000000006</v>
      </c>
      <c r="D535" s="9">
        <f>SUM(D386:D534)</f>
        <v>668.30000000000007</v>
      </c>
      <c r="E535" s="9">
        <f>SUM(E386:E534)</f>
        <v>2149.8700000000003</v>
      </c>
      <c r="F535" s="614">
        <f t="shared" si="79"/>
        <v>243872.61000000004</v>
      </c>
      <c r="G535" s="163">
        <f>SUM(G386:G534)</f>
        <v>5384</v>
      </c>
      <c r="H535" s="186">
        <f>SUM(H386:H534)</f>
        <v>5384</v>
      </c>
      <c r="I535" s="163">
        <f>SUM(I386:I534)</f>
        <v>6</v>
      </c>
      <c r="J535" s="163">
        <f>SUM(J386:J534)</f>
        <v>45</v>
      </c>
      <c r="K535" s="580">
        <f>H535+I535+J535</f>
        <v>5435</v>
      </c>
      <c r="L535" s="589">
        <f>1/5435*K535</f>
        <v>0.99999999999999989</v>
      </c>
      <c r="M535" s="276">
        <f>L535*2269.13</f>
        <v>2269.1299999999997</v>
      </c>
      <c r="N535" s="589">
        <f t="shared" ref="N535:N583" si="80">M535*0.3677</f>
        <v>834.3591009999999</v>
      </c>
      <c r="O535" s="498">
        <f>SUM(O385:O534)</f>
        <v>881.24211986681269</v>
      </c>
      <c r="P535" s="426">
        <f>L535*244.91*1.08</f>
        <v>264.50279999999998</v>
      </c>
      <c r="Q535" s="426">
        <f t="shared" si="72"/>
        <v>322.42891320000001</v>
      </c>
      <c r="R535" s="532">
        <f t="shared" si="77"/>
        <v>1.7627694477922957E-2</v>
      </c>
    </row>
    <row r="536" spans="1:18" s="209" customFormat="1" ht="16.5" thickBot="1">
      <c r="A536" s="137" t="s">
        <v>590</v>
      </c>
      <c r="B536" s="595"/>
      <c r="C536" s="436"/>
      <c r="D536" s="436"/>
      <c r="E536" s="436"/>
      <c r="F536" s="608">
        <f t="shared" ref="F536:F591" si="81">C536+D536+E536</f>
        <v>0</v>
      </c>
      <c r="G536" s="436"/>
      <c r="H536" s="436"/>
      <c r="I536" s="436"/>
      <c r="J536" s="436"/>
      <c r="K536" s="386"/>
      <c r="L536" s="565"/>
      <c r="M536" s="315"/>
      <c r="N536" s="596"/>
      <c r="O536" s="498"/>
      <c r="P536" s="566"/>
      <c r="Q536" s="426">
        <f t="shared" si="72"/>
        <v>0</v>
      </c>
      <c r="R536" s="532" t="e">
        <f t="shared" si="77"/>
        <v>#DIV/0!</v>
      </c>
    </row>
    <row r="537" spans="1:18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608">
        <f t="shared" si="81"/>
        <v>4713.8</v>
      </c>
      <c r="G537" s="386">
        <v>171</v>
      </c>
      <c r="H537" s="820">
        <v>171</v>
      </c>
      <c r="I537" s="386">
        <v>1</v>
      </c>
      <c r="J537" s="386">
        <v>1</v>
      </c>
      <c r="K537" s="386">
        <f t="shared" si="78"/>
        <v>173</v>
      </c>
      <c r="L537" s="589">
        <f t="shared" ref="L537:L600" si="82">1/5255*K537</f>
        <v>3.2921027592768791E-2</v>
      </c>
      <c r="M537" s="315">
        <f t="shared" ref="M537:M600" si="83">L537*2269.13</f>
        <v>74.702091341579447</v>
      </c>
      <c r="N537" s="590">
        <f t="shared" si="80"/>
        <v>27.467958986298765</v>
      </c>
      <c r="O537" s="498">
        <v>28.823687511879875</v>
      </c>
      <c r="P537" s="426">
        <f t="shared" ref="P537:P600" si="84">L537*244.91</f>
        <v>8.0626888677450044</v>
      </c>
      <c r="Q537" s="426">
        <f t="shared" si="72"/>
        <v>9.8284177297811617</v>
      </c>
      <c r="R537" s="532">
        <f t="shared" si="77"/>
        <v>3.2136913960596973E-2</v>
      </c>
    </row>
    <row r="538" spans="1:18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608">
        <f t="shared" si="81"/>
        <v>14312.59</v>
      </c>
      <c r="G538" s="330">
        <v>251</v>
      </c>
      <c r="H538" s="730">
        <v>251</v>
      </c>
      <c r="I538" s="330"/>
      <c r="J538" s="330"/>
      <c r="K538" s="386">
        <f t="shared" si="78"/>
        <v>251</v>
      </c>
      <c r="L538" s="589">
        <f t="shared" si="82"/>
        <v>4.7764034253092294E-2</v>
      </c>
      <c r="M538" s="315">
        <f t="shared" si="83"/>
        <v>108.38280304471932</v>
      </c>
      <c r="N538" s="425">
        <f t="shared" si="80"/>
        <v>39.852356679543298</v>
      </c>
      <c r="O538" s="498">
        <v>41.819338528796813</v>
      </c>
      <c r="P538" s="427">
        <f t="shared" si="84"/>
        <v>11.697889628924834</v>
      </c>
      <c r="Q538" s="426">
        <f t="shared" si="72"/>
        <v>14.259727457659373</v>
      </c>
      <c r="R538" s="532">
        <f t="shared" si="77"/>
        <v>1.4096148068377858E-2</v>
      </c>
    </row>
    <row r="539" spans="1:18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608">
        <f t="shared" si="81"/>
        <v>4226.7</v>
      </c>
      <c r="G539" s="330">
        <v>84</v>
      </c>
      <c r="H539" s="730">
        <v>84</v>
      </c>
      <c r="I539" s="330"/>
      <c r="J539" s="330"/>
      <c r="K539" s="386">
        <f t="shared" si="78"/>
        <v>84</v>
      </c>
      <c r="L539" s="589">
        <f t="shared" si="82"/>
        <v>1.598477640342531E-2</v>
      </c>
      <c r="M539" s="315">
        <f t="shared" si="83"/>
        <v>36.271535680304474</v>
      </c>
      <c r="N539" s="425">
        <f t="shared" si="80"/>
        <v>13.337043669647956</v>
      </c>
      <c r="O539" s="498">
        <v>13.995316479756701</v>
      </c>
      <c r="P539" s="427">
        <f t="shared" si="84"/>
        <v>3.9148315889628926</v>
      </c>
      <c r="Q539" s="426">
        <f t="shared" si="72"/>
        <v>4.7721797069457663</v>
      </c>
      <c r="R539" s="532">
        <f t="shared" si="77"/>
        <v>1.5974336342459136E-2</v>
      </c>
    </row>
    <row r="540" spans="1:18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608">
        <f t="shared" si="81"/>
        <v>4136.82</v>
      </c>
      <c r="G540" s="330">
        <v>84</v>
      </c>
      <c r="H540" s="730">
        <v>84</v>
      </c>
      <c r="I540" s="330"/>
      <c r="J540" s="330"/>
      <c r="K540" s="386">
        <f t="shared" si="78"/>
        <v>84</v>
      </c>
      <c r="L540" s="589">
        <f t="shared" si="82"/>
        <v>1.598477640342531E-2</v>
      </c>
      <c r="M540" s="315">
        <f t="shared" si="83"/>
        <v>36.271535680304474</v>
      </c>
      <c r="N540" s="425">
        <f t="shared" si="80"/>
        <v>13.337043669647956</v>
      </c>
      <c r="O540" s="498">
        <v>13.995316479756701</v>
      </c>
      <c r="P540" s="427">
        <f t="shared" si="84"/>
        <v>3.9148315889628926</v>
      </c>
      <c r="Q540" s="426">
        <f t="shared" si="72"/>
        <v>4.7721797069457663</v>
      </c>
      <c r="R540" s="532">
        <f t="shared" si="77"/>
        <v>1.6321408090918154E-2</v>
      </c>
    </row>
    <row r="541" spans="1:18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608">
        <f t="shared" si="81"/>
        <v>7984.78</v>
      </c>
      <c r="G541" s="330">
        <v>144</v>
      </c>
      <c r="H541" s="730">
        <v>144</v>
      </c>
      <c r="I541" s="330"/>
      <c r="J541" s="330"/>
      <c r="K541" s="386">
        <f t="shared" si="78"/>
        <v>144</v>
      </c>
      <c r="L541" s="589">
        <f t="shared" si="82"/>
        <v>2.7402473834443386E-2</v>
      </c>
      <c r="M541" s="315">
        <f t="shared" si="83"/>
        <v>62.179775451950526</v>
      </c>
      <c r="N541" s="425">
        <f t="shared" si="80"/>
        <v>22.863503433682212</v>
      </c>
      <c r="O541" s="498">
        <v>23.991971108154345</v>
      </c>
      <c r="P541" s="427">
        <f t="shared" si="84"/>
        <v>6.7111398667935296</v>
      </c>
      <c r="Q541" s="426">
        <f t="shared" ref="Q541:Q604" si="85">P541*1.219</f>
        <v>8.1808794976213139</v>
      </c>
      <c r="R541" s="532">
        <f t="shared" si="77"/>
        <v>1.4495877138829199E-2</v>
      </c>
    </row>
    <row r="542" spans="1:18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608">
        <f t="shared" si="81"/>
        <v>4209.92</v>
      </c>
      <c r="G542" s="330">
        <v>84</v>
      </c>
      <c r="H542" s="730">
        <v>84</v>
      </c>
      <c r="I542" s="330"/>
      <c r="J542" s="330"/>
      <c r="K542" s="386">
        <f t="shared" si="78"/>
        <v>84</v>
      </c>
      <c r="L542" s="589">
        <f t="shared" si="82"/>
        <v>1.598477640342531E-2</v>
      </c>
      <c r="M542" s="315">
        <f t="shared" si="83"/>
        <v>36.271535680304474</v>
      </c>
      <c r="N542" s="425">
        <f t="shared" si="80"/>
        <v>13.337043669647956</v>
      </c>
      <c r="O542" s="498">
        <v>13.995316479756701</v>
      </c>
      <c r="P542" s="427">
        <f t="shared" si="84"/>
        <v>3.9148315889628926</v>
      </c>
      <c r="Q542" s="426">
        <f t="shared" si="85"/>
        <v>4.7721797069457663</v>
      </c>
      <c r="R542" s="532">
        <f t="shared" si="77"/>
        <v>1.6038007234976445E-2</v>
      </c>
    </row>
    <row r="543" spans="1:18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608">
        <f t="shared" si="81"/>
        <v>8071.9</v>
      </c>
      <c r="G543" s="330">
        <v>144</v>
      </c>
      <c r="H543" s="730">
        <v>144</v>
      </c>
      <c r="I543" s="330"/>
      <c r="J543" s="330"/>
      <c r="K543" s="386">
        <f t="shared" si="78"/>
        <v>144</v>
      </c>
      <c r="L543" s="589">
        <f t="shared" si="82"/>
        <v>2.7402473834443386E-2</v>
      </c>
      <c r="M543" s="315">
        <f t="shared" si="83"/>
        <v>62.179775451950526</v>
      </c>
      <c r="N543" s="425">
        <f t="shared" si="80"/>
        <v>22.863503433682212</v>
      </c>
      <c r="O543" s="498">
        <v>23.991971108154345</v>
      </c>
      <c r="P543" s="427">
        <f t="shared" si="84"/>
        <v>6.7111398667935296</v>
      </c>
      <c r="Q543" s="426">
        <f t="shared" si="85"/>
        <v>8.1808794976213139</v>
      </c>
      <c r="R543" s="532">
        <f t="shared" si="77"/>
        <v>1.4339423166860418E-2</v>
      </c>
    </row>
    <row r="544" spans="1:18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608">
        <f t="shared" si="81"/>
        <v>4461.2</v>
      </c>
      <c r="G544" s="330">
        <v>171</v>
      </c>
      <c r="H544" s="730">
        <v>171</v>
      </c>
      <c r="I544" s="330"/>
      <c r="J544" s="330">
        <v>1</v>
      </c>
      <c r="K544" s="386">
        <f t="shared" si="78"/>
        <v>172</v>
      </c>
      <c r="L544" s="589">
        <f t="shared" si="82"/>
        <v>3.2730732635585159E-2</v>
      </c>
      <c r="M544" s="315">
        <f t="shared" si="83"/>
        <v>74.270287345385356</v>
      </c>
      <c r="N544" s="425">
        <f t="shared" si="80"/>
        <v>27.309184656898196</v>
      </c>
      <c r="O544" s="498">
        <v>28.65707660140658</v>
      </c>
      <c r="P544" s="427">
        <f t="shared" si="84"/>
        <v>8.0160837297811618</v>
      </c>
      <c r="Q544" s="426">
        <f t="shared" si="85"/>
        <v>9.7716060666032369</v>
      </c>
      <c r="R544" s="532">
        <f t="shared" si="77"/>
        <v>3.2866428701645384E-2</v>
      </c>
    </row>
    <row r="545" spans="1:18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608">
        <f t="shared" si="81"/>
        <v>10161.57</v>
      </c>
      <c r="G545" s="330">
        <v>180</v>
      </c>
      <c r="H545" s="730">
        <v>180</v>
      </c>
      <c r="I545" s="330"/>
      <c r="J545" s="330"/>
      <c r="K545" s="386">
        <f t="shared" si="78"/>
        <v>180</v>
      </c>
      <c r="L545" s="589">
        <f t="shared" si="82"/>
        <v>3.4253092293054233E-2</v>
      </c>
      <c r="M545" s="315">
        <f t="shared" si="83"/>
        <v>77.724719314938156</v>
      </c>
      <c r="N545" s="425">
        <f t="shared" si="80"/>
        <v>28.579379292102761</v>
      </c>
      <c r="O545" s="498">
        <v>29.989963885192928</v>
      </c>
      <c r="P545" s="427">
        <f t="shared" si="84"/>
        <v>8.3889248334919113</v>
      </c>
      <c r="Q545" s="426">
        <f t="shared" si="85"/>
        <v>10.22609937202664</v>
      </c>
      <c r="R545" s="532">
        <f t="shared" si="77"/>
        <v>1.4238251306218011E-2</v>
      </c>
    </row>
    <row r="546" spans="1:18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608">
        <f t="shared" si="81"/>
        <v>7889.76</v>
      </c>
      <c r="G546" s="330">
        <v>144</v>
      </c>
      <c r="H546" s="730">
        <v>144</v>
      </c>
      <c r="I546" s="330"/>
      <c r="J546" s="330"/>
      <c r="K546" s="386">
        <f t="shared" si="78"/>
        <v>144</v>
      </c>
      <c r="L546" s="589">
        <f t="shared" si="82"/>
        <v>2.7402473834443386E-2</v>
      </c>
      <c r="M546" s="315">
        <f t="shared" si="83"/>
        <v>62.179775451950526</v>
      </c>
      <c r="N546" s="425">
        <f t="shared" si="80"/>
        <v>22.863503433682212</v>
      </c>
      <c r="O546" s="498">
        <v>23.991971108154345</v>
      </c>
      <c r="P546" s="427">
        <f t="shared" si="84"/>
        <v>6.7111398667935296</v>
      </c>
      <c r="Q546" s="426">
        <f t="shared" si="85"/>
        <v>8.1808794976213139</v>
      </c>
      <c r="R546" s="532">
        <f t="shared" si="77"/>
        <v>1.4670457638835732E-2</v>
      </c>
    </row>
    <row r="547" spans="1:18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608">
        <f t="shared" si="81"/>
        <v>7084.55</v>
      </c>
      <c r="G547" s="330">
        <v>116</v>
      </c>
      <c r="H547" s="730">
        <v>116</v>
      </c>
      <c r="I547" s="330"/>
      <c r="J547" s="330">
        <v>1</v>
      </c>
      <c r="K547" s="386">
        <f t="shared" si="78"/>
        <v>117</v>
      </c>
      <c r="L547" s="589">
        <f t="shared" si="82"/>
        <v>2.2264509990485251E-2</v>
      </c>
      <c r="M547" s="315">
        <f t="shared" si="83"/>
        <v>50.521067554709802</v>
      </c>
      <c r="N547" s="425">
        <f t="shared" si="80"/>
        <v>18.576596539866795</v>
      </c>
      <c r="O547" s="498">
        <v>19.493476525375403</v>
      </c>
      <c r="P547" s="427">
        <f t="shared" si="84"/>
        <v>5.4528011417697426</v>
      </c>
      <c r="Q547" s="426">
        <f t="shared" si="85"/>
        <v>6.6469645918173166</v>
      </c>
      <c r="R547" s="532">
        <f t="shared" si="77"/>
        <v>1.3316804860022478E-2</v>
      </c>
    </row>
    <row r="548" spans="1:18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608">
        <f t="shared" si="81"/>
        <v>4792.88</v>
      </c>
      <c r="G548" s="330">
        <v>80</v>
      </c>
      <c r="H548" s="730">
        <v>80</v>
      </c>
      <c r="I548" s="330"/>
      <c r="J548" s="330"/>
      <c r="K548" s="386">
        <f t="shared" si="78"/>
        <v>80</v>
      </c>
      <c r="L548" s="589">
        <f t="shared" si="82"/>
        <v>1.522359657469077E-2</v>
      </c>
      <c r="M548" s="315">
        <f t="shared" si="83"/>
        <v>34.544319695528067</v>
      </c>
      <c r="N548" s="425">
        <f t="shared" si="80"/>
        <v>12.70194635204567</v>
      </c>
      <c r="O548" s="498">
        <v>13.328872837863525</v>
      </c>
      <c r="P548" s="427">
        <f t="shared" si="84"/>
        <v>3.7284110371075165</v>
      </c>
      <c r="Q548" s="426">
        <f t="shared" si="85"/>
        <v>4.5449330542340629</v>
      </c>
      <c r="R548" s="532">
        <f t="shared" si="77"/>
        <v>1.3416474003635557E-2</v>
      </c>
    </row>
    <row r="549" spans="1:18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608">
        <f t="shared" si="81"/>
        <v>4816.47</v>
      </c>
      <c r="G549" s="330">
        <v>80</v>
      </c>
      <c r="H549" s="730">
        <v>80</v>
      </c>
      <c r="I549" s="330"/>
      <c r="J549" s="330"/>
      <c r="K549" s="386">
        <f t="shared" si="78"/>
        <v>80</v>
      </c>
      <c r="L549" s="589">
        <f t="shared" si="82"/>
        <v>1.522359657469077E-2</v>
      </c>
      <c r="M549" s="315">
        <f t="shared" si="83"/>
        <v>34.544319695528067</v>
      </c>
      <c r="N549" s="425">
        <f t="shared" si="80"/>
        <v>12.70194635204567</v>
      </c>
      <c r="O549" s="498">
        <v>13.328872837863525</v>
      </c>
      <c r="P549" s="427">
        <f t="shared" si="84"/>
        <v>3.7284110371075165</v>
      </c>
      <c r="Q549" s="426">
        <f t="shared" si="85"/>
        <v>4.5449330542340629</v>
      </c>
      <c r="R549" s="532">
        <f t="shared" si="77"/>
        <v>1.3350763094661607E-2</v>
      </c>
    </row>
    <row r="550" spans="1:18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608">
        <f t="shared" si="81"/>
        <v>5818.22</v>
      </c>
      <c r="G550" s="330">
        <v>120</v>
      </c>
      <c r="H550" s="730">
        <v>120</v>
      </c>
      <c r="I550" s="330"/>
      <c r="J550" s="330"/>
      <c r="K550" s="386">
        <f t="shared" si="78"/>
        <v>120</v>
      </c>
      <c r="L550" s="589">
        <f t="shared" si="82"/>
        <v>2.2835394862036156E-2</v>
      </c>
      <c r="M550" s="315">
        <f t="shared" si="83"/>
        <v>51.816479543292104</v>
      </c>
      <c r="N550" s="425">
        <f t="shared" si="80"/>
        <v>19.052919528068507</v>
      </c>
      <c r="O550" s="498">
        <v>19.993309256795285</v>
      </c>
      <c r="P550" s="427">
        <f t="shared" si="84"/>
        <v>5.5926165556612748</v>
      </c>
      <c r="Q550" s="426">
        <f t="shared" si="85"/>
        <v>6.8173995813510944</v>
      </c>
      <c r="R550" s="532">
        <f t="shared" si="77"/>
        <v>1.6578150170295586E-2</v>
      </c>
    </row>
    <row r="551" spans="1:18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608">
        <f t="shared" si="81"/>
        <v>16414.989999999998</v>
      </c>
      <c r="G551" s="330">
        <v>256</v>
      </c>
      <c r="H551" s="730">
        <v>256</v>
      </c>
      <c r="I551" s="330">
        <v>4</v>
      </c>
      <c r="J551" s="330">
        <v>3</v>
      </c>
      <c r="K551" s="386">
        <f t="shared" si="78"/>
        <v>263</v>
      </c>
      <c r="L551" s="589">
        <f t="shared" si="82"/>
        <v>5.0047573739295907E-2</v>
      </c>
      <c r="M551" s="315">
        <f t="shared" si="83"/>
        <v>113.56445099904853</v>
      </c>
      <c r="N551" s="425">
        <f t="shared" si="80"/>
        <v>41.757648632350147</v>
      </c>
      <c r="O551" s="498">
        <v>43.818669454476336</v>
      </c>
      <c r="P551" s="427">
        <f t="shared" si="84"/>
        <v>12.257151284490961</v>
      </c>
      <c r="Q551" s="426">
        <f t="shared" si="85"/>
        <v>14.941467415794483</v>
      </c>
      <c r="R551" s="532">
        <f t="shared" si="77"/>
        <v>1.4345006943239357E-2</v>
      </c>
    </row>
    <row r="552" spans="1:18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608">
        <f t="shared" si="81"/>
        <v>14876.619999999999</v>
      </c>
      <c r="G552" s="330">
        <v>256</v>
      </c>
      <c r="H552" s="730">
        <v>256</v>
      </c>
      <c r="I552" s="330">
        <v>1</v>
      </c>
      <c r="J552" s="330">
        <v>1</v>
      </c>
      <c r="K552" s="386">
        <f t="shared" si="78"/>
        <v>258</v>
      </c>
      <c r="L552" s="589">
        <f t="shared" si="82"/>
        <v>4.9096098953377736E-2</v>
      </c>
      <c r="M552" s="315">
        <f t="shared" si="83"/>
        <v>111.40543101807803</v>
      </c>
      <c r="N552" s="425">
        <f t="shared" si="80"/>
        <v>40.963776985347295</v>
      </c>
      <c r="O552" s="498">
        <v>51.582737882531838</v>
      </c>
      <c r="P552" s="427">
        <f t="shared" si="84"/>
        <v>12.024125594671741</v>
      </c>
      <c r="Q552" s="426">
        <f t="shared" si="85"/>
        <v>14.657409099904854</v>
      </c>
      <c r="R552" s="532">
        <f t="shared" si="77"/>
        <v>1.4999359086981539E-2</v>
      </c>
    </row>
    <row r="553" spans="1:18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608">
        <f t="shared" si="81"/>
        <v>351.06</v>
      </c>
      <c r="G553" s="330">
        <v>6</v>
      </c>
      <c r="H553" s="730">
        <v>6</v>
      </c>
      <c r="I553" s="330"/>
      <c r="J553" s="330"/>
      <c r="K553" s="386">
        <f t="shared" si="78"/>
        <v>6</v>
      </c>
      <c r="L553" s="589">
        <f t="shared" si="82"/>
        <v>1.1417697431018079E-3</v>
      </c>
      <c r="M553" s="315">
        <f t="shared" si="83"/>
        <v>2.5908239771646056</v>
      </c>
      <c r="N553" s="425">
        <f t="shared" si="80"/>
        <v>0.95264597640342552</v>
      </c>
      <c r="O553" s="498">
        <v>1.1995985554077171</v>
      </c>
      <c r="P553" s="427">
        <f t="shared" si="84"/>
        <v>0.27963082778306375</v>
      </c>
      <c r="Q553" s="426">
        <f t="shared" si="85"/>
        <v>0.34086997906755473</v>
      </c>
      <c r="R553" s="532">
        <f t="shared" si="77"/>
        <v>1.4307239038223698E-2</v>
      </c>
    </row>
    <row r="554" spans="1:18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608">
        <f t="shared" si="81"/>
        <v>377.1</v>
      </c>
      <c r="G554" s="330">
        <v>12</v>
      </c>
      <c r="H554" s="730">
        <v>12</v>
      </c>
      <c r="I554" s="330"/>
      <c r="J554" s="330"/>
      <c r="K554" s="386">
        <f t="shared" si="78"/>
        <v>12</v>
      </c>
      <c r="L554" s="589">
        <f t="shared" si="82"/>
        <v>2.2835394862036158E-3</v>
      </c>
      <c r="M554" s="315">
        <f t="shared" si="83"/>
        <v>5.1816479543292111</v>
      </c>
      <c r="N554" s="425">
        <f t="shared" si="80"/>
        <v>1.905291952806851</v>
      </c>
      <c r="O554" s="498">
        <v>2.3991971108154342</v>
      </c>
      <c r="P554" s="427">
        <f t="shared" si="84"/>
        <v>0.5592616555661275</v>
      </c>
      <c r="Q554" s="426">
        <f t="shared" si="85"/>
        <v>0.68173995813510946</v>
      </c>
      <c r="R554" s="532">
        <f t="shared" si="77"/>
        <v>2.6638553894239251E-2</v>
      </c>
    </row>
    <row r="555" spans="1:18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608">
        <f t="shared" si="81"/>
        <v>82.9</v>
      </c>
      <c r="G555" s="330">
        <v>2</v>
      </c>
      <c r="H555" s="730">
        <v>2</v>
      </c>
      <c r="I555" s="330"/>
      <c r="J555" s="330"/>
      <c r="K555" s="386">
        <f t="shared" si="78"/>
        <v>2</v>
      </c>
      <c r="L555" s="589">
        <f t="shared" si="82"/>
        <v>3.8058991436726926E-4</v>
      </c>
      <c r="M555" s="315">
        <f t="shared" si="83"/>
        <v>0.86360799238820174</v>
      </c>
      <c r="N555" s="425">
        <f t="shared" si="80"/>
        <v>0.3175486588011418</v>
      </c>
      <c r="O555" s="498">
        <v>0.39986618513590572</v>
      </c>
      <c r="P555" s="427">
        <f t="shared" si="84"/>
        <v>9.3210275927687908E-2</v>
      </c>
      <c r="Q555" s="426">
        <f t="shared" si="85"/>
        <v>0.11362332635585157</v>
      </c>
      <c r="R555" s="532">
        <f t="shared" si="77"/>
        <v>2.019581558809333E-2</v>
      </c>
    </row>
    <row r="556" spans="1:18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608">
        <f t="shared" si="81"/>
        <v>56.1</v>
      </c>
      <c r="G556" s="330">
        <v>2</v>
      </c>
      <c r="H556" s="730">
        <v>2</v>
      </c>
      <c r="I556" s="330"/>
      <c r="J556" s="330"/>
      <c r="K556" s="386">
        <f t="shared" si="78"/>
        <v>2</v>
      </c>
      <c r="L556" s="589">
        <f t="shared" si="82"/>
        <v>3.8058991436726926E-4</v>
      </c>
      <c r="M556" s="315">
        <f t="shared" si="83"/>
        <v>0.86360799238820174</v>
      </c>
      <c r="N556" s="425">
        <f t="shared" si="80"/>
        <v>0.3175486588011418</v>
      </c>
      <c r="O556" s="498">
        <v>0.39986618513590572</v>
      </c>
      <c r="P556" s="427">
        <f t="shared" si="84"/>
        <v>9.3210275927687908E-2</v>
      </c>
      <c r="Q556" s="426">
        <f t="shared" si="85"/>
        <v>0.11362332635585157</v>
      </c>
      <c r="R556" s="532">
        <f t="shared" si="77"/>
        <v>2.9843727491139695E-2</v>
      </c>
    </row>
    <row r="557" spans="1:18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608">
        <f t="shared" si="81"/>
        <v>87</v>
      </c>
      <c r="G557" s="330">
        <v>2</v>
      </c>
      <c r="H557" s="730">
        <v>2</v>
      </c>
      <c r="I557" s="330"/>
      <c r="J557" s="330"/>
      <c r="K557" s="386">
        <f t="shared" si="78"/>
        <v>2</v>
      </c>
      <c r="L557" s="589">
        <f t="shared" si="82"/>
        <v>3.8058991436726926E-4</v>
      </c>
      <c r="M557" s="315">
        <f t="shared" si="83"/>
        <v>0.86360799238820174</v>
      </c>
      <c r="N557" s="425">
        <f t="shared" si="80"/>
        <v>0.3175486588011418</v>
      </c>
      <c r="O557" s="498">
        <v>0.39986618513590572</v>
      </c>
      <c r="P557" s="427">
        <f t="shared" si="84"/>
        <v>9.3210275927687908E-2</v>
      </c>
      <c r="Q557" s="426">
        <f t="shared" si="85"/>
        <v>0.11362332635585157</v>
      </c>
      <c r="R557" s="532">
        <f t="shared" si="77"/>
        <v>1.9244058761528012E-2</v>
      </c>
    </row>
    <row r="558" spans="1:18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608">
        <f t="shared" si="81"/>
        <v>4409.5</v>
      </c>
      <c r="G558" s="330">
        <v>171</v>
      </c>
      <c r="H558" s="730">
        <v>171</v>
      </c>
      <c r="I558" s="330"/>
      <c r="J558" s="330">
        <v>1</v>
      </c>
      <c r="K558" s="386">
        <f t="shared" si="78"/>
        <v>172</v>
      </c>
      <c r="L558" s="589">
        <f t="shared" si="82"/>
        <v>3.2730732635585159E-2</v>
      </c>
      <c r="M558" s="315">
        <f t="shared" si="83"/>
        <v>74.270287345385356</v>
      </c>
      <c r="N558" s="425">
        <f t="shared" si="80"/>
        <v>27.309184656898196</v>
      </c>
      <c r="O558" s="498">
        <v>34.388491921687894</v>
      </c>
      <c r="P558" s="427">
        <f t="shared" si="84"/>
        <v>8.0160837297811618</v>
      </c>
      <c r="Q558" s="426">
        <f t="shared" si="85"/>
        <v>9.7716060666032369</v>
      </c>
      <c r="R558" s="532">
        <f t="shared" si="77"/>
        <v>3.3369034659842089E-2</v>
      </c>
    </row>
    <row r="559" spans="1:18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608">
        <f t="shared" si="81"/>
        <v>354.7</v>
      </c>
      <c r="G559" s="330">
        <v>8</v>
      </c>
      <c r="H559" s="730">
        <v>8</v>
      </c>
      <c r="I559" s="330"/>
      <c r="J559" s="330"/>
      <c r="K559" s="386">
        <f t="shared" si="78"/>
        <v>8</v>
      </c>
      <c r="L559" s="589">
        <f t="shared" si="82"/>
        <v>1.522359657469077E-3</v>
      </c>
      <c r="M559" s="315">
        <f t="shared" si="83"/>
        <v>3.454431969552807</v>
      </c>
      <c r="N559" s="425">
        <f t="shared" si="80"/>
        <v>1.2701946352045672</v>
      </c>
      <c r="O559" s="498">
        <v>1.5994647405436229</v>
      </c>
      <c r="P559" s="427">
        <f t="shared" si="84"/>
        <v>0.37284110371075163</v>
      </c>
      <c r="Q559" s="426">
        <f t="shared" si="85"/>
        <v>0.45449330542340627</v>
      </c>
      <c r="R559" s="532">
        <f t="shared" si="77"/>
        <v>1.8880553845536364E-2</v>
      </c>
    </row>
    <row r="560" spans="1:18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608">
        <f t="shared" si="81"/>
        <v>352.4</v>
      </c>
      <c r="G560" s="330">
        <v>8</v>
      </c>
      <c r="H560" s="730">
        <v>8</v>
      </c>
      <c r="I560" s="330"/>
      <c r="J560" s="330"/>
      <c r="K560" s="386">
        <f t="shared" si="78"/>
        <v>8</v>
      </c>
      <c r="L560" s="589">
        <f t="shared" si="82"/>
        <v>1.522359657469077E-3</v>
      </c>
      <c r="M560" s="315">
        <f t="shared" si="83"/>
        <v>3.454431969552807</v>
      </c>
      <c r="N560" s="425">
        <f t="shared" si="80"/>
        <v>1.2701946352045672</v>
      </c>
      <c r="O560" s="498">
        <v>1.5994647405436229</v>
      </c>
      <c r="P560" s="427">
        <f t="shared" si="84"/>
        <v>0.37284110371075163</v>
      </c>
      <c r="Q560" s="426">
        <f t="shared" si="85"/>
        <v>0.45449330542340627</v>
      </c>
      <c r="R560" s="532">
        <f t="shared" si="77"/>
        <v>1.9003781069840377E-2</v>
      </c>
    </row>
    <row r="561" spans="1:18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608">
        <f t="shared" si="81"/>
        <v>216.7</v>
      </c>
      <c r="G561" s="330">
        <v>5</v>
      </c>
      <c r="H561" s="730">
        <v>5</v>
      </c>
      <c r="I561" s="330"/>
      <c r="J561" s="330"/>
      <c r="K561" s="386">
        <f t="shared" si="78"/>
        <v>5</v>
      </c>
      <c r="L561" s="589">
        <f t="shared" si="82"/>
        <v>9.514747859181731E-4</v>
      </c>
      <c r="M561" s="315">
        <f t="shared" si="83"/>
        <v>2.1590199809705042</v>
      </c>
      <c r="N561" s="425">
        <f t="shared" si="80"/>
        <v>0.7938716470028544</v>
      </c>
      <c r="O561" s="498">
        <v>0.99966546283976432</v>
      </c>
      <c r="P561" s="427">
        <f t="shared" si="84"/>
        <v>0.23302568981921978</v>
      </c>
      <c r="Q561" s="426">
        <f t="shared" si="85"/>
        <v>0.28405831588962893</v>
      </c>
      <c r="R561" s="532">
        <f t="shared" si="77"/>
        <v>1.9315102817869603E-2</v>
      </c>
    </row>
    <row r="562" spans="1:18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608">
        <f t="shared" si="81"/>
        <v>42.7</v>
      </c>
      <c r="G562" s="330">
        <v>2</v>
      </c>
      <c r="H562" s="730">
        <v>2</v>
      </c>
      <c r="I562" s="330"/>
      <c r="J562" s="330"/>
      <c r="K562" s="386">
        <f t="shared" si="78"/>
        <v>2</v>
      </c>
      <c r="L562" s="589">
        <f t="shared" si="82"/>
        <v>3.8058991436726926E-4</v>
      </c>
      <c r="M562" s="315">
        <f t="shared" si="83"/>
        <v>0.86360799238820174</v>
      </c>
      <c r="N562" s="425">
        <f t="shared" si="80"/>
        <v>0.3175486588011418</v>
      </c>
      <c r="O562" s="498">
        <v>0.39986618513590572</v>
      </c>
      <c r="P562" s="427">
        <f t="shared" si="84"/>
        <v>9.3210275927687908E-2</v>
      </c>
      <c r="Q562" s="426">
        <f t="shared" si="85"/>
        <v>0.11362332635585157</v>
      </c>
      <c r="R562" s="532">
        <f t="shared" si="77"/>
        <v>3.9209206375946999E-2</v>
      </c>
    </row>
    <row r="563" spans="1:18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608">
        <f t="shared" si="81"/>
        <v>79.7</v>
      </c>
      <c r="G563" s="330">
        <v>3</v>
      </c>
      <c r="H563" s="730">
        <v>3</v>
      </c>
      <c r="I563" s="330"/>
      <c r="J563" s="330"/>
      <c r="K563" s="386">
        <f t="shared" si="78"/>
        <v>3</v>
      </c>
      <c r="L563" s="589">
        <f t="shared" si="82"/>
        <v>5.7088487155090395E-4</v>
      </c>
      <c r="M563" s="315">
        <f t="shared" si="83"/>
        <v>1.2954119885823028</v>
      </c>
      <c r="N563" s="425">
        <f t="shared" si="80"/>
        <v>0.47632298820171276</v>
      </c>
      <c r="O563" s="498">
        <v>0.59979927770385855</v>
      </c>
      <c r="P563" s="427">
        <f t="shared" si="84"/>
        <v>0.13981541389153188</v>
      </c>
      <c r="Q563" s="426">
        <f t="shared" si="85"/>
        <v>0.17043498953377736</v>
      </c>
      <c r="R563" s="532">
        <f t="shared" si="77"/>
        <v>3.1510033480293673E-2</v>
      </c>
    </row>
    <row r="564" spans="1:18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608">
        <f t="shared" si="81"/>
        <v>23.5</v>
      </c>
      <c r="G564" s="330">
        <v>1</v>
      </c>
      <c r="H564" s="730">
        <v>1</v>
      </c>
      <c r="I564" s="330"/>
      <c r="J564" s="330"/>
      <c r="K564" s="386">
        <f t="shared" si="78"/>
        <v>1</v>
      </c>
      <c r="L564" s="589">
        <f t="shared" si="82"/>
        <v>1.9029495718363463E-4</v>
      </c>
      <c r="M564" s="315">
        <f t="shared" si="83"/>
        <v>0.43180399619410087</v>
      </c>
      <c r="N564" s="425">
        <f t="shared" si="80"/>
        <v>0.1587743294005709</v>
      </c>
      <c r="O564" s="498">
        <v>0.19993309256795286</v>
      </c>
      <c r="P564" s="427">
        <f t="shared" si="84"/>
        <v>4.6605137963843954E-2</v>
      </c>
      <c r="Q564" s="426">
        <f t="shared" si="85"/>
        <v>5.6811663177925784E-2</v>
      </c>
      <c r="R564" s="532">
        <f t="shared" si="77"/>
        <v>3.5621981111764615E-2</v>
      </c>
    </row>
    <row r="565" spans="1:18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608">
        <f t="shared" si="81"/>
        <v>29</v>
      </c>
      <c r="G565" s="330">
        <v>1</v>
      </c>
      <c r="H565" s="730">
        <v>1</v>
      </c>
      <c r="I565" s="330"/>
      <c r="J565" s="330"/>
      <c r="K565" s="386">
        <f t="shared" si="78"/>
        <v>1</v>
      </c>
      <c r="L565" s="589">
        <f t="shared" si="82"/>
        <v>1.9029495718363463E-4</v>
      </c>
      <c r="M565" s="315">
        <f t="shared" si="83"/>
        <v>0.43180399619410087</v>
      </c>
      <c r="N565" s="425">
        <f t="shared" si="80"/>
        <v>0.1587743294005709</v>
      </c>
      <c r="O565" s="498">
        <v>0.19993309256795286</v>
      </c>
      <c r="P565" s="427">
        <f t="shared" si="84"/>
        <v>4.6605137963843954E-2</v>
      </c>
      <c r="Q565" s="426">
        <f t="shared" si="85"/>
        <v>5.6811663177925784E-2</v>
      </c>
      <c r="R565" s="532">
        <f t="shared" si="77"/>
        <v>2.8866088142292017E-2</v>
      </c>
    </row>
    <row r="566" spans="1:18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608">
        <f t="shared" si="81"/>
        <v>84.7</v>
      </c>
      <c r="G566" s="330">
        <v>2</v>
      </c>
      <c r="H566" s="730">
        <v>2</v>
      </c>
      <c r="I566" s="330"/>
      <c r="J566" s="330"/>
      <c r="K566" s="386">
        <f t="shared" si="78"/>
        <v>2</v>
      </c>
      <c r="L566" s="589">
        <f t="shared" si="82"/>
        <v>3.8058991436726926E-4</v>
      </c>
      <c r="M566" s="315">
        <f t="shared" si="83"/>
        <v>0.86360799238820174</v>
      </c>
      <c r="N566" s="425">
        <f t="shared" si="80"/>
        <v>0.3175486588011418</v>
      </c>
      <c r="O566" s="498">
        <v>0.39986618513590572</v>
      </c>
      <c r="P566" s="427">
        <f t="shared" si="84"/>
        <v>9.3210275927687908E-2</v>
      </c>
      <c r="Q566" s="426">
        <f t="shared" si="85"/>
        <v>0.11362332635585157</v>
      </c>
      <c r="R566" s="532">
        <f t="shared" si="77"/>
        <v>1.9766624701923696E-2</v>
      </c>
    </row>
    <row r="567" spans="1:18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608">
        <f t="shared" si="81"/>
        <v>177.23</v>
      </c>
      <c r="G567" s="330">
        <v>3</v>
      </c>
      <c r="H567" s="730">
        <v>3</v>
      </c>
      <c r="I567" s="330"/>
      <c r="J567" s="330"/>
      <c r="K567" s="386">
        <f t="shared" si="78"/>
        <v>3</v>
      </c>
      <c r="L567" s="589">
        <f t="shared" si="82"/>
        <v>5.7088487155090395E-4</v>
      </c>
      <c r="M567" s="315">
        <f t="shared" si="83"/>
        <v>1.2954119885823028</v>
      </c>
      <c r="N567" s="425">
        <f t="shared" si="80"/>
        <v>0.47632298820171276</v>
      </c>
      <c r="O567" s="498">
        <v>0.59979927770385855</v>
      </c>
      <c r="P567" s="427">
        <f t="shared" si="84"/>
        <v>0.13981541389153188</v>
      </c>
      <c r="Q567" s="426">
        <f t="shared" si="85"/>
        <v>0.17043498953377736</v>
      </c>
      <c r="R567" s="532">
        <f t="shared" si="77"/>
        <v>1.4170003207015775E-2</v>
      </c>
    </row>
    <row r="568" spans="1:18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608">
        <f t="shared" si="81"/>
        <v>108.36</v>
      </c>
      <c r="G568" s="330">
        <v>4</v>
      </c>
      <c r="H568" s="730">
        <v>4</v>
      </c>
      <c r="I568" s="330"/>
      <c r="J568" s="330"/>
      <c r="K568" s="386">
        <f t="shared" si="78"/>
        <v>4</v>
      </c>
      <c r="L568" s="589">
        <f t="shared" si="82"/>
        <v>7.6117982873453852E-4</v>
      </c>
      <c r="M568" s="315">
        <f t="shared" si="83"/>
        <v>1.7272159847764035</v>
      </c>
      <c r="N568" s="425">
        <f t="shared" si="80"/>
        <v>0.63509731760228361</v>
      </c>
      <c r="O568" s="498">
        <v>0.79973237027181143</v>
      </c>
      <c r="P568" s="427">
        <f t="shared" si="84"/>
        <v>0.18642055185537582</v>
      </c>
      <c r="Q568" s="426">
        <f t="shared" si="85"/>
        <v>0.22724665271170313</v>
      </c>
      <c r="R568" s="532">
        <f t="shared" si="77"/>
        <v>3.0901312518511203E-2</v>
      </c>
    </row>
    <row r="569" spans="1:18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608">
        <f t="shared" si="81"/>
        <v>76.2</v>
      </c>
      <c r="G569" s="330">
        <v>2</v>
      </c>
      <c r="H569" s="730">
        <v>2</v>
      </c>
      <c r="I569" s="330"/>
      <c r="J569" s="330"/>
      <c r="K569" s="386">
        <f t="shared" si="78"/>
        <v>2</v>
      </c>
      <c r="L569" s="589">
        <f t="shared" si="82"/>
        <v>3.8058991436726926E-4</v>
      </c>
      <c r="M569" s="315">
        <f t="shared" si="83"/>
        <v>0.86360799238820174</v>
      </c>
      <c r="N569" s="425">
        <f t="shared" si="80"/>
        <v>0.3175486588011418</v>
      </c>
      <c r="O569" s="498">
        <v>0.39986618513590572</v>
      </c>
      <c r="P569" s="427">
        <f t="shared" si="84"/>
        <v>9.3210275927687908E-2</v>
      </c>
      <c r="Q569" s="426">
        <f t="shared" si="85"/>
        <v>0.11362332635585157</v>
      </c>
      <c r="R569" s="532">
        <f t="shared" si="77"/>
        <v>2.1971563152925682E-2</v>
      </c>
    </row>
    <row r="570" spans="1:18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608">
        <f t="shared" si="81"/>
        <v>98.5</v>
      </c>
      <c r="G570" s="330">
        <v>2</v>
      </c>
      <c r="H570" s="730">
        <v>2</v>
      </c>
      <c r="I570" s="330"/>
      <c r="J570" s="330"/>
      <c r="K570" s="386">
        <f t="shared" si="78"/>
        <v>2</v>
      </c>
      <c r="L570" s="589">
        <f t="shared" si="82"/>
        <v>3.8058991436726926E-4</v>
      </c>
      <c r="M570" s="315">
        <f t="shared" si="83"/>
        <v>0.86360799238820174</v>
      </c>
      <c r="N570" s="425">
        <f t="shared" si="80"/>
        <v>0.3175486588011418</v>
      </c>
      <c r="O570" s="498">
        <v>0.39986618513590572</v>
      </c>
      <c r="P570" s="427">
        <f t="shared" si="84"/>
        <v>9.3210275927687908E-2</v>
      </c>
      <c r="Q570" s="426">
        <f t="shared" si="85"/>
        <v>0.11362332635585157</v>
      </c>
      <c r="R570" s="532">
        <f t="shared" si="77"/>
        <v>1.6997290479725247E-2</v>
      </c>
    </row>
    <row r="571" spans="1:18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608">
        <f t="shared" si="81"/>
        <v>93.4</v>
      </c>
      <c r="G571" s="330">
        <v>2</v>
      </c>
      <c r="H571" s="730">
        <v>2</v>
      </c>
      <c r="I571" s="330"/>
      <c r="J571" s="330"/>
      <c r="K571" s="386">
        <f t="shared" si="78"/>
        <v>2</v>
      </c>
      <c r="L571" s="589">
        <f t="shared" si="82"/>
        <v>3.8058991436726926E-4</v>
      </c>
      <c r="M571" s="315">
        <f t="shared" si="83"/>
        <v>0.86360799238820174</v>
      </c>
      <c r="N571" s="425">
        <f t="shared" si="80"/>
        <v>0.3175486588011418</v>
      </c>
      <c r="O571" s="498">
        <v>0.39986618513590572</v>
      </c>
      <c r="P571" s="427">
        <f t="shared" si="84"/>
        <v>9.3210275927687908E-2</v>
      </c>
      <c r="Q571" s="426">
        <f t="shared" si="85"/>
        <v>0.11362332635585157</v>
      </c>
      <c r="R571" s="532">
        <f t="shared" si="77"/>
        <v>1.7925408054099968E-2</v>
      </c>
    </row>
    <row r="572" spans="1:18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608">
        <f t="shared" si="81"/>
        <v>92.7</v>
      </c>
      <c r="G572" s="330">
        <v>1</v>
      </c>
      <c r="H572" s="730">
        <v>1</v>
      </c>
      <c r="I572" s="330"/>
      <c r="J572" s="330"/>
      <c r="K572" s="386">
        <f t="shared" si="78"/>
        <v>1</v>
      </c>
      <c r="L572" s="589">
        <f t="shared" si="82"/>
        <v>1.9029495718363463E-4</v>
      </c>
      <c r="M572" s="315">
        <f t="shared" si="83"/>
        <v>0.43180399619410087</v>
      </c>
      <c r="N572" s="425">
        <f t="shared" si="80"/>
        <v>0.1587743294005709</v>
      </c>
      <c r="O572" s="498">
        <v>0.26657745675727046</v>
      </c>
      <c r="P572" s="427">
        <f>L572*944.91</f>
        <v>0.17981160799238818</v>
      </c>
      <c r="Q572" s="426">
        <f t="shared" si="85"/>
        <v>0.2191903501427212</v>
      </c>
      <c r="R572" s="532">
        <f t="shared" si="77"/>
        <v>1.1186271740499788E-2</v>
      </c>
    </row>
    <row r="573" spans="1:18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608">
        <f t="shared" si="81"/>
        <v>346.6</v>
      </c>
      <c r="G573" s="330">
        <v>1</v>
      </c>
      <c r="H573" s="730">
        <v>8</v>
      </c>
      <c r="I573" s="330"/>
      <c r="J573" s="330"/>
      <c r="K573" s="386">
        <f t="shared" si="78"/>
        <v>8</v>
      </c>
      <c r="L573" s="589">
        <f t="shared" si="82"/>
        <v>1.522359657469077E-3</v>
      </c>
      <c r="M573" s="315">
        <f t="shared" si="83"/>
        <v>3.454431969552807</v>
      </c>
      <c r="N573" s="425">
        <f t="shared" si="80"/>
        <v>1.2701946352045672</v>
      </c>
      <c r="O573" s="498">
        <v>1.5994647405436229</v>
      </c>
      <c r="P573" s="427">
        <f t="shared" si="84"/>
        <v>0.37284110371075163</v>
      </c>
      <c r="Q573" s="426">
        <f t="shared" si="85"/>
        <v>0.45449330542340627</v>
      </c>
      <c r="R573" s="532">
        <f t="shared" si="77"/>
        <v>1.9321790101014851E-2</v>
      </c>
    </row>
    <row r="574" spans="1:18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608">
        <f t="shared" si="81"/>
        <v>195</v>
      </c>
      <c r="G574" s="330">
        <v>8</v>
      </c>
      <c r="H574" s="730">
        <v>2</v>
      </c>
      <c r="I574" s="330"/>
      <c r="J574" s="330"/>
      <c r="K574" s="386">
        <f t="shared" si="78"/>
        <v>2</v>
      </c>
      <c r="L574" s="589">
        <f t="shared" si="82"/>
        <v>3.8058991436726926E-4</v>
      </c>
      <c r="M574" s="315">
        <f t="shared" si="83"/>
        <v>0.86360799238820174</v>
      </c>
      <c r="N574" s="425">
        <f t="shared" si="80"/>
        <v>0.3175486588011418</v>
      </c>
      <c r="O574" s="498">
        <v>0.39986618513590572</v>
      </c>
      <c r="P574" s="427">
        <f t="shared" si="84"/>
        <v>9.3210275927687908E-2</v>
      </c>
      <c r="Q574" s="426">
        <f t="shared" si="85"/>
        <v>0.11362332635585157</v>
      </c>
      <c r="R574" s="532">
        <f t="shared" si="77"/>
        <v>8.5858108320663439E-3</v>
      </c>
    </row>
    <row r="575" spans="1:18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608">
        <f t="shared" si="81"/>
        <v>68.099999999999994</v>
      </c>
      <c r="G575" s="330">
        <v>2</v>
      </c>
      <c r="H575" s="730">
        <v>1</v>
      </c>
      <c r="I575" s="330"/>
      <c r="J575" s="330"/>
      <c r="K575" s="386">
        <f t="shared" si="78"/>
        <v>1</v>
      </c>
      <c r="L575" s="589">
        <f t="shared" si="82"/>
        <v>1.9029495718363463E-4</v>
      </c>
      <c r="M575" s="315">
        <f t="shared" si="83"/>
        <v>0.43180399619410087</v>
      </c>
      <c r="N575" s="425">
        <f t="shared" si="80"/>
        <v>0.1587743294005709</v>
      </c>
      <c r="O575" s="498">
        <v>0.19993309256795286</v>
      </c>
      <c r="P575" s="427">
        <f t="shared" si="84"/>
        <v>4.6605137963843954E-2</v>
      </c>
      <c r="Q575" s="426">
        <f t="shared" si="85"/>
        <v>5.6811663177925784E-2</v>
      </c>
      <c r="R575" s="532">
        <f t="shared" si="77"/>
        <v>1.2292460442385736E-2</v>
      </c>
    </row>
    <row r="576" spans="1:18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608">
        <f t="shared" si="81"/>
        <v>293.2</v>
      </c>
      <c r="G576" s="330">
        <v>2</v>
      </c>
      <c r="H576" s="730">
        <v>5</v>
      </c>
      <c r="I576" s="330"/>
      <c r="J576" s="330"/>
      <c r="K576" s="386">
        <f t="shared" si="78"/>
        <v>5</v>
      </c>
      <c r="L576" s="589">
        <f t="shared" si="82"/>
        <v>9.514747859181731E-4</v>
      </c>
      <c r="M576" s="315">
        <f t="shared" si="83"/>
        <v>2.1590199809705042</v>
      </c>
      <c r="N576" s="425">
        <f t="shared" si="80"/>
        <v>0.7938716470028544</v>
      </c>
      <c r="O576" s="498">
        <v>0.99966546283976432</v>
      </c>
      <c r="P576" s="427">
        <f t="shared" si="84"/>
        <v>0.23302568981921978</v>
      </c>
      <c r="Q576" s="426">
        <f t="shared" si="85"/>
        <v>0.28405831588962893</v>
      </c>
      <c r="R576" s="532">
        <f t="shared" si="77"/>
        <v>1.4275521079919315E-2</v>
      </c>
    </row>
    <row r="577" spans="1:18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608">
        <f t="shared" si="81"/>
        <v>95.9</v>
      </c>
      <c r="G577" s="330">
        <v>1</v>
      </c>
      <c r="H577" s="730">
        <v>2</v>
      </c>
      <c r="I577" s="330"/>
      <c r="J577" s="330"/>
      <c r="K577" s="386">
        <f t="shared" si="78"/>
        <v>2</v>
      </c>
      <c r="L577" s="589">
        <f t="shared" si="82"/>
        <v>3.8058991436726926E-4</v>
      </c>
      <c r="M577" s="315">
        <f t="shared" si="83"/>
        <v>0.86360799238820174</v>
      </c>
      <c r="N577" s="425">
        <f t="shared" si="80"/>
        <v>0.3175486588011418</v>
      </c>
      <c r="O577" s="498">
        <v>0.39986618513590572</v>
      </c>
      <c r="P577" s="427">
        <f t="shared" si="84"/>
        <v>9.3210275927687908E-2</v>
      </c>
      <c r="Q577" s="426">
        <f t="shared" si="85"/>
        <v>0.11362332635585157</v>
      </c>
      <c r="R577" s="532">
        <f t="shared" si="77"/>
        <v>1.7458113787830416E-2</v>
      </c>
    </row>
    <row r="578" spans="1:18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608">
        <f t="shared" si="81"/>
        <v>4501</v>
      </c>
      <c r="G578" s="330">
        <v>5</v>
      </c>
      <c r="H578" s="730">
        <v>80</v>
      </c>
      <c r="I578" s="330"/>
      <c r="J578" s="330"/>
      <c r="K578" s="386">
        <f t="shared" si="78"/>
        <v>80</v>
      </c>
      <c r="L578" s="589">
        <f t="shared" si="82"/>
        <v>1.522359657469077E-2</v>
      </c>
      <c r="M578" s="315">
        <f t="shared" si="83"/>
        <v>34.544319695528067</v>
      </c>
      <c r="N578" s="425">
        <f t="shared" si="80"/>
        <v>12.70194635204567</v>
      </c>
      <c r="O578" s="498">
        <v>15.994647405436229</v>
      </c>
      <c r="P578" s="427">
        <f t="shared" si="84"/>
        <v>3.7284110371075165</v>
      </c>
      <c r="Q578" s="426">
        <f t="shared" si="85"/>
        <v>4.5449330542340629</v>
      </c>
      <c r="R578" s="532">
        <f t="shared" si="77"/>
        <v>1.4878765716533545E-2</v>
      </c>
    </row>
    <row r="579" spans="1:18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608">
        <f t="shared" si="81"/>
        <v>195.86</v>
      </c>
      <c r="G579" s="330">
        <v>2</v>
      </c>
      <c r="H579" s="730">
        <v>2</v>
      </c>
      <c r="I579" s="330"/>
      <c r="J579" s="330"/>
      <c r="K579" s="386">
        <f t="shared" si="78"/>
        <v>2</v>
      </c>
      <c r="L579" s="589">
        <f t="shared" si="82"/>
        <v>3.8058991436726926E-4</v>
      </c>
      <c r="M579" s="315">
        <f t="shared" si="83"/>
        <v>0.86360799238820174</v>
      </c>
      <c r="N579" s="425">
        <f t="shared" si="80"/>
        <v>0.3175486588011418</v>
      </c>
      <c r="O579" s="498">
        <v>0.39986618513590572</v>
      </c>
      <c r="P579" s="427">
        <f t="shared" si="84"/>
        <v>9.3210275927687908E-2</v>
      </c>
      <c r="Q579" s="426">
        <f t="shared" si="85"/>
        <v>0.11362332635585157</v>
      </c>
      <c r="R579" s="532">
        <f t="shared" si="77"/>
        <v>8.5481114686660718E-3</v>
      </c>
    </row>
    <row r="580" spans="1:18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608">
        <f t="shared" si="81"/>
        <v>148</v>
      </c>
      <c r="G580" s="330">
        <v>80</v>
      </c>
      <c r="H580" s="730">
        <v>3</v>
      </c>
      <c r="I580" s="330"/>
      <c r="J580" s="330"/>
      <c r="K580" s="386">
        <f t="shared" si="78"/>
        <v>3</v>
      </c>
      <c r="L580" s="589">
        <f t="shared" si="82"/>
        <v>5.7088487155090395E-4</v>
      </c>
      <c r="M580" s="315">
        <f t="shared" si="83"/>
        <v>1.2954119885823028</v>
      </c>
      <c r="N580" s="425">
        <f t="shared" si="80"/>
        <v>0.47632298820171276</v>
      </c>
      <c r="O580" s="498">
        <v>0.59979927770385855</v>
      </c>
      <c r="P580" s="427">
        <f t="shared" si="84"/>
        <v>0.13981541389153188</v>
      </c>
      <c r="Q580" s="426">
        <f t="shared" si="85"/>
        <v>0.17043498953377736</v>
      </c>
      <c r="R580" s="532">
        <f t="shared" si="77"/>
        <v>1.6968578840401389E-2</v>
      </c>
    </row>
    <row r="581" spans="1:18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608">
        <f t="shared" si="81"/>
        <v>74.95</v>
      </c>
      <c r="G581" s="330">
        <v>2</v>
      </c>
      <c r="H581" s="730">
        <v>2</v>
      </c>
      <c r="I581" s="330"/>
      <c r="J581" s="330"/>
      <c r="K581" s="386">
        <f t="shared" si="78"/>
        <v>2</v>
      </c>
      <c r="L581" s="589">
        <f t="shared" si="82"/>
        <v>3.8058991436726926E-4</v>
      </c>
      <c r="M581" s="315">
        <f t="shared" si="83"/>
        <v>0.86360799238820174</v>
      </c>
      <c r="N581" s="425">
        <f t="shared" si="80"/>
        <v>0.3175486588011418</v>
      </c>
      <c r="O581" s="498">
        <v>0.39986618513590572</v>
      </c>
      <c r="P581" s="427">
        <f t="shared" si="84"/>
        <v>9.3210275927687908E-2</v>
      </c>
      <c r="Q581" s="426">
        <f t="shared" si="85"/>
        <v>0.11362332635585157</v>
      </c>
      <c r="R581" s="532">
        <f t="shared" si="77"/>
        <v>2.2338000163481482E-2</v>
      </c>
    </row>
    <row r="582" spans="1:18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608">
        <f t="shared" si="81"/>
        <v>87.3</v>
      </c>
      <c r="G582" s="330">
        <v>3</v>
      </c>
      <c r="H582" s="730">
        <v>2</v>
      </c>
      <c r="I582" s="330"/>
      <c r="J582" s="330"/>
      <c r="K582" s="386">
        <f t="shared" si="78"/>
        <v>2</v>
      </c>
      <c r="L582" s="589">
        <f t="shared" si="82"/>
        <v>3.8058991436726926E-4</v>
      </c>
      <c r="M582" s="315">
        <f t="shared" si="83"/>
        <v>0.86360799238820174</v>
      </c>
      <c r="N582" s="425">
        <f t="shared" si="80"/>
        <v>0.3175486588011418</v>
      </c>
      <c r="O582" s="498">
        <v>0.39986618513590572</v>
      </c>
      <c r="P582" s="427">
        <f t="shared" si="84"/>
        <v>9.3210275927687908E-2</v>
      </c>
      <c r="Q582" s="426">
        <f t="shared" si="85"/>
        <v>0.11362332635585157</v>
      </c>
      <c r="R582" s="532">
        <f t="shared" si="77"/>
        <v>1.9177927975405924E-2</v>
      </c>
    </row>
    <row r="583" spans="1:18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608">
        <f t="shared" si="81"/>
        <v>92.6</v>
      </c>
      <c r="G583" s="330">
        <v>2</v>
      </c>
      <c r="H583" s="730">
        <v>2</v>
      </c>
      <c r="I583" s="330"/>
      <c r="J583" s="330"/>
      <c r="K583" s="386">
        <f t="shared" si="78"/>
        <v>2</v>
      </c>
      <c r="L583" s="589">
        <f t="shared" si="82"/>
        <v>3.8058991436726926E-4</v>
      </c>
      <c r="M583" s="315">
        <f t="shared" si="83"/>
        <v>0.86360799238820174</v>
      </c>
      <c r="N583" s="425">
        <f t="shared" si="80"/>
        <v>0.3175486588011418</v>
      </c>
      <c r="O583" s="498">
        <v>0.39986618513590572</v>
      </c>
      <c r="P583" s="427">
        <f t="shared" si="84"/>
        <v>9.3210275927687908E-2</v>
      </c>
      <c r="Q583" s="426">
        <f t="shared" si="85"/>
        <v>0.11362332635585157</v>
      </c>
      <c r="R583" s="532">
        <f t="shared" si="77"/>
        <v>1.808027119063647E-2</v>
      </c>
    </row>
    <row r="584" spans="1:18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608">
        <f t="shared" si="81"/>
        <v>110.7</v>
      </c>
      <c r="G584" s="330">
        <v>2</v>
      </c>
      <c r="H584" s="730">
        <v>2</v>
      </c>
      <c r="I584" s="330"/>
      <c r="J584" s="330"/>
      <c r="K584" s="386">
        <f t="shared" si="78"/>
        <v>2</v>
      </c>
      <c r="L584" s="589">
        <f t="shared" si="82"/>
        <v>3.8058991436726926E-4</v>
      </c>
      <c r="M584" s="315">
        <f t="shared" si="83"/>
        <v>0.86360799238820174</v>
      </c>
      <c r="N584" s="425">
        <f t="shared" ref="N584:N642" si="86">M584*0.3677</f>
        <v>0.3175486588011418</v>
      </c>
      <c r="O584" s="498">
        <v>0.39986618513590572</v>
      </c>
      <c r="P584" s="427">
        <f t="shared" si="84"/>
        <v>9.3210275927687908E-2</v>
      </c>
      <c r="Q584" s="426">
        <f t="shared" si="85"/>
        <v>0.11362332635585157</v>
      </c>
      <c r="R584" s="532">
        <f t="shared" si="77"/>
        <v>1.5124057021255077E-2</v>
      </c>
    </row>
    <row r="585" spans="1:18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608">
        <f t="shared" si="81"/>
        <v>78.7</v>
      </c>
      <c r="G585" s="330">
        <v>2</v>
      </c>
      <c r="H585" s="730">
        <v>2</v>
      </c>
      <c r="I585" s="330"/>
      <c r="J585" s="330"/>
      <c r="K585" s="386">
        <f t="shared" si="78"/>
        <v>2</v>
      </c>
      <c r="L585" s="589">
        <f t="shared" si="82"/>
        <v>3.8058991436726926E-4</v>
      </c>
      <c r="M585" s="315">
        <f t="shared" si="83"/>
        <v>0.86360799238820174</v>
      </c>
      <c r="N585" s="425">
        <f t="shared" si="86"/>
        <v>0.3175486588011418</v>
      </c>
      <c r="O585" s="498">
        <v>0.39986618513590572</v>
      </c>
      <c r="P585" s="427">
        <f t="shared" si="84"/>
        <v>9.3210275927687908E-2</v>
      </c>
      <c r="Q585" s="426">
        <f t="shared" si="85"/>
        <v>0.11362332635585157</v>
      </c>
      <c r="R585" s="532">
        <f t="shared" si="77"/>
        <v>2.1273610066746339E-2</v>
      </c>
    </row>
    <row r="586" spans="1:18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608">
        <f t="shared" si="81"/>
        <v>114</v>
      </c>
      <c r="G586" s="330">
        <v>1</v>
      </c>
      <c r="H586" s="730">
        <v>2</v>
      </c>
      <c r="I586" s="330"/>
      <c r="J586" s="330"/>
      <c r="K586" s="386">
        <f t="shared" si="78"/>
        <v>2</v>
      </c>
      <c r="L586" s="589">
        <f t="shared" si="82"/>
        <v>3.8058991436726926E-4</v>
      </c>
      <c r="M586" s="315">
        <f t="shared" si="83"/>
        <v>0.86360799238820174</v>
      </c>
      <c r="N586" s="425">
        <f t="shared" si="86"/>
        <v>0.3175486588011418</v>
      </c>
      <c r="O586" s="498">
        <v>0.39986618513590572</v>
      </c>
      <c r="P586" s="427">
        <f t="shared" si="84"/>
        <v>9.3210275927687908E-2</v>
      </c>
      <c r="Q586" s="426">
        <f t="shared" si="85"/>
        <v>0.11362332635585157</v>
      </c>
      <c r="R586" s="532">
        <f t="shared" ref="R586:R649" si="87">(M586+N586+O586+P586)/C586</f>
        <v>1.4686255370639799E-2</v>
      </c>
    </row>
    <row r="587" spans="1:18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608">
        <f t="shared" si="81"/>
        <v>25.1</v>
      </c>
      <c r="G587" s="330">
        <v>1</v>
      </c>
      <c r="H587" s="730">
        <v>1</v>
      </c>
      <c r="I587" s="330"/>
      <c r="J587" s="330"/>
      <c r="K587" s="386">
        <f t="shared" si="78"/>
        <v>1</v>
      </c>
      <c r="L587" s="589">
        <f t="shared" si="82"/>
        <v>1.9029495718363463E-4</v>
      </c>
      <c r="M587" s="315">
        <f t="shared" si="83"/>
        <v>0.43180399619410087</v>
      </c>
      <c r="N587" s="425">
        <f t="shared" si="86"/>
        <v>0.1587743294005709</v>
      </c>
      <c r="O587" s="498">
        <v>0.19993309256795286</v>
      </c>
      <c r="P587" s="427">
        <f t="shared" si="84"/>
        <v>4.6605137963843954E-2</v>
      </c>
      <c r="Q587" s="426">
        <f t="shared" si="85"/>
        <v>5.6811663177925784E-2</v>
      </c>
      <c r="R587" s="532">
        <f t="shared" si="87"/>
        <v>3.3351257216193961E-2</v>
      </c>
    </row>
    <row r="588" spans="1:18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608">
        <f t="shared" si="81"/>
        <v>66.599999999999994</v>
      </c>
      <c r="G588" s="330">
        <v>2</v>
      </c>
      <c r="H588" s="730">
        <v>1</v>
      </c>
      <c r="I588" s="330"/>
      <c r="J588" s="330"/>
      <c r="K588" s="386">
        <f t="shared" si="78"/>
        <v>1</v>
      </c>
      <c r="L588" s="589">
        <f t="shared" si="82"/>
        <v>1.9029495718363463E-4</v>
      </c>
      <c r="M588" s="315">
        <f t="shared" si="83"/>
        <v>0.43180399619410087</v>
      </c>
      <c r="N588" s="425">
        <f t="shared" si="86"/>
        <v>0.1587743294005709</v>
      </c>
      <c r="O588" s="498">
        <v>0.19993309256795286</v>
      </c>
      <c r="P588" s="427">
        <f t="shared" si="84"/>
        <v>4.6605137963843954E-2</v>
      </c>
      <c r="Q588" s="426">
        <f t="shared" si="85"/>
        <v>5.6811663177925784E-2</v>
      </c>
      <c r="R588" s="532">
        <f t="shared" si="87"/>
        <v>1.2569317659556585E-2</v>
      </c>
    </row>
    <row r="589" spans="1:18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608">
        <f t="shared" si="81"/>
        <v>156.4</v>
      </c>
      <c r="G589" s="330">
        <v>2</v>
      </c>
      <c r="H589" s="730">
        <v>3</v>
      </c>
      <c r="I589" s="330"/>
      <c r="J589" s="330"/>
      <c r="K589" s="386">
        <f t="shared" si="78"/>
        <v>3</v>
      </c>
      <c r="L589" s="589">
        <f t="shared" si="82"/>
        <v>5.7088487155090395E-4</v>
      </c>
      <c r="M589" s="315">
        <f t="shared" si="83"/>
        <v>1.2954119885823028</v>
      </c>
      <c r="N589" s="425">
        <f t="shared" si="86"/>
        <v>0.47632298820171276</v>
      </c>
      <c r="O589" s="498">
        <v>0.59979927770385855</v>
      </c>
      <c r="P589" s="427">
        <f t="shared" si="84"/>
        <v>0.13981541389153188</v>
      </c>
      <c r="Q589" s="426">
        <f t="shared" si="85"/>
        <v>0.17043498953377736</v>
      </c>
      <c r="R589" s="532">
        <f t="shared" si="87"/>
        <v>1.6057222943602338E-2</v>
      </c>
    </row>
    <row r="590" spans="1:18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608">
        <f t="shared" si="81"/>
        <v>72.7</v>
      </c>
      <c r="G590" s="330">
        <v>2</v>
      </c>
      <c r="H590" s="730">
        <v>2</v>
      </c>
      <c r="I590" s="330"/>
      <c r="J590" s="330"/>
      <c r="K590" s="386">
        <f t="shared" si="78"/>
        <v>2</v>
      </c>
      <c r="L590" s="589">
        <f t="shared" si="82"/>
        <v>3.8058991436726926E-4</v>
      </c>
      <c r="M590" s="315">
        <f t="shared" si="83"/>
        <v>0.86360799238820174</v>
      </c>
      <c r="N590" s="425">
        <f t="shared" si="86"/>
        <v>0.3175486588011418</v>
      </c>
      <c r="O590" s="498">
        <v>0.39986618513590572</v>
      </c>
      <c r="P590" s="427">
        <f t="shared" si="84"/>
        <v>9.3210275927687908E-2</v>
      </c>
      <c r="Q590" s="426">
        <f t="shared" si="85"/>
        <v>0.11362332635585157</v>
      </c>
      <c r="R590" s="532">
        <f t="shared" si="87"/>
        <v>2.3029341296464056E-2</v>
      </c>
    </row>
    <row r="591" spans="1:18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608">
        <f t="shared" si="81"/>
        <v>59.6</v>
      </c>
      <c r="G591" s="330">
        <v>1</v>
      </c>
      <c r="H591" s="730">
        <v>1</v>
      </c>
      <c r="I591" s="330"/>
      <c r="J591" s="330"/>
      <c r="K591" s="386">
        <f t="shared" ref="K591:K650" si="88">H591+I591+J591</f>
        <v>1</v>
      </c>
      <c r="L591" s="589">
        <f t="shared" si="82"/>
        <v>1.9029495718363463E-4</v>
      </c>
      <c r="M591" s="315">
        <f t="shared" si="83"/>
        <v>0.43180399619410087</v>
      </c>
      <c r="N591" s="425">
        <f t="shared" si="86"/>
        <v>0.1587743294005709</v>
      </c>
      <c r="O591" s="498">
        <v>0.19993309256795286</v>
      </c>
      <c r="P591" s="427">
        <f t="shared" si="84"/>
        <v>4.6605137963843954E-2</v>
      </c>
      <c r="Q591" s="426">
        <f t="shared" si="85"/>
        <v>5.6811663177925784E-2</v>
      </c>
      <c r="R591" s="532">
        <f t="shared" si="87"/>
        <v>1.4045579800779672E-2</v>
      </c>
    </row>
    <row r="592" spans="1:18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608">
        <f t="shared" ref="F592:F651" si="89">C592+D592+E592</f>
        <v>176</v>
      </c>
      <c r="G592" s="330">
        <v>1</v>
      </c>
      <c r="H592" s="730">
        <v>5</v>
      </c>
      <c r="I592" s="330"/>
      <c r="J592" s="330"/>
      <c r="K592" s="386">
        <f t="shared" si="88"/>
        <v>5</v>
      </c>
      <c r="L592" s="589">
        <f t="shared" si="82"/>
        <v>9.514747859181731E-4</v>
      </c>
      <c r="M592" s="315">
        <f t="shared" si="83"/>
        <v>2.1590199809705042</v>
      </c>
      <c r="N592" s="425">
        <f t="shared" si="86"/>
        <v>0.7938716470028544</v>
      </c>
      <c r="O592" s="498">
        <v>0.99966546283976432</v>
      </c>
      <c r="P592" s="427">
        <f t="shared" si="84"/>
        <v>0.23302568981921978</v>
      </c>
      <c r="Q592" s="426">
        <f t="shared" si="85"/>
        <v>0.28405831588962893</v>
      </c>
      <c r="R592" s="532">
        <f t="shared" si="87"/>
        <v>2.3781720344501947E-2</v>
      </c>
    </row>
    <row r="593" spans="1:18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608">
        <f t="shared" si="89"/>
        <v>149</v>
      </c>
      <c r="G593" s="330">
        <v>3</v>
      </c>
      <c r="H593" s="730">
        <v>3</v>
      </c>
      <c r="I593" s="330"/>
      <c r="J593" s="330"/>
      <c r="K593" s="386">
        <f t="shared" si="88"/>
        <v>3</v>
      </c>
      <c r="L593" s="589">
        <f t="shared" si="82"/>
        <v>5.7088487155090395E-4</v>
      </c>
      <c r="M593" s="315">
        <f t="shared" si="83"/>
        <v>1.2954119885823028</v>
      </c>
      <c r="N593" s="425">
        <f t="shared" si="86"/>
        <v>0.47632298820171276</v>
      </c>
      <c r="O593" s="498">
        <v>0.79973237027181143</v>
      </c>
      <c r="P593" s="427">
        <f t="shared" si="84"/>
        <v>0.13981541389153188</v>
      </c>
      <c r="Q593" s="426">
        <f t="shared" si="85"/>
        <v>0.17043498953377736</v>
      </c>
      <c r="R593" s="532">
        <f t="shared" si="87"/>
        <v>1.8196528596962139E-2</v>
      </c>
    </row>
    <row r="594" spans="1:18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608">
        <f t="shared" si="89"/>
        <v>224.8</v>
      </c>
      <c r="G594" s="330">
        <v>2</v>
      </c>
      <c r="H594" s="730">
        <v>5</v>
      </c>
      <c r="I594" s="330"/>
      <c r="J594" s="330"/>
      <c r="K594" s="386">
        <f t="shared" si="88"/>
        <v>5</v>
      </c>
      <c r="L594" s="589">
        <f t="shared" si="82"/>
        <v>9.514747859181731E-4</v>
      </c>
      <c r="M594" s="315">
        <f t="shared" si="83"/>
        <v>2.1590199809705042</v>
      </c>
      <c r="N594" s="425">
        <f t="shared" si="86"/>
        <v>0.7938716470028544</v>
      </c>
      <c r="O594" s="498">
        <v>0.99966546283976432</v>
      </c>
      <c r="P594" s="427">
        <f t="shared" si="84"/>
        <v>0.23302568981921978</v>
      </c>
      <c r="Q594" s="426">
        <f t="shared" si="85"/>
        <v>0.28405831588962893</v>
      </c>
      <c r="R594" s="532">
        <f t="shared" si="87"/>
        <v>1.8619140483239958E-2</v>
      </c>
    </row>
    <row r="595" spans="1:18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608">
        <f t="shared" si="89"/>
        <v>243.4</v>
      </c>
      <c r="G595" s="330">
        <v>1</v>
      </c>
      <c r="H595" s="730">
        <v>6</v>
      </c>
      <c r="I595" s="330"/>
      <c r="J595" s="330"/>
      <c r="K595" s="386">
        <f t="shared" si="88"/>
        <v>6</v>
      </c>
      <c r="L595" s="589">
        <f t="shared" si="82"/>
        <v>1.1417697431018079E-3</v>
      </c>
      <c r="M595" s="315">
        <f t="shared" si="83"/>
        <v>2.5908239771646056</v>
      </c>
      <c r="N595" s="425">
        <f t="shared" si="86"/>
        <v>0.95264597640342552</v>
      </c>
      <c r="O595" s="498">
        <v>1.1995985554077171</v>
      </c>
      <c r="P595" s="427">
        <f t="shared" si="84"/>
        <v>0.27963082778306375</v>
      </c>
      <c r="Q595" s="426">
        <f t="shared" si="85"/>
        <v>0.34086997906755473</v>
      </c>
      <c r="R595" s="532">
        <f t="shared" si="87"/>
        <v>2.0635576568442116E-2</v>
      </c>
    </row>
    <row r="596" spans="1:18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608">
        <f t="shared" si="89"/>
        <v>169.9</v>
      </c>
      <c r="G596" s="330">
        <v>5</v>
      </c>
      <c r="H596" s="730">
        <v>4</v>
      </c>
      <c r="I596" s="330"/>
      <c r="J596" s="330"/>
      <c r="K596" s="386">
        <f t="shared" si="88"/>
        <v>4</v>
      </c>
      <c r="L596" s="589">
        <f t="shared" si="82"/>
        <v>7.6117982873453852E-4</v>
      </c>
      <c r="M596" s="315">
        <f t="shared" si="83"/>
        <v>1.7272159847764035</v>
      </c>
      <c r="N596" s="425">
        <f t="shared" si="86"/>
        <v>0.63509731760228361</v>
      </c>
      <c r="O596" s="498">
        <v>0.79973237027181143</v>
      </c>
      <c r="P596" s="427">
        <f t="shared" si="84"/>
        <v>0.18642055185537582</v>
      </c>
      <c r="Q596" s="426">
        <f t="shared" si="85"/>
        <v>0.22724665271170313</v>
      </c>
      <c r="R596" s="532">
        <f t="shared" si="87"/>
        <v>1.9708453352006321E-2</v>
      </c>
    </row>
    <row r="597" spans="1:18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608">
        <f t="shared" si="89"/>
        <v>377.1</v>
      </c>
      <c r="G597" s="330">
        <v>3</v>
      </c>
      <c r="H597" s="730">
        <v>8</v>
      </c>
      <c r="I597" s="330"/>
      <c r="J597" s="330"/>
      <c r="K597" s="386">
        <f t="shared" si="88"/>
        <v>8</v>
      </c>
      <c r="L597" s="589">
        <f t="shared" si="82"/>
        <v>1.522359657469077E-3</v>
      </c>
      <c r="M597" s="315">
        <f t="shared" si="83"/>
        <v>3.454431969552807</v>
      </c>
      <c r="N597" s="425">
        <f t="shared" si="86"/>
        <v>1.2701946352045672</v>
      </c>
      <c r="O597" s="498">
        <v>1.5994647405436229</v>
      </c>
      <c r="P597" s="427">
        <f t="shared" si="84"/>
        <v>0.37284110371075163</v>
      </c>
      <c r="Q597" s="426">
        <f t="shared" si="85"/>
        <v>0.45449330542340627</v>
      </c>
      <c r="R597" s="532">
        <f t="shared" si="87"/>
        <v>1.7759035929492833E-2</v>
      </c>
    </row>
    <row r="598" spans="1:18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608">
        <f t="shared" si="89"/>
        <v>87.1</v>
      </c>
      <c r="G598" s="330">
        <v>5</v>
      </c>
      <c r="H598" s="730">
        <v>2</v>
      </c>
      <c r="I598" s="330"/>
      <c r="J598" s="330"/>
      <c r="K598" s="386">
        <f t="shared" si="88"/>
        <v>2</v>
      </c>
      <c r="L598" s="589">
        <f t="shared" si="82"/>
        <v>3.8058991436726926E-4</v>
      </c>
      <c r="M598" s="315">
        <f t="shared" si="83"/>
        <v>0.86360799238820174</v>
      </c>
      <c r="N598" s="425">
        <f t="shared" si="86"/>
        <v>0.3175486588011418</v>
      </c>
      <c r="O598" s="498">
        <v>0.39986618513590572</v>
      </c>
      <c r="P598" s="427">
        <f t="shared" si="84"/>
        <v>9.3210275927687908E-2</v>
      </c>
      <c r="Q598" s="426">
        <f t="shared" si="85"/>
        <v>0.11362332635585157</v>
      </c>
      <c r="R598" s="532">
        <f t="shared" si="87"/>
        <v>1.9221964549402264E-2</v>
      </c>
    </row>
    <row r="599" spans="1:18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608">
        <f t="shared" si="89"/>
        <v>348.2</v>
      </c>
      <c r="G599" s="330">
        <v>6</v>
      </c>
      <c r="H599" s="730">
        <v>8</v>
      </c>
      <c r="I599" s="330"/>
      <c r="J599" s="330"/>
      <c r="K599" s="386">
        <f t="shared" si="88"/>
        <v>8</v>
      </c>
      <c r="L599" s="589">
        <f t="shared" si="82"/>
        <v>1.522359657469077E-3</v>
      </c>
      <c r="M599" s="315">
        <f t="shared" si="83"/>
        <v>3.454431969552807</v>
      </c>
      <c r="N599" s="425">
        <f t="shared" si="86"/>
        <v>1.2701946352045672</v>
      </c>
      <c r="O599" s="498">
        <v>1.5994647405436229</v>
      </c>
      <c r="P599" s="427">
        <f t="shared" si="84"/>
        <v>0.37284110371075163</v>
      </c>
      <c r="Q599" s="426">
        <f t="shared" si="85"/>
        <v>0.45449330542340627</v>
      </c>
      <c r="R599" s="532">
        <f t="shared" si="87"/>
        <v>1.9233005310200311E-2</v>
      </c>
    </row>
    <row r="600" spans="1:18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608">
        <f t="shared" si="89"/>
        <v>227.7</v>
      </c>
      <c r="G600" s="330">
        <v>4</v>
      </c>
      <c r="H600" s="730">
        <v>7</v>
      </c>
      <c r="I600" s="330"/>
      <c r="J600" s="330"/>
      <c r="K600" s="386">
        <f t="shared" si="88"/>
        <v>7</v>
      </c>
      <c r="L600" s="589">
        <f t="shared" si="82"/>
        <v>1.3320647002854425E-3</v>
      </c>
      <c r="M600" s="315">
        <f t="shared" si="83"/>
        <v>3.022627973358706</v>
      </c>
      <c r="N600" s="425">
        <f t="shared" si="86"/>
        <v>1.1114203058039962</v>
      </c>
      <c r="O600" s="498">
        <v>1.3995316479756699</v>
      </c>
      <c r="P600" s="427">
        <f t="shared" si="84"/>
        <v>0.32623596574690772</v>
      </c>
      <c r="Q600" s="426">
        <f t="shared" si="85"/>
        <v>0.39768164224548053</v>
      </c>
      <c r="R600" s="532">
        <f t="shared" si="87"/>
        <v>2.5734808488736407E-2</v>
      </c>
    </row>
    <row r="601" spans="1:18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608">
        <f t="shared" si="89"/>
        <v>409.2</v>
      </c>
      <c r="G601" s="330">
        <v>8</v>
      </c>
      <c r="H601" s="730">
        <v>8</v>
      </c>
      <c r="I601" s="330"/>
      <c r="J601" s="330"/>
      <c r="K601" s="386">
        <f t="shared" si="88"/>
        <v>8</v>
      </c>
      <c r="L601" s="589">
        <f t="shared" ref="L601:L664" si="90">1/5255*K601</f>
        <v>1.522359657469077E-3</v>
      </c>
      <c r="M601" s="315">
        <f t="shared" ref="M601:M664" si="91">L601*2269.13</f>
        <v>3.454431969552807</v>
      </c>
      <c r="N601" s="425">
        <f t="shared" si="86"/>
        <v>1.2701946352045672</v>
      </c>
      <c r="O601" s="498">
        <v>1.5994647405436229</v>
      </c>
      <c r="P601" s="427">
        <f t="shared" ref="P601:P664" si="92">L601*244.91</f>
        <v>0.37284110371075163</v>
      </c>
      <c r="Q601" s="426">
        <f t="shared" si="85"/>
        <v>0.45449330542340627</v>
      </c>
      <c r="R601" s="532">
        <f t="shared" si="87"/>
        <v>1.6365915075786285E-2</v>
      </c>
    </row>
    <row r="602" spans="1:18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608">
        <f t="shared" si="89"/>
        <v>177.6</v>
      </c>
      <c r="G602" s="330">
        <v>2</v>
      </c>
      <c r="H602" s="730">
        <v>4</v>
      </c>
      <c r="I602" s="330"/>
      <c r="J602" s="330"/>
      <c r="K602" s="386">
        <f t="shared" si="88"/>
        <v>4</v>
      </c>
      <c r="L602" s="589">
        <f t="shared" si="90"/>
        <v>7.6117982873453852E-4</v>
      </c>
      <c r="M602" s="315">
        <f t="shared" si="91"/>
        <v>1.7272159847764035</v>
      </c>
      <c r="N602" s="425">
        <f t="shared" si="86"/>
        <v>0.63509731760228361</v>
      </c>
      <c r="O602" s="498">
        <v>0.79973237027181143</v>
      </c>
      <c r="P602" s="427">
        <f t="shared" si="92"/>
        <v>0.18642055185537582</v>
      </c>
      <c r="Q602" s="426">
        <f t="shared" si="85"/>
        <v>0.22724665271170313</v>
      </c>
      <c r="R602" s="532">
        <f t="shared" si="87"/>
        <v>1.8853976489334876E-2</v>
      </c>
    </row>
    <row r="603" spans="1:18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608">
        <f t="shared" si="89"/>
        <v>383.9</v>
      </c>
      <c r="G603" s="330">
        <v>8</v>
      </c>
      <c r="H603" s="730">
        <v>8</v>
      </c>
      <c r="I603" s="330"/>
      <c r="J603" s="330"/>
      <c r="K603" s="386">
        <f t="shared" si="88"/>
        <v>8</v>
      </c>
      <c r="L603" s="589">
        <f t="shared" si="90"/>
        <v>1.522359657469077E-3</v>
      </c>
      <c r="M603" s="315">
        <f t="shared" si="91"/>
        <v>3.454431969552807</v>
      </c>
      <c r="N603" s="425">
        <f t="shared" si="86"/>
        <v>1.2701946352045672</v>
      </c>
      <c r="O603" s="498">
        <v>1.5994647405436229</v>
      </c>
      <c r="P603" s="427">
        <f t="shared" si="92"/>
        <v>0.37284110371075163</v>
      </c>
      <c r="Q603" s="426">
        <f t="shared" si="85"/>
        <v>0.45449330542340627</v>
      </c>
      <c r="R603" s="532">
        <f t="shared" si="87"/>
        <v>1.7444471083646128E-2</v>
      </c>
    </row>
    <row r="604" spans="1:18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608">
        <f t="shared" si="89"/>
        <v>123.2</v>
      </c>
      <c r="G604" s="330">
        <v>7</v>
      </c>
      <c r="H604" s="730">
        <v>4</v>
      </c>
      <c r="I604" s="330"/>
      <c r="J604" s="330"/>
      <c r="K604" s="386">
        <f t="shared" si="88"/>
        <v>4</v>
      </c>
      <c r="L604" s="589">
        <f t="shared" si="90"/>
        <v>7.6117982873453852E-4</v>
      </c>
      <c r="M604" s="315">
        <f t="shared" si="91"/>
        <v>1.7272159847764035</v>
      </c>
      <c r="N604" s="425">
        <f t="shared" si="86"/>
        <v>0.63509731760228361</v>
      </c>
      <c r="O604" s="498">
        <v>0.79973237027181143</v>
      </c>
      <c r="P604" s="427">
        <f t="shared" si="92"/>
        <v>0.18642055185537582</v>
      </c>
      <c r="Q604" s="426">
        <f t="shared" si="85"/>
        <v>0.22724665271170313</v>
      </c>
      <c r="R604" s="532">
        <f t="shared" si="87"/>
        <v>2.7179108965145082E-2</v>
      </c>
    </row>
    <row r="605" spans="1:18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608">
        <f t="shared" si="89"/>
        <v>423.7</v>
      </c>
      <c r="G605" s="330">
        <v>8</v>
      </c>
      <c r="H605" s="730">
        <v>8</v>
      </c>
      <c r="I605" s="330"/>
      <c r="J605" s="330"/>
      <c r="K605" s="386">
        <f t="shared" si="88"/>
        <v>8</v>
      </c>
      <c r="L605" s="589">
        <f t="shared" si="90"/>
        <v>1.522359657469077E-3</v>
      </c>
      <c r="M605" s="315">
        <f t="shared" si="91"/>
        <v>3.454431969552807</v>
      </c>
      <c r="N605" s="425">
        <f t="shared" si="86"/>
        <v>1.2701946352045672</v>
      </c>
      <c r="O605" s="498">
        <v>1.5994647405436229</v>
      </c>
      <c r="P605" s="427">
        <f t="shared" si="92"/>
        <v>0.37284110371075163</v>
      </c>
      <c r="Q605" s="426">
        <f t="shared" ref="Q605:Q668" si="93">P605*1.219</f>
        <v>0.45449330542340627</v>
      </c>
      <c r="R605" s="532">
        <f t="shared" si="87"/>
        <v>1.5805835376473325E-2</v>
      </c>
    </row>
    <row r="606" spans="1:18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608">
        <f t="shared" si="89"/>
        <v>138.80000000000001</v>
      </c>
      <c r="G606" s="330">
        <v>4</v>
      </c>
      <c r="H606" s="730">
        <v>5</v>
      </c>
      <c r="I606" s="330"/>
      <c r="J606" s="330"/>
      <c r="K606" s="386">
        <f t="shared" si="88"/>
        <v>5</v>
      </c>
      <c r="L606" s="589">
        <f t="shared" si="90"/>
        <v>9.514747859181731E-4</v>
      </c>
      <c r="M606" s="315">
        <f t="shared" si="91"/>
        <v>2.1590199809705042</v>
      </c>
      <c r="N606" s="425">
        <f t="shared" si="86"/>
        <v>0.7938716470028544</v>
      </c>
      <c r="O606" s="498">
        <v>0.99966546283976432</v>
      </c>
      <c r="P606" s="427">
        <f t="shared" si="92"/>
        <v>0.23302568981921978</v>
      </c>
      <c r="Q606" s="426">
        <f t="shared" si="93"/>
        <v>0.28405831588962893</v>
      </c>
      <c r="R606" s="532">
        <f t="shared" si="87"/>
        <v>3.0155495537696992E-2</v>
      </c>
    </row>
    <row r="607" spans="1:18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608">
        <f t="shared" si="89"/>
        <v>341.6</v>
      </c>
      <c r="G607" s="330">
        <v>8</v>
      </c>
      <c r="H607" s="730">
        <v>2</v>
      </c>
      <c r="I607" s="330"/>
      <c r="J607" s="330">
        <v>1</v>
      </c>
      <c r="K607" s="386">
        <f t="shared" si="88"/>
        <v>3</v>
      </c>
      <c r="L607" s="589">
        <f t="shared" si="90"/>
        <v>5.7088487155090395E-4</v>
      </c>
      <c r="M607" s="315">
        <f t="shared" si="91"/>
        <v>1.2954119885823028</v>
      </c>
      <c r="N607" s="425">
        <f t="shared" si="86"/>
        <v>0.47632298820171276</v>
      </c>
      <c r="O607" s="498">
        <v>0.59979927770385855</v>
      </c>
      <c r="P607" s="427">
        <f t="shared" si="92"/>
        <v>0.13981541389153188</v>
      </c>
      <c r="Q607" s="426">
        <f t="shared" si="93"/>
        <v>0.17043498953377736</v>
      </c>
      <c r="R607" s="532">
        <f t="shared" si="87"/>
        <v>3.6986003952568562E-2</v>
      </c>
    </row>
    <row r="608" spans="1:18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608">
        <f t="shared" si="89"/>
        <v>353.3</v>
      </c>
      <c r="G608" s="330">
        <v>4</v>
      </c>
      <c r="H608" s="730">
        <v>8</v>
      </c>
      <c r="I608" s="330"/>
      <c r="J608" s="330"/>
      <c r="K608" s="386">
        <f t="shared" si="88"/>
        <v>8</v>
      </c>
      <c r="L608" s="589">
        <f t="shared" si="90"/>
        <v>1.522359657469077E-3</v>
      </c>
      <c r="M608" s="315">
        <f t="shared" si="91"/>
        <v>3.454431969552807</v>
      </c>
      <c r="N608" s="425">
        <f t="shared" si="86"/>
        <v>1.2701946352045672</v>
      </c>
      <c r="O608" s="498">
        <v>1.5994647405436229</v>
      </c>
      <c r="P608" s="427">
        <f t="shared" si="92"/>
        <v>0.37284110371075163</v>
      </c>
      <c r="Q608" s="426">
        <f t="shared" si="93"/>
        <v>0.45449330542340627</v>
      </c>
      <c r="R608" s="532">
        <f t="shared" si="87"/>
        <v>1.8955370645377154E-2</v>
      </c>
    </row>
    <row r="609" spans="1:18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608">
        <f t="shared" si="89"/>
        <v>354.5</v>
      </c>
      <c r="G609" s="330">
        <v>8</v>
      </c>
      <c r="H609" s="730">
        <v>8</v>
      </c>
      <c r="I609" s="330"/>
      <c r="J609" s="330"/>
      <c r="K609" s="386">
        <f t="shared" si="88"/>
        <v>8</v>
      </c>
      <c r="L609" s="589">
        <f t="shared" si="90"/>
        <v>1.522359657469077E-3</v>
      </c>
      <c r="M609" s="315">
        <f t="shared" si="91"/>
        <v>3.454431969552807</v>
      </c>
      <c r="N609" s="425">
        <f t="shared" si="86"/>
        <v>1.2701946352045672</v>
      </c>
      <c r="O609" s="498">
        <v>1.5994647405436229</v>
      </c>
      <c r="P609" s="427">
        <f t="shared" si="92"/>
        <v>0.37284110371075163</v>
      </c>
      <c r="Q609" s="426">
        <f t="shared" si="93"/>
        <v>0.45449330542340627</v>
      </c>
      <c r="R609" s="532">
        <f t="shared" si="87"/>
        <v>1.889120578000493E-2</v>
      </c>
    </row>
    <row r="610" spans="1:18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608">
        <f t="shared" si="89"/>
        <v>404.4</v>
      </c>
      <c r="G610" s="330">
        <v>5</v>
      </c>
      <c r="H610" s="730">
        <v>8</v>
      </c>
      <c r="I610" s="330"/>
      <c r="J610" s="330"/>
      <c r="K610" s="386">
        <f t="shared" si="88"/>
        <v>8</v>
      </c>
      <c r="L610" s="589">
        <f t="shared" si="90"/>
        <v>1.522359657469077E-3</v>
      </c>
      <c r="M610" s="315">
        <f t="shared" si="91"/>
        <v>3.454431969552807</v>
      </c>
      <c r="N610" s="425">
        <f t="shared" si="86"/>
        <v>1.2701946352045672</v>
      </c>
      <c r="O610" s="498">
        <v>1.5994647405436229</v>
      </c>
      <c r="P610" s="427">
        <f t="shared" si="92"/>
        <v>0.37284110371075163</v>
      </c>
      <c r="Q610" s="426">
        <f t="shared" si="93"/>
        <v>0.45449330542340627</v>
      </c>
      <c r="R610" s="532">
        <f t="shared" si="87"/>
        <v>1.6560169260662089E-2</v>
      </c>
    </row>
    <row r="611" spans="1:18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608">
        <f t="shared" si="89"/>
        <v>348.3</v>
      </c>
      <c r="G611" s="330">
        <v>2</v>
      </c>
      <c r="H611" s="730">
        <v>8</v>
      </c>
      <c r="I611" s="330"/>
      <c r="J611" s="330"/>
      <c r="K611" s="386">
        <f t="shared" si="88"/>
        <v>8</v>
      </c>
      <c r="L611" s="589">
        <f t="shared" si="90"/>
        <v>1.522359657469077E-3</v>
      </c>
      <c r="M611" s="315">
        <f t="shared" si="91"/>
        <v>3.454431969552807</v>
      </c>
      <c r="N611" s="425">
        <f t="shared" si="86"/>
        <v>1.2701946352045672</v>
      </c>
      <c r="O611" s="498">
        <v>1.5994647405436229</v>
      </c>
      <c r="P611" s="427">
        <f t="shared" si="92"/>
        <v>0.37284110371075163</v>
      </c>
      <c r="Q611" s="426">
        <f t="shared" si="93"/>
        <v>0.45449330542340627</v>
      </c>
      <c r="R611" s="532">
        <f t="shared" si="87"/>
        <v>1.9227483344851415E-2</v>
      </c>
    </row>
    <row r="612" spans="1:18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608">
        <f t="shared" si="89"/>
        <v>73.400000000000006</v>
      </c>
      <c r="G612" s="330">
        <v>8</v>
      </c>
      <c r="H612" s="730">
        <v>2</v>
      </c>
      <c r="I612" s="330"/>
      <c r="J612" s="330"/>
      <c r="K612" s="386">
        <f t="shared" si="88"/>
        <v>2</v>
      </c>
      <c r="L612" s="589">
        <f t="shared" si="90"/>
        <v>3.8058991436726926E-4</v>
      </c>
      <c r="M612" s="315">
        <f t="shared" si="91"/>
        <v>0.86360799238820174</v>
      </c>
      <c r="N612" s="425">
        <f t="shared" si="86"/>
        <v>0.3175486588011418</v>
      </c>
      <c r="O612" s="498">
        <v>0.53315491351454092</v>
      </c>
      <c r="P612" s="427">
        <f>L612*344.91</f>
        <v>0.13126926736441485</v>
      </c>
      <c r="Q612" s="426">
        <f t="shared" si="93"/>
        <v>0.16001723691722172</v>
      </c>
      <c r="R612" s="532">
        <f t="shared" si="87"/>
        <v>2.5144153025453669E-2</v>
      </c>
    </row>
    <row r="613" spans="1:18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608">
        <f t="shared" si="89"/>
        <v>117.2</v>
      </c>
      <c r="G613" s="330">
        <v>8</v>
      </c>
      <c r="H613" s="730">
        <v>2</v>
      </c>
      <c r="I613" s="330"/>
      <c r="J613" s="330"/>
      <c r="K613" s="386">
        <f t="shared" si="88"/>
        <v>2</v>
      </c>
      <c r="L613" s="589">
        <f t="shared" si="90"/>
        <v>3.8058991436726926E-4</v>
      </c>
      <c r="M613" s="315">
        <f t="shared" si="91"/>
        <v>0.86360799238820174</v>
      </c>
      <c r="N613" s="425">
        <f t="shared" si="86"/>
        <v>0.3175486588011418</v>
      </c>
      <c r="O613" s="498">
        <v>0.39986618513590572</v>
      </c>
      <c r="P613" s="427">
        <f t="shared" si="92"/>
        <v>9.3210275927687908E-2</v>
      </c>
      <c r="Q613" s="426">
        <f t="shared" si="93"/>
        <v>0.11362332635585157</v>
      </c>
      <c r="R613" s="532">
        <f t="shared" si="87"/>
        <v>1.4285265462909019E-2</v>
      </c>
    </row>
    <row r="614" spans="1:18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608">
        <f t="shared" si="89"/>
        <v>65.900000000000006</v>
      </c>
      <c r="G614" s="330">
        <v>8</v>
      </c>
      <c r="H614" s="730">
        <v>2</v>
      </c>
      <c r="I614" s="330"/>
      <c r="J614" s="330"/>
      <c r="K614" s="386">
        <f t="shared" si="88"/>
        <v>2</v>
      </c>
      <c r="L614" s="589">
        <f t="shared" si="90"/>
        <v>3.8058991436726926E-4</v>
      </c>
      <c r="M614" s="315">
        <f t="shared" si="91"/>
        <v>0.86360799238820174</v>
      </c>
      <c r="N614" s="425">
        <f t="shared" si="86"/>
        <v>0.3175486588011418</v>
      </c>
      <c r="O614" s="498">
        <v>0.39986618513590572</v>
      </c>
      <c r="P614" s="427">
        <f t="shared" si="92"/>
        <v>9.3210275927687908E-2</v>
      </c>
      <c r="Q614" s="426">
        <f t="shared" si="93"/>
        <v>0.11362332635585157</v>
      </c>
      <c r="R614" s="532">
        <f t="shared" si="87"/>
        <v>2.5405661794429997E-2</v>
      </c>
    </row>
    <row r="615" spans="1:18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608">
        <f t="shared" si="89"/>
        <v>212.3</v>
      </c>
      <c r="G615" s="330">
        <v>8</v>
      </c>
      <c r="H615" s="730">
        <v>2</v>
      </c>
      <c r="I615" s="330"/>
      <c r="J615" s="330"/>
      <c r="K615" s="386">
        <f t="shared" si="88"/>
        <v>2</v>
      </c>
      <c r="L615" s="589">
        <f t="shared" si="90"/>
        <v>3.8058991436726926E-4</v>
      </c>
      <c r="M615" s="315">
        <f t="shared" si="91"/>
        <v>0.86360799238820174</v>
      </c>
      <c r="N615" s="425">
        <f t="shared" si="86"/>
        <v>0.3175486588011418</v>
      </c>
      <c r="O615" s="498">
        <v>0.39986618513590572</v>
      </c>
      <c r="P615" s="427">
        <f t="shared" si="92"/>
        <v>9.3210275927687908E-2</v>
      </c>
      <c r="Q615" s="426">
        <f t="shared" si="93"/>
        <v>0.11362332635585157</v>
      </c>
      <c r="R615" s="532">
        <f t="shared" si="87"/>
        <v>7.8861663318555673E-3</v>
      </c>
    </row>
    <row r="616" spans="1:18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608">
        <f t="shared" si="89"/>
        <v>200.1</v>
      </c>
      <c r="G616" s="330">
        <v>2</v>
      </c>
      <c r="H616" s="730">
        <v>6</v>
      </c>
      <c r="I616" s="330"/>
      <c r="J616" s="330"/>
      <c r="K616" s="386">
        <f t="shared" si="88"/>
        <v>6</v>
      </c>
      <c r="L616" s="589">
        <f t="shared" si="90"/>
        <v>1.1417697431018079E-3</v>
      </c>
      <c r="M616" s="315">
        <f t="shared" si="91"/>
        <v>2.5908239771646056</v>
      </c>
      <c r="N616" s="425">
        <f t="shared" si="86"/>
        <v>0.95264597640342552</v>
      </c>
      <c r="O616" s="498">
        <v>1.1995985554077171</v>
      </c>
      <c r="P616" s="427">
        <f t="shared" si="92"/>
        <v>0.27963082778306375</v>
      </c>
      <c r="Q616" s="426">
        <f t="shared" si="93"/>
        <v>0.34086997906755473</v>
      </c>
      <c r="R616" s="532">
        <f t="shared" si="87"/>
        <v>2.5100946210688712E-2</v>
      </c>
    </row>
    <row r="617" spans="1:18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608">
        <f t="shared" si="89"/>
        <v>79.099999999999994</v>
      </c>
      <c r="G617" s="330">
        <v>2</v>
      </c>
      <c r="H617" s="730">
        <v>2</v>
      </c>
      <c r="I617" s="330"/>
      <c r="J617" s="330"/>
      <c r="K617" s="386">
        <f t="shared" si="88"/>
        <v>2</v>
      </c>
      <c r="L617" s="589">
        <f t="shared" si="90"/>
        <v>3.8058991436726926E-4</v>
      </c>
      <c r="M617" s="315">
        <f t="shared" si="91"/>
        <v>0.86360799238820174</v>
      </c>
      <c r="N617" s="425">
        <f t="shared" si="86"/>
        <v>0.3175486588011418</v>
      </c>
      <c r="O617" s="498">
        <v>0.39986618513590572</v>
      </c>
      <c r="P617" s="427">
        <f t="shared" si="92"/>
        <v>9.3210275927687908E-2</v>
      </c>
      <c r="Q617" s="426">
        <f t="shared" si="93"/>
        <v>0.11362332635585157</v>
      </c>
      <c r="R617" s="532">
        <f t="shared" si="87"/>
        <v>2.1166031760466969E-2</v>
      </c>
    </row>
    <row r="618" spans="1:18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608">
        <f t="shared" si="89"/>
        <v>3257.2000000000003</v>
      </c>
      <c r="G618" s="330">
        <v>2</v>
      </c>
      <c r="H618" s="730">
        <v>44</v>
      </c>
      <c r="I618" s="330">
        <v>2</v>
      </c>
      <c r="J618" s="330"/>
      <c r="K618" s="386">
        <f t="shared" si="88"/>
        <v>46</v>
      </c>
      <c r="L618" s="589">
        <f t="shared" si="90"/>
        <v>8.7535680304471931E-3</v>
      </c>
      <c r="M618" s="315">
        <f t="shared" si="91"/>
        <v>19.862983824928641</v>
      </c>
      <c r="N618" s="425">
        <f t="shared" si="86"/>
        <v>7.3036191524262621</v>
      </c>
      <c r="O618" s="498">
        <v>9.1969222581258308</v>
      </c>
      <c r="P618" s="427">
        <f t="shared" si="92"/>
        <v>2.1438363463368222</v>
      </c>
      <c r="Q618" s="426">
        <f t="shared" si="93"/>
        <v>2.6133365061845866</v>
      </c>
      <c r="R618" s="532">
        <f t="shared" si="87"/>
        <v>1.3014519934371216E-2</v>
      </c>
    </row>
    <row r="619" spans="1:18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608">
        <f t="shared" si="89"/>
        <v>4789.17</v>
      </c>
      <c r="G619" s="330">
        <v>2</v>
      </c>
      <c r="H619" s="730">
        <v>80</v>
      </c>
      <c r="I619" s="330"/>
      <c r="J619" s="330"/>
      <c r="K619" s="386">
        <f t="shared" si="88"/>
        <v>80</v>
      </c>
      <c r="L619" s="589">
        <f t="shared" si="90"/>
        <v>1.522359657469077E-2</v>
      </c>
      <c r="M619" s="315">
        <f t="shared" si="91"/>
        <v>34.544319695528067</v>
      </c>
      <c r="N619" s="425">
        <f t="shared" si="86"/>
        <v>12.70194635204567</v>
      </c>
      <c r="O619" s="498">
        <v>15.994647405436229</v>
      </c>
      <c r="P619" s="427">
        <f t="shared" si="92"/>
        <v>3.7284110371075165</v>
      </c>
      <c r="Q619" s="426">
        <f t="shared" si="93"/>
        <v>4.5449330542340629</v>
      </c>
      <c r="R619" s="532">
        <f t="shared" si="87"/>
        <v>1.3983492857868375E-2</v>
      </c>
    </row>
    <row r="620" spans="1:18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608">
        <f t="shared" si="89"/>
        <v>6316.36</v>
      </c>
      <c r="G620" s="330">
        <v>6</v>
      </c>
      <c r="H620" s="730">
        <v>123</v>
      </c>
      <c r="I620" s="330">
        <v>1</v>
      </c>
      <c r="J620" s="330"/>
      <c r="K620" s="386">
        <f t="shared" si="88"/>
        <v>124</v>
      </c>
      <c r="L620" s="589">
        <f t="shared" si="90"/>
        <v>2.3596574690770693E-2</v>
      </c>
      <c r="M620" s="315">
        <f t="shared" si="91"/>
        <v>53.543695528068504</v>
      </c>
      <c r="N620" s="425">
        <f t="shared" si="86"/>
        <v>19.688016845670791</v>
      </c>
      <c r="O620" s="498">
        <v>24.791703478426154</v>
      </c>
      <c r="P620" s="427">
        <f t="shared" si="92"/>
        <v>5.7790371075166505</v>
      </c>
      <c r="Q620" s="426">
        <f t="shared" si="93"/>
        <v>7.0446462340627978</v>
      </c>
      <c r="R620" s="532">
        <f t="shared" si="87"/>
        <v>1.6478044549941284E-2</v>
      </c>
    </row>
    <row r="621" spans="1:18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608">
        <f t="shared" si="89"/>
        <v>4812.1099999999997</v>
      </c>
      <c r="G621" s="330">
        <v>2</v>
      </c>
      <c r="H621" s="730">
        <v>80</v>
      </c>
      <c r="I621" s="330"/>
      <c r="J621" s="330"/>
      <c r="K621" s="386">
        <f t="shared" si="88"/>
        <v>80</v>
      </c>
      <c r="L621" s="589">
        <f t="shared" si="90"/>
        <v>1.522359657469077E-2</v>
      </c>
      <c r="M621" s="315">
        <f t="shared" si="91"/>
        <v>34.544319695528067</v>
      </c>
      <c r="N621" s="425">
        <f t="shared" si="86"/>
        <v>12.70194635204567</v>
      </c>
      <c r="O621" s="498">
        <v>15.994647405436229</v>
      </c>
      <c r="P621" s="427">
        <f t="shared" si="92"/>
        <v>3.7284110371075165</v>
      </c>
      <c r="Q621" s="426">
        <f t="shared" si="93"/>
        <v>4.5449330542340629</v>
      </c>
      <c r="R621" s="532">
        <f t="shared" si="87"/>
        <v>1.3916831595727756E-2</v>
      </c>
    </row>
    <row r="622" spans="1:18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608">
        <f t="shared" si="89"/>
        <v>11145.01</v>
      </c>
      <c r="G622" s="330">
        <v>44</v>
      </c>
      <c r="H622" s="730">
        <v>232</v>
      </c>
      <c r="I622" s="330"/>
      <c r="J622" s="330"/>
      <c r="K622" s="386">
        <f t="shared" si="88"/>
        <v>232</v>
      </c>
      <c r="L622" s="589">
        <f t="shared" si="90"/>
        <v>4.4148430066603232E-2</v>
      </c>
      <c r="M622" s="315">
        <f t="shared" si="91"/>
        <v>100.17852711703139</v>
      </c>
      <c r="N622" s="425">
        <f t="shared" si="86"/>
        <v>36.835644420932447</v>
      </c>
      <c r="O622" s="498">
        <v>46.384477475765067</v>
      </c>
      <c r="P622" s="427">
        <f t="shared" si="92"/>
        <v>10.812392007611798</v>
      </c>
      <c r="Q622" s="426">
        <f t="shared" si="93"/>
        <v>13.180305857278784</v>
      </c>
      <c r="R622" s="532">
        <f t="shared" si="87"/>
        <v>1.742582922952431E-2</v>
      </c>
    </row>
    <row r="623" spans="1:18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608">
        <f t="shared" si="89"/>
        <v>74.5</v>
      </c>
      <c r="G623" s="330">
        <v>80</v>
      </c>
      <c r="H623" s="730">
        <v>2</v>
      </c>
      <c r="I623" s="330"/>
      <c r="J623" s="330"/>
      <c r="K623" s="386">
        <f t="shared" si="88"/>
        <v>2</v>
      </c>
      <c r="L623" s="589">
        <f t="shared" si="90"/>
        <v>3.8058991436726926E-4</v>
      </c>
      <c r="M623" s="315">
        <f t="shared" si="91"/>
        <v>0.86360799238820174</v>
      </c>
      <c r="N623" s="425">
        <f t="shared" si="86"/>
        <v>0.3175486588011418</v>
      </c>
      <c r="O623" s="498">
        <v>0.39986618513590572</v>
      </c>
      <c r="P623" s="427">
        <f t="shared" si="92"/>
        <v>9.3210275927687908E-2</v>
      </c>
      <c r="Q623" s="426">
        <f t="shared" si="93"/>
        <v>0.11362332635585157</v>
      </c>
      <c r="R623" s="532">
        <f t="shared" si="87"/>
        <v>2.2472927681247475E-2</v>
      </c>
    </row>
    <row r="624" spans="1:18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608">
        <f t="shared" si="89"/>
        <v>227.9</v>
      </c>
      <c r="G624" s="330">
        <v>123</v>
      </c>
      <c r="H624" s="730">
        <v>6</v>
      </c>
      <c r="I624" s="330"/>
      <c r="J624" s="330"/>
      <c r="K624" s="386">
        <f t="shared" si="88"/>
        <v>6</v>
      </c>
      <c r="L624" s="589">
        <f t="shared" si="90"/>
        <v>1.1417697431018079E-3</v>
      </c>
      <c r="M624" s="315">
        <f t="shared" si="91"/>
        <v>2.5908239771646056</v>
      </c>
      <c r="N624" s="425">
        <f t="shared" si="86"/>
        <v>0.95264597640342552</v>
      </c>
      <c r="O624" s="498">
        <v>1.1995985554077171</v>
      </c>
      <c r="P624" s="427">
        <f t="shared" si="92"/>
        <v>0.27963082778306375</v>
      </c>
      <c r="Q624" s="426">
        <f t="shared" si="93"/>
        <v>0.34086997906755473</v>
      </c>
      <c r="R624" s="532">
        <f t="shared" si="87"/>
        <v>2.2039049305655162E-2</v>
      </c>
    </row>
    <row r="625" spans="1:18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608">
        <f t="shared" si="89"/>
        <v>374.6</v>
      </c>
      <c r="G625" s="330">
        <v>80</v>
      </c>
      <c r="H625" s="730">
        <v>8</v>
      </c>
      <c r="I625" s="330"/>
      <c r="J625" s="330"/>
      <c r="K625" s="386">
        <f t="shared" si="88"/>
        <v>8</v>
      </c>
      <c r="L625" s="589">
        <f t="shared" si="90"/>
        <v>1.522359657469077E-3</v>
      </c>
      <c r="M625" s="315">
        <f t="shared" si="91"/>
        <v>3.454431969552807</v>
      </c>
      <c r="N625" s="425">
        <f t="shared" si="86"/>
        <v>1.2701946352045672</v>
      </c>
      <c r="O625" s="498">
        <v>1.5994647405436229</v>
      </c>
      <c r="P625" s="427">
        <f t="shared" si="92"/>
        <v>0.37284110371075163</v>
      </c>
      <c r="Q625" s="426">
        <f t="shared" si="93"/>
        <v>0.45449330542340627</v>
      </c>
      <c r="R625" s="532">
        <f t="shared" si="87"/>
        <v>1.7877555923683255E-2</v>
      </c>
    </row>
    <row r="626" spans="1:18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608">
        <f t="shared" si="89"/>
        <v>738.4</v>
      </c>
      <c r="G626" s="330">
        <v>232</v>
      </c>
      <c r="H626" s="730">
        <v>20</v>
      </c>
      <c r="I626" s="330"/>
      <c r="J626" s="330">
        <v>1</v>
      </c>
      <c r="K626" s="386">
        <f t="shared" si="88"/>
        <v>21</v>
      </c>
      <c r="L626" s="589">
        <f t="shared" si="90"/>
        <v>3.9961941008563274E-3</v>
      </c>
      <c r="M626" s="315">
        <f t="shared" si="91"/>
        <v>9.0678839200761185</v>
      </c>
      <c r="N626" s="425">
        <f t="shared" si="86"/>
        <v>3.334260917411989</v>
      </c>
      <c r="O626" s="498">
        <v>4.1985949439270103</v>
      </c>
      <c r="P626" s="427">
        <f t="shared" si="92"/>
        <v>0.97870789724072316</v>
      </c>
      <c r="Q626" s="426">
        <f t="shared" si="93"/>
        <v>1.1930449267364416</v>
      </c>
      <c r="R626" s="532">
        <f t="shared" si="87"/>
        <v>2.4833235878875325E-2</v>
      </c>
    </row>
    <row r="627" spans="1:18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608">
        <f t="shared" si="89"/>
        <v>442.3</v>
      </c>
      <c r="G627" s="330">
        <v>2</v>
      </c>
      <c r="H627" s="730">
        <v>11</v>
      </c>
      <c r="I627" s="330"/>
      <c r="J627" s="330">
        <v>1</v>
      </c>
      <c r="K627" s="386">
        <f t="shared" si="88"/>
        <v>12</v>
      </c>
      <c r="L627" s="589">
        <f t="shared" si="90"/>
        <v>2.2835394862036158E-3</v>
      </c>
      <c r="M627" s="315">
        <f t="shared" si="91"/>
        <v>5.1816479543292111</v>
      </c>
      <c r="N627" s="425">
        <f t="shared" si="86"/>
        <v>1.905291952806851</v>
      </c>
      <c r="O627" s="498">
        <v>2.3991971108154342</v>
      </c>
      <c r="P627" s="427">
        <f t="shared" si="92"/>
        <v>0.5592616555661275</v>
      </c>
      <c r="Q627" s="426">
        <f t="shared" si="93"/>
        <v>0.68173995813510946</v>
      </c>
      <c r="R627" s="532">
        <f t="shared" si="87"/>
        <v>3.0302861760234157E-2</v>
      </c>
    </row>
    <row r="628" spans="1:18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608">
        <f t="shared" si="89"/>
        <v>1043.4000000000001</v>
      </c>
      <c r="G628" s="330">
        <v>6</v>
      </c>
      <c r="H628" s="730">
        <v>21</v>
      </c>
      <c r="I628" s="330"/>
      <c r="J628" s="330">
        <v>2</v>
      </c>
      <c r="K628" s="386">
        <f t="shared" si="88"/>
        <v>23</v>
      </c>
      <c r="L628" s="589">
        <f t="shared" si="90"/>
        <v>4.3767840152235966E-3</v>
      </c>
      <c r="M628" s="315">
        <f t="shared" si="91"/>
        <v>9.9314919124643204</v>
      </c>
      <c r="N628" s="425">
        <f t="shared" si="86"/>
        <v>3.6518095762131311</v>
      </c>
      <c r="O628" s="498">
        <v>4.5984611290629154</v>
      </c>
      <c r="P628" s="427">
        <f t="shared" si="92"/>
        <v>1.0719181731684111</v>
      </c>
      <c r="Q628" s="426">
        <f t="shared" si="93"/>
        <v>1.3066682530922933</v>
      </c>
      <c r="R628" s="532">
        <f t="shared" si="87"/>
        <v>2.050445238648432E-2</v>
      </c>
    </row>
    <row r="629" spans="1:18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608">
        <f t="shared" si="89"/>
        <v>473.6</v>
      </c>
      <c r="G629" s="330">
        <v>8</v>
      </c>
      <c r="H629" s="730">
        <v>12</v>
      </c>
      <c r="I629" s="330"/>
      <c r="J629" s="330">
        <v>1</v>
      </c>
      <c r="K629" s="386">
        <f t="shared" si="88"/>
        <v>13</v>
      </c>
      <c r="L629" s="589">
        <f t="shared" si="90"/>
        <v>2.4738344433872504E-3</v>
      </c>
      <c r="M629" s="315">
        <f t="shared" si="91"/>
        <v>5.613451950523312</v>
      </c>
      <c r="N629" s="425">
        <f t="shared" si="86"/>
        <v>2.0640662822074218</v>
      </c>
      <c r="O629" s="498">
        <v>2.5991302033833872</v>
      </c>
      <c r="P629" s="427">
        <f t="shared" si="92"/>
        <v>0.60586679352997153</v>
      </c>
      <c r="Q629" s="426">
        <f t="shared" si="93"/>
        <v>0.73855162131303531</v>
      </c>
      <c r="R629" s="532">
        <f t="shared" si="87"/>
        <v>2.5057598963030375E-2</v>
      </c>
    </row>
    <row r="630" spans="1:18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608">
        <f t="shared" si="89"/>
        <v>345.2</v>
      </c>
      <c r="G630" s="330">
        <v>20</v>
      </c>
      <c r="H630" s="730">
        <v>9</v>
      </c>
      <c r="I630" s="330"/>
      <c r="J630" s="330"/>
      <c r="K630" s="386">
        <f t="shared" si="88"/>
        <v>9</v>
      </c>
      <c r="L630" s="589">
        <f t="shared" si="90"/>
        <v>1.7126546146527116E-3</v>
      </c>
      <c r="M630" s="315">
        <f t="shared" si="91"/>
        <v>3.8862359657469079</v>
      </c>
      <c r="N630" s="425">
        <f t="shared" si="86"/>
        <v>1.4289689646051382</v>
      </c>
      <c r="O630" s="498">
        <v>1.7993978331115759</v>
      </c>
      <c r="P630" s="427">
        <f t="shared" si="92"/>
        <v>0.4194462416745956</v>
      </c>
      <c r="Q630" s="426">
        <f t="shared" si="93"/>
        <v>0.51130496860133212</v>
      </c>
      <c r="R630" s="532">
        <f t="shared" si="87"/>
        <v>2.1825170930296112E-2</v>
      </c>
    </row>
    <row r="631" spans="1:18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608">
        <f t="shared" si="89"/>
        <v>864.9</v>
      </c>
      <c r="G631" s="330">
        <v>11</v>
      </c>
      <c r="H631" s="730">
        <v>21</v>
      </c>
      <c r="I631" s="330"/>
      <c r="J631" s="330"/>
      <c r="K631" s="386">
        <f t="shared" si="88"/>
        <v>21</v>
      </c>
      <c r="L631" s="589">
        <f t="shared" si="90"/>
        <v>3.9961941008563274E-3</v>
      </c>
      <c r="M631" s="315">
        <f t="shared" si="91"/>
        <v>9.0678839200761185</v>
      </c>
      <c r="N631" s="425">
        <f t="shared" si="86"/>
        <v>3.334260917411989</v>
      </c>
      <c r="O631" s="498">
        <v>4.1985949439270103</v>
      </c>
      <c r="P631" s="427">
        <f t="shared" si="92"/>
        <v>0.97870789724072316</v>
      </c>
      <c r="Q631" s="426">
        <f t="shared" si="93"/>
        <v>1.1930449267364416</v>
      </c>
      <c r="R631" s="532">
        <f t="shared" si="87"/>
        <v>2.0325410658637813E-2</v>
      </c>
    </row>
    <row r="632" spans="1:18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608">
        <f t="shared" si="89"/>
        <v>1116.9000000000001</v>
      </c>
      <c r="G632" s="330">
        <v>21</v>
      </c>
      <c r="H632" s="730">
        <v>32</v>
      </c>
      <c r="I632" s="330"/>
      <c r="J632" s="330"/>
      <c r="K632" s="386">
        <f t="shared" si="88"/>
        <v>32</v>
      </c>
      <c r="L632" s="589">
        <f t="shared" si="90"/>
        <v>6.0894386298763082E-3</v>
      </c>
      <c r="M632" s="315">
        <f t="shared" si="91"/>
        <v>13.817727878211228</v>
      </c>
      <c r="N632" s="425">
        <f t="shared" si="86"/>
        <v>5.0807785408182689</v>
      </c>
      <c r="O632" s="498">
        <v>6.3978589621744915</v>
      </c>
      <c r="P632" s="427">
        <f t="shared" si="92"/>
        <v>1.4913644148430065</v>
      </c>
      <c r="Q632" s="426">
        <f t="shared" si="93"/>
        <v>1.8179732216936251</v>
      </c>
      <c r="R632" s="532">
        <f t="shared" si="87"/>
        <v>2.3984000175527792E-2</v>
      </c>
    </row>
    <row r="633" spans="1:18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608">
        <f t="shared" si="89"/>
        <v>506.2</v>
      </c>
      <c r="G633" s="330">
        <v>12</v>
      </c>
      <c r="H633" s="730">
        <v>15</v>
      </c>
      <c r="I633" s="330"/>
      <c r="J633" s="330">
        <v>1</v>
      </c>
      <c r="K633" s="386">
        <f t="shared" si="88"/>
        <v>16</v>
      </c>
      <c r="L633" s="589">
        <f t="shared" si="90"/>
        <v>3.0447193149381541E-3</v>
      </c>
      <c r="M633" s="315">
        <f t="shared" si="91"/>
        <v>6.9088639391056139</v>
      </c>
      <c r="N633" s="425">
        <f t="shared" si="86"/>
        <v>2.5403892704091344</v>
      </c>
      <c r="O633" s="498">
        <v>3.1989294810872457</v>
      </c>
      <c r="P633" s="427">
        <f t="shared" si="92"/>
        <v>0.74568220742150326</v>
      </c>
      <c r="Q633" s="426">
        <f t="shared" si="93"/>
        <v>0.90898661084681254</v>
      </c>
      <c r="R633" s="532">
        <f t="shared" si="87"/>
        <v>2.8316839107872086E-2</v>
      </c>
    </row>
    <row r="634" spans="1:18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608">
        <f t="shared" si="89"/>
        <v>369.5</v>
      </c>
      <c r="G634" s="330">
        <v>9</v>
      </c>
      <c r="H634" s="730">
        <v>7</v>
      </c>
      <c r="I634" s="330"/>
      <c r="J634" s="330"/>
      <c r="K634" s="386">
        <f t="shared" si="88"/>
        <v>7</v>
      </c>
      <c r="L634" s="589">
        <f t="shared" si="90"/>
        <v>1.3320647002854425E-3</v>
      </c>
      <c r="M634" s="315">
        <f t="shared" si="91"/>
        <v>3.022627973358706</v>
      </c>
      <c r="N634" s="425">
        <f t="shared" si="86"/>
        <v>1.1114203058039962</v>
      </c>
      <c r="O634" s="498">
        <v>1.3995316479756699</v>
      </c>
      <c r="P634" s="427">
        <f t="shared" si="92"/>
        <v>0.32623596574690772</v>
      </c>
      <c r="Q634" s="426">
        <f t="shared" si="93"/>
        <v>0.39768164224548053</v>
      </c>
      <c r="R634" s="532">
        <f t="shared" si="87"/>
        <v>1.5858771022693584E-2</v>
      </c>
    </row>
    <row r="635" spans="1:18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608">
        <f t="shared" si="89"/>
        <v>510.1</v>
      </c>
      <c r="G635" s="330">
        <v>21</v>
      </c>
      <c r="H635" s="730">
        <v>14</v>
      </c>
      <c r="I635" s="330"/>
      <c r="J635" s="330"/>
      <c r="K635" s="386">
        <f t="shared" si="88"/>
        <v>14</v>
      </c>
      <c r="L635" s="589">
        <f t="shared" si="90"/>
        <v>2.6641294005708849E-3</v>
      </c>
      <c r="M635" s="315">
        <f t="shared" si="91"/>
        <v>6.0452559467174121</v>
      </c>
      <c r="N635" s="425">
        <f t="shared" si="86"/>
        <v>2.2228406116079924</v>
      </c>
      <c r="O635" s="498">
        <v>2.7990632959513397</v>
      </c>
      <c r="P635" s="427">
        <f t="shared" si="92"/>
        <v>0.65247193149381544</v>
      </c>
      <c r="Q635" s="426">
        <f t="shared" si="93"/>
        <v>0.79536328449096105</v>
      </c>
      <c r="R635" s="532">
        <f t="shared" si="87"/>
        <v>2.2975165233817995E-2</v>
      </c>
    </row>
    <row r="636" spans="1:18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608">
        <f t="shared" si="89"/>
        <v>312</v>
      </c>
      <c r="G636" s="330">
        <v>32</v>
      </c>
      <c r="H636" s="730">
        <v>6</v>
      </c>
      <c r="I636" s="330"/>
      <c r="J636" s="330"/>
      <c r="K636" s="386">
        <f t="shared" si="88"/>
        <v>6</v>
      </c>
      <c r="L636" s="589">
        <f t="shared" si="90"/>
        <v>1.1417697431018079E-3</v>
      </c>
      <c r="M636" s="315">
        <f t="shared" si="91"/>
        <v>2.5908239771646056</v>
      </c>
      <c r="N636" s="425">
        <f t="shared" si="86"/>
        <v>0.95264597640342552</v>
      </c>
      <c r="O636" s="498">
        <v>1.1995985554077171</v>
      </c>
      <c r="P636" s="427">
        <f t="shared" si="92"/>
        <v>0.27963082778306375</v>
      </c>
      <c r="Q636" s="426">
        <f t="shared" si="93"/>
        <v>0.34086997906755473</v>
      </c>
      <c r="R636" s="532">
        <f t="shared" si="87"/>
        <v>1.6098395310124396E-2</v>
      </c>
    </row>
    <row r="637" spans="1:18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608">
        <f t="shared" si="89"/>
        <v>488.2</v>
      </c>
      <c r="G637" s="330">
        <v>15</v>
      </c>
      <c r="H637" s="730">
        <v>11</v>
      </c>
      <c r="I637" s="330"/>
      <c r="J637" s="330"/>
      <c r="K637" s="386">
        <f t="shared" si="88"/>
        <v>11</v>
      </c>
      <c r="L637" s="589">
        <f t="shared" si="90"/>
        <v>2.0932445290199808E-3</v>
      </c>
      <c r="M637" s="315">
        <f t="shared" si="91"/>
        <v>4.7498439581351093</v>
      </c>
      <c r="N637" s="425">
        <f t="shared" si="86"/>
        <v>1.7465176234062798</v>
      </c>
      <c r="O637" s="498">
        <v>2.1992640182474816</v>
      </c>
      <c r="P637" s="427">
        <f t="shared" si="92"/>
        <v>0.51265651760228348</v>
      </c>
      <c r="Q637" s="426">
        <f t="shared" si="93"/>
        <v>0.62492829495718361</v>
      </c>
      <c r="R637" s="532">
        <f t="shared" si="87"/>
        <v>1.8861700363357544E-2</v>
      </c>
    </row>
    <row r="638" spans="1:18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608">
        <f t="shared" si="89"/>
        <v>223.7</v>
      </c>
      <c r="G638" s="330">
        <v>7</v>
      </c>
      <c r="H638" s="730">
        <v>6</v>
      </c>
      <c r="I638" s="330"/>
      <c r="J638" s="330"/>
      <c r="K638" s="386">
        <f t="shared" si="88"/>
        <v>6</v>
      </c>
      <c r="L638" s="589">
        <f t="shared" si="90"/>
        <v>1.1417697431018079E-3</v>
      </c>
      <c r="M638" s="315">
        <f t="shared" si="91"/>
        <v>2.5908239771646056</v>
      </c>
      <c r="N638" s="425">
        <f t="shared" si="86"/>
        <v>0.95264597640342552</v>
      </c>
      <c r="O638" s="498">
        <v>1.1995985554077171</v>
      </c>
      <c r="P638" s="427">
        <f t="shared" si="92"/>
        <v>0.27963082778306375</v>
      </c>
      <c r="Q638" s="426">
        <f t="shared" si="93"/>
        <v>0.34086997906755473</v>
      </c>
      <c r="R638" s="532">
        <f t="shared" si="87"/>
        <v>2.2452835658287044E-2</v>
      </c>
    </row>
    <row r="639" spans="1:18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608">
        <f t="shared" si="89"/>
        <v>388.5</v>
      </c>
      <c r="G639" s="330">
        <v>14</v>
      </c>
      <c r="H639" s="730">
        <v>10</v>
      </c>
      <c r="I639" s="330"/>
      <c r="J639" s="330"/>
      <c r="K639" s="386">
        <f t="shared" si="88"/>
        <v>10</v>
      </c>
      <c r="L639" s="589">
        <f t="shared" si="90"/>
        <v>1.9029495718363462E-3</v>
      </c>
      <c r="M639" s="315">
        <f t="shared" si="91"/>
        <v>4.3180399619410084</v>
      </c>
      <c r="N639" s="425">
        <f t="shared" si="86"/>
        <v>1.5877432940057088</v>
      </c>
      <c r="O639" s="498">
        <v>1.9993309256795286</v>
      </c>
      <c r="P639" s="427">
        <f t="shared" si="92"/>
        <v>0.46605137963843957</v>
      </c>
      <c r="Q639" s="426">
        <f t="shared" si="93"/>
        <v>0.56811663177925786</v>
      </c>
      <c r="R639" s="532">
        <f t="shared" si="87"/>
        <v>2.1547401702097003E-2</v>
      </c>
    </row>
    <row r="640" spans="1:18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608">
        <f t="shared" si="89"/>
        <v>528.32000000000005</v>
      </c>
      <c r="G640" s="330">
        <v>6</v>
      </c>
      <c r="H640" s="730">
        <v>10</v>
      </c>
      <c r="I640" s="330"/>
      <c r="J640" s="330"/>
      <c r="K640" s="386">
        <f t="shared" si="88"/>
        <v>10</v>
      </c>
      <c r="L640" s="589">
        <f t="shared" si="90"/>
        <v>1.9029495718363462E-3</v>
      </c>
      <c r="M640" s="315">
        <f t="shared" si="91"/>
        <v>4.3180399619410084</v>
      </c>
      <c r="N640" s="425">
        <f t="shared" si="86"/>
        <v>1.5877432940057088</v>
      </c>
      <c r="O640" s="498">
        <v>1.9993309256795286</v>
      </c>
      <c r="P640" s="427">
        <f t="shared" si="92"/>
        <v>0.46605137963843957</v>
      </c>
      <c r="Q640" s="426">
        <f t="shared" si="93"/>
        <v>0.56811663177925786</v>
      </c>
      <c r="R640" s="532">
        <f t="shared" si="87"/>
        <v>1.5844877273744482E-2</v>
      </c>
    </row>
    <row r="641" spans="1:18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608">
        <f t="shared" si="89"/>
        <v>262.17</v>
      </c>
      <c r="G641" s="330">
        <v>11</v>
      </c>
      <c r="H641" s="730">
        <v>5</v>
      </c>
      <c r="I641" s="330"/>
      <c r="J641" s="330"/>
      <c r="K641" s="386">
        <f t="shared" si="88"/>
        <v>5</v>
      </c>
      <c r="L641" s="589">
        <f t="shared" si="90"/>
        <v>9.514747859181731E-4</v>
      </c>
      <c r="M641" s="315">
        <f t="shared" si="91"/>
        <v>2.1590199809705042</v>
      </c>
      <c r="N641" s="425">
        <f t="shared" si="86"/>
        <v>0.7938716470028544</v>
      </c>
      <c r="O641" s="498">
        <v>0.99966546283976432</v>
      </c>
      <c r="P641" s="427">
        <f t="shared" si="92"/>
        <v>0.23302568981921978</v>
      </c>
      <c r="Q641" s="426">
        <f t="shared" si="93"/>
        <v>0.28405831588962893</v>
      </c>
      <c r="R641" s="532">
        <f t="shared" si="87"/>
        <v>1.5965147730985021E-2</v>
      </c>
    </row>
    <row r="642" spans="1:18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608">
        <f t="shared" si="89"/>
        <v>513.29999999999995</v>
      </c>
      <c r="G642" s="330">
        <v>6</v>
      </c>
      <c r="H642" s="730">
        <v>12</v>
      </c>
      <c r="I642" s="330"/>
      <c r="J642" s="330"/>
      <c r="K642" s="386">
        <f t="shared" si="88"/>
        <v>12</v>
      </c>
      <c r="L642" s="589">
        <f t="shared" si="90"/>
        <v>2.2835394862036158E-3</v>
      </c>
      <c r="M642" s="315">
        <f t="shared" si="91"/>
        <v>5.1816479543292111</v>
      </c>
      <c r="N642" s="425">
        <f t="shared" si="86"/>
        <v>1.905291952806851</v>
      </c>
      <c r="O642" s="498">
        <v>2.3991971108154342</v>
      </c>
      <c r="P642" s="427">
        <f t="shared" si="92"/>
        <v>0.5592616555661275</v>
      </c>
      <c r="Q642" s="426">
        <f t="shared" si="93"/>
        <v>0.68173995813510946</v>
      </c>
      <c r="R642" s="532">
        <f t="shared" si="87"/>
        <v>1.9570229249011539E-2</v>
      </c>
    </row>
    <row r="643" spans="1:18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608">
        <f t="shared" si="89"/>
        <v>577.70000000000005</v>
      </c>
      <c r="G643" s="330">
        <v>10</v>
      </c>
      <c r="H643" s="730">
        <v>13</v>
      </c>
      <c r="I643" s="330"/>
      <c r="J643" s="330"/>
      <c r="K643" s="386">
        <f t="shared" si="88"/>
        <v>13</v>
      </c>
      <c r="L643" s="589">
        <f t="shared" si="90"/>
        <v>2.4738344433872504E-3</v>
      </c>
      <c r="M643" s="315">
        <f t="shared" si="91"/>
        <v>5.613451950523312</v>
      </c>
      <c r="N643" s="425">
        <f t="shared" ref="N643:N702" si="94">M643*0.3677</f>
        <v>2.0640662822074218</v>
      </c>
      <c r="O643" s="498">
        <v>2.5991302033833872</v>
      </c>
      <c r="P643" s="427">
        <f t="shared" si="92"/>
        <v>0.60586679352997153</v>
      </c>
      <c r="Q643" s="426">
        <f t="shared" si="93"/>
        <v>0.73855162131303531</v>
      </c>
      <c r="R643" s="532">
        <f t="shared" si="87"/>
        <v>1.8837658351469777E-2</v>
      </c>
    </row>
    <row r="644" spans="1:18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608">
        <f t="shared" si="89"/>
        <v>432.4</v>
      </c>
      <c r="G644" s="330">
        <v>10</v>
      </c>
      <c r="H644" s="730">
        <v>11</v>
      </c>
      <c r="I644" s="330"/>
      <c r="J644" s="330"/>
      <c r="K644" s="386">
        <f t="shared" si="88"/>
        <v>11</v>
      </c>
      <c r="L644" s="589">
        <f t="shared" si="90"/>
        <v>2.0932445290199808E-3</v>
      </c>
      <c r="M644" s="315">
        <f t="shared" si="91"/>
        <v>4.7498439581351093</v>
      </c>
      <c r="N644" s="425">
        <f t="shared" si="94"/>
        <v>1.7465176234062798</v>
      </c>
      <c r="O644" s="498">
        <v>2.1992640182474816</v>
      </c>
      <c r="P644" s="427">
        <f t="shared" si="92"/>
        <v>0.51265651760228348</v>
      </c>
      <c r="Q644" s="426">
        <f t="shared" si="93"/>
        <v>0.62492829495718361</v>
      </c>
      <c r="R644" s="532">
        <f t="shared" si="87"/>
        <v>2.1295749577685371E-2</v>
      </c>
    </row>
    <row r="645" spans="1:18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608">
        <f t="shared" si="89"/>
        <v>488.9</v>
      </c>
      <c r="G645" s="330">
        <v>5</v>
      </c>
      <c r="H645" s="730">
        <v>9</v>
      </c>
      <c r="I645" s="330"/>
      <c r="J645" s="330"/>
      <c r="K645" s="386">
        <f t="shared" si="88"/>
        <v>9</v>
      </c>
      <c r="L645" s="589">
        <f t="shared" si="90"/>
        <v>1.7126546146527116E-3</v>
      </c>
      <c r="M645" s="315">
        <f t="shared" si="91"/>
        <v>3.8862359657469079</v>
      </c>
      <c r="N645" s="425">
        <f t="shared" si="94"/>
        <v>1.4289689646051382</v>
      </c>
      <c r="O645" s="498">
        <v>1.7993978331115759</v>
      </c>
      <c r="P645" s="427">
        <f t="shared" si="92"/>
        <v>0.4194462416745956</v>
      </c>
      <c r="Q645" s="426">
        <f t="shared" si="93"/>
        <v>0.51130496860133212</v>
      </c>
      <c r="R645" s="532">
        <f t="shared" si="87"/>
        <v>1.5410204551315643E-2</v>
      </c>
    </row>
    <row r="646" spans="1:18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608">
        <f t="shared" si="89"/>
        <v>540.1</v>
      </c>
      <c r="G646" s="330">
        <v>12</v>
      </c>
      <c r="H646" s="730">
        <v>13</v>
      </c>
      <c r="I646" s="330"/>
      <c r="J646" s="330"/>
      <c r="K646" s="386">
        <f t="shared" si="88"/>
        <v>13</v>
      </c>
      <c r="L646" s="589">
        <f t="shared" si="90"/>
        <v>2.4738344433872504E-3</v>
      </c>
      <c r="M646" s="315">
        <f t="shared" si="91"/>
        <v>5.613451950523312</v>
      </c>
      <c r="N646" s="425">
        <f t="shared" si="94"/>
        <v>2.0640662822074218</v>
      </c>
      <c r="O646" s="498">
        <v>2.5991302033833872</v>
      </c>
      <c r="P646" s="427">
        <f t="shared" si="92"/>
        <v>0.60586679352997153</v>
      </c>
      <c r="Q646" s="426">
        <f t="shared" si="93"/>
        <v>0.73855162131303531</v>
      </c>
      <c r="R646" s="532">
        <f t="shared" si="87"/>
        <v>2.0149074670698187E-2</v>
      </c>
    </row>
    <row r="647" spans="1:18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608">
        <f t="shared" si="89"/>
        <v>236.8</v>
      </c>
      <c r="G647" s="330">
        <v>13</v>
      </c>
      <c r="H647" s="730">
        <v>7</v>
      </c>
      <c r="I647" s="330"/>
      <c r="J647" s="330"/>
      <c r="K647" s="386">
        <f t="shared" si="88"/>
        <v>7</v>
      </c>
      <c r="L647" s="589">
        <f t="shared" si="90"/>
        <v>1.3320647002854425E-3</v>
      </c>
      <c r="M647" s="315">
        <f t="shared" si="91"/>
        <v>3.022627973358706</v>
      </c>
      <c r="N647" s="425">
        <f t="shared" si="94"/>
        <v>1.1114203058039962</v>
      </c>
      <c r="O647" s="498">
        <v>1.3995316479756699</v>
      </c>
      <c r="P647" s="427">
        <f t="shared" si="92"/>
        <v>0.32623596574690772</v>
      </c>
      <c r="Q647" s="426">
        <f t="shared" si="93"/>
        <v>0.39768164224548053</v>
      </c>
      <c r="R647" s="532">
        <f t="shared" si="87"/>
        <v>2.4745844142252026E-2</v>
      </c>
    </row>
    <row r="648" spans="1:18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608">
        <f t="shared" si="89"/>
        <v>375.5</v>
      </c>
      <c r="G648" s="330">
        <v>11</v>
      </c>
      <c r="H648" s="730">
        <v>9</v>
      </c>
      <c r="I648" s="330"/>
      <c r="J648" s="330"/>
      <c r="K648" s="386">
        <f t="shared" si="88"/>
        <v>9</v>
      </c>
      <c r="L648" s="589">
        <f t="shared" si="90"/>
        <v>1.7126546146527116E-3</v>
      </c>
      <c r="M648" s="315">
        <f t="shared" si="91"/>
        <v>3.8862359657469079</v>
      </c>
      <c r="N648" s="425">
        <f t="shared" si="94"/>
        <v>1.4289689646051382</v>
      </c>
      <c r="O648" s="498">
        <v>1.7993978331115759</v>
      </c>
      <c r="P648" s="427">
        <f t="shared" si="92"/>
        <v>0.4194462416745956</v>
      </c>
      <c r="Q648" s="426">
        <f t="shared" si="93"/>
        <v>0.51130496860133212</v>
      </c>
      <c r="R648" s="532">
        <f t="shared" si="87"/>
        <v>2.0064045286653041E-2</v>
      </c>
    </row>
    <row r="649" spans="1:18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608">
        <f t="shared" si="89"/>
        <v>618.54</v>
      </c>
      <c r="G649" s="330">
        <v>9</v>
      </c>
      <c r="H649" s="730">
        <v>13</v>
      </c>
      <c r="I649" s="330"/>
      <c r="J649" s="330">
        <v>1</v>
      </c>
      <c r="K649" s="386">
        <f t="shared" si="88"/>
        <v>14</v>
      </c>
      <c r="L649" s="589">
        <f t="shared" si="90"/>
        <v>2.6641294005708849E-3</v>
      </c>
      <c r="M649" s="315">
        <f t="shared" si="91"/>
        <v>6.0452559467174121</v>
      </c>
      <c r="N649" s="425">
        <f t="shared" si="94"/>
        <v>2.2228406116079924</v>
      </c>
      <c r="O649" s="498">
        <v>2.7990632959513397</v>
      </c>
      <c r="P649" s="427">
        <f t="shared" si="92"/>
        <v>0.65247193149381544</v>
      </c>
      <c r="Q649" s="426">
        <f t="shared" si="93"/>
        <v>0.79536328449096105</v>
      </c>
      <c r="R649" s="532">
        <f t="shared" si="87"/>
        <v>2.1206629606562246E-2</v>
      </c>
    </row>
    <row r="650" spans="1:18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608">
        <f t="shared" si="89"/>
        <v>473.5</v>
      </c>
      <c r="G650" s="330">
        <v>13</v>
      </c>
      <c r="H650" s="730">
        <v>12</v>
      </c>
      <c r="I650" s="330"/>
      <c r="J650" s="330"/>
      <c r="K650" s="386">
        <f t="shared" si="88"/>
        <v>12</v>
      </c>
      <c r="L650" s="589">
        <f t="shared" si="90"/>
        <v>2.2835394862036158E-3</v>
      </c>
      <c r="M650" s="315">
        <f t="shared" si="91"/>
        <v>5.1816479543292111</v>
      </c>
      <c r="N650" s="425">
        <f t="shared" si="94"/>
        <v>1.905291952806851</v>
      </c>
      <c r="O650" s="498">
        <v>2.3991971108154342</v>
      </c>
      <c r="P650" s="427">
        <f t="shared" si="92"/>
        <v>0.5592616555661275</v>
      </c>
      <c r="Q650" s="426">
        <f t="shared" si="93"/>
        <v>0.68173995813510946</v>
      </c>
      <c r="R650" s="532">
        <f t="shared" ref="R650:R713" si="95">(M650+N650+O650+P650)/C650</f>
        <v>2.1215203111969637E-2</v>
      </c>
    </row>
    <row r="651" spans="1:18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608">
        <f t="shared" si="89"/>
        <v>281.8</v>
      </c>
      <c r="G651" s="330">
        <v>7</v>
      </c>
      <c r="H651" s="730">
        <v>8</v>
      </c>
      <c r="I651" s="330"/>
      <c r="J651" s="330"/>
      <c r="K651" s="386">
        <f t="shared" ref="K651:K713" si="96">H651+I651+J651</f>
        <v>8</v>
      </c>
      <c r="L651" s="589">
        <f t="shared" si="90"/>
        <v>1.522359657469077E-3</v>
      </c>
      <c r="M651" s="315">
        <f t="shared" si="91"/>
        <v>3.454431969552807</v>
      </c>
      <c r="N651" s="425">
        <f t="shared" si="94"/>
        <v>1.2701946352045672</v>
      </c>
      <c r="O651" s="498">
        <v>1.5994647405436229</v>
      </c>
      <c r="P651" s="427">
        <f t="shared" si="92"/>
        <v>0.37284110371075163</v>
      </c>
      <c r="Q651" s="426">
        <f t="shared" si="93"/>
        <v>0.45449330542340627</v>
      </c>
      <c r="R651" s="532">
        <f t="shared" si="95"/>
        <v>2.3764841905648502E-2</v>
      </c>
    </row>
    <row r="652" spans="1:18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608">
        <f t="shared" ref="F652:F714" si="97">C652+D652+E652</f>
        <v>295.89999999999998</v>
      </c>
      <c r="G652" s="330">
        <v>9</v>
      </c>
      <c r="H652" s="730">
        <v>8</v>
      </c>
      <c r="I652" s="330"/>
      <c r="J652" s="330"/>
      <c r="K652" s="386">
        <f t="shared" si="96"/>
        <v>8</v>
      </c>
      <c r="L652" s="589">
        <f t="shared" si="90"/>
        <v>1.522359657469077E-3</v>
      </c>
      <c r="M652" s="315">
        <f t="shared" si="91"/>
        <v>3.454431969552807</v>
      </c>
      <c r="N652" s="425">
        <f t="shared" si="94"/>
        <v>1.2701946352045672</v>
      </c>
      <c r="O652" s="498">
        <v>1.5994647405436229</v>
      </c>
      <c r="P652" s="427">
        <f t="shared" si="92"/>
        <v>0.37284110371075163</v>
      </c>
      <c r="Q652" s="426">
        <f t="shared" si="93"/>
        <v>0.45449330542340627</v>
      </c>
      <c r="R652" s="532">
        <f t="shared" si="95"/>
        <v>2.2632417874321558E-2</v>
      </c>
    </row>
    <row r="653" spans="1:18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608">
        <f t="shared" si="97"/>
        <v>346.1</v>
      </c>
      <c r="G653" s="330">
        <v>13</v>
      </c>
      <c r="H653" s="730">
        <v>11</v>
      </c>
      <c r="I653" s="330"/>
      <c r="J653" s="330"/>
      <c r="K653" s="386">
        <f t="shared" si="96"/>
        <v>11</v>
      </c>
      <c r="L653" s="589">
        <f t="shared" si="90"/>
        <v>2.0932445290199808E-3</v>
      </c>
      <c r="M653" s="315">
        <f t="shared" si="91"/>
        <v>4.7498439581351093</v>
      </c>
      <c r="N653" s="425">
        <f t="shared" si="94"/>
        <v>1.7465176234062798</v>
      </c>
      <c r="O653" s="498">
        <v>2.1992640182474816</v>
      </c>
      <c r="P653" s="427">
        <f t="shared" si="92"/>
        <v>0.51265651760228348</v>
      </c>
      <c r="Q653" s="426">
        <f t="shared" si="93"/>
        <v>0.62492829495718361</v>
      </c>
      <c r="R653" s="532">
        <f t="shared" si="95"/>
        <v>2.6605842581309311E-2</v>
      </c>
    </row>
    <row r="654" spans="1:18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608">
        <f t="shared" si="97"/>
        <v>665.4</v>
      </c>
      <c r="G654" s="330">
        <v>12</v>
      </c>
      <c r="H654" s="730">
        <v>20</v>
      </c>
      <c r="I654" s="330"/>
      <c r="J654" s="330">
        <v>1</v>
      </c>
      <c r="K654" s="386">
        <f t="shared" si="96"/>
        <v>21</v>
      </c>
      <c r="L654" s="589">
        <f t="shared" si="90"/>
        <v>3.9961941008563274E-3</v>
      </c>
      <c r="M654" s="315">
        <f t="shared" si="91"/>
        <v>9.0678839200761185</v>
      </c>
      <c r="N654" s="425">
        <f t="shared" si="94"/>
        <v>3.334260917411989</v>
      </c>
      <c r="O654" s="498">
        <v>4.1985949439270103</v>
      </c>
      <c r="P654" s="427">
        <f t="shared" si="92"/>
        <v>0.97870789724072316</v>
      </c>
      <c r="Q654" s="426">
        <f t="shared" si="93"/>
        <v>1.1930449267364416</v>
      </c>
      <c r="R654" s="532">
        <f t="shared" si="95"/>
        <v>2.7797988106666418E-2</v>
      </c>
    </row>
    <row r="655" spans="1:18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608">
        <f t="shared" si="97"/>
        <v>415.51</v>
      </c>
      <c r="G655" s="330">
        <v>8</v>
      </c>
      <c r="H655" s="730">
        <v>12</v>
      </c>
      <c r="I655" s="330"/>
      <c r="J655" s="330"/>
      <c r="K655" s="386">
        <f t="shared" si="96"/>
        <v>12</v>
      </c>
      <c r="L655" s="589">
        <f t="shared" si="90"/>
        <v>2.2835394862036158E-3</v>
      </c>
      <c r="M655" s="315">
        <f t="shared" si="91"/>
        <v>5.1816479543292111</v>
      </c>
      <c r="N655" s="425">
        <f t="shared" si="94"/>
        <v>1.905291952806851</v>
      </c>
      <c r="O655" s="498">
        <v>2.3991971108154342</v>
      </c>
      <c r="P655" s="427">
        <f t="shared" si="92"/>
        <v>0.5592616555661275</v>
      </c>
      <c r="Q655" s="426">
        <f t="shared" si="93"/>
        <v>0.68173995813510946</v>
      </c>
      <c r="R655" s="532">
        <f t="shared" si="95"/>
        <v>2.4176069585611953E-2</v>
      </c>
    </row>
    <row r="656" spans="1:18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608">
        <f t="shared" si="97"/>
        <v>1654.8</v>
      </c>
      <c r="G656" s="330">
        <v>8</v>
      </c>
      <c r="H656" s="730">
        <v>51</v>
      </c>
      <c r="I656" s="330"/>
      <c r="J656" s="330">
        <v>4</v>
      </c>
      <c r="K656" s="386">
        <f t="shared" si="96"/>
        <v>55</v>
      </c>
      <c r="L656" s="589">
        <f t="shared" si="90"/>
        <v>1.0466222645099905E-2</v>
      </c>
      <c r="M656" s="315">
        <f t="shared" si="91"/>
        <v>23.749219790675546</v>
      </c>
      <c r="N656" s="425">
        <f t="shared" si="94"/>
        <v>8.7325881170313995</v>
      </c>
      <c r="O656" s="498">
        <v>10.996320091237408</v>
      </c>
      <c r="P656" s="427">
        <f t="shared" si="92"/>
        <v>2.5632825880114178</v>
      </c>
      <c r="Q656" s="426">
        <f t="shared" si="93"/>
        <v>3.1246414747859186</v>
      </c>
      <c r="R656" s="532">
        <f t="shared" si="95"/>
        <v>3.0567926295947265E-2</v>
      </c>
    </row>
    <row r="657" spans="1:18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608">
        <f t="shared" si="97"/>
        <v>3220.9</v>
      </c>
      <c r="G657" s="330">
        <v>11</v>
      </c>
      <c r="H657" s="730">
        <v>72</v>
      </c>
      <c r="I657" s="330"/>
      <c r="J657" s="330"/>
      <c r="K657" s="386">
        <f t="shared" si="96"/>
        <v>72</v>
      </c>
      <c r="L657" s="589">
        <f t="shared" si="90"/>
        <v>1.3701236917221693E-2</v>
      </c>
      <c r="M657" s="315">
        <f t="shared" si="91"/>
        <v>31.089887725975263</v>
      </c>
      <c r="N657" s="425">
        <f t="shared" si="94"/>
        <v>11.431751716841106</v>
      </c>
      <c r="O657" s="498">
        <v>14.395182664892607</v>
      </c>
      <c r="P657" s="427">
        <f t="shared" si="92"/>
        <v>3.3555699333967648</v>
      </c>
      <c r="Q657" s="426">
        <f t="shared" si="93"/>
        <v>4.090439748810657</v>
      </c>
      <c r="R657" s="532">
        <f t="shared" si="95"/>
        <v>1.8712903859513099E-2</v>
      </c>
    </row>
    <row r="658" spans="1:18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608">
        <f t="shared" si="97"/>
        <v>3593.47</v>
      </c>
      <c r="G658" s="330">
        <v>20</v>
      </c>
      <c r="H658" s="730">
        <v>80</v>
      </c>
      <c r="I658" s="330"/>
      <c r="J658" s="330"/>
      <c r="K658" s="386">
        <f t="shared" si="96"/>
        <v>80</v>
      </c>
      <c r="L658" s="589">
        <f t="shared" si="90"/>
        <v>1.522359657469077E-2</v>
      </c>
      <c r="M658" s="315">
        <f t="shared" si="91"/>
        <v>34.544319695528067</v>
      </c>
      <c r="N658" s="425">
        <f t="shared" si="94"/>
        <v>12.70194635204567</v>
      </c>
      <c r="O658" s="498">
        <v>15.994647405436229</v>
      </c>
      <c r="P658" s="427">
        <f t="shared" si="92"/>
        <v>3.7284110371075165</v>
      </c>
      <c r="Q658" s="426">
        <f t="shared" si="93"/>
        <v>4.5449330542340629</v>
      </c>
      <c r="R658" s="532">
        <f t="shared" si="95"/>
        <v>1.863639448502909E-2</v>
      </c>
    </row>
    <row r="659" spans="1:18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608">
        <f t="shared" si="97"/>
        <v>5258.9</v>
      </c>
      <c r="G659" s="330">
        <v>12</v>
      </c>
      <c r="H659" s="730">
        <v>119</v>
      </c>
      <c r="I659" s="330"/>
      <c r="J659" s="330"/>
      <c r="K659" s="386">
        <f t="shared" si="96"/>
        <v>119</v>
      </c>
      <c r="L659" s="589">
        <f t="shared" si="90"/>
        <v>2.2645099904852521E-2</v>
      </c>
      <c r="M659" s="315">
        <f t="shared" si="91"/>
        <v>51.384675547098006</v>
      </c>
      <c r="N659" s="425">
        <f t="shared" si="94"/>
        <v>18.894145198667939</v>
      </c>
      <c r="O659" s="498">
        <v>23.792038015586392</v>
      </c>
      <c r="P659" s="427">
        <f t="shared" si="92"/>
        <v>5.5460114176974304</v>
      </c>
      <c r="Q659" s="426">
        <f t="shared" si="93"/>
        <v>6.7605879181731678</v>
      </c>
      <c r="R659" s="532">
        <f t="shared" si="95"/>
        <v>1.8942529840660548E-2</v>
      </c>
    </row>
    <row r="660" spans="1:18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608">
        <f t="shared" si="97"/>
        <v>3743.95</v>
      </c>
      <c r="G660" s="330">
        <v>51</v>
      </c>
      <c r="H660" s="730">
        <v>90</v>
      </c>
      <c r="I660" s="330"/>
      <c r="J660" s="330"/>
      <c r="K660" s="386">
        <f t="shared" si="96"/>
        <v>90</v>
      </c>
      <c r="L660" s="589">
        <f t="shared" si="90"/>
        <v>1.7126546146527116E-2</v>
      </c>
      <c r="M660" s="315">
        <f t="shared" si="91"/>
        <v>38.862359657469078</v>
      </c>
      <c r="N660" s="425">
        <f t="shared" si="94"/>
        <v>14.28968964605138</v>
      </c>
      <c r="O660" s="498">
        <v>17.993978331115756</v>
      </c>
      <c r="P660" s="427">
        <f t="shared" si="92"/>
        <v>4.1944624167459557</v>
      </c>
      <c r="Q660" s="426">
        <f t="shared" si="93"/>
        <v>5.1130496860133201</v>
      </c>
      <c r="R660" s="532">
        <f t="shared" si="95"/>
        <v>2.0123262877811448E-2</v>
      </c>
    </row>
    <row r="661" spans="1:18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608">
        <f t="shared" si="97"/>
        <v>3185.57</v>
      </c>
      <c r="G661" s="330">
        <v>72</v>
      </c>
      <c r="H661" s="730">
        <v>77</v>
      </c>
      <c r="I661" s="330"/>
      <c r="J661" s="330">
        <v>1</v>
      </c>
      <c r="K661" s="386">
        <f t="shared" si="96"/>
        <v>78</v>
      </c>
      <c r="L661" s="589">
        <f t="shared" si="90"/>
        <v>1.4843006660323501E-2</v>
      </c>
      <c r="M661" s="315">
        <f t="shared" si="91"/>
        <v>33.68071170313987</v>
      </c>
      <c r="N661" s="425">
        <f t="shared" si="94"/>
        <v>12.384397693244532</v>
      </c>
      <c r="O661" s="498">
        <v>15.594781220300323</v>
      </c>
      <c r="P661" s="427">
        <f t="shared" si="92"/>
        <v>3.6352007611798287</v>
      </c>
      <c r="Q661" s="426">
        <f t="shared" si="93"/>
        <v>4.4313097278782116</v>
      </c>
      <c r="R661" s="532">
        <f t="shared" si="95"/>
        <v>2.0887277437122185E-2</v>
      </c>
    </row>
    <row r="662" spans="1:18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608">
        <f t="shared" si="97"/>
        <v>272.89999999999998</v>
      </c>
      <c r="G662" s="330">
        <v>80</v>
      </c>
      <c r="H662" s="730">
        <v>9</v>
      </c>
      <c r="I662" s="330"/>
      <c r="J662" s="330"/>
      <c r="K662" s="386">
        <f t="shared" si="96"/>
        <v>9</v>
      </c>
      <c r="L662" s="589">
        <f t="shared" si="90"/>
        <v>1.7126546146527116E-3</v>
      </c>
      <c r="M662" s="315">
        <f t="shared" si="91"/>
        <v>3.8862359657469079</v>
      </c>
      <c r="N662" s="425">
        <f t="shared" si="94"/>
        <v>1.4289689646051382</v>
      </c>
      <c r="O662" s="498">
        <v>1.7993978331115759</v>
      </c>
      <c r="P662" s="427">
        <f t="shared" si="92"/>
        <v>0.4194462416745956</v>
      </c>
      <c r="Q662" s="426">
        <f t="shared" si="93"/>
        <v>0.51130496860133212</v>
      </c>
      <c r="R662" s="532">
        <f t="shared" si="95"/>
        <v>2.7607361689769946E-2</v>
      </c>
    </row>
    <row r="663" spans="1:18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608">
        <f t="shared" si="97"/>
        <v>604.1</v>
      </c>
      <c r="G663" s="330">
        <v>119</v>
      </c>
      <c r="H663" s="730">
        <v>19</v>
      </c>
      <c r="I663" s="330"/>
      <c r="J663" s="330"/>
      <c r="K663" s="386">
        <f t="shared" si="96"/>
        <v>19</v>
      </c>
      <c r="L663" s="589">
        <f t="shared" si="90"/>
        <v>3.6156041864890578E-3</v>
      </c>
      <c r="M663" s="315">
        <f t="shared" si="91"/>
        <v>8.2042759276879167</v>
      </c>
      <c r="N663" s="425">
        <f t="shared" si="94"/>
        <v>3.016712258610847</v>
      </c>
      <c r="O663" s="498">
        <v>3.7987287587911043</v>
      </c>
      <c r="P663" s="427">
        <f t="shared" si="92"/>
        <v>0.88549762131303511</v>
      </c>
      <c r="Q663" s="426">
        <f t="shared" si="93"/>
        <v>1.0794216003805899</v>
      </c>
      <c r="R663" s="532">
        <f t="shared" si="95"/>
        <v>2.6328777630198481E-2</v>
      </c>
    </row>
    <row r="664" spans="1:18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608">
        <f t="shared" si="97"/>
        <v>464.8</v>
      </c>
      <c r="G664" s="330">
        <v>90</v>
      </c>
      <c r="H664" s="730">
        <v>12</v>
      </c>
      <c r="I664" s="330"/>
      <c r="J664" s="330"/>
      <c r="K664" s="386">
        <f t="shared" si="96"/>
        <v>12</v>
      </c>
      <c r="L664" s="589">
        <f t="shared" si="90"/>
        <v>2.2835394862036158E-3</v>
      </c>
      <c r="M664" s="315">
        <f t="shared" si="91"/>
        <v>5.1816479543292111</v>
      </c>
      <c r="N664" s="425">
        <f t="shared" si="94"/>
        <v>1.905291952806851</v>
      </c>
      <c r="O664" s="498">
        <v>2.3991971108154342</v>
      </c>
      <c r="P664" s="427">
        <f t="shared" si="92"/>
        <v>0.5592616555661275</v>
      </c>
      <c r="Q664" s="426">
        <f t="shared" si="93"/>
        <v>0.68173995813510946</v>
      </c>
      <c r="R664" s="532">
        <f t="shared" si="95"/>
        <v>2.1612303514452716E-2</v>
      </c>
    </row>
    <row r="665" spans="1:18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608">
        <f t="shared" si="97"/>
        <v>83.39</v>
      </c>
      <c r="G665" s="330">
        <v>77</v>
      </c>
      <c r="H665" s="730">
        <v>1</v>
      </c>
      <c r="I665" s="330"/>
      <c r="J665" s="330"/>
      <c r="K665" s="386">
        <f t="shared" si="96"/>
        <v>1</v>
      </c>
      <c r="L665" s="589">
        <f t="shared" ref="L665:L728" si="98">1/5255*K665</f>
        <v>1.9029495718363463E-4</v>
      </c>
      <c r="M665" s="315">
        <f t="shared" ref="M665:M728" si="99">L665*2269.13</f>
        <v>0.43180399619410087</v>
      </c>
      <c r="N665" s="425">
        <f t="shared" si="94"/>
        <v>0.1587743294005709</v>
      </c>
      <c r="O665" s="498">
        <v>0.19993309256795286</v>
      </c>
      <c r="P665" s="427">
        <f t="shared" ref="P665:P728" si="100">L665*244.91</f>
        <v>4.6605137963843954E-2</v>
      </c>
      <c r="Q665" s="426">
        <f t="shared" si="93"/>
        <v>5.6811663177925784E-2</v>
      </c>
      <c r="R665" s="532">
        <f t="shared" si="95"/>
        <v>1.0038572444255529E-2</v>
      </c>
    </row>
    <row r="666" spans="1:18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608">
        <f t="shared" si="97"/>
        <v>489.6</v>
      </c>
      <c r="G666" s="330">
        <v>9</v>
      </c>
      <c r="H666" s="730">
        <v>13</v>
      </c>
      <c r="I666" s="330"/>
      <c r="J666" s="330"/>
      <c r="K666" s="386">
        <f t="shared" si="96"/>
        <v>13</v>
      </c>
      <c r="L666" s="589">
        <f t="shared" si="98"/>
        <v>2.4738344433872504E-3</v>
      </c>
      <c r="M666" s="315">
        <f t="shared" si="99"/>
        <v>5.613451950523312</v>
      </c>
      <c r="N666" s="425">
        <f t="shared" si="94"/>
        <v>2.0640662822074218</v>
      </c>
      <c r="O666" s="498">
        <v>2.5991302033833872</v>
      </c>
      <c r="P666" s="427">
        <f t="shared" si="100"/>
        <v>0.60586679352997153</v>
      </c>
      <c r="Q666" s="426">
        <f t="shared" si="93"/>
        <v>0.73855162131303531</v>
      </c>
      <c r="R666" s="532">
        <f t="shared" si="95"/>
        <v>2.2227359537671756E-2</v>
      </c>
    </row>
    <row r="667" spans="1:18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608">
        <f t="shared" si="97"/>
        <v>127.92</v>
      </c>
      <c r="G667" s="330">
        <v>19</v>
      </c>
      <c r="H667" s="730">
        <v>3</v>
      </c>
      <c r="I667" s="330"/>
      <c r="J667" s="330"/>
      <c r="K667" s="386">
        <f t="shared" si="96"/>
        <v>3</v>
      </c>
      <c r="L667" s="589">
        <f t="shared" si="98"/>
        <v>5.7088487155090395E-4</v>
      </c>
      <c r="M667" s="315">
        <f t="shared" si="99"/>
        <v>1.2954119885823028</v>
      </c>
      <c r="N667" s="425">
        <f t="shared" si="94"/>
        <v>0.47632298820171276</v>
      </c>
      <c r="O667" s="498">
        <v>0.59979927770385855</v>
      </c>
      <c r="P667" s="427">
        <f t="shared" si="100"/>
        <v>0.13981541389153188</v>
      </c>
      <c r="Q667" s="426">
        <f t="shared" si="93"/>
        <v>0.17043498953377736</v>
      </c>
      <c r="R667" s="532">
        <f t="shared" si="95"/>
        <v>1.9632189402590726E-2</v>
      </c>
    </row>
    <row r="668" spans="1:18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608">
        <f t="shared" si="97"/>
        <v>129.1</v>
      </c>
      <c r="G668" s="330">
        <v>12</v>
      </c>
      <c r="H668" s="730">
        <v>4</v>
      </c>
      <c r="I668" s="330"/>
      <c r="J668" s="330"/>
      <c r="K668" s="386">
        <f t="shared" si="96"/>
        <v>4</v>
      </c>
      <c r="L668" s="589">
        <f t="shared" si="98"/>
        <v>7.6117982873453852E-4</v>
      </c>
      <c r="M668" s="315">
        <f t="shared" si="99"/>
        <v>1.7272159847764035</v>
      </c>
      <c r="N668" s="425">
        <f t="shared" si="94"/>
        <v>0.63509731760228361</v>
      </c>
      <c r="O668" s="498">
        <v>0.79973237027181143</v>
      </c>
      <c r="P668" s="427">
        <f t="shared" si="100"/>
        <v>0.18642055185537582</v>
      </c>
      <c r="Q668" s="426">
        <f t="shared" si="93"/>
        <v>0.22724665271170313</v>
      </c>
      <c r="R668" s="532">
        <f t="shared" si="95"/>
        <v>2.5936996316854175E-2</v>
      </c>
    </row>
    <row r="669" spans="1:18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608">
        <f t="shared" si="97"/>
        <v>136.4</v>
      </c>
      <c r="G669" s="330">
        <v>1</v>
      </c>
      <c r="H669" s="730">
        <v>4</v>
      </c>
      <c r="I669" s="330"/>
      <c r="J669" s="330"/>
      <c r="K669" s="386">
        <f t="shared" si="96"/>
        <v>4</v>
      </c>
      <c r="L669" s="589">
        <f t="shared" si="98"/>
        <v>7.6117982873453852E-4</v>
      </c>
      <c r="M669" s="315">
        <f t="shared" si="99"/>
        <v>1.7272159847764035</v>
      </c>
      <c r="N669" s="425">
        <f t="shared" si="94"/>
        <v>0.63509731760228361</v>
      </c>
      <c r="O669" s="498">
        <v>0.79973237027181143</v>
      </c>
      <c r="P669" s="427">
        <f t="shared" si="100"/>
        <v>0.18642055185537582</v>
      </c>
      <c r="Q669" s="426">
        <f t="shared" ref="Q669:Q732" si="101">P669*1.219</f>
        <v>0.22724665271170313</v>
      </c>
      <c r="R669" s="532">
        <f t="shared" si="95"/>
        <v>2.4548872613679426E-2</v>
      </c>
    </row>
    <row r="670" spans="1:18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608">
        <f t="shared" si="97"/>
        <v>68.2</v>
      </c>
      <c r="G670" s="330">
        <v>13</v>
      </c>
      <c r="H670" s="730">
        <v>2</v>
      </c>
      <c r="I670" s="330"/>
      <c r="J670" s="330"/>
      <c r="K670" s="386">
        <f t="shared" si="96"/>
        <v>2</v>
      </c>
      <c r="L670" s="589">
        <f t="shared" si="98"/>
        <v>3.8058991436726926E-4</v>
      </c>
      <c r="M670" s="315">
        <f t="shared" si="99"/>
        <v>0.86360799238820174</v>
      </c>
      <c r="N670" s="425">
        <f t="shared" si="94"/>
        <v>0.3175486588011418</v>
      </c>
      <c r="O670" s="498">
        <v>0.39986618513590572</v>
      </c>
      <c r="P670" s="427">
        <f t="shared" si="100"/>
        <v>9.3210275927687908E-2</v>
      </c>
      <c r="Q670" s="426">
        <f t="shared" si="101"/>
        <v>0.11362332635585157</v>
      </c>
      <c r="R670" s="532">
        <f t="shared" si="95"/>
        <v>2.4548872613679426E-2</v>
      </c>
    </row>
    <row r="671" spans="1:18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608">
        <f t="shared" si="97"/>
        <v>117.1</v>
      </c>
      <c r="G671" s="330">
        <v>3</v>
      </c>
      <c r="H671" s="730">
        <v>4</v>
      </c>
      <c r="I671" s="330"/>
      <c r="J671" s="330"/>
      <c r="K671" s="386">
        <f t="shared" si="96"/>
        <v>4</v>
      </c>
      <c r="L671" s="589">
        <f t="shared" si="98"/>
        <v>7.6117982873453852E-4</v>
      </c>
      <c r="M671" s="315">
        <f t="shared" si="99"/>
        <v>1.7272159847764035</v>
      </c>
      <c r="N671" s="425">
        <f t="shared" si="94"/>
        <v>0.63509731760228361</v>
      </c>
      <c r="O671" s="498">
        <v>0.79973237027181143</v>
      </c>
      <c r="P671" s="427">
        <f t="shared" si="100"/>
        <v>0.18642055185537582</v>
      </c>
      <c r="Q671" s="426">
        <f t="shared" si="101"/>
        <v>0.22724665271170313</v>
      </c>
      <c r="R671" s="532">
        <f t="shared" si="95"/>
        <v>2.8594929329682956E-2</v>
      </c>
    </row>
    <row r="672" spans="1:18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608">
        <f t="shared" si="97"/>
        <v>291.16000000000003</v>
      </c>
      <c r="G672" s="330">
        <v>4</v>
      </c>
      <c r="H672" s="730">
        <v>11</v>
      </c>
      <c r="I672" s="330"/>
      <c r="J672" s="330"/>
      <c r="K672" s="386">
        <f t="shared" si="96"/>
        <v>11</v>
      </c>
      <c r="L672" s="589">
        <f t="shared" si="98"/>
        <v>2.0932445290199808E-3</v>
      </c>
      <c r="M672" s="315">
        <f t="shared" si="99"/>
        <v>4.7498439581351093</v>
      </c>
      <c r="N672" s="425">
        <f t="shared" si="94"/>
        <v>1.7465176234062798</v>
      </c>
      <c r="O672" s="498">
        <v>2.1992640182474816</v>
      </c>
      <c r="P672" s="427">
        <f t="shared" si="100"/>
        <v>0.51265651760228348</v>
      </c>
      <c r="Q672" s="426">
        <f t="shared" si="101"/>
        <v>0.62492829495718361</v>
      </c>
      <c r="R672" s="532">
        <f t="shared" si="95"/>
        <v>3.1626192187770137E-2</v>
      </c>
    </row>
    <row r="673" spans="1:18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608">
        <f t="shared" si="97"/>
        <v>455.20000000000005</v>
      </c>
      <c r="G673" s="330">
        <v>4</v>
      </c>
      <c r="H673" s="730">
        <v>9</v>
      </c>
      <c r="I673" s="330">
        <v>1</v>
      </c>
      <c r="J673" s="330"/>
      <c r="K673" s="386">
        <f t="shared" si="96"/>
        <v>10</v>
      </c>
      <c r="L673" s="589">
        <f t="shared" si="98"/>
        <v>1.9029495718363462E-3</v>
      </c>
      <c r="M673" s="315">
        <f t="shared" si="99"/>
        <v>4.3180399619410084</v>
      </c>
      <c r="N673" s="425">
        <f t="shared" si="94"/>
        <v>1.5877432940057088</v>
      </c>
      <c r="O673" s="498">
        <v>1.9993309256795286</v>
      </c>
      <c r="P673" s="427">
        <f t="shared" si="100"/>
        <v>0.46605137963843957</v>
      </c>
      <c r="Q673" s="426">
        <f t="shared" si="101"/>
        <v>0.56811663177925786</v>
      </c>
      <c r="R673" s="532">
        <f t="shared" si="95"/>
        <v>2.1187460291735474E-2</v>
      </c>
    </row>
    <row r="674" spans="1:18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608">
        <f t="shared" si="97"/>
        <v>120</v>
      </c>
      <c r="G674" s="330">
        <v>2</v>
      </c>
      <c r="H674" s="730">
        <v>4</v>
      </c>
      <c r="I674" s="330"/>
      <c r="J674" s="330"/>
      <c r="K674" s="386">
        <f t="shared" si="96"/>
        <v>4</v>
      </c>
      <c r="L674" s="589">
        <f t="shared" si="98"/>
        <v>7.6117982873453852E-4</v>
      </c>
      <c r="M674" s="315">
        <f t="shared" si="99"/>
        <v>1.7272159847764035</v>
      </c>
      <c r="N674" s="425">
        <f t="shared" si="94"/>
        <v>0.63509731760228361</v>
      </c>
      <c r="O674" s="498">
        <v>0.79973237027181143</v>
      </c>
      <c r="P674" s="427">
        <f t="shared" si="100"/>
        <v>0.18642055185537582</v>
      </c>
      <c r="Q674" s="426">
        <f t="shared" si="101"/>
        <v>0.22724665271170313</v>
      </c>
      <c r="R674" s="532">
        <f t="shared" si="95"/>
        <v>2.7903885204215616E-2</v>
      </c>
    </row>
    <row r="675" spans="1:18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608">
        <f t="shared" si="97"/>
        <v>390.8</v>
      </c>
      <c r="G675" s="330">
        <v>4</v>
      </c>
      <c r="H675" s="730">
        <v>6</v>
      </c>
      <c r="I675" s="330"/>
      <c r="J675" s="330"/>
      <c r="K675" s="386">
        <f t="shared" si="96"/>
        <v>6</v>
      </c>
      <c r="L675" s="589">
        <f t="shared" si="98"/>
        <v>1.1417697431018079E-3</v>
      </c>
      <c r="M675" s="315">
        <f t="shared" si="99"/>
        <v>2.5908239771646056</v>
      </c>
      <c r="N675" s="425">
        <f t="shared" si="94"/>
        <v>0.95264597640342552</v>
      </c>
      <c r="O675" s="498">
        <v>1.1995985554077171</v>
      </c>
      <c r="P675" s="427">
        <f t="shared" si="100"/>
        <v>0.27963082778306375</v>
      </c>
      <c r="Q675" s="426">
        <f t="shared" si="101"/>
        <v>0.34086997906755473</v>
      </c>
      <c r="R675" s="532">
        <f t="shared" si="95"/>
        <v>1.285235244820576E-2</v>
      </c>
    </row>
    <row r="676" spans="1:18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608">
        <f t="shared" si="97"/>
        <v>105.1</v>
      </c>
      <c r="G676" s="330">
        <v>11</v>
      </c>
      <c r="H676" s="730">
        <v>3</v>
      </c>
      <c r="I676" s="330"/>
      <c r="J676" s="330"/>
      <c r="K676" s="386">
        <f t="shared" si="96"/>
        <v>3</v>
      </c>
      <c r="L676" s="589">
        <f t="shared" si="98"/>
        <v>5.7088487155090395E-4</v>
      </c>
      <c r="M676" s="315">
        <f t="shared" si="99"/>
        <v>1.2954119885823028</v>
      </c>
      <c r="N676" s="425">
        <f t="shared" si="94"/>
        <v>0.47632298820171276</v>
      </c>
      <c r="O676" s="498">
        <v>0.59979927770385855</v>
      </c>
      <c r="P676" s="427">
        <f t="shared" si="100"/>
        <v>0.13981541389153188</v>
      </c>
      <c r="Q676" s="426">
        <f t="shared" si="101"/>
        <v>0.17043498953377736</v>
      </c>
      <c r="R676" s="532">
        <f t="shared" si="95"/>
        <v>2.3894858880869702E-2</v>
      </c>
    </row>
    <row r="677" spans="1:18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608">
        <f t="shared" si="97"/>
        <v>168.5</v>
      </c>
      <c r="G677" s="330">
        <v>9</v>
      </c>
      <c r="H677" s="730">
        <v>4</v>
      </c>
      <c r="I677" s="330"/>
      <c r="J677" s="330"/>
      <c r="K677" s="386">
        <f t="shared" si="96"/>
        <v>4</v>
      </c>
      <c r="L677" s="589">
        <f t="shared" si="98"/>
        <v>7.6117982873453852E-4</v>
      </c>
      <c r="M677" s="315">
        <f t="shared" si="99"/>
        <v>1.7272159847764035</v>
      </c>
      <c r="N677" s="425">
        <f t="shared" si="94"/>
        <v>0.63509731760228361</v>
      </c>
      <c r="O677" s="498">
        <v>0.79973237027181143</v>
      </c>
      <c r="P677" s="427">
        <f t="shared" si="100"/>
        <v>0.18642055185537582</v>
      </c>
      <c r="Q677" s="426">
        <f t="shared" si="101"/>
        <v>0.22724665271170313</v>
      </c>
      <c r="R677" s="532">
        <f t="shared" si="95"/>
        <v>1.9872203112794504E-2</v>
      </c>
    </row>
    <row r="678" spans="1:18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608">
        <f t="shared" si="97"/>
        <v>73.3</v>
      </c>
      <c r="G678" s="330">
        <v>4</v>
      </c>
      <c r="H678" s="730">
        <v>1</v>
      </c>
      <c r="I678" s="330"/>
      <c r="J678" s="330"/>
      <c r="K678" s="386">
        <f t="shared" si="96"/>
        <v>1</v>
      </c>
      <c r="L678" s="589">
        <f t="shared" si="98"/>
        <v>1.9029495718363463E-4</v>
      </c>
      <c r="M678" s="315">
        <f t="shared" si="99"/>
        <v>0.43180399619410087</v>
      </c>
      <c r="N678" s="425">
        <f t="shared" si="94"/>
        <v>0.1587743294005709</v>
      </c>
      <c r="O678" s="498">
        <v>0.19993309256795286</v>
      </c>
      <c r="P678" s="427">
        <f t="shared" si="100"/>
        <v>4.6605137963843954E-2</v>
      </c>
      <c r="Q678" s="426">
        <f t="shared" si="101"/>
        <v>5.6811663177925784E-2</v>
      </c>
      <c r="R678" s="532">
        <f t="shared" si="95"/>
        <v>1.142041686393545E-2</v>
      </c>
    </row>
    <row r="679" spans="1:18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608">
        <f t="shared" si="97"/>
        <v>87.3</v>
      </c>
      <c r="G679" s="330">
        <v>6</v>
      </c>
      <c r="H679" s="730">
        <v>2</v>
      </c>
      <c r="I679" s="330"/>
      <c r="J679" s="330"/>
      <c r="K679" s="386">
        <f t="shared" si="96"/>
        <v>2</v>
      </c>
      <c r="L679" s="589">
        <f t="shared" si="98"/>
        <v>3.8058991436726926E-4</v>
      </c>
      <c r="M679" s="315">
        <f t="shared" si="99"/>
        <v>0.86360799238820174</v>
      </c>
      <c r="N679" s="425">
        <f t="shared" si="94"/>
        <v>0.3175486588011418</v>
      </c>
      <c r="O679" s="498">
        <v>0.39986618513590572</v>
      </c>
      <c r="P679" s="427">
        <f t="shared" si="100"/>
        <v>9.3210275927687908E-2</v>
      </c>
      <c r="Q679" s="426">
        <f t="shared" si="101"/>
        <v>0.11362332635585157</v>
      </c>
      <c r="R679" s="532">
        <f t="shared" si="95"/>
        <v>1.9177927975405924E-2</v>
      </c>
    </row>
    <row r="680" spans="1:18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608">
        <f t="shared" si="97"/>
        <v>227.3</v>
      </c>
      <c r="G680" s="330">
        <v>3</v>
      </c>
      <c r="H680" s="730">
        <v>5</v>
      </c>
      <c r="I680" s="330"/>
      <c r="J680" s="330"/>
      <c r="K680" s="386">
        <f t="shared" si="96"/>
        <v>5</v>
      </c>
      <c r="L680" s="589">
        <f t="shared" si="98"/>
        <v>9.514747859181731E-4</v>
      </c>
      <c r="M680" s="315">
        <f t="shared" si="99"/>
        <v>2.1590199809705042</v>
      </c>
      <c r="N680" s="425">
        <f t="shared" si="94"/>
        <v>0.7938716470028544</v>
      </c>
      <c r="O680" s="498">
        <v>1.1662763733130583</v>
      </c>
      <c r="P680" s="427">
        <f t="shared" si="100"/>
        <v>0.23302568981921978</v>
      </c>
      <c r="Q680" s="426">
        <f t="shared" si="101"/>
        <v>0.28405831588962893</v>
      </c>
      <c r="R680" s="532">
        <f t="shared" si="95"/>
        <v>1.9147354558317807E-2</v>
      </c>
    </row>
    <row r="681" spans="1:18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608">
        <f t="shared" si="97"/>
        <v>53.5</v>
      </c>
      <c r="G681" s="330">
        <v>4</v>
      </c>
      <c r="H681" s="730">
        <v>2</v>
      </c>
      <c r="I681" s="330"/>
      <c r="J681" s="330"/>
      <c r="K681" s="386">
        <f t="shared" si="96"/>
        <v>2</v>
      </c>
      <c r="L681" s="589">
        <f t="shared" si="98"/>
        <v>3.8058991436726926E-4</v>
      </c>
      <c r="M681" s="315">
        <f t="shared" si="99"/>
        <v>0.86360799238820174</v>
      </c>
      <c r="N681" s="425">
        <f t="shared" si="94"/>
        <v>0.3175486588011418</v>
      </c>
      <c r="O681" s="498">
        <v>0.39986618513590572</v>
      </c>
      <c r="P681" s="427">
        <f t="shared" si="100"/>
        <v>9.3210275927687908E-2</v>
      </c>
      <c r="Q681" s="426">
        <f t="shared" si="101"/>
        <v>0.11362332635585157</v>
      </c>
      <c r="R681" s="532">
        <f t="shared" si="95"/>
        <v>3.129407686454088E-2</v>
      </c>
    </row>
    <row r="682" spans="1:18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608">
        <f t="shared" si="97"/>
        <v>1851.82</v>
      </c>
      <c r="G682" s="330">
        <v>1</v>
      </c>
      <c r="H682" s="730">
        <v>40</v>
      </c>
      <c r="I682" s="330"/>
      <c r="J682" s="330"/>
      <c r="K682" s="386">
        <f t="shared" si="96"/>
        <v>40</v>
      </c>
      <c r="L682" s="589">
        <f t="shared" si="98"/>
        <v>7.6117982873453848E-3</v>
      </c>
      <c r="M682" s="315">
        <f t="shared" si="99"/>
        <v>17.272159847764033</v>
      </c>
      <c r="N682" s="425">
        <f t="shared" si="94"/>
        <v>6.3509731760228352</v>
      </c>
      <c r="O682" s="498">
        <v>7.9973237027181145</v>
      </c>
      <c r="P682" s="427">
        <f t="shared" si="100"/>
        <v>1.8642055185537583</v>
      </c>
      <c r="Q682" s="426">
        <f t="shared" si="101"/>
        <v>2.2724665271170315</v>
      </c>
      <c r="R682" s="532">
        <f t="shared" si="95"/>
        <v>1.8082028623224042E-2</v>
      </c>
    </row>
    <row r="683" spans="1:18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608">
        <f t="shared" si="97"/>
        <v>933.25</v>
      </c>
      <c r="G683" s="330">
        <v>2</v>
      </c>
      <c r="H683" s="730">
        <v>24</v>
      </c>
      <c r="I683" s="330"/>
      <c r="J683" s="330"/>
      <c r="K683" s="386">
        <f t="shared" si="96"/>
        <v>24</v>
      </c>
      <c r="L683" s="589">
        <f t="shared" si="98"/>
        <v>4.5670789724072316E-3</v>
      </c>
      <c r="M683" s="315">
        <f t="shared" si="99"/>
        <v>10.363295908658422</v>
      </c>
      <c r="N683" s="425">
        <f t="shared" si="94"/>
        <v>3.8105839056137021</v>
      </c>
      <c r="O683" s="498">
        <v>4.7983942216308684</v>
      </c>
      <c r="P683" s="427">
        <f t="shared" si="100"/>
        <v>1.118523311132255</v>
      </c>
      <c r="Q683" s="426">
        <f t="shared" si="101"/>
        <v>1.3634799162702189</v>
      </c>
      <c r="R683" s="532">
        <f t="shared" si="95"/>
        <v>2.1527776423289843E-2</v>
      </c>
    </row>
    <row r="684" spans="1:18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608">
        <f t="shared" si="97"/>
        <v>1158.5</v>
      </c>
      <c r="G684" s="330">
        <v>5</v>
      </c>
      <c r="H684" s="730">
        <v>27</v>
      </c>
      <c r="I684" s="330"/>
      <c r="J684" s="330"/>
      <c r="K684" s="386">
        <f t="shared" si="96"/>
        <v>27</v>
      </c>
      <c r="L684" s="589">
        <f t="shared" si="98"/>
        <v>5.1379638439581349E-3</v>
      </c>
      <c r="M684" s="315">
        <f t="shared" si="99"/>
        <v>11.658707897240722</v>
      </c>
      <c r="N684" s="425">
        <f t="shared" si="94"/>
        <v>4.2869068938154138</v>
      </c>
      <c r="O684" s="498">
        <v>5.3981934993347274</v>
      </c>
      <c r="P684" s="427">
        <f t="shared" si="100"/>
        <v>1.2583387250237867</v>
      </c>
      <c r="Q684" s="426">
        <f t="shared" si="101"/>
        <v>1.5339149058039963</v>
      </c>
      <c r="R684" s="532">
        <f t="shared" si="95"/>
        <v>1.9509837734496892E-2</v>
      </c>
    </row>
    <row r="685" spans="1:18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608">
        <f t="shared" si="97"/>
        <v>3775.6499999999996</v>
      </c>
      <c r="G685" s="330">
        <v>2</v>
      </c>
      <c r="H685" s="730">
        <v>70</v>
      </c>
      <c r="I685" s="330"/>
      <c r="J685" s="330">
        <v>1</v>
      </c>
      <c r="K685" s="386">
        <f t="shared" si="96"/>
        <v>71</v>
      </c>
      <c r="L685" s="589">
        <f t="shared" si="98"/>
        <v>1.3510941960038058E-2</v>
      </c>
      <c r="M685" s="315">
        <f t="shared" si="99"/>
        <v>30.658083729781161</v>
      </c>
      <c r="N685" s="425">
        <f t="shared" si="94"/>
        <v>11.272977387440534</v>
      </c>
      <c r="O685" s="498">
        <v>14.195249572324652</v>
      </c>
      <c r="P685" s="427">
        <f t="shared" si="100"/>
        <v>3.3089647954329209</v>
      </c>
      <c r="Q685" s="426">
        <f t="shared" si="101"/>
        <v>4.0336280856327305</v>
      </c>
      <c r="R685" s="532">
        <f t="shared" si="95"/>
        <v>1.6221639346874074E-2</v>
      </c>
    </row>
    <row r="686" spans="1:18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608">
        <f t="shared" si="97"/>
        <v>79.3</v>
      </c>
      <c r="G686" s="330">
        <v>40</v>
      </c>
      <c r="H686" s="730">
        <v>2</v>
      </c>
      <c r="I686" s="330"/>
      <c r="J686" s="330"/>
      <c r="K686" s="386">
        <f t="shared" si="96"/>
        <v>2</v>
      </c>
      <c r="L686" s="589">
        <f t="shared" si="98"/>
        <v>3.8058991436726926E-4</v>
      </c>
      <c r="M686" s="315">
        <f t="shared" si="99"/>
        <v>0.86360799238820174</v>
      </c>
      <c r="N686" s="425">
        <f t="shared" si="94"/>
        <v>0.3175486588011418</v>
      </c>
      <c r="O686" s="498">
        <v>0.39986618513590572</v>
      </c>
      <c r="P686" s="427">
        <f t="shared" si="100"/>
        <v>9.3210275927687908E-2</v>
      </c>
      <c r="Q686" s="426">
        <f t="shared" si="101"/>
        <v>0.11362332635585157</v>
      </c>
      <c r="R686" s="532">
        <f t="shared" si="95"/>
        <v>2.1112649587048386E-2</v>
      </c>
    </row>
    <row r="687" spans="1:18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608">
        <f t="shared" si="97"/>
        <v>377.9</v>
      </c>
      <c r="G687" s="330">
        <v>24</v>
      </c>
      <c r="H687" s="730">
        <v>8</v>
      </c>
      <c r="I687" s="330"/>
      <c r="J687" s="330"/>
      <c r="K687" s="386">
        <f t="shared" si="96"/>
        <v>8</v>
      </c>
      <c r="L687" s="589">
        <f t="shared" si="98"/>
        <v>1.522359657469077E-3</v>
      </c>
      <c r="M687" s="315">
        <f t="shared" si="99"/>
        <v>3.454431969552807</v>
      </c>
      <c r="N687" s="425">
        <f t="shared" si="94"/>
        <v>1.2701946352045672</v>
      </c>
      <c r="O687" s="498">
        <v>1.5994647405436229</v>
      </c>
      <c r="P687" s="427">
        <f t="shared" si="100"/>
        <v>0.37284110371075163</v>
      </c>
      <c r="Q687" s="426">
        <f t="shared" si="101"/>
        <v>0.45449330542340627</v>
      </c>
      <c r="R687" s="532">
        <f t="shared" si="95"/>
        <v>1.7721440722444425E-2</v>
      </c>
    </row>
    <row r="688" spans="1:18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608">
        <f t="shared" si="97"/>
        <v>86.1</v>
      </c>
      <c r="G688" s="330">
        <v>27</v>
      </c>
      <c r="H688" s="730">
        <v>2</v>
      </c>
      <c r="I688" s="330"/>
      <c r="J688" s="330"/>
      <c r="K688" s="386">
        <f t="shared" si="96"/>
        <v>2</v>
      </c>
      <c r="L688" s="589">
        <f t="shared" si="98"/>
        <v>3.8058991436726926E-4</v>
      </c>
      <c r="M688" s="315">
        <f t="shared" si="99"/>
        <v>0.86360799238820174</v>
      </c>
      <c r="N688" s="425">
        <f t="shared" si="94"/>
        <v>0.3175486588011418</v>
      </c>
      <c r="O688" s="498">
        <v>0.39986618513590572</v>
      </c>
      <c r="P688" s="427">
        <f t="shared" si="100"/>
        <v>9.3210275927687908E-2</v>
      </c>
      <c r="Q688" s="426">
        <f t="shared" si="101"/>
        <v>0.11362332635585157</v>
      </c>
      <c r="R688" s="532">
        <f t="shared" si="95"/>
        <v>1.94452161701851E-2</v>
      </c>
    </row>
    <row r="689" spans="1:18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608">
        <f t="shared" si="97"/>
        <v>59.7</v>
      </c>
      <c r="G689" s="330">
        <v>70</v>
      </c>
      <c r="H689" s="730">
        <v>2</v>
      </c>
      <c r="I689" s="330"/>
      <c r="J689" s="330"/>
      <c r="K689" s="386">
        <f t="shared" si="96"/>
        <v>2</v>
      </c>
      <c r="L689" s="589">
        <f t="shared" si="98"/>
        <v>3.8058991436726926E-4</v>
      </c>
      <c r="M689" s="315">
        <f t="shared" si="99"/>
        <v>0.86360799238820174</v>
      </c>
      <c r="N689" s="425">
        <f t="shared" si="94"/>
        <v>0.3175486588011418</v>
      </c>
      <c r="O689" s="498">
        <v>0.39986618513590572</v>
      </c>
      <c r="P689" s="427">
        <f t="shared" si="100"/>
        <v>9.3210275927687908E-2</v>
      </c>
      <c r="Q689" s="426">
        <f t="shared" si="101"/>
        <v>0.11362332635585157</v>
      </c>
      <c r="R689" s="532">
        <f t="shared" si="95"/>
        <v>2.8044105732880017E-2</v>
      </c>
    </row>
    <row r="690" spans="1:18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608">
        <f t="shared" si="97"/>
        <v>66.099999999999994</v>
      </c>
      <c r="G690" s="330">
        <v>2</v>
      </c>
      <c r="H690" s="730">
        <v>2</v>
      </c>
      <c r="I690" s="330"/>
      <c r="J690" s="330"/>
      <c r="K690" s="386">
        <f t="shared" si="96"/>
        <v>2</v>
      </c>
      <c r="L690" s="589">
        <f t="shared" si="98"/>
        <v>3.8058991436726926E-4</v>
      </c>
      <c r="M690" s="315">
        <f t="shared" si="99"/>
        <v>0.86360799238820174</v>
      </c>
      <c r="N690" s="425">
        <f t="shared" si="94"/>
        <v>0.3175486588011418</v>
      </c>
      <c r="O690" s="498">
        <v>0.39986618513590572</v>
      </c>
      <c r="P690" s="427">
        <f t="shared" si="100"/>
        <v>9.3210275927687908E-2</v>
      </c>
      <c r="Q690" s="426">
        <f t="shared" si="101"/>
        <v>0.11362332635585157</v>
      </c>
      <c r="R690" s="532">
        <f t="shared" si="95"/>
        <v>2.5328791410785735E-2</v>
      </c>
    </row>
    <row r="691" spans="1:18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608">
        <f t="shared" si="97"/>
        <v>111.6</v>
      </c>
      <c r="G691" s="330">
        <v>8</v>
      </c>
      <c r="H691" s="730">
        <v>2</v>
      </c>
      <c r="I691" s="330"/>
      <c r="J691" s="330"/>
      <c r="K691" s="386">
        <f t="shared" si="96"/>
        <v>2</v>
      </c>
      <c r="L691" s="589">
        <f t="shared" si="98"/>
        <v>3.8058991436726926E-4</v>
      </c>
      <c r="M691" s="315">
        <f t="shared" si="99"/>
        <v>0.86360799238820174</v>
      </c>
      <c r="N691" s="425">
        <f t="shared" si="94"/>
        <v>0.3175486588011418</v>
      </c>
      <c r="O691" s="498">
        <v>0.39986618513590572</v>
      </c>
      <c r="P691" s="427">
        <f t="shared" si="100"/>
        <v>9.3210275927687908E-2</v>
      </c>
      <c r="Q691" s="426">
        <f t="shared" si="101"/>
        <v>0.11362332635585157</v>
      </c>
      <c r="R691" s="532">
        <f t="shared" si="95"/>
        <v>1.5002088819470762E-2</v>
      </c>
    </row>
    <row r="692" spans="1:18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608">
        <f t="shared" si="97"/>
        <v>119.2</v>
      </c>
      <c r="G692" s="330">
        <v>2</v>
      </c>
      <c r="H692" s="730">
        <v>4</v>
      </c>
      <c r="I692" s="330"/>
      <c r="J692" s="330"/>
      <c r="K692" s="386">
        <f t="shared" si="96"/>
        <v>4</v>
      </c>
      <c r="L692" s="589">
        <f t="shared" si="98"/>
        <v>7.6117982873453852E-4</v>
      </c>
      <c r="M692" s="315">
        <f t="shared" si="99"/>
        <v>1.7272159847764035</v>
      </c>
      <c r="N692" s="425">
        <f t="shared" si="94"/>
        <v>0.63509731760228361</v>
      </c>
      <c r="O692" s="498">
        <v>0.79973237027181143</v>
      </c>
      <c r="P692" s="427">
        <f t="shared" si="100"/>
        <v>0.18642055185537582</v>
      </c>
      <c r="Q692" s="426">
        <f t="shared" si="101"/>
        <v>0.22724665271170313</v>
      </c>
      <c r="R692" s="532">
        <f t="shared" si="95"/>
        <v>2.8091159601559345E-2</v>
      </c>
    </row>
    <row r="693" spans="1:18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608">
        <f t="shared" si="97"/>
        <v>139.6</v>
      </c>
      <c r="G693" s="330">
        <v>2</v>
      </c>
      <c r="H693" s="730">
        <v>4</v>
      </c>
      <c r="I693" s="330"/>
      <c r="J693" s="330"/>
      <c r="K693" s="386">
        <f t="shared" si="96"/>
        <v>4</v>
      </c>
      <c r="L693" s="589">
        <f t="shared" si="98"/>
        <v>7.6117982873453852E-4</v>
      </c>
      <c r="M693" s="315">
        <f t="shared" si="99"/>
        <v>1.7272159847764035</v>
      </c>
      <c r="N693" s="425">
        <f t="shared" si="94"/>
        <v>0.63509731760228361</v>
      </c>
      <c r="O693" s="498">
        <v>0.79973237027181143</v>
      </c>
      <c r="P693" s="427">
        <f t="shared" si="100"/>
        <v>0.18642055185537582</v>
      </c>
      <c r="Q693" s="426">
        <f t="shared" si="101"/>
        <v>0.22724665271170313</v>
      </c>
      <c r="R693" s="532">
        <f t="shared" si="95"/>
        <v>2.3986147740013425E-2</v>
      </c>
    </row>
    <row r="694" spans="1:18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608">
        <f t="shared" si="97"/>
        <v>66.5</v>
      </c>
      <c r="G694" s="330">
        <v>2</v>
      </c>
      <c r="H694" s="730">
        <v>2</v>
      </c>
      <c r="I694" s="330"/>
      <c r="J694" s="330"/>
      <c r="K694" s="386">
        <f t="shared" si="96"/>
        <v>2</v>
      </c>
      <c r="L694" s="589">
        <f t="shared" si="98"/>
        <v>3.8058991436726926E-4</v>
      </c>
      <c r="M694" s="315">
        <f t="shared" si="99"/>
        <v>0.86360799238820174</v>
      </c>
      <c r="N694" s="425">
        <f t="shared" si="94"/>
        <v>0.3175486588011418</v>
      </c>
      <c r="O694" s="498">
        <v>0.39986618513590572</v>
      </c>
      <c r="P694" s="427">
        <f t="shared" si="100"/>
        <v>9.3210275927687908E-2</v>
      </c>
      <c r="Q694" s="426">
        <f t="shared" si="101"/>
        <v>0.11362332635585157</v>
      </c>
      <c r="R694" s="532">
        <f t="shared" si="95"/>
        <v>2.5176437778239656E-2</v>
      </c>
    </row>
    <row r="695" spans="1:18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608">
        <f t="shared" si="97"/>
        <v>67</v>
      </c>
      <c r="G695" s="330">
        <v>2</v>
      </c>
      <c r="H695" s="730">
        <v>2</v>
      </c>
      <c r="I695" s="330"/>
      <c r="J695" s="330"/>
      <c r="K695" s="386">
        <f t="shared" si="96"/>
        <v>2</v>
      </c>
      <c r="L695" s="589">
        <f t="shared" si="98"/>
        <v>3.8058991436726926E-4</v>
      </c>
      <c r="M695" s="315">
        <f t="shared" si="99"/>
        <v>0.86360799238820174</v>
      </c>
      <c r="N695" s="425">
        <f t="shared" si="94"/>
        <v>0.3175486588011418</v>
      </c>
      <c r="O695" s="498">
        <v>0.39986618513590572</v>
      </c>
      <c r="P695" s="427">
        <f t="shared" si="100"/>
        <v>9.3210275927687908E-2</v>
      </c>
      <c r="Q695" s="426">
        <f t="shared" si="101"/>
        <v>0.11362332635585157</v>
      </c>
      <c r="R695" s="532">
        <f t="shared" si="95"/>
        <v>2.4988553914222941E-2</v>
      </c>
    </row>
    <row r="696" spans="1:18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608">
        <f t="shared" si="97"/>
        <v>212.2</v>
      </c>
      <c r="G696" s="330">
        <v>2</v>
      </c>
      <c r="H696" s="730">
        <v>6</v>
      </c>
      <c r="I696" s="330"/>
      <c r="J696" s="330"/>
      <c r="K696" s="386">
        <f t="shared" si="96"/>
        <v>6</v>
      </c>
      <c r="L696" s="589">
        <f t="shared" si="98"/>
        <v>1.1417697431018079E-3</v>
      </c>
      <c r="M696" s="315">
        <f t="shared" si="99"/>
        <v>2.5908239771646056</v>
      </c>
      <c r="N696" s="425">
        <f t="shared" si="94"/>
        <v>0.95264597640342552</v>
      </c>
      <c r="O696" s="498">
        <v>1.1995985554077171</v>
      </c>
      <c r="P696" s="427">
        <f t="shared" si="100"/>
        <v>0.27963082778306375</v>
      </c>
      <c r="Q696" s="426">
        <f t="shared" si="101"/>
        <v>0.34086997906755473</v>
      </c>
      <c r="R696" s="532">
        <f t="shared" si="95"/>
        <v>2.3669648146837002E-2</v>
      </c>
    </row>
    <row r="697" spans="1:18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608">
        <f t="shared" si="97"/>
        <v>41.6</v>
      </c>
      <c r="G697" s="330">
        <v>4</v>
      </c>
      <c r="H697" s="730">
        <v>1</v>
      </c>
      <c r="I697" s="330"/>
      <c r="J697" s="330"/>
      <c r="K697" s="386">
        <f t="shared" si="96"/>
        <v>1</v>
      </c>
      <c r="L697" s="589">
        <f t="shared" si="98"/>
        <v>1.9029495718363463E-4</v>
      </c>
      <c r="M697" s="315">
        <f t="shared" si="99"/>
        <v>0.43180399619410087</v>
      </c>
      <c r="N697" s="425">
        <f t="shared" si="94"/>
        <v>0.1587743294005709</v>
      </c>
      <c r="O697" s="498">
        <v>0.19993309256795286</v>
      </c>
      <c r="P697" s="427">
        <f t="shared" si="100"/>
        <v>4.6605137963843954E-2</v>
      </c>
      <c r="Q697" s="426">
        <f t="shared" si="101"/>
        <v>5.6811663177925784E-2</v>
      </c>
      <c r="R697" s="532">
        <f t="shared" si="95"/>
        <v>2.0122994137655493E-2</v>
      </c>
    </row>
    <row r="698" spans="1:18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608">
        <f t="shared" si="97"/>
        <v>466.8</v>
      </c>
      <c r="G698" s="330">
        <v>4</v>
      </c>
      <c r="H698" s="730">
        <v>12</v>
      </c>
      <c r="I698" s="330"/>
      <c r="J698" s="330"/>
      <c r="K698" s="386">
        <f t="shared" si="96"/>
        <v>12</v>
      </c>
      <c r="L698" s="589">
        <f t="shared" si="98"/>
        <v>2.2835394862036158E-3</v>
      </c>
      <c r="M698" s="315">
        <f t="shared" si="99"/>
        <v>5.1816479543292111</v>
      </c>
      <c r="N698" s="425">
        <f t="shared" si="94"/>
        <v>1.905291952806851</v>
      </c>
      <c r="O698" s="498">
        <v>2.3991971108154342</v>
      </c>
      <c r="P698" s="427">
        <f t="shared" si="100"/>
        <v>0.5592616555661275</v>
      </c>
      <c r="Q698" s="426">
        <f t="shared" si="101"/>
        <v>0.68173995813510946</v>
      </c>
      <c r="R698" s="532">
        <f t="shared" si="95"/>
        <v>2.1519705813019756E-2</v>
      </c>
    </row>
    <row r="699" spans="1:18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608">
        <f t="shared" si="97"/>
        <v>681.36</v>
      </c>
      <c r="G699" s="330">
        <v>2</v>
      </c>
      <c r="H699" s="730">
        <v>16</v>
      </c>
      <c r="I699" s="330"/>
      <c r="J699" s="330"/>
      <c r="K699" s="386">
        <f t="shared" si="96"/>
        <v>16</v>
      </c>
      <c r="L699" s="589">
        <f t="shared" si="98"/>
        <v>3.0447193149381541E-3</v>
      </c>
      <c r="M699" s="315">
        <f t="shared" si="99"/>
        <v>6.9088639391056139</v>
      </c>
      <c r="N699" s="425">
        <f t="shared" si="94"/>
        <v>2.5403892704091344</v>
      </c>
      <c r="O699" s="498">
        <v>3.1989294810872457</v>
      </c>
      <c r="P699" s="427">
        <f t="shared" si="100"/>
        <v>0.74568220742150326</v>
      </c>
      <c r="Q699" s="426">
        <f t="shared" si="101"/>
        <v>0.90898661084681254</v>
      </c>
      <c r="R699" s="532">
        <f t="shared" si="95"/>
        <v>1.9657545054044111E-2</v>
      </c>
    </row>
    <row r="700" spans="1:18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608">
        <f t="shared" si="97"/>
        <v>58.2</v>
      </c>
      <c r="G700" s="330">
        <v>2</v>
      </c>
      <c r="H700" s="730">
        <v>2</v>
      </c>
      <c r="I700" s="330"/>
      <c r="J700" s="330"/>
      <c r="K700" s="386">
        <f t="shared" si="96"/>
        <v>2</v>
      </c>
      <c r="L700" s="589">
        <f t="shared" si="98"/>
        <v>3.8058991436726926E-4</v>
      </c>
      <c r="M700" s="315">
        <f t="shared" si="99"/>
        <v>0.86360799238820174</v>
      </c>
      <c r="N700" s="425">
        <f t="shared" si="94"/>
        <v>0.3175486588011418</v>
      </c>
      <c r="O700" s="498">
        <v>0.39986618513590572</v>
      </c>
      <c r="P700" s="427">
        <f t="shared" si="100"/>
        <v>9.3210275927687908E-2</v>
      </c>
      <c r="Q700" s="426">
        <f t="shared" si="101"/>
        <v>0.11362332635585157</v>
      </c>
      <c r="R700" s="532">
        <f t="shared" si="95"/>
        <v>2.8766891963108884E-2</v>
      </c>
    </row>
    <row r="701" spans="1:18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608">
        <f t="shared" si="97"/>
        <v>504.2</v>
      </c>
      <c r="G701" s="330">
        <v>6</v>
      </c>
      <c r="H701" s="730">
        <v>12</v>
      </c>
      <c r="I701" s="330"/>
      <c r="J701" s="330"/>
      <c r="K701" s="386">
        <f t="shared" si="96"/>
        <v>12</v>
      </c>
      <c r="L701" s="589">
        <f t="shared" si="98"/>
        <v>2.2835394862036158E-3</v>
      </c>
      <c r="M701" s="315">
        <f t="shared" si="99"/>
        <v>5.1816479543292111</v>
      </c>
      <c r="N701" s="425">
        <f t="shared" si="94"/>
        <v>1.905291952806851</v>
      </c>
      <c r="O701" s="498">
        <v>2.3991971108154342</v>
      </c>
      <c r="P701" s="427">
        <f t="shared" si="100"/>
        <v>0.5592616555661275</v>
      </c>
      <c r="Q701" s="426">
        <f t="shared" si="101"/>
        <v>0.68173995813510946</v>
      </c>
      <c r="R701" s="532">
        <f t="shared" si="95"/>
        <v>1.9923440447278111E-2</v>
      </c>
    </row>
    <row r="702" spans="1:18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608">
        <f t="shared" si="97"/>
        <v>166.6</v>
      </c>
      <c r="G702" s="330">
        <v>1</v>
      </c>
      <c r="H702" s="730">
        <v>4</v>
      </c>
      <c r="I702" s="330"/>
      <c r="J702" s="330"/>
      <c r="K702" s="386">
        <f t="shared" si="96"/>
        <v>4</v>
      </c>
      <c r="L702" s="589">
        <f t="shared" si="98"/>
        <v>7.6117982873453852E-4</v>
      </c>
      <c r="M702" s="315">
        <f t="shared" si="99"/>
        <v>1.7272159847764035</v>
      </c>
      <c r="N702" s="425">
        <f t="shared" si="94"/>
        <v>0.63509731760228361</v>
      </c>
      <c r="O702" s="498">
        <v>0.79973237027181143</v>
      </c>
      <c r="P702" s="427">
        <f t="shared" si="100"/>
        <v>0.18642055185537582</v>
      </c>
      <c r="Q702" s="426">
        <f t="shared" si="101"/>
        <v>0.22724665271170313</v>
      </c>
      <c r="R702" s="532">
        <f t="shared" si="95"/>
        <v>2.009883688178796E-2</v>
      </c>
    </row>
    <row r="703" spans="1:18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608">
        <f t="shared" si="97"/>
        <v>37.799999999999997</v>
      </c>
      <c r="G703" s="330">
        <v>12</v>
      </c>
      <c r="H703" s="730">
        <v>2</v>
      </c>
      <c r="I703" s="330"/>
      <c r="J703" s="330"/>
      <c r="K703" s="386">
        <f t="shared" si="96"/>
        <v>2</v>
      </c>
      <c r="L703" s="589">
        <f t="shared" si="98"/>
        <v>3.8058991436726926E-4</v>
      </c>
      <c r="M703" s="315">
        <f t="shared" si="99"/>
        <v>0.86360799238820174</v>
      </c>
      <c r="N703" s="425">
        <f t="shared" ref="N703:N747" si="102">M703*0.3677</f>
        <v>0.3175486588011418</v>
      </c>
      <c r="O703" s="498">
        <v>0.39986618513590572</v>
      </c>
      <c r="P703" s="427">
        <f t="shared" si="100"/>
        <v>9.3210275927687908E-2</v>
      </c>
      <c r="Q703" s="426">
        <f t="shared" si="101"/>
        <v>0.11362332635585157</v>
      </c>
      <c r="R703" s="532">
        <f t="shared" si="95"/>
        <v>4.4291881276532725E-2</v>
      </c>
    </row>
    <row r="704" spans="1:18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608">
        <f t="shared" si="97"/>
        <v>55.5</v>
      </c>
      <c r="G704" s="330">
        <v>2</v>
      </c>
      <c r="H704" s="730">
        <v>1</v>
      </c>
      <c r="I704" s="330"/>
      <c r="J704" s="330"/>
      <c r="K704" s="386">
        <f t="shared" si="96"/>
        <v>1</v>
      </c>
      <c r="L704" s="589">
        <f t="shared" si="98"/>
        <v>1.9029495718363463E-4</v>
      </c>
      <c r="M704" s="315">
        <f t="shared" si="99"/>
        <v>0.43180399619410087</v>
      </c>
      <c r="N704" s="425">
        <f t="shared" si="102"/>
        <v>0.1587743294005709</v>
      </c>
      <c r="O704" s="498">
        <v>0.19993309256795286</v>
      </c>
      <c r="P704" s="427">
        <f t="shared" si="100"/>
        <v>4.6605137963843954E-2</v>
      </c>
      <c r="Q704" s="426">
        <f t="shared" si="101"/>
        <v>5.6811663177925784E-2</v>
      </c>
      <c r="R704" s="532">
        <f t="shared" si="95"/>
        <v>1.5083181191467902E-2</v>
      </c>
    </row>
    <row r="705" spans="1:18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608">
        <f t="shared" si="97"/>
        <v>146.19999999999999</v>
      </c>
      <c r="G705" s="330">
        <v>12</v>
      </c>
      <c r="H705" s="730">
        <v>4</v>
      </c>
      <c r="I705" s="330"/>
      <c r="J705" s="330"/>
      <c r="K705" s="386">
        <f t="shared" si="96"/>
        <v>4</v>
      </c>
      <c r="L705" s="589">
        <f t="shared" si="98"/>
        <v>7.6117982873453852E-4</v>
      </c>
      <c r="M705" s="315">
        <f t="shared" si="99"/>
        <v>1.7272159847764035</v>
      </c>
      <c r="N705" s="425">
        <f t="shared" si="102"/>
        <v>0.63509731760228361</v>
      </c>
      <c r="O705" s="498">
        <v>0.79973237027181143</v>
      </c>
      <c r="P705" s="427">
        <f t="shared" si="100"/>
        <v>0.18642055185537582</v>
      </c>
      <c r="Q705" s="426">
        <f t="shared" si="101"/>
        <v>0.22724665271170313</v>
      </c>
      <c r="R705" s="532">
        <f t="shared" si="95"/>
        <v>2.290332574901419E-2</v>
      </c>
    </row>
    <row r="706" spans="1:18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608">
        <f t="shared" si="97"/>
        <v>47.9</v>
      </c>
      <c r="G706" s="330">
        <v>4</v>
      </c>
      <c r="H706" s="730">
        <v>2</v>
      </c>
      <c r="I706" s="330"/>
      <c r="J706" s="330"/>
      <c r="K706" s="386">
        <f t="shared" si="96"/>
        <v>2</v>
      </c>
      <c r="L706" s="589">
        <f t="shared" si="98"/>
        <v>3.8058991436726926E-4</v>
      </c>
      <c r="M706" s="315">
        <f t="shared" si="99"/>
        <v>0.86360799238820174</v>
      </c>
      <c r="N706" s="425">
        <f t="shared" si="102"/>
        <v>0.3175486588011418</v>
      </c>
      <c r="O706" s="498">
        <v>0.39986618513590572</v>
      </c>
      <c r="P706" s="427">
        <f t="shared" si="100"/>
        <v>9.3210275927687908E-2</v>
      </c>
      <c r="Q706" s="426">
        <f t="shared" si="101"/>
        <v>0.11362332635585157</v>
      </c>
      <c r="R706" s="532">
        <f t="shared" si="95"/>
        <v>3.4952674577305574E-2</v>
      </c>
    </row>
    <row r="707" spans="1:18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608">
        <f t="shared" si="97"/>
        <v>72.400000000000006</v>
      </c>
      <c r="G707" s="330">
        <v>2</v>
      </c>
      <c r="H707" s="730">
        <v>2</v>
      </c>
      <c r="I707" s="330"/>
      <c r="J707" s="330"/>
      <c r="K707" s="386">
        <f t="shared" si="96"/>
        <v>2</v>
      </c>
      <c r="L707" s="589">
        <f t="shared" si="98"/>
        <v>3.8058991436726926E-4</v>
      </c>
      <c r="M707" s="315">
        <f t="shared" si="99"/>
        <v>0.86360799238820174</v>
      </c>
      <c r="N707" s="425">
        <f t="shared" si="102"/>
        <v>0.3175486588011418</v>
      </c>
      <c r="O707" s="498">
        <v>0.39986618513590572</v>
      </c>
      <c r="P707" s="427">
        <f t="shared" si="100"/>
        <v>9.3210275927687908E-2</v>
      </c>
      <c r="Q707" s="426">
        <f t="shared" si="101"/>
        <v>0.11362332635585157</v>
      </c>
      <c r="R707" s="532">
        <f t="shared" si="95"/>
        <v>2.3124766743825097E-2</v>
      </c>
    </row>
    <row r="708" spans="1:18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608">
        <f t="shared" si="97"/>
        <v>73</v>
      </c>
      <c r="G708" s="330">
        <v>2</v>
      </c>
      <c r="H708" s="730">
        <v>2</v>
      </c>
      <c r="I708" s="330"/>
      <c r="J708" s="330"/>
      <c r="K708" s="386">
        <f t="shared" si="96"/>
        <v>2</v>
      </c>
      <c r="L708" s="589">
        <f t="shared" si="98"/>
        <v>3.8058991436726926E-4</v>
      </c>
      <c r="M708" s="315">
        <f t="shared" si="99"/>
        <v>0.86360799238820174</v>
      </c>
      <c r="N708" s="425">
        <f t="shared" si="102"/>
        <v>0.3175486588011418</v>
      </c>
      <c r="O708" s="498">
        <v>0.49983273141988216</v>
      </c>
      <c r="P708" s="427">
        <f>L708*844.91</f>
        <v>0.32156422454804945</v>
      </c>
      <c r="Q708" s="426">
        <f t="shared" si="101"/>
        <v>0.3919867897240723</v>
      </c>
      <c r="R708" s="532">
        <f t="shared" si="95"/>
        <v>2.7432241193935274E-2</v>
      </c>
    </row>
    <row r="709" spans="1:18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608">
        <f t="shared" si="97"/>
        <v>110</v>
      </c>
      <c r="G709" s="330">
        <v>1</v>
      </c>
      <c r="H709" s="730">
        <v>4</v>
      </c>
      <c r="I709" s="330"/>
      <c r="J709" s="330"/>
      <c r="K709" s="386">
        <f t="shared" si="96"/>
        <v>4</v>
      </c>
      <c r="L709" s="589">
        <f t="shared" si="98"/>
        <v>7.6117982873453852E-4</v>
      </c>
      <c r="M709" s="315">
        <f t="shared" si="99"/>
        <v>1.7272159847764035</v>
      </c>
      <c r="N709" s="425">
        <f t="shared" si="102"/>
        <v>0.63509731760228361</v>
      </c>
      <c r="O709" s="498">
        <v>0.26657745675727046</v>
      </c>
      <c r="P709" s="427">
        <f t="shared" si="100"/>
        <v>0.18642055185537582</v>
      </c>
      <c r="Q709" s="426">
        <f t="shared" si="101"/>
        <v>0.22724665271170313</v>
      </c>
      <c r="R709" s="532">
        <f t="shared" si="95"/>
        <v>2.55937391908303E-2</v>
      </c>
    </row>
    <row r="710" spans="1:18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608">
        <f t="shared" si="97"/>
        <v>382</v>
      </c>
      <c r="G710" s="330">
        <v>4</v>
      </c>
      <c r="H710" s="730">
        <v>10</v>
      </c>
      <c r="I710" s="330"/>
      <c r="J710" s="330"/>
      <c r="K710" s="386">
        <f t="shared" si="96"/>
        <v>10</v>
      </c>
      <c r="L710" s="589">
        <f t="shared" si="98"/>
        <v>1.9029495718363462E-3</v>
      </c>
      <c r="M710" s="315">
        <f t="shared" si="99"/>
        <v>4.3180399619410084</v>
      </c>
      <c r="N710" s="425">
        <f t="shared" si="102"/>
        <v>1.5877432940057088</v>
      </c>
      <c r="O710" s="498">
        <v>1.9993309256795286</v>
      </c>
      <c r="P710" s="427">
        <f t="shared" si="100"/>
        <v>0.46605137963843957</v>
      </c>
      <c r="Q710" s="426">
        <f t="shared" si="101"/>
        <v>0.56811663177925786</v>
      </c>
      <c r="R710" s="532">
        <f t="shared" si="95"/>
        <v>2.1914045971897084E-2</v>
      </c>
    </row>
    <row r="711" spans="1:18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608">
        <f t="shared" si="97"/>
        <v>226.9</v>
      </c>
      <c r="G711" s="330">
        <v>2</v>
      </c>
      <c r="H711" s="730">
        <v>9</v>
      </c>
      <c r="I711" s="330"/>
      <c r="J711" s="330"/>
      <c r="K711" s="386">
        <f t="shared" si="96"/>
        <v>9</v>
      </c>
      <c r="L711" s="589">
        <f t="shared" si="98"/>
        <v>1.7126546146527116E-3</v>
      </c>
      <c r="M711" s="315">
        <f t="shared" si="99"/>
        <v>3.8862359657469079</v>
      </c>
      <c r="N711" s="425">
        <f t="shared" si="102"/>
        <v>1.4289689646051382</v>
      </c>
      <c r="O711" s="498">
        <v>1.7993978331115759</v>
      </c>
      <c r="P711" s="427">
        <f t="shared" si="100"/>
        <v>0.4194462416745956</v>
      </c>
      <c r="Q711" s="426">
        <f t="shared" si="101"/>
        <v>0.51130496860133212</v>
      </c>
      <c r="R711" s="532">
        <f t="shared" si="95"/>
        <v>3.3204270626435509E-2</v>
      </c>
    </row>
    <row r="712" spans="1:18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608">
        <f t="shared" si="97"/>
        <v>142.6</v>
      </c>
      <c r="G712" s="330">
        <v>2</v>
      </c>
      <c r="H712" s="730">
        <v>2</v>
      </c>
      <c r="I712" s="330"/>
      <c r="J712" s="330"/>
      <c r="K712" s="386">
        <f t="shared" si="96"/>
        <v>2</v>
      </c>
      <c r="L712" s="589">
        <f t="shared" si="98"/>
        <v>3.8058991436726926E-4</v>
      </c>
      <c r="M712" s="315">
        <f t="shared" si="99"/>
        <v>0.86360799238820174</v>
      </c>
      <c r="N712" s="425">
        <f t="shared" si="102"/>
        <v>0.3175486588011418</v>
      </c>
      <c r="O712" s="498">
        <v>0.39986618513590572</v>
      </c>
      <c r="P712" s="427">
        <f t="shared" si="100"/>
        <v>9.3210275927687908E-2</v>
      </c>
      <c r="Q712" s="426">
        <f t="shared" si="101"/>
        <v>0.11362332635585157</v>
      </c>
      <c r="R712" s="532">
        <f t="shared" si="95"/>
        <v>1.1740765163064075E-2</v>
      </c>
    </row>
    <row r="713" spans="1:18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608">
        <f t="shared" si="97"/>
        <v>428.31</v>
      </c>
      <c r="G713" s="330">
        <v>2</v>
      </c>
      <c r="H713" s="730">
        <v>10</v>
      </c>
      <c r="I713" s="330"/>
      <c r="J713" s="330"/>
      <c r="K713" s="386">
        <f t="shared" si="96"/>
        <v>10</v>
      </c>
      <c r="L713" s="589">
        <f t="shared" si="98"/>
        <v>1.9029495718363462E-3</v>
      </c>
      <c r="M713" s="315">
        <f t="shared" si="99"/>
        <v>4.3180399619410084</v>
      </c>
      <c r="N713" s="425">
        <f t="shared" si="102"/>
        <v>1.5877432940057088</v>
      </c>
      <c r="O713" s="498">
        <v>1.9993309256795286</v>
      </c>
      <c r="P713" s="427">
        <f t="shared" si="100"/>
        <v>0.46605137963843957</v>
      </c>
      <c r="Q713" s="426">
        <f t="shared" si="101"/>
        <v>0.56811663177925786</v>
      </c>
      <c r="R713" s="532">
        <f t="shared" si="95"/>
        <v>1.9544641874494374E-2</v>
      </c>
    </row>
    <row r="714" spans="1:18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608">
        <f t="shared" si="97"/>
        <v>744.3</v>
      </c>
      <c r="G714" s="330">
        <v>4</v>
      </c>
      <c r="H714" s="730">
        <v>14</v>
      </c>
      <c r="I714" s="330"/>
      <c r="J714" s="330"/>
      <c r="K714" s="386">
        <f t="shared" ref="K714:K774" si="103">H714+I714+J714</f>
        <v>14</v>
      </c>
      <c r="L714" s="589">
        <f t="shared" si="98"/>
        <v>2.6641294005708849E-3</v>
      </c>
      <c r="M714" s="315">
        <f t="shared" si="99"/>
        <v>6.0452559467174121</v>
      </c>
      <c r="N714" s="425">
        <f t="shared" si="102"/>
        <v>2.2228406116079924</v>
      </c>
      <c r="O714" s="498">
        <v>2.7990632959513397</v>
      </c>
      <c r="P714" s="427">
        <f t="shared" si="100"/>
        <v>0.65247193149381544</v>
      </c>
      <c r="Q714" s="426">
        <f t="shared" si="101"/>
        <v>0.79536328449096105</v>
      </c>
      <c r="R714" s="532">
        <f t="shared" ref="R714:R777" si="104">(M714+N714+O714+P714)/C714</f>
        <v>1.5745844129746823E-2</v>
      </c>
    </row>
    <row r="715" spans="1:18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608">
        <f t="shared" ref="F715:F775" si="105">C715+D715+E715</f>
        <v>1084.5899999999999</v>
      </c>
      <c r="G715" s="330">
        <v>10</v>
      </c>
      <c r="H715" s="730">
        <v>27</v>
      </c>
      <c r="I715" s="330"/>
      <c r="J715" s="330"/>
      <c r="K715" s="386">
        <f t="shared" si="103"/>
        <v>27</v>
      </c>
      <c r="L715" s="589">
        <f t="shared" si="98"/>
        <v>5.1379638439581349E-3</v>
      </c>
      <c r="M715" s="315">
        <f t="shared" si="99"/>
        <v>11.658707897240722</v>
      </c>
      <c r="N715" s="425">
        <f t="shared" si="102"/>
        <v>4.2869068938154138</v>
      </c>
      <c r="O715" s="498">
        <v>5.3981934993347274</v>
      </c>
      <c r="P715" s="427">
        <f t="shared" si="100"/>
        <v>1.2583387250237867</v>
      </c>
      <c r="Q715" s="426">
        <f t="shared" si="101"/>
        <v>1.5339149058039963</v>
      </c>
      <c r="R715" s="532">
        <f t="shared" si="104"/>
        <v>2.0839346679772681E-2</v>
      </c>
    </row>
    <row r="716" spans="1:18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608">
        <f t="shared" si="105"/>
        <v>1069.71</v>
      </c>
      <c r="G716" s="330">
        <v>9</v>
      </c>
      <c r="H716" s="730">
        <v>24</v>
      </c>
      <c r="I716" s="330"/>
      <c r="J716" s="330"/>
      <c r="K716" s="386">
        <f t="shared" si="103"/>
        <v>24</v>
      </c>
      <c r="L716" s="589">
        <f t="shared" si="98"/>
        <v>4.5670789724072316E-3</v>
      </c>
      <c r="M716" s="315">
        <f t="shared" si="99"/>
        <v>10.363295908658422</v>
      </c>
      <c r="N716" s="425">
        <f t="shared" si="102"/>
        <v>3.8105839056137021</v>
      </c>
      <c r="O716" s="498">
        <v>4.7983942216308684</v>
      </c>
      <c r="P716" s="427">
        <f t="shared" si="100"/>
        <v>1.118523311132255</v>
      </c>
      <c r="Q716" s="426">
        <f t="shared" si="101"/>
        <v>1.3634799162702189</v>
      </c>
      <c r="R716" s="532">
        <f t="shared" si="104"/>
        <v>1.878153644168536E-2</v>
      </c>
    </row>
    <row r="717" spans="1:18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608">
        <f t="shared" si="105"/>
        <v>196.8</v>
      </c>
      <c r="G717" s="330">
        <v>2</v>
      </c>
      <c r="H717" s="730">
        <v>5</v>
      </c>
      <c r="I717" s="330"/>
      <c r="J717" s="330"/>
      <c r="K717" s="386">
        <f t="shared" si="103"/>
        <v>5</v>
      </c>
      <c r="L717" s="589">
        <f t="shared" si="98"/>
        <v>9.514747859181731E-4</v>
      </c>
      <c r="M717" s="315">
        <f t="shared" si="99"/>
        <v>2.1590199809705042</v>
      </c>
      <c r="N717" s="425">
        <f t="shared" si="102"/>
        <v>0.7938716470028544</v>
      </c>
      <c r="O717" s="498">
        <v>0.99966546283976432</v>
      </c>
      <c r="P717" s="427">
        <f t="shared" si="100"/>
        <v>0.23302568981921978</v>
      </c>
      <c r="Q717" s="426">
        <f t="shared" si="101"/>
        <v>0.28405831588962893</v>
      </c>
      <c r="R717" s="532">
        <f t="shared" si="104"/>
        <v>2.1268205186139953E-2</v>
      </c>
    </row>
    <row r="718" spans="1:18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608">
        <f t="shared" si="105"/>
        <v>625.9</v>
      </c>
      <c r="G718" s="330">
        <v>10</v>
      </c>
      <c r="H718" s="730">
        <v>32</v>
      </c>
      <c r="I718" s="330"/>
      <c r="J718" s="330"/>
      <c r="K718" s="386">
        <f t="shared" si="103"/>
        <v>32</v>
      </c>
      <c r="L718" s="589">
        <f t="shared" si="98"/>
        <v>6.0894386298763082E-3</v>
      </c>
      <c r="M718" s="315">
        <f t="shared" si="99"/>
        <v>13.817727878211228</v>
      </c>
      <c r="N718" s="425">
        <f t="shared" si="102"/>
        <v>5.0807785408182689</v>
      </c>
      <c r="O718" s="498">
        <v>6.3978589621744915</v>
      </c>
      <c r="P718" s="427">
        <f t="shared" si="100"/>
        <v>1.4913644148430065</v>
      </c>
      <c r="Q718" s="426">
        <f t="shared" si="101"/>
        <v>1.8179732216936251</v>
      </c>
      <c r="R718" s="532">
        <f t="shared" si="104"/>
        <v>4.279873749168716E-2</v>
      </c>
    </row>
    <row r="719" spans="1:18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608">
        <f t="shared" si="105"/>
        <v>127.5</v>
      </c>
      <c r="G719" s="330">
        <v>14</v>
      </c>
      <c r="H719" s="730">
        <v>4</v>
      </c>
      <c r="I719" s="330"/>
      <c r="J719" s="330"/>
      <c r="K719" s="386">
        <f t="shared" si="103"/>
        <v>4</v>
      </c>
      <c r="L719" s="589">
        <f t="shared" si="98"/>
        <v>7.6117982873453852E-4</v>
      </c>
      <c r="M719" s="315">
        <f t="shared" si="99"/>
        <v>1.7272159847764035</v>
      </c>
      <c r="N719" s="425">
        <f t="shared" si="102"/>
        <v>0.63509731760228361</v>
      </c>
      <c r="O719" s="498">
        <v>0.79973237027181143</v>
      </c>
      <c r="P719" s="427">
        <f t="shared" si="100"/>
        <v>0.18642055185537582</v>
      </c>
      <c r="Q719" s="426">
        <f t="shared" si="101"/>
        <v>0.22724665271170313</v>
      </c>
      <c r="R719" s="532">
        <f t="shared" si="104"/>
        <v>2.6262480192202935E-2</v>
      </c>
    </row>
    <row r="720" spans="1:18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608">
        <f t="shared" si="105"/>
        <v>561.25</v>
      </c>
      <c r="G720" s="330">
        <v>27</v>
      </c>
      <c r="H720" s="730">
        <v>12</v>
      </c>
      <c r="I720" s="330"/>
      <c r="J720" s="330"/>
      <c r="K720" s="386">
        <f t="shared" si="103"/>
        <v>12</v>
      </c>
      <c r="L720" s="589">
        <f t="shared" si="98"/>
        <v>2.2835394862036158E-3</v>
      </c>
      <c r="M720" s="315">
        <f t="shared" si="99"/>
        <v>5.1816479543292111</v>
      </c>
      <c r="N720" s="425">
        <f t="shared" si="102"/>
        <v>1.905291952806851</v>
      </c>
      <c r="O720" s="498">
        <v>2.3991971108154342</v>
      </c>
      <c r="P720" s="427">
        <f t="shared" si="100"/>
        <v>0.5592616555661275</v>
      </c>
      <c r="Q720" s="426">
        <f t="shared" si="101"/>
        <v>0.68173995813510946</v>
      </c>
      <c r="R720" s="532">
        <f t="shared" si="104"/>
        <v>1.7898260442793093E-2</v>
      </c>
    </row>
    <row r="721" spans="1:18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608">
        <f t="shared" si="105"/>
        <v>122.9</v>
      </c>
      <c r="G721" s="330">
        <v>24</v>
      </c>
      <c r="H721" s="730">
        <v>4</v>
      </c>
      <c r="I721" s="330"/>
      <c r="J721" s="330"/>
      <c r="K721" s="386">
        <f t="shared" si="103"/>
        <v>4</v>
      </c>
      <c r="L721" s="589">
        <f t="shared" si="98"/>
        <v>7.6117982873453852E-4</v>
      </c>
      <c r="M721" s="315">
        <f t="shared" si="99"/>
        <v>1.7272159847764035</v>
      </c>
      <c r="N721" s="425">
        <f t="shared" si="102"/>
        <v>0.63509731760228361</v>
      </c>
      <c r="O721" s="498">
        <v>0.79973237027181143</v>
      </c>
      <c r="P721" s="427">
        <f t="shared" si="100"/>
        <v>0.18642055185537582</v>
      </c>
      <c r="Q721" s="426">
        <f t="shared" si="101"/>
        <v>0.22724665271170313</v>
      </c>
      <c r="R721" s="532">
        <f t="shared" si="104"/>
        <v>2.7245453413391976E-2</v>
      </c>
    </row>
    <row r="722" spans="1:18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608">
        <f t="shared" si="105"/>
        <v>82.5</v>
      </c>
      <c r="G722" s="330">
        <v>5</v>
      </c>
      <c r="H722" s="730">
        <v>2</v>
      </c>
      <c r="I722" s="330"/>
      <c r="J722" s="330"/>
      <c r="K722" s="386">
        <f t="shared" si="103"/>
        <v>2</v>
      </c>
      <c r="L722" s="589">
        <f t="shared" si="98"/>
        <v>3.8058991436726926E-4</v>
      </c>
      <c r="M722" s="315">
        <f t="shared" si="99"/>
        <v>0.86360799238820174</v>
      </c>
      <c r="N722" s="425">
        <f t="shared" si="102"/>
        <v>0.3175486588011418</v>
      </c>
      <c r="O722" s="498">
        <v>0.46651054932522329</v>
      </c>
      <c r="P722" s="427">
        <f>L722*1244.91</f>
        <v>0.47380019029495724</v>
      </c>
      <c r="Q722" s="426">
        <f t="shared" si="101"/>
        <v>0.57756243196955293</v>
      </c>
      <c r="R722" s="532">
        <f t="shared" si="104"/>
        <v>2.5714756252236654E-2</v>
      </c>
    </row>
    <row r="723" spans="1:18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608">
        <f t="shared" si="105"/>
        <v>118.7</v>
      </c>
      <c r="G723" s="330">
        <v>32</v>
      </c>
      <c r="H723" s="730">
        <v>3</v>
      </c>
      <c r="I723" s="330"/>
      <c r="J723" s="330"/>
      <c r="K723" s="386">
        <f t="shared" si="103"/>
        <v>3</v>
      </c>
      <c r="L723" s="589">
        <f t="shared" si="98"/>
        <v>5.7088487155090395E-4</v>
      </c>
      <c r="M723" s="315">
        <f t="shared" si="99"/>
        <v>1.2954119885823028</v>
      </c>
      <c r="N723" s="425">
        <f t="shared" si="102"/>
        <v>0.47632298820171276</v>
      </c>
      <c r="O723" s="498">
        <v>0.59979927770385855</v>
      </c>
      <c r="P723" s="427">
        <f t="shared" si="100"/>
        <v>0.13981541389153188</v>
      </c>
      <c r="Q723" s="426">
        <f t="shared" si="101"/>
        <v>0.17043498953377736</v>
      </c>
      <c r="R723" s="532">
        <f t="shared" si="104"/>
        <v>2.1157115993086822E-2</v>
      </c>
    </row>
    <row r="724" spans="1:18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608">
        <f t="shared" si="105"/>
        <v>113.8</v>
      </c>
      <c r="G724" s="330">
        <v>4</v>
      </c>
      <c r="H724" s="730">
        <v>3</v>
      </c>
      <c r="I724" s="330"/>
      <c r="J724" s="330"/>
      <c r="K724" s="386">
        <f t="shared" si="103"/>
        <v>3</v>
      </c>
      <c r="L724" s="589">
        <f t="shared" si="98"/>
        <v>5.7088487155090395E-4</v>
      </c>
      <c r="M724" s="315">
        <f t="shared" si="99"/>
        <v>1.2954119885823028</v>
      </c>
      <c r="N724" s="425">
        <f t="shared" si="102"/>
        <v>0.47632298820171276</v>
      </c>
      <c r="O724" s="498">
        <v>0.59979927770385855</v>
      </c>
      <c r="P724" s="427">
        <f t="shared" si="100"/>
        <v>0.13981541389153188</v>
      </c>
      <c r="Q724" s="426">
        <f t="shared" si="101"/>
        <v>0.17043498953377736</v>
      </c>
      <c r="R724" s="532">
        <f t="shared" si="104"/>
        <v>2.2068099019151192E-2</v>
      </c>
    </row>
    <row r="725" spans="1:18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608">
        <f t="shared" si="105"/>
        <v>294</v>
      </c>
      <c r="G725" s="330">
        <v>12</v>
      </c>
      <c r="H725" s="730">
        <v>6</v>
      </c>
      <c r="I725" s="330"/>
      <c r="J725" s="330"/>
      <c r="K725" s="386">
        <f t="shared" si="103"/>
        <v>6</v>
      </c>
      <c r="L725" s="589">
        <f t="shared" si="98"/>
        <v>1.1417697431018079E-3</v>
      </c>
      <c r="M725" s="315">
        <f t="shared" si="99"/>
        <v>2.5908239771646056</v>
      </c>
      <c r="N725" s="425">
        <f t="shared" si="102"/>
        <v>0.95264597640342552</v>
      </c>
      <c r="O725" s="498">
        <v>1.1995985554077171</v>
      </c>
      <c r="P725" s="427">
        <f t="shared" si="100"/>
        <v>0.27963082778306375</v>
      </c>
      <c r="Q725" s="426">
        <f t="shared" si="101"/>
        <v>0.34086997906755473</v>
      </c>
      <c r="R725" s="532">
        <f t="shared" si="104"/>
        <v>1.7084011349519767E-2</v>
      </c>
    </row>
    <row r="726" spans="1:18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608">
        <f t="shared" si="105"/>
        <v>38.6</v>
      </c>
      <c r="G726" s="330">
        <v>4</v>
      </c>
      <c r="H726" s="730">
        <v>3</v>
      </c>
      <c r="I726" s="330"/>
      <c r="J726" s="330"/>
      <c r="K726" s="386">
        <f t="shared" si="103"/>
        <v>3</v>
      </c>
      <c r="L726" s="589">
        <f t="shared" si="98"/>
        <v>5.7088487155090395E-4</v>
      </c>
      <c r="M726" s="315">
        <f t="shared" si="99"/>
        <v>1.2954119885823028</v>
      </c>
      <c r="N726" s="425">
        <f t="shared" si="102"/>
        <v>0.47632298820171276</v>
      </c>
      <c r="O726" s="498">
        <v>0.59979927770385855</v>
      </c>
      <c r="P726" s="427">
        <f t="shared" si="100"/>
        <v>0.13981541389153188</v>
      </c>
      <c r="Q726" s="426">
        <f t="shared" si="101"/>
        <v>0.17043498953377736</v>
      </c>
      <c r="R726" s="532">
        <f t="shared" si="104"/>
        <v>6.5060872237808431E-2</v>
      </c>
    </row>
    <row r="727" spans="1:18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608">
        <f t="shared" si="105"/>
        <v>295.8</v>
      </c>
      <c r="G727" s="330">
        <v>2</v>
      </c>
      <c r="H727" s="730">
        <v>10</v>
      </c>
      <c r="I727" s="330"/>
      <c r="J727" s="330"/>
      <c r="K727" s="386">
        <f t="shared" si="103"/>
        <v>10</v>
      </c>
      <c r="L727" s="589">
        <f t="shared" si="98"/>
        <v>1.9029495718363462E-3</v>
      </c>
      <c r="M727" s="315">
        <f t="shared" si="99"/>
        <v>4.3180399619410084</v>
      </c>
      <c r="N727" s="425">
        <f t="shared" si="102"/>
        <v>1.5877432940057088</v>
      </c>
      <c r="O727" s="498">
        <v>1.9993309256795286</v>
      </c>
      <c r="P727" s="427">
        <f t="shared" si="100"/>
        <v>0.46605137963843957</v>
      </c>
      <c r="Q727" s="426">
        <f t="shared" si="101"/>
        <v>0.56811663177925786</v>
      </c>
      <c r="R727" s="532">
        <f t="shared" si="104"/>
        <v>2.8300086414011782E-2</v>
      </c>
    </row>
    <row r="728" spans="1:18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608">
        <f t="shared" si="105"/>
        <v>2954.3</v>
      </c>
      <c r="G728" s="330">
        <v>3</v>
      </c>
      <c r="H728" s="730">
        <v>88</v>
      </c>
      <c r="I728" s="330"/>
      <c r="J728" s="330">
        <v>4</v>
      </c>
      <c r="K728" s="386">
        <f t="shared" si="103"/>
        <v>92</v>
      </c>
      <c r="L728" s="589">
        <f t="shared" si="98"/>
        <v>1.7507136060894386E-2</v>
      </c>
      <c r="M728" s="315">
        <f t="shared" si="99"/>
        <v>39.725967649857282</v>
      </c>
      <c r="N728" s="425">
        <f t="shared" si="102"/>
        <v>14.607238304852524</v>
      </c>
      <c r="O728" s="498">
        <v>18.393844516251662</v>
      </c>
      <c r="P728" s="427">
        <f t="shared" si="100"/>
        <v>4.2876726926736444</v>
      </c>
      <c r="Q728" s="426">
        <f t="shared" si="101"/>
        <v>5.2266730123691731</v>
      </c>
      <c r="R728" s="532">
        <f t="shared" si="104"/>
        <v>2.8053299516859764E-2</v>
      </c>
    </row>
    <row r="729" spans="1:18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608">
        <f t="shared" si="105"/>
        <v>601.58000000000004</v>
      </c>
      <c r="G729" s="330">
        <v>3</v>
      </c>
      <c r="H729" s="730">
        <v>16</v>
      </c>
      <c r="I729" s="330"/>
      <c r="J729" s="330"/>
      <c r="K729" s="386">
        <f t="shared" si="103"/>
        <v>16</v>
      </c>
      <c r="L729" s="589">
        <f t="shared" ref="L729:L746" si="106">1/5255*K729</f>
        <v>3.0447193149381541E-3</v>
      </c>
      <c r="M729" s="315">
        <f t="shared" ref="M729:M746" si="107">L729*2269.13</f>
        <v>6.9088639391056139</v>
      </c>
      <c r="N729" s="425">
        <f t="shared" si="102"/>
        <v>2.5403892704091344</v>
      </c>
      <c r="O729" s="498">
        <v>3.1989294810872457</v>
      </c>
      <c r="P729" s="427">
        <f t="shared" ref="P729:P744" si="108">L729*244.91</f>
        <v>0.74568220742150326</v>
      </c>
      <c r="Q729" s="426">
        <f t="shared" si="101"/>
        <v>0.90898661084681254</v>
      </c>
      <c r="R729" s="532">
        <f t="shared" si="104"/>
        <v>2.2264478370330621E-2</v>
      </c>
    </row>
    <row r="730" spans="1:18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608">
        <f t="shared" si="105"/>
        <v>392.31</v>
      </c>
      <c r="G730" s="330">
        <v>6</v>
      </c>
      <c r="H730" s="730">
        <v>9</v>
      </c>
      <c r="I730" s="330"/>
      <c r="J730" s="330"/>
      <c r="K730" s="386">
        <f t="shared" si="103"/>
        <v>9</v>
      </c>
      <c r="L730" s="589">
        <f t="shared" si="106"/>
        <v>1.7126546146527116E-3</v>
      </c>
      <c r="M730" s="315">
        <f t="shared" si="107"/>
        <v>3.8862359657469079</v>
      </c>
      <c r="N730" s="425">
        <f t="shared" si="102"/>
        <v>1.4289689646051382</v>
      </c>
      <c r="O730" s="498">
        <v>1.7993978331115759</v>
      </c>
      <c r="P730" s="427">
        <f t="shared" si="108"/>
        <v>0.4194462416745956</v>
      </c>
      <c r="Q730" s="426">
        <f t="shared" si="101"/>
        <v>0.51130496860133212</v>
      </c>
      <c r="R730" s="532">
        <f t="shared" si="104"/>
        <v>1.9204325673926787E-2</v>
      </c>
    </row>
    <row r="731" spans="1:18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608">
        <f t="shared" si="105"/>
        <v>600.88</v>
      </c>
      <c r="G731" s="330">
        <v>3</v>
      </c>
      <c r="H731" s="730">
        <v>17</v>
      </c>
      <c r="I731" s="330"/>
      <c r="J731" s="330"/>
      <c r="K731" s="386">
        <f t="shared" si="103"/>
        <v>17</v>
      </c>
      <c r="L731" s="589">
        <f t="shared" si="106"/>
        <v>3.2350142721217887E-3</v>
      </c>
      <c r="M731" s="315">
        <f t="shared" si="107"/>
        <v>7.3406679352997148</v>
      </c>
      <c r="N731" s="425">
        <f t="shared" si="102"/>
        <v>2.6991635998097054</v>
      </c>
      <c r="O731" s="498">
        <v>3.3988625736551987</v>
      </c>
      <c r="P731" s="427">
        <f t="shared" si="108"/>
        <v>0.79228734538534729</v>
      </c>
      <c r="Q731" s="426">
        <f t="shared" si="101"/>
        <v>0.96579827402473839</v>
      </c>
      <c r="R731" s="532">
        <f t="shared" si="104"/>
        <v>2.3683566526011796E-2</v>
      </c>
    </row>
    <row r="732" spans="1:18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608">
        <f t="shared" si="105"/>
        <v>307.3</v>
      </c>
      <c r="G732" s="330">
        <v>10</v>
      </c>
      <c r="H732" s="730">
        <v>7</v>
      </c>
      <c r="I732" s="330"/>
      <c r="J732" s="330"/>
      <c r="K732" s="386">
        <f t="shared" si="103"/>
        <v>7</v>
      </c>
      <c r="L732" s="589">
        <f t="shared" si="106"/>
        <v>1.3320647002854425E-3</v>
      </c>
      <c r="M732" s="315">
        <f t="shared" si="107"/>
        <v>3.022627973358706</v>
      </c>
      <c r="N732" s="425">
        <f t="shared" si="102"/>
        <v>1.1114203058039962</v>
      </c>
      <c r="O732" s="498">
        <v>1.3995316479756699</v>
      </c>
      <c r="P732" s="427">
        <f t="shared" si="108"/>
        <v>0.32623596574690772</v>
      </c>
      <c r="Q732" s="426">
        <f t="shared" si="101"/>
        <v>0.39768164224548053</v>
      </c>
      <c r="R732" s="532">
        <f t="shared" si="104"/>
        <v>1.9068714262561924E-2</v>
      </c>
    </row>
    <row r="733" spans="1:18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608">
        <f t="shared" si="105"/>
        <v>800.1</v>
      </c>
      <c r="G733" s="330">
        <v>0</v>
      </c>
      <c r="H733" s="730">
        <v>22</v>
      </c>
      <c r="I733" s="330"/>
      <c r="J733" s="330">
        <v>1</v>
      </c>
      <c r="K733" s="386">
        <f t="shared" si="103"/>
        <v>23</v>
      </c>
      <c r="L733" s="589">
        <f t="shared" si="106"/>
        <v>4.3767840152235966E-3</v>
      </c>
      <c r="M733" s="315">
        <f t="shared" si="107"/>
        <v>9.9314919124643204</v>
      </c>
      <c r="N733" s="425">
        <f t="shared" si="102"/>
        <v>3.6518095762131311</v>
      </c>
      <c r="O733" s="498">
        <v>4.5984611290629154</v>
      </c>
      <c r="P733" s="427">
        <f t="shared" si="108"/>
        <v>1.0719181731684111</v>
      </c>
      <c r="Q733" s="426">
        <f t="shared" ref="Q733:Q747" si="109">P733*1.219</f>
        <v>1.3066682530922933</v>
      </c>
      <c r="R733" s="532">
        <f t="shared" si="104"/>
        <v>2.5234181901584243E-2</v>
      </c>
    </row>
    <row r="734" spans="1:18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608">
        <f t="shared" si="105"/>
        <v>325.2</v>
      </c>
      <c r="G734" s="330">
        <v>16</v>
      </c>
      <c r="H734" s="730">
        <v>8</v>
      </c>
      <c r="I734" s="330"/>
      <c r="J734" s="330"/>
      <c r="K734" s="386">
        <f t="shared" si="103"/>
        <v>8</v>
      </c>
      <c r="L734" s="589">
        <f t="shared" si="106"/>
        <v>1.522359657469077E-3</v>
      </c>
      <c r="M734" s="315">
        <f t="shared" si="107"/>
        <v>3.454431969552807</v>
      </c>
      <c r="N734" s="425">
        <f t="shared" si="102"/>
        <v>1.2701946352045672</v>
      </c>
      <c r="O734" s="498">
        <v>1.5994647405436229</v>
      </c>
      <c r="P734" s="427">
        <f t="shared" si="108"/>
        <v>0.37284110371075163</v>
      </c>
      <c r="Q734" s="426">
        <f t="shared" si="109"/>
        <v>0.45449330542340627</v>
      </c>
      <c r="R734" s="532">
        <f t="shared" si="104"/>
        <v>2.0593273213443262E-2</v>
      </c>
    </row>
    <row r="735" spans="1:18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608">
        <f t="shared" si="105"/>
        <v>420.25</v>
      </c>
      <c r="G735" s="330">
        <v>9</v>
      </c>
      <c r="H735" s="730">
        <v>13</v>
      </c>
      <c r="I735" s="330"/>
      <c r="J735" s="330">
        <v>2</v>
      </c>
      <c r="K735" s="386">
        <f t="shared" si="103"/>
        <v>15</v>
      </c>
      <c r="L735" s="589">
        <f t="shared" si="106"/>
        <v>2.8544243577545195E-3</v>
      </c>
      <c r="M735" s="315">
        <f t="shared" si="107"/>
        <v>6.477059942911513</v>
      </c>
      <c r="N735" s="425">
        <f t="shared" si="102"/>
        <v>2.3816149410085634</v>
      </c>
      <c r="O735" s="498">
        <v>2.9989963885192927</v>
      </c>
      <c r="P735" s="427">
        <f t="shared" si="108"/>
        <v>0.69907706945765935</v>
      </c>
      <c r="Q735" s="426">
        <f t="shared" si="109"/>
        <v>0.8521749476688868</v>
      </c>
      <c r="R735" s="532">
        <f t="shared" si="104"/>
        <v>3.4275278673118685E-2</v>
      </c>
    </row>
    <row r="736" spans="1:18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608">
        <f t="shared" si="105"/>
        <v>468.48</v>
      </c>
      <c r="G736" s="330">
        <v>17</v>
      </c>
      <c r="H736" s="730">
        <v>17</v>
      </c>
      <c r="I736" s="330"/>
      <c r="J736" s="330"/>
      <c r="K736" s="386">
        <f t="shared" si="103"/>
        <v>17</v>
      </c>
      <c r="L736" s="589">
        <f t="shared" si="106"/>
        <v>3.2350142721217887E-3</v>
      </c>
      <c r="M736" s="315">
        <f t="shared" si="107"/>
        <v>7.3406679352997148</v>
      </c>
      <c r="N736" s="425">
        <f t="shared" si="102"/>
        <v>2.6991635998097054</v>
      </c>
      <c r="O736" s="498">
        <v>3.3988625736551987</v>
      </c>
      <c r="P736" s="427">
        <f t="shared" si="108"/>
        <v>0.79228734538534729</v>
      </c>
      <c r="Q736" s="426">
        <f t="shared" si="109"/>
        <v>0.96579827402473839</v>
      </c>
      <c r="R736" s="532">
        <f t="shared" si="104"/>
        <v>3.0376924210531862E-2</v>
      </c>
    </row>
    <row r="737" spans="1:18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608">
        <f t="shared" si="105"/>
        <v>1026.08</v>
      </c>
      <c r="G737" s="330">
        <v>7</v>
      </c>
      <c r="H737" s="730">
        <v>33</v>
      </c>
      <c r="I737" s="330"/>
      <c r="J737" s="330">
        <v>1</v>
      </c>
      <c r="K737" s="386">
        <f t="shared" si="103"/>
        <v>34</v>
      </c>
      <c r="L737" s="589">
        <f t="shared" si="106"/>
        <v>6.4700285442435774E-3</v>
      </c>
      <c r="M737" s="315">
        <f t="shared" si="107"/>
        <v>14.68133587059943</v>
      </c>
      <c r="N737" s="425">
        <f t="shared" si="102"/>
        <v>5.3983271996194109</v>
      </c>
      <c r="O737" s="498">
        <v>6.7977251473103975</v>
      </c>
      <c r="P737" s="427">
        <f t="shared" si="108"/>
        <v>1.5845746907706946</v>
      </c>
      <c r="Q737" s="426">
        <f t="shared" si="109"/>
        <v>1.9315965480494768</v>
      </c>
      <c r="R737" s="532">
        <f t="shared" si="104"/>
        <v>2.8548178407089345E-2</v>
      </c>
    </row>
    <row r="738" spans="1:18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608">
        <f t="shared" si="105"/>
        <v>1242.02</v>
      </c>
      <c r="G738" s="330">
        <v>22</v>
      </c>
      <c r="H738" s="730">
        <v>26</v>
      </c>
      <c r="I738" s="330"/>
      <c r="J738" s="330">
        <v>2</v>
      </c>
      <c r="K738" s="386">
        <f t="shared" si="103"/>
        <v>28</v>
      </c>
      <c r="L738" s="589">
        <f t="shared" si="106"/>
        <v>5.3282588011417699E-3</v>
      </c>
      <c r="M738" s="315">
        <f t="shared" si="107"/>
        <v>12.090511893434824</v>
      </c>
      <c r="N738" s="425">
        <f t="shared" si="102"/>
        <v>4.4456812232159848</v>
      </c>
      <c r="O738" s="498">
        <v>5.5981265919026795</v>
      </c>
      <c r="P738" s="427">
        <f t="shared" si="108"/>
        <v>1.3049438629876309</v>
      </c>
      <c r="Q738" s="426">
        <f t="shared" si="109"/>
        <v>1.5907265689819221</v>
      </c>
      <c r="R738" s="532">
        <f t="shared" si="104"/>
        <v>2.1019498862491142E-2</v>
      </c>
    </row>
    <row r="739" spans="1:18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608">
        <f t="shared" si="105"/>
        <v>827.02</v>
      </c>
      <c r="G739" s="330">
        <v>8</v>
      </c>
      <c r="H739" s="730">
        <v>22</v>
      </c>
      <c r="I739" s="330"/>
      <c r="J739" s="330">
        <v>4</v>
      </c>
      <c r="K739" s="386">
        <f t="shared" si="103"/>
        <v>26</v>
      </c>
      <c r="L739" s="589">
        <f t="shared" si="106"/>
        <v>4.9476688867745007E-3</v>
      </c>
      <c r="M739" s="315">
        <f t="shared" si="107"/>
        <v>11.226903901046624</v>
      </c>
      <c r="N739" s="425">
        <f t="shared" si="102"/>
        <v>4.1281325644148437</v>
      </c>
      <c r="O739" s="498">
        <v>5.1982604067667744</v>
      </c>
      <c r="P739" s="427">
        <f t="shared" si="108"/>
        <v>1.2117335870599431</v>
      </c>
      <c r="Q739" s="426">
        <f t="shared" si="109"/>
        <v>1.4771032426260706</v>
      </c>
      <c r="R739" s="532">
        <f>(M739+N739+O739+P739)/C739</f>
        <v>3.2063036532936837E-2</v>
      </c>
    </row>
    <row r="740" spans="1:18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608">
        <f t="shared" si="105"/>
        <v>487.41</v>
      </c>
      <c r="G740" s="330">
        <v>13</v>
      </c>
      <c r="H740" s="730">
        <v>12</v>
      </c>
      <c r="I740" s="330"/>
      <c r="J740" s="330"/>
      <c r="K740" s="386">
        <f t="shared" si="103"/>
        <v>12</v>
      </c>
      <c r="L740" s="589">
        <f t="shared" si="106"/>
        <v>2.2835394862036158E-3</v>
      </c>
      <c r="M740" s="315">
        <f t="shared" si="107"/>
        <v>5.1816479543292111</v>
      </c>
      <c r="N740" s="425">
        <f t="shared" si="102"/>
        <v>1.905291952806851</v>
      </c>
      <c r="O740" s="498">
        <v>2.3991971108154342</v>
      </c>
      <c r="P740" s="427">
        <f t="shared" si="108"/>
        <v>0.5592616555661275</v>
      </c>
      <c r="Q740" s="426">
        <f t="shared" si="109"/>
        <v>0.68173995813510946</v>
      </c>
      <c r="R740" s="532">
        <f t="shared" si="104"/>
        <v>2.0609750874043663E-2</v>
      </c>
    </row>
    <row r="741" spans="1:18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608">
        <f t="shared" si="105"/>
        <v>685</v>
      </c>
      <c r="G741" s="330">
        <v>17</v>
      </c>
      <c r="H741" s="730">
        <v>8</v>
      </c>
      <c r="I741" s="330">
        <v>1</v>
      </c>
      <c r="J741" s="330">
        <v>2</v>
      </c>
      <c r="K741" s="386">
        <f t="shared" si="103"/>
        <v>11</v>
      </c>
      <c r="L741" s="589">
        <f t="shared" si="106"/>
        <v>2.0932445290199808E-3</v>
      </c>
      <c r="M741" s="315">
        <f t="shared" si="107"/>
        <v>4.7498439581351093</v>
      </c>
      <c r="N741" s="425">
        <f t="shared" si="102"/>
        <v>1.7465176234062798</v>
      </c>
      <c r="O741" s="498">
        <v>2.1992640182474816</v>
      </c>
      <c r="P741" s="427">
        <f t="shared" si="108"/>
        <v>0.51265651760228348</v>
      </c>
      <c r="Q741" s="426">
        <f t="shared" si="109"/>
        <v>0.62492829495718361</v>
      </c>
      <c r="R741" s="532">
        <f t="shared" si="104"/>
        <v>2.1095720772946514E-2</v>
      </c>
    </row>
    <row r="742" spans="1:18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608">
        <f t="shared" si="105"/>
        <v>636.55999999999995</v>
      </c>
      <c r="G742" s="330">
        <v>33</v>
      </c>
      <c r="H742" s="730">
        <v>14</v>
      </c>
      <c r="I742" s="330"/>
      <c r="J742" s="330"/>
      <c r="K742" s="386">
        <f t="shared" si="103"/>
        <v>14</v>
      </c>
      <c r="L742" s="589">
        <f t="shared" si="106"/>
        <v>2.6641294005708849E-3</v>
      </c>
      <c r="M742" s="315">
        <f t="shared" si="107"/>
        <v>6.0452559467174121</v>
      </c>
      <c r="N742" s="425">
        <f t="shared" si="102"/>
        <v>2.2228406116079924</v>
      </c>
      <c r="O742" s="498">
        <v>2.7990632959513397</v>
      </c>
      <c r="P742" s="427">
        <f t="shared" si="108"/>
        <v>0.65247193149381544</v>
      </c>
      <c r="Q742" s="426">
        <f t="shared" si="109"/>
        <v>0.79536328449096105</v>
      </c>
      <c r="R742" s="532">
        <f t="shared" si="104"/>
        <v>1.8410883162263667E-2</v>
      </c>
    </row>
    <row r="743" spans="1:18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608">
        <f t="shared" si="105"/>
        <v>505.1</v>
      </c>
      <c r="G743" s="330">
        <v>26</v>
      </c>
      <c r="H743" s="730">
        <v>16</v>
      </c>
      <c r="I743" s="330">
        <v>1</v>
      </c>
      <c r="J743" s="330"/>
      <c r="K743" s="386">
        <f t="shared" si="103"/>
        <v>17</v>
      </c>
      <c r="L743" s="589">
        <f t="shared" si="106"/>
        <v>3.2350142721217887E-3</v>
      </c>
      <c r="M743" s="315">
        <f t="shared" si="107"/>
        <v>7.3406679352997148</v>
      </c>
      <c r="N743" s="425">
        <f t="shared" si="102"/>
        <v>2.6991635998097054</v>
      </c>
      <c r="O743" s="498">
        <v>3.3988625736551987</v>
      </c>
      <c r="P743" s="427">
        <f t="shared" si="108"/>
        <v>0.79228734538534729</v>
      </c>
      <c r="Q743" s="426">
        <f t="shared" si="109"/>
        <v>0.96579827402473839</v>
      </c>
      <c r="R743" s="532">
        <f t="shared" si="104"/>
        <v>2.8749457483131246E-2</v>
      </c>
    </row>
    <row r="744" spans="1:18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608">
        <f t="shared" si="105"/>
        <v>536.88</v>
      </c>
      <c r="G744" s="330">
        <v>22</v>
      </c>
      <c r="H744" s="730">
        <v>13</v>
      </c>
      <c r="I744" s="330"/>
      <c r="J744" s="330"/>
      <c r="K744" s="386">
        <f t="shared" si="103"/>
        <v>13</v>
      </c>
      <c r="L744" s="589">
        <f t="shared" si="106"/>
        <v>2.4738344433872504E-3</v>
      </c>
      <c r="M744" s="315">
        <f t="shared" si="107"/>
        <v>5.613451950523312</v>
      </c>
      <c r="N744" s="425">
        <f t="shared" si="102"/>
        <v>2.0640662822074218</v>
      </c>
      <c r="O744" s="498">
        <v>2.5991302033833872</v>
      </c>
      <c r="P744" s="427">
        <f t="shared" si="108"/>
        <v>0.60586679352997153</v>
      </c>
      <c r="Q744" s="426">
        <f t="shared" si="109"/>
        <v>0.73855162131303531</v>
      </c>
      <c r="R744" s="532">
        <f t="shared" si="104"/>
        <v>2.0269921080398025E-2</v>
      </c>
    </row>
    <row r="745" spans="1:18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611">
        <f t="shared" si="105"/>
        <v>132.6</v>
      </c>
      <c r="G745" s="55">
        <v>0</v>
      </c>
      <c r="H745" s="147">
        <v>0</v>
      </c>
      <c r="I745" s="55">
        <v>1</v>
      </c>
      <c r="J745" s="55"/>
      <c r="K745" s="142">
        <f t="shared" si="103"/>
        <v>1</v>
      </c>
      <c r="L745" s="589">
        <f t="shared" si="106"/>
        <v>1.9029495718363463E-4</v>
      </c>
      <c r="M745" s="315">
        <f t="shared" si="107"/>
        <v>0.43180399619410087</v>
      </c>
      <c r="N745" s="425">
        <f t="shared" si="102"/>
        <v>0.1587743294005709</v>
      </c>
      <c r="O745" s="498">
        <v>3.3988625736551987</v>
      </c>
      <c r="P745" s="426">
        <f>L745*244.91*1.08</f>
        <v>5.0333549000951473E-2</v>
      </c>
      <c r="Q745" s="426">
        <f t="shared" si="109"/>
        <v>6.1356596232159853E-2</v>
      </c>
      <c r="R745" s="532">
        <v>0</v>
      </c>
    </row>
    <row r="746" spans="1:18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105"/>
        <v>380.2</v>
      </c>
      <c r="G746" s="160"/>
      <c r="H746" s="281">
        <v>9</v>
      </c>
      <c r="I746" s="160"/>
      <c r="J746" s="160"/>
      <c r="K746" s="142">
        <f t="shared" si="103"/>
        <v>9</v>
      </c>
      <c r="L746" s="589">
        <f t="shared" si="106"/>
        <v>1.7126546146527116E-3</v>
      </c>
      <c r="M746" s="315">
        <f t="shared" si="107"/>
        <v>3.8862359657469079</v>
      </c>
      <c r="N746" s="425">
        <f t="shared" si="102"/>
        <v>1.4289689646051382</v>
      </c>
      <c r="O746" s="498">
        <v>1</v>
      </c>
      <c r="P746" s="426">
        <f>L746*244.91*1.08</f>
        <v>0.45300194100856328</v>
      </c>
      <c r="Q746" s="426">
        <f t="shared" si="109"/>
        <v>0.55220936608943871</v>
      </c>
      <c r="R746" s="532">
        <f t="shared" si="104"/>
        <v>1.7801701397581821E-2</v>
      </c>
    </row>
    <row r="747" spans="1:18" s="6" customFormat="1" ht="16.5" thickBot="1">
      <c r="A747" s="248">
        <v>1</v>
      </c>
      <c r="B747" s="163" t="s">
        <v>681</v>
      </c>
      <c r="C747" s="163">
        <f>SUM(C537:C745)</f>
        <v>241028.47000000006</v>
      </c>
      <c r="D747" s="163">
        <f>SUM(D537:D745)</f>
        <v>1953.5199999999998</v>
      </c>
      <c r="E747" s="163">
        <f>SUM(E537:E745)</f>
        <v>3342.3999999999992</v>
      </c>
      <c r="F747" s="608">
        <f>C747+D747+E747</f>
        <v>246324.39000000004</v>
      </c>
      <c r="G747" s="163">
        <f>SUM(G537:G745)</f>
        <v>5036</v>
      </c>
      <c r="H747" s="186">
        <f>SUM(H537:H746)</f>
        <v>5203</v>
      </c>
      <c r="I747" s="163">
        <f>SUM(I537:I745)</f>
        <v>13</v>
      </c>
      <c r="J747" s="163">
        <f>SUM(J537:J745)</f>
        <v>39</v>
      </c>
      <c r="K747" s="386">
        <f t="shared" si="103"/>
        <v>5255</v>
      </c>
      <c r="L747" s="589">
        <f>1/5255*K747</f>
        <v>1</v>
      </c>
      <c r="M747" s="315">
        <f>L747*2269.13</f>
        <v>2269.13</v>
      </c>
      <c r="N747" s="425">
        <f t="shared" si="102"/>
        <v>834.35910100000012</v>
      </c>
      <c r="O747" s="498">
        <f>SUM(O537:O745)</f>
        <v>981.60484014445888</v>
      </c>
      <c r="P747" s="426">
        <f>L747*244.91*1.08</f>
        <v>264.50280000000004</v>
      </c>
      <c r="Q747" s="426">
        <f t="shared" si="109"/>
        <v>322.42891320000007</v>
      </c>
      <c r="R747" s="532">
        <f t="shared" si="104"/>
        <v>1.8045987435195757E-2</v>
      </c>
    </row>
    <row r="748" spans="1:18" s="209" customFormat="1" ht="16.5" thickBot="1">
      <c r="A748" s="137" t="s">
        <v>335</v>
      </c>
      <c r="B748" s="436"/>
      <c r="C748" s="436"/>
      <c r="D748" s="436"/>
      <c r="E748" s="436"/>
      <c r="F748" s="608">
        <f t="shared" si="105"/>
        <v>0</v>
      </c>
      <c r="G748" s="436"/>
      <c r="H748" s="436"/>
      <c r="I748" s="436"/>
      <c r="J748" s="436"/>
      <c r="K748" s="386">
        <f t="shared" si="103"/>
        <v>0</v>
      </c>
      <c r="L748" s="565"/>
      <c r="M748" s="315">
        <f>L748*2077.52</f>
        <v>0</v>
      </c>
      <c r="N748" s="596"/>
      <c r="O748" s="498">
        <v>0</v>
      </c>
      <c r="P748" s="566"/>
      <c r="Q748" s="931"/>
      <c r="R748" s="532" t="e">
        <f t="shared" si="104"/>
        <v>#DIV/0!</v>
      </c>
    </row>
    <row r="749" spans="1:18" s="6" customFormat="1" ht="15.75">
      <c r="A749" s="127">
        <v>1</v>
      </c>
      <c r="B749" s="386" t="s">
        <v>336</v>
      </c>
      <c r="C749" s="8">
        <v>4275.08</v>
      </c>
      <c r="D749" s="142"/>
      <c r="E749" s="142"/>
      <c r="F749" s="611">
        <f t="shared" si="105"/>
        <v>4275.08</v>
      </c>
      <c r="G749" s="142">
        <v>72</v>
      </c>
      <c r="H749" s="143">
        <v>72</v>
      </c>
      <c r="I749" s="142"/>
      <c r="J749" s="142"/>
      <c r="K749" s="142">
        <f t="shared" si="103"/>
        <v>72</v>
      </c>
      <c r="L749" s="187">
        <f>1/5153*K749</f>
        <v>1.397244323694935E-2</v>
      </c>
      <c r="M749" s="315">
        <f t="shared" ref="M749:M812" si="110">L749*2269.13</f>
        <v>31.70529012225888</v>
      </c>
      <c r="N749" s="590">
        <f t="shared" ref="N749:N811" si="111">M749*0.3677</f>
        <v>11.658035177954591</v>
      </c>
      <c r="O749" s="498">
        <v>12.27360560093349</v>
      </c>
      <c r="P749" s="426">
        <f t="shared" ref="P749:P812" si="112">L749*244.91</f>
        <v>3.4219910731612653</v>
      </c>
      <c r="Q749" s="426"/>
      <c r="R749" s="532">
        <f t="shared" si="104"/>
        <v>1.3814693988020864E-2</v>
      </c>
    </row>
    <row r="750" spans="1:18" s="6" customFormat="1" ht="15.75">
      <c r="A750" s="127">
        <v>2</v>
      </c>
      <c r="B750" s="330" t="s">
        <v>337</v>
      </c>
      <c r="C750" s="8">
        <v>4574.41</v>
      </c>
      <c r="D750" s="55"/>
      <c r="E750" s="55"/>
      <c r="F750" s="611">
        <f t="shared" si="105"/>
        <v>4574.41</v>
      </c>
      <c r="G750" s="55">
        <v>75</v>
      </c>
      <c r="H750" s="147">
        <v>75</v>
      </c>
      <c r="I750" s="55"/>
      <c r="J750" s="55"/>
      <c r="K750" s="142">
        <f t="shared" si="103"/>
        <v>75</v>
      </c>
      <c r="L750" s="187">
        <f t="shared" ref="L750:L813" si="113">1/5153*K750</f>
        <v>1.455462837182224E-2</v>
      </c>
      <c r="M750" s="315">
        <f t="shared" si="110"/>
        <v>33.026343877353</v>
      </c>
      <c r="N750" s="425">
        <f t="shared" si="111"/>
        <v>12.143786643702699</v>
      </c>
      <c r="O750" s="498">
        <v>12.785005834305718</v>
      </c>
      <c r="P750" s="427">
        <f t="shared" si="112"/>
        <v>3.5645740345429848</v>
      </c>
      <c r="Q750" s="426"/>
      <c r="R750" s="532">
        <f t="shared" si="104"/>
        <v>1.3448665596198069E-2</v>
      </c>
    </row>
    <row r="751" spans="1:18" s="6" customFormat="1" ht="15.75">
      <c r="A751" s="127">
        <v>3</v>
      </c>
      <c r="B751" s="330" t="s">
        <v>338</v>
      </c>
      <c r="C751" s="8">
        <v>8527.85</v>
      </c>
      <c r="D751" s="55"/>
      <c r="E751" s="55"/>
      <c r="F751" s="611">
        <f t="shared" si="105"/>
        <v>8527.85</v>
      </c>
      <c r="G751" s="55">
        <v>144</v>
      </c>
      <c r="H751" s="147">
        <v>144</v>
      </c>
      <c r="I751" s="55"/>
      <c r="J751" s="55"/>
      <c r="K751" s="142">
        <f t="shared" si="103"/>
        <v>144</v>
      </c>
      <c r="L751" s="187">
        <f t="shared" si="113"/>
        <v>2.79448864738987E-2</v>
      </c>
      <c r="M751" s="315">
        <f t="shared" si="110"/>
        <v>63.41058024451776</v>
      </c>
      <c r="N751" s="425">
        <f t="shared" si="111"/>
        <v>23.316070355909183</v>
      </c>
      <c r="O751" s="498">
        <v>24.547211201866979</v>
      </c>
      <c r="P751" s="427">
        <f t="shared" si="112"/>
        <v>6.8439821463225305</v>
      </c>
      <c r="Q751" s="426"/>
      <c r="R751" s="532">
        <f t="shared" si="104"/>
        <v>1.3850835081364759E-2</v>
      </c>
    </row>
    <row r="752" spans="1:18" s="6" customFormat="1" ht="15.75">
      <c r="A752" s="127">
        <v>4</v>
      </c>
      <c r="B752" s="330" t="s">
        <v>339</v>
      </c>
      <c r="C752" s="8">
        <v>5131.3999999999996</v>
      </c>
      <c r="D752" s="55"/>
      <c r="E752" s="55"/>
      <c r="F752" s="611">
        <f t="shared" si="105"/>
        <v>5131.3999999999996</v>
      </c>
      <c r="G752" s="55">
        <v>90</v>
      </c>
      <c r="H752" s="147">
        <v>90</v>
      </c>
      <c r="I752" s="55"/>
      <c r="J752" s="55"/>
      <c r="K752" s="142">
        <f t="shared" si="103"/>
        <v>90</v>
      </c>
      <c r="L752" s="187">
        <f t="shared" si="113"/>
        <v>1.7465554046186688E-2</v>
      </c>
      <c r="M752" s="315">
        <f t="shared" si="110"/>
        <v>39.631612652823598</v>
      </c>
      <c r="N752" s="425">
        <f t="shared" si="111"/>
        <v>14.572543972443238</v>
      </c>
      <c r="O752" s="498">
        <v>15.342007001166859</v>
      </c>
      <c r="P752" s="427">
        <f t="shared" si="112"/>
        <v>4.2774888414515813</v>
      </c>
      <c r="Q752" s="426"/>
      <c r="R752" s="532">
        <f t="shared" si="104"/>
        <v>1.4386649348693395E-2</v>
      </c>
    </row>
    <row r="753" spans="1:18" s="6" customFormat="1" ht="15.75">
      <c r="A753" s="127">
        <v>5</v>
      </c>
      <c r="B753" s="330" t="s">
        <v>340</v>
      </c>
      <c r="C753" s="8">
        <v>4290.1499999999996</v>
      </c>
      <c r="D753" s="55"/>
      <c r="E753" s="55"/>
      <c r="F753" s="611">
        <f t="shared" si="105"/>
        <v>4290.1499999999996</v>
      </c>
      <c r="G753" s="55">
        <v>72</v>
      </c>
      <c r="H753" s="147">
        <v>72</v>
      </c>
      <c r="I753" s="55"/>
      <c r="J753" s="55"/>
      <c r="K753" s="142">
        <f t="shared" si="103"/>
        <v>72</v>
      </c>
      <c r="L753" s="187">
        <f t="shared" si="113"/>
        <v>1.397244323694935E-2</v>
      </c>
      <c r="M753" s="315">
        <f t="shared" si="110"/>
        <v>31.70529012225888</v>
      </c>
      <c r="N753" s="425">
        <f t="shared" si="111"/>
        <v>11.658035177954591</v>
      </c>
      <c r="O753" s="498">
        <v>12.27360560093349</v>
      </c>
      <c r="P753" s="427">
        <f t="shared" si="112"/>
        <v>3.4219910731612653</v>
      </c>
      <c r="Q753" s="426"/>
      <c r="R753" s="532">
        <f t="shared" si="104"/>
        <v>1.3766167144344192E-2</v>
      </c>
    </row>
    <row r="754" spans="1:18" s="6" customFormat="1" ht="15.75">
      <c r="A754" s="127">
        <v>6</v>
      </c>
      <c r="B754" s="330" t="s">
        <v>341</v>
      </c>
      <c r="C754" s="8">
        <v>5185.3900000000003</v>
      </c>
      <c r="D754" s="55"/>
      <c r="E754" s="55"/>
      <c r="F754" s="611">
        <f t="shared" si="105"/>
        <v>5185.3900000000003</v>
      </c>
      <c r="G754" s="55">
        <v>90</v>
      </c>
      <c r="H754" s="147">
        <v>90</v>
      </c>
      <c r="I754" s="55"/>
      <c r="J754" s="55"/>
      <c r="K754" s="142">
        <f t="shared" si="103"/>
        <v>90</v>
      </c>
      <c r="L754" s="187">
        <f t="shared" si="113"/>
        <v>1.7465554046186688E-2</v>
      </c>
      <c r="M754" s="315">
        <f t="shared" si="110"/>
        <v>39.631612652823598</v>
      </c>
      <c r="N754" s="425">
        <f t="shared" si="111"/>
        <v>14.572543972443238</v>
      </c>
      <c r="O754" s="498">
        <v>15.342007001166859</v>
      </c>
      <c r="P754" s="427">
        <f t="shared" si="112"/>
        <v>4.2774888414515813</v>
      </c>
      <c r="Q754" s="426"/>
      <c r="R754" s="532">
        <f t="shared" si="104"/>
        <v>1.4236856334409808E-2</v>
      </c>
    </row>
    <row r="755" spans="1:18" s="6" customFormat="1" ht="15.75">
      <c r="A755" s="127">
        <v>7</v>
      </c>
      <c r="B755" s="330" t="s">
        <v>342</v>
      </c>
      <c r="C755" s="8">
        <v>4246.38</v>
      </c>
      <c r="D755" s="55"/>
      <c r="E755" s="55"/>
      <c r="F755" s="611">
        <f t="shared" si="105"/>
        <v>4246.38</v>
      </c>
      <c r="G755" s="55">
        <v>72</v>
      </c>
      <c r="H755" s="147">
        <v>72</v>
      </c>
      <c r="I755" s="55"/>
      <c r="J755" s="55"/>
      <c r="K755" s="142">
        <f t="shared" si="103"/>
        <v>72</v>
      </c>
      <c r="L755" s="187">
        <f t="shared" si="113"/>
        <v>1.397244323694935E-2</v>
      </c>
      <c r="M755" s="315">
        <f t="shared" si="110"/>
        <v>31.70529012225888</v>
      </c>
      <c r="N755" s="425">
        <f t="shared" si="111"/>
        <v>11.658035177954591</v>
      </c>
      <c r="O755" s="498">
        <v>12.27360560093349</v>
      </c>
      <c r="P755" s="427">
        <f t="shared" si="112"/>
        <v>3.4219910731612653</v>
      </c>
      <c r="Q755" s="426"/>
      <c r="R755" s="532">
        <f t="shared" si="104"/>
        <v>1.3908063332605239E-2</v>
      </c>
    </row>
    <row r="756" spans="1:18" s="6" customFormat="1" ht="15.75">
      <c r="A756" s="127">
        <v>8</v>
      </c>
      <c r="B756" s="330" t="s">
        <v>343</v>
      </c>
      <c r="C756" s="8">
        <v>4446.42</v>
      </c>
      <c r="D756" s="55"/>
      <c r="E756" s="55"/>
      <c r="F756" s="611">
        <f t="shared" si="105"/>
        <v>4446.42</v>
      </c>
      <c r="G756" s="55">
        <v>78</v>
      </c>
      <c r="H756" s="147">
        <v>78</v>
      </c>
      <c r="I756" s="55"/>
      <c r="J756" s="55"/>
      <c r="K756" s="142">
        <f t="shared" si="103"/>
        <v>78</v>
      </c>
      <c r="L756" s="187">
        <f t="shared" si="113"/>
        <v>1.5136813506695129E-2</v>
      </c>
      <c r="M756" s="315">
        <f t="shared" si="110"/>
        <v>34.34739763244712</v>
      </c>
      <c r="N756" s="425">
        <f t="shared" si="111"/>
        <v>12.629538109450806</v>
      </c>
      <c r="O756" s="498">
        <v>13.296406067677946</v>
      </c>
      <c r="P756" s="427">
        <f t="shared" si="112"/>
        <v>3.7071569959247039</v>
      </c>
      <c r="Q756" s="426"/>
      <c r="R756" s="532">
        <f t="shared" si="104"/>
        <v>1.4389216224625783E-2</v>
      </c>
    </row>
    <row r="757" spans="1:18" s="6" customFormat="1" ht="15.75">
      <c r="A757" s="127">
        <v>9</v>
      </c>
      <c r="B757" s="330" t="s">
        <v>344</v>
      </c>
      <c r="C757" s="8">
        <v>2920.24</v>
      </c>
      <c r="D757" s="55"/>
      <c r="E757" s="55"/>
      <c r="F757" s="611">
        <f t="shared" si="105"/>
        <v>2920.24</v>
      </c>
      <c r="G757" s="55">
        <v>60</v>
      </c>
      <c r="H757" s="147">
        <v>60</v>
      </c>
      <c r="I757" s="55"/>
      <c r="J757" s="55"/>
      <c r="K757" s="142">
        <f t="shared" si="103"/>
        <v>60</v>
      </c>
      <c r="L757" s="187">
        <f t="shared" si="113"/>
        <v>1.1643702697457792E-2</v>
      </c>
      <c r="M757" s="315">
        <f t="shared" si="110"/>
        <v>26.421075101882401</v>
      </c>
      <c r="N757" s="425">
        <f t="shared" si="111"/>
        <v>9.7150293149621589</v>
      </c>
      <c r="O757" s="498">
        <v>10.228004667444573</v>
      </c>
      <c r="P757" s="427">
        <f t="shared" si="112"/>
        <v>2.8516592276343879</v>
      </c>
      <c r="Q757" s="426"/>
      <c r="R757" s="532">
        <f t="shared" si="104"/>
        <v>1.685332997011325E-2</v>
      </c>
    </row>
    <row r="758" spans="1:18" s="6" customFormat="1" ht="15.75">
      <c r="A758" s="127">
        <v>10</v>
      </c>
      <c r="B758" s="330" t="s">
        <v>345</v>
      </c>
      <c r="C758" s="8">
        <v>4278.99</v>
      </c>
      <c r="D758" s="55"/>
      <c r="E758" s="55"/>
      <c r="F758" s="611">
        <f t="shared" si="105"/>
        <v>4278.99</v>
      </c>
      <c r="G758" s="55">
        <v>72</v>
      </c>
      <c r="H758" s="147">
        <v>72</v>
      </c>
      <c r="I758" s="55"/>
      <c r="J758" s="55"/>
      <c r="K758" s="142">
        <f t="shared" si="103"/>
        <v>72</v>
      </c>
      <c r="L758" s="187">
        <f t="shared" si="113"/>
        <v>1.397244323694935E-2</v>
      </c>
      <c r="M758" s="315">
        <f t="shared" si="110"/>
        <v>31.70529012225888</v>
      </c>
      <c r="N758" s="425">
        <f t="shared" si="111"/>
        <v>11.658035177954591</v>
      </c>
      <c r="O758" s="498">
        <v>12.27360560093349</v>
      </c>
      <c r="P758" s="427">
        <f t="shared" si="112"/>
        <v>3.4219910731612653</v>
      </c>
      <c r="Q758" s="426"/>
      <c r="R758" s="532">
        <f t="shared" si="104"/>
        <v>1.3802070576072446E-2</v>
      </c>
    </row>
    <row r="759" spans="1:18" s="6" customFormat="1" ht="15.75">
      <c r="A759" s="127">
        <v>11</v>
      </c>
      <c r="B759" s="330" t="s">
        <v>346</v>
      </c>
      <c r="C759" s="8">
        <v>8595.7800000000007</v>
      </c>
      <c r="D759" s="55"/>
      <c r="E759" s="55"/>
      <c r="F759" s="611">
        <f t="shared" si="105"/>
        <v>8595.7800000000007</v>
      </c>
      <c r="G759" s="55">
        <v>144</v>
      </c>
      <c r="H759" s="147">
        <v>144</v>
      </c>
      <c r="I759" s="55"/>
      <c r="J759" s="55"/>
      <c r="K759" s="142">
        <f t="shared" si="103"/>
        <v>144</v>
      </c>
      <c r="L759" s="187">
        <f t="shared" si="113"/>
        <v>2.79448864738987E-2</v>
      </c>
      <c r="M759" s="315">
        <f t="shared" si="110"/>
        <v>63.41058024451776</v>
      </c>
      <c r="N759" s="425">
        <f t="shared" si="111"/>
        <v>23.316070355909183</v>
      </c>
      <c r="O759" s="498">
        <v>24.547211201866979</v>
      </c>
      <c r="P759" s="427">
        <f t="shared" si="112"/>
        <v>6.8439821463225305</v>
      </c>
      <c r="Q759" s="426"/>
      <c r="R759" s="532">
        <f t="shared" si="104"/>
        <v>1.3741375878467859E-2</v>
      </c>
    </row>
    <row r="760" spans="1:18" s="6" customFormat="1" ht="15.75">
      <c r="A760" s="127">
        <v>12</v>
      </c>
      <c r="B760" s="330" t="s">
        <v>347</v>
      </c>
      <c r="C760" s="8">
        <v>4516.6000000000004</v>
      </c>
      <c r="D760" s="55"/>
      <c r="E760" s="55"/>
      <c r="F760" s="611">
        <f t="shared" si="105"/>
        <v>4516.6000000000004</v>
      </c>
      <c r="G760" s="55">
        <v>80</v>
      </c>
      <c r="H760" s="147">
        <v>80</v>
      </c>
      <c r="I760" s="55"/>
      <c r="J760" s="55"/>
      <c r="K760" s="142">
        <f t="shared" si="103"/>
        <v>80</v>
      </c>
      <c r="L760" s="187">
        <f t="shared" si="113"/>
        <v>1.5524936929943722E-2</v>
      </c>
      <c r="M760" s="315">
        <f t="shared" si="110"/>
        <v>35.228100135843199</v>
      </c>
      <c r="N760" s="425">
        <f t="shared" si="111"/>
        <v>12.953372419949545</v>
      </c>
      <c r="O760" s="498">
        <v>13.637339556592766</v>
      </c>
      <c r="P760" s="427">
        <f t="shared" si="112"/>
        <v>3.8022123035125168</v>
      </c>
      <c r="Q760" s="426"/>
      <c r="R760" s="532">
        <f t="shared" si="104"/>
        <v>1.4528854540118234E-2</v>
      </c>
    </row>
    <row r="761" spans="1:18" s="6" customFormat="1" ht="15.75">
      <c r="A761" s="127">
        <v>13</v>
      </c>
      <c r="B761" s="330" t="s">
        <v>348</v>
      </c>
      <c r="C761" s="8">
        <v>5874.29</v>
      </c>
      <c r="D761" s="55"/>
      <c r="E761" s="55"/>
      <c r="F761" s="611">
        <f t="shared" si="105"/>
        <v>5874.29</v>
      </c>
      <c r="G761" s="55">
        <v>119</v>
      </c>
      <c r="H761" s="147">
        <v>119</v>
      </c>
      <c r="I761" s="55"/>
      <c r="J761" s="55"/>
      <c r="K761" s="142">
        <f t="shared" si="103"/>
        <v>119</v>
      </c>
      <c r="L761" s="187">
        <f t="shared" si="113"/>
        <v>2.3093343683291287E-2</v>
      </c>
      <c r="M761" s="315">
        <f t="shared" si="110"/>
        <v>52.401798952066763</v>
      </c>
      <c r="N761" s="425">
        <f t="shared" si="111"/>
        <v>19.268141474674952</v>
      </c>
      <c r="O761" s="498">
        <v>20.285542590431739</v>
      </c>
      <c r="P761" s="427">
        <f t="shared" si="112"/>
        <v>5.6557908014748692</v>
      </c>
      <c r="Q761" s="426"/>
      <c r="R761" s="532">
        <f t="shared" si="104"/>
        <v>1.6616693050334308E-2</v>
      </c>
    </row>
    <row r="762" spans="1:18" s="6" customFormat="1" ht="15.75">
      <c r="A762" s="127">
        <v>14</v>
      </c>
      <c r="B762" s="330" t="s">
        <v>349</v>
      </c>
      <c r="C762" s="8">
        <v>5810.95</v>
      </c>
      <c r="D762" s="55"/>
      <c r="E762" s="55"/>
      <c r="F762" s="611">
        <f t="shared" si="105"/>
        <v>5810.95</v>
      </c>
      <c r="G762" s="55">
        <v>119</v>
      </c>
      <c r="H762" s="147">
        <v>119</v>
      </c>
      <c r="I762" s="55"/>
      <c r="J762" s="55"/>
      <c r="K762" s="142">
        <f t="shared" si="103"/>
        <v>119</v>
      </c>
      <c r="L762" s="187">
        <f t="shared" si="113"/>
        <v>2.3093343683291287E-2</v>
      </c>
      <c r="M762" s="315">
        <f t="shared" si="110"/>
        <v>52.401798952066763</v>
      </c>
      <c r="N762" s="425">
        <f t="shared" si="111"/>
        <v>19.268141474674952</v>
      </c>
      <c r="O762" s="498">
        <v>20.285542590431739</v>
      </c>
      <c r="P762" s="427">
        <f t="shared" si="112"/>
        <v>5.6557908014748692</v>
      </c>
      <c r="Q762" s="426"/>
      <c r="R762" s="532">
        <f t="shared" si="104"/>
        <v>1.6797816848991703E-2</v>
      </c>
    </row>
    <row r="763" spans="1:18" s="6" customFormat="1" ht="15.75">
      <c r="A763" s="127">
        <v>15</v>
      </c>
      <c r="B763" s="330" t="s">
        <v>350</v>
      </c>
      <c r="C763" s="8">
        <v>4315.22</v>
      </c>
      <c r="D763" s="55"/>
      <c r="E763" s="55">
        <v>220.4</v>
      </c>
      <c r="F763" s="611">
        <f t="shared" si="105"/>
        <v>4535.62</v>
      </c>
      <c r="G763" s="55">
        <v>92</v>
      </c>
      <c r="H763" s="147">
        <v>92</v>
      </c>
      <c r="I763" s="55"/>
      <c r="J763" s="55">
        <v>3</v>
      </c>
      <c r="K763" s="142">
        <f t="shared" si="103"/>
        <v>95</v>
      </c>
      <c r="L763" s="187">
        <f t="shared" si="113"/>
        <v>1.843586260430817E-2</v>
      </c>
      <c r="M763" s="315">
        <f t="shared" si="110"/>
        <v>41.833368911313798</v>
      </c>
      <c r="N763" s="425">
        <f t="shared" si="111"/>
        <v>15.382129748690085</v>
      </c>
      <c r="O763" s="498">
        <v>16.194340723453909</v>
      </c>
      <c r="P763" s="427">
        <f t="shared" si="112"/>
        <v>4.5151271104211137</v>
      </c>
      <c r="Q763" s="426"/>
      <c r="R763" s="532">
        <f t="shared" si="104"/>
        <v>1.8058167716565762E-2</v>
      </c>
    </row>
    <row r="764" spans="1:18" s="6" customFormat="1" ht="15.75">
      <c r="A764" s="127">
        <v>16</v>
      </c>
      <c r="B764" s="330" t="s">
        <v>351</v>
      </c>
      <c r="C764" s="8">
        <v>6019.4</v>
      </c>
      <c r="D764" s="55"/>
      <c r="E764" s="55">
        <v>951.1</v>
      </c>
      <c r="F764" s="611">
        <f t="shared" si="105"/>
        <v>6970.5</v>
      </c>
      <c r="G764" s="55">
        <v>121</v>
      </c>
      <c r="H764" s="147">
        <v>121</v>
      </c>
      <c r="I764" s="55"/>
      <c r="J764" s="55">
        <v>5</v>
      </c>
      <c r="K764" s="142">
        <f t="shared" si="103"/>
        <v>126</v>
      </c>
      <c r="L764" s="187">
        <f t="shared" si="113"/>
        <v>2.4451775664661363E-2</v>
      </c>
      <c r="M764" s="315">
        <f t="shared" si="110"/>
        <v>55.484257713953042</v>
      </c>
      <c r="N764" s="425">
        <f t="shared" si="111"/>
        <v>20.401561561420536</v>
      </c>
      <c r="O764" s="498">
        <v>21.478809801633606</v>
      </c>
      <c r="P764" s="427">
        <f t="shared" si="112"/>
        <v>5.9884843780322141</v>
      </c>
      <c r="Q764" s="426"/>
      <c r="R764" s="532">
        <f t="shared" si="104"/>
        <v>1.7170002567538194E-2</v>
      </c>
    </row>
    <row r="765" spans="1:18" s="6" customFormat="1" ht="15.75">
      <c r="A765" s="127">
        <v>17</v>
      </c>
      <c r="B765" s="330" t="s">
        <v>352</v>
      </c>
      <c r="C765" s="8">
        <v>7260.15</v>
      </c>
      <c r="D765" s="55"/>
      <c r="E765" s="55">
        <v>68.5</v>
      </c>
      <c r="F765" s="611">
        <f t="shared" si="105"/>
        <v>7328.65</v>
      </c>
      <c r="G765" s="55">
        <v>119</v>
      </c>
      <c r="H765" s="147">
        <v>119</v>
      </c>
      <c r="I765" s="55"/>
      <c r="J765" s="55">
        <v>1</v>
      </c>
      <c r="K765" s="142">
        <f t="shared" si="103"/>
        <v>120</v>
      </c>
      <c r="L765" s="187">
        <f t="shared" si="113"/>
        <v>2.3287405394915583E-2</v>
      </c>
      <c r="M765" s="315">
        <f t="shared" si="110"/>
        <v>52.842150203764803</v>
      </c>
      <c r="N765" s="425">
        <f t="shared" si="111"/>
        <v>19.430058629924318</v>
      </c>
      <c r="O765" s="498">
        <v>20.456009334889146</v>
      </c>
      <c r="P765" s="427">
        <f t="shared" si="112"/>
        <v>5.7033184552687759</v>
      </c>
      <c r="Q765" s="426"/>
      <c r="R765" s="532">
        <f t="shared" si="104"/>
        <v>1.3557782776367849E-2</v>
      </c>
    </row>
    <row r="766" spans="1:18" s="6" customFormat="1" ht="15.75">
      <c r="A766" s="127">
        <v>18</v>
      </c>
      <c r="B766" s="330" t="s">
        <v>353</v>
      </c>
      <c r="C766" s="8">
        <v>6364.4</v>
      </c>
      <c r="D766" s="55"/>
      <c r="E766" s="55">
        <v>171.2</v>
      </c>
      <c r="F766" s="611">
        <f t="shared" si="105"/>
        <v>6535.5999999999995</v>
      </c>
      <c r="G766" s="55">
        <v>104</v>
      </c>
      <c r="H766" s="147">
        <v>104</v>
      </c>
      <c r="I766" s="55"/>
      <c r="J766" s="55">
        <v>2</v>
      </c>
      <c r="K766" s="142">
        <f t="shared" si="103"/>
        <v>106</v>
      </c>
      <c r="L766" s="187">
        <f t="shared" si="113"/>
        <v>2.0570541432175432E-2</v>
      </c>
      <c r="M766" s="315">
        <f t="shared" si="110"/>
        <v>46.677232679992244</v>
      </c>
      <c r="N766" s="425">
        <f t="shared" si="111"/>
        <v>17.16321845643315</v>
      </c>
      <c r="O766" s="498">
        <v>18.069474912485415</v>
      </c>
      <c r="P766" s="427">
        <f t="shared" si="112"/>
        <v>5.0379313021540852</v>
      </c>
      <c r="Q766" s="426"/>
      <c r="R766" s="532">
        <f t="shared" si="104"/>
        <v>1.3661595335155695E-2</v>
      </c>
    </row>
    <row r="767" spans="1:18" s="6" customFormat="1" ht="15.75">
      <c r="A767" s="127">
        <v>19</v>
      </c>
      <c r="B767" s="330" t="s">
        <v>354</v>
      </c>
      <c r="C767" s="8">
        <v>11062.33</v>
      </c>
      <c r="D767" s="55"/>
      <c r="E767" s="55"/>
      <c r="F767" s="611">
        <f t="shared" si="105"/>
        <v>11062.33</v>
      </c>
      <c r="G767" s="55">
        <v>216</v>
      </c>
      <c r="H767" s="147">
        <v>216</v>
      </c>
      <c r="I767" s="55"/>
      <c r="J767" s="55"/>
      <c r="K767" s="142">
        <f t="shared" si="103"/>
        <v>216</v>
      </c>
      <c r="L767" s="187">
        <f t="shared" si="113"/>
        <v>4.191732971084805E-2</v>
      </c>
      <c r="M767" s="315">
        <f t="shared" si="110"/>
        <v>95.115870366776647</v>
      </c>
      <c r="N767" s="425">
        <f t="shared" si="111"/>
        <v>34.974105533863778</v>
      </c>
      <c r="O767" s="498">
        <v>36.820816802800465</v>
      </c>
      <c r="P767" s="427">
        <f t="shared" si="112"/>
        <v>10.265973219483795</v>
      </c>
      <c r="Q767" s="426"/>
      <c r="R767" s="532">
        <f t="shared" si="104"/>
        <v>1.6016224965529385E-2</v>
      </c>
    </row>
    <row r="768" spans="1:18" s="6" customFormat="1" ht="15.75">
      <c r="A768" s="127">
        <v>20</v>
      </c>
      <c r="B768" s="330" t="s">
        <v>355</v>
      </c>
      <c r="C768" s="8">
        <v>8492.94</v>
      </c>
      <c r="D768" s="55"/>
      <c r="E768" s="55"/>
      <c r="F768" s="611">
        <f t="shared" si="105"/>
        <v>8492.94</v>
      </c>
      <c r="G768" s="55">
        <v>144</v>
      </c>
      <c r="H768" s="147">
        <v>144</v>
      </c>
      <c r="I768" s="55"/>
      <c r="J768" s="55"/>
      <c r="K768" s="142">
        <f t="shared" si="103"/>
        <v>144</v>
      </c>
      <c r="L768" s="187">
        <f t="shared" si="113"/>
        <v>2.79448864738987E-2</v>
      </c>
      <c r="M768" s="315">
        <f t="shared" si="110"/>
        <v>63.41058024451776</v>
      </c>
      <c r="N768" s="425">
        <f t="shared" si="111"/>
        <v>23.316070355909183</v>
      </c>
      <c r="O768" s="498">
        <v>24.547211201866979</v>
      </c>
      <c r="P768" s="427">
        <f t="shared" si="112"/>
        <v>6.8439821463225305</v>
      </c>
      <c r="Q768" s="426"/>
      <c r="R768" s="532">
        <f t="shared" si="104"/>
        <v>1.3907768564079867E-2</v>
      </c>
    </row>
    <row r="769" spans="1:18" s="6" customFormat="1" ht="15.75">
      <c r="A769" s="127">
        <v>21</v>
      </c>
      <c r="B769" s="330" t="s">
        <v>365</v>
      </c>
      <c r="C769" s="8">
        <v>3876.37</v>
      </c>
      <c r="D769" s="55"/>
      <c r="E769" s="55"/>
      <c r="F769" s="611">
        <f t="shared" si="105"/>
        <v>3876.37</v>
      </c>
      <c r="G769" s="55">
        <v>90</v>
      </c>
      <c r="H769" s="147">
        <v>90</v>
      </c>
      <c r="I769" s="55"/>
      <c r="J769" s="55"/>
      <c r="K769" s="142">
        <f t="shared" si="103"/>
        <v>90</v>
      </c>
      <c r="L769" s="187">
        <f t="shared" si="113"/>
        <v>1.7465554046186688E-2</v>
      </c>
      <c r="M769" s="315">
        <f t="shared" si="110"/>
        <v>39.631612652823598</v>
      </c>
      <c r="N769" s="425">
        <f t="shared" si="111"/>
        <v>14.572543972443238</v>
      </c>
      <c r="O769" s="498">
        <v>15.342007001166859</v>
      </c>
      <c r="P769" s="427">
        <f t="shared" si="112"/>
        <v>4.2774888414515813</v>
      </c>
      <c r="Q769" s="426"/>
      <c r="R769" s="532">
        <f t="shared" si="104"/>
        <v>1.9044531989434777E-2</v>
      </c>
    </row>
    <row r="770" spans="1:18" s="6" customFormat="1" ht="15.75">
      <c r="A770" s="127">
        <v>22</v>
      </c>
      <c r="B770" s="330" t="s">
        <v>366</v>
      </c>
      <c r="C770" s="8">
        <v>5649.66</v>
      </c>
      <c r="D770" s="55"/>
      <c r="E770" s="55">
        <v>46.1</v>
      </c>
      <c r="F770" s="611">
        <f t="shared" si="105"/>
        <v>5695.76</v>
      </c>
      <c r="G770" s="55">
        <v>116</v>
      </c>
      <c r="H770" s="147">
        <v>116</v>
      </c>
      <c r="I770" s="55"/>
      <c r="J770" s="55">
        <v>1</v>
      </c>
      <c r="K770" s="142">
        <f t="shared" si="103"/>
        <v>117</v>
      </c>
      <c r="L770" s="187">
        <f t="shared" si="113"/>
        <v>2.2705220260042694E-2</v>
      </c>
      <c r="M770" s="315">
        <f t="shared" si="110"/>
        <v>51.521096448670683</v>
      </c>
      <c r="N770" s="425">
        <f t="shared" si="111"/>
        <v>18.944307164176212</v>
      </c>
      <c r="O770" s="498">
        <v>19.944609101516917</v>
      </c>
      <c r="P770" s="427">
        <f t="shared" si="112"/>
        <v>5.5607354938870559</v>
      </c>
      <c r="Q770" s="426"/>
      <c r="R770" s="532">
        <f t="shared" si="104"/>
        <v>1.6986995360473173E-2</v>
      </c>
    </row>
    <row r="771" spans="1:18" s="6" customFormat="1" ht="15.75">
      <c r="A771" s="127">
        <v>23</v>
      </c>
      <c r="B771" s="330" t="s">
        <v>367</v>
      </c>
      <c r="C771" s="8">
        <v>5815.2</v>
      </c>
      <c r="D771" s="55"/>
      <c r="E771" s="55"/>
      <c r="F771" s="611">
        <f t="shared" si="105"/>
        <v>5815.2</v>
      </c>
      <c r="G771" s="55">
        <v>119</v>
      </c>
      <c r="H771" s="147">
        <v>119</v>
      </c>
      <c r="I771" s="55"/>
      <c r="J771" s="55"/>
      <c r="K771" s="142">
        <f t="shared" si="103"/>
        <v>119</v>
      </c>
      <c r="L771" s="187">
        <f t="shared" si="113"/>
        <v>2.3093343683291287E-2</v>
      </c>
      <c r="M771" s="315">
        <f t="shared" si="110"/>
        <v>52.401798952066763</v>
      </c>
      <c r="N771" s="425">
        <f t="shared" si="111"/>
        <v>19.268141474674952</v>
      </c>
      <c r="O771" s="498">
        <v>20.285542590431739</v>
      </c>
      <c r="P771" s="427">
        <f t="shared" si="112"/>
        <v>5.6557908014748692</v>
      </c>
      <c r="Q771" s="426"/>
      <c r="R771" s="532">
        <f t="shared" si="104"/>
        <v>1.6785540276972131E-2</v>
      </c>
    </row>
    <row r="772" spans="1:18" s="6" customFormat="1" ht="15.75">
      <c r="A772" s="127">
        <v>24</v>
      </c>
      <c r="B772" s="330" t="s">
        <v>368</v>
      </c>
      <c r="C772" s="8">
        <v>5690.31</v>
      </c>
      <c r="D772" s="55"/>
      <c r="E772" s="55"/>
      <c r="F772" s="611">
        <f t="shared" si="105"/>
        <v>5690.31</v>
      </c>
      <c r="G772" s="55">
        <v>119</v>
      </c>
      <c r="H772" s="147">
        <v>119</v>
      </c>
      <c r="I772" s="55"/>
      <c r="J772" s="55"/>
      <c r="K772" s="142">
        <f t="shared" si="103"/>
        <v>119</v>
      </c>
      <c r="L772" s="187">
        <f t="shared" si="113"/>
        <v>2.3093343683291287E-2</v>
      </c>
      <c r="M772" s="315">
        <f t="shared" si="110"/>
        <v>52.401798952066763</v>
      </c>
      <c r="N772" s="425">
        <f t="shared" si="111"/>
        <v>19.268141474674952</v>
      </c>
      <c r="O772" s="498">
        <v>20.285542590431739</v>
      </c>
      <c r="P772" s="427">
        <f t="shared" si="112"/>
        <v>5.6557908014748692</v>
      </c>
      <c r="Q772" s="426"/>
      <c r="R772" s="532">
        <f t="shared" si="104"/>
        <v>1.7153946589667051E-2</v>
      </c>
    </row>
    <row r="773" spans="1:18" s="6" customFormat="1" ht="15.75">
      <c r="A773" s="127">
        <v>25</v>
      </c>
      <c r="B773" s="330" t="s">
        <v>369</v>
      </c>
      <c r="C773" s="8">
        <v>3955.02</v>
      </c>
      <c r="D773" s="55"/>
      <c r="E773" s="55"/>
      <c r="F773" s="611">
        <f t="shared" si="105"/>
        <v>3955.02</v>
      </c>
      <c r="G773" s="55">
        <v>90</v>
      </c>
      <c r="H773" s="147">
        <v>90</v>
      </c>
      <c r="I773" s="55"/>
      <c r="J773" s="55"/>
      <c r="K773" s="142">
        <f t="shared" si="103"/>
        <v>90</v>
      </c>
      <c r="L773" s="187">
        <f t="shared" si="113"/>
        <v>1.7465554046186688E-2</v>
      </c>
      <c r="M773" s="315">
        <f t="shared" si="110"/>
        <v>39.631612652823598</v>
      </c>
      <c r="N773" s="425">
        <f t="shared" si="111"/>
        <v>14.572543972443238</v>
      </c>
      <c r="O773" s="498">
        <v>15.342007001166859</v>
      </c>
      <c r="P773" s="427">
        <f t="shared" si="112"/>
        <v>4.2774888414515813</v>
      </c>
      <c r="Q773" s="426"/>
      <c r="R773" s="532">
        <f t="shared" si="104"/>
        <v>1.8665810152132045E-2</v>
      </c>
    </row>
    <row r="774" spans="1:18" s="6" customFormat="1" ht="15.75">
      <c r="A774" s="127">
        <v>26</v>
      </c>
      <c r="B774" s="330" t="s">
        <v>370</v>
      </c>
      <c r="C774" s="8">
        <v>3905.27</v>
      </c>
      <c r="D774" s="55"/>
      <c r="E774" s="55"/>
      <c r="F774" s="611">
        <f t="shared" si="105"/>
        <v>3905.27</v>
      </c>
      <c r="G774" s="55">
        <v>92</v>
      </c>
      <c r="H774" s="147">
        <v>92</v>
      </c>
      <c r="I774" s="55"/>
      <c r="J774" s="55"/>
      <c r="K774" s="142">
        <f t="shared" si="103"/>
        <v>92</v>
      </c>
      <c r="L774" s="187">
        <f t="shared" si="113"/>
        <v>1.7853677469435281E-2</v>
      </c>
      <c r="M774" s="315">
        <f t="shared" si="110"/>
        <v>40.512315156219678</v>
      </c>
      <c r="N774" s="425">
        <f t="shared" si="111"/>
        <v>14.896378282941976</v>
      </c>
      <c r="O774" s="498">
        <v>15.682940490081679</v>
      </c>
      <c r="P774" s="427">
        <f t="shared" si="112"/>
        <v>4.3725441490393946</v>
      </c>
      <c r="Q774" s="426"/>
      <c r="R774" s="532">
        <f t="shared" si="104"/>
        <v>1.9323677512254653E-2</v>
      </c>
    </row>
    <row r="775" spans="1:18" s="6" customFormat="1" ht="15.75">
      <c r="A775" s="127">
        <v>27</v>
      </c>
      <c r="B775" s="330" t="s">
        <v>371</v>
      </c>
      <c r="C775" s="8">
        <v>4170.17</v>
      </c>
      <c r="D775" s="55"/>
      <c r="E775" s="55">
        <v>689.1</v>
      </c>
      <c r="F775" s="611">
        <f t="shared" si="105"/>
        <v>4859.2700000000004</v>
      </c>
      <c r="G775" s="55">
        <v>70</v>
      </c>
      <c r="H775" s="147">
        <v>70</v>
      </c>
      <c r="I775" s="55"/>
      <c r="J775" s="55">
        <v>1</v>
      </c>
      <c r="K775" s="142">
        <f t="shared" ref="K775:K835" si="114">H775+I775+J775</f>
        <v>71</v>
      </c>
      <c r="L775" s="187">
        <f t="shared" si="113"/>
        <v>1.3778381525325054E-2</v>
      </c>
      <c r="M775" s="315">
        <f t="shared" si="110"/>
        <v>31.26493887056084</v>
      </c>
      <c r="N775" s="425">
        <f t="shared" si="111"/>
        <v>11.496118022705222</v>
      </c>
      <c r="O775" s="498">
        <v>12.103138856476079</v>
      </c>
      <c r="P775" s="427">
        <f t="shared" si="112"/>
        <v>3.3744634193673586</v>
      </c>
      <c r="Q775" s="426"/>
      <c r="R775" s="532">
        <f t="shared" si="104"/>
        <v>1.396553597793603E-2</v>
      </c>
    </row>
    <row r="776" spans="1:18" s="6" customFormat="1" ht="15.75">
      <c r="A776" s="127">
        <v>28</v>
      </c>
      <c r="B776" s="330" t="s">
        <v>372</v>
      </c>
      <c r="C776" s="8">
        <v>4268.12</v>
      </c>
      <c r="D776" s="55">
        <v>216.9</v>
      </c>
      <c r="E776" s="55">
        <v>468.4</v>
      </c>
      <c r="F776" s="611">
        <f t="shared" ref="F776:F836" si="115">C776+D776+E776</f>
        <v>4953.4199999999992</v>
      </c>
      <c r="G776" s="55">
        <v>67</v>
      </c>
      <c r="H776" s="147">
        <v>67</v>
      </c>
      <c r="I776" s="55">
        <v>5</v>
      </c>
      <c r="J776" s="55">
        <v>1</v>
      </c>
      <c r="K776" s="142">
        <f t="shared" si="114"/>
        <v>73</v>
      </c>
      <c r="L776" s="187">
        <f t="shared" si="113"/>
        <v>1.4166504948573647E-2</v>
      </c>
      <c r="M776" s="315">
        <f t="shared" si="110"/>
        <v>32.14564137395692</v>
      </c>
      <c r="N776" s="425">
        <f t="shared" si="111"/>
        <v>11.819952333203961</v>
      </c>
      <c r="O776" s="498">
        <v>12.444072345390897</v>
      </c>
      <c r="P776" s="427">
        <f t="shared" si="112"/>
        <v>3.4695187269551719</v>
      </c>
      <c r="Q776" s="426"/>
      <c r="R776" s="532">
        <f t="shared" si="104"/>
        <v>1.402940516656208E-2</v>
      </c>
    </row>
    <row r="777" spans="1:18" s="6" customFormat="1" ht="15.75">
      <c r="A777" s="127">
        <v>29</v>
      </c>
      <c r="B777" s="330" t="s">
        <v>373</v>
      </c>
      <c r="C777" s="8">
        <v>10932.24</v>
      </c>
      <c r="D777" s="55"/>
      <c r="E777" s="55"/>
      <c r="F777" s="611">
        <f t="shared" si="115"/>
        <v>10932.24</v>
      </c>
      <c r="G777" s="55">
        <v>216</v>
      </c>
      <c r="H777" s="147">
        <v>216</v>
      </c>
      <c r="I777" s="55"/>
      <c r="J777" s="55"/>
      <c r="K777" s="142">
        <f t="shared" si="114"/>
        <v>216</v>
      </c>
      <c r="L777" s="187">
        <f t="shared" si="113"/>
        <v>4.191732971084805E-2</v>
      </c>
      <c r="M777" s="315">
        <f t="shared" si="110"/>
        <v>95.115870366776647</v>
      </c>
      <c r="N777" s="425">
        <f t="shared" si="111"/>
        <v>34.974105533863778</v>
      </c>
      <c r="O777" s="498">
        <v>36.820816802800465</v>
      </c>
      <c r="P777" s="427">
        <f t="shared" si="112"/>
        <v>10.265973219483795</v>
      </c>
      <c r="Q777" s="426"/>
      <c r="R777" s="532">
        <f t="shared" si="104"/>
        <v>1.620681268641419E-2</v>
      </c>
    </row>
    <row r="778" spans="1:18" s="6" customFormat="1" ht="15.75">
      <c r="A778" s="127">
        <v>30</v>
      </c>
      <c r="B778" s="330" t="s">
        <v>374</v>
      </c>
      <c r="C778" s="8">
        <v>4713.08</v>
      </c>
      <c r="D778" s="55"/>
      <c r="E778" s="55"/>
      <c r="F778" s="611">
        <f t="shared" si="115"/>
        <v>4713.08</v>
      </c>
      <c r="G778" s="55">
        <v>80</v>
      </c>
      <c r="H778" s="147">
        <v>80</v>
      </c>
      <c r="I778" s="55"/>
      <c r="J778" s="55"/>
      <c r="K778" s="142">
        <f t="shared" si="114"/>
        <v>80</v>
      </c>
      <c r="L778" s="187">
        <f t="shared" si="113"/>
        <v>1.5524936929943722E-2</v>
      </c>
      <c r="M778" s="315">
        <f t="shared" si="110"/>
        <v>35.228100135843199</v>
      </c>
      <c r="N778" s="425">
        <f t="shared" si="111"/>
        <v>12.953372419949545</v>
      </c>
      <c r="O778" s="498">
        <v>13.637339556592766</v>
      </c>
      <c r="P778" s="427">
        <f t="shared" si="112"/>
        <v>3.8022123035125168</v>
      </c>
      <c r="Q778" s="426"/>
      <c r="R778" s="532">
        <f t="shared" ref="R778:R841" si="116">(M778+N778+O778+P778)/C778</f>
        <v>1.3923172196503778E-2</v>
      </c>
    </row>
    <row r="779" spans="1:18" s="6" customFormat="1" ht="15.75">
      <c r="A779" s="127">
        <v>31</v>
      </c>
      <c r="B779" s="330" t="s">
        <v>375</v>
      </c>
      <c r="C779" s="8">
        <v>4688.58</v>
      </c>
      <c r="D779" s="55"/>
      <c r="E779" s="55"/>
      <c r="F779" s="611">
        <f t="shared" si="115"/>
        <v>4688.58</v>
      </c>
      <c r="G779" s="55">
        <v>80</v>
      </c>
      <c r="H779" s="147">
        <v>80</v>
      </c>
      <c r="I779" s="55"/>
      <c r="J779" s="55"/>
      <c r="K779" s="142">
        <f t="shared" si="114"/>
        <v>80</v>
      </c>
      <c r="L779" s="187">
        <f t="shared" si="113"/>
        <v>1.5524936929943722E-2</v>
      </c>
      <c r="M779" s="315">
        <f t="shared" si="110"/>
        <v>35.228100135843199</v>
      </c>
      <c r="N779" s="425">
        <f t="shared" si="111"/>
        <v>12.953372419949545</v>
      </c>
      <c r="O779" s="498">
        <v>13.637339556592766</v>
      </c>
      <c r="P779" s="427">
        <f t="shared" si="112"/>
        <v>3.8022123035125168</v>
      </c>
      <c r="Q779" s="426"/>
      <c r="R779" s="532">
        <f t="shared" si="116"/>
        <v>1.3995927213761528E-2</v>
      </c>
    </row>
    <row r="780" spans="1:18" s="6" customFormat="1" ht="15.75">
      <c r="A780" s="127">
        <v>32</v>
      </c>
      <c r="B780" s="330" t="s">
        <v>376</v>
      </c>
      <c r="C780" s="8">
        <v>2330.62</v>
      </c>
      <c r="D780" s="55"/>
      <c r="E780" s="55"/>
      <c r="F780" s="611">
        <f t="shared" si="115"/>
        <v>2330.62</v>
      </c>
      <c r="G780" s="55">
        <v>40</v>
      </c>
      <c r="H780" s="147">
        <v>40</v>
      </c>
      <c r="I780" s="55"/>
      <c r="J780" s="55"/>
      <c r="K780" s="142">
        <f t="shared" si="114"/>
        <v>40</v>
      </c>
      <c r="L780" s="187">
        <f t="shared" si="113"/>
        <v>7.7624684649718612E-3</v>
      </c>
      <c r="M780" s="315">
        <f t="shared" si="110"/>
        <v>17.6140500679216</v>
      </c>
      <c r="N780" s="425">
        <f t="shared" si="111"/>
        <v>6.4766862099747726</v>
      </c>
      <c r="O780" s="498">
        <v>6.8186697782963828</v>
      </c>
      <c r="P780" s="427">
        <f t="shared" si="112"/>
        <v>1.9011061517562584</v>
      </c>
      <c r="Q780" s="426"/>
      <c r="R780" s="532">
        <f t="shared" si="116"/>
        <v>1.4078018813855975E-2</v>
      </c>
    </row>
    <row r="781" spans="1:18" s="6" customFormat="1" ht="15.75">
      <c r="A781" s="127">
        <v>33</v>
      </c>
      <c r="B781" s="330" t="s">
        <v>377</v>
      </c>
      <c r="C781" s="8">
        <v>2305.7800000000002</v>
      </c>
      <c r="D781" s="55"/>
      <c r="E781" s="55"/>
      <c r="F781" s="611">
        <f t="shared" si="115"/>
        <v>2305.7800000000002</v>
      </c>
      <c r="G781" s="55">
        <v>40</v>
      </c>
      <c r="H781" s="147">
        <v>40</v>
      </c>
      <c r="I781" s="55"/>
      <c r="J781" s="55"/>
      <c r="K781" s="142">
        <f t="shared" si="114"/>
        <v>40</v>
      </c>
      <c r="L781" s="187">
        <f t="shared" si="113"/>
        <v>7.7624684649718612E-3</v>
      </c>
      <c r="M781" s="315">
        <f t="shared" si="110"/>
        <v>17.6140500679216</v>
      </c>
      <c r="N781" s="425">
        <f t="shared" si="111"/>
        <v>6.4766862099747726</v>
      </c>
      <c r="O781" s="498">
        <v>6.8186697782963828</v>
      </c>
      <c r="P781" s="427">
        <f t="shared" si="112"/>
        <v>1.9011061517562584</v>
      </c>
      <c r="Q781" s="426"/>
      <c r="R781" s="532">
        <f t="shared" si="116"/>
        <v>1.4229680285174217E-2</v>
      </c>
    </row>
    <row r="782" spans="1:18" s="6" customFormat="1" ht="15.75">
      <c r="A782" s="127">
        <v>34</v>
      </c>
      <c r="B782" s="330" t="s">
        <v>378</v>
      </c>
      <c r="C782" s="8">
        <v>2216.46</v>
      </c>
      <c r="D782" s="55"/>
      <c r="E782" s="55"/>
      <c r="F782" s="611">
        <f t="shared" si="115"/>
        <v>2216.46</v>
      </c>
      <c r="G782" s="55">
        <v>40</v>
      </c>
      <c r="H782" s="147">
        <v>40</v>
      </c>
      <c r="I782" s="55"/>
      <c r="J782" s="55"/>
      <c r="K782" s="142">
        <f t="shared" si="114"/>
        <v>40</v>
      </c>
      <c r="L782" s="187">
        <f t="shared" si="113"/>
        <v>7.7624684649718612E-3</v>
      </c>
      <c r="M782" s="315">
        <f t="shared" si="110"/>
        <v>17.6140500679216</v>
      </c>
      <c r="N782" s="425">
        <f t="shared" si="111"/>
        <v>6.4766862099747726</v>
      </c>
      <c r="O782" s="498">
        <v>6.8186697782963828</v>
      </c>
      <c r="P782" s="427">
        <f t="shared" si="112"/>
        <v>1.9011061517562584</v>
      </c>
      <c r="Q782" s="426"/>
      <c r="R782" s="532">
        <f t="shared" si="116"/>
        <v>1.480311497069607E-2</v>
      </c>
    </row>
    <row r="783" spans="1:18" s="6" customFormat="1" ht="15.75">
      <c r="A783" s="127">
        <v>35</v>
      </c>
      <c r="B783" s="330" t="s">
        <v>379</v>
      </c>
      <c r="C783" s="8">
        <v>5733.87</v>
      </c>
      <c r="D783" s="55"/>
      <c r="E783" s="55">
        <v>119.9</v>
      </c>
      <c r="F783" s="611">
        <f t="shared" si="115"/>
        <v>5853.7699999999995</v>
      </c>
      <c r="G783" s="55">
        <v>120</v>
      </c>
      <c r="H783" s="147">
        <v>120</v>
      </c>
      <c r="I783" s="55"/>
      <c r="J783" s="55">
        <v>2</v>
      </c>
      <c r="K783" s="142">
        <f t="shared" si="114"/>
        <v>122</v>
      </c>
      <c r="L783" s="187">
        <f t="shared" si="113"/>
        <v>2.3675528818164177E-2</v>
      </c>
      <c r="M783" s="315">
        <f t="shared" si="110"/>
        <v>53.722852707160882</v>
      </c>
      <c r="N783" s="425">
        <f t="shared" si="111"/>
        <v>19.753892940423057</v>
      </c>
      <c r="O783" s="498">
        <v>20.796942823803967</v>
      </c>
      <c r="P783" s="427">
        <f t="shared" si="112"/>
        <v>5.7983737628565883</v>
      </c>
      <c r="Q783" s="426"/>
      <c r="R783" s="532">
        <f t="shared" si="116"/>
        <v>1.7452795796598895E-2</v>
      </c>
    </row>
    <row r="784" spans="1:18" s="6" customFormat="1" ht="15.75">
      <c r="A784" s="127">
        <v>36</v>
      </c>
      <c r="B784" s="330" t="s">
        <v>380</v>
      </c>
      <c r="C784" s="8">
        <v>4616.67</v>
      </c>
      <c r="D784" s="55"/>
      <c r="E784" s="55">
        <v>516.1</v>
      </c>
      <c r="F784" s="611">
        <f t="shared" si="115"/>
        <v>5132.7700000000004</v>
      </c>
      <c r="G784" s="55">
        <v>85</v>
      </c>
      <c r="H784" s="147">
        <v>85</v>
      </c>
      <c r="I784" s="55"/>
      <c r="J784" s="55">
        <v>1</v>
      </c>
      <c r="K784" s="142">
        <f t="shared" si="114"/>
        <v>86</v>
      </c>
      <c r="L784" s="187">
        <f t="shared" si="113"/>
        <v>1.6689307199689501E-2</v>
      </c>
      <c r="M784" s="315">
        <f t="shared" si="110"/>
        <v>37.870207646031439</v>
      </c>
      <c r="N784" s="425">
        <f t="shared" si="111"/>
        <v>13.924875351445761</v>
      </c>
      <c r="O784" s="498">
        <v>14.660140023337222</v>
      </c>
      <c r="P784" s="427">
        <f t="shared" si="112"/>
        <v>4.0873782262759555</v>
      </c>
      <c r="Q784" s="426"/>
      <c r="R784" s="532">
        <f t="shared" si="116"/>
        <v>1.5279974797221891E-2</v>
      </c>
    </row>
    <row r="785" spans="1:18" s="6" customFormat="1" ht="15.75">
      <c r="A785" s="127">
        <v>37</v>
      </c>
      <c r="B785" s="330" t="s">
        <v>381</v>
      </c>
      <c r="C785" s="8">
        <v>4459.21</v>
      </c>
      <c r="D785" s="55"/>
      <c r="E785" s="55">
        <v>199.1</v>
      </c>
      <c r="F785" s="611">
        <f t="shared" si="115"/>
        <v>4658.3100000000004</v>
      </c>
      <c r="G785" s="55">
        <v>94</v>
      </c>
      <c r="H785" s="147">
        <v>94</v>
      </c>
      <c r="I785" s="55"/>
      <c r="J785" s="55">
        <v>2</v>
      </c>
      <c r="K785" s="142">
        <f t="shared" si="114"/>
        <v>96</v>
      </c>
      <c r="L785" s="187">
        <f t="shared" si="113"/>
        <v>1.8629924315932467E-2</v>
      </c>
      <c r="M785" s="315">
        <f t="shared" si="110"/>
        <v>42.273720163011838</v>
      </c>
      <c r="N785" s="425">
        <f t="shared" si="111"/>
        <v>15.544046903939455</v>
      </c>
      <c r="O785" s="498">
        <v>16.364807467911316</v>
      </c>
      <c r="P785" s="427">
        <f t="shared" si="112"/>
        <v>4.5626547642150204</v>
      </c>
      <c r="Q785" s="426"/>
      <c r="R785" s="532">
        <f t="shared" si="116"/>
        <v>1.7659008949808964E-2</v>
      </c>
    </row>
    <row r="786" spans="1:18" s="6" customFormat="1" ht="15.75">
      <c r="A786" s="127">
        <v>38</v>
      </c>
      <c r="B786" s="330" t="s">
        <v>382</v>
      </c>
      <c r="C786" s="8">
        <v>4519.6099999999997</v>
      </c>
      <c r="D786" s="55"/>
      <c r="E786" s="55"/>
      <c r="F786" s="611">
        <f t="shared" si="115"/>
        <v>4519.6099999999997</v>
      </c>
      <c r="G786" s="55">
        <v>80</v>
      </c>
      <c r="H786" s="147">
        <v>80</v>
      </c>
      <c r="I786" s="55"/>
      <c r="J786" s="55"/>
      <c r="K786" s="142">
        <f t="shared" si="114"/>
        <v>80</v>
      </c>
      <c r="L786" s="187">
        <f t="shared" si="113"/>
        <v>1.5524936929943722E-2</v>
      </c>
      <c r="M786" s="315">
        <f t="shared" si="110"/>
        <v>35.228100135843199</v>
      </c>
      <c r="N786" s="425">
        <f t="shared" si="111"/>
        <v>12.953372419949545</v>
      </c>
      <c r="O786" s="498">
        <v>13.637339556592766</v>
      </c>
      <c r="P786" s="427">
        <f t="shared" si="112"/>
        <v>3.8022123035125168</v>
      </c>
      <c r="Q786" s="426"/>
      <c r="R786" s="532">
        <f t="shared" si="116"/>
        <v>1.4519178516707863E-2</v>
      </c>
    </row>
    <row r="787" spans="1:18" s="6" customFormat="1" ht="15.75">
      <c r="A787" s="127">
        <v>39</v>
      </c>
      <c r="B787" s="330" t="s">
        <v>383</v>
      </c>
      <c r="C787" s="8">
        <v>7164.75</v>
      </c>
      <c r="D787" s="55"/>
      <c r="E787" s="55"/>
      <c r="F787" s="611">
        <f t="shared" si="115"/>
        <v>7164.75</v>
      </c>
      <c r="G787" s="55">
        <v>120</v>
      </c>
      <c r="H787" s="147">
        <v>120</v>
      </c>
      <c r="I787" s="55"/>
      <c r="J787" s="55"/>
      <c r="K787" s="142">
        <f t="shared" si="114"/>
        <v>120</v>
      </c>
      <c r="L787" s="187">
        <f t="shared" si="113"/>
        <v>2.3287405394915583E-2</v>
      </c>
      <c r="M787" s="315">
        <f t="shared" si="110"/>
        <v>52.842150203764803</v>
      </c>
      <c r="N787" s="425">
        <f t="shared" si="111"/>
        <v>19.430058629924318</v>
      </c>
      <c r="O787" s="498">
        <v>20.456009334889146</v>
      </c>
      <c r="P787" s="427">
        <f t="shared" si="112"/>
        <v>5.7033184552687759</v>
      </c>
      <c r="Q787" s="426"/>
      <c r="R787" s="532">
        <f t="shared" si="116"/>
        <v>1.3738307215722396E-2</v>
      </c>
    </row>
    <row r="788" spans="1:18" s="6" customFormat="1" ht="15.75">
      <c r="A788" s="127">
        <v>40</v>
      </c>
      <c r="B788" s="330" t="s">
        <v>384</v>
      </c>
      <c r="C788" s="8">
        <v>4422.5</v>
      </c>
      <c r="D788" s="55"/>
      <c r="E788" s="55"/>
      <c r="F788" s="611">
        <f t="shared" si="115"/>
        <v>4422.5</v>
      </c>
      <c r="G788" s="55">
        <v>80</v>
      </c>
      <c r="H788" s="147">
        <v>80</v>
      </c>
      <c r="I788" s="55"/>
      <c r="J788" s="55"/>
      <c r="K788" s="142">
        <f t="shared" si="114"/>
        <v>80</v>
      </c>
      <c r="L788" s="187">
        <f t="shared" si="113"/>
        <v>1.5524936929943722E-2</v>
      </c>
      <c r="M788" s="315">
        <f t="shared" si="110"/>
        <v>35.228100135843199</v>
      </c>
      <c r="N788" s="425">
        <f t="shared" si="111"/>
        <v>12.953372419949545</v>
      </c>
      <c r="O788" s="498">
        <v>13.637339556592766</v>
      </c>
      <c r="P788" s="427">
        <f t="shared" si="112"/>
        <v>3.8022123035125168</v>
      </c>
      <c r="Q788" s="426"/>
      <c r="R788" s="532">
        <f t="shared" si="116"/>
        <v>1.4837993084431435E-2</v>
      </c>
    </row>
    <row r="789" spans="1:18" s="6" customFormat="1" ht="15.75">
      <c r="A789" s="127">
        <v>41</v>
      </c>
      <c r="B789" s="330" t="s">
        <v>385</v>
      </c>
      <c r="C789" s="8">
        <v>9048.7900000000009</v>
      </c>
      <c r="D789" s="55"/>
      <c r="E789" s="55"/>
      <c r="F789" s="611">
        <f t="shared" si="115"/>
        <v>9048.7900000000009</v>
      </c>
      <c r="G789" s="55">
        <v>160</v>
      </c>
      <c r="H789" s="147">
        <v>160</v>
      </c>
      <c r="I789" s="55"/>
      <c r="J789" s="55"/>
      <c r="K789" s="142">
        <f t="shared" si="114"/>
        <v>160</v>
      </c>
      <c r="L789" s="187">
        <f t="shared" si="113"/>
        <v>3.1049873859887445E-2</v>
      </c>
      <c r="M789" s="315">
        <f t="shared" si="110"/>
        <v>70.456200271686399</v>
      </c>
      <c r="N789" s="425">
        <f t="shared" si="111"/>
        <v>25.90674483989909</v>
      </c>
      <c r="O789" s="498">
        <v>27.274679113185531</v>
      </c>
      <c r="P789" s="427">
        <f t="shared" si="112"/>
        <v>7.6044246070250336</v>
      </c>
      <c r="Q789" s="426"/>
      <c r="R789" s="532">
        <f t="shared" si="116"/>
        <v>1.4503823033996372E-2</v>
      </c>
    </row>
    <row r="790" spans="1:18" s="6" customFormat="1" ht="15.75">
      <c r="A790" s="127">
        <v>42</v>
      </c>
      <c r="B790" s="330" t="s">
        <v>386</v>
      </c>
      <c r="C790" s="8">
        <v>4583.33</v>
      </c>
      <c r="D790" s="55"/>
      <c r="E790" s="55"/>
      <c r="F790" s="611">
        <f t="shared" si="115"/>
        <v>4583.33</v>
      </c>
      <c r="G790" s="55">
        <v>80</v>
      </c>
      <c r="H790" s="147">
        <v>80</v>
      </c>
      <c r="I790" s="55"/>
      <c r="J790" s="55"/>
      <c r="K790" s="142">
        <f t="shared" si="114"/>
        <v>80</v>
      </c>
      <c r="L790" s="187">
        <f t="shared" si="113"/>
        <v>1.5524936929943722E-2</v>
      </c>
      <c r="M790" s="315">
        <f t="shared" si="110"/>
        <v>35.228100135843199</v>
      </c>
      <c r="N790" s="425">
        <f t="shared" si="111"/>
        <v>12.953372419949545</v>
      </c>
      <c r="O790" s="498">
        <v>13.637339556592766</v>
      </c>
      <c r="P790" s="427">
        <f t="shared" si="112"/>
        <v>3.8022123035125168</v>
      </c>
      <c r="Q790" s="426"/>
      <c r="R790" s="532">
        <f t="shared" si="116"/>
        <v>1.431732483061399E-2</v>
      </c>
    </row>
    <row r="791" spans="1:18" s="6" customFormat="1" ht="15.75">
      <c r="A791" s="127">
        <v>43</v>
      </c>
      <c r="B791" s="330" t="s">
        <v>387</v>
      </c>
      <c r="C791" s="8">
        <v>2091.96</v>
      </c>
      <c r="D791" s="55"/>
      <c r="E791" s="55">
        <v>121.7</v>
      </c>
      <c r="F791" s="611">
        <f t="shared" si="115"/>
        <v>2213.66</v>
      </c>
      <c r="G791" s="55">
        <v>36</v>
      </c>
      <c r="H791" s="147">
        <v>36</v>
      </c>
      <c r="I791" s="55"/>
      <c r="J791" s="55">
        <v>1</v>
      </c>
      <c r="K791" s="142">
        <f t="shared" si="114"/>
        <v>37</v>
      </c>
      <c r="L791" s="187">
        <f t="shared" si="113"/>
        <v>7.1802833300989716E-3</v>
      </c>
      <c r="M791" s="315">
        <f t="shared" si="110"/>
        <v>16.29299631282748</v>
      </c>
      <c r="N791" s="425">
        <f t="shared" si="111"/>
        <v>5.9909347442266645</v>
      </c>
      <c r="O791" s="498">
        <v>6.3072695449241536</v>
      </c>
      <c r="P791" s="427">
        <f t="shared" si="112"/>
        <v>1.7585231903745391</v>
      </c>
      <c r="Q791" s="426"/>
      <c r="R791" s="532">
        <f t="shared" si="116"/>
        <v>1.4507793548802481E-2</v>
      </c>
    </row>
    <row r="792" spans="1:18" s="6" customFormat="1" ht="15.75">
      <c r="A792" s="127">
        <v>44</v>
      </c>
      <c r="B792" s="330" t="s">
        <v>388</v>
      </c>
      <c r="C792" s="8">
        <v>41.2</v>
      </c>
      <c r="D792" s="55"/>
      <c r="E792" s="55"/>
      <c r="F792" s="611">
        <f t="shared" si="115"/>
        <v>41.2</v>
      </c>
      <c r="G792" s="55">
        <v>1</v>
      </c>
      <c r="H792" s="147">
        <v>1</v>
      </c>
      <c r="I792" s="55"/>
      <c r="J792" s="55"/>
      <c r="K792" s="142">
        <f t="shared" si="114"/>
        <v>1</v>
      </c>
      <c r="L792" s="187">
        <f t="shared" si="113"/>
        <v>1.9406171162429653E-4</v>
      </c>
      <c r="M792" s="315">
        <f t="shared" si="110"/>
        <v>0.44035125169804001</v>
      </c>
      <c r="N792" s="425">
        <f t="shared" si="111"/>
        <v>0.16191715524936934</v>
      </c>
      <c r="O792" s="498">
        <v>0.17046674445740956</v>
      </c>
      <c r="P792" s="427">
        <f t="shared" si="112"/>
        <v>4.7527653793906464E-2</v>
      </c>
      <c r="Q792" s="426"/>
      <c r="R792" s="532">
        <f t="shared" si="116"/>
        <v>1.9909291388318574E-2</v>
      </c>
    </row>
    <row r="793" spans="1:18" s="6" customFormat="1" ht="15.75">
      <c r="A793" s="127">
        <v>45</v>
      </c>
      <c r="B793" s="330" t="s">
        <v>389</v>
      </c>
      <c r="C793" s="8">
        <v>21</v>
      </c>
      <c r="D793" s="55"/>
      <c r="E793" s="55"/>
      <c r="F793" s="611">
        <f t="shared" si="115"/>
        <v>21</v>
      </c>
      <c r="G793" s="55">
        <v>1</v>
      </c>
      <c r="H793" s="147">
        <v>1</v>
      </c>
      <c r="I793" s="55"/>
      <c r="J793" s="55"/>
      <c r="K793" s="142">
        <f t="shared" si="114"/>
        <v>1</v>
      </c>
      <c r="L793" s="187">
        <f t="shared" si="113"/>
        <v>1.9406171162429653E-4</v>
      </c>
      <c r="M793" s="315">
        <f t="shared" si="110"/>
        <v>0.44035125169804001</v>
      </c>
      <c r="N793" s="425">
        <f t="shared" si="111"/>
        <v>0.16191715524936934</v>
      </c>
      <c r="O793" s="498">
        <v>0.17046674445740956</v>
      </c>
      <c r="P793" s="427">
        <f t="shared" si="112"/>
        <v>4.7527653793906464E-2</v>
      </c>
      <c r="Q793" s="426"/>
      <c r="R793" s="532">
        <f t="shared" si="116"/>
        <v>3.9060133580891679E-2</v>
      </c>
    </row>
    <row r="794" spans="1:18" s="6" customFormat="1" ht="15.75">
      <c r="A794" s="127">
        <v>46</v>
      </c>
      <c r="B794" s="330" t="s">
        <v>390</v>
      </c>
      <c r="C794" s="8">
        <v>113.2</v>
      </c>
      <c r="D794" s="55"/>
      <c r="E794" s="55"/>
      <c r="F794" s="611">
        <f t="shared" si="115"/>
        <v>113.2</v>
      </c>
      <c r="G794" s="55">
        <v>3</v>
      </c>
      <c r="H794" s="147">
        <v>3</v>
      </c>
      <c r="I794" s="55"/>
      <c r="J794" s="55"/>
      <c r="K794" s="142">
        <f t="shared" si="114"/>
        <v>3</v>
      </c>
      <c r="L794" s="187">
        <f t="shared" si="113"/>
        <v>5.8218513487288959E-4</v>
      </c>
      <c r="M794" s="315">
        <f t="shared" si="110"/>
        <v>1.3210537550941199</v>
      </c>
      <c r="N794" s="425">
        <f t="shared" si="111"/>
        <v>0.48575146574810796</v>
      </c>
      <c r="O794" s="498">
        <v>0.51140023337222862</v>
      </c>
      <c r="P794" s="427">
        <f t="shared" si="112"/>
        <v>0.14258296138171939</v>
      </c>
      <c r="Q794" s="426"/>
      <c r="R794" s="532">
        <f t="shared" si="116"/>
        <v>2.1738413565337244E-2</v>
      </c>
    </row>
    <row r="795" spans="1:18" s="6" customFormat="1" ht="15.75">
      <c r="A795" s="127">
        <v>47</v>
      </c>
      <c r="B795" s="330" t="s">
        <v>391</v>
      </c>
      <c r="C795" s="8">
        <v>149.19999999999999</v>
      </c>
      <c r="D795" s="55"/>
      <c r="E795" s="55"/>
      <c r="F795" s="611">
        <f t="shared" si="115"/>
        <v>149.19999999999999</v>
      </c>
      <c r="G795" s="55">
        <v>4</v>
      </c>
      <c r="H795" s="147">
        <v>4</v>
      </c>
      <c r="I795" s="55"/>
      <c r="J795" s="55"/>
      <c r="K795" s="142">
        <f t="shared" si="114"/>
        <v>4</v>
      </c>
      <c r="L795" s="187">
        <f t="shared" si="113"/>
        <v>7.7624684649718612E-4</v>
      </c>
      <c r="M795" s="315">
        <f t="shared" si="110"/>
        <v>1.7614050067921601</v>
      </c>
      <c r="N795" s="425">
        <f t="shared" si="111"/>
        <v>0.64766862099747735</v>
      </c>
      <c r="O795" s="498">
        <v>0.68186697782963823</v>
      </c>
      <c r="P795" s="427">
        <f t="shared" si="112"/>
        <v>0.19011061517562586</v>
      </c>
      <c r="Q795" s="426"/>
      <c r="R795" s="532">
        <f t="shared" si="116"/>
        <v>2.1990959924898804E-2</v>
      </c>
    </row>
    <row r="796" spans="1:18" s="6" customFormat="1" ht="15.75">
      <c r="A796" s="127">
        <v>49</v>
      </c>
      <c r="B796" s="330" t="s">
        <v>808</v>
      </c>
      <c r="C796" s="8">
        <v>613.9</v>
      </c>
      <c r="D796" s="55"/>
      <c r="E796" s="55">
        <v>71.099999999999994</v>
      </c>
      <c r="F796" s="611">
        <f t="shared" si="115"/>
        <v>685</v>
      </c>
      <c r="G796" s="55">
        <v>12</v>
      </c>
      <c r="H796" s="147">
        <v>12</v>
      </c>
      <c r="I796" s="55"/>
      <c r="J796" s="55">
        <v>1</v>
      </c>
      <c r="K796" s="142">
        <f t="shared" si="114"/>
        <v>13</v>
      </c>
      <c r="L796" s="187">
        <f t="shared" si="113"/>
        <v>2.5228022511158549E-3</v>
      </c>
      <c r="M796" s="315">
        <f t="shared" si="110"/>
        <v>5.7245662720745196</v>
      </c>
      <c r="N796" s="425">
        <f t="shared" si="111"/>
        <v>2.1049230182418008</v>
      </c>
      <c r="O796" s="498">
        <v>2.2160676779463242</v>
      </c>
      <c r="P796" s="427">
        <f t="shared" si="112"/>
        <v>0.61785949932078399</v>
      </c>
      <c r="Q796" s="426"/>
      <c r="R796" s="532">
        <f t="shared" si="116"/>
        <v>1.7369956780556164E-2</v>
      </c>
    </row>
    <row r="797" spans="1:18" s="6" customFormat="1" ht="15.75">
      <c r="A797" s="127">
        <v>50</v>
      </c>
      <c r="B797" s="330" t="s">
        <v>809</v>
      </c>
      <c r="C797" s="8">
        <v>451.16</v>
      </c>
      <c r="D797" s="55"/>
      <c r="E797" s="55">
        <v>29.4</v>
      </c>
      <c r="F797" s="611">
        <f t="shared" si="115"/>
        <v>480.56</v>
      </c>
      <c r="G797" s="55">
        <v>9</v>
      </c>
      <c r="H797" s="147">
        <v>9</v>
      </c>
      <c r="I797" s="55"/>
      <c r="J797" s="55">
        <v>1</v>
      </c>
      <c r="K797" s="142">
        <f t="shared" si="114"/>
        <v>10</v>
      </c>
      <c r="L797" s="187">
        <f t="shared" si="113"/>
        <v>1.9406171162429653E-3</v>
      </c>
      <c r="M797" s="315">
        <f t="shared" si="110"/>
        <v>4.4035125169803999</v>
      </c>
      <c r="N797" s="425">
        <f t="shared" si="111"/>
        <v>1.6191715524936932</v>
      </c>
      <c r="O797" s="498">
        <v>1.7046674445740957</v>
      </c>
      <c r="P797" s="427">
        <f t="shared" si="112"/>
        <v>0.4752765379390646</v>
      </c>
      <c r="Q797" s="426"/>
      <c r="R797" s="532">
        <f t="shared" si="116"/>
        <v>1.8181195256643436E-2</v>
      </c>
    </row>
    <row r="798" spans="1:18" s="6" customFormat="1" ht="15.75">
      <c r="A798" s="127">
        <v>51</v>
      </c>
      <c r="B798" s="330" t="s">
        <v>810</v>
      </c>
      <c r="C798" s="8">
        <v>514.09</v>
      </c>
      <c r="D798" s="55"/>
      <c r="E798" s="55"/>
      <c r="F798" s="611">
        <f t="shared" si="115"/>
        <v>514.09</v>
      </c>
      <c r="G798" s="55">
        <v>12</v>
      </c>
      <c r="H798" s="147">
        <v>12</v>
      </c>
      <c r="I798" s="55"/>
      <c r="J798" s="55"/>
      <c r="K798" s="142">
        <f t="shared" si="114"/>
        <v>12</v>
      </c>
      <c r="L798" s="187">
        <f t="shared" si="113"/>
        <v>2.3287405394915583E-3</v>
      </c>
      <c r="M798" s="315">
        <f t="shared" si="110"/>
        <v>5.2842150203764797</v>
      </c>
      <c r="N798" s="425">
        <f t="shared" si="111"/>
        <v>1.9430058629924318</v>
      </c>
      <c r="O798" s="498">
        <v>2.0456009334889145</v>
      </c>
      <c r="P798" s="427">
        <f t="shared" si="112"/>
        <v>0.57033184552687755</v>
      </c>
      <c r="Q798" s="426"/>
      <c r="R798" s="532">
        <f t="shared" si="116"/>
        <v>1.9146751857427112E-2</v>
      </c>
    </row>
    <row r="799" spans="1:18" s="6" customFormat="1" ht="15.75">
      <c r="A799" s="127">
        <v>52</v>
      </c>
      <c r="B799" s="330" t="s">
        <v>811</v>
      </c>
      <c r="C799" s="8">
        <v>522.29999999999995</v>
      </c>
      <c r="D799" s="55"/>
      <c r="E799" s="55">
        <v>27.8</v>
      </c>
      <c r="F799" s="611">
        <f t="shared" si="115"/>
        <v>550.09999999999991</v>
      </c>
      <c r="G799" s="55">
        <v>9</v>
      </c>
      <c r="H799" s="147">
        <v>9</v>
      </c>
      <c r="I799" s="55"/>
      <c r="J799" s="55">
        <v>1</v>
      </c>
      <c r="K799" s="142">
        <f t="shared" si="114"/>
        <v>10</v>
      </c>
      <c r="L799" s="187">
        <f t="shared" si="113"/>
        <v>1.9406171162429653E-3</v>
      </c>
      <c r="M799" s="315">
        <f t="shared" si="110"/>
        <v>4.4035125169803999</v>
      </c>
      <c r="N799" s="425">
        <f t="shared" si="111"/>
        <v>1.6191715524936932</v>
      </c>
      <c r="O799" s="498">
        <v>1.7046674445740957</v>
      </c>
      <c r="P799" s="427">
        <f t="shared" si="112"/>
        <v>0.4752765379390646</v>
      </c>
      <c r="Q799" s="426"/>
      <c r="R799" s="532">
        <f t="shared" si="116"/>
        <v>1.5704821083643985E-2</v>
      </c>
    </row>
    <row r="800" spans="1:18" s="6" customFormat="1" ht="15.75">
      <c r="A800" s="127">
        <v>53</v>
      </c>
      <c r="B800" s="330" t="s">
        <v>812</v>
      </c>
      <c r="C800" s="8">
        <v>1211.25</v>
      </c>
      <c r="D800" s="55"/>
      <c r="E800" s="55"/>
      <c r="F800" s="611">
        <f t="shared" si="115"/>
        <v>1211.25</v>
      </c>
      <c r="G800" s="55">
        <v>34</v>
      </c>
      <c r="H800" s="147">
        <v>34</v>
      </c>
      <c r="I800" s="55"/>
      <c r="J800" s="55"/>
      <c r="K800" s="142">
        <f t="shared" si="114"/>
        <v>34</v>
      </c>
      <c r="L800" s="187">
        <f t="shared" si="113"/>
        <v>6.598098195226082E-3</v>
      </c>
      <c r="M800" s="315">
        <f t="shared" si="110"/>
        <v>14.97194255773336</v>
      </c>
      <c r="N800" s="425">
        <f t="shared" si="111"/>
        <v>5.5051832784785573</v>
      </c>
      <c r="O800" s="498">
        <v>5.7958693115519253</v>
      </c>
      <c r="P800" s="427">
        <f t="shared" si="112"/>
        <v>1.6159402289928197</v>
      </c>
      <c r="Q800" s="426"/>
      <c r="R800" s="532">
        <f t="shared" si="116"/>
        <v>2.3024920847683521E-2</v>
      </c>
    </row>
    <row r="801" spans="1:18" s="6" customFormat="1" ht="15.75">
      <c r="A801" s="127">
        <v>54</v>
      </c>
      <c r="B801" s="330" t="s">
        <v>813</v>
      </c>
      <c r="C801" s="8">
        <v>306.17</v>
      </c>
      <c r="D801" s="55"/>
      <c r="E801" s="55">
        <v>31.2</v>
      </c>
      <c r="F801" s="611">
        <f t="shared" si="115"/>
        <v>337.37</v>
      </c>
      <c r="G801" s="55">
        <v>7</v>
      </c>
      <c r="H801" s="147">
        <v>7</v>
      </c>
      <c r="I801" s="55"/>
      <c r="J801" s="55">
        <v>1</v>
      </c>
      <c r="K801" s="142">
        <f t="shared" si="114"/>
        <v>8</v>
      </c>
      <c r="L801" s="187">
        <f t="shared" si="113"/>
        <v>1.5524936929943722E-3</v>
      </c>
      <c r="M801" s="315">
        <f t="shared" si="110"/>
        <v>3.5228100135843201</v>
      </c>
      <c r="N801" s="425">
        <f t="shared" si="111"/>
        <v>1.2953372419949547</v>
      </c>
      <c r="O801" s="498">
        <v>1.3637339556592765</v>
      </c>
      <c r="P801" s="427">
        <f t="shared" si="112"/>
        <v>0.38022123035125172</v>
      </c>
      <c r="Q801" s="426"/>
      <c r="R801" s="532">
        <f t="shared" si="116"/>
        <v>2.1432872069731854E-2</v>
      </c>
    </row>
    <row r="802" spans="1:18" s="6" customFormat="1" ht="15.75">
      <c r="A802" s="127">
        <v>55</v>
      </c>
      <c r="B802" s="330" t="s">
        <v>814</v>
      </c>
      <c r="C802" s="8">
        <v>209.58</v>
      </c>
      <c r="D802" s="55"/>
      <c r="E802" s="55">
        <v>29.1</v>
      </c>
      <c r="F802" s="611">
        <f t="shared" si="115"/>
        <v>238.68</v>
      </c>
      <c r="G802" s="55">
        <v>4</v>
      </c>
      <c r="H802" s="147">
        <v>4</v>
      </c>
      <c r="I802" s="55"/>
      <c r="J802" s="55">
        <v>1</v>
      </c>
      <c r="K802" s="142">
        <f t="shared" si="114"/>
        <v>5</v>
      </c>
      <c r="L802" s="187">
        <f t="shared" si="113"/>
        <v>9.7030855812148264E-4</v>
      </c>
      <c r="M802" s="315">
        <f t="shared" si="110"/>
        <v>2.2017562584902</v>
      </c>
      <c r="N802" s="425">
        <f t="shared" si="111"/>
        <v>0.80958577624684658</v>
      </c>
      <c r="O802" s="498">
        <v>0.85233372228704785</v>
      </c>
      <c r="P802" s="427">
        <f t="shared" si="112"/>
        <v>0.2376382689695323</v>
      </c>
      <c r="Q802" s="426"/>
      <c r="R802" s="532">
        <f t="shared" si="116"/>
        <v>1.9569205200847532E-2</v>
      </c>
    </row>
    <row r="803" spans="1:18" s="6" customFormat="1" ht="15.75">
      <c r="A803" s="127">
        <v>56</v>
      </c>
      <c r="B803" s="330" t="s">
        <v>815</v>
      </c>
      <c r="C803" s="8">
        <v>468.77</v>
      </c>
      <c r="D803" s="55"/>
      <c r="E803" s="55">
        <v>272.5</v>
      </c>
      <c r="F803" s="611">
        <f t="shared" si="115"/>
        <v>741.27</v>
      </c>
      <c r="G803" s="55">
        <v>10</v>
      </c>
      <c r="H803" s="147">
        <v>10</v>
      </c>
      <c r="I803" s="55"/>
      <c r="J803" s="55">
        <v>1</v>
      </c>
      <c r="K803" s="142">
        <f t="shared" si="114"/>
        <v>11</v>
      </c>
      <c r="L803" s="187">
        <f t="shared" si="113"/>
        <v>2.1346788278672618E-3</v>
      </c>
      <c r="M803" s="315">
        <f t="shared" si="110"/>
        <v>4.8438637686784398</v>
      </c>
      <c r="N803" s="425">
        <f t="shared" si="111"/>
        <v>1.7810887077430624</v>
      </c>
      <c r="O803" s="498">
        <v>1.8751341890315054</v>
      </c>
      <c r="P803" s="427">
        <f t="shared" si="112"/>
        <v>0.5228041917329711</v>
      </c>
      <c r="Q803" s="426"/>
      <c r="R803" s="532">
        <f t="shared" si="116"/>
        <v>1.9248012580126671E-2</v>
      </c>
    </row>
    <row r="804" spans="1:18" s="6" customFormat="1" ht="15.75">
      <c r="A804" s="127">
        <v>57</v>
      </c>
      <c r="B804" s="330" t="s">
        <v>816</v>
      </c>
      <c r="C804" s="8">
        <v>599.20000000000005</v>
      </c>
      <c r="D804" s="55"/>
      <c r="E804" s="55">
        <v>134.4</v>
      </c>
      <c r="F804" s="611">
        <f t="shared" si="115"/>
        <v>733.6</v>
      </c>
      <c r="G804" s="55">
        <v>20</v>
      </c>
      <c r="H804" s="147">
        <v>20</v>
      </c>
      <c r="I804" s="55"/>
      <c r="J804" s="55">
        <v>1</v>
      </c>
      <c r="K804" s="142">
        <f t="shared" si="114"/>
        <v>21</v>
      </c>
      <c r="L804" s="187">
        <f t="shared" si="113"/>
        <v>4.0752959441102271E-3</v>
      </c>
      <c r="M804" s="315">
        <f t="shared" si="110"/>
        <v>9.2473762856588397</v>
      </c>
      <c r="N804" s="425">
        <f t="shared" si="111"/>
        <v>3.4002602602367555</v>
      </c>
      <c r="O804" s="498">
        <v>3.5798016336056007</v>
      </c>
      <c r="P804" s="427">
        <f t="shared" si="112"/>
        <v>0.99808072967203576</v>
      </c>
      <c r="Q804" s="426"/>
      <c r="R804" s="532">
        <f t="shared" si="116"/>
        <v>2.8747528219581493E-2</v>
      </c>
    </row>
    <row r="805" spans="1:18" s="6" customFormat="1" ht="15.75">
      <c r="A805" s="127">
        <v>58</v>
      </c>
      <c r="B805" s="330" t="s">
        <v>817</v>
      </c>
      <c r="C805" s="8">
        <v>220.5</v>
      </c>
      <c r="D805" s="55"/>
      <c r="E805" s="55"/>
      <c r="F805" s="611">
        <f t="shared" si="115"/>
        <v>220.5</v>
      </c>
      <c r="G805" s="55">
        <v>7</v>
      </c>
      <c r="H805" s="147">
        <v>7</v>
      </c>
      <c r="I805" s="55"/>
      <c r="J805" s="55"/>
      <c r="K805" s="142">
        <f t="shared" si="114"/>
        <v>7</v>
      </c>
      <c r="L805" s="187">
        <f t="shared" si="113"/>
        <v>1.3584319813700757E-3</v>
      </c>
      <c r="M805" s="315">
        <f t="shared" si="110"/>
        <v>3.0824587618862802</v>
      </c>
      <c r="N805" s="425">
        <f t="shared" si="111"/>
        <v>1.1334200867455853</v>
      </c>
      <c r="O805" s="498">
        <v>1.193267211201867</v>
      </c>
      <c r="P805" s="427">
        <f t="shared" si="112"/>
        <v>0.33269357655734522</v>
      </c>
      <c r="Q805" s="426"/>
      <c r="R805" s="532">
        <f t="shared" si="116"/>
        <v>2.6040089053927788E-2</v>
      </c>
    </row>
    <row r="806" spans="1:18" s="6" customFormat="1" ht="15.75">
      <c r="A806" s="127">
        <v>59</v>
      </c>
      <c r="B806" s="330" t="s">
        <v>818</v>
      </c>
      <c r="C806" s="8">
        <v>330.61</v>
      </c>
      <c r="D806" s="55"/>
      <c r="E806" s="55"/>
      <c r="F806" s="611">
        <f t="shared" si="115"/>
        <v>330.61</v>
      </c>
      <c r="G806" s="55">
        <v>12</v>
      </c>
      <c r="H806" s="147">
        <v>12</v>
      </c>
      <c r="I806" s="55"/>
      <c r="J806" s="55"/>
      <c r="K806" s="142">
        <f t="shared" si="114"/>
        <v>12</v>
      </c>
      <c r="L806" s="187">
        <f t="shared" si="113"/>
        <v>2.3287405394915583E-3</v>
      </c>
      <c r="M806" s="315">
        <f t="shared" si="110"/>
        <v>5.2842150203764797</v>
      </c>
      <c r="N806" s="425">
        <f t="shared" si="111"/>
        <v>1.9430058629924318</v>
      </c>
      <c r="O806" s="498">
        <v>2.0456009334889145</v>
      </c>
      <c r="P806" s="427">
        <f t="shared" si="112"/>
        <v>0.57033184552687755</v>
      </c>
      <c r="Q806" s="426"/>
      <c r="R806" s="532">
        <f t="shared" si="116"/>
        <v>2.9772703978659762E-2</v>
      </c>
    </row>
    <row r="807" spans="1:18" s="6" customFormat="1" ht="15.75">
      <c r="A807" s="127">
        <v>60</v>
      </c>
      <c r="B807" s="330" t="s">
        <v>819</v>
      </c>
      <c r="C807" s="8">
        <v>949</v>
      </c>
      <c r="D807" s="55"/>
      <c r="E807" s="55">
        <v>88.5</v>
      </c>
      <c r="F807" s="611">
        <f t="shared" si="115"/>
        <v>1037.5</v>
      </c>
      <c r="G807" s="55">
        <v>26</v>
      </c>
      <c r="H807" s="147">
        <v>26</v>
      </c>
      <c r="I807" s="55"/>
      <c r="J807" s="55">
        <v>1</v>
      </c>
      <c r="K807" s="142">
        <f t="shared" si="114"/>
        <v>27</v>
      </c>
      <c r="L807" s="187">
        <f t="shared" si="113"/>
        <v>5.2396662138560063E-3</v>
      </c>
      <c r="M807" s="315">
        <f t="shared" si="110"/>
        <v>11.889483795847081</v>
      </c>
      <c r="N807" s="425">
        <f t="shared" si="111"/>
        <v>4.3717631917329722</v>
      </c>
      <c r="O807" s="498">
        <v>4.6026021003500581</v>
      </c>
      <c r="P807" s="427">
        <f t="shared" si="112"/>
        <v>1.2832466524354744</v>
      </c>
      <c r="Q807" s="426"/>
      <c r="R807" s="532">
        <f t="shared" si="116"/>
        <v>2.3337297935053302E-2</v>
      </c>
    </row>
    <row r="808" spans="1:18" s="6" customFormat="1" ht="15.75">
      <c r="A808" s="127">
        <v>61</v>
      </c>
      <c r="B808" s="330" t="s">
        <v>820</v>
      </c>
      <c r="C808" s="8">
        <v>211.8</v>
      </c>
      <c r="D808" s="55"/>
      <c r="E808" s="55">
        <v>18.3</v>
      </c>
      <c r="F808" s="611">
        <f t="shared" si="115"/>
        <v>230.10000000000002</v>
      </c>
      <c r="G808" s="55">
        <v>5</v>
      </c>
      <c r="H808" s="147">
        <v>5</v>
      </c>
      <c r="I808" s="55"/>
      <c r="J808" s="55">
        <v>1</v>
      </c>
      <c r="K808" s="142">
        <f t="shared" si="114"/>
        <v>6</v>
      </c>
      <c r="L808" s="187">
        <f t="shared" si="113"/>
        <v>1.1643702697457792E-3</v>
      </c>
      <c r="M808" s="315">
        <f t="shared" si="110"/>
        <v>2.6421075101882399</v>
      </c>
      <c r="N808" s="425">
        <f t="shared" si="111"/>
        <v>0.97150293149621592</v>
      </c>
      <c r="O808" s="498">
        <v>1.0228004667444572</v>
      </c>
      <c r="P808" s="427">
        <f t="shared" si="112"/>
        <v>0.28516592276343877</v>
      </c>
      <c r="Q808" s="426"/>
      <c r="R808" s="532">
        <f t="shared" si="116"/>
        <v>2.3236906662853409E-2</v>
      </c>
    </row>
    <row r="809" spans="1:18" s="6" customFormat="1" ht="15.75">
      <c r="A809" s="127">
        <v>62</v>
      </c>
      <c r="B809" s="330" t="s">
        <v>821</v>
      </c>
      <c r="C809" s="8">
        <v>1331.77</v>
      </c>
      <c r="D809" s="55"/>
      <c r="E809" s="55"/>
      <c r="F809" s="611">
        <f t="shared" si="115"/>
        <v>1331.77</v>
      </c>
      <c r="G809" s="55">
        <v>32</v>
      </c>
      <c r="H809" s="147">
        <v>32</v>
      </c>
      <c r="I809" s="55"/>
      <c r="J809" s="55"/>
      <c r="K809" s="142">
        <f t="shared" si="114"/>
        <v>32</v>
      </c>
      <c r="L809" s="187">
        <f t="shared" si="113"/>
        <v>6.2099747719774889E-3</v>
      </c>
      <c r="M809" s="315">
        <f t="shared" si="110"/>
        <v>14.09124005433728</v>
      </c>
      <c r="N809" s="425">
        <f t="shared" si="111"/>
        <v>5.1813489679798188</v>
      </c>
      <c r="O809" s="498">
        <v>5.4549358226371059</v>
      </c>
      <c r="P809" s="427">
        <f t="shared" si="112"/>
        <v>1.5208849214050069</v>
      </c>
      <c r="Q809" s="426"/>
      <c r="R809" s="532">
        <f t="shared" si="116"/>
        <v>1.9709416615751377E-2</v>
      </c>
    </row>
    <row r="810" spans="1:18" s="6" customFormat="1" ht="15.75">
      <c r="A810" s="127">
        <v>63</v>
      </c>
      <c r="B810" s="330" t="s">
        <v>822</v>
      </c>
      <c r="C810" s="8">
        <v>483.9</v>
      </c>
      <c r="D810" s="55"/>
      <c r="E810" s="55"/>
      <c r="F810" s="611">
        <f t="shared" si="115"/>
        <v>483.9</v>
      </c>
      <c r="G810" s="55">
        <v>9</v>
      </c>
      <c r="H810" s="147">
        <v>9</v>
      </c>
      <c r="I810" s="55"/>
      <c r="J810" s="55"/>
      <c r="K810" s="142">
        <f t="shared" si="114"/>
        <v>9</v>
      </c>
      <c r="L810" s="187">
        <f t="shared" si="113"/>
        <v>1.7465554046186688E-3</v>
      </c>
      <c r="M810" s="315">
        <f t="shared" si="110"/>
        <v>3.96316126528236</v>
      </c>
      <c r="N810" s="425">
        <f t="shared" si="111"/>
        <v>1.4572543972443239</v>
      </c>
      <c r="O810" s="498">
        <v>1.5342007001166862</v>
      </c>
      <c r="P810" s="427">
        <f t="shared" si="112"/>
        <v>0.42774888414515816</v>
      </c>
      <c r="Q810" s="426"/>
      <c r="R810" s="532">
        <f t="shared" si="116"/>
        <v>1.5255972818327196E-2</v>
      </c>
    </row>
    <row r="811" spans="1:18" s="6" customFormat="1" ht="15.75">
      <c r="A811" s="127">
        <v>64</v>
      </c>
      <c r="B811" s="330" t="s">
        <v>823</v>
      </c>
      <c r="C811" s="8">
        <v>665.8</v>
      </c>
      <c r="D811" s="55"/>
      <c r="E811" s="55"/>
      <c r="F811" s="611">
        <f t="shared" si="115"/>
        <v>665.8</v>
      </c>
      <c r="G811" s="55">
        <v>18</v>
      </c>
      <c r="H811" s="147">
        <v>18</v>
      </c>
      <c r="I811" s="55"/>
      <c r="J811" s="55"/>
      <c r="K811" s="142">
        <f t="shared" si="114"/>
        <v>18</v>
      </c>
      <c r="L811" s="187">
        <f t="shared" si="113"/>
        <v>3.4931108092373375E-3</v>
      </c>
      <c r="M811" s="315">
        <f t="shared" si="110"/>
        <v>7.92632253056472</v>
      </c>
      <c r="N811" s="425">
        <f t="shared" si="111"/>
        <v>2.9145087944886479</v>
      </c>
      <c r="O811" s="498">
        <v>3.0684014002333724</v>
      </c>
      <c r="P811" s="427">
        <f t="shared" si="112"/>
        <v>0.85549776829031632</v>
      </c>
      <c r="Q811" s="426"/>
      <c r="R811" s="532">
        <f t="shared" si="116"/>
        <v>2.2175924442140373E-2</v>
      </c>
    </row>
    <row r="812" spans="1:18" s="6" customFormat="1" ht="15.75">
      <c r="A812" s="127">
        <v>65</v>
      </c>
      <c r="B812" s="330" t="s">
        <v>824</v>
      </c>
      <c r="C812" s="8">
        <v>59.2</v>
      </c>
      <c r="D812" s="55"/>
      <c r="E812" s="55"/>
      <c r="F812" s="611">
        <f t="shared" si="115"/>
        <v>59.2</v>
      </c>
      <c r="G812" s="55">
        <v>1</v>
      </c>
      <c r="H812" s="147">
        <v>1</v>
      </c>
      <c r="I812" s="55"/>
      <c r="J812" s="55"/>
      <c r="K812" s="142">
        <f t="shared" si="114"/>
        <v>1</v>
      </c>
      <c r="L812" s="187">
        <f t="shared" si="113"/>
        <v>1.9406171162429653E-4</v>
      </c>
      <c r="M812" s="315">
        <f t="shared" si="110"/>
        <v>0.44035125169804001</v>
      </c>
      <c r="N812" s="425">
        <f t="shared" ref="N812:N871" si="117">M812*0.3677</f>
        <v>0.16191715524936934</v>
      </c>
      <c r="O812" s="498">
        <v>0.17046674445740956</v>
      </c>
      <c r="P812" s="427">
        <f t="shared" si="112"/>
        <v>4.7527653793906464E-2</v>
      </c>
      <c r="Q812" s="426"/>
      <c r="R812" s="532">
        <f t="shared" si="116"/>
        <v>1.3855790628356845E-2</v>
      </c>
    </row>
    <row r="813" spans="1:18" s="6" customFormat="1" ht="15.75">
      <c r="A813" s="127">
        <v>66</v>
      </c>
      <c r="B813" s="330" t="s">
        <v>825</v>
      </c>
      <c r="C813" s="8">
        <v>363.78</v>
      </c>
      <c r="D813" s="55"/>
      <c r="E813" s="55">
        <v>58</v>
      </c>
      <c r="F813" s="611">
        <f t="shared" si="115"/>
        <v>421.78</v>
      </c>
      <c r="G813" s="55">
        <v>8</v>
      </c>
      <c r="H813" s="147">
        <v>8</v>
      </c>
      <c r="I813" s="55"/>
      <c r="J813" s="55">
        <v>1</v>
      </c>
      <c r="K813" s="142">
        <f t="shared" si="114"/>
        <v>9</v>
      </c>
      <c r="L813" s="187">
        <f t="shared" si="113"/>
        <v>1.7465554046186688E-3</v>
      </c>
      <c r="M813" s="315">
        <f t="shared" ref="M813:M876" si="118">L813*2269.13</f>
        <v>3.96316126528236</v>
      </c>
      <c r="N813" s="425">
        <f t="shared" si="117"/>
        <v>1.4572543972443239</v>
      </c>
      <c r="O813" s="498">
        <v>1.5342007001166862</v>
      </c>
      <c r="P813" s="427">
        <f t="shared" ref="P813:P873" si="119">L813*244.91</f>
        <v>0.42774888414515816</v>
      </c>
      <c r="Q813" s="426"/>
      <c r="R813" s="532">
        <f t="shared" si="116"/>
        <v>2.0293488500710676E-2</v>
      </c>
    </row>
    <row r="814" spans="1:18" s="6" customFormat="1" ht="15.75">
      <c r="A814" s="127">
        <v>67</v>
      </c>
      <c r="B814" s="330" t="s">
        <v>826</v>
      </c>
      <c r="C814" s="8">
        <v>185.8</v>
      </c>
      <c r="D814" s="55"/>
      <c r="E814" s="55">
        <v>26.8</v>
      </c>
      <c r="F814" s="611">
        <f t="shared" si="115"/>
        <v>212.60000000000002</v>
      </c>
      <c r="G814" s="55">
        <v>5</v>
      </c>
      <c r="H814" s="147">
        <v>5</v>
      </c>
      <c r="I814" s="55"/>
      <c r="J814" s="55">
        <v>1</v>
      </c>
      <c r="K814" s="142">
        <f t="shared" si="114"/>
        <v>6</v>
      </c>
      <c r="L814" s="187">
        <f t="shared" ref="L814:L877" si="120">1/5153*K814</f>
        <v>1.1643702697457792E-3</v>
      </c>
      <c r="M814" s="315">
        <f t="shared" si="118"/>
        <v>2.6421075101882399</v>
      </c>
      <c r="N814" s="425">
        <f t="shared" si="117"/>
        <v>0.97150293149621592</v>
      </c>
      <c r="O814" s="498">
        <v>1.3296406067677944</v>
      </c>
      <c r="P814" s="427">
        <f t="shared" si="119"/>
        <v>0.28516592276343877</v>
      </c>
      <c r="Q814" s="426"/>
      <c r="R814" s="532">
        <f t="shared" si="116"/>
        <v>2.8140026755735677E-2</v>
      </c>
    </row>
    <row r="815" spans="1:18" s="6" customFormat="1" ht="15.75">
      <c r="A815" s="127">
        <v>68</v>
      </c>
      <c r="B815" s="330" t="s">
        <v>827</v>
      </c>
      <c r="C815" s="8">
        <v>205.2</v>
      </c>
      <c r="D815" s="55"/>
      <c r="E815" s="55"/>
      <c r="F815" s="611">
        <f t="shared" si="115"/>
        <v>205.2</v>
      </c>
      <c r="G815" s="55">
        <v>3</v>
      </c>
      <c r="H815" s="147">
        <v>3</v>
      </c>
      <c r="I815" s="55"/>
      <c r="J815" s="55">
        <v>2</v>
      </c>
      <c r="K815" s="142">
        <f t="shared" si="114"/>
        <v>5</v>
      </c>
      <c r="L815" s="187">
        <f t="shared" si="120"/>
        <v>9.7030855812148264E-4</v>
      </c>
      <c r="M815" s="315">
        <f t="shared" si="118"/>
        <v>2.2017562584902</v>
      </c>
      <c r="N815" s="425">
        <f t="shared" si="117"/>
        <v>0.80958577624684658</v>
      </c>
      <c r="O815" s="498">
        <v>0.85233372228704785</v>
      </c>
      <c r="P815" s="427">
        <f t="shared" si="119"/>
        <v>0.2376382689695323</v>
      </c>
      <c r="Q815" s="426"/>
      <c r="R815" s="532">
        <f t="shared" si="116"/>
        <v>1.9986910458058608E-2</v>
      </c>
    </row>
    <row r="816" spans="1:18" s="6" customFormat="1" ht="15.75">
      <c r="A816" s="127">
        <v>69</v>
      </c>
      <c r="B816" s="330" t="s">
        <v>828</v>
      </c>
      <c r="C816" s="8">
        <v>177.45</v>
      </c>
      <c r="D816" s="55"/>
      <c r="E816" s="55"/>
      <c r="F816" s="611">
        <f t="shared" si="115"/>
        <v>177.45</v>
      </c>
      <c r="G816" s="55">
        <v>5</v>
      </c>
      <c r="H816" s="147">
        <v>5</v>
      </c>
      <c r="I816" s="55"/>
      <c r="J816" s="55"/>
      <c r="K816" s="142">
        <f t="shared" si="114"/>
        <v>5</v>
      </c>
      <c r="L816" s="187">
        <f t="shared" si="120"/>
        <v>9.7030855812148264E-4</v>
      </c>
      <c r="M816" s="315">
        <f t="shared" si="118"/>
        <v>2.2017562584902</v>
      </c>
      <c r="N816" s="425">
        <f t="shared" si="117"/>
        <v>0.80958577624684658</v>
      </c>
      <c r="O816" s="498">
        <v>0.85233372228704785</v>
      </c>
      <c r="P816" s="427">
        <f t="shared" si="119"/>
        <v>0.2376382689695323</v>
      </c>
      <c r="Q816" s="426"/>
      <c r="R816" s="532">
        <f t="shared" si="116"/>
        <v>2.3112505077450701E-2</v>
      </c>
    </row>
    <row r="817" spans="1:18" s="6" customFormat="1" ht="15.75">
      <c r="A817" s="127">
        <v>70</v>
      </c>
      <c r="B817" s="330" t="s">
        <v>829</v>
      </c>
      <c r="C817" s="8">
        <v>200</v>
      </c>
      <c r="D817" s="55"/>
      <c r="E817" s="55"/>
      <c r="F817" s="611">
        <f t="shared" si="115"/>
        <v>200</v>
      </c>
      <c r="G817" s="55">
        <v>7</v>
      </c>
      <c r="H817" s="147">
        <v>7</v>
      </c>
      <c r="I817" s="55"/>
      <c r="J817" s="55"/>
      <c r="K817" s="142">
        <f t="shared" si="114"/>
        <v>7</v>
      </c>
      <c r="L817" s="187">
        <f t="shared" si="120"/>
        <v>1.3584319813700757E-3</v>
      </c>
      <c r="M817" s="315">
        <f t="shared" si="118"/>
        <v>3.0824587618862802</v>
      </c>
      <c r="N817" s="425">
        <f t="shared" si="117"/>
        <v>1.1334200867455853</v>
      </c>
      <c r="O817" s="498">
        <v>1.193267211201867</v>
      </c>
      <c r="P817" s="427">
        <f t="shared" si="119"/>
        <v>0.33269357655734522</v>
      </c>
      <c r="Q817" s="426"/>
      <c r="R817" s="532">
        <f t="shared" si="116"/>
        <v>2.8709198181955387E-2</v>
      </c>
    </row>
    <row r="818" spans="1:18" s="6" customFormat="1" ht="15.75">
      <c r="A818" s="127">
        <v>71</v>
      </c>
      <c r="B818" s="330" t="s">
        <v>830</v>
      </c>
      <c r="C818" s="8">
        <v>401.38</v>
      </c>
      <c r="D818" s="55"/>
      <c r="E818" s="55">
        <v>140.80000000000001</v>
      </c>
      <c r="F818" s="611">
        <f t="shared" si="115"/>
        <v>542.18000000000006</v>
      </c>
      <c r="G818" s="55">
        <v>9</v>
      </c>
      <c r="H818" s="147">
        <v>9</v>
      </c>
      <c r="I818" s="55"/>
      <c r="J818" s="55">
        <v>1</v>
      </c>
      <c r="K818" s="142">
        <f t="shared" si="114"/>
        <v>10</v>
      </c>
      <c r="L818" s="187">
        <f t="shared" si="120"/>
        <v>1.9406171162429653E-3</v>
      </c>
      <c r="M818" s="315">
        <f t="shared" si="118"/>
        <v>4.4035125169803999</v>
      </c>
      <c r="N818" s="425">
        <f t="shared" si="117"/>
        <v>1.6191715524936932</v>
      </c>
      <c r="O818" s="498">
        <v>1.7046674445740957</v>
      </c>
      <c r="P818" s="427">
        <f t="shared" si="119"/>
        <v>0.4752765379390646</v>
      </c>
      <c r="Q818" s="426"/>
      <c r="R818" s="532">
        <f t="shared" si="116"/>
        <v>2.0436065703291775E-2</v>
      </c>
    </row>
    <row r="819" spans="1:18" s="6" customFormat="1" ht="15.75">
      <c r="A819" s="127">
        <v>72</v>
      </c>
      <c r="B819" s="330" t="s">
        <v>831</v>
      </c>
      <c r="C819" s="8">
        <v>204.3</v>
      </c>
      <c r="D819" s="55"/>
      <c r="E819" s="55"/>
      <c r="F819" s="611">
        <f t="shared" si="115"/>
        <v>204.3</v>
      </c>
      <c r="G819" s="55">
        <v>5</v>
      </c>
      <c r="H819" s="147">
        <v>5</v>
      </c>
      <c r="I819" s="55"/>
      <c r="J819" s="55"/>
      <c r="K819" s="142">
        <f t="shared" si="114"/>
        <v>5</v>
      </c>
      <c r="L819" s="187">
        <f t="shared" si="120"/>
        <v>9.7030855812148264E-4</v>
      </c>
      <c r="M819" s="315">
        <f t="shared" si="118"/>
        <v>2.2017562584902</v>
      </c>
      <c r="N819" s="425">
        <f t="shared" si="117"/>
        <v>0.80958577624684658</v>
      </c>
      <c r="O819" s="498">
        <v>0.85233372228704785</v>
      </c>
      <c r="P819" s="427">
        <f t="shared" si="119"/>
        <v>0.2376382689695323</v>
      </c>
      <c r="Q819" s="426"/>
      <c r="R819" s="532">
        <f t="shared" si="116"/>
        <v>2.0074958521750494E-2</v>
      </c>
    </row>
    <row r="820" spans="1:18" s="6" customFormat="1" ht="15.75">
      <c r="A820" s="127">
        <v>73</v>
      </c>
      <c r="B820" s="330" t="s">
        <v>832</v>
      </c>
      <c r="C820" s="8">
        <v>306.39999999999998</v>
      </c>
      <c r="D820" s="55"/>
      <c r="E820" s="55"/>
      <c r="F820" s="611">
        <f t="shared" si="115"/>
        <v>306.39999999999998</v>
      </c>
      <c r="G820" s="55">
        <v>6</v>
      </c>
      <c r="H820" s="147">
        <v>6</v>
      </c>
      <c r="I820" s="55"/>
      <c r="J820" s="55"/>
      <c r="K820" s="142">
        <f t="shared" si="114"/>
        <v>6</v>
      </c>
      <c r="L820" s="187">
        <f t="shared" si="120"/>
        <v>1.1643702697457792E-3</v>
      </c>
      <c r="M820" s="315">
        <f t="shared" si="118"/>
        <v>2.6421075101882399</v>
      </c>
      <c r="N820" s="425">
        <f t="shared" si="117"/>
        <v>0.97150293149621592</v>
      </c>
      <c r="O820" s="498">
        <v>1.0228004667444572</v>
      </c>
      <c r="P820" s="427">
        <f t="shared" si="119"/>
        <v>0.28516592276343877</v>
      </c>
      <c r="Q820" s="426"/>
      <c r="R820" s="532">
        <f t="shared" si="116"/>
        <v>1.6062587569165641E-2</v>
      </c>
    </row>
    <row r="821" spans="1:18" s="6" customFormat="1" ht="15.75">
      <c r="A821" s="127">
        <v>74</v>
      </c>
      <c r="B821" s="330" t="s">
        <v>878</v>
      </c>
      <c r="C821" s="8">
        <v>301.42</v>
      </c>
      <c r="D821" s="55"/>
      <c r="E821" s="55"/>
      <c r="F821" s="611">
        <f t="shared" si="115"/>
        <v>301.42</v>
      </c>
      <c r="G821" s="55">
        <v>6</v>
      </c>
      <c r="H821" s="147">
        <v>6</v>
      </c>
      <c r="I821" s="55"/>
      <c r="J821" s="55"/>
      <c r="K821" s="142">
        <f t="shared" si="114"/>
        <v>6</v>
      </c>
      <c r="L821" s="187">
        <f t="shared" si="120"/>
        <v>1.1643702697457792E-3</v>
      </c>
      <c r="M821" s="315">
        <f t="shared" si="118"/>
        <v>2.6421075101882399</v>
      </c>
      <c r="N821" s="425">
        <f t="shared" si="117"/>
        <v>0.97150293149621592</v>
      </c>
      <c r="O821" s="498">
        <v>1.0228004667444572</v>
      </c>
      <c r="P821" s="427">
        <f t="shared" si="119"/>
        <v>0.28516592276343877</v>
      </c>
      <c r="Q821" s="426"/>
      <c r="R821" s="532">
        <f t="shared" si="116"/>
        <v>1.6327970377520908E-2</v>
      </c>
    </row>
    <row r="822" spans="1:18" s="6" customFormat="1" ht="15.75">
      <c r="A822" s="127">
        <v>75</v>
      </c>
      <c r="B822" s="330" t="s">
        <v>879</v>
      </c>
      <c r="C822" s="8">
        <v>394.72</v>
      </c>
      <c r="D822" s="55"/>
      <c r="E822" s="55"/>
      <c r="F822" s="611">
        <f t="shared" si="115"/>
        <v>394.72</v>
      </c>
      <c r="G822" s="55">
        <v>12</v>
      </c>
      <c r="H822" s="147">
        <v>12</v>
      </c>
      <c r="I822" s="55"/>
      <c r="J822" s="55"/>
      <c r="K822" s="142">
        <f t="shared" si="114"/>
        <v>12</v>
      </c>
      <c r="L822" s="187">
        <f t="shared" si="120"/>
        <v>2.3287405394915583E-3</v>
      </c>
      <c r="M822" s="315">
        <f t="shared" si="118"/>
        <v>5.2842150203764797</v>
      </c>
      <c r="N822" s="425">
        <f t="shared" si="117"/>
        <v>1.9430058629924318</v>
      </c>
      <c r="O822" s="498">
        <v>2.0456009334889145</v>
      </c>
      <c r="P822" s="427">
        <f t="shared" si="119"/>
        <v>0.57033184552687755</v>
      </c>
      <c r="Q822" s="426"/>
      <c r="R822" s="532">
        <f t="shared" si="116"/>
        <v>2.49370532589803E-2</v>
      </c>
    </row>
    <row r="823" spans="1:18" s="6" customFormat="1" ht="15.75">
      <c r="A823" s="127">
        <v>76</v>
      </c>
      <c r="B823" s="330" t="s">
        <v>880</v>
      </c>
      <c r="C823" s="8">
        <v>680.89</v>
      </c>
      <c r="D823" s="55"/>
      <c r="E823" s="55"/>
      <c r="F823" s="611">
        <f t="shared" si="115"/>
        <v>680.89</v>
      </c>
      <c r="G823" s="55">
        <v>20</v>
      </c>
      <c r="H823" s="147">
        <v>20</v>
      </c>
      <c r="I823" s="55"/>
      <c r="J823" s="55"/>
      <c r="K823" s="142">
        <f t="shared" si="114"/>
        <v>20</v>
      </c>
      <c r="L823" s="187">
        <f t="shared" si="120"/>
        <v>3.8812342324859306E-3</v>
      </c>
      <c r="M823" s="315">
        <f t="shared" si="118"/>
        <v>8.8070250339607998</v>
      </c>
      <c r="N823" s="425">
        <f t="shared" si="117"/>
        <v>3.2383431049873863</v>
      </c>
      <c r="O823" s="498">
        <v>3.4093348891481914</v>
      </c>
      <c r="P823" s="427">
        <f t="shared" si="119"/>
        <v>0.95055307587812921</v>
      </c>
      <c r="Q823" s="426"/>
      <c r="R823" s="532">
        <f t="shared" si="116"/>
        <v>2.4093842036121114E-2</v>
      </c>
    </row>
    <row r="824" spans="1:18" s="6" customFormat="1" ht="15.75">
      <c r="A824" s="127">
        <v>77</v>
      </c>
      <c r="B824" s="330" t="s">
        <v>881</v>
      </c>
      <c r="C824" s="8">
        <v>581.98</v>
      </c>
      <c r="D824" s="55"/>
      <c r="E824" s="55"/>
      <c r="F824" s="611">
        <f t="shared" si="115"/>
        <v>581.98</v>
      </c>
      <c r="G824" s="55">
        <v>15</v>
      </c>
      <c r="H824" s="147">
        <v>15</v>
      </c>
      <c r="I824" s="55"/>
      <c r="J824" s="55"/>
      <c r="K824" s="142">
        <f t="shared" si="114"/>
        <v>15</v>
      </c>
      <c r="L824" s="187">
        <f t="shared" si="120"/>
        <v>2.9109256743644479E-3</v>
      </c>
      <c r="M824" s="315">
        <f t="shared" si="118"/>
        <v>6.6052687754706003</v>
      </c>
      <c r="N824" s="425">
        <f t="shared" si="117"/>
        <v>2.4287573287405397</v>
      </c>
      <c r="O824" s="498">
        <v>2.5570011668611432</v>
      </c>
      <c r="P824" s="427">
        <f t="shared" si="119"/>
        <v>0.71291480690859699</v>
      </c>
      <c r="Q824" s="426"/>
      <c r="R824" s="532">
        <f t="shared" si="116"/>
        <v>2.1141520461151378E-2</v>
      </c>
    </row>
    <row r="825" spans="1:18" s="6" customFormat="1" ht="15.75">
      <c r="A825" s="127">
        <v>78</v>
      </c>
      <c r="B825" s="330" t="s">
        <v>882</v>
      </c>
      <c r="C825" s="8">
        <v>260.39999999999998</v>
      </c>
      <c r="D825" s="55"/>
      <c r="E825" s="55"/>
      <c r="F825" s="611">
        <f t="shared" si="115"/>
        <v>260.39999999999998</v>
      </c>
      <c r="G825" s="55">
        <v>5</v>
      </c>
      <c r="H825" s="147">
        <v>5</v>
      </c>
      <c r="I825" s="55"/>
      <c r="J825" s="55"/>
      <c r="K825" s="142">
        <f t="shared" si="114"/>
        <v>5</v>
      </c>
      <c r="L825" s="187">
        <f t="shared" si="120"/>
        <v>9.7030855812148264E-4</v>
      </c>
      <c r="M825" s="315">
        <f t="shared" si="118"/>
        <v>2.2017562584902</v>
      </c>
      <c r="N825" s="425">
        <f t="shared" si="117"/>
        <v>0.80958577624684658</v>
      </c>
      <c r="O825" s="498">
        <v>0.85233372228704785</v>
      </c>
      <c r="P825" s="427">
        <f t="shared" si="119"/>
        <v>0.2376382689695323</v>
      </c>
      <c r="Q825" s="426"/>
      <c r="R825" s="532">
        <f t="shared" si="116"/>
        <v>1.5750053863262774E-2</v>
      </c>
    </row>
    <row r="826" spans="1:18" s="6" customFormat="1" ht="15.75">
      <c r="A826" s="127">
        <v>79</v>
      </c>
      <c r="B826" s="330" t="s">
        <v>883</v>
      </c>
      <c r="C826" s="8">
        <v>135.71</v>
      </c>
      <c r="D826" s="55"/>
      <c r="E826" s="55"/>
      <c r="F826" s="611">
        <f t="shared" si="115"/>
        <v>135.71</v>
      </c>
      <c r="G826" s="55">
        <v>3</v>
      </c>
      <c r="H826" s="147">
        <v>3</v>
      </c>
      <c r="I826" s="55"/>
      <c r="J826" s="55"/>
      <c r="K826" s="142">
        <f t="shared" si="114"/>
        <v>3</v>
      </c>
      <c r="L826" s="187">
        <f t="shared" si="120"/>
        <v>5.8218513487288959E-4</v>
      </c>
      <c r="M826" s="315">
        <f t="shared" si="118"/>
        <v>1.3210537550941199</v>
      </c>
      <c r="N826" s="425">
        <f t="shared" si="117"/>
        <v>0.48575146574810796</v>
      </c>
      <c r="O826" s="498">
        <v>0.51140023337222862</v>
      </c>
      <c r="P826" s="427">
        <f t="shared" si="119"/>
        <v>0.14258296138171939</v>
      </c>
      <c r="Q826" s="426"/>
      <c r="R826" s="532">
        <f t="shared" si="116"/>
        <v>1.8132697779059584E-2</v>
      </c>
    </row>
    <row r="827" spans="1:18" s="6" customFormat="1" ht="15.75">
      <c r="A827" s="127">
        <v>80</v>
      </c>
      <c r="B827" s="330" t="s">
        <v>884</v>
      </c>
      <c r="C827" s="8">
        <v>201.8</v>
      </c>
      <c r="D827" s="55"/>
      <c r="E827" s="55"/>
      <c r="F827" s="611">
        <f t="shared" si="115"/>
        <v>201.8</v>
      </c>
      <c r="G827" s="55">
        <v>4</v>
      </c>
      <c r="H827" s="147">
        <v>4</v>
      </c>
      <c r="I827" s="55"/>
      <c r="J827" s="55"/>
      <c r="K827" s="142">
        <f t="shared" si="114"/>
        <v>4</v>
      </c>
      <c r="L827" s="187">
        <f t="shared" si="120"/>
        <v>7.7624684649718612E-4</v>
      </c>
      <c r="M827" s="315">
        <f t="shared" si="118"/>
        <v>1.7614050067921601</v>
      </c>
      <c r="N827" s="425">
        <f t="shared" si="117"/>
        <v>0.64766862099747735</v>
      </c>
      <c r="O827" s="498">
        <v>0.68186697782963823</v>
      </c>
      <c r="P827" s="427">
        <f t="shared" si="119"/>
        <v>0.19011061517562586</v>
      </c>
      <c r="Q827" s="426"/>
      <c r="R827" s="532">
        <f t="shared" si="116"/>
        <v>1.625892577202627E-2</v>
      </c>
    </row>
    <row r="828" spans="1:18" s="6" customFormat="1" ht="15.75">
      <c r="A828" s="127">
        <v>81</v>
      </c>
      <c r="B828" s="330" t="s">
        <v>885</v>
      </c>
      <c r="C828" s="8">
        <v>1437.1</v>
      </c>
      <c r="D828" s="55"/>
      <c r="E828" s="55"/>
      <c r="F828" s="611">
        <f t="shared" si="115"/>
        <v>1437.1</v>
      </c>
      <c r="G828" s="55">
        <v>32</v>
      </c>
      <c r="H828" s="147">
        <v>32</v>
      </c>
      <c r="I828" s="55"/>
      <c r="J828" s="55"/>
      <c r="K828" s="142">
        <f t="shared" si="114"/>
        <v>32</v>
      </c>
      <c r="L828" s="187">
        <f t="shared" si="120"/>
        <v>6.2099747719774889E-3</v>
      </c>
      <c r="M828" s="315">
        <f t="shared" si="118"/>
        <v>14.09124005433728</v>
      </c>
      <c r="N828" s="425">
        <f t="shared" si="117"/>
        <v>5.1813489679798188</v>
      </c>
      <c r="O828" s="498">
        <v>5.4549358226371059</v>
      </c>
      <c r="P828" s="427">
        <f t="shared" si="119"/>
        <v>1.5208849214050069</v>
      </c>
      <c r="Q828" s="426"/>
      <c r="R828" s="532">
        <f t="shared" si="116"/>
        <v>1.826484570757721E-2</v>
      </c>
    </row>
    <row r="829" spans="1:18" s="6" customFormat="1" ht="15.75">
      <c r="A829" s="127">
        <v>82</v>
      </c>
      <c r="B829" s="330" t="s">
        <v>886</v>
      </c>
      <c r="C829" s="8">
        <v>197.86</v>
      </c>
      <c r="D829" s="55"/>
      <c r="E829" s="55">
        <v>16</v>
      </c>
      <c r="F829" s="611">
        <f t="shared" si="115"/>
        <v>213.86</v>
      </c>
      <c r="G829" s="55">
        <v>2</v>
      </c>
      <c r="H829" s="147">
        <v>2</v>
      </c>
      <c r="I829" s="55"/>
      <c r="J829" s="55">
        <v>1</v>
      </c>
      <c r="K829" s="142">
        <f t="shared" si="114"/>
        <v>3</v>
      </c>
      <c r="L829" s="187">
        <f t="shared" si="120"/>
        <v>5.8218513487288959E-4</v>
      </c>
      <c r="M829" s="315">
        <f t="shared" si="118"/>
        <v>1.3210537550941199</v>
      </c>
      <c r="N829" s="425">
        <f t="shared" si="117"/>
        <v>0.48575146574810796</v>
      </c>
      <c r="O829" s="498">
        <v>0.51140023337222862</v>
      </c>
      <c r="P829" s="427">
        <f t="shared" si="119"/>
        <v>0.14258296138171939</v>
      </c>
      <c r="Q829" s="426"/>
      <c r="R829" s="532">
        <f t="shared" si="116"/>
        <v>1.2437018172425837E-2</v>
      </c>
    </row>
    <row r="830" spans="1:18" s="6" customFormat="1" ht="15.75">
      <c r="A830" s="127">
        <v>83</v>
      </c>
      <c r="B830" s="330" t="s">
        <v>887</v>
      </c>
      <c r="C830" s="8">
        <v>397.89</v>
      </c>
      <c r="D830" s="55"/>
      <c r="E830" s="55"/>
      <c r="F830" s="611">
        <f t="shared" si="115"/>
        <v>397.89</v>
      </c>
      <c r="G830" s="55">
        <v>14</v>
      </c>
      <c r="H830" s="147">
        <v>14</v>
      </c>
      <c r="I830" s="55"/>
      <c r="J830" s="55"/>
      <c r="K830" s="142">
        <f t="shared" si="114"/>
        <v>14</v>
      </c>
      <c r="L830" s="187">
        <f t="shared" si="120"/>
        <v>2.7168639627401514E-3</v>
      </c>
      <c r="M830" s="315">
        <f t="shared" si="118"/>
        <v>6.1649175237725604</v>
      </c>
      <c r="N830" s="425">
        <f t="shared" si="117"/>
        <v>2.2668401734911705</v>
      </c>
      <c r="O830" s="498">
        <v>2.3865344224037339</v>
      </c>
      <c r="P830" s="427">
        <f t="shared" si="119"/>
        <v>0.66538715311469043</v>
      </c>
      <c r="Q830" s="426"/>
      <c r="R830" s="532">
        <f t="shared" si="116"/>
        <v>2.8861442290035323E-2</v>
      </c>
    </row>
    <row r="831" spans="1:18" s="6" customFormat="1" ht="15.75">
      <c r="A831" s="127">
        <v>84</v>
      </c>
      <c r="B831" s="330" t="s">
        <v>888</v>
      </c>
      <c r="C831" s="8">
        <v>352.17</v>
      </c>
      <c r="D831" s="55"/>
      <c r="E831" s="55"/>
      <c r="F831" s="611">
        <f t="shared" si="115"/>
        <v>352.17</v>
      </c>
      <c r="G831" s="55">
        <v>11</v>
      </c>
      <c r="H831" s="147">
        <v>11</v>
      </c>
      <c r="I831" s="55"/>
      <c r="J831" s="55"/>
      <c r="K831" s="142">
        <f t="shared" si="114"/>
        <v>11</v>
      </c>
      <c r="L831" s="187">
        <f t="shared" si="120"/>
        <v>2.1346788278672618E-3</v>
      </c>
      <c r="M831" s="315">
        <f t="shared" si="118"/>
        <v>4.8438637686784398</v>
      </c>
      <c r="N831" s="425">
        <f t="shared" si="117"/>
        <v>1.7810887077430624</v>
      </c>
      <c r="O831" s="498">
        <v>1.8751341890315054</v>
      </c>
      <c r="P831" s="427">
        <f t="shared" si="119"/>
        <v>0.5228041917329711</v>
      </c>
      <c r="Q831" s="426"/>
      <c r="R831" s="532">
        <f t="shared" si="116"/>
        <v>2.5620838961825196E-2</v>
      </c>
    </row>
    <row r="832" spans="1:18" s="6" customFormat="1" ht="15.75">
      <c r="A832" s="127">
        <v>85</v>
      </c>
      <c r="B832" s="330" t="s">
        <v>889</v>
      </c>
      <c r="C832" s="8">
        <v>653.07000000000005</v>
      </c>
      <c r="D832" s="55"/>
      <c r="E832" s="55"/>
      <c r="F832" s="611">
        <f t="shared" si="115"/>
        <v>653.07000000000005</v>
      </c>
      <c r="G832" s="55">
        <v>25</v>
      </c>
      <c r="H832" s="147">
        <v>25</v>
      </c>
      <c r="I832" s="55"/>
      <c r="J832" s="55"/>
      <c r="K832" s="142">
        <f t="shared" si="114"/>
        <v>25</v>
      </c>
      <c r="L832" s="187">
        <f t="shared" si="120"/>
        <v>4.8515427906074132E-3</v>
      </c>
      <c r="M832" s="315">
        <f t="shared" si="118"/>
        <v>11.008781292450999</v>
      </c>
      <c r="N832" s="425">
        <f t="shared" si="117"/>
        <v>4.0479288812342329</v>
      </c>
      <c r="O832" s="498">
        <v>4.2616686114352387</v>
      </c>
      <c r="P832" s="427">
        <f t="shared" si="119"/>
        <v>1.1881913448476615</v>
      </c>
      <c r="Q832" s="426"/>
      <c r="R832" s="532">
        <f t="shared" si="116"/>
        <v>3.140026357047198E-2</v>
      </c>
    </row>
    <row r="833" spans="1:18" s="6" customFormat="1" ht="15.75">
      <c r="A833" s="127">
        <v>87</v>
      </c>
      <c r="B833" s="330" t="s">
        <v>916</v>
      </c>
      <c r="C833" s="8">
        <v>786.94</v>
      </c>
      <c r="D833" s="55"/>
      <c r="E833" s="55"/>
      <c r="F833" s="611">
        <f t="shared" si="115"/>
        <v>786.94</v>
      </c>
      <c r="G833" s="55">
        <v>22</v>
      </c>
      <c r="H833" s="147">
        <v>22</v>
      </c>
      <c r="I833" s="55"/>
      <c r="J833" s="55"/>
      <c r="K833" s="142">
        <f t="shared" si="114"/>
        <v>22</v>
      </c>
      <c r="L833" s="187">
        <f t="shared" si="120"/>
        <v>4.2693576557345236E-3</v>
      </c>
      <c r="M833" s="315">
        <f t="shared" si="118"/>
        <v>9.6877275373568796</v>
      </c>
      <c r="N833" s="425">
        <f t="shared" si="117"/>
        <v>3.5621774154861248</v>
      </c>
      <c r="O833" s="498">
        <v>3.7502683780630108</v>
      </c>
      <c r="P833" s="427">
        <f t="shared" si="119"/>
        <v>1.0456083834659422</v>
      </c>
      <c r="Q833" s="426"/>
      <c r="R833" s="532">
        <f t="shared" si="116"/>
        <v>2.2931585272539148E-2</v>
      </c>
    </row>
    <row r="834" spans="1:18" s="6" customFormat="1" ht="15.75">
      <c r="A834" s="127">
        <v>89</v>
      </c>
      <c r="B834" s="330" t="s">
        <v>918</v>
      </c>
      <c r="C834" s="8">
        <v>3273.28</v>
      </c>
      <c r="D834" s="55"/>
      <c r="E834" s="55">
        <v>69.5</v>
      </c>
      <c r="F834" s="611">
        <f t="shared" si="115"/>
        <v>3342.78</v>
      </c>
      <c r="G834" s="55">
        <v>59</v>
      </c>
      <c r="H834" s="147">
        <v>59</v>
      </c>
      <c r="I834" s="55"/>
      <c r="J834" s="55">
        <v>1</v>
      </c>
      <c r="K834" s="142">
        <f t="shared" si="114"/>
        <v>60</v>
      </c>
      <c r="L834" s="187">
        <f t="shared" si="120"/>
        <v>1.1643702697457792E-2</v>
      </c>
      <c r="M834" s="315">
        <f t="shared" si="118"/>
        <v>26.421075101882401</v>
      </c>
      <c r="N834" s="425">
        <f t="shared" si="117"/>
        <v>9.7150293149621589</v>
      </c>
      <c r="O834" s="498">
        <v>10.228004667444573</v>
      </c>
      <c r="P834" s="427">
        <f t="shared" si="119"/>
        <v>2.8516592276343879</v>
      </c>
      <c r="Q834" s="426"/>
      <c r="R834" s="532">
        <f t="shared" si="116"/>
        <v>1.5035612080825201E-2</v>
      </c>
    </row>
    <row r="835" spans="1:18" s="6" customFormat="1" ht="15.75">
      <c r="A835" s="127">
        <v>90</v>
      </c>
      <c r="B835" s="330" t="s">
        <v>921</v>
      </c>
      <c r="C835" s="8">
        <v>139.80000000000001</v>
      </c>
      <c r="D835" s="55"/>
      <c r="E835" s="55"/>
      <c r="F835" s="611">
        <f t="shared" si="115"/>
        <v>139.80000000000001</v>
      </c>
      <c r="G835" s="55">
        <v>3</v>
      </c>
      <c r="H835" s="147">
        <v>3</v>
      </c>
      <c r="I835" s="55"/>
      <c r="J835" s="55"/>
      <c r="K835" s="142">
        <f t="shared" si="114"/>
        <v>3</v>
      </c>
      <c r="L835" s="187">
        <f t="shared" si="120"/>
        <v>5.8218513487288959E-4</v>
      </c>
      <c r="M835" s="315">
        <f t="shared" si="118"/>
        <v>1.3210537550941199</v>
      </c>
      <c r="N835" s="425">
        <f t="shared" si="117"/>
        <v>0.48575146574810796</v>
      </c>
      <c r="O835" s="498">
        <v>0.51140023337222862</v>
      </c>
      <c r="P835" s="427">
        <f t="shared" si="119"/>
        <v>0.14258296138171939</v>
      </c>
      <c r="Q835" s="426"/>
      <c r="R835" s="532">
        <f t="shared" si="116"/>
        <v>1.760220612014432E-2</v>
      </c>
    </row>
    <row r="836" spans="1:18" s="6" customFormat="1" ht="15.75">
      <c r="A836" s="127">
        <v>91</v>
      </c>
      <c r="B836" s="330" t="s">
        <v>922</v>
      </c>
      <c r="C836" s="8">
        <v>2876.7</v>
      </c>
      <c r="D836" s="55"/>
      <c r="E836" s="55">
        <v>258.60000000000002</v>
      </c>
      <c r="F836" s="611">
        <f t="shared" si="115"/>
        <v>3135.2999999999997</v>
      </c>
      <c r="G836" s="55">
        <v>63</v>
      </c>
      <c r="H836" s="147">
        <v>63</v>
      </c>
      <c r="I836" s="55"/>
      <c r="J836" s="55">
        <v>2</v>
      </c>
      <c r="K836" s="142">
        <f t="shared" ref="K836:K902" si="121">H836+I836+J836</f>
        <v>65</v>
      </c>
      <c r="L836" s="187">
        <f t="shared" si="120"/>
        <v>1.2614011255579274E-2</v>
      </c>
      <c r="M836" s="315">
        <f t="shared" si="118"/>
        <v>28.622831360372601</v>
      </c>
      <c r="N836" s="425">
        <f t="shared" si="117"/>
        <v>10.524615091209006</v>
      </c>
      <c r="O836" s="498">
        <v>11.080338389731622</v>
      </c>
      <c r="P836" s="427">
        <f t="shared" si="119"/>
        <v>3.0892974966039199</v>
      </c>
      <c r="Q836" s="426"/>
      <c r="R836" s="532">
        <f t="shared" si="116"/>
        <v>1.8534112816045174E-2</v>
      </c>
    </row>
    <row r="837" spans="1:18" s="6" customFormat="1" ht="15.75">
      <c r="A837" s="127">
        <v>92</v>
      </c>
      <c r="B837" s="330" t="s">
        <v>923</v>
      </c>
      <c r="C837" s="8">
        <v>230.5</v>
      </c>
      <c r="D837" s="55"/>
      <c r="E837" s="55"/>
      <c r="F837" s="611">
        <f t="shared" ref="F837:F903" si="122">C837+D837+E837</f>
        <v>230.5</v>
      </c>
      <c r="G837" s="55">
        <v>7</v>
      </c>
      <c r="H837" s="147">
        <v>7</v>
      </c>
      <c r="I837" s="55"/>
      <c r="J837" s="55"/>
      <c r="K837" s="142">
        <f t="shared" si="121"/>
        <v>7</v>
      </c>
      <c r="L837" s="187">
        <f t="shared" si="120"/>
        <v>1.3584319813700757E-3</v>
      </c>
      <c r="M837" s="315">
        <f t="shared" si="118"/>
        <v>3.0824587618862802</v>
      </c>
      <c r="N837" s="425">
        <f t="shared" si="117"/>
        <v>1.1334200867455853</v>
      </c>
      <c r="O837" s="498">
        <v>1.193267211201867</v>
      </c>
      <c r="P837" s="427">
        <f t="shared" si="119"/>
        <v>0.33269357655734522</v>
      </c>
      <c r="Q837" s="426"/>
      <c r="R837" s="532">
        <f t="shared" si="116"/>
        <v>2.4910367186078426E-2</v>
      </c>
    </row>
    <row r="838" spans="1:18" s="6" customFormat="1" ht="15.75">
      <c r="A838" s="127">
        <v>93</v>
      </c>
      <c r="B838" s="330" t="s">
        <v>924</v>
      </c>
      <c r="C838" s="8">
        <v>65.900000000000006</v>
      </c>
      <c r="D838" s="55"/>
      <c r="E838" s="55"/>
      <c r="F838" s="611">
        <f t="shared" si="122"/>
        <v>65.900000000000006</v>
      </c>
      <c r="G838" s="55">
        <v>2</v>
      </c>
      <c r="H838" s="147">
        <v>2</v>
      </c>
      <c r="I838" s="55"/>
      <c r="J838" s="55"/>
      <c r="K838" s="142">
        <f t="shared" si="121"/>
        <v>2</v>
      </c>
      <c r="L838" s="187">
        <f t="shared" si="120"/>
        <v>3.8812342324859306E-4</v>
      </c>
      <c r="M838" s="315">
        <f t="shared" si="118"/>
        <v>0.88070250339608003</v>
      </c>
      <c r="N838" s="425">
        <f t="shared" si="117"/>
        <v>0.32383431049873868</v>
      </c>
      <c r="O838" s="498">
        <v>0.34093348891481912</v>
      </c>
      <c r="P838" s="427">
        <f t="shared" si="119"/>
        <v>9.5055307587812929E-2</v>
      </c>
      <c r="Q838" s="426"/>
      <c r="R838" s="532">
        <f t="shared" si="116"/>
        <v>2.4894167077351297E-2</v>
      </c>
    </row>
    <row r="839" spans="1:18" s="6" customFormat="1" ht="15.75">
      <c r="A839" s="127">
        <v>94</v>
      </c>
      <c r="B839" s="330" t="s">
        <v>16</v>
      </c>
      <c r="C839" s="8">
        <v>75.900000000000006</v>
      </c>
      <c r="D839" s="55"/>
      <c r="E839" s="55"/>
      <c r="F839" s="611">
        <f t="shared" si="122"/>
        <v>75.900000000000006</v>
      </c>
      <c r="G839" s="55">
        <v>2</v>
      </c>
      <c r="H839" s="147">
        <v>2</v>
      </c>
      <c r="I839" s="55"/>
      <c r="J839" s="55"/>
      <c r="K839" s="142">
        <f t="shared" si="121"/>
        <v>2</v>
      </c>
      <c r="L839" s="187">
        <f t="shared" si="120"/>
        <v>3.8812342324859306E-4</v>
      </c>
      <c r="M839" s="315">
        <f t="shared" si="118"/>
        <v>0.88070250339608003</v>
      </c>
      <c r="N839" s="425">
        <f t="shared" si="117"/>
        <v>0.32383431049873868</v>
      </c>
      <c r="O839" s="498">
        <v>0.34093348891481912</v>
      </c>
      <c r="P839" s="427">
        <f t="shared" si="119"/>
        <v>9.5055307587812929E-2</v>
      </c>
      <c r="Q839" s="426"/>
      <c r="R839" s="532">
        <f t="shared" si="116"/>
        <v>2.1614303167291838E-2</v>
      </c>
    </row>
    <row r="840" spans="1:18" s="6" customFormat="1" ht="15.75">
      <c r="A840" s="127">
        <v>95</v>
      </c>
      <c r="B840" s="330" t="s">
        <v>17</v>
      </c>
      <c r="C840" s="8">
        <v>115.8</v>
      </c>
      <c r="D840" s="55"/>
      <c r="E840" s="55"/>
      <c r="F840" s="611">
        <f t="shared" si="122"/>
        <v>115.8</v>
      </c>
      <c r="G840" s="55">
        <v>3</v>
      </c>
      <c r="H840" s="147">
        <v>3</v>
      </c>
      <c r="I840" s="55"/>
      <c r="J840" s="55"/>
      <c r="K840" s="142">
        <f t="shared" si="121"/>
        <v>3</v>
      </c>
      <c r="L840" s="187">
        <f t="shared" si="120"/>
        <v>5.8218513487288959E-4</v>
      </c>
      <c r="M840" s="315">
        <f t="shared" si="118"/>
        <v>1.3210537550941199</v>
      </c>
      <c r="N840" s="425">
        <f t="shared" si="117"/>
        <v>0.48575146574810796</v>
      </c>
      <c r="O840" s="498">
        <v>0.51140023337222862</v>
      </c>
      <c r="P840" s="427">
        <f t="shared" si="119"/>
        <v>0.14258296138171939</v>
      </c>
      <c r="Q840" s="426"/>
      <c r="R840" s="532">
        <f t="shared" si="116"/>
        <v>2.125033174089962E-2</v>
      </c>
    </row>
    <row r="841" spans="1:18" s="6" customFormat="1" ht="15.75">
      <c r="A841" s="127">
        <v>96</v>
      </c>
      <c r="B841" s="330" t="s">
        <v>18</v>
      </c>
      <c r="C841" s="8">
        <v>43.6</v>
      </c>
      <c r="D841" s="55"/>
      <c r="E841" s="55"/>
      <c r="F841" s="611">
        <f t="shared" si="122"/>
        <v>43.6</v>
      </c>
      <c r="G841" s="55">
        <v>1</v>
      </c>
      <c r="H841" s="147">
        <v>1</v>
      </c>
      <c r="I841" s="55"/>
      <c r="J841" s="55"/>
      <c r="K841" s="142">
        <f t="shared" si="121"/>
        <v>1</v>
      </c>
      <c r="L841" s="187">
        <f t="shared" si="120"/>
        <v>1.9406171162429653E-4</v>
      </c>
      <c r="M841" s="315">
        <f t="shared" si="118"/>
        <v>0.44035125169804001</v>
      </c>
      <c r="N841" s="425">
        <f t="shared" si="117"/>
        <v>0.16191715524936934</v>
      </c>
      <c r="O841" s="498">
        <v>0.17046674445740956</v>
      </c>
      <c r="P841" s="427">
        <f t="shared" si="119"/>
        <v>4.7527653793906464E-2</v>
      </c>
      <c r="Q841" s="426"/>
      <c r="R841" s="532">
        <f t="shared" si="116"/>
        <v>1.8813367091713884E-2</v>
      </c>
    </row>
    <row r="842" spans="1:18" s="6" customFormat="1" ht="15.75">
      <c r="A842" s="127">
        <v>97</v>
      </c>
      <c r="B842" s="330" t="s">
        <v>19</v>
      </c>
      <c r="C842" s="8">
        <v>229.9</v>
      </c>
      <c r="D842" s="55"/>
      <c r="E842" s="55"/>
      <c r="F842" s="611">
        <f t="shared" si="122"/>
        <v>229.9</v>
      </c>
      <c r="G842" s="55">
        <v>8</v>
      </c>
      <c r="H842" s="147">
        <v>8</v>
      </c>
      <c r="I842" s="55"/>
      <c r="J842" s="55"/>
      <c r="K842" s="142">
        <f t="shared" si="121"/>
        <v>8</v>
      </c>
      <c r="L842" s="187">
        <f t="shared" si="120"/>
        <v>1.5524936929943722E-3</v>
      </c>
      <c r="M842" s="315">
        <f t="shared" si="118"/>
        <v>3.5228100135843201</v>
      </c>
      <c r="N842" s="425">
        <f t="shared" si="117"/>
        <v>1.2953372419949547</v>
      </c>
      <c r="O842" s="498">
        <v>1.3637339556592765</v>
      </c>
      <c r="P842" s="427">
        <f t="shared" si="119"/>
        <v>0.38022123035125172</v>
      </c>
      <c r="Q842" s="426"/>
      <c r="R842" s="532">
        <f t="shared" ref="R842:R905" si="123">(M842+N842+O842+P842)/C842</f>
        <v>2.8543290307045683E-2</v>
      </c>
    </row>
    <row r="843" spans="1:18" s="6" customFormat="1" ht="15.75">
      <c r="A843" s="127">
        <v>98</v>
      </c>
      <c r="B843" s="330" t="s">
        <v>20</v>
      </c>
      <c r="C843" s="8">
        <v>274.3</v>
      </c>
      <c r="D843" s="55"/>
      <c r="E843" s="55"/>
      <c r="F843" s="611">
        <f t="shared" si="122"/>
        <v>274.3</v>
      </c>
      <c r="G843" s="55">
        <v>5</v>
      </c>
      <c r="H843" s="147">
        <v>5</v>
      </c>
      <c r="I843" s="55"/>
      <c r="J843" s="55"/>
      <c r="K843" s="142">
        <f t="shared" si="121"/>
        <v>5</v>
      </c>
      <c r="L843" s="187">
        <f t="shared" si="120"/>
        <v>9.7030855812148264E-4</v>
      </c>
      <c r="M843" s="315">
        <f t="shared" si="118"/>
        <v>2.2017562584902</v>
      </c>
      <c r="N843" s="425">
        <f t="shared" si="117"/>
        <v>0.80958577624684658</v>
      </c>
      <c r="O843" s="498">
        <v>0.85233372228704785</v>
      </c>
      <c r="P843" s="427">
        <f t="shared" si="119"/>
        <v>0.2376382689695323</v>
      </c>
      <c r="Q843" s="426"/>
      <c r="R843" s="532">
        <f t="shared" si="123"/>
        <v>1.4951928640151754E-2</v>
      </c>
    </row>
    <row r="844" spans="1:18" s="6" customFormat="1" ht="15.75">
      <c r="A844" s="127">
        <v>99</v>
      </c>
      <c r="B844" s="330" t="s">
        <v>21</v>
      </c>
      <c r="C844" s="8">
        <v>282</v>
      </c>
      <c r="D844" s="55"/>
      <c r="E844" s="55"/>
      <c r="F844" s="611">
        <f t="shared" si="122"/>
        <v>282</v>
      </c>
      <c r="G844" s="55">
        <v>9</v>
      </c>
      <c r="H844" s="147">
        <v>9</v>
      </c>
      <c r="I844" s="55"/>
      <c r="J844" s="55"/>
      <c r="K844" s="142">
        <f t="shared" si="121"/>
        <v>9</v>
      </c>
      <c r="L844" s="187">
        <f t="shared" si="120"/>
        <v>1.7465554046186688E-3</v>
      </c>
      <c r="M844" s="315">
        <f t="shared" si="118"/>
        <v>3.96316126528236</v>
      </c>
      <c r="N844" s="425">
        <f t="shared" si="117"/>
        <v>1.4572543972443239</v>
      </c>
      <c r="O844" s="498">
        <v>1.5342007001166862</v>
      </c>
      <c r="P844" s="427">
        <f t="shared" si="119"/>
        <v>0.42774888414515816</v>
      </c>
      <c r="Q844" s="426"/>
      <c r="R844" s="532">
        <f t="shared" si="123"/>
        <v>2.617860016591677E-2</v>
      </c>
    </row>
    <row r="845" spans="1:18" s="6" customFormat="1" ht="15.75">
      <c r="A845" s="127">
        <v>100</v>
      </c>
      <c r="B845" s="330" t="s">
        <v>22</v>
      </c>
      <c r="C845" s="8">
        <v>181.2</v>
      </c>
      <c r="D845" s="55"/>
      <c r="E845" s="55"/>
      <c r="F845" s="611">
        <f t="shared" si="122"/>
        <v>181.2</v>
      </c>
      <c r="G845" s="55">
        <v>5</v>
      </c>
      <c r="H845" s="147">
        <v>5</v>
      </c>
      <c r="I845" s="55"/>
      <c r="J845" s="55"/>
      <c r="K845" s="142">
        <f t="shared" si="121"/>
        <v>5</v>
      </c>
      <c r="L845" s="187">
        <f t="shared" si="120"/>
        <v>9.7030855812148264E-4</v>
      </c>
      <c r="M845" s="315">
        <f t="shared" si="118"/>
        <v>2.2017562584902</v>
      </c>
      <c r="N845" s="425">
        <f t="shared" si="117"/>
        <v>0.80958577624684658</v>
      </c>
      <c r="O845" s="498">
        <v>0.85233372228704785</v>
      </c>
      <c r="P845" s="427">
        <f t="shared" si="119"/>
        <v>0.2376382689695323</v>
      </c>
      <c r="Q845" s="426"/>
      <c r="R845" s="532">
        <f t="shared" si="123"/>
        <v>2.2634183366410741E-2</v>
      </c>
    </row>
    <row r="846" spans="1:18" s="6" customFormat="1" ht="15.75">
      <c r="A846" s="127">
        <v>101</v>
      </c>
      <c r="B846" s="330" t="s">
        <v>23</v>
      </c>
      <c r="C846" s="8">
        <v>171</v>
      </c>
      <c r="D846" s="55"/>
      <c r="E846" s="55"/>
      <c r="F846" s="611">
        <f t="shared" si="122"/>
        <v>171</v>
      </c>
      <c r="G846" s="55">
        <v>4</v>
      </c>
      <c r="H846" s="147">
        <v>4</v>
      </c>
      <c r="I846" s="55"/>
      <c r="J846" s="55"/>
      <c r="K846" s="142">
        <f t="shared" si="121"/>
        <v>4</v>
      </c>
      <c r="L846" s="187">
        <f t="shared" si="120"/>
        <v>7.7624684649718612E-4</v>
      </c>
      <c r="M846" s="315">
        <f t="shared" si="118"/>
        <v>1.7614050067921601</v>
      </c>
      <c r="N846" s="425">
        <f t="shared" si="117"/>
        <v>0.64766862099747735</v>
      </c>
      <c r="O846" s="498">
        <v>0.68186697782963823</v>
      </c>
      <c r="P846" s="427">
        <f t="shared" si="119"/>
        <v>0.19011061517562586</v>
      </c>
      <c r="Q846" s="426"/>
      <c r="R846" s="532">
        <f t="shared" si="123"/>
        <v>1.9187434039736263E-2</v>
      </c>
    </row>
    <row r="847" spans="1:18" s="6" customFormat="1" ht="15.75">
      <c r="A847" s="127">
        <v>102</v>
      </c>
      <c r="B847" s="330" t="s">
        <v>24</v>
      </c>
      <c r="C847" s="8">
        <v>160.5</v>
      </c>
      <c r="D847" s="55"/>
      <c r="E847" s="55"/>
      <c r="F847" s="611">
        <f t="shared" si="122"/>
        <v>160.5</v>
      </c>
      <c r="G847" s="55">
        <v>4</v>
      </c>
      <c r="H847" s="147">
        <v>4</v>
      </c>
      <c r="I847" s="55"/>
      <c r="J847" s="55"/>
      <c r="K847" s="142">
        <f t="shared" si="121"/>
        <v>4</v>
      </c>
      <c r="L847" s="187">
        <f t="shared" si="120"/>
        <v>7.7624684649718612E-4</v>
      </c>
      <c r="M847" s="315">
        <f t="shared" si="118"/>
        <v>1.7614050067921601</v>
      </c>
      <c r="N847" s="425">
        <f t="shared" si="117"/>
        <v>0.64766862099747735</v>
      </c>
      <c r="O847" s="498">
        <v>0.68186697782963823</v>
      </c>
      <c r="P847" s="427">
        <f t="shared" si="119"/>
        <v>0.19011061517562586</v>
      </c>
      <c r="Q847" s="426"/>
      <c r="R847" s="532">
        <f t="shared" si="123"/>
        <v>2.0442686733924617E-2</v>
      </c>
    </row>
    <row r="848" spans="1:18" s="6" customFormat="1" ht="15.75">
      <c r="A848" s="127">
        <v>103</v>
      </c>
      <c r="B848" s="330" t="s">
        <v>25</v>
      </c>
      <c r="C848" s="8">
        <v>165.6</v>
      </c>
      <c r="D848" s="55"/>
      <c r="E848" s="55"/>
      <c r="F848" s="611">
        <f t="shared" si="122"/>
        <v>165.6</v>
      </c>
      <c r="G848" s="55">
        <v>4</v>
      </c>
      <c r="H848" s="147">
        <v>4</v>
      </c>
      <c r="I848" s="55"/>
      <c r="J848" s="55"/>
      <c r="K848" s="142">
        <f t="shared" si="121"/>
        <v>4</v>
      </c>
      <c r="L848" s="187">
        <f t="shared" si="120"/>
        <v>7.7624684649718612E-4</v>
      </c>
      <c r="M848" s="315">
        <f t="shared" si="118"/>
        <v>1.7614050067921601</v>
      </c>
      <c r="N848" s="425">
        <f t="shared" si="117"/>
        <v>0.64766862099747735</v>
      </c>
      <c r="O848" s="498">
        <v>0.68186697782963823</v>
      </c>
      <c r="P848" s="427">
        <f t="shared" si="119"/>
        <v>0.19011061517562586</v>
      </c>
      <c r="Q848" s="426"/>
      <c r="R848" s="532">
        <f t="shared" si="123"/>
        <v>1.9813111236684187E-2</v>
      </c>
    </row>
    <row r="849" spans="1:18" s="6" customFormat="1" ht="15.75">
      <c r="A849" s="127">
        <v>104</v>
      </c>
      <c r="B849" s="330" t="s">
        <v>26</v>
      </c>
      <c r="C849" s="8">
        <v>158.6</v>
      </c>
      <c r="D849" s="55"/>
      <c r="E849" s="55"/>
      <c r="F849" s="611">
        <f t="shared" si="122"/>
        <v>158.6</v>
      </c>
      <c r="G849" s="55">
        <v>4</v>
      </c>
      <c r="H849" s="147">
        <v>4</v>
      </c>
      <c r="I849" s="55"/>
      <c r="J849" s="55"/>
      <c r="K849" s="142">
        <f t="shared" si="121"/>
        <v>4</v>
      </c>
      <c r="L849" s="187">
        <f t="shared" si="120"/>
        <v>7.7624684649718612E-4</v>
      </c>
      <c r="M849" s="315">
        <f t="shared" si="118"/>
        <v>1.7614050067921601</v>
      </c>
      <c r="N849" s="425">
        <f t="shared" si="117"/>
        <v>0.64766862099747735</v>
      </c>
      <c r="O849" s="498">
        <v>0.68186697782963823</v>
      </c>
      <c r="P849" s="427">
        <f t="shared" si="119"/>
        <v>0.19011061517562586</v>
      </c>
      <c r="Q849" s="426"/>
      <c r="R849" s="532">
        <f t="shared" si="123"/>
        <v>2.0687586511947676E-2</v>
      </c>
    </row>
    <row r="850" spans="1:18" s="6" customFormat="1" ht="15.75">
      <c r="A850" s="127">
        <v>105</v>
      </c>
      <c r="B850" s="330" t="s">
        <v>27</v>
      </c>
      <c r="C850" s="8">
        <v>414.61</v>
      </c>
      <c r="D850" s="55"/>
      <c r="E850" s="55"/>
      <c r="F850" s="611">
        <f t="shared" si="122"/>
        <v>414.61</v>
      </c>
      <c r="G850" s="55">
        <v>12</v>
      </c>
      <c r="H850" s="147">
        <v>12</v>
      </c>
      <c r="I850" s="55"/>
      <c r="J850" s="55"/>
      <c r="K850" s="142">
        <f t="shared" si="121"/>
        <v>12</v>
      </c>
      <c r="L850" s="187">
        <f t="shared" si="120"/>
        <v>2.3287405394915583E-3</v>
      </c>
      <c r="M850" s="315">
        <f t="shared" si="118"/>
        <v>5.2842150203764797</v>
      </c>
      <c r="N850" s="425">
        <f t="shared" si="117"/>
        <v>1.9430058629924318</v>
      </c>
      <c r="O850" s="498">
        <v>2.0456009334889145</v>
      </c>
      <c r="P850" s="427">
        <f t="shared" si="119"/>
        <v>0.57033184552687755</v>
      </c>
      <c r="Q850" s="426"/>
      <c r="R850" s="532">
        <f t="shared" si="123"/>
        <v>2.3740753147258157E-2</v>
      </c>
    </row>
    <row r="851" spans="1:18" s="6" customFormat="1" ht="15.75">
      <c r="A851" s="127">
        <v>106</v>
      </c>
      <c r="B851" s="330" t="s">
        <v>28</v>
      </c>
      <c r="C851" s="8">
        <v>148.1</v>
      </c>
      <c r="D851" s="55"/>
      <c r="E851" s="55"/>
      <c r="F851" s="611">
        <f t="shared" si="122"/>
        <v>148.1</v>
      </c>
      <c r="G851" s="55">
        <v>3</v>
      </c>
      <c r="H851" s="147">
        <v>3</v>
      </c>
      <c r="I851" s="55"/>
      <c r="J851" s="55"/>
      <c r="K851" s="142">
        <f t="shared" si="121"/>
        <v>3</v>
      </c>
      <c r="L851" s="187">
        <f t="shared" si="120"/>
        <v>5.8218513487288959E-4</v>
      </c>
      <c r="M851" s="315">
        <f t="shared" si="118"/>
        <v>1.3210537550941199</v>
      </c>
      <c r="N851" s="425">
        <f t="shared" si="117"/>
        <v>0.48575146574810796</v>
      </c>
      <c r="O851" s="498">
        <v>0.51140023337222862</v>
      </c>
      <c r="P851" s="427">
        <f t="shared" si="119"/>
        <v>0.14258296138171939</v>
      </c>
      <c r="Q851" s="426"/>
      <c r="R851" s="532">
        <f t="shared" si="123"/>
        <v>1.661572191489653E-2</v>
      </c>
    </row>
    <row r="852" spans="1:18" s="6" customFormat="1" ht="15.75">
      <c r="A852" s="127">
        <v>107</v>
      </c>
      <c r="B852" s="330" t="s">
        <v>29</v>
      </c>
      <c r="C852" s="8">
        <v>27.8</v>
      </c>
      <c r="D852" s="55"/>
      <c r="E852" s="55"/>
      <c r="F852" s="611">
        <f t="shared" si="122"/>
        <v>27.8</v>
      </c>
      <c r="G852" s="55">
        <v>1</v>
      </c>
      <c r="H852" s="147">
        <v>1</v>
      </c>
      <c r="I852" s="55"/>
      <c r="J852" s="55"/>
      <c r="K852" s="142">
        <f t="shared" si="121"/>
        <v>1</v>
      </c>
      <c r="L852" s="187">
        <f t="shared" si="120"/>
        <v>1.9406171162429653E-4</v>
      </c>
      <c r="M852" s="315">
        <f t="shared" si="118"/>
        <v>0.44035125169804001</v>
      </c>
      <c r="N852" s="425">
        <f t="shared" si="117"/>
        <v>0.16191715524936934</v>
      </c>
      <c r="O852" s="498">
        <v>0.17046674445740956</v>
      </c>
      <c r="P852" s="427">
        <f t="shared" si="119"/>
        <v>4.7527653793906464E-2</v>
      </c>
      <c r="Q852" s="426"/>
      <c r="R852" s="532">
        <f t="shared" si="123"/>
        <v>2.9505856302112419E-2</v>
      </c>
    </row>
    <row r="853" spans="1:18" s="6" customFormat="1" ht="15.75">
      <c r="A853" s="127">
        <v>108</v>
      </c>
      <c r="B853" s="330" t="s">
        <v>30</v>
      </c>
      <c r="C853" s="8">
        <v>140.9</v>
      </c>
      <c r="D853" s="55"/>
      <c r="E853" s="55"/>
      <c r="F853" s="611">
        <f t="shared" si="122"/>
        <v>140.9</v>
      </c>
      <c r="G853" s="55">
        <v>4</v>
      </c>
      <c r="H853" s="147">
        <v>4</v>
      </c>
      <c r="I853" s="55"/>
      <c r="J853" s="55"/>
      <c r="K853" s="142">
        <f t="shared" si="121"/>
        <v>4</v>
      </c>
      <c r="L853" s="187">
        <f t="shared" si="120"/>
        <v>7.7624684649718612E-4</v>
      </c>
      <c r="M853" s="315">
        <f t="shared" si="118"/>
        <v>1.7614050067921601</v>
      </c>
      <c r="N853" s="425">
        <f t="shared" si="117"/>
        <v>0.64766862099747735</v>
      </c>
      <c r="O853" s="498">
        <v>0.68186697782963823</v>
      </c>
      <c r="P853" s="427">
        <f t="shared" si="119"/>
        <v>0.19011061517562586</v>
      </c>
      <c r="Q853" s="426"/>
      <c r="R853" s="532">
        <f t="shared" si="123"/>
        <v>2.3286381978672114E-2</v>
      </c>
    </row>
    <row r="854" spans="1:18" s="6" customFormat="1" ht="15.75">
      <c r="A854" s="127">
        <v>109</v>
      </c>
      <c r="B854" s="330" t="s">
        <v>31</v>
      </c>
      <c r="C854" s="8">
        <v>66.599999999999994</v>
      </c>
      <c r="D854" s="55"/>
      <c r="E854" s="55"/>
      <c r="F854" s="611">
        <f t="shared" si="122"/>
        <v>66.599999999999994</v>
      </c>
      <c r="G854" s="55">
        <v>2</v>
      </c>
      <c r="H854" s="147">
        <v>2</v>
      </c>
      <c r="I854" s="55"/>
      <c r="J854" s="55"/>
      <c r="K854" s="142">
        <f t="shared" si="121"/>
        <v>2</v>
      </c>
      <c r="L854" s="187">
        <f t="shared" si="120"/>
        <v>3.8812342324859306E-4</v>
      </c>
      <c r="M854" s="315">
        <f t="shared" si="118"/>
        <v>0.88070250339608003</v>
      </c>
      <c r="N854" s="425">
        <f t="shared" si="117"/>
        <v>0.32383431049873868</v>
      </c>
      <c r="O854" s="498">
        <v>0.34093348891481912</v>
      </c>
      <c r="P854" s="427">
        <f t="shared" si="119"/>
        <v>9.5055307587812929E-2</v>
      </c>
      <c r="Q854" s="426"/>
      <c r="R854" s="532">
        <f t="shared" si="123"/>
        <v>2.4632516672634396E-2</v>
      </c>
    </row>
    <row r="855" spans="1:18" s="6" customFormat="1" ht="15.75">
      <c r="A855" s="127">
        <v>110</v>
      </c>
      <c r="B855" s="330" t="s">
        <v>32</v>
      </c>
      <c r="C855" s="8">
        <v>97.5</v>
      </c>
      <c r="D855" s="55"/>
      <c r="E855" s="55"/>
      <c r="F855" s="611">
        <f t="shared" si="122"/>
        <v>97.5</v>
      </c>
      <c r="G855" s="55">
        <v>4</v>
      </c>
      <c r="H855" s="147">
        <v>4</v>
      </c>
      <c r="I855" s="55"/>
      <c r="J855" s="55"/>
      <c r="K855" s="142">
        <f t="shared" si="121"/>
        <v>4</v>
      </c>
      <c r="L855" s="187">
        <f t="shared" si="120"/>
        <v>7.7624684649718612E-4</v>
      </c>
      <c r="M855" s="315">
        <f t="shared" si="118"/>
        <v>1.7614050067921601</v>
      </c>
      <c r="N855" s="425">
        <f t="shared" si="117"/>
        <v>0.64766862099747735</v>
      </c>
      <c r="O855" s="498">
        <v>0.68186697782963823</v>
      </c>
      <c r="P855" s="427">
        <f t="shared" si="119"/>
        <v>0.19011061517562586</v>
      </c>
      <c r="Q855" s="426"/>
      <c r="R855" s="532">
        <f t="shared" si="123"/>
        <v>3.365180739276822E-2</v>
      </c>
    </row>
    <row r="856" spans="1:18" s="6" customFormat="1" ht="15.75">
      <c r="A856" s="127">
        <v>111</v>
      </c>
      <c r="B856" s="330" t="s">
        <v>33</v>
      </c>
      <c r="C856" s="8">
        <v>522.6</v>
      </c>
      <c r="D856" s="55"/>
      <c r="E856" s="55"/>
      <c r="F856" s="611">
        <f t="shared" si="122"/>
        <v>522.6</v>
      </c>
      <c r="G856" s="55">
        <v>8</v>
      </c>
      <c r="H856" s="147">
        <v>8</v>
      </c>
      <c r="I856" s="55"/>
      <c r="J856" s="55"/>
      <c r="K856" s="142">
        <f t="shared" si="121"/>
        <v>8</v>
      </c>
      <c r="L856" s="187">
        <f t="shared" si="120"/>
        <v>1.5524936929943722E-3</v>
      </c>
      <c r="M856" s="315">
        <f t="shared" si="118"/>
        <v>3.5228100135843201</v>
      </c>
      <c r="N856" s="425">
        <f t="shared" si="117"/>
        <v>1.2953372419949547</v>
      </c>
      <c r="O856" s="498">
        <v>1.3637339556592765</v>
      </c>
      <c r="P856" s="427">
        <f t="shared" si="119"/>
        <v>0.38022123035125172</v>
      </c>
      <c r="Q856" s="426"/>
      <c r="R856" s="532">
        <f t="shared" si="123"/>
        <v>1.2556644549540379E-2</v>
      </c>
    </row>
    <row r="857" spans="1:18" s="6" customFormat="1" ht="15.75">
      <c r="A857" s="127">
        <v>112</v>
      </c>
      <c r="B857" s="330" t="s">
        <v>34</v>
      </c>
      <c r="C857" s="8">
        <v>71.8</v>
      </c>
      <c r="D857" s="55"/>
      <c r="E857" s="55"/>
      <c r="F857" s="611">
        <f t="shared" si="122"/>
        <v>71.8</v>
      </c>
      <c r="G857" s="55">
        <v>2</v>
      </c>
      <c r="H857" s="147">
        <v>2</v>
      </c>
      <c r="I857" s="55"/>
      <c r="J857" s="55"/>
      <c r="K857" s="142">
        <f t="shared" si="121"/>
        <v>2</v>
      </c>
      <c r="L857" s="187">
        <f t="shared" si="120"/>
        <v>3.8812342324859306E-4</v>
      </c>
      <c r="M857" s="315">
        <f t="shared" si="118"/>
        <v>0.88070250339608003</v>
      </c>
      <c r="N857" s="425">
        <f t="shared" si="117"/>
        <v>0.32383431049873868</v>
      </c>
      <c r="O857" s="498">
        <v>0.34093348891481912</v>
      </c>
      <c r="P857" s="427">
        <f t="shared" si="119"/>
        <v>9.5055307587812929E-2</v>
      </c>
      <c r="Q857" s="426"/>
      <c r="R857" s="532">
        <f t="shared" si="123"/>
        <v>2.2848546105814077E-2</v>
      </c>
    </row>
    <row r="858" spans="1:18" s="6" customFormat="1" ht="15.75">
      <c r="A858" s="127">
        <v>113</v>
      </c>
      <c r="B858" s="330" t="s">
        <v>35</v>
      </c>
      <c r="C858" s="8">
        <v>199</v>
      </c>
      <c r="D858" s="55"/>
      <c r="E858" s="55"/>
      <c r="F858" s="611">
        <f t="shared" si="122"/>
        <v>199</v>
      </c>
      <c r="G858" s="55">
        <v>7</v>
      </c>
      <c r="H858" s="147">
        <v>7</v>
      </c>
      <c r="I858" s="55"/>
      <c r="J858" s="55"/>
      <c r="K858" s="142">
        <f t="shared" si="121"/>
        <v>7</v>
      </c>
      <c r="L858" s="187">
        <f t="shared" si="120"/>
        <v>1.3584319813700757E-3</v>
      </c>
      <c r="M858" s="315">
        <f t="shared" si="118"/>
        <v>3.0824587618862802</v>
      </c>
      <c r="N858" s="425">
        <f t="shared" si="117"/>
        <v>1.1334200867455853</v>
      </c>
      <c r="O858" s="498">
        <v>1.193267211201867</v>
      </c>
      <c r="P858" s="427">
        <f t="shared" si="119"/>
        <v>0.33269357655734522</v>
      </c>
      <c r="Q858" s="426"/>
      <c r="R858" s="532">
        <f t="shared" si="123"/>
        <v>2.88534655095029E-2</v>
      </c>
    </row>
    <row r="859" spans="1:18" s="6" customFormat="1" ht="15.75">
      <c r="A859" s="127">
        <v>114</v>
      </c>
      <c r="B859" s="330" t="s">
        <v>36</v>
      </c>
      <c r="C859" s="8">
        <v>128.5</v>
      </c>
      <c r="D859" s="55"/>
      <c r="E859" s="55"/>
      <c r="F859" s="611">
        <f t="shared" si="122"/>
        <v>128.5</v>
      </c>
      <c r="G859" s="55">
        <v>3</v>
      </c>
      <c r="H859" s="147">
        <v>3</v>
      </c>
      <c r="I859" s="55"/>
      <c r="J859" s="55"/>
      <c r="K859" s="142">
        <f t="shared" si="121"/>
        <v>3</v>
      </c>
      <c r="L859" s="187">
        <f t="shared" si="120"/>
        <v>5.8218513487288959E-4</v>
      </c>
      <c r="M859" s="315">
        <f t="shared" si="118"/>
        <v>1.3210537550941199</v>
      </c>
      <c r="N859" s="425">
        <f t="shared" si="117"/>
        <v>0.48575146574810796</v>
      </c>
      <c r="O859" s="498">
        <v>0.51140023337222862</v>
      </c>
      <c r="P859" s="427">
        <f t="shared" si="119"/>
        <v>0.14258296138171939</v>
      </c>
      <c r="Q859" s="426"/>
      <c r="R859" s="532">
        <f t="shared" si="123"/>
        <v>1.9150104401526664E-2</v>
      </c>
    </row>
    <row r="860" spans="1:18" s="6" customFormat="1" ht="15.75">
      <c r="A860" s="127">
        <v>115</v>
      </c>
      <c r="B860" s="330" t="s">
        <v>37</v>
      </c>
      <c r="C860" s="8">
        <v>43.4</v>
      </c>
      <c r="D860" s="55"/>
      <c r="E860" s="55"/>
      <c r="F860" s="611">
        <f t="shared" si="122"/>
        <v>43.4</v>
      </c>
      <c r="G860" s="55">
        <v>1</v>
      </c>
      <c r="H860" s="147">
        <v>1</v>
      </c>
      <c r="I860" s="55"/>
      <c r="J860" s="55"/>
      <c r="K860" s="142">
        <f t="shared" si="121"/>
        <v>1</v>
      </c>
      <c r="L860" s="187">
        <f t="shared" si="120"/>
        <v>1.9406171162429653E-4</v>
      </c>
      <c r="M860" s="315">
        <f t="shared" si="118"/>
        <v>0.44035125169804001</v>
      </c>
      <c r="N860" s="425">
        <f t="shared" si="117"/>
        <v>0.16191715524936934</v>
      </c>
      <c r="O860" s="498">
        <v>0.17046674445740956</v>
      </c>
      <c r="P860" s="427">
        <f t="shared" si="119"/>
        <v>4.7527653793906464E-2</v>
      </c>
      <c r="Q860" s="426"/>
      <c r="R860" s="532">
        <f t="shared" si="123"/>
        <v>1.8900064635915328E-2</v>
      </c>
    </row>
    <row r="861" spans="1:18" s="6" customFormat="1" ht="15.75">
      <c r="A861" s="127">
        <v>116</v>
      </c>
      <c r="B861" s="330" t="s">
        <v>38</v>
      </c>
      <c r="C861" s="8">
        <v>35.4</v>
      </c>
      <c r="D861" s="55"/>
      <c r="E861" s="55"/>
      <c r="F861" s="611">
        <f t="shared" si="122"/>
        <v>35.4</v>
      </c>
      <c r="G861" s="55">
        <v>1</v>
      </c>
      <c r="H861" s="147">
        <v>1</v>
      </c>
      <c r="I861" s="55"/>
      <c r="J861" s="55"/>
      <c r="K861" s="142">
        <f t="shared" si="121"/>
        <v>1</v>
      </c>
      <c r="L861" s="187">
        <f t="shared" si="120"/>
        <v>1.9406171162429653E-4</v>
      </c>
      <c r="M861" s="315">
        <f t="shared" si="118"/>
        <v>0.44035125169804001</v>
      </c>
      <c r="N861" s="425">
        <f t="shared" si="117"/>
        <v>0.16191715524936934</v>
      </c>
      <c r="O861" s="498">
        <v>0.17046674445740956</v>
      </c>
      <c r="P861" s="427">
        <f t="shared" si="119"/>
        <v>4.7527653793906464E-2</v>
      </c>
      <c r="Q861" s="426"/>
      <c r="R861" s="532">
        <f t="shared" si="123"/>
        <v>2.3171265683579811E-2</v>
      </c>
    </row>
    <row r="862" spans="1:18" s="6" customFormat="1" ht="15.75">
      <c r="A862" s="127">
        <v>117</v>
      </c>
      <c r="B862" s="330" t="s">
        <v>39</v>
      </c>
      <c r="C862" s="8">
        <v>407.14</v>
      </c>
      <c r="D862" s="55"/>
      <c r="E862" s="55"/>
      <c r="F862" s="611">
        <f t="shared" si="122"/>
        <v>407.14</v>
      </c>
      <c r="G862" s="55">
        <v>8</v>
      </c>
      <c r="H862" s="147">
        <v>8</v>
      </c>
      <c r="I862" s="55"/>
      <c r="J862" s="55"/>
      <c r="K862" s="142">
        <f t="shared" si="121"/>
        <v>8</v>
      </c>
      <c r="L862" s="187">
        <f t="shared" si="120"/>
        <v>1.5524936929943722E-3</v>
      </c>
      <c r="M862" s="315">
        <f t="shared" si="118"/>
        <v>3.5228100135843201</v>
      </c>
      <c r="N862" s="425">
        <f t="shared" si="117"/>
        <v>1.2953372419949547</v>
      </c>
      <c r="O862" s="498">
        <v>1.3637339556592765</v>
      </c>
      <c r="P862" s="427">
        <f t="shared" si="119"/>
        <v>0.38022123035125172</v>
      </c>
      <c r="Q862" s="426"/>
      <c r="R862" s="532">
        <f t="shared" si="123"/>
        <v>1.6117557699046527E-2</v>
      </c>
    </row>
    <row r="863" spans="1:18" s="6" customFormat="1" ht="15.75">
      <c r="A863" s="127">
        <v>118</v>
      </c>
      <c r="B863" s="330" t="s">
        <v>40</v>
      </c>
      <c r="C863" s="8">
        <v>207.4</v>
      </c>
      <c r="D863" s="55"/>
      <c r="E863" s="55"/>
      <c r="F863" s="611">
        <f t="shared" si="122"/>
        <v>207.4</v>
      </c>
      <c r="G863" s="55">
        <v>4</v>
      </c>
      <c r="H863" s="147">
        <v>4</v>
      </c>
      <c r="I863" s="55"/>
      <c r="J863" s="55"/>
      <c r="K863" s="142">
        <f t="shared" si="121"/>
        <v>4</v>
      </c>
      <c r="L863" s="187">
        <f t="shared" si="120"/>
        <v>7.7624684649718612E-4</v>
      </c>
      <c r="M863" s="315">
        <f t="shared" si="118"/>
        <v>1.7614050067921601</v>
      </c>
      <c r="N863" s="425">
        <f t="shared" si="117"/>
        <v>0.64766862099747735</v>
      </c>
      <c r="O863" s="498">
        <v>0.68186697782963823</v>
      </c>
      <c r="P863" s="427">
        <f t="shared" si="119"/>
        <v>0.19011061517562586</v>
      </c>
      <c r="Q863" s="426"/>
      <c r="R863" s="532">
        <f t="shared" si="123"/>
        <v>1.5819919097371751E-2</v>
      </c>
    </row>
    <row r="864" spans="1:18" s="6" customFormat="1" ht="15.75">
      <c r="A864" s="127">
        <v>119</v>
      </c>
      <c r="B864" s="330" t="s">
        <v>41</v>
      </c>
      <c r="C864" s="8">
        <v>388.5</v>
      </c>
      <c r="D864" s="55"/>
      <c r="E864" s="55">
        <v>230.8</v>
      </c>
      <c r="F864" s="611">
        <f t="shared" si="122"/>
        <v>619.29999999999995</v>
      </c>
      <c r="G864" s="55">
        <v>9</v>
      </c>
      <c r="H864" s="147">
        <v>9</v>
      </c>
      <c r="I864" s="55"/>
      <c r="J864" s="55">
        <v>1</v>
      </c>
      <c r="K864" s="142">
        <f t="shared" si="121"/>
        <v>10</v>
      </c>
      <c r="L864" s="187">
        <f t="shared" si="120"/>
        <v>1.9406171162429653E-3</v>
      </c>
      <c r="M864" s="315">
        <f t="shared" si="118"/>
        <v>4.4035125169803999</v>
      </c>
      <c r="N864" s="425">
        <f t="shared" si="117"/>
        <v>1.6191715524936932</v>
      </c>
      <c r="O864" s="498">
        <v>1.7046674445740957</v>
      </c>
      <c r="P864" s="427">
        <f t="shared" si="119"/>
        <v>0.4752765379390646</v>
      </c>
      <c r="Q864" s="426"/>
      <c r="R864" s="532">
        <f t="shared" si="123"/>
        <v>2.1113585719400908E-2</v>
      </c>
    </row>
    <row r="865" spans="1:18" s="6" customFormat="1" ht="15.75">
      <c r="A865" s="127">
        <v>120</v>
      </c>
      <c r="B865" s="330" t="s">
        <v>42</v>
      </c>
      <c r="C865" s="8">
        <v>326.7</v>
      </c>
      <c r="D865" s="55"/>
      <c r="E865" s="55"/>
      <c r="F865" s="611">
        <f t="shared" si="122"/>
        <v>326.7</v>
      </c>
      <c r="G865" s="55">
        <v>11</v>
      </c>
      <c r="H865" s="147">
        <v>11</v>
      </c>
      <c r="I865" s="55"/>
      <c r="J865" s="55"/>
      <c r="K865" s="142">
        <f t="shared" si="121"/>
        <v>11</v>
      </c>
      <c r="L865" s="187">
        <f t="shared" si="120"/>
        <v>2.1346788278672618E-3</v>
      </c>
      <c r="M865" s="315">
        <f t="shared" si="118"/>
        <v>4.8438637686784398</v>
      </c>
      <c r="N865" s="425">
        <f t="shared" si="117"/>
        <v>1.7810887077430624</v>
      </c>
      <c r="O865" s="498">
        <v>1.8751341890315054</v>
      </c>
      <c r="P865" s="427">
        <f t="shared" si="119"/>
        <v>0.5228041917329711</v>
      </c>
      <c r="Q865" s="426"/>
      <c r="R865" s="532">
        <f t="shared" si="123"/>
        <v>2.7618276269317354E-2</v>
      </c>
    </row>
    <row r="866" spans="1:18" s="6" customFormat="1" ht="15.75">
      <c r="A866" s="127">
        <v>121</v>
      </c>
      <c r="B866" s="330" t="s">
        <v>43</v>
      </c>
      <c r="C866" s="8">
        <v>485.4</v>
      </c>
      <c r="D866" s="55"/>
      <c r="E866" s="55"/>
      <c r="F866" s="611">
        <f t="shared" si="122"/>
        <v>485.4</v>
      </c>
      <c r="G866" s="55">
        <v>15</v>
      </c>
      <c r="H866" s="147">
        <v>15</v>
      </c>
      <c r="I866" s="55"/>
      <c r="J866" s="55"/>
      <c r="K866" s="142">
        <f t="shared" si="121"/>
        <v>15</v>
      </c>
      <c r="L866" s="187">
        <f t="shared" si="120"/>
        <v>2.9109256743644479E-3</v>
      </c>
      <c r="M866" s="315">
        <f t="shared" si="118"/>
        <v>6.6052687754706003</v>
      </c>
      <c r="N866" s="425">
        <f t="shared" si="117"/>
        <v>2.4287573287405397</v>
      </c>
      <c r="O866" s="498">
        <v>2.5570011668611432</v>
      </c>
      <c r="P866" s="427">
        <f t="shared" si="119"/>
        <v>0.71291480690859699</v>
      </c>
      <c r="Q866" s="426"/>
      <c r="R866" s="532">
        <f t="shared" si="123"/>
        <v>2.5348047132222662E-2</v>
      </c>
    </row>
    <row r="867" spans="1:18" s="6" customFormat="1" ht="15.75">
      <c r="A867" s="127">
        <v>122</v>
      </c>
      <c r="B867" s="330" t="s">
        <v>44</v>
      </c>
      <c r="C867" s="8">
        <v>133.6</v>
      </c>
      <c r="D867" s="55"/>
      <c r="E867" s="55"/>
      <c r="F867" s="611">
        <f t="shared" si="122"/>
        <v>133.6</v>
      </c>
      <c r="G867" s="55">
        <v>3</v>
      </c>
      <c r="H867" s="147">
        <v>3</v>
      </c>
      <c r="I867" s="55"/>
      <c r="J867" s="55"/>
      <c r="K867" s="142">
        <f t="shared" si="121"/>
        <v>3</v>
      </c>
      <c r="L867" s="187">
        <f t="shared" si="120"/>
        <v>5.8218513487288959E-4</v>
      </c>
      <c r="M867" s="315">
        <f t="shared" si="118"/>
        <v>1.3210537550941199</v>
      </c>
      <c r="N867" s="425">
        <f t="shared" si="117"/>
        <v>0.48575146574810796</v>
      </c>
      <c r="O867" s="498">
        <v>0.51140023337222862</v>
      </c>
      <c r="P867" s="427">
        <f t="shared" si="119"/>
        <v>0.14258296138171939</v>
      </c>
      <c r="Q867" s="426"/>
      <c r="R867" s="532">
        <f t="shared" si="123"/>
        <v>1.8419074967037246E-2</v>
      </c>
    </row>
    <row r="868" spans="1:18" s="6" customFormat="1" ht="15.75">
      <c r="A868" s="127">
        <v>123</v>
      </c>
      <c r="B868" s="330" t="s">
        <v>45</v>
      </c>
      <c r="C868" s="8">
        <v>562.28</v>
      </c>
      <c r="D868" s="55"/>
      <c r="E868" s="55"/>
      <c r="F868" s="611">
        <f t="shared" si="122"/>
        <v>562.28</v>
      </c>
      <c r="G868" s="55">
        <v>12</v>
      </c>
      <c r="H868" s="147">
        <v>12</v>
      </c>
      <c r="I868" s="55"/>
      <c r="J868" s="55"/>
      <c r="K868" s="142">
        <f t="shared" si="121"/>
        <v>12</v>
      </c>
      <c r="L868" s="187">
        <f t="shared" si="120"/>
        <v>2.3287405394915583E-3</v>
      </c>
      <c r="M868" s="315">
        <f t="shared" si="118"/>
        <v>5.2842150203764797</v>
      </c>
      <c r="N868" s="425">
        <f t="shared" si="117"/>
        <v>1.9430058629924318</v>
      </c>
      <c r="O868" s="498">
        <v>2.0456009334889145</v>
      </c>
      <c r="P868" s="427">
        <f t="shared" si="119"/>
        <v>0.57033184552687755</v>
      </c>
      <c r="Q868" s="426"/>
      <c r="R868" s="532">
        <f t="shared" si="123"/>
        <v>1.750578655186865E-2</v>
      </c>
    </row>
    <row r="869" spans="1:18" s="6" customFormat="1" ht="15.75">
      <c r="A869" s="127">
        <v>124</v>
      </c>
      <c r="B869" s="330" t="s">
        <v>46</v>
      </c>
      <c r="C869" s="8">
        <v>156.78</v>
      </c>
      <c r="D869" s="55"/>
      <c r="E869" s="55"/>
      <c r="F869" s="611">
        <f t="shared" si="122"/>
        <v>156.78</v>
      </c>
      <c r="G869" s="55">
        <v>5</v>
      </c>
      <c r="H869" s="147">
        <v>5</v>
      </c>
      <c r="I869" s="55"/>
      <c r="J869" s="55"/>
      <c r="K869" s="142">
        <f t="shared" si="121"/>
        <v>5</v>
      </c>
      <c r="L869" s="187">
        <f t="shared" si="120"/>
        <v>9.7030855812148264E-4</v>
      </c>
      <c r="M869" s="315">
        <f t="shared" si="118"/>
        <v>2.2017562584902</v>
      </c>
      <c r="N869" s="425">
        <f t="shared" si="117"/>
        <v>0.80958577624684658</v>
      </c>
      <c r="O869" s="498">
        <v>0.85233372228704785</v>
      </c>
      <c r="P869" s="427">
        <f t="shared" si="119"/>
        <v>0.2376382689695323</v>
      </c>
      <c r="Q869" s="426"/>
      <c r="R869" s="532">
        <f t="shared" si="123"/>
        <v>2.6159676144875788E-2</v>
      </c>
    </row>
    <row r="870" spans="1:18" s="6" customFormat="1" ht="15.75">
      <c r="A870" s="127">
        <v>125</v>
      </c>
      <c r="B870" s="330" t="s">
        <v>47</v>
      </c>
      <c r="C870" s="8">
        <v>169.82</v>
      </c>
      <c r="D870" s="55"/>
      <c r="E870" s="55"/>
      <c r="F870" s="611">
        <f t="shared" si="122"/>
        <v>169.82</v>
      </c>
      <c r="G870" s="55">
        <v>5</v>
      </c>
      <c r="H870" s="147">
        <v>5</v>
      </c>
      <c r="I870" s="55"/>
      <c r="J870" s="55"/>
      <c r="K870" s="142">
        <f t="shared" si="121"/>
        <v>5</v>
      </c>
      <c r="L870" s="187">
        <f t="shared" si="120"/>
        <v>9.7030855812148264E-4</v>
      </c>
      <c r="M870" s="315">
        <f t="shared" si="118"/>
        <v>2.2017562584902</v>
      </c>
      <c r="N870" s="425">
        <f t="shared" si="117"/>
        <v>0.80958577624684658</v>
      </c>
      <c r="O870" s="498">
        <v>0.85233372228704785</v>
      </c>
      <c r="P870" s="427">
        <f t="shared" si="119"/>
        <v>0.2376382689695323</v>
      </c>
      <c r="Q870" s="426"/>
      <c r="R870" s="532">
        <f t="shared" si="123"/>
        <v>2.4150948215720329E-2</v>
      </c>
    </row>
    <row r="871" spans="1:18" s="6" customFormat="1" ht="15.75">
      <c r="A871" s="127">
        <v>126</v>
      </c>
      <c r="B871" s="330" t="s">
        <v>48</v>
      </c>
      <c r="C871" s="8">
        <v>263.20999999999998</v>
      </c>
      <c r="D871" s="55"/>
      <c r="E871" s="55"/>
      <c r="F871" s="611">
        <f t="shared" si="122"/>
        <v>263.20999999999998</v>
      </c>
      <c r="G871" s="55">
        <v>6</v>
      </c>
      <c r="H871" s="147">
        <v>6</v>
      </c>
      <c r="I871" s="55"/>
      <c r="J871" s="55"/>
      <c r="K871" s="142">
        <f t="shared" si="121"/>
        <v>6</v>
      </c>
      <c r="L871" s="187">
        <f t="shared" si="120"/>
        <v>1.1643702697457792E-3</v>
      </c>
      <c r="M871" s="315">
        <f t="shared" si="118"/>
        <v>2.6421075101882399</v>
      </c>
      <c r="N871" s="425">
        <f t="shared" si="117"/>
        <v>0.97150293149621592</v>
      </c>
      <c r="O871" s="498">
        <v>1.0228004667444572</v>
      </c>
      <c r="P871" s="427">
        <f t="shared" si="119"/>
        <v>0.28516592276343877</v>
      </c>
      <c r="Q871" s="426"/>
      <c r="R871" s="532">
        <f t="shared" si="123"/>
        <v>1.8698289697170901E-2</v>
      </c>
    </row>
    <row r="872" spans="1:18" s="6" customFormat="1" ht="15.75">
      <c r="A872" s="127">
        <v>127</v>
      </c>
      <c r="B872" s="330" t="s">
        <v>49</v>
      </c>
      <c r="C872" s="8">
        <v>83.5</v>
      </c>
      <c r="D872" s="55"/>
      <c r="E872" s="55"/>
      <c r="F872" s="611">
        <f t="shared" si="122"/>
        <v>83.5</v>
      </c>
      <c r="G872" s="55">
        <v>1</v>
      </c>
      <c r="H872" s="147">
        <v>1</v>
      </c>
      <c r="I872" s="55"/>
      <c r="J872" s="55"/>
      <c r="K872" s="142">
        <f t="shared" si="121"/>
        <v>1</v>
      </c>
      <c r="L872" s="187">
        <f t="shared" si="120"/>
        <v>1.9406171162429653E-4</v>
      </c>
      <c r="M872" s="315">
        <f t="shared" si="118"/>
        <v>0.44035125169804001</v>
      </c>
      <c r="N872" s="425">
        <f t="shared" ref="N872:N879" si="124">M872*0.3677</f>
        <v>0.16191715524936934</v>
      </c>
      <c r="O872" s="498">
        <v>0.17046674445740956</v>
      </c>
      <c r="P872" s="427">
        <f t="shared" si="119"/>
        <v>4.7527653793906464E-2</v>
      </c>
      <c r="Q872" s="426"/>
      <c r="R872" s="532">
        <f t="shared" si="123"/>
        <v>9.8235066490865303E-3</v>
      </c>
    </row>
    <row r="873" spans="1:18" s="6" customFormat="1" ht="15.75">
      <c r="A873" s="127">
        <v>128</v>
      </c>
      <c r="B873" s="330" t="s">
        <v>1372</v>
      </c>
      <c r="C873" s="388">
        <v>1770.4</v>
      </c>
      <c r="D873" s="55"/>
      <c r="E873" s="55"/>
      <c r="F873" s="611">
        <f t="shared" si="122"/>
        <v>1770.4</v>
      </c>
      <c r="G873" s="55"/>
      <c r="H873" s="147">
        <v>60</v>
      </c>
      <c r="I873" s="55"/>
      <c r="J873" s="55"/>
      <c r="K873" s="142">
        <f t="shared" si="121"/>
        <v>60</v>
      </c>
      <c r="L873" s="187">
        <f t="shared" si="120"/>
        <v>1.1643702697457792E-2</v>
      </c>
      <c r="M873" s="315">
        <f t="shared" si="118"/>
        <v>26.421075101882401</v>
      </c>
      <c r="N873" s="425">
        <f t="shared" si="124"/>
        <v>9.7150293149621589</v>
      </c>
      <c r="O873" s="498">
        <v>10.228004667444573</v>
      </c>
      <c r="P873" s="427">
        <f t="shared" si="119"/>
        <v>2.8516592276343879</v>
      </c>
      <c r="Q873" s="426"/>
      <c r="R873" s="532">
        <f t="shared" si="123"/>
        <v>2.7799236506960867E-2</v>
      </c>
    </row>
    <row r="874" spans="1:18" s="6" customFormat="1" ht="15.75">
      <c r="A874" s="127">
        <v>129</v>
      </c>
      <c r="B874" s="330" t="s">
        <v>1373</v>
      </c>
      <c r="C874" s="388">
        <v>4227</v>
      </c>
      <c r="D874" s="55"/>
      <c r="E874" s="55">
        <v>534.20000000000005</v>
      </c>
      <c r="F874" s="611">
        <f t="shared" si="122"/>
        <v>4761.2</v>
      </c>
      <c r="G874" s="55"/>
      <c r="H874" s="147">
        <v>72</v>
      </c>
      <c r="I874" s="55"/>
      <c r="J874" s="55"/>
      <c r="K874" s="142">
        <f t="shared" si="121"/>
        <v>72</v>
      </c>
      <c r="L874" s="187">
        <f t="shared" si="120"/>
        <v>1.397244323694935E-2</v>
      </c>
      <c r="M874" s="315">
        <f t="shared" si="118"/>
        <v>31.70529012225888</v>
      </c>
      <c r="N874" s="425">
        <f t="shared" si="124"/>
        <v>11.658035177954591</v>
      </c>
      <c r="O874" s="498">
        <v>12.27360560093349</v>
      </c>
      <c r="P874" s="427">
        <f>L874*244.91</f>
        <v>3.4219910731612653</v>
      </c>
      <c r="Q874" s="426"/>
      <c r="R874" s="532">
        <f t="shared" si="123"/>
        <v>1.3971829187203274E-2</v>
      </c>
    </row>
    <row r="875" spans="1:18" s="6" customFormat="1" ht="15.75">
      <c r="A875" s="127">
        <v>130</v>
      </c>
      <c r="B875" s="581" t="s">
        <v>1382</v>
      </c>
      <c r="C875" s="550">
        <v>725.2</v>
      </c>
      <c r="D875" s="533"/>
      <c r="E875" s="533"/>
      <c r="F875" s="608">
        <f t="shared" si="122"/>
        <v>725.2</v>
      </c>
      <c r="G875" s="533"/>
      <c r="H875" s="40">
        <v>15</v>
      </c>
      <c r="I875" s="160"/>
      <c r="J875" s="160"/>
      <c r="K875" s="142">
        <f t="shared" si="121"/>
        <v>15</v>
      </c>
      <c r="L875" s="187">
        <f t="shared" si="120"/>
        <v>2.9109256743644479E-3</v>
      </c>
      <c r="M875" s="315">
        <f t="shared" si="118"/>
        <v>6.6052687754706003</v>
      </c>
      <c r="N875" s="425">
        <f t="shared" si="124"/>
        <v>2.4287573287405397</v>
      </c>
      <c r="O875" s="498">
        <v>2.5570011668611432</v>
      </c>
      <c r="P875" s="427">
        <f>L875*244.91</f>
        <v>0.71291480690859699</v>
      </c>
      <c r="Q875" s="426"/>
      <c r="R875" s="532">
        <f t="shared" si="123"/>
        <v>1.6966274238804299E-2</v>
      </c>
    </row>
    <row r="876" spans="1:18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608">
        <f t="shared" si="122"/>
        <v>2911.81</v>
      </c>
      <c r="G876" s="533"/>
      <c r="H876" s="40">
        <v>71</v>
      </c>
      <c r="I876" s="330"/>
      <c r="J876" s="330">
        <v>1</v>
      </c>
      <c r="K876" s="142">
        <f t="shared" si="121"/>
        <v>72</v>
      </c>
      <c r="L876" s="187">
        <f t="shared" si="120"/>
        <v>1.397244323694935E-2</v>
      </c>
      <c r="M876" s="315">
        <f t="shared" si="118"/>
        <v>31.70529012225888</v>
      </c>
      <c r="N876" s="425">
        <f t="shared" si="124"/>
        <v>11.658035177954591</v>
      </c>
      <c r="O876" s="498">
        <v>10.228004667444573</v>
      </c>
      <c r="P876" s="426">
        <f>L876*244.91</f>
        <v>3.4219910731612653</v>
      </c>
      <c r="Q876" s="426"/>
      <c r="R876" s="532">
        <f t="shared" si="123"/>
        <v>1.9859663663154063E-2</v>
      </c>
    </row>
    <row r="877" spans="1:18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608">
        <f t="shared" si="122"/>
        <v>2933</v>
      </c>
      <c r="G877" s="533"/>
      <c r="H877" s="40">
        <v>67</v>
      </c>
      <c r="I877" s="330"/>
      <c r="J877" s="330"/>
      <c r="K877" s="142">
        <f t="shared" si="121"/>
        <v>67</v>
      </c>
      <c r="L877" s="187">
        <f t="shared" si="120"/>
        <v>1.3002134678827867E-2</v>
      </c>
      <c r="M877" s="315">
        <f>L877*2269.13</f>
        <v>29.503533863768681</v>
      </c>
      <c r="N877" s="425">
        <f t="shared" si="124"/>
        <v>10.848449401707745</v>
      </c>
      <c r="O877" s="498">
        <v>12.27360560093349</v>
      </c>
      <c r="P877" s="426">
        <f>L877*244.91</f>
        <v>3.1843528041917328</v>
      </c>
      <c r="Q877" s="426"/>
      <c r="R877" s="532">
        <f t="shared" si="123"/>
        <v>1.9028278783021359E-2</v>
      </c>
    </row>
    <row r="878" spans="1:18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608">
        <f t="shared" si="122"/>
        <v>3120.67</v>
      </c>
      <c r="G878" s="533"/>
      <c r="H878" s="40">
        <v>75</v>
      </c>
      <c r="I878" s="330"/>
      <c r="J878" s="330"/>
      <c r="K878" s="142">
        <f t="shared" si="121"/>
        <v>75</v>
      </c>
      <c r="L878" s="187">
        <f>1/5153*K878</f>
        <v>1.455462837182224E-2</v>
      </c>
      <c r="M878" s="315">
        <f>L878*2269.13</f>
        <v>33.026343877353</v>
      </c>
      <c r="N878" s="425">
        <f t="shared" si="124"/>
        <v>12.143786643702699</v>
      </c>
      <c r="O878" s="498">
        <v>2.5570011668611432</v>
      </c>
      <c r="P878" s="426">
        <f>L878*244.91</f>
        <v>3.5645740345429848</v>
      </c>
      <c r="Q878" s="426"/>
      <c r="R878" s="532">
        <f t="shared" si="123"/>
        <v>1.6436119718669331E-2</v>
      </c>
    </row>
    <row r="879" spans="1:18" s="69" customFormat="1" ht="16.5" thickBot="1">
      <c r="A879" s="190"/>
      <c r="B879" s="163" t="s">
        <v>681</v>
      </c>
      <c r="C879" s="163">
        <f>SUM(C749:C875)</f>
        <v>265493.51999999984</v>
      </c>
      <c r="D879" s="163">
        <f>SUM(D749:D875)</f>
        <v>216.9</v>
      </c>
      <c r="E879" s="163">
        <f>SUM(E749:E875)</f>
        <v>5608.6</v>
      </c>
      <c r="F879" s="612">
        <f t="shared" si="122"/>
        <v>271319.01999999984</v>
      </c>
      <c r="G879" s="163">
        <f>SUM(G749:G874)</f>
        <v>4962</v>
      </c>
      <c r="H879" s="186">
        <f>SUM(H749:H875)</f>
        <v>5109</v>
      </c>
      <c r="I879" s="163">
        <f>SUM(I749:I875)</f>
        <v>5</v>
      </c>
      <c r="J879" s="163">
        <f>SUM(J749:J875)</f>
        <v>39</v>
      </c>
      <c r="K879" s="163">
        <f>SUM(K749:K875)</f>
        <v>5153</v>
      </c>
      <c r="L879" s="187">
        <f>1/5153*K879</f>
        <v>1</v>
      </c>
      <c r="M879" s="315">
        <f>L879*2269.13</f>
        <v>2269.13</v>
      </c>
      <c r="N879" s="589">
        <f t="shared" si="124"/>
        <v>834.35910100000012</v>
      </c>
      <c r="O879" s="498">
        <f>SUM(O748:O875)</f>
        <v>878.72197432905466</v>
      </c>
      <c r="P879" s="185">
        <f>SUM(P749:P875)</f>
        <v>244.91000000000008</v>
      </c>
      <c r="Q879" s="932"/>
      <c r="R879" s="532">
        <f t="shared" si="123"/>
        <v>1.5921748581016432E-2</v>
      </c>
    </row>
    <row r="880" spans="1:18" s="209" customFormat="1" ht="16.5" thickBot="1">
      <c r="A880" s="137" t="s">
        <v>392</v>
      </c>
      <c r="B880" s="436"/>
      <c r="C880" s="436"/>
      <c r="D880" s="436"/>
      <c r="E880" s="436"/>
      <c r="F880" s="608">
        <f t="shared" si="122"/>
        <v>0</v>
      </c>
      <c r="G880" s="436"/>
      <c r="H880" s="436"/>
      <c r="I880" s="436"/>
      <c r="J880" s="436"/>
      <c r="K880" s="386">
        <f t="shared" si="121"/>
        <v>0</v>
      </c>
      <c r="L880" s="565"/>
      <c r="M880" s="315">
        <f>L880*2077.52</f>
        <v>0</v>
      </c>
      <c r="N880" s="596"/>
      <c r="O880" s="498">
        <v>0</v>
      </c>
      <c r="P880" s="566"/>
      <c r="Q880" s="931"/>
      <c r="R880" s="532" t="e">
        <f t="shared" si="123"/>
        <v>#DIV/0!</v>
      </c>
    </row>
    <row r="881" spans="1:18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08">
        <f t="shared" si="122"/>
        <v>4265.91</v>
      </c>
      <c r="G881" s="386">
        <v>84</v>
      </c>
      <c r="H881" s="330">
        <v>84</v>
      </c>
      <c r="I881" s="386"/>
      <c r="J881" s="386"/>
      <c r="K881" s="386">
        <f t="shared" si="121"/>
        <v>84</v>
      </c>
      <c r="L881" s="187">
        <f t="shared" ref="L881:L944" si="125">1.5/6375*K881</f>
        <v>1.9764705882352941E-2</v>
      </c>
      <c r="M881" s="315">
        <f t="shared" ref="M881:M944" si="126">L881*2269.13</f>
        <v>44.848687058823529</v>
      </c>
      <c r="N881" s="590">
        <f>M881*0.3677</f>
        <v>16.490862231529412</v>
      </c>
      <c r="O881" s="498">
        <v>17.246102435977512</v>
      </c>
      <c r="P881" s="426">
        <f t="shared" ref="P881:P944" si="127">L881*244.91</f>
        <v>4.8405741176470585</v>
      </c>
      <c r="Q881" s="426">
        <f>O881*1.219</f>
        <v>21.02299886945659</v>
      </c>
      <c r="R881" s="532">
        <f t="shared" si="123"/>
        <v>1.9556489903438543E-2</v>
      </c>
    </row>
    <row r="882" spans="1:18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08">
        <f t="shared" si="122"/>
        <v>9865.73</v>
      </c>
      <c r="G882" s="330">
        <v>180</v>
      </c>
      <c r="H882" s="330">
        <v>180</v>
      </c>
      <c r="I882" s="330"/>
      <c r="J882" s="330"/>
      <c r="K882" s="386">
        <f t="shared" si="121"/>
        <v>180</v>
      </c>
      <c r="L882" s="187">
        <f t="shared" si="125"/>
        <v>4.2352941176470586E-2</v>
      </c>
      <c r="M882" s="315">
        <f t="shared" si="126"/>
        <v>96.104329411764709</v>
      </c>
      <c r="N882" s="425">
        <f t="shared" ref="N882:N944" si="128">M882*0.3677</f>
        <v>35.337561924705888</v>
      </c>
      <c r="O882" s="498">
        <v>36.955933791380389</v>
      </c>
      <c r="P882" s="427">
        <f t="shared" si="127"/>
        <v>10.372658823529411</v>
      </c>
      <c r="Q882" s="426">
        <f t="shared" ref="Q882:Q945" si="129">O882*1.219</f>
        <v>45.049283291692696</v>
      </c>
      <c r="R882" s="532">
        <f t="shared" si="123"/>
        <v>1.8120350339141694E-2</v>
      </c>
    </row>
    <row r="883" spans="1:18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08">
        <f t="shared" si="122"/>
        <v>4252.49</v>
      </c>
      <c r="G883" s="330">
        <v>85</v>
      </c>
      <c r="H883" s="330">
        <v>85</v>
      </c>
      <c r="I883" s="330"/>
      <c r="J883" s="330"/>
      <c r="K883" s="386">
        <f t="shared" si="121"/>
        <v>85</v>
      </c>
      <c r="L883" s="187">
        <f t="shared" si="125"/>
        <v>0.02</v>
      </c>
      <c r="M883" s="315">
        <f t="shared" si="126"/>
        <v>45.382600000000004</v>
      </c>
      <c r="N883" s="425">
        <f t="shared" si="128"/>
        <v>16.687182020000002</v>
      </c>
      <c r="O883" s="498">
        <v>17.451413179262961</v>
      </c>
      <c r="P883" s="427">
        <f t="shared" si="127"/>
        <v>4.8982000000000001</v>
      </c>
      <c r="Q883" s="426">
        <f t="shared" si="129"/>
        <v>21.273272665521549</v>
      </c>
      <c r="R883" s="532">
        <f t="shared" si="123"/>
        <v>1.9851756312010839E-2</v>
      </c>
    </row>
    <row r="884" spans="1:18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08">
        <f t="shared" si="122"/>
        <v>5951.3</v>
      </c>
      <c r="G884" s="330">
        <v>108</v>
      </c>
      <c r="H884" s="330">
        <v>108</v>
      </c>
      <c r="I884" s="330"/>
      <c r="J884" s="330">
        <v>1</v>
      </c>
      <c r="K884" s="386">
        <f t="shared" si="121"/>
        <v>109</v>
      </c>
      <c r="L884" s="187">
        <f t="shared" si="125"/>
        <v>2.5647058823529412E-2</v>
      </c>
      <c r="M884" s="315">
        <f t="shared" si="126"/>
        <v>58.196510588235299</v>
      </c>
      <c r="N884" s="425">
        <f t="shared" si="128"/>
        <v>21.39885694329412</v>
      </c>
      <c r="O884" s="498">
        <v>22.378871018113681</v>
      </c>
      <c r="P884" s="427">
        <f t="shared" si="127"/>
        <v>6.2812211764705879</v>
      </c>
      <c r="Q884" s="426">
        <f t="shared" si="129"/>
        <v>27.279843771080579</v>
      </c>
      <c r="R884" s="532">
        <f t="shared" si="123"/>
        <v>1.8212254121921515E-2</v>
      </c>
    </row>
    <row r="885" spans="1:18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08">
        <f t="shared" si="122"/>
        <v>4295.57</v>
      </c>
      <c r="G885" s="330">
        <v>84</v>
      </c>
      <c r="H885" s="330">
        <v>84</v>
      </c>
      <c r="I885" s="330"/>
      <c r="J885" s="330"/>
      <c r="K885" s="386">
        <f t="shared" si="121"/>
        <v>84</v>
      </c>
      <c r="L885" s="187">
        <f t="shared" si="125"/>
        <v>1.9764705882352941E-2</v>
      </c>
      <c r="M885" s="315">
        <f t="shared" si="126"/>
        <v>44.848687058823529</v>
      </c>
      <c r="N885" s="425">
        <f t="shared" si="128"/>
        <v>16.490862231529412</v>
      </c>
      <c r="O885" s="498">
        <v>17.246102435977512</v>
      </c>
      <c r="P885" s="427">
        <f t="shared" si="127"/>
        <v>4.8405741176470585</v>
      </c>
      <c r="Q885" s="426">
        <f t="shared" si="129"/>
        <v>21.02299886945659</v>
      </c>
      <c r="R885" s="532">
        <f t="shared" si="123"/>
        <v>1.9421456487492349E-2</v>
      </c>
    </row>
    <row r="886" spans="1:18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08">
        <f t="shared" si="122"/>
        <v>7972.34</v>
      </c>
      <c r="G886" s="330">
        <v>144</v>
      </c>
      <c r="H886" s="330">
        <v>144</v>
      </c>
      <c r="I886" s="330"/>
      <c r="J886" s="330"/>
      <c r="K886" s="386">
        <f t="shared" si="121"/>
        <v>144</v>
      </c>
      <c r="L886" s="187">
        <f t="shared" si="125"/>
        <v>3.3882352941176475E-2</v>
      </c>
      <c r="M886" s="315">
        <f t="shared" si="126"/>
        <v>76.883463529411785</v>
      </c>
      <c r="N886" s="425">
        <f t="shared" si="128"/>
        <v>28.270049539764717</v>
      </c>
      <c r="O886" s="498">
        <v>29.564747033104311</v>
      </c>
      <c r="P886" s="427">
        <f t="shared" si="127"/>
        <v>8.2981270588235301</v>
      </c>
      <c r="Q886" s="426">
        <f t="shared" si="129"/>
        <v>36.039426633354161</v>
      </c>
      <c r="R886" s="532">
        <f t="shared" si="123"/>
        <v>1.7939072739133595E-2</v>
      </c>
    </row>
    <row r="887" spans="1:18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08">
        <f t="shared" si="122"/>
        <v>3946.89</v>
      </c>
      <c r="G887" s="330">
        <v>72</v>
      </c>
      <c r="H887" s="330">
        <v>72</v>
      </c>
      <c r="I887" s="330"/>
      <c r="J887" s="330">
        <v>1</v>
      </c>
      <c r="K887" s="386">
        <f t="shared" si="121"/>
        <v>73</v>
      </c>
      <c r="L887" s="187">
        <f t="shared" si="125"/>
        <v>1.7176470588235293E-2</v>
      </c>
      <c r="M887" s="315">
        <f t="shared" si="126"/>
        <v>38.975644705882353</v>
      </c>
      <c r="N887" s="425">
        <f t="shared" si="128"/>
        <v>14.331344558352942</v>
      </c>
      <c r="O887" s="498">
        <v>14.9876842598376</v>
      </c>
      <c r="P887" s="427">
        <f t="shared" si="127"/>
        <v>4.2066894117647058</v>
      </c>
      <c r="Q887" s="426">
        <f t="shared" si="129"/>
        <v>18.269987112742037</v>
      </c>
      <c r="R887" s="532">
        <f t="shared" si="123"/>
        <v>1.8402809087983467E-2</v>
      </c>
    </row>
    <row r="888" spans="1:18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08">
        <f t="shared" si="122"/>
        <v>8036.22</v>
      </c>
      <c r="G888" s="330">
        <v>144</v>
      </c>
      <c r="H888" s="330">
        <v>144</v>
      </c>
      <c r="I888" s="330"/>
      <c r="J888" s="330"/>
      <c r="K888" s="386">
        <f t="shared" si="121"/>
        <v>144</v>
      </c>
      <c r="L888" s="187">
        <f t="shared" si="125"/>
        <v>3.3882352941176475E-2</v>
      </c>
      <c r="M888" s="315">
        <f t="shared" si="126"/>
        <v>76.883463529411785</v>
      </c>
      <c r="N888" s="425">
        <f t="shared" si="128"/>
        <v>28.270049539764717</v>
      </c>
      <c r="O888" s="498">
        <v>29.564747033104311</v>
      </c>
      <c r="P888" s="427">
        <f t="shared" si="127"/>
        <v>8.2981270588235301</v>
      </c>
      <c r="Q888" s="426">
        <f t="shared" si="129"/>
        <v>36.039426633354161</v>
      </c>
      <c r="R888" s="532">
        <f t="shared" si="123"/>
        <v>1.7796474855230979E-2</v>
      </c>
    </row>
    <row r="889" spans="1:18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08">
        <f t="shared" si="122"/>
        <v>3993.05</v>
      </c>
      <c r="G889" s="330">
        <v>72</v>
      </c>
      <c r="H889" s="330">
        <v>72</v>
      </c>
      <c r="I889" s="330"/>
      <c r="J889" s="330"/>
      <c r="K889" s="386">
        <f t="shared" si="121"/>
        <v>72</v>
      </c>
      <c r="L889" s="187">
        <f t="shared" si="125"/>
        <v>1.6941176470588237E-2</v>
      </c>
      <c r="M889" s="315">
        <f t="shared" si="126"/>
        <v>38.441731764705892</v>
      </c>
      <c r="N889" s="425">
        <f t="shared" si="128"/>
        <v>14.135024769882358</v>
      </c>
      <c r="O889" s="498">
        <v>14.782373516552155</v>
      </c>
      <c r="P889" s="427">
        <f t="shared" si="127"/>
        <v>4.149063529411765</v>
      </c>
      <c r="Q889" s="426">
        <f t="shared" si="129"/>
        <v>18.01971331667708</v>
      </c>
      <c r="R889" s="532">
        <f t="shared" si="123"/>
        <v>1.7908163829792302E-2</v>
      </c>
    </row>
    <row r="890" spans="1:18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08">
        <f t="shared" si="122"/>
        <v>8196.09</v>
      </c>
      <c r="G890" s="330">
        <v>146</v>
      </c>
      <c r="H890" s="330">
        <v>146</v>
      </c>
      <c r="I890" s="330"/>
      <c r="J890" s="330"/>
      <c r="K890" s="386">
        <f t="shared" si="121"/>
        <v>146</v>
      </c>
      <c r="L890" s="187">
        <f t="shared" si="125"/>
        <v>3.4352941176470586E-2</v>
      </c>
      <c r="M890" s="315">
        <f t="shared" si="126"/>
        <v>77.951289411764705</v>
      </c>
      <c r="N890" s="425">
        <f t="shared" si="128"/>
        <v>28.662689116705884</v>
      </c>
      <c r="O890" s="498">
        <v>29.9753685196752</v>
      </c>
      <c r="P890" s="427">
        <f t="shared" si="127"/>
        <v>8.4133788235294116</v>
      </c>
      <c r="Q890" s="426">
        <f t="shared" si="129"/>
        <v>36.539974225484073</v>
      </c>
      <c r="R890" s="532">
        <f t="shared" si="123"/>
        <v>1.7691695170706418E-2</v>
      </c>
    </row>
    <row r="891" spans="1:18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08">
        <f t="shared" si="122"/>
        <v>3935.64</v>
      </c>
      <c r="G891" s="330">
        <v>72</v>
      </c>
      <c r="H891" s="330">
        <v>72</v>
      </c>
      <c r="I891" s="330"/>
      <c r="J891" s="330"/>
      <c r="K891" s="386">
        <f t="shared" si="121"/>
        <v>72</v>
      </c>
      <c r="L891" s="187">
        <f t="shared" si="125"/>
        <v>1.6941176470588237E-2</v>
      </c>
      <c r="M891" s="315">
        <f t="shared" si="126"/>
        <v>38.441731764705892</v>
      </c>
      <c r="N891" s="425">
        <f t="shared" si="128"/>
        <v>14.135024769882358</v>
      </c>
      <c r="O891" s="498">
        <v>14.782373516552155</v>
      </c>
      <c r="P891" s="427">
        <f t="shared" si="127"/>
        <v>4.149063529411765</v>
      </c>
      <c r="Q891" s="426">
        <f t="shared" si="129"/>
        <v>18.01971331667708</v>
      </c>
      <c r="R891" s="532">
        <f t="shared" si="123"/>
        <v>1.8169393943692047E-2</v>
      </c>
    </row>
    <row r="892" spans="1:18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08">
        <f t="shared" si="122"/>
        <v>4128.3999999999996</v>
      </c>
      <c r="G892" s="330">
        <v>70</v>
      </c>
      <c r="H892" s="330">
        <v>70</v>
      </c>
      <c r="I892" s="330"/>
      <c r="J892" s="730">
        <v>3</v>
      </c>
      <c r="K892" s="386">
        <f t="shared" si="121"/>
        <v>73</v>
      </c>
      <c r="L892" s="187">
        <f t="shared" si="125"/>
        <v>1.7176470588235293E-2</v>
      </c>
      <c r="M892" s="315">
        <f t="shared" si="126"/>
        <v>38.975644705882353</v>
      </c>
      <c r="N892" s="425">
        <f t="shared" si="128"/>
        <v>14.331344558352942</v>
      </c>
      <c r="O892" s="498">
        <v>14.9876842598376</v>
      </c>
      <c r="P892" s="427">
        <f t="shared" si="127"/>
        <v>4.2066894117647058</v>
      </c>
      <c r="Q892" s="426">
        <f t="shared" si="129"/>
        <v>18.269987112742037</v>
      </c>
      <c r="R892" s="532">
        <f t="shared" si="123"/>
        <v>1.8333425108945936E-2</v>
      </c>
    </row>
    <row r="893" spans="1:18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08">
        <f t="shared" si="122"/>
        <v>18171.13</v>
      </c>
      <c r="G893" s="330">
        <v>327</v>
      </c>
      <c r="H893" s="330">
        <v>327</v>
      </c>
      <c r="I893" s="330">
        <v>3</v>
      </c>
      <c r="J893" s="330"/>
      <c r="K893" s="386">
        <f t="shared" si="121"/>
        <v>330</v>
      </c>
      <c r="L893" s="187">
        <f t="shared" si="125"/>
        <v>7.7647058823529416E-2</v>
      </c>
      <c r="M893" s="315">
        <f t="shared" si="126"/>
        <v>176.19127058823531</v>
      </c>
      <c r="N893" s="425">
        <f t="shared" si="128"/>
        <v>64.785530195294129</v>
      </c>
      <c r="O893" s="498">
        <v>67.752545284197382</v>
      </c>
      <c r="P893" s="427">
        <f t="shared" si="127"/>
        <v>19.016541176470589</v>
      </c>
      <c r="Q893" s="426">
        <f t="shared" si="129"/>
        <v>82.590352701436615</v>
      </c>
      <c r="R893" s="532">
        <f t="shared" si="123"/>
        <v>1.8267850868044395E-2</v>
      </c>
    </row>
    <row r="894" spans="1:18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08">
        <f t="shared" si="122"/>
        <v>3212.3</v>
      </c>
      <c r="G894" s="330">
        <v>55</v>
      </c>
      <c r="H894" s="330">
        <v>55</v>
      </c>
      <c r="I894" s="330"/>
      <c r="J894" s="330"/>
      <c r="K894" s="386">
        <f t="shared" si="121"/>
        <v>55</v>
      </c>
      <c r="L894" s="187">
        <f t="shared" si="125"/>
        <v>1.2941176470588235E-2</v>
      </c>
      <c r="M894" s="315">
        <f t="shared" si="126"/>
        <v>29.365211764705883</v>
      </c>
      <c r="N894" s="425">
        <f t="shared" si="128"/>
        <v>10.797588365882355</v>
      </c>
      <c r="O894" s="498">
        <v>11.292090880699563</v>
      </c>
      <c r="P894" s="427">
        <f t="shared" si="127"/>
        <v>3.1694235294117648</v>
      </c>
      <c r="Q894" s="426">
        <f t="shared" si="129"/>
        <v>13.765058783572769</v>
      </c>
      <c r="R894" s="532">
        <f t="shared" si="123"/>
        <v>1.7004736338666861E-2</v>
      </c>
    </row>
    <row r="895" spans="1:18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08">
        <f t="shared" si="122"/>
        <v>4181.6099999999997</v>
      </c>
      <c r="G895" s="330">
        <v>163</v>
      </c>
      <c r="H895" s="330">
        <v>163</v>
      </c>
      <c r="I895" s="730">
        <v>1</v>
      </c>
      <c r="J895" s="730"/>
      <c r="K895" s="386">
        <f t="shared" si="121"/>
        <v>164</v>
      </c>
      <c r="L895" s="187">
        <f t="shared" si="125"/>
        <v>3.8588235294117645E-2</v>
      </c>
      <c r="M895" s="315">
        <f t="shared" si="126"/>
        <v>87.561722352941175</v>
      </c>
      <c r="N895" s="425">
        <f t="shared" si="128"/>
        <v>32.196445309176475</v>
      </c>
      <c r="O895" s="498">
        <v>33.670961898813239</v>
      </c>
      <c r="P895" s="427">
        <f t="shared" si="127"/>
        <v>9.4506447058823522</v>
      </c>
      <c r="Q895" s="426">
        <f t="shared" si="129"/>
        <v>41.044902554653341</v>
      </c>
      <c r="R895" s="532">
        <f t="shared" si="123"/>
        <v>4.0732061354956405E-2</v>
      </c>
    </row>
    <row r="896" spans="1:18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08">
        <f t="shared" si="122"/>
        <v>6299.01</v>
      </c>
      <c r="G896" s="330">
        <v>101</v>
      </c>
      <c r="H896" s="330">
        <v>101</v>
      </c>
      <c r="I896" s="330"/>
      <c r="J896" s="330"/>
      <c r="K896" s="386">
        <f t="shared" si="121"/>
        <v>101</v>
      </c>
      <c r="L896" s="187">
        <f t="shared" si="125"/>
        <v>2.3764705882352941E-2</v>
      </c>
      <c r="M896" s="315">
        <f t="shared" si="126"/>
        <v>53.925207058823531</v>
      </c>
      <c r="N896" s="425">
        <f t="shared" si="128"/>
        <v>19.828298635529414</v>
      </c>
      <c r="O896" s="498">
        <v>20.736385071830107</v>
      </c>
      <c r="P896" s="427">
        <f t="shared" si="127"/>
        <v>5.8202141176470592</v>
      </c>
      <c r="Q896" s="426">
        <f t="shared" si="129"/>
        <v>25.277653402560901</v>
      </c>
      <c r="R896" s="532">
        <f t="shared" si="123"/>
        <v>1.592474132980105E-2</v>
      </c>
    </row>
    <row r="897" spans="1:18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08">
        <f t="shared" si="122"/>
        <v>147.65</v>
      </c>
      <c r="G897" s="330">
        <v>3</v>
      </c>
      <c r="H897" s="330">
        <v>3</v>
      </c>
      <c r="I897" s="330"/>
      <c r="J897" s="330"/>
      <c r="K897" s="386">
        <f t="shared" si="121"/>
        <v>3</v>
      </c>
      <c r="L897" s="187">
        <f t="shared" si="125"/>
        <v>7.0588235294117652E-4</v>
      </c>
      <c r="M897" s="315">
        <f t="shared" si="126"/>
        <v>1.6017388235294119</v>
      </c>
      <c r="N897" s="425">
        <f t="shared" si="128"/>
        <v>0.58895936541176475</v>
      </c>
      <c r="O897" s="498">
        <v>0.61593222985633977</v>
      </c>
      <c r="P897" s="427">
        <f t="shared" si="127"/>
        <v>0.17287764705882352</v>
      </c>
      <c r="Q897" s="426">
        <f t="shared" si="129"/>
        <v>0.7508213881948782</v>
      </c>
      <c r="R897" s="532">
        <f t="shared" si="123"/>
        <v>2.0179533124661971E-2</v>
      </c>
    </row>
    <row r="898" spans="1:18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08">
        <f t="shared" si="122"/>
        <v>4248.3</v>
      </c>
      <c r="G898" s="330">
        <v>171</v>
      </c>
      <c r="H898" s="330">
        <v>171</v>
      </c>
      <c r="I898" s="330"/>
      <c r="J898" s="330"/>
      <c r="K898" s="386">
        <f t="shared" si="121"/>
        <v>171</v>
      </c>
      <c r="L898" s="187">
        <f t="shared" si="125"/>
        <v>4.0235294117647057E-2</v>
      </c>
      <c r="M898" s="315">
        <f t="shared" si="126"/>
        <v>91.299112941176475</v>
      </c>
      <c r="N898" s="425">
        <f t="shared" si="128"/>
        <v>33.570683828470592</v>
      </c>
      <c r="O898" s="498">
        <v>35.108137101811373</v>
      </c>
      <c r="P898" s="427">
        <f t="shared" si="127"/>
        <v>9.854025882352941</v>
      </c>
      <c r="Q898" s="426">
        <f t="shared" si="129"/>
        <v>42.796819127108066</v>
      </c>
      <c r="R898" s="532">
        <f t="shared" si="123"/>
        <v>3.9976451699223543E-2</v>
      </c>
    </row>
    <row r="899" spans="1:18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08">
        <f t="shared" si="122"/>
        <v>4085.47</v>
      </c>
      <c r="G899" s="330">
        <v>108</v>
      </c>
      <c r="H899" s="330">
        <v>108</v>
      </c>
      <c r="I899" s="330"/>
      <c r="J899" s="330"/>
      <c r="K899" s="386">
        <f t="shared" si="121"/>
        <v>108</v>
      </c>
      <c r="L899" s="187">
        <f t="shared" si="125"/>
        <v>2.5411764705882352E-2</v>
      </c>
      <c r="M899" s="315">
        <f t="shared" si="126"/>
        <v>57.662597647058824</v>
      </c>
      <c r="N899" s="425">
        <f t="shared" si="128"/>
        <v>21.202537154823531</v>
      </c>
      <c r="O899" s="498">
        <v>22.173560274828233</v>
      </c>
      <c r="P899" s="427">
        <f t="shared" si="127"/>
        <v>6.2235952941176471</v>
      </c>
      <c r="Q899" s="426">
        <f t="shared" si="129"/>
        <v>27.029569975015619</v>
      </c>
      <c r="R899" s="532">
        <f t="shared" si="123"/>
        <v>2.6254577899440759E-2</v>
      </c>
    </row>
    <row r="900" spans="1:18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08">
        <f t="shared" si="122"/>
        <v>4100.95</v>
      </c>
      <c r="G900" s="330">
        <v>105</v>
      </c>
      <c r="H900" s="330">
        <v>105</v>
      </c>
      <c r="I900" s="330">
        <v>2</v>
      </c>
      <c r="J900" s="330"/>
      <c r="K900" s="386">
        <f t="shared" si="121"/>
        <v>107</v>
      </c>
      <c r="L900" s="187">
        <f t="shared" si="125"/>
        <v>2.5176470588235293E-2</v>
      </c>
      <c r="M900" s="315">
        <f t="shared" si="126"/>
        <v>57.128684705882357</v>
      </c>
      <c r="N900" s="425">
        <f t="shared" si="128"/>
        <v>21.006217366352946</v>
      </c>
      <c r="O900" s="498">
        <v>21.968249531542789</v>
      </c>
      <c r="P900" s="427">
        <f t="shared" si="127"/>
        <v>6.1659694117647055</v>
      </c>
      <c r="Q900" s="426">
        <f t="shared" si="129"/>
        <v>26.779296178950663</v>
      </c>
      <c r="R900" s="532">
        <f t="shared" si="123"/>
        <v>2.6878737626128461E-2</v>
      </c>
    </row>
    <row r="901" spans="1:18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08">
        <f t="shared" si="122"/>
        <v>7076.23</v>
      </c>
      <c r="G901" s="330">
        <v>120</v>
      </c>
      <c r="H901" s="330">
        <v>120</v>
      </c>
      <c r="I901" s="330"/>
      <c r="J901" s="330"/>
      <c r="K901" s="386">
        <f t="shared" si="121"/>
        <v>120</v>
      </c>
      <c r="L901" s="187">
        <f t="shared" si="125"/>
        <v>2.823529411764706E-2</v>
      </c>
      <c r="M901" s="315">
        <f t="shared" si="126"/>
        <v>64.069552941176482</v>
      </c>
      <c r="N901" s="425">
        <f t="shared" si="128"/>
        <v>23.558374616470594</v>
      </c>
      <c r="O901" s="498">
        <v>24.637289194253594</v>
      </c>
      <c r="P901" s="427">
        <f t="shared" si="127"/>
        <v>6.9151058823529414</v>
      </c>
      <c r="Q901" s="426">
        <f t="shared" si="129"/>
        <v>30.032855527795132</v>
      </c>
      <c r="R901" s="532">
        <f t="shared" si="123"/>
        <v>1.6842347215148972E-2</v>
      </c>
    </row>
    <row r="902" spans="1:18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08">
        <f t="shared" si="122"/>
        <v>4062.74</v>
      </c>
      <c r="G902" s="330">
        <v>108</v>
      </c>
      <c r="H902" s="330">
        <v>108</v>
      </c>
      <c r="I902" s="330"/>
      <c r="J902" s="330"/>
      <c r="K902" s="386">
        <f t="shared" si="121"/>
        <v>108</v>
      </c>
      <c r="L902" s="187">
        <f t="shared" si="125"/>
        <v>2.5411764705882352E-2</v>
      </c>
      <c r="M902" s="315">
        <f t="shared" si="126"/>
        <v>57.662597647058824</v>
      </c>
      <c r="N902" s="425">
        <f t="shared" si="128"/>
        <v>21.202537154823531</v>
      </c>
      <c r="O902" s="498">
        <v>22.173560274828233</v>
      </c>
      <c r="P902" s="427">
        <f t="shared" si="127"/>
        <v>6.2235952941176471</v>
      </c>
      <c r="Q902" s="426">
        <f t="shared" si="129"/>
        <v>27.029569975015619</v>
      </c>
      <c r="R902" s="532">
        <f t="shared" si="123"/>
        <v>2.6401465604697381E-2</v>
      </c>
    </row>
    <row r="903" spans="1:18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08">
        <f t="shared" si="122"/>
        <v>6379.08</v>
      </c>
      <c r="G903" s="330">
        <v>108</v>
      </c>
      <c r="H903" s="330">
        <v>108</v>
      </c>
      <c r="I903" s="330"/>
      <c r="J903" s="330"/>
      <c r="K903" s="386">
        <f t="shared" ref="K903:K963" si="130">H903+I903+J903</f>
        <v>108</v>
      </c>
      <c r="L903" s="187">
        <f t="shared" si="125"/>
        <v>2.5411764705882352E-2</v>
      </c>
      <c r="M903" s="315">
        <f t="shared" si="126"/>
        <v>57.662597647058824</v>
      </c>
      <c r="N903" s="425">
        <f t="shared" si="128"/>
        <v>21.202537154823531</v>
      </c>
      <c r="O903" s="498">
        <v>22.173560274828233</v>
      </c>
      <c r="P903" s="427">
        <f t="shared" si="127"/>
        <v>6.2235952941176471</v>
      </c>
      <c r="Q903" s="426">
        <f t="shared" si="129"/>
        <v>27.029569975015619</v>
      </c>
      <c r="R903" s="532">
        <f t="shared" si="123"/>
        <v>1.6814695907690174E-2</v>
      </c>
    </row>
    <row r="904" spans="1:18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08">
        <f t="shared" ref="F904:F963" si="131">C904+D904+E904</f>
        <v>6509.3399999999992</v>
      </c>
      <c r="G904" s="330">
        <v>107</v>
      </c>
      <c r="H904" s="330">
        <v>107</v>
      </c>
      <c r="I904" s="330"/>
      <c r="J904" s="330">
        <v>1</v>
      </c>
      <c r="K904" s="386">
        <f t="shared" si="130"/>
        <v>108</v>
      </c>
      <c r="L904" s="187">
        <f t="shared" si="125"/>
        <v>2.5411764705882352E-2</v>
      </c>
      <c r="M904" s="315">
        <f t="shared" si="126"/>
        <v>57.662597647058824</v>
      </c>
      <c r="N904" s="425">
        <f t="shared" si="128"/>
        <v>21.202537154823531</v>
      </c>
      <c r="O904" s="498">
        <v>22.173560274828233</v>
      </c>
      <c r="P904" s="427">
        <f t="shared" si="127"/>
        <v>6.2235952941176471</v>
      </c>
      <c r="Q904" s="426">
        <f t="shared" si="129"/>
        <v>27.029569975015619</v>
      </c>
      <c r="R904" s="532">
        <f t="shared" si="123"/>
        <v>1.6527470264875829E-2</v>
      </c>
    </row>
    <row r="905" spans="1:18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08">
        <f t="shared" si="131"/>
        <v>4249.6000000000004</v>
      </c>
      <c r="G905" s="330">
        <v>171</v>
      </c>
      <c r="H905" s="330">
        <v>171</v>
      </c>
      <c r="I905" s="330"/>
      <c r="J905" s="330"/>
      <c r="K905" s="386">
        <f t="shared" si="130"/>
        <v>171</v>
      </c>
      <c r="L905" s="187">
        <f t="shared" si="125"/>
        <v>4.0235294117647057E-2</v>
      </c>
      <c r="M905" s="315">
        <f t="shared" si="126"/>
        <v>91.299112941176475</v>
      </c>
      <c r="N905" s="425">
        <f t="shared" si="128"/>
        <v>33.570683828470592</v>
      </c>
      <c r="O905" s="498">
        <v>35.108137101811373</v>
      </c>
      <c r="P905" s="427">
        <f t="shared" si="127"/>
        <v>9.854025882352941</v>
      </c>
      <c r="Q905" s="426">
        <f t="shared" si="129"/>
        <v>42.796819127108066</v>
      </c>
      <c r="R905" s="532">
        <f t="shared" si="123"/>
        <v>3.9964222457128051E-2</v>
      </c>
    </row>
    <row r="906" spans="1:18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08">
        <f t="shared" si="131"/>
        <v>2807.52</v>
      </c>
      <c r="G906" s="330">
        <v>90</v>
      </c>
      <c r="H906" s="330">
        <v>90</v>
      </c>
      <c r="I906" s="330"/>
      <c r="J906" s="330"/>
      <c r="K906" s="386">
        <f t="shared" si="130"/>
        <v>90</v>
      </c>
      <c r="L906" s="187">
        <f t="shared" si="125"/>
        <v>2.1176470588235293E-2</v>
      </c>
      <c r="M906" s="315">
        <f t="shared" si="126"/>
        <v>48.052164705882355</v>
      </c>
      <c r="N906" s="425">
        <f t="shared" si="128"/>
        <v>17.668780962352944</v>
      </c>
      <c r="O906" s="498">
        <v>18.477966895690194</v>
      </c>
      <c r="P906" s="427">
        <f t="shared" si="127"/>
        <v>5.1863294117647056</v>
      </c>
      <c r="Q906" s="426">
        <f t="shared" si="129"/>
        <v>22.524641645846348</v>
      </c>
      <c r="R906" s="532">
        <f t="shared" ref="R906:R969" si="132">(M906+N906+O906+P906)/C906</f>
        <v>3.1837793488805138E-2</v>
      </c>
    </row>
    <row r="907" spans="1:18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08">
        <f t="shared" si="131"/>
        <v>4226.7</v>
      </c>
      <c r="G907" s="330">
        <v>69</v>
      </c>
      <c r="H907" s="330">
        <v>69</v>
      </c>
      <c r="I907" s="330"/>
      <c r="J907" s="330"/>
      <c r="K907" s="386">
        <f t="shared" si="130"/>
        <v>69</v>
      </c>
      <c r="L907" s="187">
        <f t="shared" si="125"/>
        <v>1.623529411764706E-2</v>
      </c>
      <c r="M907" s="315">
        <f t="shared" si="126"/>
        <v>36.839992941176476</v>
      </c>
      <c r="N907" s="425">
        <f t="shared" si="128"/>
        <v>13.546065404470591</v>
      </c>
      <c r="O907" s="498">
        <v>14.166441286695814</v>
      </c>
      <c r="P907" s="427">
        <f t="shared" si="127"/>
        <v>3.9761858823529415</v>
      </c>
      <c r="Q907" s="426">
        <f t="shared" si="129"/>
        <v>17.268891928482198</v>
      </c>
      <c r="R907" s="532">
        <f t="shared" si="132"/>
        <v>1.6213283534363885E-2</v>
      </c>
    </row>
    <row r="908" spans="1:18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08">
        <f t="shared" si="131"/>
        <v>4709.3599999999997</v>
      </c>
      <c r="G908" s="330">
        <v>159</v>
      </c>
      <c r="H908" s="330">
        <v>159</v>
      </c>
      <c r="I908" s="330"/>
      <c r="J908" s="330"/>
      <c r="K908" s="386">
        <f t="shared" si="130"/>
        <v>159</v>
      </c>
      <c r="L908" s="187">
        <f t="shared" si="125"/>
        <v>3.7411764705882353E-2</v>
      </c>
      <c r="M908" s="315">
        <f t="shared" si="126"/>
        <v>84.892157647058823</v>
      </c>
      <c r="N908" s="425">
        <f t="shared" si="128"/>
        <v>31.214846366823533</v>
      </c>
      <c r="O908" s="498">
        <v>32.644408182386009</v>
      </c>
      <c r="P908" s="427">
        <f t="shared" si="127"/>
        <v>9.1625152941176466</v>
      </c>
      <c r="Q908" s="426">
        <f t="shared" si="129"/>
        <v>39.793533574328549</v>
      </c>
      <c r="R908" s="532">
        <f t="shared" si="132"/>
        <v>3.3531929495809625E-2</v>
      </c>
    </row>
    <row r="909" spans="1:18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608">
        <f t="shared" si="131"/>
        <v>5750.25</v>
      </c>
      <c r="G909" s="330">
        <v>197</v>
      </c>
      <c r="H909" s="330">
        <v>197</v>
      </c>
      <c r="I909" s="330"/>
      <c r="J909" s="330">
        <v>1</v>
      </c>
      <c r="K909" s="386">
        <f t="shared" si="130"/>
        <v>198</v>
      </c>
      <c r="L909" s="187">
        <f t="shared" si="125"/>
        <v>4.6588235294117646E-2</v>
      </c>
      <c r="M909" s="315">
        <f t="shared" si="126"/>
        <v>105.71476235294118</v>
      </c>
      <c r="N909" s="425">
        <f t="shared" si="128"/>
        <v>38.871318117176472</v>
      </c>
      <c r="O909" s="498">
        <v>40.651527170518428</v>
      </c>
      <c r="P909" s="427">
        <f t="shared" si="127"/>
        <v>11.409924705882352</v>
      </c>
      <c r="Q909" s="426">
        <f t="shared" si="129"/>
        <v>49.554211620861963</v>
      </c>
      <c r="R909" s="532">
        <f t="shared" si="132"/>
        <v>3.4381644071040281E-2</v>
      </c>
    </row>
    <row r="910" spans="1:18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08">
        <f t="shared" si="131"/>
        <v>3555.12</v>
      </c>
      <c r="G910" s="330">
        <v>72</v>
      </c>
      <c r="H910" s="330">
        <v>72</v>
      </c>
      <c r="I910" s="330"/>
      <c r="J910" s="330"/>
      <c r="K910" s="386">
        <f t="shared" si="130"/>
        <v>72</v>
      </c>
      <c r="L910" s="187">
        <f t="shared" si="125"/>
        <v>1.6941176470588237E-2</v>
      </c>
      <c r="M910" s="315">
        <f t="shared" si="126"/>
        <v>38.441731764705892</v>
      </c>
      <c r="N910" s="425">
        <f t="shared" si="128"/>
        <v>14.135024769882358</v>
      </c>
      <c r="O910" s="498">
        <v>14.782373516552155</v>
      </c>
      <c r="P910" s="427">
        <f t="shared" si="127"/>
        <v>4.149063529411765</v>
      </c>
      <c r="Q910" s="426">
        <f t="shared" si="129"/>
        <v>18.01971331667708</v>
      </c>
      <c r="R910" s="532">
        <f t="shared" si="132"/>
        <v>2.0114143427100117E-2</v>
      </c>
    </row>
    <row r="911" spans="1:18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08">
        <f t="shared" si="131"/>
        <v>342.6</v>
      </c>
      <c r="G911" s="330">
        <v>8</v>
      </c>
      <c r="H911" s="330">
        <v>8</v>
      </c>
      <c r="I911" s="330"/>
      <c r="J911" s="330"/>
      <c r="K911" s="386">
        <f t="shared" si="130"/>
        <v>8</v>
      </c>
      <c r="L911" s="187">
        <f t="shared" si="125"/>
        <v>1.8823529411764706E-3</v>
      </c>
      <c r="M911" s="315">
        <f t="shared" si="126"/>
        <v>4.2713035294117647</v>
      </c>
      <c r="N911" s="425">
        <f t="shared" si="128"/>
        <v>1.5705583077647061</v>
      </c>
      <c r="O911" s="498">
        <v>1.6424859462835728</v>
      </c>
      <c r="P911" s="427">
        <f t="shared" si="127"/>
        <v>0.46100705882352944</v>
      </c>
      <c r="Q911" s="426">
        <f t="shared" si="129"/>
        <v>2.0021903685196754</v>
      </c>
      <c r="R911" s="532">
        <f t="shared" si="132"/>
        <v>2.319134513217622E-2</v>
      </c>
    </row>
    <row r="912" spans="1:18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08">
        <f t="shared" si="131"/>
        <v>361.6</v>
      </c>
      <c r="G912" s="330">
        <v>8</v>
      </c>
      <c r="H912" s="330">
        <v>8</v>
      </c>
      <c r="I912" s="330"/>
      <c r="J912" s="330"/>
      <c r="K912" s="386">
        <f t="shared" si="130"/>
        <v>8</v>
      </c>
      <c r="L912" s="187">
        <f t="shared" si="125"/>
        <v>1.8823529411764706E-3</v>
      </c>
      <c r="M912" s="315">
        <f t="shared" si="126"/>
        <v>4.2713035294117647</v>
      </c>
      <c r="N912" s="425">
        <f t="shared" si="128"/>
        <v>1.5705583077647061</v>
      </c>
      <c r="O912" s="498">
        <v>1.6424859462835728</v>
      </c>
      <c r="P912" s="427">
        <f t="shared" si="127"/>
        <v>0.46100705882352944</v>
      </c>
      <c r="Q912" s="426">
        <f t="shared" si="129"/>
        <v>2.0021903685196754</v>
      </c>
      <c r="R912" s="532">
        <f t="shared" si="132"/>
        <v>2.1972773347023154E-2</v>
      </c>
    </row>
    <row r="913" spans="1:18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08">
        <f t="shared" si="131"/>
        <v>7926.65</v>
      </c>
      <c r="G913" s="330">
        <v>264</v>
      </c>
      <c r="H913" s="330">
        <v>264</v>
      </c>
      <c r="I913" s="330"/>
      <c r="J913" s="330">
        <v>3</v>
      </c>
      <c r="K913" s="386">
        <f t="shared" si="130"/>
        <v>267</v>
      </c>
      <c r="L913" s="187">
        <f t="shared" si="125"/>
        <v>6.2823529411764709E-2</v>
      </c>
      <c r="M913" s="315">
        <f t="shared" si="126"/>
        <v>142.55475529411765</v>
      </c>
      <c r="N913" s="425">
        <f t="shared" si="128"/>
        <v>52.417383521647068</v>
      </c>
      <c r="O913" s="498">
        <v>54.817968457214242</v>
      </c>
      <c r="P913" s="427">
        <f t="shared" si="127"/>
        <v>15.386110588235294</v>
      </c>
      <c r="Q913" s="426">
        <f t="shared" si="129"/>
        <v>66.823103549344168</v>
      </c>
      <c r="R913" s="532">
        <f t="shared" si="132"/>
        <v>3.4328129436061262E-2</v>
      </c>
    </row>
    <row r="914" spans="1:18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08">
        <f t="shared" si="131"/>
        <v>4021.5</v>
      </c>
      <c r="G914" s="330">
        <v>108</v>
      </c>
      <c r="H914" s="330">
        <v>108</v>
      </c>
      <c r="I914" s="330"/>
      <c r="J914" s="330"/>
      <c r="K914" s="386">
        <f t="shared" si="130"/>
        <v>108</v>
      </c>
      <c r="L914" s="187">
        <f t="shared" si="125"/>
        <v>2.5411764705882352E-2</v>
      </c>
      <c r="M914" s="315">
        <f t="shared" si="126"/>
        <v>57.662597647058824</v>
      </c>
      <c r="N914" s="425">
        <f t="shared" si="128"/>
        <v>21.202537154823531</v>
      </c>
      <c r="O914" s="498">
        <v>22.173560274828233</v>
      </c>
      <c r="P914" s="427">
        <f t="shared" si="127"/>
        <v>6.2235952941176471</v>
      </c>
      <c r="Q914" s="426">
        <f t="shared" si="129"/>
        <v>27.029569975015619</v>
      </c>
      <c r="R914" s="532">
        <f t="shared" si="132"/>
        <v>2.6672209466822888E-2</v>
      </c>
    </row>
    <row r="915" spans="1:18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08">
        <f t="shared" si="131"/>
        <v>4138.7700000000004</v>
      </c>
      <c r="G915" s="330">
        <v>108</v>
      </c>
      <c r="H915" s="330">
        <v>108</v>
      </c>
      <c r="I915" s="330"/>
      <c r="J915" s="330"/>
      <c r="K915" s="386">
        <f t="shared" si="130"/>
        <v>108</v>
      </c>
      <c r="L915" s="187">
        <f t="shared" si="125"/>
        <v>2.5411764705882352E-2</v>
      </c>
      <c r="M915" s="315">
        <f t="shared" si="126"/>
        <v>57.662597647058824</v>
      </c>
      <c r="N915" s="425">
        <f t="shared" si="128"/>
        <v>21.202537154823531</v>
      </c>
      <c r="O915" s="498">
        <v>22.173560274828233</v>
      </c>
      <c r="P915" s="427">
        <f t="shared" si="127"/>
        <v>6.2235952941176471</v>
      </c>
      <c r="Q915" s="426">
        <f t="shared" si="129"/>
        <v>27.029569975015619</v>
      </c>
      <c r="R915" s="532">
        <f t="shared" si="132"/>
        <v>2.5916465609547818E-2</v>
      </c>
    </row>
    <row r="916" spans="1:18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08">
        <f t="shared" si="131"/>
        <v>361.5</v>
      </c>
      <c r="G916" s="330">
        <v>8</v>
      </c>
      <c r="H916" s="330">
        <v>8</v>
      </c>
      <c r="I916" s="330"/>
      <c r="J916" s="330"/>
      <c r="K916" s="386">
        <f t="shared" si="130"/>
        <v>8</v>
      </c>
      <c r="L916" s="187">
        <f t="shared" si="125"/>
        <v>1.8823529411764706E-3</v>
      </c>
      <c r="M916" s="315">
        <f t="shared" si="126"/>
        <v>4.2713035294117647</v>
      </c>
      <c r="N916" s="425">
        <f t="shared" si="128"/>
        <v>1.5705583077647061</v>
      </c>
      <c r="O916" s="498">
        <v>1.6424859462835728</v>
      </c>
      <c r="P916" s="427">
        <f t="shared" si="127"/>
        <v>0.46100705882352944</v>
      </c>
      <c r="Q916" s="426">
        <f t="shared" si="129"/>
        <v>2.0021903685196754</v>
      </c>
      <c r="R916" s="532">
        <f t="shared" si="132"/>
        <v>2.1978851569249166E-2</v>
      </c>
    </row>
    <row r="917" spans="1:18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08">
        <f t="shared" si="131"/>
        <v>5864.56</v>
      </c>
      <c r="G917" s="330">
        <v>98</v>
      </c>
      <c r="H917" s="330">
        <v>98</v>
      </c>
      <c r="I917" s="330"/>
      <c r="J917" s="330">
        <v>1</v>
      </c>
      <c r="K917" s="386">
        <f t="shared" si="130"/>
        <v>99</v>
      </c>
      <c r="L917" s="187">
        <f t="shared" si="125"/>
        <v>2.3294117647058823E-2</v>
      </c>
      <c r="M917" s="315">
        <f t="shared" si="126"/>
        <v>52.857381176470589</v>
      </c>
      <c r="N917" s="425">
        <f t="shared" si="128"/>
        <v>19.435659058588236</v>
      </c>
      <c r="O917" s="498">
        <v>20.325763585259214</v>
      </c>
      <c r="P917" s="427">
        <f t="shared" si="127"/>
        <v>5.7049623529411759</v>
      </c>
      <c r="Q917" s="426">
        <f t="shared" si="129"/>
        <v>24.777105810430982</v>
      </c>
      <c r="R917" s="532">
        <f t="shared" si="132"/>
        <v>1.7295114945710198E-2</v>
      </c>
    </row>
    <row r="918" spans="1:18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08">
        <f t="shared" si="131"/>
        <v>135.35</v>
      </c>
      <c r="G918" s="330">
        <v>5</v>
      </c>
      <c r="H918" s="330">
        <v>5</v>
      </c>
      <c r="I918" s="330"/>
      <c r="J918" s="330"/>
      <c r="K918" s="386">
        <f t="shared" si="130"/>
        <v>5</v>
      </c>
      <c r="L918" s="187">
        <f t="shared" si="125"/>
        <v>1.1764705882352942E-3</v>
      </c>
      <c r="M918" s="315">
        <f t="shared" si="126"/>
        <v>2.6695647058823533</v>
      </c>
      <c r="N918" s="425">
        <f t="shared" si="128"/>
        <v>0.98159894235294143</v>
      </c>
      <c r="O918" s="498">
        <v>1.0265537164272329</v>
      </c>
      <c r="P918" s="427">
        <f t="shared" si="127"/>
        <v>0.28812941176470591</v>
      </c>
      <c r="Q918" s="426">
        <f t="shared" si="129"/>
        <v>1.2513689803247969</v>
      </c>
      <c r="R918" s="532">
        <f t="shared" si="132"/>
        <v>3.6688930745675898E-2</v>
      </c>
    </row>
    <row r="919" spans="1:18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08">
        <f t="shared" si="131"/>
        <v>37.4</v>
      </c>
      <c r="G919" s="330">
        <v>1</v>
      </c>
      <c r="H919" s="330">
        <v>1</v>
      </c>
      <c r="I919" s="330"/>
      <c r="J919" s="330"/>
      <c r="K919" s="386">
        <f t="shared" si="130"/>
        <v>1</v>
      </c>
      <c r="L919" s="187">
        <f t="shared" si="125"/>
        <v>2.3529411764705883E-4</v>
      </c>
      <c r="M919" s="315">
        <f t="shared" si="126"/>
        <v>0.53391294117647059</v>
      </c>
      <c r="N919" s="425">
        <f t="shared" si="128"/>
        <v>0.19631978847058826</v>
      </c>
      <c r="O919" s="498">
        <v>0.2053107432854466</v>
      </c>
      <c r="P919" s="427">
        <f t="shared" si="127"/>
        <v>5.762588235294118E-2</v>
      </c>
      <c r="Q919" s="426">
        <f t="shared" si="129"/>
        <v>0.25027379606495942</v>
      </c>
      <c r="R919" s="532">
        <f t="shared" si="132"/>
        <v>2.6555330355225847E-2</v>
      </c>
    </row>
    <row r="920" spans="1:18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08">
        <f t="shared" si="131"/>
        <v>236.9</v>
      </c>
      <c r="G920" s="330">
        <v>5</v>
      </c>
      <c r="H920" s="330">
        <v>5</v>
      </c>
      <c r="I920" s="330"/>
      <c r="J920" s="330">
        <v>1</v>
      </c>
      <c r="K920" s="386">
        <f t="shared" si="130"/>
        <v>6</v>
      </c>
      <c r="L920" s="187">
        <f t="shared" si="125"/>
        <v>1.411764705882353E-3</v>
      </c>
      <c r="M920" s="315">
        <f t="shared" si="126"/>
        <v>3.2034776470588238</v>
      </c>
      <c r="N920" s="425">
        <f t="shared" si="128"/>
        <v>1.1779187308235295</v>
      </c>
      <c r="O920" s="498">
        <v>1.2318644597126795</v>
      </c>
      <c r="P920" s="427">
        <f t="shared" si="127"/>
        <v>0.34575529411764705</v>
      </c>
      <c r="Q920" s="426">
        <f t="shared" si="129"/>
        <v>1.5016427763897564</v>
      </c>
      <c r="R920" s="532">
        <f t="shared" si="132"/>
        <v>2.8322320017645817E-2</v>
      </c>
    </row>
    <row r="921" spans="1:18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08">
        <f t="shared" si="131"/>
        <v>362.6</v>
      </c>
      <c r="G921" s="330">
        <v>5</v>
      </c>
      <c r="H921" s="330">
        <v>5</v>
      </c>
      <c r="I921" s="330"/>
      <c r="J921" s="330">
        <v>2</v>
      </c>
      <c r="K921" s="386">
        <f t="shared" si="130"/>
        <v>7</v>
      </c>
      <c r="L921" s="187">
        <f t="shared" si="125"/>
        <v>1.6470588235294118E-3</v>
      </c>
      <c r="M921" s="315">
        <f t="shared" si="126"/>
        <v>3.7373905882352942</v>
      </c>
      <c r="N921" s="425">
        <f t="shared" si="128"/>
        <v>1.3742385192941178</v>
      </c>
      <c r="O921" s="498">
        <v>1.4371752029981262</v>
      </c>
      <c r="P921" s="427">
        <f t="shared" si="127"/>
        <v>0.40338117647058824</v>
      </c>
      <c r="Q921" s="426">
        <f t="shared" si="129"/>
        <v>1.7519165724547159</v>
      </c>
      <c r="R921" s="532">
        <f t="shared" si="132"/>
        <v>2.3392279565942552E-2</v>
      </c>
    </row>
    <row r="922" spans="1:18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08">
        <f t="shared" si="131"/>
        <v>494.9</v>
      </c>
      <c r="G922" s="330">
        <v>13</v>
      </c>
      <c r="H922" s="330">
        <v>13</v>
      </c>
      <c r="I922" s="330"/>
      <c r="J922" s="330"/>
      <c r="K922" s="386">
        <f t="shared" si="130"/>
        <v>13</v>
      </c>
      <c r="L922" s="187">
        <f t="shared" si="125"/>
        <v>3.0588235294117649E-3</v>
      </c>
      <c r="M922" s="315">
        <f t="shared" si="126"/>
        <v>6.9408682352941184</v>
      </c>
      <c r="N922" s="425">
        <f t="shared" si="128"/>
        <v>2.5521572501176477</v>
      </c>
      <c r="O922" s="498">
        <v>2.6690396627108059</v>
      </c>
      <c r="P922" s="427">
        <f t="shared" si="127"/>
        <v>0.74913647058823529</v>
      </c>
      <c r="Q922" s="426">
        <f t="shared" si="129"/>
        <v>3.2535593488444725</v>
      </c>
      <c r="R922" s="532">
        <f t="shared" si="132"/>
        <v>2.608850599860741E-2</v>
      </c>
    </row>
    <row r="923" spans="1:18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08">
        <f t="shared" si="131"/>
        <v>277.2</v>
      </c>
      <c r="G923" s="330">
        <v>7</v>
      </c>
      <c r="H923" s="330">
        <v>7</v>
      </c>
      <c r="I923" s="330"/>
      <c r="J923" s="330"/>
      <c r="K923" s="386">
        <f t="shared" si="130"/>
        <v>7</v>
      </c>
      <c r="L923" s="187">
        <f t="shared" si="125"/>
        <v>1.6470588235294118E-3</v>
      </c>
      <c r="M923" s="315">
        <f t="shared" si="126"/>
        <v>3.7373905882352942</v>
      </c>
      <c r="N923" s="425">
        <f t="shared" si="128"/>
        <v>1.3742385192941178</v>
      </c>
      <c r="O923" s="498">
        <v>1.4371752029981262</v>
      </c>
      <c r="P923" s="427">
        <f t="shared" si="127"/>
        <v>0.40338117647058824</v>
      </c>
      <c r="Q923" s="426">
        <f t="shared" si="129"/>
        <v>1.7519165724547159</v>
      </c>
      <c r="R923" s="532">
        <f t="shared" si="132"/>
        <v>2.5080034224379967E-2</v>
      </c>
    </row>
    <row r="924" spans="1:18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08">
        <f t="shared" si="131"/>
        <v>7127.52</v>
      </c>
      <c r="G924" s="330">
        <v>120</v>
      </c>
      <c r="H924" s="330">
        <v>120</v>
      </c>
      <c r="I924" s="330"/>
      <c r="J924" s="330"/>
      <c r="K924" s="386">
        <f t="shared" si="130"/>
        <v>120</v>
      </c>
      <c r="L924" s="187">
        <f t="shared" si="125"/>
        <v>2.823529411764706E-2</v>
      </c>
      <c r="M924" s="315">
        <f t="shared" si="126"/>
        <v>64.069552941176482</v>
      </c>
      <c r="N924" s="425">
        <f t="shared" si="128"/>
        <v>23.558374616470594</v>
      </c>
      <c r="O924" s="498">
        <v>24.637289194253594</v>
      </c>
      <c r="P924" s="427">
        <f t="shared" si="127"/>
        <v>6.9151058823529414</v>
      </c>
      <c r="Q924" s="426">
        <f t="shared" si="129"/>
        <v>30.032855527795132</v>
      </c>
      <c r="R924" s="532">
        <f t="shared" si="132"/>
        <v>1.6721148819540822E-2</v>
      </c>
    </row>
    <row r="925" spans="1:18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08">
        <f t="shared" si="131"/>
        <v>52.9</v>
      </c>
      <c r="G925" s="330">
        <v>2</v>
      </c>
      <c r="H925" s="330">
        <v>2</v>
      </c>
      <c r="I925" s="330"/>
      <c r="J925" s="330"/>
      <c r="K925" s="386">
        <f t="shared" si="130"/>
        <v>2</v>
      </c>
      <c r="L925" s="187">
        <f t="shared" si="125"/>
        <v>4.7058823529411766E-4</v>
      </c>
      <c r="M925" s="315">
        <f t="shared" si="126"/>
        <v>1.0678258823529412</v>
      </c>
      <c r="N925" s="425">
        <f t="shared" si="128"/>
        <v>0.39263957694117652</v>
      </c>
      <c r="O925" s="498">
        <v>0.4106214865708932</v>
      </c>
      <c r="P925" s="427">
        <f t="shared" si="127"/>
        <v>0.11525176470588236</v>
      </c>
      <c r="Q925" s="426">
        <f t="shared" si="129"/>
        <v>0.50054759212991884</v>
      </c>
      <c r="R925" s="532">
        <f t="shared" si="132"/>
        <v>3.7548935927616135E-2</v>
      </c>
    </row>
    <row r="926" spans="1:18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08">
        <f t="shared" si="131"/>
        <v>119.9</v>
      </c>
      <c r="G926" s="330">
        <v>4</v>
      </c>
      <c r="H926" s="330">
        <v>4</v>
      </c>
      <c r="I926" s="330"/>
      <c r="J926" s="330"/>
      <c r="K926" s="386">
        <f t="shared" si="130"/>
        <v>4</v>
      </c>
      <c r="L926" s="187">
        <f t="shared" si="125"/>
        <v>9.4117647058823532E-4</v>
      </c>
      <c r="M926" s="315">
        <f t="shared" si="126"/>
        <v>2.1356517647058824</v>
      </c>
      <c r="N926" s="425">
        <f t="shared" si="128"/>
        <v>0.78527915388235303</v>
      </c>
      <c r="O926" s="498">
        <v>0.8212429731417864</v>
      </c>
      <c r="P926" s="427">
        <f t="shared" si="127"/>
        <v>0.23050352941176472</v>
      </c>
      <c r="Q926" s="426">
        <f t="shared" si="129"/>
        <v>1.0010951842598377</v>
      </c>
      <c r="R926" s="532">
        <f t="shared" si="132"/>
        <v>3.3133256223034084E-2</v>
      </c>
    </row>
    <row r="927" spans="1:18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08">
        <f t="shared" si="131"/>
        <v>75.3</v>
      </c>
      <c r="G927" s="330">
        <v>1</v>
      </c>
      <c r="H927" s="330">
        <v>1</v>
      </c>
      <c r="I927" s="330"/>
      <c r="J927" s="330"/>
      <c r="K927" s="386">
        <f t="shared" si="130"/>
        <v>1</v>
      </c>
      <c r="L927" s="187">
        <f t="shared" si="125"/>
        <v>2.3529411764705883E-4</v>
      </c>
      <c r="M927" s="315">
        <f t="shared" si="126"/>
        <v>0.53391294117647059</v>
      </c>
      <c r="N927" s="425">
        <f t="shared" si="128"/>
        <v>0.19631978847058826</v>
      </c>
      <c r="O927" s="498">
        <v>0.2053107432854466</v>
      </c>
      <c r="P927" s="427">
        <f t="shared" si="127"/>
        <v>5.762588235294118E-2</v>
      </c>
      <c r="Q927" s="426">
        <f t="shared" si="129"/>
        <v>0.25027379606495942</v>
      </c>
      <c r="R927" s="532">
        <f t="shared" si="132"/>
        <v>1.3189500070191856E-2</v>
      </c>
    </row>
    <row r="928" spans="1:18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08">
        <f t="shared" si="131"/>
        <v>120.8</v>
      </c>
      <c r="G928" s="330">
        <v>3</v>
      </c>
      <c r="H928" s="330">
        <v>3</v>
      </c>
      <c r="I928" s="330"/>
      <c r="J928" s="330"/>
      <c r="K928" s="386">
        <f t="shared" si="130"/>
        <v>3</v>
      </c>
      <c r="L928" s="187">
        <f t="shared" si="125"/>
        <v>7.0588235294117652E-4</v>
      </c>
      <c r="M928" s="315">
        <f t="shared" si="126"/>
        <v>1.6017388235294119</v>
      </c>
      <c r="N928" s="425">
        <f t="shared" si="128"/>
        <v>0.58895936541176475</v>
      </c>
      <c r="O928" s="498">
        <v>0.61593222985633977</v>
      </c>
      <c r="P928" s="427">
        <f t="shared" si="127"/>
        <v>0.17287764705882352</v>
      </c>
      <c r="Q928" s="426">
        <f t="shared" si="129"/>
        <v>0.7508213881948782</v>
      </c>
      <c r="R928" s="532">
        <f t="shared" si="132"/>
        <v>2.4664801869671689E-2</v>
      </c>
    </row>
    <row r="929" spans="1:18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08">
        <f t="shared" si="131"/>
        <v>429.7</v>
      </c>
      <c r="G929" s="330">
        <v>9</v>
      </c>
      <c r="H929" s="330">
        <v>9</v>
      </c>
      <c r="I929" s="330"/>
      <c r="J929" s="330"/>
      <c r="K929" s="386">
        <f t="shared" si="130"/>
        <v>9</v>
      </c>
      <c r="L929" s="187">
        <f t="shared" si="125"/>
        <v>2.1176470588235297E-3</v>
      </c>
      <c r="M929" s="315">
        <f t="shared" si="126"/>
        <v>4.8052164705882365</v>
      </c>
      <c r="N929" s="425">
        <f t="shared" si="128"/>
        <v>1.7668780962352948</v>
      </c>
      <c r="O929" s="498">
        <v>1.8477966895690194</v>
      </c>
      <c r="P929" s="427">
        <f t="shared" si="127"/>
        <v>0.51863294117647063</v>
      </c>
      <c r="Q929" s="426">
        <f t="shared" si="129"/>
        <v>2.2524641645846351</v>
      </c>
      <c r="R929" s="532">
        <f t="shared" si="132"/>
        <v>2.0801778444424063E-2</v>
      </c>
    </row>
    <row r="930" spans="1:18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08">
        <f t="shared" si="131"/>
        <v>249.1</v>
      </c>
      <c r="G930" s="330">
        <v>6</v>
      </c>
      <c r="H930" s="330">
        <v>6</v>
      </c>
      <c r="I930" s="330"/>
      <c r="J930" s="330"/>
      <c r="K930" s="386">
        <f t="shared" si="130"/>
        <v>6</v>
      </c>
      <c r="L930" s="187">
        <f t="shared" si="125"/>
        <v>1.411764705882353E-3</v>
      </c>
      <c r="M930" s="315">
        <f t="shared" si="126"/>
        <v>3.2034776470588238</v>
      </c>
      <c r="N930" s="425">
        <f t="shared" si="128"/>
        <v>1.1779187308235295</v>
      </c>
      <c r="O930" s="498">
        <v>1.2318644597126795</v>
      </c>
      <c r="P930" s="427">
        <f t="shared" si="127"/>
        <v>0.34575529411764705</v>
      </c>
      <c r="Q930" s="426">
        <f t="shared" si="129"/>
        <v>1.5016427763897564</v>
      </c>
      <c r="R930" s="532">
        <f t="shared" si="132"/>
        <v>2.3922184390657086E-2</v>
      </c>
    </row>
    <row r="931" spans="1:18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08">
        <f t="shared" si="131"/>
        <v>103</v>
      </c>
      <c r="G931" s="330">
        <v>1</v>
      </c>
      <c r="H931" s="330">
        <v>1</v>
      </c>
      <c r="I931" s="330"/>
      <c r="J931" s="330">
        <v>1</v>
      </c>
      <c r="K931" s="386">
        <f t="shared" si="130"/>
        <v>2</v>
      </c>
      <c r="L931" s="187">
        <f t="shared" si="125"/>
        <v>4.7058823529411766E-4</v>
      </c>
      <c r="M931" s="315">
        <f t="shared" si="126"/>
        <v>1.0678258823529412</v>
      </c>
      <c r="N931" s="425">
        <f t="shared" si="128"/>
        <v>0.39263957694117652</v>
      </c>
      <c r="O931" s="498">
        <v>0.4106214865708932</v>
      </c>
      <c r="P931" s="427">
        <f t="shared" si="127"/>
        <v>0.11525176470588236</v>
      </c>
      <c r="Q931" s="426">
        <f t="shared" si="129"/>
        <v>0.50054759212991884</v>
      </c>
      <c r="R931" s="532">
        <f t="shared" si="132"/>
        <v>3.9101155719899479E-2</v>
      </c>
    </row>
    <row r="932" spans="1:18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08">
        <f t="shared" si="131"/>
        <v>176.5</v>
      </c>
      <c r="G932" s="330">
        <v>2</v>
      </c>
      <c r="H932" s="330">
        <v>2</v>
      </c>
      <c r="I932" s="330">
        <v>1</v>
      </c>
      <c r="J932" s="330"/>
      <c r="K932" s="386">
        <f t="shared" si="130"/>
        <v>3</v>
      </c>
      <c r="L932" s="187">
        <f t="shared" si="125"/>
        <v>7.0588235294117652E-4</v>
      </c>
      <c r="M932" s="315">
        <f t="shared" si="126"/>
        <v>1.6017388235294119</v>
      </c>
      <c r="N932" s="425">
        <f t="shared" si="128"/>
        <v>0.58895936541176475</v>
      </c>
      <c r="O932" s="498">
        <v>0.61593222985633977</v>
      </c>
      <c r="P932" s="427">
        <f t="shared" si="127"/>
        <v>0.17287764705882352</v>
      </c>
      <c r="Q932" s="426">
        <f t="shared" si="129"/>
        <v>0.7508213881948782</v>
      </c>
      <c r="R932" s="532">
        <f t="shared" si="132"/>
        <v>4.1729804843926327E-2</v>
      </c>
    </row>
    <row r="933" spans="1:18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08">
        <f t="shared" si="131"/>
        <v>109.5</v>
      </c>
      <c r="G933" s="330">
        <v>2</v>
      </c>
      <c r="H933" s="330">
        <v>2</v>
      </c>
      <c r="I933" s="330"/>
      <c r="J933" s="330"/>
      <c r="K933" s="386">
        <f t="shared" si="130"/>
        <v>2</v>
      </c>
      <c r="L933" s="187">
        <f t="shared" si="125"/>
        <v>4.7058823529411766E-4</v>
      </c>
      <c r="M933" s="315">
        <f t="shared" si="126"/>
        <v>1.0678258823529412</v>
      </c>
      <c r="N933" s="425">
        <f t="shared" si="128"/>
        <v>0.39263957694117652</v>
      </c>
      <c r="O933" s="498">
        <v>0.4106214865708932</v>
      </c>
      <c r="P933" s="427">
        <f t="shared" si="127"/>
        <v>0.11525176470588236</v>
      </c>
      <c r="Q933" s="426">
        <f t="shared" si="129"/>
        <v>0.50054759212991884</v>
      </c>
      <c r="R933" s="532">
        <f t="shared" si="132"/>
        <v>1.8140079548592633E-2</v>
      </c>
    </row>
    <row r="934" spans="1:18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08">
        <f t="shared" si="131"/>
        <v>111.4</v>
      </c>
      <c r="G934" s="330">
        <v>3</v>
      </c>
      <c r="H934" s="330">
        <v>3</v>
      </c>
      <c r="I934" s="330"/>
      <c r="J934" s="330"/>
      <c r="K934" s="386">
        <f t="shared" si="130"/>
        <v>3</v>
      </c>
      <c r="L934" s="187">
        <f t="shared" si="125"/>
        <v>7.0588235294117652E-4</v>
      </c>
      <c r="M934" s="315">
        <f t="shared" si="126"/>
        <v>1.6017388235294119</v>
      </c>
      <c r="N934" s="425">
        <f t="shared" si="128"/>
        <v>0.58895936541176475</v>
      </c>
      <c r="O934" s="498">
        <v>0.61593222985633977</v>
      </c>
      <c r="P934" s="427">
        <f t="shared" si="127"/>
        <v>0.17287764705882352</v>
      </c>
      <c r="Q934" s="426">
        <f t="shared" si="129"/>
        <v>0.7508213881948782</v>
      </c>
      <c r="R934" s="532">
        <f t="shared" si="132"/>
        <v>2.6746032907148474E-2</v>
      </c>
    </row>
    <row r="935" spans="1:18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08">
        <f t="shared" si="131"/>
        <v>92.9</v>
      </c>
      <c r="G935" s="330">
        <v>2</v>
      </c>
      <c r="H935" s="330">
        <v>2</v>
      </c>
      <c r="I935" s="330"/>
      <c r="J935" s="330"/>
      <c r="K935" s="386">
        <f t="shared" si="130"/>
        <v>2</v>
      </c>
      <c r="L935" s="187">
        <f t="shared" si="125"/>
        <v>4.7058823529411766E-4</v>
      </c>
      <c r="M935" s="315">
        <f t="shared" si="126"/>
        <v>1.0678258823529412</v>
      </c>
      <c r="N935" s="425">
        <f t="shared" si="128"/>
        <v>0.39263957694117652</v>
      </c>
      <c r="O935" s="498">
        <v>0.4106214865708932</v>
      </c>
      <c r="P935" s="427">
        <f t="shared" si="127"/>
        <v>0.11525176470588236</v>
      </c>
      <c r="Q935" s="426">
        <f t="shared" si="129"/>
        <v>0.50054759212991884</v>
      </c>
      <c r="R935" s="532">
        <f t="shared" si="132"/>
        <v>2.1381471588491855E-2</v>
      </c>
    </row>
    <row r="936" spans="1:18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08">
        <f t="shared" si="131"/>
        <v>101.8</v>
      </c>
      <c r="G936" s="330">
        <v>3</v>
      </c>
      <c r="H936" s="330">
        <v>3</v>
      </c>
      <c r="I936" s="330"/>
      <c r="J936" s="330"/>
      <c r="K936" s="386">
        <f t="shared" si="130"/>
        <v>3</v>
      </c>
      <c r="L936" s="187">
        <f t="shared" si="125"/>
        <v>7.0588235294117652E-4</v>
      </c>
      <c r="M936" s="315">
        <f t="shared" si="126"/>
        <v>1.6017388235294119</v>
      </c>
      <c r="N936" s="425">
        <f t="shared" si="128"/>
        <v>0.58895936541176475</v>
      </c>
      <c r="O936" s="498">
        <v>0.61593222985633977</v>
      </c>
      <c r="P936" s="427">
        <f t="shared" si="127"/>
        <v>0.17287764705882352</v>
      </c>
      <c r="Q936" s="426">
        <f t="shared" si="129"/>
        <v>0.7508213881948782</v>
      </c>
      <c r="R936" s="532">
        <f t="shared" si="132"/>
        <v>2.9268252120396267E-2</v>
      </c>
    </row>
    <row r="937" spans="1:18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08">
        <f t="shared" si="131"/>
        <v>202</v>
      </c>
      <c r="G937" s="330">
        <v>7</v>
      </c>
      <c r="H937" s="330">
        <v>7</v>
      </c>
      <c r="I937" s="330"/>
      <c r="J937" s="330"/>
      <c r="K937" s="386">
        <f t="shared" si="130"/>
        <v>7</v>
      </c>
      <c r="L937" s="187">
        <f t="shared" si="125"/>
        <v>1.6470588235294118E-3</v>
      </c>
      <c r="M937" s="315">
        <f t="shared" si="126"/>
        <v>3.7373905882352942</v>
      </c>
      <c r="N937" s="425">
        <f t="shared" si="128"/>
        <v>1.3742385192941178</v>
      </c>
      <c r="O937" s="498">
        <v>1.4371752029981262</v>
      </c>
      <c r="P937" s="427">
        <f t="shared" si="127"/>
        <v>0.40338117647058824</v>
      </c>
      <c r="Q937" s="426">
        <f t="shared" si="129"/>
        <v>1.7519165724547159</v>
      </c>
      <c r="R937" s="532">
        <f t="shared" si="132"/>
        <v>3.4416759836624386E-2</v>
      </c>
    </row>
    <row r="938" spans="1:18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08">
        <f t="shared" si="131"/>
        <v>214.1</v>
      </c>
      <c r="G938" s="330">
        <v>4</v>
      </c>
      <c r="H938" s="330">
        <v>4</v>
      </c>
      <c r="I938" s="330"/>
      <c r="J938" s="330"/>
      <c r="K938" s="386">
        <f t="shared" si="130"/>
        <v>4</v>
      </c>
      <c r="L938" s="187">
        <f t="shared" si="125"/>
        <v>9.4117647058823532E-4</v>
      </c>
      <c r="M938" s="315">
        <f t="shared" si="126"/>
        <v>2.1356517647058824</v>
      </c>
      <c r="N938" s="425">
        <f t="shared" si="128"/>
        <v>0.78527915388235303</v>
      </c>
      <c r="O938" s="498">
        <v>0.8212429731417864</v>
      </c>
      <c r="P938" s="427">
        <f t="shared" si="127"/>
        <v>0.23050352941176472</v>
      </c>
      <c r="Q938" s="426">
        <f t="shared" si="129"/>
        <v>1.0010951842598377</v>
      </c>
      <c r="R938" s="532">
        <f t="shared" si="132"/>
        <v>1.8555242508835997E-2</v>
      </c>
    </row>
    <row r="939" spans="1:18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08">
        <f t="shared" si="131"/>
        <v>161.19999999999999</v>
      </c>
      <c r="G939" s="330">
        <v>3</v>
      </c>
      <c r="H939" s="330">
        <v>3</v>
      </c>
      <c r="I939" s="330"/>
      <c r="J939" s="330"/>
      <c r="K939" s="386">
        <f t="shared" si="130"/>
        <v>3</v>
      </c>
      <c r="L939" s="187">
        <f t="shared" si="125"/>
        <v>7.0588235294117652E-4</v>
      </c>
      <c r="M939" s="315">
        <f t="shared" si="126"/>
        <v>1.6017388235294119</v>
      </c>
      <c r="N939" s="425">
        <f t="shared" si="128"/>
        <v>0.58895936541176475</v>
      </c>
      <c r="O939" s="498">
        <v>0.61593222985633977</v>
      </c>
      <c r="P939" s="427">
        <f t="shared" si="127"/>
        <v>0.17287764705882352</v>
      </c>
      <c r="Q939" s="426">
        <f t="shared" si="129"/>
        <v>0.7508213881948782</v>
      </c>
      <c r="R939" s="532">
        <f t="shared" si="132"/>
        <v>1.8483300656677047E-2</v>
      </c>
    </row>
    <row r="940" spans="1:18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08">
        <f t="shared" si="131"/>
        <v>134.9</v>
      </c>
      <c r="G940" s="330">
        <v>4</v>
      </c>
      <c r="H940" s="330">
        <v>4</v>
      </c>
      <c r="I940" s="330"/>
      <c r="J940" s="330"/>
      <c r="K940" s="386">
        <f t="shared" si="130"/>
        <v>4</v>
      </c>
      <c r="L940" s="187">
        <f t="shared" si="125"/>
        <v>9.4117647058823532E-4</v>
      </c>
      <c r="M940" s="315">
        <f t="shared" si="126"/>
        <v>2.1356517647058824</v>
      </c>
      <c r="N940" s="425">
        <f t="shared" si="128"/>
        <v>0.78527915388235303</v>
      </c>
      <c r="O940" s="498">
        <v>0.8212429731417864</v>
      </c>
      <c r="P940" s="427">
        <f t="shared" si="127"/>
        <v>0.23050352941176472</v>
      </c>
      <c r="Q940" s="426">
        <f t="shared" si="129"/>
        <v>1.0010951842598377</v>
      </c>
      <c r="R940" s="532">
        <f t="shared" si="132"/>
        <v>2.9449054270880553E-2</v>
      </c>
    </row>
    <row r="941" spans="1:18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08">
        <f t="shared" si="131"/>
        <v>80.599999999999994</v>
      </c>
      <c r="G941" s="330">
        <v>2</v>
      </c>
      <c r="H941" s="330">
        <v>2</v>
      </c>
      <c r="I941" s="330"/>
      <c r="J941" s="330"/>
      <c r="K941" s="386">
        <f t="shared" si="130"/>
        <v>2</v>
      </c>
      <c r="L941" s="187">
        <f t="shared" si="125"/>
        <v>4.7058823529411766E-4</v>
      </c>
      <c r="M941" s="315">
        <f t="shared" si="126"/>
        <v>1.0678258823529412</v>
      </c>
      <c r="N941" s="425">
        <f t="shared" si="128"/>
        <v>0.39263957694117652</v>
      </c>
      <c r="O941" s="498">
        <v>0.4106214865708932</v>
      </c>
      <c r="P941" s="427">
        <f t="shared" si="127"/>
        <v>0.11525176470588236</v>
      </c>
      <c r="Q941" s="426">
        <f t="shared" si="129"/>
        <v>0.50054759212991884</v>
      </c>
      <c r="R941" s="532">
        <f t="shared" si="132"/>
        <v>2.4644400875569399E-2</v>
      </c>
    </row>
    <row r="942" spans="1:18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08">
        <f t="shared" si="131"/>
        <v>249.4</v>
      </c>
      <c r="G942" s="330">
        <v>5</v>
      </c>
      <c r="H942" s="330">
        <v>5</v>
      </c>
      <c r="I942" s="330"/>
      <c r="J942" s="330"/>
      <c r="K942" s="386">
        <f t="shared" si="130"/>
        <v>5</v>
      </c>
      <c r="L942" s="187">
        <f t="shared" si="125"/>
        <v>1.1764705882352942E-3</v>
      </c>
      <c r="M942" s="315">
        <f t="shared" si="126"/>
        <v>2.6695647058823533</v>
      </c>
      <c r="N942" s="425">
        <f t="shared" si="128"/>
        <v>0.98159894235294143</v>
      </c>
      <c r="O942" s="498">
        <v>1.437175202998126</v>
      </c>
      <c r="P942" s="427">
        <f t="shared" si="127"/>
        <v>0.28812941176470591</v>
      </c>
      <c r="Q942" s="426">
        <f t="shared" si="129"/>
        <v>1.7519165724547157</v>
      </c>
      <c r="R942" s="532">
        <f t="shared" si="132"/>
        <v>2.1557611319158485E-2</v>
      </c>
    </row>
    <row r="943" spans="1:18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08">
        <f t="shared" si="131"/>
        <v>110.5</v>
      </c>
      <c r="G943" s="330">
        <v>2</v>
      </c>
      <c r="H943" s="330">
        <v>2</v>
      </c>
      <c r="I943" s="330"/>
      <c r="J943" s="330"/>
      <c r="K943" s="386">
        <f t="shared" si="130"/>
        <v>2</v>
      </c>
      <c r="L943" s="187">
        <f t="shared" si="125"/>
        <v>4.7058823529411766E-4</v>
      </c>
      <c r="M943" s="315">
        <f t="shared" si="126"/>
        <v>1.0678258823529412</v>
      </c>
      <c r="N943" s="425">
        <f t="shared" si="128"/>
        <v>0.39263957694117652</v>
      </c>
      <c r="O943" s="498">
        <v>0.4106214865708932</v>
      </c>
      <c r="P943" s="427">
        <f t="shared" si="127"/>
        <v>0.11525176470588236</v>
      </c>
      <c r="Q943" s="426">
        <f t="shared" si="129"/>
        <v>0.50054759212991884</v>
      </c>
      <c r="R943" s="532">
        <f t="shared" si="132"/>
        <v>1.7975915932768267E-2</v>
      </c>
    </row>
    <row r="944" spans="1:18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08">
        <f t="shared" si="131"/>
        <v>168.5</v>
      </c>
      <c r="G944" s="330">
        <v>4</v>
      </c>
      <c r="H944" s="330">
        <v>4</v>
      </c>
      <c r="I944" s="330"/>
      <c r="J944" s="330"/>
      <c r="K944" s="386">
        <f t="shared" si="130"/>
        <v>4</v>
      </c>
      <c r="L944" s="187">
        <f t="shared" si="125"/>
        <v>9.4117647058823532E-4</v>
      </c>
      <c r="M944" s="315">
        <f t="shared" si="126"/>
        <v>2.1356517647058824</v>
      </c>
      <c r="N944" s="425">
        <f t="shared" si="128"/>
        <v>0.78527915388235303</v>
      </c>
      <c r="O944" s="498">
        <v>0.8212429731417864</v>
      </c>
      <c r="P944" s="427">
        <f t="shared" si="127"/>
        <v>0.23050352941176472</v>
      </c>
      <c r="Q944" s="426">
        <f t="shared" si="129"/>
        <v>1.0010951842598377</v>
      </c>
      <c r="R944" s="532">
        <f t="shared" si="132"/>
        <v>2.3576720600247993E-2</v>
      </c>
    </row>
    <row r="945" spans="1:18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08">
        <f t="shared" si="131"/>
        <v>130</v>
      </c>
      <c r="G945" s="330">
        <v>4</v>
      </c>
      <c r="H945" s="330">
        <v>4</v>
      </c>
      <c r="I945" s="330"/>
      <c r="J945" s="330"/>
      <c r="K945" s="386">
        <f t="shared" si="130"/>
        <v>4</v>
      </c>
      <c r="L945" s="187">
        <f t="shared" ref="L945:L1008" si="133">1.5/6375*K945</f>
        <v>9.4117647058823532E-4</v>
      </c>
      <c r="M945" s="315">
        <f t="shared" ref="M945:M1008" si="134">L945*2269.13</f>
        <v>2.1356517647058824</v>
      </c>
      <c r="N945" s="425">
        <f t="shared" ref="N945:N1003" si="135">M945*0.3677</f>
        <v>0.78527915388235303</v>
      </c>
      <c r="O945" s="498">
        <v>0.8212429731417864</v>
      </c>
      <c r="P945" s="427">
        <f t="shared" ref="P945:P1008" si="136">L945*244.91</f>
        <v>0.23050352941176472</v>
      </c>
      <c r="Q945" s="426">
        <f t="shared" si="129"/>
        <v>1.0010951842598377</v>
      </c>
      <c r="R945" s="532">
        <f t="shared" si="132"/>
        <v>3.0559057085706054E-2</v>
      </c>
    </row>
    <row r="946" spans="1:18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08">
        <f t="shared" si="131"/>
        <v>175.8</v>
      </c>
      <c r="G946" s="330">
        <v>4</v>
      </c>
      <c r="H946" s="330">
        <v>4</v>
      </c>
      <c r="I946" s="330"/>
      <c r="J946" s="330"/>
      <c r="K946" s="386">
        <f t="shared" si="130"/>
        <v>4</v>
      </c>
      <c r="L946" s="187">
        <f t="shared" si="133"/>
        <v>9.4117647058823532E-4</v>
      </c>
      <c r="M946" s="315">
        <f t="shared" si="134"/>
        <v>2.1356517647058824</v>
      </c>
      <c r="N946" s="425">
        <f t="shared" si="135"/>
        <v>0.78527915388235303</v>
      </c>
      <c r="O946" s="498">
        <v>0.8212429731417864</v>
      </c>
      <c r="P946" s="427">
        <f t="shared" si="136"/>
        <v>0.23050352941176472</v>
      </c>
      <c r="Q946" s="426">
        <f t="shared" ref="Q946:Q1009" si="137">O946*1.219</f>
        <v>1.0010951842598377</v>
      </c>
      <c r="R946" s="532">
        <f t="shared" si="132"/>
        <v>2.2597710017871368E-2</v>
      </c>
    </row>
    <row r="947" spans="1:18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08">
        <f t="shared" si="131"/>
        <v>129.80000000000001</v>
      </c>
      <c r="G947" s="330">
        <v>4</v>
      </c>
      <c r="H947" s="330">
        <v>4</v>
      </c>
      <c r="I947" s="330"/>
      <c r="J947" s="330"/>
      <c r="K947" s="386">
        <f t="shared" si="130"/>
        <v>4</v>
      </c>
      <c r="L947" s="187">
        <f t="shared" si="133"/>
        <v>9.4117647058823532E-4</v>
      </c>
      <c r="M947" s="315">
        <f t="shared" si="134"/>
        <v>2.1356517647058824</v>
      </c>
      <c r="N947" s="425">
        <f t="shared" si="135"/>
        <v>0.78527915388235303</v>
      </c>
      <c r="O947" s="498">
        <v>0.8212429731417864</v>
      </c>
      <c r="P947" s="427">
        <f t="shared" si="136"/>
        <v>0.23050352941176472</v>
      </c>
      <c r="Q947" s="426">
        <f t="shared" si="137"/>
        <v>1.0010951842598377</v>
      </c>
      <c r="R947" s="532">
        <f t="shared" si="132"/>
        <v>3.0606143460260297E-2</v>
      </c>
    </row>
    <row r="948" spans="1:18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08">
        <f t="shared" si="131"/>
        <v>152.30000000000001</v>
      </c>
      <c r="G948" s="330">
        <v>2</v>
      </c>
      <c r="H948" s="330">
        <v>2</v>
      </c>
      <c r="I948" s="330"/>
      <c r="J948" s="330"/>
      <c r="K948" s="386">
        <f t="shared" si="130"/>
        <v>2</v>
      </c>
      <c r="L948" s="187">
        <f t="shared" si="133"/>
        <v>4.7058823529411766E-4</v>
      </c>
      <c r="M948" s="315">
        <f t="shared" si="134"/>
        <v>1.0678258823529412</v>
      </c>
      <c r="N948" s="425">
        <f t="shared" si="135"/>
        <v>0.39263957694117652</v>
      </c>
      <c r="O948" s="498">
        <v>0.4106214865708932</v>
      </c>
      <c r="P948" s="427">
        <f t="shared" si="136"/>
        <v>0.11525176470588236</v>
      </c>
      <c r="Q948" s="426">
        <f t="shared" si="137"/>
        <v>0.50054759212991884</v>
      </c>
      <c r="R948" s="532">
        <f t="shared" si="132"/>
        <v>1.304227649751079E-2</v>
      </c>
    </row>
    <row r="949" spans="1:18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08">
        <f t="shared" si="131"/>
        <v>239.4</v>
      </c>
      <c r="G949" s="330">
        <v>5</v>
      </c>
      <c r="H949" s="330">
        <v>5</v>
      </c>
      <c r="I949" s="330"/>
      <c r="J949" s="330"/>
      <c r="K949" s="386">
        <f t="shared" si="130"/>
        <v>5</v>
      </c>
      <c r="L949" s="187">
        <f t="shared" si="133"/>
        <v>1.1764705882352942E-3</v>
      </c>
      <c r="M949" s="315">
        <f t="shared" si="134"/>
        <v>2.6695647058823533</v>
      </c>
      <c r="N949" s="425">
        <f t="shared" si="135"/>
        <v>0.98159894235294143</v>
      </c>
      <c r="O949" s="498">
        <v>1.0265537164272329</v>
      </c>
      <c r="P949" s="427">
        <f t="shared" si="136"/>
        <v>0.28812941176470591</v>
      </c>
      <c r="Q949" s="426">
        <f t="shared" si="137"/>
        <v>1.2513689803247969</v>
      </c>
      <c r="R949" s="532">
        <f t="shared" si="132"/>
        <v>2.0742885448735308E-2</v>
      </c>
    </row>
    <row r="950" spans="1:18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08">
        <f t="shared" si="131"/>
        <v>84.2</v>
      </c>
      <c r="G950" s="330">
        <v>2</v>
      </c>
      <c r="H950" s="330">
        <v>2</v>
      </c>
      <c r="I950" s="330"/>
      <c r="J950" s="330"/>
      <c r="K950" s="386">
        <f t="shared" si="130"/>
        <v>2</v>
      </c>
      <c r="L950" s="187">
        <f t="shared" si="133"/>
        <v>4.7058823529411766E-4</v>
      </c>
      <c r="M950" s="315">
        <f t="shared" si="134"/>
        <v>1.0678258823529412</v>
      </c>
      <c r="N950" s="425">
        <f t="shared" si="135"/>
        <v>0.39263957694117652</v>
      </c>
      <c r="O950" s="498">
        <v>0.4106214865708932</v>
      </c>
      <c r="P950" s="427">
        <f t="shared" si="136"/>
        <v>0.11525176470588236</v>
      </c>
      <c r="Q950" s="426">
        <f t="shared" si="137"/>
        <v>0.50054759212991884</v>
      </c>
      <c r="R950" s="532">
        <f t="shared" si="132"/>
        <v>2.3590721028157877E-2</v>
      </c>
    </row>
    <row r="951" spans="1:18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08">
        <f t="shared" si="131"/>
        <v>193.9</v>
      </c>
      <c r="G951" s="330">
        <v>4</v>
      </c>
      <c r="H951" s="330">
        <v>4</v>
      </c>
      <c r="I951" s="330"/>
      <c r="J951" s="330"/>
      <c r="K951" s="386">
        <f t="shared" si="130"/>
        <v>4</v>
      </c>
      <c r="L951" s="187">
        <f t="shared" si="133"/>
        <v>9.4117647058823532E-4</v>
      </c>
      <c r="M951" s="315">
        <f t="shared" si="134"/>
        <v>2.1356517647058824</v>
      </c>
      <c r="N951" s="425">
        <f t="shared" si="135"/>
        <v>0.78527915388235303</v>
      </c>
      <c r="O951" s="498">
        <v>0.8212429731417864</v>
      </c>
      <c r="P951" s="427">
        <f t="shared" si="136"/>
        <v>0.23050352941176472</v>
      </c>
      <c r="Q951" s="426">
        <f t="shared" si="137"/>
        <v>1.0010951842598377</v>
      </c>
      <c r="R951" s="532">
        <f t="shared" si="132"/>
        <v>2.0488279634563109E-2</v>
      </c>
    </row>
    <row r="952" spans="1:18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08">
        <f t="shared" si="131"/>
        <v>252.4</v>
      </c>
      <c r="G952" s="330">
        <v>7</v>
      </c>
      <c r="H952" s="330">
        <v>7</v>
      </c>
      <c r="I952" s="330"/>
      <c r="J952" s="330"/>
      <c r="K952" s="386">
        <f t="shared" si="130"/>
        <v>7</v>
      </c>
      <c r="L952" s="187">
        <f t="shared" si="133"/>
        <v>1.6470588235294118E-3</v>
      </c>
      <c r="M952" s="315">
        <f t="shared" si="134"/>
        <v>3.7373905882352942</v>
      </c>
      <c r="N952" s="425">
        <f t="shared" si="135"/>
        <v>1.3742385192941178</v>
      </c>
      <c r="O952" s="498">
        <v>1.4371752029981262</v>
      </c>
      <c r="P952" s="427">
        <f t="shared" si="136"/>
        <v>0.40338117647058824</v>
      </c>
      <c r="Q952" s="426">
        <f t="shared" si="137"/>
        <v>1.7519165724547159</v>
      </c>
      <c r="R952" s="532">
        <f t="shared" si="132"/>
        <v>2.7544316509501291E-2</v>
      </c>
    </row>
    <row r="953" spans="1:18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08">
        <f t="shared" si="131"/>
        <v>79</v>
      </c>
      <c r="G953" s="330">
        <v>1</v>
      </c>
      <c r="H953" s="330">
        <v>1</v>
      </c>
      <c r="I953" s="330"/>
      <c r="J953" s="330"/>
      <c r="K953" s="386">
        <f t="shared" si="130"/>
        <v>1</v>
      </c>
      <c r="L953" s="187">
        <f t="shared" si="133"/>
        <v>2.3529411764705883E-4</v>
      </c>
      <c r="M953" s="315">
        <f t="shared" si="134"/>
        <v>0.53391294117647059</v>
      </c>
      <c r="N953" s="425">
        <f t="shared" si="135"/>
        <v>0.19631978847058826</v>
      </c>
      <c r="O953" s="498">
        <v>0.2053107432854466</v>
      </c>
      <c r="P953" s="427">
        <f t="shared" si="136"/>
        <v>5.762588235294118E-2</v>
      </c>
      <c r="Q953" s="426">
        <f t="shared" si="137"/>
        <v>0.25027379606495942</v>
      </c>
      <c r="R953" s="532">
        <f t="shared" si="132"/>
        <v>1.2571763990955021E-2</v>
      </c>
    </row>
    <row r="954" spans="1:18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08">
        <f t="shared" si="131"/>
        <v>549.69000000000005</v>
      </c>
      <c r="G954" s="330">
        <v>12</v>
      </c>
      <c r="H954" s="330">
        <v>12</v>
      </c>
      <c r="I954" s="330"/>
      <c r="J954" s="330"/>
      <c r="K954" s="386">
        <f t="shared" si="130"/>
        <v>12</v>
      </c>
      <c r="L954" s="187">
        <f t="shared" si="133"/>
        <v>2.8235294117647061E-3</v>
      </c>
      <c r="M954" s="315">
        <f t="shared" si="134"/>
        <v>6.4069552941176475</v>
      </c>
      <c r="N954" s="425">
        <f t="shared" si="135"/>
        <v>2.355837461647059</v>
      </c>
      <c r="O954" s="498">
        <v>2.4637289194253591</v>
      </c>
      <c r="P954" s="427">
        <f t="shared" si="136"/>
        <v>0.6915105882352941</v>
      </c>
      <c r="Q954" s="426">
        <f t="shared" si="137"/>
        <v>3.0032855527795128</v>
      </c>
      <c r="R954" s="532">
        <f t="shared" si="132"/>
        <v>2.1681369978397567E-2</v>
      </c>
    </row>
    <row r="955" spans="1:18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08">
        <f t="shared" si="131"/>
        <v>192.1</v>
      </c>
      <c r="G955" s="330">
        <v>4</v>
      </c>
      <c r="H955" s="330">
        <v>4</v>
      </c>
      <c r="I955" s="330"/>
      <c r="J955" s="330"/>
      <c r="K955" s="386">
        <f t="shared" si="130"/>
        <v>4</v>
      </c>
      <c r="L955" s="187">
        <f t="shared" si="133"/>
        <v>9.4117647058823532E-4</v>
      </c>
      <c r="M955" s="315">
        <f t="shared" si="134"/>
        <v>2.1356517647058824</v>
      </c>
      <c r="N955" s="425">
        <f t="shared" si="135"/>
        <v>0.78527915388235303</v>
      </c>
      <c r="O955" s="498">
        <v>0.8212429731417864</v>
      </c>
      <c r="P955" s="427">
        <f t="shared" si="136"/>
        <v>0.23050352941176472</v>
      </c>
      <c r="Q955" s="426">
        <f t="shared" si="137"/>
        <v>1.0010951842598377</v>
      </c>
      <c r="R955" s="532">
        <f t="shared" si="132"/>
        <v>2.0680257267786502E-2</v>
      </c>
    </row>
    <row r="956" spans="1:18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08">
        <f t="shared" si="131"/>
        <v>166.8</v>
      </c>
      <c r="G956" s="330">
        <v>4</v>
      </c>
      <c r="H956" s="330">
        <v>4</v>
      </c>
      <c r="I956" s="330"/>
      <c r="J956" s="330"/>
      <c r="K956" s="386">
        <f t="shared" si="130"/>
        <v>4</v>
      </c>
      <c r="L956" s="187">
        <f t="shared" si="133"/>
        <v>9.4117647058823532E-4</v>
      </c>
      <c r="M956" s="315">
        <f t="shared" si="134"/>
        <v>2.1356517647058824</v>
      </c>
      <c r="N956" s="425">
        <f t="shared" si="135"/>
        <v>0.78527915388235303</v>
      </c>
      <c r="O956" s="498">
        <v>0.8212429731417864</v>
      </c>
      <c r="P956" s="427">
        <f t="shared" si="136"/>
        <v>0.23050352941176472</v>
      </c>
      <c r="Q956" s="426">
        <f t="shared" si="137"/>
        <v>1.0010951842598377</v>
      </c>
      <c r="R956" s="532">
        <f t="shared" si="132"/>
        <v>2.3817010918116225E-2</v>
      </c>
    </row>
    <row r="957" spans="1:18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08">
        <f t="shared" si="131"/>
        <v>119.9</v>
      </c>
      <c r="G957" s="330">
        <v>3</v>
      </c>
      <c r="H957" s="330">
        <v>3</v>
      </c>
      <c r="I957" s="330"/>
      <c r="J957" s="330"/>
      <c r="K957" s="386">
        <f t="shared" si="130"/>
        <v>3</v>
      </c>
      <c r="L957" s="187">
        <f t="shared" si="133"/>
        <v>7.0588235294117652E-4</v>
      </c>
      <c r="M957" s="315">
        <f t="shared" si="134"/>
        <v>1.6017388235294119</v>
      </c>
      <c r="N957" s="425">
        <f t="shared" si="135"/>
        <v>0.58895936541176475</v>
      </c>
      <c r="O957" s="498">
        <v>0.61593222985633977</v>
      </c>
      <c r="P957" s="427">
        <f t="shared" si="136"/>
        <v>0.17287764705882352</v>
      </c>
      <c r="Q957" s="426">
        <f t="shared" si="137"/>
        <v>0.7508213881948782</v>
      </c>
      <c r="R957" s="532">
        <f t="shared" si="132"/>
        <v>2.4849942167275561E-2</v>
      </c>
    </row>
    <row r="958" spans="1:18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08">
        <f t="shared" si="131"/>
        <v>188.7</v>
      </c>
      <c r="G958" s="330">
        <v>4</v>
      </c>
      <c r="H958" s="330">
        <v>4</v>
      </c>
      <c r="I958" s="330"/>
      <c r="J958" s="330"/>
      <c r="K958" s="386">
        <f t="shared" si="130"/>
        <v>4</v>
      </c>
      <c r="L958" s="187">
        <f t="shared" si="133"/>
        <v>9.4117647058823532E-4</v>
      </c>
      <c r="M958" s="315">
        <f t="shared" si="134"/>
        <v>2.1356517647058824</v>
      </c>
      <c r="N958" s="425">
        <f t="shared" si="135"/>
        <v>0.78527915388235303</v>
      </c>
      <c r="O958" s="498">
        <v>0.8212429731417864</v>
      </c>
      <c r="P958" s="427">
        <f t="shared" si="136"/>
        <v>0.23050352941176472</v>
      </c>
      <c r="Q958" s="426">
        <f t="shared" si="137"/>
        <v>1.0010951842598377</v>
      </c>
      <c r="R958" s="532">
        <f t="shared" si="132"/>
        <v>2.1052874515854726E-2</v>
      </c>
    </row>
    <row r="959" spans="1:18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08">
        <f t="shared" si="131"/>
        <v>4734.5</v>
      </c>
      <c r="G959" s="330">
        <v>80</v>
      </c>
      <c r="H959" s="330">
        <v>80</v>
      </c>
      <c r="I959" s="330"/>
      <c r="J959" s="330"/>
      <c r="K959" s="386">
        <f t="shared" si="130"/>
        <v>80</v>
      </c>
      <c r="L959" s="187">
        <f t="shared" si="133"/>
        <v>1.8823529411764708E-2</v>
      </c>
      <c r="M959" s="315">
        <f t="shared" si="134"/>
        <v>42.713035294117653</v>
      </c>
      <c r="N959" s="425">
        <f t="shared" si="135"/>
        <v>15.705583077647063</v>
      </c>
      <c r="O959" s="498">
        <v>16.424859462835727</v>
      </c>
      <c r="P959" s="427">
        <f t="shared" si="136"/>
        <v>4.6100705882352946</v>
      </c>
      <c r="Q959" s="426">
        <f t="shared" si="137"/>
        <v>20.021903685196751</v>
      </c>
      <c r="R959" s="532">
        <f t="shared" si="132"/>
        <v>1.6781824569191198E-2</v>
      </c>
    </row>
    <row r="960" spans="1:18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08">
        <f t="shared" si="131"/>
        <v>66.3</v>
      </c>
      <c r="G960" s="330">
        <v>3</v>
      </c>
      <c r="H960" s="330">
        <v>3</v>
      </c>
      <c r="I960" s="330"/>
      <c r="J960" s="330"/>
      <c r="K960" s="386">
        <f t="shared" si="130"/>
        <v>3</v>
      </c>
      <c r="L960" s="187">
        <f t="shared" si="133"/>
        <v>7.0588235294117652E-4</v>
      </c>
      <c r="M960" s="315">
        <f t="shared" si="134"/>
        <v>1.6017388235294119</v>
      </c>
      <c r="N960" s="425">
        <f t="shared" si="135"/>
        <v>0.58895936541176475</v>
      </c>
      <c r="O960" s="498">
        <v>0.61593222985633977</v>
      </c>
      <c r="P960" s="427">
        <f t="shared" si="136"/>
        <v>0.17287764705882352</v>
      </c>
      <c r="Q960" s="426">
        <f t="shared" si="137"/>
        <v>0.7508213881948782</v>
      </c>
      <c r="R960" s="532">
        <f t="shared" si="132"/>
        <v>4.4939789831920665E-2</v>
      </c>
    </row>
    <row r="961" spans="1:18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08">
        <f t="shared" si="131"/>
        <v>19.8</v>
      </c>
      <c r="G961" s="330">
        <v>1</v>
      </c>
      <c r="H961" s="330">
        <v>1</v>
      </c>
      <c r="I961" s="330"/>
      <c r="J961" s="330"/>
      <c r="K961" s="386">
        <f t="shared" si="130"/>
        <v>1</v>
      </c>
      <c r="L961" s="187">
        <f t="shared" si="133"/>
        <v>2.3529411764705883E-4</v>
      </c>
      <c r="M961" s="315">
        <f t="shared" si="134"/>
        <v>0.53391294117647059</v>
      </c>
      <c r="N961" s="425">
        <f t="shared" si="135"/>
        <v>0.19631978847058826</v>
      </c>
      <c r="O961" s="498">
        <v>0.2053107432854466</v>
      </c>
      <c r="P961" s="427">
        <f t="shared" si="136"/>
        <v>5.762588235294118E-2</v>
      </c>
      <c r="Q961" s="426">
        <f t="shared" si="137"/>
        <v>0.25027379606495942</v>
      </c>
      <c r="R961" s="532">
        <f t="shared" si="132"/>
        <v>5.0160068448759934E-2</v>
      </c>
    </row>
    <row r="962" spans="1:18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08">
        <f t="shared" si="131"/>
        <v>61.2</v>
      </c>
      <c r="G962" s="330">
        <v>2</v>
      </c>
      <c r="H962" s="330">
        <v>2</v>
      </c>
      <c r="I962" s="330"/>
      <c r="J962" s="330"/>
      <c r="K962" s="386">
        <f t="shared" si="130"/>
        <v>2</v>
      </c>
      <c r="L962" s="187">
        <f t="shared" si="133"/>
        <v>4.7058823529411766E-4</v>
      </c>
      <c r="M962" s="315">
        <f t="shared" si="134"/>
        <v>1.0678258823529412</v>
      </c>
      <c r="N962" s="425">
        <f t="shared" si="135"/>
        <v>0.39263957694117652</v>
      </c>
      <c r="O962" s="498">
        <v>0.4106214865708932</v>
      </c>
      <c r="P962" s="427">
        <f t="shared" si="136"/>
        <v>0.11525176470588236</v>
      </c>
      <c r="Q962" s="426">
        <f t="shared" si="137"/>
        <v>0.50054759212991884</v>
      </c>
      <c r="R962" s="532">
        <f t="shared" si="132"/>
        <v>3.2456514878609365E-2</v>
      </c>
    </row>
    <row r="963" spans="1:18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08">
        <f t="shared" si="131"/>
        <v>47.1</v>
      </c>
      <c r="G963" s="330">
        <v>1</v>
      </c>
      <c r="H963" s="330">
        <v>1</v>
      </c>
      <c r="I963" s="330"/>
      <c r="J963" s="330"/>
      <c r="K963" s="386">
        <f t="shared" si="130"/>
        <v>1</v>
      </c>
      <c r="L963" s="187">
        <f t="shared" si="133"/>
        <v>2.3529411764705883E-4</v>
      </c>
      <c r="M963" s="315">
        <f t="shared" si="134"/>
        <v>0.53391294117647059</v>
      </c>
      <c r="N963" s="425">
        <f t="shared" si="135"/>
        <v>0.19631978847058826</v>
      </c>
      <c r="O963" s="498">
        <v>0.2053107432854466</v>
      </c>
      <c r="P963" s="427">
        <f t="shared" si="136"/>
        <v>5.762588235294118E-2</v>
      </c>
      <c r="Q963" s="426">
        <f t="shared" si="137"/>
        <v>0.25027379606495942</v>
      </c>
      <c r="R963" s="532">
        <f t="shared" si="132"/>
        <v>2.1086398201389526E-2</v>
      </c>
    </row>
    <row r="964" spans="1:18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08">
        <f t="shared" ref="F964:F1025" si="138">C964+D964+E964</f>
        <v>282.8</v>
      </c>
      <c r="G964" s="330">
        <v>9</v>
      </c>
      <c r="H964" s="330">
        <v>9</v>
      </c>
      <c r="I964" s="330"/>
      <c r="J964" s="330"/>
      <c r="K964" s="386">
        <f t="shared" ref="K964:K1024" si="139">H964+I964+J964</f>
        <v>9</v>
      </c>
      <c r="L964" s="187">
        <f t="shared" si="133"/>
        <v>2.1176470588235297E-3</v>
      </c>
      <c r="M964" s="315">
        <f t="shared" si="134"/>
        <v>4.8052164705882365</v>
      </c>
      <c r="N964" s="425">
        <f t="shared" si="135"/>
        <v>1.7668780962352948</v>
      </c>
      <c r="O964" s="498">
        <v>1.8477966895690194</v>
      </c>
      <c r="P964" s="427">
        <f t="shared" si="136"/>
        <v>0.51863294117647063</v>
      </c>
      <c r="Q964" s="426">
        <f t="shared" si="137"/>
        <v>2.2524641645846351</v>
      </c>
      <c r="R964" s="532">
        <f t="shared" si="132"/>
        <v>3.1607228421389744E-2</v>
      </c>
    </row>
    <row r="965" spans="1:18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08">
        <f t="shared" si="138"/>
        <v>46.6</v>
      </c>
      <c r="G965" s="330">
        <v>1</v>
      </c>
      <c r="H965" s="330">
        <v>1</v>
      </c>
      <c r="I965" s="330"/>
      <c r="J965" s="330"/>
      <c r="K965" s="386">
        <f t="shared" si="139"/>
        <v>1</v>
      </c>
      <c r="L965" s="187">
        <f t="shared" si="133"/>
        <v>2.3529411764705883E-4</v>
      </c>
      <c r="M965" s="315">
        <f t="shared" si="134"/>
        <v>0.53391294117647059</v>
      </c>
      <c r="N965" s="425">
        <f t="shared" si="135"/>
        <v>0.19631978847058826</v>
      </c>
      <c r="O965" s="498">
        <v>0.2053107432854466</v>
      </c>
      <c r="P965" s="427">
        <f t="shared" si="136"/>
        <v>5.762588235294118E-2</v>
      </c>
      <c r="Q965" s="426">
        <f t="shared" si="137"/>
        <v>0.25027379606495942</v>
      </c>
      <c r="R965" s="532">
        <f t="shared" si="132"/>
        <v>2.1312647109129758E-2</v>
      </c>
    </row>
    <row r="966" spans="1:18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08">
        <f t="shared" si="138"/>
        <v>3266.45</v>
      </c>
      <c r="G966" s="330">
        <v>60</v>
      </c>
      <c r="H966" s="330">
        <v>60</v>
      </c>
      <c r="I966" s="330"/>
      <c r="J966" s="330"/>
      <c r="K966" s="386">
        <f t="shared" si="139"/>
        <v>60</v>
      </c>
      <c r="L966" s="187">
        <f t="shared" si="133"/>
        <v>1.411764705882353E-2</v>
      </c>
      <c r="M966" s="315">
        <f t="shared" si="134"/>
        <v>32.034776470588241</v>
      </c>
      <c r="N966" s="425">
        <f t="shared" si="135"/>
        <v>11.779187308235297</v>
      </c>
      <c r="O966" s="498">
        <v>12.318644597126797</v>
      </c>
      <c r="P966" s="427">
        <f t="shared" si="136"/>
        <v>3.4575529411764707</v>
      </c>
      <c r="Q966" s="426">
        <f t="shared" si="137"/>
        <v>15.016427763897566</v>
      </c>
      <c r="R966" s="532">
        <f t="shared" si="132"/>
        <v>1.8243096118760981E-2</v>
      </c>
    </row>
    <row r="967" spans="1:18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08">
        <f t="shared" si="138"/>
        <v>3257.47</v>
      </c>
      <c r="G967" s="330">
        <v>60</v>
      </c>
      <c r="H967" s="330">
        <v>60</v>
      </c>
      <c r="I967" s="330"/>
      <c r="J967" s="330"/>
      <c r="K967" s="386">
        <f t="shared" si="139"/>
        <v>60</v>
      </c>
      <c r="L967" s="187">
        <f t="shared" si="133"/>
        <v>1.411764705882353E-2</v>
      </c>
      <c r="M967" s="315">
        <f t="shared" si="134"/>
        <v>32.034776470588241</v>
      </c>
      <c r="N967" s="425">
        <f t="shared" si="135"/>
        <v>11.779187308235297</v>
      </c>
      <c r="O967" s="498">
        <v>12.318644597126797</v>
      </c>
      <c r="P967" s="427">
        <f t="shared" si="136"/>
        <v>3.4575529411764707</v>
      </c>
      <c r="Q967" s="426">
        <f t="shared" si="137"/>
        <v>15.016427763897566</v>
      </c>
      <c r="R967" s="532">
        <f t="shared" si="132"/>
        <v>1.8293387603608571E-2</v>
      </c>
    </row>
    <row r="968" spans="1:18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08">
        <f t="shared" si="138"/>
        <v>24.3</v>
      </c>
      <c r="G968" s="330">
        <v>1</v>
      </c>
      <c r="H968" s="330">
        <v>1</v>
      </c>
      <c r="I968" s="330"/>
      <c r="J968" s="330"/>
      <c r="K968" s="386">
        <f t="shared" si="139"/>
        <v>1</v>
      </c>
      <c r="L968" s="187">
        <f t="shared" si="133"/>
        <v>2.3529411764705883E-4</v>
      </c>
      <c r="M968" s="315">
        <f t="shared" si="134"/>
        <v>0.53391294117647059</v>
      </c>
      <c r="N968" s="425">
        <f t="shared" si="135"/>
        <v>0.19631978847058826</v>
      </c>
      <c r="O968" s="498">
        <v>0.2053107432854466</v>
      </c>
      <c r="P968" s="427">
        <f t="shared" si="136"/>
        <v>5.762588235294118E-2</v>
      </c>
      <c r="Q968" s="426">
        <f t="shared" si="137"/>
        <v>0.25027379606495942</v>
      </c>
      <c r="R968" s="532">
        <f t="shared" si="132"/>
        <v>4.0871166884174762E-2</v>
      </c>
    </row>
    <row r="969" spans="1:18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08">
        <f t="shared" si="138"/>
        <v>4572.4000000000005</v>
      </c>
      <c r="G969" s="330">
        <v>134</v>
      </c>
      <c r="H969" s="330">
        <v>134</v>
      </c>
      <c r="I969" s="330"/>
      <c r="J969" s="330">
        <v>2</v>
      </c>
      <c r="K969" s="386">
        <f t="shared" si="139"/>
        <v>136</v>
      </c>
      <c r="L969" s="187">
        <f t="shared" si="133"/>
        <v>3.2000000000000001E-2</v>
      </c>
      <c r="M969" s="315">
        <f t="shared" si="134"/>
        <v>72.612160000000003</v>
      </c>
      <c r="N969" s="425">
        <f t="shared" si="135"/>
        <v>26.699491232000003</v>
      </c>
      <c r="O969" s="498">
        <v>27.92226108682074</v>
      </c>
      <c r="P969" s="427">
        <f t="shared" si="136"/>
        <v>7.8371199999999996</v>
      </c>
      <c r="Q969" s="426">
        <f t="shared" si="137"/>
        <v>34.037236264834483</v>
      </c>
      <c r="R969" s="532">
        <f t="shared" si="132"/>
        <v>3.2139873487560255E-2</v>
      </c>
    </row>
    <row r="970" spans="1:18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11">
        <f t="shared" si="138"/>
        <v>140.30000000000001</v>
      </c>
      <c r="G970" s="57">
        <v>1</v>
      </c>
      <c r="H970" s="803">
        <v>1</v>
      </c>
      <c r="I970" s="803"/>
      <c r="J970" s="803"/>
      <c r="K970" s="142">
        <f t="shared" si="139"/>
        <v>1</v>
      </c>
      <c r="L970" s="187">
        <f t="shared" si="133"/>
        <v>2.3529411764705883E-4</v>
      </c>
      <c r="M970" s="315">
        <f t="shared" si="134"/>
        <v>0.53391294117647059</v>
      </c>
      <c r="N970" s="425">
        <f t="shared" si="135"/>
        <v>0.19631978847058826</v>
      </c>
      <c r="O970" s="498">
        <v>0.2053107432854466</v>
      </c>
      <c r="P970" s="427">
        <f t="shared" si="136"/>
        <v>5.762588235294118E-2</v>
      </c>
      <c r="Q970" s="426">
        <f t="shared" si="137"/>
        <v>0.25027379606495942</v>
      </c>
      <c r="R970" s="532">
        <f t="shared" ref="R970:R1033" si="140">(M970+N970+O970+P970)/C970</f>
        <v>7.0788977568456641E-3</v>
      </c>
    </row>
    <row r="971" spans="1:18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08">
        <f t="shared" si="138"/>
        <v>427.4</v>
      </c>
      <c r="G971" s="330">
        <v>9</v>
      </c>
      <c r="H971" s="330">
        <v>9</v>
      </c>
      <c r="I971" s="330"/>
      <c r="J971" s="330"/>
      <c r="K971" s="386">
        <f t="shared" si="139"/>
        <v>9</v>
      </c>
      <c r="L971" s="187">
        <f t="shared" si="133"/>
        <v>2.1176470588235297E-3</v>
      </c>
      <c r="M971" s="315">
        <f t="shared" si="134"/>
        <v>4.8052164705882365</v>
      </c>
      <c r="N971" s="425">
        <f t="shared" si="135"/>
        <v>1.7668780962352948</v>
      </c>
      <c r="O971" s="498">
        <v>1.8477966895690194</v>
      </c>
      <c r="P971" s="427">
        <f>L971*44.91</f>
        <v>9.5103529411764712E-2</v>
      </c>
      <c r="Q971" s="426">
        <f t="shared" si="137"/>
        <v>2.2524641645846351</v>
      </c>
      <c r="R971" s="532">
        <f t="shared" si="140"/>
        <v>1.992277675667832E-2</v>
      </c>
    </row>
    <row r="972" spans="1:18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08">
        <f t="shared" si="138"/>
        <v>954</v>
      </c>
      <c r="G972" s="330">
        <v>18</v>
      </c>
      <c r="H972" s="330">
        <v>18</v>
      </c>
      <c r="I972" s="330"/>
      <c r="J972" s="330"/>
      <c r="K972" s="386">
        <f t="shared" si="139"/>
        <v>18</v>
      </c>
      <c r="L972" s="187">
        <f t="shared" si="133"/>
        <v>4.2352941176470593E-3</v>
      </c>
      <c r="M972" s="315">
        <f t="shared" si="134"/>
        <v>9.6104329411764731</v>
      </c>
      <c r="N972" s="425">
        <f t="shared" si="135"/>
        <v>3.5337561924705896</v>
      </c>
      <c r="O972" s="498">
        <v>3.6955933791380389</v>
      </c>
      <c r="P972" s="427">
        <f>L972*44.91</f>
        <v>0.19020705882352942</v>
      </c>
      <c r="Q972" s="426">
        <f t="shared" si="137"/>
        <v>4.5049283291692701</v>
      </c>
      <c r="R972" s="532">
        <f t="shared" si="140"/>
        <v>1.7851142108604431E-2</v>
      </c>
    </row>
    <row r="973" spans="1:18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08">
        <f t="shared" si="138"/>
        <v>202.5</v>
      </c>
      <c r="G973" s="330">
        <v>7</v>
      </c>
      <c r="H973" s="330">
        <v>7</v>
      </c>
      <c r="I973" s="330"/>
      <c r="J973" s="330"/>
      <c r="K973" s="386">
        <f t="shared" si="139"/>
        <v>7</v>
      </c>
      <c r="L973" s="187">
        <f t="shared" si="133"/>
        <v>1.6470588235294118E-3</v>
      </c>
      <c r="M973" s="315">
        <f t="shared" si="134"/>
        <v>3.7373905882352942</v>
      </c>
      <c r="N973" s="425">
        <f t="shared" si="135"/>
        <v>1.3742385192941178</v>
      </c>
      <c r="O973" s="498">
        <v>1.4371752029981262</v>
      </c>
      <c r="P973" s="427">
        <f t="shared" si="136"/>
        <v>0.40338117647058824</v>
      </c>
      <c r="Q973" s="426">
        <f t="shared" si="137"/>
        <v>1.7519165724547159</v>
      </c>
      <c r="R973" s="532">
        <f t="shared" si="140"/>
        <v>3.4331780182706793E-2</v>
      </c>
    </row>
    <row r="974" spans="1:18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08">
        <f t="shared" si="138"/>
        <v>308.2</v>
      </c>
      <c r="G974" s="330">
        <v>8</v>
      </c>
      <c r="H974" s="330">
        <v>8</v>
      </c>
      <c r="I974" s="330"/>
      <c r="J974" s="330"/>
      <c r="K974" s="386">
        <f t="shared" si="139"/>
        <v>8</v>
      </c>
      <c r="L974" s="187">
        <f t="shared" si="133"/>
        <v>1.8823529411764706E-3</v>
      </c>
      <c r="M974" s="315">
        <f t="shared" si="134"/>
        <v>4.2713035294117647</v>
      </c>
      <c r="N974" s="425">
        <f t="shared" si="135"/>
        <v>1.5705583077647061</v>
      </c>
      <c r="O974" s="498">
        <v>1.6424859462835728</v>
      </c>
      <c r="P974" s="427">
        <f t="shared" si="136"/>
        <v>0.46100705882352944</v>
      </c>
      <c r="Q974" s="426">
        <f t="shared" si="137"/>
        <v>2.0021903685196754</v>
      </c>
      <c r="R974" s="532">
        <f t="shared" si="140"/>
        <v>2.5779866457766299E-2</v>
      </c>
    </row>
    <row r="975" spans="1:18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08">
        <f t="shared" si="138"/>
        <v>44.1</v>
      </c>
      <c r="G975" s="330">
        <v>2</v>
      </c>
      <c r="H975" s="330">
        <v>2</v>
      </c>
      <c r="I975" s="330"/>
      <c r="J975" s="330"/>
      <c r="K975" s="386">
        <f t="shared" si="139"/>
        <v>2</v>
      </c>
      <c r="L975" s="187">
        <f t="shared" si="133"/>
        <v>4.7058823529411766E-4</v>
      </c>
      <c r="M975" s="315">
        <f t="shared" si="134"/>
        <v>1.0678258823529412</v>
      </c>
      <c r="N975" s="425">
        <f t="shared" si="135"/>
        <v>0.39263957694117652</v>
      </c>
      <c r="O975" s="498">
        <v>0.4106214865708932</v>
      </c>
      <c r="P975" s="427">
        <f t="shared" si="136"/>
        <v>0.11525176470588236</v>
      </c>
      <c r="Q975" s="426">
        <f t="shared" si="137"/>
        <v>0.50054759212991884</v>
      </c>
      <c r="R975" s="532">
        <f t="shared" si="140"/>
        <v>4.5041694117253818E-2</v>
      </c>
    </row>
    <row r="976" spans="1:18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08">
        <f t="shared" si="138"/>
        <v>236.79</v>
      </c>
      <c r="G976" s="330">
        <v>5</v>
      </c>
      <c r="H976" s="330">
        <v>5</v>
      </c>
      <c r="I976" s="330"/>
      <c r="J976" s="330"/>
      <c r="K976" s="386">
        <f t="shared" si="139"/>
        <v>5</v>
      </c>
      <c r="L976" s="187">
        <f t="shared" si="133"/>
        <v>1.1764705882352942E-3</v>
      </c>
      <c r="M976" s="315">
        <f t="shared" si="134"/>
        <v>2.6695647058823533</v>
      </c>
      <c r="N976" s="425">
        <f t="shared" si="135"/>
        <v>0.98159894235294143</v>
      </c>
      <c r="O976" s="498">
        <v>1.0265537164272329</v>
      </c>
      <c r="P976" s="427">
        <f t="shared" si="136"/>
        <v>0.28812941176470591</v>
      </c>
      <c r="Q976" s="426">
        <f t="shared" si="137"/>
        <v>1.2513689803247969</v>
      </c>
      <c r="R976" s="532">
        <f t="shared" si="140"/>
        <v>2.0971522346497878E-2</v>
      </c>
    </row>
    <row r="977" spans="1:18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08">
        <f t="shared" si="138"/>
        <v>571.4</v>
      </c>
      <c r="G977" s="330">
        <v>16</v>
      </c>
      <c r="H977" s="330">
        <v>16</v>
      </c>
      <c r="I977" s="330"/>
      <c r="J977" s="330"/>
      <c r="K977" s="386">
        <f t="shared" si="139"/>
        <v>16</v>
      </c>
      <c r="L977" s="187">
        <f t="shared" si="133"/>
        <v>3.7647058823529413E-3</v>
      </c>
      <c r="M977" s="315">
        <f t="shared" si="134"/>
        <v>8.5426070588235294</v>
      </c>
      <c r="N977" s="425">
        <f t="shared" si="135"/>
        <v>3.1411166155294121</v>
      </c>
      <c r="O977" s="498">
        <v>3.2849718925671456</v>
      </c>
      <c r="P977" s="427">
        <f t="shared" si="136"/>
        <v>0.92201411764705887</v>
      </c>
      <c r="Q977" s="426">
        <f t="shared" si="137"/>
        <v>4.0043807370393507</v>
      </c>
      <c r="R977" s="532">
        <f t="shared" si="140"/>
        <v>2.7810132454615239E-2</v>
      </c>
    </row>
    <row r="978" spans="1:18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608">
        <f t="shared" si="138"/>
        <v>654.29999999999995</v>
      </c>
      <c r="G978" s="330">
        <v>13</v>
      </c>
      <c r="H978" s="330">
        <v>13</v>
      </c>
      <c r="I978" s="330"/>
      <c r="J978" s="330"/>
      <c r="K978" s="386">
        <f t="shared" si="139"/>
        <v>13</v>
      </c>
      <c r="L978" s="187">
        <f t="shared" si="133"/>
        <v>3.0588235294117649E-3</v>
      </c>
      <c r="M978" s="315">
        <f t="shared" si="134"/>
        <v>6.9408682352941184</v>
      </c>
      <c r="N978" s="425">
        <f t="shared" si="135"/>
        <v>2.5521572501176477</v>
      </c>
      <c r="O978" s="498">
        <v>2.6690396627108059</v>
      </c>
      <c r="P978" s="427">
        <f t="shared" si="136"/>
        <v>0.74913647058823529</v>
      </c>
      <c r="Q978" s="426">
        <f t="shared" si="137"/>
        <v>3.2535593488444725</v>
      </c>
      <c r="R978" s="532">
        <f t="shared" si="140"/>
        <v>1.9732846735000472E-2</v>
      </c>
    </row>
    <row r="979" spans="1:18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608">
        <f t="shared" si="138"/>
        <v>559.79999999999995</v>
      </c>
      <c r="G979" s="330">
        <v>14</v>
      </c>
      <c r="H979" s="330">
        <v>14</v>
      </c>
      <c r="I979" s="330"/>
      <c r="J979" s="330"/>
      <c r="K979" s="386">
        <f t="shared" si="139"/>
        <v>14</v>
      </c>
      <c r="L979" s="187">
        <f t="shared" si="133"/>
        <v>3.2941176470588237E-3</v>
      </c>
      <c r="M979" s="315">
        <f t="shared" si="134"/>
        <v>7.4747811764705885</v>
      </c>
      <c r="N979" s="425">
        <f t="shared" si="135"/>
        <v>2.7484770385882356</v>
      </c>
      <c r="O979" s="498">
        <v>2.8743504059962524</v>
      </c>
      <c r="P979" s="427">
        <f t="shared" si="136"/>
        <v>0.80676235294117649</v>
      </c>
      <c r="Q979" s="426">
        <f t="shared" si="137"/>
        <v>3.5038331449094318</v>
      </c>
      <c r="R979" s="532">
        <f t="shared" si="140"/>
        <v>2.4838104633791092E-2</v>
      </c>
    </row>
    <row r="980" spans="1:18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08">
        <f t="shared" si="138"/>
        <v>681</v>
      </c>
      <c r="G980" s="330">
        <v>15</v>
      </c>
      <c r="H980" s="330">
        <v>15</v>
      </c>
      <c r="I980" s="330"/>
      <c r="J980" s="330">
        <v>2</v>
      </c>
      <c r="K980" s="386">
        <f t="shared" si="139"/>
        <v>17</v>
      </c>
      <c r="L980" s="187">
        <f t="shared" si="133"/>
        <v>4.0000000000000001E-3</v>
      </c>
      <c r="M980" s="315">
        <f t="shared" si="134"/>
        <v>9.0765200000000004</v>
      </c>
      <c r="N980" s="425">
        <f t="shared" si="135"/>
        <v>3.3374364040000004</v>
      </c>
      <c r="O980" s="498">
        <v>3.4902826358525925</v>
      </c>
      <c r="P980" s="427">
        <f t="shared" si="136"/>
        <v>0.97963999999999996</v>
      </c>
      <c r="Q980" s="426">
        <f t="shared" si="137"/>
        <v>4.2546545331043104</v>
      </c>
      <c r="R980" s="532">
        <f t="shared" si="140"/>
        <v>2.6838148211496732E-2</v>
      </c>
    </row>
    <row r="981" spans="1:18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608">
        <f t="shared" si="138"/>
        <v>373.3</v>
      </c>
      <c r="G981" s="330">
        <v>8</v>
      </c>
      <c r="H981" s="330">
        <v>8</v>
      </c>
      <c r="I981" s="330"/>
      <c r="J981" s="330"/>
      <c r="K981" s="386">
        <f t="shared" si="139"/>
        <v>8</v>
      </c>
      <c r="L981" s="187">
        <f t="shared" si="133"/>
        <v>1.8823529411764706E-3</v>
      </c>
      <c r="M981" s="315">
        <f t="shared" si="134"/>
        <v>4.2713035294117647</v>
      </c>
      <c r="N981" s="425">
        <f t="shared" si="135"/>
        <v>1.5705583077647061</v>
      </c>
      <c r="O981" s="498">
        <v>1.6424859462835728</v>
      </c>
      <c r="P981" s="427">
        <f t="shared" si="136"/>
        <v>0.46100705882352944</v>
      </c>
      <c r="Q981" s="426">
        <f t="shared" si="137"/>
        <v>2.0021903685196754</v>
      </c>
      <c r="R981" s="532">
        <f t="shared" si="140"/>
        <v>2.1284100836548549E-2</v>
      </c>
    </row>
    <row r="982" spans="1:18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608">
        <f t="shared" si="138"/>
        <v>395.4</v>
      </c>
      <c r="G982" s="330">
        <v>11</v>
      </c>
      <c r="H982" s="330">
        <v>11</v>
      </c>
      <c r="I982" s="330"/>
      <c r="J982" s="330"/>
      <c r="K982" s="386">
        <f t="shared" si="139"/>
        <v>11</v>
      </c>
      <c r="L982" s="187">
        <f t="shared" si="133"/>
        <v>2.5882352941176473E-3</v>
      </c>
      <c r="M982" s="315">
        <f t="shared" si="134"/>
        <v>5.8730423529411775</v>
      </c>
      <c r="N982" s="425">
        <f t="shared" si="135"/>
        <v>2.1595176731764711</v>
      </c>
      <c r="O982" s="498">
        <v>2.2584181761399122</v>
      </c>
      <c r="P982" s="427">
        <f t="shared" si="136"/>
        <v>0.63388470588235302</v>
      </c>
      <c r="Q982" s="426">
        <f t="shared" si="137"/>
        <v>2.7530117567145531</v>
      </c>
      <c r="R982" s="532">
        <f t="shared" si="140"/>
        <v>2.7629901133383702E-2</v>
      </c>
    </row>
    <row r="983" spans="1:18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608">
        <f t="shared" si="138"/>
        <v>359.5</v>
      </c>
      <c r="G983" s="330">
        <v>12</v>
      </c>
      <c r="H983" s="330">
        <v>12</v>
      </c>
      <c r="I983" s="330"/>
      <c r="J983" s="330"/>
      <c r="K983" s="386">
        <f t="shared" si="139"/>
        <v>12</v>
      </c>
      <c r="L983" s="187">
        <f t="shared" si="133"/>
        <v>2.8235294117647061E-3</v>
      </c>
      <c r="M983" s="315">
        <f t="shared" si="134"/>
        <v>6.4069552941176475</v>
      </c>
      <c r="N983" s="425">
        <f t="shared" si="135"/>
        <v>2.355837461647059</v>
      </c>
      <c r="O983" s="498">
        <v>2.4637289194253591</v>
      </c>
      <c r="P983" s="427">
        <f t="shared" si="136"/>
        <v>0.6915105882352941</v>
      </c>
      <c r="Q983" s="426">
        <f t="shared" si="137"/>
        <v>3.0032855527795128</v>
      </c>
      <c r="R983" s="532">
        <f t="shared" si="140"/>
        <v>3.3151689188943977E-2</v>
      </c>
    </row>
    <row r="984" spans="1:18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08">
        <f t="shared" si="138"/>
        <v>581.70000000000005</v>
      </c>
      <c r="G984" s="330">
        <v>13</v>
      </c>
      <c r="H984" s="330">
        <v>13</v>
      </c>
      <c r="I984" s="330"/>
      <c r="J984" s="330">
        <v>3</v>
      </c>
      <c r="K984" s="386">
        <f t="shared" si="139"/>
        <v>16</v>
      </c>
      <c r="L984" s="187">
        <f t="shared" si="133"/>
        <v>3.7647058823529413E-3</v>
      </c>
      <c r="M984" s="315">
        <f t="shared" si="134"/>
        <v>8.5426070588235294</v>
      </c>
      <c r="N984" s="425">
        <f t="shared" si="135"/>
        <v>3.1411166155294121</v>
      </c>
      <c r="O984" s="498">
        <v>3.2849718925671456</v>
      </c>
      <c r="P984" s="427">
        <f t="shared" si="136"/>
        <v>0.92201411764705887</v>
      </c>
      <c r="Q984" s="426">
        <f t="shared" si="137"/>
        <v>4.0043807370393507</v>
      </c>
      <c r="R984" s="532">
        <f t="shared" si="140"/>
        <v>3.3313856781063203E-2</v>
      </c>
    </row>
    <row r="985" spans="1:18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608">
        <f t="shared" si="138"/>
        <v>397</v>
      </c>
      <c r="G985" s="330">
        <v>9</v>
      </c>
      <c r="H985" s="330">
        <v>9</v>
      </c>
      <c r="I985" s="330"/>
      <c r="J985" s="330"/>
      <c r="K985" s="386">
        <f t="shared" si="139"/>
        <v>9</v>
      </c>
      <c r="L985" s="187">
        <f t="shared" si="133"/>
        <v>2.1176470588235297E-3</v>
      </c>
      <c r="M985" s="315">
        <f t="shared" si="134"/>
        <v>4.8052164705882365</v>
      </c>
      <c r="N985" s="425">
        <f t="shared" si="135"/>
        <v>1.7668780962352948</v>
      </c>
      <c r="O985" s="498">
        <v>1.8477966895690194</v>
      </c>
      <c r="P985" s="427">
        <f t="shared" si="136"/>
        <v>0.51863294117647063</v>
      </c>
      <c r="Q985" s="426">
        <f t="shared" si="137"/>
        <v>2.2524641645846351</v>
      </c>
      <c r="R985" s="532">
        <f t="shared" si="140"/>
        <v>2.2515174301181412E-2</v>
      </c>
    </row>
    <row r="986" spans="1:18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608">
        <f t="shared" si="138"/>
        <v>271.5</v>
      </c>
      <c r="G986" s="330">
        <v>5</v>
      </c>
      <c r="H986" s="330">
        <v>5</v>
      </c>
      <c r="I986" s="330"/>
      <c r="J986" s="330"/>
      <c r="K986" s="386">
        <f t="shared" si="139"/>
        <v>5</v>
      </c>
      <c r="L986" s="187">
        <f t="shared" si="133"/>
        <v>1.1764705882352942E-3</v>
      </c>
      <c r="M986" s="315">
        <f t="shared" si="134"/>
        <v>2.6695647058823533</v>
      </c>
      <c r="N986" s="425">
        <f t="shared" si="135"/>
        <v>0.98159894235294143</v>
      </c>
      <c r="O986" s="498">
        <v>1.0265537164272329</v>
      </c>
      <c r="P986" s="427">
        <f t="shared" si="136"/>
        <v>0.28812941176470591</v>
      </c>
      <c r="Q986" s="426">
        <f t="shared" si="137"/>
        <v>1.2513689803247969</v>
      </c>
      <c r="R986" s="532">
        <f t="shared" si="140"/>
        <v>1.8290411699547818E-2</v>
      </c>
    </row>
    <row r="987" spans="1:18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608">
        <f t="shared" si="138"/>
        <v>258.60000000000002</v>
      </c>
      <c r="G987" s="330">
        <v>7</v>
      </c>
      <c r="H987" s="330">
        <v>7</v>
      </c>
      <c r="I987" s="330"/>
      <c r="J987" s="330"/>
      <c r="K987" s="386">
        <f t="shared" si="139"/>
        <v>7</v>
      </c>
      <c r="L987" s="187">
        <f t="shared" si="133"/>
        <v>1.6470588235294118E-3</v>
      </c>
      <c r="M987" s="315">
        <f t="shared" si="134"/>
        <v>3.7373905882352942</v>
      </c>
      <c r="N987" s="425">
        <f t="shared" si="135"/>
        <v>1.3742385192941178</v>
      </c>
      <c r="O987" s="498">
        <v>1.4371752029981262</v>
      </c>
      <c r="P987" s="427">
        <f t="shared" si="136"/>
        <v>0.40338117647058824</v>
      </c>
      <c r="Q987" s="426">
        <f t="shared" si="137"/>
        <v>1.7519165724547159</v>
      </c>
      <c r="R987" s="532">
        <f t="shared" si="140"/>
        <v>2.6883934597827244E-2</v>
      </c>
    </row>
    <row r="988" spans="1:18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608">
        <f t="shared" si="138"/>
        <v>737.4</v>
      </c>
      <c r="G988" s="330">
        <v>20</v>
      </c>
      <c r="H988" s="330">
        <v>20</v>
      </c>
      <c r="I988" s="330"/>
      <c r="J988" s="330"/>
      <c r="K988" s="386">
        <f t="shared" si="139"/>
        <v>20</v>
      </c>
      <c r="L988" s="187">
        <f t="shared" si="133"/>
        <v>4.7058823529411769E-3</v>
      </c>
      <c r="M988" s="315">
        <f t="shared" si="134"/>
        <v>10.678258823529413</v>
      </c>
      <c r="N988" s="425">
        <f t="shared" si="135"/>
        <v>3.9263957694117657</v>
      </c>
      <c r="O988" s="498">
        <v>4.1062148657089317</v>
      </c>
      <c r="P988" s="427">
        <f t="shared" si="136"/>
        <v>1.1525176470588236</v>
      </c>
      <c r="Q988" s="426">
        <f t="shared" si="137"/>
        <v>5.0054759212991877</v>
      </c>
      <c r="R988" s="532">
        <f t="shared" si="140"/>
        <v>2.6937058727568391E-2</v>
      </c>
    </row>
    <row r="989" spans="1:18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608">
        <f t="shared" si="138"/>
        <v>473.4</v>
      </c>
      <c r="G989" s="330">
        <v>9</v>
      </c>
      <c r="H989" s="330">
        <v>9</v>
      </c>
      <c r="I989" s="330"/>
      <c r="J989" s="330"/>
      <c r="K989" s="386">
        <f t="shared" si="139"/>
        <v>9</v>
      </c>
      <c r="L989" s="187">
        <f t="shared" si="133"/>
        <v>2.1176470588235297E-3</v>
      </c>
      <c r="M989" s="315">
        <f t="shared" si="134"/>
        <v>4.8052164705882365</v>
      </c>
      <c r="N989" s="425">
        <f t="shared" si="135"/>
        <v>1.7668780962352948</v>
      </c>
      <c r="O989" s="498">
        <v>1.8477966895690194</v>
      </c>
      <c r="P989" s="427">
        <f t="shared" si="136"/>
        <v>0.51863294117647063</v>
      </c>
      <c r="Q989" s="426">
        <f t="shared" si="137"/>
        <v>2.2524641645846351</v>
      </c>
      <c r="R989" s="532">
        <f t="shared" si="140"/>
        <v>1.8881546678430547E-2</v>
      </c>
    </row>
    <row r="990" spans="1:18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608">
        <f t="shared" si="138"/>
        <v>320.60000000000002</v>
      </c>
      <c r="G990" s="330">
        <v>8</v>
      </c>
      <c r="H990" s="330">
        <v>8</v>
      </c>
      <c r="I990" s="330"/>
      <c r="J990" s="330"/>
      <c r="K990" s="386">
        <f t="shared" si="139"/>
        <v>8</v>
      </c>
      <c r="L990" s="187">
        <f t="shared" si="133"/>
        <v>1.8823529411764706E-3</v>
      </c>
      <c r="M990" s="315">
        <f t="shared" si="134"/>
        <v>4.2713035294117647</v>
      </c>
      <c r="N990" s="425">
        <f t="shared" si="135"/>
        <v>1.5705583077647061</v>
      </c>
      <c r="O990" s="498">
        <v>1.6424859462835728</v>
      </c>
      <c r="P990" s="427">
        <f t="shared" si="136"/>
        <v>0.46100705882352944</v>
      </c>
      <c r="Q990" s="426">
        <f t="shared" si="137"/>
        <v>2.0021903685196754</v>
      </c>
      <c r="R990" s="532">
        <f t="shared" si="140"/>
        <v>2.4782766195519567E-2</v>
      </c>
    </row>
    <row r="991" spans="1:18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608">
        <f t="shared" si="138"/>
        <v>963.8</v>
      </c>
      <c r="G991" s="330">
        <v>22</v>
      </c>
      <c r="H991" s="330">
        <v>22</v>
      </c>
      <c r="I991" s="330"/>
      <c r="J991" s="330"/>
      <c r="K991" s="386">
        <f t="shared" si="139"/>
        <v>22</v>
      </c>
      <c r="L991" s="187">
        <f t="shared" si="133"/>
        <v>5.1764705882352945E-3</v>
      </c>
      <c r="M991" s="315">
        <f t="shared" si="134"/>
        <v>11.746084705882355</v>
      </c>
      <c r="N991" s="425">
        <f t="shared" si="135"/>
        <v>4.3190353463529423</v>
      </c>
      <c r="O991" s="498">
        <v>4.5168363522798245</v>
      </c>
      <c r="P991" s="427">
        <f t="shared" si="136"/>
        <v>1.267769411764706</v>
      </c>
      <c r="Q991" s="426">
        <f t="shared" si="137"/>
        <v>5.5060235134291062</v>
      </c>
      <c r="R991" s="532">
        <f t="shared" si="140"/>
        <v>2.267039408205004E-2</v>
      </c>
    </row>
    <row r="992" spans="1:18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608">
        <f t="shared" si="138"/>
        <v>143.69999999999999</v>
      </c>
      <c r="G992" s="330">
        <v>3</v>
      </c>
      <c r="H992" s="330">
        <v>3</v>
      </c>
      <c r="I992" s="330"/>
      <c r="J992" s="330"/>
      <c r="K992" s="386">
        <f t="shared" si="139"/>
        <v>3</v>
      </c>
      <c r="L992" s="187">
        <f t="shared" si="133"/>
        <v>7.0588235294117652E-4</v>
      </c>
      <c r="M992" s="315">
        <f t="shared" si="134"/>
        <v>1.6017388235294119</v>
      </c>
      <c r="N992" s="425">
        <f t="shared" si="135"/>
        <v>0.58895936541176475</v>
      </c>
      <c r="O992" s="498">
        <v>0.61593222985633977</v>
      </c>
      <c r="P992" s="427">
        <f t="shared" si="136"/>
        <v>0.17287764705882352</v>
      </c>
      <c r="Q992" s="426">
        <f t="shared" si="137"/>
        <v>0.7508213881948782</v>
      </c>
      <c r="R992" s="532">
        <f t="shared" si="140"/>
        <v>2.0734224536230621E-2</v>
      </c>
    </row>
    <row r="993" spans="1:18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608">
        <f t="shared" si="138"/>
        <v>136.80000000000001</v>
      </c>
      <c r="G993" s="330">
        <v>3</v>
      </c>
      <c r="H993" s="330">
        <v>3</v>
      </c>
      <c r="I993" s="330"/>
      <c r="J993" s="330"/>
      <c r="K993" s="386">
        <f t="shared" si="139"/>
        <v>3</v>
      </c>
      <c r="L993" s="187">
        <f t="shared" si="133"/>
        <v>7.0588235294117652E-4</v>
      </c>
      <c r="M993" s="315">
        <f t="shared" si="134"/>
        <v>1.6017388235294119</v>
      </c>
      <c r="N993" s="425">
        <f t="shared" si="135"/>
        <v>0.58895936541176475</v>
      </c>
      <c r="O993" s="498">
        <v>0.61593222985633977</v>
      </c>
      <c r="P993" s="427">
        <f t="shared" si="136"/>
        <v>0.17287764705882352</v>
      </c>
      <c r="Q993" s="426">
        <f t="shared" si="137"/>
        <v>0.7508213881948782</v>
      </c>
      <c r="R993" s="532">
        <f t="shared" si="140"/>
        <v>2.1780029721172073E-2</v>
      </c>
    </row>
    <row r="994" spans="1:18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608">
        <f t="shared" si="138"/>
        <v>128.1</v>
      </c>
      <c r="G994" s="330">
        <v>3</v>
      </c>
      <c r="H994" s="330">
        <v>3</v>
      </c>
      <c r="I994" s="330"/>
      <c r="J994" s="330"/>
      <c r="K994" s="386">
        <f t="shared" si="139"/>
        <v>3</v>
      </c>
      <c r="L994" s="187">
        <f t="shared" si="133"/>
        <v>7.0588235294117652E-4</v>
      </c>
      <c r="M994" s="315">
        <f t="shared" si="134"/>
        <v>1.6017388235294119</v>
      </c>
      <c r="N994" s="425">
        <f t="shared" si="135"/>
        <v>0.58895936541176475</v>
      </c>
      <c r="O994" s="498">
        <v>0.61593222985633977</v>
      </c>
      <c r="P994" s="427">
        <f t="shared" si="136"/>
        <v>0.17287764705882352</v>
      </c>
      <c r="Q994" s="426">
        <f t="shared" si="137"/>
        <v>0.7508213881948782</v>
      </c>
      <c r="R994" s="532">
        <f t="shared" si="140"/>
        <v>2.325923548677861E-2</v>
      </c>
    </row>
    <row r="995" spans="1:18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608">
        <f t="shared" si="138"/>
        <v>72.5</v>
      </c>
      <c r="G995" s="330">
        <v>2</v>
      </c>
      <c r="H995" s="330">
        <v>2</v>
      </c>
      <c r="I995" s="330"/>
      <c r="J995" s="330"/>
      <c r="K995" s="386">
        <f t="shared" si="139"/>
        <v>2</v>
      </c>
      <c r="L995" s="187">
        <f t="shared" si="133"/>
        <v>4.7058823529411766E-4</v>
      </c>
      <c r="M995" s="315">
        <f t="shared" si="134"/>
        <v>1.0678258823529412</v>
      </c>
      <c r="N995" s="425">
        <f t="shared" si="135"/>
        <v>0.39263957694117652</v>
      </c>
      <c r="O995" s="498">
        <v>0.4106214865708932</v>
      </c>
      <c r="P995" s="427">
        <f t="shared" si="136"/>
        <v>0.11525176470588236</v>
      </c>
      <c r="Q995" s="426">
        <f t="shared" si="137"/>
        <v>0.50054759212991884</v>
      </c>
      <c r="R995" s="532">
        <f t="shared" si="140"/>
        <v>2.7397775318219218E-2</v>
      </c>
    </row>
    <row r="996" spans="1:18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608">
        <f t="shared" si="138"/>
        <v>237.6</v>
      </c>
      <c r="G996" s="330">
        <v>6</v>
      </c>
      <c r="H996" s="330">
        <v>6</v>
      </c>
      <c r="I996" s="330"/>
      <c r="J996" s="330"/>
      <c r="K996" s="386">
        <f t="shared" si="139"/>
        <v>6</v>
      </c>
      <c r="L996" s="187">
        <f t="shared" si="133"/>
        <v>1.411764705882353E-3</v>
      </c>
      <c r="M996" s="315">
        <f t="shared" si="134"/>
        <v>3.2034776470588238</v>
      </c>
      <c r="N996" s="425">
        <f t="shared" si="135"/>
        <v>1.1779187308235295</v>
      </c>
      <c r="O996" s="498">
        <v>1.2318644597126795</v>
      </c>
      <c r="P996" s="427">
        <f t="shared" si="136"/>
        <v>0.34575529411764705</v>
      </c>
      <c r="Q996" s="426">
        <f t="shared" si="137"/>
        <v>1.5016427763897564</v>
      </c>
      <c r="R996" s="532">
        <f t="shared" si="140"/>
        <v>2.5080034224379967E-2</v>
      </c>
    </row>
    <row r="997" spans="1:18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608">
        <f t="shared" si="138"/>
        <v>106.4</v>
      </c>
      <c r="G997" s="330">
        <v>2</v>
      </c>
      <c r="H997" s="330">
        <v>2</v>
      </c>
      <c r="I997" s="330"/>
      <c r="J997" s="330"/>
      <c r="K997" s="386">
        <f t="shared" si="139"/>
        <v>2</v>
      </c>
      <c r="L997" s="187">
        <f t="shared" si="133"/>
        <v>4.7058823529411766E-4</v>
      </c>
      <c r="M997" s="315">
        <f t="shared" si="134"/>
        <v>1.0678258823529412</v>
      </c>
      <c r="N997" s="425">
        <f t="shared" si="135"/>
        <v>0.39263957694117652</v>
      </c>
      <c r="O997" s="498">
        <v>0.4106214865708932</v>
      </c>
      <c r="P997" s="427">
        <f t="shared" si="136"/>
        <v>0.11525176470588236</v>
      </c>
      <c r="Q997" s="426">
        <f t="shared" si="137"/>
        <v>0.50054759212991884</v>
      </c>
      <c r="R997" s="532">
        <f t="shared" si="140"/>
        <v>1.866859690386178E-2</v>
      </c>
    </row>
    <row r="998" spans="1:18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608">
        <f t="shared" si="138"/>
        <v>348.62</v>
      </c>
      <c r="G998" s="330">
        <v>8</v>
      </c>
      <c r="H998" s="330">
        <v>8</v>
      </c>
      <c r="I998" s="330"/>
      <c r="J998" s="330"/>
      <c r="K998" s="386">
        <f t="shared" si="139"/>
        <v>8</v>
      </c>
      <c r="L998" s="187">
        <f t="shared" si="133"/>
        <v>1.8823529411764706E-3</v>
      </c>
      <c r="M998" s="315">
        <f t="shared" si="134"/>
        <v>4.2713035294117647</v>
      </c>
      <c r="N998" s="425">
        <f t="shared" si="135"/>
        <v>1.5705583077647061</v>
      </c>
      <c r="O998" s="498">
        <v>1.6424859462835728</v>
      </c>
      <c r="P998" s="427">
        <f t="shared" si="136"/>
        <v>0.46100705882352944</v>
      </c>
      <c r="Q998" s="426">
        <f t="shared" si="137"/>
        <v>2.0021903685196754</v>
      </c>
      <c r="R998" s="532">
        <f t="shared" si="140"/>
        <v>2.279087499937919E-2</v>
      </c>
    </row>
    <row r="999" spans="1:18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608">
        <f t="shared" si="138"/>
        <v>360.12</v>
      </c>
      <c r="G999" s="330">
        <v>8</v>
      </c>
      <c r="H999" s="330">
        <v>8</v>
      </c>
      <c r="I999" s="330"/>
      <c r="J999" s="330"/>
      <c r="K999" s="386">
        <f t="shared" si="139"/>
        <v>8</v>
      </c>
      <c r="L999" s="187">
        <f t="shared" si="133"/>
        <v>1.8823529411764706E-3</v>
      </c>
      <c r="M999" s="315">
        <f t="shared" si="134"/>
        <v>4.2713035294117647</v>
      </c>
      <c r="N999" s="425">
        <f t="shared" si="135"/>
        <v>1.5705583077647061</v>
      </c>
      <c r="O999" s="498">
        <v>1.6424859462835728</v>
      </c>
      <c r="P999" s="427">
        <f t="shared" si="136"/>
        <v>0.46100705882352944</v>
      </c>
      <c r="Q999" s="426">
        <f t="shared" si="137"/>
        <v>2.0021903685196754</v>
      </c>
      <c r="R999" s="532">
        <f t="shared" si="140"/>
        <v>2.2063075758868081E-2</v>
      </c>
    </row>
    <row r="1000" spans="1:18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608">
        <f t="shared" si="138"/>
        <v>301.69</v>
      </c>
      <c r="G1000" s="330">
        <v>9</v>
      </c>
      <c r="H1000" s="330">
        <v>9</v>
      </c>
      <c r="I1000" s="330"/>
      <c r="J1000" s="330"/>
      <c r="K1000" s="386">
        <f t="shared" si="139"/>
        <v>9</v>
      </c>
      <c r="L1000" s="187">
        <f t="shared" si="133"/>
        <v>2.1176470588235297E-3</v>
      </c>
      <c r="M1000" s="315">
        <f t="shared" si="134"/>
        <v>4.8052164705882365</v>
      </c>
      <c r="N1000" s="425">
        <f t="shared" si="135"/>
        <v>1.7668780962352948</v>
      </c>
      <c r="O1000" s="498">
        <v>1.8477966895690194</v>
      </c>
      <c r="P1000" s="427">
        <f t="shared" si="136"/>
        <v>0.51863294117647063</v>
      </c>
      <c r="Q1000" s="426">
        <f t="shared" si="137"/>
        <v>2.2524641645846351</v>
      </c>
      <c r="R1000" s="532">
        <f t="shared" si="140"/>
        <v>2.9628175271202293E-2</v>
      </c>
    </row>
    <row r="1001" spans="1:18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608">
        <f t="shared" si="138"/>
        <v>136.1</v>
      </c>
      <c r="G1001" s="330">
        <v>6</v>
      </c>
      <c r="H1001" s="330">
        <v>6</v>
      </c>
      <c r="I1001" s="330"/>
      <c r="J1001" s="330"/>
      <c r="K1001" s="386">
        <f t="shared" si="139"/>
        <v>6</v>
      </c>
      <c r="L1001" s="187">
        <f t="shared" si="133"/>
        <v>1.411764705882353E-3</v>
      </c>
      <c r="M1001" s="315">
        <f t="shared" si="134"/>
        <v>3.2034776470588238</v>
      </c>
      <c r="N1001" s="425">
        <f t="shared" si="135"/>
        <v>1.1779187308235295</v>
      </c>
      <c r="O1001" s="498">
        <v>1.2318644597126795</v>
      </c>
      <c r="P1001" s="427">
        <f t="shared" si="136"/>
        <v>0.34575529411764705</v>
      </c>
      <c r="Q1001" s="426">
        <f t="shared" si="137"/>
        <v>1.5016427763897564</v>
      </c>
      <c r="R1001" s="532">
        <f t="shared" si="140"/>
        <v>4.3784100894288615E-2</v>
      </c>
    </row>
    <row r="1002" spans="1:18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608">
        <f t="shared" si="138"/>
        <v>113.9</v>
      </c>
      <c r="G1002" s="330">
        <v>7</v>
      </c>
      <c r="H1002" s="330">
        <v>7</v>
      </c>
      <c r="I1002" s="330"/>
      <c r="J1002" s="330"/>
      <c r="K1002" s="386">
        <f t="shared" si="139"/>
        <v>7</v>
      </c>
      <c r="L1002" s="187">
        <f t="shared" si="133"/>
        <v>1.6470588235294118E-3</v>
      </c>
      <c r="M1002" s="315">
        <f t="shared" si="134"/>
        <v>3.7373905882352942</v>
      </c>
      <c r="N1002" s="425">
        <f t="shared" si="135"/>
        <v>1.3742385192941178</v>
      </c>
      <c r="O1002" s="498">
        <v>1.4371752029981262</v>
      </c>
      <c r="P1002" s="427">
        <f t="shared" si="136"/>
        <v>0.40338117647058824</v>
      </c>
      <c r="Q1002" s="426">
        <f t="shared" si="137"/>
        <v>1.7519165724547159</v>
      </c>
      <c r="R1002" s="532">
        <f t="shared" si="140"/>
        <v>6.1037624995593731E-2</v>
      </c>
    </row>
    <row r="1003" spans="1:18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608">
        <f t="shared" si="138"/>
        <v>566.45000000000005</v>
      </c>
      <c r="G1003" s="330">
        <v>18</v>
      </c>
      <c r="H1003" s="330">
        <v>18</v>
      </c>
      <c r="I1003" s="330"/>
      <c r="J1003" s="330"/>
      <c r="K1003" s="386">
        <f t="shared" si="139"/>
        <v>18</v>
      </c>
      <c r="L1003" s="187">
        <f t="shared" si="133"/>
        <v>4.2352941176470593E-3</v>
      </c>
      <c r="M1003" s="315">
        <f t="shared" si="134"/>
        <v>9.6104329411764731</v>
      </c>
      <c r="N1003" s="425">
        <f t="shared" si="135"/>
        <v>3.5337561924705896</v>
      </c>
      <c r="O1003" s="498">
        <v>3.6955933791380389</v>
      </c>
      <c r="P1003" s="427">
        <f t="shared" si="136"/>
        <v>1.0372658823529413</v>
      </c>
      <c r="Q1003" s="426">
        <f t="shared" si="137"/>
        <v>4.5049283291692701</v>
      </c>
      <c r="R1003" s="532">
        <f t="shared" si="140"/>
        <v>3.155979944414871E-2</v>
      </c>
    </row>
    <row r="1004" spans="1:18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608">
        <f t="shared" si="138"/>
        <v>760.45</v>
      </c>
      <c r="G1004" s="330">
        <v>17</v>
      </c>
      <c r="H1004" s="330">
        <v>17</v>
      </c>
      <c r="I1004" s="330"/>
      <c r="J1004" s="330"/>
      <c r="K1004" s="386">
        <f t="shared" si="139"/>
        <v>17</v>
      </c>
      <c r="L1004" s="187">
        <f t="shared" si="133"/>
        <v>4.0000000000000001E-3</v>
      </c>
      <c r="M1004" s="315">
        <f t="shared" si="134"/>
        <v>9.0765200000000004</v>
      </c>
      <c r="N1004" s="425">
        <f t="shared" ref="N1004:N1065" si="141">M1004*0.3677</f>
        <v>3.3374364040000004</v>
      </c>
      <c r="O1004" s="498">
        <v>3.4902826358525925</v>
      </c>
      <c r="P1004" s="427">
        <f t="shared" si="136"/>
        <v>0.97963999999999996</v>
      </c>
      <c r="Q1004" s="426">
        <f t="shared" si="137"/>
        <v>4.2546545331043104</v>
      </c>
      <c r="R1004" s="532">
        <f t="shared" si="140"/>
        <v>2.2202484107900052E-2</v>
      </c>
    </row>
    <row r="1005" spans="1:18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608">
        <f t="shared" si="138"/>
        <v>275.3</v>
      </c>
      <c r="G1005" s="330">
        <v>5</v>
      </c>
      <c r="H1005" s="330">
        <v>5</v>
      </c>
      <c r="I1005" s="330"/>
      <c r="J1005" s="330"/>
      <c r="K1005" s="386">
        <f t="shared" si="139"/>
        <v>5</v>
      </c>
      <c r="L1005" s="187">
        <f t="shared" si="133"/>
        <v>1.1764705882352942E-3</v>
      </c>
      <c r="M1005" s="315">
        <f t="shared" si="134"/>
        <v>2.6695647058823533</v>
      </c>
      <c r="N1005" s="425">
        <f t="shared" si="141"/>
        <v>0.98159894235294143</v>
      </c>
      <c r="O1005" s="498">
        <v>1.0265537164272329</v>
      </c>
      <c r="P1005" s="427">
        <f t="shared" si="136"/>
        <v>0.28812941176470591</v>
      </c>
      <c r="Q1005" s="426">
        <f t="shared" si="137"/>
        <v>1.2513689803247969</v>
      </c>
      <c r="R1005" s="532">
        <f t="shared" si="140"/>
        <v>1.8037946881319405E-2</v>
      </c>
    </row>
    <row r="1006" spans="1:18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608">
        <f t="shared" si="138"/>
        <v>384.4</v>
      </c>
      <c r="G1006" s="330">
        <v>8</v>
      </c>
      <c r="H1006" s="330">
        <v>8</v>
      </c>
      <c r="I1006" s="330"/>
      <c r="J1006" s="330"/>
      <c r="K1006" s="386">
        <f t="shared" si="139"/>
        <v>8</v>
      </c>
      <c r="L1006" s="187">
        <f t="shared" si="133"/>
        <v>1.8823529411764706E-3</v>
      </c>
      <c r="M1006" s="315">
        <f t="shared" si="134"/>
        <v>4.2713035294117647</v>
      </c>
      <c r="N1006" s="425">
        <f t="shared" si="141"/>
        <v>1.5705583077647061</v>
      </c>
      <c r="O1006" s="498">
        <v>1.6424859462835728</v>
      </c>
      <c r="P1006" s="427">
        <f t="shared" si="136"/>
        <v>0.46100705882352944</v>
      </c>
      <c r="Q1006" s="426">
        <f t="shared" si="137"/>
        <v>2.0021903685196754</v>
      </c>
      <c r="R1006" s="532">
        <f t="shared" si="140"/>
        <v>2.0669497508542075E-2</v>
      </c>
    </row>
    <row r="1007" spans="1:18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608">
        <f t="shared" si="138"/>
        <v>207.2</v>
      </c>
      <c r="G1007" s="330">
        <v>6</v>
      </c>
      <c r="H1007" s="330">
        <v>6</v>
      </c>
      <c r="I1007" s="330"/>
      <c r="J1007" s="330"/>
      <c r="K1007" s="386">
        <f t="shared" si="139"/>
        <v>6</v>
      </c>
      <c r="L1007" s="187">
        <f t="shared" si="133"/>
        <v>1.411764705882353E-3</v>
      </c>
      <c r="M1007" s="315">
        <f t="shared" si="134"/>
        <v>3.2034776470588238</v>
      </c>
      <c r="N1007" s="425">
        <f t="shared" si="141"/>
        <v>1.1779187308235295</v>
      </c>
      <c r="O1007" s="498">
        <v>1.2318644597126795</v>
      </c>
      <c r="P1007" s="427">
        <f t="shared" si="136"/>
        <v>0.34575529411764705</v>
      </c>
      <c r="Q1007" s="426">
        <f t="shared" si="137"/>
        <v>1.5016427763897564</v>
      </c>
      <c r="R1007" s="532">
        <f t="shared" si="140"/>
        <v>2.875973036540869E-2</v>
      </c>
    </row>
    <row r="1008" spans="1:18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608">
        <f t="shared" si="138"/>
        <v>603.70000000000005</v>
      </c>
      <c r="G1008" s="330">
        <v>19</v>
      </c>
      <c r="H1008" s="330">
        <v>19</v>
      </c>
      <c r="I1008" s="330"/>
      <c r="J1008" s="330"/>
      <c r="K1008" s="386">
        <f t="shared" si="139"/>
        <v>19</v>
      </c>
      <c r="L1008" s="187">
        <f t="shared" si="133"/>
        <v>4.4705882352941177E-3</v>
      </c>
      <c r="M1008" s="315">
        <f t="shared" si="134"/>
        <v>10.144345882352942</v>
      </c>
      <c r="N1008" s="425">
        <f t="shared" si="141"/>
        <v>3.730075980941177</v>
      </c>
      <c r="O1008" s="498">
        <v>3.9009041224234853</v>
      </c>
      <c r="P1008" s="427">
        <f t="shared" si="136"/>
        <v>1.0948917647058825</v>
      </c>
      <c r="Q1008" s="426">
        <f t="shared" si="137"/>
        <v>4.7552021252342289</v>
      </c>
      <c r="R1008" s="532">
        <f t="shared" si="140"/>
        <v>3.1257607670073684E-2</v>
      </c>
    </row>
    <row r="1009" spans="1:18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608">
        <f t="shared" si="138"/>
        <v>477.8</v>
      </c>
      <c r="G1009" s="330">
        <v>12</v>
      </c>
      <c r="H1009" s="330">
        <v>12</v>
      </c>
      <c r="I1009" s="330"/>
      <c r="J1009" s="330"/>
      <c r="K1009" s="386">
        <f t="shared" si="139"/>
        <v>12</v>
      </c>
      <c r="L1009" s="187">
        <f t="shared" ref="L1009:L1072" si="142">1.5/6375*K1009</f>
        <v>2.8235294117647061E-3</v>
      </c>
      <c r="M1009" s="315">
        <f t="shared" ref="M1009:M1072" si="143">L1009*2269.13</f>
        <v>6.4069552941176475</v>
      </c>
      <c r="N1009" s="425">
        <f t="shared" si="141"/>
        <v>2.355837461647059</v>
      </c>
      <c r="O1009" s="498">
        <v>2.4637289194253591</v>
      </c>
      <c r="P1009" s="427">
        <f t="shared" ref="P1009:P1072" si="144">L1009*244.91</f>
        <v>0.6915105882352941</v>
      </c>
      <c r="Q1009" s="426">
        <f t="shared" si="137"/>
        <v>3.0032855527795128</v>
      </c>
      <c r="R1009" s="532">
        <f t="shared" si="140"/>
        <v>2.4943558525377479E-2</v>
      </c>
    </row>
    <row r="1010" spans="1:18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608">
        <f t="shared" si="138"/>
        <v>481.5</v>
      </c>
      <c r="G1010" s="330">
        <v>12</v>
      </c>
      <c r="H1010" s="330">
        <v>12</v>
      </c>
      <c r="I1010" s="330"/>
      <c r="J1010" s="330"/>
      <c r="K1010" s="386">
        <f t="shared" si="139"/>
        <v>12</v>
      </c>
      <c r="L1010" s="187">
        <f t="shared" si="142"/>
        <v>2.8235294117647061E-3</v>
      </c>
      <c r="M1010" s="315">
        <f t="shared" si="143"/>
        <v>6.4069552941176475</v>
      </c>
      <c r="N1010" s="425">
        <f t="shared" si="141"/>
        <v>2.355837461647059</v>
      </c>
      <c r="O1010" s="498">
        <v>2.4637289194253591</v>
      </c>
      <c r="P1010" s="427">
        <f t="shared" si="144"/>
        <v>0.6915105882352941</v>
      </c>
      <c r="Q1010" s="426">
        <f t="shared" ref="Q1010:Q1073" si="145">O1010*1.219</f>
        <v>3.0032855527795128</v>
      </c>
      <c r="R1010" s="532">
        <f t="shared" si="140"/>
        <v>2.4751884243874062E-2</v>
      </c>
    </row>
    <row r="1011" spans="1:18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608">
        <f t="shared" si="138"/>
        <v>539.4</v>
      </c>
      <c r="G1011" s="330">
        <v>13</v>
      </c>
      <c r="H1011" s="330">
        <v>13</v>
      </c>
      <c r="I1011" s="330"/>
      <c r="J1011" s="330"/>
      <c r="K1011" s="386">
        <f t="shared" si="139"/>
        <v>13</v>
      </c>
      <c r="L1011" s="187">
        <f t="shared" si="142"/>
        <v>3.0588235294117649E-3</v>
      </c>
      <c r="M1011" s="315">
        <f t="shared" si="143"/>
        <v>6.9408682352941184</v>
      </c>
      <c r="N1011" s="425">
        <f t="shared" si="141"/>
        <v>2.5521572501176477</v>
      </c>
      <c r="O1011" s="498">
        <v>2.6690396627108059</v>
      </c>
      <c r="P1011" s="427">
        <f t="shared" si="144"/>
        <v>0.74913647058823529</v>
      </c>
      <c r="Q1011" s="426">
        <f t="shared" si="145"/>
        <v>3.2535593488444725</v>
      </c>
      <c r="R1011" s="532">
        <f t="shared" si="140"/>
        <v>2.3936228436616254E-2</v>
      </c>
    </row>
    <row r="1012" spans="1:18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608">
        <f t="shared" si="138"/>
        <v>120.6</v>
      </c>
      <c r="G1012" s="330">
        <v>4</v>
      </c>
      <c r="H1012" s="330">
        <v>4</v>
      </c>
      <c r="I1012" s="330"/>
      <c r="J1012" s="330"/>
      <c r="K1012" s="386">
        <f t="shared" si="139"/>
        <v>4</v>
      </c>
      <c r="L1012" s="187">
        <f t="shared" si="142"/>
        <v>9.4117647058823532E-4</v>
      </c>
      <c r="M1012" s="315">
        <f t="shared" si="143"/>
        <v>2.1356517647058824</v>
      </c>
      <c r="N1012" s="425">
        <f t="shared" si="141"/>
        <v>0.78527915388235303</v>
      </c>
      <c r="O1012" s="498">
        <v>0.8212429731417864</v>
      </c>
      <c r="P1012" s="427">
        <f t="shared" si="144"/>
        <v>0.23050352941176472</v>
      </c>
      <c r="Q1012" s="426">
        <f t="shared" si="145"/>
        <v>1.0010951842598377</v>
      </c>
      <c r="R1012" s="532">
        <f t="shared" si="140"/>
        <v>3.2940940473812498E-2</v>
      </c>
    </row>
    <row r="1013" spans="1:18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608">
        <f t="shared" si="138"/>
        <v>98.1</v>
      </c>
      <c r="G1013" s="330">
        <v>3</v>
      </c>
      <c r="H1013" s="330">
        <v>3</v>
      </c>
      <c r="I1013" s="330"/>
      <c r="J1013" s="330"/>
      <c r="K1013" s="386">
        <f t="shared" si="139"/>
        <v>3</v>
      </c>
      <c r="L1013" s="187">
        <f t="shared" si="142"/>
        <v>7.0588235294117652E-4</v>
      </c>
      <c r="M1013" s="315">
        <f t="shared" si="143"/>
        <v>1.6017388235294119</v>
      </c>
      <c r="N1013" s="425">
        <f t="shared" si="141"/>
        <v>0.58895936541176475</v>
      </c>
      <c r="O1013" s="498">
        <v>0.61593222985633977</v>
      </c>
      <c r="P1013" s="427">
        <f t="shared" si="144"/>
        <v>0.17287764705882352</v>
      </c>
      <c r="Q1013" s="426">
        <f t="shared" si="145"/>
        <v>0.7508213881948782</v>
      </c>
      <c r="R1013" s="532">
        <f t="shared" si="140"/>
        <v>3.0372151537781247E-2</v>
      </c>
    </row>
    <row r="1014" spans="1:18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608">
        <f t="shared" si="138"/>
        <v>95.2</v>
      </c>
      <c r="G1014" s="330">
        <v>4</v>
      </c>
      <c r="H1014" s="330">
        <v>4</v>
      </c>
      <c r="I1014" s="330"/>
      <c r="J1014" s="330"/>
      <c r="K1014" s="386">
        <f t="shared" si="139"/>
        <v>4</v>
      </c>
      <c r="L1014" s="187">
        <f t="shared" si="142"/>
        <v>9.4117647058823532E-4</v>
      </c>
      <c r="M1014" s="315">
        <f t="shared" si="143"/>
        <v>2.1356517647058824</v>
      </c>
      <c r="N1014" s="425">
        <f t="shared" si="141"/>
        <v>0.78527915388235303</v>
      </c>
      <c r="O1014" s="498">
        <v>0.8212429731417864</v>
      </c>
      <c r="P1014" s="427">
        <f t="shared" si="144"/>
        <v>0.23050352941176472</v>
      </c>
      <c r="Q1014" s="426">
        <f t="shared" si="145"/>
        <v>1.0010951842598377</v>
      </c>
      <c r="R1014" s="532">
        <f t="shared" si="140"/>
        <v>4.1729804843926334E-2</v>
      </c>
    </row>
    <row r="1015" spans="1:18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608">
        <f t="shared" si="138"/>
        <v>2329.16</v>
      </c>
      <c r="G1015" s="330">
        <v>40</v>
      </c>
      <c r="H1015" s="330">
        <v>40</v>
      </c>
      <c r="I1015" s="330"/>
      <c r="J1015" s="330"/>
      <c r="K1015" s="386">
        <f t="shared" si="139"/>
        <v>40</v>
      </c>
      <c r="L1015" s="187">
        <f t="shared" si="142"/>
        <v>9.4117647058823539E-3</v>
      </c>
      <c r="M1015" s="315">
        <f t="shared" si="143"/>
        <v>21.356517647058826</v>
      </c>
      <c r="N1015" s="425">
        <f t="shared" si="141"/>
        <v>7.8527915388235314</v>
      </c>
      <c r="O1015" s="498">
        <v>8.2124297314178634</v>
      </c>
      <c r="P1015" s="427">
        <f t="shared" si="144"/>
        <v>2.3050352941176473</v>
      </c>
      <c r="Q1015" s="426">
        <f t="shared" si="145"/>
        <v>10.010951842598375</v>
      </c>
      <c r="R1015" s="532">
        <f t="shared" si="140"/>
        <v>1.7056266727669144E-2</v>
      </c>
    </row>
    <row r="1016" spans="1:18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608">
        <f t="shared" si="138"/>
        <v>188</v>
      </c>
      <c r="G1016" s="330">
        <v>4</v>
      </c>
      <c r="H1016" s="330">
        <v>4</v>
      </c>
      <c r="I1016" s="330"/>
      <c r="J1016" s="330"/>
      <c r="K1016" s="386">
        <f t="shared" si="139"/>
        <v>4</v>
      </c>
      <c r="L1016" s="187">
        <f t="shared" si="142"/>
        <v>9.4117647058823532E-4</v>
      </c>
      <c r="M1016" s="315">
        <f t="shared" si="143"/>
        <v>2.1356517647058824</v>
      </c>
      <c r="N1016" s="425">
        <f t="shared" si="141"/>
        <v>0.78527915388235303</v>
      </c>
      <c r="O1016" s="498">
        <v>0.8212429731417864</v>
      </c>
      <c r="P1016" s="427">
        <f t="shared" si="144"/>
        <v>0.23050352941176472</v>
      </c>
      <c r="Q1016" s="426">
        <f t="shared" si="145"/>
        <v>1.0010951842598377</v>
      </c>
      <c r="R1016" s="532">
        <f t="shared" si="140"/>
        <v>2.113126287841376E-2</v>
      </c>
    </row>
    <row r="1017" spans="1:18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608">
        <f t="shared" si="138"/>
        <v>110.1</v>
      </c>
      <c r="G1017" s="330">
        <v>3</v>
      </c>
      <c r="H1017" s="330">
        <v>3</v>
      </c>
      <c r="I1017" s="330"/>
      <c r="J1017" s="330"/>
      <c r="K1017" s="386">
        <f t="shared" si="139"/>
        <v>3</v>
      </c>
      <c r="L1017" s="187">
        <f t="shared" si="142"/>
        <v>7.0588235294117652E-4</v>
      </c>
      <c r="M1017" s="315">
        <f t="shared" si="143"/>
        <v>1.6017388235294119</v>
      </c>
      <c r="N1017" s="425">
        <f t="shared" si="141"/>
        <v>0.58895936541176475</v>
      </c>
      <c r="O1017" s="498">
        <v>0.61593222985633977</v>
      </c>
      <c r="P1017" s="427">
        <f t="shared" si="144"/>
        <v>0.17287764705882352</v>
      </c>
      <c r="Q1017" s="426">
        <f t="shared" si="145"/>
        <v>0.7508213881948782</v>
      </c>
      <c r="R1017" s="532">
        <f t="shared" si="140"/>
        <v>2.706183529388138E-2</v>
      </c>
    </row>
    <row r="1018" spans="1:18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608">
        <f t="shared" si="138"/>
        <v>215.8</v>
      </c>
      <c r="G1018" s="330">
        <v>4</v>
      </c>
      <c r="H1018" s="330">
        <v>4</v>
      </c>
      <c r="I1018" s="330"/>
      <c r="J1018" s="330"/>
      <c r="K1018" s="386">
        <f t="shared" si="139"/>
        <v>4</v>
      </c>
      <c r="L1018" s="187">
        <f t="shared" si="142"/>
        <v>9.4117647058823532E-4</v>
      </c>
      <c r="M1018" s="315">
        <f t="shared" si="143"/>
        <v>2.1356517647058824</v>
      </c>
      <c r="N1018" s="425">
        <f t="shared" si="141"/>
        <v>0.78527915388235303</v>
      </c>
      <c r="O1018" s="498">
        <v>0.8212429731417864</v>
      </c>
      <c r="P1018" s="427">
        <f t="shared" si="144"/>
        <v>0.23050352941176472</v>
      </c>
      <c r="Q1018" s="426">
        <f t="shared" si="145"/>
        <v>1.0010951842598377</v>
      </c>
      <c r="R1018" s="532">
        <f t="shared" si="140"/>
        <v>1.8409070533557861E-2</v>
      </c>
    </row>
    <row r="1019" spans="1:18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608">
        <f t="shared" si="138"/>
        <v>1481.3</v>
      </c>
      <c r="G1019" s="330">
        <v>32</v>
      </c>
      <c r="H1019" s="330">
        <v>32</v>
      </c>
      <c r="I1019" s="330"/>
      <c r="J1019" s="330"/>
      <c r="K1019" s="386">
        <f t="shared" si="139"/>
        <v>32</v>
      </c>
      <c r="L1019" s="187">
        <f t="shared" si="142"/>
        <v>7.5294117647058826E-3</v>
      </c>
      <c r="M1019" s="315">
        <f t="shared" si="143"/>
        <v>17.085214117647059</v>
      </c>
      <c r="N1019" s="425">
        <f t="shared" si="141"/>
        <v>6.2822332310588243</v>
      </c>
      <c r="O1019" s="498">
        <v>6.5699437851342912</v>
      </c>
      <c r="P1019" s="427">
        <f t="shared" si="144"/>
        <v>1.8440282352941177</v>
      </c>
      <c r="Q1019" s="426">
        <f t="shared" si="145"/>
        <v>8.0087614740787014</v>
      </c>
      <c r="R1019" s="532">
        <f t="shared" si="140"/>
        <v>2.1455086322240125E-2</v>
      </c>
    </row>
    <row r="1020" spans="1:18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608">
        <f t="shared" si="138"/>
        <v>152.6</v>
      </c>
      <c r="G1020" s="330">
        <v>6</v>
      </c>
      <c r="H1020" s="330">
        <v>6</v>
      </c>
      <c r="I1020" s="330"/>
      <c r="J1020" s="330"/>
      <c r="K1020" s="386">
        <f t="shared" si="139"/>
        <v>6</v>
      </c>
      <c r="L1020" s="187">
        <f t="shared" si="142"/>
        <v>1.411764705882353E-3</v>
      </c>
      <c r="M1020" s="315">
        <f t="shared" si="143"/>
        <v>3.2034776470588238</v>
      </c>
      <c r="N1020" s="425">
        <f t="shared" si="141"/>
        <v>1.1779187308235295</v>
      </c>
      <c r="O1020" s="498">
        <v>1.2318644597126795</v>
      </c>
      <c r="P1020" s="427">
        <f t="shared" si="144"/>
        <v>0.34575529411764705</v>
      </c>
      <c r="Q1020" s="426">
        <f t="shared" si="145"/>
        <v>1.5016427763897564</v>
      </c>
      <c r="R1020" s="532">
        <f t="shared" si="140"/>
        <v>3.9049909120004458E-2</v>
      </c>
    </row>
    <row r="1021" spans="1:18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608">
        <f t="shared" si="138"/>
        <v>110.9</v>
      </c>
      <c r="G1021" s="330">
        <v>2</v>
      </c>
      <c r="H1021" s="330">
        <v>2</v>
      </c>
      <c r="I1021" s="330"/>
      <c r="J1021" s="330"/>
      <c r="K1021" s="386">
        <f t="shared" si="139"/>
        <v>2</v>
      </c>
      <c r="L1021" s="187">
        <f t="shared" si="142"/>
        <v>4.7058823529411766E-4</v>
      </c>
      <c r="M1021" s="315">
        <f t="shared" si="143"/>
        <v>1.0678258823529412</v>
      </c>
      <c r="N1021" s="425">
        <f t="shared" si="141"/>
        <v>0.39263957694117652</v>
      </c>
      <c r="O1021" s="498">
        <v>0.4106214865708932</v>
      </c>
      <c r="P1021" s="427">
        <f t="shared" si="144"/>
        <v>0.11525176470588236</v>
      </c>
      <c r="Q1021" s="426">
        <f t="shared" si="145"/>
        <v>0.50054759212991884</v>
      </c>
      <c r="R1021" s="532">
        <f t="shared" si="140"/>
        <v>1.7911079446085602E-2</v>
      </c>
    </row>
    <row r="1022" spans="1:18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608">
        <f t="shared" si="138"/>
        <v>59.5</v>
      </c>
      <c r="G1022" s="330">
        <v>2</v>
      </c>
      <c r="H1022" s="330">
        <v>2</v>
      </c>
      <c r="I1022" s="330"/>
      <c r="J1022" s="330"/>
      <c r="K1022" s="386">
        <f t="shared" si="139"/>
        <v>2</v>
      </c>
      <c r="L1022" s="187">
        <f t="shared" si="142"/>
        <v>4.7058823529411766E-4</v>
      </c>
      <c r="M1022" s="315">
        <f t="shared" si="143"/>
        <v>1.0678258823529412</v>
      </c>
      <c r="N1022" s="425">
        <f t="shared" si="141"/>
        <v>0.39263957694117652</v>
      </c>
      <c r="O1022" s="498">
        <v>0.4106214865708932</v>
      </c>
      <c r="P1022" s="427">
        <f t="shared" si="144"/>
        <v>0.11525176470588236</v>
      </c>
      <c r="Q1022" s="426">
        <f t="shared" si="145"/>
        <v>0.50054759212991884</v>
      </c>
      <c r="R1022" s="532">
        <f t="shared" si="140"/>
        <v>3.3383843875141067E-2</v>
      </c>
    </row>
    <row r="1023" spans="1:18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608">
        <f t="shared" si="138"/>
        <v>38.700000000000003</v>
      </c>
      <c r="G1023" s="330">
        <v>1</v>
      </c>
      <c r="H1023" s="330">
        <v>1</v>
      </c>
      <c r="I1023" s="330"/>
      <c r="J1023" s="330"/>
      <c r="K1023" s="386">
        <f t="shared" si="139"/>
        <v>1</v>
      </c>
      <c r="L1023" s="187">
        <f t="shared" si="142"/>
        <v>2.3529411764705883E-4</v>
      </c>
      <c r="M1023" s="315">
        <f t="shared" si="143"/>
        <v>0.53391294117647059</v>
      </c>
      <c r="N1023" s="425">
        <f t="shared" si="141"/>
        <v>0.19631978847058826</v>
      </c>
      <c r="O1023" s="498">
        <v>0.2053107432854466</v>
      </c>
      <c r="P1023" s="427">
        <f t="shared" si="144"/>
        <v>5.762588235294118E-2</v>
      </c>
      <c r="Q1023" s="426">
        <f t="shared" si="145"/>
        <v>0.25027379606495942</v>
      </c>
      <c r="R1023" s="532">
        <f t="shared" si="140"/>
        <v>2.5663290834249265E-2</v>
      </c>
    </row>
    <row r="1024" spans="1:18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608">
        <f t="shared" si="138"/>
        <v>72.3</v>
      </c>
      <c r="G1024" s="330">
        <v>2</v>
      </c>
      <c r="H1024" s="330">
        <v>2</v>
      </c>
      <c r="I1024" s="330"/>
      <c r="J1024" s="330"/>
      <c r="K1024" s="386">
        <f t="shared" si="139"/>
        <v>2</v>
      </c>
      <c r="L1024" s="187">
        <f t="shared" si="142"/>
        <v>4.7058823529411766E-4</v>
      </c>
      <c r="M1024" s="315">
        <f t="shared" si="143"/>
        <v>1.0678258823529412</v>
      </c>
      <c r="N1024" s="425">
        <f t="shared" si="141"/>
        <v>0.39263957694117652</v>
      </c>
      <c r="O1024" s="498">
        <v>0.4106214865708932</v>
      </c>
      <c r="P1024" s="427">
        <f t="shared" si="144"/>
        <v>0.11525176470588236</v>
      </c>
      <c r="Q1024" s="426">
        <f t="shared" si="145"/>
        <v>0.50054759212991884</v>
      </c>
      <c r="R1024" s="532">
        <f t="shared" si="140"/>
        <v>2.7473564461561458E-2</v>
      </c>
    </row>
    <row r="1025" spans="1:18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608">
        <f t="shared" si="138"/>
        <v>99.09</v>
      </c>
      <c r="G1025" s="330">
        <v>2</v>
      </c>
      <c r="H1025" s="330">
        <v>2</v>
      </c>
      <c r="I1025" s="330"/>
      <c r="J1025" s="330"/>
      <c r="K1025" s="386">
        <f t="shared" ref="K1025:K1086" si="146">H1025+I1025+J1025</f>
        <v>2</v>
      </c>
      <c r="L1025" s="187">
        <f t="shared" si="142"/>
        <v>4.7058823529411766E-4</v>
      </c>
      <c r="M1025" s="315">
        <f t="shared" si="143"/>
        <v>1.0678258823529412</v>
      </c>
      <c r="N1025" s="425">
        <f t="shared" si="141"/>
        <v>0.39263957694117652</v>
      </c>
      <c r="O1025" s="498">
        <v>0.4106214865708932</v>
      </c>
      <c r="P1025" s="427">
        <f t="shared" si="144"/>
        <v>0.11525176470588236</v>
      </c>
      <c r="Q1025" s="426">
        <f t="shared" si="145"/>
        <v>0.50054759212991884</v>
      </c>
      <c r="R1025" s="532">
        <f t="shared" si="140"/>
        <v>2.0045803921393615E-2</v>
      </c>
    </row>
    <row r="1026" spans="1:18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608">
        <f t="shared" ref="F1026:F1086" si="147">C1026+D1026+E1026</f>
        <v>78.7</v>
      </c>
      <c r="G1026" s="330">
        <v>3</v>
      </c>
      <c r="H1026" s="330">
        <v>3</v>
      </c>
      <c r="I1026" s="330"/>
      <c r="J1026" s="330"/>
      <c r="K1026" s="386">
        <f t="shared" si="146"/>
        <v>3</v>
      </c>
      <c r="L1026" s="187">
        <f t="shared" si="142"/>
        <v>7.0588235294117652E-4</v>
      </c>
      <c r="M1026" s="315">
        <f t="shared" si="143"/>
        <v>1.6017388235294119</v>
      </c>
      <c r="N1026" s="425">
        <f t="shared" si="141"/>
        <v>0.58895936541176475</v>
      </c>
      <c r="O1026" s="498">
        <v>0.61593222985633977</v>
      </c>
      <c r="P1026" s="427">
        <f t="shared" si="144"/>
        <v>0.17287764705882352</v>
      </c>
      <c r="Q1026" s="426">
        <f t="shared" si="145"/>
        <v>0.7508213881948782</v>
      </c>
      <c r="R1026" s="532">
        <f t="shared" si="140"/>
        <v>3.7859060557259717E-2</v>
      </c>
    </row>
    <row r="1027" spans="1:18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608">
        <f t="shared" si="147"/>
        <v>557.9</v>
      </c>
      <c r="G1027" s="330">
        <v>12</v>
      </c>
      <c r="H1027" s="330">
        <v>12</v>
      </c>
      <c r="I1027" s="330"/>
      <c r="J1027" s="330"/>
      <c r="K1027" s="386">
        <f t="shared" si="146"/>
        <v>12</v>
      </c>
      <c r="L1027" s="187">
        <f t="shared" si="142"/>
        <v>2.8235294117647061E-3</v>
      </c>
      <c r="M1027" s="315">
        <f t="shared" si="143"/>
        <v>6.4069552941176475</v>
      </c>
      <c r="N1027" s="425">
        <f t="shared" si="141"/>
        <v>2.355837461647059</v>
      </c>
      <c r="O1027" s="498">
        <v>2.4637289194253591</v>
      </c>
      <c r="P1027" s="427">
        <f t="shared" si="144"/>
        <v>0.6915105882352941</v>
      </c>
      <c r="Q1027" s="426">
        <f t="shared" si="145"/>
        <v>3.0032855527795128</v>
      </c>
      <c r="R1027" s="532">
        <f t="shared" si="140"/>
        <v>2.1362309129638574E-2</v>
      </c>
    </row>
    <row r="1028" spans="1:18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608">
        <f t="shared" si="147"/>
        <v>122.5</v>
      </c>
      <c r="G1028" s="330">
        <v>4</v>
      </c>
      <c r="H1028" s="330">
        <v>4</v>
      </c>
      <c r="I1028" s="330"/>
      <c r="J1028" s="330"/>
      <c r="K1028" s="386">
        <f t="shared" si="146"/>
        <v>4</v>
      </c>
      <c r="L1028" s="187">
        <f t="shared" si="142"/>
        <v>9.4117647058823532E-4</v>
      </c>
      <c r="M1028" s="315">
        <f t="shared" si="143"/>
        <v>2.1356517647058824</v>
      </c>
      <c r="N1028" s="425">
        <f t="shared" si="141"/>
        <v>0.78527915388235303</v>
      </c>
      <c r="O1028" s="498">
        <v>0.8212429731417864</v>
      </c>
      <c r="P1028" s="427">
        <f t="shared" si="144"/>
        <v>0.23050352941176472</v>
      </c>
      <c r="Q1028" s="426">
        <f t="shared" si="145"/>
        <v>1.0010951842598377</v>
      </c>
      <c r="R1028" s="532">
        <f t="shared" si="140"/>
        <v>3.2430019764422752E-2</v>
      </c>
    </row>
    <row r="1029" spans="1:18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08">
        <f t="shared" si="147"/>
        <v>275.5</v>
      </c>
      <c r="G1029" s="330">
        <v>5</v>
      </c>
      <c r="H1029" s="330">
        <v>5</v>
      </c>
      <c r="I1029" s="330">
        <v>1</v>
      </c>
      <c r="J1029" s="330"/>
      <c r="K1029" s="386">
        <f t="shared" si="146"/>
        <v>6</v>
      </c>
      <c r="L1029" s="187">
        <f t="shared" si="142"/>
        <v>1.411764705882353E-3</v>
      </c>
      <c r="M1029" s="315">
        <f t="shared" si="143"/>
        <v>3.2034776470588238</v>
      </c>
      <c r="N1029" s="425">
        <f t="shared" si="141"/>
        <v>1.1779187308235295</v>
      </c>
      <c r="O1029" s="498">
        <v>1.2318644597126795</v>
      </c>
      <c r="P1029" s="427">
        <f t="shared" si="144"/>
        <v>0.34575529411764705</v>
      </c>
      <c r="Q1029" s="426">
        <f t="shared" si="145"/>
        <v>1.5016427763897564</v>
      </c>
      <c r="R1029" s="532">
        <f t="shared" si="140"/>
        <v>2.4263094998830132E-2</v>
      </c>
    </row>
    <row r="1030" spans="1:18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608">
        <f t="shared" si="147"/>
        <v>189.1</v>
      </c>
      <c r="G1030" s="330">
        <v>6</v>
      </c>
      <c r="H1030" s="330">
        <v>6</v>
      </c>
      <c r="I1030" s="330"/>
      <c r="J1030" s="330"/>
      <c r="K1030" s="386">
        <f t="shared" si="146"/>
        <v>6</v>
      </c>
      <c r="L1030" s="187">
        <f t="shared" si="142"/>
        <v>1.411764705882353E-3</v>
      </c>
      <c r="M1030" s="315">
        <f t="shared" si="143"/>
        <v>3.2034776470588238</v>
      </c>
      <c r="N1030" s="425">
        <f t="shared" si="141"/>
        <v>1.1779187308235295</v>
      </c>
      <c r="O1030" s="498">
        <v>1.2318644597126795</v>
      </c>
      <c r="P1030" s="427">
        <f t="shared" si="144"/>
        <v>0.34575529411764705</v>
      </c>
      <c r="Q1030" s="426">
        <f t="shared" si="145"/>
        <v>1.5016427763897564</v>
      </c>
      <c r="R1030" s="532">
        <f t="shared" si="140"/>
        <v>3.1512512594990376E-2</v>
      </c>
    </row>
    <row r="1031" spans="1:18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608">
        <f t="shared" si="147"/>
        <v>590.4</v>
      </c>
      <c r="G1031" s="330">
        <v>15</v>
      </c>
      <c r="H1031" s="330">
        <v>15</v>
      </c>
      <c r="I1031" s="330"/>
      <c r="J1031" s="330"/>
      <c r="K1031" s="386">
        <f t="shared" si="146"/>
        <v>15</v>
      </c>
      <c r="L1031" s="187">
        <f t="shared" si="142"/>
        <v>3.5294117647058825E-3</v>
      </c>
      <c r="M1031" s="315">
        <f t="shared" si="143"/>
        <v>8.0086941176470603</v>
      </c>
      <c r="N1031" s="425">
        <f t="shared" si="141"/>
        <v>2.9447968270588243</v>
      </c>
      <c r="O1031" s="498">
        <v>3.0796611492816992</v>
      </c>
      <c r="P1031" s="427">
        <f t="shared" si="144"/>
        <v>0.86438823529411768</v>
      </c>
      <c r="Q1031" s="426">
        <f t="shared" si="145"/>
        <v>3.7541069409743915</v>
      </c>
      <c r="R1031" s="532">
        <f t="shared" si="140"/>
        <v>2.5232961262333507E-2</v>
      </c>
    </row>
    <row r="1032" spans="1:18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608">
        <f t="shared" si="147"/>
        <v>761.4</v>
      </c>
      <c r="G1032" s="330">
        <v>22</v>
      </c>
      <c r="H1032" s="330">
        <v>22</v>
      </c>
      <c r="I1032" s="330"/>
      <c r="J1032" s="330"/>
      <c r="K1032" s="386">
        <f t="shared" si="146"/>
        <v>22</v>
      </c>
      <c r="L1032" s="187">
        <f t="shared" si="142"/>
        <v>5.1764705882352945E-3</v>
      </c>
      <c r="M1032" s="315">
        <f t="shared" si="143"/>
        <v>11.746084705882355</v>
      </c>
      <c r="N1032" s="425">
        <f t="shared" si="141"/>
        <v>4.3190353463529423</v>
      </c>
      <c r="O1032" s="498">
        <v>4.5168363522798245</v>
      </c>
      <c r="P1032" s="427">
        <f t="shared" si="144"/>
        <v>1.267769411764706</v>
      </c>
      <c r="Q1032" s="426">
        <f t="shared" si="145"/>
        <v>5.5060235134291062</v>
      </c>
      <c r="R1032" s="532">
        <f t="shared" si="140"/>
        <v>2.8696776748463132E-2</v>
      </c>
    </row>
    <row r="1033" spans="1:18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08">
        <f t="shared" si="147"/>
        <v>577.12</v>
      </c>
      <c r="G1033" s="330">
        <v>17</v>
      </c>
      <c r="H1033" s="330">
        <v>17</v>
      </c>
      <c r="I1033" s="330"/>
      <c r="J1033" s="730">
        <v>1</v>
      </c>
      <c r="K1033" s="386">
        <f t="shared" si="146"/>
        <v>18</v>
      </c>
      <c r="L1033" s="187">
        <f t="shared" si="142"/>
        <v>4.2352941176470593E-3</v>
      </c>
      <c r="M1033" s="315">
        <f t="shared" si="143"/>
        <v>9.6104329411764731</v>
      </c>
      <c r="N1033" s="425">
        <f t="shared" si="141"/>
        <v>3.5337561924705896</v>
      </c>
      <c r="O1033" s="498">
        <v>3.6955933791380389</v>
      </c>
      <c r="P1033" s="427">
        <f t="shared" si="144"/>
        <v>1.0372658823529413</v>
      </c>
      <c r="Q1033" s="426">
        <f t="shared" si="145"/>
        <v>4.5049283291692701</v>
      </c>
      <c r="R1033" s="532">
        <f t="shared" si="140"/>
        <v>3.3178145568349429E-2</v>
      </c>
    </row>
    <row r="1034" spans="1:18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08">
        <f t="shared" si="147"/>
        <v>136.80000000000001</v>
      </c>
      <c r="G1034" s="330">
        <v>3</v>
      </c>
      <c r="H1034" s="330">
        <v>3</v>
      </c>
      <c r="I1034" s="330"/>
      <c r="J1034" s="730">
        <v>1</v>
      </c>
      <c r="K1034" s="386">
        <f t="shared" si="146"/>
        <v>4</v>
      </c>
      <c r="L1034" s="187">
        <f t="shared" si="142"/>
        <v>9.4117647058823532E-4</v>
      </c>
      <c r="M1034" s="315">
        <f t="shared" si="143"/>
        <v>2.1356517647058824</v>
      </c>
      <c r="N1034" s="425">
        <f t="shared" si="141"/>
        <v>0.78527915388235303</v>
      </c>
      <c r="O1034" s="498">
        <v>0.8212429731417864</v>
      </c>
      <c r="P1034" s="427">
        <f t="shared" si="144"/>
        <v>0.23050352941176472</v>
      </c>
      <c r="Q1034" s="426">
        <f t="shared" si="145"/>
        <v>1.0010951842598377</v>
      </c>
      <c r="R1034" s="532">
        <f t="shared" ref="R1034:R1097" si="148">(M1034+N1034+O1034+P1034)/C1034</f>
        <v>3.8644721995542676E-2</v>
      </c>
    </row>
    <row r="1035" spans="1:18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608">
        <f t="shared" si="147"/>
        <v>578</v>
      </c>
      <c r="G1035" s="330">
        <v>16</v>
      </c>
      <c r="H1035" s="330">
        <v>16</v>
      </c>
      <c r="I1035" s="330"/>
      <c r="J1035" s="330"/>
      <c r="K1035" s="386">
        <f t="shared" si="146"/>
        <v>16</v>
      </c>
      <c r="L1035" s="187">
        <f t="shared" si="142"/>
        <v>3.7647058823529413E-3</v>
      </c>
      <c r="M1035" s="315">
        <f t="shared" si="143"/>
        <v>8.5426070588235294</v>
      </c>
      <c r="N1035" s="425">
        <f t="shared" si="141"/>
        <v>3.1411166155294121</v>
      </c>
      <c r="O1035" s="498">
        <v>3.2849718925671456</v>
      </c>
      <c r="P1035" s="427">
        <f t="shared" si="144"/>
        <v>0.92201411764705887</v>
      </c>
      <c r="Q1035" s="426">
        <f t="shared" si="145"/>
        <v>4.0043807370393507</v>
      </c>
      <c r="R1035" s="532">
        <f t="shared" si="148"/>
        <v>2.7492577308939701E-2</v>
      </c>
    </row>
    <row r="1036" spans="1:18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608">
        <f t="shared" si="147"/>
        <v>150</v>
      </c>
      <c r="G1036" s="330">
        <v>5</v>
      </c>
      <c r="H1036" s="330">
        <v>5</v>
      </c>
      <c r="I1036" s="330"/>
      <c r="J1036" s="330"/>
      <c r="K1036" s="386">
        <f t="shared" si="146"/>
        <v>5</v>
      </c>
      <c r="L1036" s="187">
        <f t="shared" si="142"/>
        <v>1.1764705882352942E-3</v>
      </c>
      <c r="M1036" s="315">
        <f t="shared" si="143"/>
        <v>2.6695647058823533</v>
      </c>
      <c r="N1036" s="425">
        <f t="shared" si="141"/>
        <v>0.98159894235294143</v>
      </c>
      <c r="O1036" s="498">
        <v>1.0265537164272329</v>
      </c>
      <c r="P1036" s="427">
        <f t="shared" si="144"/>
        <v>0.28812941176470591</v>
      </c>
      <c r="Q1036" s="426">
        <f t="shared" si="145"/>
        <v>1.2513689803247969</v>
      </c>
      <c r="R1036" s="532">
        <f t="shared" si="148"/>
        <v>3.3105645176181552E-2</v>
      </c>
    </row>
    <row r="1037" spans="1:18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608">
        <f t="shared" si="147"/>
        <v>106.6</v>
      </c>
      <c r="G1037" s="330">
        <v>3</v>
      </c>
      <c r="H1037" s="330">
        <v>3</v>
      </c>
      <c r="I1037" s="330"/>
      <c r="J1037" s="330"/>
      <c r="K1037" s="386">
        <f t="shared" si="146"/>
        <v>3</v>
      </c>
      <c r="L1037" s="187">
        <f t="shared" si="142"/>
        <v>7.0588235294117652E-4</v>
      </c>
      <c r="M1037" s="315">
        <f t="shared" si="143"/>
        <v>1.6017388235294119</v>
      </c>
      <c r="N1037" s="425">
        <f t="shared" si="141"/>
        <v>0.58895936541176475</v>
      </c>
      <c r="O1037" s="498">
        <v>0.61593222985633977</v>
      </c>
      <c r="P1037" s="427">
        <f t="shared" si="144"/>
        <v>0.17287764705882352</v>
      </c>
      <c r="Q1037" s="426">
        <f t="shared" si="145"/>
        <v>0.7508213881948782</v>
      </c>
      <c r="R1037" s="532">
        <f t="shared" si="148"/>
        <v>2.7950357090584806E-2</v>
      </c>
    </row>
    <row r="1038" spans="1:18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608">
        <f t="shared" si="147"/>
        <v>128.4</v>
      </c>
      <c r="G1038" s="330">
        <v>4</v>
      </c>
      <c r="H1038" s="330">
        <v>4</v>
      </c>
      <c r="I1038" s="330"/>
      <c r="J1038" s="330"/>
      <c r="K1038" s="386">
        <f t="shared" si="146"/>
        <v>4</v>
      </c>
      <c r="L1038" s="187">
        <f t="shared" si="142"/>
        <v>9.4117647058823532E-4</v>
      </c>
      <c r="M1038" s="315">
        <f t="shared" si="143"/>
        <v>2.1356517647058824</v>
      </c>
      <c r="N1038" s="425">
        <f t="shared" si="141"/>
        <v>0.78527915388235303</v>
      </c>
      <c r="O1038" s="498">
        <v>0.8212429731417864</v>
      </c>
      <c r="P1038" s="427">
        <f t="shared" si="144"/>
        <v>0.23050352941176472</v>
      </c>
      <c r="Q1038" s="426">
        <f t="shared" si="145"/>
        <v>1.0010951842598377</v>
      </c>
      <c r="R1038" s="532">
        <f t="shared" si="148"/>
        <v>3.0939855304842574E-2</v>
      </c>
    </row>
    <row r="1039" spans="1:18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608">
        <f t="shared" si="147"/>
        <v>57.7</v>
      </c>
      <c r="G1039" s="330">
        <v>1</v>
      </c>
      <c r="H1039" s="330">
        <v>1</v>
      </c>
      <c r="I1039" s="330"/>
      <c r="J1039" s="330"/>
      <c r="K1039" s="386">
        <f t="shared" si="146"/>
        <v>1</v>
      </c>
      <c r="L1039" s="187">
        <f t="shared" si="142"/>
        <v>2.3529411764705883E-4</v>
      </c>
      <c r="M1039" s="315">
        <f t="shared" si="143"/>
        <v>0.53391294117647059</v>
      </c>
      <c r="N1039" s="425">
        <f t="shared" si="141"/>
        <v>0.19631978847058826</v>
      </c>
      <c r="O1039" s="498">
        <v>0.2053107432854466</v>
      </c>
      <c r="P1039" s="427">
        <f t="shared" si="144"/>
        <v>5.762588235294118E-2</v>
      </c>
      <c r="Q1039" s="426">
        <f t="shared" si="145"/>
        <v>0.25027379606495942</v>
      </c>
      <c r="R1039" s="532">
        <f t="shared" si="148"/>
        <v>1.7212640472884691E-2</v>
      </c>
    </row>
    <row r="1040" spans="1:18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08">
        <f t="shared" si="147"/>
        <v>256.5</v>
      </c>
      <c r="G1040" s="330">
        <v>5</v>
      </c>
      <c r="H1040" s="330">
        <v>5</v>
      </c>
      <c r="I1040" s="330"/>
      <c r="J1040" s="330">
        <v>1</v>
      </c>
      <c r="K1040" s="386">
        <f t="shared" si="146"/>
        <v>6</v>
      </c>
      <c r="L1040" s="187">
        <f t="shared" si="142"/>
        <v>1.411764705882353E-3</v>
      </c>
      <c r="M1040" s="315">
        <f t="shared" si="143"/>
        <v>3.2034776470588238</v>
      </c>
      <c r="N1040" s="425">
        <f t="shared" si="141"/>
        <v>1.1779187308235295</v>
      </c>
      <c r="O1040" s="498">
        <v>1.2318644597126795</v>
      </c>
      <c r="P1040" s="427">
        <f t="shared" si="144"/>
        <v>0.34575529411764705</v>
      </c>
      <c r="Q1040" s="426">
        <f t="shared" si="145"/>
        <v>1.5016427763897564</v>
      </c>
      <c r="R1040" s="532">
        <f t="shared" si="148"/>
        <v>2.6866619169128404E-2</v>
      </c>
    </row>
    <row r="1041" spans="1:18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08">
        <f t="shared" si="147"/>
        <v>118.5</v>
      </c>
      <c r="G1041" s="330">
        <v>2</v>
      </c>
      <c r="H1041" s="330">
        <v>2</v>
      </c>
      <c r="I1041" s="330"/>
      <c r="J1041" s="330">
        <v>1</v>
      </c>
      <c r="K1041" s="386">
        <f t="shared" si="146"/>
        <v>3</v>
      </c>
      <c r="L1041" s="187">
        <f t="shared" si="142"/>
        <v>7.0588235294117652E-4</v>
      </c>
      <c r="M1041" s="315">
        <f t="shared" si="143"/>
        <v>1.6017388235294119</v>
      </c>
      <c r="N1041" s="425">
        <f t="shared" si="141"/>
        <v>0.58895936541176475</v>
      </c>
      <c r="O1041" s="498">
        <v>0.61593222985633977</v>
      </c>
      <c r="P1041" s="427">
        <f t="shared" si="144"/>
        <v>0.17287764705882352</v>
      </c>
      <c r="Q1041" s="426">
        <f t="shared" si="145"/>
        <v>0.7508213881948782</v>
      </c>
      <c r="R1041" s="532">
        <f t="shared" si="148"/>
        <v>3.285014405574796E-2</v>
      </c>
    </row>
    <row r="1042" spans="1:18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608">
        <f t="shared" si="147"/>
        <v>142.1</v>
      </c>
      <c r="G1042" s="330">
        <v>4</v>
      </c>
      <c r="H1042" s="330">
        <v>4</v>
      </c>
      <c r="I1042" s="330"/>
      <c r="J1042" s="330"/>
      <c r="K1042" s="386">
        <f t="shared" si="146"/>
        <v>4</v>
      </c>
      <c r="L1042" s="187">
        <f t="shared" si="142"/>
        <v>9.4117647058823532E-4</v>
      </c>
      <c r="M1042" s="315">
        <f t="shared" si="143"/>
        <v>2.1356517647058824</v>
      </c>
      <c r="N1042" s="425">
        <f t="shared" si="141"/>
        <v>0.78527915388235303</v>
      </c>
      <c r="O1042" s="498">
        <v>0.8212429731417864</v>
      </c>
      <c r="P1042" s="427">
        <f t="shared" si="144"/>
        <v>0.23050352941176472</v>
      </c>
      <c r="Q1042" s="426">
        <f t="shared" si="145"/>
        <v>1.0010951842598377</v>
      </c>
      <c r="R1042" s="532">
        <f t="shared" si="148"/>
        <v>2.7956913590019613E-2</v>
      </c>
    </row>
    <row r="1043" spans="1:18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608">
        <f t="shared" si="147"/>
        <v>259.7</v>
      </c>
      <c r="G1043" s="330">
        <v>8</v>
      </c>
      <c r="H1043" s="330">
        <v>8</v>
      </c>
      <c r="I1043" s="330"/>
      <c r="J1043" s="330"/>
      <c r="K1043" s="386">
        <f t="shared" si="146"/>
        <v>8</v>
      </c>
      <c r="L1043" s="187">
        <f t="shared" si="142"/>
        <v>1.8823529411764706E-3</v>
      </c>
      <c r="M1043" s="315">
        <f t="shared" si="143"/>
        <v>4.2713035294117647</v>
      </c>
      <c r="N1043" s="425">
        <f t="shared" si="141"/>
        <v>1.5705583077647061</v>
      </c>
      <c r="O1043" s="498">
        <v>1.6424859462835728</v>
      </c>
      <c r="P1043" s="427">
        <f t="shared" si="144"/>
        <v>0.46100705882352944</v>
      </c>
      <c r="Q1043" s="426">
        <f t="shared" si="145"/>
        <v>2.0021903685196754</v>
      </c>
      <c r="R1043" s="532">
        <f t="shared" si="148"/>
        <v>3.0594358268323348E-2</v>
      </c>
    </row>
    <row r="1044" spans="1:18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08">
        <f t="shared" si="147"/>
        <v>309.39999999999998</v>
      </c>
      <c r="G1044" s="330">
        <v>4</v>
      </c>
      <c r="H1044" s="330">
        <v>4</v>
      </c>
      <c r="I1044" s="330"/>
      <c r="J1044" s="330">
        <v>1</v>
      </c>
      <c r="K1044" s="386">
        <f t="shared" si="146"/>
        <v>5</v>
      </c>
      <c r="L1044" s="187">
        <f t="shared" si="142"/>
        <v>1.1764705882352942E-3</v>
      </c>
      <c r="M1044" s="315">
        <f t="shared" si="143"/>
        <v>2.6695647058823533</v>
      </c>
      <c r="N1044" s="425">
        <f t="shared" si="141"/>
        <v>0.98159894235294143</v>
      </c>
      <c r="O1044" s="498">
        <v>1.0265537164272329</v>
      </c>
      <c r="P1044" s="427">
        <f t="shared" si="144"/>
        <v>0.28812941176470591</v>
      </c>
      <c r="Q1044" s="426">
        <f t="shared" si="145"/>
        <v>1.2513689803247969</v>
      </c>
      <c r="R1044" s="532">
        <f t="shared" si="148"/>
        <v>2.4306641098518024E-2</v>
      </c>
    </row>
    <row r="1045" spans="1:18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608">
        <f t="shared" si="147"/>
        <v>432.1</v>
      </c>
      <c r="G1045" s="330">
        <v>12</v>
      </c>
      <c r="H1045" s="330">
        <v>12</v>
      </c>
      <c r="I1045" s="330"/>
      <c r="J1045" s="330"/>
      <c r="K1045" s="386">
        <f t="shared" si="146"/>
        <v>12</v>
      </c>
      <c r="L1045" s="187">
        <f t="shared" si="142"/>
        <v>2.8235294117647061E-3</v>
      </c>
      <c r="M1045" s="315">
        <f t="shared" si="143"/>
        <v>6.4069552941176475</v>
      </c>
      <c r="N1045" s="425">
        <f t="shared" si="141"/>
        <v>2.355837461647059</v>
      </c>
      <c r="O1045" s="498">
        <v>2.4637289194253591</v>
      </c>
      <c r="P1045" s="427">
        <f t="shared" si="144"/>
        <v>0.6915105882352941</v>
      </c>
      <c r="Q1045" s="426">
        <f t="shared" si="145"/>
        <v>3.0032855527795128</v>
      </c>
      <c r="R1045" s="532">
        <f t="shared" si="148"/>
        <v>2.7581653004918674E-2</v>
      </c>
    </row>
    <row r="1046" spans="1:18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08">
        <f t="shared" si="147"/>
        <v>241.89999999999998</v>
      </c>
      <c r="G1046" s="330">
        <v>4</v>
      </c>
      <c r="H1046" s="330">
        <v>4</v>
      </c>
      <c r="I1046" s="330"/>
      <c r="J1046" s="330">
        <v>1</v>
      </c>
      <c r="K1046" s="386">
        <f t="shared" si="146"/>
        <v>5</v>
      </c>
      <c r="L1046" s="187">
        <f t="shared" si="142"/>
        <v>1.1764705882352942E-3</v>
      </c>
      <c r="M1046" s="315">
        <f t="shared" si="143"/>
        <v>2.6695647058823533</v>
      </c>
      <c r="N1046" s="425">
        <f t="shared" si="141"/>
        <v>0.98159894235294143</v>
      </c>
      <c r="O1046" s="498">
        <v>1.0265537164272329</v>
      </c>
      <c r="P1046" s="427">
        <f t="shared" si="144"/>
        <v>0.28812941176470591</v>
      </c>
      <c r="Q1046" s="426">
        <f t="shared" si="145"/>
        <v>1.2513689803247969</v>
      </c>
      <c r="R1046" s="532">
        <f t="shared" si="148"/>
        <v>3.0242672207230408E-2</v>
      </c>
    </row>
    <row r="1047" spans="1:18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608">
        <f t="shared" si="147"/>
        <v>278.3</v>
      </c>
      <c r="G1047" s="330">
        <v>5</v>
      </c>
      <c r="H1047" s="330">
        <v>5</v>
      </c>
      <c r="I1047" s="330"/>
      <c r="J1047" s="330"/>
      <c r="K1047" s="386">
        <f t="shared" si="146"/>
        <v>5</v>
      </c>
      <c r="L1047" s="187">
        <f t="shared" si="142"/>
        <v>1.1764705882352942E-3</v>
      </c>
      <c r="M1047" s="315">
        <f t="shared" si="143"/>
        <v>2.6695647058823533</v>
      </c>
      <c r="N1047" s="425">
        <f t="shared" si="141"/>
        <v>0.98159894235294143</v>
      </c>
      <c r="O1047" s="498">
        <v>1.0265537164272329</v>
      </c>
      <c r="P1047" s="427">
        <f t="shared" si="144"/>
        <v>0.28812941176470591</v>
      </c>
      <c r="Q1047" s="426">
        <f t="shared" si="145"/>
        <v>1.2513689803247969</v>
      </c>
      <c r="R1047" s="532">
        <f t="shared" si="148"/>
        <v>1.7843502610230804E-2</v>
      </c>
    </row>
    <row r="1048" spans="1:18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608">
        <f t="shared" si="147"/>
        <v>150</v>
      </c>
      <c r="G1048" s="330">
        <v>4</v>
      </c>
      <c r="H1048" s="330">
        <v>4</v>
      </c>
      <c r="I1048" s="330"/>
      <c r="J1048" s="330"/>
      <c r="K1048" s="386">
        <f t="shared" si="146"/>
        <v>4</v>
      </c>
      <c r="L1048" s="187">
        <f t="shared" si="142"/>
        <v>9.4117647058823532E-4</v>
      </c>
      <c r="M1048" s="315">
        <f t="shared" si="143"/>
        <v>2.1356517647058824</v>
      </c>
      <c r="N1048" s="425">
        <f t="shared" si="141"/>
        <v>0.78527915388235303</v>
      </c>
      <c r="O1048" s="498">
        <v>0.8212429731417864</v>
      </c>
      <c r="P1048" s="427">
        <f t="shared" si="144"/>
        <v>0.23050352941176472</v>
      </c>
      <c r="Q1048" s="426">
        <f t="shared" si="145"/>
        <v>1.0010951842598377</v>
      </c>
      <c r="R1048" s="532">
        <f t="shared" si="148"/>
        <v>2.6484516140945245E-2</v>
      </c>
    </row>
    <row r="1049" spans="1:18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608">
        <f t="shared" si="147"/>
        <v>140.6</v>
      </c>
      <c r="G1049" s="330">
        <v>4</v>
      </c>
      <c r="H1049" s="330">
        <v>4</v>
      </c>
      <c r="I1049" s="330"/>
      <c r="J1049" s="330"/>
      <c r="K1049" s="386">
        <f t="shared" si="146"/>
        <v>4</v>
      </c>
      <c r="L1049" s="187">
        <f t="shared" si="142"/>
        <v>9.4117647058823532E-4</v>
      </c>
      <c r="M1049" s="315">
        <f t="shared" si="143"/>
        <v>2.1356517647058824</v>
      </c>
      <c r="N1049" s="425">
        <f t="shared" si="141"/>
        <v>0.78527915388235303</v>
      </c>
      <c r="O1049" s="498">
        <v>0.8212429731417864</v>
      </c>
      <c r="P1049" s="427">
        <f t="shared" si="144"/>
        <v>0.23050352941176472</v>
      </c>
      <c r="Q1049" s="426">
        <f t="shared" si="145"/>
        <v>1.0010951842598377</v>
      </c>
      <c r="R1049" s="532">
        <f t="shared" si="148"/>
        <v>2.8255173692331343E-2</v>
      </c>
    </row>
    <row r="1050" spans="1:18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608">
        <f t="shared" si="147"/>
        <v>209.1</v>
      </c>
      <c r="G1050" s="330">
        <v>9</v>
      </c>
      <c r="H1050" s="330">
        <v>9</v>
      </c>
      <c r="I1050" s="330"/>
      <c r="J1050" s="330"/>
      <c r="K1050" s="386">
        <f t="shared" si="146"/>
        <v>9</v>
      </c>
      <c r="L1050" s="187">
        <f t="shared" si="142"/>
        <v>2.1176470588235297E-3</v>
      </c>
      <c r="M1050" s="315">
        <f t="shared" si="143"/>
        <v>4.8052164705882365</v>
      </c>
      <c r="N1050" s="425">
        <f t="shared" si="141"/>
        <v>1.7668780962352948</v>
      </c>
      <c r="O1050" s="498">
        <v>1.8477966895690194</v>
      </c>
      <c r="P1050" s="427">
        <f t="shared" si="144"/>
        <v>0.51863294117647063</v>
      </c>
      <c r="Q1050" s="426">
        <f t="shared" si="145"/>
        <v>2.2524641645846351</v>
      </c>
      <c r="R1050" s="532">
        <f t="shared" si="148"/>
        <v>4.2747604962070876E-2</v>
      </c>
    </row>
    <row r="1051" spans="1:18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608">
        <f t="shared" si="147"/>
        <v>463.5</v>
      </c>
      <c r="G1051" s="330">
        <v>8</v>
      </c>
      <c r="H1051" s="330">
        <v>8</v>
      </c>
      <c r="I1051" s="330"/>
      <c r="J1051" s="330"/>
      <c r="K1051" s="386">
        <f t="shared" si="146"/>
        <v>8</v>
      </c>
      <c r="L1051" s="187">
        <f t="shared" si="142"/>
        <v>1.8823529411764706E-3</v>
      </c>
      <c r="M1051" s="315">
        <f t="shared" si="143"/>
        <v>4.2713035294117647</v>
      </c>
      <c r="N1051" s="425">
        <f t="shared" si="141"/>
        <v>1.5705583077647061</v>
      </c>
      <c r="O1051" s="498">
        <v>1.6424859462835728</v>
      </c>
      <c r="P1051" s="427">
        <f t="shared" si="144"/>
        <v>0.46100705882352944</v>
      </c>
      <c r="Q1051" s="426">
        <f t="shared" si="145"/>
        <v>2.0021903685196754</v>
      </c>
      <c r="R1051" s="532">
        <f t="shared" si="148"/>
        <v>1.7142081644624753E-2</v>
      </c>
    </row>
    <row r="1052" spans="1:18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608">
        <f t="shared" si="147"/>
        <v>126</v>
      </c>
      <c r="G1052" s="330">
        <v>4</v>
      </c>
      <c r="H1052" s="330">
        <v>4</v>
      </c>
      <c r="I1052" s="330"/>
      <c r="J1052" s="330"/>
      <c r="K1052" s="386">
        <f t="shared" si="146"/>
        <v>4</v>
      </c>
      <c r="L1052" s="187">
        <f t="shared" si="142"/>
        <v>9.4117647058823532E-4</v>
      </c>
      <c r="M1052" s="315">
        <f t="shared" si="143"/>
        <v>2.1356517647058824</v>
      </c>
      <c r="N1052" s="425">
        <f t="shared" si="141"/>
        <v>0.78527915388235303</v>
      </c>
      <c r="O1052" s="498">
        <v>0.8212429731417864</v>
      </c>
      <c r="P1052" s="427">
        <f t="shared" si="144"/>
        <v>0.23050352941176472</v>
      </c>
      <c r="Q1052" s="426">
        <f t="shared" si="145"/>
        <v>1.0010951842598377</v>
      </c>
      <c r="R1052" s="532">
        <f t="shared" si="148"/>
        <v>3.1529185882077676E-2</v>
      </c>
    </row>
    <row r="1053" spans="1:18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608">
        <f t="shared" si="147"/>
        <v>725.1</v>
      </c>
      <c r="G1053" s="330">
        <v>19</v>
      </c>
      <c r="H1053" s="330">
        <v>19</v>
      </c>
      <c r="I1053" s="330"/>
      <c r="J1053" s="330"/>
      <c r="K1053" s="386">
        <f t="shared" si="146"/>
        <v>19</v>
      </c>
      <c r="L1053" s="187">
        <f t="shared" si="142"/>
        <v>4.4705882352941177E-3</v>
      </c>
      <c r="M1053" s="315">
        <f t="shared" si="143"/>
        <v>10.144345882352942</v>
      </c>
      <c r="N1053" s="425">
        <f t="shared" si="141"/>
        <v>3.730075980941177</v>
      </c>
      <c r="O1053" s="498">
        <v>3.9009041224234853</v>
      </c>
      <c r="P1053" s="427">
        <f t="shared" si="144"/>
        <v>1.0948917647058825</v>
      </c>
      <c r="Q1053" s="426">
        <f t="shared" si="145"/>
        <v>4.7552021252342289</v>
      </c>
      <c r="R1053" s="532">
        <f t="shared" si="148"/>
        <v>2.6024296994102171E-2</v>
      </c>
    </row>
    <row r="1054" spans="1:18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608">
        <f t="shared" si="147"/>
        <v>466.88</v>
      </c>
      <c r="G1054" s="330">
        <v>13</v>
      </c>
      <c r="H1054" s="330">
        <v>13</v>
      </c>
      <c r="I1054" s="330"/>
      <c r="J1054" s="330"/>
      <c r="K1054" s="386">
        <f t="shared" si="146"/>
        <v>13</v>
      </c>
      <c r="L1054" s="187">
        <f t="shared" si="142"/>
        <v>3.0588235294117649E-3</v>
      </c>
      <c r="M1054" s="315">
        <f t="shared" si="143"/>
        <v>6.9408682352941184</v>
      </c>
      <c r="N1054" s="425">
        <f t="shared" si="141"/>
        <v>2.5521572501176477</v>
      </c>
      <c r="O1054" s="498">
        <v>2.6690396627108059</v>
      </c>
      <c r="P1054" s="427">
        <f t="shared" si="144"/>
        <v>0.74913647058823529</v>
      </c>
      <c r="Q1054" s="426">
        <f t="shared" si="145"/>
        <v>3.2535593488444725</v>
      </c>
      <c r="R1054" s="532">
        <f t="shared" si="148"/>
        <v>2.7654218682982366E-2</v>
      </c>
    </row>
    <row r="1055" spans="1:18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608">
        <f t="shared" si="147"/>
        <v>138.1</v>
      </c>
      <c r="G1055" s="330">
        <v>4</v>
      </c>
      <c r="H1055" s="330">
        <v>4</v>
      </c>
      <c r="I1055" s="330"/>
      <c r="J1055" s="330"/>
      <c r="K1055" s="386">
        <f t="shared" si="146"/>
        <v>4</v>
      </c>
      <c r="L1055" s="187">
        <f t="shared" si="142"/>
        <v>9.4117647058823532E-4</v>
      </c>
      <c r="M1055" s="315">
        <f t="shared" si="143"/>
        <v>2.1356517647058824</v>
      </c>
      <c r="N1055" s="425">
        <f t="shared" si="141"/>
        <v>0.78527915388235303</v>
      </c>
      <c r="O1055" s="498">
        <v>0.8212429731417864</v>
      </c>
      <c r="P1055" s="427">
        <f t="shared" si="144"/>
        <v>0.23050352941176472</v>
      </c>
      <c r="Q1055" s="426">
        <f t="shared" si="145"/>
        <v>1.0010951842598377</v>
      </c>
      <c r="R1055" s="532">
        <f t="shared" si="148"/>
        <v>2.8766672129918805E-2</v>
      </c>
    </row>
    <row r="1056" spans="1:18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08">
        <f t="shared" si="147"/>
        <v>139.30000000000001</v>
      </c>
      <c r="G1056" s="330">
        <v>2</v>
      </c>
      <c r="H1056" s="330">
        <v>2</v>
      </c>
      <c r="I1056" s="330"/>
      <c r="J1056" s="330"/>
      <c r="K1056" s="386">
        <f t="shared" si="146"/>
        <v>2</v>
      </c>
      <c r="L1056" s="187">
        <f t="shared" si="142"/>
        <v>4.7058823529411766E-4</v>
      </c>
      <c r="M1056" s="315">
        <f t="shared" si="143"/>
        <v>1.0678258823529412</v>
      </c>
      <c r="N1056" s="425">
        <f t="shared" si="141"/>
        <v>0.39263957694117652</v>
      </c>
      <c r="O1056" s="498">
        <v>0.4106214865708932</v>
      </c>
      <c r="P1056" s="427">
        <f t="shared" si="144"/>
        <v>0.11525176470588236</v>
      </c>
      <c r="Q1056" s="426">
        <f t="shared" si="145"/>
        <v>0.50054759212991884</v>
      </c>
      <c r="R1056" s="532">
        <f t="shared" si="148"/>
        <v>1.425943080093965E-2</v>
      </c>
    </row>
    <row r="1057" spans="1:18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608">
        <f t="shared" si="147"/>
        <v>807</v>
      </c>
      <c r="G1057" s="330">
        <v>16</v>
      </c>
      <c r="H1057" s="330">
        <v>16</v>
      </c>
      <c r="I1057" s="330"/>
      <c r="J1057" s="330"/>
      <c r="K1057" s="386">
        <f t="shared" si="146"/>
        <v>16</v>
      </c>
      <c r="L1057" s="187">
        <f t="shared" si="142"/>
        <v>3.7647058823529413E-3</v>
      </c>
      <c r="M1057" s="315">
        <f t="shared" si="143"/>
        <v>8.5426070588235294</v>
      </c>
      <c r="N1057" s="425">
        <f t="shared" si="141"/>
        <v>3.1411166155294121</v>
      </c>
      <c r="O1057" s="498">
        <v>3.2849718925671456</v>
      </c>
      <c r="P1057" s="427">
        <f t="shared" si="144"/>
        <v>0.92201411764705887</v>
      </c>
      <c r="Q1057" s="426">
        <f t="shared" si="145"/>
        <v>4.0043807370393507</v>
      </c>
      <c r="R1057" s="532">
        <f t="shared" si="148"/>
        <v>1.9691090067617281E-2</v>
      </c>
    </row>
    <row r="1058" spans="1:18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608">
        <f t="shared" si="147"/>
        <v>1555.2</v>
      </c>
      <c r="G1058" s="330">
        <v>32</v>
      </c>
      <c r="H1058" s="330">
        <v>32</v>
      </c>
      <c r="I1058" s="330"/>
      <c r="J1058" s="330"/>
      <c r="K1058" s="386">
        <f t="shared" si="146"/>
        <v>32</v>
      </c>
      <c r="L1058" s="187">
        <f t="shared" si="142"/>
        <v>7.5294117647058826E-3</v>
      </c>
      <c r="M1058" s="315">
        <f t="shared" si="143"/>
        <v>17.085214117647059</v>
      </c>
      <c r="N1058" s="425">
        <f t="shared" si="141"/>
        <v>6.2822332310588243</v>
      </c>
      <c r="O1058" s="498">
        <v>6.5699437851342912</v>
      </c>
      <c r="P1058" s="427">
        <f t="shared" si="144"/>
        <v>1.8440282352941177</v>
      </c>
      <c r="Q1058" s="426">
        <f t="shared" si="145"/>
        <v>8.0087614740787014</v>
      </c>
      <c r="R1058" s="532">
        <f t="shared" si="148"/>
        <v>2.0435583442087381E-2</v>
      </c>
    </row>
    <row r="1059" spans="1:18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608">
        <f t="shared" si="147"/>
        <v>1514.3</v>
      </c>
      <c r="G1059" s="330">
        <v>32</v>
      </c>
      <c r="H1059" s="330">
        <v>32</v>
      </c>
      <c r="I1059" s="330"/>
      <c r="J1059" s="330"/>
      <c r="K1059" s="386">
        <f t="shared" si="146"/>
        <v>32</v>
      </c>
      <c r="L1059" s="187">
        <f t="shared" si="142"/>
        <v>7.5294117647058826E-3</v>
      </c>
      <c r="M1059" s="315">
        <f t="shared" si="143"/>
        <v>17.085214117647059</v>
      </c>
      <c r="N1059" s="425">
        <f t="shared" si="141"/>
        <v>6.2822332310588243</v>
      </c>
      <c r="O1059" s="498">
        <v>6.5699437851342912</v>
      </c>
      <c r="P1059" s="427">
        <f t="shared" si="144"/>
        <v>1.8440282352941177</v>
      </c>
      <c r="Q1059" s="426">
        <f t="shared" si="145"/>
        <v>8.0087614740787014</v>
      </c>
      <c r="R1059" s="532">
        <f t="shared" si="148"/>
        <v>2.0987531776487021E-2</v>
      </c>
    </row>
    <row r="1060" spans="1:18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608">
        <f t="shared" si="147"/>
        <v>394</v>
      </c>
      <c r="G1060" s="330">
        <v>12</v>
      </c>
      <c r="H1060" s="330">
        <v>12</v>
      </c>
      <c r="I1060" s="330"/>
      <c r="J1060" s="330"/>
      <c r="K1060" s="386">
        <f t="shared" si="146"/>
        <v>12</v>
      </c>
      <c r="L1060" s="187">
        <f t="shared" si="142"/>
        <v>2.8235294117647061E-3</v>
      </c>
      <c r="M1060" s="315">
        <f t="shared" si="143"/>
        <v>6.4069552941176475</v>
      </c>
      <c r="N1060" s="425">
        <f t="shared" si="141"/>
        <v>2.355837461647059</v>
      </c>
      <c r="O1060" s="498">
        <v>2.4637289194253591</v>
      </c>
      <c r="P1060" s="427">
        <f t="shared" si="144"/>
        <v>0.6915105882352941</v>
      </c>
      <c r="Q1060" s="426">
        <f t="shared" si="145"/>
        <v>3.0032855527795128</v>
      </c>
      <c r="R1060" s="532">
        <f t="shared" si="148"/>
        <v>3.02488128513334E-2</v>
      </c>
    </row>
    <row r="1061" spans="1:18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608">
        <f t="shared" si="147"/>
        <v>572.5</v>
      </c>
      <c r="G1061" s="330">
        <v>12</v>
      </c>
      <c r="H1061" s="330">
        <v>12</v>
      </c>
      <c r="I1061" s="330"/>
      <c r="J1061" s="330"/>
      <c r="K1061" s="386">
        <f t="shared" si="146"/>
        <v>12</v>
      </c>
      <c r="L1061" s="187">
        <f t="shared" si="142"/>
        <v>2.8235294117647061E-3</v>
      </c>
      <c r="M1061" s="315">
        <f t="shared" si="143"/>
        <v>6.4069552941176475</v>
      </c>
      <c r="N1061" s="425">
        <f t="shared" si="141"/>
        <v>2.355837461647059</v>
      </c>
      <c r="O1061" s="498">
        <v>2.4637289194253591</v>
      </c>
      <c r="P1061" s="427">
        <f t="shared" si="144"/>
        <v>0.6915105882352941</v>
      </c>
      <c r="Q1061" s="426">
        <f t="shared" si="145"/>
        <v>3.0032855527795128</v>
      </c>
      <c r="R1061" s="532">
        <f t="shared" si="148"/>
        <v>2.0817523604236436E-2</v>
      </c>
    </row>
    <row r="1062" spans="1:18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608">
        <f t="shared" si="147"/>
        <v>351.9</v>
      </c>
      <c r="G1062" s="330">
        <v>9</v>
      </c>
      <c r="H1062" s="330">
        <v>9</v>
      </c>
      <c r="I1062" s="330"/>
      <c r="J1062" s="330"/>
      <c r="K1062" s="386">
        <f t="shared" si="146"/>
        <v>9</v>
      </c>
      <c r="L1062" s="187">
        <f t="shared" si="142"/>
        <v>2.1176470588235297E-3</v>
      </c>
      <c r="M1062" s="315">
        <f t="shared" si="143"/>
        <v>4.8052164705882365</v>
      </c>
      <c r="N1062" s="425">
        <f t="shared" si="141"/>
        <v>1.7668780962352948</v>
      </c>
      <c r="O1062" s="498">
        <v>1.8477966895690194</v>
      </c>
      <c r="P1062" s="427">
        <f t="shared" si="144"/>
        <v>0.51863294117647063</v>
      </c>
      <c r="Q1062" s="426">
        <f t="shared" si="145"/>
        <v>2.2524641645846351</v>
      </c>
      <c r="R1062" s="532">
        <f t="shared" si="148"/>
        <v>2.5400750774563854E-2</v>
      </c>
    </row>
    <row r="1063" spans="1:18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608">
        <f t="shared" si="147"/>
        <v>449.4</v>
      </c>
      <c r="G1063" s="330">
        <v>10</v>
      </c>
      <c r="H1063" s="330">
        <v>10</v>
      </c>
      <c r="I1063" s="330"/>
      <c r="J1063" s="330"/>
      <c r="K1063" s="386">
        <f t="shared" si="146"/>
        <v>10</v>
      </c>
      <c r="L1063" s="187">
        <f t="shared" si="142"/>
        <v>2.3529411764705885E-3</v>
      </c>
      <c r="M1063" s="315">
        <f t="shared" si="143"/>
        <v>5.3391294117647066</v>
      </c>
      <c r="N1063" s="425">
        <f t="shared" si="141"/>
        <v>1.9631978847058829</v>
      </c>
      <c r="O1063" s="498">
        <v>2.0531074328544658</v>
      </c>
      <c r="P1063" s="427">
        <f t="shared" si="144"/>
        <v>0.57625882352941182</v>
      </c>
      <c r="Q1063" s="426">
        <f t="shared" si="145"/>
        <v>2.5027379606495939</v>
      </c>
      <c r="R1063" s="532">
        <f t="shared" si="148"/>
        <v>2.2099896646316123E-2</v>
      </c>
    </row>
    <row r="1064" spans="1:18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608">
        <f t="shared" si="147"/>
        <v>1394.3</v>
      </c>
      <c r="G1064" s="330">
        <v>31</v>
      </c>
      <c r="H1064" s="330">
        <v>31</v>
      </c>
      <c r="I1064" s="330"/>
      <c r="J1064" s="330"/>
      <c r="K1064" s="386">
        <f t="shared" si="146"/>
        <v>31</v>
      </c>
      <c r="L1064" s="187">
        <f t="shared" si="142"/>
        <v>7.2941176470588233E-3</v>
      </c>
      <c r="M1064" s="315">
        <f t="shared" si="143"/>
        <v>16.551301176470588</v>
      </c>
      <c r="N1064" s="425">
        <f t="shared" si="141"/>
        <v>6.085913442588236</v>
      </c>
      <c r="O1064" s="498">
        <v>6.3646330418488448</v>
      </c>
      <c r="P1064" s="427">
        <f t="shared" si="144"/>
        <v>1.7864023529411763</v>
      </c>
      <c r="Q1064" s="426">
        <f t="shared" si="145"/>
        <v>7.7584876780137426</v>
      </c>
      <c r="R1064" s="532">
        <f t="shared" si="148"/>
        <v>2.2081510445276373E-2</v>
      </c>
    </row>
    <row r="1065" spans="1:18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608">
        <f t="shared" si="147"/>
        <v>398.7</v>
      </c>
      <c r="G1065" s="330">
        <v>9</v>
      </c>
      <c r="H1065" s="330">
        <v>9</v>
      </c>
      <c r="I1065" s="330"/>
      <c r="J1065" s="330"/>
      <c r="K1065" s="386">
        <f t="shared" si="146"/>
        <v>9</v>
      </c>
      <c r="L1065" s="187">
        <f t="shared" si="142"/>
        <v>2.1176470588235297E-3</v>
      </c>
      <c r="M1065" s="315">
        <f t="shared" si="143"/>
        <v>4.8052164705882365</v>
      </c>
      <c r="N1065" s="425">
        <f t="shared" si="141"/>
        <v>1.7668780962352948</v>
      </c>
      <c r="O1065" s="498">
        <v>1.8477966895690194</v>
      </c>
      <c r="P1065" s="427">
        <f t="shared" si="144"/>
        <v>0.51863294117647063</v>
      </c>
      <c r="Q1065" s="426">
        <f t="shared" si="145"/>
        <v>2.2524641645846351</v>
      </c>
      <c r="R1065" s="532">
        <f t="shared" si="148"/>
        <v>2.2419172805540559E-2</v>
      </c>
    </row>
    <row r="1066" spans="1:18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608">
        <f t="shared" si="147"/>
        <v>359.4</v>
      </c>
      <c r="G1066" s="330">
        <v>8</v>
      </c>
      <c r="H1066" s="330">
        <v>8</v>
      </c>
      <c r="I1066" s="330"/>
      <c r="J1066" s="330"/>
      <c r="K1066" s="386">
        <f t="shared" si="146"/>
        <v>8</v>
      </c>
      <c r="L1066" s="187">
        <f t="shared" si="142"/>
        <v>1.8823529411764706E-3</v>
      </c>
      <c r="M1066" s="315">
        <f t="shared" si="143"/>
        <v>4.2713035294117647</v>
      </c>
      <c r="N1066" s="425">
        <f t="shared" ref="N1066:N1128" si="149">M1066*0.3677</f>
        <v>1.5705583077647061</v>
      </c>
      <c r="O1066" s="498">
        <v>1.6424859462835728</v>
      </c>
      <c r="P1066" s="427">
        <f t="shared" si="144"/>
        <v>0.46100705882352944</v>
      </c>
      <c r="Q1066" s="426">
        <f t="shared" si="145"/>
        <v>2.0021903685196754</v>
      </c>
      <c r="R1066" s="532">
        <f t="shared" si="148"/>
        <v>2.2107275576748953E-2</v>
      </c>
    </row>
    <row r="1067" spans="1:18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608">
        <f t="shared" si="147"/>
        <v>694.9</v>
      </c>
      <c r="G1067" s="330">
        <v>19</v>
      </c>
      <c r="H1067" s="330">
        <v>19</v>
      </c>
      <c r="I1067" s="330"/>
      <c r="J1067" s="330"/>
      <c r="K1067" s="386">
        <f t="shared" si="146"/>
        <v>19</v>
      </c>
      <c r="L1067" s="187">
        <f t="shared" si="142"/>
        <v>4.4705882352941177E-3</v>
      </c>
      <c r="M1067" s="315">
        <f t="shared" si="143"/>
        <v>10.144345882352942</v>
      </c>
      <c r="N1067" s="425">
        <f t="shared" si="149"/>
        <v>3.730075980941177</v>
      </c>
      <c r="O1067" s="498">
        <v>3.9009041224234853</v>
      </c>
      <c r="P1067" s="427">
        <f t="shared" si="144"/>
        <v>1.0948917647058825</v>
      </c>
      <c r="Q1067" s="426">
        <f t="shared" si="145"/>
        <v>4.7552021252342289</v>
      </c>
      <c r="R1067" s="532">
        <f t="shared" si="148"/>
        <v>2.7155299684017104E-2</v>
      </c>
    </row>
    <row r="1068" spans="1:18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608">
        <f t="shared" si="147"/>
        <v>629.6</v>
      </c>
      <c r="G1068" s="330">
        <v>16</v>
      </c>
      <c r="H1068" s="330">
        <v>16</v>
      </c>
      <c r="I1068" s="330"/>
      <c r="J1068" s="330"/>
      <c r="K1068" s="386">
        <f t="shared" si="146"/>
        <v>16</v>
      </c>
      <c r="L1068" s="187">
        <f t="shared" si="142"/>
        <v>3.7647058823529413E-3</v>
      </c>
      <c r="M1068" s="315">
        <f t="shared" si="143"/>
        <v>8.5426070588235294</v>
      </c>
      <c r="N1068" s="425">
        <f t="shared" si="149"/>
        <v>3.1411166155294121</v>
      </c>
      <c r="O1068" s="498">
        <v>3.2849718925671456</v>
      </c>
      <c r="P1068" s="427">
        <f t="shared" si="144"/>
        <v>0.92201411764705887</v>
      </c>
      <c r="Q1068" s="426">
        <f t="shared" si="145"/>
        <v>4.0043807370393507</v>
      </c>
      <c r="R1068" s="532">
        <f t="shared" si="148"/>
        <v>2.5239373704839814E-2</v>
      </c>
    </row>
    <row r="1069" spans="1:18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608">
        <f t="shared" si="147"/>
        <v>969.07</v>
      </c>
      <c r="G1069" s="330">
        <v>24</v>
      </c>
      <c r="H1069" s="330">
        <v>24</v>
      </c>
      <c r="I1069" s="330"/>
      <c r="J1069" s="330"/>
      <c r="K1069" s="386">
        <f t="shared" si="146"/>
        <v>24</v>
      </c>
      <c r="L1069" s="187">
        <f t="shared" si="142"/>
        <v>5.6470588235294121E-3</v>
      </c>
      <c r="M1069" s="315">
        <f t="shared" si="143"/>
        <v>12.813910588235295</v>
      </c>
      <c r="N1069" s="425">
        <f t="shared" si="149"/>
        <v>4.711674923294118</v>
      </c>
      <c r="O1069" s="498">
        <v>4.9274578388507182</v>
      </c>
      <c r="P1069" s="427">
        <f t="shared" si="144"/>
        <v>1.3830211764705882</v>
      </c>
      <c r="Q1069" s="426">
        <f t="shared" si="145"/>
        <v>6.0065711055590256</v>
      </c>
      <c r="R1069" s="532">
        <f t="shared" si="148"/>
        <v>2.4596844940871887E-2</v>
      </c>
    </row>
    <row r="1070" spans="1:18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608">
        <f t="shared" si="147"/>
        <v>315.7</v>
      </c>
      <c r="G1070" s="330">
        <v>10</v>
      </c>
      <c r="H1070" s="330">
        <v>10</v>
      </c>
      <c r="I1070" s="330"/>
      <c r="J1070" s="330"/>
      <c r="K1070" s="386">
        <f t="shared" si="146"/>
        <v>10</v>
      </c>
      <c r="L1070" s="187">
        <f t="shared" si="142"/>
        <v>2.3529411764705885E-3</v>
      </c>
      <c r="M1070" s="315">
        <f t="shared" si="143"/>
        <v>5.3391294117647066</v>
      </c>
      <c r="N1070" s="425">
        <f t="shared" si="149"/>
        <v>1.9631978847058829</v>
      </c>
      <c r="O1070" s="498">
        <v>2.0531074328544658</v>
      </c>
      <c r="P1070" s="427">
        <f t="shared" si="144"/>
        <v>0.57625882352941182</v>
      </c>
      <c r="Q1070" s="426">
        <f t="shared" si="145"/>
        <v>2.5027379606495939</v>
      </c>
      <c r="R1070" s="532">
        <f t="shared" si="148"/>
        <v>3.1459276379013197E-2</v>
      </c>
    </row>
    <row r="1071" spans="1:18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608">
        <f t="shared" si="147"/>
        <v>677.4</v>
      </c>
      <c r="G1071" s="330">
        <v>15</v>
      </c>
      <c r="H1071" s="330">
        <v>15</v>
      </c>
      <c r="I1071" s="330"/>
      <c r="J1071" s="330"/>
      <c r="K1071" s="386">
        <f t="shared" si="146"/>
        <v>15</v>
      </c>
      <c r="L1071" s="187">
        <f t="shared" si="142"/>
        <v>3.5294117647058825E-3</v>
      </c>
      <c r="M1071" s="315">
        <f t="shared" si="143"/>
        <v>8.0086941176470603</v>
      </c>
      <c r="N1071" s="425">
        <f t="shared" si="149"/>
        <v>2.9447968270588243</v>
      </c>
      <c r="O1071" s="498">
        <v>3.0796611492816992</v>
      </c>
      <c r="P1071" s="427">
        <f t="shared" si="144"/>
        <v>0.86438823529411768</v>
      </c>
      <c r="Q1071" s="426">
        <f t="shared" si="145"/>
        <v>3.7541069409743915</v>
      </c>
      <c r="R1071" s="532">
        <f t="shared" si="148"/>
        <v>2.1992235502334961E-2</v>
      </c>
    </row>
    <row r="1072" spans="1:18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608">
        <f t="shared" si="147"/>
        <v>255.8</v>
      </c>
      <c r="G1072" s="330">
        <v>7</v>
      </c>
      <c r="H1072" s="330">
        <v>7</v>
      </c>
      <c r="I1072" s="330"/>
      <c r="J1072" s="330"/>
      <c r="K1072" s="386">
        <f t="shared" si="146"/>
        <v>7</v>
      </c>
      <c r="L1072" s="187">
        <f t="shared" si="142"/>
        <v>1.6470588235294118E-3</v>
      </c>
      <c r="M1072" s="315">
        <f t="shared" si="143"/>
        <v>3.7373905882352942</v>
      </c>
      <c r="N1072" s="425">
        <f t="shared" si="149"/>
        <v>1.3742385192941178</v>
      </c>
      <c r="O1072" s="498">
        <v>1.4371752029981262</v>
      </c>
      <c r="P1072" s="427">
        <f t="shared" si="144"/>
        <v>0.40338117647058824</v>
      </c>
      <c r="Q1072" s="426">
        <f t="shared" si="145"/>
        <v>1.7519165724547159</v>
      </c>
      <c r="R1072" s="532">
        <f t="shared" si="148"/>
        <v>2.7178207533221758E-2</v>
      </c>
    </row>
    <row r="1073" spans="1:18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08">
        <f t="shared" si="147"/>
        <v>352.5</v>
      </c>
      <c r="G1073" s="330">
        <v>4</v>
      </c>
      <c r="H1073" s="330">
        <v>4</v>
      </c>
      <c r="I1073" s="730">
        <v>1</v>
      </c>
      <c r="J1073" s="330"/>
      <c r="K1073" s="386">
        <f t="shared" si="146"/>
        <v>5</v>
      </c>
      <c r="L1073" s="187">
        <f t="shared" ref="L1073:L1136" si="150">1.5/6375*K1073</f>
        <v>1.1764705882352942E-3</v>
      </c>
      <c r="M1073" s="315">
        <f t="shared" ref="M1073:M1136" si="151">L1073*2269.13</f>
        <v>2.6695647058823533</v>
      </c>
      <c r="N1073" s="425">
        <f t="shared" si="149"/>
        <v>0.98159894235294143</v>
      </c>
      <c r="O1073" s="498">
        <v>1.0265537164272329</v>
      </c>
      <c r="P1073" s="427">
        <f t="shared" ref="P1073:P1136" si="152">L1073*244.91</f>
        <v>0.28812941176470591</v>
      </c>
      <c r="Q1073" s="426">
        <f t="shared" si="145"/>
        <v>1.2513689803247969</v>
      </c>
      <c r="R1073" s="532">
        <f t="shared" si="148"/>
        <v>2.9593842529363722E-2</v>
      </c>
    </row>
    <row r="1074" spans="1:18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608">
        <f t="shared" si="147"/>
        <v>642.9</v>
      </c>
      <c r="G1074" s="330">
        <v>20</v>
      </c>
      <c r="H1074" s="330">
        <v>20</v>
      </c>
      <c r="I1074" s="330"/>
      <c r="J1074" s="330"/>
      <c r="K1074" s="386">
        <f t="shared" si="146"/>
        <v>20</v>
      </c>
      <c r="L1074" s="187">
        <f t="shared" si="150"/>
        <v>4.7058823529411769E-3</v>
      </c>
      <c r="M1074" s="315">
        <f t="shared" si="151"/>
        <v>10.678258823529413</v>
      </c>
      <c r="N1074" s="425">
        <f t="shared" si="149"/>
        <v>3.9263957694117657</v>
      </c>
      <c r="O1074" s="498">
        <v>4.1062148657089317</v>
      </c>
      <c r="P1074" s="427">
        <f t="shared" si="152"/>
        <v>1.1525176470588236</v>
      </c>
      <c r="Q1074" s="426">
        <f t="shared" ref="Q1074:Q1137" si="153">O1074*1.219</f>
        <v>5.0054759212991877</v>
      </c>
      <c r="R1074" s="532">
        <f t="shared" si="148"/>
        <v>3.0896542394943119E-2</v>
      </c>
    </row>
    <row r="1075" spans="1:18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08">
        <f t="shared" si="147"/>
        <v>324.39999999999998</v>
      </c>
      <c r="G1075" s="330">
        <v>9</v>
      </c>
      <c r="H1075" s="330">
        <v>9</v>
      </c>
      <c r="I1075" s="330"/>
      <c r="J1075" s="330"/>
      <c r="K1075" s="386">
        <f t="shared" si="146"/>
        <v>9</v>
      </c>
      <c r="L1075" s="187">
        <f t="shared" si="150"/>
        <v>2.1176470588235297E-3</v>
      </c>
      <c r="M1075" s="315">
        <f t="shared" si="151"/>
        <v>4.8052164705882365</v>
      </c>
      <c r="N1075" s="425">
        <f t="shared" si="149"/>
        <v>1.7668780962352948</v>
      </c>
      <c r="O1075" s="498">
        <v>1.8477966895690194</v>
      </c>
      <c r="P1075" s="427">
        <f t="shared" si="152"/>
        <v>0.51863294117647063</v>
      </c>
      <c r="Q1075" s="426">
        <f t="shared" si="153"/>
        <v>2.2524641645846351</v>
      </c>
      <c r="R1075" s="532">
        <f t="shared" si="148"/>
        <v>2.7554020337759003E-2</v>
      </c>
    </row>
    <row r="1076" spans="1:18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608">
        <f t="shared" si="147"/>
        <v>505</v>
      </c>
      <c r="G1076" s="330">
        <v>12</v>
      </c>
      <c r="H1076" s="330">
        <v>12</v>
      </c>
      <c r="I1076" s="330"/>
      <c r="J1076" s="330"/>
      <c r="K1076" s="386">
        <f t="shared" si="146"/>
        <v>12</v>
      </c>
      <c r="L1076" s="187">
        <f t="shared" si="150"/>
        <v>2.8235294117647061E-3</v>
      </c>
      <c r="M1076" s="315">
        <f t="shared" si="151"/>
        <v>6.4069552941176475</v>
      </c>
      <c r="N1076" s="425">
        <f t="shared" si="149"/>
        <v>2.355837461647059</v>
      </c>
      <c r="O1076" s="498">
        <v>2.4637289194253591</v>
      </c>
      <c r="P1076" s="427">
        <f t="shared" si="152"/>
        <v>0.6915105882352941</v>
      </c>
      <c r="Q1076" s="426">
        <f t="shared" si="153"/>
        <v>3.0032855527795128</v>
      </c>
      <c r="R1076" s="532">
        <f t="shared" si="148"/>
        <v>2.360006388797101E-2</v>
      </c>
    </row>
    <row r="1077" spans="1:18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08">
        <f t="shared" si="147"/>
        <v>548.70000000000005</v>
      </c>
      <c r="G1077" s="330">
        <v>14</v>
      </c>
      <c r="H1077" s="330">
        <v>14</v>
      </c>
      <c r="I1077" s="330"/>
      <c r="J1077" s="330"/>
      <c r="K1077" s="386">
        <f t="shared" si="146"/>
        <v>14</v>
      </c>
      <c r="L1077" s="187">
        <f t="shared" si="150"/>
        <v>3.2941176470588237E-3</v>
      </c>
      <c r="M1077" s="315">
        <f t="shared" si="151"/>
        <v>7.4747811764705885</v>
      </c>
      <c r="N1077" s="425">
        <f t="shared" si="149"/>
        <v>2.7484770385882356</v>
      </c>
      <c r="O1077" s="498">
        <v>2.8743504059962524</v>
      </c>
      <c r="P1077" s="427">
        <f t="shared" si="152"/>
        <v>0.80676235294117649</v>
      </c>
      <c r="Q1077" s="426">
        <f t="shared" si="153"/>
        <v>3.5038331449094318</v>
      </c>
      <c r="R1077" s="532">
        <f t="shared" si="148"/>
        <v>2.5340570391828417E-2</v>
      </c>
    </row>
    <row r="1078" spans="1:18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608">
        <f t="shared" si="147"/>
        <v>222.33</v>
      </c>
      <c r="G1078" s="330">
        <v>7</v>
      </c>
      <c r="H1078" s="330">
        <v>7</v>
      </c>
      <c r="I1078" s="330"/>
      <c r="J1078" s="330"/>
      <c r="K1078" s="386">
        <f t="shared" si="146"/>
        <v>7</v>
      </c>
      <c r="L1078" s="187">
        <f t="shared" si="150"/>
        <v>1.6470588235294118E-3</v>
      </c>
      <c r="M1078" s="315">
        <f t="shared" si="151"/>
        <v>3.7373905882352942</v>
      </c>
      <c r="N1078" s="425">
        <f t="shared" si="149"/>
        <v>1.3742385192941178</v>
      </c>
      <c r="O1078" s="498">
        <v>1.4371752029981262</v>
      </c>
      <c r="P1078" s="427">
        <f t="shared" si="152"/>
        <v>0.40338117647058824</v>
      </c>
      <c r="Q1078" s="426">
        <f t="shared" si="153"/>
        <v>1.7519165724547159</v>
      </c>
      <c r="R1078" s="532">
        <f t="shared" si="148"/>
        <v>3.1269668902074062E-2</v>
      </c>
    </row>
    <row r="1079" spans="1:18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608">
        <f t="shared" si="147"/>
        <v>461.2</v>
      </c>
      <c r="G1079" s="330">
        <v>13</v>
      </c>
      <c r="H1079" s="330">
        <v>13</v>
      </c>
      <c r="I1079" s="330"/>
      <c r="J1079" s="330"/>
      <c r="K1079" s="386">
        <f t="shared" si="146"/>
        <v>13</v>
      </c>
      <c r="L1079" s="187">
        <f t="shared" si="150"/>
        <v>3.0588235294117649E-3</v>
      </c>
      <c r="M1079" s="315">
        <f t="shared" si="151"/>
        <v>6.9408682352941184</v>
      </c>
      <c r="N1079" s="425">
        <f t="shared" si="149"/>
        <v>2.5521572501176477</v>
      </c>
      <c r="O1079" s="498">
        <v>2.6690396627108059</v>
      </c>
      <c r="P1079" s="427">
        <f t="shared" si="152"/>
        <v>0.74913647058823529</v>
      </c>
      <c r="Q1079" s="426">
        <f t="shared" si="153"/>
        <v>3.2535593488444725</v>
      </c>
      <c r="R1079" s="532">
        <f t="shared" si="148"/>
        <v>2.7994799693648757E-2</v>
      </c>
    </row>
    <row r="1080" spans="1:18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608">
        <f t="shared" si="147"/>
        <v>446.5</v>
      </c>
      <c r="G1080" s="330">
        <v>15</v>
      </c>
      <c r="H1080" s="330">
        <v>15</v>
      </c>
      <c r="I1080" s="330"/>
      <c r="J1080" s="330"/>
      <c r="K1080" s="386">
        <f t="shared" si="146"/>
        <v>15</v>
      </c>
      <c r="L1080" s="187">
        <f t="shared" si="150"/>
        <v>3.5294117647058825E-3</v>
      </c>
      <c r="M1080" s="315">
        <f t="shared" si="151"/>
        <v>8.0086941176470603</v>
      </c>
      <c r="N1080" s="425">
        <f t="shared" si="149"/>
        <v>2.9447968270588243</v>
      </c>
      <c r="O1080" s="498">
        <v>3.0796611492816992</v>
      </c>
      <c r="P1080" s="427">
        <f t="shared" si="152"/>
        <v>0.86438823529411768</v>
      </c>
      <c r="Q1080" s="426">
        <f t="shared" si="153"/>
        <v>3.7541069409743915</v>
      </c>
      <c r="R1080" s="532">
        <f t="shared" si="148"/>
        <v>3.3365151913284888E-2</v>
      </c>
    </row>
    <row r="1081" spans="1:18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608">
        <f t="shared" si="147"/>
        <v>291.5</v>
      </c>
      <c r="G1081" s="330">
        <v>7</v>
      </c>
      <c r="H1081" s="330">
        <v>7</v>
      </c>
      <c r="I1081" s="330"/>
      <c r="J1081" s="330"/>
      <c r="K1081" s="386">
        <f t="shared" si="146"/>
        <v>7</v>
      </c>
      <c r="L1081" s="187">
        <f t="shared" si="150"/>
        <v>1.6470588235294118E-3</v>
      </c>
      <c r="M1081" s="315">
        <f t="shared" si="151"/>
        <v>3.7373905882352942</v>
      </c>
      <c r="N1081" s="425">
        <f t="shared" si="149"/>
        <v>1.3742385192941178</v>
      </c>
      <c r="O1081" s="498">
        <v>1.4371752029981262</v>
      </c>
      <c r="P1081" s="427">
        <f t="shared" si="152"/>
        <v>0.40338117647058824</v>
      </c>
      <c r="Q1081" s="426">
        <f t="shared" si="153"/>
        <v>1.7519165724547159</v>
      </c>
      <c r="R1081" s="532">
        <f t="shared" si="148"/>
        <v>2.3849692922806608E-2</v>
      </c>
    </row>
    <row r="1082" spans="1:18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608">
        <f t="shared" si="147"/>
        <v>361.5</v>
      </c>
      <c r="G1082" s="330">
        <v>7</v>
      </c>
      <c r="H1082" s="330">
        <v>7</v>
      </c>
      <c r="I1082" s="330"/>
      <c r="J1082" s="330"/>
      <c r="K1082" s="386">
        <f t="shared" si="146"/>
        <v>7</v>
      </c>
      <c r="L1082" s="187">
        <f t="shared" si="150"/>
        <v>1.6470588235294118E-3</v>
      </c>
      <c r="M1082" s="315">
        <f t="shared" si="151"/>
        <v>3.7373905882352942</v>
      </c>
      <c r="N1082" s="425">
        <f t="shared" si="149"/>
        <v>1.3742385192941178</v>
      </c>
      <c r="O1082" s="498">
        <v>1.4371752029981262</v>
      </c>
      <c r="P1082" s="427">
        <f t="shared" si="152"/>
        <v>0.40338117647058824</v>
      </c>
      <c r="Q1082" s="426">
        <f t="shared" si="153"/>
        <v>1.7519165724547159</v>
      </c>
      <c r="R1082" s="532">
        <f t="shared" si="148"/>
        <v>1.923149512309302E-2</v>
      </c>
    </row>
    <row r="1083" spans="1:18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08">
        <f t="shared" si="147"/>
        <v>485.90000000000003</v>
      </c>
      <c r="G1083" s="330">
        <v>11</v>
      </c>
      <c r="H1083" s="330">
        <v>11</v>
      </c>
      <c r="I1083" s="330"/>
      <c r="J1083" s="330">
        <v>1</v>
      </c>
      <c r="K1083" s="386">
        <f t="shared" si="146"/>
        <v>12</v>
      </c>
      <c r="L1083" s="187">
        <f t="shared" si="150"/>
        <v>2.8235294117647061E-3</v>
      </c>
      <c r="M1083" s="315">
        <f t="shared" si="151"/>
        <v>6.4069552941176475</v>
      </c>
      <c r="N1083" s="425">
        <f t="shared" si="149"/>
        <v>2.355837461647059</v>
      </c>
      <c r="O1083" s="498">
        <v>2.4637289194253591</v>
      </c>
      <c r="P1083" s="427">
        <f t="shared" si="152"/>
        <v>0.6915105882352941</v>
      </c>
      <c r="Q1083" s="426">
        <f t="shared" si="153"/>
        <v>3.0032855527795128</v>
      </c>
      <c r="R1083" s="532">
        <f t="shared" si="148"/>
        <v>2.5111740968026462E-2</v>
      </c>
    </row>
    <row r="1084" spans="1:18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08">
        <f t="shared" si="147"/>
        <v>430.5</v>
      </c>
      <c r="G1084" s="330">
        <v>12</v>
      </c>
      <c r="H1084" s="330">
        <v>12</v>
      </c>
      <c r="I1084" s="330"/>
      <c r="J1084" s="330">
        <v>1</v>
      </c>
      <c r="K1084" s="386">
        <f t="shared" si="146"/>
        <v>13</v>
      </c>
      <c r="L1084" s="187">
        <f t="shared" si="150"/>
        <v>3.0588235294117649E-3</v>
      </c>
      <c r="M1084" s="315">
        <f t="shared" si="151"/>
        <v>6.9408682352941184</v>
      </c>
      <c r="N1084" s="425">
        <f t="shared" si="149"/>
        <v>2.5521572501176477</v>
      </c>
      <c r="O1084" s="498">
        <v>2.6690396627108059</v>
      </c>
      <c r="P1084" s="427">
        <f t="shared" si="152"/>
        <v>0.74913647058823529</v>
      </c>
      <c r="Q1084" s="426">
        <f t="shared" si="153"/>
        <v>3.2535593488444725</v>
      </c>
      <c r="R1084" s="532">
        <f t="shared" si="148"/>
        <v>3.2334589578539463E-2</v>
      </c>
    </row>
    <row r="1085" spans="1:18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608">
        <f t="shared" si="147"/>
        <v>96.4</v>
      </c>
      <c r="G1085" s="330">
        <v>2</v>
      </c>
      <c r="H1085" s="330">
        <v>2</v>
      </c>
      <c r="I1085" s="330"/>
      <c r="J1085" s="330"/>
      <c r="K1085" s="386">
        <f t="shared" si="146"/>
        <v>2</v>
      </c>
      <c r="L1085" s="187">
        <f t="shared" si="150"/>
        <v>4.7058823529411766E-4</v>
      </c>
      <c r="M1085" s="315">
        <f t="shared" si="151"/>
        <v>1.0678258823529412</v>
      </c>
      <c r="N1085" s="425">
        <f t="shared" si="149"/>
        <v>0.39263957694117652</v>
      </c>
      <c r="O1085" s="498">
        <v>0.4106214865708932</v>
      </c>
      <c r="P1085" s="427">
        <f t="shared" si="152"/>
        <v>0.11525176470588236</v>
      </c>
      <c r="Q1085" s="426">
        <f t="shared" si="153"/>
        <v>0.50054759212991884</v>
      </c>
      <c r="R1085" s="532">
        <f t="shared" si="148"/>
        <v>2.0605173346171093E-2</v>
      </c>
    </row>
    <row r="1086" spans="1:18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608">
        <f t="shared" si="147"/>
        <v>76.2</v>
      </c>
      <c r="G1086" s="330">
        <v>2</v>
      </c>
      <c r="H1086" s="330">
        <v>2</v>
      </c>
      <c r="I1086" s="330"/>
      <c r="J1086" s="330"/>
      <c r="K1086" s="386">
        <f t="shared" si="146"/>
        <v>2</v>
      </c>
      <c r="L1086" s="187">
        <f t="shared" si="150"/>
        <v>4.7058823529411766E-4</v>
      </c>
      <c r="M1086" s="315">
        <f t="shared" si="151"/>
        <v>1.0678258823529412</v>
      </c>
      <c r="N1086" s="425">
        <f t="shared" si="149"/>
        <v>0.39263957694117652</v>
      </c>
      <c r="O1086" s="498">
        <v>0.4106214865708932</v>
      </c>
      <c r="P1086" s="427">
        <f t="shared" si="152"/>
        <v>0.11525176470588236</v>
      </c>
      <c r="Q1086" s="426">
        <f t="shared" si="153"/>
        <v>0.50054759212991884</v>
      </c>
      <c r="R1086" s="532">
        <f t="shared" si="148"/>
        <v>2.6067437146599651E-2</v>
      </c>
    </row>
    <row r="1087" spans="1:18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608">
        <f t="shared" ref="F1087:F1145" si="154">C1087+D1087+E1087</f>
        <v>84.3</v>
      </c>
      <c r="G1087" s="330">
        <v>4</v>
      </c>
      <c r="H1087" s="330">
        <v>4</v>
      </c>
      <c r="I1087" s="330"/>
      <c r="J1087" s="330"/>
      <c r="K1087" s="386">
        <f t="shared" ref="K1087:K1149" si="155">H1087+I1087+J1087</f>
        <v>4</v>
      </c>
      <c r="L1087" s="187">
        <f t="shared" si="150"/>
        <v>9.4117647058823532E-4</v>
      </c>
      <c r="M1087" s="315">
        <f t="shared" si="151"/>
        <v>2.1356517647058824</v>
      </c>
      <c r="N1087" s="425">
        <f t="shared" si="149"/>
        <v>0.78527915388235303</v>
      </c>
      <c r="O1087" s="498">
        <v>0.8212429731417864</v>
      </c>
      <c r="P1087" s="427">
        <f t="shared" si="152"/>
        <v>0.23050352941176472</v>
      </c>
      <c r="Q1087" s="426">
        <f t="shared" si="153"/>
        <v>1.0010951842598377</v>
      </c>
      <c r="R1087" s="532">
        <f t="shared" si="148"/>
        <v>4.7125473560400796E-2</v>
      </c>
    </row>
    <row r="1088" spans="1:18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608">
        <f t="shared" si="154"/>
        <v>236.4</v>
      </c>
      <c r="G1088" s="330">
        <v>5</v>
      </c>
      <c r="H1088" s="330">
        <v>5</v>
      </c>
      <c r="I1088" s="330"/>
      <c r="J1088" s="330"/>
      <c r="K1088" s="386">
        <f t="shared" si="155"/>
        <v>5</v>
      </c>
      <c r="L1088" s="187">
        <f t="shared" si="150"/>
        <v>1.1764705882352942E-3</v>
      </c>
      <c r="M1088" s="315">
        <f t="shared" si="151"/>
        <v>2.6695647058823533</v>
      </c>
      <c r="N1088" s="425">
        <f t="shared" si="149"/>
        <v>0.98159894235294143</v>
      </c>
      <c r="O1088" s="498">
        <v>1.0265537164272329</v>
      </c>
      <c r="P1088" s="427">
        <f t="shared" si="152"/>
        <v>0.28812941176470591</v>
      </c>
      <c r="Q1088" s="426">
        <f t="shared" si="153"/>
        <v>1.2513689803247969</v>
      </c>
      <c r="R1088" s="532">
        <f t="shared" si="148"/>
        <v>2.1006120035648192E-2</v>
      </c>
    </row>
    <row r="1089" spans="1:18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608">
        <f t="shared" si="154"/>
        <v>84.3</v>
      </c>
      <c r="G1089" s="330">
        <v>1</v>
      </c>
      <c r="H1089" s="330">
        <v>1</v>
      </c>
      <c r="I1089" s="330"/>
      <c r="J1089" s="330"/>
      <c r="K1089" s="386">
        <f t="shared" si="155"/>
        <v>1</v>
      </c>
      <c r="L1089" s="187">
        <f t="shared" si="150"/>
        <v>2.3529411764705883E-4</v>
      </c>
      <c r="M1089" s="315">
        <f t="shared" si="151"/>
        <v>0.53391294117647059</v>
      </c>
      <c r="N1089" s="425">
        <f t="shared" si="149"/>
        <v>0.19631978847058826</v>
      </c>
      <c r="O1089" s="498">
        <v>0.2053107432854466</v>
      </c>
      <c r="P1089" s="427">
        <f t="shared" si="152"/>
        <v>5.762588235294118E-2</v>
      </c>
      <c r="Q1089" s="426">
        <f t="shared" si="153"/>
        <v>0.25027379606495942</v>
      </c>
      <c r="R1089" s="532">
        <f t="shared" si="148"/>
        <v>1.1781368390100199E-2</v>
      </c>
    </row>
    <row r="1090" spans="1:18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608">
        <f t="shared" si="154"/>
        <v>84.3</v>
      </c>
      <c r="G1090" s="330">
        <v>3</v>
      </c>
      <c r="H1090" s="330">
        <v>3</v>
      </c>
      <c r="I1090" s="330"/>
      <c r="J1090" s="330"/>
      <c r="K1090" s="386">
        <f t="shared" si="155"/>
        <v>3</v>
      </c>
      <c r="L1090" s="187">
        <f t="shared" si="150"/>
        <v>7.0588235294117652E-4</v>
      </c>
      <c r="M1090" s="315">
        <f t="shared" si="151"/>
        <v>1.6017388235294119</v>
      </c>
      <c r="N1090" s="425">
        <f t="shared" si="149"/>
        <v>0.58895936541176475</v>
      </c>
      <c r="O1090" s="498">
        <v>0.61593222985633977</v>
      </c>
      <c r="P1090" s="427">
        <f t="shared" si="152"/>
        <v>0.17287764705882352</v>
      </c>
      <c r="Q1090" s="426">
        <f t="shared" si="153"/>
        <v>0.7508213881948782</v>
      </c>
      <c r="R1090" s="532">
        <f t="shared" si="148"/>
        <v>3.5344105170300594E-2</v>
      </c>
    </row>
    <row r="1091" spans="1:18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608">
        <f t="shared" si="154"/>
        <v>176.6</v>
      </c>
      <c r="G1091" s="330">
        <v>4</v>
      </c>
      <c r="H1091" s="330">
        <v>4</v>
      </c>
      <c r="I1091" s="330"/>
      <c r="J1091" s="330"/>
      <c r="K1091" s="386">
        <f t="shared" si="155"/>
        <v>4</v>
      </c>
      <c r="L1091" s="187">
        <f t="shared" si="150"/>
        <v>9.4117647058823532E-4</v>
      </c>
      <c r="M1091" s="315">
        <f t="shared" si="151"/>
        <v>2.1356517647058824</v>
      </c>
      <c r="N1091" s="425">
        <f t="shared" si="149"/>
        <v>0.78527915388235303</v>
      </c>
      <c r="O1091" s="498">
        <v>0.8212429731417864</v>
      </c>
      <c r="P1091" s="427">
        <f t="shared" si="152"/>
        <v>0.23050352941176472</v>
      </c>
      <c r="Q1091" s="426">
        <f t="shared" si="153"/>
        <v>1.0010951842598377</v>
      </c>
      <c r="R1091" s="532">
        <f t="shared" si="148"/>
        <v>2.2495342135570709E-2</v>
      </c>
    </row>
    <row r="1092" spans="1:18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608">
        <f t="shared" si="154"/>
        <v>111.5</v>
      </c>
      <c r="G1092" s="330">
        <v>3</v>
      </c>
      <c r="H1092" s="330">
        <v>3</v>
      </c>
      <c r="I1092" s="330"/>
      <c r="J1092" s="330"/>
      <c r="K1092" s="386">
        <f t="shared" si="155"/>
        <v>3</v>
      </c>
      <c r="L1092" s="187">
        <f t="shared" si="150"/>
        <v>7.0588235294117652E-4</v>
      </c>
      <c r="M1092" s="315">
        <f t="shared" si="151"/>
        <v>1.6017388235294119</v>
      </c>
      <c r="N1092" s="425">
        <f t="shared" si="149"/>
        <v>0.58895936541176475</v>
      </c>
      <c r="O1092" s="498">
        <v>0.61593222985633977</v>
      </c>
      <c r="P1092" s="427">
        <f t="shared" si="152"/>
        <v>0.17287764705882352</v>
      </c>
      <c r="Q1092" s="426">
        <f t="shared" si="153"/>
        <v>0.7508213881948782</v>
      </c>
      <c r="R1092" s="532">
        <f t="shared" si="148"/>
        <v>2.6722045433689147E-2</v>
      </c>
    </row>
    <row r="1093" spans="1:18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608">
        <f t="shared" si="154"/>
        <v>94.2</v>
      </c>
      <c r="G1093" s="330">
        <v>2</v>
      </c>
      <c r="H1093" s="330">
        <v>2</v>
      </c>
      <c r="I1093" s="330"/>
      <c r="J1093" s="330"/>
      <c r="K1093" s="386">
        <f t="shared" si="155"/>
        <v>2</v>
      </c>
      <c r="L1093" s="187">
        <f t="shared" si="150"/>
        <v>4.7058823529411766E-4</v>
      </c>
      <c r="M1093" s="315">
        <f t="shared" si="151"/>
        <v>1.0678258823529412</v>
      </c>
      <c r="N1093" s="425">
        <f t="shared" si="149"/>
        <v>0.39263957694117652</v>
      </c>
      <c r="O1093" s="498">
        <v>0.4106214865708932</v>
      </c>
      <c r="P1093" s="427">
        <f t="shared" si="152"/>
        <v>0.11525176470588236</v>
      </c>
      <c r="Q1093" s="426">
        <f t="shared" si="153"/>
        <v>0.50054759212991884</v>
      </c>
      <c r="R1093" s="532">
        <f t="shared" si="148"/>
        <v>2.1086398201389526E-2</v>
      </c>
    </row>
    <row r="1094" spans="1:18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608">
        <f t="shared" si="154"/>
        <v>131.4</v>
      </c>
      <c r="G1094" s="330">
        <v>3</v>
      </c>
      <c r="H1094" s="330">
        <v>3</v>
      </c>
      <c r="I1094" s="330"/>
      <c r="J1094" s="330"/>
      <c r="K1094" s="386">
        <f t="shared" si="155"/>
        <v>3</v>
      </c>
      <c r="L1094" s="187">
        <f t="shared" si="150"/>
        <v>7.0588235294117652E-4</v>
      </c>
      <c r="M1094" s="315">
        <f t="shared" si="151"/>
        <v>1.6017388235294119</v>
      </c>
      <c r="N1094" s="425">
        <f t="shared" si="149"/>
        <v>0.58895936541176475</v>
      </c>
      <c r="O1094" s="498">
        <v>0.61593222985633977</v>
      </c>
      <c r="P1094" s="427">
        <f t="shared" si="152"/>
        <v>0.17287764705882352</v>
      </c>
      <c r="Q1094" s="426">
        <f t="shared" si="153"/>
        <v>0.7508213881948782</v>
      </c>
      <c r="R1094" s="532">
        <f t="shared" si="148"/>
        <v>2.2675099435740791E-2</v>
      </c>
    </row>
    <row r="1095" spans="1:18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608">
        <f t="shared" si="154"/>
        <v>87.9</v>
      </c>
      <c r="G1095" s="330">
        <v>2</v>
      </c>
      <c r="H1095" s="330">
        <v>2</v>
      </c>
      <c r="I1095" s="330"/>
      <c r="J1095" s="330"/>
      <c r="K1095" s="386">
        <f t="shared" si="155"/>
        <v>2</v>
      </c>
      <c r="L1095" s="187">
        <f t="shared" si="150"/>
        <v>4.7058823529411766E-4</v>
      </c>
      <c r="M1095" s="315">
        <f t="shared" si="151"/>
        <v>1.0678258823529412</v>
      </c>
      <c r="N1095" s="425">
        <f t="shared" si="149"/>
        <v>0.39263957694117652</v>
      </c>
      <c r="O1095" s="498">
        <v>0.4106214865708932</v>
      </c>
      <c r="P1095" s="427">
        <f t="shared" si="152"/>
        <v>0.11525176470588236</v>
      </c>
      <c r="Q1095" s="426">
        <f t="shared" si="153"/>
        <v>0.50054759212991884</v>
      </c>
      <c r="R1095" s="532">
        <f t="shared" si="148"/>
        <v>2.2597710017871368E-2</v>
      </c>
    </row>
    <row r="1096" spans="1:18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08">
        <f t="shared" si="154"/>
        <v>69.599999999999994</v>
      </c>
      <c r="G1096" s="330">
        <v>2</v>
      </c>
      <c r="H1096" s="330">
        <v>2</v>
      </c>
      <c r="I1096" s="330"/>
      <c r="J1096" s="330"/>
      <c r="K1096" s="386">
        <f t="shared" si="155"/>
        <v>2</v>
      </c>
      <c r="L1096" s="187">
        <f t="shared" si="150"/>
        <v>4.7058823529411766E-4</v>
      </c>
      <c r="M1096" s="315">
        <f t="shared" si="151"/>
        <v>1.0678258823529412</v>
      </c>
      <c r="N1096" s="425">
        <f t="shared" si="149"/>
        <v>0.39263957694117652</v>
      </c>
      <c r="O1096" s="498">
        <v>0.4106214865708932</v>
      </c>
      <c r="P1096" s="427">
        <f t="shared" si="152"/>
        <v>0.11525176470588236</v>
      </c>
      <c r="Q1096" s="426">
        <f t="shared" si="153"/>
        <v>0.50054759212991884</v>
      </c>
      <c r="R1096" s="532">
        <f t="shared" si="148"/>
        <v>2.8539349289811691E-2</v>
      </c>
    </row>
    <row r="1097" spans="1:18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608">
        <f t="shared" si="154"/>
        <v>101.5</v>
      </c>
      <c r="G1097" s="330">
        <v>3</v>
      </c>
      <c r="H1097" s="330">
        <v>3</v>
      </c>
      <c r="I1097" s="330"/>
      <c r="J1097" s="330"/>
      <c r="K1097" s="386">
        <f t="shared" si="155"/>
        <v>3</v>
      </c>
      <c r="L1097" s="187">
        <f t="shared" si="150"/>
        <v>7.0588235294117652E-4</v>
      </c>
      <c r="M1097" s="315">
        <f t="shared" si="151"/>
        <v>1.6017388235294119</v>
      </c>
      <c r="N1097" s="425">
        <f t="shared" si="149"/>
        <v>0.58895936541176475</v>
      </c>
      <c r="O1097" s="498">
        <v>0.61593222985633977</v>
      </c>
      <c r="P1097" s="427">
        <f t="shared" si="152"/>
        <v>0.17287764705882352</v>
      </c>
      <c r="Q1097" s="426">
        <f t="shared" si="153"/>
        <v>0.7508213881948782</v>
      </c>
      <c r="R1097" s="532">
        <f t="shared" si="148"/>
        <v>2.9354759269520591E-2</v>
      </c>
    </row>
    <row r="1098" spans="1:18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608">
        <f t="shared" si="154"/>
        <v>237.8</v>
      </c>
      <c r="G1098" s="330">
        <v>5</v>
      </c>
      <c r="H1098" s="330">
        <v>5</v>
      </c>
      <c r="I1098" s="330"/>
      <c r="J1098" s="330"/>
      <c r="K1098" s="386">
        <f t="shared" si="155"/>
        <v>5</v>
      </c>
      <c r="L1098" s="187">
        <f t="shared" si="150"/>
        <v>1.1764705882352942E-3</v>
      </c>
      <c r="M1098" s="315">
        <f t="shared" si="151"/>
        <v>2.6695647058823533</v>
      </c>
      <c r="N1098" s="425">
        <f t="shared" si="149"/>
        <v>0.98159894235294143</v>
      </c>
      <c r="O1098" s="498">
        <v>1.0265537164272329</v>
      </c>
      <c r="P1098" s="427">
        <f t="shared" si="152"/>
        <v>0.28812941176470591</v>
      </c>
      <c r="Q1098" s="426">
        <f t="shared" si="153"/>
        <v>1.2513689803247969</v>
      </c>
      <c r="R1098" s="532">
        <f t="shared" ref="R1098:R1161" si="156">(M1098+N1098+O1098+P1098)/C1098</f>
        <v>2.0882450699862207E-2</v>
      </c>
    </row>
    <row r="1099" spans="1:18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608">
        <f t="shared" si="154"/>
        <v>96.6</v>
      </c>
      <c r="G1099" s="330">
        <v>3</v>
      </c>
      <c r="H1099" s="330">
        <v>3</v>
      </c>
      <c r="I1099" s="330"/>
      <c r="J1099" s="330"/>
      <c r="K1099" s="386">
        <f t="shared" si="155"/>
        <v>3</v>
      </c>
      <c r="L1099" s="187">
        <f t="shared" si="150"/>
        <v>7.0588235294117652E-4</v>
      </c>
      <c r="M1099" s="315">
        <f t="shared" si="151"/>
        <v>1.6017388235294119</v>
      </c>
      <c r="N1099" s="425">
        <f t="shared" si="149"/>
        <v>0.58895936541176475</v>
      </c>
      <c r="O1099" s="498">
        <v>0.61593222985633977</v>
      </c>
      <c r="P1099" s="427">
        <f t="shared" si="152"/>
        <v>0.17287764705882352</v>
      </c>
      <c r="Q1099" s="426">
        <f t="shared" si="153"/>
        <v>0.7508213881948782</v>
      </c>
      <c r="R1099" s="532">
        <f t="shared" si="156"/>
        <v>3.0843768797684679E-2</v>
      </c>
    </row>
    <row r="1100" spans="1:18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608">
        <f t="shared" si="154"/>
        <v>120.2</v>
      </c>
      <c r="G1100" s="330">
        <v>3</v>
      </c>
      <c r="H1100" s="330">
        <v>3</v>
      </c>
      <c r="I1100" s="330"/>
      <c r="J1100" s="330"/>
      <c r="K1100" s="386">
        <f t="shared" si="155"/>
        <v>3</v>
      </c>
      <c r="L1100" s="187">
        <f t="shared" si="150"/>
        <v>7.0588235294117652E-4</v>
      </c>
      <c r="M1100" s="315">
        <f t="shared" si="151"/>
        <v>1.6017388235294119</v>
      </c>
      <c r="N1100" s="425">
        <f t="shared" si="149"/>
        <v>0.58895936541176475</v>
      </c>
      <c r="O1100" s="498">
        <v>0.61593222985633977</v>
      </c>
      <c r="P1100" s="427">
        <f t="shared" si="152"/>
        <v>0.17287764705882352</v>
      </c>
      <c r="Q1100" s="426">
        <f t="shared" si="153"/>
        <v>0.7508213881948782</v>
      </c>
      <c r="R1100" s="532">
        <f t="shared" si="156"/>
        <v>2.4787920681001163E-2</v>
      </c>
    </row>
    <row r="1101" spans="1:18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608">
        <f t="shared" si="154"/>
        <v>340.3</v>
      </c>
      <c r="G1101" s="330">
        <v>9</v>
      </c>
      <c r="H1101" s="330">
        <v>9</v>
      </c>
      <c r="I1101" s="330"/>
      <c r="J1101" s="330"/>
      <c r="K1101" s="386">
        <f t="shared" si="155"/>
        <v>9</v>
      </c>
      <c r="L1101" s="187">
        <f t="shared" si="150"/>
        <v>2.1176470588235297E-3</v>
      </c>
      <c r="M1101" s="315">
        <f t="shared" si="151"/>
        <v>4.8052164705882365</v>
      </c>
      <c r="N1101" s="425">
        <f t="shared" si="149"/>
        <v>1.7668780962352948</v>
      </c>
      <c r="O1101" s="498">
        <v>1.8477966895690194</v>
      </c>
      <c r="P1101" s="427">
        <f t="shared" si="152"/>
        <v>0.51863294117647063</v>
      </c>
      <c r="Q1101" s="426">
        <f t="shared" si="153"/>
        <v>2.2524641645846351</v>
      </c>
      <c r="R1101" s="532">
        <f t="shared" si="156"/>
        <v>2.6266600639344755E-2</v>
      </c>
    </row>
    <row r="1102" spans="1:18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08">
        <f t="shared" si="154"/>
        <v>264.89999999999998</v>
      </c>
      <c r="G1102" s="330">
        <v>6</v>
      </c>
      <c r="H1102" s="330">
        <v>6</v>
      </c>
      <c r="I1102" s="330"/>
      <c r="J1102" s="330"/>
      <c r="K1102" s="386">
        <f t="shared" si="155"/>
        <v>6</v>
      </c>
      <c r="L1102" s="187">
        <f t="shared" si="150"/>
        <v>1.411764705882353E-3</v>
      </c>
      <c r="M1102" s="315">
        <f t="shared" si="151"/>
        <v>3.2034776470588238</v>
      </c>
      <c r="N1102" s="425">
        <f t="shared" si="149"/>
        <v>1.1779187308235295</v>
      </c>
      <c r="O1102" s="498">
        <v>1.2318644597126795</v>
      </c>
      <c r="P1102" s="427">
        <f t="shared" si="152"/>
        <v>0.34575529411764705</v>
      </c>
      <c r="Q1102" s="426">
        <f t="shared" si="153"/>
        <v>1.5016427763897564</v>
      </c>
      <c r="R1102" s="532">
        <f t="shared" si="156"/>
        <v>2.2495342135570709E-2</v>
      </c>
    </row>
    <row r="1103" spans="1:18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608">
        <f t="shared" si="154"/>
        <v>299.7</v>
      </c>
      <c r="G1103" s="330">
        <v>9</v>
      </c>
      <c r="H1103" s="330">
        <v>9</v>
      </c>
      <c r="I1103" s="330"/>
      <c r="J1103" s="330"/>
      <c r="K1103" s="386">
        <f t="shared" si="155"/>
        <v>9</v>
      </c>
      <c r="L1103" s="187">
        <f t="shared" si="150"/>
        <v>2.1176470588235297E-3</v>
      </c>
      <c r="M1103" s="315">
        <f t="shared" si="151"/>
        <v>4.8052164705882365</v>
      </c>
      <c r="N1103" s="425">
        <f t="shared" si="149"/>
        <v>1.7668780962352948</v>
      </c>
      <c r="O1103" s="498">
        <v>1.8477966895690194</v>
      </c>
      <c r="P1103" s="427">
        <f t="shared" si="152"/>
        <v>0.51863294117647063</v>
      </c>
      <c r="Q1103" s="426">
        <f t="shared" si="153"/>
        <v>2.2524641645846351</v>
      </c>
      <c r="R1103" s="532">
        <f t="shared" si="156"/>
        <v>2.9824905564127528E-2</v>
      </c>
    </row>
    <row r="1104" spans="1:18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08">
        <f t="shared" si="154"/>
        <v>143.69999999999999</v>
      </c>
      <c r="G1104" s="330">
        <v>3</v>
      </c>
      <c r="H1104" s="330">
        <v>3</v>
      </c>
      <c r="I1104" s="330"/>
      <c r="J1104" s="330"/>
      <c r="K1104" s="386">
        <f t="shared" si="155"/>
        <v>3</v>
      </c>
      <c r="L1104" s="187">
        <f t="shared" si="150"/>
        <v>7.0588235294117652E-4</v>
      </c>
      <c r="M1104" s="315">
        <f t="shared" si="151"/>
        <v>1.6017388235294119</v>
      </c>
      <c r="N1104" s="425">
        <f t="shared" si="149"/>
        <v>0.58895936541176475</v>
      </c>
      <c r="O1104" s="498">
        <v>0.61593222985633977</v>
      </c>
      <c r="P1104" s="427">
        <f t="shared" si="152"/>
        <v>0.17287764705882352</v>
      </c>
      <c r="Q1104" s="426">
        <f t="shared" si="153"/>
        <v>0.7508213881948782</v>
      </c>
      <c r="R1104" s="532">
        <f t="shared" si="156"/>
        <v>2.0734224536230621E-2</v>
      </c>
    </row>
    <row r="1105" spans="1:18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08">
        <f t="shared" si="154"/>
        <v>295.10000000000002</v>
      </c>
      <c r="G1105" s="330">
        <v>9</v>
      </c>
      <c r="H1105" s="330">
        <v>9</v>
      </c>
      <c r="I1105" s="330"/>
      <c r="J1105" s="330"/>
      <c r="K1105" s="386">
        <f t="shared" si="155"/>
        <v>9</v>
      </c>
      <c r="L1105" s="187">
        <f t="shared" si="150"/>
        <v>2.1176470588235297E-3</v>
      </c>
      <c r="M1105" s="315">
        <f t="shared" si="151"/>
        <v>4.8052164705882365</v>
      </c>
      <c r="N1105" s="425">
        <f t="shared" si="149"/>
        <v>1.7668780962352948</v>
      </c>
      <c r="O1105" s="498">
        <v>1.8477966895690194</v>
      </c>
      <c r="P1105" s="427">
        <f t="shared" si="152"/>
        <v>0.51863294117647063</v>
      </c>
      <c r="Q1105" s="426">
        <f t="shared" si="153"/>
        <v>2.2524641645846351</v>
      </c>
      <c r="R1105" s="532">
        <f t="shared" si="156"/>
        <v>3.0289814291999388E-2</v>
      </c>
    </row>
    <row r="1106" spans="1:18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08">
        <f t="shared" si="154"/>
        <v>148.69999999999999</v>
      </c>
      <c r="G1106" s="330">
        <v>4</v>
      </c>
      <c r="H1106" s="330">
        <v>4</v>
      </c>
      <c r="I1106" s="330"/>
      <c r="J1106" s="330"/>
      <c r="K1106" s="386">
        <f t="shared" si="155"/>
        <v>4</v>
      </c>
      <c r="L1106" s="187">
        <f t="shared" si="150"/>
        <v>9.4117647058823532E-4</v>
      </c>
      <c r="M1106" s="315">
        <f t="shared" si="151"/>
        <v>2.1356517647058824</v>
      </c>
      <c r="N1106" s="425">
        <f t="shared" si="149"/>
        <v>0.78527915388235303</v>
      </c>
      <c r="O1106" s="498">
        <v>0.8212429731417864</v>
      </c>
      <c r="P1106" s="427">
        <f t="shared" si="152"/>
        <v>0.23050352941176472</v>
      </c>
      <c r="Q1106" s="426">
        <f t="shared" si="153"/>
        <v>1.0010951842598377</v>
      </c>
      <c r="R1106" s="532">
        <f t="shared" si="156"/>
        <v>2.6716055286763869E-2</v>
      </c>
    </row>
    <row r="1107" spans="1:18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608">
        <f t="shared" si="154"/>
        <v>339.7</v>
      </c>
      <c r="G1107" s="330">
        <v>8</v>
      </c>
      <c r="H1107" s="330">
        <v>8</v>
      </c>
      <c r="I1107" s="330"/>
      <c r="J1107" s="330"/>
      <c r="K1107" s="386">
        <f t="shared" si="155"/>
        <v>8</v>
      </c>
      <c r="L1107" s="187">
        <f t="shared" si="150"/>
        <v>1.8823529411764706E-3</v>
      </c>
      <c r="M1107" s="315">
        <f t="shared" si="151"/>
        <v>4.2713035294117647</v>
      </c>
      <c r="N1107" s="425">
        <f t="shared" si="149"/>
        <v>1.5705583077647061</v>
      </c>
      <c r="O1107" s="498">
        <v>1.6424859462835728</v>
      </c>
      <c r="P1107" s="427">
        <f t="shared" si="152"/>
        <v>0.46100705882352944</v>
      </c>
      <c r="Q1107" s="426">
        <f t="shared" si="153"/>
        <v>2.0021903685196754</v>
      </c>
      <c r="R1107" s="532">
        <f t="shared" si="156"/>
        <v>2.3389328355265158E-2</v>
      </c>
    </row>
    <row r="1108" spans="1:18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608">
        <f t="shared" si="154"/>
        <v>197.6</v>
      </c>
      <c r="G1108" s="330">
        <v>6</v>
      </c>
      <c r="H1108" s="330">
        <v>6</v>
      </c>
      <c r="I1108" s="330"/>
      <c r="J1108" s="330"/>
      <c r="K1108" s="386">
        <f t="shared" si="155"/>
        <v>6</v>
      </c>
      <c r="L1108" s="187">
        <f t="shared" si="150"/>
        <v>1.411764705882353E-3</v>
      </c>
      <c r="M1108" s="315">
        <f t="shared" si="151"/>
        <v>3.2034776470588238</v>
      </c>
      <c r="N1108" s="425">
        <f t="shared" si="149"/>
        <v>1.1779187308235295</v>
      </c>
      <c r="O1108" s="498">
        <v>1.2318644597126795</v>
      </c>
      <c r="P1108" s="427">
        <f t="shared" si="152"/>
        <v>0.34575529411764705</v>
      </c>
      <c r="Q1108" s="426">
        <f t="shared" si="153"/>
        <v>1.5016427763897564</v>
      </c>
      <c r="R1108" s="532">
        <f t="shared" si="156"/>
        <v>3.0156964229315183E-2</v>
      </c>
    </row>
    <row r="1109" spans="1:18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608">
        <f t="shared" si="154"/>
        <v>251</v>
      </c>
      <c r="G1109" s="330">
        <v>8</v>
      </c>
      <c r="H1109" s="330">
        <v>8</v>
      </c>
      <c r="I1109" s="330"/>
      <c r="J1109" s="330"/>
      <c r="K1109" s="386">
        <f t="shared" si="155"/>
        <v>8</v>
      </c>
      <c r="L1109" s="187">
        <f t="shared" si="150"/>
        <v>1.8823529411764706E-3</v>
      </c>
      <c r="M1109" s="315">
        <f t="shared" si="151"/>
        <v>4.2713035294117647</v>
      </c>
      <c r="N1109" s="425">
        <f t="shared" si="149"/>
        <v>1.5705583077647061</v>
      </c>
      <c r="O1109" s="498">
        <v>1.6424859462835728</v>
      </c>
      <c r="P1109" s="427">
        <f t="shared" si="152"/>
        <v>0.46100705882352944</v>
      </c>
      <c r="Q1109" s="426">
        <f t="shared" si="153"/>
        <v>2.0021903685196754</v>
      </c>
      <c r="R1109" s="532">
        <f t="shared" si="156"/>
        <v>3.1654800168460451E-2</v>
      </c>
    </row>
    <row r="1110" spans="1:18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608">
        <f t="shared" si="154"/>
        <v>172.7</v>
      </c>
      <c r="G1110" s="330">
        <v>5</v>
      </c>
      <c r="H1110" s="330">
        <v>5</v>
      </c>
      <c r="I1110" s="330"/>
      <c r="J1110" s="330"/>
      <c r="K1110" s="386">
        <f t="shared" si="155"/>
        <v>5</v>
      </c>
      <c r="L1110" s="187">
        <f t="shared" si="150"/>
        <v>1.1764705882352942E-3</v>
      </c>
      <c r="M1110" s="315">
        <f t="shared" si="151"/>
        <v>2.6695647058823533</v>
      </c>
      <c r="N1110" s="425">
        <f t="shared" si="149"/>
        <v>0.98159894235294143</v>
      </c>
      <c r="O1110" s="498">
        <v>1.0265537164272329</v>
      </c>
      <c r="P1110" s="427">
        <f t="shared" si="152"/>
        <v>0.28812941176470591</v>
      </c>
      <c r="Q1110" s="426">
        <f t="shared" si="153"/>
        <v>1.2513689803247969</v>
      </c>
      <c r="R1110" s="532">
        <f t="shared" si="156"/>
        <v>2.8754179365531169E-2</v>
      </c>
    </row>
    <row r="1111" spans="1:18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608">
        <f t="shared" si="154"/>
        <v>294.2</v>
      </c>
      <c r="G1111" s="330">
        <v>9</v>
      </c>
      <c r="H1111" s="330">
        <v>9</v>
      </c>
      <c r="I1111" s="330"/>
      <c r="J1111" s="330"/>
      <c r="K1111" s="386">
        <f t="shared" si="155"/>
        <v>9</v>
      </c>
      <c r="L1111" s="187">
        <f t="shared" si="150"/>
        <v>2.1176470588235297E-3</v>
      </c>
      <c r="M1111" s="315">
        <f t="shared" si="151"/>
        <v>4.8052164705882365</v>
      </c>
      <c r="N1111" s="425">
        <f t="shared" si="149"/>
        <v>1.7668780962352948</v>
      </c>
      <c r="O1111" s="498">
        <v>1.8477966895690194</v>
      </c>
      <c r="P1111" s="427">
        <f t="shared" si="152"/>
        <v>0.51863294117647063</v>
      </c>
      <c r="Q1111" s="426">
        <f t="shared" si="153"/>
        <v>2.2524641645846351</v>
      </c>
      <c r="R1111" s="532">
        <f t="shared" si="156"/>
        <v>3.0382475178684636E-2</v>
      </c>
    </row>
    <row r="1112" spans="1:18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608">
        <f t="shared" si="154"/>
        <v>200.9</v>
      </c>
      <c r="G1112" s="330">
        <v>8</v>
      </c>
      <c r="H1112" s="330">
        <v>8</v>
      </c>
      <c r="I1112" s="330"/>
      <c r="J1112" s="330"/>
      <c r="K1112" s="386">
        <f t="shared" si="155"/>
        <v>8</v>
      </c>
      <c r="L1112" s="187">
        <f t="shared" si="150"/>
        <v>1.8823529411764706E-3</v>
      </c>
      <c r="M1112" s="315">
        <f t="shared" si="151"/>
        <v>4.2713035294117647</v>
      </c>
      <c r="N1112" s="425">
        <f t="shared" si="149"/>
        <v>1.5705583077647061</v>
      </c>
      <c r="O1112" s="498">
        <v>1.6424859462835728</v>
      </c>
      <c r="P1112" s="427">
        <f t="shared" si="152"/>
        <v>0.46100705882352944</v>
      </c>
      <c r="Q1112" s="426">
        <f t="shared" si="153"/>
        <v>2.0021903685196754</v>
      </c>
      <c r="R1112" s="532">
        <f t="shared" si="156"/>
        <v>3.9548804590759448E-2</v>
      </c>
    </row>
    <row r="1113" spans="1:18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608">
        <f t="shared" si="154"/>
        <v>297.8</v>
      </c>
      <c r="G1113" s="330">
        <v>11</v>
      </c>
      <c r="H1113" s="330">
        <v>11</v>
      </c>
      <c r="I1113" s="330"/>
      <c r="J1113" s="330"/>
      <c r="K1113" s="386">
        <f t="shared" si="155"/>
        <v>11</v>
      </c>
      <c r="L1113" s="187">
        <f t="shared" si="150"/>
        <v>2.5882352941176473E-3</v>
      </c>
      <c r="M1113" s="315">
        <f t="shared" si="151"/>
        <v>5.8730423529411775</v>
      </c>
      <c r="N1113" s="425">
        <f t="shared" si="149"/>
        <v>2.1595176731764711</v>
      </c>
      <c r="O1113" s="498">
        <v>2.2584181761399122</v>
      </c>
      <c r="P1113" s="427">
        <f t="shared" si="152"/>
        <v>0.63388470588235302</v>
      </c>
      <c r="Q1113" s="426">
        <f t="shared" si="153"/>
        <v>2.7530117567145531</v>
      </c>
      <c r="R1113" s="532">
        <f t="shared" si="156"/>
        <v>3.6685234748622945E-2</v>
      </c>
    </row>
    <row r="1114" spans="1:18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608">
        <f t="shared" si="154"/>
        <v>124.6</v>
      </c>
      <c r="G1114" s="330">
        <v>5</v>
      </c>
      <c r="H1114" s="330">
        <v>5</v>
      </c>
      <c r="I1114" s="330"/>
      <c r="J1114" s="330"/>
      <c r="K1114" s="386">
        <f t="shared" si="155"/>
        <v>5</v>
      </c>
      <c r="L1114" s="187">
        <f t="shared" si="150"/>
        <v>1.1764705882352942E-3</v>
      </c>
      <c r="M1114" s="315">
        <f t="shared" si="151"/>
        <v>2.6695647058823533</v>
      </c>
      <c r="N1114" s="425">
        <f t="shared" si="149"/>
        <v>0.98159894235294143</v>
      </c>
      <c r="O1114" s="498">
        <v>1.0265537164272329</v>
      </c>
      <c r="P1114" s="427">
        <f t="shared" si="152"/>
        <v>0.28812941176470591</v>
      </c>
      <c r="Q1114" s="426">
        <f t="shared" si="153"/>
        <v>1.2513689803247969</v>
      </c>
      <c r="R1114" s="532">
        <f t="shared" si="156"/>
        <v>3.9854307997008287E-2</v>
      </c>
    </row>
    <row r="1115" spans="1:18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08">
        <f t="shared" si="154"/>
        <v>132.19999999999999</v>
      </c>
      <c r="G1115" s="330">
        <v>5</v>
      </c>
      <c r="H1115" s="330">
        <v>5</v>
      </c>
      <c r="I1115" s="330"/>
      <c r="J1115" s="330"/>
      <c r="K1115" s="386">
        <f t="shared" si="155"/>
        <v>5</v>
      </c>
      <c r="L1115" s="187">
        <f t="shared" si="150"/>
        <v>1.1764705882352942E-3</v>
      </c>
      <c r="M1115" s="315">
        <f t="shared" si="151"/>
        <v>2.6695647058823533</v>
      </c>
      <c r="N1115" s="425">
        <f t="shared" si="149"/>
        <v>0.98159894235294143</v>
      </c>
      <c r="O1115" s="498">
        <v>1.0265537164272329</v>
      </c>
      <c r="P1115" s="427">
        <f t="shared" si="152"/>
        <v>0.28812941176470591</v>
      </c>
      <c r="Q1115" s="426">
        <f t="shared" si="153"/>
        <v>1.2513689803247969</v>
      </c>
      <c r="R1115" s="532">
        <f t="shared" si="156"/>
        <v>3.7563137491885272E-2</v>
      </c>
    </row>
    <row r="1116" spans="1:18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608">
        <f t="shared" si="154"/>
        <v>225.4</v>
      </c>
      <c r="G1116" s="330">
        <v>5</v>
      </c>
      <c r="H1116" s="330">
        <v>5</v>
      </c>
      <c r="I1116" s="330"/>
      <c r="J1116" s="330"/>
      <c r="K1116" s="386">
        <f t="shared" si="155"/>
        <v>5</v>
      </c>
      <c r="L1116" s="187">
        <f t="shared" si="150"/>
        <v>1.1764705882352942E-3</v>
      </c>
      <c r="M1116" s="315">
        <f t="shared" si="151"/>
        <v>2.6695647058823533</v>
      </c>
      <c r="N1116" s="425">
        <f t="shared" si="149"/>
        <v>0.98159894235294143</v>
      </c>
      <c r="O1116" s="498">
        <v>1.0265537164272329</v>
      </c>
      <c r="P1116" s="427">
        <f t="shared" si="152"/>
        <v>0.28812941176470591</v>
      </c>
      <c r="Q1116" s="426">
        <f t="shared" si="153"/>
        <v>1.2513689803247969</v>
      </c>
      <c r="R1116" s="532">
        <f t="shared" si="156"/>
        <v>2.2031263426917625E-2</v>
      </c>
    </row>
    <row r="1117" spans="1:18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608">
        <f t="shared" si="154"/>
        <v>415.6</v>
      </c>
      <c r="G1117" s="330">
        <v>8</v>
      </c>
      <c r="H1117" s="330">
        <v>8</v>
      </c>
      <c r="I1117" s="330"/>
      <c r="J1117" s="330"/>
      <c r="K1117" s="386">
        <f t="shared" si="155"/>
        <v>8</v>
      </c>
      <c r="L1117" s="187">
        <f t="shared" si="150"/>
        <v>1.8823529411764706E-3</v>
      </c>
      <c r="M1117" s="315">
        <f t="shared" si="151"/>
        <v>4.2713035294117647</v>
      </c>
      <c r="N1117" s="425">
        <f t="shared" si="149"/>
        <v>1.5705583077647061</v>
      </c>
      <c r="O1117" s="498">
        <v>1.6424859462835728</v>
      </c>
      <c r="P1117" s="427">
        <f t="shared" si="152"/>
        <v>0.46100705882352944</v>
      </c>
      <c r="Q1117" s="426">
        <f t="shared" si="153"/>
        <v>2.0021903685196754</v>
      </c>
      <c r="R1117" s="532">
        <f t="shared" si="156"/>
        <v>1.9117793172000897E-2</v>
      </c>
    </row>
    <row r="1118" spans="1:18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608">
        <f t="shared" si="154"/>
        <v>1495</v>
      </c>
      <c r="G1118" s="330">
        <v>32</v>
      </c>
      <c r="H1118" s="330">
        <v>32</v>
      </c>
      <c r="I1118" s="330"/>
      <c r="J1118" s="330"/>
      <c r="K1118" s="386">
        <f t="shared" si="155"/>
        <v>32</v>
      </c>
      <c r="L1118" s="187">
        <f t="shared" si="150"/>
        <v>7.5294117647058826E-3</v>
      </c>
      <c r="M1118" s="315">
        <f t="shared" si="151"/>
        <v>17.085214117647059</v>
      </c>
      <c r="N1118" s="425">
        <f t="shared" si="149"/>
        <v>6.2822332310588243</v>
      </c>
      <c r="O1118" s="498">
        <v>6.5699437851342912</v>
      </c>
      <c r="P1118" s="427">
        <f t="shared" si="152"/>
        <v>1.8440282352941177</v>
      </c>
      <c r="Q1118" s="426">
        <f t="shared" si="153"/>
        <v>8.0087614740787014</v>
      </c>
      <c r="R1118" s="532">
        <f t="shared" si="156"/>
        <v>2.1258474494404211E-2</v>
      </c>
    </row>
    <row r="1119" spans="1:18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08">
        <f t="shared" si="154"/>
        <v>288.60000000000002</v>
      </c>
      <c r="G1119" s="330">
        <v>7</v>
      </c>
      <c r="H1119" s="330">
        <v>7</v>
      </c>
      <c r="I1119" s="330"/>
      <c r="J1119" s="330"/>
      <c r="K1119" s="386">
        <f t="shared" si="155"/>
        <v>7</v>
      </c>
      <c r="L1119" s="187">
        <f t="shared" si="150"/>
        <v>1.6470588235294118E-3</v>
      </c>
      <c r="M1119" s="315">
        <f t="shared" si="151"/>
        <v>3.7373905882352942</v>
      </c>
      <c r="N1119" s="425">
        <f t="shared" si="149"/>
        <v>1.3742385192941178</v>
      </c>
      <c r="O1119" s="498">
        <v>1.4371752029981262</v>
      </c>
      <c r="P1119" s="427">
        <f t="shared" si="152"/>
        <v>0.40338117647058824</v>
      </c>
      <c r="Q1119" s="426">
        <f t="shared" si="153"/>
        <v>1.7519165724547159</v>
      </c>
      <c r="R1119" s="532">
        <f t="shared" si="156"/>
        <v>2.4089346801795308E-2</v>
      </c>
    </row>
    <row r="1120" spans="1:18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08">
        <f t="shared" si="154"/>
        <v>272.10000000000002</v>
      </c>
      <c r="G1120" s="330">
        <v>6</v>
      </c>
      <c r="H1120" s="330">
        <v>6</v>
      </c>
      <c r="I1120" s="330"/>
      <c r="J1120" s="330"/>
      <c r="K1120" s="386">
        <f t="shared" si="155"/>
        <v>6</v>
      </c>
      <c r="L1120" s="187">
        <f t="shared" si="150"/>
        <v>1.411764705882353E-3</v>
      </c>
      <c r="M1120" s="315">
        <f t="shared" si="151"/>
        <v>3.2034776470588238</v>
      </c>
      <c r="N1120" s="425">
        <f t="shared" si="149"/>
        <v>1.1779187308235295</v>
      </c>
      <c r="O1120" s="498">
        <v>1.2318644597126795</v>
      </c>
      <c r="P1120" s="427">
        <f t="shared" si="152"/>
        <v>0.34575529411764705</v>
      </c>
      <c r="Q1120" s="426">
        <f t="shared" si="153"/>
        <v>1.5016427763897564</v>
      </c>
      <c r="R1120" s="532">
        <f t="shared" si="156"/>
        <v>2.1900096037165306E-2</v>
      </c>
    </row>
    <row r="1121" spans="1:18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08">
        <f t="shared" si="154"/>
        <v>313.7</v>
      </c>
      <c r="G1121" s="330">
        <v>9</v>
      </c>
      <c r="H1121" s="330">
        <v>9</v>
      </c>
      <c r="I1121" s="330"/>
      <c r="J1121" s="330">
        <v>1</v>
      </c>
      <c r="K1121" s="386">
        <f t="shared" si="155"/>
        <v>10</v>
      </c>
      <c r="L1121" s="187">
        <f t="shared" si="150"/>
        <v>2.3529411764705885E-3</v>
      </c>
      <c r="M1121" s="315">
        <f t="shared" si="151"/>
        <v>5.3391294117647066</v>
      </c>
      <c r="N1121" s="425">
        <f t="shared" si="149"/>
        <v>1.9631978847058829</v>
      </c>
      <c r="O1121" s="498">
        <v>2.0531074328544658</v>
      </c>
      <c r="P1121" s="427">
        <f t="shared" si="152"/>
        <v>0.57625882352941182</v>
      </c>
      <c r="Q1121" s="426">
        <f t="shared" si="153"/>
        <v>2.5027379606495939</v>
      </c>
      <c r="R1121" s="532">
        <f t="shared" si="156"/>
        <v>3.449702519226977E-2</v>
      </c>
    </row>
    <row r="1122" spans="1:18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08">
        <f t="shared" si="154"/>
        <v>860.41000000000008</v>
      </c>
      <c r="G1122" s="330">
        <v>11</v>
      </c>
      <c r="H1122" s="330">
        <v>11</v>
      </c>
      <c r="I1122" s="330"/>
      <c r="J1122" s="730">
        <v>1</v>
      </c>
      <c r="K1122" s="386">
        <f t="shared" si="155"/>
        <v>12</v>
      </c>
      <c r="L1122" s="187">
        <f t="shared" si="150"/>
        <v>2.8235294117647061E-3</v>
      </c>
      <c r="M1122" s="315">
        <f t="shared" si="151"/>
        <v>6.4069552941176475</v>
      </c>
      <c r="N1122" s="425">
        <f t="shared" si="149"/>
        <v>2.355837461647059</v>
      </c>
      <c r="O1122" s="498">
        <v>2.4637289194253591</v>
      </c>
      <c r="P1122" s="427">
        <f t="shared" si="152"/>
        <v>0.6915105882352941</v>
      </c>
      <c r="Q1122" s="426">
        <f t="shared" si="153"/>
        <v>3.0032855527795128</v>
      </c>
      <c r="R1122" s="532">
        <f t="shared" si="156"/>
        <v>1.628791770431641E-2</v>
      </c>
    </row>
    <row r="1123" spans="1:18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608">
        <f t="shared" si="154"/>
        <v>294</v>
      </c>
      <c r="G1123" s="330">
        <v>7</v>
      </c>
      <c r="H1123" s="330">
        <v>7</v>
      </c>
      <c r="I1123" s="330"/>
      <c r="J1123" s="330"/>
      <c r="K1123" s="386">
        <f t="shared" si="155"/>
        <v>7</v>
      </c>
      <c r="L1123" s="187">
        <f t="shared" si="150"/>
        <v>1.6470588235294118E-3</v>
      </c>
      <c r="M1123" s="315">
        <f t="shared" si="151"/>
        <v>3.7373905882352942</v>
      </c>
      <c r="N1123" s="425">
        <f t="shared" si="149"/>
        <v>1.3742385192941178</v>
      </c>
      <c r="O1123" s="498">
        <v>1.4371752029981262</v>
      </c>
      <c r="P1123" s="427">
        <f t="shared" si="152"/>
        <v>0.40338117647058824</v>
      </c>
      <c r="Q1123" s="426">
        <f t="shared" si="153"/>
        <v>1.7519165724547159</v>
      </c>
      <c r="R1123" s="532">
        <f t="shared" si="156"/>
        <v>2.3646889411558254E-2</v>
      </c>
    </row>
    <row r="1124" spans="1:18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608">
        <f t="shared" si="154"/>
        <v>1119.54</v>
      </c>
      <c r="G1124" s="330">
        <v>25</v>
      </c>
      <c r="H1124" s="330">
        <v>25</v>
      </c>
      <c r="I1124" s="330"/>
      <c r="J1124" s="330"/>
      <c r="K1124" s="386">
        <f t="shared" si="155"/>
        <v>25</v>
      </c>
      <c r="L1124" s="187">
        <f t="shared" si="150"/>
        <v>5.8823529411764705E-3</v>
      </c>
      <c r="M1124" s="315">
        <f t="shared" si="151"/>
        <v>13.347823529411766</v>
      </c>
      <c r="N1124" s="425">
        <f t="shared" si="149"/>
        <v>4.9079947117647071</v>
      </c>
      <c r="O1124" s="498">
        <v>5.1327685821361646</v>
      </c>
      <c r="P1124" s="427">
        <f t="shared" si="152"/>
        <v>1.4406470588235294</v>
      </c>
      <c r="Q1124" s="426">
        <f t="shared" si="153"/>
        <v>6.2568449016239853</v>
      </c>
      <c r="R1124" s="532">
        <f t="shared" si="156"/>
        <v>2.2178067672558525E-2</v>
      </c>
    </row>
    <row r="1125" spans="1:18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608">
        <f t="shared" si="154"/>
        <v>542.66</v>
      </c>
      <c r="G1125" s="330">
        <v>15</v>
      </c>
      <c r="H1125" s="330">
        <v>15</v>
      </c>
      <c r="I1125" s="330"/>
      <c r="J1125" s="330"/>
      <c r="K1125" s="386">
        <f t="shared" si="155"/>
        <v>15</v>
      </c>
      <c r="L1125" s="187">
        <f t="shared" si="150"/>
        <v>3.5294117647058825E-3</v>
      </c>
      <c r="M1125" s="315">
        <f t="shared" si="151"/>
        <v>8.0086941176470603</v>
      </c>
      <c r="N1125" s="425">
        <f t="shared" si="149"/>
        <v>2.9447968270588243</v>
      </c>
      <c r="O1125" s="498">
        <v>3.0796611492816992</v>
      </c>
      <c r="P1125" s="427">
        <f t="shared" si="152"/>
        <v>0.86438823529411768</v>
      </c>
      <c r="Q1125" s="426">
        <f t="shared" si="153"/>
        <v>3.7541069409743915</v>
      </c>
      <c r="R1125" s="532">
        <f t="shared" si="156"/>
        <v>2.7452807152326876E-2</v>
      </c>
    </row>
    <row r="1126" spans="1:18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608">
        <f t="shared" si="154"/>
        <v>507.72</v>
      </c>
      <c r="G1126" s="330">
        <v>14</v>
      </c>
      <c r="H1126" s="330">
        <v>14</v>
      </c>
      <c r="I1126" s="330"/>
      <c r="J1126" s="330"/>
      <c r="K1126" s="386">
        <f t="shared" si="155"/>
        <v>14</v>
      </c>
      <c r="L1126" s="187">
        <f t="shared" si="150"/>
        <v>3.2941176470588237E-3</v>
      </c>
      <c r="M1126" s="315">
        <f t="shared" si="151"/>
        <v>7.4747811764705885</v>
      </c>
      <c r="N1126" s="425">
        <f t="shared" si="149"/>
        <v>2.7484770385882356</v>
      </c>
      <c r="O1126" s="498">
        <v>2.8743504059962524</v>
      </c>
      <c r="P1126" s="427">
        <f t="shared" si="152"/>
        <v>0.80676235294117649</v>
      </c>
      <c r="Q1126" s="426">
        <f t="shared" si="153"/>
        <v>3.5038331449094318</v>
      </c>
      <c r="R1126" s="532">
        <f t="shared" si="156"/>
        <v>2.7385903596463115E-2</v>
      </c>
    </row>
    <row r="1127" spans="1:18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608">
        <f t="shared" si="154"/>
        <v>517.03</v>
      </c>
      <c r="G1127" s="330">
        <v>11</v>
      </c>
      <c r="H1127" s="330">
        <v>11</v>
      </c>
      <c r="I1127" s="330"/>
      <c r="J1127" s="330"/>
      <c r="K1127" s="386">
        <f t="shared" si="155"/>
        <v>11</v>
      </c>
      <c r="L1127" s="187">
        <f t="shared" si="150"/>
        <v>2.5882352941176473E-3</v>
      </c>
      <c r="M1127" s="315">
        <f t="shared" si="151"/>
        <v>5.8730423529411775</v>
      </c>
      <c r="N1127" s="425">
        <f t="shared" si="149"/>
        <v>2.1595176731764711</v>
      </c>
      <c r="O1127" s="498">
        <v>2.2584181761399122</v>
      </c>
      <c r="P1127" s="427">
        <f t="shared" si="152"/>
        <v>0.63388470588235302</v>
      </c>
      <c r="Q1127" s="426">
        <f t="shared" si="153"/>
        <v>2.7530117567145531</v>
      </c>
      <c r="R1127" s="532">
        <f t="shared" si="156"/>
        <v>2.1130036764094761E-2</v>
      </c>
    </row>
    <row r="1128" spans="1:18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608">
        <f t="shared" si="154"/>
        <v>497.81</v>
      </c>
      <c r="G1128" s="330">
        <v>15</v>
      </c>
      <c r="H1128" s="330">
        <v>15</v>
      </c>
      <c r="I1128" s="330"/>
      <c r="J1128" s="330"/>
      <c r="K1128" s="386">
        <f t="shared" si="155"/>
        <v>15</v>
      </c>
      <c r="L1128" s="187">
        <f t="shared" si="150"/>
        <v>3.5294117647058825E-3</v>
      </c>
      <c r="M1128" s="315">
        <f t="shared" si="151"/>
        <v>8.0086941176470603</v>
      </c>
      <c r="N1128" s="425">
        <f t="shared" si="149"/>
        <v>2.9447968270588243</v>
      </c>
      <c r="O1128" s="498">
        <v>3.0796611492816992</v>
      </c>
      <c r="P1128" s="427">
        <f t="shared" si="152"/>
        <v>0.86438823529411768</v>
      </c>
      <c r="Q1128" s="426">
        <f t="shared" si="153"/>
        <v>3.7541069409743915</v>
      </c>
      <c r="R1128" s="532">
        <f t="shared" si="156"/>
        <v>2.9926157227218621E-2</v>
      </c>
    </row>
    <row r="1129" spans="1:18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08">
        <f t="shared" si="154"/>
        <v>301.3</v>
      </c>
      <c r="G1129" s="330">
        <v>6</v>
      </c>
      <c r="H1129" s="330">
        <v>6</v>
      </c>
      <c r="I1129" s="330"/>
      <c r="J1129" s="330"/>
      <c r="K1129" s="386">
        <f t="shared" si="155"/>
        <v>6</v>
      </c>
      <c r="L1129" s="187">
        <f t="shared" si="150"/>
        <v>1.411764705882353E-3</v>
      </c>
      <c r="M1129" s="315">
        <f t="shared" si="151"/>
        <v>3.2034776470588238</v>
      </c>
      <c r="N1129" s="425">
        <f t="shared" ref="N1129:N1145" si="157">M1129*0.3677</f>
        <v>1.1779187308235295</v>
      </c>
      <c r="O1129" s="498">
        <v>1.2318644597126795</v>
      </c>
      <c r="P1129" s="427">
        <f t="shared" si="152"/>
        <v>0.34575529411764705</v>
      </c>
      <c r="Q1129" s="426">
        <f t="shared" si="153"/>
        <v>1.5016427763897564</v>
      </c>
      <c r="R1129" s="532">
        <f t="shared" si="156"/>
        <v>1.977768380920239E-2</v>
      </c>
    </row>
    <row r="1130" spans="1:18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08">
        <f t="shared" si="154"/>
        <v>493.5</v>
      </c>
      <c r="G1130" s="330">
        <v>11</v>
      </c>
      <c r="H1130" s="330">
        <v>11</v>
      </c>
      <c r="I1130" s="330"/>
      <c r="J1130" s="330"/>
      <c r="K1130" s="386">
        <f t="shared" si="155"/>
        <v>11</v>
      </c>
      <c r="L1130" s="187">
        <f t="shared" si="150"/>
        <v>2.5882352941176473E-3</v>
      </c>
      <c r="M1130" s="315">
        <f t="shared" si="151"/>
        <v>5.8730423529411775</v>
      </c>
      <c r="N1130" s="425">
        <f t="shared" si="157"/>
        <v>2.1595176731764711</v>
      </c>
      <c r="O1130" s="498">
        <v>2.2584181761399122</v>
      </c>
      <c r="P1130" s="427">
        <f t="shared" si="152"/>
        <v>0.63388470588235302</v>
      </c>
      <c r="Q1130" s="426">
        <f t="shared" si="153"/>
        <v>2.7530117567145531</v>
      </c>
      <c r="R1130" s="532">
        <f t="shared" si="156"/>
        <v>2.2137513491671559E-2</v>
      </c>
    </row>
    <row r="1131" spans="1:18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08">
        <f t="shared" si="154"/>
        <v>264.8</v>
      </c>
      <c r="G1131" s="330">
        <v>8</v>
      </c>
      <c r="H1131" s="330">
        <v>8</v>
      </c>
      <c r="I1131" s="330"/>
      <c r="J1131" s="330"/>
      <c r="K1131" s="386">
        <f t="shared" si="155"/>
        <v>8</v>
      </c>
      <c r="L1131" s="187">
        <f t="shared" si="150"/>
        <v>1.8823529411764706E-3</v>
      </c>
      <c r="M1131" s="315">
        <f t="shared" si="151"/>
        <v>4.2713035294117647</v>
      </c>
      <c r="N1131" s="425">
        <f t="shared" si="157"/>
        <v>1.5705583077647061</v>
      </c>
      <c r="O1131" s="498">
        <v>1.6424859462835728</v>
      </c>
      <c r="P1131" s="427">
        <f t="shared" si="152"/>
        <v>0.46100705882352944</v>
      </c>
      <c r="Q1131" s="426">
        <f t="shared" si="153"/>
        <v>2.0021903685196754</v>
      </c>
      <c r="R1131" s="532">
        <f t="shared" si="156"/>
        <v>3.0005116473880565E-2</v>
      </c>
    </row>
    <row r="1132" spans="1:18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08">
        <f t="shared" si="154"/>
        <v>544.79999999999995</v>
      </c>
      <c r="G1132" s="330">
        <v>13</v>
      </c>
      <c r="H1132" s="330">
        <v>13</v>
      </c>
      <c r="I1132" s="330"/>
      <c r="J1132" s="330"/>
      <c r="K1132" s="386">
        <f t="shared" si="155"/>
        <v>13</v>
      </c>
      <c r="L1132" s="187">
        <f t="shared" si="150"/>
        <v>3.0588235294117649E-3</v>
      </c>
      <c r="M1132" s="315">
        <f t="shared" si="151"/>
        <v>6.9408682352941184</v>
      </c>
      <c r="N1132" s="425">
        <f t="shared" si="157"/>
        <v>2.5521572501176477</v>
      </c>
      <c r="O1132" s="498">
        <v>2.6690396627108059</v>
      </c>
      <c r="P1132" s="427">
        <f t="shared" si="152"/>
        <v>0.74913647058823529</v>
      </c>
      <c r="Q1132" s="426">
        <f t="shared" si="153"/>
        <v>3.2535593488444725</v>
      </c>
      <c r="R1132" s="532">
        <f t="shared" si="156"/>
        <v>2.3698975071055083E-2</v>
      </c>
    </row>
    <row r="1133" spans="1:18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08">
        <f t="shared" si="154"/>
        <v>205</v>
      </c>
      <c r="G1133" s="330">
        <v>7</v>
      </c>
      <c r="H1133" s="330">
        <v>7</v>
      </c>
      <c r="I1133" s="330"/>
      <c r="J1133" s="330"/>
      <c r="K1133" s="386">
        <f t="shared" si="155"/>
        <v>7</v>
      </c>
      <c r="L1133" s="187">
        <f t="shared" si="150"/>
        <v>1.6470588235294118E-3</v>
      </c>
      <c r="M1133" s="315">
        <f t="shared" si="151"/>
        <v>3.7373905882352942</v>
      </c>
      <c r="N1133" s="425">
        <f t="shared" si="157"/>
        <v>1.3742385192941178</v>
      </c>
      <c r="O1133" s="498">
        <v>1.4371752029981262</v>
      </c>
      <c r="P1133" s="427">
        <f t="shared" si="152"/>
        <v>0.40338117647058824</v>
      </c>
      <c r="Q1133" s="426">
        <f t="shared" si="153"/>
        <v>1.7519165724547159</v>
      </c>
      <c r="R1133" s="532">
        <f t="shared" si="156"/>
        <v>3.3913099936576228E-2</v>
      </c>
    </row>
    <row r="1134" spans="1:18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08">
        <f t="shared" si="154"/>
        <v>577.32000000000005</v>
      </c>
      <c r="G1134" s="330">
        <v>14</v>
      </c>
      <c r="H1134" s="330">
        <v>14</v>
      </c>
      <c r="I1134" s="330"/>
      <c r="J1134" s="330"/>
      <c r="K1134" s="386">
        <f t="shared" si="155"/>
        <v>14</v>
      </c>
      <c r="L1134" s="187">
        <f t="shared" si="150"/>
        <v>3.2941176470588237E-3</v>
      </c>
      <c r="M1134" s="315">
        <f t="shared" si="151"/>
        <v>7.4747811764705885</v>
      </c>
      <c r="N1134" s="425">
        <f t="shared" si="157"/>
        <v>2.7484770385882356</v>
      </c>
      <c r="O1134" s="498">
        <v>2.8743504059962524</v>
      </c>
      <c r="P1134" s="427">
        <f t="shared" si="152"/>
        <v>0.80676235294117649</v>
      </c>
      <c r="Q1134" s="426">
        <f t="shared" si="153"/>
        <v>3.5038331449094318</v>
      </c>
      <c r="R1134" s="532">
        <f t="shared" si="156"/>
        <v>2.408433966257232E-2</v>
      </c>
    </row>
    <row r="1135" spans="1:18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08">
        <f t="shared" si="154"/>
        <v>353</v>
      </c>
      <c r="G1135" s="330">
        <v>7</v>
      </c>
      <c r="H1135" s="330">
        <v>7</v>
      </c>
      <c r="I1135" s="330"/>
      <c r="J1135" s="330"/>
      <c r="K1135" s="386">
        <f t="shared" si="155"/>
        <v>7</v>
      </c>
      <c r="L1135" s="187">
        <f t="shared" si="150"/>
        <v>1.6470588235294118E-3</v>
      </c>
      <c r="M1135" s="315">
        <f t="shared" si="151"/>
        <v>3.7373905882352942</v>
      </c>
      <c r="N1135" s="425">
        <f t="shared" si="157"/>
        <v>1.3742385192941178</v>
      </c>
      <c r="O1135" s="498">
        <v>1.4371752029981262</v>
      </c>
      <c r="P1135" s="427">
        <f t="shared" si="152"/>
        <v>0.40338117647058824</v>
      </c>
      <c r="Q1135" s="426">
        <f t="shared" si="153"/>
        <v>1.7519165724547159</v>
      </c>
      <c r="R1135" s="532">
        <f t="shared" si="156"/>
        <v>1.969457645041962E-2</v>
      </c>
    </row>
    <row r="1136" spans="1:18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08">
        <f t="shared" si="154"/>
        <v>646.29999999999995</v>
      </c>
      <c r="G1136" s="330">
        <v>15</v>
      </c>
      <c r="H1136" s="330">
        <v>15</v>
      </c>
      <c r="I1136" s="330"/>
      <c r="J1136" s="330">
        <v>1</v>
      </c>
      <c r="K1136" s="386">
        <f t="shared" si="155"/>
        <v>16</v>
      </c>
      <c r="L1136" s="187">
        <f t="shared" si="150"/>
        <v>3.7647058823529413E-3</v>
      </c>
      <c r="M1136" s="315">
        <f t="shared" si="151"/>
        <v>8.5426070588235294</v>
      </c>
      <c r="N1136" s="425">
        <f t="shared" si="157"/>
        <v>3.1411166155294121</v>
      </c>
      <c r="O1136" s="498">
        <v>3.2849718925671456</v>
      </c>
      <c r="P1136" s="427">
        <f t="shared" si="152"/>
        <v>0.92201411764705887</v>
      </c>
      <c r="Q1136" s="426">
        <f t="shared" si="153"/>
        <v>4.0043807370393507</v>
      </c>
      <c r="R1136" s="532">
        <f t="shared" si="156"/>
        <v>2.5494480482219074E-2</v>
      </c>
    </row>
    <row r="1137" spans="1:18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08">
        <f t="shared" si="154"/>
        <v>281.89999999999998</v>
      </c>
      <c r="G1137" s="330">
        <v>6</v>
      </c>
      <c r="H1137" s="330">
        <v>6</v>
      </c>
      <c r="I1137" s="330"/>
      <c r="J1137" s="330"/>
      <c r="K1137" s="386">
        <f t="shared" si="155"/>
        <v>6</v>
      </c>
      <c r="L1137" s="187">
        <f t="shared" ref="L1137:L1145" si="158">1.5/6375*K1137</f>
        <v>1.411764705882353E-3</v>
      </c>
      <c r="M1137" s="315">
        <f t="shared" ref="M1137:M1145" si="159">L1137*2269.13</f>
        <v>3.2034776470588238</v>
      </c>
      <c r="N1137" s="425">
        <f t="shared" si="157"/>
        <v>1.1779187308235295</v>
      </c>
      <c r="O1137" s="498">
        <v>1.2318644597126795</v>
      </c>
      <c r="P1137" s="427">
        <f t="shared" ref="P1137:P1144" si="160">L1137*244.91</f>
        <v>0.34575529411764705</v>
      </c>
      <c r="Q1137" s="426">
        <f t="shared" si="153"/>
        <v>1.5016427763897564</v>
      </c>
      <c r="R1137" s="532">
        <f t="shared" si="156"/>
        <v>2.1138758892205324E-2</v>
      </c>
    </row>
    <row r="1138" spans="1:18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08">
        <f t="shared" si="154"/>
        <v>305.10000000000002</v>
      </c>
      <c r="G1138" s="330">
        <v>10</v>
      </c>
      <c r="H1138" s="330">
        <v>10</v>
      </c>
      <c r="I1138" s="330"/>
      <c r="J1138" s="330"/>
      <c r="K1138" s="386">
        <f t="shared" si="155"/>
        <v>10</v>
      </c>
      <c r="L1138" s="187">
        <f t="shared" si="158"/>
        <v>2.3529411764705885E-3</v>
      </c>
      <c r="M1138" s="315">
        <f t="shared" si="159"/>
        <v>5.3391294117647066</v>
      </c>
      <c r="N1138" s="425">
        <f t="shared" si="157"/>
        <v>1.9631978847058829</v>
      </c>
      <c r="O1138" s="498">
        <v>2.0531074328544658</v>
      </c>
      <c r="P1138" s="427">
        <f t="shared" si="160"/>
        <v>0.57625882352941182</v>
      </c>
      <c r="Q1138" s="426">
        <f t="shared" ref="Q1138:Q1146" si="161">O1138*1.219</f>
        <v>2.5027379606495939</v>
      </c>
      <c r="R1138" s="532">
        <f t="shared" si="156"/>
        <v>3.2552256810404669E-2</v>
      </c>
    </row>
    <row r="1139" spans="1:18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08">
        <f t="shared" si="154"/>
        <v>369.45</v>
      </c>
      <c r="G1139" s="330">
        <v>9</v>
      </c>
      <c r="H1139" s="330">
        <v>9</v>
      </c>
      <c r="I1139" s="330"/>
      <c r="J1139" s="330"/>
      <c r="K1139" s="386">
        <f t="shared" si="155"/>
        <v>9</v>
      </c>
      <c r="L1139" s="187">
        <f t="shared" si="158"/>
        <v>2.1176470588235297E-3</v>
      </c>
      <c r="M1139" s="315">
        <f t="shared" si="159"/>
        <v>4.8052164705882365</v>
      </c>
      <c r="N1139" s="425">
        <f t="shared" si="157"/>
        <v>1.7668780962352948</v>
      </c>
      <c r="O1139" s="498">
        <v>1.8477966895690194</v>
      </c>
      <c r="P1139" s="427">
        <f t="shared" si="160"/>
        <v>0.51863294117647063</v>
      </c>
      <c r="Q1139" s="426">
        <f t="shared" si="161"/>
        <v>2.2524641645846351</v>
      </c>
      <c r="R1139" s="532">
        <f t="shared" si="156"/>
        <v>2.4194137765784329E-2</v>
      </c>
    </row>
    <row r="1140" spans="1:18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08">
        <f t="shared" si="154"/>
        <v>453.11</v>
      </c>
      <c r="G1140" s="330">
        <v>12</v>
      </c>
      <c r="H1140" s="330">
        <v>12</v>
      </c>
      <c r="I1140" s="330"/>
      <c r="J1140" s="330"/>
      <c r="K1140" s="386">
        <f t="shared" si="155"/>
        <v>12</v>
      </c>
      <c r="L1140" s="187">
        <f t="shared" si="158"/>
        <v>2.8235294117647061E-3</v>
      </c>
      <c r="M1140" s="315">
        <f t="shared" si="159"/>
        <v>6.4069552941176475</v>
      </c>
      <c r="N1140" s="425">
        <f t="shared" si="157"/>
        <v>2.355837461647059</v>
      </c>
      <c r="O1140" s="498">
        <v>2.4637289194253591</v>
      </c>
      <c r="P1140" s="427">
        <f t="shared" si="160"/>
        <v>0.6915105882352941</v>
      </c>
      <c r="Q1140" s="426">
        <f t="shared" si="161"/>
        <v>3.0032855527795128</v>
      </c>
      <c r="R1140" s="532">
        <f t="shared" si="156"/>
        <v>2.6302735016718589E-2</v>
      </c>
    </row>
    <row r="1141" spans="1:18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08">
        <f t="shared" si="154"/>
        <v>729</v>
      </c>
      <c r="G1141" s="330">
        <v>9</v>
      </c>
      <c r="H1141" s="330">
        <v>9</v>
      </c>
      <c r="I1141" s="330">
        <v>2</v>
      </c>
      <c r="J1141" s="330"/>
      <c r="K1141" s="386">
        <f t="shared" si="155"/>
        <v>11</v>
      </c>
      <c r="L1141" s="187">
        <f t="shared" si="158"/>
        <v>2.5882352941176473E-3</v>
      </c>
      <c r="M1141" s="315">
        <f t="shared" si="159"/>
        <v>5.8730423529411775</v>
      </c>
      <c r="N1141" s="425">
        <f t="shared" si="157"/>
        <v>2.1595176731764711</v>
      </c>
      <c r="O1141" s="498">
        <v>2.2584181761399122</v>
      </c>
      <c r="P1141" s="427">
        <f>L1141*1244.91</f>
        <v>3.2221200000000003</v>
      </c>
      <c r="Q1141" s="426">
        <f t="shared" si="161"/>
        <v>2.7530117567145531</v>
      </c>
      <c r="R1141" s="532">
        <f t="shared" si="156"/>
        <v>3.8487890066241981E-2</v>
      </c>
    </row>
    <row r="1142" spans="1:18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08">
        <f t="shared" si="154"/>
        <v>422.76</v>
      </c>
      <c r="G1142" s="330">
        <v>10</v>
      </c>
      <c r="H1142" s="330">
        <v>10</v>
      </c>
      <c r="I1142" s="330"/>
      <c r="J1142" s="330"/>
      <c r="K1142" s="386">
        <f t="shared" si="155"/>
        <v>10</v>
      </c>
      <c r="L1142" s="187">
        <f t="shared" si="158"/>
        <v>2.3529411764705885E-3</v>
      </c>
      <c r="M1142" s="315">
        <f t="shared" si="159"/>
        <v>5.3391294117647066</v>
      </c>
      <c r="N1142" s="425">
        <f t="shared" si="157"/>
        <v>1.9631978847058829</v>
      </c>
      <c r="O1142" s="498">
        <v>2.0531074328544658</v>
      </c>
      <c r="P1142" s="427">
        <f t="shared" si="160"/>
        <v>0.57625882352941182</v>
      </c>
      <c r="Q1142" s="426">
        <f t="shared" si="161"/>
        <v>2.5027379606495939</v>
      </c>
      <c r="R1142" s="532">
        <f t="shared" si="156"/>
        <v>2.3492510059737123E-2</v>
      </c>
    </row>
    <row r="1143" spans="1:18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08">
        <f t="shared" si="154"/>
        <v>152.30000000000001</v>
      </c>
      <c r="G1143" s="330">
        <v>4</v>
      </c>
      <c r="H1143" s="330">
        <v>4</v>
      </c>
      <c r="I1143" s="330"/>
      <c r="J1143" s="330"/>
      <c r="K1143" s="386">
        <f t="shared" si="155"/>
        <v>4</v>
      </c>
      <c r="L1143" s="187">
        <f t="shared" si="158"/>
        <v>9.4117647058823532E-4</v>
      </c>
      <c r="M1143" s="315">
        <f t="shared" si="159"/>
        <v>2.1356517647058824</v>
      </c>
      <c r="N1143" s="425">
        <f t="shared" si="157"/>
        <v>0.78527915388235303</v>
      </c>
      <c r="O1143" s="498">
        <v>0.8212429731417864</v>
      </c>
      <c r="P1143" s="427">
        <f t="shared" si="160"/>
        <v>0.23050352941176472</v>
      </c>
      <c r="Q1143" s="426">
        <f t="shared" si="161"/>
        <v>1.0010951842598377</v>
      </c>
      <c r="R1143" s="532">
        <f t="shared" si="156"/>
        <v>2.6084552995021579E-2</v>
      </c>
    </row>
    <row r="1144" spans="1:18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08">
        <f t="shared" si="154"/>
        <v>252.6</v>
      </c>
      <c r="G1144" s="330">
        <v>9</v>
      </c>
      <c r="H1144" s="330">
        <v>9</v>
      </c>
      <c r="I1144" s="330"/>
      <c r="J1144" s="330"/>
      <c r="K1144" s="386">
        <f t="shared" si="155"/>
        <v>9</v>
      </c>
      <c r="L1144" s="187">
        <f t="shared" si="158"/>
        <v>2.1176470588235297E-3</v>
      </c>
      <c r="M1144" s="315">
        <f t="shared" si="159"/>
        <v>4.8052164705882365</v>
      </c>
      <c r="N1144" s="425">
        <f t="shared" si="157"/>
        <v>1.7668780962352948</v>
      </c>
      <c r="O1144" s="498">
        <v>1.8477966895690194</v>
      </c>
      <c r="P1144" s="427">
        <f t="shared" si="160"/>
        <v>0.51863294117647063</v>
      </c>
      <c r="Q1144" s="426">
        <f t="shared" si="161"/>
        <v>2.2524641645846351</v>
      </c>
      <c r="R1144" s="532">
        <f t="shared" si="156"/>
        <v>3.5386081542236818E-2</v>
      </c>
    </row>
    <row r="1145" spans="1:18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11">
        <f t="shared" si="154"/>
        <v>143.69999999999999</v>
      </c>
      <c r="G1145" s="55">
        <v>2</v>
      </c>
      <c r="H1145" s="330">
        <v>2</v>
      </c>
      <c r="I1145" s="330"/>
      <c r="J1145" s="330"/>
      <c r="K1145" s="142">
        <f t="shared" si="155"/>
        <v>2</v>
      </c>
      <c r="L1145" s="187">
        <f t="shared" si="158"/>
        <v>4.7058823529411766E-4</v>
      </c>
      <c r="M1145" s="315">
        <f t="shared" si="159"/>
        <v>1.0678258823529412</v>
      </c>
      <c r="N1145" s="425">
        <f t="shared" si="157"/>
        <v>0.39263957694117652</v>
      </c>
      <c r="O1145" s="498">
        <v>0.4106214865708932</v>
      </c>
      <c r="P1145" s="427">
        <f>L1145*244.91*1.08</f>
        <v>0.12447190588235296</v>
      </c>
      <c r="Q1145" s="426">
        <f t="shared" si="161"/>
        <v>0.50054759212991884</v>
      </c>
      <c r="R1145" s="532">
        <f t="shared" si="156"/>
        <v>1.3886978787385972E-2</v>
      </c>
    </row>
    <row r="1146" spans="1:18" s="69" customFormat="1" ht="16.5" thickBot="1">
      <c r="A1146" s="152"/>
      <c r="B1146" s="163" t="s">
        <v>681</v>
      </c>
      <c r="C1146" s="332">
        <f>SUM(C881:C1145)</f>
        <v>279334.62999999971</v>
      </c>
      <c r="D1146" s="332">
        <f t="shared" ref="D1146:K1146" si="162">SUM(D881:D1145)</f>
        <v>1257.6999999999998</v>
      </c>
      <c r="E1146" s="332">
        <f t="shared" si="162"/>
        <v>1827.8000000000002</v>
      </c>
      <c r="F1146" s="613">
        <f t="shared" si="162"/>
        <v>282420.12999999977</v>
      </c>
      <c r="G1146" s="582">
        <f t="shared" si="162"/>
        <v>6331</v>
      </c>
      <c r="H1146" s="600">
        <f t="shared" si="162"/>
        <v>6331</v>
      </c>
      <c r="I1146" s="582">
        <f t="shared" si="162"/>
        <v>11</v>
      </c>
      <c r="J1146" s="582">
        <f t="shared" si="162"/>
        <v>33</v>
      </c>
      <c r="K1146" s="582">
        <f t="shared" si="162"/>
        <v>6375</v>
      </c>
      <c r="L1146" s="187">
        <f>1.5/6375*K1146</f>
        <v>1.5</v>
      </c>
      <c r="M1146" s="315">
        <f>L1146*2269.13</f>
        <v>3403.6950000000002</v>
      </c>
      <c r="N1146" s="589">
        <f>M1146*0.3677</f>
        <v>1251.5386515000002</v>
      </c>
      <c r="O1146" s="498">
        <f>SUM(O880:O1145)</f>
        <v>1309.2666099312921</v>
      </c>
      <c r="P1146" s="427">
        <f>L1146*244.91*1.08</f>
        <v>396.75420000000003</v>
      </c>
      <c r="Q1146" s="426">
        <f t="shared" si="161"/>
        <v>1595.9959975062452</v>
      </c>
      <c r="R1146" s="532">
        <f t="shared" si="156"/>
        <v>2.2772881620267776E-2</v>
      </c>
    </row>
    <row r="1147" spans="1:18" s="209" customFormat="1" ht="16.5" thickBot="1">
      <c r="A1147" s="137" t="s">
        <v>617</v>
      </c>
      <c r="B1147" s="436"/>
      <c r="C1147" s="436"/>
      <c r="D1147" s="436"/>
      <c r="E1147" s="436"/>
      <c r="F1147" s="608">
        <f>C1147+D1147+E1147</f>
        <v>0</v>
      </c>
      <c r="G1147" s="436"/>
      <c r="H1147" s="436"/>
      <c r="I1147" s="436"/>
      <c r="J1147" s="436"/>
      <c r="K1147" s="386">
        <f t="shared" si="155"/>
        <v>0</v>
      </c>
      <c r="L1147" s="565"/>
      <c r="M1147" s="315">
        <f>L1147*2077.52</f>
        <v>0</v>
      </c>
      <c r="N1147" s="596"/>
      <c r="O1147" s="498"/>
      <c r="P1147" s="566"/>
      <c r="Q1147" s="931"/>
      <c r="R1147" s="532" t="e">
        <f t="shared" si="156"/>
        <v>#DIV/0!</v>
      </c>
    </row>
    <row r="1148" spans="1:18" s="6" customFormat="1" ht="15.75">
      <c r="A1148" s="141">
        <v>1</v>
      </c>
      <c r="B1148" s="386" t="s">
        <v>480</v>
      </c>
      <c r="C1148" s="386">
        <v>219.1</v>
      </c>
      <c r="D1148" s="386"/>
      <c r="E1148" s="386"/>
      <c r="F1148" s="608">
        <f>C1148+D1148+E1148</f>
        <v>219.1</v>
      </c>
      <c r="G1148" s="386">
        <v>0</v>
      </c>
      <c r="H1148" s="40">
        <v>5</v>
      </c>
      <c r="I1148" s="142"/>
      <c r="J1148" s="142"/>
      <c r="K1148" s="142">
        <f t="shared" si="155"/>
        <v>5</v>
      </c>
      <c r="L1148" s="187">
        <f t="shared" ref="L1148:L1201" si="163">1/2938*K1148</f>
        <v>1.7018379850238256E-3</v>
      </c>
      <c r="M1148" s="315">
        <f t="shared" ref="M1148:M1201" si="164">L1148*2269.13</f>
        <v>3.8616916269571138</v>
      </c>
      <c r="N1148" s="590">
        <f t="shared" ref="N1148:N1201" si="165">M1148*0.3677</f>
        <v>1.4199440112321309</v>
      </c>
      <c r="O1148" s="498">
        <v>0</v>
      </c>
      <c r="P1148" s="426">
        <f t="shared" ref="P1148:P1201" si="166">L1148*244.91</f>
        <v>0.41679714091218512</v>
      </c>
      <c r="Q1148" s="426"/>
      <c r="R1148" s="532">
        <f t="shared" si="156"/>
        <v>2.6008365034693885E-2</v>
      </c>
    </row>
    <row r="1149" spans="1:18" s="6" customFormat="1" ht="15.75">
      <c r="A1149" s="146">
        <v>2</v>
      </c>
      <c r="B1149" s="330" t="s">
        <v>481</v>
      </c>
      <c r="C1149" s="330">
        <v>265.10000000000002</v>
      </c>
      <c r="D1149" s="330"/>
      <c r="E1149" s="330"/>
      <c r="F1149" s="608">
        <f>C1149+D1149+E1149</f>
        <v>265.10000000000002</v>
      </c>
      <c r="G1149" s="330">
        <v>0</v>
      </c>
      <c r="H1149" s="40">
        <v>4</v>
      </c>
      <c r="I1149" s="55"/>
      <c r="J1149" s="55"/>
      <c r="K1149" s="142">
        <f t="shared" si="155"/>
        <v>4</v>
      </c>
      <c r="L1149" s="187">
        <f t="shared" si="163"/>
        <v>1.3614703880190605E-3</v>
      </c>
      <c r="M1149" s="315">
        <f t="shared" si="164"/>
        <v>3.0893533015656911</v>
      </c>
      <c r="N1149" s="425">
        <f t="shared" si="165"/>
        <v>1.1359552089857048</v>
      </c>
      <c r="O1149" s="498">
        <v>0</v>
      </c>
      <c r="P1149" s="427">
        <f t="shared" si="166"/>
        <v>0.33343771272974809</v>
      </c>
      <c r="Q1149" s="426"/>
      <c r="R1149" s="532">
        <f t="shared" si="156"/>
        <v>1.7196326757001675E-2</v>
      </c>
    </row>
    <row r="1150" spans="1:18" s="6" customFormat="1" ht="15.75">
      <c r="A1150" s="146">
        <v>3</v>
      </c>
      <c r="B1150" s="330" t="s">
        <v>482</v>
      </c>
      <c r="C1150" s="330">
        <v>352.7</v>
      </c>
      <c r="D1150" s="330"/>
      <c r="E1150" s="330"/>
      <c r="F1150" s="608">
        <f>C1150+D1150+E1150</f>
        <v>352.7</v>
      </c>
      <c r="G1150" s="330">
        <v>8</v>
      </c>
      <c r="H1150" s="40">
        <v>8</v>
      </c>
      <c r="I1150" s="55"/>
      <c r="J1150" s="55"/>
      <c r="K1150" s="142">
        <f t="shared" ref="K1150:K1211" si="167">H1150+I1150+J1150</f>
        <v>8</v>
      </c>
      <c r="L1150" s="187">
        <f t="shared" si="163"/>
        <v>2.722940776038121E-3</v>
      </c>
      <c r="M1150" s="315">
        <f t="shared" si="164"/>
        <v>6.1787066031313822</v>
      </c>
      <c r="N1150" s="425">
        <f t="shared" si="165"/>
        <v>2.2719104179714096</v>
      </c>
      <c r="O1150" s="498">
        <v>2.7669456935316501</v>
      </c>
      <c r="P1150" s="427">
        <f t="shared" si="166"/>
        <v>0.66687542545949618</v>
      </c>
      <c r="Q1150" s="426"/>
      <c r="R1150" s="532">
        <f t="shared" si="156"/>
        <v>3.3695600056971753E-2</v>
      </c>
    </row>
    <row r="1151" spans="1:18" s="6" customFormat="1" ht="15.75">
      <c r="A1151" s="146">
        <v>4</v>
      </c>
      <c r="B1151" s="330" t="s">
        <v>483</v>
      </c>
      <c r="C1151" s="330">
        <v>350.15</v>
      </c>
      <c r="D1151" s="330"/>
      <c r="E1151" s="330"/>
      <c r="F1151" s="608">
        <f t="shared" ref="F1151:F1212" si="168">C1151+D1151+E1151</f>
        <v>350.15</v>
      </c>
      <c r="G1151" s="330">
        <v>8</v>
      </c>
      <c r="H1151" s="40">
        <v>8</v>
      </c>
      <c r="I1151" s="55"/>
      <c r="J1151" s="55"/>
      <c r="K1151" s="142">
        <f t="shared" si="167"/>
        <v>8</v>
      </c>
      <c r="L1151" s="187">
        <f t="shared" si="163"/>
        <v>2.722940776038121E-3</v>
      </c>
      <c r="M1151" s="315">
        <f t="shared" si="164"/>
        <v>6.1787066031313822</v>
      </c>
      <c r="N1151" s="425">
        <f t="shared" si="165"/>
        <v>2.2719104179714096</v>
      </c>
      <c r="O1151" s="498">
        <v>2.7669456935316501</v>
      </c>
      <c r="P1151" s="427">
        <f t="shared" si="166"/>
        <v>0.66687542545949618</v>
      </c>
      <c r="Q1151" s="426"/>
      <c r="R1151" s="532">
        <f t="shared" si="156"/>
        <v>3.3940991403952417E-2</v>
      </c>
    </row>
    <row r="1152" spans="1:18" s="6" customFormat="1" ht="15.75">
      <c r="A1152" s="146">
        <v>5</v>
      </c>
      <c r="B1152" s="330" t="s">
        <v>484</v>
      </c>
      <c r="C1152" s="330">
        <v>348.6</v>
      </c>
      <c r="D1152" s="330"/>
      <c r="E1152" s="330"/>
      <c r="F1152" s="608">
        <f t="shared" si="168"/>
        <v>348.6</v>
      </c>
      <c r="G1152" s="330">
        <v>8</v>
      </c>
      <c r="H1152" s="40">
        <v>8</v>
      </c>
      <c r="I1152" s="55"/>
      <c r="J1152" s="55"/>
      <c r="K1152" s="142">
        <f t="shared" si="167"/>
        <v>8</v>
      </c>
      <c r="L1152" s="187">
        <f t="shared" si="163"/>
        <v>2.722940776038121E-3</v>
      </c>
      <c r="M1152" s="315">
        <f t="shared" si="164"/>
        <v>6.1787066031313822</v>
      </c>
      <c r="N1152" s="425">
        <f t="shared" si="165"/>
        <v>2.2719104179714096</v>
      </c>
      <c r="O1152" s="498">
        <v>2.7669456935316501</v>
      </c>
      <c r="P1152" s="427">
        <f t="shared" si="166"/>
        <v>0.66687542545949618</v>
      </c>
      <c r="Q1152" s="426"/>
      <c r="R1152" s="532">
        <f t="shared" si="156"/>
        <v>3.4091905163780654E-2</v>
      </c>
    </row>
    <row r="1153" spans="1:18" s="6" customFormat="1" ht="15.75">
      <c r="A1153" s="146">
        <v>6</v>
      </c>
      <c r="B1153" s="330" t="s">
        <v>485</v>
      </c>
      <c r="C1153" s="330">
        <v>430.37</v>
      </c>
      <c r="D1153" s="330"/>
      <c r="E1153" s="330"/>
      <c r="F1153" s="608">
        <f t="shared" si="168"/>
        <v>430.37</v>
      </c>
      <c r="G1153" s="330">
        <v>8</v>
      </c>
      <c r="H1153" s="40">
        <v>8</v>
      </c>
      <c r="I1153" s="55"/>
      <c r="J1153" s="55"/>
      <c r="K1153" s="142">
        <f t="shared" si="167"/>
        <v>8</v>
      </c>
      <c r="L1153" s="187">
        <f t="shared" si="163"/>
        <v>2.722940776038121E-3</v>
      </c>
      <c r="M1153" s="315">
        <f t="shared" si="164"/>
        <v>6.1787066031313822</v>
      </c>
      <c r="N1153" s="425">
        <f t="shared" si="165"/>
        <v>2.2719104179714096</v>
      </c>
      <c r="O1153" s="498">
        <v>2.7669456935316501</v>
      </c>
      <c r="P1153" s="427">
        <f t="shared" si="166"/>
        <v>0.66687542545949618</v>
      </c>
      <c r="Q1153" s="426"/>
      <c r="R1153" s="532">
        <f t="shared" si="156"/>
        <v>2.7614466947263838E-2</v>
      </c>
    </row>
    <row r="1154" spans="1:18" s="6" customFormat="1" ht="15.75">
      <c r="A1154" s="146">
        <v>7</v>
      </c>
      <c r="B1154" s="330" t="s">
        <v>486</v>
      </c>
      <c r="C1154" s="330">
        <v>79.3</v>
      </c>
      <c r="D1154" s="330"/>
      <c r="E1154" s="330"/>
      <c r="F1154" s="608">
        <f t="shared" si="168"/>
        <v>79.3</v>
      </c>
      <c r="G1154" s="330">
        <v>0</v>
      </c>
      <c r="H1154" s="40">
        <v>2</v>
      </c>
      <c r="I1154" s="55"/>
      <c r="J1154" s="55"/>
      <c r="K1154" s="142">
        <f t="shared" si="167"/>
        <v>2</v>
      </c>
      <c r="L1154" s="187">
        <f t="shared" si="163"/>
        <v>6.8073519400953025E-4</v>
      </c>
      <c r="M1154" s="315">
        <f t="shared" si="164"/>
        <v>1.5446766507828456</v>
      </c>
      <c r="N1154" s="425">
        <f t="shared" si="165"/>
        <v>0.56797760449285239</v>
      </c>
      <c r="O1154" s="498">
        <v>0</v>
      </c>
      <c r="P1154" s="427">
        <f t="shared" si="166"/>
        <v>0.16671885636487405</v>
      </c>
      <c r="Q1154" s="426"/>
      <c r="R1154" s="532">
        <f t="shared" si="156"/>
        <v>2.874367101690507E-2</v>
      </c>
    </row>
    <row r="1155" spans="1:18" s="6" customFormat="1" ht="15.75">
      <c r="A1155" s="146">
        <v>8</v>
      </c>
      <c r="B1155" s="330" t="s">
        <v>487</v>
      </c>
      <c r="C1155" s="330">
        <v>70.099999999999994</v>
      </c>
      <c r="D1155" s="330"/>
      <c r="E1155" s="330"/>
      <c r="F1155" s="608">
        <f t="shared" si="168"/>
        <v>70.099999999999994</v>
      </c>
      <c r="G1155" s="330">
        <v>0</v>
      </c>
      <c r="H1155" s="40">
        <v>1</v>
      </c>
      <c r="I1155" s="55"/>
      <c r="J1155" s="55"/>
      <c r="K1155" s="142">
        <f t="shared" si="167"/>
        <v>1</v>
      </c>
      <c r="L1155" s="187">
        <f t="shared" si="163"/>
        <v>3.4036759700476512E-4</v>
      </c>
      <c r="M1155" s="315">
        <f t="shared" si="164"/>
        <v>0.77233832539142278</v>
      </c>
      <c r="N1155" s="425">
        <f t="shared" si="165"/>
        <v>0.2839888022464262</v>
      </c>
      <c r="O1155" s="498">
        <v>0</v>
      </c>
      <c r="P1155" s="427">
        <f t="shared" si="166"/>
        <v>8.3359428182437023E-2</v>
      </c>
      <c r="Q1155" s="426"/>
      <c r="R1155" s="532">
        <f t="shared" si="156"/>
        <v>1.625801078202976E-2</v>
      </c>
    </row>
    <row r="1156" spans="1:18" s="6" customFormat="1" ht="15.75">
      <c r="A1156" s="146">
        <v>9</v>
      </c>
      <c r="B1156" s="330" t="s">
        <v>488</v>
      </c>
      <c r="C1156" s="330">
        <v>326.92</v>
      </c>
      <c r="D1156" s="330"/>
      <c r="E1156" s="330"/>
      <c r="F1156" s="608">
        <f t="shared" si="168"/>
        <v>326.92</v>
      </c>
      <c r="G1156" s="330">
        <v>8</v>
      </c>
      <c r="H1156" s="40">
        <v>8</v>
      </c>
      <c r="I1156" s="55"/>
      <c r="J1156" s="55"/>
      <c r="K1156" s="142">
        <f t="shared" si="167"/>
        <v>8</v>
      </c>
      <c r="L1156" s="187">
        <f t="shared" si="163"/>
        <v>2.722940776038121E-3</v>
      </c>
      <c r="M1156" s="315">
        <f t="shared" si="164"/>
        <v>6.1787066031313822</v>
      </c>
      <c r="N1156" s="425">
        <f t="shared" si="165"/>
        <v>2.2719104179714096</v>
      </c>
      <c r="O1156" s="498">
        <v>2.7669456935316501</v>
      </c>
      <c r="P1156" s="427">
        <f t="shared" si="166"/>
        <v>0.66687542545949618</v>
      </c>
      <c r="Q1156" s="426"/>
      <c r="R1156" s="532">
        <f t="shared" si="156"/>
        <v>3.6352741160204136E-2</v>
      </c>
    </row>
    <row r="1157" spans="1:18" s="6" customFormat="1" ht="15.75">
      <c r="A1157" s="146">
        <v>10</v>
      </c>
      <c r="B1157" s="330" t="s">
        <v>489</v>
      </c>
      <c r="C1157" s="330">
        <v>322.55</v>
      </c>
      <c r="D1157" s="330"/>
      <c r="E1157" s="330"/>
      <c r="F1157" s="608">
        <f t="shared" si="168"/>
        <v>322.55</v>
      </c>
      <c r="G1157" s="330">
        <v>8</v>
      </c>
      <c r="H1157" s="40">
        <v>8</v>
      </c>
      <c r="I1157" s="55"/>
      <c r="J1157" s="55"/>
      <c r="K1157" s="142">
        <f t="shared" si="167"/>
        <v>8</v>
      </c>
      <c r="L1157" s="187">
        <f t="shared" si="163"/>
        <v>2.722940776038121E-3</v>
      </c>
      <c r="M1157" s="315">
        <f t="shared" si="164"/>
        <v>6.1787066031313822</v>
      </c>
      <c r="N1157" s="425">
        <f t="shared" si="165"/>
        <v>2.2719104179714096</v>
      </c>
      <c r="O1157" s="498">
        <v>2.7669456935316501</v>
      </c>
      <c r="P1157" s="427">
        <f t="shared" si="166"/>
        <v>0.66687542545949618</v>
      </c>
      <c r="Q1157" s="426"/>
      <c r="R1157" s="532">
        <f t="shared" si="156"/>
        <v>3.684525853385192E-2</v>
      </c>
    </row>
    <row r="1158" spans="1:18" s="6" customFormat="1" ht="15.75">
      <c r="A1158" s="146">
        <v>11</v>
      </c>
      <c r="B1158" s="330" t="s">
        <v>490</v>
      </c>
      <c r="C1158" s="330">
        <v>415.5</v>
      </c>
      <c r="D1158" s="330"/>
      <c r="E1158" s="330"/>
      <c r="F1158" s="608">
        <f t="shared" si="168"/>
        <v>415.5</v>
      </c>
      <c r="G1158" s="330">
        <v>10</v>
      </c>
      <c r="H1158" s="40">
        <v>10</v>
      </c>
      <c r="I1158" s="55"/>
      <c r="J1158" s="55"/>
      <c r="K1158" s="142">
        <f t="shared" si="167"/>
        <v>10</v>
      </c>
      <c r="L1158" s="187">
        <f t="shared" si="163"/>
        <v>3.4036759700476512E-3</v>
      </c>
      <c r="M1158" s="315">
        <f t="shared" si="164"/>
        <v>7.7233832539142275</v>
      </c>
      <c r="N1158" s="425">
        <f t="shared" si="165"/>
        <v>2.8398880224642618</v>
      </c>
      <c r="O1158" s="498">
        <v>3.4586821169145625</v>
      </c>
      <c r="P1158" s="427">
        <f t="shared" si="166"/>
        <v>0.83359428182437023</v>
      </c>
      <c r="Q1158" s="426"/>
      <c r="R1158" s="532">
        <f t="shared" si="156"/>
        <v>3.5753424007502824E-2</v>
      </c>
    </row>
    <row r="1159" spans="1:18" s="6" customFormat="1" ht="15.75">
      <c r="A1159" s="146">
        <v>12</v>
      </c>
      <c r="B1159" s="330" t="s">
        <v>491</v>
      </c>
      <c r="C1159" s="330">
        <v>372.82</v>
      </c>
      <c r="D1159" s="330"/>
      <c r="E1159" s="330"/>
      <c r="F1159" s="608">
        <f t="shared" si="168"/>
        <v>372.82</v>
      </c>
      <c r="G1159" s="330">
        <v>8</v>
      </c>
      <c r="H1159" s="40">
        <v>8</v>
      </c>
      <c r="I1159" s="55"/>
      <c r="J1159" s="55"/>
      <c r="K1159" s="142">
        <f t="shared" si="167"/>
        <v>8</v>
      </c>
      <c r="L1159" s="187">
        <f t="shared" si="163"/>
        <v>2.722940776038121E-3</v>
      </c>
      <c r="M1159" s="315">
        <f t="shared" si="164"/>
        <v>6.1787066031313822</v>
      </c>
      <c r="N1159" s="425">
        <f t="shared" si="165"/>
        <v>2.2719104179714096</v>
      </c>
      <c r="O1159" s="498">
        <v>2.7669456935316501</v>
      </c>
      <c r="P1159" s="427">
        <f t="shared" si="166"/>
        <v>0.66687542545949618</v>
      </c>
      <c r="Q1159" s="426"/>
      <c r="R1159" s="532">
        <f t="shared" si="156"/>
        <v>3.1877147524526417E-2</v>
      </c>
    </row>
    <row r="1160" spans="1:18" s="6" customFormat="1" ht="15.75">
      <c r="A1160" s="146">
        <v>13</v>
      </c>
      <c r="B1160" s="330" t="s">
        <v>492</v>
      </c>
      <c r="C1160" s="330">
        <v>282.76</v>
      </c>
      <c r="D1160" s="330"/>
      <c r="E1160" s="330"/>
      <c r="F1160" s="608">
        <f t="shared" si="168"/>
        <v>282.76</v>
      </c>
      <c r="G1160" s="330">
        <v>4</v>
      </c>
      <c r="H1160" s="40">
        <v>4</v>
      </c>
      <c r="I1160" s="55"/>
      <c r="J1160" s="55"/>
      <c r="K1160" s="142">
        <f t="shared" si="167"/>
        <v>4</v>
      </c>
      <c r="L1160" s="187">
        <f t="shared" si="163"/>
        <v>1.3614703880190605E-3</v>
      </c>
      <c r="M1160" s="315">
        <f t="shared" si="164"/>
        <v>3.0893533015656911</v>
      </c>
      <c r="N1160" s="425">
        <f t="shared" si="165"/>
        <v>1.1359552089857048</v>
      </c>
      <c r="O1160" s="498">
        <v>0</v>
      </c>
      <c r="P1160" s="427">
        <f t="shared" si="166"/>
        <v>0.33343771272974809</v>
      </c>
      <c r="Q1160" s="426"/>
      <c r="R1160" s="532">
        <v>0</v>
      </c>
    </row>
    <row r="1161" spans="1:18" s="6" customFormat="1" ht="15.75">
      <c r="A1161" s="146">
        <v>15</v>
      </c>
      <c r="B1161" s="330" t="s">
        <v>493</v>
      </c>
      <c r="C1161" s="330">
        <v>180.5</v>
      </c>
      <c r="D1161" s="330"/>
      <c r="E1161" s="330"/>
      <c r="F1161" s="608">
        <f t="shared" si="168"/>
        <v>180.5</v>
      </c>
      <c r="G1161" s="330">
        <v>0</v>
      </c>
      <c r="H1161" s="40">
        <v>3</v>
      </c>
      <c r="I1161" s="55"/>
      <c r="J1161" s="55"/>
      <c r="K1161" s="142">
        <f t="shared" si="167"/>
        <v>3</v>
      </c>
      <c r="L1161" s="187">
        <f t="shared" si="163"/>
        <v>1.0211027910142954E-3</v>
      </c>
      <c r="M1161" s="315">
        <f t="shared" si="164"/>
        <v>2.317014976174268</v>
      </c>
      <c r="N1161" s="425">
        <f t="shared" si="165"/>
        <v>0.85196640673927837</v>
      </c>
      <c r="O1161" s="498">
        <v>0</v>
      </c>
      <c r="P1161" s="427">
        <f t="shared" si="166"/>
        <v>0.25007828454731107</v>
      </c>
      <c r="Q1161" s="426"/>
      <c r="R1161" s="532">
        <f t="shared" si="156"/>
        <v>1.8942158822497824E-2</v>
      </c>
    </row>
    <row r="1162" spans="1:18" s="6" customFormat="1" ht="15.75">
      <c r="A1162" s="146">
        <v>17</v>
      </c>
      <c r="B1162" s="330" t="s">
        <v>494</v>
      </c>
      <c r="C1162" s="330">
        <v>5520.77</v>
      </c>
      <c r="D1162" s="330"/>
      <c r="E1162" s="330"/>
      <c r="F1162" s="608">
        <f t="shared" si="168"/>
        <v>5520.77</v>
      </c>
      <c r="G1162" s="330">
        <v>81</v>
      </c>
      <c r="H1162" s="40">
        <v>81</v>
      </c>
      <c r="I1162" s="55"/>
      <c r="J1162" s="55"/>
      <c r="K1162" s="142">
        <f t="shared" si="167"/>
        <v>81</v>
      </c>
      <c r="L1162" s="187">
        <f t="shared" si="163"/>
        <v>2.7569775357385976E-2</v>
      </c>
      <c r="M1162" s="315">
        <f t="shared" si="164"/>
        <v>62.559404356705244</v>
      </c>
      <c r="N1162" s="425">
        <f t="shared" si="165"/>
        <v>23.003092981960521</v>
      </c>
      <c r="O1162" s="498">
        <v>28.015325147007957</v>
      </c>
      <c r="P1162" s="427">
        <f>L1162*510.15</f>
        <v>14.064720898570455</v>
      </c>
      <c r="Q1162" s="426"/>
      <c r="R1162" s="532">
        <f t="shared" ref="R1162:R1225" si="169">(M1162+N1162+O1162+P1162)/C1162</f>
        <v>2.3120424032199161E-2</v>
      </c>
    </row>
    <row r="1163" spans="1:18" s="6" customFormat="1" ht="15.75">
      <c r="A1163" s="146">
        <v>18</v>
      </c>
      <c r="B1163" s="330" t="s">
        <v>495</v>
      </c>
      <c r="C1163" s="330">
        <v>5310.85</v>
      </c>
      <c r="D1163" s="330"/>
      <c r="E1163" s="330"/>
      <c r="F1163" s="608">
        <f t="shared" si="168"/>
        <v>5310.85</v>
      </c>
      <c r="G1163" s="330">
        <v>81</v>
      </c>
      <c r="H1163" s="40">
        <v>81</v>
      </c>
      <c r="I1163" s="55"/>
      <c r="J1163" s="55"/>
      <c r="K1163" s="142">
        <f t="shared" si="167"/>
        <v>81</v>
      </c>
      <c r="L1163" s="187">
        <f t="shared" si="163"/>
        <v>2.7569775357385976E-2</v>
      </c>
      <c r="M1163" s="315">
        <f t="shared" si="164"/>
        <v>62.559404356705244</v>
      </c>
      <c r="N1163" s="425">
        <f t="shared" si="165"/>
        <v>23.003092981960521</v>
      </c>
      <c r="O1163" s="498">
        <v>28.015325147007957</v>
      </c>
      <c r="P1163" s="427">
        <f>L1163*510.15</f>
        <v>14.064720898570455</v>
      </c>
      <c r="Q1163" s="426"/>
      <c r="R1163" s="532">
        <f t="shared" si="169"/>
        <v>2.4034296465583506E-2</v>
      </c>
    </row>
    <row r="1164" spans="1:18" s="6" customFormat="1" ht="15.75">
      <c r="A1164" s="146">
        <v>19</v>
      </c>
      <c r="B1164" s="330" t="s">
        <v>496</v>
      </c>
      <c r="C1164" s="330">
        <v>5405.43</v>
      </c>
      <c r="D1164" s="330"/>
      <c r="E1164" s="330"/>
      <c r="F1164" s="608">
        <f t="shared" si="168"/>
        <v>5405.43</v>
      </c>
      <c r="G1164" s="330">
        <v>81</v>
      </c>
      <c r="H1164" s="40">
        <v>81</v>
      </c>
      <c r="I1164" s="55"/>
      <c r="J1164" s="55"/>
      <c r="K1164" s="142">
        <f t="shared" si="167"/>
        <v>81</v>
      </c>
      <c r="L1164" s="187">
        <f t="shared" si="163"/>
        <v>2.7569775357385976E-2</v>
      </c>
      <c r="M1164" s="315">
        <f t="shared" si="164"/>
        <v>62.559404356705244</v>
      </c>
      <c r="N1164" s="425">
        <f t="shared" si="165"/>
        <v>23.003092981960521</v>
      </c>
      <c r="O1164" s="498">
        <v>28.015325147007957</v>
      </c>
      <c r="P1164" s="427">
        <f>L1164*510.15</f>
        <v>14.064720898570455</v>
      </c>
      <c r="Q1164" s="426"/>
      <c r="R1164" s="532">
        <f t="shared" si="169"/>
        <v>2.3613763083463142E-2</v>
      </c>
    </row>
    <row r="1165" spans="1:18" s="6" customFormat="1" ht="15.75">
      <c r="A1165" s="146">
        <v>20</v>
      </c>
      <c r="B1165" s="330" t="s">
        <v>497</v>
      </c>
      <c r="C1165" s="330">
        <v>349.2</v>
      </c>
      <c r="D1165" s="330"/>
      <c r="E1165" s="330"/>
      <c r="F1165" s="608">
        <f t="shared" si="168"/>
        <v>349.2</v>
      </c>
      <c r="G1165" s="330">
        <v>8</v>
      </c>
      <c r="H1165" s="40">
        <v>8</v>
      </c>
      <c r="I1165" s="55"/>
      <c r="J1165" s="55"/>
      <c r="K1165" s="142">
        <f t="shared" si="167"/>
        <v>8</v>
      </c>
      <c r="L1165" s="187">
        <f t="shared" si="163"/>
        <v>2.722940776038121E-3</v>
      </c>
      <c r="M1165" s="315">
        <f t="shared" si="164"/>
        <v>6.1787066031313822</v>
      </c>
      <c r="N1165" s="425">
        <f t="shared" si="165"/>
        <v>2.2719104179714096</v>
      </c>
      <c r="O1165" s="498">
        <v>2.7669456935316501</v>
      </c>
      <c r="P1165" s="427">
        <f t="shared" si="166"/>
        <v>0.66687542545949618</v>
      </c>
      <c r="Q1165" s="426"/>
      <c r="R1165" s="532">
        <f t="shared" si="169"/>
        <v>3.4033328007141858E-2</v>
      </c>
    </row>
    <row r="1166" spans="1:18" s="6" customFormat="1" ht="15.75">
      <c r="A1166" s="146">
        <v>21</v>
      </c>
      <c r="B1166" s="330" t="s">
        <v>498</v>
      </c>
      <c r="C1166" s="330">
        <v>433.4</v>
      </c>
      <c r="D1166" s="330"/>
      <c r="E1166" s="330"/>
      <c r="F1166" s="608">
        <f t="shared" si="168"/>
        <v>433.4</v>
      </c>
      <c r="G1166" s="330">
        <v>8</v>
      </c>
      <c r="H1166" s="40">
        <v>8</v>
      </c>
      <c r="I1166" s="55"/>
      <c r="J1166" s="55"/>
      <c r="K1166" s="142">
        <f t="shared" si="167"/>
        <v>8</v>
      </c>
      <c r="L1166" s="187">
        <f t="shared" si="163"/>
        <v>2.722940776038121E-3</v>
      </c>
      <c r="M1166" s="315">
        <f t="shared" si="164"/>
        <v>6.1787066031313822</v>
      </c>
      <c r="N1166" s="425">
        <f t="shared" si="165"/>
        <v>2.2719104179714096</v>
      </c>
      <c r="O1166" s="498">
        <v>2.7669456935316501</v>
      </c>
      <c r="P1166" s="427">
        <f t="shared" si="166"/>
        <v>0.66687542545949618</v>
      </c>
      <c r="Q1166" s="426"/>
      <c r="R1166" s="532">
        <f t="shared" si="169"/>
        <v>2.7421407799016931E-2</v>
      </c>
    </row>
    <row r="1167" spans="1:18" s="6" customFormat="1" ht="15.75">
      <c r="A1167" s="146">
        <v>22</v>
      </c>
      <c r="B1167" s="330" t="s">
        <v>499</v>
      </c>
      <c r="C1167" s="330">
        <v>360.2</v>
      </c>
      <c r="D1167" s="330"/>
      <c r="E1167" s="330"/>
      <c r="F1167" s="608">
        <f t="shared" si="168"/>
        <v>360.2</v>
      </c>
      <c r="G1167" s="330">
        <v>8</v>
      </c>
      <c r="H1167" s="40">
        <v>8</v>
      </c>
      <c r="I1167" s="55"/>
      <c r="J1167" s="55"/>
      <c r="K1167" s="142">
        <f t="shared" si="167"/>
        <v>8</v>
      </c>
      <c r="L1167" s="187">
        <f t="shared" si="163"/>
        <v>2.722940776038121E-3</v>
      </c>
      <c r="M1167" s="315">
        <f t="shared" si="164"/>
        <v>6.1787066031313822</v>
      </c>
      <c r="N1167" s="425">
        <f t="shared" si="165"/>
        <v>2.2719104179714096</v>
      </c>
      <c r="O1167" s="498">
        <v>2.7669456935316501</v>
      </c>
      <c r="P1167" s="427">
        <f t="shared" si="166"/>
        <v>0.66687542545949618</v>
      </c>
      <c r="Q1167" s="426"/>
      <c r="R1167" s="532">
        <f t="shared" si="169"/>
        <v>3.2993998167945411E-2</v>
      </c>
    </row>
    <row r="1168" spans="1:18" s="6" customFormat="1" ht="15.75">
      <c r="A1168" s="146">
        <v>23</v>
      </c>
      <c r="B1168" s="330" t="s">
        <v>500</v>
      </c>
      <c r="C1168" s="330">
        <v>31.8</v>
      </c>
      <c r="D1168" s="330"/>
      <c r="E1168" s="330"/>
      <c r="F1168" s="608">
        <f t="shared" si="168"/>
        <v>31.8</v>
      </c>
      <c r="G1168" s="330">
        <v>0</v>
      </c>
      <c r="H1168" s="40">
        <v>1</v>
      </c>
      <c r="I1168" s="55"/>
      <c r="J1168" s="55"/>
      <c r="K1168" s="142">
        <f t="shared" si="167"/>
        <v>1</v>
      </c>
      <c r="L1168" s="187">
        <f t="shared" si="163"/>
        <v>3.4036759700476512E-4</v>
      </c>
      <c r="M1168" s="315">
        <f t="shared" si="164"/>
        <v>0.77233832539142278</v>
      </c>
      <c r="N1168" s="425">
        <f t="shared" si="165"/>
        <v>0.2839888022464262</v>
      </c>
      <c r="O1168" s="498">
        <v>0</v>
      </c>
      <c r="P1168" s="427">
        <f t="shared" si="166"/>
        <v>8.3359428182437023E-2</v>
      </c>
      <c r="Q1168" s="426"/>
      <c r="R1168" s="532">
        <f t="shared" si="169"/>
        <v>3.5839199868562453E-2</v>
      </c>
    </row>
    <row r="1169" spans="1:18" s="6" customFormat="1" ht="15.75">
      <c r="A1169" s="146">
        <v>24</v>
      </c>
      <c r="B1169" s="330" t="s">
        <v>501</v>
      </c>
      <c r="C1169" s="330">
        <v>357.19</v>
      </c>
      <c r="D1169" s="330"/>
      <c r="E1169" s="330"/>
      <c r="F1169" s="608">
        <f t="shared" si="168"/>
        <v>357.19</v>
      </c>
      <c r="G1169" s="330">
        <v>8</v>
      </c>
      <c r="H1169" s="40">
        <v>8</v>
      </c>
      <c r="I1169" s="55"/>
      <c r="J1169" s="55"/>
      <c r="K1169" s="142">
        <f t="shared" si="167"/>
        <v>8</v>
      </c>
      <c r="L1169" s="187">
        <f t="shared" si="163"/>
        <v>2.722940776038121E-3</v>
      </c>
      <c r="M1169" s="315">
        <f t="shared" si="164"/>
        <v>6.1787066031313822</v>
      </c>
      <c r="N1169" s="425">
        <f t="shared" si="165"/>
        <v>2.2719104179714096</v>
      </c>
      <c r="O1169" s="498">
        <v>2.7669456935316501</v>
      </c>
      <c r="P1169" s="427">
        <f t="shared" si="166"/>
        <v>0.66687542545949618</v>
      </c>
      <c r="Q1169" s="426"/>
      <c r="R1169" s="532">
        <f t="shared" si="169"/>
        <v>3.3272034883658382E-2</v>
      </c>
    </row>
    <row r="1170" spans="1:18" s="6" customFormat="1" ht="15.75">
      <c r="A1170" s="146">
        <v>25</v>
      </c>
      <c r="B1170" s="330" t="s">
        <v>502</v>
      </c>
      <c r="C1170" s="330">
        <v>306.39999999999998</v>
      </c>
      <c r="D1170" s="330"/>
      <c r="E1170" s="330"/>
      <c r="F1170" s="608">
        <f t="shared" si="168"/>
        <v>306.39999999999998</v>
      </c>
      <c r="G1170" s="330">
        <v>8</v>
      </c>
      <c r="H1170" s="40">
        <v>8</v>
      </c>
      <c r="I1170" s="55"/>
      <c r="J1170" s="55"/>
      <c r="K1170" s="142">
        <f t="shared" si="167"/>
        <v>8</v>
      </c>
      <c r="L1170" s="187">
        <f t="shared" si="163"/>
        <v>2.722940776038121E-3</v>
      </c>
      <c r="M1170" s="315">
        <f t="shared" si="164"/>
        <v>6.1787066031313822</v>
      </c>
      <c r="N1170" s="425">
        <f t="shared" si="165"/>
        <v>2.2719104179714096</v>
      </c>
      <c r="O1170" s="498">
        <v>2.7669456935316501</v>
      </c>
      <c r="P1170" s="427">
        <f t="shared" si="166"/>
        <v>0.66687542545949618</v>
      </c>
      <c r="Q1170" s="426"/>
      <c r="R1170" s="532">
        <f t="shared" si="169"/>
        <v>3.8787330744431914E-2</v>
      </c>
    </row>
    <row r="1171" spans="1:18" s="6" customFormat="1" ht="15.75">
      <c r="A1171" s="146">
        <v>26</v>
      </c>
      <c r="B1171" s="330" t="s">
        <v>503</v>
      </c>
      <c r="C1171" s="330">
        <v>407.2</v>
      </c>
      <c r="D1171" s="330"/>
      <c r="E1171" s="330"/>
      <c r="F1171" s="608">
        <f t="shared" si="168"/>
        <v>407.2</v>
      </c>
      <c r="G1171" s="330">
        <v>8</v>
      </c>
      <c r="H1171" s="40">
        <v>8</v>
      </c>
      <c r="I1171" s="55"/>
      <c r="J1171" s="55"/>
      <c r="K1171" s="142">
        <f t="shared" si="167"/>
        <v>8</v>
      </c>
      <c r="L1171" s="187">
        <f t="shared" si="163"/>
        <v>2.722940776038121E-3</v>
      </c>
      <c r="M1171" s="315">
        <f t="shared" si="164"/>
        <v>6.1787066031313822</v>
      </c>
      <c r="N1171" s="425">
        <f t="shared" si="165"/>
        <v>2.2719104179714096</v>
      </c>
      <c r="O1171" s="498">
        <v>2.7669456935316501</v>
      </c>
      <c r="P1171" s="427">
        <f t="shared" si="166"/>
        <v>0.66687542545949618</v>
      </c>
      <c r="Q1171" s="426"/>
      <c r="R1171" s="532">
        <f t="shared" si="169"/>
        <v>2.9185751817519492E-2</v>
      </c>
    </row>
    <row r="1172" spans="1:18" s="6" customFormat="1" ht="15.75">
      <c r="A1172" s="146">
        <v>27</v>
      </c>
      <c r="B1172" s="330" t="s">
        <v>504</v>
      </c>
      <c r="C1172" s="330">
        <v>52.3</v>
      </c>
      <c r="D1172" s="330"/>
      <c r="E1172" s="330"/>
      <c r="F1172" s="608">
        <f t="shared" si="168"/>
        <v>52.3</v>
      </c>
      <c r="G1172" s="330">
        <v>0</v>
      </c>
      <c r="H1172" s="40">
        <v>1</v>
      </c>
      <c r="I1172" s="55"/>
      <c r="J1172" s="55"/>
      <c r="K1172" s="142">
        <f t="shared" si="167"/>
        <v>1</v>
      </c>
      <c r="L1172" s="187">
        <f t="shared" si="163"/>
        <v>3.4036759700476512E-4</v>
      </c>
      <c r="M1172" s="315">
        <f t="shared" si="164"/>
        <v>0.77233832539142278</v>
      </c>
      <c r="N1172" s="425">
        <f t="shared" si="165"/>
        <v>0.2839888022464262</v>
      </c>
      <c r="O1172" s="498">
        <v>0</v>
      </c>
      <c r="P1172" s="427">
        <f t="shared" si="166"/>
        <v>8.3359428182437023E-2</v>
      </c>
      <c r="Q1172" s="426"/>
      <c r="R1172" s="532">
        <f t="shared" si="169"/>
        <v>2.1791329939202412E-2</v>
      </c>
    </row>
    <row r="1173" spans="1:18" s="6" customFormat="1" ht="15.75">
      <c r="A1173" s="146">
        <v>28</v>
      </c>
      <c r="B1173" s="330" t="s">
        <v>505</v>
      </c>
      <c r="C1173" s="330">
        <v>122.2</v>
      </c>
      <c r="D1173" s="330"/>
      <c r="E1173" s="330"/>
      <c r="F1173" s="608">
        <f t="shared" si="168"/>
        <v>122.2</v>
      </c>
      <c r="G1173" s="330">
        <v>0</v>
      </c>
      <c r="H1173" s="40">
        <v>2</v>
      </c>
      <c r="I1173" s="55"/>
      <c r="J1173" s="55"/>
      <c r="K1173" s="142">
        <f t="shared" si="167"/>
        <v>2</v>
      </c>
      <c r="L1173" s="187">
        <f t="shared" si="163"/>
        <v>6.8073519400953025E-4</v>
      </c>
      <c r="M1173" s="315">
        <f t="shared" si="164"/>
        <v>1.5446766507828456</v>
      </c>
      <c r="N1173" s="425">
        <f t="shared" si="165"/>
        <v>0.56797760449285239</v>
      </c>
      <c r="O1173" s="498">
        <v>0</v>
      </c>
      <c r="P1173" s="427">
        <f t="shared" si="166"/>
        <v>0.16671885636487405</v>
      </c>
      <c r="Q1173" s="426"/>
      <c r="R1173" s="532">
        <f t="shared" si="169"/>
        <v>1.8652807787566054E-2</v>
      </c>
    </row>
    <row r="1174" spans="1:18" s="6" customFormat="1" ht="15.75">
      <c r="A1174" s="146">
        <v>29</v>
      </c>
      <c r="B1174" s="330" t="s">
        <v>506</v>
      </c>
      <c r="C1174" s="330">
        <v>77.900000000000006</v>
      </c>
      <c r="D1174" s="330"/>
      <c r="E1174" s="330"/>
      <c r="F1174" s="608">
        <f t="shared" si="168"/>
        <v>77.900000000000006</v>
      </c>
      <c r="G1174" s="330">
        <v>0</v>
      </c>
      <c r="H1174" s="40">
        <v>1</v>
      </c>
      <c r="I1174" s="55"/>
      <c r="J1174" s="55"/>
      <c r="K1174" s="142">
        <f t="shared" si="167"/>
        <v>1</v>
      </c>
      <c r="L1174" s="187">
        <f t="shared" si="163"/>
        <v>3.4036759700476512E-4</v>
      </c>
      <c r="M1174" s="315">
        <f t="shared" si="164"/>
        <v>0.77233832539142278</v>
      </c>
      <c r="N1174" s="425">
        <f t="shared" si="165"/>
        <v>0.2839888022464262</v>
      </c>
      <c r="O1174" s="498">
        <v>0</v>
      </c>
      <c r="P1174" s="427">
        <f t="shared" si="166"/>
        <v>8.3359428182437023E-2</v>
      </c>
      <c r="Q1174" s="426"/>
      <c r="R1174" s="532">
        <f t="shared" si="169"/>
        <v>1.4630122667782875E-2</v>
      </c>
    </row>
    <row r="1175" spans="1:18" s="6" customFormat="1" ht="15.75">
      <c r="A1175" s="146">
        <v>30</v>
      </c>
      <c r="B1175" s="330" t="s">
        <v>507</v>
      </c>
      <c r="C1175" s="330">
        <v>205.19</v>
      </c>
      <c r="D1175" s="330"/>
      <c r="E1175" s="330"/>
      <c r="F1175" s="608">
        <f t="shared" si="168"/>
        <v>205.19</v>
      </c>
      <c r="G1175" s="330">
        <v>0</v>
      </c>
      <c r="H1175" s="40">
        <v>4</v>
      </c>
      <c r="I1175" s="55"/>
      <c r="J1175" s="55"/>
      <c r="K1175" s="142">
        <f t="shared" si="167"/>
        <v>4</v>
      </c>
      <c r="L1175" s="187">
        <f t="shared" si="163"/>
        <v>1.3614703880190605E-3</v>
      </c>
      <c r="M1175" s="315">
        <f t="shared" si="164"/>
        <v>3.0893533015656911</v>
      </c>
      <c r="N1175" s="425">
        <f t="shared" si="165"/>
        <v>1.1359552089857048</v>
      </c>
      <c r="O1175" s="498">
        <v>0</v>
      </c>
      <c r="P1175" s="427">
        <f t="shared" si="166"/>
        <v>0.33343771272974809</v>
      </c>
      <c r="Q1175" s="426"/>
      <c r="R1175" s="532">
        <f t="shared" si="169"/>
        <v>2.2217194908529383E-2</v>
      </c>
    </row>
    <row r="1176" spans="1:18" s="6" customFormat="1" ht="15.75">
      <c r="A1176" s="146">
        <v>31</v>
      </c>
      <c r="B1176" s="330" t="s">
        <v>508</v>
      </c>
      <c r="C1176" s="330">
        <v>289.10000000000002</v>
      </c>
      <c r="D1176" s="330"/>
      <c r="E1176" s="330"/>
      <c r="F1176" s="608">
        <f t="shared" si="168"/>
        <v>289.10000000000002</v>
      </c>
      <c r="G1176" s="330">
        <v>0</v>
      </c>
      <c r="H1176" s="40">
        <v>4</v>
      </c>
      <c r="I1176" s="55"/>
      <c r="J1176" s="55"/>
      <c r="K1176" s="142">
        <f t="shared" si="167"/>
        <v>4</v>
      </c>
      <c r="L1176" s="187">
        <f t="shared" si="163"/>
        <v>1.3614703880190605E-3</v>
      </c>
      <c r="M1176" s="315">
        <f t="shared" si="164"/>
        <v>3.0893533015656911</v>
      </c>
      <c r="N1176" s="425">
        <f t="shared" si="165"/>
        <v>1.1359552089857048</v>
      </c>
      <c r="O1176" s="498">
        <v>0</v>
      </c>
      <c r="P1176" s="427">
        <f t="shared" si="166"/>
        <v>0.33343771272974809</v>
      </c>
      <c r="Q1176" s="426"/>
      <c r="R1176" s="532">
        <f t="shared" si="169"/>
        <v>1.5768752069460892E-2</v>
      </c>
    </row>
    <row r="1177" spans="1:18" s="6" customFormat="1" ht="15.75">
      <c r="A1177" s="146">
        <v>32</v>
      </c>
      <c r="B1177" s="330" t="s">
        <v>509</v>
      </c>
      <c r="C1177" s="330">
        <v>117.92</v>
      </c>
      <c r="D1177" s="330"/>
      <c r="E1177" s="330"/>
      <c r="F1177" s="608">
        <f t="shared" si="168"/>
        <v>117.92</v>
      </c>
      <c r="G1177" s="330">
        <v>0</v>
      </c>
      <c r="H1177" s="40">
        <v>2</v>
      </c>
      <c r="I1177" s="55"/>
      <c r="J1177" s="55"/>
      <c r="K1177" s="142">
        <f t="shared" si="167"/>
        <v>2</v>
      </c>
      <c r="L1177" s="187">
        <f t="shared" si="163"/>
        <v>6.8073519400953025E-4</v>
      </c>
      <c r="M1177" s="315">
        <f t="shared" si="164"/>
        <v>1.5446766507828456</v>
      </c>
      <c r="N1177" s="425">
        <f t="shared" si="165"/>
        <v>0.56797760449285239</v>
      </c>
      <c r="O1177" s="498">
        <v>0</v>
      </c>
      <c r="P1177" s="427">
        <f t="shared" si="166"/>
        <v>0.16671885636487405</v>
      </c>
      <c r="Q1177" s="426"/>
      <c r="R1177" s="532">
        <f t="shared" si="169"/>
        <v>1.932982625204013E-2</v>
      </c>
    </row>
    <row r="1178" spans="1:18" s="6" customFormat="1" ht="15.75">
      <c r="A1178" s="146">
        <v>33</v>
      </c>
      <c r="B1178" s="330" t="s">
        <v>510</v>
      </c>
      <c r="C1178" s="330">
        <v>242.85</v>
      </c>
      <c r="D1178" s="330"/>
      <c r="E1178" s="330"/>
      <c r="F1178" s="608">
        <f t="shared" si="168"/>
        <v>242.85</v>
      </c>
      <c r="G1178" s="330">
        <v>0</v>
      </c>
      <c r="H1178" s="40">
        <v>4</v>
      </c>
      <c r="I1178" s="55"/>
      <c r="J1178" s="55"/>
      <c r="K1178" s="142">
        <f t="shared" si="167"/>
        <v>4</v>
      </c>
      <c r="L1178" s="187">
        <f t="shared" si="163"/>
        <v>1.3614703880190605E-3</v>
      </c>
      <c r="M1178" s="315">
        <f t="shared" si="164"/>
        <v>3.0893533015656911</v>
      </c>
      <c r="N1178" s="425">
        <f t="shared" si="165"/>
        <v>1.1359552089857048</v>
      </c>
      <c r="O1178" s="498">
        <v>0</v>
      </c>
      <c r="P1178" s="427">
        <f t="shared" si="166"/>
        <v>0.33343771272974809</v>
      </c>
      <c r="Q1178" s="426"/>
      <c r="R1178" s="532">
        <f t="shared" si="169"/>
        <v>1.8771860091748586E-2</v>
      </c>
    </row>
    <row r="1179" spans="1:18" s="6" customFormat="1" ht="15.75">
      <c r="A1179" s="146">
        <v>34</v>
      </c>
      <c r="B1179" s="330" t="s">
        <v>511</v>
      </c>
      <c r="C1179" s="330">
        <v>415.2</v>
      </c>
      <c r="D1179" s="330"/>
      <c r="E1179" s="330"/>
      <c r="F1179" s="608">
        <f t="shared" si="168"/>
        <v>415.2</v>
      </c>
      <c r="G1179" s="330">
        <v>9</v>
      </c>
      <c r="H1179" s="40">
        <v>9</v>
      </c>
      <c r="I1179" s="55"/>
      <c r="J1179" s="55"/>
      <c r="K1179" s="142">
        <f t="shared" si="167"/>
        <v>9</v>
      </c>
      <c r="L1179" s="187">
        <f t="shared" si="163"/>
        <v>3.0633083730428863E-3</v>
      </c>
      <c r="M1179" s="315">
        <f t="shared" si="164"/>
        <v>6.9510449285228049</v>
      </c>
      <c r="N1179" s="425">
        <f t="shared" si="165"/>
        <v>2.5558992202178357</v>
      </c>
      <c r="O1179" s="498">
        <v>0</v>
      </c>
      <c r="P1179" s="427">
        <f t="shared" si="166"/>
        <v>0.75023485364193332</v>
      </c>
      <c r="Q1179" s="426"/>
      <c r="R1179" s="532">
        <f t="shared" si="169"/>
        <v>2.4704188348705618E-2</v>
      </c>
    </row>
    <row r="1180" spans="1:18" s="6" customFormat="1" ht="15.75">
      <c r="A1180" s="146">
        <v>35</v>
      </c>
      <c r="B1180" s="330" t="s">
        <v>512</v>
      </c>
      <c r="C1180" s="330">
        <v>8111.75</v>
      </c>
      <c r="D1180" s="330"/>
      <c r="E1180" s="330"/>
      <c r="F1180" s="608">
        <f t="shared" si="168"/>
        <v>8111.75</v>
      </c>
      <c r="G1180" s="330">
        <v>142</v>
      </c>
      <c r="H1180" s="40">
        <v>142</v>
      </c>
      <c r="I1180" s="55"/>
      <c r="J1180" s="55"/>
      <c r="K1180" s="142">
        <f t="shared" si="167"/>
        <v>142</v>
      </c>
      <c r="L1180" s="187">
        <f t="shared" si="163"/>
        <v>4.8332198774676649E-2</v>
      </c>
      <c r="M1180" s="315">
        <f t="shared" si="164"/>
        <v>109.67204220558203</v>
      </c>
      <c r="N1180" s="425">
        <f t="shared" si="165"/>
        <v>40.326409918992518</v>
      </c>
      <c r="O1180" s="498">
        <v>49.113286060186788</v>
      </c>
      <c r="P1180" s="427">
        <f t="shared" si="166"/>
        <v>11.837038801906058</v>
      </c>
      <c r="Q1180" s="426"/>
      <c r="R1180" s="532">
        <f t="shared" si="169"/>
        <v>2.6005335098673827E-2</v>
      </c>
    </row>
    <row r="1181" spans="1:18" s="6" customFormat="1" ht="15.75">
      <c r="A1181" s="146">
        <v>36</v>
      </c>
      <c r="B1181" s="330" t="s">
        <v>513</v>
      </c>
      <c r="C1181" s="330">
        <v>6280.23</v>
      </c>
      <c r="D1181" s="330"/>
      <c r="E1181" s="330"/>
      <c r="F1181" s="608">
        <f t="shared" si="168"/>
        <v>6280.23</v>
      </c>
      <c r="G1181" s="330">
        <v>108</v>
      </c>
      <c r="H1181" s="40">
        <v>108</v>
      </c>
      <c r="I1181" s="55"/>
      <c r="J1181" s="55"/>
      <c r="K1181" s="142">
        <f t="shared" si="167"/>
        <v>108</v>
      </c>
      <c r="L1181" s="187">
        <f t="shared" si="163"/>
        <v>3.6759700476514633E-2</v>
      </c>
      <c r="M1181" s="315">
        <f t="shared" si="164"/>
        <v>83.412539142273658</v>
      </c>
      <c r="N1181" s="425">
        <f t="shared" si="165"/>
        <v>30.670790642614026</v>
      </c>
      <c r="O1181" s="498">
        <v>37.353766862677276</v>
      </c>
      <c r="P1181" s="427">
        <f t="shared" si="166"/>
        <v>9.0028182437031994</v>
      </c>
      <c r="Q1181" s="426"/>
      <c r="R1181" s="532">
        <f t="shared" si="169"/>
        <v>2.5546821516292898E-2</v>
      </c>
    </row>
    <row r="1182" spans="1:18" s="6" customFormat="1" ht="15.75">
      <c r="A1182" s="146">
        <v>37</v>
      </c>
      <c r="B1182" s="330" t="s">
        <v>514</v>
      </c>
      <c r="C1182" s="330">
        <v>8361.6299999999992</v>
      </c>
      <c r="D1182" s="330"/>
      <c r="E1182" s="330"/>
      <c r="F1182" s="608">
        <f t="shared" si="168"/>
        <v>8361.6299999999992</v>
      </c>
      <c r="G1182" s="330">
        <v>180</v>
      </c>
      <c r="H1182" s="40">
        <v>180</v>
      </c>
      <c r="I1182" s="55"/>
      <c r="J1182" s="55"/>
      <c r="K1182" s="142">
        <f t="shared" si="167"/>
        <v>180</v>
      </c>
      <c r="L1182" s="187">
        <f t="shared" si="163"/>
        <v>6.1266167460857723E-2</v>
      </c>
      <c r="M1182" s="315">
        <f t="shared" si="164"/>
        <v>139.0208985704561</v>
      </c>
      <c r="N1182" s="425">
        <f t="shared" si="165"/>
        <v>51.117984404356712</v>
      </c>
      <c r="O1182" s="498">
        <v>62.256278104462119</v>
      </c>
      <c r="P1182" s="427">
        <f t="shared" si="166"/>
        <v>15.004697072838665</v>
      </c>
      <c r="Q1182" s="426"/>
      <c r="R1182" s="532">
        <f t="shared" si="169"/>
        <v>3.1979393748840075E-2</v>
      </c>
    </row>
    <row r="1183" spans="1:18" s="6" customFormat="1" ht="15.75">
      <c r="A1183" s="146">
        <v>38</v>
      </c>
      <c r="B1183" s="330" t="s">
        <v>515</v>
      </c>
      <c r="C1183" s="330">
        <v>6675.9</v>
      </c>
      <c r="D1183" s="330"/>
      <c r="E1183" s="330"/>
      <c r="F1183" s="608">
        <f t="shared" si="168"/>
        <v>6675.9</v>
      </c>
      <c r="G1183" s="330">
        <v>126</v>
      </c>
      <c r="H1183" s="40">
        <v>126</v>
      </c>
      <c r="I1183" s="55"/>
      <c r="J1183" s="55"/>
      <c r="K1183" s="142">
        <f t="shared" si="167"/>
        <v>126</v>
      </c>
      <c r="L1183" s="187">
        <f t="shared" si="163"/>
        <v>4.2886317222600404E-2</v>
      </c>
      <c r="M1183" s="315">
        <f t="shared" si="164"/>
        <v>97.314628999319254</v>
      </c>
      <c r="N1183" s="425">
        <f t="shared" si="165"/>
        <v>35.782589083049693</v>
      </c>
      <c r="O1183" s="498">
        <v>43.579394673123488</v>
      </c>
      <c r="P1183" s="427">
        <f t="shared" si="166"/>
        <v>10.503287950987065</v>
      </c>
      <c r="Q1183" s="426"/>
      <c r="R1183" s="532">
        <f t="shared" si="169"/>
        <v>2.8038152265084788E-2</v>
      </c>
    </row>
    <row r="1184" spans="1:18" s="6" customFormat="1" ht="15.75">
      <c r="A1184" s="146">
        <v>39</v>
      </c>
      <c r="B1184" s="330" t="s">
        <v>516</v>
      </c>
      <c r="C1184" s="330">
        <v>4489.2299999999996</v>
      </c>
      <c r="D1184" s="330"/>
      <c r="E1184" s="330">
        <v>48.5</v>
      </c>
      <c r="F1184" s="608">
        <f t="shared" si="168"/>
        <v>4537.7299999999996</v>
      </c>
      <c r="G1184" s="330">
        <v>90</v>
      </c>
      <c r="H1184" s="40">
        <v>90</v>
      </c>
      <c r="I1184" s="55"/>
      <c r="J1184" s="55">
        <v>1</v>
      </c>
      <c r="K1184" s="142">
        <f t="shared" si="167"/>
        <v>91</v>
      </c>
      <c r="L1184" s="187">
        <f t="shared" si="163"/>
        <v>3.0973451327433628E-2</v>
      </c>
      <c r="M1184" s="315">
        <f t="shared" si="164"/>
        <v>70.282787610619465</v>
      </c>
      <c r="N1184" s="425">
        <f t="shared" si="165"/>
        <v>25.842981004424779</v>
      </c>
      <c r="O1184" s="498">
        <v>31.47400726392252</v>
      </c>
      <c r="P1184" s="427">
        <f t="shared" si="166"/>
        <v>7.5857079646017693</v>
      </c>
      <c r="Q1184" s="426"/>
      <c r="R1184" s="532">
        <f t="shared" si="169"/>
        <v>3.0113289772091996E-2</v>
      </c>
    </row>
    <row r="1185" spans="1:18" s="6" customFormat="1" ht="15.75">
      <c r="A1185" s="146">
        <v>40</v>
      </c>
      <c r="B1185" s="330" t="s">
        <v>517</v>
      </c>
      <c r="C1185" s="330">
        <v>4352.13</v>
      </c>
      <c r="D1185" s="330"/>
      <c r="E1185" s="330"/>
      <c r="F1185" s="608">
        <f t="shared" si="168"/>
        <v>4352.13</v>
      </c>
      <c r="G1185" s="330">
        <v>72</v>
      </c>
      <c r="H1185" s="40">
        <v>72</v>
      </c>
      <c r="I1185" s="55"/>
      <c r="J1185" s="55"/>
      <c r="K1185" s="142">
        <f t="shared" si="167"/>
        <v>72</v>
      </c>
      <c r="L1185" s="187">
        <f t="shared" si="163"/>
        <v>2.4506466984343091E-2</v>
      </c>
      <c r="M1185" s="315">
        <f t="shared" si="164"/>
        <v>55.608359428182439</v>
      </c>
      <c r="N1185" s="425">
        <f t="shared" si="165"/>
        <v>20.447193761742685</v>
      </c>
      <c r="O1185" s="498">
        <v>24.90251124178485</v>
      </c>
      <c r="P1185" s="427">
        <f t="shared" si="166"/>
        <v>6.0018788291354666</v>
      </c>
      <c r="Q1185" s="426"/>
      <c r="R1185" s="532">
        <f t="shared" si="169"/>
        <v>2.4576458713513941E-2</v>
      </c>
    </row>
    <row r="1186" spans="1:18" s="6" customFormat="1" ht="15.75">
      <c r="A1186" s="146">
        <v>41</v>
      </c>
      <c r="B1186" s="330" t="s">
        <v>518</v>
      </c>
      <c r="C1186" s="330">
        <v>4481.0200000000004</v>
      </c>
      <c r="D1186" s="330"/>
      <c r="E1186" s="330">
        <v>48.33</v>
      </c>
      <c r="F1186" s="608">
        <f t="shared" si="168"/>
        <v>4529.3500000000004</v>
      </c>
      <c r="G1186" s="330">
        <v>89</v>
      </c>
      <c r="H1186" s="40">
        <v>89</v>
      </c>
      <c r="I1186" s="55"/>
      <c r="J1186" s="55">
        <v>1</v>
      </c>
      <c r="K1186" s="142">
        <f t="shared" si="167"/>
        <v>90</v>
      </c>
      <c r="L1186" s="187">
        <f t="shared" si="163"/>
        <v>3.0633083730428862E-2</v>
      </c>
      <c r="M1186" s="315">
        <f t="shared" si="164"/>
        <v>69.510449285228049</v>
      </c>
      <c r="N1186" s="425">
        <f t="shared" si="165"/>
        <v>25.558992202178356</v>
      </c>
      <c r="O1186" s="498">
        <v>31.128139052231059</v>
      </c>
      <c r="P1186" s="427">
        <f t="shared" si="166"/>
        <v>7.5023485364193325</v>
      </c>
      <c r="Q1186" s="426"/>
      <c r="R1186" s="532">
        <f t="shared" si="169"/>
        <v>2.9836940936674414E-2</v>
      </c>
    </row>
    <row r="1187" spans="1:18" s="6" customFormat="1" ht="15.75">
      <c r="A1187" s="146">
        <v>42</v>
      </c>
      <c r="B1187" s="330" t="s">
        <v>519</v>
      </c>
      <c r="C1187" s="330">
        <v>4132.3900000000003</v>
      </c>
      <c r="D1187" s="330"/>
      <c r="E1187" s="330">
        <v>18.8</v>
      </c>
      <c r="F1187" s="608">
        <f t="shared" si="168"/>
        <v>4151.1900000000005</v>
      </c>
      <c r="G1187" s="330">
        <v>72</v>
      </c>
      <c r="H1187" s="40">
        <v>72</v>
      </c>
      <c r="I1187" s="55"/>
      <c r="J1187" s="55">
        <v>1</v>
      </c>
      <c r="K1187" s="142">
        <f t="shared" si="167"/>
        <v>73</v>
      </c>
      <c r="L1187" s="187">
        <f t="shared" si="163"/>
        <v>2.4846834581347853E-2</v>
      </c>
      <c r="M1187" s="315">
        <f t="shared" si="164"/>
        <v>56.380697753573855</v>
      </c>
      <c r="N1187" s="425">
        <f t="shared" si="165"/>
        <v>20.731182563989108</v>
      </c>
      <c r="O1187" s="498">
        <v>25.248379453476307</v>
      </c>
      <c r="P1187" s="427">
        <f t="shared" si="166"/>
        <v>6.0852382573179025</v>
      </c>
      <c r="Q1187" s="426"/>
      <c r="R1187" s="532">
        <f t="shared" si="169"/>
        <v>2.6242803324070856E-2</v>
      </c>
    </row>
    <row r="1188" spans="1:18" s="6" customFormat="1" ht="15.75">
      <c r="A1188" s="146">
        <v>43</v>
      </c>
      <c r="B1188" s="330" t="s">
        <v>520</v>
      </c>
      <c r="C1188" s="330">
        <v>8136.02</v>
      </c>
      <c r="D1188" s="330"/>
      <c r="E1188" s="330"/>
      <c r="F1188" s="608">
        <f t="shared" si="168"/>
        <v>8136.02</v>
      </c>
      <c r="G1188" s="330">
        <v>144</v>
      </c>
      <c r="H1188" s="40">
        <v>144</v>
      </c>
      <c r="I1188" s="55"/>
      <c r="J1188" s="55"/>
      <c r="K1188" s="142">
        <f t="shared" si="167"/>
        <v>144</v>
      </c>
      <c r="L1188" s="187">
        <f t="shared" si="163"/>
        <v>4.9012933968686181E-2</v>
      </c>
      <c r="M1188" s="315">
        <f t="shared" si="164"/>
        <v>111.21671885636488</v>
      </c>
      <c r="N1188" s="425">
        <f t="shared" si="165"/>
        <v>40.894387523485371</v>
      </c>
      <c r="O1188" s="498">
        <v>49.805022483569701</v>
      </c>
      <c r="P1188" s="427">
        <f t="shared" si="166"/>
        <v>12.003757658270933</v>
      </c>
      <c r="Q1188" s="426"/>
      <c r="R1188" s="532">
        <f t="shared" si="169"/>
        <v>2.6292940101141696E-2</v>
      </c>
    </row>
    <row r="1189" spans="1:18" s="6" customFormat="1" ht="15.75">
      <c r="A1189" s="146">
        <v>44</v>
      </c>
      <c r="B1189" s="330" t="s">
        <v>521</v>
      </c>
      <c r="C1189" s="330">
        <v>5922.13</v>
      </c>
      <c r="D1189" s="330">
        <v>77.599999999999994</v>
      </c>
      <c r="E1189" s="330">
        <v>240.4</v>
      </c>
      <c r="F1189" s="608">
        <f t="shared" si="168"/>
        <v>6240.13</v>
      </c>
      <c r="G1189" s="330">
        <v>103</v>
      </c>
      <c r="H1189" s="40">
        <v>103</v>
      </c>
      <c r="I1189" s="55">
        <v>1</v>
      </c>
      <c r="J1189" s="55">
        <v>1</v>
      </c>
      <c r="K1189" s="142">
        <f t="shared" si="167"/>
        <v>105</v>
      </c>
      <c r="L1189" s="187">
        <f t="shared" si="163"/>
        <v>3.5738597685500341E-2</v>
      </c>
      <c r="M1189" s="315">
        <f t="shared" si="164"/>
        <v>81.095524166099395</v>
      </c>
      <c r="N1189" s="425">
        <f t="shared" si="165"/>
        <v>29.81882423587475</v>
      </c>
      <c r="O1189" s="498">
        <v>36.316162227602909</v>
      </c>
      <c r="P1189" s="427">
        <f t="shared" si="166"/>
        <v>8.752739959155889</v>
      </c>
      <c r="Q1189" s="426"/>
      <c r="R1189" s="532">
        <f t="shared" si="169"/>
        <v>2.6339045341580301E-2</v>
      </c>
    </row>
    <row r="1190" spans="1:18" s="6" customFormat="1" ht="15.75">
      <c r="A1190" s="146">
        <v>45</v>
      </c>
      <c r="B1190" s="330" t="s">
        <v>522</v>
      </c>
      <c r="C1190" s="330">
        <v>5641.92</v>
      </c>
      <c r="D1190" s="330">
        <v>100.4</v>
      </c>
      <c r="E1190" s="330">
        <v>535.70000000000005</v>
      </c>
      <c r="F1190" s="608">
        <f t="shared" si="168"/>
        <v>6278.0199999999995</v>
      </c>
      <c r="G1190" s="330">
        <v>98</v>
      </c>
      <c r="H1190" s="40">
        <v>98</v>
      </c>
      <c r="I1190" s="55">
        <v>1</v>
      </c>
      <c r="J1190" s="55">
        <v>2</v>
      </c>
      <c r="K1190" s="142">
        <f t="shared" si="167"/>
        <v>101</v>
      </c>
      <c r="L1190" s="187">
        <f t="shared" si="163"/>
        <v>3.4377127297481276E-2</v>
      </c>
      <c r="M1190" s="315">
        <f t="shared" si="164"/>
        <v>78.006170864533686</v>
      </c>
      <c r="N1190" s="425">
        <f t="shared" si="165"/>
        <v>28.682869026889037</v>
      </c>
      <c r="O1190" s="498">
        <v>34.932689380837083</v>
      </c>
      <c r="P1190" s="427">
        <f t="shared" si="166"/>
        <v>8.41930224642614</v>
      </c>
      <c r="Q1190" s="426"/>
      <c r="R1190" s="532">
        <f t="shared" si="169"/>
        <v>2.6593966507622573E-2</v>
      </c>
    </row>
    <row r="1191" spans="1:18" s="6" customFormat="1" ht="15.75">
      <c r="A1191" s="146">
        <v>46</v>
      </c>
      <c r="B1191" s="330" t="s">
        <v>523</v>
      </c>
      <c r="C1191" s="330">
        <f>3994.79-6.68</f>
        <v>3988.11</v>
      </c>
      <c r="D1191" s="330"/>
      <c r="E1191" s="330"/>
      <c r="F1191" s="608">
        <f t="shared" si="168"/>
        <v>3988.11</v>
      </c>
      <c r="G1191" s="330">
        <v>72</v>
      </c>
      <c r="H1191" s="40">
        <v>72</v>
      </c>
      <c r="I1191" s="55"/>
      <c r="J1191" s="55"/>
      <c r="K1191" s="142">
        <f t="shared" si="167"/>
        <v>72</v>
      </c>
      <c r="L1191" s="187">
        <f t="shared" si="163"/>
        <v>2.4506466984343091E-2</v>
      </c>
      <c r="M1191" s="315">
        <f t="shared" si="164"/>
        <v>55.608359428182439</v>
      </c>
      <c r="N1191" s="425">
        <f t="shared" si="165"/>
        <v>20.447193761742685</v>
      </c>
      <c r="O1191" s="498">
        <v>24.90251124178485</v>
      </c>
      <c r="P1191" s="427">
        <f>L1191*44.91</f>
        <v>1.100585432266848</v>
      </c>
      <c r="Q1191" s="426"/>
      <c r="R1191" s="532">
        <f t="shared" si="169"/>
        <v>2.5590730913634986E-2</v>
      </c>
    </row>
    <row r="1192" spans="1:18" s="6" customFormat="1" ht="15.75">
      <c r="A1192" s="146">
        <v>47</v>
      </c>
      <c r="B1192" s="330" t="s">
        <v>524</v>
      </c>
      <c r="C1192" s="330">
        <v>4150.55</v>
      </c>
      <c r="D1192" s="330"/>
      <c r="E1192" s="330"/>
      <c r="F1192" s="608">
        <f t="shared" si="168"/>
        <v>4150.55</v>
      </c>
      <c r="G1192" s="330">
        <v>72</v>
      </c>
      <c r="H1192" s="40">
        <v>72</v>
      </c>
      <c r="I1192" s="55"/>
      <c r="J1192" s="55"/>
      <c r="K1192" s="142">
        <f t="shared" si="167"/>
        <v>72</v>
      </c>
      <c r="L1192" s="187">
        <f t="shared" si="163"/>
        <v>2.4506466984343091E-2</v>
      </c>
      <c r="M1192" s="315">
        <f t="shared" si="164"/>
        <v>55.608359428182439</v>
      </c>
      <c r="N1192" s="425">
        <f t="shared" si="165"/>
        <v>20.447193761742685</v>
      </c>
      <c r="O1192" s="498">
        <v>24.90251124178485</v>
      </c>
      <c r="P1192" s="427">
        <f t="shared" si="166"/>
        <v>6.0018788291354666</v>
      </c>
      <c r="Q1192" s="426"/>
      <c r="R1192" s="532">
        <f t="shared" si="169"/>
        <v>2.5770064993999694E-2</v>
      </c>
    </row>
    <row r="1193" spans="1:18" s="6" customFormat="1" ht="15.75">
      <c r="A1193" s="146">
        <v>48</v>
      </c>
      <c r="B1193" s="330" t="s">
        <v>525</v>
      </c>
      <c r="C1193" s="330">
        <v>14374.02</v>
      </c>
      <c r="D1193" s="330"/>
      <c r="E1193" s="330"/>
      <c r="F1193" s="608">
        <f t="shared" si="168"/>
        <v>14374.02</v>
      </c>
      <c r="G1193" s="330">
        <v>251</v>
      </c>
      <c r="H1193" s="40">
        <v>251</v>
      </c>
      <c r="I1193" s="55"/>
      <c r="J1193" s="55"/>
      <c r="K1193" s="142">
        <f t="shared" si="167"/>
        <v>251</v>
      </c>
      <c r="L1193" s="187">
        <f t="shared" si="163"/>
        <v>8.5432266848196048E-2</v>
      </c>
      <c r="M1193" s="315">
        <f t="shared" si="164"/>
        <v>193.85691967324712</v>
      </c>
      <c r="N1193" s="425">
        <f t="shared" si="165"/>
        <v>71.281189363852974</v>
      </c>
      <c r="O1193" s="498">
        <v>86.812921134555509</v>
      </c>
      <c r="P1193" s="427">
        <f t="shared" si="166"/>
        <v>20.923216473791694</v>
      </c>
      <c r="Q1193" s="426"/>
      <c r="R1193" s="532">
        <f t="shared" si="169"/>
        <v>2.5940846516524067E-2</v>
      </c>
    </row>
    <row r="1194" spans="1:18" s="6" customFormat="1" ht="15.75">
      <c r="A1194" s="146">
        <v>49</v>
      </c>
      <c r="B1194" s="330" t="s">
        <v>526</v>
      </c>
      <c r="C1194" s="330">
        <v>4120.28</v>
      </c>
      <c r="D1194" s="330"/>
      <c r="E1194" s="330"/>
      <c r="F1194" s="608">
        <f t="shared" si="168"/>
        <v>4120.28</v>
      </c>
      <c r="G1194" s="330">
        <v>72</v>
      </c>
      <c r="H1194" s="40">
        <v>72</v>
      </c>
      <c r="I1194" s="55"/>
      <c r="J1194" s="55"/>
      <c r="K1194" s="142">
        <f t="shared" si="167"/>
        <v>72</v>
      </c>
      <c r="L1194" s="187">
        <f t="shared" si="163"/>
        <v>2.4506466984343091E-2</v>
      </c>
      <c r="M1194" s="315">
        <f t="shared" si="164"/>
        <v>55.608359428182439</v>
      </c>
      <c r="N1194" s="425">
        <f t="shared" si="165"/>
        <v>20.447193761742685</v>
      </c>
      <c r="O1194" s="498">
        <v>24.90251124178485</v>
      </c>
      <c r="P1194" s="427">
        <f t="shared" si="166"/>
        <v>6.0018788291354666</v>
      </c>
      <c r="Q1194" s="426"/>
      <c r="R1194" s="532">
        <f t="shared" si="169"/>
        <v>2.5959387046716593E-2</v>
      </c>
    </row>
    <row r="1195" spans="1:18" s="6" customFormat="1" ht="15.75">
      <c r="A1195" s="146">
        <v>50</v>
      </c>
      <c r="B1195" s="330" t="s">
        <v>527</v>
      </c>
      <c r="C1195" s="330">
        <v>14371.39</v>
      </c>
      <c r="D1195" s="330"/>
      <c r="E1195" s="330"/>
      <c r="F1195" s="608">
        <f t="shared" si="168"/>
        <v>14371.39</v>
      </c>
      <c r="G1195" s="330">
        <v>251</v>
      </c>
      <c r="H1195" s="40">
        <v>251</v>
      </c>
      <c r="I1195" s="55"/>
      <c r="J1195" s="55"/>
      <c r="K1195" s="142">
        <f t="shared" si="167"/>
        <v>251</v>
      </c>
      <c r="L1195" s="187">
        <f t="shared" si="163"/>
        <v>8.5432266848196048E-2</v>
      </c>
      <c r="M1195" s="315">
        <f t="shared" si="164"/>
        <v>193.85691967324712</v>
      </c>
      <c r="N1195" s="425">
        <f t="shared" si="165"/>
        <v>71.281189363852974</v>
      </c>
      <c r="O1195" s="498">
        <v>86.812921134555509</v>
      </c>
      <c r="P1195" s="427">
        <f t="shared" si="166"/>
        <v>20.923216473791694</v>
      </c>
      <c r="Q1195" s="426"/>
      <c r="R1195" s="532">
        <f t="shared" si="169"/>
        <v>2.5945593755749952E-2</v>
      </c>
    </row>
    <row r="1196" spans="1:18" s="6" customFormat="1" ht="15.75">
      <c r="A1196" s="146">
        <v>51</v>
      </c>
      <c r="B1196" s="330" t="s">
        <v>528</v>
      </c>
      <c r="C1196" s="330">
        <v>9061.4</v>
      </c>
      <c r="D1196" s="330"/>
      <c r="E1196" s="330">
        <v>2450</v>
      </c>
      <c r="F1196" s="608">
        <f t="shared" si="168"/>
        <v>11511.4</v>
      </c>
      <c r="G1196" s="330">
        <v>160</v>
      </c>
      <c r="H1196" s="40">
        <v>160</v>
      </c>
      <c r="I1196" s="55"/>
      <c r="J1196" s="55">
        <v>1</v>
      </c>
      <c r="K1196" s="142">
        <f t="shared" si="167"/>
        <v>161</v>
      </c>
      <c r="L1196" s="187">
        <f t="shared" si="163"/>
        <v>5.4799183117767186E-2</v>
      </c>
      <c r="M1196" s="315">
        <f t="shared" si="164"/>
        <v>124.34647038801906</v>
      </c>
      <c r="N1196" s="425">
        <f t="shared" si="165"/>
        <v>45.722197161674607</v>
      </c>
      <c r="O1196" s="498">
        <v>55.68478208232446</v>
      </c>
      <c r="P1196" s="427">
        <f>L1196*510.15</f>
        <v>27.955803267528928</v>
      </c>
      <c r="Q1196" s="426"/>
      <c r="R1196" s="532">
        <f t="shared" si="169"/>
        <v>2.7998902255672087E-2</v>
      </c>
    </row>
    <row r="1197" spans="1:18" s="6" customFormat="1" ht="15.75">
      <c r="A1197" s="146">
        <v>52</v>
      </c>
      <c r="B1197" s="330" t="s">
        <v>529</v>
      </c>
      <c r="C1197" s="330">
        <v>6826.1</v>
      </c>
      <c r="D1197" s="330"/>
      <c r="E1197" s="330">
        <v>98.1</v>
      </c>
      <c r="F1197" s="608">
        <f t="shared" si="168"/>
        <v>6924.2000000000007</v>
      </c>
      <c r="G1197" s="330">
        <v>95</v>
      </c>
      <c r="H1197" s="40">
        <v>95</v>
      </c>
      <c r="I1197" s="55"/>
      <c r="J1197" s="55">
        <v>1</v>
      </c>
      <c r="K1197" s="142">
        <f t="shared" si="167"/>
        <v>96</v>
      </c>
      <c r="L1197" s="187">
        <f t="shared" si="163"/>
        <v>3.2675289312457452E-2</v>
      </c>
      <c r="M1197" s="315">
        <f t="shared" si="164"/>
        <v>74.144479237576576</v>
      </c>
      <c r="N1197" s="425">
        <f t="shared" si="165"/>
        <v>27.262925015656908</v>
      </c>
      <c r="O1197" s="498">
        <v>33.203348322379803</v>
      </c>
      <c r="P1197" s="427">
        <f>L1197*510.15</f>
        <v>16.66929884275017</v>
      </c>
      <c r="Q1197" s="426"/>
      <c r="R1197" s="532">
        <f t="shared" si="169"/>
        <v>2.2162003401409801E-2</v>
      </c>
    </row>
    <row r="1198" spans="1:18" s="6" customFormat="1" ht="15.75">
      <c r="A1198" s="146">
        <v>53</v>
      </c>
      <c r="B1198" s="330" t="s">
        <v>530</v>
      </c>
      <c r="C1198" s="330">
        <v>9038.0300000000007</v>
      </c>
      <c r="D1198" s="330"/>
      <c r="E1198" s="330">
        <v>1829.2</v>
      </c>
      <c r="F1198" s="608">
        <f t="shared" si="168"/>
        <v>10867.230000000001</v>
      </c>
      <c r="G1198" s="330">
        <v>160</v>
      </c>
      <c r="H1198" s="40">
        <v>160</v>
      </c>
      <c r="I1198" s="55"/>
      <c r="J1198" s="55">
        <v>2</v>
      </c>
      <c r="K1198" s="142">
        <f t="shared" si="167"/>
        <v>162</v>
      </c>
      <c r="L1198" s="187">
        <f t="shared" si="163"/>
        <v>5.5139550714771952E-2</v>
      </c>
      <c r="M1198" s="315">
        <f t="shared" si="164"/>
        <v>125.11880871341049</v>
      </c>
      <c r="N1198" s="425">
        <f t="shared" si="165"/>
        <v>46.006185963921041</v>
      </c>
      <c r="O1198" s="498">
        <v>56.030650294015913</v>
      </c>
      <c r="P1198" s="427">
        <f>L1198*510.15</f>
        <v>28.12944179714091</v>
      </c>
      <c r="Q1198" s="426"/>
      <c r="R1198" s="532">
        <f t="shared" si="169"/>
        <v>2.8245656052091919E-2</v>
      </c>
    </row>
    <row r="1199" spans="1:18" s="6" customFormat="1" ht="15.75">
      <c r="A1199" s="146">
        <v>54</v>
      </c>
      <c r="B1199" s="330" t="s">
        <v>531</v>
      </c>
      <c r="C1199" s="330">
        <v>6690.6</v>
      </c>
      <c r="D1199" s="330"/>
      <c r="E1199" s="330">
        <v>855.4</v>
      </c>
      <c r="F1199" s="608">
        <f t="shared" si="168"/>
        <v>7546</v>
      </c>
      <c r="G1199" s="330">
        <v>94</v>
      </c>
      <c r="H1199" s="40">
        <v>94</v>
      </c>
      <c r="I1199" s="55"/>
      <c r="J1199" s="55">
        <v>2</v>
      </c>
      <c r="K1199" s="142">
        <f t="shared" si="167"/>
        <v>96</v>
      </c>
      <c r="L1199" s="187">
        <f t="shared" si="163"/>
        <v>3.2675289312457452E-2</v>
      </c>
      <c r="M1199" s="315">
        <f t="shared" si="164"/>
        <v>74.144479237576576</v>
      </c>
      <c r="N1199" s="425">
        <f t="shared" si="165"/>
        <v>27.262925015656908</v>
      </c>
      <c r="O1199" s="498">
        <v>33.203348322379803</v>
      </c>
      <c r="P1199" s="427">
        <f>L1199*510.15</f>
        <v>16.66929884275017</v>
      </c>
      <c r="Q1199" s="426"/>
      <c r="R1199" s="532">
        <f t="shared" si="169"/>
        <v>2.2610834815765916E-2</v>
      </c>
    </row>
    <row r="1200" spans="1:18" s="6" customFormat="1" ht="15.75">
      <c r="A1200" s="146">
        <v>55</v>
      </c>
      <c r="B1200" s="330" t="s">
        <v>1370</v>
      </c>
      <c r="C1200" s="330">
        <v>2503.4</v>
      </c>
      <c r="D1200" s="330"/>
      <c r="E1200" s="330"/>
      <c r="F1200" s="608">
        <f t="shared" si="168"/>
        <v>2503.4</v>
      </c>
      <c r="G1200" s="330">
        <v>49</v>
      </c>
      <c r="H1200" s="40">
        <v>49</v>
      </c>
      <c r="I1200" s="55"/>
      <c r="J1200" s="55"/>
      <c r="K1200" s="142">
        <f t="shared" si="167"/>
        <v>49</v>
      </c>
      <c r="L1200" s="187">
        <f t="shared" si="163"/>
        <v>1.6678012253233492E-2</v>
      </c>
      <c r="M1200" s="315">
        <f t="shared" si="164"/>
        <v>37.844577944179719</v>
      </c>
      <c r="N1200" s="425">
        <f t="shared" si="165"/>
        <v>13.915451310074884</v>
      </c>
      <c r="O1200" s="498">
        <v>16.947542372881355</v>
      </c>
      <c r="P1200" s="427">
        <f t="shared" si="166"/>
        <v>4.0846119809394148</v>
      </c>
      <c r="Q1200" s="426"/>
      <c r="R1200" s="532">
        <f t="shared" si="169"/>
        <v>2.9077328276773739E-2</v>
      </c>
    </row>
    <row r="1201" spans="1:18" s="6" customFormat="1" ht="15.75">
      <c r="A1201" s="146">
        <v>56</v>
      </c>
      <c r="B1201" s="330" t="s">
        <v>1371</v>
      </c>
      <c r="C1201" s="330">
        <v>1175</v>
      </c>
      <c r="D1201" s="330"/>
      <c r="E1201" s="330"/>
      <c r="F1201" s="608">
        <f t="shared" si="168"/>
        <v>1175</v>
      </c>
      <c r="G1201" s="330">
        <v>20</v>
      </c>
      <c r="H1201" s="40">
        <v>20</v>
      </c>
      <c r="I1201" s="55"/>
      <c r="J1201" s="55"/>
      <c r="K1201" s="142">
        <f t="shared" si="167"/>
        <v>20</v>
      </c>
      <c r="L1201" s="187">
        <f t="shared" si="163"/>
        <v>6.8073519400953025E-3</v>
      </c>
      <c r="M1201" s="315">
        <f t="shared" si="164"/>
        <v>15.446766507828455</v>
      </c>
      <c r="N1201" s="425">
        <f t="shared" si="165"/>
        <v>5.6797760449285235</v>
      </c>
      <c r="O1201" s="498">
        <v>6.917364233829125</v>
      </c>
      <c r="P1201" s="427">
        <f t="shared" si="166"/>
        <v>1.6671885636487405</v>
      </c>
      <c r="Q1201" s="426"/>
      <c r="R1201" s="532">
        <f t="shared" si="169"/>
        <v>2.5286038595944551E-2</v>
      </c>
    </row>
    <row r="1202" spans="1:18" s="69" customFormat="1" ht="16.5" thickBot="1">
      <c r="A1202" s="190"/>
      <c r="B1202" s="163" t="s">
        <v>681</v>
      </c>
      <c r="C1202" s="163">
        <f>SUM(C1148:C1201)</f>
        <v>166904.80000000002</v>
      </c>
      <c r="D1202" s="163">
        <f>SUM(D1148:D1201)</f>
        <v>178</v>
      </c>
      <c r="E1202" s="163">
        <f>SUM(E1148:E1201)</f>
        <v>6124.4299999999994</v>
      </c>
      <c r="F1202" s="612">
        <f t="shared" si="168"/>
        <v>173207.23</v>
      </c>
      <c r="G1202" s="163">
        <f>SUM(G1148:G1201)</f>
        <v>2890</v>
      </c>
      <c r="H1202" s="381">
        <f>SUM(H1148:H1201)</f>
        <v>2924</v>
      </c>
      <c r="I1202" s="9">
        <f>SUM(I1148:I1201)</f>
        <v>2</v>
      </c>
      <c r="J1202" s="9">
        <f>SUM(J1148:J1201)</f>
        <v>12</v>
      </c>
      <c r="K1202" s="9">
        <f>SUM(K1148:K1201)</f>
        <v>2938</v>
      </c>
      <c r="L1202" s="187">
        <f>1/2938*K1202</f>
        <v>0.99999999999999989</v>
      </c>
      <c r="M1202" s="315">
        <f>L1202*2269.13</f>
        <v>2269.1299999999997</v>
      </c>
      <c r="N1202" s="589">
        <f>M1202*0.3677</f>
        <v>834.3591009999999</v>
      </c>
      <c r="O1202" s="498">
        <f>SUM(O1148:O1201)</f>
        <v>999.9050000000002</v>
      </c>
      <c r="P1202" s="276">
        <f>L1202*244.91</f>
        <v>244.90999999999997</v>
      </c>
      <c r="Q1202" s="276"/>
      <c r="R1202" s="532">
        <f t="shared" si="169"/>
        <v>2.6052600650191004E-2</v>
      </c>
    </row>
    <row r="1203" spans="1:18" s="209" customFormat="1" ht="16.5" thickBot="1">
      <c r="A1203" s="137" t="s">
        <v>618</v>
      </c>
      <c r="B1203" s="436"/>
      <c r="C1203" s="436"/>
      <c r="D1203" s="436"/>
      <c r="E1203" s="436"/>
      <c r="F1203" s="608">
        <f t="shared" si="168"/>
        <v>0</v>
      </c>
      <c r="G1203" s="436"/>
      <c r="H1203" s="436"/>
      <c r="I1203" s="436"/>
      <c r="J1203" s="436"/>
      <c r="K1203" s="386">
        <f t="shared" si="167"/>
        <v>0</v>
      </c>
      <c r="L1203" s="565"/>
      <c r="M1203" s="315">
        <f>L1203*2077.52</f>
        <v>0</v>
      </c>
      <c r="N1203" s="596"/>
      <c r="O1203" s="498"/>
      <c r="P1203" s="508">
        <f>L1203*244.91*1.1</f>
        <v>0</v>
      </c>
      <c r="Q1203" s="508"/>
      <c r="R1203" s="532" t="e">
        <f t="shared" si="169"/>
        <v>#DIV/0!</v>
      </c>
    </row>
    <row r="1204" spans="1:18" s="6" customFormat="1" ht="15.75">
      <c r="A1204" s="127">
        <v>1</v>
      </c>
      <c r="B1204" s="386" t="s">
        <v>532</v>
      </c>
      <c r="C1204" s="386">
        <v>3898.29</v>
      </c>
      <c r="D1204" s="386">
        <v>123.1</v>
      </c>
      <c r="E1204" s="386">
        <v>374.5</v>
      </c>
      <c r="F1204" s="608">
        <f t="shared" si="168"/>
        <v>4395.8899999999994</v>
      </c>
      <c r="G1204" s="386">
        <v>64</v>
      </c>
      <c r="H1204" s="820">
        <v>64</v>
      </c>
      <c r="I1204" s="386"/>
      <c r="J1204" s="386"/>
      <c r="K1204" s="386">
        <f t="shared" si="167"/>
        <v>64</v>
      </c>
      <c r="L1204" s="501">
        <f t="shared" ref="L1204:L1231" si="170">0.5/1549*K1204</f>
        <v>2.0658489347966429E-2</v>
      </c>
      <c r="M1204" s="315">
        <f t="shared" ref="M1204:M1231" si="171">L1204*2269.13</f>
        <v>46.876797934151064</v>
      </c>
      <c r="N1204" s="590">
        <f t="shared" ref="N1204:N1232" si="172">M1204*0.3677</f>
        <v>17.236598600387346</v>
      </c>
      <c r="O1204" s="498">
        <v>18.096309677419352</v>
      </c>
      <c r="P1204" s="426">
        <f>L1204*244.91</f>
        <v>5.0594706262104578</v>
      </c>
      <c r="Q1204" s="426"/>
      <c r="R1204" s="532">
        <f t="shared" si="169"/>
        <v>2.2386527641137067E-2</v>
      </c>
    </row>
    <row r="1205" spans="1:18" s="6" customFormat="1" ht="15.75">
      <c r="A1205" s="127">
        <v>2</v>
      </c>
      <c r="B1205" s="330" t="s">
        <v>533</v>
      </c>
      <c r="C1205" s="330">
        <v>3600.73</v>
      </c>
      <c r="D1205" s="330"/>
      <c r="E1205" s="330">
        <v>290.5</v>
      </c>
      <c r="F1205" s="608">
        <f t="shared" si="168"/>
        <v>3891.23</v>
      </c>
      <c r="G1205" s="330">
        <v>96</v>
      </c>
      <c r="H1205" s="730">
        <v>96</v>
      </c>
      <c r="I1205" s="330"/>
      <c r="J1205" s="330"/>
      <c r="K1205" s="386">
        <f t="shared" si="167"/>
        <v>96</v>
      </c>
      <c r="L1205" s="501">
        <f t="shared" si="170"/>
        <v>3.0987734021949643E-2</v>
      </c>
      <c r="M1205" s="315">
        <f t="shared" si="171"/>
        <v>70.315196901226599</v>
      </c>
      <c r="N1205" s="425">
        <f t="shared" si="172"/>
        <v>25.854897900581022</v>
      </c>
      <c r="O1205" s="498">
        <v>27.14446451612903</v>
      </c>
      <c r="P1205" s="427">
        <f t="shared" ref="P1205:P1231" si="173">L1205*244.91</f>
        <v>7.5892059393156872</v>
      </c>
      <c r="Q1205" s="426"/>
      <c r="R1205" s="532">
        <f t="shared" si="169"/>
        <v>3.6354785073374654E-2</v>
      </c>
    </row>
    <row r="1206" spans="1:18" s="6" customFormat="1" ht="15.75">
      <c r="A1206" s="127">
        <v>3</v>
      </c>
      <c r="B1206" s="330" t="s">
        <v>534</v>
      </c>
      <c r="C1206" s="330">
        <v>5868.42</v>
      </c>
      <c r="D1206" s="330">
        <v>489.8</v>
      </c>
      <c r="E1206" s="330"/>
      <c r="F1206" s="608">
        <f t="shared" si="168"/>
        <v>6358.22</v>
      </c>
      <c r="G1206" s="330">
        <v>99</v>
      </c>
      <c r="H1206" s="730">
        <v>99</v>
      </c>
      <c r="I1206" s="330"/>
      <c r="J1206" s="330"/>
      <c r="K1206" s="386">
        <f t="shared" si="167"/>
        <v>99</v>
      </c>
      <c r="L1206" s="501">
        <f t="shared" si="170"/>
        <v>3.195610071013557E-2</v>
      </c>
      <c r="M1206" s="315">
        <f t="shared" si="171"/>
        <v>72.512546804389928</v>
      </c>
      <c r="N1206" s="425">
        <f t="shared" si="172"/>
        <v>26.662863459974179</v>
      </c>
      <c r="O1206" s="498">
        <v>27.992729032258065</v>
      </c>
      <c r="P1206" s="427">
        <f t="shared" si="173"/>
        <v>7.8263686249193025</v>
      </c>
      <c r="Q1206" s="426"/>
      <c r="R1206" s="532">
        <f t="shared" si="169"/>
        <v>2.3003552561258647E-2</v>
      </c>
    </row>
    <row r="1207" spans="1:18" s="6" customFormat="1" ht="15.75">
      <c r="A1207" s="127">
        <v>4</v>
      </c>
      <c r="B1207" s="330" t="s">
        <v>535</v>
      </c>
      <c r="C1207" s="330">
        <v>4090.86</v>
      </c>
      <c r="D1207" s="330"/>
      <c r="E1207" s="330"/>
      <c r="F1207" s="608">
        <f t="shared" si="168"/>
        <v>4090.86</v>
      </c>
      <c r="G1207" s="330">
        <v>108</v>
      </c>
      <c r="H1207" s="730">
        <v>108</v>
      </c>
      <c r="I1207" s="330"/>
      <c r="J1207" s="330"/>
      <c r="K1207" s="386">
        <f t="shared" si="167"/>
        <v>108</v>
      </c>
      <c r="L1207" s="501">
        <f t="shared" si="170"/>
        <v>3.4861200774693346E-2</v>
      </c>
      <c r="M1207" s="315">
        <f t="shared" si="171"/>
        <v>79.104596513879912</v>
      </c>
      <c r="N1207" s="425">
        <f t="shared" si="172"/>
        <v>29.086760138153647</v>
      </c>
      <c r="O1207" s="498">
        <v>30.537522580645156</v>
      </c>
      <c r="P1207" s="427">
        <f t="shared" si="173"/>
        <v>8.5378566817301476</v>
      </c>
      <c r="Q1207" s="426"/>
      <c r="R1207" s="532">
        <f t="shared" si="169"/>
        <v>3.5998967433353589E-2</v>
      </c>
    </row>
    <row r="1208" spans="1:18" s="6" customFormat="1" ht="15.75">
      <c r="A1208" s="127">
        <v>5</v>
      </c>
      <c r="B1208" s="330" t="s">
        <v>536</v>
      </c>
      <c r="C1208" s="330">
        <v>3274.15</v>
      </c>
      <c r="D1208" s="330"/>
      <c r="E1208" s="330"/>
      <c r="F1208" s="608">
        <f t="shared" si="168"/>
        <v>3274.15</v>
      </c>
      <c r="G1208" s="330">
        <v>55</v>
      </c>
      <c r="H1208" s="730">
        <v>55</v>
      </c>
      <c r="I1208" s="330"/>
      <c r="J1208" s="330"/>
      <c r="K1208" s="386">
        <f t="shared" si="167"/>
        <v>55</v>
      </c>
      <c r="L1208" s="501">
        <f t="shared" si="170"/>
        <v>1.7753389283408649E-2</v>
      </c>
      <c r="M1208" s="315">
        <f t="shared" si="171"/>
        <v>40.284748224661065</v>
      </c>
      <c r="N1208" s="425">
        <f t="shared" si="172"/>
        <v>14.812701922207875</v>
      </c>
      <c r="O1208" s="498">
        <v>15.551516129032258</v>
      </c>
      <c r="P1208" s="427">
        <f t="shared" si="173"/>
        <v>4.3479825693996119</v>
      </c>
      <c r="Q1208" s="426"/>
      <c r="R1208" s="532">
        <f t="shared" si="169"/>
        <v>2.2905776719240354E-2</v>
      </c>
    </row>
    <row r="1209" spans="1:18" s="6" customFormat="1" ht="15.75">
      <c r="A1209" s="127">
        <v>6</v>
      </c>
      <c r="B1209" s="330" t="s">
        <v>537</v>
      </c>
      <c r="C1209" s="330">
        <v>6596</v>
      </c>
      <c r="D1209" s="330"/>
      <c r="E1209" s="330"/>
      <c r="F1209" s="608">
        <f t="shared" si="168"/>
        <v>6596</v>
      </c>
      <c r="G1209" s="330">
        <v>108</v>
      </c>
      <c r="H1209" s="730">
        <v>108</v>
      </c>
      <c r="I1209" s="330"/>
      <c r="J1209" s="330"/>
      <c r="K1209" s="386">
        <f t="shared" si="167"/>
        <v>108</v>
      </c>
      <c r="L1209" s="501">
        <f t="shared" si="170"/>
        <v>3.4861200774693346E-2</v>
      </c>
      <c r="M1209" s="315">
        <f t="shared" si="171"/>
        <v>79.104596513879912</v>
      </c>
      <c r="N1209" s="425">
        <f t="shared" si="172"/>
        <v>29.086760138153647</v>
      </c>
      <c r="O1209" s="498">
        <v>30.537522580645156</v>
      </c>
      <c r="P1209" s="427">
        <f t="shared" si="173"/>
        <v>8.5378566817301476</v>
      </c>
      <c r="Q1209" s="426"/>
      <c r="R1209" s="532">
        <f t="shared" si="169"/>
        <v>2.2326673122257255E-2</v>
      </c>
    </row>
    <row r="1210" spans="1:18" s="6" customFormat="1" ht="15.75">
      <c r="A1210" s="127">
        <v>7</v>
      </c>
      <c r="B1210" s="330" t="s">
        <v>538</v>
      </c>
      <c r="C1210" s="330">
        <v>7101.2</v>
      </c>
      <c r="D1210" s="330"/>
      <c r="E1210" s="330"/>
      <c r="F1210" s="608">
        <f t="shared" si="168"/>
        <v>7101.2</v>
      </c>
      <c r="G1210" s="330">
        <v>120</v>
      </c>
      <c r="H1210" s="730">
        <v>120</v>
      </c>
      <c r="I1210" s="330"/>
      <c r="J1210" s="330"/>
      <c r="K1210" s="386">
        <f t="shared" si="167"/>
        <v>120</v>
      </c>
      <c r="L1210" s="501">
        <f t="shared" si="170"/>
        <v>3.8734667527437053E-2</v>
      </c>
      <c r="M1210" s="315">
        <f t="shared" si="171"/>
        <v>87.893996126533239</v>
      </c>
      <c r="N1210" s="425">
        <f t="shared" si="172"/>
        <v>32.318622375726271</v>
      </c>
      <c r="O1210" s="498">
        <v>33.930580645161292</v>
      </c>
      <c r="P1210" s="427">
        <f t="shared" si="173"/>
        <v>9.4865074241446088</v>
      </c>
      <c r="Q1210" s="426"/>
      <c r="R1210" s="532">
        <f t="shared" si="169"/>
        <v>2.3042543030975807E-2</v>
      </c>
    </row>
    <row r="1211" spans="1:18" s="6" customFormat="1" ht="15.75">
      <c r="A1211" s="127">
        <v>8</v>
      </c>
      <c r="B1211" s="330" t="s">
        <v>539</v>
      </c>
      <c r="C1211" s="330">
        <v>7470.48</v>
      </c>
      <c r="D1211" s="330"/>
      <c r="E1211" s="330"/>
      <c r="F1211" s="608">
        <f t="shared" si="168"/>
        <v>7470.48</v>
      </c>
      <c r="G1211" s="330">
        <v>120</v>
      </c>
      <c r="H1211" s="730">
        <v>120</v>
      </c>
      <c r="I1211" s="330"/>
      <c r="J1211" s="330"/>
      <c r="K1211" s="386">
        <f t="shared" si="167"/>
        <v>120</v>
      </c>
      <c r="L1211" s="501">
        <f t="shared" si="170"/>
        <v>3.8734667527437053E-2</v>
      </c>
      <c r="M1211" s="315">
        <f t="shared" si="171"/>
        <v>87.893996126533239</v>
      </c>
      <c r="N1211" s="425">
        <f t="shared" si="172"/>
        <v>32.318622375726271</v>
      </c>
      <c r="O1211" s="498">
        <v>33.930580645161292</v>
      </c>
      <c r="P1211" s="427">
        <f t="shared" si="173"/>
        <v>9.4865074241446088</v>
      </c>
      <c r="Q1211" s="426"/>
      <c r="R1211" s="532">
        <f t="shared" si="169"/>
        <v>2.1903506410774865E-2</v>
      </c>
    </row>
    <row r="1212" spans="1:18" s="6" customFormat="1" ht="15.75">
      <c r="A1212" s="127">
        <v>9</v>
      </c>
      <c r="B1212" s="330" t="s">
        <v>540</v>
      </c>
      <c r="C1212" s="330">
        <v>2276.6</v>
      </c>
      <c r="D1212" s="330"/>
      <c r="E1212" s="330"/>
      <c r="F1212" s="608">
        <f t="shared" si="168"/>
        <v>2276.6</v>
      </c>
      <c r="G1212" s="330">
        <v>40</v>
      </c>
      <c r="H1212" s="730">
        <v>40</v>
      </c>
      <c r="I1212" s="330"/>
      <c r="J1212" s="330"/>
      <c r="K1212" s="386">
        <f t="shared" ref="K1212:K1232" si="174">H1212+I1212+J1212</f>
        <v>40</v>
      </c>
      <c r="L1212" s="501">
        <f t="shared" si="170"/>
        <v>1.2911555842479019E-2</v>
      </c>
      <c r="M1212" s="315">
        <f t="shared" si="171"/>
        <v>29.297998708844418</v>
      </c>
      <c r="N1212" s="425">
        <f t="shared" si="172"/>
        <v>10.772874125242094</v>
      </c>
      <c r="O1212" s="498">
        <v>11.310193548387096</v>
      </c>
      <c r="P1212" s="427">
        <f t="shared" si="173"/>
        <v>3.1621691413815363</v>
      </c>
      <c r="Q1212" s="426"/>
      <c r="R1212" s="532">
        <f t="shared" si="169"/>
        <v>2.3958198859639439E-2</v>
      </c>
    </row>
    <row r="1213" spans="1:18" s="6" customFormat="1" ht="15.75">
      <c r="A1213" s="127">
        <v>10</v>
      </c>
      <c r="B1213" s="330" t="s">
        <v>541</v>
      </c>
      <c r="C1213" s="330">
        <v>4642.43</v>
      </c>
      <c r="D1213" s="330"/>
      <c r="E1213" s="330"/>
      <c r="F1213" s="608">
        <f t="shared" ref="F1213:F1232" si="175">C1213+D1213+E1213</f>
        <v>4642.43</v>
      </c>
      <c r="G1213" s="330">
        <v>78</v>
      </c>
      <c r="H1213" s="730">
        <v>78</v>
      </c>
      <c r="I1213" s="330"/>
      <c r="J1213" s="330"/>
      <c r="K1213" s="386">
        <f t="shared" si="174"/>
        <v>78</v>
      </c>
      <c r="L1213" s="501">
        <f t="shared" si="170"/>
        <v>2.5177533892834086E-2</v>
      </c>
      <c r="M1213" s="315">
        <f t="shared" si="171"/>
        <v>57.131097482246616</v>
      </c>
      <c r="N1213" s="425">
        <f t="shared" si="172"/>
        <v>21.007104544222081</v>
      </c>
      <c r="O1213" s="498">
        <v>22.054877419354838</v>
      </c>
      <c r="P1213" s="427">
        <f t="shared" si="173"/>
        <v>6.1662298256939962</v>
      </c>
      <c r="Q1213" s="426"/>
      <c r="R1213" s="532">
        <f t="shared" si="169"/>
        <v>2.2910266664552297E-2</v>
      </c>
    </row>
    <row r="1214" spans="1:18" s="6" customFormat="1" ht="15.75">
      <c r="A1214" s="127">
        <v>11</v>
      </c>
      <c r="B1214" s="330" t="s">
        <v>542</v>
      </c>
      <c r="C1214" s="330">
        <v>3634.2</v>
      </c>
      <c r="D1214" s="330"/>
      <c r="E1214" s="330"/>
      <c r="F1214" s="608">
        <f t="shared" si="175"/>
        <v>3634.2</v>
      </c>
      <c r="G1214" s="330">
        <v>51</v>
      </c>
      <c r="H1214" s="730">
        <v>51</v>
      </c>
      <c r="I1214" s="330"/>
      <c r="J1214" s="330"/>
      <c r="K1214" s="386">
        <f t="shared" si="174"/>
        <v>51</v>
      </c>
      <c r="L1214" s="501">
        <f t="shared" si="170"/>
        <v>1.6462233699160746E-2</v>
      </c>
      <c r="M1214" s="315">
        <f t="shared" si="171"/>
        <v>37.354948353776628</v>
      </c>
      <c r="N1214" s="425">
        <f t="shared" si="172"/>
        <v>13.735414509683666</v>
      </c>
      <c r="O1214" s="498">
        <v>14.420496774193548</v>
      </c>
      <c r="P1214" s="427">
        <f t="shared" si="173"/>
        <v>4.0317656552614585</v>
      </c>
      <c r="Q1214" s="426"/>
      <c r="R1214" s="532">
        <f t="shared" si="169"/>
        <v>1.9135607642098755E-2</v>
      </c>
    </row>
    <row r="1215" spans="1:18" s="6" customFormat="1" ht="15.75">
      <c r="A1215" s="127">
        <v>12</v>
      </c>
      <c r="B1215" s="330" t="s">
        <v>543</v>
      </c>
      <c r="C1215" s="330">
        <v>5551.35</v>
      </c>
      <c r="D1215" s="330"/>
      <c r="E1215" s="330"/>
      <c r="F1215" s="608">
        <f t="shared" si="175"/>
        <v>5551.35</v>
      </c>
      <c r="G1215" s="330">
        <v>70</v>
      </c>
      <c r="H1215" s="730">
        <v>70</v>
      </c>
      <c r="I1215" s="330"/>
      <c r="J1215" s="330"/>
      <c r="K1215" s="386">
        <f t="shared" si="174"/>
        <v>70</v>
      </c>
      <c r="L1215" s="501">
        <f t="shared" si="170"/>
        <v>2.2595222724338282E-2</v>
      </c>
      <c r="M1215" s="315">
        <f t="shared" si="171"/>
        <v>51.271497740477727</v>
      </c>
      <c r="N1215" s="425">
        <f t="shared" si="172"/>
        <v>18.852529719173663</v>
      </c>
      <c r="O1215" s="498">
        <v>19.792838709677419</v>
      </c>
      <c r="P1215" s="427">
        <f t="shared" si="173"/>
        <v>5.5337959974176885</v>
      </c>
      <c r="Q1215" s="426"/>
      <c r="R1215" s="532">
        <f t="shared" si="169"/>
        <v>1.7194135150323163E-2</v>
      </c>
    </row>
    <row r="1216" spans="1:18" s="6" customFormat="1" ht="15.75">
      <c r="A1216" s="127">
        <v>13</v>
      </c>
      <c r="B1216" s="330" t="s">
        <v>545</v>
      </c>
      <c r="C1216" s="330">
        <v>4556.37</v>
      </c>
      <c r="D1216" s="330"/>
      <c r="E1216" s="330"/>
      <c r="F1216" s="608">
        <f t="shared" si="175"/>
        <v>4556.37</v>
      </c>
      <c r="G1216" s="330">
        <v>76</v>
      </c>
      <c r="H1216" s="730">
        <v>76</v>
      </c>
      <c r="I1216" s="330"/>
      <c r="J1216" s="330"/>
      <c r="K1216" s="386">
        <f t="shared" si="174"/>
        <v>76</v>
      </c>
      <c r="L1216" s="501">
        <f t="shared" si="170"/>
        <v>2.4531956100710135E-2</v>
      </c>
      <c r="M1216" s="315">
        <f t="shared" si="171"/>
        <v>55.666197546804391</v>
      </c>
      <c r="N1216" s="425">
        <f t="shared" si="172"/>
        <v>20.468460837959977</v>
      </c>
      <c r="O1216" s="498">
        <v>21.489367741935485</v>
      </c>
      <c r="P1216" s="427">
        <f t="shared" si="173"/>
        <v>6.0081213686249191</v>
      </c>
      <c r="Q1216" s="426"/>
      <c r="R1216" s="532">
        <f t="shared" si="169"/>
        <v>2.2744453917334359E-2</v>
      </c>
    </row>
    <row r="1217" spans="1:18" s="6" customFormat="1" ht="15.75">
      <c r="A1217" s="127">
        <v>14</v>
      </c>
      <c r="B1217" s="330" t="s">
        <v>546</v>
      </c>
      <c r="C1217" s="330">
        <v>4596.6099999999997</v>
      </c>
      <c r="D1217" s="330"/>
      <c r="E1217" s="330"/>
      <c r="F1217" s="608">
        <f t="shared" si="175"/>
        <v>4596.6099999999997</v>
      </c>
      <c r="G1217" s="330">
        <v>72</v>
      </c>
      <c r="H1217" s="730">
        <v>72</v>
      </c>
      <c r="I1217" s="330"/>
      <c r="J1217" s="330"/>
      <c r="K1217" s="386">
        <f t="shared" si="174"/>
        <v>72</v>
      </c>
      <c r="L1217" s="501">
        <f t="shared" si="170"/>
        <v>2.3240800516462233E-2</v>
      </c>
      <c r="M1217" s="315">
        <f t="shared" si="171"/>
        <v>52.736397675919946</v>
      </c>
      <c r="N1217" s="425">
        <f t="shared" si="172"/>
        <v>19.391173425435767</v>
      </c>
      <c r="O1217" s="498">
        <v>20.358348387096772</v>
      </c>
      <c r="P1217" s="427">
        <f t="shared" si="173"/>
        <v>5.6919044544867656</v>
      </c>
      <c r="Q1217" s="426"/>
      <c r="R1217" s="532">
        <f t="shared" si="169"/>
        <v>2.1358745671905873E-2</v>
      </c>
    </row>
    <row r="1218" spans="1:18" s="6" customFormat="1" ht="15.75">
      <c r="A1218" s="127">
        <v>15</v>
      </c>
      <c r="B1218" s="330" t="s">
        <v>567</v>
      </c>
      <c r="C1218" s="330">
        <v>4490.43</v>
      </c>
      <c r="D1218" s="330"/>
      <c r="E1218" s="330"/>
      <c r="F1218" s="608">
        <f t="shared" si="175"/>
        <v>4490.43</v>
      </c>
      <c r="G1218" s="330">
        <v>75</v>
      </c>
      <c r="H1218" s="730">
        <v>75</v>
      </c>
      <c r="I1218" s="330"/>
      <c r="J1218" s="330"/>
      <c r="K1218" s="386">
        <f t="shared" si="174"/>
        <v>75</v>
      </c>
      <c r="L1218" s="501">
        <f t="shared" si="170"/>
        <v>2.420916720464816E-2</v>
      </c>
      <c r="M1218" s="315">
        <f t="shared" si="171"/>
        <v>54.933747579083281</v>
      </c>
      <c r="N1218" s="425">
        <f t="shared" si="172"/>
        <v>20.199138984828924</v>
      </c>
      <c r="O1218" s="498">
        <v>21.206612903225803</v>
      </c>
      <c r="P1218" s="427">
        <f t="shared" si="173"/>
        <v>5.9290671400903809</v>
      </c>
      <c r="Q1218" s="426"/>
      <c r="R1218" s="532">
        <f t="shared" si="169"/>
        <v>2.2774782505735173E-2</v>
      </c>
    </row>
    <row r="1219" spans="1:18" s="6" customFormat="1" ht="15.75">
      <c r="A1219" s="127">
        <v>16</v>
      </c>
      <c r="B1219" s="330" t="s">
        <v>568</v>
      </c>
      <c r="C1219" s="330">
        <v>4338.5</v>
      </c>
      <c r="D1219" s="330"/>
      <c r="E1219" s="330"/>
      <c r="F1219" s="608">
        <f t="shared" si="175"/>
        <v>4338.5</v>
      </c>
      <c r="G1219" s="330">
        <v>56</v>
      </c>
      <c r="H1219" s="730">
        <v>56</v>
      </c>
      <c r="I1219" s="330"/>
      <c r="J1219" s="330"/>
      <c r="K1219" s="386">
        <f t="shared" si="174"/>
        <v>56</v>
      </c>
      <c r="L1219" s="501">
        <f t="shared" si="170"/>
        <v>1.8076178179470624E-2</v>
      </c>
      <c r="M1219" s="315">
        <f t="shared" si="171"/>
        <v>41.017198192382182</v>
      </c>
      <c r="N1219" s="425">
        <f t="shared" si="172"/>
        <v>15.082023775338929</v>
      </c>
      <c r="O1219" s="498">
        <v>15.834270967741936</v>
      </c>
      <c r="P1219" s="427">
        <f t="shared" si="173"/>
        <v>4.4270367979341501</v>
      </c>
      <c r="Q1219" s="426"/>
      <c r="R1219" s="532">
        <f t="shared" si="169"/>
        <v>1.7600675287172341E-2</v>
      </c>
    </row>
    <row r="1220" spans="1:18" s="6" customFormat="1" ht="15.75">
      <c r="A1220" s="127">
        <v>17</v>
      </c>
      <c r="B1220" s="330" t="s">
        <v>569</v>
      </c>
      <c r="C1220" s="330">
        <v>3131.06</v>
      </c>
      <c r="D1220" s="330"/>
      <c r="E1220" s="330"/>
      <c r="F1220" s="608">
        <f t="shared" si="175"/>
        <v>3131.06</v>
      </c>
      <c r="G1220" s="330">
        <v>40</v>
      </c>
      <c r="H1220" s="730">
        <v>40</v>
      </c>
      <c r="I1220" s="330"/>
      <c r="J1220" s="330"/>
      <c r="K1220" s="386">
        <f t="shared" si="174"/>
        <v>40</v>
      </c>
      <c r="L1220" s="501">
        <f t="shared" si="170"/>
        <v>1.2911555842479019E-2</v>
      </c>
      <c r="M1220" s="315">
        <f t="shared" si="171"/>
        <v>29.297998708844418</v>
      </c>
      <c r="N1220" s="425">
        <f t="shared" si="172"/>
        <v>10.772874125242094</v>
      </c>
      <c r="O1220" s="498">
        <v>11.310193548387096</v>
      </c>
      <c r="P1220" s="427">
        <f t="shared" si="173"/>
        <v>3.1621691413815363</v>
      </c>
      <c r="Q1220" s="426"/>
      <c r="R1220" s="532">
        <f t="shared" si="169"/>
        <v>1.7420054398144764E-2</v>
      </c>
    </row>
    <row r="1221" spans="1:18" s="6" customFormat="1" ht="15.75">
      <c r="A1221" s="127">
        <v>18</v>
      </c>
      <c r="B1221" s="330" t="s">
        <v>570</v>
      </c>
      <c r="C1221" s="330">
        <v>3376.98</v>
      </c>
      <c r="D1221" s="330"/>
      <c r="E1221" s="330"/>
      <c r="F1221" s="608">
        <f t="shared" si="175"/>
        <v>3376.98</v>
      </c>
      <c r="G1221" s="330">
        <v>48</v>
      </c>
      <c r="H1221" s="730">
        <v>48</v>
      </c>
      <c r="I1221" s="330"/>
      <c r="J1221" s="330"/>
      <c r="K1221" s="386">
        <f t="shared" si="174"/>
        <v>48</v>
      </c>
      <c r="L1221" s="501">
        <f t="shared" si="170"/>
        <v>1.5493867010974821E-2</v>
      </c>
      <c r="M1221" s="315">
        <f t="shared" si="171"/>
        <v>35.1575984506133</v>
      </c>
      <c r="N1221" s="425">
        <f t="shared" si="172"/>
        <v>12.927448950290511</v>
      </c>
      <c r="O1221" s="498">
        <v>13.572232258064515</v>
      </c>
      <c r="P1221" s="427">
        <f t="shared" si="173"/>
        <v>3.7946029696578436</v>
      </c>
      <c r="Q1221" s="426"/>
      <c r="R1221" s="532">
        <f t="shared" si="169"/>
        <v>1.9381779764353405E-2</v>
      </c>
    </row>
    <row r="1222" spans="1:18" s="6" customFormat="1" ht="15.75">
      <c r="A1222" s="127">
        <v>20</v>
      </c>
      <c r="B1222" s="330" t="s">
        <v>571</v>
      </c>
      <c r="C1222" s="330">
        <v>50.5</v>
      </c>
      <c r="D1222" s="330"/>
      <c r="E1222" s="330"/>
      <c r="F1222" s="608">
        <f t="shared" si="175"/>
        <v>50.5</v>
      </c>
      <c r="G1222" s="330"/>
      <c r="H1222" s="730"/>
      <c r="I1222" s="330"/>
      <c r="J1222" s="330"/>
      <c r="K1222" s="386">
        <f t="shared" si="174"/>
        <v>0</v>
      </c>
      <c r="L1222" s="501">
        <f t="shared" si="170"/>
        <v>0</v>
      </c>
      <c r="M1222" s="315">
        <f t="shared" si="171"/>
        <v>0</v>
      </c>
      <c r="N1222" s="425">
        <f t="shared" si="172"/>
        <v>0</v>
      </c>
      <c r="O1222" s="498">
        <v>0</v>
      </c>
      <c r="P1222" s="427">
        <f t="shared" si="173"/>
        <v>0</v>
      </c>
      <c r="Q1222" s="426"/>
      <c r="R1222" s="532">
        <f t="shared" si="169"/>
        <v>0</v>
      </c>
    </row>
    <row r="1223" spans="1:18" s="6" customFormat="1" ht="15.75">
      <c r="A1223" s="127">
        <v>22</v>
      </c>
      <c r="B1223" s="330" t="s">
        <v>356</v>
      </c>
      <c r="C1223" s="330">
        <v>306.8</v>
      </c>
      <c r="D1223" s="330"/>
      <c r="E1223" s="330"/>
      <c r="F1223" s="608">
        <f t="shared" si="175"/>
        <v>306.8</v>
      </c>
      <c r="G1223" s="330">
        <v>8</v>
      </c>
      <c r="H1223" s="730">
        <v>8</v>
      </c>
      <c r="I1223" s="330"/>
      <c r="J1223" s="330"/>
      <c r="K1223" s="386">
        <f t="shared" si="174"/>
        <v>8</v>
      </c>
      <c r="L1223" s="501">
        <f t="shared" si="170"/>
        <v>2.5823111684958036E-3</v>
      </c>
      <c r="M1223" s="315">
        <f t="shared" si="171"/>
        <v>5.859599741768883</v>
      </c>
      <c r="N1223" s="425">
        <f t="shared" si="172"/>
        <v>2.1545748250484182</v>
      </c>
      <c r="O1223" s="498">
        <v>2.262038709677419</v>
      </c>
      <c r="P1223" s="427">
        <f t="shared" si="173"/>
        <v>0.63243382827630723</v>
      </c>
      <c r="Q1223" s="426"/>
      <c r="R1223" s="532">
        <f t="shared" si="169"/>
        <v>3.5556216117245854E-2</v>
      </c>
    </row>
    <row r="1224" spans="1:18" s="6" customFormat="1" ht="15.75">
      <c r="A1224" s="127">
        <v>23</v>
      </c>
      <c r="B1224" s="330" t="s">
        <v>357</v>
      </c>
      <c r="C1224" s="330">
        <v>304.18</v>
      </c>
      <c r="D1224" s="330"/>
      <c r="E1224" s="330"/>
      <c r="F1224" s="608">
        <f t="shared" si="175"/>
        <v>304.18</v>
      </c>
      <c r="G1224" s="330">
        <v>8</v>
      </c>
      <c r="H1224" s="730">
        <v>8</v>
      </c>
      <c r="I1224" s="330"/>
      <c r="J1224" s="330"/>
      <c r="K1224" s="386">
        <f t="shared" si="174"/>
        <v>8</v>
      </c>
      <c r="L1224" s="501">
        <f t="shared" si="170"/>
        <v>2.5823111684958036E-3</v>
      </c>
      <c r="M1224" s="315">
        <f t="shared" si="171"/>
        <v>5.859599741768883</v>
      </c>
      <c r="N1224" s="425">
        <f t="shared" si="172"/>
        <v>2.1545748250484182</v>
      </c>
      <c r="O1224" s="498">
        <v>2.262038709677419</v>
      </c>
      <c r="P1224" s="427">
        <f t="shared" si="173"/>
        <v>0.63243382827630723</v>
      </c>
      <c r="Q1224" s="426"/>
      <c r="R1224" s="532">
        <f t="shared" si="169"/>
        <v>3.5862473222338834E-2</v>
      </c>
    </row>
    <row r="1225" spans="1:18" s="6" customFormat="1" ht="15.75">
      <c r="A1225" s="127">
        <v>24</v>
      </c>
      <c r="B1225" s="330" t="s">
        <v>358</v>
      </c>
      <c r="C1225" s="330">
        <v>823.48</v>
      </c>
      <c r="D1225" s="330"/>
      <c r="E1225" s="330"/>
      <c r="F1225" s="608">
        <f t="shared" si="175"/>
        <v>823.48</v>
      </c>
      <c r="G1225" s="330">
        <v>14</v>
      </c>
      <c r="H1225" s="730">
        <v>14</v>
      </c>
      <c r="I1225" s="330"/>
      <c r="J1225" s="330"/>
      <c r="K1225" s="386">
        <f t="shared" si="174"/>
        <v>14</v>
      </c>
      <c r="L1225" s="501">
        <f t="shared" si="170"/>
        <v>4.519044544867656E-3</v>
      </c>
      <c r="M1225" s="315">
        <f t="shared" si="171"/>
        <v>10.254299548095545</v>
      </c>
      <c r="N1225" s="425">
        <f t="shared" si="172"/>
        <v>3.7705059438347321</v>
      </c>
      <c r="O1225" s="498">
        <v>3.9585677419354841</v>
      </c>
      <c r="P1225" s="427">
        <f t="shared" si="173"/>
        <v>1.1067591994835375</v>
      </c>
      <c r="Q1225" s="426"/>
      <c r="R1225" s="532">
        <f t="shared" si="169"/>
        <v>2.3182266033600452E-2</v>
      </c>
    </row>
    <row r="1226" spans="1:18" s="6" customFormat="1" ht="15.75">
      <c r="A1226" s="127">
        <v>25</v>
      </c>
      <c r="B1226" s="330" t="s">
        <v>359</v>
      </c>
      <c r="C1226" s="330">
        <v>733.47</v>
      </c>
      <c r="D1226" s="330"/>
      <c r="E1226" s="330">
        <v>70</v>
      </c>
      <c r="F1226" s="608">
        <f t="shared" si="175"/>
        <v>803.47</v>
      </c>
      <c r="G1226" s="330">
        <v>13</v>
      </c>
      <c r="H1226" s="730">
        <v>13</v>
      </c>
      <c r="I1226" s="330"/>
      <c r="J1226" s="330"/>
      <c r="K1226" s="386">
        <f t="shared" si="174"/>
        <v>13</v>
      </c>
      <c r="L1226" s="501">
        <f t="shared" si="170"/>
        <v>4.1962556488056805E-3</v>
      </c>
      <c r="M1226" s="315">
        <f t="shared" si="171"/>
        <v>9.5218495803744343</v>
      </c>
      <c r="N1226" s="425">
        <f t="shared" si="172"/>
        <v>3.5011840907036795</v>
      </c>
      <c r="O1226" s="498">
        <v>3.6758129032258062</v>
      </c>
      <c r="P1226" s="427">
        <f t="shared" si="173"/>
        <v>1.0277049709489992</v>
      </c>
      <c r="Q1226" s="426"/>
      <c r="R1226" s="532">
        <f t="shared" ref="R1226:R1232" si="176">(M1226+N1226+O1226+P1226)/C1226</f>
        <v>2.4168066240272842E-2</v>
      </c>
    </row>
    <row r="1227" spans="1:18" s="6" customFormat="1" ht="15.75">
      <c r="A1227" s="127">
        <v>26</v>
      </c>
      <c r="B1227" s="330" t="s">
        <v>360</v>
      </c>
      <c r="C1227" s="330">
        <v>4465.32</v>
      </c>
      <c r="D1227" s="330"/>
      <c r="E1227" s="330"/>
      <c r="F1227" s="608">
        <f t="shared" si="175"/>
        <v>4465.32</v>
      </c>
      <c r="G1227" s="330">
        <v>80</v>
      </c>
      <c r="H1227" s="730">
        <v>80</v>
      </c>
      <c r="I1227" s="330"/>
      <c r="J1227" s="330"/>
      <c r="K1227" s="386">
        <f t="shared" si="174"/>
        <v>80</v>
      </c>
      <c r="L1227" s="501">
        <f t="shared" si="170"/>
        <v>2.5823111684958037E-2</v>
      </c>
      <c r="M1227" s="315">
        <f t="shared" si="171"/>
        <v>58.595997417688835</v>
      </c>
      <c r="N1227" s="425">
        <f t="shared" si="172"/>
        <v>21.545748250484188</v>
      </c>
      <c r="O1227" s="498">
        <v>22.620387096774191</v>
      </c>
      <c r="P1227" s="427">
        <f t="shared" si="173"/>
        <v>6.3243382827630725</v>
      </c>
      <c r="Q1227" s="426"/>
      <c r="R1227" s="532">
        <f t="shared" si="176"/>
        <v>2.4429709639557814E-2</v>
      </c>
    </row>
    <row r="1228" spans="1:18" s="6" customFormat="1" ht="15.75">
      <c r="A1228" s="127">
        <v>27</v>
      </c>
      <c r="B1228" s="330" t="s">
        <v>361</v>
      </c>
      <c r="C1228" s="330">
        <v>2218.6799999999998</v>
      </c>
      <c r="D1228" s="330"/>
      <c r="E1228" s="330"/>
      <c r="F1228" s="608">
        <f t="shared" si="175"/>
        <v>2218.6799999999998</v>
      </c>
      <c r="G1228" s="330">
        <v>40</v>
      </c>
      <c r="H1228" s="730">
        <v>40</v>
      </c>
      <c r="I1228" s="330"/>
      <c r="J1228" s="330"/>
      <c r="K1228" s="386">
        <f t="shared" si="174"/>
        <v>40</v>
      </c>
      <c r="L1228" s="501">
        <f t="shared" si="170"/>
        <v>1.2911555842479019E-2</v>
      </c>
      <c r="M1228" s="315">
        <f t="shared" si="171"/>
        <v>29.297998708844418</v>
      </c>
      <c r="N1228" s="425">
        <f t="shared" si="172"/>
        <v>10.772874125242094</v>
      </c>
      <c r="O1228" s="498">
        <v>11.310193548387096</v>
      </c>
      <c r="P1228" s="427">
        <f t="shared" si="173"/>
        <v>3.1621691413815363</v>
      </c>
      <c r="Q1228" s="426"/>
      <c r="R1228" s="532">
        <f t="shared" si="176"/>
        <v>2.4583642311579473E-2</v>
      </c>
    </row>
    <row r="1229" spans="1:18" s="6" customFormat="1" ht="15.75">
      <c r="A1229" s="127">
        <v>28</v>
      </c>
      <c r="B1229" s="330" t="s">
        <v>362</v>
      </c>
      <c r="C1229" s="330">
        <v>120.8</v>
      </c>
      <c r="D1229" s="330"/>
      <c r="E1229" s="330"/>
      <c r="F1229" s="608">
        <f t="shared" si="175"/>
        <v>120.8</v>
      </c>
      <c r="G1229" s="330">
        <v>2</v>
      </c>
      <c r="H1229" s="730">
        <v>2</v>
      </c>
      <c r="I1229" s="330"/>
      <c r="J1229" s="330"/>
      <c r="K1229" s="386">
        <f t="shared" si="174"/>
        <v>2</v>
      </c>
      <c r="L1229" s="501">
        <f t="shared" si="170"/>
        <v>6.4557779212395089E-4</v>
      </c>
      <c r="M1229" s="315">
        <f t="shared" si="171"/>
        <v>1.4648999354422207</v>
      </c>
      <c r="N1229" s="425">
        <f t="shared" si="172"/>
        <v>0.53864370626210456</v>
      </c>
      <c r="O1229" s="498">
        <v>0.56550967741935476</v>
      </c>
      <c r="P1229" s="427">
        <f t="shared" si="173"/>
        <v>0.15810845706907681</v>
      </c>
      <c r="Q1229" s="426"/>
      <c r="R1229" s="532">
        <f t="shared" si="176"/>
        <v>2.2575842518151961E-2</v>
      </c>
    </row>
    <row r="1230" spans="1:18" s="6" customFormat="1" ht="15.75">
      <c r="A1230" s="127">
        <v>30</v>
      </c>
      <c r="B1230" s="330" t="s">
        <v>363</v>
      </c>
      <c r="C1230" s="330">
        <v>174.6</v>
      </c>
      <c r="D1230" s="330"/>
      <c r="E1230" s="330"/>
      <c r="F1230" s="608">
        <f t="shared" si="175"/>
        <v>174.6</v>
      </c>
      <c r="G1230" s="330">
        <v>4</v>
      </c>
      <c r="H1230" s="730">
        <v>4</v>
      </c>
      <c r="I1230" s="330"/>
      <c r="J1230" s="330"/>
      <c r="K1230" s="386">
        <f t="shared" si="174"/>
        <v>4</v>
      </c>
      <c r="L1230" s="501">
        <f t="shared" si="170"/>
        <v>1.2911555842479018E-3</v>
      </c>
      <c r="M1230" s="315">
        <f t="shared" si="171"/>
        <v>2.9297998708844415</v>
      </c>
      <c r="N1230" s="425">
        <f t="shared" si="172"/>
        <v>1.0772874125242091</v>
      </c>
      <c r="O1230" s="498">
        <v>1.1310193548387095</v>
      </c>
      <c r="P1230" s="427">
        <f t="shared" si="173"/>
        <v>0.31621691413815362</v>
      </c>
      <c r="Q1230" s="426"/>
      <c r="R1230" s="532">
        <f t="shared" si="176"/>
        <v>3.1238966508508097E-2</v>
      </c>
    </row>
    <row r="1231" spans="1:18" s="6" customFormat="1" ht="15.75">
      <c r="A1231" s="127">
        <v>31</v>
      </c>
      <c r="B1231" s="330" t="s">
        <v>364</v>
      </c>
      <c r="C1231" s="330">
        <v>139.19999999999999</v>
      </c>
      <c r="D1231" s="330"/>
      <c r="E1231" s="330"/>
      <c r="F1231" s="608">
        <f t="shared" si="175"/>
        <v>139.19999999999999</v>
      </c>
      <c r="G1231" s="330">
        <v>4</v>
      </c>
      <c r="H1231" s="730">
        <v>4</v>
      </c>
      <c r="I1231" s="330"/>
      <c r="J1231" s="330"/>
      <c r="K1231" s="386">
        <f t="shared" si="174"/>
        <v>4</v>
      </c>
      <c r="L1231" s="501">
        <f t="shared" si="170"/>
        <v>1.2911555842479018E-3</v>
      </c>
      <c r="M1231" s="315">
        <f t="shared" si="171"/>
        <v>2.9297998708844415</v>
      </c>
      <c r="N1231" s="425">
        <f t="shared" si="172"/>
        <v>1.0772874125242091</v>
      </c>
      <c r="O1231" s="498">
        <v>1.1310193548387095</v>
      </c>
      <c r="P1231" s="427">
        <f t="shared" si="173"/>
        <v>0.31621691413815362</v>
      </c>
      <c r="Q1231" s="426"/>
      <c r="R1231" s="532">
        <f t="shared" si="176"/>
        <v>3.9183358853344209E-2</v>
      </c>
    </row>
    <row r="1232" spans="1:18" s="384" customFormat="1" ht="15.75">
      <c r="A1232" s="435"/>
      <c r="B1232" s="452" t="s">
        <v>572</v>
      </c>
      <c r="C1232" s="510">
        <f>SUM(C1204:C1231)</f>
        <v>91831.689999999973</v>
      </c>
      <c r="D1232" s="510">
        <f>SUM(D1204:D1231)</f>
        <v>612.9</v>
      </c>
      <c r="E1232" s="510">
        <f>SUM(E1204:E1231)</f>
        <v>735</v>
      </c>
      <c r="F1232" s="612">
        <f t="shared" si="175"/>
        <v>93179.589999999967</v>
      </c>
      <c r="G1232" s="452">
        <f>SUM(G1204:G1231)</f>
        <v>1549</v>
      </c>
      <c r="H1232" s="452">
        <f>SUM(H1204:H1231)</f>
        <v>1549</v>
      </c>
      <c r="I1232" s="452">
        <f>SUM(I1204:I1231)</f>
        <v>0</v>
      </c>
      <c r="J1232" s="452">
        <f>SUM(J1204:J1231)</f>
        <v>0</v>
      </c>
      <c r="K1232" s="386">
        <f t="shared" si="174"/>
        <v>1549</v>
      </c>
      <c r="L1232" s="501">
        <f>0.5/1549*K1232</f>
        <v>0.49999999999999994</v>
      </c>
      <c r="M1232" s="315">
        <f>L1232*2269.13</f>
        <v>1134.5649999999998</v>
      </c>
      <c r="N1232" s="602">
        <f t="shared" si="172"/>
        <v>417.17955049999995</v>
      </c>
      <c r="O1232" s="498">
        <f>SUM(O1204:O1231)</f>
        <v>437.98724516129028</v>
      </c>
      <c r="P1232" s="508">
        <f>L1232*244.91</f>
        <v>122.45499999999998</v>
      </c>
      <c r="Q1232" s="508"/>
      <c r="R1232" s="532">
        <f t="shared" si="176"/>
        <v>2.3000630780739096E-2</v>
      </c>
    </row>
    <row r="1233" spans="1:18" s="6" customFormat="1" ht="16.5" thickBot="1">
      <c r="A1233" s="127"/>
      <c r="B1233" s="523"/>
      <c r="C1233" s="523"/>
      <c r="D1233" s="523"/>
      <c r="E1233" s="523"/>
      <c r="F1233" s="604"/>
      <c r="G1233" s="523"/>
      <c r="H1233" s="421"/>
      <c r="I1233" s="523"/>
      <c r="J1233" s="523"/>
      <c r="K1233" s="523"/>
      <c r="L1233" s="421"/>
      <c r="M1233" s="421"/>
      <c r="N1233" s="421"/>
      <c r="O1233" s="421"/>
      <c r="P1233" s="421"/>
      <c r="Q1233" s="421"/>
      <c r="R1233" s="594"/>
    </row>
    <row r="1234" spans="1:18" s="209" customFormat="1" ht="17.25" thickBot="1">
      <c r="A1234" s="212"/>
      <c r="B1234" s="215" t="s">
        <v>627</v>
      </c>
      <c r="C1234" s="603">
        <f t="shared" ref="C1234:R1234" si="177">C1202+C1146+C1232+C879+C747+C535+C384+C90+C67</f>
        <v>1871681.0599999996</v>
      </c>
      <c r="D1234" s="603">
        <f t="shared" si="177"/>
        <v>10680.369999999999</v>
      </c>
      <c r="E1234" s="603">
        <f t="shared" si="177"/>
        <v>25132.499999999996</v>
      </c>
      <c r="F1234" s="615">
        <f t="shared" si="177"/>
        <v>1907493.9299999997</v>
      </c>
      <c r="G1234" s="603">
        <f t="shared" si="177"/>
        <v>67727.899999999994</v>
      </c>
      <c r="H1234" s="603">
        <f t="shared" si="177"/>
        <v>38537</v>
      </c>
      <c r="I1234" s="603">
        <f t="shared" si="177"/>
        <v>123</v>
      </c>
      <c r="J1234" s="603">
        <f t="shared" si="177"/>
        <v>276</v>
      </c>
      <c r="K1234" s="583">
        <f t="shared" si="177"/>
        <v>38936</v>
      </c>
      <c r="L1234" s="603">
        <f t="shared" si="177"/>
        <v>9</v>
      </c>
      <c r="M1234" s="603">
        <f t="shared" si="177"/>
        <v>20422.34</v>
      </c>
      <c r="N1234" s="603">
        <f t="shared" si="177"/>
        <v>7497.1603180000002</v>
      </c>
      <c r="O1234" s="603">
        <f t="shared" si="177"/>
        <v>8320.8183428589346</v>
      </c>
      <c r="P1234" s="603">
        <f t="shared" si="177"/>
        <v>2272.7647999999999</v>
      </c>
      <c r="Q1234" s="603"/>
      <c r="R1234" s="603">
        <f t="shared" si="177"/>
        <v>0.19741956142355882</v>
      </c>
    </row>
    <row r="1235" spans="1:18" s="6" customFormat="1" ht="15.75">
      <c r="A1235" s="127"/>
      <c r="B1235" s="523"/>
      <c r="C1235" s="523"/>
      <c r="D1235" s="523"/>
      <c r="E1235" s="523"/>
      <c r="F1235" s="604"/>
      <c r="G1235" s="523"/>
      <c r="H1235" s="421"/>
      <c r="I1235" s="523"/>
      <c r="J1235" s="523"/>
      <c r="K1235" s="523"/>
      <c r="L1235" s="421"/>
      <c r="M1235" s="421"/>
      <c r="N1235" s="421"/>
      <c r="O1235" s="421"/>
      <c r="P1235" s="421"/>
      <c r="Q1235" s="421"/>
      <c r="R1235" s="421"/>
    </row>
    <row r="1236" spans="1:18" s="6" customFormat="1" ht="15.75">
      <c r="A1236" s="127"/>
      <c r="B1236" s="523"/>
      <c r="C1236" s="523"/>
      <c r="D1236" s="523"/>
      <c r="E1236" s="523"/>
      <c r="F1236" s="604"/>
      <c r="G1236" s="523"/>
      <c r="H1236" s="421"/>
      <c r="I1236" s="523"/>
      <c r="J1236" s="523"/>
      <c r="K1236" s="523"/>
      <c r="L1236" s="421"/>
      <c r="M1236" s="421"/>
      <c r="N1236" s="421"/>
      <c r="O1236" s="421"/>
      <c r="P1236" s="421"/>
      <c r="Q1236" s="421"/>
      <c r="R1236" s="421"/>
    </row>
    <row r="1237" spans="1:18" s="6" customFormat="1" ht="15.75">
      <c r="A1237" s="127"/>
      <c r="B1237" s="523"/>
      <c r="C1237" s="523"/>
      <c r="D1237" s="523"/>
      <c r="E1237" s="523"/>
      <c r="F1237" s="604"/>
      <c r="G1237" s="523"/>
      <c r="H1237" s="421"/>
      <c r="I1237" s="523"/>
      <c r="J1237" s="523"/>
      <c r="K1237" s="523"/>
      <c r="L1237" s="421"/>
      <c r="M1237" s="421"/>
      <c r="N1237" s="421"/>
      <c r="O1237" s="421"/>
      <c r="P1237" s="421"/>
      <c r="Q1237" s="421"/>
      <c r="R1237" s="421"/>
    </row>
    <row r="1238" spans="1:18" s="6" customFormat="1" ht="15.75">
      <c r="A1238" s="127"/>
      <c r="B1238" s="523"/>
      <c r="C1238" s="523">
        <v>1891711.19</v>
      </c>
      <c r="D1238" s="523"/>
      <c r="E1238" s="523"/>
      <c r="F1238" s="604"/>
      <c r="G1238" s="523"/>
      <c r="H1238" s="421"/>
      <c r="I1238" s="537">
        <f>H1234+I1234+J1234</f>
        <v>38936</v>
      </c>
      <c r="J1238" s="523"/>
      <c r="K1238" s="523"/>
      <c r="L1238" s="421"/>
      <c r="M1238" s="421"/>
      <c r="N1238" s="421"/>
      <c r="O1238" s="421"/>
      <c r="P1238" s="421"/>
      <c r="Q1238" s="421"/>
      <c r="R1238" s="421"/>
    </row>
    <row r="1239" spans="1:18" s="6" customFormat="1" ht="15.75">
      <c r="A1239" s="127"/>
      <c r="B1239" s="523"/>
      <c r="C1239" s="523"/>
      <c r="D1239" s="523"/>
      <c r="E1239" s="523"/>
      <c r="F1239" s="604"/>
      <c r="G1239" s="523"/>
      <c r="H1239" s="421"/>
      <c r="I1239" s="523"/>
      <c r="J1239" s="523"/>
      <c r="K1239" s="523"/>
      <c r="L1239" s="421"/>
      <c r="M1239" s="421"/>
      <c r="N1239" s="421"/>
      <c r="O1239" s="421"/>
      <c r="P1239" s="421"/>
      <c r="Q1239" s="421"/>
      <c r="R1239" s="421"/>
    </row>
    <row r="1240" spans="1:18" s="6" customFormat="1" ht="15.75">
      <c r="A1240" s="127"/>
      <c r="B1240" s="523"/>
      <c r="C1240" s="523"/>
      <c r="D1240" s="523"/>
      <c r="E1240" s="523"/>
      <c r="F1240" s="604"/>
      <c r="G1240" s="523"/>
      <c r="H1240" s="421"/>
      <c r="I1240" s="523"/>
      <c r="J1240" s="523"/>
      <c r="K1240" s="523"/>
      <c r="L1240" s="421"/>
      <c r="M1240" s="421"/>
      <c r="N1240" s="421"/>
      <c r="O1240" s="421"/>
      <c r="P1240" s="421"/>
      <c r="Q1240" s="421"/>
      <c r="R1240" s="421"/>
    </row>
    <row r="1241" spans="1:18" s="6" customFormat="1" ht="15.75">
      <c r="A1241" s="127"/>
      <c r="B1241" s="523"/>
      <c r="C1241" s="523"/>
      <c r="D1241" s="523"/>
      <c r="E1241" s="523"/>
      <c r="F1241" s="604"/>
      <c r="G1241" s="523"/>
      <c r="H1241" s="421"/>
      <c r="I1241" s="523"/>
      <c r="J1241" s="523"/>
      <c r="K1241" s="523"/>
      <c r="L1241" s="421"/>
      <c r="M1241" s="421"/>
      <c r="N1241" s="421"/>
      <c r="O1241" s="421"/>
      <c r="P1241" s="421"/>
      <c r="Q1241" s="421"/>
      <c r="R1241" s="421"/>
    </row>
    <row r="1242" spans="1:18" s="6" customFormat="1" ht="15.75">
      <c r="A1242" s="127"/>
      <c r="B1242" s="523"/>
      <c r="C1242" s="523"/>
      <c r="D1242" s="523"/>
      <c r="E1242" s="523"/>
      <c r="F1242" s="604"/>
      <c r="G1242" s="523"/>
      <c r="H1242" s="421"/>
      <c r="I1242" s="523"/>
      <c r="J1242" s="523"/>
      <c r="K1242" s="523"/>
      <c r="L1242" s="421"/>
      <c r="M1242" s="421"/>
      <c r="N1242" s="421"/>
      <c r="O1242" s="421"/>
      <c r="P1242" s="421"/>
      <c r="Q1242" s="421"/>
      <c r="R1242" s="421"/>
    </row>
    <row r="1243" spans="1:18" s="6" customFormat="1" ht="15.75">
      <c r="A1243" s="127"/>
      <c r="B1243" s="523"/>
      <c r="C1243" s="523"/>
      <c r="D1243" s="523"/>
      <c r="E1243" s="523"/>
      <c r="F1243" s="604"/>
      <c r="G1243" s="523"/>
      <c r="H1243" s="421"/>
      <c r="I1243" s="523"/>
      <c r="J1243" s="523"/>
      <c r="K1243" s="523"/>
      <c r="L1243" s="421"/>
      <c r="M1243" s="421"/>
      <c r="N1243" s="421"/>
      <c r="O1243" s="421"/>
      <c r="P1243" s="421"/>
      <c r="Q1243" s="421"/>
      <c r="R1243" s="421"/>
    </row>
    <row r="1244" spans="1:18" s="6" customFormat="1" ht="15.75">
      <c r="A1244" s="127"/>
      <c r="B1244" s="523"/>
      <c r="C1244" s="523"/>
      <c r="D1244" s="523"/>
      <c r="E1244" s="523"/>
      <c r="F1244" s="604"/>
      <c r="G1244" s="523"/>
      <c r="H1244" s="421"/>
      <c r="I1244" s="523"/>
      <c r="J1244" s="523"/>
      <c r="K1244" s="523"/>
      <c r="L1244" s="421"/>
      <c r="M1244" s="421"/>
      <c r="N1244" s="421"/>
      <c r="O1244" s="421"/>
      <c r="P1244" s="421"/>
      <c r="Q1244" s="421"/>
      <c r="R1244" s="421"/>
    </row>
    <row r="1245" spans="1:18" s="6" customFormat="1" ht="15.75">
      <c r="A1245" s="127"/>
      <c r="B1245" s="523"/>
      <c r="C1245" s="523"/>
      <c r="D1245" s="523"/>
      <c r="E1245" s="523"/>
      <c r="F1245" s="604"/>
      <c r="G1245" s="523"/>
      <c r="H1245" s="421"/>
      <c r="I1245" s="523"/>
      <c r="J1245" s="523"/>
      <c r="K1245" s="523"/>
      <c r="L1245" s="421"/>
      <c r="M1245" s="421"/>
      <c r="N1245" s="421"/>
      <c r="O1245" s="421"/>
      <c r="P1245" s="421"/>
      <c r="Q1245" s="421"/>
      <c r="R1245" s="421"/>
    </row>
    <row r="1246" spans="1:18" s="6" customFormat="1" ht="15.75">
      <c r="A1246" s="127"/>
      <c r="B1246" s="523"/>
      <c r="C1246" s="523"/>
      <c r="D1246" s="523"/>
      <c r="E1246" s="523"/>
      <c r="F1246" s="604"/>
      <c r="G1246" s="523"/>
      <c r="H1246" s="421"/>
      <c r="I1246" s="523"/>
      <c r="J1246" s="523"/>
      <c r="K1246" s="523"/>
      <c r="L1246" s="421"/>
      <c r="M1246" s="421"/>
      <c r="N1246" s="421"/>
      <c r="O1246" s="421"/>
      <c r="P1246" s="421"/>
      <c r="Q1246" s="421"/>
      <c r="R1246" s="421"/>
    </row>
    <row r="1247" spans="1:18" s="6" customFormat="1" ht="15.75">
      <c r="A1247" s="127"/>
      <c r="B1247" s="523"/>
      <c r="C1247" s="523"/>
      <c r="D1247" s="523"/>
      <c r="E1247" s="523"/>
      <c r="F1247" s="604"/>
      <c r="G1247" s="523"/>
      <c r="H1247" s="421"/>
      <c r="I1247" s="523"/>
      <c r="J1247" s="523"/>
      <c r="K1247" s="523"/>
      <c r="L1247" s="421"/>
      <c r="M1247" s="421"/>
      <c r="N1247" s="421"/>
      <c r="O1247" s="421"/>
      <c r="P1247" s="421"/>
      <c r="Q1247" s="421"/>
      <c r="R1247" s="421"/>
    </row>
    <row r="1248" spans="1:18" s="6" customFormat="1" ht="15.75">
      <c r="A1248" s="127"/>
      <c r="B1248" s="523"/>
      <c r="C1248" s="523"/>
      <c r="D1248" s="523"/>
      <c r="E1248" s="523"/>
      <c r="F1248" s="604"/>
      <c r="G1248" s="523"/>
      <c r="H1248" s="421"/>
      <c r="I1248" s="523"/>
      <c r="J1248" s="523"/>
      <c r="K1248" s="523"/>
      <c r="L1248" s="421"/>
      <c r="M1248" s="421"/>
      <c r="N1248" s="421"/>
      <c r="O1248" s="421"/>
      <c r="P1248" s="421"/>
      <c r="Q1248" s="421"/>
      <c r="R1248" s="421"/>
    </row>
    <row r="1249" spans="1:18" s="6" customFormat="1" ht="15.75">
      <c r="A1249" s="127"/>
      <c r="B1249" s="523"/>
      <c r="C1249" s="523"/>
      <c r="D1249" s="523"/>
      <c r="E1249" s="523"/>
      <c r="F1249" s="604"/>
      <c r="G1249" s="523"/>
      <c r="H1249" s="421"/>
      <c r="I1249" s="523"/>
      <c r="J1249" s="523"/>
      <c r="K1249" s="523"/>
      <c r="L1249" s="421"/>
      <c r="M1249" s="421"/>
      <c r="N1249" s="421"/>
      <c r="O1249" s="421"/>
      <c r="P1249" s="421"/>
      <c r="Q1249" s="421"/>
      <c r="R1249" s="421"/>
    </row>
    <row r="1250" spans="1:18" s="6" customFormat="1" ht="15.75">
      <c r="A1250" s="127"/>
      <c r="B1250" s="523"/>
      <c r="C1250" s="523"/>
      <c r="D1250" s="523"/>
      <c r="E1250" s="523"/>
      <c r="F1250" s="604"/>
      <c r="G1250" s="523"/>
      <c r="H1250" s="421"/>
      <c r="I1250" s="523"/>
      <c r="J1250" s="523"/>
      <c r="K1250" s="523"/>
      <c r="L1250" s="421"/>
      <c r="M1250" s="421"/>
      <c r="N1250" s="421"/>
      <c r="O1250" s="421"/>
      <c r="P1250" s="421"/>
      <c r="Q1250" s="421"/>
      <c r="R1250" s="421"/>
    </row>
    <row r="1251" spans="1:18" s="6" customFormat="1" ht="15.75">
      <c r="A1251" s="127"/>
      <c r="B1251" s="523"/>
      <c r="C1251" s="523"/>
      <c r="D1251" s="523"/>
      <c r="E1251" s="523"/>
      <c r="F1251" s="604"/>
      <c r="G1251" s="523"/>
      <c r="H1251" s="421"/>
      <c r="I1251" s="523"/>
      <c r="J1251" s="523"/>
      <c r="K1251" s="523"/>
      <c r="L1251" s="421"/>
      <c r="M1251" s="421"/>
      <c r="N1251" s="421"/>
      <c r="O1251" s="421"/>
      <c r="P1251" s="421"/>
      <c r="Q1251" s="421"/>
      <c r="R1251" s="421"/>
    </row>
    <row r="1252" spans="1:18" s="6" customFormat="1" ht="15.75">
      <c r="A1252" s="127"/>
      <c r="B1252" s="523"/>
      <c r="C1252" s="523"/>
      <c r="D1252" s="523"/>
      <c r="E1252" s="523"/>
      <c r="F1252" s="604"/>
      <c r="G1252" s="523"/>
      <c r="H1252" s="421"/>
      <c r="I1252" s="523"/>
      <c r="J1252" s="523"/>
      <c r="K1252" s="523"/>
      <c r="L1252" s="421"/>
      <c r="M1252" s="421"/>
      <c r="N1252" s="421"/>
      <c r="O1252" s="421"/>
      <c r="P1252" s="421"/>
      <c r="Q1252" s="421"/>
      <c r="R1252" s="421"/>
    </row>
    <row r="1253" spans="1:18" s="6" customFormat="1" ht="15.75">
      <c r="A1253" s="127"/>
      <c r="B1253" s="523"/>
      <c r="C1253" s="523"/>
      <c r="D1253" s="523"/>
      <c r="E1253" s="523"/>
      <c r="F1253" s="604"/>
      <c r="G1253" s="523"/>
      <c r="H1253" s="421"/>
      <c r="I1253" s="523"/>
      <c r="J1253" s="523"/>
      <c r="K1253" s="523"/>
      <c r="L1253" s="421"/>
      <c r="M1253" s="421"/>
      <c r="N1253" s="421"/>
      <c r="O1253" s="421"/>
      <c r="P1253" s="421"/>
      <c r="Q1253" s="421"/>
      <c r="R1253" s="421"/>
    </row>
    <row r="1254" spans="1:18" s="6" customFormat="1" ht="15.75">
      <c r="A1254" s="127"/>
      <c r="B1254" s="523"/>
      <c r="C1254" s="523"/>
      <c r="D1254" s="523"/>
      <c r="E1254" s="523"/>
      <c r="F1254" s="604"/>
      <c r="G1254" s="523"/>
      <c r="H1254" s="421"/>
      <c r="I1254" s="523"/>
      <c r="J1254" s="523"/>
      <c r="K1254" s="523"/>
      <c r="L1254" s="421"/>
      <c r="M1254" s="421"/>
      <c r="N1254" s="421"/>
      <c r="O1254" s="421"/>
      <c r="P1254" s="421"/>
      <c r="Q1254" s="421"/>
      <c r="R1254" s="421"/>
    </row>
    <row r="1255" spans="1:18" s="10" customFormat="1" ht="15.75">
      <c r="A1255" s="162"/>
      <c r="B1255" s="523"/>
      <c r="C1255" s="523"/>
      <c r="D1255" s="523"/>
      <c r="E1255" s="523"/>
      <c r="F1255" s="604"/>
      <c r="G1255" s="523"/>
      <c r="H1255" s="421"/>
      <c r="I1255" s="523"/>
      <c r="J1255" s="523"/>
      <c r="K1255" s="523"/>
      <c r="L1255" s="421"/>
      <c r="M1255" s="421"/>
      <c r="N1255" s="421"/>
      <c r="O1255" s="421"/>
      <c r="P1255" s="421"/>
      <c r="Q1255" s="421"/>
      <c r="R1255" s="421"/>
    </row>
    <row r="1256" spans="1:18" s="10" customFormat="1" ht="15.75">
      <c r="A1256" s="162"/>
      <c r="B1256" s="523"/>
      <c r="C1256" s="523"/>
      <c r="D1256" s="523"/>
      <c r="E1256" s="523"/>
      <c r="F1256" s="604"/>
      <c r="G1256" s="523"/>
      <c r="H1256" s="421"/>
      <c r="I1256" s="523"/>
      <c r="J1256" s="523"/>
      <c r="K1256" s="523"/>
      <c r="L1256" s="421"/>
      <c r="M1256" s="421"/>
      <c r="N1256" s="421"/>
      <c r="O1256" s="421"/>
      <c r="P1256" s="421"/>
      <c r="Q1256" s="421"/>
      <c r="R1256" s="421"/>
    </row>
    <row r="1257" spans="1:18" s="10" customFormat="1" ht="15.75">
      <c r="A1257" s="162"/>
      <c r="B1257" s="523"/>
      <c r="C1257" s="523"/>
      <c r="D1257" s="523"/>
      <c r="E1257" s="523"/>
      <c r="F1257" s="604"/>
      <c r="G1257" s="523"/>
      <c r="H1257" s="421"/>
      <c r="I1257" s="523"/>
      <c r="J1257" s="523"/>
      <c r="K1257" s="523"/>
      <c r="L1257" s="421"/>
      <c r="M1257" s="421"/>
      <c r="N1257" s="421"/>
      <c r="O1257" s="421"/>
      <c r="P1257" s="421"/>
      <c r="Q1257" s="421"/>
      <c r="R1257" s="421"/>
    </row>
    <row r="1258" spans="1:18" s="10" customFormat="1" ht="15.75">
      <c r="A1258" s="162"/>
      <c r="B1258" s="523"/>
      <c r="C1258" s="523"/>
      <c r="D1258" s="523"/>
      <c r="E1258" s="523"/>
      <c r="F1258" s="604"/>
      <c r="G1258" s="523"/>
      <c r="H1258" s="421"/>
      <c r="I1258" s="523"/>
      <c r="J1258" s="523"/>
      <c r="K1258" s="523"/>
      <c r="L1258" s="421"/>
      <c r="M1258" s="421"/>
      <c r="N1258" s="421"/>
      <c r="O1258" s="421"/>
      <c r="P1258" s="421"/>
      <c r="Q1258" s="421"/>
      <c r="R1258" s="421"/>
    </row>
    <row r="1259" spans="1:18" s="10" customFormat="1" ht="15.75">
      <c r="A1259" s="162"/>
      <c r="B1259" s="523"/>
      <c r="C1259" s="523"/>
      <c r="D1259" s="523"/>
      <c r="E1259" s="523"/>
      <c r="F1259" s="604"/>
      <c r="G1259" s="523"/>
      <c r="H1259" s="421"/>
      <c r="I1259" s="523"/>
      <c r="J1259" s="523"/>
      <c r="K1259" s="523"/>
      <c r="L1259" s="421"/>
      <c r="M1259" s="421"/>
      <c r="N1259" s="421"/>
      <c r="O1259" s="421"/>
      <c r="P1259" s="421"/>
      <c r="Q1259" s="421"/>
      <c r="R1259" s="421"/>
    </row>
    <row r="1260" spans="1:18" s="10" customFormat="1" ht="15.75">
      <c r="A1260" s="162"/>
      <c r="B1260" s="523"/>
      <c r="C1260" s="523"/>
      <c r="D1260" s="523"/>
      <c r="E1260" s="523"/>
      <c r="F1260" s="604"/>
      <c r="G1260" s="523"/>
      <c r="H1260" s="421"/>
      <c r="I1260" s="523"/>
      <c r="J1260" s="523"/>
      <c r="K1260" s="523"/>
      <c r="L1260" s="421"/>
      <c r="M1260" s="421"/>
      <c r="N1260" s="421"/>
      <c r="O1260" s="421"/>
      <c r="P1260" s="421"/>
      <c r="Q1260" s="421"/>
      <c r="R1260" s="421"/>
    </row>
    <row r="1261" spans="1:18" s="10" customFormat="1" ht="15.75">
      <c r="A1261" s="162"/>
      <c r="B1261" s="523"/>
      <c r="C1261" s="523"/>
      <c r="D1261" s="523"/>
      <c r="E1261" s="523"/>
      <c r="F1261" s="604"/>
      <c r="G1261" s="523"/>
      <c r="H1261" s="421"/>
      <c r="I1261" s="523"/>
      <c r="J1261" s="523"/>
      <c r="K1261" s="523"/>
      <c r="L1261" s="421"/>
      <c r="M1261" s="421"/>
      <c r="N1261" s="421"/>
      <c r="O1261" s="421"/>
      <c r="P1261" s="421"/>
      <c r="Q1261" s="421"/>
      <c r="R1261" s="421"/>
    </row>
    <row r="1262" spans="1:18" s="10" customFormat="1" ht="15.75">
      <c r="A1262" s="162"/>
      <c r="B1262" s="523"/>
      <c r="C1262" s="523"/>
      <c r="D1262" s="523"/>
      <c r="E1262" s="523"/>
      <c r="F1262" s="604"/>
      <c r="G1262" s="523"/>
      <c r="H1262" s="421"/>
      <c r="I1262" s="523"/>
      <c r="J1262" s="523"/>
      <c r="K1262" s="523"/>
      <c r="L1262" s="421"/>
      <c r="M1262" s="421"/>
      <c r="N1262" s="421"/>
      <c r="O1262" s="421"/>
      <c r="P1262" s="421"/>
      <c r="Q1262" s="421"/>
      <c r="R1262" s="421"/>
    </row>
    <row r="1263" spans="1:18" s="10" customFormat="1" ht="15.75">
      <c r="A1263" s="162"/>
      <c r="B1263" s="523"/>
      <c r="C1263" s="523"/>
      <c r="D1263" s="523"/>
      <c r="E1263" s="523"/>
      <c r="F1263" s="604"/>
      <c r="G1263" s="523"/>
      <c r="H1263" s="421"/>
      <c r="I1263" s="523"/>
      <c r="J1263" s="523"/>
      <c r="K1263" s="523"/>
      <c r="L1263" s="421"/>
      <c r="M1263" s="421"/>
      <c r="N1263" s="421"/>
      <c r="O1263" s="421"/>
      <c r="P1263" s="421"/>
      <c r="Q1263" s="421"/>
      <c r="R1263" s="421"/>
    </row>
    <row r="1264" spans="1:18" s="10" customFormat="1" ht="15.75">
      <c r="A1264" s="162"/>
      <c r="B1264" s="523"/>
      <c r="C1264" s="523"/>
      <c r="D1264" s="523"/>
      <c r="E1264" s="523"/>
      <c r="F1264" s="604"/>
      <c r="G1264" s="523"/>
      <c r="H1264" s="421"/>
      <c r="I1264" s="523"/>
      <c r="J1264" s="523"/>
      <c r="K1264" s="523"/>
      <c r="L1264" s="421"/>
      <c r="M1264" s="421"/>
      <c r="N1264" s="421"/>
      <c r="O1264" s="421"/>
      <c r="P1264" s="421"/>
      <c r="Q1264" s="421"/>
      <c r="R1264" s="421"/>
    </row>
    <row r="1265" spans="1:18" s="10" customFormat="1" ht="15.75">
      <c r="A1265" s="162"/>
      <c r="B1265" s="523"/>
      <c r="C1265" s="523"/>
      <c r="D1265" s="523"/>
      <c r="E1265" s="523"/>
      <c r="F1265" s="604"/>
      <c r="G1265" s="523"/>
      <c r="H1265" s="421"/>
      <c r="I1265" s="523"/>
      <c r="J1265" s="523"/>
      <c r="K1265" s="523"/>
      <c r="L1265" s="421"/>
      <c r="M1265" s="421"/>
      <c r="N1265" s="421"/>
      <c r="O1265" s="421"/>
      <c r="P1265" s="421"/>
      <c r="Q1265" s="421"/>
      <c r="R1265" s="421"/>
    </row>
    <row r="1266" spans="1:18" s="10" customFormat="1" ht="15.75">
      <c r="A1266" s="162"/>
      <c r="B1266" s="523"/>
      <c r="C1266" s="523"/>
      <c r="D1266" s="523"/>
      <c r="E1266" s="523"/>
      <c r="F1266" s="604"/>
      <c r="G1266" s="523"/>
      <c r="H1266" s="421"/>
      <c r="I1266" s="523"/>
      <c r="J1266" s="523"/>
      <c r="K1266" s="523"/>
      <c r="L1266" s="421"/>
      <c r="M1266" s="421"/>
      <c r="N1266" s="421"/>
      <c r="O1266" s="421"/>
      <c r="P1266" s="421"/>
      <c r="Q1266" s="421"/>
      <c r="R1266" s="421"/>
    </row>
    <row r="1267" spans="1:18" s="10" customFormat="1" ht="15.75">
      <c r="A1267" s="162"/>
      <c r="B1267" s="523"/>
      <c r="C1267" s="523"/>
      <c r="D1267" s="523"/>
      <c r="E1267" s="523"/>
      <c r="F1267" s="604"/>
      <c r="G1267" s="523"/>
      <c r="H1267" s="421"/>
      <c r="I1267" s="523"/>
      <c r="J1267" s="523"/>
      <c r="K1267" s="523"/>
      <c r="L1267" s="421"/>
      <c r="M1267" s="421"/>
      <c r="N1267" s="421"/>
      <c r="O1267" s="421"/>
      <c r="P1267" s="421"/>
      <c r="Q1267" s="421"/>
      <c r="R1267" s="421"/>
    </row>
    <row r="1268" spans="1:18" s="10" customFormat="1" ht="15.75">
      <c r="A1268" s="162"/>
      <c r="B1268" s="523"/>
      <c r="C1268" s="523"/>
      <c r="D1268" s="523"/>
      <c r="E1268" s="523"/>
      <c r="F1268" s="604"/>
      <c r="G1268" s="523"/>
      <c r="H1268" s="421"/>
      <c r="I1268" s="523"/>
      <c r="J1268" s="523"/>
      <c r="K1268" s="523"/>
      <c r="L1268" s="421"/>
      <c r="M1268" s="421"/>
      <c r="N1268" s="421"/>
      <c r="O1268" s="421"/>
      <c r="P1268" s="421"/>
      <c r="Q1268" s="421"/>
      <c r="R1268" s="421"/>
    </row>
    <row r="1269" spans="1:18" s="10" customFormat="1" ht="15.75">
      <c r="A1269" s="162"/>
      <c r="B1269" s="523"/>
      <c r="C1269" s="523"/>
      <c r="D1269" s="523"/>
      <c r="E1269" s="523"/>
      <c r="F1269" s="604"/>
      <c r="G1269" s="523"/>
      <c r="H1269" s="421"/>
      <c r="I1269" s="523"/>
      <c r="J1269" s="523"/>
      <c r="K1269" s="523"/>
      <c r="L1269" s="421"/>
      <c r="M1269" s="421"/>
      <c r="N1269" s="421"/>
      <c r="O1269" s="421"/>
      <c r="P1269" s="421"/>
      <c r="Q1269" s="421"/>
      <c r="R1269" s="421"/>
    </row>
    <row r="1270" spans="1:18" s="10" customFormat="1" ht="15.75">
      <c r="A1270" s="162"/>
      <c r="B1270" s="523"/>
      <c r="C1270" s="523"/>
      <c r="D1270" s="523"/>
      <c r="E1270" s="523"/>
      <c r="F1270" s="604"/>
      <c r="G1270" s="523"/>
      <c r="H1270" s="421"/>
      <c r="I1270" s="523"/>
      <c r="J1270" s="523"/>
      <c r="K1270" s="523"/>
      <c r="L1270" s="421"/>
      <c r="M1270" s="421"/>
      <c r="N1270" s="421"/>
      <c r="O1270" s="421"/>
      <c r="P1270" s="421"/>
      <c r="Q1270" s="421"/>
      <c r="R1270" s="421"/>
    </row>
    <row r="1271" spans="1:18" s="10" customFormat="1" ht="15.75">
      <c r="A1271" s="162"/>
      <c r="B1271" s="523"/>
      <c r="C1271" s="523"/>
      <c r="D1271" s="523"/>
      <c r="E1271" s="523"/>
      <c r="F1271" s="604"/>
      <c r="G1271" s="523"/>
      <c r="H1271" s="421"/>
      <c r="I1271" s="523"/>
      <c r="J1271" s="523"/>
      <c r="K1271" s="523"/>
      <c r="L1271" s="421"/>
      <c r="M1271" s="421"/>
      <c r="N1271" s="421"/>
      <c r="O1271" s="421"/>
      <c r="P1271" s="421"/>
      <c r="Q1271" s="421"/>
      <c r="R1271" s="421"/>
    </row>
    <row r="1272" spans="1:18" s="10" customFormat="1" ht="15.75">
      <c r="A1272" s="162"/>
      <c r="B1272" s="523"/>
      <c r="C1272" s="523"/>
      <c r="D1272" s="523"/>
      <c r="E1272" s="523"/>
      <c r="F1272" s="604"/>
      <c r="G1272" s="523"/>
      <c r="H1272" s="421"/>
      <c r="I1272" s="523"/>
      <c r="J1272" s="523"/>
      <c r="K1272" s="523"/>
      <c r="L1272" s="421"/>
      <c r="M1272" s="421"/>
      <c r="N1272" s="421"/>
      <c r="O1272" s="421"/>
      <c r="P1272" s="421"/>
      <c r="Q1272" s="421"/>
      <c r="R1272" s="421"/>
    </row>
    <row r="1273" spans="1:18" s="10" customFormat="1" ht="15.75">
      <c r="A1273" s="162"/>
      <c r="B1273" s="523"/>
      <c r="C1273" s="523"/>
      <c r="D1273" s="523"/>
      <c r="E1273" s="523"/>
      <c r="F1273" s="604"/>
      <c r="G1273" s="523"/>
      <c r="H1273" s="421"/>
      <c r="I1273" s="523"/>
      <c r="J1273" s="523"/>
      <c r="K1273" s="523"/>
      <c r="L1273" s="421"/>
      <c r="M1273" s="421"/>
      <c r="N1273" s="421"/>
      <c r="O1273" s="421"/>
      <c r="P1273" s="421"/>
      <c r="Q1273" s="421"/>
      <c r="R1273" s="421"/>
    </row>
    <row r="1274" spans="1:18" s="10" customFormat="1" ht="15.75">
      <c r="A1274" s="162"/>
      <c r="B1274" s="523"/>
      <c r="C1274" s="523"/>
      <c r="D1274" s="523"/>
      <c r="E1274" s="523"/>
      <c r="F1274" s="604"/>
      <c r="G1274" s="523"/>
      <c r="H1274" s="421"/>
      <c r="I1274" s="523"/>
      <c r="J1274" s="523"/>
      <c r="K1274" s="523"/>
      <c r="L1274" s="421"/>
      <c r="M1274" s="421"/>
      <c r="N1274" s="421"/>
      <c r="O1274" s="421"/>
      <c r="P1274" s="421"/>
      <c r="Q1274" s="421"/>
      <c r="R1274" s="421"/>
    </row>
    <row r="1275" spans="1:18" s="10" customFormat="1" ht="15.75">
      <c r="A1275" s="162"/>
      <c r="B1275" s="523"/>
      <c r="C1275" s="523"/>
      <c r="D1275" s="523"/>
      <c r="E1275" s="523"/>
      <c r="F1275" s="604"/>
      <c r="G1275" s="523"/>
      <c r="H1275" s="421"/>
      <c r="I1275" s="523"/>
      <c r="J1275" s="523"/>
      <c r="K1275" s="523"/>
      <c r="L1275" s="421"/>
      <c r="M1275" s="421"/>
      <c r="N1275" s="421"/>
      <c r="O1275" s="421"/>
      <c r="P1275" s="421"/>
      <c r="Q1275" s="421"/>
      <c r="R1275" s="421"/>
    </row>
    <row r="1276" spans="1:18" s="10" customFormat="1" ht="15.75">
      <c r="A1276" s="162"/>
      <c r="B1276" s="523"/>
      <c r="C1276" s="523"/>
      <c r="D1276" s="523"/>
      <c r="E1276" s="523"/>
      <c r="F1276" s="604"/>
      <c r="G1276" s="523"/>
      <c r="H1276" s="421"/>
      <c r="I1276" s="523"/>
      <c r="J1276" s="523"/>
      <c r="K1276" s="523"/>
      <c r="L1276" s="421"/>
      <c r="M1276" s="421"/>
      <c r="N1276" s="421"/>
      <c r="O1276" s="421"/>
      <c r="P1276" s="421"/>
      <c r="Q1276" s="421"/>
      <c r="R1276" s="421"/>
    </row>
    <row r="1277" spans="1:18" s="10" customFormat="1" ht="15.75">
      <c r="A1277" s="162"/>
      <c r="B1277" s="523"/>
      <c r="C1277" s="523"/>
      <c r="D1277" s="523"/>
      <c r="E1277" s="523"/>
      <c r="F1277" s="604"/>
      <c r="G1277" s="523"/>
      <c r="H1277" s="421"/>
      <c r="I1277" s="523"/>
      <c r="J1277" s="523"/>
      <c r="K1277" s="523"/>
      <c r="L1277" s="421"/>
      <c r="M1277" s="421"/>
      <c r="N1277" s="421"/>
      <c r="O1277" s="421"/>
      <c r="P1277" s="421"/>
      <c r="Q1277" s="421"/>
      <c r="R1277" s="421"/>
    </row>
    <row r="1278" spans="1:18" s="10" customFormat="1" ht="15.75">
      <c r="A1278" s="162"/>
      <c r="B1278" s="523"/>
      <c r="C1278" s="523"/>
      <c r="D1278" s="523"/>
      <c r="E1278" s="523"/>
      <c r="F1278" s="604"/>
      <c r="G1278" s="523"/>
      <c r="H1278" s="421"/>
      <c r="I1278" s="523"/>
      <c r="J1278" s="523"/>
      <c r="K1278" s="523"/>
      <c r="L1278" s="421"/>
      <c r="M1278" s="421"/>
      <c r="N1278" s="421"/>
      <c r="O1278" s="421"/>
      <c r="P1278" s="421"/>
      <c r="Q1278" s="421"/>
      <c r="R1278" s="421"/>
    </row>
    <row r="1279" spans="1:18" s="10" customFormat="1" ht="15.75">
      <c r="A1279" s="162"/>
      <c r="B1279" s="523"/>
      <c r="C1279" s="523"/>
      <c r="D1279" s="523"/>
      <c r="E1279" s="523"/>
      <c r="F1279" s="604"/>
      <c r="G1279" s="523"/>
      <c r="H1279" s="421"/>
      <c r="I1279" s="523"/>
      <c r="J1279" s="523"/>
      <c r="K1279" s="523"/>
      <c r="L1279" s="421"/>
      <c r="M1279" s="421"/>
      <c r="N1279" s="421"/>
      <c r="O1279" s="421"/>
      <c r="P1279" s="421"/>
      <c r="Q1279" s="421"/>
      <c r="R1279" s="421"/>
    </row>
    <row r="1280" spans="1:18" s="10" customFormat="1" ht="15.75">
      <c r="A1280" s="162"/>
      <c r="B1280" s="523"/>
      <c r="C1280" s="523"/>
      <c r="D1280" s="523"/>
      <c r="E1280" s="523"/>
      <c r="F1280" s="604"/>
      <c r="G1280" s="523"/>
      <c r="H1280" s="421"/>
      <c r="I1280" s="523"/>
      <c r="J1280" s="523"/>
      <c r="K1280" s="523"/>
      <c r="L1280" s="421"/>
      <c r="M1280" s="421"/>
      <c r="N1280" s="421"/>
      <c r="O1280" s="421"/>
      <c r="P1280" s="421"/>
      <c r="Q1280" s="421"/>
      <c r="R1280" s="421"/>
    </row>
    <row r="1281" spans="1:18" s="10" customFormat="1" ht="15.75">
      <c r="A1281" s="162"/>
      <c r="B1281" s="523"/>
      <c r="C1281" s="523"/>
      <c r="D1281" s="523"/>
      <c r="E1281" s="523"/>
      <c r="F1281" s="604"/>
      <c r="G1281" s="523"/>
      <c r="H1281" s="421"/>
      <c r="I1281" s="523"/>
      <c r="J1281" s="523"/>
      <c r="K1281" s="523"/>
      <c r="L1281" s="421"/>
      <c r="M1281" s="421"/>
      <c r="N1281" s="421"/>
      <c r="O1281" s="421"/>
      <c r="P1281" s="421"/>
      <c r="Q1281" s="421"/>
      <c r="R1281" s="421"/>
    </row>
    <row r="1282" spans="1:18" s="10" customFormat="1" ht="15.75">
      <c r="A1282" s="162"/>
      <c r="B1282" s="523"/>
      <c r="C1282" s="523"/>
      <c r="D1282" s="523"/>
      <c r="E1282" s="523"/>
      <c r="F1282" s="604"/>
      <c r="G1282" s="523"/>
      <c r="H1282" s="421"/>
      <c r="I1282" s="523"/>
      <c r="J1282" s="523"/>
      <c r="K1282" s="523"/>
      <c r="L1282" s="421"/>
      <c r="M1282" s="421"/>
      <c r="N1282" s="421"/>
      <c r="O1282" s="421"/>
      <c r="P1282" s="421"/>
      <c r="Q1282" s="421"/>
      <c r="R1282" s="421"/>
    </row>
    <row r="1283" spans="1:18" s="10" customFormat="1" ht="15.75">
      <c r="A1283" s="162"/>
      <c r="B1283" s="523"/>
      <c r="C1283" s="523"/>
      <c r="D1283" s="523"/>
      <c r="E1283" s="523"/>
      <c r="F1283" s="604"/>
      <c r="G1283" s="523"/>
      <c r="H1283" s="421"/>
      <c r="I1283" s="523"/>
      <c r="J1283" s="523"/>
      <c r="K1283" s="523"/>
      <c r="L1283" s="421"/>
      <c r="M1283" s="421"/>
      <c r="N1283" s="421"/>
      <c r="O1283" s="421"/>
      <c r="P1283" s="421"/>
      <c r="Q1283" s="421"/>
      <c r="R1283" s="421"/>
    </row>
    <row r="1284" spans="1:18" s="10" customFormat="1" ht="15.75">
      <c r="A1284" s="162"/>
      <c r="B1284" s="523"/>
      <c r="C1284" s="523"/>
      <c r="D1284" s="523"/>
      <c r="E1284" s="523"/>
      <c r="F1284" s="604"/>
      <c r="G1284" s="523"/>
      <c r="H1284" s="421"/>
      <c r="I1284" s="523"/>
      <c r="J1284" s="523"/>
      <c r="K1284" s="523"/>
      <c r="L1284" s="421"/>
      <c r="M1284" s="421"/>
      <c r="N1284" s="421"/>
      <c r="O1284" s="421"/>
      <c r="P1284" s="421"/>
      <c r="Q1284" s="421"/>
      <c r="R1284" s="421"/>
    </row>
    <row r="1285" spans="1:18" s="10" customFormat="1" ht="15.75">
      <c r="A1285" s="162"/>
      <c r="B1285" s="523"/>
      <c r="C1285" s="523"/>
      <c r="D1285" s="523"/>
      <c r="E1285" s="523"/>
      <c r="F1285" s="604"/>
      <c r="G1285" s="523"/>
      <c r="H1285" s="421"/>
      <c r="I1285" s="523"/>
      <c r="J1285" s="523"/>
      <c r="K1285" s="523"/>
      <c r="L1285" s="421"/>
      <c r="M1285" s="421"/>
      <c r="N1285" s="421"/>
      <c r="O1285" s="421"/>
      <c r="P1285" s="421"/>
      <c r="Q1285" s="421"/>
      <c r="R1285" s="421"/>
    </row>
    <row r="1286" spans="1:18" s="10" customFormat="1" ht="15.75">
      <c r="A1286" s="162"/>
      <c r="B1286" s="523"/>
      <c r="C1286" s="523"/>
      <c r="D1286" s="523"/>
      <c r="E1286" s="523"/>
      <c r="F1286" s="604"/>
      <c r="G1286" s="523"/>
      <c r="H1286" s="421"/>
      <c r="I1286" s="523"/>
      <c r="J1286" s="523"/>
      <c r="K1286" s="523"/>
      <c r="L1286" s="421"/>
      <c r="M1286" s="421"/>
      <c r="N1286" s="421"/>
      <c r="O1286" s="421"/>
      <c r="P1286" s="421"/>
      <c r="Q1286" s="421"/>
      <c r="R1286" s="421"/>
    </row>
    <row r="1287" spans="1:18" s="10" customFormat="1" ht="15.75">
      <c r="A1287" s="162"/>
      <c r="B1287" s="523"/>
      <c r="C1287" s="523"/>
      <c r="D1287" s="523"/>
      <c r="E1287" s="523"/>
      <c r="F1287" s="604"/>
      <c r="G1287" s="523"/>
      <c r="H1287" s="421"/>
      <c r="I1287" s="523"/>
      <c r="J1287" s="523"/>
      <c r="K1287" s="523"/>
      <c r="L1287" s="421"/>
      <c r="M1287" s="421"/>
      <c r="N1287" s="421"/>
      <c r="O1287" s="421"/>
      <c r="P1287" s="421"/>
      <c r="Q1287" s="421"/>
      <c r="R1287" s="421"/>
    </row>
    <row r="1288" spans="1:18" s="10" customFormat="1" ht="15.75">
      <c r="A1288" s="162"/>
      <c r="B1288" s="523"/>
      <c r="C1288" s="523"/>
      <c r="D1288" s="523"/>
      <c r="E1288" s="523"/>
      <c r="F1288" s="604"/>
      <c r="G1288" s="523"/>
      <c r="H1288" s="421"/>
      <c r="I1288" s="523"/>
      <c r="J1288" s="523"/>
      <c r="K1288" s="523"/>
      <c r="L1288" s="421"/>
      <c r="M1288" s="421"/>
      <c r="N1288" s="421"/>
      <c r="O1288" s="421"/>
      <c r="P1288" s="421"/>
      <c r="Q1288" s="421"/>
      <c r="R1288" s="421"/>
    </row>
    <row r="1289" spans="1:18" s="10" customFormat="1" ht="15.75">
      <c r="A1289" s="162"/>
      <c r="B1289" s="523"/>
      <c r="C1289" s="523"/>
      <c r="D1289" s="523"/>
      <c r="E1289" s="523"/>
      <c r="F1289" s="604"/>
      <c r="G1289" s="523"/>
      <c r="H1289" s="421"/>
      <c r="I1289" s="523"/>
      <c r="J1289" s="523"/>
      <c r="K1289" s="523"/>
      <c r="L1289" s="421"/>
      <c r="M1289" s="421"/>
      <c r="N1289" s="421"/>
      <c r="O1289" s="421"/>
      <c r="P1289" s="421"/>
      <c r="Q1289" s="421"/>
      <c r="R1289" s="421"/>
    </row>
    <row r="1290" spans="1:18" s="10" customFormat="1" ht="15.75">
      <c r="A1290" s="162"/>
      <c r="B1290" s="523"/>
      <c r="C1290" s="523"/>
      <c r="D1290" s="523"/>
      <c r="E1290" s="523"/>
      <c r="F1290" s="604"/>
      <c r="G1290" s="523"/>
      <c r="H1290" s="421"/>
      <c r="I1290" s="523"/>
      <c r="J1290" s="523"/>
      <c r="K1290" s="523"/>
      <c r="L1290" s="421"/>
      <c r="M1290" s="421"/>
      <c r="N1290" s="421"/>
      <c r="O1290" s="421"/>
      <c r="P1290" s="421"/>
      <c r="Q1290" s="421"/>
      <c r="R1290" s="421"/>
    </row>
    <row r="1291" spans="1:18" s="10" customFormat="1" ht="15.75">
      <c r="A1291" s="162"/>
      <c r="B1291" s="523"/>
      <c r="C1291" s="523"/>
      <c r="D1291" s="523"/>
      <c r="E1291" s="523"/>
      <c r="F1291" s="604"/>
      <c r="G1291" s="523"/>
      <c r="H1291" s="421"/>
      <c r="I1291" s="523"/>
      <c r="J1291" s="523"/>
      <c r="K1291" s="523"/>
      <c r="L1291" s="421"/>
      <c r="M1291" s="421"/>
      <c r="N1291" s="421"/>
      <c r="O1291" s="421"/>
      <c r="P1291" s="421"/>
      <c r="Q1291" s="421"/>
      <c r="R1291" s="421"/>
    </row>
    <row r="1292" spans="1:18" s="10" customFormat="1" ht="15.75">
      <c r="A1292" s="162"/>
      <c r="B1292" s="523"/>
      <c r="C1292" s="523"/>
      <c r="D1292" s="523"/>
      <c r="E1292" s="523"/>
      <c r="F1292" s="604"/>
      <c r="G1292" s="523"/>
      <c r="H1292" s="421"/>
      <c r="I1292" s="523"/>
      <c r="J1292" s="523"/>
      <c r="K1292" s="523"/>
      <c r="L1292" s="421"/>
      <c r="M1292" s="421"/>
      <c r="N1292" s="421"/>
      <c r="O1292" s="421"/>
      <c r="P1292" s="421"/>
      <c r="Q1292" s="421"/>
      <c r="R1292" s="421"/>
    </row>
    <row r="1293" spans="1:18" s="10" customFormat="1" ht="15.75">
      <c r="A1293" s="162"/>
      <c r="B1293" s="523"/>
      <c r="C1293" s="523"/>
      <c r="D1293" s="523"/>
      <c r="E1293" s="523"/>
      <c r="F1293" s="604"/>
      <c r="G1293" s="523"/>
      <c r="H1293" s="421"/>
      <c r="I1293" s="523"/>
      <c r="J1293" s="523"/>
      <c r="K1293" s="523"/>
      <c r="L1293" s="421"/>
      <c r="M1293" s="421"/>
      <c r="N1293" s="421"/>
      <c r="O1293" s="421"/>
      <c r="P1293" s="421"/>
      <c r="Q1293" s="421"/>
      <c r="R1293" s="421"/>
    </row>
    <row r="1294" spans="1:18" s="10" customFormat="1" ht="15.75">
      <c r="A1294" s="162"/>
      <c r="B1294" s="523"/>
      <c r="C1294" s="523"/>
      <c r="D1294" s="523"/>
      <c r="E1294" s="523"/>
      <c r="F1294" s="604"/>
      <c r="G1294" s="523"/>
      <c r="H1294" s="421"/>
      <c r="I1294" s="523"/>
      <c r="J1294" s="523"/>
      <c r="K1294" s="523"/>
      <c r="L1294" s="421"/>
      <c r="M1294" s="421"/>
      <c r="N1294" s="421"/>
      <c r="O1294" s="421"/>
      <c r="P1294" s="421"/>
      <c r="Q1294" s="421"/>
      <c r="R1294" s="421"/>
    </row>
    <row r="1295" spans="1:18" s="10" customFormat="1" ht="15.75">
      <c r="A1295" s="162"/>
      <c r="B1295" s="523"/>
      <c r="C1295" s="523"/>
      <c r="D1295" s="523"/>
      <c r="E1295" s="523"/>
      <c r="F1295" s="604"/>
      <c r="G1295" s="523"/>
      <c r="H1295" s="421"/>
      <c r="I1295" s="523"/>
      <c r="J1295" s="523"/>
      <c r="K1295" s="523"/>
      <c r="L1295" s="421"/>
      <c r="M1295" s="421"/>
      <c r="N1295" s="421"/>
      <c r="O1295" s="421"/>
      <c r="P1295" s="421"/>
      <c r="Q1295" s="421"/>
      <c r="R1295" s="421"/>
    </row>
    <row r="1296" spans="1:18" s="10" customFormat="1" ht="15.75">
      <c r="A1296" s="162"/>
      <c r="B1296" s="523"/>
      <c r="C1296" s="523"/>
      <c r="D1296" s="523"/>
      <c r="E1296" s="523"/>
      <c r="F1296" s="604"/>
      <c r="G1296" s="523"/>
      <c r="H1296" s="421"/>
      <c r="I1296" s="523"/>
      <c r="J1296" s="523"/>
      <c r="K1296" s="523"/>
      <c r="L1296" s="421"/>
      <c r="M1296" s="421"/>
      <c r="N1296" s="421"/>
      <c r="O1296" s="421"/>
      <c r="P1296" s="421"/>
      <c r="Q1296" s="421"/>
      <c r="R1296" s="421"/>
    </row>
    <row r="1297" spans="1:18" s="10" customFormat="1" ht="15.75">
      <c r="A1297" s="162"/>
      <c r="B1297" s="523"/>
      <c r="C1297" s="523"/>
      <c r="D1297" s="523"/>
      <c r="E1297" s="523"/>
      <c r="F1297" s="604"/>
      <c r="G1297" s="523"/>
      <c r="H1297" s="421"/>
      <c r="I1297" s="523"/>
      <c r="J1297" s="523"/>
      <c r="K1297" s="523"/>
      <c r="L1297" s="421"/>
      <c r="M1297" s="421"/>
      <c r="N1297" s="421"/>
      <c r="O1297" s="421"/>
      <c r="P1297" s="421"/>
      <c r="Q1297" s="421"/>
      <c r="R1297" s="421"/>
    </row>
  </sheetData>
  <mergeCells count="1">
    <mergeCell ref="B1:O1"/>
  </mergeCells>
  <phoneticPr fontId="0" type="noConversion"/>
  <pageMargins left="0.19685039370078741" right="0.15748031496062992" top="0.19685039370078741" bottom="0.19685039370078741" header="0.51181102362204722" footer="0.51181102362204722"/>
  <pageSetup paperSize="9" scale="70" orientation="landscape" r:id="rId1"/>
  <headerFooter alignWithMargins="0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V1334"/>
  <sheetViews>
    <sheetView zoomScale="75" zoomScaleNormal="100" workbookViewId="0">
      <pane ySplit="2280" topLeftCell="A1210" activePane="bottomLeft"/>
      <selection activeCell="L1" sqref="L1:L65536"/>
      <selection pane="bottomLeft" activeCell="M1204" sqref="M1204"/>
    </sheetView>
  </sheetViews>
  <sheetFormatPr defaultRowHeight="12.75"/>
  <cols>
    <col min="2" max="2" width="22.85546875" customWidth="1"/>
    <col min="3" max="3" width="13.28515625" customWidth="1"/>
    <col min="4" max="5" width="11" customWidth="1"/>
    <col min="6" max="6" width="14" style="660" customWidth="1"/>
    <col min="7" max="11" width="9.140625" style="38"/>
    <col min="12" max="12" width="0" style="38" hidden="1" customWidth="1"/>
    <col min="13" max="13" width="9.140625" style="38"/>
  </cols>
  <sheetData>
    <row r="1" spans="1:14" s="6" customFormat="1" ht="15.75">
      <c r="A1" s="5" t="s">
        <v>640</v>
      </c>
      <c r="F1" s="651"/>
      <c r="G1" s="34"/>
      <c r="H1" s="34"/>
      <c r="I1" s="34"/>
      <c r="J1" s="34"/>
      <c r="K1" s="34"/>
      <c r="L1" s="34"/>
      <c r="M1" s="34"/>
    </row>
    <row r="2" spans="1:14" s="6" customFormat="1" ht="15.75">
      <c r="B2" s="5" t="s">
        <v>672</v>
      </c>
      <c r="F2" s="651"/>
      <c r="G2" s="34"/>
      <c r="H2" s="34"/>
      <c r="I2" s="34"/>
      <c r="J2" s="34"/>
      <c r="K2" s="34">
        <v>17.84</v>
      </c>
      <c r="L2" s="34"/>
      <c r="M2" s="34"/>
    </row>
    <row r="3" spans="1:14" s="6" customFormat="1" ht="94.5">
      <c r="A3" s="8" t="s">
        <v>574</v>
      </c>
      <c r="B3" s="8" t="s">
        <v>674</v>
      </c>
      <c r="C3" s="15" t="s">
        <v>1331</v>
      </c>
      <c r="D3" s="15" t="s">
        <v>610</v>
      </c>
      <c r="E3" s="15" t="s">
        <v>611</v>
      </c>
      <c r="F3" s="652" t="s">
        <v>575</v>
      </c>
      <c r="G3" s="44" t="s">
        <v>597</v>
      </c>
      <c r="H3" s="44" t="s">
        <v>578</v>
      </c>
      <c r="I3" s="44" t="s">
        <v>579</v>
      </c>
      <c r="J3" s="44" t="s">
        <v>580</v>
      </c>
      <c r="K3" s="44" t="s">
        <v>581</v>
      </c>
      <c r="L3" s="44">
        <v>1.29</v>
      </c>
      <c r="M3" s="44" t="s">
        <v>598</v>
      </c>
    </row>
    <row r="4" spans="1:14" s="6" customFormat="1" ht="12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653"/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/>
      <c r="M4" s="42">
        <v>11</v>
      </c>
    </row>
    <row r="5" spans="1:14" s="209" customFormat="1" ht="15.75">
      <c r="A5" s="510" t="s">
        <v>682</v>
      </c>
      <c r="B5" s="339"/>
      <c r="C5" s="339"/>
      <c r="D5" s="339"/>
      <c r="E5" s="339"/>
      <c r="F5" s="339"/>
      <c r="G5" s="666"/>
      <c r="H5" s="342"/>
      <c r="I5" s="342"/>
      <c r="J5" s="342"/>
      <c r="K5" s="342"/>
      <c r="L5" s="342"/>
      <c r="M5" s="340"/>
    </row>
    <row r="6" spans="1:14" s="6" customFormat="1" ht="15.75">
      <c r="A6" s="311">
        <v>1</v>
      </c>
      <c r="B6" s="312" t="s">
        <v>683</v>
      </c>
      <c r="C6" s="386">
        <v>9570.0499999999993</v>
      </c>
      <c r="D6" s="386"/>
      <c r="E6" s="386"/>
      <c r="F6" s="625">
        <f>C6+D6+E6</f>
        <v>9570.0499999999993</v>
      </c>
      <c r="G6" s="661">
        <f t="shared" ref="G6:G66" si="0">1/252216.83*F6</f>
        <v>3.7943740709135074E-2</v>
      </c>
      <c r="H6" s="46">
        <f t="shared" ref="H6:H66" si="1">G6*2348.06</f>
        <v>89.094179809491706</v>
      </c>
      <c r="I6" s="37">
        <f>H6*0.3677</f>
        <v>32.759929915950103</v>
      </c>
      <c r="J6" s="210">
        <v>38.84735085006303</v>
      </c>
      <c r="K6" s="37">
        <f>G6*17.84</f>
        <v>0.67691633425096975</v>
      </c>
      <c r="L6" s="37"/>
      <c r="M6" s="45">
        <f>(K6+J6+I6+H6)/F6</f>
        <v>1.6862856192993329E-2</v>
      </c>
      <c r="N6" s="6" t="s">
        <v>1416</v>
      </c>
    </row>
    <row r="7" spans="1:14" s="6" customFormat="1" ht="15.75">
      <c r="A7" s="311">
        <v>2</v>
      </c>
      <c r="B7" s="312" t="s">
        <v>684</v>
      </c>
      <c r="C7" s="330">
        <v>4259.1400000000003</v>
      </c>
      <c r="D7" s="330"/>
      <c r="E7" s="330"/>
      <c r="F7" s="625">
        <f t="shared" ref="F7:F79" si="2">C7+D7+E7</f>
        <v>4259.1400000000003</v>
      </c>
      <c r="G7" s="661">
        <f t="shared" si="0"/>
        <v>1.6886819170631874E-2</v>
      </c>
      <c r="H7" s="46">
        <f t="shared" si="1"/>
        <v>39.651264621793878</v>
      </c>
      <c r="I7" s="37">
        <f t="shared" ref="I7:I69" si="3">H7*0.3677</f>
        <v>14.57977000143361</v>
      </c>
      <c r="J7" s="210">
        <v>17.288969848594046</v>
      </c>
      <c r="K7" s="37">
        <f t="shared" ref="K7:K59" si="4">G7*17.84</f>
        <v>0.30126085400407265</v>
      </c>
      <c r="L7" s="37"/>
      <c r="M7" s="45">
        <f t="shared" ref="M7:M70" si="5">(K7+J7+I7+H7)/F7</f>
        <v>1.6862856192993329E-2</v>
      </c>
      <c r="N7" s="6" t="s">
        <v>1417</v>
      </c>
    </row>
    <row r="8" spans="1:14" s="6" customFormat="1" ht="15.75">
      <c r="A8" s="311">
        <v>3</v>
      </c>
      <c r="B8" s="312" t="s">
        <v>685</v>
      </c>
      <c r="C8" s="330">
        <v>8696.41</v>
      </c>
      <c r="D8" s="330"/>
      <c r="E8" s="330"/>
      <c r="F8" s="625">
        <f t="shared" si="2"/>
        <v>8696.41</v>
      </c>
      <c r="G8" s="661">
        <f t="shared" si="0"/>
        <v>3.4479895730986705E-2</v>
      </c>
      <c r="H8" s="46">
        <f t="shared" si="1"/>
        <v>80.960863970100647</v>
      </c>
      <c r="I8" s="37">
        <f t="shared" si="3"/>
        <v>29.769309681806011</v>
      </c>
      <c r="J8" s="210">
        <v>35.301016233561647</v>
      </c>
      <c r="K8" s="37">
        <f t="shared" si="4"/>
        <v>0.61512133984080286</v>
      </c>
      <c r="L8" s="37"/>
      <c r="M8" s="45">
        <f t="shared" si="5"/>
        <v>1.6862856192993325E-2</v>
      </c>
    </row>
    <row r="9" spans="1:14" s="6" customFormat="1" ht="15.75">
      <c r="A9" s="311">
        <v>4</v>
      </c>
      <c r="B9" s="312" t="s">
        <v>686</v>
      </c>
      <c r="C9" s="330">
        <v>2719.72</v>
      </c>
      <c r="D9" s="330"/>
      <c r="E9" s="330"/>
      <c r="F9" s="625">
        <f t="shared" si="2"/>
        <v>2719.72</v>
      </c>
      <c r="G9" s="661">
        <f t="shared" si="0"/>
        <v>1.078326137078164E-2</v>
      </c>
      <c r="H9" s="46">
        <f t="shared" si="1"/>
        <v>25.319744694277539</v>
      </c>
      <c r="I9" s="37">
        <f t="shared" si="3"/>
        <v>9.3100701240858523</v>
      </c>
      <c r="J9" s="210">
        <v>11.040059043989677</v>
      </c>
      <c r="K9" s="37">
        <f t="shared" si="4"/>
        <v>0.19237338285474445</v>
      </c>
      <c r="L9" s="37"/>
      <c r="M9" s="45">
        <f t="shared" si="5"/>
        <v>1.6862856192993329E-2</v>
      </c>
    </row>
    <row r="10" spans="1:14" s="6" customFormat="1" ht="15.75">
      <c r="A10" s="311">
        <v>5</v>
      </c>
      <c r="B10" s="312" t="s">
        <v>687</v>
      </c>
      <c r="C10" s="330">
        <v>4138.7</v>
      </c>
      <c r="D10" s="330"/>
      <c r="E10" s="330"/>
      <c r="F10" s="625">
        <f t="shared" si="2"/>
        <v>4138.7</v>
      </c>
      <c r="G10" s="661">
        <f t="shared" si="0"/>
        <v>1.6409293543178702E-2</v>
      </c>
      <c r="H10" s="46">
        <f t="shared" si="1"/>
        <v>38.530005796996178</v>
      </c>
      <c r="I10" s="37">
        <f t="shared" si="3"/>
        <v>14.167483131555496</v>
      </c>
      <c r="J10" s="210">
        <v>16.8000722005795</v>
      </c>
      <c r="K10" s="37">
        <f t="shared" si="4"/>
        <v>0.29274179681030804</v>
      </c>
      <c r="L10" s="37"/>
      <c r="M10" s="45">
        <f t="shared" si="5"/>
        <v>1.6862856192993329E-2</v>
      </c>
    </row>
    <row r="11" spans="1:14" s="6" customFormat="1" ht="15.75">
      <c r="A11" s="311">
        <v>6</v>
      </c>
      <c r="B11" s="312" t="s">
        <v>688</v>
      </c>
      <c r="C11" s="330">
        <v>4166.1899999999996</v>
      </c>
      <c r="D11" s="330"/>
      <c r="E11" s="330"/>
      <c r="F11" s="625">
        <f t="shared" si="2"/>
        <v>4166.1899999999996</v>
      </c>
      <c r="G11" s="661">
        <f t="shared" si="0"/>
        <v>1.6518287062762625E-2</v>
      </c>
      <c r="H11" s="46">
        <f t="shared" si="1"/>
        <v>38.78592912059041</v>
      </c>
      <c r="I11" s="37">
        <f t="shared" si="3"/>
        <v>14.261586137641094</v>
      </c>
      <c r="J11" s="210">
        <v>16.911661343255684</v>
      </c>
      <c r="K11" s="37">
        <f t="shared" si="4"/>
        <v>0.29468624119968523</v>
      </c>
      <c r="L11" s="37"/>
      <c r="M11" s="45">
        <f t="shared" si="5"/>
        <v>1.6862856192993329E-2</v>
      </c>
    </row>
    <row r="12" spans="1:14" s="6" customFormat="1" ht="15.75">
      <c r="A12" s="311">
        <v>7</v>
      </c>
      <c r="B12" s="312" t="s">
        <v>689</v>
      </c>
      <c r="C12" s="330">
        <v>3572.8</v>
      </c>
      <c r="D12" s="330"/>
      <c r="E12" s="330"/>
      <c r="F12" s="625">
        <f t="shared" si="2"/>
        <v>3572.8</v>
      </c>
      <c r="G12" s="661">
        <f t="shared" si="0"/>
        <v>1.4165589187684265E-2</v>
      </c>
      <c r="H12" s="46">
        <f t="shared" si="1"/>
        <v>33.261653348033917</v>
      </c>
      <c r="I12" s="37">
        <f t="shared" si="3"/>
        <v>12.230309936072072</v>
      </c>
      <c r="J12" s="210">
        <v>14.502935211112293</v>
      </c>
      <c r="K12" s="37">
        <f t="shared" si="4"/>
        <v>0.25271411110828729</v>
      </c>
      <c r="L12" s="37"/>
      <c r="M12" s="45">
        <f t="shared" si="5"/>
        <v>1.6862856192993329E-2</v>
      </c>
    </row>
    <row r="13" spans="1:14" s="6" customFormat="1" ht="15.75">
      <c r="A13" s="311">
        <v>8</v>
      </c>
      <c r="B13" s="312" t="s">
        <v>690</v>
      </c>
      <c r="C13" s="330">
        <v>6443.05</v>
      </c>
      <c r="D13" s="330"/>
      <c r="E13" s="330"/>
      <c r="F13" s="625">
        <f t="shared" si="2"/>
        <v>6443.05</v>
      </c>
      <c r="G13" s="661">
        <f t="shared" si="0"/>
        <v>2.5545678295932909E-2</v>
      </c>
      <c r="H13" s="46">
        <f t="shared" si="1"/>
        <v>59.982785379548226</v>
      </c>
      <c r="I13" s="37">
        <f t="shared" si="3"/>
        <v>22.055670184059885</v>
      </c>
      <c r="J13" s="210">
        <v>26.154035129858112</v>
      </c>
      <c r="K13" s="37">
        <f t="shared" si="4"/>
        <v>0.45573490079944307</v>
      </c>
      <c r="L13" s="37"/>
      <c r="M13" s="45">
        <f t="shared" si="5"/>
        <v>1.6862856192993325E-2</v>
      </c>
    </row>
    <row r="14" spans="1:14" s="6" customFormat="1" ht="15.75">
      <c r="A14" s="311">
        <v>9</v>
      </c>
      <c r="B14" s="312" t="s">
        <v>691</v>
      </c>
      <c r="C14" s="330">
        <v>6459.7</v>
      </c>
      <c r="D14" s="330"/>
      <c r="E14" s="330"/>
      <c r="F14" s="625">
        <f t="shared" si="2"/>
        <v>6459.7</v>
      </c>
      <c r="G14" s="661">
        <f t="shared" si="0"/>
        <v>2.5611692923109056E-2</v>
      </c>
      <c r="H14" s="46">
        <f t="shared" si="1"/>
        <v>60.137791685035452</v>
      </c>
      <c r="I14" s="37">
        <f t="shared" si="3"/>
        <v>22.112666002587538</v>
      </c>
      <c r="J14" s="210">
        <v>26.221621860507746</v>
      </c>
      <c r="K14" s="37">
        <f t="shared" si="4"/>
        <v>0.45691260174826553</v>
      </c>
      <c r="L14" s="37"/>
      <c r="M14" s="45">
        <f t="shared" si="5"/>
        <v>1.6862856192993329E-2</v>
      </c>
    </row>
    <row r="15" spans="1:14" s="6" customFormat="1" ht="15.75">
      <c r="A15" s="311">
        <v>10</v>
      </c>
      <c r="B15" s="312" t="s">
        <v>692</v>
      </c>
      <c r="C15" s="330">
        <v>4374.04</v>
      </c>
      <c r="D15" s="330"/>
      <c r="E15" s="330"/>
      <c r="F15" s="625">
        <f t="shared" si="2"/>
        <v>4374.04</v>
      </c>
      <c r="G15" s="661">
        <f t="shared" si="0"/>
        <v>1.7342379570784393E-2</v>
      </c>
      <c r="H15" s="46">
        <f t="shared" si="1"/>
        <v>40.720947774976004</v>
      </c>
      <c r="I15" s="37">
        <f t="shared" si="3"/>
        <v>14.973092496858678</v>
      </c>
      <c r="J15" s="210">
        <v>17.755379179023066</v>
      </c>
      <c r="K15" s="37">
        <f t="shared" si="4"/>
        <v>0.30938805154279359</v>
      </c>
      <c r="L15" s="37"/>
      <c r="M15" s="45">
        <f t="shared" si="5"/>
        <v>1.6862856192993329E-2</v>
      </c>
    </row>
    <row r="16" spans="1:14" s="6" customFormat="1" ht="15.75">
      <c r="A16" s="311">
        <v>11</v>
      </c>
      <c r="B16" s="312" t="s">
        <v>693</v>
      </c>
      <c r="C16" s="330">
        <v>3413.87</v>
      </c>
      <c r="D16" s="330"/>
      <c r="E16" s="330">
        <v>85.7</v>
      </c>
      <c r="F16" s="625">
        <f t="shared" si="2"/>
        <v>3499.5699999999997</v>
      </c>
      <c r="G16" s="661">
        <f t="shared" si="0"/>
        <v>1.3875243773383401E-2</v>
      </c>
      <c r="H16" s="46">
        <f t="shared" si="1"/>
        <v>32.579904894530628</v>
      </c>
      <c r="I16" s="37">
        <f t="shared" si="3"/>
        <v>11.979631029718913</v>
      </c>
      <c r="J16" s="210">
        <v>14.205675374146956</v>
      </c>
      <c r="K16" s="37">
        <f t="shared" si="4"/>
        <v>0.24753434891715989</v>
      </c>
      <c r="L16" s="37"/>
      <c r="M16" s="45">
        <f t="shared" si="5"/>
        <v>1.6862856192993329E-2</v>
      </c>
    </row>
    <row r="17" spans="1:13" s="6" customFormat="1" ht="15.75">
      <c r="A17" s="311">
        <v>12</v>
      </c>
      <c r="B17" s="312" t="s">
        <v>694</v>
      </c>
      <c r="C17" s="330">
        <v>3466.61</v>
      </c>
      <c r="D17" s="330">
        <v>97.8</v>
      </c>
      <c r="E17" s="330"/>
      <c r="F17" s="625">
        <f t="shared" si="2"/>
        <v>3564.4100000000003</v>
      </c>
      <c r="G17" s="661">
        <f t="shared" si="0"/>
        <v>1.4132324159335444E-2</v>
      </c>
      <c r="H17" s="46">
        <f t="shared" si="1"/>
        <v>33.183545065569184</v>
      </c>
      <c r="I17" s="37">
        <f t="shared" si="3"/>
        <v>12.20158952060979</v>
      </c>
      <c r="J17" s="210">
        <v>14.46887799368584</v>
      </c>
      <c r="K17" s="37">
        <f t="shared" si="4"/>
        <v>0.25212066300254432</v>
      </c>
      <c r="L17" s="37"/>
      <c r="M17" s="45">
        <f t="shared" si="5"/>
        <v>1.6862856192993329E-2</v>
      </c>
    </row>
    <row r="18" spans="1:13" s="6" customFormat="1" ht="15.75">
      <c r="A18" s="311">
        <v>13</v>
      </c>
      <c r="B18" s="312" t="s">
        <v>695</v>
      </c>
      <c r="C18" s="330">
        <v>5767.21</v>
      </c>
      <c r="D18" s="330">
        <v>261.60000000000002</v>
      </c>
      <c r="E18" s="330">
        <v>456.05</v>
      </c>
      <c r="F18" s="625">
        <f t="shared" si="2"/>
        <v>6484.8600000000006</v>
      </c>
      <c r="G18" s="661">
        <f t="shared" si="0"/>
        <v>2.5711448359730795E-2</v>
      </c>
      <c r="H18" s="46">
        <f t="shared" si="1"/>
        <v>60.372023435549487</v>
      </c>
      <c r="I18" s="37">
        <f t="shared" si="3"/>
        <v>22.198793017251546</v>
      </c>
      <c r="J18" s="210">
        <v>26.323752920156089</v>
      </c>
      <c r="K18" s="37">
        <f t="shared" si="4"/>
        <v>0.4586922387375974</v>
      </c>
      <c r="L18" s="37"/>
      <c r="M18" s="45">
        <f t="shared" si="5"/>
        <v>1.6862856192993329E-2</v>
      </c>
    </row>
    <row r="19" spans="1:13" s="6" customFormat="1" ht="15.75">
      <c r="A19" s="311">
        <v>14</v>
      </c>
      <c r="B19" s="312" t="s">
        <v>696</v>
      </c>
      <c r="C19" s="330">
        <v>5966.95</v>
      </c>
      <c r="D19" s="330"/>
      <c r="E19" s="330">
        <v>49.5</v>
      </c>
      <c r="F19" s="625">
        <f t="shared" si="2"/>
        <v>6016.45</v>
      </c>
      <c r="G19" s="661">
        <f t="shared" si="0"/>
        <v>2.3854276496933214E-2</v>
      </c>
      <c r="H19" s="46">
        <f t="shared" si="1"/>
        <v>56.011272471388999</v>
      </c>
      <c r="I19" s="37">
        <f t="shared" si="3"/>
        <v>20.595344887729738</v>
      </c>
      <c r="J19" s="210">
        <v>24.422353490510677</v>
      </c>
      <c r="K19" s="37">
        <f t="shared" si="4"/>
        <v>0.42556029270528856</v>
      </c>
      <c r="L19" s="37"/>
      <c r="M19" s="45">
        <f t="shared" si="5"/>
        <v>1.6862856192993329E-2</v>
      </c>
    </row>
    <row r="20" spans="1:13" s="6" customFormat="1" ht="15.75">
      <c r="A20" s="311">
        <v>15</v>
      </c>
      <c r="B20" s="312" t="s">
        <v>697</v>
      </c>
      <c r="C20" s="330">
        <v>8566.1200000000008</v>
      </c>
      <c r="D20" s="330"/>
      <c r="E20" s="330"/>
      <c r="F20" s="625">
        <f t="shared" si="2"/>
        <v>8566.1200000000008</v>
      </c>
      <c r="G20" s="661">
        <f t="shared" si="0"/>
        <v>3.3963316405174075E-2</v>
      </c>
      <c r="H20" s="46">
        <f t="shared" si="1"/>
        <v>79.747904718333032</v>
      </c>
      <c r="I20" s="37">
        <f t="shared" si="3"/>
        <v>29.323304564931057</v>
      </c>
      <c r="J20" s="210">
        <v>34.772134843991616</v>
      </c>
      <c r="K20" s="37">
        <f t="shared" si="4"/>
        <v>0.60590556466830547</v>
      </c>
      <c r="L20" s="37"/>
      <c r="M20" s="45">
        <f t="shared" si="5"/>
        <v>1.6862856192993329E-2</v>
      </c>
    </row>
    <row r="21" spans="1:13" s="6" customFormat="1" ht="15.75">
      <c r="A21" s="311">
        <v>16</v>
      </c>
      <c r="B21" s="312" t="s">
        <v>698</v>
      </c>
      <c r="C21" s="330">
        <v>5774.55</v>
      </c>
      <c r="D21" s="330">
        <v>201.5</v>
      </c>
      <c r="E21" s="330"/>
      <c r="F21" s="625">
        <f t="shared" si="2"/>
        <v>5976.05</v>
      </c>
      <c r="G21" s="661">
        <f t="shared" si="0"/>
        <v>2.3694096861022321E-2</v>
      </c>
      <c r="H21" s="46">
        <f t="shared" si="1"/>
        <v>55.635161075492071</v>
      </c>
      <c r="I21" s="37">
        <f t="shared" si="3"/>
        <v>20.457048727458435</v>
      </c>
      <c r="J21" s="210">
        <v>24.258359261186641</v>
      </c>
      <c r="K21" s="37">
        <f t="shared" si="4"/>
        <v>0.4227026880006382</v>
      </c>
      <c r="L21" s="37"/>
      <c r="M21" s="45">
        <f t="shared" si="5"/>
        <v>1.6862856192993329E-2</v>
      </c>
    </row>
    <row r="22" spans="1:13" s="6" customFormat="1" ht="15.75">
      <c r="A22" s="311">
        <v>17</v>
      </c>
      <c r="B22" s="312" t="s">
        <v>699</v>
      </c>
      <c r="C22" s="330">
        <v>3226.62</v>
      </c>
      <c r="D22" s="330"/>
      <c r="E22" s="330"/>
      <c r="F22" s="625">
        <f t="shared" si="2"/>
        <v>3226.62</v>
      </c>
      <c r="G22" s="661">
        <f t="shared" si="0"/>
        <v>1.2793040020366603E-2</v>
      </c>
      <c r="H22" s="46">
        <f t="shared" si="1"/>
        <v>30.038825550222004</v>
      </c>
      <c r="I22" s="37">
        <f t="shared" si="3"/>
        <v>11.045276154816632</v>
      </c>
      <c r="J22" s="210">
        <v>13.097699510434152</v>
      </c>
      <c r="K22" s="37">
        <f t="shared" si="4"/>
        <v>0.2282278339633402</v>
      </c>
      <c r="L22" s="37"/>
      <c r="M22" s="45">
        <f t="shared" si="5"/>
        <v>1.6862856192993329E-2</v>
      </c>
    </row>
    <row r="23" spans="1:13" s="6" customFormat="1" ht="15.75">
      <c r="A23" s="311">
        <v>18</v>
      </c>
      <c r="B23" s="312" t="s">
        <v>700</v>
      </c>
      <c r="C23" s="330">
        <v>3233.9</v>
      </c>
      <c r="D23" s="330"/>
      <c r="E23" s="330"/>
      <c r="F23" s="625">
        <f t="shared" si="2"/>
        <v>3233.9</v>
      </c>
      <c r="G23" s="661">
        <f t="shared" si="0"/>
        <v>1.282190407357035E-2</v>
      </c>
      <c r="H23" s="46">
        <f t="shared" si="1"/>
        <v>30.106600078987594</v>
      </c>
      <c r="I23" s="37">
        <f t="shared" si="3"/>
        <v>11.070196849043739</v>
      </c>
      <c r="J23" s="210">
        <v>13.127250945817298</v>
      </c>
      <c r="K23" s="37">
        <f t="shared" si="4"/>
        <v>0.22874276867249504</v>
      </c>
      <c r="L23" s="37"/>
      <c r="M23" s="45">
        <f t="shared" si="5"/>
        <v>1.6862856192993325E-2</v>
      </c>
    </row>
    <row r="24" spans="1:13" s="6" customFormat="1" ht="15.75">
      <c r="A24" s="311">
        <v>19</v>
      </c>
      <c r="B24" s="312" t="s">
        <v>701</v>
      </c>
      <c r="C24" s="330">
        <v>6095.4</v>
      </c>
      <c r="D24" s="330"/>
      <c r="E24" s="330"/>
      <c r="F24" s="625">
        <f t="shared" si="2"/>
        <v>6095.4</v>
      </c>
      <c r="G24" s="661">
        <f t="shared" si="0"/>
        <v>2.4167300810179874E-2</v>
      </c>
      <c r="H24" s="46">
        <f t="shared" si="1"/>
        <v>56.746272340350956</v>
      </c>
      <c r="I24" s="37">
        <f t="shared" si="3"/>
        <v>20.865604339547048</v>
      </c>
      <c r="J24" s="210">
        <v>24.742832312419914</v>
      </c>
      <c r="K24" s="37">
        <f t="shared" si="4"/>
        <v>0.43114464645360895</v>
      </c>
      <c r="L24" s="37"/>
      <c r="M24" s="45">
        <f t="shared" si="5"/>
        <v>1.6862856192993329E-2</v>
      </c>
    </row>
    <row r="25" spans="1:13" s="6" customFormat="1" ht="15.75">
      <c r="A25" s="311">
        <v>20</v>
      </c>
      <c r="B25" s="312" t="s">
        <v>702</v>
      </c>
      <c r="C25" s="330">
        <v>6384.91</v>
      </c>
      <c r="D25" s="330"/>
      <c r="E25" s="330"/>
      <c r="F25" s="625">
        <f t="shared" si="2"/>
        <v>6384.91</v>
      </c>
      <c r="G25" s="661">
        <f t="shared" si="0"/>
        <v>2.5315162354550249E-2</v>
      </c>
      <c r="H25" s="46">
        <f t="shared" si="1"/>
        <v>59.441520118225256</v>
      </c>
      <c r="I25" s="37">
        <f t="shared" si="3"/>
        <v>21.856646947471429</v>
      </c>
      <c r="J25" s="210">
        <v>25.918029573103162</v>
      </c>
      <c r="K25" s="37">
        <f t="shared" si="4"/>
        <v>0.45162249640517643</v>
      </c>
      <c r="L25" s="37"/>
      <c r="M25" s="45">
        <f t="shared" si="5"/>
        <v>1.6862856192993329E-2</v>
      </c>
    </row>
    <row r="26" spans="1:13" s="6" customFormat="1" ht="15.75">
      <c r="A26" s="311">
        <v>21</v>
      </c>
      <c r="B26" s="312" t="s">
        <v>703</v>
      </c>
      <c r="C26" s="330">
        <v>3929.49</v>
      </c>
      <c r="D26" s="330">
        <v>464.4</v>
      </c>
      <c r="E26" s="330"/>
      <c r="F26" s="625">
        <f t="shared" si="2"/>
        <v>4393.8899999999994</v>
      </c>
      <c r="G26" s="661">
        <f t="shared" si="0"/>
        <v>1.7421081693874272E-2</v>
      </c>
      <c r="H26" s="46">
        <f t="shared" si="1"/>
        <v>40.905745082118422</v>
      </c>
      <c r="I26" s="37">
        <f t="shared" si="3"/>
        <v>15.041042466694945</v>
      </c>
      <c r="J26" s="210">
        <v>17.835955551599358</v>
      </c>
      <c r="K26" s="37">
        <f t="shared" si="4"/>
        <v>0.31079209741871699</v>
      </c>
      <c r="L26" s="37"/>
      <c r="M26" s="45">
        <f t="shared" si="5"/>
        <v>1.6862856192993329E-2</v>
      </c>
    </row>
    <row r="27" spans="1:13" s="6" customFormat="1" ht="15.75">
      <c r="A27" s="311">
        <v>22</v>
      </c>
      <c r="B27" s="312" t="s">
        <v>704</v>
      </c>
      <c r="C27" s="330">
        <v>7174.09</v>
      </c>
      <c r="D27" s="330"/>
      <c r="E27" s="330"/>
      <c r="F27" s="625">
        <f t="shared" si="2"/>
        <v>7174.09</v>
      </c>
      <c r="G27" s="661">
        <f t="shared" si="0"/>
        <v>2.8444136737425494E-2</v>
      </c>
      <c r="H27" s="46">
        <f t="shared" si="1"/>
        <v>66.788539707679305</v>
      </c>
      <c r="I27" s="37">
        <f t="shared" si="3"/>
        <v>24.558146050513681</v>
      </c>
      <c r="J27" s="210">
        <v>29.121518828002852</v>
      </c>
      <c r="K27" s="37">
        <f t="shared" si="4"/>
        <v>0.50744339939567085</v>
      </c>
      <c r="L27" s="37"/>
      <c r="M27" s="45">
        <f t="shared" si="5"/>
        <v>1.6862856192993329E-2</v>
      </c>
    </row>
    <row r="28" spans="1:13" s="6" customFormat="1" ht="15.75">
      <c r="A28" s="311">
        <v>23</v>
      </c>
      <c r="B28" s="312" t="s">
        <v>705</v>
      </c>
      <c r="C28" s="330">
        <v>3836.07</v>
      </c>
      <c r="D28" s="330"/>
      <c r="E28" s="330">
        <v>416</v>
      </c>
      <c r="F28" s="625">
        <f t="shared" si="2"/>
        <v>4252.07</v>
      </c>
      <c r="G28" s="661">
        <f t="shared" si="0"/>
        <v>1.6858787734347465E-2</v>
      </c>
      <c r="H28" s="46">
        <f t="shared" si="1"/>
        <v>39.58544512751191</v>
      </c>
      <c r="I28" s="37">
        <f t="shared" si="3"/>
        <v>14.555568173386131</v>
      </c>
      <c r="J28" s="210">
        <v>17.260270858462338</v>
      </c>
      <c r="K28" s="37">
        <f t="shared" si="4"/>
        <v>0.30076077318075878</v>
      </c>
      <c r="L28" s="37"/>
      <c r="M28" s="45">
        <f t="shared" si="5"/>
        <v>1.6862856192993325E-2</v>
      </c>
    </row>
    <row r="29" spans="1:13" s="6" customFormat="1" ht="15.75">
      <c r="A29" s="311">
        <v>24</v>
      </c>
      <c r="B29" s="312" t="s">
        <v>706</v>
      </c>
      <c r="C29" s="330">
        <v>2413.89</v>
      </c>
      <c r="D29" s="330"/>
      <c r="E29" s="330"/>
      <c r="F29" s="625">
        <f t="shared" si="2"/>
        <v>2413.89</v>
      </c>
      <c r="G29" s="661">
        <f t="shared" si="0"/>
        <v>9.5706935972512223E-3</v>
      </c>
      <c r="H29" s="46">
        <f t="shared" si="1"/>
        <v>22.472562807961705</v>
      </c>
      <c r="I29" s="37">
        <f t="shared" si="3"/>
        <v>8.2631613444875196</v>
      </c>
      <c r="J29" s="210">
        <v>9.7986146094804774</v>
      </c>
      <c r="K29" s="37">
        <f t="shared" si="4"/>
        <v>0.17074117377496181</v>
      </c>
      <c r="L29" s="37"/>
      <c r="M29" s="45">
        <f t="shared" si="5"/>
        <v>1.6862856192993329E-2</v>
      </c>
    </row>
    <row r="30" spans="1:13" s="6" customFormat="1" ht="15.75">
      <c r="A30" s="311">
        <v>25</v>
      </c>
      <c r="B30" s="312" t="s">
        <v>707</v>
      </c>
      <c r="C30" s="330">
        <v>6323.28</v>
      </c>
      <c r="D30" s="330"/>
      <c r="E30" s="330"/>
      <c r="F30" s="625">
        <f t="shared" si="2"/>
        <v>6323.28</v>
      </c>
      <c r="G30" s="661">
        <f t="shared" si="0"/>
        <v>2.5070809112936673E-2</v>
      </c>
      <c r="H30" s="46">
        <f t="shared" si="1"/>
        <v>58.867764045722083</v>
      </c>
      <c r="I30" s="37">
        <f t="shared" si="3"/>
        <v>21.645676839612012</v>
      </c>
      <c r="J30" s="210">
        <v>25.667857188121957</v>
      </c>
      <c r="K30" s="37">
        <f t="shared" si="4"/>
        <v>0.44726323457479022</v>
      </c>
      <c r="L30" s="37"/>
      <c r="M30" s="45">
        <f t="shared" si="5"/>
        <v>1.6862856192993325E-2</v>
      </c>
    </row>
    <row r="31" spans="1:13" s="6" customFormat="1" ht="15.75">
      <c r="A31" s="311">
        <v>26</v>
      </c>
      <c r="B31" s="312" t="s">
        <v>708</v>
      </c>
      <c r="C31" s="330">
        <v>4396.59</v>
      </c>
      <c r="D31" s="330"/>
      <c r="E31" s="330"/>
      <c r="F31" s="625">
        <f t="shared" si="2"/>
        <v>4396.59</v>
      </c>
      <c r="G31" s="661">
        <f t="shared" si="0"/>
        <v>1.7431786768551491E-2</v>
      </c>
      <c r="H31" s="46">
        <f t="shared" si="1"/>
        <v>40.930881239765014</v>
      </c>
      <c r="I31" s="37">
        <f t="shared" si="3"/>
        <v>15.050285031861597</v>
      </c>
      <c r="J31" s="210">
        <v>17.846915561974978</v>
      </c>
      <c r="K31" s="37">
        <f t="shared" si="4"/>
        <v>0.31098307595095859</v>
      </c>
      <c r="L31" s="37"/>
      <c r="M31" s="45">
        <f t="shared" si="5"/>
        <v>1.6862856192993329E-2</v>
      </c>
    </row>
    <row r="32" spans="1:13" s="6" customFormat="1" ht="15.75">
      <c r="A32" s="311">
        <v>27</v>
      </c>
      <c r="B32" s="312" t="s">
        <v>709</v>
      </c>
      <c r="C32" s="330">
        <v>6702.46</v>
      </c>
      <c r="D32" s="330"/>
      <c r="E32" s="330"/>
      <c r="F32" s="625">
        <f t="shared" si="2"/>
        <v>6702.46</v>
      </c>
      <c r="G32" s="661">
        <f t="shared" si="0"/>
        <v>2.657419808186472E-2</v>
      </c>
      <c r="H32" s="46">
        <f t="shared" si="1"/>
        <v>62.39781154810327</v>
      </c>
      <c r="I32" s="37">
        <f t="shared" si="3"/>
        <v>22.943675306237573</v>
      </c>
      <c r="J32" s="210">
        <v>27.207048571168745</v>
      </c>
      <c r="K32" s="37">
        <f t="shared" si="4"/>
        <v>0.47408369378046661</v>
      </c>
      <c r="L32" s="37"/>
      <c r="M32" s="45">
        <f t="shared" si="5"/>
        <v>1.6862856192993329E-2</v>
      </c>
    </row>
    <row r="33" spans="1:13" s="6" customFormat="1" ht="15.75">
      <c r="A33" s="311">
        <v>28</v>
      </c>
      <c r="B33" s="312" t="s">
        <v>710</v>
      </c>
      <c r="C33" s="330">
        <v>6185.24</v>
      </c>
      <c r="D33" s="330"/>
      <c r="E33" s="330"/>
      <c r="F33" s="625">
        <f t="shared" si="2"/>
        <v>6185.24</v>
      </c>
      <c r="G33" s="661">
        <f t="shared" si="0"/>
        <v>2.4523502257957963E-2</v>
      </c>
      <c r="H33" s="46">
        <f t="shared" si="1"/>
        <v>57.582654711820773</v>
      </c>
      <c r="I33" s="37">
        <f t="shared" si="3"/>
        <v>21.173142137536498</v>
      </c>
      <c r="J33" s="210">
        <v>25.107516509510802</v>
      </c>
      <c r="K33" s="37">
        <f t="shared" si="4"/>
        <v>0.43749928028197005</v>
      </c>
      <c r="L33" s="37"/>
      <c r="M33" s="45">
        <f t="shared" si="5"/>
        <v>1.6862856192993329E-2</v>
      </c>
    </row>
    <row r="34" spans="1:13" s="6" customFormat="1" ht="15.75">
      <c r="A34" s="311">
        <v>29</v>
      </c>
      <c r="B34" s="312" t="s">
        <v>711</v>
      </c>
      <c r="C34" s="330">
        <v>6856.85</v>
      </c>
      <c r="D34" s="330"/>
      <c r="E34" s="330"/>
      <c r="F34" s="625">
        <f t="shared" si="2"/>
        <v>6856.85</v>
      </c>
      <c r="G34" s="661">
        <f t="shared" si="0"/>
        <v>2.7186330111277669E-2</v>
      </c>
      <c r="H34" s="46">
        <f t="shared" si="1"/>
        <v>63.835134281086646</v>
      </c>
      <c r="I34" s="37">
        <f t="shared" si="3"/>
        <v>23.47217887515556</v>
      </c>
      <c r="J34" s="210">
        <v>27.833758201498913</v>
      </c>
      <c r="K34" s="37">
        <f t="shared" si="4"/>
        <v>0.48500412918519359</v>
      </c>
      <c r="L34" s="37"/>
      <c r="M34" s="45">
        <f t="shared" si="5"/>
        <v>1.6862856192993329E-2</v>
      </c>
    </row>
    <row r="35" spans="1:13" s="6" customFormat="1" ht="15.75">
      <c r="A35" s="311">
        <v>30</v>
      </c>
      <c r="B35" s="312" t="s">
        <v>712</v>
      </c>
      <c r="C35" s="330">
        <v>6358.97</v>
      </c>
      <c r="D35" s="330"/>
      <c r="E35" s="330"/>
      <c r="F35" s="625">
        <f t="shared" si="2"/>
        <v>6358.97</v>
      </c>
      <c r="G35" s="661">
        <f t="shared" si="0"/>
        <v>2.5212314340799544E-2</v>
      </c>
      <c r="H35" s="46">
        <f t="shared" si="1"/>
        <v>59.200026811057775</v>
      </c>
      <c r="I35" s="37">
        <f t="shared" si="3"/>
        <v>21.767849858425947</v>
      </c>
      <c r="J35" s="210">
        <v>25.812732288235203</v>
      </c>
      <c r="K35" s="37">
        <f t="shared" si="4"/>
        <v>0.44978768783986389</v>
      </c>
      <c r="L35" s="37"/>
      <c r="M35" s="45">
        <f t="shared" si="5"/>
        <v>1.6862856192993329E-2</v>
      </c>
    </row>
    <row r="36" spans="1:13" s="6" customFormat="1" ht="15.75">
      <c r="A36" s="311">
        <v>31</v>
      </c>
      <c r="B36" s="312" t="s">
        <v>713</v>
      </c>
      <c r="C36" s="330">
        <v>4302.43</v>
      </c>
      <c r="D36" s="330"/>
      <c r="E36" s="330"/>
      <c r="F36" s="625">
        <f t="shared" si="2"/>
        <v>4302.43</v>
      </c>
      <c r="G36" s="661">
        <f t="shared" si="0"/>
        <v>1.7058457201289859E-2</v>
      </c>
      <c r="H36" s="46">
        <f t="shared" si="1"/>
        <v>40.054281016060663</v>
      </c>
      <c r="I36" s="37">
        <f t="shared" si="3"/>
        <v>14.727959129605507</v>
      </c>
      <c r="J36" s="210">
        <v>17.464695348283101</v>
      </c>
      <c r="K36" s="37">
        <f t="shared" si="4"/>
        <v>0.30432287647101108</v>
      </c>
      <c r="L36" s="37"/>
      <c r="M36" s="45">
        <f t="shared" si="5"/>
        <v>1.6862856192993329E-2</v>
      </c>
    </row>
    <row r="37" spans="1:13" s="6" customFormat="1" ht="15.75">
      <c r="A37" s="311">
        <v>32</v>
      </c>
      <c r="B37" s="312" t="s">
        <v>714</v>
      </c>
      <c r="C37" s="330">
        <v>4355.7</v>
      </c>
      <c r="D37" s="330"/>
      <c r="E37" s="330"/>
      <c r="F37" s="625">
        <f t="shared" si="2"/>
        <v>4355.7</v>
      </c>
      <c r="G37" s="661">
        <f t="shared" si="0"/>
        <v>1.7269664359828803E-2</v>
      </c>
      <c r="H37" s="46">
        <f t="shared" si="1"/>
        <v>40.550208096739617</v>
      </c>
      <c r="I37" s="37">
        <f t="shared" si="3"/>
        <v>14.910311517171158</v>
      </c>
      <c r="J37" s="210">
        <v>17.680932293730915</v>
      </c>
      <c r="K37" s="37">
        <f t="shared" si="4"/>
        <v>0.30809081217934586</v>
      </c>
      <c r="L37" s="37"/>
      <c r="M37" s="45">
        <f t="shared" si="5"/>
        <v>1.6862856192993329E-2</v>
      </c>
    </row>
    <row r="38" spans="1:13" s="6" customFormat="1" ht="15.75">
      <c r="A38" s="311">
        <v>33</v>
      </c>
      <c r="B38" s="312" t="s">
        <v>715</v>
      </c>
      <c r="C38" s="330">
        <v>61.3</v>
      </c>
      <c r="D38" s="330"/>
      <c r="E38" s="330"/>
      <c r="F38" s="625">
        <f t="shared" si="2"/>
        <v>61.3</v>
      </c>
      <c r="G38" s="661">
        <f t="shared" si="0"/>
        <v>2.4304484359747127E-4</v>
      </c>
      <c r="H38" s="46">
        <f t="shared" si="1"/>
        <v>0.57068387545747834</v>
      </c>
      <c r="I38" s="37">
        <f t="shared" si="3"/>
        <v>0.2098404610057148</v>
      </c>
      <c r="J38" s="210">
        <v>0.24883282815751889</v>
      </c>
      <c r="K38" s="37">
        <f t="shared" si="4"/>
        <v>4.3359200097788878E-3</v>
      </c>
      <c r="L38" s="37"/>
      <c r="M38" s="45">
        <f t="shared" si="5"/>
        <v>1.6862856192993329E-2</v>
      </c>
    </row>
    <row r="39" spans="1:13" s="6" customFormat="1" ht="15.75">
      <c r="A39" s="311">
        <v>34</v>
      </c>
      <c r="B39" s="312" t="s">
        <v>716</v>
      </c>
      <c r="C39" s="330">
        <v>105.7</v>
      </c>
      <c r="D39" s="330"/>
      <c r="E39" s="330"/>
      <c r="F39" s="625">
        <f t="shared" si="2"/>
        <v>105.7</v>
      </c>
      <c r="G39" s="661">
        <f t="shared" si="0"/>
        <v>4.1908384940053369E-4</v>
      </c>
      <c r="H39" s="46">
        <f t="shared" si="1"/>
        <v>0.98403402342341706</v>
      </c>
      <c r="I39" s="37">
        <f t="shared" si="3"/>
        <v>0.36182931041279048</v>
      </c>
      <c r="J39" s="210">
        <v>0.4290641098898817</v>
      </c>
      <c r="K39" s="37">
        <f t="shared" si="4"/>
        <v>7.4764558733055207E-3</v>
      </c>
      <c r="L39" s="37"/>
      <c r="M39" s="45">
        <f t="shared" si="5"/>
        <v>1.6862856192993329E-2</v>
      </c>
    </row>
    <row r="40" spans="1:13" s="6" customFormat="1" ht="15.75">
      <c r="A40" s="311">
        <v>35</v>
      </c>
      <c r="B40" s="312" t="s">
        <v>717</v>
      </c>
      <c r="C40" s="330">
        <v>124.1</v>
      </c>
      <c r="D40" s="330"/>
      <c r="E40" s="330"/>
      <c r="F40" s="625">
        <f t="shared" si="2"/>
        <v>124.1</v>
      </c>
      <c r="G40" s="661">
        <f t="shared" si="0"/>
        <v>4.9203695090450548E-4</v>
      </c>
      <c r="H40" s="46">
        <f t="shared" si="1"/>
        <v>1.155332282940833</v>
      </c>
      <c r="I40" s="37">
        <f t="shared" si="3"/>
        <v>0.42481568043734436</v>
      </c>
      <c r="J40" s="210">
        <v>0.50375455096815813</v>
      </c>
      <c r="K40" s="37">
        <f t="shared" si="4"/>
        <v>8.7779392041363782E-3</v>
      </c>
      <c r="L40" s="37"/>
      <c r="M40" s="45">
        <f t="shared" si="5"/>
        <v>1.6862856192993329E-2</v>
      </c>
    </row>
    <row r="41" spans="1:13" s="6" customFormat="1" ht="15.75">
      <c r="A41" s="311">
        <v>36</v>
      </c>
      <c r="B41" s="312" t="s">
        <v>718</v>
      </c>
      <c r="C41" s="330">
        <v>2349.19</v>
      </c>
      <c r="D41" s="330"/>
      <c r="E41" s="330"/>
      <c r="F41" s="625">
        <f t="shared" si="2"/>
        <v>2349.19</v>
      </c>
      <c r="G41" s="661">
        <f t="shared" si="0"/>
        <v>9.3141682892454083E-3</v>
      </c>
      <c r="H41" s="46">
        <f t="shared" si="1"/>
        <v>21.870225993245572</v>
      </c>
      <c r="I41" s="37">
        <f t="shared" si="3"/>
        <v>8.0416820977163983</v>
      </c>
      <c r="J41" s="210">
        <v>9.5359802867758869</v>
      </c>
      <c r="K41" s="37">
        <f t="shared" si="4"/>
        <v>0.16616476228013807</v>
      </c>
      <c r="L41" s="37"/>
      <c r="M41" s="45">
        <f t="shared" si="5"/>
        <v>1.6862856192993329E-2</v>
      </c>
    </row>
    <row r="42" spans="1:13" s="6" customFormat="1" ht="15.75">
      <c r="A42" s="311">
        <v>37</v>
      </c>
      <c r="B42" s="312" t="s">
        <v>719</v>
      </c>
      <c r="C42" s="330">
        <v>3321.01</v>
      </c>
      <c r="D42" s="330"/>
      <c r="E42" s="330"/>
      <c r="F42" s="625">
        <f t="shared" si="2"/>
        <v>3321.01</v>
      </c>
      <c r="G42" s="661">
        <f t="shared" si="0"/>
        <v>1.3167281501397033E-2</v>
      </c>
      <c r="H42" s="46">
        <f t="shared" si="1"/>
        <v>30.917567002170316</v>
      </c>
      <c r="I42" s="37">
        <f t="shared" si="3"/>
        <v>11.368389386698025</v>
      </c>
      <c r="J42" s="210">
        <v>13.480853354639509</v>
      </c>
      <c r="K42" s="37">
        <f t="shared" si="4"/>
        <v>0.23490430198492307</v>
      </c>
      <c r="L42" s="37"/>
      <c r="M42" s="45">
        <f t="shared" si="5"/>
        <v>1.6862856192993329E-2</v>
      </c>
    </row>
    <row r="43" spans="1:13" s="6" customFormat="1" ht="15.75">
      <c r="A43" s="311">
        <v>38</v>
      </c>
      <c r="B43" s="312" t="s">
        <v>720</v>
      </c>
      <c r="C43" s="330">
        <v>3969.9</v>
      </c>
      <c r="D43" s="330"/>
      <c r="E43" s="330"/>
      <c r="F43" s="625">
        <f t="shared" si="2"/>
        <v>3969.9</v>
      </c>
      <c r="G43" s="661">
        <f t="shared" si="0"/>
        <v>1.5740028133729222E-2</v>
      </c>
      <c r="H43" s="46">
        <f t="shared" si="1"/>
        <v>36.958530459684233</v>
      </c>
      <c r="I43" s="37">
        <f t="shared" si="3"/>
        <v>13.589651650025894</v>
      </c>
      <c r="J43" s="210">
        <v>16.114868588948358</v>
      </c>
      <c r="K43" s="37">
        <f t="shared" si="4"/>
        <v>0.2808021019057293</v>
      </c>
      <c r="L43" s="37"/>
      <c r="M43" s="45">
        <f t="shared" si="5"/>
        <v>1.6862856192993329E-2</v>
      </c>
    </row>
    <row r="44" spans="1:13" s="6" customFormat="1" ht="15.75">
      <c r="A44" s="311">
        <v>39</v>
      </c>
      <c r="B44" s="312" t="s">
        <v>721</v>
      </c>
      <c r="C44" s="330">
        <v>6582.1</v>
      </c>
      <c r="D44" s="330"/>
      <c r="E44" s="330"/>
      <c r="F44" s="625">
        <f t="shared" si="2"/>
        <v>6582.1</v>
      </c>
      <c r="G44" s="661">
        <f t="shared" si="0"/>
        <v>2.6096989641809395E-2</v>
      </c>
      <c r="H44" s="46">
        <f t="shared" si="1"/>
        <v>61.277297498346968</v>
      </c>
      <c r="I44" s="37">
        <f t="shared" si="3"/>
        <v>22.531662290142183</v>
      </c>
      <c r="J44" s="210">
        <v>26.718475664202369</v>
      </c>
      <c r="K44" s="37">
        <f t="shared" si="4"/>
        <v>0.46557029520987958</v>
      </c>
      <c r="L44" s="37"/>
      <c r="M44" s="45">
        <f t="shared" si="5"/>
        <v>1.6862856192993332E-2</v>
      </c>
    </row>
    <row r="45" spans="1:13" s="6" customFormat="1" ht="15.75">
      <c r="A45" s="311">
        <v>40</v>
      </c>
      <c r="B45" s="312" t="s">
        <v>722</v>
      </c>
      <c r="C45" s="330">
        <v>8461.27</v>
      </c>
      <c r="D45" s="330">
        <v>287.3</v>
      </c>
      <c r="E45" s="330"/>
      <c r="F45" s="625">
        <f t="shared" si="2"/>
        <v>8748.57</v>
      </c>
      <c r="G45" s="661">
        <f t="shared" si="0"/>
        <v>3.4686701914380579E-2</v>
      </c>
      <c r="H45" s="46">
        <f t="shared" si="1"/>
        <v>81.446457297080457</v>
      </c>
      <c r="I45" s="37">
        <f t="shared" si="3"/>
        <v>29.947862348136486</v>
      </c>
      <c r="J45" s="210">
        <v>35.512747396966155</v>
      </c>
      <c r="K45" s="37">
        <f t="shared" si="4"/>
        <v>0.61881076215254949</v>
      </c>
      <c r="L45" s="37"/>
      <c r="M45" s="45">
        <f t="shared" si="5"/>
        <v>1.6862856192993332E-2</v>
      </c>
    </row>
    <row r="46" spans="1:13" s="6" customFormat="1" ht="15.75">
      <c r="A46" s="311">
        <v>41</v>
      </c>
      <c r="B46" s="312" t="s">
        <v>723</v>
      </c>
      <c r="C46" s="330">
        <v>3715.24</v>
      </c>
      <c r="D46" s="330"/>
      <c r="E46" s="330">
        <v>109.3</v>
      </c>
      <c r="F46" s="625">
        <f t="shared" si="2"/>
        <v>3824.54</v>
      </c>
      <c r="G46" s="661">
        <f t="shared" si="0"/>
        <v>1.5163698631847843E-2</v>
      </c>
      <c r="H46" s="46">
        <f t="shared" si="1"/>
        <v>35.605274209496642</v>
      </c>
      <c r="I46" s="37">
        <f t="shared" si="3"/>
        <v>13.092059326831917</v>
      </c>
      <c r="J46" s="210">
        <v>15.524814104429973</v>
      </c>
      <c r="K46" s="37">
        <f t="shared" si="4"/>
        <v>0.27052038359216551</v>
      </c>
      <c r="L46" s="37"/>
      <c r="M46" s="45">
        <f t="shared" si="5"/>
        <v>1.6862856192993329E-2</v>
      </c>
    </row>
    <row r="47" spans="1:13" s="6" customFormat="1" ht="15.75">
      <c r="A47" s="311">
        <v>42</v>
      </c>
      <c r="B47" s="312" t="s">
        <v>724</v>
      </c>
      <c r="C47" s="330">
        <v>355.8</v>
      </c>
      <c r="D47" s="330"/>
      <c r="E47" s="330"/>
      <c r="F47" s="625">
        <f t="shared" si="2"/>
        <v>355.8</v>
      </c>
      <c r="G47" s="661">
        <f t="shared" si="0"/>
        <v>1.4106909519083243E-3</v>
      </c>
      <c r="H47" s="46">
        <f t="shared" si="1"/>
        <v>3.3123869965378598</v>
      </c>
      <c r="I47" s="37">
        <f t="shared" si="3"/>
        <v>1.2179646986269712</v>
      </c>
      <c r="J47" s="210">
        <v>1.4442858117201505</v>
      </c>
      <c r="K47" s="37">
        <f t="shared" si="4"/>
        <v>2.5166726582044507E-2</v>
      </c>
      <c r="L47" s="37"/>
      <c r="M47" s="45">
        <f t="shared" si="5"/>
        <v>1.6862856192993329E-2</v>
      </c>
    </row>
    <row r="48" spans="1:13" s="6" customFormat="1" ht="15.75">
      <c r="A48" s="311">
        <v>43</v>
      </c>
      <c r="B48" s="312" t="s">
        <v>725</v>
      </c>
      <c r="C48" s="330">
        <v>907.4</v>
      </c>
      <c r="D48" s="330"/>
      <c r="E48" s="330"/>
      <c r="F48" s="625">
        <f t="shared" si="2"/>
        <v>907.4</v>
      </c>
      <c r="G48" s="661">
        <f t="shared" si="0"/>
        <v>3.5976980600382616E-3</v>
      </c>
      <c r="H48" s="46">
        <f t="shared" si="1"/>
        <v>8.4476109068534395</v>
      </c>
      <c r="I48" s="37">
        <f t="shared" si="3"/>
        <v>3.1061865304500098</v>
      </c>
      <c r="J48" s="210">
        <v>3.6833753388276129</v>
      </c>
      <c r="K48" s="37">
        <f t="shared" si="4"/>
        <v>6.4182933391082581E-2</v>
      </c>
      <c r="L48" s="37"/>
      <c r="M48" s="45">
        <f t="shared" si="5"/>
        <v>1.6862856192993329E-2</v>
      </c>
    </row>
    <row r="49" spans="1:13" s="6" customFormat="1" ht="15.75">
      <c r="A49" s="311">
        <v>44</v>
      </c>
      <c r="B49" s="312" t="s">
        <v>726</v>
      </c>
      <c r="C49" s="330">
        <v>2273.6</v>
      </c>
      <c r="D49" s="330"/>
      <c r="E49" s="330"/>
      <c r="F49" s="625">
        <f t="shared" si="2"/>
        <v>2273.6</v>
      </c>
      <c r="G49" s="661">
        <f t="shared" si="0"/>
        <v>9.0144658467081681E-3</v>
      </c>
      <c r="H49" s="46">
        <f t="shared" si="1"/>
        <v>21.16650667602158</v>
      </c>
      <c r="I49" s="37">
        <f t="shared" si="3"/>
        <v>7.7829245047731357</v>
      </c>
      <c r="J49" s="210">
        <v>9.2291405888896403</v>
      </c>
      <c r="K49" s="37">
        <f t="shared" si="4"/>
        <v>0.16081807070527371</v>
      </c>
      <c r="L49" s="37"/>
      <c r="M49" s="45">
        <f t="shared" si="5"/>
        <v>1.6862856192993329E-2</v>
      </c>
    </row>
    <row r="50" spans="1:13" s="6" customFormat="1" ht="15.75">
      <c r="A50" s="311">
        <v>45</v>
      </c>
      <c r="B50" s="312" t="s">
        <v>727</v>
      </c>
      <c r="C50" s="330">
        <v>154.1</v>
      </c>
      <c r="D50" s="330"/>
      <c r="E50" s="330"/>
      <c r="F50" s="625">
        <f t="shared" si="2"/>
        <v>154.1</v>
      </c>
      <c r="G50" s="661">
        <f t="shared" si="0"/>
        <v>6.1098222509576379E-4</v>
      </c>
      <c r="H50" s="46">
        <f t="shared" si="1"/>
        <v>1.4346229234583592</v>
      </c>
      <c r="I50" s="37">
        <f t="shared" si="3"/>
        <v>0.52751084895563871</v>
      </c>
      <c r="J50" s="210">
        <v>0.6255324440305654</v>
      </c>
      <c r="K50" s="37">
        <f t="shared" si="4"/>
        <v>1.0899922895708425E-2</v>
      </c>
      <c r="L50" s="37"/>
      <c r="M50" s="45">
        <f t="shared" si="5"/>
        <v>1.6862856192993329E-2</v>
      </c>
    </row>
    <row r="51" spans="1:13" s="6" customFormat="1" ht="15.75">
      <c r="A51" s="311">
        <v>46</v>
      </c>
      <c r="B51" s="312" t="s">
        <v>728</v>
      </c>
      <c r="C51" s="330">
        <v>93.9</v>
      </c>
      <c r="D51" s="330"/>
      <c r="E51" s="330"/>
      <c r="F51" s="625">
        <f t="shared" si="2"/>
        <v>93.9</v>
      </c>
      <c r="G51" s="661">
        <f t="shared" si="0"/>
        <v>3.7229870821863876E-4</v>
      </c>
      <c r="H51" s="46">
        <f t="shared" si="1"/>
        <v>0.87417970481985685</v>
      </c>
      <c r="I51" s="37">
        <f t="shared" si="3"/>
        <v>0.32143587746226138</v>
      </c>
      <c r="J51" s="210">
        <v>0.38116480528533486</v>
      </c>
      <c r="K51" s="37">
        <f t="shared" si="4"/>
        <v>6.6418089546205154E-3</v>
      </c>
      <c r="L51" s="37"/>
      <c r="M51" s="45">
        <f t="shared" si="5"/>
        <v>1.6862856192993329E-2</v>
      </c>
    </row>
    <row r="52" spans="1:13" s="6" customFormat="1" ht="15.75">
      <c r="A52" s="311">
        <v>47</v>
      </c>
      <c r="B52" s="312" t="s">
        <v>729</v>
      </c>
      <c r="C52" s="330">
        <v>296.10000000000002</v>
      </c>
      <c r="D52" s="330"/>
      <c r="E52" s="330"/>
      <c r="F52" s="625">
        <f t="shared" si="2"/>
        <v>296.10000000000002</v>
      </c>
      <c r="G52" s="661">
        <f t="shared" si="0"/>
        <v>1.1739898562677202E-3</v>
      </c>
      <c r="H52" s="46">
        <f t="shared" si="1"/>
        <v>2.7565986219079832</v>
      </c>
      <c r="I52" s="37">
        <f t="shared" si="3"/>
        <v>1.0136013132755655</v>
      </c>
      <c r="J52" s="210">
        <v>1.2019478045259602</v>
      </c>
      <c r="K52" s="37">
        <f t="shared" si="4"/>
        <v>2.0943979035816129E-2</v>
      </c>
      <c r="L52" s="37"/>
      <c r="M52" s="45">
        <f t="shared" si="5"/>
        <v>1.6862856192993329E-2</v>
      </c>
    </row>
    <row r="53" spans="1:13" s="6" customFormat="1" ht="15.75">
      <c r="A53" s="311">
        <v>48</v>
      </c>
      <c r="B53" s="312" t="s">
        <v>647</v>
      </c>
      <c r="C53" s="330">
        <v>4177.21</v>
      </c>
      <c r="D53" s="330">
        <v>6.6</v>
      </c>
      <c r="E53" s="330"/>
      <c r="F53" s="625">
        <f t="shared" si="2"/>
        <v>4183.8100000000004</v>
      </c>
      <c r="G53" s="661">
        <f t="shared" si="0"/>
        <v>1.6588147587137624E-2</v>
      </c>
      <c r="H53" s="46">
        <f t="shared" si="1"/>
        <v>38.94996582345437</v>
      </c>
      <c r="I53" s="37">
        <f t="shared" si="3"/>
        <v>14.321902433284173</v>
      </c>
      <c r="J53" s="210">
        <v>16.983185559114343</v>
      </c>
      <c r="K53" s="37">
        <f t="shared" si="4"/>
        <v>0.29593255295453519</v>
      </c>
      <c r="L53" s="37"/>
      <c r="M53" s="45">
        <f t="shared" si="5"/>
        <v>1.6862856192993329E-2</v>
      </c>
    </row>
    <row r="54" spans="1:13" s="6" customFormat="1" ht="15.75">
      <c r="A54" s="311">
        <v>49</v>
      </c>
      <c r="B54" s="312" t="s">
        <v>648</v>
      </c>
      <c r="C54" s="330">
        <v>4140.68</v>
      </c>
      <c r="D54" s="330"/>
      <c r="E54" s="330"/>
      <c r="F54" s="625">
        <f t="shared" si="2"/>
        <v>4140.68</v>
      </c>
      <c r="G54" s="661">
        <f t="shared" si="0"/>
        <v>1.6417143931275326E-2</v>
      </c>
      <c r="H54" s="46">
        <f t="shared" si="1"/>
        <v>38.548438979270344</v>
      </c>
      <c r="I54" s="37">
        <f t="shared" si="3"/>
        <v>14.174261012677707</v>
      </c>
      <c r="J54" s="210">
        <v>16.80810954152162</v>
      </c>
      <c r="K54" s="37">
        <f t="shared" si="4"/>
        <v>0.29288184773395182</v>
      </c>
      <c r="L54" s="37"/>
      <c r="M54" s="45">
        <f t="shared" si="5"/>
        <v>1.6862856192993329E-2</v>
      </c>
    </row>
    <row r="55" spans="1:13" s="6" customFormat="1" ht="15.75">
      <c r="A55" s="311">
        <v>50</v>
      </c>
      <c r="B55" s="312" t="s">
        <v>1354</v>
      </c>
      <c r="C55" s="818">
        <v>7831.81</v>
      </c>
      <c r="D55" s="330"/>
      <c r="E55" s="330"/>
      <c r="F55" s="625">
        <f t="shared" si="2"/>
        <v>7831.81</v>
      </c>
      <c r="G55" s="661">
        <f t="shared" si="0"/>
        <v>3.1051892928794643E-2</v>
      </c>
      <c r="H55" s="46">
        <f t="shared" si="1"/>
        <v>72.911707710385542</v>
      </c>
      <c r="I55" s="37">
        <f t="shared" si="3"/>
        <v>26.809634925108767</v>
      </c>
      <c r="J55" s="210">
        <v>31.791377355503069</v>
      </c>
      <c r="K55" s="37">
        <f t="shared" si="4"/>
        <v>0.55396576984969648</v>
      </c>
      <c r="L55" s="37"/>
      <c r="M55" s="45">
        <f t="shared" si="5"/>
        <v>1.6862856192993325E-2</v>
      </c>
    </row>
    <row r="56" spans="1:13" s="6" customFormat="1" ht="15.75">
      <c r="A56" s="311">
        <v>51</v>
      </c>
      <c r="B56" s="305" t="s">
        <v>1374</v>
      </c>
      <c r="C56" s="818">
        <v>996.1</v>
      </c>
      <c r="D56" s="330"/>
      <c r="E56" s="330"/>
      <c r="F56" s="625">
        <f t="shared" ref="F56:F66" si="6">C56+D56+E56</f>
        <v>996.1</v>
      </c>
      <c r="G56" s="661">
        <f t="shared" si="0"/>
        <v>3.9493795873970826E-3</v>
      </c>
      <c r="H56" s="46">
        <f t="shared" si="1"/>
        <v>9.2733802339835929</v>
      </c>
      <c r="I56" s="37">
        <f t="shared" si="3"/>
        <v>3.4098219120357673</v>
      </c>
      <c r="J56" s="210">
        <v>4.0434319759821298</v>
      </c>
      <c r="K56" s="37">
        <f t="shared" si="4"/>
        <v>7.0456931839163947E-2</v>
      </c>
      <c r="L56" s="37"/>
      <c r="M56" s="45">
        <f t="shared" si="5"/>
        <v>1.6862856192993325E-2</v>
      </c>
    </row>
    <row r="57" spans="1:13" s="6" customFormat="1" ht="15.75">
      <c r="A57" s="311">
        <v>52</v>
      </c>
      <c r="B57" s="305" t="s">
        <v>1376</v>
      </c>
      <c r="C57" s="818">
        <v>533.79999999999995</v>
      </c>
      <c r="D57" s="330"/>
      <c r="E57" s="330"/>
      <c r="F57" s="625">
        <f t="shared" si="6"/>
        <v>533.79999999999995</v>
      </c>
      <c r="G57" s="661">
        <f t="shared" si="0"/>
        <v>2.1164329121097906E-3</v>
      </c>
      <c r="H57" s="46">
        <f t="shared" si="1"/>
        <v>4.9695114636085149</v>
      </c>
      <c r="I57" s="37">
        <f t="shared" si="3"/>
        <v>1.8272893651688511</v>
      </c>
      <c r="J57" s="210">
        <v>2.1668346438904336</v>
      </c>
      <c r="K57" s="37">
        <f t="shared" si="4"/>
        <v>3.7757163152038663E-2</v>
      </c>
      <c r="L57" s="37"/>
      <c r="M57" s="45">
        <f t="shared" si="5"/>
        <v>1.6862856192993325E-2</v>
      </c>
    </row>
    <row r="58" spans="1:13" s="6" customFormat="1" ht="15.75">
      <c r="A58" s="311">
        <v>53</v>
      </c>
      <c r="B58" s="305" t="s">
        <v>1375</v>
      </c>
      <c r="C58" s="818">
        <v>987.3</v>
      </c>
      <c r="D58" s="330"/>
      <c r="E58" s="330"/>
      <c r="F58" s="625">
        <f t="shared" si="6"/>
        <v>987.3</v>
      </c>
      <c r="G58" s="661">
        <f t="shared" si="0"/>
        <v>3.9144889736343128E-3</v>
      </c>
      <c r="H58" s="46">
        <f t="shared" si="1"/>
        <v>9.1914549794317839</v>
      </c>
      <c r="I58" s="37">
        <f t="shared" si="3"/>
        <v>3.3796979959370672</v>
      </c>
      <c r="J58" s="210">
        <v>4.0077104606838239</v>
      </c>
      <c r="K58" s="37">
        <f t="shared" si="4"/>
        <v>6.9834483289636137E-2</v>
      </c>
      <c r="L58" s="37"/>
      <c r="M58" s="45">
        <f t="shared" si="5"/>
        <v>1.6862856192993329E-2</v>
      </c>
    </row>
    <row r="59" spans="1:13" s="6" customFormat="1" ht="15.75">
      <c r="A59" s="311">
        <v>54</v>
      </c>
      <c r="B59" s="305" t="s">
        <v>1377</v>
      </c>
      <c r="C59" s="818">
        <v>442.6</v>
      </c>
      <c r="D59" s="330"/>
      <c r="E59" s="330"/>
      <c r="F59" s="625">
        <f t="shared" si="6"/>
        <v>442.6</v>
      </c>
      <c r="G59" s="661">
        <f t="shared" si="0"/>
        <v>1.7548392785683654E-3</v>
      </c>
      <c r="H59" s="46">
        <f t="shared" si="1"/>
        <v>4.1204679164352358</v>
      </c>
      <c r="I59" s="37">
        <f t="shared" si="3"/>
        <v>1.5150960528732362</v>
      </c>
      <c r="J59" s="210">
        <v>1.7966298489807155</v>
      </c>
      <c r="K59" s="37">
        <f t="shared" si="4"/>
        <v>3.1306332729659637E-2</v>
      </c>
      <c r="L59" s="37"/>
      <c r="M59" s="45">
        <f t="shared" si="5"/>
        <v>1.6862856192993329E-2</v>
      </c>
    </row>
    <row r="60" spans="1:13" s="6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625">
        <f t="shared" si="6"/>
        <v>7013.2</v>
      </c>
      <c r="G60" s="661">
        <f t="shared" si="0"/>
        <v>2.7806233231937774E-2</v>
      </c>
      <c r="H60" s="46">
        <f t="shared" si="1"/>
        <v>65.290704002583809</v>
      </c>
      <c r="I60" s="37">
        <f t="shared" si="3"/>
        <v>24.007391861750069</v>
      </c>
      <c r="J60" s="210">
        <v>28.468423987509162</v>
      </c>
      <c r="K60" s="37">
        <f t="shared" ref="K60:K67" si="7">G60*17.84</f>
        <v>0.49606320085776989</v>
      </c>
      <c r="L60" s="37"/>
      <c r="M60" s="45">
        <f t="shared" si="5"/>
        <v>1.6862856192993329E-2</v>
      </c>
    </row>
    <row r="61" spans="1:13" s="6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625">
        <f t="shared" si="6"/>
        <v>8402.66</v>
      </c>
      <c r="G61" s="661">
        <f t="shared" si="0"/>
        <v>3.3315223254530638E-2</v>
      </c>
      <c r="H61" s="46">
        <f t="shared" si="1"/>
        <v>78.22614311503321</v>
      </c>
      <c r="I61" s="37">
        <f t="shared" si="3"/>
        <v>28.763752823397713</v>
      </c>
      <c r="J61" s="210">
        <v>34.108607697325574</v>
      </c>
      <c r="K61" s="37">
        <f t="shared" si="7"/>
        <v>0.59434358286082656</v>
      </c>
      <c r="L61" s="37"/>
      <c r="M61" s="45">
        <f t="shared" si="5"/>
        <v>1.6862856192993329E-2</v>
      </c>
    </row>
    <row r="62" spans="1:13" s="6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625">
        <f t="shared" si="6"/>
        <v>2601.63</v>
      </c>
      <c r="G62" s="661">
        <f t="shared" si="0"/>
        <v>1.0315053123140117E-2</v>
      </c>
      <c r="H62" s="46">
        <f t="shared" si="1"/>
        <v>24.220363636320382</v>
      </c>
      <c r="I62" s="37">
        <f t="shared" si="3"/>
        <v>8.9058277090750053</v>
      </c>
      <c r="J62" s="210">
        <v>10.560700664265024</v>
      </c>
      <c r="K62" s="37">
        <f t="shared" si="7"/>
        <v>0.18402054771681969</v>
      </c>
      <c r="L62" s="37"/>
      <c r="M62" s="45">
        <f t="shared" si="5"/>
        <v>1.6862856192993329E-2</v>
      </c>
    </row>
    <row r="63" spans="1:13" s="6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625">
        <f t="shared" si="6"/>
        <v>2594.2600000000002</v>
      </c>
      <c r="G63" s="661">
        <f t="shared" si="0"/>
        <v>1.0285832234113799E-2</v>
      </c>
      <c r="H63" s="46">
        <f t="shared" si="1"/>
        <v>24.151751235633249</v>
      </c>
      <c r="I63" s="37">
        <f t="shared" si="3"/>
        <v>8.8805989293423462</v>
      </c>
      <c r="J63" s="210">
        <v>10.530783895202694</v>
      </c>
      <c r="K63" s="37">
        <f t="shared" si="7"/>
        <v>0.18349924705659018</v>
      </c>
      <c r="L63" s="37"/>
      <c r="M63" s="45">
        <f t="shared" si="5"/>
        <v>1.6862856192993329E-2</v>
      </c>
    </row>
    <row r="64" spans="1:13" s="6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625">
        <f t="shared" si="6"/>
        <v>2653.52</v>
      </c>
      <c r="G64" s="661">
        <f t="shared" si="0"/>
        <v>1.0520788799066264E-2</v>
      </c>
      <c r="H64" s="46">
        <f t="shared" si="1"/>
        <v>24.703443347535533</v>
      </c>
      <c r="I64" s="37">
        <f t="shared" si="3"/>
        <v>9.0834561188888152</v>
      </c>
      <c r="J64" s="210">
        <v>10.771335826631967</v>
      </c>
      <c r="K64" s="37">
        <f t="shared" si="7"/>
        <v>0.18769087217534214</v>
      </c>
      <c r="L64" s="37"/>
      <c r="M64" s="45">
        <f t="shared" si="5"/>
        <v>1.6862856192993329E-2</v>
      </c>
    </row>
    <row r="65" spans="1:14" s="6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625">
        <f t="shared" si="6"/>
        <v>2150.9</v>
      </c>
      <c r="G65" s="661">
        <f t="shared" si="0"/>
        <v>8.5279796752659211E-3</v>
      </c>
      <c r="H65" s="46">
        <f t="shared" si="1"/>
        <v>20.024207956304899</v>
      </c>
      <c r="I65" s="37">
        <f t="shared" si="3"/>
        <v>7.3629012655333117</v>
      </c>
      <c r="J65" s="210">
        <v>8.731069006264395</v>
      </c>
      <c r="K65" s="37">
        <f t="shared" si="7"/>
        <v>0.15213915740674402</v>
      </c>
      <c r="L65" s="37"/>
      <c r="M65" s="45">
        <f t="shared" si="5"/>
        <v>1.6862856192993329E-2</v>
      </c>
    </row>
    <row r="66" spans="1:14" s="6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625">
        <f t="shared" si="6"/>
        <v>3353.7</v>
      </c>
      <c r="G66" s="661">
        <f t="shared" si="0"/>
        <v>1.3296892201840773E-2</v>
      </c>
      <c r="H66" s="46">
        <f t="shared" si="1"/>
        <v>31.221900703454242</v>
      </c>
      <c r="I66" s="37">
        <f t="shared" si="3"/>
        <v>11.480292888660125</v>
      </c>
      <c r="J66" s="210">
        <v>13.61355066544651</v>
      </c>
      <c r="K66" s="37">
        <f t="shared" si="7"/>
        <v>0.23721655688083937</v>
      </c>
      <c r="L66" s="37"/>
      <c r="M66" s="45">
        <f t="shared" si="5"/>
        <v>1.6862856192993329E-2</v>
      </c>
    </row>
    <row r="67" spans="1:14" s="5" customFormat="1" ht="15.75">
      <c r="A67" s="380"/>
      <c r="B67" s="63" t="s">
        <v>749</v>
      </c>
      <c r="C67" s="65">
        <f>SUM(C6:C66)</f>
        <v>249781.08</v>
      </c>
      <c r="D67" s="65">
        <f>SUM(D6:D66)</f>
        <v>1319.2</v>
      </c>
      <c r="E67" s="65">
        <f>SUM(E6:E66)</f>
        <v>1116.55</v>
      </c>
      <c r="F67" s="654">
        <f>SUM(F6:F66)</f>
        <v>252216.83000000002</v>
      </c>
      <c r="G67" s="661">
        <f>1/252216.83*F67</f>
        <v>1</v>
      </c>
      <c r="H67" s="46">
        <f>G67*2348.06</f>
        <v>2348.06</v>
      </c>
      <c r="I67" s="316">
        <f t="shared" si="3"/>
        <v>863.38166200000001</v>
      </c>
      <c r="J67" s="210">
        <f>SUM(J6:J66)</f>
        <v>1023.8144717426454</v>
      </c>
      <c r="K67" s="316">
        <f t="shared" si="7"/>
        <v>17.84</v>
      </c>
      <c r="L67" s="316"/>
      <c r="M67" s="45">
        <f t="shared" si="5"/>
        <v>1.6862856192993325E-2</v>
      </c>
    </row>
    <row r="68" spans="1:14" s="209" customFormat="1" ht="21" thickBot="1">
      <c r="A68" s="577" t="s">
        <v>984</v>
      </c>
      <c r="B68" s="777"/>
      <c r="C68" s="777"/>
      <c r="D68" s="777"/>
      <c r="E68" s="777"/>
      <c r="F68" s="777"/>
      <c r="G68" s="777"/>
      <c r="H68" s="46">
        <f>G68*2418.5</f>
        <v>0</v>
      </c>
      <c r="I68" s="777"/>
      <c r="J68" s="210">
        <v>0</v>
      </c>
      <c r="K68" s="777"/>
      <c r="L68" s="777"/>
      <c r="M68" s="45" t="e">
        <f t="shared" si="5"/>
        <v>#DIV/0!</v>
      </c>
      <c r="N68" s="778"/>
    </row>
    <row r="69" spans="1:14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625">
        <f t="shared" si="2"/>
        <v>6328.85</v>
      </c>
      <c r="G69" s="661">
        <f t="shared" ref="G69:G89" si="8">1/112765.42*F69</f>
        <v>5.6124031640196081E-2</v>
      </c>
      <c r="H69" s="46">
        <f t="shared" ref="H69:H89" si="9">G69*2348.06</f>
        <v>131.78259373307881</v>
      </c>
      <c r="I69" s="37">
        <f t="shared" si="3"/>
        <v>48.456459715653082</v>
      </c>
      <c r="J69" s="210">
        <v>54.358651769351681</v>
      </c>
      <c r="K69" s="37">
        <f t="shared" ref="K69:K87" si="10">G69*17.84</f>
        <v>1.001252724461098</v>
      </c>
      <c r="L69" s="37"/>
      <c r="M69" s="45">
        <f t="shared" si="5"/>
        <v>3.7226187686948603E-2</v>
      </c>
      <c r="N69" s="6" t="s">
        <v>552</v>
      </c>
    </row>
    <row r="70" spans="1:14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625">
        <f t="shared" si="2"/>
        <v>7565.74</v>
      </c>
      <c r="G70" s="661">
        <f t="shared" si="8"/>
        <v>6.7092731087242868E-2</v>
      </c>
      <c r="H70" s="46">
        <f t="shared" si="9"/>
        <v>157.53775815671148</v>
      </c>
      <c r="I70" s="37">
        <f>G70*H70/F70</f>
        <v>1.3970396080350824E-3</v>
      </c>
      <c r="J70" s="210">
        <v>64.98233107712376</v>
      </c>
      <c r="K70" s="37">
        <f t="shared" si="10"/>
        <v>1.1969343225964129</v>
      </c>
      <c r="L70" s="37"/>
      <c r="M70" s="45">
        <f t="shared" si="5"/>
        <v>2.9569932431730367E-2</v>
      </c>
      <c r="N70" s="6" t="s">
        <v>553</v>
      </c>
    </row>
    <row r="71" spans="1:14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625">
        <f t="shared" si="2"/>
        <v>7217.2</v>
      </c>
      <c r="G71" s="661">
        <f t="shared" si="8"/>
        <v>6.4001889941082996E-2</v>
      </c>
      <c r="H71" s="46">
        <f t="shared" si="9"/>
        <v>150.28027769505934</v>
      </c>
      <c r="I71" s="37">
        <f t="shared" ref="I71:I87" si="11">H71*0.3677</f>
        <v>55.258058108473321</v>
      </c>
      <c r="J71" s="210">
        <v>61.98871225416385</v>
      </c>
      <c r="K71" s="37">
        <f t="shared" si="10"/>
        <v>1.1417937165489207</v>
      </c>
      <c r="L71" s="37"/>
      <c r="M71" s="45">
        <f t="shared" ref="M71:M134" si="12">(K71+J71+I71+H71)/F71</f>
        <v>3.7226187686948603E-2</v>
      </c>
    </row>
    <row r="72" spans="1:14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625">
        <f t="shared" si="2"/>
        <v>6435.2</v>
      </c>
      <c r="G72" s="661">
        <f t="shared" si="8"/>
        <v>5.7067139908670579E-2</v>
      </c>
      <c r="H72" s="46">
        <f t="shared" si="9"/>
        <v>133.99706853395304</v>
      </c>
      <c r="I72" s="37">
        <f t="shared" si="11"/>
        <v>49.270722099934538</v>
      </c>
      <c r="J72" s="210">
        <v>55.27209459319338</v>
      </c>
      <c r="K72" s="37">
        <f t="shared" si="10"/>
        <v>1.0180777759706832</v>
      </c>
      <c r="L72" s="37"/>
      <c r="M72" s="45">
        <f t="shared" si="12"/>
        <v>3.7226187686948603E-2</v>
      </c>
    </row>
    <row r="73" spans="1:14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625">
        <f t="shared" si="2"/>
        <v>8881.51</v>
      </c>
      <c r="G73" s="661">
        <f t="shared" si="8"/>
        <v>7.8760935754950412E-2</v>
      </c>
      <c r="H73" s="46">
        <f t="shared" si="9"/>
        <v>184.93540280876886</v>
      </c>
      <c r="I73" s="37">
        <f t="shared" si="11"/>
        <v>68.000747612784309</v>
      </c>
      <c r="J73" s="210">
        <v>76.283512688089402</v>
      </c>
      <c r="K73" s="37">
        <f t="shared" si="10"/>
        <v>1.4050950938683153</v>
      </c>
      <c r="L73" s="37"/>
      <c r="M73" s="45">
        <f t="shared" si="12"/>
        <v>3.7226187686948596E-2</v>
      </c>
    </row>
    <row r="74" spans="1:14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625">
        <f t="shared" si="2"/>
        <v>7938.92</v>
      </c>
      <c r="G74" s="661">
        <f t="shared" si="8"/>
        <v>7.0402078935191292E-2</v>
      </c>
      <c r="H74" s="46">
        <f t="shared" si="9"/>
        <v>165.30830546456525</v>
      </c>
      <c r="I74" s="37">
        <f t="shared" si="11"/>
        <v>60.783863919320645</v>
      </c>
      <c r="J74" s="210">
        <v>68.18758347958024</v>
      </c>
      <c r="K74" s="37">
        <f t="shared" si="10"/>
        <v>1.2559730882038127</v>
      </c>
      <c r="L74" s="37"/>
      <c r="M74" s="45">
        <f t="shared" si="12"/>
        <v>3.7226187686948596E-2</v>
      </c>
    </row>
    <row r="75" spans="1:14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625">
        <f t="shared" si="2"/>
        <v>7102.99</v>
      </c>
      <c r="G75" s="661">
        <f t="shared" si="8"/>
        <v>6.2989079453612637E-2</v>
      </c>
      <c r="H75" s="46">
        <f t="shared" si="9"/>
        <v>147.9021379018497</v>
      </c>
      <c r="I75" s="37">
        <f t="shared" si="11"/>
        <v>54.383616106510139</v>
      </c>
      <c r="J75" s="210">
        <v>61.00775969270677</v>
      </c>
      <c r="K75" s="37">
        <f t="shared" si="10"/>
        <v>1.1237251774524495</v>
      </c>
      <c r="L75" s="37"/>
      <c r="M75" s="45">
        <f t="shared" si="12"/>
        <v>3.7226187686948603E-2</v>
      </c>
    </row>
    <row r="76" spans="1:14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625">
        <f t="shared" si="2"/>
        <v>2982.2</v>
      </c>
      <c r="G76" s="661">
        <f t="shared" si="8"/>
        <v>2.6446050571176868E-2</v>
      </c>
      <c r="H76" s="46">
        <f t="shared" si="9"/>
        <v>62.096913504157556</v>
      </c>
      <c r="I76" s="37">
        <f t="shared" si="11"/>
        <v>22.833035095478735</v>
      </c>
      <c r="J76" s="210">
        <v>25.614190778192018</v>
      </c>
      <c r="K76" s="37">
        <f t="shared" si="10"/>
        <v>0.4717975421897953</v>
      </c>
      <c r="L76" s="37"/>
      <c r="M76" s="45">
        <f t="shared" si="12"/>
        <v>3.7226187686948596E-2</v>
      </c>
    </row>
    <row r="77" spans="1:14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625">
        <f t="shared" si="2"/>
        <v>2528.85</v>
      </c>
      <c r="G77" s="661">
        <f t="shared" si="8"/>
        <v>2.2425757825404274E-2</v>
      </c>
      <c r="H77" s="46">
        <f t="shared" si="9"/>
        <v>52.657024919518754</v>
      </c>
      <c r="I77" s="37">
        <f t="shared" si="11"/>
        <v>19.361988062907049</v>
      </c>
      <c r="J77" s="210">
        <v>21.719926778851846</v>
      </c>
      <c r="K77" s="37">
        <f t="shared" si="10"/>
        <v>0.40007551960521226</v>
      </c>
      <c r="L77" s="37"/>
      <c r="M77" s="45">
        <f t="shared" si="12"/>
        <v>3.7226017866177456E-2</v>
      </c>
    </row>
    <row r="78" spans="1:14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625">
        <f t="shared" si="2"/>
        <v>4250.83</v>
      </c>
      <c r="G78" s="661">
        <f t="shared" si="8"/>
        <v>3.7696219284245117E-2</v>
      </c>
      <c r="H78" s="46">
        <f t="shared" si="9"/>
        <v>88.512984652564583</v>
      </c>
      <c r="I78" s="37">
        <f t="shared" si="11"/>
        <v>32.546224456748</v>
      </c>
      <c r="J78" s="210">
        <v>36.510485743968211</v>
      </c>
      <c r="K78" s="37">
        <f t="shared" si="10"/>
        <v>0.67250055203093284</v>
      </c>
      <c r="L78" s="37"/>
      <c r="M78" s="45">
        <f t="shared" si="12"/>
        <v>3.722618768694861E-2</v>
      </c>
    </row>
    <row r="79" spans="1:14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625">
        <f t="shared" si="2"/>
        <v>2862.08</v>
      </c>
      <c r="G79" s="661">
        <f t="shared" si="8"/>
        <v>2.5380830399957716E-2</v>
      </c>
      <c r="H79" s="46">
        <f t="shared" si="9"/>
        <v>59.595712628924716</v>
      </c>
      <c r="I79" s="37">
        <f t="shared" si="11"/>
        <v>21.91334353365562</v>
      </c>
      <c r="J79" s="210">
        <v>24.582477078146276</v>
      </c>
      <c r="K79" s="37">
        <f t="shared" si="10"/>
        <v>0.45279401433524563</v>
      </c>
      <c r="L79" s="37"/>
      <c r="M79" s="45">
        <f t="shared" si="12"/>
        <v>3.7226187686948603E-2</v>
      </c>
    </row>
    <row r="80" spans="1:14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625">
        <f t="shared" ref="F80:F145" si="13">C80+D80+E80</f>
        <v>6415.24</v>
      </c>
      <c r="G80" s="661">
        <f t="shared" si="8"/>
        <v>5.6890135291474984E-2</v>
      </c>
      <c r="H80" s="46">
        <f t="shared" si="9"/>
        <v>133.58145107250076</v>
      </c>
      <c r="I80" s="37">
        <f t="shared" si="11"/>
        <v>49.117899559358534</v>
      </c>
      <c r="J80" s="210">
        <v>54.642003708783157</v>
      </c>
      <c r="K80" s="37">
        <f t="shared" si="10"/>
        <v>1.0149200135999137</v>
      </c>
      <c r="L80" s="37"/>
      <c r="M80" s="45">
        <f t="shared" si="12"/>
        <v>3.7154693254538004E-2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625">
        <f t="shared" si="13"/>
        <v>2523.4899999999998</v>
      </c>
      <c r="G81" s="661">
        <f t="shared" si="8"/>
        <v>2.2378225523391831E-2</v>
      </c>
      <c r="H81" s="46">
        <f t="shared" si="9"/>
        <v>52.545416222455422</v>
      </c>
      <c r="I81" s="37">
        <f t="shared" si="11"/>
        <v>19.320949544996861</v>
      </c>
      <c r="J81" s="210">
        <v>21.674319055348327</v>
      </c>
      <c r="K81" s="37">
        <f t="shared" si="10"/>
        <v>0.39922754333731025</v>
      </c>
      <c r="L81" s="37"/>
      <c r="M81" s="45">
        <f t="shared" si="12"/>
        <v>3.7226187686948603E-2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625">
        <f t="shared" si="13"/>
        <v>2727.04</v>
      </c>
      <c r="G82" s="661">
        <f t="shared" si="8"/>
        <v>2.4183300164181534E-2</v>
      </c>
      <c r="H82" s="46">
        <f t="shared" si="9"/>
        <v>56.783839783508093</v>
      </c>
      <c r="I82" s="37">
        <f t="shared" si="11"/>
        <v>20.879417888395928</v>
      </c>
      <c r="J82" s="210">
        <v>23.422615122983288</v>
      </c>
      <c r="K82" s="37">
        <f t="shared" si="10"/>
        <v>0.43143007492899854</v>
      </c>
      <c r="L82" s="37"/>
      <c r="M82" s="45">
        <f t="shared" si="12"/>
        <v>3.7226187686948596E-2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625">
        <f t="shared" si="13"/>
        <v>11075.779999999999</v>
      </c>
      <c r="G83" s="661">
        <f t="shared" si="8"/>
        <v>9.8219649250630189E-2</v>
      </c>
      <c r="H83" s="46">
        <f t="shared" si="9"/>
        <v>230.6256296194347</v>
      </c>
      <c r="I83" s="37">
        <f t="shared" si="11"/>
        <v>84.801044011066153</v>
      </c>
      <c r="J83" s="210">
        <v>95.130152886219435</v>
      </c>
      <c r="K83" s="37">
        <f t="shared" si="10"/>
        <v>1.7522385426312426</v>
      </c>
      <c r="L83" s="37"/>
      <c r="M83" s="45">
        <f t="shared" si="12"/>
        <v>3.7226187686948596E-2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625">
        <f t="shared" si="13"/>
        <v>6438.12</v>
      </c>
      <c r="G84" s="661">
        <f t="shared" si="8"/>
        <v>5.7093034371707208E-2</v>
      </c>
      <c r="H84" s="46">
        <f t="shared" si="9"/>
        <v>134.05787028683082</v>
      </c>
      <c r="I84" s="37">
        <f t="shared" si="11"/>
        <v>49.293078904467698</v>
      </c>
      <c r="J84" s="210">
        <v>55.297174546607742</v>
      </c>
      <c r="K84" s="37">
        <f t="shared" si="10"/>
        <v>1.0185397331912567</v>
      </c>
      <c r="L84" s="37"/>
      <c r="M84" s="45">
        <f t="shared" si="12"/>
        <v>3.7226187686948596E-2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625">
        <f t="shared" si="13"/>
        <v>6322.5</v>
      </c>
      <c r="G85" s="661">
        <f t="shared" si="8"/>
        <v>5.6067720051058201E-2</v>
      </c>
      <c r="H85" s="46">
        <f t="shared" si="9"/>
        <v>131.65037074308771</v>
      </c>
      <c r="I85" s="37">
        <f t="shared" si="11"/>
        <v>48.407841322233352</v>
      </c>
      <c r="J85" s="210">
        <v>54.304111459700579</v>
      </c>
      <c r="K85" s="37">
        <f t="shared" si="10"/>
        <v>1.0002481257108784</v>
      </c>
      <c r="L85" s="37"/>
      <c r="M85" s="45">
        <f t="shared" si="12"/>
        <v>3.7226187686948596E-2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625">
        <f t="shared" si="13"/>
        <v>3207.6099999999997</v>
      </c>
      <c r="G86" s="661">
        <f t="shared" si="8"/>
        <v>2.8444978966069557E-2</v>
      </c>
      <c r="H86" s="46">
        <f t="shared" si="9"/>
        <v>66.79051731106928</v>
      </c>
      <c r="I86" s="37">
        <f t="shared" si="11"/>
        <v>24.558873215280176</v>
      </c>
      <c r="J86" s="210">
        <v>26.307410997395252</v>
      </c>
      <c r="K86" s="37">
        <f t="shared" si="10"/>
        <v>0.50745842475468084</v>
      </c>
      <c r="L86" s="37"/>
      <c r="M86" s="45">
        <f t="shared" si="12"/>
        <v>3.6838724143053364E-2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625">
        <f t="shared" si="13"/>
        <v>2997.37</v>
      </c>
      <c r="G87" s="661">
        <f t="shared" si="8"/>
        <v>2.6580577627432236E-2</v>
      </c>
      <c r="H87" s="46">
        <f t="shared" si="9"/>
        <v>62.412791103868535</v>
      </c>
      <c r="I87" s="37">
        <f t="shared" si="11"/>
        <v>22.949183288892463</v>
      </c>
      <c r="J87" s="210">
        <v>25.744486289594732</v>
      </c>
      <c r="K87" s="37">
        <f t="shared" si="10"/>
        <v>0.47419750487339107</v>
      </c>
      <c r="L87" s="37"/>
      <c r="M87" s="45">
        <f t="shared" si="12"/>
        <v>3.7226187686948596E-2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625">
        <f t="shared" si="13"/>
        <v>6397.6</v>
      </c>
      <c r="G88" s="661">
        <f t="shared" si="8"/>
        <v>5.6733704357240011E-2</v>
      </c>
      <c r="H88" s="46">
        <f t="shared" si="9"/>
        <v>133.21414185306097</v>
      </c>
      <c r="I88" s="37">
        <f>H88*0.3677</f>
        <v>48.982839959370523</v>
      </c>
      <c r="J88" s="210">
        <v>54.949147247857717</v>
      </c>
      <c r="K88" s="37">
        <f>G88*17.84</f>
        <v>1.0121292857331619</v>
      </c>
      <c r="L88" s="37"/>
      <c r="M88" s="45">
        <f t="shared" si="12"/>
        <v>3.7226187686948596E-2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625">
        <f t="shared" si="13"/>
        <v>566.29999999999995</v>
      </c>
      <c r="G89" s="661">
        <f t="shared" si="8"/>
        <v>5.0219295950833147E-3</v>
      </c>
      <c r="H89" s="46">
        <f t="shared" si="9"/>
        <v>11.791792005031327</v>
      </c>
      <c r="I89" s="37">
        <f>H89*0.3677</f>
        <v>4.3358419202500196</v>
      </c>
      <c r="J89" s="210">
        <v>0</v>
      </c>
      <c r="K89" s="37">
        <f>G89*17.84</f>
        <v>8.9591223976286327E-2</v>
      </c>
      <c r="L89" s="37"/>
      <c r="M89" s="45">
        <f t="shared" si="12"/>
        <v>2.8637162545042616E-2</v>
      </c>
      <c r="S89" s="6">
        <v>2</v>
      </c>
    </row>
    <row r="90" spans="1:19" s="69" customFormat="1" ht="15.75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14">
        <f t="shared" si="13"/>
        <v>112765.42</v>
      </c>
      <c r="G90" s="661">
        <f>1/112765.42*F90</f>
        <v>0.99999999999999989</v>
      </c>
      <c r="H90" s="46">
        <f>G90*2348.06</f>
        <v>2348.0599999999995</v>
      </c>
      <c r="I90" s="662">
        <f>SUM(I69:I89)</f>
        <v>805.45642536538526</v>
      </c>
      <c r="J90" s="210">
        <f>SUM(J69:J88)</f>
        <v>961.97914724785767</v>
      </c>
      <c r="K90" s="316">
        <f>G90*17.84</f>
        <v>17.839999999999996</v>
      </c>
      <c r="L90" s="316"/>
      <c r="M90" s="45">
        <f t="shared" si="12"/>
        <v>3.6654282603773763E-2</v>
      </c>
    </row>
    <row r="91" spans="1:19" s="209" customFormat="1" ht="15.75">
      <c r="A91" s="510" t="s">
        <v>50</v>
      </c>
      <c r="B91" s="339"/>
      <c r="C91" s="339"/>
      <c r="D91" s="339"/>
      <c r="E91" s="339"/>
      <c r="F91" s="339"/>
      <c r="G91" s="339"/>
      <c r="H91" s="46">
        <f>G91*2418.5</f>
        <v>0</v>
      </c>
      <c r="I91" s="342"/>
      <c r="J91" s="210">
        <v>0</v>
      </c>
      <c r="K91" s="342"/>
      <c r="L91" s="342"/>
      <c r="M91" s="45" t="e">
        <f t="shared" si="12"/>
        <v>#DIV/0!</v>
      </c>
    </row>
    <row r="92" spans="1:19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655">
        <f t="shared" si="13"/>
        <v>689.3</v>
      </c>
      <c r="G92" s="663">
        <f t="shared" ref="G92:G155" si="14">1/244976.57*F92</f>
        <v>2.8137384730302982E-3</v>
      </c>
      <c r="H92" s="46">
        <f t="shared" ref="H92:H155" si="15">G92*2348.06</f>
        <v>6.6068267589835221</v>
      </c>
      <c r="I92" s="664">
        <f t="shared" ref="I92:I155" si="16">H92*0.3677</f>
        <v>2.4293301992782412</v>
      </c>
      <c r="J92" s="210">
        <v>2.7610738990374242</v>
      </c>
      <c r="K92" s="37">
        <f t="shared" ref="K92:K155" si="17">G92*17.84</f>
        <v>5.0197094358860522E-2</v>
      </c>
      <c r="L92" s="117">
        <f>K92*1.219</f>
        <v>6.1190258023450982E-2</v>
      </c>
      <c r="M92" s="45">
        <f t="shared" si="12"/>
        <v>1.7187622155314157E-2</v>
      </c>
      <c r="N92" s="6" t="s">
        <v>553</v>
      </c>
    </row>
    <row r="93" spans="1:19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655">
        <f t="shared" si="13"/>
        <v>356.29999999999995</v>
      </c>
      <c r="G93" s="663">
        <f t="shared" si="14"/>
        <v>1.4544248047884741E-3</v>
      </c>
      <c r="H93" s="46">
        <f t="shared" si="15"/>
        <v>3.4150767071316244</v>
      </c>
      <c r="I93" s="664">
        <f t="shared" si="16"/>
        <v>1.2557237052122985</v>
      </c>
      <c r="J93" s="210">
        <v>1.4272024230770841</v>
      </c>
      <c r="K93" s="37">
        <f t="shared" si="17"/>
        <v>2.5946938517426379E-2</v>
      </c>
      <c r="L93" s="117">
        <f t="shared" ref="L93:L156" si="18">K93*1.219</f>
        <v>3.1629318052742758E-2</v>
      </c>
      <c r="M93" s="45">
        <f t="shared" si="12"/>
        <v>1.7187622155314157E-2</v>
      </c>
      <c r="N93" s="6" t="s">
        <v>1417</v>
      </c>
    </row>
    <row r="94" spans="1:19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655">
        <f t="shared" si="13"/>
        <v>425.13</v>
      </c>
      <c r="G94" s="663">
        <f t="shared" si="14"/>
        <v>1.7353904497887287E-3</v>
      </c>
      <c r="H94" s="46">
        <f t="shared" si="15"/>
        <v>4.0748008995309224</v>
      </c>
      <c r="I94" s="664">
        <f t="shared" si="16"/>
        <v>1.4983042907575204</v>
      </c>
      <c r="J94" s="210">
        <v>1.702909250976034</v>
      </c>
      <c r="K94" s="37">
        <f t="shared" si="17"/>
        <v>3.095936562423092E-2</v>
      </c>
      <c r="L94" s="117">
        <f t="shared" si="18"/>
        <v>3.7739466695937494E-2</v>
      </c>
      <c r="M94" s="45">
        <f t="shared" si="12"/>
        <v>1.7187622155314157E-2</v>
      </c>
    </row>
    <row r="95" spans="1:19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655">
        <f t="shared" si="13"/>
        <v>690.66</v>
      </c>
      <c r="G95" s="663">
        <f t="shared" si="14"/>
        <v>2.8192900243480426E-3</v>
      </c>
      <c r="H95" s="46">
        <f t="shared" si="15"/>
        <v>6.6198621345706643</v>
      </c>
      <c r="I95" s="664">
        <f t="shared" si="16"/>
        <v>2.4341233068816335</v>
      </c>
      <c r="J95" s="210">
        <v>2.7665215423026077</v>
      </c>
      <c r="K95" s="37">
        <f t="shared" si="17"/>
        <v>5.0296134034369076E-2</v>
      </c>
      <c r="L95" s="117">
        <f t="shared" si="18"/>
        <v>6.1310987387895907E-2</v>
      </c>
      <c r="M95" s="45">
        <f t="shared" si="12"/>
        <v>1.7187622155314157E-2</v>
      </c>
    </row>
    <row r="96" spans="1:19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655">
        <f t="shared" si="13"/>
        <v>618.05999999999995</v>
      </c>
      <c r="G96" s="663">
        <f t="shared" si="14"/>
        <v>2.5229351525331584E-3</v>
      </c>
      <c r="H96" s="46">
        <f t="shared" si="15"/>
        <v>5.9240031142570082</v>
      </c>
      <c r="I96" s="664">
        <f t="shared" si="16"/>
        <v>2.1782559451123022</v>
      </c>
      <c r="J96" s="210">
        <v>2.4757135268229655</v>
      </c>
      <c r="K96" s="37">
        <f t="shared" si="17"/>
        <v>4.5009163121191548E-2</v>
      </c>
      <c r="L96" s="117">
        <f t="shared" si="18"/>
        <v>5.4866169844732499E-2</v>
      </c>
      <c r="M96" s="45">
        <f t="shared" si="12"/>
        <v>1.7187622155314157E-2</v>
      </c>
    </row>
    <row r="97" spans="1:13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655">
        <f t="shared" si="13"/>
        <v>1327.4</v>
      </c>
      <c r="G97" s="663">
        <f t="shared" si="14"/>
        <v>5.4184773670396319E-3</v>
      </c>
      <c r="H97" s="46">
        <f t="shared" si="15"/>
        <v>12.722909966451077</v>
      </c>
      <c r="I97" s="664">
        <f t="shared" si="16"/>
        <v>4.6782139946640617</v>
      </c>
      <c r="J97" s="210">
        <v>5.3170600516208868</v>
      </c>
      <c r="K97" s="37">
        <f t="shared" si="17"/>
        <v>9.6665636227987031E-2</v>
      </c>
      <c r="L97" s="117">
        <f t="shared" si="18"/>
        <v>0.1178354105619162</v>
      </c>
      <c r="M97" s="45">
        <f t="shared" si="12"/>
        <v>1.7187622155314157E-2</v>
      </c>
    </row>
    <row r="98" spans="1:13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655">
        <f t="shared" si="13"/>
        <v>1528.3</v>
      </c>
      <c r="G98" s="663">
        <f t="shared" si="14"/>
        <v>6.2385557933152544E-3</v>
      </c>
      <c r="H98" s="46">
        <f t="shared" si="15"/>
        <v>14.648503316051816</v>
      </c>
      <c r="I98" s="664">
        <f t="shared" si="16"/>
        <v>5.3862546693122528</v>
      </c>
      <c r="J98" s="210">
        <v>6.1217891192498124</v>
      </c>
      <c r="K98" s="37">
        <f t="shared" si="17"/>
        <v>0.11129583535274414</v>
      </c>
      <c r="L98" s="117">
        <f t="shared" si="18"/>
        <v>0.1356696232949951</v>
      </c>
      <c r="M98" s="45">
        <f t="shared" si="12"/>
        <v>1.7187622155314157E-2</v>
      </c>
    </row>
    <row r="99" spans="1:13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655">
        <f t="shared" si="13"/>
        <v>736.94</v>
      </c>
      <c r="G99" s="663">
        <f t="shared" si="14"/>
        <v>3.0082060500724625E-3</v>
      </c>
      <c r="H99" s="46">
        <f t="shared" si="15"/>
        <v>7.0634482979331459</v>
      </c>
      <c r="I99" s="664">
        <f t="shared" si="16"/>
        <v>2.5972299391500178</v>
      </c>
      <c r="J99" s="210">
        <v>2.9519016381207597</v>
      </c>
      <c r="K99" s="37">
        <f t="shared" si="17"/>
        <v>5.3666395933292733E-2</v>
      </c>
      <c r="L99" s="117">
        <f t="shared" si="18"/>
        <v>6.5419336642683845E-2</v>
      </c>
      <c r="M99" s="45">
        <f t="shared" si="12"/>
        <v>1.7187622155314157E-2</v>
      </c>
    </row>
    <row r="100" spans="1:13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655">
        <f t="shared" si="13"/>
        <v>588.29</v>
      </c>
      <c r="G100" s="663">
        <f t="shared" si="14"/>
        <v>2.401413326996945E-3</v>
      </c>
      <c r="H100" s="46">
        <f t="shared" si="15"/>
        <v>5.6386625765884464</v>
      </c>
      <c r="I100" s="664">
        <f t="shared" si="16"/>
        <v>2.0733362294115718</v>
      </c>
      <c r="J100" s="210">
        <v>2.3564662179961213</v>
      </c>
      <c r="K100" s="37">
        <f t="shared" si="17"/>
        <v>4.2841213753625498E-2</v>
      </c>
      <c r="L100" s="117">
        <f t="shared" si="18"/>
        <v>5.2223439565669487E-2</v>
      </c>
      <c r="M100" s="45">
        <f t="shared" si="12"/>
        <v>1.7187622155314157E-2</v>
      </c>
    </row>
    <row r="101" spans="1:13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655">
        <f t="shared" si="13"/>
        <v>264.32</v>
      </c>
      <c r="G101" s="663">
        <f t="shared" si="14"/>
        <v>1.0789603266957327E-3</v>
      </c>
      <c r="H101" s="46">
        <f t="shared" si="15"/>
        <v>2.5334635847011819</v>
      </c>
      <c r="I101" s="664">
        <f t="shared" si="16"/>
        <v>0.93155456009462467</v>
      </c>
      <c r="J101" s="210">
        <v>1.0587654910685798</v>
      </c>
      <c r="K101" s="37">
        <f t="shared" si="17"/>
        <v>1.924865222825187E-2</v>
      </c>
      <c r="L101" s="117">
        <f t="shared" si="18"/>
        <v>2.3464107066239033E-2</v>
      </c>
      <c r="M101" s="45">
        <f t="shared" si="12"/>
        <v>1.7187622155314157E-2</v>
      </c>
    </row>
    <row r="102" spans="1:13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655">
        <f t="shared" si="13"/>
        <v>202.70000000000002</v>
      </c>
      <c r="G102" s="663">
        <f t="shared" si="14"/>
        <v>8.2742606772557886E-4</v>
      </c>
      <c r="H102" s="46">
        <f t="shared" si="15"/>
        <v>1.9428460525837226</v>
      </c>
      <c r="I102" s="664">
        <f t="shared" si="16"/>
        <v>0.71438449353503486</v>
      </c>
      <c r="J102" s="210">
        <v>0.81193918371519802</v>
      </c>
      <c r="K102" s="37">
        <f t="shared" si="17"/>
        <v>1.4761281048224327E-2</v>
      </c>
      <c r="L102" s="117">
        <f t="shared" si="18"/>
        <v>1.7994001597785456E-2</v>
      </c>
      <c r="M102" s="45">
        <f t="shared" si="12"/>
        <v>1.7187622155314157E-2</v>
      </c>
    </row>
    <row r="103" spans="1:13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655">
        <f t="shared" si="13"/>
        <v>366.9</v>
      </c>
      <c r="G103" s="663">
        <f t="shared" si="14"/>
        <v>1.4976942488826583E-3</v>
      </c>
      <c r="H103" s="46">
        <f t="shared" si="15"/>
        <v>3.5166759580314149</v>
      </c>
      <c r="I103" s="664">
        <f t="shared" si="16"/>
        <v>1.2930817497681513</v>
      </c>
      <c r="J103" s="210">
        <v>1.4696619955851311</v>
      </c>
      <c r="K103" s="37">
        <f t="shared" si="17"/>
        <v>2.6718865400066624E-2</v>
      </c>
      <c r="L103" s="117">
        <f t="shared" si="18"/>
        <v>3.2570296922681215E-2</v>
      </c>
      <c r="M103" s="45">
        <f t="shared" si="12"/>
        <v>1.7187622155314157E-2</v>
      </c>
    </row>
    <row r="104" spans="1:13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655">
        <f t="shared" si="13"/>
        <v>580.66999999999996</v>
      </c>
      <c r="G104" s="663">
        <f t="shared" si="14"/>
        <v>2.3703083115254654E-3</v>
      </c>
      <c r="H104" s="46">
        <f t="shared" si="15"/>
        <v>5.5656261339604844</v>
      </c>
      <c r="I104" s="664">
        <f t="shared" si="16"/>
        <v>2.0464807294572704</v>
      </c>
      <c r="J104" s="210">
        <v>2.3259433932309026</v>
      </c>
      <c r="K104" s="37">
        <f t="shared" si="17"/>
        <v>4.2286300277614298E-2</v>
      </c>
      <c r="L104" s="117">
        <f t="shared" si="18"/>
        <v>5.1547000038411832E-2</v>
      </c>
      <c r="M104" s="45">
        <f t="shared" si="12"/>
        <v>1.7187622155314157E-2</v>
      </c>
    </row>
    <row r="105" spans="1:13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655">
        <f t="shared" si="13"/>
        <v>612.9</v>
      </c>
      <c r="G105" s="663">
        <f t="shared" si="14"/>
        <v>2.501871913709952E-3</v>
      </c>
      <c r="H105" s="46">
        <f t="shared" si="15"/>
        <v>5.8745453657057896</v>
      </c>
      <c r="I105" s="664">
        <f t="shared" si="16"/>
        <v>2.1600703309700191</v>
      </c>
      <c r="J105" s="210">
        <v>2.4550445273756525</v>
      </c>
      <c r="K105" s="37">
        <f t="shared" si="17"/>
        <v>4.4633394940585547E-2</v>
      </c>
      <c r="L105" s="117">
        <f t="shared" si="18"/>
        <v>5.4408108432573786E-2</v>
      </c>
      <c r="M105" s="45">
        <f t="shared" si="12"/>
        <v>1.7187622155314157E-2</v>
      </c>
    </row>
    <row r="106" spans="1:13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655">
        <f t="shared" si="13"/>
        <v>851.5</v>
      </c>
      <c r="G106" s="663">
        <f t="shared" si="14"/>
        <v>3.4758426081318715E-3</v>
      </c>
      <c r="H106" s="46">
        <f t="shared" si="15"/>
        <v>8.1614869944501223</v>
      </c>
      <c r="I106" s="664">
        <f t="shared" si="16"/>
        <v>3.0009787678593103</v>
      </c>
      <c r="J106" s="210">
        <v>3.4107854708114997</v>
      </c>
      <c r="K106" s="37">
        <f t="shared" si="17"/>
        <v>6.2009032129072585E-2</v>
      </c>
      <c r="L106" s="117">
        <f t="shared" si="18"/>
        <v>7.558901016533949E-2</v>
      </c>
      <c r="M106" s="45">
        <f t="shared" si="12"/>
        <v>1.7187622155314157E-2</v>
      </c>
    </row>
    <row r="107" spans="1:13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655">
        <f t="shared" si="13"/>
        <v>545.6</v>
      </c>
      <c r="G107" s="663">
        <f t="shared" si="14"/>
        <v>2.2271517639421601E-3</v>
      </c>
      <c r="H107" s="46">
        <f t="shared" si="15"/>
        <v>5.2294859708420285</v>
      </c>
      <c r="I107" s="664">
        <f t="shared" si="16"/>
        <v>1.9228819914786139</v>
      </c>
      <c r="J107" s="210">
        <v>2.1854662981500343</v>
      </c>
      <c r="K107" s="37">
        <f t="shared" si="17"/>
        <v>3.9732387468728134E-2</v>
      </c>
      <c r="L107" s="117">
        <f t="shared" si="18"/>
        <v>4.8433780324379595E-2</v>
      </c>
      <c r="M107" s="45">
        <f t="shared" si="12"/>
        <v>1.7187622155314157E-2</v>
      </c>
    </row>
    <row r="108" spans="1:13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655">
        <f t="shared" si="13"/>
        <v>564.81000000000006</v>
      </c>
      <c r="G108" s="663">
        <f t="shared" si="14"/>
        <v>2.3055674263052998E-3</v>
      </c>
      <c r="H108" s="46">
        <f t="shared" si="15"/>
        <v>5.4136106510104218</v>
      </c>
      <c r="I108" s="664">
        <f t="shared" si="16"/>
        <v>1.9905846363765323</v>
      </c>
      <c r="J108" s="210">
        <v>2.2624142592707499</v>
      </c>
      <c r="K108" s="37">
        <f t="shared" si="17"/>
        <v>4.113132288528655E-2</v>
      </c>
      <c r="L108" s="117">
        <f t="shared" si="18"/>
        <v>5.0139082597164306E-2</v>
      </c>
      <c r="M108" s="45">
        <f t="shared" si="12"/>
        <v>1.718762215531416E-2</v>
      </c>
    </row>
    <row r="109" spans="1:13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655">
        <f t="shared" si="13"/>
        <v>536.25</v>
      </c>
      <c r="G109" s="663">
        <f t="shared" si="14"/>
        <v>2.1889848486326673E-3</v>
      </c>
      <c r="H109" s="46">
        <f t="shared" si="15"/>
        <v>5.1398677636804209</v>
      </c>
      <c r="I109" s="664">
        <f t="shared" si="16"/>
        <v>1.8899293767052909</v>
      </c>
      <c r="J109" s="210">
        <v>2.1480137507018986</v>
      </c>
      <c r="K109" s="37">
        <f t="shared" si="17"/>
        <v>3.9051489699606784E-2</v>
      </c>
      <c r="L109" s="117">
        <f t="shared" si="18"/>
        <v>4.7603765943820674E-2</v>
      </c>
      <c r="M109" s="45">
        <f t="shared" si="12"/>
        <v>1.718762215531416E-2</v>
      </c>
    </row>
    <row r="110" spans="1:13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655">
        <f t="shared" si="13"/>
        <v>603.17000000000007</v>
      </c>
      <c r="G110" s="663">
        <f t="shared" si="14"/>
        <v>2.4621538296499134E-3</v>
      </c>
      <c r="H110" s="46">
        <f t="shared" si="15"/>
        <v>5.7812849212477753</v>
      </c>
      <c r="I110" s="664">
        <f t="shared" si="16"/>
        <v>2.1257784655428069</v>
      </c>
      <c r="J110" s="210">
        <v>2.4160698443093045</v>
      </c>
      <c r="K110" s="37">
        <f t="shared" si="17"/>
        <v>4.3924824320954452E-2</v>
      </c>
      <c r="L110" s="117">
        <f t="shared" si="18"/>
        <v>5.3544360847243483E-2</v>
      </c>
      <c r="M110" s="45">
        <f t="shared" si="12"/>
        <v>1.7187622155314157E-2</v>
      </c>
    </row>
    <row r="111" spans="1:13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655">
        <f t="shared" si="13"/>
        <v>226.9</v>
      </c>
      <c r="G111" s="663">
        <f t="shared" si="14"/>
        <v>9.2621102499720691E-4</v>
      </c>
      <c r="H111" s="46">
        <f t="shared" si="15"/>
        <v>2.1747990593549416</v>
      </c>
      <c r="I111" s="664">
        <f t="shared" si="16"/>
        <v>0.79967361412481208</v>
      </c>
      <c r="J111" s="210">
        <v>0.90887518887507834</v>
      </c>
      <c r="K111" s="37">
        <f t="shared" si="17"/>
        <v>1.6523604685950172E-2</v>
      </c>
      <c r="L111" s="117">
        <f t="shared" si="18"/>
        <v>2.0142274112173262E-2</v>
      </c>
      <c r="M111" s="45">
        <f t="shared" si="12"/>
        <v>1.7187622155314157E-2</v>
      </c>
    </row>
    <row r="112" spans="1:13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655">
        <f t="shared" si="13"/>
        <v>385.59999999999997</v>
      </c>
      <c r="G112" s="663">
        <f t="shared" si="14"/>
        <v>1.5740280795016437E-3</v>
      </c>
      <c r="H112" s="46">
        <f t="shared" si="15"/>
        <v>3.6959123723546292</v>
      </c>
      <c r="I112" s="664">
        <f t="shared" si="16"/>
        <v>1.3589869793147973</v>
      </c>
      <c r="J112" s="210">
        <v>1.5445670904814026</v>
      </c>
      <c r="K112" s="37">
        <f t="shared" si="17"/>
        <v>2.8080660938309323E-2</v>
      </c>
      <c r="L112" s="117">
        <f t="shared" si="18"/>
        <v>3.4230325683799065E-2</v>
      </c>
      <c r="M112" s="45">
        <f t="shared" si="12"/>
        <v>1.7187622155314157E-2</v>
      </c>
    </row>
    <row r="113" spans="1:13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655">
        <f t="shared" si="13"/>
        <v>340.18</v>
      </c>
      <c r="G113" s="663">
        <f t="shared" si="14"/>
        <v>1.3886225935810922E-3</v>
      </c>
      <c r="H113" s="46">
        <f t="shared" si="15"/>
        <v>3.2605691670840193</v>
      </c>
      <c r="I113" s="664">
        <f t="shared" si="16"/>
        <v>1.198911282736794</v>
      </c>
      <c r="J113" s="210">
        <v>1.3626318279044698</v>
      </c>
      <c r="K113" s="37">
        <f t="shared" si="17"/>
        <v>2.4773027069486683E-2</v>
      </c>
      <c r="L113" s="117">
        <f t="shared" si="18"/>
        <v>3.0198319997704268E-2</v>
      </c>
      <c r="M113" s="45">
        <f t="shared" si="12"/>
        <v>1.7187622155314154E-2</v>
      </c>
    </row>
    <row r="114" spans="1:13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655">
        <f t="shared" si="13"/>
        <v>304.7</v>
      </c>
      <c r="G114" s="663">
        <f t="shared" si="14"/>
        <v>1.2437924165564077E-3</v>
      </c>
      <c r="H114" s="46">
        <f t="shared" si="15"/>
        <v>2.9204992216194388</v>
      </c>
      <c r="I114" s="664">
        <f t="shared" si="16"/>
        <v>1.0738675637894677</v>
      </c>
      <c r="J114" s="210">
        <v>1.2205124286039506</v>
      </c>
      <c r="K114" s="37">
        <f t="shared" si="17"/>
        <v>2.2189256711366314E-2</v>
      </c>
      <c r="L114" s="117">
        <f t="shared" si="18"/>
        <v>2.7048703931155538E-2</v>
      </c>
      <c r="M114" s="45">
        <f t="shared" si="12"/>
        <v>1.7187622155314157E-2</v>
      </c>
    </row>
    <row r="115" spans="1:13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655">
        <f t="shared" si="13"/>
        <v>979.97</v>
      </c>
      <c r="G115" s="663">
        <f t="shared" si="14"/>
        <v>4.0002601065073284E-3</v>
      </c>
      <c r="H115" s="46">
        <f t="shared" si="15"/>
        <v>9.3928507456855979</v>
      </c>
      <c r="I115" s="664">
        <f t="shared" si="16"/>
        <v>3.4537512191885944</v>
      </c>
      <c r="J115" s="210">
        <v>3.9253874783689318</v>
      </c>
      <c r="K115" s="37">
        <f t="shared" si="17"/>
        <v>7.1364640300090737E-2</v>
      </c>
      <c r="L115" s="117">
        <f t="shared" si="18"/>
        <v>8.6993496525810621E-2</v>
      </c>
      <c r="M115" s="45">
        <f t="shared" si="12"/>
        <v>1.7187622155314157E-2</v>
      </c>
    </row>
    <row r="116" spans="1:13" s="6" customFormat="1" ht="15.75">
      <c r="A116" s="268">
        <v>25</v>
      </c>
      <c r="B116" s="176" t="s">
        <v>77</v>
      </c>
      <c r="C116" s="157">
        <v>1330.1</v>
      </c>
      <c r="D116" s="255"/>
      <c r="E116" s="255"/>
      <c r="F116" s="655">
        <f t="shared" si="13"/>
        <v>1330.1</v>
      </c>
      <c r="G116" s="663">
        <f t="shared" si="14"/>
        <v>5.4294988292145647E-3</v>
      </c>
      <c r="H116" s="46">
        <f t="shared" si="15"/>
        <v>12.74878902092555</v>
      </c>
      <c r="I116" s="664">
        <f t="shared" si="16"/>
        <v>4.6877297229943249</v>
      </c>
      <c r="J116" s="210">
        <v>5.3278752257502946</v>
      </c>
      <c r="K116" s="37">
        <f t="shared" si="17"/>
        <v>9.6862259113187826E-2</v>
      </c>
      <c r="L116" s="117">
        <f t="shared" si="18"/>
        <v>0.11807509385897597</v>
      </c>
      <c r="M116" s="45">
        <f t="shared" si="12"/>
        <v>1.7187622155314157E-2</v>
      </c>
    </row>
    <row r="117" spans="1:13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655">
        <f t="shared" si="13"/>
        <v>820.65</v>
      </c>
      <c r="G117" s="663">
        <f t="shared" si="14"/>
        <v>3.3499121977256844E-3</v>
      </c>
      <c r="H117" s="46">
        <f t="shared" si="15"/>
        <v>7.8657948349917701</v>
      </c>
      <c r="I117" s="664">
        <f t="shared" si="16"/>
        <v>2.8922527608264739</v>
      </c>
      <c r="J117" s="210">
        <v>3.2872120923328918</v>
      </c>
      <c r="K117" s="37">
        <f t="shared" si="17"/>
        <v>5.976243360742621E-2</v>
      </c>
      <c r="L117" s="117">
        <f t="shared" si="18"/>
        <v>7.285040656745255E-2</v>
      </c>
      <c r="M117" s="45">
        <f t="shared" si="12"/>
        <v>1.7187622155314157E-2</v>
      </c>
    </row>
    <row r="118" spans="1:13" s="6" customFormat="1" ht="15.75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655">
        <f t="shared" si="13"/>
        <v>1463.87</v>
      </c>
      <c r="G118" s="663">
        <f t="shared" si="14"/>
        <v>5.9755510496371138E-3</v>
      </c>
      <c r="H118" s="46">
        <f t="shared" si="15"/>
        <v>14.030952397610921</v>
      </c>
      <c r="I118" s="664">
        <f t="shared" si="16"/>
        <v>5.1591811966015362</v>
      </c>
      <c r="J118" s="210">
        <v>5.8637070195617493</v>
      </c>
      <c r="K118" s="37">
        <f t="shared" si="17"/>
        <v>0.10660383072552611</v>
      </c>
      <c r="L118" s="117">
        <f t="shared" si="18"/>
        <v>0.12995006965441633</v>
      </c>
      <c r="M118" s="45">
        <f t="shared" si="12"/>
        <v>1.7187622155314157E-2</v>
      </c>
    </row>
    <row r="119" spans="1:13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655">
        <f t="shared" si="13"/>
        <v>595.18000000000006</v>
      </c>
      <c r="G119" s="663">
        <f t="shared" si="14"/>
        <v>2.429538465658165E-3</v>
      </c>
      <c r="H119" s="46">
        <f t="shared" si="15"/>
        <v>5.7047020896733107</v>
      </c>
      <c r="I119" s="664">
        <f t="shared" si="16"/>
        <v>2.0976189583728764</v>
      </c>
      <c r="J119" s="210">
        <v>2.3840649401263518</v>
      </c>
      <c r="K119" s="37">
        <f t="shared" si="17"/>
        <v>4.3342966227341663E-2</v>
      </c>
      <c r="L119" s="117">
        <f t="shared" si="18"/>
        <v>5.2835075831129494E-2</v>
      </c>
      <c r="M119" s="45">
        <f t="shared" si="12"/>
        <v>1.7187622155314157E-2</v>
      </c>
    </row>
    <row r="120" spans="1:13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655">
        <f t="shared" si="13"/>
        <v>142</v>
      </c>
      <c r="G120" s="663">
        <f t="shared" si="14"/>
        <v>5.7964726994095802E-4</v>
      </c>
      <c r="H120" s="46">
        <f t="shared" si="15"/>
        <v>1.3610465686575659</v>
      </c>
      <c r="I120" s="664">
        <f t="shared" si="16"/>
        <v>0.50045682329538699</v>
      </c>
      <c r="J120" s="210">
        <v>0.56879804680591062</v>
      </c>
      <c r="K120" s="37">
        <f t="shared" si="17"/>
        <v>1.0340907295746691E-2</v>
      </c>
      <c r="L120" s="117">
        <f t="shared" si="18"/>
        <v>1.2605565993515217E-2</v>
      </c>
      <c r="M120" s="45">
        <f t="shared" si="12"/>
        <v>1.7187622155314157E-2</v>
      </c>
    </row>
    <row r="121" spans="1:13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655">
        <f t="shared" si="13"/>
        <v>576.93999999999994</v>
      </c>
      <c r="G121" s="663">
        <f t="shared" si="14"/>
        <v>2.3550823656319458E-3</v>
      </c>
      <c r="H121" s="46">
        <f t="shared" si="15"/>
        <v>5.5298746994457462</v>
      </c>
      <c r="I121" s="664">
        <f t="shared" si="16"/>
        <v>2.0333349269862011</v>
      </c>
      <c r="J121" s="210">
        <v>2.3110024304521275</v>
      </c>
      <c r="K121" s="37">
        <f t="shared" si="17"/>
        <v>4.2014669402873912E-2</v>
      </c>
      <c r="L121" s="117">
        <f t="shared" si="18"/>
        <v>5.1215882002103301E-2</v>
      </c>
      <c r="M121" s="45">
        <f t="shared" si="12"/>
        <v>1.7187622155314157E-2</v>
      </c>
    </row>
    <row r="122" spans="1:13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655">
        <f t="shared" si="13"/>
        <v>587.76</v>
      </c>
      <c r="G122" s="663">
        <f t="shared" si="14"/>
        <v>2.3992498547922357E-3</v>
      </c>
      <c r="H122" s="46">
        <f t="shared" si="15"/>
        <v>5.6335826140434566</v>
      </c>
      <c r="I122" s="664">
        <f t="shared" si="16"/>
        <v>2.071468327183779</v>
      </c>
      <c r="J122" s="210">
        <v>2.3543432393707189</v>
      </c>
      <c r="K122" s="37">
        <f t="shared" si="17"/>
        <v>4.2802617409493482E-2</v>
      </c>
      <c r="L122" s="117">
        <f t="shared" si="18"/>
        <v>5.217639062217256E-2</v>
      </c>
      <c r="M122" s="45">
        <f t="shared" si="12"/>
        <v>1.7187622155314157E-2</v>
      </c>
    </row>
    <row r="123" spans="1:13" s="6" customFormat="1" ht="15.75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655">
        <f t="shared" si="13"/>
        <v>1891.7</v>
      </c>
      <c r="G123" s="663">
        <f t="shared" si="14"/>
        <v>7.7219629616007771E-3</v>
      </c>
      <c r="H123" s="46">
        <f t="shared" si="15"/>
        <v>18.131632351616322</v>
      </c>
      <c r="I123" s="664">
        <f t="shared" si="16"/>
        <v>6.6670012156893224</v>
      </c>
      <c r="J123" s="210">
        <v>7.5774314446671927</v>
      </c>
      <c r="K123" s="37">
        <f t="shared" si="17"/>
        <v>0.13775981923495786</v>
      </c>
      <c r="L123" s="117">
        <f t="shared" si="18"/>
        <v>0.16792921964741364</v>
      </c>
      <c r="M123" s="45">
        <f t="shared" si="12"/>
        <v>1.718762215531416E-2</v>
      </c>
    </row>
    <row r="124" spans="1:13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655">
        <f t="shared" si="13"/>
        <v>262.7</v>
      </c>
      <c r="G124" s="663">
        <f t="shared" si="14"/>
        <v>1.0723474493907724E-3</v>
      </c>
      <c r="H124" s="46">
        <f t="shared" si="15"/>
        <v>2.5179361520164969</v>
      </c>
      <c r="I124" s="664">
        <f t="shared" si="16"/>
        <v>0.92584512309646594</v>
      </c>
      <c r="J124" s="210">
        <v>1.0522763865909348</v>
      </c>
      <c r="K124" s="37">
        <f t="shared" si="17"/>
        <v>1.9130678497131379E-2</v>
      </c>
      <c r="L124" s="117">
        <f t="shared" si="18"/>
        <v>2.3320297088003154E-2</v>
      </c>
      <c r="M124" s="45">
        <f t="shared" si="12"/>
        <v>1.718762215531416E-2</v>
      </c>
    </row>
    <row r="125" spans="1:13" s="6" customFormat="1" ht="15.75">
      <c r="A125" s="268">
        <v>34</v>
      </c>
      <c r="B125" s="176" t="s">
        <v>86</v>
      </c>
      <c r="C125" s="157">
        <v>1857.4</v>
      </c>
      <c r="D125" s="255"/>
      <c r="E125" s="255"/>
      <c r="F125" s="655">
        <f t="shared" si="13"/>
        <v>1857.4</v>
      </c>
      <c r="G125" s="663">
        <f t="shared" si="14"/>
        <v>7.5819495717488411E-3</v>
      </c>
      <c r="H125" s="46">
        <f t="shared" si="15"/>
        <v>17.802872511440583</v>
      </c>
      <c r="I125" s="664">
        <f t="shared" si="16"/>
        <v>6.5461162224567024</v>
      </c>
      <c r="J125" s="210">
        <v>7.440038677023229</v>
      </c>
      <c r="K125" s="37">
        <f t="shared" si="17"/>
        <v>0.13526198035999931</v>
      </c>
      <c r="L125" s="117">
        <f t="shared" si="18"/>
        <v>0.16488435405883917</v>
      </c>
      <c r="M125" s="45">
        <f t="shared" si="12"/>
        <v>1.7187622155314157E-2</v>
      </c>
    </row>
    <row r="126" spans="1:13" s="6" customFormat="1" ht="15.75">
      <c r="A126" s="268">
        <v>35</v>
      </c>
      <c r="B126" s="176" t="s">
        <v>87</v>
      </c>
      <c r="C126" s="157">
        <v>2470.1999999999998</v>
      </c>
      <c r="D126" s="255"/>
      <c r="E126" s="255"/>
      <c r="F126" s="655">
        <f t="shared" si="13"/>
        <v>2470.1999999999998</v>
      </c>
      <c r="G126" s="663">
        <f t="shared" si="14"/>
        <v>1.0083413283156017E-2</v>
      </c>
      <c r="H126" s="46">
        <f t="shared" si="15"/>
        <v>23.676459393647317</v>
      </c>
      <c r="I126" s="664">
        <f t="shared" si="16"/>
        <v>8.7058341190441197</v>
      </c>
      <c r="J126" s="210">
        <v>9.8946826423940877</v>
      </c>
      <c r="K126" s="37">
        <f t="shared" si="17"/>
        <v>0.17988809297150335</v>
      </c>
      <c r="L126" s="117">
        <f t="shared" si="18"/>
        <v>0.21928358533226261</v>
      </c>
      <c r="M126" s="45">
        <f t="shared" si="12"/>
        <v>1.7187622155314157E-2</v>
      </c>
    </row>
    <row r="127" spans="1:13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655">
        <f t="shared" si="13"/>
        <v>121.8</v>
      </c>
      <c r="G127" s="663">
        <f t="shared" si="14"/>
        <v>4.9719040478034282E-4</v>
      </c>
      <c r="H127" s="46">
        <f t="shared" si="15"/>
        <v>1.1674329018485317</v>
      </c>
      <c r="I127" s="664">
        <f t="shared" si="16"/>
        <v>0.42926507800970515</v>
      </c>
      <c r="J127" s="210">
        <v>0.48788452183774594</v>
      </c>
      <c r="K127" s="37">
        <f t="shared" si="17"/>
        <v>8.869876821281316E-3</v>
      </c>
      <c r="L127" s="117">
        <f t="shared" si="18"/>
        <v>1.0812379845141926E-2</v>
      </c>
      <c r="M127" s="45">
        <f t="shared" si="12"/>
        <v>1.7187622155314154E-2</v>
      </c>
    </row>
    <row r="128" spans="1:13" s="6" customFormat="1" ht="15.75">
      <c r="A128" s="268">
        <v>37</v>
      </c>
      <c r="B128" s="176" t="s">
        <v>89</v>
      </c>
      <c r="C128" s="157">
        <v>1831.3</v>
      </c>
      <c r="D128" s="255"/>
      <c r="E128" s="255"/>
      <c r="F128" s="655">
        <f t="shared" si="13"/>
        <v>1831.3</v>
      </c>
      <c r="G128" s="663">
        <f t="shared" si="14"/>
        <v>7.4754087707244819E-3</v>
      </c>
      <c r="H128" s="46">
        <f t="shared" si="15"/>
        <v>17.552708318187328</v>
      </c>
      <c r="I128" s="664">
        <f t="shared" si="16"/>
        <v>6.4541308485974813</v>
      </c>
      <c r="J128" s="210">
        <v>7.3354919937722833</v>
      </c>
      <c r="K128" s="37">
        <f t="shared" si="17"/>
        <v>0.13336129246972475</v>
      </c>
      <c r="L128" s="117">
        <f t="shared" si="18"/>
        <v>0.16256741552059448</v>
      </c>
      <c r="M128" s="45">
        <f t="shared" si="12"/>
        <v>1.7187622155314157E-2</v>
      </c>
    </row>
    <row r="129" spans="1:13" s="6" customFormat="1" ht="15.75">
      <c r="A129" s="268">
        <v>38</v>
      </c>
      <c r="B129" s="176" t="s">
        <v>90</v>
      </c>
      <c r="C129" s="157">
        <v>1844.3</v>
      </c>
      <c r="D129" s="255"/>
      <c r="E129" s="255"/>
      <c r="F129" s="655">
        <f t="shared" si="13"/>
        <v>1844.3</v>
      </c>
      <c r="G129" s="663">
        <f t="shared" si="14"/>
        <v>7.5284750700852741E-3</v>
      </c>
      <c r="H129" s="46">
        <f t="shared" si="15"/>
        <v>17.677311173064428</v>
      </c>
      <c r="I129" s="664">
        <f t="shared" si="16"/>
        <v>6.4999473183357903</v>
      </c>
      <c r="J129" s="210">
        <v>7.3875650543953606</v>
      </c>
      <c r="K129" s="37">
        <f t="shared" si="17"/>
        <v>0.13430799525032128</v>
      </c>
      <c r="L129" s="117">
        <f t="shared" si="18"/>
        <v>0.16372144621014165</v>
      </c>
      <c r="M129" s="45">
        <f t="shared" si="12"/>
        <v>1.7187622155314157E-2</v>
      </c>
    </row>
    <row r="130" spans="1:13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655">
        <f t="shared" si="13"/>
        <v>193.76</v>
      </c>
      <c r="G130" s="663">
        <f t="shared" si="14"/>
        <v>7.90932781857465E-4</v>
      </c>
      <c r="H130" s="46">
        <f t="shared" si="15"/>
        <v>1.8571576277682391</v>
      </c>
      <c r="I130" s="664">
        <f t="shared" si="16"/>
        <v>0.68287685973038159</v>
      </c>
      <c r="J130" s="210">
        <v>0.7761289404867131</v>
      </c>
      <c r="K130" s="37">
        <f t="shared" si="17"/>
        <v>1.4110240828337176E-2</v>
      </c>
      <c r="L130" s="117">
        <f t="shared" si="18"/>
        <v>1.720038356974302E-2</v>
      </c>
      <c r="M130" s="45">
        <f t="shared" si="12"/>
        <v>1.7187622155314157E-2</v>
      </c>
    </row>
    <row r="131" spans="1:13" s="6" customFormat="1" ht="15.75">
      <c r="A131" s="268">
        <v>40</v>
      </c>
      <c r="B131" s="176" t="s">
        <v>92</v>
      </c>
      <c r="C131" s="157">
        <v>1841.4</v>
      </c>
      <c r="D131" s="255"/>
      <c r="E131" s="255"/>
      <c r="F131" s="655">
        <f t="shared" si="13"/>
        <v>1841.4</v>
      </c>
      <c r="G131" s="663">
        <f t="shared" si="14"/>
        <v>7.5166372033047902E-3</v>
      </c>
      <c r="H131" s="46">
        <f t="shared" si="15"/>
        <v>17.649515151591846</v>
      </c>
      <c r="I131" s="664">
        <f t="shared" si="16"/>
        <v>6.4897267212403218</v>
      </c>
      <c r="J131" s="210">
        <v>7.3759487562563661</v>
      </c>
      <c r="K131" s="37">
        <f t="shared" si="17"/>
        <v>0.13409680770695745</v>
      </c>
      <c r="L131" s="117">
        <f t="shared" si="18"/>
        <v>0.16346400859478113</v>
      </c>
      <c r="M131" s="45">
        <f t="shared" si="12"/>
        <v>1.7187622155314157E-2</v>
      </c>
    </row>
    <row r="132" spans="1:13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655">
        <f t="shared" si="13"/>
        <v>262.3</v>
      </c>
      <c r="G132" s="663">
        <f t="shared" si="14"/>
        <v>1.0707146401796712E-3</v>
      </c>
      <c r="H132" s="46">
        <f t="shared" si="15"/>
        <v>2.5141022180202786</v>
      </c>
      <c r="I132" s="664">
        <f t="shared" si="16"/>
        <v>0.92443538556605653</v>
      </c>
      <c r="J132" s="210">
        <v>1.0506741385717633</v>
      </c>
      <c r="K132" s="37">
        <f t="shared" si="17"/>
        <v>1.9101549180805335E-2</v>
      </c>
      <c r="L132" s="117">
        <f t="shared" si="18"/>
        <v>2.3284788451401705E-2</v>
      </c>
      <c r="M132" s="45">
        <f t="shared" si="12"/>
        <v>1.7187622155314157E-2</v>
      </c>
    </row>
    <row r="133" spans="1:13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655">
        <f t="shared" si="13"/>
        <v>94.7</v>
      </c>
      <c r="G133" s="663">
        <f t="shared" si="14"/>
        <v>3.8656758072823046E-4</v>
      </c>
      <c r="H133" s="46">
        <f t="shared" si="15"/>
        <v>0.9076838736047288</v>
      </c>
      <c r="I133" s="664">
        <f t="shared" si="16"/>
        <v>0.33375536032445879</v>
      </c>
      <c r="J133" s="210">
        <v>0.37933221853887145</v>
      </c>
      <c r="K133" s="37">
        <f t="shared" si="17"/>
        <v>6.8963656401916313E-3</v>
      </c>
      <c r="L133" s="117">
        <f t="shared" si="18"/>
        <v>8.4066697153935988E-3</v>
      </c>
      <c r="M133" s="45">
        <f t="shared" si="12"/>
        <v>1.7187622155314157E-2</v>
      </c>
    </row>
    <row r="134" spans="1:13" s="6" customFormat="1" ht="15.75">
      <c r="A134" s="275">
        <v>43</v>
      </c>
      <c r="B134" s="176" t="s">
        <v>95</v>
      </c>
      <c r="C134" s="157">
        <v>38</v>
      </c>
      <c r="D134" s="255"/>
      <c r="E134" s="255"/>
      <c r="F134" s="655">
        <f t="shared" si="13"/>
        <v>38</v>
      </c>
      <c r="G134" s="663">
        <f t="shared" si="14"/>
        <v>1.5511687505462258E-4</v>
      </c>
      <c r="H134" s="46">
        <f t="shared" si="15"/>
        <v>0.36422372964075705</v>
      </c>
      <c r="I134" s="664">
        <f t="shared" si="16"/>
        <v>0.13392506538890639</v>
      </c>
      <c r="J134" s="210">
        <v>0.15221356182130005</v>
      </c>
      <c r="K134" s="37">
        <f t="shared" si="17"/>
        <v>2.7672850509744668E-3</v>
      </c>
      <c r="L134" s="117">
        <f t="shared" si="18"/>
        <v>3.3733204771378752E-3</v>
      </c>
      <c r="M134" s="45">
        <f t="shared" si="12"/>
        <v>1.7187622155314154E-2</v>
      </c>
    </row>
    <row r="135" spans="1:13" s="6" customFormat="1" ht="15.75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655">
        <f t="shared" si="13"/>
        <v>1812.3999999999999</v>
      </c>
      <c r="G135" s="663">
        <f t="shared" si="14"/>
        <v>7.3982585354999452E-3</v>
      </c>
      <c r="H135" s="46">
        <f t="shared" si="15"/>
        <v>17.371554936866001</v>
      </c>
      <c r="I135" s="664">
        <f t="shared" si="16"/>
        <v>6.3875207502856295</v>
      </c>
      <c r="J135" s="210">
        <v>7.2597857748664252</v>
      </c>
      <c r="K135" s="37">
        <f t="shared" si="17"/>
        <v>0.13198493227331903</v>
      </c>
      <c r="L135" s="117">
        <f t="shared" si="18"/>
        <v>0.16088963244117591</v>
      </c>
      <c r="M135" s="45">
        <f t="shared" ref="M135:M198" si="19">(K135+J135+I135+H135)/F135</f>
        <v>1.7187622155314157E-2</v>
      </c>
    </row>
    <row r="136" spans="1:13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655">
        <f t="shared" si="13"/>
        <v>155.80000000000001</v>
      </c>
      <c r="G136" s="663">
        <f t="shared" si="14"/>
        <v>6.3597918772395254E-4</v>
      </c>
      <c r="H136" s="46">
        <f t="shared" si="15"/>
        <v>1.493317291527104</v>
      </c>
      <c r="I136" s="664">
        <f t="shared" si="16"/>
        <v>0.54909276809451624</v>
      </c>
      <c r="J136" s="210">
        <v>0.62407560346733026</v>
      </c>
      <c r="K136" s="37">
        <f t="shared" si="17"/>
        <v>1.1345868708995314E-2</v>
      </c>
      <c r="L136" s="117">
        <f t="shared" si="18"/>
        <v>1.3830613956265289E-2</v>
      </c>
      <c r="M136" s="45">
        <f t="shared" si="19"/>
        <v>1.7187622155314157E-2</v>
      </c>
    </row>
    <row r="137" spans="1:13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655">
        <f t="shared" si="13"/>
        <v>378.1</v>
      </c>
      <c r="G137" s="663">
        <f t="shared" si="14"/>
        <v>1.5434129067934948E-3</v>
      </c>
      <c r="H137" s="46">
        <f t="shared" si="15"/>
        <v>3.6240261099255333</v>
      </c>
      <c r="I137" s="664">
        <f t="shared" si="16"/>
        <v>1.3325544006196186</v>
      </c>
      <c r="J137" s="210">
        <v>1.5145249401219356</v>
      </c>
      <c r="K137" s="37">
        <f t="shared" si="17"/>
        <v>2.7534486257195945E-2</v>
      </c>
      <c r="L137" s="117">
        <f t="shared" si="18"/>
        <v>3.3564538747521862E-2</v>
      </c>
      <c r="M137" s="45">
        <f t="shared" si="19"/>
        <v>1.7187622155314157E-2</v>
      </c>
    </row>
    <row r="138" spans="1:13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655">
        <f t="shared" si="13"/>
        <v>120.9</v>
      </c>
      <c r="G138" s="663">
        <f t="shared" si="14"/>
        <v>4.9351658405536499E-4</v>
      </c>
      <c r="H138" s="46">
        <f t="shared" si="15"/>
        <v>1.1588065503570404</v>
      </c>
      <c r="I138" s="664">
        <f t="shared" si="16"/>
        <v>0.42609316856628376</v>
      </c>
      <c r="J138" s="210">
        <v>0.48427946379460995</v>
      </c>
      <c r="K138" s="37">
        <f t="shared" si="17"/>
        <v>8.8043358595477107E-3</v>
      </c>
      <c r="L138" s="117">
        <f t="shared" si="18"/>
        <v>1.0732485412788661E-2</v>
      </c>
      <c r="M138" s="45">
        <f t="shared" si="19"/>
        <v>1.718762215531416E-2</v>
      </c>
    </row>
    <row r="139" spans="1:13" s="6" customFormat="1" ht="15.75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655">
        <f t="shared" si="13"/>
        <v>2549</v>
      </c>
      <c r="G139" s="663">
        <f t="shared" si="14"/>
        <v>1.0405076697742972E-2</v>
      </c>
      <c r="H139" s="46">
        <f t="shared" si="15"/>
        <v>24.431744390902363</v>
      </c>
      <c r="I139" s="664">
        <f t="shared" si="16"/>
        <v>8.9835524125347987</v>
      </c>
      <c r="J139" s="210">
        <v>10.210325502170889</v>
      </c>
      <c r="K139" s="37">
        <f t="shared" si="17"/>
        <v>0.18562656828773461</v>
      </c>
      <c r="L139" s="117">
        <f t="shared" si="18"/>
        <v>0.22627878674274851</v>
      </c>
      <c r="M139" s="45">
        <f t="shared" si="19"/>
        <v>1.7187622155314157E-2</v>
      </c>
    </row>
    <row r="140" spans="1:13" s="6" customFormat="1" ht="15.75">
      <c r="A140" s="268">
        <v>49</v>
      </c>
      <c r="B140" s="176" t="s">
        <v>101</v>
      </c>
      <c r="C140" s="157">
        <v>2593.29</v>
      </c>
      <c r="D140" s="255"/>
      <c r="E140" s="255"/>
      <c r="F140" s="655">
        <f t="shared" si="13"/>
        <v>2593.29</v>
      </c>
      <c r="G140" s="663">
        <f t="shared" si="14"/>
        <v>1.0585869497642161E-2</v>
      </c>
      <c r="H140" s="46">
        <f t="shared" si="15"/>
        <v>24.856256732633653</v>
      </c>
      <c r="I140" s="664">
        <f t="shared" si="16"/>
        <v>9.1396456005893949</v>
      </c>
      <c r="J140" s="210">
        <v>10.387734414093662</v>
      </c>
      <c r="K140" s="37">
        <f t="shared" si="17"/>
        <v>0.18885191183793615</v>
      </c>
      <c r="L140" s="117">
        <f t="shared" si="18"/>
        <v>0.23021048053044418</v>
      </c>
      <c r="M140" s="45">
        <f t="shared" si="19"/>
        <v>1.7187622155314154E-2</v>
      </c>
    </row>
    <row r="141" spans="1:13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655">
        <f t="shared" si="13"/>
        <v>385.82</v>
      </c>
      <c r="G141" s="663">
        <f t="shared" si="14"/>
        <v>1.5749261245677495E-3</v>
      </c>
      <c r="H141" s="46">
        <f t="shared" si="15"/>
        <v>3.6980210360525496</v>
      </c>
      <c r="I141" s="664">
        <f t="shared" si="16"/>
        <v>1.3597623349565227</v>
      </c>
      <c r="J141" s="210">
        <v>1.545448326891947</v>
      </c>
      <c r="K141" s="37">
        <f t="shared" si="17"/>
        <v>2.8096682062288651E-2</v>
      </c>
      <c r="L141" s="117">
        <f t="shared" si="18"/>
        <v>3.4249855433929867E-2</v>
      </c>
      <c r="M141" s="45">
        <f t="shared" si="19"/>
        <v>1.7187622155314157E-2</v>
      </c>
    </row>
    <row r="142" spans="1:13" s="6" customFormat="1" ht="15.75">
      <c r="A142" s="268">
        <v>51</v>
      </c>
      <c r="B142" s="176" t="s">
        <v>103</v>
      </c>
      <c r="C142" s="157">
        <v>1699.75</v>
      </c>
      <c r="D142" s="255"/>
      <c r="E142" s="255"/>
      <c r="F142" s="655">
        <f t="shared" si="13"/>
        <v>1699.75</v>
      </c>
      <c r="G142" s="663">
        <f t="shared" si="14"/>
        <v>6.9384186414235454E-3</v>
      </c>
      <c r="H142" s="46">
        <f t="shared" si="15"/>
        <v>16.29182327518097</v>
      </c>
      <c r="I142" s="664">
        <f t="shared" si="16"/>
        <v>5.9905034182840433</v>
      </c>
      <c r="J142" s="210">
        <v>6.8085526764672304</v>
      </c>
      <c r="K142" s="37">
        <f t="shared" si="17"/>
        <v>0.12378138856299604</v>
      </c>
      <c r="L142" s="117">
        <f t="shared" si="18"/>
        <v>0.1508895126582922</v>
      </c>
      <c r="M142" s="45">
        <f t="shared" si="19"/>
        <v>1.718762215531416E-2</v>
      </c>
    </row>
    <row r="143" spans="1:13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655">
        <f t="shared" si="13"/>
        <v>224.06</v>
      </c>
      <c r="G143" s="663">
        <f t="shared" si="14"/>
        <v>9.1461807959838774E-4</v>
      </c>
      <c r="H143" s="46">
        <f t="shared" si="15"/>
        <v>2.1475781279817903</v>
      </c>
      <c r="I143" s="664">
        <f t="shared" si="16"/>
        <v>0.78966447765890435</v>
      </c>
      <c r="J143" s="210">
        <v>0.89749922793896031</v>
      </c>
      <c r="K143" s="37">
        <f t="shared" si="17"/>
        <v>1.6316786540035239E-2</v>
      </c>
      <c r="L143" s="117">
        <f t="shared" si="18"/>
        <v>1.9890162792302959E-2</v>
      </c>
      <c r="M143" s="45">
        <f t="shared" si="19"/>
        <v>1.7187622155314157E-2</v>
      </c>
    </row>
    <row r="144" spans="1:13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655">
        <f t="shared" si="13"/>
        <v>138.9</v>
      </c>
      <c r="G144" s="663">
        <f t="shared" si="14"/>
        <v>5.669929985549231E-4</v>
      </c>
      <c r="H144" s="46">
        <f t="shared" si="15"/>
        <v>1.3313335801868726</v>
      </c>
      <c r="I144" s="664">
        <f t="shared" si="16"/>
        <v>0.4895313574347131</v>
      </c>
      <c r="J144" s="210">
        <v>0.55638062465733096</v>
      </c>
      <c r="K144" s="37">
        <f t="shared" si="17"/>
        <v>1.0115155094219829E-2</v>
      </c>
      <c r="L144" s="117">
        <f t="shared" si="18"/>
        <v>1.2330374059853972E-2</v>
      </c>
      <c r="M144" s="45">
        <f t="shared" si="19"/>
        <v>1.7187622155314157E-2</v>
      </c>
    </row>
    <row r="145" spans="1:13" s="6" customFormat="1" ht="15.75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655">
        <f t="shared" si="13"/>
        <v>8410.83</v>
      </c>
      <c r="G145" s="663">
        <f t="shared" si="14"/>
        <v>3.4333201742517659E-2</v>
      </c>
      <c r="H145" s="46">
        <f t="shared" si="15"/>
        <v>80.616417683536014</v>
      </c>
      <c r="I145" s="664">
        <f t="shared" si="16"/>
        <v>29.642656782236195</v>
      </c>
      <c r="J145" s="210">
        <v>33.690589267722238</v>
      </c>
      <c r="K145" s="37">
        <f t="shared" si="17"/>
        <v>0.61250431908651504</v>
      </c>
      <c r="L145" s="117">
        <f t="shared" si="18"/>
        <v>0.74664276496646187</v>
      </c>
      <c r="M145" s="45">
        <f t="shared" si="19"/>
        <v>1.7187622155314157E-2</v>
      </c>
    </row>
    <row r="146" spans="1:13" s="6" customFormat="1" ht="15.75">
      <c r="A146" s="268">
        <v>55</v>
      </c>
      <c r="B146" s="176" t="s">
        <v>1347</v>
      </c>
      <c r="C146" s="157">
        <v>953.56</v>
      </c>
      <c r="D146" s="255"/>
      <c r="E146" s="255"/>
      <c r="F146" s="655">
        <f t="shared" ref="F146:F208" si="20">C146+D146+E146</f>
        <v>953.56</v>
      </c>
      <c r="G146" s="663">
        <f t="shared" si="14"/>
        <v>3.8924538783443657E-3</v>
      </c>
      <c r="H146" s="46">
        <f t="shared" si="15"/>
        <v>9.1397152535852708</v>
      </c>
      <c r="I146" s="664">
        <f t="shared" si="16"/>
        <v>3.3606732987433041</v>
      </c>
      <c r="J146" s="210">
        <v>3.8195990529031278</v>
      </c>
      <c r="K146" s="37">
        <f t="shared" si="17"/>
        <v>6.9441377189663478E-2</v>
      </c>
      <c r="L146" s="117">
        <f t="shared" si="18"/>
        <v>8.4649038794199785E-2</v>
      </c>
      <c r="M146" s="45">
        <f t="shared" si="19"/>
        <v>1.7187622155314154E-2</v>
      </c>
    </row>
    <row r="147" spans="1:13" s="6" customFormat="1" ht="15.75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655">
        <f t="shared" si="20"/>
        <v>1720.1</v>
      </c>
      <c r="G147" s="663">
        <f t="shared" si="14"/>
        <v>7.0214878100383227E-3</v>
      </c>
      <c r="H147" s="46">
        <f t="shared" si="15"/>
        <v>16.486874667238585</v>
      </c>
      <c r="I147" s="664">
        <f t="shared" si="16"/>
        <v>6.0622238151436276</v>
      </c>
      <c r="J147" s="210">
        <v>6.890067044442584</v>
      </c>
      <c r="K147" s="37">
        <f t="shared" si="17"/>
        <v>0.12526334253108368</v>
      </c>
      <c r="L147" s="117">
        <f t="shared" si="18"/>
        <v>0.152696014545391</v>
      </c>
      <c r="M147" s="45">
        <f t="shared" si="19"/>
        <v>1.7187622155314157E-2</v>
      </c>
    </row>
    <row r="148" spans="1:13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655">
        <f t="shared" si="20"/>
        <v>1033.02</v>
      </c>
      <c r="G148" s="663">
        <f t="shared" si="14"/>
        <v>4.2168114281296368E-3</v>
      </c>
      <c r="H148" s="46">
        <f t="shared" si="15"/>
        <v>9.9013262419340755</v>
      </c>
      <c r="I148" s="664">
        <f t="shared" si="16"/>
        <v>3.6407176591591597</v>
      </c>
      <c r="J148" s="210">
        <v>4.1378856219115621</v>
      </c>
      <c r="K148" s="37">
        <f t="shared" si="17"/>
        <v>7.5227915877832716E-2</v>
      </c>
      <c r="L148" s="117">
        <f t="shared" si="18"/>
        <v>9.1702829455078086E-2</v>
      </c>
      <c r="M148" s="45">
        <f t="shared" si="19"/>
        <v>1.7187622155314157E-2</v>
      </c>
    </row>
    <row r="149" spans="1:13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655">
        <f t="shared" si="20"/>
        <v>220.38</v>
      </c>
      <c r="G149" s="663">
        <f t="shared" si="14"/>
        <v>8.9959623485625587E-4</v>
      </c>
      <c r="H149" s="46">
        <f t="shared" si="15"/>
        <v>2.1123059352165803</v>
      </c>
      <c r="I149" s="664">
        <f t="shared" si="16"/>
        <v>0.77669489237913658</v>
      </c>
      <c r="J149" s="210">
        <v>0.88275854616258165</v>
      </c>
      <c r="K149" s="37">
        <f t="shared" si="17"/>
        <v>1.6048796829835604E-2</v>
      </c>
      <c r="L149" s="117">
        <f t="shared" si="18"/>
        <v>1.9563483335569603E-2</v>
      </c>
      <c r="M149" s="45">
        <f t="shared" si="19"/>
        <v>1.7187622155314157E-2</v>
      </c>
    </row>
    <row r="150" spans="1:13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655">
        <f t="shared" si="20"/>
        <v>1973.5500000000002</v>
      </c>
      <c r="G150" s="663">
        <f t="shared" si="14"/>
        <v>8.0560765464223784E-3</v>
      </c>
      <c r="H150" s="46">
        <f t="shared" si="15"/>
        <v>18.916151095592529</v>
      </c>
      <c r="I150" s="664">
        <f t="shared" si="16"/>
        <v>6.9554687578493732</v>
      </c>
      <c r="J150" s="210">
        <v>7.9052914455901773</v>
      </c>
      <c r="K150" s="37">
        <f t="shared" si="17"/>
        <v>0.14372040558817523</v>
      </c>
      <c r="L150" s="117">
        <f t="shared" si="18"/>
        <v>0.17519517441198562</v>
      </c>
      <c r="M150" s="45">
        <f t="shared" si="19"/>
        <v>1.7187622155314157E-2</v>
      </c>
    </row>
    <row r="151" spans="1:13" s="6" customFormat="1" ht="15.75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655">
        <f t="shared" si="20"/>
        <v>1290.5</v>
      </c>
      <c r="G151" s="663">
        <f t="shared" si="14"/>
        <v>5.2678507173155378E-3</v>
      </c>
      <c r="H151" s="46">
        <f t="shared" si="15"/>
        <v>12.369229555299922</v>
      </c>
      <c r="I151" s="664">
        <f t="shared" si="16"/>
        <v>4.5481657074837818</v>
      </c>
      <c r="J151" s="210">
        <v>5.1692526718523082</v>
      </c>
      <c r="K151" s="37">
        <f t="shared" si="17"/>
        <v>9.3978456796909193E-2</v>
      </c>
      <c r="L151" s="117">
        <f t="shared" si="18"/>
        <v>0.11455973883543231</v>
      </c>
      <c r="M151" s="45">
        <f t="shared" si="19"/>
        <v>1.718762215531416E-2</v>
      </c>
    </row>
    <row r="152" spans="1:13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655">
        <f t="shared" si="20"/>
        <v>231.77</v>
      </c>
      <c r="G152" s="663">
        <f t="shared" si="14"/>
        <v>9.4609047714236513E-4</v>
      </c>
      <c r="H152" s="46">
        <f t="shared" si="15"/>
        <v>2.2214772057589016</v>
      </c>
      <c r="I152" s="664">
        <f t="shared" si="16"/>
        <v>0.81683716855754818</v>
      </c>
      <c r="J152" s="210">
        <v>0.92838255850849238</v>
      </c>
      <c r="K152" s="37">
        <f t="shared" si="17"/>
        <v>1.6878254112219795E-2</v>
      </c>
      <c r="L152" s="117">
        <f t="shared" si="18"/>
        <v>2.057459176279593E-2</v>
      </c>
      <c r="M152" s="45">
        <f t="shared" si="19"/>
        <v>1.7187622155314154E-2</v>
      </c>
    </row>
    <row r="153" spans="1:13" s="6" customFormat="1" ht="15.75">
      <c r="A153" s="268">
        <v>62</v>
      </c>
      <c r="B153" s="176" t="s">
        <v>110</v>
      </c>
      <c r="C153" s="157">
        <v>1422.83</v>
      </c>
      <c r="D153" s="255"/>
      <c r="E153" s="255"/>
      <c r="F153" s="655">
        <f t="shared" si="20"/>
        <v>1422.83</v>
      </c>
      <c r="G153" s="663">
        <f t="shared" si="14"/>
        <v>5.8080248245781212E-3</v>
      </c>
      <c r="H153" s="46">
        <f t="shared" si="15"/>
        <v>13.637590769598903</v>
      </c>
      <c r="I153" s="664">
        <f t="shared" si="16"/>
        <v>5.0145421259815173</v>
      </c>
      <c r="J153" s="210">
        <v>5.6993163727947458</v>
      </c>
      <c r="K153" s="37">
        <f t="shared" si="17"/>
        <v>0.10361516287047368</v>
      </c>
      <c r="L153" s="117">
        <f t="shared" si="18"/>
        <v>0.12630688353910741</v>
      </c>
      <c r="M153" s="45">
        <f t="shared" si="19"/>
        <v>1.7187622155314157E-2</v>
      </c>
    </row>
    <row r="154" spans="1:13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655">
        <f t="shared" si="20"/>
        <v>377.6</v>
      </c>
      <c r="G154" s="663">
        <f t="shared" si="14"/>
        <v>1.5413718952796182E-3</v>
      </c>
      <c r="H154" s="46">
        <f t="shared" si="15"/>
        <v>3.6192336924302602</v>
      </c>
      <c r="I154" s="664">
        <f t="shared" si="16"/>
        <v>1.3307922287066067</v>
      </c>
      <c r="J154" s="210">
        <v>1.5125221300979712</v>
      </c>
      <c r="K154" s="37">
        <f t="shared" si="17"/>
        <v>2.7498074611788388E-2</v>
      </c>
      <c r="L154" s="117">
        <f t="shared" si="18"/>
        <v>3.3520152951770049E-2</v>
      </c>
      <c r="M154" s="45">
        <f t="shared" si="19"/>
        <v>1.718762215531416E-2</v>
      </c>
    </row>
    <row r="155" spans="1:13" s="6" customFormat="1" ht="15.75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655">
        <f t="shared" si="20"/>
        <v>1852.5099999999998</v>
      </c>
      <c r="G155" s="663">
        <f t="shared" si="14"/>
        <v>7.5619884791431266E-3</v>
      </c>
      <c r="H155" s="46">
        <f t="shared" si="15"/>
        <v>17.756002668336809</v>
      </c>
      <c r="I155" s="664">
        <f t="shared" si="16"/>
        <v>6.5288821811474449</v>
      </c>
      <c r="J155" s="210">
        <v>7.4204511949888561</v>
      </c>
      <c r="K155" s="37">
        <f t="shared" si="17"/>
        <v>0.13490587446791338</v>
      </c>
      <c r="L155" s="117">
        <f t="shared" si="18"/>
        <v>0.16445026097638643</v>
      </c>
      <c r="M155" s="45">
        <f t="shared" si="19"/>
        <v>1.7187622155314157E-2</v>
      </c>
    </row>
    <row r="156" spans="1:13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655">
        <f t="shared" si="20"/>
        <v>2010.19</v>
      </c>
      <c r="G156" s="663">
        <f t="shared" ref="G156:G219" si="21">1/244976.57*F156</f>
        <v>8.2056418701592568E-3</v>
      </c>
      <c r="H156" s="46">
        <f t="shared" ref="H156:H219" si="22">G156*2348.06</f>
        <v>19.267339449646144</v>
      </c>
      <c r="I156" s="664">
        <f t="shared" ref="I156:I219" si="23">H156*0.3677</f>
        <v>7.0846007156348874</v>
      </c>
      <c r="J156" s="210">
        <v>8.0520573641462931</v>
      </c>
      <c r="K156" s="37">
        <f t="shared" ref="K156:K219" si="24">G156*17.84</f>
        <v>0.14638865096364115</v>
      </c>
      <c r="L156" s="117">
        <f t="shared" si="18"/>
        <v>0.17844776552467856</v>
      </c>
      <c r="M156" s="45">
        <f t="shared" si="19"/>
        <v>1.7187622155314157E-2</v>
      </c>
    </row>
    <row r="157" spans="1:13" s="6" customFormat="1" ht="15.75">
      <c r="A157" s="268">
        <v>66</v>
      </c>
      <c r="B157" s="176" t="s">
        <v>114</v>
      </c>
      <c r="C157" s="157">
        <v>1464.32</v>
      </c>
      <c r="D157" s="255"/>
      <c r="E157" s="255"/>
      <c r="F157" s="655">
        <f t="shared" si="20"/>
        <v>1464.32</v>
      </c>
      <c r="G157" s="663">
        <f t="shared" si="21"/>
        <v>5.9773879599996031E-3</v>
      </c>
      <c r="H157" s="46">
        <f t="shared" si="22"/>
        <v>14.035265573356668</v>
      </c>
      <c r="I157" s="664">
        <f t="shared" si="23"/>
        <v>5.1607671513232471</v>
      </c>
      <c r="J157" s="210">
        <v>5.8655095485833177</v>
      </c>
      <c r="K157" s="37">
        <f t="shared" si="24"/>
        <v>0.10663660120639291</v>
      </c>
      <c r="L157" s="117">
        <f t="shared" ref="L157:L220" si="25">K157*1.219</f>
        <v>0.12999001687059297</v>
      </c>
      <c r="M157" s="45">
        <f t="shared" si="19"/>
        <v>1.7187622155314157E-2</v>
      </c>
    </row>
    <row r="158" spans="1:13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655">
        <f t="shared" si="20"/>
        <v>152.11000000000001</v>
      </c>
      <c r="G158" s="663">
        <f t="shared" si="21"/>
        <v>6.2091652275154323E-4</v>
      </c>
      <c r="H158" s="46">
        <f t="shared" si="22"/>
        <v>1.4579492504119886</v>
      </c>
      <c r="I158" s="664">
        <f t="shared" si="23"/>
        <v>0.53608793937648824</v>
      </c>
      <c r="J158" s="210">
        <v>0.6092948654904724</v>
      </c>
      <c r="K158" s="37">
        <f t="shared" si="24"/>
        <v>1.1077150765887531E-2</v>
      </c>
      <c r="L158" s="117">
        <f t="shared" si="25"/>
        <v>1.3503046783616902E-2</v>
      </c>
      <c r="M158" s="45">
        <f t="shared" si="19"/>
        <v>1.718762215531416E-2</v>
      </c>
    </row>
    <row r="159" spans="1:13" s="6" customFormat="1" ht="15.75">
      <c r="A159" s="268">
        <v>68</v>
      </c>
      <c r="B159" s="176" t="s">
        <v>116</v>
      </c>
      <c r="C159" s="157">
        <v>2553.5700000000002</v>
      </c>
      <c r="D159" s="255"/>
      <c r="E159" s="255"/>
      <c r="F159" s="655">
        <f t="shared" si="20"/>
        <v>2553.5700000000002</v>
      </c>
      <c r="G159" s="663">
        <f t="shared" si="21"/>
        <v>1.0423731542979806E-2</v>
      </c>
      <c r="H159" s="46">
        <f t="shared" si="22"/>
        <v>24.475547086809161</v>
      </c>
      <c r="I159" s="664">
        <f t="shared" si="23"/>
        <v>8.99965866381973</v>
      </c>
      <c r="J159" s="210">
        <v>10.228631185789926</v>
      </c>
      <c r="K159" s="37">
        <f t="shared" si="24"/>
        <v>0.18595937072675972</v>
      </c>
      <c r="L159" s="117">
        <f t="shared" si="25"/>
        <v>0.22668447291592012</v>
      </c>
      <c r="M159" s="45">
        <f t="shared" si="19"/>
        <v>1.7187622155314157E-2</v>
      </c>
    </row>
    <row r="160" spans="1:13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655">
        <f t="shared" si="20"/>
        <v>101.99</v>
      </c>
      <c r="G160" s="663">
        <f t="shared" si="21"/>
        <v>4.1632552860055146E-4</v>
      </c>
      <c r="H160" s="46">
        <f t="shared" si="22"/>
        <v>0.9775573206858108</v>
      </c>
      <c r="I160" s="664">
        <f t="shared" si="23"/>
        <v>0.35944782681617266</v>
      </c>
      <c r="J160" s="210">
        <v>0.40853318868827343</v>
      </c>
      <c r="K160" s="37">
        <f t="shared" si="24"/>
        <v>7.4272474302338378E-3</v>
      </c>
      <c r="L160" s="117">
        <f t="shared" si="25"/>
        <v>9.0538146174550492E-3</v>
      </c>
      <c r="M160" s="45">
        <f t="shared" si="19"/>
        <v>1.7187622155314157E-2</v>
      </c>
    </row>
    <row r="161" spans="1:13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655">
        <f t="shared" si="20"/>
        <v>166.1</v>
      </c>
      <c r="G161" s="663">
        <f t="shared" si="21"/>
        <v>6.780240249098107E-4</v>
      </c>
      <c r="H161" s="46">
        <f t="shared" si="22"/>
        <v>1.5920410919297301</v>
      </c>
      <c r="I161" s="664">
        <f t="shared" si="23"/>
        <v>0.58539350950256175</v>
      </c>
      <c r="J161" s="210">
        <v>0.66533348996099828</v>
      </c>
      <c r="K161" s="37">
        <f t="shared" si="24"/>
        <v>1.2095948604391022E-2</v>
      </c>
      <c r="L161" s="117">
        <f t="shared" si="25"/>
        <v>1.4744961348752656E-2</v>
      </c>
      <c r="M161" s="45">
        <f t="shared" si="19"/>
        <v>1.7187622155314157E-2</v>
      </c>
    </row>
    <row r="162" spans="1:13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655">
        <f t="shared" si="20"/>
        <v>315.39999999999998</v>
      </c>
      <c r="G162" s="663">
        <f t="shared" si="21"/>
        <v>1.2874700629533673E-3</v>
      </c>
      <c r="H162" s="46">
        <f t="shared" si="22"/>
        <v>3.0230569560182836</v>
      </c>
      <c r="I162" s="664">
        <f t="shared" si="23"/>
        <v>1.1115780427279229</v>
      </c>
      <c r="J162" s="210">
        <v>1.2633725631167902</v>
      </c>
      <c r="K162" s="37">
        <f t="shared" si="24"/>
        <v>2.2968465923088072E-2</v>
      </c>
      <c r="L162" s="117">
        <f t="shared" si="25"/>
        <v>2.7998559960244362E-2</v>
      </c>
      <c r="M162" s="45">
        <f t="shared" si="19"/>
        <v>1.7187622155314157E-2</v>
      </c>
    </row>
    <row r="163" spans="1:13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655">
        <f t="shared" si="20"/>
        <v>1497.91</v>
      </c>
      <c r="G163" s="663">
        <f t="shared" si="21"/>
        <v>6.1145031135018341E-3</v>
      </c>
      <c r="H163" s="46">
        <f t="shared" si="22"/>
        <v>14.357220180689117</v>
      </c>
      <c r="I163" s="664">
        <f t="shared" si="23"/>
        <v>5.2791498604393885</v>
      </c>
      <c r="J163" s="210">
        <v>6.0000583259932512</v>
      </c>
      <c r="K163" s="37">
        <f t="shared" si="24"/>
        <v>0.10908273554487272</v>
      </c>
      <c r="L163" s="117">
        <f t="shared" si="25"/>
        <v>0.13297185462919986</v>
      </c>
      <c r="M163" s="45">
        <f t="shared" si="19"/>
        <v>1.7187622155314157E-2</v>
      </c>
    </row>
    <row r="164" spans="1:13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655">
        <f t="shared" si="20"/>
        <v>165.93</v>
      </c>
      <c r="G164" s="663">
        <f t="shared" si="21"/>
        <v>6.7733008099509276E-4</v>
      </c>
      <c r="H164" s="46">
        <f t="shared" si="22"/>
        <v>1.5904116699813375</v>
      </c>
      <c r="I164" s="664">
        <f t="shared" si="23"/>
        <v>0.58479437105213783</v>
      </c>
      <c r="J164" s="210">
        <v>0.66465253455285045</v>
      </c>
      <c r="K164" s="37">
        <f t="shared" si="24"/>
        <v>1.2083568644952455E-2</v>
      </c>
      <c r="L164" s="117">
        <f t="shared" si="25"/>
        <v>1.4729870178197045E-2</v>
      </c>
      <c r="M164" s="45">
        <f t="shared" si="19"/>
        <v>1.7187622155314157E-2</v>
      </c>
    </row>
    <row r="165" spans="1:13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655">
        <f t="shared" si="20"/>
        <v>977.29000000000008</v>
      </c>
      <c r="G165" s="663">
        <f t="shared" si="21"/>
        <v>3.9893202847929498E-3</v>
      </c>
      <c r="H165" s="46">
        <f t="shared" si="22"/>
        <v>9.3671633879109333</v>
      </c>
      <c r="I165" s="664">
        <f t="shared" si="23"/>
        <v>3.4443059777348504</v>
      </c>
      <c r="J165" s="210">
        <v>3.9146524166404828</v>
      </c>
      <c r="K165" s="37">
        <f t="shared" si="24"/>
        <v>7.1169473880706227E-2</v>
      </c>
      <c r="L165" s="117">
        <f t="shared" si="25"/>
        <v>8.675558866058089E-2</v>
      </c>
      <c r="M165" s="45">
        <f t="shared" si="19"/>
        <v>1.7187622155314154E-2</v>
      </c>
    </row>
    <row r="166" spans="1:13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655">
        <f t="shared" si="20"/>
        <v>144.9</v>
      </c>
      <c r="G166" s="663">
        <f t="shared" si="21"/>
        <v>5.9148513672144243E-4</v>
      </c>
      <c r="H166" s="46">
        <f t="shared" si="22"/>
        <v>1.38884259013015</v>
      </c>
      <c r="I166" s="664">
        <f t="shared" si="23"/>
        <v>0.51067742039085617</v>
      </c>
      <c r="J166" s="210">
        <v>0.58041434494490463</v>
      </c>
      <c r="K166" s="37">
        <f t="shared" si="24"/>
        <v>1.0552094839110533E-2</v>
      </c>
      <c r="L166" s="117">
        <f t="shared" si="25"/>
        <v>1.2863003608875739E-2</v>
      </c>
      <c r="M166" s="45">
        <f t="shared" si="19"/>
        <v>1.7187622155314157E-2</v>
      </c>
    </row>
    <row r="167" spans="1:13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655">
        <f t="shared" si="20"/>
        <v>231.9</v>
      </c>
      <c r="G167" s="663">
        <f t="shared" si="21"/>
        <v>9.4662114013597306E-4</v>
      </c>
      <c r="H167" s="46">
        <f t="shared" si="22"/>
        <v>2.222723234307673</v>
      </c>
      <c r="I167" s="664">
        <f t="shared" si="23"/>
        <v>0.81729533325493142</v>
      </c>
      <c r="J167" s="210">
        <v>0.92890328911472331</v>
      </c>
      <c r="K167" s="37">
        <f t="shared" si="24"/>
        <v>1.688772114002576E-2</v>
      </c>
      <c r="L167" s="117">
        <f t="shared" si="25"/>
        <v>2.0586132069691402E-2</v>
      </c>
      <c r="M167" s="45">
        <f t="shared" si="19"/>
        <v>1.718762215531416E-2</v>
      </c>
    </row>
    <row r="168" spans="1:13" s="6" customFormat="1" ht="15.75">
      <c r="A168" s="268">
        <v>77</v>
      </c>
      <c r="B168" s="274" t="s">
        <v>126</v>
      </c>
      <c r="C168" s="157">
        <v>3146.6</v>
      </c>
      <c r="D168" s="255"/>
      <c r="E168" s="255"/>
      <c r="F168" s="655">
        <f t="shared" si="20"/>
        <v>3146.6</v>
      </c>
      <c r="G168" s="663">
        <f t="shared" si="21"/>
        <v>1.2844493659128299E-2</v>
      </c>
      <c r="H168" s="46">
        <f t="shared" si="22"/>
        <v>30.159641781252795</v>
      </c>
      <c r="I168" s="664">
        <f t="shared" si="23"/>
        <v>11.089700282966653</v>
      </c>
      <c r="J168" s="210">
        <v>12.604084042813231</v>
      </c>
      <c r="K168" s="37">
        <f t="shared" si="24"/>
        <v>0.22914576687884886</v>
      </c>
      <c r="L168" s="117">
        <f t="shared" si="25"/>
        <v>0.27932868982531678</v>
      </c>
      <c r="M168" s="45">
        <f t="shared" si="19"/>
        <v>1.7187622155314157E-2</v>
      </c>
    </row>
    <row r="169" spans="1:13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655">
        <f t="shared" si="20"/>
        <v>848.35</v>
      </c>
      <c r="G169" s="663">
        <f t="shared" si="21"/>
        <v>3.462984235594449E-3</v>
      </c>
      <c r="H169" s="46">
        <f t="shared" si="22"/>
        <v>8.1312947642299012</v>
      </c>
      <c r="I169" s="664">
        <f t="shared" si="23"/>
        <v>2.9898770848073348</v>
      </c>
      <c r="J169" s="210">
        <v>3.3981677676605235</v>
      </c>
      <c r="K169" s="37">
        <f t="shared" si="24"/>
        <v>6.177963876300497E-2</v>
      </c>
      <c r="L169" s="117">
        <f t="shared" si="25"/>
        <v>7.5309379652103062E-2</v>
      </c>
      <c r="M169" s="45">
        <f t="shared" si="19"/>
        <v>1.7187622155314157E-2</v>
      </c>
    </row>
    <row r="170" spans="1:13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655">
        <f t="shared" si="20"/>
        <v>885.4</v>
      </c>
      <c r="G170" s="663">
        <f t="shared" si="21"/>
        <v>3.614223188772706E-3</v>
      </c>
      <c r="H170" s="46">
        <f t="shared" si="22"/>
        <v>8.4864129006296398</v>
      </c>
      <c r="I170" s="664">
        <f t="shared" si="23"/>
        <v>3.1204540235615186</v>
      </c>
      <c r="J170" s="210">
        <v>3.546575990436291</v>
      </c>
      <c r="K170" s="37">
        <f t="shared" si="24"/>
        <v>6.4477741687705079E-2</v>
      </c>
      <c r="L170" s="117">
        <f t="shared" si="25"/>
        <v>7.8598367117312495E-2</v>
      </c>
      <c r="M170" s="45">
        <f t="shared" si="19"/>
        <v>1.7187622155314157E-2</v>
      </c>
    </row>
    <row r="171" spans="1:13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655">
        <f t="shared" si="20"/>
        <v>877.79</v>
      </c>
      <c r="G171" s="663">
        <f t="shared" si="21"/>
        <v>3.5831589935315035E-3</v>
      </c>
      <c r="H171" s="46">
        <f t="shared" si="22"/>
        <v>8.4134723063515811</v>
      </c>
      <c r="I171" s="664">
        <f t="shared" si="23"/>
        <v>3.0936337670454765</v>
      </c>
      <c r="J171" s="210">
        <v>3.5160932218715515</v>
      </c>
      <c r="K171" s="37">
        <f t="shared" si="24"/>
        <v>6.3923556444602028E-2</v>
      </c>
      <c r="L171" s="117">
        <f t="shared" si="25"/>
        <v>7.7922815305969881E-2</v>
      </c>
      <c r="M171" s="45">
        <f t="shared" si="19"/>
        <v>1.7187622155314154E-2</v>
      </c>
    </row>
    <row r="172" spans="1:13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655">
        <f t="shared" si="20"/>
        <v>949.9</v>
      </c>
      <c r="G172" s="663">
        <f t="shared" si="21"/>
        <v>3.8775136740627891E-3</v>
      </c>
      <c r="H172" s="46">
        <f t="shared" si="22"/>
        <v>9.1046347575198716</v>
      </c>
      <c r="I172" s="664">
        <f t="shared" si="23"/>
        <v>3.3477742003400572</v>
      </c>
      <c r="J172" s="210">
        <v>3.8049384835277085</v>
      </c>
      <c r="K172" s="37">
        <f t="shared" si="24"/>
        <v>6.9174843945280159E-2</v>
      </c>
      <c r="L172" s="117">
        <f t="shared" si="25"/>
        <v>8.4324134769296524E-2</v>
      </c>
      <c r="M172" s="45">
        <f t="shared" si="19"/>
        <v>1.7187622155314157E-2</v>
      </c>
    </row>
    <row r="173" spans="1:13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655">
        <f t="shared" si="20"/>
        <v>1056</v>
      </c>
      <c r="G173" s="663">
        <f t="shared" si="21"/>
        <v>4.3106163173074058E-3</v>
      </c>
      <c r="H173" s="46">
        <f t="shared" si="22"/>
        <v>10.121585750016827</v>
      </c>
      <c r="I173" s="664">
        <f t="shared" si="23"/>
        <v>3.7217070802811874</v>
      </c>
      <c r="J173" s="210">
        <v>4.22993477061297</v>
      </c>
      <c r="K173" s="37">
        <f t="shared" si="24"/>
        <v>7.6901395100764117E-2</v>
      </c>
      <c r="L173" s="117">
        <f t="shared" si="25"/>
        <v>9.3742800627831468E-2</v>
      </c>
      <c r="M173" s="45">
        <f t="shared" si="19"/>
        <v>1.7187622155314157E-2</v>
      </c>
    </row>
    <row r="174" spans="1:13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655">
        <f t="shared" si="20"/>
        <v>998.3</v>
      </c>
      <c r="G174" s="663">
        <f t="shared" si="21"/>
        <v>4.0750835886060452E-3</v>
      </c>
      <c r="H174" s="46">
        <f t="shared" si="22"/>
        <v>9.5685407710623096</v>
      </c>
      <c r="I174" s="664">
        <f t="shared" si="23"/>
        <v>3.5183524415196117</v>
      </c>
      <c r="J174" s="210">
        <v>3.9988104938474693</v>
      </c>
      <c r="K174" s="37">
        <f t="shared" si="24"/>
        <v>7.2699491220731841E-2</v>
      </c>
      <c r="L174" s="117">
        <f t="shared" si="25"/>
        <v>8.8620679798072116E-2</v>
      </c>
      <c r="M174" s="45">
        <f t="shared" si="19"/>
        <v>1.7187622155314157E-2</v>
      </c>
    </row>
    <row r="175" spans="1:13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655">
        <f t="shared" si="20"/>
        <v>304</v>
      </c>
      <c r="G175" s="663">
        <f t="shared" si="21"/>
        <v>1.2409350004369806E-3</v>
      </c>
      <c r="H175" s="46">
        <f t="shared" si="22"/>
        <v>2.9137898371260564</v>
      </c>
      <c r="I175" s="664">
        <f t="shared" si="23"/>
        <v>1.0714005231112511</v>
      </c>
      <c r="J175" s="210">
        <v>1.2177084945704004</v>
      </c>
      <c r="K175" s="37">
        <f t="shared" si="24"/>
        <v>2.2138280407795734E-2</v>
      </c>
      <c r="L175" s="117">
        <f t="shared" si="25"/>
        <v>2.6986563817103001E-2</v>
      </c>
      <c r="M175" s="45">
        <f t="shared" si="19"/>
        <v>1.7187622155314154E-2</v>
      </c>
    </row>
    <row r="176" spans="1:13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655">
        <f t="shared" si="20"/>
        <v>1347.46</v>
      </c>
      <c r="G176" s="663">
        <f t="shared" si="21"/>
        <v>5.5003627489763618E-3</v>
      </c>
      <c r="H176" s="46">
        <f t="shared" si="22"/>
        <v>12.915181756361436</v>
      </c>
      <c r="I176" s="664">
        <f t="shared" si="23"/>
        <v>4.7489123318141004</v>
      </c>
      <c r="J176" s="210">
        <v>5.397412789782341</v>
      </c>
      <c r="K176" s="37">
        <f t="shared" si="24"/>
        <v>9.8126471441738292E-2</v>
      </c>
      <c r="L176" s="117">
        <f t="shared" si="25"/>
        <v>0.11961616868747899</v>
      </c>
      <c r="M176" s="45">
        <f t="shared" si="19"/>
        <v>1.7187622155314157E-2</v>
      </c>
    </row>
    <row r="177" spans="1:13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655">
        <f t="shared" si="20"/>
        <v>930.9</v>
      </c>
      <c r="G177" s="663">
        <f t="shared" si="21"/>
        <v>3.7999552365354777E-3</v>
      </c>
      <c r="H177" s="46">
        <f t="shared" si="22"/>
        <v>8.9225228926994937</v>
      </c>
      <c r="I177" s="664">
        <f t="shared" si="23"/>
        <v>3.2808116676456041</v>
      </c>
      <c r="J177" s="210">
        <v>3.7288317026170583</v>
      </c>
      <c r="K177" s="37">
        <f t="shared" si="24"/>
        <v>6.7791201419792918E-2</v>
      </c>
      <c r="L177" s="117">
        <f t="shared" si="25"/>
        <v>8.2637474530727575E-2</v>
      </c>
      <c r="M177" s="45">
        <f t="shared" si="19"/>
        <v>1.718762215531416E-2</v>
      </c>
    </row>
    <row r="178" spans="1:13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655">
        <f t="shared" si="20"/>
        <v>791.4</v>
      </c>
      <c r="G178" s="663">
        <f t="shared" si="21"/>
        <v>3.2305130241639026E-3</v>
      </c>
      <c r="H178" s="46">
        <f t="shared" si="22"/>
        <v>7.5854384115182931</v>
      </c>
      <c r="I178" s="664">
        <f t="shared" si="23"/>
        <v>2.7891657039152764</v>
      </c>
      <c r="J178" s="210">
        <v>3.1700477059309695</v>
      </c>
      <c r="K178" s="37">
        <f t="shared" si="24"/>
        <v>5.7632352351084021E-2</v>
      </c>
      <c r="L178" s="117">
        <f t="shared" si="25"/>
        <v>7.0253837515971432E-2</v>
      </c>
      <c r="M178" s="45">
        <f t="shared" si="19"/>
        <v>1.7187622155314157E-2</v>
      </c>
    </row>
    <row r="179" spans="1:13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655">
        <f t="shared" si="20"/>
        <v>574.42999999999995</v>
      </c>
      <c r="G179" s="663">
        <f t="shared" si="21"/>
        <v>2.3448364878322853E-3</v>
      </c>
      <c r="H179" s="46">
        <f t="shared" si="22"/>
        <v>5.5058167636194755</v>
      </c>
      <c r="I179" s="664">
        <f t="shared" si="23"/>
        <v>2.0244888239828813</v>
      </c>
      <c r="J179" s="210">
        <v>2.3009483241318254</v>
      </c>
      <c r="K179" s="37">
        <f t="shared" si="24"/>
        <v>4.1831882942927973E-2</v>
      </c>
      <c r="L179" s="117">
        <f t="shared" si="25"/>
        <v>5.0993065307429204E-2</v>
      </c>
      <c r="M179" s="45">
        <f t="shared" si="19"/>
        <v>1.7187622155314157E-2</v>
      </c>
    </row>
    <row r="180" spans="1:13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655">
        <f t="shared" si="20"/>
        <v>326.89999999999998</v>
      </c>
      <c r="G180" s="663">
        <f t="shared" si="21"/>
        <v>1.3344133277725294E-3</v>
      </c>
      <c r="H180" s="46">
        <f t="shared" si="22"/>
        <v>3.1332825584095652</v>
      </c>
      <c r="I180" s="664">
        <f t="shared" si="23"/>
        <v>1.1521079967271972</v>
      </c>
      <c r="J180" s="210">
        <v>1.3094371936679732</v>
      </c>
      <c r="K180" s="37">
        <f t="shared" si="24"/>
        <v>2.3805933767461925E-2</v>
      </c>
      <c r="L180" s="117">
        <f t="shared" si="25"/>
        <v>2.9019433262536087E-2</v>
      </c>
      <c r="M180" s="45">
        <f t="shared" si="19"/>
        <v>1.7187622155314157E-2</v>
      </c>
    </row>
    <row r="181" spans="1:13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655">
        <f t="shared" si="20"/>
        <v>323.60000000000002</v>
      </c>
      <c r="G181" s="663">
        <f t="shared" si="21"/>
        <v>1.320942651780944E-3</v>
      </c>
      <c r="H181" s="46">
        <f t="shared" si="22"/>
        <v>3.1016526029407632</v>
      </c>
      <c r="I181" s="664">
        <f t="shared" si="23"/>
        <v>1.1404776621013186</v>
      </c>
      <c r="J181" s="210">
        <v>1.2962186475098079</v>
      </c>
      <c r="K181" s="37">
        <f t="shared" si="24"/>
        <v>2.3565616907772039E-2</v>
      </c>
      <c r="L181" s="117">
        <f t="shared" si="25"/>
        <v>2.8726487010574116E-2</v>
      </c>
      <c r="M181" s="45">
        <f t="shared" si="19"/>
        <v>1.7187622155314157E-2</v>
      </c>
    </row>
    <row r="182" spans="1:13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655">
        <f t="shared" si="20"/>
        <v>483.2</v>
      </c>
      <c r="G182" s="663">
        <f t="shared" si="21"/>
        <v>1.9724335270103585E-3</v>
      </c>
      <c r="H182" s="46">
        <f t="shared" si="22"/>
        <v>4.6313922674319423</v>
      </c>
      <c r="I182" s="664">
        <f t="shared" si="23"/>
        <v>1.7029629367347252</v>
      </c>
      <c r="J182" s="210">
        <v>1.9355156071592681</v>
      </c>
      <c r="K182" s="37">
        <f t="shared" si="24"/>
        <v>3.5188214121864798E-2</v>
      </c>
      <c r="L182" s="117">
        <f t="shared" si="25"/>
        <v>4.2894433014553195E-2</v>
      </c>
      <c r="M182" s="45">
        <f t="shared" si="19"/>
        <v>1.7187622155314157E-2</v>
      </c>
    </row>
    <row r="183" spans="1:13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655">
        <f t="shared" si="20"/>
        <v>408.2</v>
      </c>
      <c r="G183" s="663">
        <f t="shared" si="21"/>
        <v>1.6662817999288666E-3</v>
      </c>
      <c r="H183" s="46">
        <f t="shared" si="22"/>
        <v>3.9125296431409744</v>
      </c>
      <c r="I183" s="664">
        <f t="shared" si="23"/>
        <v>1.4386371497829364</v>
      </c>
      <c r="J183" s="210">
        <v>1.6350941035645969</v>
      </c>
      <c r="K183" s="37">
        <f t="shared" si="24"/>
        <v>2.9726467310730979E-2</v>
      </c>
      <c r="L183" s="117">
        <f t="shared" si="25"/>
        <v>3.6236563651781066E-2</v>
      </c>
      <c r="M183" s="45">
        <f t="shared" si="19"/>
        <v>1.7187622155314157E-2</v>
      </c>
    </row>
    <row r="184" spans="1:13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655">
        <f t="shared" si="20"/>
        <v>482.97</v>
      </c>
      <c r="G184" s="663">
        <f t="shared" si="21"/>
        <v>1.9714946617139756E-3</v>
      </c>
      <c r="H184" s="46">
        <f t="shared" si="22"/>
        <v>4.629187755384117</v>
      </c>
      <c r="I184" s="664">
        <f t="shared" si="23"/>
        <v>1.7021523376547398</v>
      </c>
      <c r="J184" s="210">
        <v>1.9345943145482445</v>
      </c>
      <c r="K184" s="37">
        <f t="shared" si="24"/>
        <v>3.5171464764977324E-2</v>
      </c>
      <c r="L184" s="117">
        <f t="shared" si="25"/>
        <v>4.2874015548507359E-2</v>
      </c>
      <c r="M184" s="45">
        <f t="shared" si="19"/>
        <v>1.7187622155314157E-2</v>
      </c>
    </row>
    <row r="185" spans="1:13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655">
        <f t="shared" si="20"/>
        <v>699.05</v>
      </c>
      <c r="G185" s="663">
        <f t="shared" si="21"/>
        <v>2.853538197550892E-3</v>
      </c>
      <c r="H185" s="46">
        <f t="shared" si="22"/>
        <v>6.7002789001413472</v>
      </c>
      <c r="I185" s="664">
        <f t="shared" si="23"/>
        <v>2.4636925515819734</v>
      </c>
      <c r="J185" s="210">
        <v>2.8001286945047315</v>
      </c>
      <c r="K185" s="37">
        <f t="shared" si="24"/>
        <v>5.090712144430791E-2</v>
      </c>
      <c r="L185" s="117">
        <f t="shared" si="25"/>
        <v>6.2055781040611345E-2</v>
      </c>
      <c r="M185" s="45">
        <f t="shared" si="19"/>
        <v>1.7187622155314157E-2</v>
      </c>
    </row>
    <row r="186" spans="1:13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655">
        <f t="shared" si="20"/>
        <v>6095.81</v>
      </c>
      <c r="G186" s="663">
        <f t="shared" si="21"/>
        <v>2.4883236792808391E-2</v>
      </c>
      <c r="H186" s="46">
        <f t="shared" si="22"/>
        <v>58.427332983721669</v>
      </c>
      <c r="I186" s="664">
        <f t="shared" si="23"/>
        <v>21.483730338114459</v>
      </c>
      <c r="J186" s="210">
        <v>24.417498744365766</v>
      </c>
      <c r="K186" s="37">
        <f t="shared" si="24"/>
        <v>0.44391694438370172</v>
      </c>
      <c r="L186" s="117">
        <f t="shared" si="25"/>
        <v>0.54113475520373244</v>
      </c>
      <c r="M186" s="45">
        <f t="shared" si="19"/>
        <v>1.7187622155314157E-2</v>
      </c>
    </row>
    <row r="187" spans="1:13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655">
        <f t="shared" si="20"/>
        <v>166.2</v>
      </c>
      <c r="G187" s="663">
        <f t="shared" si="21"/>
        <v>6.7843222721258607E-4</v>
      </c>
      <c r="H187" s="46">
        <f t="shared" si="22"/>
        <v>1.5929995754287849</v>
      </c>
      <c r="I187" s="664">
        <f t="shared" si="23"/>
        <v>0.58574594388516421</v>
      </c>
      <c r="J187" s="210">
        <v>0.66573405196579127</v>
      </c>
      <c r="K187" s="37">
        <f t="shared" si="24"/>
        <v>1.2103230933472535E-2</v>
      </c>
      <c r="L187" s="117">
        <f t="shared" si="25"/>
        <v>1.4753838507903022E-2</v>
      </c>
      <c r="M187" s="45">
        <f t="shared" si="19"/>
        <v>1.7187622155314157E-2</v>
      </c>
    </row>
    <row r="188" spans="1:13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655">
        <f t="shared" si="20"/>
        <v>273.2</v>
      </c>
      <c r="G188" s="663">
        <f t="shared" si="21"/>
        <v>1.1152086911821813E-3</v>
      </c>
      <c r="H188" s="46">
        <f t="shared" si="22"/>
        <v>2.6185769194172326</v>
      </c>
      <c r="I188" s="664">
        <f t="shared" si="23"/>
        <v>0.96285073326971649</v>
      </c>
      <c r="J188" s="210">
        <v>1.0943353970941887</v>
      </c>
      <c r="K188" s="37">
        <f t="shared" si="24"/>
        <v>1.9895323050690115E-2</v>
      </c>
      <c r="L188" s="117">
        <f t="shared" si="25"/>
        <v>2.4252398798791253E-2</v>
      </c>
      <c r="M188" s="45">
        <f t="shared" si="19"/>
        <v>1.7187622155314157E-2</v>
      </c>
    </row>
    <row r="189" spans="1:13" s="6" customFormat="1" ht="15.75">
      <c r="A189" s="268">
        <v>98</v>
      </c>
      <c r="B189" s="176" t="s">
        <v>150</v>
      </c>
      <c r="C189" s="157">
        <v>4159.58</v>
      </c>
      <c r="D189" s="255"/>
      <c r="E189" s="255"/>
      <c r="F189" s="655">
        <f t="shared" si="20"/>
        <v>4159.58</v>
      </c>
      <c r="G189" s="663">
        <f t="shared" si="21"/>
        <v>1.6979501345781762E-2</v>
      </c>
      <c r="H189" s="46">
        <f t="shared" si="22"/>
        <v>39.868887929976324</v>
      </c>
      <c r="I189" s="664">
        <f t="shared" si="23"/>
        <v>14.659790091852296</v>
      </c>
      <c r="J189" s="210">
        <v>16.661697038964295</v>
      </c>
      <c r="K189" s="37">
        <f t="shared" si="24"/>
        <v>0.30291430400874664</v>
      </c>
      <c r="L189" s="117">
        <f t="shared" si="25"/>
        <v>0.36925253658666218</v>
      </c>
      <c r="M189" s="45">
        <f t="shared" si="19"/>
        <v>1.7187622155314157E-2</v>
      </c>
    </row>
    <row r="190" spans="1:13" s="6" customFormat="1" ht="15.75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655">
        <f t="shared" si="20"/>
        <v>2240.77</v>
      </c>
      <c r="G190" s="663">
        <f t="shared" si="21"/>
        <v>9.1468747398985948E-3</v>
      </c>
      <c r="H190" s="46">
        <f t="shared" si="22"/>
        <v>21.477410701766296</v>
      </c>
      <c r="I190" s="664">
        <f t="shared" si="23"/>
        <v>7.8972439150394678</v>
      </c>
      <c r="J190" s="210">
        <v>8.9756732347977497</v>
      </c>
      <c r="K190" s="37">
        <f t="shared" si="24"/>
        <v>0.16318024535979092</v>
      </c>
      <c r="L190" s="117">
        <f t="shared" si="25"/>
        <v>0.19891671909358516</v>
      </c>
      <c r="M190" s="45">
        <f t="shared" si="19"/>
        <v>1.7187622155314157E-2</v>
      </c>
    </row>
    <row r="191" spans="1:13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655">
        <f t="shared" si="20"/>
        <v>454.48</v>
      </c>
      <c r="G191" s="663">
        <f t="shared" si="21"/>
        <v>1.855197825653286E-3</v>
      </c>
      <c r="H191" s="46">
        <f t="shared" si="22"/>
        <v>4.3561158065034551</v>
      </c>
      <c r="I191" s="664">
        <f t="shared" si="23"/>
        <v>1.6017437820513205</v>
      </c>
      <c r="J191" s="210">
        <v>1.8204741993827485</v>
      </c>
      <c r="K191" s="37">
        <f t="shared" si="24"/>
        <v>3.3096729209654625E-2</v>
      </c>
      <c r="L191" s="117">
        <f t="shared" si="25"/>
        <v>4.034491290656899E-2</v>
      </c>
      <c r="M191" s="45">
        <f t="shared" si="19"/>
        <v>1.7187622155314157E-2</v>
      </c>
    </row>
    <row r="192" spans="1:13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655">
        <f t="shared" si="20"/>
        <v>166.2</v>
      </c>
      <c r="G192" s="663">
        <f t="shared" si="21"/>
        <v>6.7843222721258607E-4</v>
      </c>
      <c r="H192" s="46">
        <f t="shared" si="22"/>
        <v>1.5929995754287849</v>
      </c>
      <c r="I192" s="664">
        <f t="shared" si="23"/>
        <v>0.58574594388516421</v>
      </c>
      <c r="J192" s="210">
        <v>0.66573405196579127</v>
      </c>
      <c r="K192" s="37">
        <f t="shared" si="24"/>
        <v>1.2103230933472535E-2</v>
      </c>
      <c r="L192" s="117">
        <f t="shared" si="25"/>
        <v>1.4753838507903022E-2</v>
      </c>
      <c r="M192" s="45">
        <f t="shared" si="19"/>
        <v>1.7187622155314157E-2</v>
      </c>
    </row>
    <row r="193" spans="1:13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655">
        <f t="shared" si="20"/>
        <v>338.6</v>
      </c>
      <c r="G193" s="663">
        <f t="shared" si="21"/>
        <v>1.3821729971972422E-3</v>
      </c>
      <c r="H193" s="46">
        <f t="shared" si="22"/>
        <v>3.2454251277989563</v>
      </c>
      <c r="I193" s="664">
        <f t="shared" si="23"/>
        <v>1.1933428194916764</v>
      </c>
      <c r="J193" s="210">
        <v>1.3563029482287421</v>
      </c>
      <c r="K193" s="37">
        <f t="shared" si="24"/>
        <v>2.4657966269998801E-2</v>
      </c>
      <c r="L193" s="117">
        <f t="shared" si="25"/>
        <v>3.005806088312854E-2</v>
      </c>
      <c r="M193" s="45">
        <f t="shared" si="19"/>
        <v>1.7187622155314157E-2</v>
      </c>
    </row>
    <row r="194" spans="1:13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655">
        <f t="shared" si="20"/>
        <v>453.7</v>
      </c>
      <c r="G194" s="663">
        <f t="shared" si="21"/>
        <v>1.8520138476916385E-3</v>
      </c>
      <c r="H194" s="46">
        <f t="shared" si="22"/>
        <v>4.3486396352108283</v>
      </c>
      <c r="I194" s="664">
        <f t="shared" si="23"/>
        <v>1.5989947938670217</v>
      </c>
      <c r="J194" s="210">
        <v>1.8173498157453638</v>
      </c>
      <c r="K194" s="37">
        <f t="shared" si="24"/>
        <v>3.3039927042818829E-2</v>
      </c>
      <c r="L194" s="117">
        <f t="shared" si="25"/>
        <v>4.0275671065196153E-2</v>
      </c>
      <c r="M194" s="45">
        <f t="shared" si="19"/>
        <v>1.7187622155314157E-2</v>
      </c>
    </row>
    <row r="195" spans="1:13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655">
        <f t="shared" si="20"/>
        <v>135</v>
      </c>
      <c r="G195" s="663">
        <f t="shared" si="21"/>
        <v>5.510731087466855E-4</v>
      </c>
      <c r="H195" s="46">
        <f t="shared" si="22"/>
        <v>1.2939527237237423</v>
      </c>
      <c r="I195" s="664">
        <f t="shared" si="23"/>
        <v>0.47578641651322007</v>
      </c>
      <c r="J195" s="210">
        <v>0.54075870647040802</v>
      </c>
      <c r="K195" s="37">
        <f t="shared" si="24"/>
        <v>9.831144260040869E-3</v>
      </c>
      <c r="L195" s="117">
        <f t="shared" si="25"/>
        <v>1.198416485298982E-2</v>
      </c>
      <c r="M195" s="45">
        <f t="shared" si="19"/>
        <v>1.7187622155314157E-2</v>
      </c>
    </row>
    <row r="196" spans="1:13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655">
        <f t="shared" si="20"/>
        <v>89.9</v>
      </c>
      <c r="G196" s="663">
        <f t="shared" si="21"/>
        <v>3.6697387019501499E-4</v>
      </c>
      <c r="H196" s="46">
        <f t="shared" si="22"/>
        <v>0.86167666565010692</v>
      </c>
      <c r="I196" s="664">
        <f t="shared" si="23"/>
        <v>0.31683850995954432</v>
      </c>
      <c r="J196" s="210">
        <v>0.36010524230881247</v>
      </c>
      <c r="K196" s="37">
        <f t="shared" si="24"/>
        <v>6.5468138442790671E-3</v>
      </c>
      <c r="L196" s="117">
        <f t="shared" si="25"/>
        <v>7.9805660761761831E-3</v>
      </c>
      <c r="M196" s="45">
        <f t="shared" si="19"/>
        <v>1.7187622155314157E-2</v>
      </c>
    </row>
    <row r="197" spans="1:13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655">
        <f t="shared" si="20"/>
        <v>224.08</v>
      </c>
      <c r="G197" s="663">
        <f t="shared" si="21"/>
        <v>9.1469972005894286E-4</v>
      </c>
      <c r="H197" s="46">
        <f t="shared" si="22"/>
        <v>2.1477698246816015</v>
      </c>
      <c r="I197" s="664">
        <f t="shared" si="23"/>
        <v>0.78973496453542491</v>
      </c>
      <c r="J197" s="210">
        <v>0.89757934033991882</v>
      </c>
      <c r="K197" s="37">
        <f t="shared" si="24"/>
        <v>1.6318243005851541E-2</v>
      </c>
      <c r="L197" s="117">
        <f t="shared" si="25"/>
        <v>1.9891938224133029E-2</v>
      </c>
      <c r="M197" s="45">
        <f t="shared" si="19"/>
        <v>1.7187622155314157E-2</v>
      </c>
    </row>
    <row r="198" spans="1:13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655">
        <f t="shared" si="20"/>
        <v>653.71</v>
      </c>
      <c r="G198" s="663">
        <f t="shared" si="21"/>
        <v>2.6684592734725612E-3</v>
      </c>
      <c r="H198" s="46">
        <f t="shared" si="22"/>
        <v>6.2657024816699822</v>
      </c>
      <c r="I198" s="664">
        <f t="shared" si="23"/>
        <v>2.3038988025100524</v>
      </c>
      <c r="J198" s="210">
        <v>2.6185138815316331</v>
      </c>
      <c r="K198" s="37">
        <f t="shared" si="24"/>
        <v>4.7605313438750491E-2</v>
      </c>
      <c r="L198" s="117">
        <f t="shared" si="25"/>
        <v>5.8030877081836851E-2</v>
      </c>
      <c r="M198" s="45">
        <f t="shared" si="19"/>
        <v>1.718762215531416E-2</v>
      </c>
    </row>
    <row r="199" spans="1:13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655">
        <f t="shared" si="20"/>
        <v>182.11</v>
      </c>
      <c r="G199" s="663">
        <f t="shared" si="21"/>
        <v>7.4337721358413999E-4</v>
      </c>
      <c r="H199" s="46">
        <f t="shared" si="22"/>
        <v>1.7454943001283758</v>
      </c>
      <c r="I199" s="664">
        <f t="shared" si="23"/>
        <v>0.64181825415720384</v>
      </c>
      <c r="J199" s="210">
        <v>0.72946346692834096</v>
      </c>
      <c r="K199" s="37">
        <f t="shared" si="24"/>
        <v>1.3261849490341057E-2</v>
      </c>
      <c r="L199" s="117">
        <f t="shared" si="25"/>
        <v>1.6166194528725749E-2</v>
      </c>
      <c r="M199" s="45">
        <f t="shared" ref="M199:M262" si="26">(K199+J199+I199+H199)/F199</f>
        <v>1.718762215531416E-2</v>
      </c>
    </row>
    <row r="200" spans="1:13" s="6" customFormat="1" ht="15.75">
      <c r="A200" s="268">
        <v>109</v>
      </c>
      <c r="B200" s="176" t="s">
        <v>161</v>
      </c>
      <c r="C200" s="157">
        <v>2379.1</v>
      </c>
      <c r="D200" s="255"/>
      <c r="E200" s="255"/>
      <c r="F200" s="655">
        <f t="shared" si="20"/>
        <v>2379.1</v>
      </c>
      <c r="G200" s="663">
        <f t="shared" si="21"/>
        <v>9.711540985327699E-3</v>
      </c>
      <c r="H200" s="46">
        <f t="shared" si="22"/>
        <v>22.803280926008558</v>
      </c>
      <c r="I200" s="664">
        <f t="shared" si="23"/>
        <v>8.3847663964933474</v>
      </c>
      <c r="J200" s="210">
        <v>9.5297706560277611</v>
      </c>
      <c r="K200" s="37">
        <f t="shared" si="24"/>
        <v>0.17325389117824616</v>
      </c>
      <c r="L200" s="117">
        <f t="shared" si="25"/>
        <v>0.21119649334628207</v>
      </c>
      <c r="M200" s="45">
        <f t="shared" si="26"/>
        <v>1.718762215531416E-2</v>
      </c>
    </row>
    <row r="201" spans="1:13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655">
        <f t="shared" si="20"/>
        <v>140.19999999999999</v>
      </c>
      <c r="G201" s="663">
        <f t="shared" si="21"/>
        <v>5.7229962849100215E-4</v>
      </c>
      <c r="H201" s="46">
        <f t="shared" si="22"/>
        <v>1.3437938656745825</v>
      </c>
      <c r="I201" s="664">
        <f t="shared" si="23"/>
        <v>0.494113004408544</v>
      </c>
      <c r="J201" s="210">
        <v>0.56158793071963853</v>
      </c>
      <c r="K201" s="37">
        <f t="shared" si="24"/>
        <v>1.0209825372279479E-2</v>
      </c>
      <c r="L201" s="117">
        <f t="shared" si="25"/>
        <v>1.2445777128808686E-2</v>
      </c>
      <c r="M201" s="45">
        <f t="shared" si="26"/>
        <v>1.7187622155314154E-2</v>
      </c>
    </row>
    <row r="202" spans="1:13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655">
        <f t="shared" si="20"/>
        <v>116.79</v>
      </c>
      <c r="G202" s="663">
        <f t="shared" si="21"/>
        <v>4.7673946941129922E-4</v>
      </c>
      <c r="H202" s="46">
        <f t="shared" si="22"/>
        <v>1.1194128785458952</v>
      </c>
      <c r="I202" s="664">
        <f t="shared" si="23"/>
        <v>0.41160811544132569</v>
      </c>
      <c r="J202" s="210">
        <v>0.46781636539762195</v>
      </c>
      <c r="K202" s="37">
        <f t="shared" si="24"/>
        <v>8.5050321342975774E-3</v>
      </c>
      <c r="L202" s="117">
        <f t="shared" si="25"/>
        <v>1.0367634171708747E-2</v>
      </c>
      <c r="M202" s="45">
        <f t="shared" si="26"/>
        <v>1.7187622155314154E-2</v>
      </c>
    </row>
    <row r="203" spans="1:13" s="6" customFormat="1" ht="15.75">
      <c r="A203" s="268">
        <v>112</v>
      </c>
      <c r="B203" s="176" t="s">
        <v>164</v>
      </c>
      <c r="C203" s="157">
        <v>59.7</v>
      </c>
      <c r="D203" s="255"/>
      <c r="E203" s="255"/>
      <c r="F203" s="655">
        <f t="shared" si="20"/>
        <v>59.7</v>
      </c>
      <c r="G203" s="663">
        <f t="shared" si="21"/>
        <v>2.4369677475686758E-4</v>
      </c>
      <c r="H203" s="46">
        <f t="shared" si="22"/>
        <v>0.57221464893561047</v>
      </c>
      <c r="I203" s="664">
        <f t="shared" si="23"/>
        <v>0.210403326413624</v>
      </c>
      <c r="J203" s="210">
        <v>0.23913551686135825</v>
      </c>
      <c r="K203" s="37">
        <f t="shared" si="24"/>
        <v>4.3475504616625176E-3</v>
      </c>
      <c r="L203" s="117">
        <f t="shared" si="25"/>
        <v>5.2996640127666098E-3</v>
      </c>
      <c r="M203" s="45">
        <f t="shared" si="26"/>
        <v>1.7187622155314157E-2</v>
      </c>
    </row>
    <row r="204" spans="1:13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655">
        <f t="shared" si="20"/>
        <v>137.5</v>
      </c>
      <c r="G204" s="663">
        <f t="shared" si="21"/>
        <v>5.6127816631606846E-4</v>
      </c>
      <c r="H204" s="46">
        <f t="shared" si="22"/>
        <v>1.3179148112001078</v>
      </c>
      <c r="I204" s="664">
        <f t="shared" si="23"/>
        <v>0.48459727607827968</v>
      </c>
      <c r="J204" s="210">
        <v>0.55077275659023039</v>
      </c>
      <c r="K204" s="37">
        <f t="shared" si="24"/>
        <v>1.0013202487078661E-2</v>
      </c>
      <c r="L204" s="117">
        <f t="shared" si="25"/>
        <v>1.2206093831748888E-2</v>
      </c>
      <c r="M204" s="45">
        <f t="shared" si="26"/>
        <v>1.7187622155314157E-2</v>
      </c>
    </row>
    <row r="205" spans="1:13" s="6" customFormat="1" ht="15.75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655">
        <f t="shared" si="20"/>
        <v>1908.3000000000002</v>
      </c>
      <c r="G205" s="663">
        <f t="shared" si="21"/>
        <v>7.7897245438614815E-3</v>
      </c>
      <c r="H205" s="46">
        <f t="shared" si="22"/>
        <v>18.290740612459391</v>
      </c>
      <c r="I205" s="664">
        <f t="shared" si="23"/>
        <v>6.7255053232013182</v>
      </c>
      <c r="J205" s="210">
        <v>7.6439247374628128</v>
      </c>
      <c r="K205" s="37">
        <f t="shared" si="24"/>
        <v>0.13896868586248884</v>
      </c>
      <c r="L205" s="117">
        <f t="shared" si="25"/>
        <v>0.16940282806637391</v>
      </c>
      <c r="M205" s="45">
        <f t="shared" si="26"/>
        <v>1.7187622155314157E-2</v>
      </c>
    </row>
    <row r="206" spans="1:13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655">
        <f t="shared" si="20"/>
        <v>140.4</v>
      </c>
      <c r="G206" s="663">
        <f t="shared" si="21"/>
        <v>5.7311603309655288E-4</v>
      </c>
      <c r="H206" s="46">
        <f t="shared" si="22"/>
        <v>1.3457108326726919</v>
      </c>
      <c r="I206" s="664">
        <f t="shared" si="23"/>
        <v>0.49481787317374881</v>
      </c>
      <c r="J206" s="210">
        <v>0.5623890547292244</v>
      </c>
      <c r="K206" s="37">
        <f t="shared" si="24"/>
        <v>1.0224390030442503E-2</v>
      </c>
      <c r="L206" s="117">
        <f t="shared" si="25"/>
        <v>1.2463531447109412E-2</v>
      </c>
      <c r="M206" s="45">
        <f t="shared" si="26"/>
        <v>1.7187622155314157E-2</v>
      </c>
    </row>
    <row r="207" spans="1:13" s="6" customFormat="1" ht="15.75">
      <c r="A207" s="268">
        <v>116</v>
      </c>
      <c r="B207" s="176" t="s">
        <v>168</v>
      </c>
      <c r="C207" s="157">
        <v>290.7</v>
      </c>
      <c r="D207" s="255"/>
      <c r="E207" s="255"/>
      <c r="F207" s="655">
        <f t="shared" si="20"/>
        <v>290.7</v>
      </c>
      <c r="G207" s="663">
        <f t="shared" si="21"/>
        <v>1.1866440941678627E-3</v>
      </c>
      <c r="H207" s="46">
        <f t="shared" si="22"/>
        <v>2.7863115317517915</v>
      </c>
      <c r="I207" s="664">
        <f t="shared" si="23"/>
        <v>1.0245267502251338</v>
      </c>
      <c r="J207" s="210">
        <v>1.1644337479329454</v>
      </c>
      <c r="K207" s="37">
        <f t="shared" si="24"/>
        <v>2.116973063995467E-2</v>
      </c>
      <c r="L207" s="117">
        <f t="shared" si="25"/>
        <v>2.5805901650104743E-2</v>
      </c>
      <c r="M207" s="45">
        <f t="shared" si="26"/>
        <v>1.7187622155314157E-2</v>
      </c>
    </row>
    <row r="208" spans="1:13" s="6" customFormat="1" ht="15.75">
      <c r="A208" s="268">
        <v>117</v>
      </c>
      <c r="B208" s="176" t="s">
        <v>169</v>
      </c>
      <c r="C208" s="157">
        <v>2427.7199999999998</v>
      </c>
      <c r="D208" s="255"/>
      <c r="E208" s="255"/>
      <c r="F208" s="655">
        <f t="shared" si="20"/>
        <v>2427.7199999999998</v>
      </c>
      <c r="G208" s="663">
        <f t="shared" si="21"/>
        <v>9.9100089449370606E-3</v>
      </c>
      <c r="H208" s="46">
        <f t="shared" si="22"/>
        <v>23.269295603248914</v>
      </c>
      <c r="I208" s="664">
        <f t="shared" si="23"/>
        <v>8.5561199933146259</v>
      </c>
      <c r="J208" s="210">
        <v>9.7245239027580652</v>
      </c>
      <c r="K208" s="37">
        <f t="shared" si="24"/>
        <v>0.17679455957767715</v>
      </c>
      <c r="L208" s="117">
        <f t="shared" si="25"/>
        <v>0.21551256812518846</v>
      </c>
      <c r="M208" s="45">
        <f t="shared" si="26"/>
        <v>1.7187622155314157E-2</v>
      </c>
    </row>
    <row r="209" spans="1:13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655">
        <f t="shared" ref="F209:F270" si="27">C209+D209+E209</f>
        <v>93</v>
      </c>
      <c r="G209" s="663">
        <f t="shared" si="21"/>
        <v>3.7962814158104996E-4</v>
      </c>
      <c r="H209" s="46">
        <f t="shared" si="22"/>
        <v>0.89138965412080018</v>
      </c>
      <c r="I209" s="664">
        <f t="shared" si="23"/>
        <v>0.32776397582021827</v>
      </c>
      <c r="J209" s="210">
        <v>0.37252266445739224</v>
      </c>
      <c r="K209" s="37">
        <f t="shared" si="24"/>
        <v>6.7725660458059309E-3</v>
      </c>
      <c r="L209" s="117">
        <f t="shared" si="25"/>
        <v>8.2557580098374297E-3</v>
      </c>
      <c r="M209" s="45">
        <f t="shared" si="26"/>
        <v>1.7187622155314157E-2</v>
      </c>
    </row>
    <row r="210" spans="1:13" s="6" customFormat="1" ht="15.75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655">
        <f t="shared" si="27"/>
        <v>1473.7</v>
      </c>
      <c r="G210" s="663">
        <f t="shared" si="21"/>
        <v>6.0156773359999289E-3</v>
      </c>
      <c r="H210" s="46">
        <f t="shared" si="22"/>
        <v>14.125171325567992</v>
      </c>
      <c r="I210" s="664">
        <f t="shared" si="23"/>
        <v>5.1938254964113515</v>
      </c>
      <c r="J210" s="210">
        <v>5.903082264632892</v>
      </c>
      <c r="K210" s="37">
        <f t="shared" si="24"/>
        <v>0.10731968367423873</v>
      </c>
      <c r="L210" s="117">
        <f t="shared" si="25"/>
        <v>0.13082269439889702</v>
      </c>
      <c r="M210" s="45">
        <f t="shared" si="26"/>
        <v>1.7187622155314157E-2</v>
      </c>
    </row>
    <row r="211" spans="1:13" s="6" customFormat="1" ht="15.75">
      <c r="A211" s="275">
        <v>120</v>
      </c>
      <c r="B211" s="176" t="s">
        <v>172</v>
      </c>
      <c r="C211" s="157">
        <v>2507</v>
      </c>
      <c r="D211" s="255"/>
      <c r="E211" s="255"/>
      <c r="F211" s="655">
        <f t="shared" si="27"/>
        <v>2507</v>
      </c>
      <c r="G211" s="663">
        <f t="shared" si="21"/>
        <v>1.0233631730577336E-2</v>
      </c>
      <c r="H211" s="46">
        <f t="shared" si="22"/>
        <v>24.029181321299419</v>
      </c>
      <c r="I211" s="664">
        <f t="shared" si="23"/>
        <v>8.8355299718417974</v>
      </c>
      <c r="J211" s="210">
        <v>10.042089460157875</v>
      </c>
      <c r="K211" s="37">
        <f t="shared" si="24"/>
        <v>0.18256799007349969</v>
      </c>
      <c r="L211" s="117">
        <f t="shared" si="25"/>
        <v>0.22255037989959614</v>
      </c>
      <c r="M211" s="45">
        <f t="shared" si="26"/>
        <v>1.7187622155314157E-2</v>
      </c>
    </row>
    <row r="212" spans="1:13" s="6" customFormat="1" ht="15.75">
      <c r="A212" s="268">
        <v>121</v>
      </c>
      <c r="B212" s="176" t="s">
        <v>173</v>
      </c>
      <c r="C212" s="157">
        <v>3505.3</v>
      </c>
      <c r="D212" s="255"/>
      <c r="E212" s="255"/>
      <c r="F212" s="655">
        <f t="shared" si="27"/>
        <v>3505.3</v>
      </c>
      <c r="G212" s="663">
        <f t="shared" si="21"/>
        <v>1.4308715319183382E-2</v>
      </c>
      <c r="H212" s="46">
        <f t="shared" si="22"/>
        <v>33.597722092361735</v>
      </c>
      <c r="I212" s="664">
        <f t="shared" si="23"/>
        <v>12.353882413361411</v>
      </c>
      <c r="J212" s="210">
        <v>14.040899954005345</v>
      </c>
      <c r="K212" s="37">
        <f t="shared" si="24"/>
        <v>0.25526748129423155</v>
      </c>
      <c r="L212" s="117">
        <f t="shared" si="25"/>
        <v>0.31117105969766828</v>
      </c>
      <c r="M212" s="45">
        <f t="shared" si="26"/>
        <v>1.7187622155314157E-2</v>
      </c>
    </row>
    <row r="213" spans="1:13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655">
        <f t="shared" si="27"/>
        <v>191.78</v>
      </c>
      <c r="G213" s="663">
        <f t="shared" si="21"/>
        <v>7.8285037626251363E-4</v>
      </c>
      <c r="H213" s="46">
        <f t="shared" si="22"/>
        <v>1.8381796544869577</v>
      </c>
      <c r="I213" s="664">
        <f t="shared" si="23"/>
        <v>0.67589865895485446</v>
      </c>
      <c r="J213" s="210">
        <v>0.76819781279181376</v>
      </c>
      <c r="K213" s="37">
        <f t="shared" si="24"/>
        <v>1.3966050712523242E-2</v>
      </c>
      <c r="L213" s="117">
        <f t="shared" si="25"/>
        <v>1.7024615818565833E-2</v>
      </c>
      <c r="M213" s="45">
        <f t="shared" si="26"/>
        <v>1.7187622155314157E-2</v>
      </c>
    </row>
    <row r="214" spans="1:13" s="6" customFormat="1" ht="15.75">
      <c r="A214" s="268">
        <v>123</v>
      </c>
      <c r="B214" s="176" t="s">
        <v>175</v>
      </c>
      <c r="C214" s="157">
        <v>3560.1</v>
      </c>
      <c r="D214" s="255"/>
      <c r="E214" s="255"/>
      <c r="F214" s="655">
        <f t="shared" si="27"/>
        <v>3560.1</v>
      </c>
      <c r="G214" s="663">
        <f t="shared" si="21"/>
        <v>1.4532410181104257E-2</v>
      </c>
      <c r="H214" s="46">
        <f t="shared" si="22"/>
        <v>34.122971049843663</v>
      </c>
      <c r="I214" s="664">
        <f t="shared" si="23"/>
        <v>12.547016455027515</v>
      </c>
      <c r="J214" s="210">
        <v>14.26040793263185</v>
      </c>
      <c r="K214" s="37">
        <f t="shared" si="24"/>
        <v>0.25925819763089997</v>
      </c>
      <c r="L214" s="117">
        <f t="shared" si="25"/>
        <v>0.3160357429120671</v>
      </c>
      <c r="M214" s="45">
        <f t="shared" si="26"/>
        <v>1.7187622155314157E-2</v>
      </c>
    </row>
    <row r="215" spans="1:13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655">
        <f t="shared" si="27"/>
        <v>291.19</v>
      </c>
      <c r="G215" s="663">
        <f t="shared" si="21"/>
        <v>1.1886442854514617E-3</v>
      </c>
      <c r="H215" s="46">
        <f t="shared" si="22"/>
        <v>2.7910081008971592</v>
      </c>
      <c r="I215" s="664">
        <f t="shared" si="23"/>
        <v>1.0262536786998855</v>
      </c>
      <c r="J215" s="210">
        <v>1.1663965017564306</v>
      </c>
      <c r="K215" s="37">
        <f t="shared" si="24"/>
        <v>2.1205414052454078E-2</v>
      </c>
      <c r="L215" s="117">
        <f t="shared" si="25"/>
        <v>2.5849399729941522E-2</v>
      </c>
      <c r="M215" s="45">
        <f t="shared" si="26"/>
        <v>1.7187622155314154E-2</v>
      </c>
    </row>
    <row r="216" spans="1:13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655">
        <f t="shared" si="27"/>
        <v>173.45</v>
      </c>
      <c r="G216" s="663">
        <f t="shared" si="21"/>
        <v>7.0802689416379688E-4</v>
      </c>
      <c r="H216" s="46">
        <f t="shared" si="22"/>
        <v>1.6624896291102449</v>
      </c>
      <c r="I216" s="664">
        <f t="shared" si="23"/>
        <v>0.61129743662383706</v>
      </c>
      <c r="J216" s="210">
        <v>0.69477479731327607</v>
      </c>
      <c r="K216" s="37">
        <f t="shared" si="24"/>
        <v>1.2631199791882135E-2</v>
      </c>
      <c r="L216" s="117">
        <f t="shared" si="25"/>
        <v>1.5397432546304324E-2</v>
      </c>
      <c r="M216" s="45">
        <f t="shared" si="26"/>
        <v>1.7187622155314154E-2</v>
      </c>
    </row>
    <row r="217" spans="1:13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655">
        <f t="shared" si="27"/>
        <v>209.66</v>
      </c>
      <c r="G217" s="663">
        <f t="shared" si="21"/>
        <v>8.5583694799874126E-4</v>
      </c>
      <c r="H217" s="46">
        <f t="shared" si="22"/>
        <v>2.0095565041179242</v>
      </c>
      <c r="I217" s="664">
        <f t="shared" si="23"/>
        <v>0.73891392656416077</v>
      </c>
      <c r="J217" s="210">
        <v>0.83981829924878337</v>
      </c>
      <c r="K217" s="37">
        <f t="shared" si="24"/>
        <v>1.5268131152297543E-2</v>
      </c>
      <c r="L217" s="117">
        <f t="shared" si="25"/>
        <v>1.8611851874650708E-2</v>
      </c>
      <c r="M217" s="45">
        <f t="shared" si="26"/>
        <v>1.7187622155314157E-2</v>
      </c>
    </row>
    <row r="218" spans="1:13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655">
        <f t="shared" si="27"/>
        <v>408.46</v>
      </c>
      <c r="G218" s="663">
        <f t="shared" si="21"/>
        <v>1.6673431259160824E-3</v>
      </c>
      <c r="H218" s="46">
        <f t="shared" si="22"/>
        <v>3.9150217002385164</v>
      </c>
      <c r="I218" s="664">
        <f t="shared" si="23"/>
        <v>1.4395534791777025</v>
      </c>
      <c r="J218" s="210">
        <v>1.6361355647770583</v>
      </c>
      <c r="K218" s="37">
        <f t="shared" si="24"/>
        <v>2.9745401366342909E-2</v>
      </c>
      <c r="L218" s="117">
        <f t="shared" si="25"/>
        <v>3.6259644265572009E-2</v>
      </c>
      <c r="M218" s="45">
        <f t="shared" si="26"/>
        <v>1.7187622155314157E-2</v>
      </c>
    </row>
    <row r="219" spans="1:13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655">
        <f t="shared" si="27"/>
        <v>67.3</v>
      </c>
      <c r="G219" s="663">
        <f t="shared" si="21"/>
        <v>2.7472014976779208E-4</v>
      </c>
      <c r="H219" s="46">
        <f t="shared" si="22"/>
        <v>0.64505939486376185</v>
      </c>
      <c r="I219" s="664">
        <f t="shared" si="23"/>
        <v>0.23718833949140525</v>
      </c>
      <c r="J219" s="210">
        <v>0.26957822922561819</v>
      </c>
      <c r="K219" s="37">
        <f t="shared" si="24"/>
        <v>4.9010074718574105E-3</v>
      </c>
      <c r="L219" s="117">
        <f t="shared" si="25"/>
        <v>5.9743281081941838E-3</v>
      </c>
      <c r="M219" s="45">
        <f t="shared" si="26"/>
        <v>1.7187622155314157E-2</v>
      </c>
    </row>
    <row r="220" spans="1:13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655">
        <f t="shared" si="27"/>
        <v>352.8</v>
      </c>
      <c r="G220" s="663">
        <f t="shared" ref="G220:G283" si="28">1/244976.57*F220</f>
        <v>1.4401377241913379E-3</v>
      </c>
      <c r="H220" s="46">
        <f t="shared" ref="H220:H283" si="29">G220*2348.06</f>
        <v>3.3815297846647128</v>
      </c>
      <c r="I220" s="664">
        <f t="shared" ref="I220:I283" si="30">H220*0.3677</f>
        <v>1.243388501821215</v>
      </c>
      <c r="J220" s="210">
        <v>1.413182752909333</v>
      </c>
      <c r="K220" s="37">
        <f t="shared" ref="K220:K283" si="31">G220*17.84</f>
        <v>2.569205699957347E-2</v>
      </c>
      <c r="L220" s="117">
        <f t="shared" si="25"/>
        <v>3.1318617482480063E-2</v>
      </c>
      <c r="M220" s="45">
        <f t="shared" si="26"/>
        <v>1.7187622155314154E-2</v>
      </c>
    </row>
    <row r="221" spans="1:13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655">
        <f t="shared" si="27"/>
        <v>111.58</v>
      </c>
      <c r="G221" s="663">
        <f t="shared" si="28"/>
        <v>4.554721294367049E-4</v>
      </c>
      <c r="H221" s="46">
        <f t="shared" si="29"/>
        <v>1.0694758882451494</v>
      </c>
      <c r="I221" s="664">
        <f t="shared" si="30"/>
        <v>0.39324628410774148</v>
      </c>
      <c r="J221" s="210">
        <v>0.44694708494791208</v>
      </c>
      <c r="K221" s="37">
        <f t="shared" si="31"/>
        <v>8.1256227891508149E-3</v>
      </c>
      <c r="L221" s="117">
        <f t="shared" ref="L221:L284" si="32">K221*1.219</f>
        <v>9.9051341799748435E-3</v>
      </c>
      <c r="M221" s="45">
        <f t="shared" si="26"/>
        <v>1.718762215531416E-2</v>
      </c>
    </row>
    <row r="222" spans="1:13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655">
        <f t="shared" si="27"/>
        <v>115.8</v>
      </c>
      <c r="G222" s="663">
        <f t="shared" si="28"/>
        <v>4.7269826661382349E-4</v>
      </c>
      <c r="H222" s="46">
        <f t="shared" si="29"/>
        <v>1.1099238919052543</v>
      </c>
      <c r="I222" s="664">
        <f t="shared" si="30"/>
        <v>0.40811901505356202</v>
      </c>
      <c r="J222" s="210">
        <v>0.46385080155017228</v>
      </c>
      <c r="K222" s="37">
        <f t="shared" si="31"/>
        <v>8.4329370763906106E-3</v>
      </c>
      <c r="L222" s="117">
        <f t="shared" si="32"/>
        <v>1.0279750296120155E-2</v>
      </c>
      <c r="M222" s="45">
        <f t="shared" si="26"/>
        <v>1.7187622155314157E-2</v>
      </c>
    </row>
    <row r="223" spans="1:13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655">
        <f t="shared" si="27"/>
        <v>141.30000000000001</v>
      </c>
      <c r="G223" s="663">
        <f t="shared" si="28"/>
        <v>5.7678985382153081E-4</v>
      </c>
      <c r="H223" s="46">
        <f t="shared" si="29"/>
        <v>1.3543371841641836</v>
      </c>
      <c r="I223" s="664">
        <f t="shared" si="30"/>
        <v>0.49798978261717036</v>
      </c>
      <c r="J223" s="210">
        <v>0.56599411277236045</v>
      </c>
      <c r="K223" s="37">
        <f t="shared" si="31"/>
        <v>1.028993099217611E-2</v>
      </c>
      <c r="L223" s="117">
        <f t="shared" si="32"/>
        <v>1.2543425879462678E-2</v>
      </c>
      <c r="M223" s="45">
        <f t="shared" si="26"/>
        <v>1.7187622155314157E-2</v>
      </c>
    </row>
    <row r="224" spans="1:13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655">
        <f t="shared" si="27"/>
        <v>161.1</v>
      </c>
      <c r="G224" s="663">
        <f t="shared" si="28"/>
        <v>6.5761390977104467E-4</v>
      </c>
      <c r="H224" s="46">
        <f t="shared" si="29"/>
        <v>1.544116916976999</v>
      </c>
      <c r="I224" s="664">
        <f t="shared" si="30"/>
        <v>0.56777179037244263</v>
      </c>
      <c r="J224" s="210">
        <v>0.64530538972135354</v>
      </c>
      <c r="K224" s="37">
        <f t="shared" si="31"/>
        <v>1.1731832150315437E-2</v>
      </c>
      <c r="L224" s="117">
        <f t="shared" si="32"/>
        <v>1.4301103391234518E-2</v>
      </c>
      <c r="M224" s="45">
        <f t="shared" si="26"/>
        <v>1.7187622155314157E-2</v>
      </c>
    </row>
    <row r="225" spans="1:13" s="6" customFormat="1" ht="15.75">
      <c r="A225" s="275">
        <v>134</v>
      </c>
      <c r="B225" s="176" t="s">
        <v>186</v>
      </c>
      <c r="C225" s="157">
        <v>308.8</v>
      </c>
      <c r="D225" s="255"/>
      <c r="E225" s="255"/>
      <c r="F225" s="655">
        <f t="shared" si="27"/>
        <v>308.8</v>
      </c>
      <c r="G225" s="663">
        <f t="shared" si="28"/>
        <v>1.260528710970196E-3</v>
      </c>
      <c r="H225" s="46">
        <f t="shared" si="29"/>
        <v>2.9597970450806783</v>
      </c>
      <c r="I225" s="664">
        <f t="shared" si="30"/>
        <v>1.0883173734761655</v>
      </c>
      <c r="J225" s="210">
        <v>1.2369354708004594</v>
      </c>
      <c r="K225" s="37">
        <f t="shared" si="31"/>
        <v>2.2487832203708296E-2</v>
      </c>
      <c r="L225" s="117">
        <f t="shared" si="32"/>
        <v>2.7412667456320414E-2</v>
      </c>
      <c r="M225" s="45">
        <f t="shared" si="26"/>
        <v>1.7187622155314157E-2</v>
      </c>
    </row>
    <row r="226" spans="1:13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655">
        <f t="shared" si="27"/>
        <v>343.31</v>
      </c>
      <c r="G226" s="663">
        <f t="shared" si="28"/>
        <v>1.4013993256579598E-3</v>
      </c>
      <c r="H226" s="46">
        <f t="shared" si="29"/>
        <v>3.2905697006044292</v>
      </c>
      <c r="I226" s="664">
        <f t="shared" si="30"/>
        <v>1.2099424789122488</v>
      </c>
      <c r="J226" s="210">
        <v>1.3751694186544874</v>
      </c>
      <c r="K226" s="37">
        <f t="shared" si="31"/>
        <v>2.5000963969738003E-2</v>
      </c>
      <c r="L226" s="117">
        <f t="shared" si="32"/>
        <v>3.0476175079110629E-2</v>
      </c>
      <c r="M226" s="45">
        <f t="shared" si="26"/>
        <v>1.7187622155314157E-2</v>
      </c>
    </row>
    <row r="227" spans="1:13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655">
        <f t="shared" si="27"/>
        <v>146.82</v>
      </c>
      <c r="G227" s="663">
        <f t="shared" si="28"/>
        <v>5.9932262093472855E-4</v>
      </c>
      <c r="H227" s="46">
        <f t="shared" si="29"/>
        <v>1.4072454733119988</v>
      </c>
      <c r="I227" s="664">
        <f t="shared" si="30"/>
        <v>0.51744416053682196</v>
      </c>
      <c r="J227" s="210">
        <v>0.58810513543692822</v>
      </c>
      <c r="K227" s="37">
        <f t="shared" si="31"/>
        <v>1.0691915557475557E-2</v>
      </c>
      <c r="L227" s="117">
        <f t="shared" si="32"/>
        <v>1.3033445064562705E-2</v>
      </c>
      <c r="M227" s="45">
        <f t="shared" si="26"/>
        <v>1.7187622155314157E-2</v>
      </c>
    </row>
    <row r="228" spans="1:13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655">
        <f t="shared" si="27"/>
        <v>218.19</v>
      </c>
      <c r="G228" s="663">
        <f t="shared" si="28"/>
        <v>8.9065660442547623E-4</v>
      </c>
      <c r="H228" s="46">
        <f t="shared" si="29"/>
        <v>2.0913151465872835</v>
      </c>
      <c r="I228" s="664">
        <f t="shared" si="30"/>
        <v>0.76897657940014419</v>
      </c>
      <c r="J228" s="210">
        <v>0.87398623825761723</v>
      </c>
      <c r="K228" s="37">
        <f t="shared" si="31"/>
        <v>1.5889313822950495E-2</v>
      </c>
      <c r="L228" s="117">
        <f t="shared" si="32"/>
        <v>1.9369073550176655E-2</v>
      </c>
      <c r="M228" s="45">
        <f t="shared" si="26"/>
        <v>1.7187622155314157E-2</v>
      </c>
    </row>
    <row r="229" spans="1:13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655">
        <f t="shared" si="27"/>
        <v>109.6</v>
      </c>
      <c r="G229" s="663">
        <f t="shared" si="28"/>
        <v>4.4738972384175349E-4</v>
      </c>
      <c r="H229" s="46">
        <f t="shared" si="29"/>
        <v>1.0504979149638676</v>
      </c>
      <c r="I229" s="664">
        <f t="shared" si="30"/>
        <v>0.38626808333221413</v>
      </c>
      <c r="J229" s="210">
        <v>0.43901595725301273</v>
      </c>
      <c r="K229" s="37">
        <f t="shared" si="31"/>
        <v>7.9814326733368829E-3</v>
      </c>
      <c r="L229" s="117">
        <f t="shared" si="32"/>
        <v>9.7293664287976603E-3</v>
      </c>
      <c r="M229" s="45">
        <f t="shared" si="26"/>
        <v>1.7187622155314157E-2</v>
      </c>
    </row>
    <row r="230" spans="1:13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655">
        <f t="shared" si="27"/>
        <v>41.4</v>
      </c>
      <c r="G230" s="663">
        <f t="shared" si="28"/>
        <v>1.6899575334898353E-4</v>
      </c>
      <c r="H230" s="46">
        <f t="shared" si="29"/>
        <v>0.39681216860861424</v>
      </c>
      <c r="I230" s="664">
        <f t="shared" si="30"/>
        <v>0.14590783439738747</v>
      </c>
      <c r="J230" s="210">
        <v>0.16583266998425847</v>
      </c>
      <c r="K230" s="37">
        <f t="shared" si="31"/>
        <v>3.0148842397458662E-3</v>
      </c>
      <c r="L230" s="117">
        <f t="shared" si="32"/>
        <v>3.6751438882502113E-3</v>
      </c>
      <c r="M230" s="45">
        <f t="shared" si="26"/>
        <v>1.7187622155314154E-2</v>
      </c>
    </row>
    <row r="231" spans="1:13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655">
        <f t="shared" si="27"/>
        <v>143.4</v>
      </c>
      <c r="G231" s="663">
        <f t="shared" si="28"/>
        <v>5.8536210217981254E-4</v>
      </c>
      <c r="H231" s="46">
        <f t="shared" si="29"/>
        <v>1.3744653376443305</v>
      </c>
      <c r="I231" s="664">
        <f t="shared" si="30"/>
        <v>0.50539090465182035</v>
      </c>
      <c r="J231" s="210">
        <v>0.57440591487301118</v>
      </c>
      <c r="K231" s="37">
        <f t="shared" si="31"/>
        <v>1.0442859902887855E-2</v>
      </c>
      <c r="L231" s="117">
        <f t="shared" si="32"/>
        <v>1.2729846221620296E-2</v>
      </c>
      <c r="M231" s="45">
        <f t="shared" si="26"/>
        <v>1.7187622155314154E-2</v>
      </c>
    </row>
    <row r="232" spans="1:13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655">
        <f t="shared" si="27"/>
        <v>473.2</v>
      </c>
      <c r="G232" s="663">
        <f t="shared" si="28"/>
        <v>1.9316132967328262E-3</v>
      </c>
      <c r="H232" s="46">
        <f t="shared" si="29"/>
        <v>4.5355439175264802</v>
      </c>
      <c r="I232" s="664">
        <f t="shared" si="30"/>
        <v>1.667719498474487</v>
      </c>
      <c r="J232" s="210">
        <v>1.8954594066799786</v>
      </c>
      <c r="K232" s="37">
        <f t="shared" si="31"/>
        <v>3.4459981213713617E-2</v>
      </c>
      <c r="L232" s="117">
        <f t="shared" si="32"/>
        <v>4.2006717099516901E-2</v>
      </c>
      <c r="M232" s="45">
        <f t="shared" si="26"/>
        <v>1.7187622155314157E-2</v>
      </c>
    </row>
    <row r="233" spans="1:13" s="6" customFormat="1" ht="15.75">
      <c r="A233" s="268">
        <v>142</v>
      </c>
      <c r="B233" s="176" t="s">
        <v>194</v>
      </c>
      <c r="C233" s="157">
        <v>306.10000000000002</v>
      </c>
      <c r="D233" s="255"/>
      <c r="E233" s="255"/>
      <c r="F233" s="655">
        <f t="shared" si="27"/>
        <v>306.10000000000002</v>
      </c>
      <c r="G233" s="663">
        <f t="shared" si="28"/>
        <v>1.2495072487952623E-3</v>
      </c>
      <c r="H233" s="46">
        <f t="shared" si="29"/>
        <v>2.9339179906062038</v>
      </c>
      <c r="I233" s="664">
        <f t="shared" si="30"/>
        <v>1.0788016451459013</v>
      </c>
      <c r="J233" s="210">
        <v>1.2261202966710512</v>
      </c>
      <c r="K233" s="37">
        <f t="shared" si="31"/>
        <v>2.229120931850748E-2</v>
      </c>
      <c r="L233" s="117">
        <f t="shared" si="32"/>
        <v>2.7172984159260619E-2</v>
      </c>
      <c r="M233" s="45">
        <f t="shared" si="26"/>
        <v>1.718762215531416E-2</v>
      </c>
    </row>
    <row r="234" spans="1:13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655">
        <f t="shared" si="27"/>
        <v>239.7</v>
      </c>
      <c r="G234" s="663">
        <f t="shared" si="28"/>
        <v>9.7846091975244804E-4</v>
      </c>
      <c r="H234" s="46">
        <f t="shared" si="29"/>
        <v>2.2974849472339329</v>
      </c>
      <c r="I234" s="664">
        <f t="shared" si="30"/>
        <v>0.84478521509791715</v>
      </c>
      <c r="J234" s="210">
        <v>0.96014712548856895</v>
      </c>
      <c r="K234" s="37">
        <f t="shared" si="31"/>
        <v>1.7455742808383672E-2</v>
      </c>
      <c r="L234" s="117">
        <f t="shared" si="32"/>
        <v>2.1278550483419697E-2</v>
      </c>
      <c r="M234" s="45">
        <f t="shared" si="26"/>
        <v>1.7187622155314154E-2</v>
      </c>
    </row>
    <row r="235" spans="1:13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655">
        <f t="shared" si="27"/>
        <v>193.7</v>
      </c>
      <c r="G235" s="663">
        <f t="shared" si="28"/>
        <v>7.9068786047579976E-4</v>
      </c>
      <c r="H235" s="46">
        <f t="shared" si="29"/>
        <v>1.8565825376688063</v>
      </c>
      <c r="I235" s="664">
        <f t="shared" si="30"/>
        <v>0.68266539910082014</v>
      </c>
      <c r="J235" s="210">
        <v>0.77588860328383724</v>
      </c>
      <c r="K235" s="37">
        <f t="shared" si="31"/>
        <v>1.4105871430888267E-2</v>
      </c>
      <c r="L235" s="117">
        <f t="shared" si="32"/>
        <v>1.7195057274252797E-2</v>
      </c>
      <c r="M235" s="45">
        <f t="shared" si="26"/>
        <v>1.7187622155314157E-2</v>
      </c>
    </row>
    <row r="236" spans="1:13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655">
        <f t="shared" si="27"/>
        <v>83.9</v>
      </c>
      <c r="G236" s="663">
        <f t="shared" si="28"/>
        <v>3.4248173202849566E-4</v>
      </c>
      <c r="H236" s="46">
        <f t="shared" si="29"/>
        <v>0.80416765570682947</v>
      </c>
      <c r="I236" s="664">
        <f t="shared" si="30"/>
        <v>0.29569244700340119</v>
      </c>
      <c r="J236" s="210">
        <v>0.3360715220212388</v>
      </c>
      <c r="K236" s="37">
        <f t="shared" si="31"/>
        <v>6.1098740993883625E-3</v>
      </c>
      <c r="L236" s="117">
        <f t="shared" si="32"/>
        <v>7.4479365271544144E-3</v>
      </c>
      <c r="M236" s="45">
        <f t="shared" si="26"/>
        <v>1.7187622155314154E-2</v>
      </c>
    </row>
    <row r="237" spans="1:13" s="6" customFormat="1" ht="15.75">
      <c r="A237" s="268">
        <v>146</v>
      </c>
      <c r="B237" s="176" t="s">
        <v>198</v>
      </c>
      <c r="C237" s="157">
        <v>2111.66</v>
      </c>
      <c r="D237" s="255"/>
      <c r="E237" s="255"/>
      <c r="F237" s="655">
        <f t="shared" si="27"/>
        <v>2111.66</v>
      </c>
      <c r="G237" s="663">
        <f t="shared" si="28"/>
        <v>8.6198447467853764E-3</v>
      </c>
      <c r="H237" s="46">
        <f t="shared" si="29"/>
        <v>20.23991265613687</v>
      </c>
      <c r="I237" s="664">
        <f t="shared" si="30"/>
        <v>7.4422158836615271</v>
      </c>
      <c r="J237" s="210">
        <v>8.4585076304096436</v>
      </c>
      <c r="K237" s="37">
        <f t="shared" si="31"/>
        <v>0.15377803028265111</v>
      </c>
      <c r="L237" s="117">
        <f t="shared" si="32"/>
        <v>0.18745541891455172</v>
      </c>
      <c r="M237" s="45">
        <f t="shared" si="26"/>
        <v>1.7187622155314157E-2</v>
      </c>
    </row>
    <row r="238" spans="1:13" s="6" customFormat="1" ht="15.75">
      <c r="A238" s="268">
        <v>147</v>
      </c>
      <c r="B238" s="176" t="s">
        <v>199</v>
      </c>
      <c r="C238" s="157">
        <v>424.8</v>
      </c>
      <c r="D238" s="255"/>
      <c r="E238" s="255"/>
      <c r="F238" s="655">
        <f t="shared" si="27"/>
        <v>424.8</v>
      </c>
      <c r="G238" s="663">
        <f t="shared" si="28"/>
        <v>1.7340433821895704E-3</v>
      </c>
      <c r="H238" s="46">
        <f t="shared" si="29"/>
        <v>4.0716379039840422</v>
      </c>
      <c r="I238" s="664">
        <f t="shared" si="30"/>
        <v>1.4971412572949325</v>
      </c>
      <c r="J238" s="210">
        <v>1.7015873963602173</v>
      </c>
      <c r="K238" s="37">
        <f t="shared" si="31"/>
        <v>3.0935333938261936E-2</v>
      </c>
      <c r="L238" s="117">
        <f t="shared" si="32"/>
        <v>3.7710172070741302E-2</v>
      </c>
      <c r="M238" s="45">
        <f t="shared" si="26"/>
        <v>1.7187622155314157E-2</v>
      </c>
    </row>
    <row r="239" spans="1:13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655">
        <f t="shared" si="27"/>
        <v>105.5</v>
      </c>
      <c r="G239" s="663">
        <f t="shared" si="28"/>
        <v>4.3065342942796527E-4</v>
      </c>
      <c r="H239" s="46">
        <f t="shared" si="29"/>
        <v>1.011200091502628</v>
      </c>
      <c r="I239" s="664">
        <f t="shared" si="30"/>
        <v>0.37181827364551634</v>
      </c>
      <c r="J239" s="210">
        <v>0.42259291505650409</v>
      </c>
      <c r="K239" s="37">
        <f t="shared" si="31"/>
        <v>7.6828571809949E-3</v>
      </c>
      <c r="L239" s="117">
        <f t="shared" si="32"/>
        <v>9.3654029036327833E-3</v>
      </c>
      <c r="M239" s="45">
        <f t="shared" si="26"/>
        <v>1.7187622155314154E-2</v>
      </c>
    </row>
    <row r="240" spans="1:13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655">
        <f t="shared" si="27"/>
        <v>158.6</v>
      </c>
      <c r="G240" s="663">
        <f t="shared" si="28"/>
        <v>6.4740885220166159E-4</v>
      </c>
      <c r="H240" s="46">
        <f t="shared" si="29"/>
        <v>1.5201548295006335</v>
      </c>
      <c r="I240" s="664">
        <f t="shared" si="30"/>
        <v>0.55896093080738296</v>
      </c>
      <c r="J240" s="210">
        <v>0.63529133960153117</v>
      </c>
      <c r="K240" s="37">
        <f t="shared" si="31"/>
        <v>1.1549773923277643E-2</v>
      </c>
      <c r="L240" s="117">
        <f t="shared" si="32"/>
        <v>1.4079174412475448E-2</v>
      </c>
      <c r="M240" s="45">
        <f t="shared" si="26"/>
        <v>1.7187622155314157E-2</v>
      </c>
    </row>
    <row r="241" spans="1:13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655">
        <f t="shared" si="27"/>
        <v>84.9</v>
      </c>
      <c r="G241" s="663">
        <f t="shared" si="28"/>
        <v>3.465637550562489E-4</v>
      </c>
      <c r="H241" s="46">
        <f t="shared" si="29"/>
        <v>0.81375249069737576</v>
      </c>
      <c r="I241" s="664">
        <f t="shared" si="30"/>
        <v>0.29921679082942509</v>
      </c>
      <c r="J241" s="210">
        <v>0.34007714206916778</v>
      </c>
      <c r="K241" s="37">
        <f t="shared" si="31"/>
        <v>6.1826973902034807E-3</v>
      </c>
      <c r="L241" s="117">
        <f t="shared" si="32"/>
        <v>7.5367081186580431E-3</v>
      </c>
      <c r="M241" s="45">
        <f t="shared" si="26"/>
        <v>1.718762215531416E-2</v>
      </c>
    </row>
    <row r="242" spans="1:13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655">
        <f t="shared" si="27"/>
        <v>191.6</v>
      </c>
      <c r="G242" s="663">
        <f t="shared" si="28"/>
        <v>7.8211561211751802E-4</v>
      </c>
      <c r="H242" s="46">
        <f t="shared" si="29"/>
        <v>1.8364543841886594</v>
      </c>
      <c r="I242" s="664">
        <f t="shared" si="30"/>
        <v>0.67526427706617009</v>
      </c>
      <c r="J242" s="210">
        <v>0.76747680118318651</v>
      </c>
      <c r="K242" s="37">
        <f t="shared" si="31"/>
        <v>1.3952942520176521E-2</v>
      </c>
      <c r="L242" s="117">
        <f t="shared" si="32"/>
        <v>1.7008636932095179E-2</v>
      </c>
      <c r="M242" s="45">
        <f t="shared" si="26"/>
        <v>1.718762215531416E-2</v>
      </c>
    </row>
    <row r="243" spans="1:13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655">
        <f t="shared" si="27"/>
        <v>220.11</v>
      </c>
      <c r="G243" s="663">
        <f t="shared" si="28"/>
        <v>8.9849408863876257E-4</v>
      </c>
      <c r="H243" s="46">
        <f t="shared" si="29"/>
        <v>2.1097180297691329</v>
      </c>
      <c r="I243" s="664">
        <f t="shared" si="30"/>
        <v>0.7757433195461102</v>
      </c>
      <c r="J243" s="210">
        <v>0.88167702874964093</v>
      </c>
      <c r="K243" s="37">
        <f t="shared" si="31"/>
        <v>1.6029134541315524E-2</v>
      </c>
      <c r="L243" s="117">
        <f t="shared" si="32"/>
        <v>1.9539515005863626E-2</v>
      </c>
      <c r="M243" s="45">
        <f t="shared" si="26"/>
        <v>1.7187622155314157E-2</v>
      </c>
    </row>
    <row r="244" spans="1:13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655">
        <f t="shared" si="27"/>
        <v>154.1</v>
      </c>
      <c r="G244" s="663">
        <f t="shared" si="28"/>
        <v>6.2903974857677204E-4</v>
      </c>
      <c r="H244" s="46">
        <f t="shared" si="29"/>
        <v>1.4770230720431754</v>
      </c>
      <c r="I244" s="664">
        <f t="shared" si="30"/>
        <v>0.5431013835902756</v>
      </c>
      <c r="J244" s="210">
        <v>0.61726604938585095</v>
      </c>
      <c r="K244" s="37">
        <f t="shared" si="31"/>
        <v>1.1222069114609613E-2</v>
      </c>
      <c r="L244" s="117">
        <f t="shared" si="32"/>
        <v>1.3679702250709119E-2</v>
      </c>
      <c r="M244" s="45">
        <f t="shared" si="26"/>
        <v>1.7187622155314157E-2</v>
      </c>
    </row>
    <row r="245" spans="1:13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655">
        <f t="shared" si="27"/>
        <v>219.1</v>
      </c>
      <c r="G245" s="663">
        <f t="shared" si="28"/>
        <v>8.9437124538073172E-4</v>
      </c>
      <c r="H245" s="46">
        <f t="shared" si="29"/>
        <v>2.1000373464286808</v>
      </c>
      <c r="I245" s="664">
        <f t="shared" si="30"/>
        <v>0.77218373228182602</v>
      </c>
      <c r="J245" s="210">
        <v>0.87763135250123259</v>
      </c>
      <c r="K245" s="37">
        <f t="shared" si="31"/>
        <v>1.5955583017592253E-2</v>
      </c>
      <c r="L245" s="117">
        <f t="shared" si="32"/>
        <v>1.9449855698444957E-2</v>
      </c>
      <c r="M245" s="45">
        <f t="shared" si="26"/>
        <v>1.7187622155314157E-2</v>
      </c>
    </row>
    <row r="246" spans="1:13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655">
        <f t="shared" si="27"/>
        <v>255.8</v>
      </c>
      <c r="G246" s="663">
        <f t="shared" si="28"/>
        <v>1.0441814904992752E-3</v>
      </c>
      <c r="H246" s="46">
        <f t="shared" si="29"/>
        <v>2.4518007905817281</v>
      </c>
      <c r="I246" s="664">
        <f t="shared" si="30"/>
        <v>0.90152715069690148</v>
      </c>
      <c r="J246" s="210">
        <v>1.0246376082602251</v>
      </c>
      <c r="K246" s="37">
        <f t="shared" si="31"/>
        <v>1.8628197790507069E-2</v>
      </c>
      <c r="L246" s="117">
        <f t="shared" si="32"/>
        <v>2.2707773106628117E-2</v>
      </c>
      <c r="M246" s="45">
        <f t="shared" si="26"/>
        <v>1.718762215531416E-2</v>
      </c>
    </row>
    <row r="247" spans="1:13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655">
        <f t="shared" si="27"/>
        <v>58.3</v>
      </c>
      <c r="G247" s="663">
        <f t="shared" si="28"/>
        <v>2.3798194251801303E-4</v>
      </c>
      <c r="H247" s="46">
        <f t="shared" si="29"/>
        <v>0.55879587994884561</v>
      </c>
      <c r="I247" s="664">
        <f t="shared" si="30"/>
        <v>0.20546924505719055</v>
      </c>
      <c r="J247" s="210">
        <v>0.23352764879425769</v>
      </c>
      <c r="K247" s="37">
        <f t="shared" si="31"/>
        <v>4.2455978545213524E-3</v>
      </c>
      <c r="L247" s="117">
        <f t="shared" si="32"/>
        <v>5.1753837846615289E-3</v>
      </c>
      <c r="M247" s="45">
        <f t="shared" si="26"/>
        <v>1.7187622155314154E-2</v>
      </c>
    </row>
    <row r="248" spans="1:13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655">
        <f t="shared" si="27"/>
        <v>47.2</v>
      </c>
      <c r="G248" s="663">
        <f t="shared" si="28"/>
        <v>1.9267148690995227E-4</v>
      </c>
      <c r="H248" s="46">
        <f t="shared" si="29"/>
        <v>0.45240421155378252</v>
      </c>
      <c r="I248" s="664">
        <f t="shared" si="30"/>
        <v>0.16634902858832584</v>
      </c>
      <c r="J248" s="210">
        <v>0.1890652662622464</v>
      </c>
      <c r="K248" s="37">
        <f t="shared" si="31"/>
        <v>3.4372593264735485E-3</v>
      </c>
      <c r="L248" s="117">
        <f t="shared" si="32"/>
        <v>4.1900191189712561E-3</v>
      </c>
      <c r="M248" s="45">
        <f t="shared" si="26"/>
        <v>1.718762215531416E-2</v>
      </c>
    </row>
    <row r="249" spans="1:13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655">
        <f t="shared" si="27"/>
        <v>101.5</v>
      </c>
      <c r="G249" s="663">
        <f t="shared" si="28"/>
        <v>4.1432533731695242E-4</v>
      </c>
      <c r="H249" s="46">
        <f t="shared" si="29"/>
        <v>0.97286075154044327</v>
      </c>
      <c r="I249" s="664">
        <f t="shared" si="30"/>
        <v>0.35772089834142101</v>
      </c>
      <c r="J249" s="210">
        <v>0.40657043486478828</v>
      </c>
      <c r="K249" s="37">
        <f t="shared" si="31"/>
        <v>7.3915640177344309E-3</v>
      </c>
      <c r="L249" s="117">
        <f t="shared" si="32"/>
        <v>9.0103165376182719E-3</v>
      </c>
      <c r="M249" s="45">
        <f t="shared" si="26"/>
        <v>1.7187622155314157E-2</v>
      </c>
    </row>
    <row r="250" spans="1:13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655">
        <f t="shared" si="27"/>
        <v>57.8</v>
      </c>
      <c r="G250" s="663">
        <f t="shared" si="28"/>
        <v>2.3594093100413644E-4</v>
      </c>
      <c r="H250" s="46">
        <f t="shared" si="29"/>
        <v>0.55400346245357257</v>
      </c>
      <c r="I250" s="664">
        <f t="shared" si="30"/>
        <v>0.20370707314417866</v>
      </c>
      <c r="J250" s="210">
        <v>0.23152483877029323</v>
      </c>
      <c r="K250" s="37">
        <f t="shared" si="31"/>
        <v>4.2091862091137942E-3</v>
      </c>
      <c r="L250" s="117">
        <f t="shared" si="32"/>
        <v>5.1309979889097154E-3</v>
      </c>
      <c r="M250" s="45">
        <f t="shared" si="26"/>
        <v>1.7187622155314157E-2</v>
      </c>
    </row>
    <row r="251" spans="1:13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655">
        <f t="shared" si="27"/>
        <v>670.84999999999991</v>
      </c>
      <c r="G251" s="663">
        <f t="shared" si="28"/>
        <v>2.7384251481682512E-3</v>
      </c>
      <c r="H251" s="46">
        <f t="shared" si="29"/>
        <v>6.4299865534079439</v>
      </c>
      <c r="I251" s="664">
        <f t="shared" si="30"/>
        <v>2.3643060556881013</v>
      </c>
      <c r="J251" s="210">
        <v>2.6871702091531349</v>
      </c>
      <c r="K251" s="37">
        <f t="shared" si="31"/>
        <v>4.8853504643321603E-2</v>
      </c>
      <c r="L251" s="117">
        <f t="shared" si="32"/>
        <v>5.9552422160209041E-2</v>
      </c>
      <c r="M251" s="45">
        <f t="shared" si="26"/>
        <v>1.718762215531416E-2</v>
      </c>
    </row>
    <row r="252" spans="1:13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655">
        <f t="shared" si="27"/>
        <v>648.9</v>
      </c>
      <c r="G252" s="663">
        <f t="shared" si="28"/>
        <v>2.648824742709068E-3</v>
      </c>
      <c r="H252" s="46">
        <f t="shared" si="29"/>
        <v>6.2195994253654536</v>
      </c>
      <c r="I252" s="664">
        <f t="shared" si="30"/>
        <v>2.2869467087068776</v>
      </c>
      <c r="J252" s="210">
        <v>2.5992468491010947</v>
      </c>
      <c r="K252" s="37">
        <f t="shared" si="31"/>
        <v>4.7255033409929773E-2</v>
      </c>
      <c r="L252" s="117">
        <f t="shared" si="32"/>
        <v>5.7603885726704399E-2</v>
      </c>
      <c r="M252" s="45">
        <f t="shared" si="26"/>
        <v>1.7187622155314157E-2</v>
      </c>
    </row>
    <row r="253" spans="1:13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655">
        <f t="shared" si="27"/>
        <v>753.1</v>
      </c>
      <c r="G253" s="663">
        <f t="shared" si="28"/>
        <v>3.0741715422009544E-3</v>
      </c>
      <c r="H253" s="46">
        <f t="shared" si="29"/>
        <v>7.2183392313803729</v>
      </c>
      <c r="I253" s="664">
        <f t="shared" si="30"/>
        <v>2.6541833353785633</v>
      </c>
      <c r="J253" s="210">
        <v>3.016632458095291</v>
      </c>
      <c r="K253" s="37">
        <f t="shared" si="31"/>
        <v>5.4843220312865024E-2</v>
      </c>
      <c r="L253" s="117">
        <f t="shared" si="32"/>
        <v>6.685388556138247E-2</v>
      </c>
      <c r="M253" s="45">
        <f t="shared" si="26"/>
        <v>1.7187622155314157E-2</v>
      </c>
    </row>
    <row r="254" spans="1:13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655">
        <f t="shared" si="27"/>
        <v>276.60000000000002</v>
      </c>
      <c r="G254" s="663">
        <f t="shared" si="28"/>
        <v>1.1290875694765423E-3</v>
      </c>
      <c r="H254" s="46">
        <f t="shared" si="29"/>
        <v>2.6511653583850898</v>
      </c>
      <c r="I254" s="664">
        <f t="shared" si="30"/>
        <v>0.97483350227819765</v>
      </c>
      <c r="J254" s="210">
        <v>1.1079545052571473</v>
      </c>
      <c r="K254" s="37">
        <f t="shared" si="31"/>
        <v>2.0142922239461514E-2</v>
      </c>
      <c r="L254" s="117">
        <f t="shared" si="32"/>
        <v>2.4554222209903588E-2</v>
      </c>
      <c r="M254" s="45">
        <f t="shared" si="26"/>
        <v>1.7187622155314157E-2</v>
      </c>
    </row>
    <row r="255" spans="1:13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655">
        <f t="shared" si="27"/>
        <v>238.8</v>
      </c>
      <c r="G255" s="663">
        <f t="shared" si="28"/>
        <v>9.7478709902747032E-4</v>
      </c>
      <c r="H255" s="46">
        <f t="shared" si="29"/>
        <v>2.2888585957424419</v>
      </c>
      <c r="I255" s="664">
        <f t="shared" si="30"/>
        <v>0.84161330565449599</v>
      </c>
      <c r="J255" s="210">
        <v>0.95654206744543302</v>
      </c>
      <c r="K255" s="37">
        <f t="shared" si="31"/>
        <v>1.739020184665007E-2</v>
      </c>
      <c r="L255" s="117">
        <f t="shared" si="32"/>
        <v>2.1198656051066439E-2</v>
      </c>
      <c r="M255" s="45">
        <f t="shared" si="26"/>
        <v>1.7187622155314157E-2</v>
      </c>
    </row>
    <row r="256" spans="1:13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655">
        <f t="shared" si="27"/>
        <v>754.13</v>
      </c>
      <c r="G256" s="663">
        <f t="shared" si="28"/>
        <v>3.0783760259195398E-3</v>
      </c>
      <c r="H256" s="46">
        <f t="shared" si="29"/>
        <v>7.2282116114206341</v>
      </c>
      <c r="I256" s="664">
        <f t="shared" si="30"/>
        <v>2.6578134095193673</v>
      </c>
      <c r="J256" s="210">
        <v>3.0207582467446579</v>
      </c>
      <c r="K256" s="37">
        <f t="shared" si="31"/>
        <v>5.4918228302404587E-2</v>
      </c>
      <c r="L256" s="117">
        <f t="shared" si="32"/>
        <v>6.6945320300631189E-2</v>
      </c>
      <c r="M256" s="45">
        <f t="shared" si="26"/>
        <v>1.7187622155314157E-2</v>
      </c>
    </row>
    <row r="257" spans="1:13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655">
        <f t="shared" si="27"/>
        <v>911.08</v>
      </c>
      <c r="G257" s="663">
        <f t="shared" si="28"/>
        <v>3.7190495401254091E-3</v>
      </c>
      <c r="H257" s="46">
        <f t="shared" si="29"/>
        <v>8.7325514631868675</v>
      </c>
      <c r="I257" s="664">
        <f t="shared" si="30"/>
        <v>3.2109591730138116</v>
      </c>
      <c r="J257" s="210">
        <v>3.6494403132671063</v>
      </c>
      <c r="K257" s="37">
        <f t="shared" si="31"/>
        <v>6.6347843795837302E-2</v>
      </c>
      <c r="L257" s="117">
        <f t="shared" si="32"/>
        <v>8.0878021587125676E-2</v>
      </c>
      <c r="M257" s="45">
        <f t="shared" si="26"/>
        <v>1.7187622155314157E-2</v>
      </c>
    </row>
    <row r="258" spans="1:13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655">
        <f t="shared" si="27"/>
        <v>707.90000000000009</v>
      </c>
      <c r="G258" s="663">
        <f t="shared" si="28"/>
        <v>2.8896641013465086E-3</v>
      </c>
      <c r="H258" s="46">
        <f t="shared" si="29"/>
        <v>6.7851046898076826</v>
      </c>
      <c r="I258" s="664">
        <f t="shared" si="30"/>
        <v>2.494882994442285</v>
      </c>
      <c r="J258" s="210">
        <v>2.8355784319289028</v>
      </c>
      <c r="K258" s="37">
        <f t="shared" si="31"/>
        <v>5.1551607568021712E-2</v>
      </c>
      <c r="L258" s="117">
        <f t="shared" si="32"/>
        <v>6.2841409625418468E-2</v>
      </c>
      <c r="M258" s="45">
        <f t="shared" si="26"/>
        <v>1.7187622155314154E-2</v>
      </c>
    </row>
    <row r="259" spans="1:13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655">
        <f t="shared" si="27"/>
        <v>814.34</v>
      </c>
      <c r="G259" s="663">
        <f t="shared" si="28"/>
        <v>3.3241546324205618E-3</v>
      </c>
      <c r="H259" s="46">
        <f t="shared" si="29"/>
        <v>7.8053145262014239</v>
      </c>
      <c r="I259" s="664">
        <f t="shared" si="30"/>
        <v>2.8700141512842636</v>
      </c>
      <c r="J259" s="210">
        <v>3.2619366298304602</v>
      </c>
      <c r="K259" s="37">
        <f t="shared" si="31"/>
        <v>5.9302918642382824E-2</v>
      </c>
      <c r="L259" s="117">
        <f t="shared" si="32"/>
        <v>7.2290257825064666E-2</v>
      </c>
      <c r="M259" s="45">
        <f t="shared" si="26"/>
        <v>1.7187622155314157E-2</v>
      </c>
    </row>
    <row r="260" spans="1:13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655">
        <f t="shared" si="27"/>
        <v>562.29999999999995</v>
      </c>
      <c r="G260" s="663">
        <f t="shared" si="28"/>
        <v>2.2953215485056384E-3</v>
      </c>
      <c r="H260" s="46">
        <f t="shared" si="29"/>
        <v>5.3895527151841494</v>
      </c>
      <c r="I260" s="664">
        <f t="shared" si="30"/>
        <v>1.9817385333732118</v>
      </c>
      <c r="J260" s="210">
        <v>2.2523601529504473</v>
      </c>
      <c r="K260" s="37">
        <f t="shared" si="31"/>
        <v>4.094853642534059E-2</v>
      </c>
      <c r="L260" s="117">
        <f t="shared" si="32"/>
        <v>4.9916265902490181E-2</v>
      </c>
      <c r="M260" s="45">
        <f t="shared" si="26"/>
        <v>1.7187622155314157E-2</v>
      </c>
    </row>
    <row r="261" spans="1:13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655">
        <f t="shared" si="27"/>
        <v>410.5</v>
      </c>
      <c r="G261" s="663">
        <f t="shared" si="28"/>
        <v>1.675670452892699E-3</v>
      </c>
      <c r="H261" s="46">
        <f t="shared" si="29"/>
        <v>3.934574763619231</v>
      </c>
      <c r="I261" s="664">
        <f t="shared" si="30"/>
        <v>1.4467431405827913</v>
      </c>
      <c r="J261" s="210">
        <v>1.6443070296748332</v>
      </c>
      <c r="K261" s="37">
        <f t="shared" si="31"/>
        <v>2.989396087960575E-2</v>
      </c>
      <c r="L261" s="117">
        <f t="shared" si="32"/>
        <v>3.6440738312239415E-2</v>
      </c>
      <c r="M261" s="45">
        <f t="shared" si="26"/>
        <v>1.7187622155314157E-2</v>
      </c>
    </row>
    <row r="262" spans="1:13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655">
        <f t="shared" si="27"/>
        <v>523.27</v>
      </c>
      <c r="G262" s="663">
        <f t="shared" si="28"/>
        <v>2.1360001897324302E-3</v>
      </c>
      <c r="H262" s="46">
        <f t="shared" si="29"/>
        <v>5.0154566055031298</v>
      </c>
      <c r="I262" s="664">
        <f t="shared" si="30"/>
        <v>1.8441833938435011</v>
      </c>
      <c r="J262" s="210">
        <v>2.0960208024797806</v>
      </c>
      <c r="K262" s="37">
        <f t="shared" si="31"/>
        <v>3.8106243384826551E-2</v>
      </c>
      <c r="L262" s="117">
        <f t="shared" si="32"/>
        <v>4.6451510686103571E-2</v>
      </c>
      <c r="M262" s="45">
        <f t="shared" si="26"/>
        <v>1.7187622155314154E-2</v>
      </c>
    </row>
    <row r="263" spans="1:13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655">
        <f t="shared" si="27"/>
        <v>684.1</v>
      </c>
      <c r="G263" s="663">
        <f t="shared" si="28"/>
        <v>2.7925119532859815E-3</v>
      </c>
      <c r="H263" s="46">
        <f t="shared" si="29"/>
        <v>6.5569856170326819</v>
      </c>
      <c r="I263" s="664">
        <f t="shared" si="30"/>
        <v>2.4110036113829172</v>
      </c>
      <c r="J263" s="210">
        <v>2.7402446747881939</v>
      </c>
      <c r="K263" s="37">
        <f t="shared" si="31"/>
        <v>4.9818413246621909E-2</v>
      </c>
      <c r="L263" s="117">
        <f t="shared" si="32"/>
        <v>6.0728645747632114E-2</v>
      </c>
      <c r="M263" s="45">
        <f t="shared" ref="M263:M326" si="33">(K263+J263+I263+H263)/F263</f>
        <v>1.7187622155314157E-2</v>
      </c>
    </row>
    <row r="264" spans="1:13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655">
        <f t="shared" si="27"/>
        <v>659.08</v>
      </c>
      <c r="G264" s="663">
        <f t="shared" si="28"/>
        <v>2.6903797371315959E-3</v>
      </c>
      <c r="H264" s="46">
        <f t="shared" si="29"/>
        <v>6.3171730455692146</v>
      </c>
      <c r="I264" s="664">
        <f t="shared" si="30"/>
        <v>2.3228245288558003</v>
      </c>
      <c r="J264" s="210">
        <v>2.6400240611890116</v>
      </c>
      <c r="K264" s="37">
        <f t="shared" si="31"/>
        <v>4.7996374510427674E-2</v>
      </c>
      <c r="L264" s="117">
        <f t="shared" si="32"/>
        <v>5.8507580528211339E-2</v>
      </c>
      <c r="M264" s="45">
        <f t="shared" si="33"/>
        <v>1.7187622155314157E-2</v>
      </c>
    </row>
    <row r="265" spans="1:13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655">
        <f t="shared" si="27"/>
        <v>466.5</v>
      </c>
      <c r="G265" s="663">
        <f t="shared" si="28"/>
        <v>1.9042637424468798E-3</v>
      </c>
      <c r="H265" s="46">
        <f t="shared" si="29"/>
        <v>4.4713255230898206</v>
      </c>
      <c r="I265" s="664">
        <f t="shared" si="30"/>
        <v>1.6441063948401271</v>
      </c>
      <c r="J265" s="210">
        <v>1.8686217523588544</v>
      </c>
      <c r="K265" s="37">
        <f t="shared" si="31"/>
        <v>3.3972065165252335E-2</v>
      </c>
      <c r="L265" s="117">
        <f t="shared" si="32"/>
        <v>4.1411947436442602E-2</v>
      </c>
      <c r="M265" s="45">
        <f t="shared" si="33"/>
        <v>1.7187622155314157E-2</v>
      </c>
    </row>
    <row r="266" spans="1:13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655">
        <f t="shared" si="27"/>
        <v>412.04</v>
      </c>
      <c r="G266" s="663">
        <f t="shared" si="28"/>
        <v>1.6819567683554392E-3</v>
      </c>
      <c r="H266" s="46">
        <f t="shared" si="29"/>
        <v>3.9493354095046724</v>
      </c>
      <c r="I266" s="664">
        <f t="shared" si="30"/>
        <v>1.4521706300748682</v>
      </c>
      <c r="J266" s="210">
        <v>1.6504756845486441</v>
      </c>
      <c r="K266" s="37">
        <f t="shared" si="31"/>
        <v>3.0006108747461038E-2</v>
      </c>
      <c r="L266" s="117">
        <f t="shared" si="32"/>
        <v>3.6577446563155008E-2</v>
      </c>
      <c r="M266" s="45">
        <f t="shared" si="33"/>
        <v>1.7187622155314157E-2</v>
      </c>
    </row>
    <row r="267" spans="1:13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655">
        <f t="shared" si="27"/>
        <v>303.5</v>
      </c>
      <c r="G267" s="663">
        <f t="shared" si="28"/>
        <v>1.238893988923104E-3</v>
      </c>
      <c r="H267" s="46">
        <f t="shared" si="29"/>
        <v>2.9089974196307837</v>
      </c>
      <c r="I267" s="664">
        <f t="shared" si="30"/>
        <v>1.0696383511982392</v>
      </c>
      <c r="J267" s="210">
        <v>1.215705684546436</v>
      </c>
      <c r="K267" s="37">
        <f t="shared" si="31"/>
        <v>2.2101868762388177E-2</v>
      </c>
      <c r="L267" s="117">
        <f t="shared" si="32"/>
        <v>2.6942178021351189E-2</v>
      </c>
      <c r="M267" s="45">
        <f t="shared" si="33"/>
        <v>1.7187622155314157E-2</v>
      </c>
    </row>
    <row r="268" spans="1:13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655">
        <f t="shared" si="27"/>
        <v>654.13</v>
      </c>
      <c r="G268" s="663">
        <f t="shared" si="28"/>
        <v>2.6701737231442173E-3</v>
      </c>
      <c r="H268" s="46">
        <f t="shared" si="29"/>
        <v>6.2697281123660105</v>
      </c>
      <c r="I268" s="664">
        <f t="shared" si="30"/>
        <v>2.3053790269169823</v>
      </c>
      <c r="J268" s="210">
        <v>2.620196241951763</v>
      </c>
      <c r="K268" s="37">
        <f t="shared" si="31"/>
        <v>4.7635899220892834E-2</v>
      </c>
      <c r="L268" s="117">
        <f t="shared" si="32"/>
        <v>5.8068161150268367E-2</v>
      </c>
      <c r="M268" s="45">
        <f t="shared" si="33"/>
        <v>1.7187622155314154E-2</v>
      </c>
    </row>
    <row r="269" spans="1:13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655">
        <f t="shared" si="27"/>
        <v>642.62</v>
      </c>
      <c r="G269" s="663">
        <f t="shared" si="28"/>
        <v>2.6231896380947777E-3</v>
      </c>
      <c r="H269" s="46">
        <f t="shared" si="29"/>
        <v>6.159406661624824</v>
      </c>
      <c r="I269" s="664">
        <f t="shared" si="30"/>
        <v>2.264813829479448</v>
      </c>
      <c r="J269" s="210">
        <v>2.5740915552001011</v>
      </c>
      <c r="K269" s="37">
        <f t="shared" si="31"/>
        <v>4.6797703143610835E-2</v>
      </c>
      <c r="L269" s="117">
        <f t="shared" si="32"/>
        <v>5.7046400132061609E-2</v>
      </c>
      <c r="M269" s="45">
        <f t="shared" si="33"/>
        <v>1.7187622155314157E-2</v>
      </c>
    </row>
    <row r="270" spans="1:13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655">
        <f t="shared" si="27"/>
        <v>278.7</v>
      </c>
      <c r="G270" s="663">
        <f t="shared" si="28"/>
        <v>1.137659817834824E-3</v>
      </c>
      <c r="H270" s="46">
        <f t="shared" si="29"/>
        <v>2.6712935118652368</v>
      </c>
      <c r="I270" s="664">
        <f t="shared" si="30"/>
        <v>0.98223462431284758</v>
      </c>
      <c r="J270" s="210">
        <v>1.1163663073577981</v>
      </c>
      <c r="K270" s="37">
        <f t="shared" si="31"/>
        <v>2.0295851150173259E-2</v>
      </c>
      <c r="L270" s="117">
        <f t="shared" si="32"/>
        <v>2.4740642552061206E-2</v>
      </c>
      <c r="M270" s="45">
        <f t="shared" si="33"/>
        <v>1.718762215531416E-2</v>
      </c>
    </row>
    <row r="271" spans="1:13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655">
        <f t="shared" ref="F271:F334" si="34">C271+D271+E271</f>
        <v>3583.55</v>
      </c>
      <c r="G271" s="663">
        <f t="shared" si="28"/>
        <v>1.4628133621105072E-2</v>
      </c>
      <c r="H271" s="46">
        <f t="shared" si="29"/>
        <v>34.347735430371976</v>
      </c>
      <c r="I271" s="664">
        <f t="shared" si="30"/>
        <v>12.629662317747776</v>
      </c>
      <c r="J271" s="210">
        <v>14.354339722755785</v>
      </c>
      <c r="K271" s="37">
        <f t="shared" si="31"/>
        <v>0.26096590380051449</v>
      </c>
      <c r="L271" s="117">
        <f t="shared" si="32"/>
        <v>0.31811743673282716</v>
      </c>
      <c r="M271" s="45">
        <f t="shared" si="33"/>
        <v>1.7187622155314157E-2</v>
      </c>
    </row>
    <row r="272" spans="1:13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655">
        <f t="shared" si="34"/>
        <v>513.5</v>
      </c>
      <c r="G272" s="663">
        <f t="shared" si="28"/>
        <v>2.0961188247512813E-3</v>
      </c>
      <c r="H272" s="46">
        <f t="shared" si="29"/>
        <v>4.921812767645493</v>
      </c>
      <c r="I272" s="664">
        <f t="shared" si="30"/>
        <v>1.809750554663248</v>
      </c>
      <c r="J272" s="210">
        <v>2.0568858946115154</v>
      </c>
      <c r="K272" s="37">
        <f t="shared" si="31"/>
        <v>3.7394759833562857E-2</v>
      </c>
      <c r="L272" s="117">
        <f t="shared" si="32"/>
        <v>4.5584212237113127E-2</v>
      </c>
      <c r="M272" s="45">
        <f t="shared" si="33"/>
        <v>1.7187622155314157E-2</v>
      </c>
    </row>
    <row r="273" spans="1:13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655">
        <f t="shared" si="34"/>
        <v>420.4</v>
      </c>
      <c r="G273" s="663">
        <f t="shared" si="28"/>
        <v>1.7160824808674559E-3</v>
      </c>
      <c r="H273" s="46">
        <f t="shared" si="29"/>
        <v>4.0294646300256387</v>
      </c>
      <c r="I273" s="664">
        <f t="shared" si="30"/>
        <v>1.4816341444604275</v>
      </c>
      <c r="J273" s="210">
        <v>1.6839626681493298</v>
      </c>
      <c r="K273" s="37">
        <f t="shared" si="31"/>
        <v>3.0614911458675415E-2</v>
      </c>
      <c r="L273" s="117">
        <f t="shared" si="32"/>
        <v>3.7319577068125331E-2</v>
      </c>
      <c r="M273" s="45">
        <f t="shared" si="33"/>
        <v>1.7187622155314157E-2</v>
      </c>
    </row>
    <row r="274" spans="1:13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655">
        <f t="shared" si="34"/>
        <v>344.2</v>
      </c>
      <c r="G274" s="663">
        <f t="shared" si="28"/>
        <v>1.4050323261526603E-3</v>
      </c>
      <c r="H274" s="46">
        <f t="shared" si="29"/>
        <v>3.2991002037460153</v>
      </c>
      <c r="I274" s="664">
        <f t="shared" si="30"/>
        <v>1.2130791449174099</v>
      </c>
      <c r="J274" s="210">
        <v>1.3787344204971441</v>
      </c>
      <c r="K274" s="37">
        <f t="shared" si="31"/>
        <v>2.5065776698563458E-2</v>
      </c>
      <c r="L274" s="117">
        <f t="shared" si="32"/>
        <v>3.0555181795548857E-2</v>
      </c>
      <c r="M274" s="45">
        <f t="shared" si="33"/>
        <v>1.7187622155314157E-2</v>
      </c>
    </row>
    <row r="275" spans="1:13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655">
        <f t="shared" si="34"/>
        <v>349.5</v>
      </c>
      <c r="G275" s="663">
        <f t="shared" si="28"/>
        <v>1.4266670481997523E-3</v>
      </c>
      <c r="H275" s="46">
        <f t="shared" si="29"/>
        <v>3.3498998291959103</v>
      </c>
      <c r="I275" s="664">
        <f t="shared" si="30"/>
        <v>1.2317581671953364</v>
      </c>
      <c r="J275" s="210">
        <v>1.3999642067511675</v>
      </c>
      <c r="K275" s="37">
        <f t="shared" si="31"/>
        <v>2.5451740139883581E-2</v>
      </c>
      <c r="L275" s="117">
        <f t="shared" si="32"/>
        <v>3.1025671230518088E-2</v>
      </c>
      <c r="M275" s="45">
        <f t="shared" si="33"/>
        <v>1.7187622155314157E-2</v>
      </c>
    </row>
    <row r="276" spans="1:13" s="6" customFormat="1" ht="15.75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655">
        <f t="shared" si="34"/>
        <v>437.7</v>
      </c>
      <c r="G276" s="663">
        <f t="shared" si="28"/>
        <v>1.7867014792475868E-3</v>
      </c>
      <c r="H276" s="46">
        <f t="shared" si="29"/>
        <v>4.1952822753620884</v>
      </c>
      <c r="I276" s="664">
        <f t="shared" si="30"/>
        <v>1.5426052926506399</v>
      </c>
      <c r="J276" s="210">
        <v>1.7532598949785008</v>
      </c>
      <c r="K276" s="37">
        <f t="shared" si="31"/>
        <v>3.1874754389776952E-2</v>
      </c>
      <c r="L276" s="117">
        <f t="shared" si="32"/>
        <v>3.8855325601138108E-2</v>
      </c>
      <c r="M276" s="45">
        <f t="shared" si="33"/>
        <v>1.7187622155314157E-2</v>
      </c>
    </row>
    <row r="277" spans="1:13" s="6" customFormat="1" ht="15.75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655">
        <f t="shared" si="34"/>
        <v>555.74</v>
      </c>
      <c r="G277" s="663">
        <f t="shared" si="28"/>
        <v>2.2685434774435778E-3</v>
      </c>
      <c r="H277" s="46">
        <f t="shared" si="29"/>
        <v>5.326676197646167</v>
      </c>
      <c r="I277" s="664">
        <f t="shared" si="30"/>
        <v>1.9586188378744958</v>
      </c>
      <c r="J277" s="210">
        <v>2.226083285436034</v>
      </c>
      <c r="K277" s="37">
        <f t="shared" si="31"/>
        <v>4.047081563759343E-2</v>
      </c>
      <c r="L277" s="117">
        <f t="shared" si="32"/>
        <v>4.9333924262226395E-2</v>
      </c>
      <c r="M277" s="45">
        <f t="shared" si="33"/>
        <v>1.7187622155314157E-2</v>
      </c>
    </row>
    <row r="278" spans="1:13" s="6" customFormat="1" ht="15.75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655">
        <f t="shared" si="34"/>
        <v>396.6</v>
      </c>
      <c r="G278" s="663">
        <f t="shared" si="28"/>
        <v>1.6189303328069293E-3</v>
      </c>
      <c r="H278" s="46">
        <f t="shared" si="29"/>
        <v>3.8013455572506385</v>
      </c>
      <c r="I278" s="664">
        <f t="shared" si="30"/>
        <v>1.3977547614010599</v>
      </c>
      <c r="J278" s="210">
        <v>1.5886289110086211</v>
      </c>
      <c r="K278" s="37">
        <f t="shared" si="31"/>
        <v>2.8881717137275619E-2</v>
      </c>
      <c r="L278" s="117">
        <f t="shared" si="32"/>
        <v>3.5206813190338984E-2</v>
      </c>
      <c r="M278" s="45">
        <f t="shared" si="33"/>
        <v>1.7187622155314157E-2</v>
      </c>
    </row>
    <row r="279" spans="1:13" s="6" customFormat="1" ht="15.75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655">
        <f t="shared" si="34"/>
        <v>1778.9</v>
      </c>
      <c r="G279" s="663">
        <f t="shared" si="28"/>
        <v>7.261510764070213E-3</v>
      </c>
      <c r="H279" s="46">
        <f t="shared" si="29"/>
        <v>17.050462964682705</v>
      </c>
      <c r="I279" s="664">
        <f t="shared" si="30"/>
        <v>6.269455232113831</v>
      </c>
      <c r="J279" s="210">
        <v>7.1255975032608063</v>
      </c>
      <c r="K279" s="37">
        <f t="shared" si="31"/>
        <v>0.12954535203101261</v>
      </c>
      <c r="L279" s="117">
        <f t="shared" si="32"/>
        <v>0.1579157841258044</v>
      </c>
      <c r="M279" s="45">
        <f t="shared" si="33"/>
        <v>1.7187622155314157E-2</v>
      </c>
    </row>
    <row r="280" spans="1:13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655">
        <f t="shared" si="34"/>
        <v>731.78</v>
      </c>
      <c r="G280" s="663">
        <f t="shared" si="28"/>
        <v>2.9871428112492552E-3</v>
      </c>
      <c r="H280" s="46">
        <f t="shared" si="29"/>
        <v>7.0139905493819263</v>
      </c>
      <c r="I280" s="664">
        <f t="shared" si="30"/>
        <v>2.5790443250077346</v>
      </c>
      <c r="J280" s="210">
        <v>2.9312326386734457</v>
      </c>
      <c r="K280" s="37">
        <f t="shared" si="31"/>
        <v>5.3290627752686712E-2</v>
      </c>
      <c r="L280" s="117">
        <f t="shared" si="32"/>
        <v>6.4961275230525112E-2</v>
      </c>
      <c r="M280" s="45">
        <f t="shared" si="33"/>
        <v>1.7187622155314157E-2</v>
      </c>
    </row>
    <row r="281" spans="1:13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655">
        <f t="shared" si="34"/>
        <v>185.4</v>
      </c>
      <c r="G281" s="663">
        <f t="shared" si="28"/>
        <v>7.5680706934544808E-4</v>
      </c>
      <c r="H281" s="46">
        <f t="shared" si="29"/>
        <v>1.7770284072472728</v>
      </c>
      <c r="I281" s="664">
        <f t="shared" si="30"/>
        <v>0.65341334534482232</v>
      </c>
      <c r="J281" s="210">
        <v>0.74264195688602708</v>
      </c>
      <c r="K281" s="37">
        <f t="shared" si="31"/>
        <v>1.3501438117122793E-2</v>
      </c>
      <c r="L281" s="117">
        <f t="shared" si="32"/>
        <v>1.6458253064772686E-2</v>
      </c>
      <c r="M281" s="45">
        <f t="shared" si="33"/>
        <v>1.7187622155314157E-2</v>
      </c>
    </row>
    <row r="282" spans="1:13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655">
        <f t="shared" si="34"/>
        <v>478.6</v>
      </c>
      <c r="G282" s="663">
        <f t="shared" si="28"/>
        <v>1.953656221082694E-3</v>
      </c>
      <c r="H282" s="46">
        <f t="shared" si="29"/>
        <v>4.5873020264754301</v>
      </c>
      <c r="I282" s="664">
        <f t="shared" si="30"/>
        <v>1.6867509551350157</v>
      </c>
      <c r="J282" s="210">
        <v>1.9170897549387951</v>
      </c>
      <c r="K282" s="37">
        <f t="shared" si="31"/>
        <v>3.4853226984115263E-2</v>
      </c>
      <c r="L282" s="117">
        <f t="shared" si="32"/>
        <v>4.248608369363651E-2</v>
      </c>
      <c r="M282" s="45">
        <f t="shared" si="33"/>
        <v>1.718762215531416E-2</v>
      </c>
    </row>
    <row r="283" spans="1:13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655">
        <f t="shared" si="34"/>
        <v>496.38</v>
      </c>
      <c r="G283" s="663">
        <f t="shared" si="28"/>
        <v>2.026234590516146E-3</v>
      </c>
      <c r="H283" s="46">
        <f t="shared" si="29"/>
        <v>4.7577203926073413</v>
      </c>
      <c r="I283" s="664">
        <f t="shared" si="30"/>
        <v>1.7494137883617196</v>
      </c>
      <c r="J283" s="210">
        <v>1.9883096793909714</v>
      </c>
      <c r="K283" s="37">
        <f t="shared" si="31"/>
        <v>3.6148025094808044E-2</v>
      </c>
      <c r="L283" s="117">
        <f t="shared" si="32"/>
        <v>4.4064442590571011E-2</v>
      </c>
      <c r="M283" s="45">
        <f t="shared" si="33"/>
        <v>1.7187622155314157E-2</v>
      </c>
    </row>
    <row r="284" spans="1:13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655">
        <f t="shared" si="34"/>
        <v>260.8</v>
      </c>
      <c r="G284" s="663">
        <f t="shared" ref="G284:G347" si="35">1/244976.57*F284</f>
        <v>1.0645916056380412E-3</v>
      </c>
      <c r="H284" s="46">
        <f t="shared" ref="H284:H347" si="36">G284*2348.06</f>
        <v>2.4997249655344591</v>
      </c>
      <c r="I284" s="664">
        <f t="shared" ref="I284:I347" si="37">H284*0.3677</f>
        <v>0.91914886982702071</v>
      </c>
      <c r="J284" s="210">
        <v>1.0446657084998698</v>
      </c>
      <c r="K284" s="37">
        <f t="shared" ref="K284:K347" si="38">G284*17.84</f>
        <v>1.8992314244582656E-2</v>
      </c>
      <c r="L284" s="117">
        <f t="shared" si="32"/>
        <v>2.315163106414626E-2</v>
      </c>
      <c r="M284" s="45">
        <f t="shared" si="33"/>
        <v>1.718762215531416E-2</v>
      </c>
    </row>
    <row r="285" spans="1:13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655">
        <f t="shared" si="34"/>
        <v>282.8</v>
      </c>
      <c r="G285" s="663">
        <f t="shared" si="35"/>
        <v>1.1543961122486123E-3</v>
      </c>
      <c r="H285" s="46">
        <f t="shared" si="36"/>
        <v>2.7105913353264768</v>
      </c>
      <c r="I285" s="664">
        <f t="shared" si="37"/>
        <v>0.99668443399954554</v>
      </c>
      <c r="J285" s="210">
        <v>1.1327893495543067</v>
      </c>
      <c r="K285" s="37">
        <f t="shared" si="38"/>
        <v>2.0594426642515245E-2</v>
      </c>
      <c r="L285" s="117">
        <f t="shared" ref="L285:L348" si="39">K285*1.219</f>
        <v>2.5104606077226085E-2</v>
      </c>
      <c r="M285" s="45">
        <f t="shared" si="33"/>
        <v>1.718762215531416E-2</v>
      </c>
    </row>
    <row r="286" spans="1:13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655">
        <f t="shared" si="34"/>
        <v>227.3</v>
      </c>
      <c r="G286" s="663">
        <f t="shared" si="35"/>
        <v>9.2784383420830825E-4</v>
      </c>
      <c r="H286" s="46">
        <f t="shared" si="36"/>
        <v>2.1786329933511603</v>
      </c>
      <c r="I286" s="664">
        <f t="shared" si="37"/>
        <v>0.80108335165522171</v>
      </c>
      <c r="J286" s="210">
        <v>0.91047743689424998</v>
      </c>
      <c r="K286" s="37">
        <f t="shared" si="38"/>
        <v>1.655273400227622E-2</v>
      </c>
      <c r="L286" s="117">
        <f t="shared" si="39"/>
        <v>2.0177782748774714E-2</v>
      </c>
      <c r="M286" s="45">
        <f t="shared" si="33"/>
        <v>1.7187622155314157E-2</v>
      </c>
    </row>
    <row r="287" spans="1:13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655">
        <f t="shared" si="34"/>
        <v>7849.73</v>
      </c>
      <c r="G287" s="663">
        <f t="shared" si="35"/>
        <v>3.2042778621645326E-2</v>
      </c>
      <c r="H287" s="46">
        <f t="shared" si="36"/>
        <v>75.238366770340519</v>
      </c>
      <c r="I287" s="664">
        <f t="shared" si="37"/>
        <v>27.665147461454211</v>
      </c>
      <c r="J287" s="210">
        <v>31.443035858829308</v>
      </c>
      <c r="K287" s="37">
        <f t="shared" si="38"/>
        <v>0.57164317061015257</v>
      </c>
      <c r="L287" s="117">
        <f t="shared" si="39"/>
        <v>0.69683302497377608</v>
      </c>
      <c r="M287" s="45">
        <f t="shared" si="33"/>
        <v>1.7187622155314157E-2</v>
      </c>
    </row>
    <row r="288" spans="1:13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655">
        <f t="shared" si="34"/>
        <v>454.20000000000005</v>
      </c>
      <c r="G288" s="663">
        <f t="shared" si="35"/>
        <v>1.8540548592055153E-3</v>
      </c>
      <c r="H288" s="46">
        <f t="shared" si="36"/>
        <v>4.3534320527061023</v>
      </c>
      <c r="I288" s="664">
        <f t="shared" si="37"/>
        <v>1.600756965780034</v>
      </c>
      <c r="J288" s="210">
        <v>1.8193526257693287</v>
      </c>
      <c r="K288" s="37">
        <f t="shared" si="38"/>
        <v>3.3076338688226389E-2</v>
      </c>
      <c r="L288" s="117">
        <f t="shared" si="39"/>
        <v>4.0320056860947973E-2</v>
      </c>
      <c r="M288" s="45">
        <f t="shared" si="33"/>
        <v>1.718762215531416E-2</v>
      </c>
    </row>
    <row r="289" spans="1:13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655">
        <f t="shared" si="34"/>
        <v>493.90000000000003</v>
      </c>
      <c r="G289" s="663">
        <f t="shared" si="35"/>
        <v>2.0161111734073181E-3</v>
      </c>
      <c r="H289" s="46">
        <f t="shared" si="36"/>
        <v>4.7339500018307872</v>
      </c>
      <c r="I289" s="664">
        <f t="shared" si="37"/>
        <v>1.7406734156731807</v>
      </c>
      <c r="J289" s="210">
        <v>1.9783757416721077</v>
      </c>
      <c r="K289" s="37">
        <f t="shared" si="38"/>
        <v>3.5967423333586553E-2</v>
      </c>
      <c r="L289" s="117">
        <f t="shared" si="39"/>
        <v>4.3844289043642008E-2</v>
      </c>
      <c r="M289" s="45">
        <f t="shared" si="33"/>
        <v>1.7187622155314154E-2</v>
      </c>
    </row>
    <row r="290" spans="1:13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655">
        <f t="shared" si="34"/>
        <v>698.82</v>
      </c>
      <c r="G290" s="663">
        <f t="shared" si="35"/>
        <v>2.8525993322545094E-3</v>
      </c>
      <c r="H290" s="46">
        <f t="shared" si="36"/>
        <v>6.6980743880935236</v>
      </c>
      <c r="I290" s="664">
        <f t="shared" si="37"/>
        <v>2.4628819525019887</v>
      </c>
      <c r="J290" s="210">
        <v>2.7992074018937081</v>
      </c>
      <c r="K290" s="37">
        <f t="shared" si="38"/>
        <v>5.0890372087420449E-2</v>
      </c>
      <c r="L290" s="117">
        <f t="shared" si="39"/>
        <v>6.203536357456553E-2</v>
      </c>
      <c r="M290" s="45">
        <f t="shared" si="33"/>
        <v>1.7187622155314157E-2</v>
      </c>
    </row>
    <row r="291" spans="1:13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655">
        <f t="shared" si="34"/>
        <v>559.52</v>
      </c>
      <c r="G291" s="663">
        <f t="shared" si="35"/>
        <v>2.2839735244884847E-3</v>
      </c>
      <c r="H291" s="46">
        <f t="shared" si="36"/>
        <v>5.3629068739104309</v>
      </c>
      <c r="I291" s="664">
        <f t="shared" si="37"/>
        <v>1.9719408575368655</v>
      </c>
      <c r="J291" s="210">
        <v>2.2412245292172055</v>
      </c>
      <c r="K291" s="37">
        <f t="shared" si="38"/>
        <v>4.0746087676874564E-2</v>
      </c>
      <c r="L291" s="117">
        <f t="shared" si="39"/>
        <v>4.9669480878110094E-2</v>
      </c>
      <c r="M291" s="45">
        <f t="shared" si="33"/>
        <v>1.7187622155314154E-2</v>
      </c>
    </row>
    <row r="292" spans="1:13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655">
        <f t="shared" si="34"/>
        <v>958</v>
      </c>
      <c r="G292" s="663">
        <f t="shared" si="35"/>
        <v>3.9105780605875901E-3</v>
      </c>
      <c r="H292" s="46">
        <f t="shared" si="36"/>
        <v>9.1822719209432968</v>
      </c>
      <c r="I292" s="664">
        <f t="shared" si="37"/>
        <v>3.3763213853308507</v>
      </c>
      <c r="J292" s="210">
        <v>3.8373840059159328</v>
      </c>
      <c r="K292" s="37">
        <f t="shared" si="38"/>
        <v>6.9764712600882614E-2</v>
      </c>
      <c r="L292" s="117">
        <f t="shared" si="39"/>
        <v>8.5043184660475918E-2</v>
      </c>
      <c r="M292" s="45">
        <f t="shared" si="33"/>
        <v>1.7187622155314157E-2</v>
      </c>
    </row>
    <row r="293" spans="1:13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655">
        <f t="shared" si="34"/>
        <v>700</v>
      </c>
      <c r="G293" s="663">
        <f t="shared" si="35"/>
        <v>2.8574161194272578E-3</v>
      </c>
      <c r="H293" s="46">
        <f t="shared" si="36"/>
        <v>6.709384493382367</v>
      </c>
      <c r="I293" s="664">
        <f t="shared" si="37"/>
        <v>2.4670406782166965</v>
      </c>
      <c r="J293" s="210">
        <v>2.8039340335502638</v>
      </c>
      <c r="K293" s="37">
        <f t="shared" si="38"/>
        <v>5.0976303570582276E-2</v>
      </c>
      <c r="L293" s="117">
        <f t="shared" si="39"/>
        <v>6.2140114052539802E-2</v>
      </c>
      <c r="M293" s="45">
        <f t="shared" si="33"/>
        <v>1.7187622155314157E-2</v>
      </c>
    </row>
    <row r="294" spans="1:13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655">
        <f t="shared" si="34"/>
        <v>209.86</v>
      </c>
      <c r="G294" s="663">
        <f t="shared" si="35"/>
        <v>8.5665335260429198E-4</v>
      </c>
      <c r="H294" s="46">
        <f t="shared" si="36"/>
        <v>2.0114734711160338</v>
      </c>
      <c r="I294" s="664">
        <f t="shared" si="37"/>
        <v>0.7396187953293657</v>
      </c>
      <c r="J294" s="210">
        <v>0.84061942325836925</v>
      </c>
      <c r="K294" s="37">
        <f t="shared" si="38"/>
        <v>1.5282695810460569E-2</v>
      </c>
      <c r="L294" s="117">
        <f t="shared" si="39"/>
        <v>1.8629606192951436E-2</v>
      </c>
      <c r="M294" s="45">
        <f t="shared" si="33"/>
        <v>1.7187622155314157E-2</v>
      </c>
    </row>
    <row r="295" spans="1:13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655">
        <f t="shared" si="34"/>
        <v>577.53</v>
      </c>
      <c r="G295" s="663">
        <f t="shared" si="35"/>
        <v>2.3574907592183204E-3</v>
      </c>
      <c r="H295" s="46">
        <f t="shared" si="36"/>
        <v>5.5355297520901692</v>
      </c>
      <c r="I295" s="664">
        <f t="shared" si="37"/>
        <v>2.0354142898435552</v>
      </c>
      <c r="J295" s="210">
        <v>2.3133657462804056</v>
      </c>
      <c r="K295" s="37">
        <f t="shared" si="38"/>
        <v>4.2057635144454833E-2</v>
      </c>
      <c r="L295" s="117">
        <f t="shared" si="39"/>
        <v>5.1268257241090444E-2</v>
      </c>
      <c r="M295" s="45">
        <f t="shared" si="33"/>
        <v>1.7187622155314157E-2</v>
      </c>
    </row>
    <row r="296" spans="1:13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655">
        <f t="shared" si="34"/>
        <v>265.16000000000003</v>
      </c>
      <c r="G296" s="663">
        <f t="shared" si="35"/>
        <v>1.0823892260390453E-3</v>
      </c>
      <c r="H296" s="46">
        <f t="shared" si="36"/>
        <v>2.5415148460932406</v>
      </c>
      <c r="I296" s="664">
        <f t="shared" si="37"/>
        <v>0.9345150089084846</v>
      </c>
      <c r="J296" s="210">
        <v>1.06213021190884</v>
      </c>
      <c r="K296" s="37">
        <f t="shared" si="38"/>
        <v>1.9309823792536568E-2</v>
      </c>
      <c r="L296" s="117">
        <f t="shared" si="39"/>
        <v>2.3538675203102079E-2</v>
      </c>
      <c r="M296" s="45">
        <f t="shared" si="33"/>
        <v>1.7187622155314154E-2</v>
      </c>
    </row>
    <row r="297" spans="1:13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655">
        <f t="shared" si="34"/>
        <v>134.88</v>
      </c>
      <c r="G297" s="663">
        <f t="shared" si="35"/>
        <v>5.5058326598335502E-4</v>
      </c>
      <c r="H297" s="46">
        <f t="shared" si="36"/>
        <v>1.2928025435248767</v>
      </c>
      <c r="I297" s="664">
        <f t="shared" si="37"/>
        <v>0.47536349525409721</v>
      </c>
      <c r="J297" s="210">
        <v>0.54027803206465663</v>
      </c>
      <c r="K297" s="37">
        <f t="shared" si="38"/>
        <v>9.8224054651430536E-3</v>
      </c>
      <c r="L297" s="117">
        <f t="shared" si="39"/>
        <v>1.1973512262009383E-2</v>
      </c>
      <c r="M297" s="45">
        <f t="shared" si="33"/>
        <v>1.7187622155314157E-2</v>
      </c>
    </row>
    <row r="298" spans="1:13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655">
        <f t="shared" si="34"/>
        <v>427.34000000000003</v>
      </c>
      <c r="G298" s="663">
        <f t="shared" si="35"/>
        <v>1.7444117206800636E-3</v>
      </c>
      <c r="H298" s="46">
        <f t="shared" si="36"/>
        <v>4.0959833848600296</v>
      </c>
      <c r="I298" s="664">
        <f t="shared" si="37"/>
        <v>1.506093090613033</v>
      </c>
      <c r="J298" s="210">
        <v>1.711761671281957</v>
      </c>
      <c r="K298" s="37">
        <f t="shared" si="38"/>
        <v>3.1120305096932335E-2</v>
      </c>
      <c r="L298" s="117">
        <f t="shared" si="39"/>
        <v>3.793565191316052E-2</v>
      </c>
      <c r="M298" s="45">
        <f t="shared" si="33"/>
        <v>1.7187622155314154E-2</v>
      </c>
    </row>
    <row r="299" spans="1:13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655">
        <f t="shared" si="34"/>
        <v>603</v>
      </c>
      <c r="G299" s="663">
        <f t="shared" si="35"/>
        <v>2.4614598857351949E-3</v>
      </c>
      <c r="H299" s="46">
        <f t="shared" si="36"/>
        <v>5.7796554992993814</v>
      </c>
      <c r="I299" s="664">
        <f t="shared" si="37"/>
        <v>2.1251793270923827</v>
      </c>
      <c r="J299" s="210">
        <v>2.4153888889011563</v>
      </c>
      <c r="K299" s="37">
        <f t="shared" si="38"/>
        <v>4.3912444361515875E-2</v>
      </c>
      <c r="L299" s="117">
        <f t="shared" si="39"/>
        <v>5.3529269676687856E-2</v>
      </c>
      <c r="M299" s="45">
        <f t="shared" si="33"/>
        <v>1.7187622155314157E-2</v>
      </c>
    </row>
    <row r="300" spans="1:13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655">
        <f t="shared" si="34"/>
        <v>375.70000000000005</v>
      </c>
      <c r="G300" s="663">
        <f t="shared" si="35"/>
        <v>1.5336160515268869E-3</v>
      </c>
      <c r="H300" s="46">
        <f t="shared" si="36"/>
        <v>3.6010225059482219</v>
      </c>
      <c r="I300" s="664">
        <f t="shared" si="37"/>
        <v>1.3240959754371613</v>
      </c>
      <c r="J300" s="210">
        <v>1.5049114520069062</v>
      </c>
      <c r="K300" s="37">
        <f t="shared" si="38"/>
        <v>2.7359710359239661E-2</v>
      </c>
      <c r="L300" s="117">
        <f t="shared" si="39"/>
        <v>3.3351486927913149E-2</v>
      </c>
      <c r="M300" s="45">
        <f t="shared" si="33"/>
        <v>1.7187622155314157E-2</v>
      </c>
    </row>
    <row r="301" spans="1:13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655">
        <f t="shared" si="34"/>
        <v>607.62</v>
      </c>
      <c r="G301" s="663">
        <f t="shared" si="35"/>
        <v>2.4803188321234149E-3</v>
      </c>
      <c r="H301" s="46">
        <f t="shared" si="36"/>
        <v>5.8239374369557053</v>
      </c>
      <c r="I301" s="664">
        <f t="shared" si="37"/>
        <v>2.1414617955686128</v>
      </c>
      <c r="J301" s="210">
        <v>2.4338948535225877</v>
      </c>
      <c r="K301" s="37">
        <f t="shared" si="38"/>
        <v>4.4248887965081724E-2</v>
      </c>
      <c r="L301" s="117">
        <f t="shared" si="39"/>
        <v>5.3939394429434621E-2</v>
      </c>
      <c r="M301" s="45">
        <f t="shared" si="33"/>
        <v>1.7187622155314154E-2</v>
      </c>
    </row>
    <row r="302" spans="1:13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655">
        <f t="shared" si="34"/>
        <v>400.32000000000005</v>
      </c>
      <c r="G302" s="663">
        <f t="shared" si="35"/>
        <v>1.6341154584701716E-3</v>
      </c>
      <c r="H302" s="46">
        <f t="shared" si="36"/>
        <v>3.8370011434154709</v>
      </c>
      <c r="I302" s="664">
        <f t="shared" si="37"/>
        <v>1.4108653204338688</v>
      </c>
      <c r="J302" s="210">
        <v>1.6035298175869168</v>
      </c>
      <c r="K302" s="37">
        <f t="shared" si="38"/>
        <v>2.9152619779107859E-2</v>
      </c>
      <c r="L302" s="117">
        <f t="shared" si="39"/>
        <v>3.5537043510732481E-2</v>
      </c>
      <c r="M302" s="45">
        <f t="shared" si="33"/>
        <v>1.7187622155314157E-2</v>
      </c>
    </row>
    <row r="303" spans="1:13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655">
        <f t="shared" si="34"/>
        <v>311.52000000000004</v>
      </c>
      <c r="G303" s="663">
        <f t="shared" si="35"/>
        <v>1.2716318136056851E-3</v>
      </c>
      <c r="H303" s="46">
        <f t="shared" si="36"/>
        <v>2.9858677962549649</v>
      </c>
      <c r="I303" s="664">
        <f t="shared" si="37"/>
        <v>1.0979035886829507</v>
      </c>
      <c r="J303" s="210">
        <v>1.2478307573308263</v>
      </c>
      <c r="K303" s="37">
        <f t="shared" si="38"/>
        <v>2.2685911554725421E-2</v>
      </c>
      <c r="L303" s="117">
        <f t="shared" si="39"/>
        <v>2.7654126185210289E-2</v>
      </c>
      <c r="M303" s="45">
        <f t="shared" si="33"/>
        <v>1.7187622155314157E-2</v>
      </c>
    </row>
    <row r="304" spans="1:13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655">
        <f t="shared" si="34"/>
        <v>451.70000000000005</v>
      </c>
      <c r="G304" s="663">
        <f t="shared" si="35"/>
        <v>1.8438498016361321E-3</v>
      </c>
      <c r="H304" s="46">
        <f t="shared" si="36"/>
        <v>4.3294699652297366</v>
      </c>
      <c r="I304" s="664">
        <f t="shared" si="37"/>
        <v>1.5919461062149742</v>
      </c>
      <c r="J304" s="210">
        <v>1.8093385756495064</v>
      </c>
      <c r="K304" s="37">
        <f t="shared" si="38"/>
        <v>3.2894280461188599E-2</v>
      </c>
      <c r="L304" s="117">
        <f t="shared" si="39"/>
        <v>4.0098127882188903E-2</v>
      </c>
      <c r="M304" s="45">
        <f t="shared" si="33"/>
        <v>1.7187622155314157E-2</v>
      </c>
    </row>
    <row r="305" spans="1:13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655">
        <f t="shared" si="34"/>
        <v>529.70000000000005</v>
      </c>
      <c r="G305" s="663">
        <f t="shared" si="35"/>
        <v>2.1622475978008838E-3</v>
      </c>
      <c r="H305" s="46">
        <f t="shared" si="36"/>
        <v>5.0770870944923434</v>
      </c>
      <c r="I305" s="664">
        <f t="shared" si="37"/>
        <v>1.8668449246448349</v>
      </c>
      <c r="J305" s="210">
        <v>2.121776939387964</v>
      </c>
      <c r="K305" s="37">
        <f t="shared" si="38"/>
        <v>3.8574497144767766E-2</v>
      </c>
      <c r="L305" s="117">
        <f t="shared" si="39"/>
        <v>4.7022312019471914E-2</v>
      </c>
      <c r="M305" s="45">
        <f t="shared" si="33"/>
        <v>1.7187622155314157E-2</v>
      </c>
    </row>
    <row r="306" spans="1:13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655">
        <f t="shared" si="34"/>
        <v>306.10000000000002</v>
      </c>
      <c r="G306" s="663">
        <f t="shared" si="35"/>
        <v>1.2495072487952623E-3</v>
      </c>
      <c r="H306" s="46">
        <f t="shared" si="36"/>
        <v>2.9339179906062038</v>
      </c>
      <c r="I306" s="664">
        <f t="shared" si="37"/>
        <v>1.0788016451459013</v>
      </c>
      <c r="J306" s="210">
        <v>1.2261202966710512</v>
      </c>
      <c r="K306" s="37">
        <f t="shared" si="38"/>
        <v>2.229120931850748E-2</v>
      </c>
      <c r="L306" s="117">
        <f t="shared" si="39"/>
        <v>2.7172984159260619E-2</v>
      </c>
      <c r="M306" s="45">
        <f t="shared" si="33"/>
        <v>1.718762215531416E-2</v>
      </c>
    </row>
    <row r="307" spans="1:13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655">
        <f t="shared" si="34"/>
        <v>551.6</v>
      </c>
      <c r="G307" s="663">
        <f t="shared" si="35"/>
        <v>2.2516439021086792E-3</v>
      </c>
      <c r="H307" s="46">
        <f t="shared" si="36"/>
        <v>5.2869949807853054</v>
      </c>
      <c r="I307" s="664">
        <f t="shared" si="37"/>
        <v>1.944028054434757</v>
      </c>
      <c r="J307" s="210">
        <v>2.2095000184376081</v>
      </c>
      <c r="K307" s="37">
        <f t="shared" si="38"/>
        <v>4.0169327213618836E-2</v>
      </c>
      <c r="L307" s="117">
        <f t="shared" si="39"/>
        <v>4.8966409873401361E-2</v>
      </c>
      <c r="M307" s="45">
        <f t="shared" si="33"/>
        <v>1.7187622155314157E-2</v>
      </c>
    </row>
    <row r="308" spans="1:13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655">
        <f t="shared" si="34"/>
        <v>329.2</v>
      </c>
      <c r="G308" s="663">
        <f t="shared" si="35"/>
        <v>1.3438019807363619E-3</v>
      </c>
      <c r="H308" s="46">
        <f t="shared" si="36"/>
        <v>3.1553276788878217</v>
      </c>
      <c r="I308" s="664">
        <f t="shared" si="37"/>
        <v>1.1602139875270521</v>
      </c>
      <c r="J308" s="210">
        <v>1.3186501197782097</v>
      </c>
      <c r="K308" s="37">
        <f t="shared" si="38"/>
        <v>2.3973427336336697E-2</v>
      </c>
      <c r="L308" s="117">
        <f t="shared" si="39"/>
        <v>2.9223607922994436E-2</v>
      </c>
      <c r="M308" s="45">
        <f t="shared" si="33"/>
        <v>1.7187622155314157E-2</v>
      </c>
    </row>
    <row r="309" spans="1:13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655">
        <f t="shared" si="34"/>
        <v>631.40000000000009</v>
      </c>
      <c r="G309" s="663">
        <f t="shared" si="35"/>
        <v>2.5773893397233868E-3</v>
      </c>
      <c r="H309" s="46">
        <f t="shared" si="36"/>
        <v>6.0518648130308952</v>
      </c>
      <c r="I309" s="664">
        <f t="shared" si="37"/>
        <v>2.2252706917514602</v>
      </c>
      <c r="J309" s="210">
        <v>2.5291484982623382</v>
      </c>
      <c r="K309" s="37">
        <f t="shared" si="38"/>
        <v>4.598062582066522E-2</v>
      </c>
      <c r="L309" s="117">
        <f t="shared" si="39"/>
        <v>5.6050382875390908E-2</v>
      </c>
      <c r="M309" s="45">
        <f t="shared" si="33"/>
        <v>1.7187622155314157E-2</v>
      </c>
    </row>
    <row r="310" spans="1:13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655">
        <f t="shared" si="34"/>
        <v>373.3</v>
      </c>
      <c r="G310" s="663">
        <f t="shared" si="35"/>
        <v>1.5238191962602791E-3</v>
      </c>
      <c r="H310" s="46">
        <f t="shared" si="36"/>
        <v>3.578018901970911</v>
      </c>
      <c r="I310" s="664">
        <f t="shared" si="37"/>
        <v>1.315637550254704</v>
      </c>
      <c r="J310" s="210">
        <v>1.4952979638918766</v>
      </c>
      <c r="K310" s="37">
        <f t="shared" si="38"/>
        <v>2.718493446128338E-2</v>
      </c>
      <c r="L310" s="117">
        <f t="shared" si="39"/>
        <v>3.3138435108304443E-2</v>
      </c>
      <c r="M310" s="45">
        <f t="shared" si="33"/>
        <v>1.7187622155314154E-2</v>
      </c>
    </row>
    <row r="311" spans="1:13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655">
        <f t="shared" si="34"/>
        <v>918.4</v>
      </c>
      <c r="G311" s="663">
        <f t="shared" si="35"/>
        <v>3.7489299486885624E-3</v>
      </c>
      <c r="H311" s="46">
        <f t="shared" si="36"/>
        <v>8.8027124553176659</v>
      </c>
      <c r="I311" s="664">
        <f t="shared" si="37"/>
        <v>3.2367573698203058</v>
      </c>
      <c r="J311" s="210">
        <v>3.6787614520179464</v>
      </c>
      <c r="K311" s="37">
        <f t="shared" si="38"/>
        <v>6.6880910284603953E-2</v>
      </c>
      <c r="L311" s="117">
        <f t="shared" si="39"/>
        <v>8.1527829636932225E-2</v>
      </c>
      <c r="M311" s="45">
        <f t="shared" si="33"/>
        <v>1.7187622155314157E-2</v>
      </c>
    </row>
    <row r="312" spans="1:13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655">
        <f t="shared" si="34"/>
        <v>778.80000000000007</v>
      </c>
      <c r="G312" s="663">
        <f t="shared" si="35"/>
        <v>3.1790795340142122E-3</v>
      </c>
      <c r="H312" s="46">
        <f t="shared" si="36"/>
        <v>7.4646694906374114</v>
      </c>
      <c r="I312" s="664">
        <f t="shared" si="37"/>
        <v>2.7447589717073764</v>
      </c>
      <c r="J312" s="210">
        <v>3.1195768933270656</v>
      </c>
      <c r="K312" s="37">
        <f t="shared" si="38"/>
        <v>5.6714778886813547E-2</v>
      </c>
      <c r="L312" s="117">
        <f t="shared" si="39"/>
        <v>6.9135315463025718E-2</v>
      </c>
      <c r="M312" s="45">
        <f t="shared" si="33"/>
        <v>1.7187622155314157E-2</v>
      </c>
    </row>
    <row r="313" spans="1:13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655">
        <f t="shared" si="34"/>
        <v>806.91</v>
      </c>
      <c r="G313" s="663">
        <f t="shared" si="35"/>
        <v>3.293825201324355E-3</v>
      </c>
      <c r="H313" s="46">
        <f t="shared" si="36"/>
        <v>7.7340992022216648</v>
      </c>
      <c r="I313" s="664">
        <f t="shared" si="37"/>
        <v>2.8438282766569065</v>
      </c>
      <c r="J313" s="210">
        <v>3.232174872874348</v>
      </c>
      <c r="K313" s="37">
        <f t="shared" si="38"/>
        <v>5.8761841591626493E-2</v>
      </c>
      <c r="L313" s="117">
        <f t="shared" si="39"/>
        <v>7.1630684900192698E-2</v>
      </c>
      <c r="M313" s="45">
        <f t="shared" si="33"/>
        <v>1.7187622155314157E-2</v>
      </c>
    </row>
    <row r="314" spans="1:13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655">
        <f t="shared" si="34"/>
        <v>805</v>
      </c>
      <c r="G314" s="663">
        <f t="shared" si="35"/>
        <v>3.2860285373413466E-3</v>
      </c>
      <c r="H314" s="46">
        <f t="shared" si="36"/>
        <v>7.7157921673897221</v>
      </c>
      <c r="I314" s="664">
        <f t="shared" si="37"/>
        <v>2.8370967799492011</v>
      </c>
      <c r="J314" s="210">
        <v>3.2245241385828036</v>
      </c>
      <c r="K314" s="37">
        <f t="shared" si="38"/>
        <v>5.8622749106169623E-2</v>
      </c>
      <c r="L314" s="117">
        <f t="shared" si="39"/>
        <v>7.1461131160420771E-2</v>
      </c>
      <c r="M314" s="45">
        <f t="shared" si="33"/>
        <v>1.7187622155314157E-2</v>
      </c>
    </row>
    <row r="315" spans="1:13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655">
        <f t="shared" si="34"/>
        <v>491.9</v>
      </c>
      <c r="G315" s="663">
        <f t="shared" si="35"/>
        <v>2.0079471273518118E-3</v>
      </c>
      <c r="H315" s="46">
        <f t="shared" si="36"/>
        <v>4.7147803318496946</v>
      </c>
      <c r="I315" s="664">
        <f t="shared" si="37"/>
        <v>1.7336247280211328</v>
      </c>
      <c r="J315" s="210">
        <v>1.9703645015762499</v>
      </c>
      <c r="K315" s="37">
        <f t="shared" si="38"/>
        <v>3.5821776751956323E-2</v>
      </c>
      <c r="L315" s="117">
        <f t="shared" si="39"/>
        <v>4.3666745860634758E-2</v>
      </c>
      <c r="M315" s="45">
        <f t="shared" si="33"/>
        <v>1.7187622155314157E-2</v>
      </c>
    </row>
    <row r="316" spans="1:13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655">
        <f t="shared" si="34"/>
        <v>640.20000000000005</v>
      </c>
      <c r="G316" s="663">
        <f t="shared" si="35"/>
        <v>2.6133111423676152E-3</v>
      </c>
      <c r="H316" s="46">
        <f t="shared" si="36"/>
        <v>6.1362113609477023</v>
      </c>
      <c r="I316" s="664">
        <f t="shared" si="37"/>
        <v>2.2562849174204702</v>
      </c>
      <c r="J316" s="210">
        <v>2.5643979546841131</v>
      </c>
      <c r="K316" s="37">
        <f t="shared" si="38"/>
        <v>4.6621470779838255E-2</v>
      </c>
      <c r="L316" s="117">
        <f t="shared" si="39"/>
        <v>5.6831572880622835E-2</v>
      </c>
      <c r="M316" s="45">
        <f t="shared" si="33"/>
        <v>1.7187622155314157E-2</v>
      </c>
    </row>
    <row r="317" spans="1:13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655">
        <f t="shared" si="34"/>
        <v>537.94000000000005</v>
      </c>
      <c r="G317" s="663">
        <f t="shared" si="35"/>
        <v>2.1958834675495703E-3</v>
      </c>
      <c r="H317" s="46">
        <f t="shared" si="36"/>
        <v>5.1560661348144441</v>
      </c>
      <c r="I317" s="664">
        <f t="shared" si="37"/>
        <v>1.8958855177712712</v>
      </c>
      <c r="J317" s="210">
        <v>2.1547832485828988</v>
      </c>
      <c r="K317" s="37">
        <f t="shared" si="38"/>
        <v>3.9174561061084336E-2</v>
      </c>
      <c r="L317" s="117">
        <f t="shared" si="39"/>
        <v>4.7753789933461806E-2</v>
      </c>
      <c r="M317" s="45">
        <f t="shared" si="33"/>
        <v>1.7187622155314154E-2</v>
      </c>
    </row>
    <row r="318" spans="1:13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655">
        <f t="shared" si="34"/>
        <v>929.9</v>
      </c>
      <c r="G318" s="663">
        <f t="shared" si="35"/>
        <v>3.7958732135077245E-3</v>
      </c>
      <c r="H318" s="46">
        <f t="shared" si="36"/>
        <v>8.9129380577089474</v>
      </c>
      <c r="I318" s="664">
        <f t="shared" si="37"/>
        <v>3.2772873238195803</v>
      </c>
      <c r="J318" s="210">
        <v>3.7248260825691291</v>
      </c>
      <c r="K318" s="37">
        <f t="shared" si="38"/>
        <v>6.771837812897781E-2</v>
      </c>
      <c r="L318" s="117">
        <f t="shared" si="39"/>
        <v>8.254870293922395E-2</v>
      </c>
      <c r="M318" s="45">
        <f t="shared" si="33"/>
        <v>1.7187622155314157E-2</v>
      </c>
    </row>
    <row r="319" spans="1:13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655">
        <f t="shared" si="34"/>
        <v>1417.36</v>
      </c>
      <c r="G319" s="663">
        <f t="shared" si="35"/>
        <v>5.7856961586163118E-3</v>
      </c>
      <c r="H319" s="46">
        <f t="shared" si="36"/>
        <v>13.585161722200617</v>
      </c>
      <c r="I319" s="664">
        <f t="shared" si="37"/>
        <v>4.9952639652531676</v>
      </c>
      <c r="J319" s="210">
        <v>5.677405631132574</v>
      </c>
      <c r="K319" s="37">
        <f t="shared" si="38"/>
        <v>0.103216819469715</v>
      </c>
      <c r="L319" s="117">
        <f t="shared" si="39"/>
        <v>0.1258213029335826</v>
      </c>
      <c r="M319" s="45">
        <f t="shared" si="33"/>
        <v>1.7187622155314157E-2</v>
      </c>
    </row>
    <row r="320" spans="1:13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655">
        <f t="shared" si="34"/>
        <v>785.9799999999999</v>
      </c>
      <c r="G320" s="663">
        <f t="shared" si="35"/>
        <v>3.2083884593534797E-3</v>
      </c>
      <c r="H320" s="46">
        <f t="shared" si="36"/>
        <v>7.5334886058695316</v>
      </c>
      <c r="I320" s="664">
        <f t="shared" si="37"/>
        <v>2.770063760378227</v>
      </c>
      <c r="J320" s="210">
        <v>3.1483372452711946</v>
      </c>
      <c r="K320" s="37">
        <f t="shared" si="38"/>
        <v>5.7237650114866076E-2</v>
      </c>
      <c r="L320" s="117">
        <f t="shared" si="39"/>
        <v>6.9772695490021755E-2</v>
      </c>
      <c r="M320" s="45">
        <f t="shared" si="33"/>
        <v>1.7187622155314154E-2</v>
      </c>
    </row>
    <row r="321" spans="1:13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655">
        <f t="shared" si="34"/>
        <v>485.67999999999995</v>
      </c>
      <c r="G321" s="663">
        <f t="shared" si="35"/>
        <v>1.9825569441191864E-3</v>
      </c>
      <c r="H321" s="46">
        <f t="shared" si="36"/>
        <v>4.6551626582084964</v>
      </c>
      <c r="I321" s="664">
        <f t="shared" si="37"/>
        <v>1.7117033094232643</v>
      </c>
      <c r="J321" s="210">
        <v>1.9454495448781315</v>
      </c>
      <c r="K321" s="37">
        <f t="shared" si="38"/>
        <v>3.5368815883086283E-2</v>
      </c>
      <c r="L321" s="117">
        <f t="shared" si="39"/>
        <v>4.3114586561482184E-2</v>
      </c>
      <c r="M321" s="45">
        <f t="shared" si="33"/>
        <v>1.7187622155314157E-2</v>
      </c>
    </row>
    <row r="322" spans="1:13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655">
        <f t="shared" si="34"/>
        <v>461.17</v>
      </c>
      <c r="G322" s="663">
        <f t="shared" si="35"/>
        <v>1.8825065597089551E-3</v>
      </c>
      <c r="H322" s="46">
        <f t="shared" si="36"/>
        <v>4.4202383525902089</v>
      </c>
      <c r="I322" s="664">
        <f t="shared" si="37"/>
        <v>1.6253216422474199</v>
      </c>
      <c r="J322" s="210">
        <v>1.8472717975033932</v>
      </c>
      <c r="K322" s="37">
        <f t="shared" si="38"/>
        <v>3.3583917025207757E-2</v>
      </c>
      <c r="L322" s="117">
        <f t="shared" si="39"/>
        <v>4.0938794853728262E-2</v>
      </c>
      <c r="M322" s="45">
        <f t="shared" si="33"/>
        <v>1.7187622155314157E-2</v>
      </c>
    </row>
    <row r="323" spans="1:13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655">
        <f t="shared" si="34"/>
        <v>305.37</v>
      </c>
      <c r="G323" s="663">
        <f t="shared" si="35"/>
        <v>1.2465273719850026E-3</v>
      </c>
      <c r="H323" s="46">
        <f t="shared" si="36"/>
        <v>2.9269210610631049</v>
      </c>
      <c r="I323" s="664">
        <f t="shared" si="37"/>
        <v>1.0762288741529038</v>
      </c>
      <c r="J323" s="210">
        <v>1.2231961940360632</v>
      </c>
      <c r="K323" s="37">
        <f t="shared" si="38"/>
        <v>2.2238048316212445E-2</v>
      </c>
      <c r="L323" s="117">
        <f t="shared" si="39"/>
        <v>2.7108180897462971E-2</v>
      </c>
      <c r="M323" s="45">
        <f t="shared" si="33"/>
        <v>1.7187622155314157E-2</v>
      </c>
    </row>
    <row r="324" spans="1:13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655">
        <f t="shared" si="34"/>
        <v>170.8</v>
      </c>
      <c r="G324" s="663">
        <f t="shared" si="35"/>
        <v>6.9720953314025098E-4</v>
      </c>
      <c r="H324" s="46">
        <f t="shared" si="36"/>
        <v>1.6370898163852976</v>
      </c>
      <c r="I324" s="664">
        <f t="shared" si="37"/>
        <v>0.60195792548487392</v>
      </c>
      <c r="J324" s="210">
        <v>0.68415990418626449</v>
      </c>
      <c r="K324" s="37">
        <f t="shared" si="38"/>
        <v>1.2438218071222078E-2</v>
      </c>
      <c r="L324" s="117">
        <f t="shared" si="39"/>
        <v>1.5162187828819713E-2</v>
      </c>
      <c r="M324" s="45">
        <f t="shared" si="33"/>
        <v>1.7187622155314157E-2</v>
      </c>
    </row>
    <row r="325" spans="1:13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655">
        <f t="shared" si="34"/>
        <v>678.2</v>
      </c>
      <c r="G325" s="663">
        <f t="shared" si="35"/>
        <v>2.7684280174222376E-3</v>
      </c>
      <c r="H325" s="46">
        <f t="shared" si="36"/>
        <v>6.5004350905884589</v>
      </c>
      <c r="I325" s="664">
        <f t="shared" si="37"/>
        <v>2.3902099828093766</v>
      </c>
      <c r="J325" s="210">
        <v>2.716611516505413</v>
      </c>
      <c r="K325" s="37">
        <f t="shared" si="38"/>
        <v>4.9388755830812717E-2</v>
      </c>
      <c r="L325" s="117">
        <f t="shared" si="39"/>
        <v>6.0204893357760705E-2</v>
      </c>
      <c r="M325" s="45">
        <f t="shared" si="33"/>
        <v>1.7187622155314157E-2</v>
      </c>
    </row>
    <row r="326" spans="1:13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655">
        <f t="shared" si="34"/>
        <v>2613.27</v>
      </c>
      <c r="G326" s="663">
        <f t="shared" si="35"/>
        <v>1.0667428317736672E-2</v>
      </c>
      <c r="H326" s="46">
        <f t="shared" si="36"/>
        <v>25.047761735744768</v>
      </c>
      <c r="I326" s="664">
        <f t="shared" si="37"/>
        <v>9.2100619902333509</v>
      </c>
      <c r="J326" s="210">
        <v>10.467766702651284</v>
      </c>
      <c r="K326" s="37">
        <f t="shared" si="38"/>
        <v>0.19030692118842221</v>
      </c>
      <c r="L326" s="117">
        <f t="shared" si="39"/>
        <v>0.23198413692868669</v>
      </c>
      <c r="M326" s="45">
        <f t="shared" si="33"/>
        <v>1.7187622155314157E-2</v>
      </c>
    </row>
    <row r="327" spans="1:13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655">
        <f t="shared" si="34"/>
        <v>2055.4499999999998</v>
      </c>
      <c r="G327" s="663">
        <f t="shared" si="35"/>
        <v>8.3903942323953675E-3</v>
      </c>
      <c r="H327" s="46">
        <f t="shared" si="36"/>
        <v>19.701149081318267</v>
      </c>
      <c r="I327" s="664">
        <f t="shared" si="37"/>
        <v>7.244112517200727</v>
      </c>
      <c r="J327" s="210">
        <v>8.2333517275155561</v>
      </c>
      <c r="K327" s="37">
        <f t="shared" si="38"/>
        <v>0.14968463310593336</v>
      </c>
      <c r="L327" s="117">
        <f t="shared" si="39"/>
        <v>0.18246556775613276</v>
      </c>
      <c r="M327" s="45">
        <f t="shared" ref="M327:M390" si="40">(K327+J327+I327+H327)/F327</f>
        <v>1.718762215531416E-2</v>
      </c>
    </row>
    <row r="328" spans="1:13" s="6" customFormat="1" ht="15.75">
      <c r="A328" s="268">
        <v>237</v>
      </c>
      <c r="B328" s="122" t="s">
        <v>1280</v>
      </c>
      <c r="C328" s="55">
        <v>3486.96</v>
      </c>
      <c r="D328" s="256"/>
      <c r="E328" s="256"/>
      <c r="F328" s="655">
        <f t="shared" si="34"/>
        <v>3486.96</v>
      </c>
      <c r="G328" s="663">
        <f t="shared" si="35"/>
        <v>1.4233851016854388E-2</v>
      </c>
      <c r="H328" s="46">
        <f t="shared" si="36"/>
        <v>33.421936218635111</v>
      </c>
      <c r="I328" s="664">
        <f t="shared" si="37"/>
        <v>12.28924594759213</v>
      </c>
      <c r="J328" s="210">
        <v>13.967436882326327</v>
      </c>
      <c r="K328" s="37">
        <f t="shared" si="38"/>
        <v>0.25393190214068229</v>
      </c>
      <c r="L328" s="117">
        <f t="shared" si="39"/>
        <v>0.30954298870949171</v>
      </c>
      <c r="M328" s="45">
        <f t="shared" si="40"/>
        <v>1.7187622155314157E-2</v>
      </c>
    </row>
    <row r="329" spans="1:13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655">
        <f t="shared" si="34"/>
        <v>394.94</v>
      </c>
      <c r="G329" s="663">
        <f t="shared" si="35"/>
        <v>1.6121541745808589E-3</v>
      </c>
      <c r="H329" s="46">
        <f t="shared" si="36"/>
        <v>3.7854347311663314</v>
      </c>
      <c r="I329" s="664">
        <f t="shared" si="37"/>
        <v>1.3919043506498601</v>
      </c>
      <c r="J329" s="210">
        <v>1.5819795817290589</v>
      </c>
      <c r="K329" s="37">
        <f t="shared" si="38"/>
        <v>2.8760830474522523E-2</v>
      </c>
      <c r="L329" s="117">
        <f t="shared" si="39"/>
        <v>3.505945234844296E-2</v>
      </c>
      <c r="M329" s="45">
        <f t="shared" si="40"/>
        <v>1.7187622155314157E-2</v>
      </c>
    </row>
    <row r="330" spans="1:13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655">
        <f t="shared" si="34"/>
        <v>351.67</v>
      </c>
      <c r="G330" s="663">
        <f t="shared" si="35"/>
        <v>1.4355250381699769E-3</v>
      </c>
      <c r="H330" s="46">
        <f t="shared" si="36"/>
        <v>3.3706989211253959</v>
      </c>
      <c r="I330" s="664">
        <f t="shared" si="37"/>
        <v>1.2394059932978081</v>
      </c>
      <c r="J330" s="210">
        <v>1.4086564022551733</v>
      </c>
      <c r="K330" s="37">
        <f t="shared" si="38"/>
        <v>2.5609766680952387E-2</v>
      </c>
      <c r="L330" s="117">
        <f t="shared" si="39"/>
        <v>3.1218305584080962E-2</v>
      </c>
      <c r="M330" s="45">
        <f t="shared" si="40"/>
        <v>1.7187622155314157E-2</v>
      </c>
    </row>
    <row r="331" spans="1:13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655">
        <f t="shared" si="34"/>
        <v>615.6</v>
      </c>
      <c r="G331" s="663">
        <f t="shared" si="35"/>
        <v>2.5128933758848857E-3</v>
      </c>
      <c r="H331" s="46">
        <f t="shared" si="36"/>
        <v>5.9004244201802649</v>
      </c>
      <c r="I331" s="664">
        <f t="shared" si="37"/>
        <v>2.1695860593002836</v>
      </c>
      <c r="J331" s="210">
        <v>2.4658597015050612</v>
      </c>
      <c r="K331" s="37">
        <f t="shared" si="38"/>
        <v>4.4830017825786363E-2</v>
      </c>
      <c r="L331" s="117">
        <f t="shared" si="39"/>
        <v>5.4647791729633577E-2</v>
      </c>
      <c r="M331" s="45">
        <f t="shared" si="40"/>
        <v>1.7187622155314157E-2</v>
      </c>
    </row>
    <row r="332" spans="1:13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655">
        <f t="shared" si="34"/>
        <v>571.49</v>
      </c>
      <c r="G332" s="663">
        <f t="shared" si="35"/>
        <v>2.3328353401306911E-3</v>
      </c>
      <c r="H332" s="46">
        <f t="shared" si="36"/>
        <v>5.4776373487472707</v>
      </c>
      <c r="I332" s="664">
        <f t="shared" si="37"/>
        <v>2.0141272531343715</v>
      </c>
      <c r="J332" s="210">
        <v>2.289171801190915</v>
      </c>
      <c r="K332" s="37">
        <f t="shared" si="38"/>
        <v>4.1617782467931526E-2</v>
      </c>
      <c r="L332" s="117">
        <f t="shared" si="39"/>
        <v>5.073207682840853E-2</v>
      </c>
      <c r="M332" s="45">
        <f t="shared" si="40"/>
        <v>1.7187622155314157E-2</v>
      </c>
    </row>
    <row r="333" spans="1:13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655">
        <f t="shared" si="34"/>
        <v>339.26</v>
      </c>
      <c r="G333" s="663">
        <f t="shared" si="35"/>
        <v>1.3848671323955593E-3</v>
      </c>
      <c r="H333" s="46">
        <f t="shared" si="36"/>
        <v>3.2517511188927166</v>
      </c>
      <c r="I333" s="664">
        <f t="shared" si="37"/>
        <v>1.1956688864168521</v>
      </c>
      <c r="J333" s="210">
        <v>1.3589466574603752</v>
      </c>
      <c r="K333" s="37">
        <f t="shared" si="38"/>
        <v>2.4706029641936779E-2</v>
      </c>
      <c r="L333" s="117">
        <f t="shared" si="39"/>
        <v>3.0116650133520936E-2</v>
      </c>
      <c r="M333" s="45">
        <f t="shared" si="40"/>
        <v>1.7187622155314157E-2</v>
      </c>
    </row>
    <row r="334" spans="1:13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655">
        <f t="shared" si="34"/>
        <v>364.76</v>
      </c>
      <c r="G334" s="663">
        <f t="shared" si="35"/>
        <v>1.4889587196032666E-3</v>
      </c>
      <c r="H334" s="46">
        <f t="shared" si="36"/>
        <v>3.4961644111516459</v>
      </c>
      <c r="I334" s="664">
        <f t="shared" si="37"/>
        <v>1.2855396539804602</v>
      </c>
      <c r="J334" s="210">
        <v>1.4610899686825634</v>
      </c>
      <c r="K334" s="37">
        <f t="shared" si="38"/>
        <v>2.6563023557722276E-2</v>
      </c>
      <c r="L334" s="117">
        <f t="shared" si="39"/>
        <v>3.2380325716863459E-2</v>
      </c>
      <c r="M334" s="45">
        <f t="shared" si="40"/>
        <v>1.718762215531416E-2</v>
      </c>
    </row>
    <row r="335" spans="1:13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655">
        <f t="shared" ref="F335:F379" si="41">C335+D335+E335</f>
        <v>329.3</v>
      </c>
      <c r="G335" s="663">
        <f t="shared" si="35"/>
        <v>1.3442101830391372E-3</v>
      </c>
      <c r="H335" s="46">
        <f t="shared" si="36"/>
        <v>3.1562861623868765</v>
      </c>
      <c r="I335" s="664">
        <f t="shared" si="37"/>
        <v>1.1605664219096545</v>
      </c>
      <c r="J335" s="210">
        <v>1.3190506817830028</v>
      </c>
      <c r="K335" s="37">
        <f t="shared" si="38"/>
        <v>2.3980709665418206E-2</v>
      </c>
      <c r="L335" s="117">
        <f t="shared" si="39"/>
        <v>2.9232485082144793E-2</v>
      </c>
      <c r="M335" s="45">
        <f t="shared" si="40"/>
        <v>1.7187622155314157E-2</v>
      </c>
    </row>
    <row r="336" spans="1:13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655">
        <f t="shared" si="41"/>
        <v>445.65</v>
      </c>
      <c r="G336" s="663">
        <f t="shared" si="35"/>
        <v>1.819153562318225E-3</v>
      </c>
      <c r="H336" s="46">
        <f t="shared" si="36"/>
        <v>4.2714817135369314</v>
      </c>
      <c r="I336" s="664">
        <f t="shared" si="37"/>
        <v>1.5706238260675298</v>
      </c>
      <c r="J336" s="210">
        <v>1.785104574359536</v>
      </c>
      <c r="K336" s="37">
        <f t="shared" si="38"/>
        <v>3.2453699551757136E-2</v>
      </c>
      <c r="L336" s="117">
        <f t="shared" si="39"/>
        <v>3.9561059753591948E-2</v>
      </c>
      <c r="M336" s="45">
        <f t="shared" si="40"/>
        <v>1.7187622155314157E-2</v>
      </c>
    </row>
    <row r="337" spans="1:13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655">
        <f t="shared" si="41"/>
        <v>515.54999999999995</v>
      </c>
      <c r="G337" s="663">
        <f t="shared" si="35"/>
        <v>2.1044869719581754E-3</v>
      </c>
      <c r="H337" s="46">
        <f t="shared" si="36"/>
        <v>4.941461679376113</v>
      </c>
      <c r="I337" s="664">
        <f t="shared" si="37"/>
        <v>1.816975459506597</v>
      </c>
      <c r="J337" s="210">
        <v>2.065097415709769</v>
      </c>
      <c r="K337" s="37">
        <f t="shared" si="38"/>
        <v>3.7544047579733848E-2</v>
      </c>
      <c r="L337" s="117">
        <f t="shared" si="39"/>
        <v>4.5766193999695566E-2</v>
      </c>
      <c r="M337" s="45">
        <f t="shared" si="40"/>
        <v>1.7187622155314157E-2</v>
      </c>
    </row>
    <row r="338" spans="1:13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655">
        <f t="shared" si="41"/>
        <v>969.83999999999992</v>
      </c>
      <c r="G338" s="663">
        <f t="shared" si="35"/>
        <v>3.9589092132361883E-3</v>
      </c>
      <c r="H338" s="46">
        <f t="shared" si="36"/>
        <v>9.2957563672313643</v>
      </c>
      <c r="I338" s="664">
        <f t="shared" si="37"/>
        <v>3.4180496162309728</v>
      </c>
      <c r="J338" s="210">
        <v>3.8848105472834109</v>
      </c>
      <c r="K338" s="37">
        <f t="shared" si="38"/>
        <v>7.0626940364133597E-2</v>
      </c>
      <c r="L338" s="117">
        <f t="shared" si="39"/>
        <v>8.6094240303878855E-2</v>
      </c>
      <c r="M338" s="45">
        <f t="shared" si="40"/>
        <v>1.7187622155314157E-2</v>
      </c>
    </row>
    <row r="339" spans="1:13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655">
        <f t="shared" si="41"/>
        <v>505.24</v>
      </c>
      <c r="G339" s="663">
        <f t="shared" si="35"/>
        <v>2.0624013145420397E-3</v>
      </c>
      <c r="H339" s="46">
        <f t="shared" si="36"/>
        <v>4.8426420306235816</v>
      </c>
      <c r="I339" s="664">
        <f t="shared" si="37"/>
        <v>1.7806394746602912</v>
      </c>
      <c r="J339" s="210">
        <v>2.0237994730156221</v>
      </c>
      <c r="K339" s="37">
        <f t="shared" si="38"/>
        <v>3.6793239451429989E-2</v>
      </c>
      <c r="L339" s="117">
        <f t="shared" si="39"/>
        <v>4.4850958891293161E-2</v>
      </c>
      <c r="M339" s="45">
        <f t="shared" si="40"/>
        <v>1.718762215531416E-2</v>
      </c>
    </row>
    <row r="340" spans="1:13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655">
        <f t="shared" si="41"/>
        <v>497.67999999999995</v>
      </c>
      <c r="G340" s="663">
        <f t="shared" si="35"/>
        <v>2.031541220452225E-3</v>
      </c>
      <c r="H340" s="46">
        <f t="shared" si="36"/>
        <v>4.7701806780950511</v>
      </c>
      <c r="I340" s="664">
        <f t="shared" si="37"/>
        <v>1.7539954353355505</v>
      </c>
      <c r="J340" s="210">
        <v>1.9935169854532788</v>
      </c>
      <c r="K340" s="37">
        <f t="shared" si="38"/>
        <v>3.6242695372867693E-2</v>
      </c>
      <c r="L340" s="117">
        <f t="shared" si="39"/>
        <v>4.4179845659525721E-2</v>
      </c>
      <c r="M340" s="45">
        <f t="shared" si="40"/>
        <v>1.7187622155314157E-2</v>
      </c>
    </row>
    <row r="341" spans="1:13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655">
        <f t="shared" si="41"/>
        <v>244.79999999999998</v>
      </c>
      <c r="G341" s="663">
        <f t="shared" si="35"/>
        <v>9.9927923719398955E-4</v>
      </c>
      <c r="H341" s="46">
        <f t="shared" si="36"/>
        <v>2.3463676056857192</v>
      </c>
      <c r="I341" s="664">
        <f t="shared" si="37"/>
        <v>0.86275936861063907</v>
      </c>
      <c r="J341" s="210">
        <v>0.98057578773300658</v>
      </c>
      <c r="K341" s="37">
        <f t="shared" si="38"/>
        <v>1.7827141591540772E-2</v>
      </c>
      <c r="L341" s="117">
        <f t="shared" si="39"/>
        <v>2.1731285600088204E-2</v>
      </c>
      <c r="M341" s="45">
        <f t="shared" si="40"/>
        <v>1.7187622155314157E-2</v>
      </c>
    </row>
    <row r="342" spans="1:13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655">
        <f t="shared" si="41"/>
        <v>607.48</v>
      </c>
      <c r="G342" s="663">
        <f t="shared" si="35"/>
        <v>2.4797473488995295E-3</v>
      </c>
      <c r="H342" s="46">
        <f t="shared" si="36"/>
        <v>5.8225955600570289</v>
      </c>
      <c r="I342" s="664">
        <f t="shared" si="37"/>
        <v>2.1409683874329697</v>
      </c>
      <c r="J342" s="210">
        <v>2.4333340667158776</v>
      </c>
      <c r="K342" s="37">
        <f t="shared" si="38"/>
        <v>4.4238692704367609E-2</v>
      </c>
      <c r="L342" s="117">
        <f t="shared" si="39"/>
        <v>5.3926966406624116E-2</v>
      </c>
      <c r="M342" s="45">
        <f t="shared" si="40"/>
        <v>1.7187622155314154E-2</v>
      </c>
    </row>
    <row r="343" spans="1:13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655">
        <f t="shared" si="41"/>
        <v>480.34999999999997</v>
      </c>
      <c r="G343" s="663">
        <f t="shared" si="35"/>
        <v>1.9607997613812619E-3</v>
      </c>
      <c r="H343" s="46">
        <f t="shared" si="36"/>
        <v>4.6040754877088856</v>
      </c>
      <c r="I343" s="664">
        <f t="shared" si="37"/>
        <v>1.6929185568305574</v>
      </c>
      <c r="J343" s="210">
        <v>1.9240995900226705</v>
      </c>
      <c r="K343" s="37">
        <f t="shared" si="38"/>
        <v>3.4980667743041712E-2</v>
      </c>
      <c r="L343" s="117">
        <f t="shared" si="39"/>
        <v>4.2641433978767851E-2</v>
      </c>
      <c r="M343" s="45">
        <f t="shared" si="40"/>
        <v>1.7187622155314157E-2</v>
      </c>
    </row>
    <row r="344" spans="1:13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655">
        <f t="shared" si="41"/>
        <v>1165.33</v>
      </c>
      <c r="G344" s="663">
        <f t="shared" si="35"/>
        <v>4.7569038949316659E-3</v>
      </c>
      <c r="H344" s="46">
        <f t="shared" si="36"/>
        <v>11.169495759533246</v>
      </c>
      <c r="I344" s="664">
        <f t="shared" si="37"/>
        <v>4.1070235907803747</v>
      </c>
      <c r="J344" s="210">
        <v>4.6678692104530413</v>
      </c>
      <c r="K344" s="37">
        <f t="shared" si="38"/>
        <v>8.4863165485580913E-2</v>
      </c>
      <c r="L344" s="117">
        <f t="shared" si="39"/>
        <v>0.10344819872692314</v>
      </c>
      <c r="M344" s="45">
        <f t="shared" si="40"/>
        <v>1.7187622155314154E-2</v>
      </c>
    </row>
    <row r="345" spans="1:13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655">
        <f t="shared" si="41"/>
        <v>1416.02</v>
      </c>
      <c r="G345" s="663">
        <f t="shared" si="35"/>
        <v>5.7802262477591225E-3</v>
      </c>
      <c r="H345" s="46">
        <f t="shared" si="36"/>
        <v>13.572318043313285</v>
      </c>
      <c r="I345" s="664">
        <f t="shared" si="37"/>
        <v>4.9905413445262949</v>
      </c>
      <c r="J345" s="210">
        <v>5.6720381002683498</v>
      </c>
      <c r="K345" s="37">
        <f t="shared" si="38"/>
        <v>0.10311923626002274</v>
      </c>
      <c r="L345" s="117">
        <f t="shared" si="39"/>
        <v>0.12570234900096774</v>
      </c>
      <c r="M345" s="45">
        <f t="shared" si="40"/>
        <v>1.7187622155314157E-2</v>
      </c>
    </row>
    <row r="346" spans="1:13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655">
        <f t="shared" si="41"/>
        <v>1501.81</v>
      </c>
      <c r="G346" s="663">
        <f t="shared" si="35"/>
        <v>6.1304230033100713E-3</v>
      </c>
      <c r="H346" s="46">
        <f t="shared" si="36"/>
        <v>14.394601037152245</v>
      </c>
      <c r="I346" s="664">
        <f t="shared" si="37"/>
        <v>5.2928948013608812</v>
      </c>
      <c r="J346" s="210">
        <v>6.0156802441801736</v>
      </c>
      <c r="K346" s="37">
        <f t="shared" si="38"/>
        <v>0.10936674637905167</v>
      </c>
      <c r="L346" s="117">
        <f t="shared" si="39"/>
        <v>0.13331806383606398</v>
      </c>
      <c r="M346" s="45">
        <f t="shared" si="40"/>
        <v>1.7187622155314157E-2</v>
      </c>
    </row>
    <row r="347" spans="1:13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655">
        <f t="shared" si="41"/>
        <v>970</v>
      </c>
      <c r="G347" s="663">
        <f t="shared" si="35"/>
        <v>3.9595623369206292E-3</v>
      </c>
      <c r="H347" s="46">
        <f t="shared" si="36"/>
        <v>9.2972899408298524</v>
      </c>
      <c r="I347" s="664">
        <f t="shared" si="37"/>
        <v>3.4186135112431368</v>
      </c>
      <c r="J347" s="210">
        <v>3.8854514464910803</v>
      </c>
      <c r="K347" s="37">
        <f t="shared" si="38"/>
        <v>7.0638592090664018E-2</v>
      </c>
      <c r="L347" s="117">
        <f t="shared" si="39"/>
        <v>8.6108443758519448E-2</v>
      </c>
      <c r="M347" s="45">
        <f t="shared" si="40"/>
        <v>1.718762215531416E-2</v>
      </c>
    </row>
    <row r="348" spans="1:13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655">
        <f t="shared" si="41"/>
        <v>2158</v>
      </c>
      <c r="G348" s="663">
        <f t="shared" ref="G348:G382" si="42">1/244976.57*F348</f>
        <v>8.8090056938914616E-3</v>
      </c>
      <c r="H348" s="46">
        <f t="shared" ref="H348:H383" si="43">G348*2348.06</f>
        <v>20.684073909598784</v>
      </c>
      <c r="I348" s="664">
        <f t="shared" ref="I348:I379" si="44">H348*0.3677</f>
        <v>7.6055339765594736</v>
      </c>
      <c r="J348" s="210">
        <v>8.6441280634306707</v>
      </c>
      <c r="K348" s="37">
        <f t="shared" ref="K348:K379" si="45">G348*17.84</f>
        <v>0.15715266157902366</v>
      </c>
      <c r="L348" s="117">
        <f t="shared" si="39"/>
        <v>0.19156909446482986</v>
      </c>
      <c r="M348" s="45">
        <f t="shared" si="40"/>
        <v>1.718762215531416E-2</v>
      </c>
    </row>
    <row r="349" spans="1:13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655">
        <f t="shared" si="41"/>
        <v>729.1</v>
      </c>
      <c r="G349" s="663">
        <f t="shared" si="42"/>
        <v>2.9762029895348771E-3</v>
      </c>
      <c r="H349" s="46">
        <f t="shared" si="43"/>
        <v>6.9883031916072635</v>
      </c>
      <c r="I349" s="664">
        <f t="shared" si="44"/>
        <v>2.569599083553991</v>
      </c>
      <c r="J349" s="210">
        <v>2.9204975769449963</v>
      </c>
      <c r="K349" s="37">
        <f t="shared" si="45"/>
        <v>5.3095461333302209E-2</v>
      </c>
      <c r="L349" s="117">
        <f t="shared" ref="L349:L412" si="46">K349*1.219</f>
        <v>6.4723367365295395E-2</v>
      </c>
      <c r="M349" s="45">
        <f t="shared" si="40"/>
        <v>1.7187622155314157E-2</v>
      </c>
    </row>
    <row r="350" spans="1:13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655">
        <f t="shared" si="41"/>
        <v>1052.04</v>
      </c>
      <c r="G350" s="663">
        <f t="shared" si="42"/>
        <v>4.2944515061175033E-3</v>
      </c>
      <c r="H350" s="46">
        <f t="shared" si="43"/>
        <v>10.083629803454265</v>
      </c>
      <c r="I350" s="664">
        <f t="shared" si="44"/>
        <v>3.7077506787301338</v>
      </c>
      <c r="J350" s="210">
        <v>4.2140725152231706</v>
      </c>
      <c r="K350" s="37">
        <f t="shared" si="45"/>
        <v>7.6613014869136256E-2</v>
      </c>
      <c r="L350" s="117">
        <f t="shared" si="46"/>
        <v>9.3391265125477102E-2</v>
      </c>
      <c r="M350" s="45">
        <f t="shared" si="40"/>
        <v>1.7187622155314157E-2</v>
      </c>
    </row>
    <row r="351" spans="1:13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655">
        <f t="shared" si="41"/>
        <v>608.6</v>
      </c>
      <c r="G351" s="663">
        <f t="shared" si="42"/>
        <v>2.484319214690613E-3</v>
      </c>
      <c r="H351" s="46">
        <f t="shared" si="43"/>
        <v>5.8333305752464408</v>
      </c>
      <c r="I351" s="664">
        <f t="shared" si="44"/>
        <v>2.1449156525181166</v>
      </c>
      <c r="J351" s="210">
        <v>2.4378203611695586</v>
      </c>
      <c r="K351" s="37">
        <f t="shared" si="45"/>
        <v>4.4320254790080532E-2</v>
      </c>
      <c r="L351" s="117">
        <f t="shared" si="46"/>
        <v>5.4026390589108172E-2</v>
      </c>
      <c r="M351" s="45">
        <f t="shared" si="40"/>
        <v>1.7187622155314157E-2</v>
      </c>
    </row>
    <row r="352" spans="1:13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655">
        <f t="shared" si="41"/>
        <v>415.8</v>
      </c>
      <c r="G352" s="663">
        <f t="shared" si="42"/>
        <v>1.6973051749397912E-3</v>
      </c>
      <c r="H352" s="46">
        <f t="shared" si="43"/>
        <v>3.985374389069126</v>
      </c>
      <c r="I352" s="664">
        <f t="shared" si="44"/>
        <v>1.4654221628607178</v>
      </c>
      <c r="J352" s="210">
        <v>1.6655368159288568</v>
      </c>
      <c r="K352" s="37">
        <f t="shared" si="45"/>
        <v>3.0279924320925876E-2</v>
      </c>
      <c r="L352" s="117">
        <f t="shared" si="46"/>
        <v>3.6911227747208647E-2</v>
      </c>
      <c r="M352" s="45">
        <f t="shared" si="40"/>
        <v>1.7187622155314157E-2</v>
      </c>
    </row>
    <row r="353" spans="1:13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655">
        <f t="shared" si="41"/>
        <v>460.4</v>
      </c>
      <c r="G353" s="663">
        <f t="shared" si="42"/>
        <v>1.8793634019775849E-3</v>
      </c>
      <c r="H353" s="46">
        <f t="shared" si="43"/>
        <v>4.412858029647488</v>
      </c>
      <c r="I353" s="664">
        <f t="shared" si="44"/>
        <v>1.6226078975013813</v>
      </c>
      <c r="J353" s="210">
        <v>1.844187470066488</v>
      </c>
      <c r="K353" s="37">
        <f t="shared" si="45"/>
        <v>3.3527843091280117E-2</v>
      </c>
      <c r="L353" s="117">
        <f t="shared" si="46"/>
        <v>4.0870440728270466E-2</v>
      </c>
      <c r="M353" s="45">
        <f t="shared" si="40"/>
        <v>1.7187622155314157E-2</v>
      </c>
    </row>
    <row r="354" spans="1:13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655">
        <f t="shared" si="41"/>
        <v>573</v>
      </c>
      <c r="G354" s="663">
        <f t="shared" si="42"/>
        <v>2.3389991949025984E-3</v>
      </c>
      <c r="H354" s="46">
        <f t="shared" si="43"/>
        <v>5.4921104495829951</v>
      </c>
      <c r="I354" s="664">
        <f t="shared" si="44"/>
        <v>2.0194490123116675</v>
      </c>
      <c r="J354" s="210">
        <v>2.2952202874632874</v>
      </c>
      <c r="K354" s="37">
        <f t="shared" si="45"/>
        <v>4.1727745637062358E-2</v>
      </c>
      <c r="L354" s="117">
        <f t="shared" si="46"/>
        <v>5.0866121931579016E-2</v>
      </c>
      <c r="M354" s="45">
        <f t="shared" si="40"/>
        <v>1.7187622155314157E-2</v>
      </c>
    </row>
    <row r="355" spans="1:13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655">
        <f t="shared" si="41"/>
        <v>791.22</v>
      </c>
      <c r="G355" s="663">
        <f t="shared" si="42"/>
        <v>3.2297782600189074E-3</v>
      </c>
      <c r="H355" s="46">
        <f t="shared" si="43"/>
        <v>7.5837131412199952</v>
      </c>
      <c r="I355" s="664">
        <f t="shared" si="44"/>
        <v>2.7885313220265924</v>
      </c>
      <c r="J355" s="210">
        <v>3.169326694322343</v>
      </c>
      <c r="K355" s="37">
        <f t="shared" si="45"/>
        <v>5.7619244158737308E-2</v>
      </c>
      <c r="L355" s="117">
        <f t="shared" si="46"/>
        <v>7.0237858629500785E-2</v>
      </c>
      <c r="M355" s="45">
        <f t="shared" si="40"/>
        <v>1.7187622155314157E-2</v>
      </c>
    </row>
    <row r="356" spans="1:13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655">
        <f t="shared" si="41"/>
        <v>765.5</v>
      </c>
      <c r="G356" s="663">
        <f t="shared" si="42"/>
        <v>3.1247886277450941E-3</v>
      </c>
      <c r="H356" s="46">
        <f t="shared" si="43"/>
        <v>7.3371911852631451</v>
      </c>
      <c r="I356" s="664">
        <f t="shared" si="44"/>
        <v>2.6978851988212584</v>
      </c>
      <c r="J356" s="210">
        <v>3.0663021466896101</v>
      </c>
      <c r="K356" s="37">
        <f t="shared" si="45"/>
        <v>5.5746229118972479E-2</v>
      </c>
      <c r="L356" s="117">
        <f t="shared" si="46"/>
        <v>6.7954653296027456E-2</v>
      </c>
      <c r="M356" s="45">
        <f t="shared" si="40"/>
        <v>1.7187622155314157E-2</v>
      </c>
    </row>
    <row r="357" spans="1:13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655">
        <f t="shared" si="41"/>
        <v>806.19999999999993</v>
      </c>
      <c r="G357" s="663">
        <f t="shared" si="42"/>
        <v>3.2909269649746501E-3</v>
      </c>
      <c r="H357" s="46">
        <f t="shared" si="43"/>
        <v>7.7272939693783771</v>
      </c>
      <c r="I357" s="664">
        <f t="shared" si="44"/>
        <v>2.8413259925404293</v>
      </c>
      <c r="J357" s="210">
        <v>3.2293308826403182</v>
      </c>
      <c r="K357" s="37">
        <f t="shared" si="45"/>
        <v>5.8710137055147757E-2</v>
      </c>
      <c r="L357" s="117">
        <f t="shared" si="46"/>
        <v>7.1567657070225124E-2</v>
      </c>
      <c r="M357" s="45">
        <f t="shared" si="40"/>
        <v>1.7187622155314157E-2</v>
      </c>
    </row>
    <row r="358" spans="1:13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655">
        <f t="shared" si="41"/>
        <v>753</v>
      </c>
      <c r="G358" s="663">
        <f t="shared" si="42"/>
        <v>3.0737633398981788E-3</v>
      </c>
      <c r="H358" s="46">
        <f t="shared" si="43"/>
        <v>7.2173807478813172</v>
      </c>
      <c r="I358" s="664">
        <f t="shared" si="44"/>
        <v>2.6538309009959606</v>
      </c>
      <c r="J358" s="210">
        <v>3.0162318960904981</v>
      </c>
      <c r="K358" s="37">
        <f t="shared" si="45"/>
        <v>5.4835937983783507E-2</v>
      </c>
      <c r="L358" s="117">
        <f t="shared" si="46"/>
        <v>6.6845008402232106E-2</v>
      </c>
      <c r="M358" s="45">
        <f t="shared" si="40"/>
        <v>1.7187622155314154E-2</v>
      </c>
    </row>
    <row r="359" spans="1:13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655">
        <f t="shared" si="41"/>
        <v>612.20000000000005</v>
      </c>
      <c r="G359" s="663">
        <f t="shared" si="42"/>
        <v>2.4990144975905247E-3</v>
      </c>
      <c r="H359" s="46">
        <f t="shared" si="43"/>
        <v>5.8678359812124077</v>
      </c>
      <c r="I359" s="664">
        <f t="shared" si="44"/>
        <v>2.1576032902918025</v>
      </c>
      <c r="J359" s="210">
        <v>2.4522405933421023</v>
      </c>
      <c r="K359" s="37">
        <f t="shared" si="45"/>
        <v>4.458241863701496E-2</v>
      </c>
      <c r="L359" s="117">
        <f t="shared" si="46"/>
        <v>5.4345968318521239E-2</v>
      </c>
      <c r="M359" s="45">
        <f t="shared" si="40"/>
        <v>1.718762215531416E-2</v>
      </c>
    </row>
    <row r="360" spans="1:13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655">
        <f t="shared" si="41"/>
        <v>611.79999999999995</v>
      </c>
      <c r="G360" s="663">
        <f t="shared" si="42"/>
        <v>2.4973816883794232E-3</v>
      </c>
      <c r="H360" s="46">
        <f t="shared" si="43"/>
        <v>5.8640020472161885</v>
      </c>
      <c r="I360" s="664">
        <f t="shared" si="44"/>
        <v>2.1561935527613927</v>
      </c>
      <c r="J360" s="210">
        <v>2.4506383453229303</v>
      </c>
      <c r="K360" s="37">
        <f t="shared" si="45"/>
        <v>4.4553289320688909E-2</v>
      </c>
      <c r="L360" s="117">
        <f t="shared" si="46"/>
        <v>5.4310459681919783E-2</v>
      </c>
      <c r="M360" s="45">
        <f t="shared" si="40"/>
        <v>1.7187622155314157E-2</v>
      </c>
    </row>
    <row r="361" spans="1:13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655">
        <f t="shared" si="41"/>
        <v>510.4</v>
      </c>
      <c r="G361" s="663">
        <f t="shared" si="42"/>
        <v>2.0834645533652461E-3</v>
      </c>
      <c r="H361" s="46">
        <f t="shared" si="43"/>
        <v>4.8920997791747993</v>
      </c>
      <c r="I361" s="664">
        <f t="shared" si="44"/>
        <v>1.7988250888025739</v>
      </c>
      <c r="J361" s="210">
        <v>2.0444684724629352</v>
      </c>
      <c r="K361" s="37">
        <f t="shared" si="45"/>
        <v>3.716900763203599E-2</v>
      </c>
      <c r="L361" s="117">
        <f t="shared" si="46"/>
        <v>4.5309020303451873E-2</v>
      </c>
      <c r="M361" s="45">
        <f t="shared" si="40"/>
        <v>1.7187622155314157E-2</v>
      </c>
    </row>
    <row r="362" spans="1:13" s="6" customFormat="1" ht="15.75">
      <c r="A362" s="268">
        <v>271</v>
      </c>
      <c r="B362" s="122" t="s">
        <v>1314</v>
      </c>
      <c r="C362" s="55">
        <v>564</v>
      </c>
      <c r="D362" s="260">
        <v>87.5</v>
      </c>
      <c r="E362" s="256"/>
      <c r="F362" s="655">
        <f t="shared" si="41"/>
        <v>651.5</v>
      </c>
      <c r="G362" s="663">
        <f t="shared" si="42"/>
        <v>2.6594380025812265E-3</v>
      </c>
      <c r="H362" s="46">
        <f t="shared" si="43"/>
        <v>6.2445199963408751</v>
      </c>
      <c r="I362" s="664">
        <f t="shared" si="44"/>
        <v>2.2961100026545398</v>
      </c>
      <c r="J362" s="210">
        <v>2.6096614612257101</v>
      </c>
      <c r="K362" s="37">
        <f t="shared" si="45"/>
        <v>4.7444373966049079E-2</v>
      </c>
      <c r="L362" s="117">
        <f t="shared" si="46"/>
        <v>5.7834691864613832E-2</v>
      </c>
      <c r="M362" s="45">
        <f t="shared" si="40"/>
        <v>1.7187622155314157E-2</v>
      </c>
    </row>
    <row r="363" spans="1:13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655">
        <f t="shared" si="41"/>
        <v>789.90000000000009</v>
      </c>
      <c r="G363" s="663">
        <f t="shared" si="42"/>
        <v>3.2243899896222733E-3</v>
      </c>
      <c r="H363" s="46">
        <f t="shared" si="43"/>
        <v>7.5710611590324746</v>
      </c>
      <c r="I363" s="664">
        <f t="shared" si="44"/>
        <v>2.783879188176241</v>
      </c>
      <c r="J363" s="210">
        <v>3.1640392758590767</v>
      </c>
      <c r="K363" s="37">
        <f t="shared" si="45"/>
        <v>5.7523117414861352E-2</v>
      </c>
      <c r="L363" s="117">
        <f t="shared" si="46"/>
        <v>7.0120680128715987E-2</v>
      </c>
      <c r="M363" s="45">
        <f t="shared" si="40"/>
        <v>1.7187622155314154E-2</v>
      </c>
    </row>
    <row r="364" spans="1:13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655">
        <f t="shared" si="41"/>
        <v>770.6</v>
      </c>
      <c r="G364" s="663">
        <f t="shared" si="42"/>
        <v>3.1456069451866356E-3</v>
      </c>
      <c r="H364" s="46">
        <f t="shared" si="43"/>
        <v>7.3860738437149314</v>
      </c>
      <c r="I364" s="664">
        <f t="shared" si="44"/>
        <v>2.7158593523339807</v>
      </c>
      <c r="J364" s="210">
        <v>3.0867308089340479</v>
      </c>
      <c r="K364" s="37">
        <f t="shared" si="45"/>
        <v>5.6117627902129576E-2</v>
      </c>
      <c r="L364" s="117">
        <f t="shared" si="46"/>
        <v>6.840738841269596E-2</v>
      </c>
      <c r="M364" s="45">
        <f t="shared" si="40"/>
        <v>1.7187622155314157E-2</v>
      </c>
    </row>
    <row r="365" spans="1:13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655">
        <f t="shared" si="41"/>
        <v>958.2</v>
      </c>
      <c r="G365" s="663">
        <f t="shared" si="42"/>
        <v>3.9113944651931413E-3</v>
      </c>
      <c r="H365" s="46">
        <f t="shared" si="43"/>
        <v>9.1841888879414064</v>
      </c>
      <c r="I365" s="664">
        <f t="shared" si="44"/>
        <v>3.3770262540960552</v>
      </c>
      <c r="J365" s="210">
        <v>3.8381851299255185</v>
      </c>
      <c r="K365" s="37">
        <f t="shared" si="45"/>
        <v>6.9779277259045647E-2</v>
      </c>
      <c r="L365" s="117">
        <f t="shared" si="46"/>
        <v>8.5060938978776646E-2</v>
      </c>
      <c r="M365" s="45">
        <f t="shared" si="40"/>
        <v>1.7187622155314157E-2</v>
      </c>
    </row>
    <row r="366" spans="1:13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655">
        <f t="shared" si="41"/>
        <v>1194.4199999999998</v>
      </c>
      <c r="G366" s="663">
        <f t="shared" si="42"/>
        <v>4.8756499448090072E-3</v>
      </c>
      <c r="H366" s="46">
        <f t="shared" si="43"/>
        <v>11.448318609408236</v>
      </c>
      <c r="I366" s="664">
        <f t="shared" si="44"/>
        <v>4.209546752679409</v>
      </c>
      <c r="J366" s="210">
        <v>4.7843926976472941</v>
      </c>
      <c r="K366" s="37">
        <f t="shared" si="45"/>
        <v>8.6981595015392682E-2</v>
      </c>
      <c r="L366" s="117">
        <f t="shared" si="46"/>
        <v>0.10603056432376369</v>
      </c>
      <c r="M366" s="45">
        <f t="shared" si="40"/>
        <v>1.7187622155314157E-2</v>
      </c>
    </row>
    <row r="367" spans="1:13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655">
        <f t="shared" si="41"/>
        <v>437.85999999999996</v>
      </c>
      <c r="G367" s="663">
        <f t="shared" si="42"/>
        <v>1.7873546029320271E-3</v>
      </c>
      <c r="H367" s="46">
        <f t="shared" si="43"/>
        <v>4.1968158489605756</v>
      </c>
      <c r="I367" s="664">
        <f t="shared" si="44"/>
        <v>1.5431691876628038</v>
      </c>
      <c r="J367" s="210">
        <v>1.7539007941861693</v>
      </c>
      <c r="K367" s="37">
        <f t="shared" si="45"/>
        <v>3.1886406116307366E-2</v>
      </c>
      <c r="L367" s="117">
        <f t="shared" si="46"/>
        <v>3.886952905577868E-2</v>
      </c>
      <c r="M367" s="45">
        <f t="shared" si="40"/>
        <v>1.7187622155314157E-2</v>
      </c>
    </row>
    <row r="368" spans="1:13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655">
        <f t="shared" si="41"/>
        <v>712.5</v>
      </c>
      <c r="G368" s="663">
        <f t="shared" si="42"/>
        <v>2.908441407274173E-3</v>
      </c>
      <c r="H368" s="46">
        <f t="shared" si="43"/>
        <v>6.8291949307641948</v>
      </c>
      <c r="I368" s="664">
        <f t="shared" si="44"/>
        <v>2.5110949760419947</v>
      </c>
      <c r="J368" s="210">
        <v>2.8540042841493758</v>
      </c>
      <c r="K368" s="37">
        <f t="shared" si="45"/>
        <v>5.1886594705771248E-2</v>
      </c>
      <c r="L368" s="117">
        <f t="shared" si="46"/>
        <v>6.3249758946335152E-2</v>
      </c>
      <c r="M368" s="45">
        <f t="shared" si="40"/>
        <v>1.7187622155314157E-2</v>
      </c>
    </row>
    <row r="369" spans="1:13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655">
        <f t="shared" si="41"/>
        <v>1035.06</v>
      </c>
      <c r="G369" s="663">
        <f t="shared" si="42"/>
        <v>4.2251387551062534E-3</v>
      </c>
      <c r="H369" s="46">
        <f t="shared" si="43"/>
        <v>9.9208793053147897</v>
      </c>
      <c r="I369" s="664">
        <f t="shared" si="44"/>
        <v>3.6479073205642485</v>
      </c>
      <c r="J369" s="210">
        <v>4.1460570868093374</v>
      </c>
      <c r="K369" s="37">
        <f t="shared" si="45"/>
        <v>7.5376475391095557E-2</v>
      </c>
      <c r="L369" s="117">
        <f t="shared" si="46"/>
        <v>9.1883923501745485E-2</v>
      </c>
      <c r="M369" s="45">
        <f t="shared" si="40"/>
        <v>1.718762215531416E-2</v>
      </c>
    </row>
    <row r="370" spans="1:13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655">
        <f t="shared" si="41"/>
        <v>684.4</v>
      </c>
      <c r="G370" s="663">
        <f t="shared" si="42"/>
        <v>2.7937365601943074E-3</v>
      </c>
      <c r="H370" s="46">
        <f t="shared" si="43"/>
        <v>6.5598610675298454</v>
      </c>
      <c r="I370" s="664">
        <f t="shared" si="44"/>
        <v>2.4120609145307244</v>
      </c>
      <c r="J370" s="210">
        <v>2.7414463608025725</v>
      </c>
      <c r="K370" s="37">
        <f t="shared" si="45"/>
        <v>4.9840260233866444E-2</v>
      </c>
      <c r="L370" s="117">
        <f t="shared" si="46"/>
        <v>6.0755277225083199E-2</v>
      </c>
      <c r="M370" s="45">
        <f t="shared" si="40"/>
        <v>1.7187622155314157E-2</v>
      </c>
    </row>
    <row r="371" spans="1:13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655">
        <f t="shared" si="41"/>
        <v>858.85</v>
      </c>
      <c r="G371" s="663">
        <f t="shared" si="42"/>
        <v>3.5058454773858579E-3</v>
      </c>
      <c r="H371" s="46">
        <f t="shared" si="43"/>
        <v>8.2319355316306382</v>
      </c>
      <c r="I371" s="664">
        <f t="shared" si="44"/>
        <v>3.026882694980586</v>
      </c>
      <c r="J371" s="210">
        <v>3.4402267781637779</v>
      </c>
      <c r="K371" s="37">
        <f t="shared" si="45"/>
        <v>6.2544283316563698E-2</v>
      </c>
      <c r="L371" s="117">
        <f t="shared" si="46"/>
        <v>7.6241481362891148E-2</v>
      </c>
      <c r="M371" s="45">
        <f t="shared" si="40"/>
        <v>1.7187622155314157E-2</v>
      </c>
    </row>
    <row r="372" spans="1:13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655">
        <f t="shared" si="41"/>
        <v>827.7</v>
      </c>
      <c r="G372" s="663">
        <f t="shared" si="42"/>
        <v>3.3786904600713449E-3</v>
      </c>
      <c r="H372" s="46">
        <f t="shared" si="43"/>
        <v>7.9333679216751216</v>
      </c>
      <c r="I372" s="664">
        <f t="shared" si="44"/>
        <v>2.9170993847999425</v>
      </c>
      <c r="J372" s="210">
        <v>3.3154517136707913</v>
      </c>
      <c r="K372" s="37">
        <f t="shared" si="45"/>
        <v>6.0275837807672795E-2</v>
      </c>
      <c r="L372" s="117">
        <f t="shared" si="46"/>
        <v>7.3476246287553143E-2</v>
      </c>
      <c r="M372" s="45">
        <f t="shared" si="40"/>
        <v>1.7187622155314157E-2</v>
      </c>
    </row>
    <row r="373" spans="1:13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655">
        <f t="shared" si="41"/>
        <v>837.19</v>
      </c>
      <c r="G373" s="663">
        <f t="shared" si="42"/>
        <v>3.417428858604723E-3</v>
      </c>
      <c r="H373" s="46">
        <f t="shared" si="43"/>
        <v>8.0243280057354056</v>
      </c>
      <c r="I373" s="664">
        <f t="shared" si="44"/>
        <v>2.9505454077089088</v>
      </c>
      <c r="J373" s="210">
        <v>3.3534650479256367</v>
      </c>
      <c r="K373" s="37">
        <f t="shared" si="45"/>
        <v>6.096693083750826E-2</v>
      </c>
      <c r="L373" s="117">
        <f t="shared" si="46"/>
        <v>7.4318688690922577E-2</v>
      </c>
      <c r="M373" s="45">
        <f t="shared" si="40"/>
        <v>1.7187622155314157E-2</v>
      </c>
    </row>
    <row r="374" spans="1:13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655">
        <f t="shared" si="41"/>
        <v>325.10000000000002</v>
      </c>
      <c r="G374" s="663">
        <f t="shared" si="42"/>
        <v>1.3270656863225737E-3</v>
      </c>
      <c r="H374" s="46">
        <f t="shared" si="43"/>
        <v>3.1160298554265826</v>
      </c>
      <c r="I374" s="664">
        <f t="shared" si="44"/>
        <v>1.1457641778403544</v>
      </c>
      <c r="J374" s="210">
        <v>1.3022270775817013</v>
      </c>
      <c r="K374" s="37">
        <f t="shared" si="45"/>
        <v>2.3674851843994715E-2</v>
      </c>
      <c r="L374" s="117">
        <f t="shared" si="46"/>
        <v>2.8859644397829558E-2</v>
      </c>
      <c r="M374" s="45">
        <f t="shared" si="40"/>
        <v>1.7187622155314157E-2</v>
      </c>
    </row>
    <row r="375" spans="1:13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655">
        <f t="shared" si="41"/>
        <v>513</v>
      </c>
      <c r="G375" s="663">
        <f t="shared" si="42"/>
        <v>2.0940778132374047E-3</v>
      </c>
      <c r="H375" s="46">
        <f t="shared" si="43"/>
        <v>4.9170203501502199</v>
      </c>
      <c r="I375" s="664">
        <f t="shared" si="44"/>
        <v>1.8079883827502359</v>
      </c>
      <c r="J375" s="210">
        <v>2.0548830845875505</v>
      </c>
      <c r="K375" s="37">
        <f t="shared" si="45"/>
        <v>3.7358348188155296E-2</v>
      </c>
      <c r="L375" s="117">
        <f t="shared" si="46"/>
        <v>4.5539826441361307E-2</v>
      </c>
      <c r="M375" s="45">
        <f t="shared" si="40"/>
        <v>1.7187622155314157E-2</v>
      </c>
    </row>
    <row r="376" spans="1:13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655">
        <f t="shared" si="41"/>
        <v>1023.42</v>
      </c>
      <c r="G376" s="663">
        <f t="shared" si="42"/>
        <v>4.1776240070632064E-3</v>
      </c>
      <c r="H376" s="46">
        <f t="shared" si="43"/>
        <v>9.8093118260248318</v>
      </c>
      <c r="I376" s="664">
        <f t="shared" si="44"/>
        <v>3.6068839584293308</v>
      </c>
      <c r="J376" s="210">
        <v>4.0994316694514437</v>
      </c>
      <c r="K376" s="37">
        <f t="shared" si="45"/>
        <v>7.4528812286007606E-2</v>
      </c>
      <c r="L376" s="117">
        <f t="shared" si="46"/>
        <v>9.0850622176643275E-2</v>
      </c>
      <c r="M376" s="45">
        <f t="shared" si="40"/>
        <v>1.7187622155314157E-2</v>
      </c>
    </row>
    <row r="377" spans="1:13" s="5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655">
        <f t="shared" si="41"/>
        <v>74.599999999999994</v>
      </c>
      <c r="G377" s="663">
        <f t="shared" si="42"/>
        <v>3.0451891787039063E-4</v>
      </c>
      <c r="H377" s="46">
        <f t="shared" si="43"/>
        <v>0.71502869029474936</v>
      </c>
      <c r="I377" s="664">
        <f t="shared" si="44"/>
        <v>0.26291604942137936</v>
      </c>
      <c r="J377" s="210">
        <v>0.29881925557549954</v>
      </c>
      <c r="K377" s="37">
        <f t="shared" si="45"/>
        <v>5.4326174948077684E-3</v>
      </c>
      <c r="L377" s="117">
        <f t="shared" si="46"/>
        <v>6.6223607261706703E-3</v>
      </c>
      <c r="M377" s="45">
        <f t="shared" si="40"/>
        <v>1.718762215531416E-2</v>
      </c>
    </row>
    <row r="378" spans="1:13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655">
        <f t="shared" si="41"/>
        <v>577.79999999999995</v>
      </c>
      <c r="G378" s="663">
        <f t="shared" si="42"/>
        <v>2.3585929054358136E-3</v>
      </c>
      <c r="H378" s="46">
        <f t="shared" si="43"/>
        <v>5.5381176575376161</v>
      </c>
      <c r="I378" s="664">
        <f t="shared" si="44"/>
        <v>2.0363658626765817</v>
      </c>
      <c r="J378" s="210">
        <v>2.3144472636933462</v>
      </c>
      <c r="K378" s="37">
        <f t="shared" si="45"/>
        <v>4.2077297432974912E-2</v>
      </c>
      <c r="L378" s="117">
        <f t="shared" si="46"/>
        <v>5.1292225570796421E-2</v>
      </c>
      <c r="M378" s="45">
        <f t="shared" si="40"/>
        <v>1.7187622155314157E-2</v>
      </c>
    </row>
    <row r="379" spans="1:13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655">
        <f t="shared" si="41"/>
        <v>379.4</v>
      </c>
      <c r="G379" s="663">
        <f t="shared" si="42"/>
        <v>1.5487195367295736E-3</v>
      </c>
      <c r="H379" s="46">
        <f t="shared" si="43"/>
        <v>3.6364863954132427</v>
      </c>
      <c r="I379" s="664">
        <f t="shared" si="44"/>
        <v>1.3371360475934495</v>
      </c>
      <c r="J379" s="210">
        <v>1.5197322461842429</v>
      </c>
      <c r="K379" s="37">
        <f t="shared" si="45"/>
        <v>2.7629156535255592E-2</v>
      </c>
      <c r="L379" s="117">
        <f t="shared" si="46"/>
        <v>3.3679941816476572E-2</v>
      </c>
      <c r="M379" s="45">
        <f t="shared" si="40"/>
        <v>1.7187622155314157E-2</v>
      </c>
    </row>
    <row r="380" spans="1:13" s="6" customFormat="1" ht="15.75">
      <c r="A380" s="268">
        <v>289</v>
      </c>
      <c r="B380" s="291" t="s">
        <v>1395</v>
      </c>
      <c r="C380" s="295">
        <f>1893+1096.4</f>
        <v>2989.4</v>
      </c>
      <c r="D380" s="296"/>
      <c r="E380" s="296"/>
      <c r="F380" s="656">
        <f>C380+D380+E380</f>
        <v>2989.4</v>
      </c>
      <c r="G380" s="663">
        <f t="shared" si="42"/>
        <v>1.2202799639165493E-2</v>
      </c>
      <c r="H380" s="46">
        <f t="shared" si="43"/>
        <v>28.652905720738929</v>
      </c>
      <c r="I380" s="664">
        <f>H380*0.3677</f>
        <v>10.535673433515704</v>
      </c>
      <c r="J380" s="210">
        <v>4.0994316694514437</v>
      </c>
      <c r="K380" s="37">
        <f>G380*17.84</f>
        <v>0.21769794556271241</v>
      </c>
      <c r="L380" s="117">
        <f t="shared" si="46"/>
        <v>0.26537379564094643</v>
      </c>
      <c r="M380" s="45">
        <f t="shared" si="40"/>
        <v>1.4553324670257842E-2</v>
      </c>
    </row>
    <row r="381" spans="1:13" s="6" customFormat="1" ht="15.75">
      <c r="A381" s="268">
        <v>290</v>
      </c>
      <c r="B381" s="292" t="s">
        <v>1396</v>
      </c>
      <c r="C381" s="294">
        <v>527.29999999999995</v>
      </c>
      <c r="D381" s="297"/>
      <c r="E381" s="297"/>
      <c r="F381" s="656">
        <f>C381+D381+E381</f>
        <v>527.29999999999995</v>
      </c>
      <c r="G381" s="663">
        <f t="shared" si="42"/>
        <v>2.1524507425342756E-3</v>
      </c>
      <c r="H381" s="46">
        <f t="shared" si="43"/>
        <v>5.0540834905150307</v>
      </c>
      <c r="I381" s="664">
        <f>H381*0.3677</f>
        <v>1.8583864994623769</v>
      </c>
      <c r="J381" s="210">
        <v>0.29881925557549954</v>
      </c>
      <c r="K381" s="37">
        <f>G381*17.84</f>
        <v>3.8399721246811479E-2</v>
      </c>
      <c r="L381" s="117">
        <f t="shared" si="46"/>
        <v>4.6809260199863194E-2</v>
      </c>
      <c r="M381" s="45">
        <f t="shared" si="40"/>
        <v>1.3748698969845855E-2</v>
      </c>
    </row>
    <row r="382" spans="1:13" s="6" customFormat="1" ht="15.75">
      <c r="A382" s="268">
        <v>291</v>
      </c>
      <c r="B382" s="301" t="s">
        <v>1400</v>
      </c>
      <c r="C382" s="295">
        <v>2299.1999999999998</v>
      </c>
      <c r="D382" s="297"/>
      <c r="E382" s="297"/>
      <c r="F382" s="656">
        <f>C382+D382+E382</f>
        <v>2299.1999999999998</v>
      </c>
      <c r="G382" s="663">
        <f t="shared" si="42"/>
        <v>9.3853873454102163E-3</v>
      </c>
      <c r="H382" s="46">
        <f t="shared" si="43"/>
        <v>22.037452610263912</v>
      </c>
      <c r="I382" s="664">
        <f>H382*0.3677</f>
        <v>8.103171324794042</v>
      </c>
      <c r="J382" s="210">
        <v>2.3144472636933462</v>
      </c>
      <c r="K382" s="37">
        <f>G382*17.84</f>
        <v>0.16743531024211825</v>
      </c>
      <c r="L382" s="117">
        <f t="shared" si="46"/>
        <v>0.20410364318514215</v>
      </c>
      <c r="M382" s="45">
        <f t="shared" si="40"/>
        <v>1.4188633659095956E-2</v>
      </c>
    </row>
    <row r="383" spans="1:13" s="6" customFormat="1" ht="15.75">
      <c r="A383" s="268">
        <v>292</v>
      </c>
      <c r="B383" s="302" t="s">
        <v>1401</v>
      </c>
      <c r="C383" s="294">
        <v>292.60000000000002</v>
      </c>
      <c r="D383" s="297"/>
      <c r="E383" s="297"/>
      <c r="F383" s="656">
        <f>C383+D383+E383</f>
        <v>292.60000000000002</v>
      </c>
      <c r="G383" s="663">
        <f>1/244976.57*F383</f>
        <v>1.1943999379205939E-3</v>
      </c>
      <c r="H383" s="46">
        <f t="shared" si="43"/>
        <v>2.8045227182338297</v>
      </c>
      <c r="I383" s="664">
        <f>H383*0.3677</f>
        <v>1.0312230034945793</v>
      </c>
      <c r="J383" s="210">
        <v>1.5197322461842429</v>
      </c>
      <c r="K383" s="37">
        <f>G383*17.84</f>
        <v>2.1308094892503394E-2</v>
      </c>
      <c r="L383" s="117">
        <f t="shared" si="46"/>
        <v>2.597456767396164E-2</v>
      </c>
      <c r="M383" s="45">
        <f t="shared" si="40"/>
        <v>1.8375892217379206E-2</v>
      </c>
    </row>
    <row r="384" spans="1:13" s="69" customFormat="1" ht="17.25" customHeight="1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14">
        <f t="shared" ref="F384:F447" si="47">C384+D384+E384</f>
        <v>232188.71000000008</v>
      </c>
      <c r="G384" s="663">
        <f>1/232188.71*F384</f>
        <v>1.0000000000000004</v>
      </c>
      <c r="H384" s="46">
        <f>G384*2348.06</f>
        <v>2348.0600000000009</v>
      </c>
      <c r="I384" s="316">
        <f t="shared" ref="I384:I400" si="48">H384*0.3677</f>
        <v>863.38166200000035</v>
      </c>
      <c r="J384" s="210">
        <f>SUM(J91:J383)</f>
        <v>913.82385205089076</v>
      </c>
      <c r="K384" s="316">
        <f>G384*17.84</f>
        <v>17.840000000000007</v>
      </c>
      <c r="L384" s="117">
        <f t="shared" si="46"/>
        <v>21.746960000000009</v>
      </c>
      <c r="M384" s="45">
        <f t="shared" si="40"/>
        <v>1.7843699265355714E-2</v>
      </c>
    </row>
    <row r="385" spans="1:13" s="209" customFormat="1" ht="15.75">
      <c r="A385" s="667" t="s">
        <v>668</v>
      </c>
      <c r="B385" s="339"/>
      <c r="C385" s="339"/>
      <c r="D385" s="339"/>
      <c r="E385" s="339"/>
      <c r="F385" s="339">
        <f t="shared" si="47"/>
        <v>0</v>
      </c>
      <c r="G385" s="339"/>
      <c r="H385" s="46">
        <f>G385*2418.5</f>
        <v>0</v>
      </c>
      <c r="I385" s="342"/>
      <c r="J385" s="210">
        <v>0</v>
      </c>
      <c r="K385" s="342"/>
      <c r="L385" s="117">
        <f t="shared" si="46"/>
        <v>0</v>
      </c>
      <c r="M385" s="45" t="e">
        <f t="shared" si="40"/>
        <v>#DIV/0!</v>
      </c>
    </row>
    <row r="386" spans="1:13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625">
        <f t="shared" si="47"/>
        <v>4235</v>
      </c>
      <c r="G386" s="663">
        <f t="shared" ref="G386:G449" si="49">1/243872.61*F386</f>
        <v>1.7365623798424927E-2</v>
      </c>
      <c r="H386" s="46">
        <f t="shared" ref="H386:H449" si="50">G386*2348.06</f>
        <v>40.775526616129632</v>
      </c>
      <c r="I386" s="37">
        <f t="shared" si="48"/>
        <v>14.993161136750867</v>
      </c>
      <c r="J386" s="210">
        <v>15.795684173842515</v>
      </c>
      <c r="K386" s="37">
        <f t="shared" ref="K386:K449" si="51">G386*17.84</f>
        <v>0.30980272856390068</v>
      </c>
      <c r="L386" s="117">
        <f t="shared" si="46"/>
        <v>0.37764952611939495</v>
      </c>
      <c r="M386" s="45">
        <f t="shared" si="40"/>
        <v>1.6971469812346377E-2</v>
      </c>
    </row>
    <row r="387" spans="1:13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625">
        <f t="shared" si="47"/>
        <v>12601</v>
      </c>
      <c r="G387" s="663">
        <f t="shared" si="49"/>
        <v>5.1670419240602714E-2</v>
      </c>
      <c r="H387" s="46">
        <f t="shared" si="50"/>
        <v>121.32524460208961</v>
      </c>
      <c r="I387" s="37">
        <f t="shared" si="48"/>
        <v>44.61129244018835</v>
      </c>
      <c r="J387" s="210">
        <v>46.999153783846403</v>
      </c>
      <c r="K387" s="37">
        <f t="shared" si="51"/>
        <v>0.92180027925235242</v>
      </c>
      <c r="L387" s="117">
        <f t="shared" si="46"/>
        <v>1.1236745404086177</v>
      </c>
      <c r="M387" s="45">
        <f t="shared" si="40"/>
        <v>1.6971469812346377E-2</v>
      </c>
    </row>
    <row r="388" spans="1:13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625">
        <f t="shared" si="47"/>
        <v>12482</v>
      </c>
      <c r="G388" s="663">
        <f t="shared" si="49"/>
        <v>5.1182459563622176E-2</v>
      </c>
      <c r="H388" s="46">
        <f t="shared" si="50"/>
        <v>120.17948600295868</v>
      </c>
      <c r="I388" s="37">
        <f t="shared" si="48"/>
        <v>44.189997003287914</v>
      </c>
      <c r="J388" s="210">
        <v>46.555308112845864</v>
      </c>
      <c r="K388" s="37">
        <f t="shared" si="51"/>
        <v>0.9130950786150196</v>
      </c>
      <c r="L388" s="117">
        <f t="shared" si="46"/>
        <v>1.113062900831709</v>
      </c>
      <c r="M388" s="45">
        <f t="shared" si="40"/>
        <v>1.6971469812346377E-2</v>
      </c>
    </row>
    <row r="389" spans="1:13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625">
        <f t="shared" si="47"/>
        <v>6092</v>
      </c>
      <c r="G389" s="663">
        <f t="shared" si="49"/>
        <v>2.4980255060213612E-2</v>
      </c>
      <c r="H389" s="46">
        <f t="shared" si="50"/>
        <v>58.655137696685173</v>
      </c>
      <c r="I389" s="37">
        <f t="shared" si="48"/>
        <v>21.56749413107114</v>
      </c>
      <c r="J389" s="210">
        <v>22.721914518783613</v>
      </c>
      <c r="K389" s="37">
        <f t="shared" si="51"/>
        <v>0.44564775027421083</v>
      </c>
      <c r="L389" s="117">
        <f t="shared" si="46"/>
        <v>0.54324460758426307</v>
      </c>
      <c r="M389" s="45">
        <f t="shared" si="40"/>
        <v>1.6971469812346381E-2</v>
      </c>
    </row>
    <row r="390" spans="1:13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625">
        <f t="shared" si="47"/>
        <v>12853.2</v>
      </c>
      <c r="G390" s="663">
        <f t="shared" si="49"/>
        <v>5.2704565715682473E-2</v>
      </c>
      <c r="H390" s="46">
        <f t="shared" si="50"/>
        <v>123.75348257436539</v>
      </c>
      <c r="I390" s="37">
        <f t="shared" si="48"/>
        <v>45.504155542594155</v>
      </c>
      <c r="J390" s="210">
        <v>47.939808222723165</v>
      </c>
      <c r="K390" s="37">
        <f t="shared" si="51"/>
        <v>0.94024945236777535</v>
      </c>
      <c r="L390" s="117">
        <f t="shared" si="46"/>
        <v>1.1461640824363182</v>
      </c>
      <c r="M390" s="45">
        <f t="shared" si="40"/>
        <v>1.6971469812346381E-2</v>
      </c>
    </row>
    <row r="391" spans="1:13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625">
        <f t="shared" si="47"/>
        <v>6317.1</v>
      </c>
      <c r="G391" s="663">
        <f t="shared" si="49"/>
        <v>2.5903277944989398E-2</v>
      </c>
      <c r="H391" s="46">
        <f t="shared" si="50"/>
        <v>60.822450811511807</v>
      </c>
      <c r="I391" s="37">
        <f t="shared" si="48"/>
        <v>22.364415163392891</v>
      </c>
      <c r="J391" s="210">
        <v>23.56149149813</v>
      </c>
      <c r="K391" s="37">
        <f t="shared" si="51"/>
        <v>0.46211447853861087</v>
      </c>
      <c r="L391" s="117">
        <f t="shared" si="46"/>
        <v>0.5633175493385667</v>
      </c>
      <c r="M391" s="45">
        <f t="shared" ref="M391:M454" si="52">(K391+J391+I391+H391)/F391</f>
        <v>1.6971469812346377E-2</v>
      </c>
    </row>
    <row r="392" spans="1:13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625">
        <f t="shared" si="47"/>
        <v>6243.1</v>
      </c>
      <c r="G392" s="663">
        <f t="shared" si="49"/>
        <v>2.5599840834934277E-2</v>
      </c>
      <c r="H392" s="46">
        <f t="shared" si="50"/>
        <v>60.109962270875776</v>
      </c>
      <c r="I392" s="37">
        <f t="shared" si="48"/>
        <v>22.102433127001024</v>
      </c>
      <c r="J392" s="210">
        <v>23.285486627087653</v>
      </c>
      <c r="K392" s="37">
        <f t="shared" si="51"/>
        <v>0.45670116049522747</v>
      </c>
      <c r="L392" s="117">
        <f t="shared" si="46"/>
        <v>0.55671871464368228</v>
      </c>
      <c r="M392" s="45">
        <f t="shared" si="52"/>
        <v>1.6971469812346377E-2</v>
      </c>
    </row>
    <row r="393" spans="1:13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625">
        <f t="shared" si="47"/>
        <v>3918</v>
      </c>
      <c r="G393" s="663">
        <f t="shared" si="49"/>
        <v>1.6065764826972577E-2</v>
      </c>
      <c r="H393" s="46">
        <f t="shared" si="50"/>
        <v>37.723379759621231</v>
      </c>
      <c r="I393" s="37">
        <f t="shared" si="48"/>
        <v>13.870886737612727</v>
      </c>
      <c r="J393" s="210">
        <v>14.613338983025965</v>
      </c>
      <c r="K393" s="37">
        <f t="shared" si="51"/>
        <v>0.28661324451319076</v>
      </c>
      <c r="L393" s="117">
        <f t="shared" si="46"/>
        <v>0.34938154506157953</v>
      </c>
      <c r="M393" s="45">
        <f t="shared" si="52"/>
        <v>1.6971469812346377E-2</v>
      </c>
    </row>
    <row r="394" spans="1:13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625">
        <f t="shared" si="47"/>
        <v>4332</v>
      </c>
      <c r="G394" s="663">
        <f t="shared" si="49"/>
        <v>1.776337244268637E-2</v>
      </c>
      <c r="H394" s="46">
        <f t="shared" si="50"/>
        <v>41.709464297774154</v>
      </c>
      <c r="I394" s="37">
        <f t="shared" si="48"/>
        <v>15.336570022291557</v>
      </c>
      <c r="J394" s="210">
        <v>16.157474342641269</v>
      </c>
      <c r="K394" s="37">
        <f t="shared" si="51"/>
        <v>0.31689856437752484</v>
      </c>
      <c r="L394" s="117">
        <f t="shared" si="46"/>
        <v>0.3862993499762028</v>
      </c>
      <c r="M394" s="45">
        <f t="shared" si="52"/>
        <v>1.6971469812346377E-2</v>
      </c>
    </row>
    <row r="395" spans="1:13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625">
        <f t="shared" si="47"/>
        <v>3911</v>
      </c>
      <c r="G395" s="663">
        <f t="shared" si="49"/>
        <v>1.6037061316561955E-2</v>
      </c>
      <c r="H395" s="46">
        <f t="shared" si="50"/>
        <v>37.655982194966462</v>
      </c>
      <c r="I395" s="37">
        <f t="shared" si="48"/>
        <v>13.846104653089169</v>
      </c>
      <c r="J395" s="210">
        <v>14.587230414143582</v>
      </c>
      <c r="K395" s="37">
        <f t="shared" si="51"/>
        <v>0.28610117388746531</v>
      </c>
      <c r="L395" s="117">
        <f t="shared" si="46"/>
        <v>0.34875733096882022</v>
      </c>
      <c r="M395" s="45">
        <f t="shared" si="52"/>
        <v>1.6971469812346377E-2</v>
      </c>
    </row>
    <row r="396" spans="1:13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625">
        <f t="shared" si="47"/>
        <v>3338</v>
      </c>
      <c r="G396" s="663">
        <f t="shared" si="49"/>
        <v>1.3687473964378371E-2</v>
      </c>
      <c r="H396" s="46">
        <f t="shared" si="50"/>
        <v>32.139010116798275</v>
      </c>
      <c r="I396" s="37">
        <f t="shared" si="48"/>
        <v>11.817514019946726</v>
      </c>
      <c r="J396" s="210">
        <v>12.450057561342694</v>
      </c>
      <c r="K396" s="37">
        <f t="shared" si="51"/>
        <v>0.24418453552451014</v>
      </c>
      <c r="L396" s="117">
        <f t="shared" si="46"/>
        <v>0.29766094880437788</v>
      </c>
      <c r="M396" s="45">
        <f t="shared" si="52"/>
        <v>1.6971469812346377E-2</v>
      </c>
    </row>
    <row r="397" spans="1:13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625">
        <f t="shared" si="47"/>
        <v>3353</v>
      </c>
      <c r="G397" s="663">
        <f t="shared" si="49"/>
        <v>1.3748981486686842E-2</v>
      </c>
      <c r="H397" s="46">
        <f t="shared" si="50"/>
        <v>32.283433469629905</v>
      </c>
      <c r="I397" s="37">
        <f t="shared" si="48"/>
        <v>11.870618486782917</v>
      </c>
      <c r="J397" s="210">
        <v>12.50600449466209</v>
      </c>
      <c r="K397" s="37">
        <f t="shared" si="51"/>
        <v>0.24528182972249327</v>
      </c>
      <c r="L397" s="117">
        <f t="shared" si="46"/>
        <v>0.2989985504317193</v>
      </c>
      <c r="M397" s="45">
        <f t="shared" si="52"/>
        <v>1.6971469812346381E-2</v>
      </c>
    </row>
    <row r="398" spans="1:13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625">
        <f t="shared" si="47"/>
        <v>4050</v>
      </c>
      <c r="G398" s="663">
        <f t="shared" si="49"/>
        <v>1.660703102328712E-2</v>
      </c>
      <c r="H398" s="46">
        <f t="shared" si="50"/>
        <v>38.994305264539555</v>
      </c>
      <c r="I398" s="37">
        <f t="shared" si="48"/>
        <v>14.338206045771196</v>
      </c>
      <c r="J398" s="210">
        <v>15.105671996236643</v>
      </c>
      <c r="K398" s="37">
        <f t="shared" si="51"/>
        <v>0.29626943345544221</v>
      </c>
      <c r="L398" s="117">
        <f t="shared" si="46"/>
        <v>0.36115243938218405</v>
      </c>
      <c r="M398" s="45">
        <f t="shared" si="52"/>
        <v>1.6971469812346381E-2</v>
      </c>
    </row>
    <row r="399" spans="1:13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625">
        <f t="shared" si="47"/>
        <v>4035</v>
      </c>
      <c r="G399" s="663">
        <f t="shared" si="49"/>
        <v>1.6545523500978647E-2</v>
      </c>
      <c r="H399" s="46">
        <f t="shared" si="50"/>
        <v>38.849881911707918</v>
      </c>
      <c r="I399" s="37">
        <f t="shared" si="48"/>
        <v>14.285101578935002</v>
      </c>
      <c r="J399" s="210">
        <v>15.049725062917249</v>
      </c>
      <c r="K399" s="37">
        <f t="shared" si="51"/>
        <v>0.29517213925745905</v>
      </c>
      <c r="L399" s="117">
        <f t="shared" si="46"/>
        <v>0.35981483775484263</v>
      </c>
      <c r="M399" s="45">
        <f t="shared" si="52"/>
        <v>1.6971469812346377E-2</v>
      </c>
    </row>
    <row r="400" spans="1:13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625">
        <f t="shared" si="47"/>
        <v>4018</v>
      </c>
      <c r="G400" s="663">
        <f t="shared" si="49"/>
        <v>1.6475814975695714E-2</v>
      </c>
      <c r="H400" s="46">
        <f t="shared" si="50"/>
        <v>38.686202111832074</v>
      </c>
      <c r="I400" s="37">
        <f t="shared" si="48"/>
        <v>14.224916516520654</v>
      </c>
      <c r="J400" s="210">
        <v>14.9863185384886</v>
      </c>
      <c r="K400" s="37">
        <f t="shared" si="51"/>
        <v>0.29392853916641154</v>
      </c>
      <c r="L400" s="117">
        <f t="shared" si="46"/>
        <v>0.35829888924385567</v>
      </c>
      <c r="M400" s="45">
        <f t="shared" si="52"/>
        <v>1.6971469812346377E-2</v>
      </c>
    </row>
    <row r="401" spans="1:13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625">
        <f t="shared" si="47"/>
        <v>4031</v>
      </c>
      <c r="G401" s="663">
        <f t="shared" si="49"/>
        <v>1.6529121495029723E-2</v>
      </c>
      <c r="H401" s="46">
        <f t="shared" si="50"/>
        <v>38.811369017619491</v>
      </c>
      <c r="I401" s="37">
        <f t="shared" ref="I401:I464" si="53">H401*0.3677</f>
        <v>14.270940387778689</v>
      </c>
      <c r="J401" s="210">
        <v>15.034805880698743</v>
      </c>
      <c r="K401" s="37">
        <f t="shared" si="51"/>
        <v>0.29487952747133023</v>
      </c>
      <c r="L401" s="117">
        <f t="shared" si="46"/>
        <v>0.35945814398755155</v>
      </c>
      <c r="M401" s="45">
        <f t="shared" si="52"/>
        <v>1.6971469812346381E-2</v>
      </c>
    </row>
    <row r="402" spans="1:13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625">
        <f t="shared" si="47"/>
        <v>4302</v>
      </c>
      <c r="G402" s="663">
        <f t="shared" si="49"/>
        <v>1.7640357398069427E-2</v>
      </c>
      <c r="H402" s="46">
        <f t="shared" si="50"/>
        <v>41.420617592110901</v>
      </c>
      <c r="I402" s="37">
        <f t="shared" si="53"/>
        <v>15.23036108861918</v>
      </c>
      <c r="J402" s="210">
        <v>16.045580476002478</v>
      </c>
      <c r="K402" s="37">
        <f t="shared" si="51"/>
        <v>0.31470397598155858</v>
      </c>
      <c r="L402" s="117">
        <f t="shared" si="46"/>
        <v>0.38362414672151995</v>
      </c>
      <c r="M402" s="45">
        <f t="shared" si="52"/>
        <v>1.6971469812346377E-2</v>
      </c>
    </row>
    <row r="403" spans="1:13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625">
        <f t="shared" si="47"/>
        <v>4275</v>
      </c>
      <c r="G403" s="663">
        <f t="shared" si="49"/>
        <v>1.7529643857914182E-2</v>
      </c>
      <c r="H403" s="46">
        <f t="shared" si="50"/>
        <v>41.160655557013975</v>
      </c>
      <c r="I403" s="37">
        <f t="shared" si="53"/>
        <v>15.13477304831404</v>
      </c>
      <c r="J403" s="210">
        <v>15.944875996027568</v>
      </c>
      <c r="K403" s="37">
        <f t="shared" si="51"/>
        <v>0.312728846425189</v>
      </c>
      <c r="L403" s="117">
        <f t="shared" si="46"/>
        <v>0.38121646379230539</v>
      </c>
      <c r="M403" s="45">
        <f t="shared" si="52"/>
        <v>1.6971469812346377E-2</v>
      </c>
    </row>
    <row r="404" spans="1:13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625">
        <f t="shared" si="47"/>
        <v>4125</v>
      </c>
      <c r="G404" s="663">
        <f t="shared" si="49"/>
        <v>1.6914568634829472E-2</v>
      </c>
      <c r="H404" s="46">
        <f t="shared" si="50"/>
        <v>39.716422028697686</v>
      </c>
      <c r="I404" s="37">
        <f t="shared" si="53"/>
        <v>14.603728379952139</v>
      </c>
      <c r="J404" s="210">
        <v>15.385406662833617</v>
      </c>
      <c r="K404" s="37">
        <f t="shared" si="51"/>
        <v>0.30175590444535777</v>
      </c>
      <c r="L404" s="117">
        <f t="shared" si="46"/>
        <v>0.36784044751889117</v>
      </c>
      <c r="M404" s="45">
        <f t="shared" si="52"/>
        <v>1.6971469812346374E-2</v>
      </c>
    </row>
    <row r="405" spans="1:13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625">
        <f t="shared" si="47"/>
        <v>3975</v>
      </c>
      <c r="G405" s="663">
        <f t="shared" si="49"/>
        <v>1.6299493411744765E-2</v>
      </c>
      <c r="H405" s="46">
        <f t="shared" si="50"/>
        <v>38.272188500381411</v>
      </c>
      <c r="I405" s="37">
        <f t="shared" si="53"/>
        <v>14.072683711590246</v>
      </c>
      <c r="J405" s="210">
        <v>14.82593732963967</v>
      </c>
      <c r="K405" s="37">
        <f t="shared" si="51"/>
        <v>0.2907829624655266</v>
      </c>
      <c r="L405" s="117">
        <f t="shared" si="46"/>
        <v>0.35446443124547694</v>
      </c>
      <c r="M405" s="45">
        <f t="shared" si="52"/>
        <v>1.6971469812346381E-2</v>
      </c>
    </row>
    <row r="406" spans="1:13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625">
        <f t="shared" si="47"/>
        <v>3357</v>
      </c>
      <c r="G406" s="663">
        <f t="shared" si="49"/>
        <v>1.3765383492635768E-2</v>
      </c>
      <c r="H406" s="46">
        <f t="shared" si="50"/>
        <v>32.32194636371834</v>
      </c>
      <c r="I406" s="37">
        <f t="shared" si="53"/>
        <v>11.884779677939234</v>
      </c>
      <c r="J406" s="210">
        <v>12.520923676880594</v>
      </c>
      <c r="K406" s="37">
        <f t="shared" si="51"/>
        <v>0.24557444150862209</v>
      </c>
      <c r="L406" s="117">
        <f t="shared" si="46"/>
        <v>0.29935524419901033</v>
      </c>
      <c r="M406" s="45">
        <f t="shared" si="52"/>
        <v>1.6971469812346377E-2</v>
      </c>
    </row>
    <row r="407" spans="1:13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625">
        <f t="shared" si="47"/>
        <v>6146</v>
      </c>
      <c r="G407" s="663">
        <f t="shared" si="49"/>
        <v>2.5201682140524106E-2</v>
      </c>
      <c r="H407" s="46">
        <f t="shared" si="50"/>
        <v>59.175061766879033</v>
      </c>
      <c r="I407" s="37">
        <f t="shared" si="53"/>
        <v>21.758670211681423</v>
      </c>
      <c r="J407" s="210">
        <v>22.923323478733433</v>
      </c>
      <c r="K407" s="37">
        <f t="shared" si="51"/>
        <v>0.44959800938695005</v>
      </c>
      <c r="L407" s="117">
        <f t="shared" si="46"/>
        <v>0.54805997344269219</v>
      </c>
      <c r="M407" s="45">
        <f t="shared" si="52"/>
        <v>1.6971469812346377E-2</v>
      </c>
    </row>
    <row r="408" spans="1:13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625">
        <f t="shared" si="47"/>
        <v>983</v>
      </c>
      <c r="G408" s="663">
        <f t="shared" si="49"/>
        <v>4.0307929619484541E-3</v>
      </c>
      <c r="H408" s="46">
        <f t="shared" si="50"/>
        <v>9.4645437222326869</v>
      </c>
      <c r="I408" s="37">
        <f t="shared" si="53"/>
        <v>3.4801127266649594</v>
      </c>
      <c r="J408" s="210">
        <v>3.6663890301976836</v>
      </c>
      <c r="K408" s="37">
        <f t="shared" si="51"/>
        <v>7.1909346441160427E-2</v>
      </c>
      <c r="L408" s="117">
        <f t="shared" si="46"/>
        <v>8.7657493311774567E-2</v>
      </c>
      <c r="M408" s="45">
        <f t="shared" si="52"/>
        <v>1.6971469812346381E-2</v>
      </c>
    </row>
    <row r="409" spans="1:13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625">
        <f t="shared" si="47"/>
        <v>3815</v>
      </c>
      <c r="G409" s="663">
        <f t="shared" si="49"/>
        <v>1.5643413173787743E-2</v>
      </c>
      <c r="H409" s="46">
        <f t="shared" si="50"/>
        <v>36.731672736844047</v>
      </c>
      <c r="I409" s="37">
        <f t="shared" si="53"/>
        <v>13.506236065337557</v>
      </c>
      <c r="J409" s="210">
        <v>14.229170040899454</v>
      </c>
      <c r="K409" s="37">
        <f t="shared" si="51"/>
        <v>0.27907849102037335</v>
      </c>
      <c r="L409" s="117">
        <f t="shared" si="46"/>
        <v>0.34019668055383512</v>
      </c>
      <c r="M409" s="45">
        <f t="shared" si="52"/>
        <v>1.6971469812346381E-2</v>
      </c>
    </row>
    <row r="410" spans="1:13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625">
        <f t="shared" si="47"/>
        <v>4215</v>
      </c>
      <c r="G410" s="663">
        <f t="shared" si="49"/>
        <v>1.7283613768680296E-2</v>
      </c>
      <c r="H410" s="46">
        <f t="shared" si="50"/>
        <v>40.582962145687453</v>
      </c>
      <c r="I410" s="37">
        <f t="shared" si="53"/>
        <v>14.922355180969278</v>
      </c>
      <c r="J410" s="210">
        <v>15.721088262749985</v>
      </c>
      <c r="K410" s="37">
        <f t="shared" si="51"/>
        <v>0.30833966963325649</v>
      </c>
      <c r="L410" s="117">
        <f t="shared" si="46"/>
        <v>0.3758660572829397</v>
      </c>
      <c r="M410" s="45">
        <f t="shared" si="52"/>
        <v>1.6971469812346374E-2</v>
      </c>
    </row>
    <row r="411" spans="1:13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625">
        <f t="shared" si="47"/>
        <v>12662</v>
      </c>
      <c r="G411" s="663">
        <f t="shared" si="49"/>
        <v>5.1920549831323826E-2</v>
      </c>
      <c r="H411" s="46">
        <f t="shared" si="50"/>
        <v>121.91256623693822</v>
      </c>
      <c r="I411" s="37">
        <f t="shared" si="53"/>
        <v>44.827250605322185</v>
      </c>
      <c r="J411" s="210">
        <v>47.226671312678612</v>
      </c>
      <c r="K411" s="37">
        <f t="shared" si="51"/>
        <v>0.92626260899081703</v>
      </c>
      <c r="L411" s="117">
        <f t="shared" si="46"/>
        <v>1.1291141203598061</v>
      </c>
      <c r="M411" s="45">
        <f t="shared" si="52"/>
        <v>1.6971469812346377E-2</v>
      </c>
    </row>
    <row r="412" spans="1:13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625">
        <f t="shared" si="47"/>
        <v>3976</v>
      </c>
      <c r="G412" s="663">
        <f t="shared" si="49"/>
        <v>1.6303593913231995E-2</v>
      </c>
      <c r="H412" s="46">
        <f t="shared" si="50"/>
        <v>38.281816723903518</v>
      </c>
      <c r="I412" s="37">
        <f t="shared" si="53"/>
        <v>14.076224009379324</v>
      </c>
      <c r="J412" s="210">
        <v>14.829667125194295</v>
      </c>
      <c r="K412" s="37">
        <f t="shared" si="51"/>
        <v>0.2908561154120588</v>
      </c>
      <c r="L412" s="117">
        <f t="shared" si="46"/>
        <v>0.35455360468729968</v>
      </c>
      <c r="M412" s="45">
        <f t="shared" si="52"/>
        <v>1.6971469812346377E-2</v>
      </c>
    </row>
    <row r="413" spans="1:13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625">
        <f t="shared" si="47"/>
        <v>12839</v>
      </c>
      <c r="G413" s="663">
        <f t="shared" si="49"/>
        <v>5.2646338594563781E-2</v>
      </c>
      <c r="H413" s="46">
        <f t="shared" si="50"/>
        <v>123.61676180035143</v>
      </c>
      <c r="I413" s="37">
        <f t="shared" si="53"/>
        <v>45.453883313989223</v>
      </c>
      <c r="J413" s="210">
        <v>47.886845125847472</v>
      </c>
      <c r="K413" s="37">
        <f t="shared" si="51"/>
        <v>0.93921068052701784</v>
      </c>
      <c r="L413" s="117">
        <f t="shared" ref="L413:L476" si="54">K413*1.219</f>
        <v>1.1448978195624349</v>
      </c>
      <c r="M413" s="45">
        <f t="shared" si="52"/>
        <v>1.6971469812346377E-2</v>
      </c>
    </row>
    <row r="414" spans="1:13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625">
        <f t="shared" si="47"/>
        <v>10313</v>
      </c>
      <c r="G414" s="663">
        <f t="shared" si="49"/>
        <v>4.2288471837817296E-2</v>
      </c>
      <c r="H414" s="46">
        <f t="shared" si="50"/>
        <v>99.295869183505275</v>
      </c>
      <c r="I414" s="37">
        <f t="shared" si="53"/>
        <v>36.511091098774891</v>
      </c>
      <c r="J414" s="210">
        <v>38.465381554861352</v>
      </c>
      <c r="K414" s="37">
        <f t="shared" si="51"/>
        <v>0.75442633758666056</v>
      </c>
      <c r="L414" s="117">
        <f t="shared" si="54"/>
        <v>0.91964570551813929</v>
      </c>
      <c r="M414" s="45">
        <f t="shared" si="52"/>
        <v>1.6971469812346377E-2</v>
      </c>
    </row>
    <row r="415" spans="1:13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625">
        <f t="shared" si="47"/>
        <v>6385</v>
      </c>
      <c r="G415" s="663">
        <f t="shared" si="49"/>
        <v>2.6181701995972407E-2</v>
      </c>
      <c r="H415" s="46">
        <f t="shared" si="50"/>
        <v>61.476207188662968</v>
      </c>
      <c r="I415" s="37">
        <f t="shared" si="53"/>
        <v>22.604801383271376</v>
      </c>
      <c r="J415" s="210">
        <v>23.814744616289126</v>
      </c>
      <c r="K415" s="37">
        <f t="shared" si="51"/>
        <v>0.46708156360814773</v>
      </c>
      <c r="L415" s="117">
        <f t="shared" si="54"/>
        <v>0.56937242603833216</v>
      </c>
      <c r="M415" s="45">
        <f t="shared" si="52"/>
        <v>1.6971469812346377E-2</v>
      </c>
    </row>
    <row r="416" spans="1:13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625">
        <f t="shared" si="47"/>
        <v>3041.2</v>
      </c>
      <c r="G416" s="663">
        <f t="shared" si="49"/>
        <v>1.2470445122968094E-2</v>
      </c>
      <c r="H416" s="46">
        <f t="shared" si="50"/>
        <v>29.281353375436463</v>
      </c>
      <c r="I416" s="37">
        <f t="shared" si="53"/>
        <v>10.766753636147989</v>
      </c>
      <c r="J416" s="210">
        <v>11.3430542407296</v>
      </c>
      <c r="K416" s="37">
        <f t="shared" si="51"/>
        <v>0.22247274099375081</v>
      </c>
      <c r="L416" s="117">
        <f t="shared" si="54"/>
        <v>0.27119427127138224</v>
      </c>
      <c r="M416" s="45">
        <f t="shared" si="52"/>
        <v>1.6971469812346377E-2</v>
      </c>
    </row>
    <row r="417" spans="1:13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625">
        <f t="shared" si="47"/>
        <v>3886</v>
      </c>
      <c r="G417" s="663">
        <f t="shared" si="49"/>
        <v>1.593454877938117E-2</v>
      </c>
      <c r="H417" s="46">
        <f t="shared" si="50"/>
        <v>37.41527660691375</v>
      </c>
      <c r="I417" s="37">
        <f t="shared" si="53"/>
        <v>13.757597208362187</v>
      </c>
      <c r="J417" s="210">
        <v>14.493985525277923</v>
      </c>
      <c r="K417" s="37">
        <f t="shared" si="51"/>
        <v>0.28427235022416009</v>
      </c>
      <c r="L417" s="117">
        <f t="shared" si="54"/>
        <v>0.34652799492325115</v>
      </c>
      <c r="M417" s="45">
        <f t="shared" si="52"/>
        <v>1.6971469812346377E-2</v>
      </c>
    </row>
    <row r="418" spans="1:13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625">
        <f t="shared" si="47"/>
        <v>4071</v>
      </c>
      <c r="G418" s="663">
        <f t="shared" si="49"/>
        <v>1.6693141554518977E-2</v>
      </c>
      <c r="H418" s="46">
        <f t="shared" si="50"/>
        <v>39.196497958503826</v>
      </c>
      <c r="I418" s="37">
        <f t="shared" si="53"/>
        <v>14.412552299341858</v>
      </c>
      <c r="J418" s="210">
        <v>15.183997702883795</v>
      </c>
      <c r="K418" s="37">
        <f t="shared" si="51"/>
        <v>0.29780564533261855</v>
      </c>
      <c r="L418" s="117">
        <f t="shared" si="54"/>
        <v>0.36302508166046205</v>
      </c>
      <c r="M418" s="45">
        <f t="shared" si="52"/>
        <v>1.6971469812346377E-2</v>
      </c>
    </row>
    <row r="419" spans="1:13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625">
        <f t="shared" si="47"/>
        <v>352.6</v>
      </c>
      <c r="G419" s="663">
        <f t="shared" si="49"/>
        <v>1.4458368243977873E-3</v>
      </c>
      <c r="H419" s="46">
        <f t="shared" si="50"/>
        <v>3.3949116138954682</v>
      </c>
      <c r="I419" s="37">
        <f t="shared" si="53"/>
        <v>1.2483090004293638</v>
      </c>
      <c r="J419" s="210">
        <v>1.3151259125612444</v>
      </c>
      <c r="K419" s="37">
        <f t="shared" si="51"/>
        <v>2.5793728947256525E-2</v>
      </c>
      <c r="L419" s="117">
        <f t="shared" si="54"/>
        <v>3.1442555586705709E-2</v>
      </c>
      <c r="M419" s="45">
        <f t="shared" si="52"/>
        <v>1.6971469812346377E-2</v>
      </c>
    </row>
    <row r="420" spans="1:13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625">
        <f t="shared" si="47"/>
        <v>656.95</v>
      </c>
      <c r="G420" s="663">
        <f t="shared" si="49"/>
        <v>2.6938244520366599E-3</v>
      </c>
      <c r="H420" s="46">
        <f t="shared" si="50"/>
        <v>6.3252614428491993</v>
      </c>
      <c r="I420" s="37">
        <f t="shared" si="53"/>
        <v>2.3257986325356508</v>
      </c>
      <c r="J420" s="210">
        <v>2.4502891896117687</v>
      </c>
      <c r="K420" s="37">
        <f t="shared" si="51"/>
        <v>4.8057828224334014E-2</v>
      </c>
      <c r="L420" s="117">
        <f t="shared" si="54"/>
        <v>5.8582492605463166E-2</v>
      </c>
      <c r="M420" s="45">
        <f t="shared" si="52"/>
        <v>1.6971469812346377E-2</v>
      </c>
    </row>
    <row r="421" spans="1:13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625">
        <f t="shared" si="47"/>
        <v>485.16</v>
      </c>
      <c r="G421" s="663">
        <f t="shared" si="49"/>
        <v>1.9893993015451801E-3</v>
      </c>
      <c r="H421" s="46">
        <f t="shared" si="50"/>
        <v>4.6712289239861757</v>
      </c>
      <c r="I421" s="37">
        <f t="shared" si="53"/>
        <v>1.717610875349717</v>
      </c>
      <c r="J421" s="210">
        <v>1.8095476112825111</v>
      </c>
      <c r="K421" s="37">
        <f t="shared" si="51"/>
        <v>3.5490883539566011E-2</v>
      </c>
      <c r="L421" s="117">
        <f t="shared" si="54"/>
        <v>4.3263387034730968E-2</v>
      </c>
      <c r="M421" s="45">
        <f t="shared" si="52"/>
        <v>1.6971469812346381E-2</v>
      </c>
    </row>
    <row r="422" spans="1:13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625">
        <f t="shared" si="47"/>
        <v>286.92</v>
      </c>
      <c r="G422" s="663">
        <f t="shared" si="49"/>
        <v>1.1765158867164298E-3</v>
      </c>
      <c r="H422" s="46">
        <f t="shared" si="50"/>
        <v>2.7625298929633804</v>
      </c>
      <c r="I422" s="37">
        <f t="shared" si="53"/>
        <v>1.015782241642635</v>
      </c>
      <c r="J422" s="210">
        <v>1.0701529405333869</v>
      </c>
      <c r="K422" s="37">
        <f t="shared" si="51"/>
        <v>2.0989043419021108E-2</v>
      </c>
      <c r="L422" s="117">
        <f t="shared" si="54"/>
        <v>2.5585643927786735E-2</v>
      </c>
      <c r="M422" s="45">
        <f t="shared" si="52"/>
        <v>1.6971469812346381E-2</v>
      </c>
    </row>
    <row r="423" spans="1:13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625">
        <f t="shared" si="47"/>
        <v>226.94</v>
      </c>
      <c r="G423" s="663">
        <f t="shared" si="49"/>
        <v>9.3056780751229107E-4</v>
      </c>
      <c r="H423" s="46">
        <f t="shared" si="50"/>
        <v>2.1850290461073101</v>
      </c>
      <c r="I423" s="37">
        <f t="shared" si="53"/>
        <v>0.80343518025365801</v>
      </c>
      <c r="J423" s="210">
        <v>0.84643980316689971</v>
      </c>
      <c r="K423" s="37">
        <f t="shared" si="51"/>
        <v>1.6601329686019274E-2</v>
      </c>
      <c r="L423" s="117">
        <f t="shared" si="54"/>
        <v>2.0237020887257498E-2</v>
      </c>
      <c r="M423" s="45">
        <f t="shared" si="52"/>
        <v>1.6971469812346377E-2</v>
      </c>
    </row>
    <row r="424" spans="1:13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625">
        <f t="shared" si="47"/>
        <v>307.14999999999998</v>
      </c>
      <c r="G424" s="663">
        <f t="shared" si="49"/>
        <v>1.2594690318031205E-3</v>
      </c>
      <c r="H424" s="46">
        <f t="shared" si="50"/>
        <v>2.957308854815635</v>
      </c>
      <c r="I424" s="37">
        <f t="shared" si="53"/>
        <v>1.0874024659157091</v>
      </c>
      <c r="J424" s="210">
        <v>1.1456067046034777</v>
      </c>
      <c r="K424" s="37">
        <f t="shared" si="51"/>
        <v>2.246892752736767E-2</v>
      </c>
      <c r="L424" s="117">
        <f t="shared" si="54"/>
        <v>2.7389622655861191E-2</v>
      </c>
      <c r="M424" s="45">
        <f t="shared" si="52"/>
        <v>1.6971469812346377E-2</v>
      </c>
    </row>
    <row r="425" spans="1:13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625">
        <f t="shared" si="47"/>
        <v>329.65</v>
      </c>
      <c r="G425" s="663">
        <f t="shared" si="49"/>
        <v>1.3517303152658267E-3</v>
      </c>
      <c r="H425" s="46">
        <f t="shared" si="50"/>
        <v>3.1739438840630769</v>
      </c>
      <c r="I425" s="37">
        <f t="shared" si="53"/>
        <v>1.1670591661699934</v>
      </c>
      <c r="J425" s="210">
        <v>1.22952710458257</v>
      </c>
      <c r="K425" s="37">
        <f t="shared" si="51"/>
        <v>2.4114868824342349E-2</v>
      </c>
      <c r="L425" s="117">
        <f t="shared" si="54"/>
        <v>2.9396025096873325E-2</v>
      </c>
      <c r="M425" s="45">
        <f t="shared" si="52"/>
        <v>1.6971469812346377E-2</v>
      </c>
    </row>
    <row r="426" spans="1:13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625">
        <f t="shared" si="47"/>
        <v>255.16</v>
      </c>
      <c r="G426" s="663">
        <f t="shared" si="49"/>
        <v>1.0462839594819607E-3</v>
      </c>
      <c r="H426" s="46">
        <f t="shared" si="50"/>
        <v>2.4567375139012126</v>
      </c>
      <c r="I426" s="37">
        <f t="shared" si="53"/>
        <v>0.90334238386147592</v>
      </c>
      <c r="J426" s="210">
        <v>0.95169463371845486</v>
      </c>
      <c r="K426" s="37">
        <f t="shared" si="51"/>
        <v>1.8665705837158181E-2</v>
      </c>
      <c r="L426" s="117">
        <f t="shared" si="54"/>
        <v>2.2753495415495824E-2</v>
      </c>
      <c r="M426" s="45">
        <f t="shared" si="52"/>
        <v>1.6971469812346377E-2</v>
      </c>
    </row>
    <row r="427" spans="1:13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625">
        <f t="shared" si="47"/>
        <v>509.32</v>
      </c>
      <c r="G427" s="663">
        <f t="shared" si="49"/>
        <v>2.08846741747669E-3</v>
      </c>
      <c r="H427" s="46">
        <f t="shared" si="50"/>
        <v>4.9038468042803167</v>
      </c>
      <c r="I427" s="37">
        <f t="shared" si="53"/>
        <v>1.8031444699338726</v>
      </c>
      <c r="J427" s="210">
        <v>1.8996594718822832</v>
      </c>
      <c r="K427" s="37">
        <f t="shared" si="51"/>
        <v>3.7258258727784148E-2</v>
      </c>
      <c r="L427" s="117">
        <f t="shared" si="54"/>
        <v>4.5417817389168877E-2</v>
      </c>
      <c r="M427" s="45">
        <f t="shared" si="52"/>
        <v>1.6971469812346374E-2</v>
      </c>
    </row>
    <row r="428" spans="1:13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625">
        <f t="shared" si="47"/>
        <v>509.19</v>
      </c>
      <c r="G428" s="663">
        <f t="shared" si="49"/>
        <v>2.0879343522833501E-3</v>
      </c>
      <c r="H428" s="46">
        <f t="shared" si="50"/>
        <v>4.9025951352224428</v>
      </c>
      <c r="I428" s="37">
        <f t="shared" si="53"/>
        <v>1.8026842312212923</v>
      </c>
      <c r="J428" s="210">
        <v>1.8991745984601816</v>
      </c>
      <c r="K428" s="37">
        <f t="shared" si="51"/>
        <v>3.7248748844734968E-2</v>
      </c>
      <c r="L428" s="117">
        <f t="shared" si="54"/>
        <v>4.5406224841731929E-2</v>
      </c>
      <c r="M428" s="45">
        <f t="shared" si="52"/>
        <v>1.6971469812346377E-2</v>
      </c>
    </row>
    <row r="429" spans="1:13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625">
        <f t="shared" si="47"/>
        <v>291.43</v>
      </c>
      <c r="G429" s="663">
        <f t="shared" si="49"/>
        <v>1.1950091484238432E-3</v>
      </c>
      <c r="H429" s="46">
        <f t="shared" si="50"/>
        <v>2.8059531810480891</v>
      </c>
      <c r="I429" s="37">
        <f t="shared" si="53"/>
        <v>1.0317489846713825</v>
      </c>
      <c r="J429" s="210">
        <v>1.0869743184847518</v>
      </c>
      <c r="K429" s="37">
        <f t="shared" si="51"/>
        <v>2.1318963207881365E-2</v>
      </c>
      <c r="L429" s="117">
        <f t="shared" si="54"/>
        <v>2.5987816150407385E-2</v>
      </c>
      <c r="M429" s="45">
        <f t="shared" si="52"/>
        <v>1.6971469812346377E-2</v>
      </c>
    </row>
    <row r="430" spans="1:13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625">
        <f t="shared" si="47"/>
        <v>449.48</v>
      </c>
      <c r="G430" s="663">
        <f t="shared" si="49"/>
        <v>1.843093408480764E-3</v>
      </c>
      <c r="H430" s="46">
        <f t="shared" si="50"/>
        <v>4.3276939087173432</v>
      </c>
      <c r="I430" s="37">
        <f t="shared" si="53"/>
        <v>1.5912930502353673</v>
      </c>
      <c r="J430" s="210">
        <v>1.6764685058934434</v>
      </c>
      <c r="K430" s="37">
        <f t="shared" si="51"/>
        <v>3.288078640729683E-2</v>
      </c>
      <c r="L430" s="117">
        <f t="shared" si="54"/>
        <v>4.0081678630494839E-2</v>
      </c>
      <c r="M430" s="45">
        <f t="shared" si="52"/>
        <v>1.6971469812346381E-2</v>
      </c>
    </row>
    <row r="431" spans="1:13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625">
        <f t="shared" si="47"/>
        <v>467.46</v>
      </c>
      <c r="G431" s="663">
        <f t="shared" si="49"/>
        <v>1.9168204252211843E-3</v>
      </c>
      <c r="H431" s="46">
        <f t="shared" si="50"/>
        <v>4.5008093676448535</v>
      </c>
      <c r="I431" s="37">
        <f t="shared" si="53"/>
        <v>1.6549476044830127</v>
      </c>
      <c r="J431" s="210">
        <v>1.7435302299656248</v>
      </c>
      <c r="K431" s="37">
        <f t="shared" si="51"/>
        <v>3.4196076385945927E-2</v>
      </c>
      <c r="L431" s="117">
        <f t="shared" si="54"/>
        <v>4.1685017114468086E-2</v>
      </c>
      <c r="M431" s="45">
        <f t="shared" si="52"/>
        <v>1.6971469812346377E-2</v>
      </c>
    </row>
    <row r="432" spans="1:13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625">
        <f t="shared" si="47"/>
        <v>558.4</v>
      </c>
      <c r="G432" s="663">
        <f t="shared" si="49"/>
        <v>2.2897200304700066E-3</v>
      </c>
      <c r="H432" s="46">
        <f t="shared" si="50"/>
        <v>5.3764000147454034</v>
      </c>
      <c r="I432" s="37">
        <f t="shared" si="53"/>
        <v>1.976902285421885</v>
      </c>
      <c r="J432" s="210">
        <v>2.0827178377033433</v>
      </c>
      <c r="K432" s="37">
        <f t="shared" si="51"/>
        <v>4.0848605343584921E-2</v>
      </c>
      <c r="L432" s="117">
        <f t="shared" si="54"/>
        <v>4.9794449913830023E-2</v>
      </c>
      <c r="M432" s="45">
        <f t="shared" si="52"/>
        <v>1.6971469812346377E-2</v>
      </c>
    </row>
    <row r="433" spans="1:13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625">
        <f t="shared" si="47"/>
        <v>331.42</v>
      </c>
      <c r="G433" s="663">
        <f t="shared" si="49"/>
        <v>1.3589882028982264E-3</v>
      </c>
      <c r="H433" s="46">
        <f t="shared" si="50"/>
        <v>3.1909858396972095</v>
      </c>
      <c r="I433" s="37">
        <f t="shared" si="53"/>
        <v>1.1733254932566639</v>
      </c>
      <c r="J433" s="210">
        <v>1.2361288427142587</v>
      </c>
      <c r="K433" s="37">
        <f t="shared" si="51"/>
        <v>2.4244349539704359E-2</v>
      </c>
      <c r="L433" s="117">
        <f t="shared" si="54"/>
        <v>2.9553862088899617E-2</v>
      </c>
      <c r="M433" s="45">
        <f t="shared" si="52"/>
        <v>1.6971469812346377E-2</v>
      </c>
    </row>
    <row r="434" spans="1:13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625">
        <f t="shared" si="47"/>
        <v>154.9</v>
      </c>
      <c r="G434" s="663">
        <f t="shared" si="49"/>
        <v>6.3516768037214194E-4</v>
      </c>
      <c r="H434" s="46">
        <f t="shared" si="50"/>
        <v>1.4914118235746117</v>
      </c>
      <c r="I434" s="37">
        <f t="shared" si="53"/>
        <v>0.54839212752838473</v>
      </c>
      <c r="J434" s="210">
        <v>0.57774533141161877</v>
      </c>
      <c r="K434" s="37">
        <f t="shared" si="51"/>
        <v>1.1331391417839011E-2</v>
      </c>
      <c r="L434" s="117">
        <f t="shared" si="54"/>
        <v>1.3812966138345756E-2</v>
      </c>
      <c r="M434" s="45">
        <f t="shared" si="52"/>
        <v>1.6971469812346381E-2</v>
      </c>
    </row>
    <row r="435" spans="1:13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625">
        <f t="shared" si="47"/>
        <v>119.9</v>
      </c>
      <c r="G435" s="663">
        <f t="shared" si="49"/>
        <v>4.9165012831904338E-4</v>
      </c>
      <c r="H435" s="46">
        <f t="shared" si="50"/>
        <v>1.154424000300813</v>
      </c>
      <c r="I435" s="37">
        <f t="shared" si="53"/>
        <v>0.42448170491060899</v>
      </c>
      <c r="J435" s="210">
        <v>0.44720248699969722</v>
      </c>
      <c r="K435" s="37">
        <f t="shared" si="51"/>
        <v>8.7710382892117345E-3</v>
      </c>
      <c r="L435" s="117">
        <f t="shared" si="54"/>
        <v>1.0691895674549106E-2</v>
      </c>
      <c r="M435" s="45">
        <f t="shared" si="52"/>
        <v>1.6971469812346381E-2</v>
      </c>
    </row>
    <row r="436" spans="1:13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625">
        <f t="shared" si="47"/>
        <v>300.3</v>
      </c>
      <c r="G436" s="663">
        <f t="shared" si="49"/>
        <v>1.2313805966155857E-3</v>
      </c>
      <c r="H436" s="46">
        <f t="shared" si="50"/>
        <v>2.8913555236891924</v>
      </c>
      <c r="I436" s="37">
        <f t="shared" si="53"/>
        <v>1.0631514260605162</v>
      </c>
      <c r="J436" s="210">
        <v>1.1200576050542874</v>
      </c>
      <c r="K436" s="37">
        <f t="shared" si="51"/>
        <v>2.1967829843622048E-2</v>
      </c>
      <c r="L436" s="117">
        <f t="shared" si="54"/>
        <v>2.677878457937528E-2</v>
      </c>
      <c r="M436" s="45">
        <f t="shared" si="52"/>
        <v>1.6971469812346381E-2</v>
      </c>
    </row>
    <row r="437" spans="1:13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625">
        <f t="shared" si="47"/>
        <v>226.84</v>
      </c>
      <c r="G437" s="663">
        <f t="shared" si="49"/>
        <v>9.3015775736356794E-4</v>
      </c>
      <c r="H437" s="46">
        <f t="shared" si="50"/>
        <v>2.1840662237550994</v>
      </c>
      <c r="I437" s="37">
        <f t="shared" si="53"/>
        <v>0.80308115047475015</v>
      </c>
      <c r="J437" s="210">
        <v>0.84606682361143704</v>
      </c>
      <c r="K437" s="37">
        <f t="shared" si="51"/>
        <v>1.6594014391366051E-2</v>
      </c>
      <c r="L437" s="117">
        <f t="shared" si="54"/>
        <v>2.0228103543075217E-2</v>
      </c>
      <c r="M437" s="45">
        <f t="shared" si="52"/>
        <v>1.6971469812346381E-2</v>
      </c>
    </row>
    <row r="438" spans="1:13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625">
        <f t="shared" si="47"/>
        <v>216.3</v>
      </c>
      <c r="G438" s="663">
        <f t="shared" si="49"/>
        <v>8.8693847168814914E-4</v>
      </c>
      <c r="H438" s="46">
        <f t="shared" si="50"/>
        <v>2.0825847478320756</v>
      </c>
      <c r="I438" s="37">
        <f t="shared" si="53"/>
        <v>0.76576641177785421</v>
      </c>
      <c r="J438" s="210">
        <v>0.80675477846567556</v>
      </c>
      <c r="K438" s="37">
        <f t="shared" si="51"/>
        <v>1.582298233491658E-2</v>
      </c>
      <c r="L438" s="117">
        <f t="shared" si="54"/>
        <v>1.9288215466263314E-2</v>
      </c>
      <c r="M438" s="45">
        <f t="shared" si="52"/>
        <v>1.6971469812346381E-2</v>
      </c>
    </row>
    <row r="439" spans="1:13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625">
        <f t="shared" si="47"/>
        <v>307.64999999999998</v>
      </c>
      <c r="G439" s="663">
        <f t="shared" si="49"/>
        <v>1.2615192825467362E-3</v>
      </c>
      <c r="H439" s="46">
        <f t="shared" si="50"/>
        <v>2.9621229665766893</v>
      </c>
      <c r="I439" s="37">
        <f t="shared" si="53"/>
        <v>1.0891726148102487</v>
      </c>
      <c r="J439" s="210">
        <v>1.1474716023807907</v>
      </c>
      <c r="K439" s="37">
        <f t="shared" si="51"/>
        <v>2.2505504000633773E-2</v>
      </c>
      <c r="L439" s="117">
        <f t="shared" si="54"/>
        <v>2.7434209376772573E-2</v>
      </c>
      <c r="M439" s="45">
        <f t="shared" si="52"/>
        <v>1.6971469812346377E-2</v>
      </c>
    </row>
    <row r="440" spans="1:13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625">
        <f t="shared" si="47"/>
        <v>350.66</v>
      </c>
      <c r="G440" s="663">
        <f t="shared" si="49"/>
        <v>1.4378818515125584E-3</v>
      </c>
      <c r="H440" s="46">
        <f t="shared" si="50"/>
        <v>3.376232860262578</v>
      </c>
      <c r="I440" s="37">
        <f t="shared" si="53"/>
        <v>1.2414408227185501</v>
      </c>
      <c r="J440" s="210">
        <v>1.3078901091852695</v>
      </c>
      <c r="K440" s="37">
        <f t="shared" si="51"/>
        <v>2.565181223098404E-2</v>
      </c>
      <c r="L440" s="117">
        <f t="shared" si="54"/>
        <v>3.126955910956955E-2</v>
      </c>
      <c r="M440" s="45">
        <f t="shared" si="52"/>
        <v>1.6971469812346377E-2</v>
      </c>
    </row>
    <row r="441" spans="1:13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625">
        <f t="shared" si="47"/>
        <v>485.8</v>
      </c>
      <c r="G441" s="663">
        <f t="shared" si="49"/>
        <v>1.9920236224970078E-3</v>
      </c>
      <c r="H441" s="46">
        <f t="shared" si="50"/>
        <v>4.6773909870403241</v>
      </c>
      <c r="I441" s="37">
        <f t="shared" si="53"/>
        <v>1.7198766659347273</v>
      </c>
      <c r="J441" s="210">
        <v>1.8119346804374716</v>
      </c>
      <c r="K441" s="37">
        <f t="shared" si="51"/>
        <v>3.5537701425346617E-2</v>
      </c>
      <c r="L441" s="117">
        <f t="shared" si="54"/>
        <v>4.3320458037497532E-2</v>
      </c>
      <c r="M441" s="45">
        <f t="shared" si="52"/>
        <v>1.6971469812346377E-2</v>
      </c>
    </row>
    <row r="442" spans="1:13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625">
        <f t="shared" si="47"/>
        <v>402.96</v>
      </c>
      <c r="G442" s="663">
        <f t="shared" si="49"/>
        <v>1.6523380792947597E-3</v>
      </c>
      <c r="H442" s="46">
        <f t="shared" si="50"/>
        <v>3.8797889504688534</v>
      </c>
      <c r="I442" s="37">
        <f t="shared" si="53"/>
        <v>1.4265983970873974</v>
      </c>
      <c r="J442" s="210">
        <v>1.5029584166922265</v>
      </c>
      <c r="K442" s="37">
        <f t="shared" si="51"/>
        <v>2.9477711334618514E-2</v>
      </c>
      <c r="L442" s="117">
        <f t="shared" si="54"/>
        <v>3.5933330116899968E-2</v>
      </c>
      <c r="M442" s="45">
        <f t="shared" si="52"/>
        <v>1.6971469812346377E-2</v>
      </c>
    </row>
    <row r="443" spans="1:13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625">
        <f t="shared" si="47"/>
        <v>526.67999999999995</v>
      </c>
      <c r="G443" s="663">
        <f t="shared" si="49"/>
        <v>2.1596521232950267E-3</v>
      </c>
      <c r="H443" s="46">
        <f t="shared" si="50"/>
        <v>5.07099276462412</v>
      </c>
      <c r="I443" s="37">
        <f t="shared" si="53"/>
        <v>1.8646040395522891</v>
      </c>
      <c r="J443" s="210">
        <v>1.964408722710596</v>
      </c>
      <c r="K443" s="37">
        <f t="shared" si="51"/>
        <v>3.8528193879583277E-2</v>
      </c>
      <c r="L443" s="117">
        <f t="shared" si="54"/>
        <v>4.696586833921202E-2</v>
      </c>
      <c r="M443" s="45">
        <f t="shared" si="52"/>
        <v>1.6971469812346377E-2</v>
      </c>
    </row>
    <row r="444" spans="1:13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625">
        <f t="shared" si="47"/>
        <v>198.5</v>
      </c>
      <c r="G444" s="663">
        <f t="shared" si="49"/>
        <v>8.1394954521543043E-4</v>
      </c>
      <c r="H444" s="46">
        <f t="shared" si="50"/>
        <v>1.9112023691385436</v>
      </c>
      <c r="I444" s="37">
        <f t="shared" si="53"/>
        <v>0.70274911113224248</v>
      </c>
      <c r="J444" s="210">
        <v>0.74036441759332683</v>
      </c>
      <c r="K444" s="37">
        <f t="shared" si="51"/>
        <v>1.4520859886643278E-2</v>
      </c>
      <c r="L444" s="117">
        <f t="shared" si="54"/>
        <v>1.7700928201818157E-2</v>
      </c>
      <c r="M444" s="45">
        <f t="shared" si="52"/>
        <v>1.6971469812346381E-2</v>
      </c>
    </row>
    <row r="445" spans="1:13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625">
        <f t="shared" si="47"/>
        <v>879.8</v>
      </c>
      <c r="G445" s="663">
        <f t="shared" si="49"/>
        <v>3.6076212084661745E-3</v>
      </c>
      <c r="H445" s="46">
        <f t="shared" si="50"/>
        <v>8.4709110547510864</v>
      </c>
      <c r="I445" s="37">
        <f t="shared" si="53"/>
        <v>3.1147539948319749</v>
      </c>
      <c r="J445" s="210">
        <v>3.2814741289602463</v>
      </c>
      <c r="K445" s="37">
        <f t="shared" si="51"/>
        <v>6.4359962359036557E-2</v>
      </c>
      <c r="L445" s="117">
        <f t="shared" si="54"/>
        <v>7.8454794115665569E-2</v>
      </c>
      <c r="M445" s="45">
        <f t="shared" si="52"/>
        <v>1.6971469812346381E-2</v>
      </c>
    </row>
    <row r="446" spans="1:13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625">
        <f t="shared" si="47"/>
        <v>1786.8</v>
      </c>
      <c r="G446" s="663">
        <f t="shared" si="49"/>
        <v>7.326776057385043E-3</v>
      </c>
      <c r="H446" s="46">
        <f t="shared" si="50"/>
        <v>17.203709789303524</v>
      </c>
      <c r="I446" s="37">
        <f t="shared" si="53"/>
        <v>6.3258040895269065</v>
      </c>
      <c r="J446" s="210">
        <v>6.6643986970063285</v>
      </c>
      <c r="K446" s="37">
        <f t="shared" si="51"/>
        <v>0.13070968486374918</v>
      </c>
      <c r="L446" s="117">
        <f t="shared" si="54"/>
        <v>0.15933510584891025</v>
      </c>
      <c r="M446" s="45">
        <f t="shared" si="52"/>
        <v>1.6971469812346377E-2</v>
      </c>
    </row>
    <row r="447" spans="1:13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625">
        <f t="shared" si="47"/>
        <v>776.28</v>
      </c>
      <c r="G447" s="663">
        <f t="shared" si="49"/>
        <v>3.1831372945079813E-3</v>
      </c>
      <c r="H447" s="46">
        <f t="shared" si="50"/>
        <v>7.4741973557424108</v>
      </c>
      <c r="I447" s="37">
        <f t="shared" si="53"/>
        <v>2.7482623677064848</v>
      </c>
      <c r="J447" s="210">
        <v>2.8953656931453287</v>
      </c>
      <c r="K447" s="37">
        <f t="shared" si="51"/>
        <v>5.6787169334022385E-2</v>
      </c>
      <c r="L447" s="117">
        <f t="shared" si="54"/>
        <v>6.9223559418173292E-2</v>
      </c>
      <c r="M447" s="45">
        <f t="shared" si="52"/>
        <v>1.6971469812346381E-2</v>
      </c>
    </row>
    <row r="448" spans="1:13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625">
        <f t="shared" ref="F448:F510" si="55">C448+D448+E448</f>
        <v>475.29</v>
      </c>
      <c r="G448" s="663">
        <f t="shared" si="49"/>
        <v>1.9489273518662061E-3</v>
      </c>
      <c r="H448" s="46">
        <f t="shared" si="50"/>
        <v>4.5761983578229639</v>
      </c>
      <c r="I448" s="37">
        <f t="shared" si="53"/>
        <v>1.6826681361715039</v>
      </c>
      <c r="J448" s="210">
        <v>1.7727345291583492</v>
      </c>
      <c r="K448" s="37">
        <f t="shared" si="51"/>
        <v>3.4768863957293117E-2</v>
      </c>
      <c r="L448" s="117">
        <f t="shared" si="54"/>
        <v>4.2383245163940313E-2</v>
      </c>
      <c r="M448" s="45">
        <f t="shared" si="52"/>
        <v>1.6971469812346377E-2</v>
      </c>
    </row>
    <row r="449" spans="1:13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625">
        <f t="shared" si="55"/>
        <v>487.96</v>
      </c>
      <c r="G449" s="663">
        <f t="shared" si="49"/>
        <v>2.0008807057094275E-3</v>
      </c>
      <c r="H449" s="46">
        <f t="shared" si="50"/>
        <v>4.6981879498480783</v>
      </c>
      <c r="I449" s="37">
        <f t="shared" si="53"/>
        <v>1.7275237091591384</v>
      </c>
      <c r="J449" s="210">
        <v>1.8199910388354645</v>
      </c>
      <c r="K449" s="37">
        <f t="shared" si="51"/>
        <v>3.5695711789856185E-2</v>
      </c>
      <c r="L449" s="117">
        <f t="shared" si="54"/>
        <v>4.3513072671834692E-2</v>
      </c>
      <c r="M449" s="45">
        <f t="shared" si="52"/>
        <v>1.6971469812346377E-2</v>
      </c>
    </row>
    <row r="450" spans="1:13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625">
        <f t="shared" si="55"/>
        <v>1058.94</v>
      </c>
      <c r="G450" s="663">
        <f t="shared" ref="G450:G513" si="56">1/243872.61*F450</f>
        <v>4.3421850448888055E-3</v>
      </c>
      <c r="H450" s="46">
        <f t="shared" ref="H450:H513" si="57">G450*2348.06</f>
        <v>10.195711016501608</v>
      </c>
      <c r="I450" s="37">
        <f t="shared" si="53"/>
        <v>3.7489629407676417</v>
      </c>
      <c r="J450" s="210">
        <v>3.9496297046160076</v>
      </c>
      <c r="K450" s="37">
        <f t="shared" ref="K450:K513" si="58">G450*17.84</f>
        <v>7.7464581200816285E-2</v>
      </c>
      <c r="L450" s="117">
        <f t="shared" si="54"/>
        <v>9.4429324483795055E-2</v>
      </c>
      <c r="M450" s="45">
        <f t="shared" si="52"/>
        <v>1.6971469812346377E-2</v>
      </c>
    </row>
    <row r="451" spans="1:13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625">
        <f t="shared" si="55"/>
        <v>435.39</v>
      </c>
      <c r="G451" s="663">
        <f t="shared" si="56"/>
        <v>1.7853173425256736E-3</v>
      </c>
      <c r="H451" s="46">
        <f t="shared" si="57"/>
        <v>4.1920322392908336</v>
      </c>
      <c r="I451" s="37">
        <f t="shared" si="53"/>
        <v>1.5414102543872397</v>
      </c>
      <c r="J451" s="210">
        <v>1.6239156865287585</v>
      </c>
      <c r="K451" s="37">
        <f t="shared" si="58"/>
        <v>3.1850061390658019E-2</v>
      </c>
      <c r="L451" s="117">
        <f t="shared" si="54"/>
        <v>3.8825224835212127E-2</v>
      </c>
      <c r="M451" s="45">
        <f t="shared" si="52"/>
        <v>1.6971469812346377E-2</v>
      </c>
    </row>
    <row r="452" spans="1:13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625">
        <f t="shared" si="55"/>
        <v>539.61</v>
      </c>
      <c r="G452" s="663">
        <f t="shared" si="56"/>
        <v>2.2126716075249291E-3</v>
      </c>
      <c r="H452" s="46">
        <f t="shared" si="57"/>
        <v>5.1954856947649848</v>
      </c>
      <c r="I452" s="37">
        <f t="shared" si="53"/>
        <v>1.9103800899650851</v>
      </c>
      <c r="J452" s="210">
        <v>2.0126349792319149</v>
      </c>
      <c r="K452" s="37">
        <f t="shared" si="58"/>
        <v>3.9474061478244733E-2</v>
      </c>
      <c r="L452" s="117">
        <f t="shared" si="54"/>
        <v>4.811888094198033E-2</v>
      </c>
      <c r="M452" s="45">
        <f t="shared" si="52"/>
        <v>1.6971469812346377E-2</v>
      </c>
    </row>
    <row r="453" spans="1:13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625">
        <f t="shared" si="55"/>
        <v>466.35</v>
      </c>
      <c r="G453" s="663">
        <f t="shared" si="56"/>
        <v>1.9122688685703575E-3</v>
      </c>
      <c r="H453" s="46">
        <f t="shared" si="57"/>
        <v>4.4901220395353132</v>
      </c>
      <c r="I453" s="37">
        <f t="shared" si="53"/>
        <v>1.6510178739371348</v>
      </c>
      <c r="J453" s="210">
        <v>1.7393901568999897</v>
      </c>
      <c r="K453" s="37">
        <f t="shared" si="58"/>
        <v>3.4114876615295178E-2</v>
      </c>
      <c r="L453" s="117">
        <f t="shared" si="54"/>
        <v>4.1586034594044828E-2</v>
      </c>
      <c r="M453" s="45">
        <f t="shared" si="52"/>
        <v>1.6971469812346377E-2</v>
      </c>
    </row>
    <row r="454" spans="1:13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625">
        <f t="shared" si="55"/>
        <v>270.3</v>
      </c>
      <c r="G454" s="663">
        <f t="shared" si="56"/>
        <v>1.1083655519986441E-3</v>
      </c>
      <c r="H454" s="46">
        <f t="shared" si="57"/>
        <v>2.6025088180259361</v>
      </c>
      <c r="I454" s="37">
        <f t="shared" si="53"/>
        <v>0.95694249238813678</v>
      </c>
      <c r="J454" s="210">
        <v>1.0081637384154976</v>
      </c>
      <c r="K454" s="37">
        <f t="shared" si="58"/>
        <v>1.9773241447655812E-2</v>
      </c>
      <c r="L454" s="117">
        <f t="shared" si="54"/>
        <v>2.4103581324692435E-2</v>
      </c>
      <c r="M454" s="45">
        <f t="shared" si="52"/>
        <v>1.6971469812346381E-2</v>
      </c>
    </row>
    <row r="455" spans="1:13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625">
        <f t="shared" si="55"/>
        <v>1056.99</v>
      </c>
      <c r="G455" s="663">
        <f t="shared" si="56"/>
        <v>4.3341890669887041E-3</v>
      </c>
      <c r="H455" s="46">
        <f t="shared" si="57"/>
        <v>10.176935980633496</v>
      </c>
      <c r="I455" s="37">
        <f t="shared" si="53"/>
        <v>3.7420593600789371</v>
      </c>
      <c r="J455" s="210">
        <v>3.9423566032844857</v>
      </c>
      <c r="K455" s="37">
        <f t="shared" si="58"/>
        <v>7.7321932955078485E-2</v>
      </c>
      <c r="L455" s="117">
        <f t="shared" si="54"/>
        <v>9.4255436272240672E-2</v>
      </c>
      <c r="M455" s="45">
        <f t="shared" ref="M455:M518" si="59">(K455+J455+I455+H455)/F455</f>
        <v>1.6971469812346374E-2</v>
      </c>
    </row>
    <row r="456" spans="1:13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625">
        <f t="shared" si="55"/>
        <v>353.79999999999995</v>
      </c>
      <c r="G456" s="663">
        <f t="shared" si="56"/>
        <v>1.4507574261824648E-3</v>
      </c>
      <c r="H456" s="46">
        <f t="shared" si="57"/>
        <v>3.4064654821219982</v>
      </c>
      <c r="I456" s="37">
        <f t="shared" si="53"/>
        <v>1.2525573577762588</v>
      </c>
      <c r="J456" s="210">
        <v>1.3196016672267961</v>
      </c>
      <c r="K456" s="37">
        <f t="shared" si="58"/>
        <v>2.588151248309517E-2</v>
      </c>
      <c r="L456" s="117">
        <f t="shared" si="54"/>
        <v>3.1549563716893013E-2</v>
      </c>
      <c r="M456" s="45">
        <f t="shared" si="59"/>
        <v>1.6971469812346381E-2</v>
      </c>
    </row>
    <row r="457" spans="1:13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625">
        <f t="shared" si="55"/>
        <v>239.3</v>
      </c>
      <c r="G457" s="663">
        <f t="shared" si="56"/>
        <v>9.8125000589447103E-4</v>
      </c>
      <c r="H457" s="46">
        <f t="shared" si="57"/>
        <v>2.3040338888405714</v>
      </c>
      <c r="I457" s="37">
        <f t="shared" si="53"/>
        <v>0.84719326092667813</v>
      </c>
      <c r="J457" s="210">
        <v>0.8925400762220812</v>
      </c>
      <c r="K457" s="37">
        <f t="shared" si="58"/>
        <v>1.7505500105157362E-2</v>
      </c>
      <c r="L457" s="117">
        <f t="shared" si="54"/>
        <v>2.1339204628186826E-2</v>
      </c>
      <c r="M457" s="45">
        <f t="shared" si="59"/>
        <v>1.6971469812346377E-2</v>
      </c>
    </row>
    <row r="458" spans="1:13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625">
        <f t="shared" si="55"/>
        <v>144.6</v>
      </c>
      <c r="G458" s="663">
        <f t="shared" si="56"/>
        <v>5.9293251505365858E-4</v>
      </c>
      <c r="H458" s="46">
        <f t="shared" si="57"/>
        <v>1.3922411212968935</v>
      </c>
      <c r="I458" s="37">
        <f t="shared" si="53"/>
        <v>0.51192706030086776</v>
      </c>
      <c r="J458" s="210">
        <v>0.5393284371989675</v>
      </c>
      <c r="K458" s="37">
        <f t="shared" si="58"/>
        <v>1.0577916068557269E-2</v>
      </c>
      <c r="L458" s="117">
        <f t="shared" si="54"/>
        <v>1.2894479687571311E-2</v>
      </c>
      <c r="M458" s="45">
        <f t="shared" si="59"/>
        <v>1.6971469812346374E-2</v>
      </c>
    </row>
    <row r="459" spans="1:13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625">
        <f t="shared" si="55"/>
        <v>375.5</v>
      </c>
      <c r="G459" s="663">
        <f t="shared" si="56"/>
        <v>1.5397383084553859E-3</v>
      </c>
      <c r="H459" s="46">
        <f t="shared" si="57"/>
        <v>3.6153979325517533</v>
      </c>
      <c r="I459" s="37">
        <f t="shared" si="53"/>
        <v>1.3293818197992797</v>
      </c>
      <c r="J459" s="210">
        <v>1.4005382307621874</v>
      </c>
      <c r="K459" s="37">
        <f t="shared" si="58"/>
        <v>2.7468931422844085E-2</v>
      </c>
      <c r="L459" s="117">
        <f t="shared" si="54"/>
        <v>3.3484627404446944E-2</v>
      </c>
      <c r="M459" s="45">
        <f t="shared" si="59"/>
        <v>1.6971469812346377E-2</v>
      </c>
    </row>
    <row r="460" spans="1:13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625">
        <f t="shared" si="55"/>
        <v>993.91</v>
      </c>
      <c r="G460" s="663">
        <f t="shared" si="56"/>
        <v>4.0755294331741481E-3</v>
      </c>
      <c r="H460" s="46">
        <f t="shared" si="57"/>
        <v>9.5695876408588898</v>
      </c>
      <c r="I460" s="37">
        <f t="shared" si="53"/>
        <v>3.518737375543814</v>
      </c>
      <c r="J460" s="210">
        <v>3.707081099698657</v>
      </c>
      <c r="K460" s="37">
        <f t="shared" si="58"/>
        <v>7.2707445087826797E-2</v>
      </c>
      <c r="L460" s="117">
        <f t="shared" si="54"/>
        <v>8.8630375562060867E-2</v>
      </c>
      <c r="M460" s="45">
        <f t="shared" si="59"/>
        <v>1.6971469812346377E-2</v>
      </c>
    </row>
    <row r="461" spans="1:13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625">
        <f t="shared" si="55"/>
        <v>716.19999999999993</v>
      </c>
      <c r="G461" s="663">
        <f t="shared" si="56"/>
        <v>2.9367791651551192E-3</v>
      </c>
      <c r="H461" s="46">
        <f t="shared" si="57"/>
        <v>6.895733686534129</v>
      </c>
      <c r="I461" s="37">
        <f t="shared" si="53"/>
        <v>2.5355612765385995</v>
      </c>
      <c r="J461" s="210">
        <v>2.6712795762233785</v>
      </c>
      <c r="K461" s="37">
        <f t="shared" si="58"/>
        <v>5.2392140306367324E-2</v>
      </c>
      <c r="L461" s="117">
        <f t="shared" si="54"/>
        <v>6.3866019033461771E-2</v>
      </c>
      <c r="M461" s="45">
        <f t="shared" si="59"/>
        <v>1.6971469812346377E-2</v>
      </c>
    </row>
    <row r="462" spans="1:13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625">
        <f t="shared" si="55"/>
        <v>472.2</v>
      </c>
      <c r="G462" s="663">
        <f t="shared" si="56"/>
        <v>1.9362568022706611E-3</v>
      </c>
      <c r="H462" s="46">
        <f t="shared" si="57"/>
        <v>4.5464471471396486</v>
      </c>
      <c r="I462" s="37">
        <f t="shared" si="53"/>
        <v>1.671728616003249</v>
      </c>
      <c r="J462" s="210">
        <v>1.7612094608945537</v>
      </c>
      <c r="K462" s="37">
        <f t="shared" si="58"/>
        <v>3.4542821352508593E-2</v>
      </c>
      <c r="L462" s="117">
        <f t="shared" si="54"/>
        <v>4.2107699228707975E-2</v>
      </c>
      <c r="M462" s="45">
        <f t="shared" si="59"/>
        <v>1.6971469812346381E-2</v>
      </c>
    </row>
    <row r="463" spans="1:13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625">
        <f t="shared" si="55"/>
        <v>337.29999999999995</v>
      </c>
      <c r="G463" s="663">
        <f t="shared" si="56"/>
        <v>1.3830991516431467E-3</v>
      </c>
      <c r="H463" s="46">
        <f t="shared" si="57"/>
        <v>3.2475997940072068</v>
      </c>
      <c r="I463" s="37">
        <f t="shared" si="53"/>
        <v>1.1941424442564501</v>
      </c>
      <c r="J463" s="210">
        <v>1.2580600405754616</v>
      </c>
      <c r="K463" s="37">
        <f t="shared" si="58"/>
        <v>2.4674488865313735E-2</v>
      </c>
      <c r="L463" s="117">
        <f t="shared" si="54"/>
        <v>3.0078201926817445E-2</v>
      </c>
      <c r="M463" s="45">
        <f t="shared" si="59"/>
        <v>1.6971469812346377E-2</v>
      </c>
    </row>
    <row r="464" spans="1:13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625">
        <f t="shared" si="55"/>
        <v>395.5</v>
      </c>
      <c r="G464" s="663">
        <f t="shared" si="56"/>
        <v>1.6217483382000137E-3</v>
      </c>
      <c r="H464" s="46">
        <f t="shared" si="57"/>
        <v>3.8079624029939239</v>
      </c>
      <c r="I464" s="37">
        <f t="shared" si="53"/>
        <v>1.4001877755808658</v>
      </c>
      <c r="J464" s="210">
        <v>1.4751341418547141</v>
      </c>
      <c r="K464" s="37">
        <f t="shared" si="58"/>
        <v>2.8931990353488243E-2</v>
      </c>
      <c r="L464" s="117">
        <f t="shared" si="54"/>
        <v>3.5268096240902172E-2</v>
      </c>
      <c r="M464" s="45">
        <f t="shared" si="59"/>
        <v>1.6971469812346377E-2</v>
      </c>
    </row>
    <row r="465" spans="1:13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625">
        <f t="shared" si="55"/>
        <v>464.09999999999997</v>
      </c>
      <c r="G465" s="663">
        <f t="shared" si="56"/>
        <v>1.9030427402240866E-3</v>
      </c>
      <c r="H465" s="46">
        <f t="shared" si="57"/>
        <v>4.4684585366105685</v>
      </c>
      <c r="I465" s="37">
        <f t="shared" ref="I465:I526" si="60">H465*0.3677</f>
        <v>1.6430522039117061</v>
      </c>
      <c r="J465" s="210">
        <v>1.7309981169020803</v>
      </c>
      <c r="K465" s="37">
        <f t="shared" si="58"/>
        <v>3.3950282485597706E-2</v>
      </c>
      <c r="L465" s="117">
        <f t="shared" si="54"/>
        <v>4.1385394349943608E-2</v>
      </c>
      <c r="M465" s="45">
        <f t="shared" si="59"/>
        <v>1.6971469812346377E-2</v>
      </c>
    </row>
    <row r="466" spans="1:13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625">
        <f t="shared" si="55"/>
        <v>350.27000000000004</v>
      </c>
      <c r="G466" s="663">
        <f t="shared" si="56"/>
        <v>1.4362826559325382E-3</v>
      </c>
      <c r="H466" s="46">
        <f t="shared" si="57"/>
        <v>3.3724778530889554</v>
      </c>
      <c r="I466" s="37">
        <f t="shared" si="60"/>
        <v>1.240060106580809</v>
      </c>
      <c r="J466" s="210">
        <v>1.3064354889189653</v>
      </c>
      <c r="K466" s="37">
        <f t="shared" si="58"/>
        <v>2.5623282581836482E-2</v>
      </c>
      <c r="L466" s="117">
        <f t="shared" si="54"/>
        <v>3.1234781467258676E-2</v>
      </c>
      <c r="M466" s="45">
        <f t="shared" si="59"/>
        <v>1.6971469812346377E-2</v>
      </c>
    </row>
    <row r="467" spans="1:13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625">
        <f t="shared" si="55"/>
        <v>396.61</v>
      </c>
      <c r="G467" s="663">
        <f t="shared" si="56"/>
        <v>1.6262998948508407E-3</v>
      </c>
      <c r="H467" s="46">
        <f t="shared" si="57"/>
        <v>3.8186497311034651</v>
      </c>
      <c r="I467" s="37">
        <f t="shared" si="60"/>
        <v>1.4041175061267441</v>
      </c>
      <c r="J467" s="210">
        <v>1.4792742149203493</v>
      </c>
      <c r="K467" s="37">
        <f t="shared" si="58"/>
        <v>2.9013190124138999E-2</v>
      </c>
      <c r="L467" s="117">
        <f t="shared" si="54"/>
        <v>3.5367078761325443E-2</v>
      </c>
      <c r="M467" s="45">
        <f t="shared" si="59"/>
        <v>1.6971469812346381E-2</v>
      </c>
    </row>
    <row r="468" spans="1:13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625">
        <f t="shared" si="55"/>
        <v>380.01000000000005</v>
      </c>
      <c r="G468" s="663">
        <f t="shared" si="56"/>
        <v>1.5582315701627998E-3</v>
      </c>
      <c r="H468" s="46">
        <f t="shared" si="57"/>
        <v>3.6588212206364634</v>
      </c>
      <c r="I468" s="37">
        <f t="shared" si="60"/>
        <v>1.3453485628280277</v>
      </c>
      <c r="J468" s="210">
        <v>1.4173596087135525</v>
      </c>
      <c r="K468" s="37">
        <f t="shared" si="58"/>
        <v>2.7798851211704348E-2</v>
      </c>
      <c r="L468" s="117">
        <f t="shared" si="54"/>
        <v>3.3886799627067601E-2</v>
      </c>
      <c r="M468" s="45">
        <f t="shared" si="59"/>
        <v>1.6971469812346377E-2</v>
      </c>
    </row>
    <row r="469" spans="1:13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625">
        <f t="shared" si="55"/>
        <v>501.9</v>
      </c>
      <c r="G469" s="663">
        <f t="shared" si="56"/>
        <v>2.0580416964414332E-3</v>
      </c>
      <c r="H469" s="46">
        <f t="shared" si="57"/>
        <v>4.8324053857462719</v>
      </c>
      <c r="I469" s="37">
        <f t="shared" si="60"/>
        <v>1.7768754603389043</v>
      </c>
      <c r="J469" s="210">
        <v>1.8719843888669556</v>
      </c>
      <c r="K469" s="37">
        <f t="shared" si="58"/>
        <v>3.6715463864515172E-2</v>
      </c>
      <c r="L469" s="117">
        <f t="shared" si="54"/>
        <v>4.4756150450843996E-2</v>
      </c>
      <c r="M469" s="45">
        <f t="shared" si="59"/>
        <v>1.6971469812346377E-2</v>
      </c>
    </row>
    <row r="470" spans="1:13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625">
        <f t="shared" si="55"/>
        <v>406.9</v>
      </c>
      <c r="G470" s="663">
        <f t="shared" si="56"/>
        <v>1.6684940551544515E-3</v>
      </c>
      <c r="H470" s="46">
        <f t="shared" si="57"/>
        <v>3.9177241511459613</v>
      </c>
      <c r="I470" s="37">
        <f t="shared" si="60"/>
        <v>1.4405471703763701</v>
      </c>
      <c r="J470" s="210">
        <v>1.5176538111774542</v>
      </c>
      <c r="K470" s="37">
        <f t="shared" si="58"/>
        <v>2.9765933943955415E-2</v>
      </c>
      <c r="L470" s="117">
        <f t="shared" si="54"/>
        <v>3.6284673477681655E-2</v>
      </c>
      <c r="M470" s="45">
        <f t="shared" si="59"/>
        <v>1.6971469812346381E-2</v>
      </c>
    </row>
    <row r="471" spans="1:13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625">
        <f t="shared" si="55"/>
        <v>583.66999999999996</v>
      </c>
      <c r="G471" s="663">
        <f t="shared" si="56"/>
        <v>2.3933397030523437E-3</v>
      </c>
      <c r="H471" s="46">
        <f t="shared" si="57"/>
        <v>5.6197052231490865</v>
      </c>
      <c r="I471" s="37">
        <f t="shared" si="60"/>
        <v>2.0663656105519195</v>
      </c>
      <c r="J471" s="210">
        <v>2.1769697713687508</v>
      </c>
      <c r="K471" s="37">
        <f t="shared" si="58"/>
        <v>4.2697180302453813E-2</v>
      </c>
      <c r="L471" s="117">
        <f t="shared" si="54"/>
        <v>5.2047862788691203E-2</v>
      </c>
      <c r="M471" s="45">
        <f t="shared" si="59"/>
        <v>1.6971469812346377E-2</v>
      </c>
    </row>
    <row r="472" spans="1:13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625">
        <f t="shared" si="55"/>
        <v>634.80999999999995</v>
      </c>
      <c r="G472" s="663">
        <f t="shared" si="56"/>
        <v>2.6030393491093566E-3</v>
      </c>
      <c r="H472" s="46">
        <f t="shared" si="57"/>
        <v>6.1120925740697158</v>
      </c>
      <c r="I472" s="37">
        <f t="shared" si="60"/>
        <v>2.2474164394854346</v>
      </c>
      <c r="J472" s="210">
        <v>2.3677115160323412</v>
      </c>
      <c r="K472" s="37">
        <f t="shared" si="58"/>
        <v>4.6438221988110921E-2</v>
      </c>
      <c r="L472" s="117">
        <f t="shared" si="54"/>
        <v>5.6608192603507218E-2</v>
      </c>
      <c r="M472" s="45">
        <f t="shared" si="59"/>
        <v>1.6971469812346377E-2</v>
      </c>
    </row>
    <row r="473" spans="1:13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625">
        <f t="shared" si="55"/>
        <v>312.74</v>
      </c>
      <c r="G473" s="663">
        <f t="shared" si="56"/>
        <v>1.2823908351167442E-3</v>
      </c>
      <c r="H473" s="46">
        <f t="shared" si="57"/>
        <v>3.0111306243042222</v>
      </c>
      <c r="I473" s="37">
        <f t="shared" si="60"/>
        <v>1.1071927305566627</v>
      </c>
      <c r="J473" s="210">
        <v>1.166456261753839</v>
      </c>
      <c r="K473" s="37">
        <f t="shared" si="58"/>
        <v>2.2877852498482718E-2</v>
      </c>
      <c r="L473" s="117">
        <f t="shared" si="54"/>
        <v>2.7888102195650435E-2</v>
      </c>
      <c r="M473" s="45">
        <f t="shared" si="59"/>
        <v>1.6971469812346381E-2</v>
      </c>
    </row>
    <row r="474" spans="1:13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625">
        <f t="shared" si="55"/>
        <v>359.3</v>
      </c>
      <c r="G474" s="663">
        <f t="shared" si="56"/>
        <v>1.4733101843622375E-3</v>
      </c>
      <c r="H474" s="46">
        <f t="shared" si="57"/>
        <v>3.4594207114935953</v>
      </c>
      <c r="I474" s="37">
        <f t="shared" si="60"/>
        <v>1.272028995616195</v>
      </c>
      <c r="J474" s="210">
        <v>1.3401155427772409</v>
      </c>
      <c r="K474" s="37">
        <f t="shared" si="58"/>
        <v>2.6283853689022318E-2</v>
      </c>
      <c r="L474" s="117">
        <f t="shared" si="54"/>
        <v>3.204001764691821E-2</v>
      </c>
      <c r="M474" s="45">
        <f t="shared" si="59"/>
        <v>1.6971469812346377E-2</v>
      </c>
    </row>
    <row r="475" spans="1:13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625">
        <f t="shared" si="55"/>
        <v>417.17</v>
      </c>
      <c r="G475" s="663">
        <f t="shared" si="56"/>
        <v>1.710606205428318E-3</v>
      </c>
      <c r="H475" s="46">
        <f t="shared" si="57"/>
        <v>4.0166060067180158</v>
      </c>
      <c r="I475" s="37">
        <f t="shared" si="60"/>
        <v>1.4769060286702145</v>
      </c>
      <c r="J475" s="210">
        <v>1.5559588115234668</v>
      </c>
      <c r="K475" s="37">
        <f t="shared" si="58"/>
        <v>3.0517214704841193E-2</v>
      </c>
      <c r="L475" s="117">
        <f t="shared" si="54"/>
        <v>3.7200484725201419E-2</v>
      </c>
      <c r="M475" s="45">
        <f t="shared" si="59"/>
        <v>1.6971469812346377E-2</v>
      </c>
    </row>
    <row r="476" spans="1:13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625">
        <f t="shared" si="55"/>
        <v>249.3</v>
      </c>
      <c r="G476" s="663">
        <f t="shared" si="56"/>
        <v>1.0222550207667849E-3</v>
      </c>
      <c r="H476" s="46">
        <f t="shared" si="57"/>
        <v>2.4003161240616571</v>
      </c>
      <c r="I476" s="37">
        <f t="shared" si="60"/>
        <v>0.8825962388174714</v>
      </c>
      <c r="J476" s="210">
        <v>0.92983803176834445</v>
      </c>
      <c r="K476" s="37">
        <f t="shared" si="58"/>
        <v>1.8237029570479443E-2</v>
      </c>
      <c r="L476" s="117">
        <f t="shared" si="54"/>
        <v>2.2230939046414443E-2</v>
      </c>
      <c r="M476" s="45">
        <f t="shared" si="59"/>
        <v>1.6971469812346377E-2</v>
      </c>
    </row>
    <row r="477" spans="1:13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625">
        <f t="shared" si="55"/>
        <v>534.94000000000005</v>
      </c>
      <c r="G477" s="663">
        <f t="shared" si="56"/>
        <v>2.1935222655795586E-3</v>
      </c>
      <c r="H477" s="46">
        <f t="shared" si="57"/>
        <v>5.1505218909167381</v>
      </c>
      <c r="I477" s="37">
        <f t="shared" si="60"/>
        <v>1.8938468992900848</v>
      </c>
      <c r="J477" s="210">
        <v>1.9952168339918102</v>
      </c>
      <c r="K477" s="37">
        <f t="shared" si="58"/>
        <v>3.9132437217939325E-2</v>
      </c>
      <c r="L477" s="117">
        <f t="shared" ref="L477:L540" si="61">K477*1.219</f>
        <v>4.770244096866804E-2</v>
      </c>
      <c r="M477" s="45">
        <f t="shared" si="59"/>
        <v>1.6971469812346381E-2</v>
      </c>
    </row>
    <row r="478" spans="1:13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625">
        <f t="shared" si="55"/>
        <v>382.94</v>
      </c>
      <c r="G478" s="663">
        <f t="shared" si="56"/>
        <v>1.5702460395203874E-3</v>
      </c>
      <c r="H478" s="46">
        <f t="shared" si="57"/>
        <v>3.6870319155562408</v>
      </c>
      <c r="I478" s="37">
        <f t="shared" si="60"/>
        <v>1.3557216353500299</v>
      </c>
      <c r="J478" s="210">
        <v>1.4282879096886074</v>
      </c>
      <c r="K478" s="37">
        <f t="shared" si="58"/>
        <v>2.801318934504371E-2</v>
      </c>
      <c r="L478" s="117">
        <f t="shared" si="61"/>
        <v>3.4148077811608286E-2</v>
      </c>
      <c r="M478" s="45">
        <f t="shared" si="59"/>
        <v>1.6971469812346377E-2</v>
      </c>
    </row>
    <row r="479" spans="1:13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625">
        <f t="shared" si="55"/>
        <v>367.5</v>
      </c>
      <c r="G479" s="663">
        <f t="shared" si="56"/>
        <v>1.5069342965575347E-3</v>
      </c>
      <c r="H479" s="46">
        <f t="shared" si="57"/>
        <v>3.5383721443748848</v>
      </c>
      <c r="I479" s="37">
        <f t="shared" si="60"/>
        <v>1.3010594374866453</v>
      </c>
      <c r="J479" s="210">
        <v>1.3706998663251768</v>
      </c>
      <c r="K479" s="37">
        <f t="shared" si="58"/>
        <v>2.688370785058642E-2</v>
      </c>
      <c r="L479" s="117">
        <f t="shared" si="61"/>
        <v>3.2771239869864847E-2</v>
      </c>
      <c r="M479" s="45">
        <f t="shared" si="59"/>
        <v>1.6971469812346374E-2</v>
      </c>
    </row>
    <row r="480" spans="1:13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625">
        <f t="shared" si="55"/>
        <v>131.4</v>
      </c>
      <c r="G480" s="663">
        <f t="shared" si="56"/>
        <v>5.3880589542220432E-4</v>
      </c>
      <c r="H480" s="46">
        <f t="shared" si="57"/>
        <v>1.2651485708050612</v>
      </c>
      <c r="I480" s="37">
        <f t="shared" si="60"/>
        <v>0.46519512948502101</v>
      </c>
      <c r="J480" s="210">
        <v>0.49009513587789999</v>
      </c>
      <c r="K480" s="37">
        <f t="shared" si="58"/>
        <v>9.6122971743321257E-3</v>
      </c>
      <c r="L480" s="117">
        <f t="shared" si="61"/>
        <v>1.1717390255510862E-2</v>
      </c>
      <c r="M480" s="45">
        <f t="shared" si="59"/>
        <v>1.6971469812346381E-2</v>
      </c>
    </row>
    <row r="481" spans="1:13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625">
        <f t="shared" si="55"/>
        <v>471.36</v>
      </c>
      <c r="G481" s="663">
        <f t="shared" si="56"/>
        <v>1.9328123810213869E-3</v>
      </c>
      <c r="H481" s="46">
        <f t="shared" si="57"/>
        <v>4.5383594393810771</v>
      </c>
      <c r="I481" s="37">
        <f t="shared" si="60"/>
        <v>1.6687547658604223</v>
      </c>
      <c r="J481" s="210">
        <v>1.7580764326286678</v>
      </c>
      <c r="K481" s="37">
        <f t="shared" si="58"/>
        <v>3.4481372877421541E-2</v>
      </c>
      <c r="L481" s="117">
        <f t="shared" si="61"/>
        <v>4.2032793537576864E-2</v>
      </c>
      <c r="M481" s="45">
        <f t="shared" si="59"/>
        <v>1.6971469812346377E-2</v>
      </c>
    </row>
    <row r="482" spans="1:13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625">
        <f t="shared" si="55"/>
        <v>530.79999999999995</v>
      </c>
      <c r="G482" s="663">
        <f t="shared" si="56"/>
        <v>2.1765461894224201E-3</v>
      </c>
      <c r="H482" s="46">
        <f t="shared" si="57"/>
        <v>5.1106610455352079</v>
      </c>
      <c r="I482" s="37">
        <f t="shared" si="60"/>
        <v>1.8791900664432961</v>
      </c>
      <c r="J482" s="210">
        <v>1.9797754803956564</v>
      </c>
      <c r="K482" s="37">
        <f t="shared" si="58"/>
        <v>3.8829584019295975E-2</v>
      </c>
      <c r="L482" s="117">
        <f t="shared" si="61"/>
        <v>4.73332629195218E-2</v>
      </c>
      <c r="M482" s="45">
        <f t="shared" si="59"/>
        <v>1.6971469812346377E-2</v>
      </c>
    </row>
    <row r="483" spans="1:13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625">
        <f t="shared" si="55"/>
        <v>330.15</v>
      </c>
      <c r="G483" s="663">
        <f t="shared" si="56"/>
        <v>1.3537805660094424E-3</v>
      </c>
      <c r="H483" s="46">
        <f t="shared" si="57"/>
        <v>3.1787579958241312</v>
      </c>
      <c r="I483" s="37">
        <f t="shared" si="60"/>
        <v>1.168829315064533</v>
      </c>
      <c r="J483" s="210">
        <v>1.2313920023598832</v>
      </c>
      <c r="K483" s="37">
        <f t="shared" si="58"/>
        <v>2.4151445297608452E-2</v>
      </c>
      <c r="L483" s="117">
        <f t="shared" si="61"/>
        <v>2.9440611817784706E-2</v>
      </c>
      <c r="M483" s="45">
        <f t="shared" si="59"/>
        <v>1.6971469812346377E-2</v>
      </c>
    </row>
    <row r="484" spans="1:13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625">
        <f t="shared" si="55"/>
        <v>242.1</v>
      </c>
      <c r="G484" s="663">
        <f t="shared" si="56"/>
        <v>9.9273141005871892E-4</v>
      </c>
      <c r="H484" s="46">
        <f t="shared" si="57"/>
        <v>2.3309929147024757</v>
      </c>
      <c r="I484" s="37">
        <f t="shared" si="60"/>
        <v>0.85710609473610033</v>
      </c>
      <c r="J484" s="210">
        <v>0.90298350377503489</v>
      </c>
      <c r="K484" s="37">
        <f t="shared" si="58"/>
        <v>1.7710328355447544E-2</v>
      </c>
      <c r="L484" s="117">
        <f t="shared" si="61"/>
        <v>2.1588890265290556E-2</v>
      </c>
      <c r="M484" s="45">
        <f t="shared" si="59"/>
        <v>1.6971469812346377E-2</v>
      </c>
    </row>
    <row r="485" spans="1:13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625">
        <f t="shared" si="55"/>
        <v>528.74</v>
      </c>
      <c r="G485" s="663">
        <f t="shared" si="56"/>
        <v>2.1680991563587239E-3</v>
      </c>
      <c r="H485" s="46">
        <f t="shared" si="57"/>
        <v>5.0908269050796653</v>
      </c>
      <c r="I485" s="37">
        <f t="shared" si="60"/>
        <v>1.871897052997793</v>
      </c>
      <c r="J485" s="210">
        <v>1.9720921015531263</v>
      </c>
      <c r="K485" s="37">
        <f t="shared" si="58"/>
        <v>3.8678888949439633E-2</v>
      </c>
      <c r="L485" s="117">
        <f t="shared" si="61"/>
        <v>4.7149565629366917E-2</v>
      </c>
      <c r="M485" s="45">
        <f t="shared" si="59"/>
        <v>1.6971469812346377E-2</v>
      </c>
    </row>
    <row r="486" spans="1:13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625">
        <f t="shared" si="55"/>
        <v>140.6</v>
      </c>
      <c r="G486" s="663">
        <f t="shared" si="56"/>
        <v>5.7653050910473299E-4</v>
      </c>
      <c r="H486" s="46">
        <f t="shared" si="57"/>
        <v>1.3537282272084594</v>
      </c>
      <c r="I486" s="37">
        <f t="shared" si="60"/>
        <v>0.49776586914455057</v>
      </c>
      <c r="J486" s="210">
        <v>0.5244092549804622</v>
      </c>
      <c r="K486" s="37">
        <f t="shared" si="58"/>
        <v>1.0285304282428437E-2</v>
      </c>
      <c r="L486" s="117">
        <f t="shared" si="61"/>
        <v>1.2537785920280266E-2</v>
      </c>
      <c r="M486" s="45">
        <f t="shared" si="59"/>
        <v>1.6971469812346381E-2</v>
      </c>
    </row>
    <row r="487" spans="1:13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625">
        <f t="shared" si="55"/>
        <v>183.6</v>
      </c>
      <c r="G487" s="663">
        <f t="shared" si="56"/>
        <v>7.5285207305568274E-4</v>
      </c>
      <c r="H487" s="46">
        <f t="shared" si="57"/>
        <v>1.7677418386591264</v>
      </c>
      <c r="I487" s="37">
        <f t="shared" si="60"/>
        <v>0.64999867407496081</v>
      </c>
      <c r="J487" s="210">
        <v>0.68479046382939446</v>
      </c>
      <c r="K487" s="37">
        <f t="shared" si="58"/>
        <v>1.343088098331338E-2</v>
      </c>
      <c r="L487" s="117">
        <f t="shared" si="61"/>
        <v>1.6372243918659012E-2</v>
      </c>
      <c r="M487" s="45">
        <f t="shared" si="59"/>
        <v>1.6971469812346377E-2</v>
      </c>
    </row>
    <row r="488" spans="1:13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625">
        <f t="shared" si="55"/>
        <v>384.7</v>
      </c>
      <c r="G488" s="663">
        <f t="shared" si="56"/>
        <v>1.5774629221379146E-3</v>
      </c>
      <c r="H488" s="46">
        <f t="shared" si="57"/>
        <v>3.7039775889551518</v>
      </c>
      <c r="I488" s="37">
        <f t="shared" si="60"/>
        <v>1.3619525594588093</v>
      </c>
      <c r="J488" s="210">
        <v>1.4348523498647496</v>
      </c>
      <c r="K488" s="37">
        <f t="shared" si="58"/>
        <v>2.8141938530940398E-2</v>
      </c>
      <c r="L488" s="117">
        <f t="shared" si="61"/>
        <v>3.4305023069216345E-2</v>
      </c>
      <c r="M488" s="45">
        <f t="shared" si="59"/>
        <v>1.6971469812346377E-2</v>
      </c>
    </row>
    <row r="489" spans="1:13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625">
        <f>C489+E489</f>
        <v>1900.8700000000001</v>
      </c>
      <c r="G489" s="663">
        <f t="shared" si="56"/>
        <v>7.7945202620335278E-3</v>
      </c>
      <c r="H489" s="46">
        <f t="shared" si="57"/>
        <v>18.302001246470446</v>
      </c>
      <c r="I489" s="37">
        <f t="shared" si="60"/>
        <v>6.7296458583271841</v>
      </c>
      <c r="J489" s="210">
        <v>7.0898564759225557</v>
      </c>
      <c r="K489" s="37">
        <f t="shared" si="58"/>
        <v>0.13905424147467813</v>
      </c>
      <c r="L489" s="117">
        <f t="shared" si="61"/>
        <v>0.16950712035763266</v>
      </c>
      <c r="M489" s="45">
        <f t="shared" si="59"/>
        <v>1.6971469812346381E-2</v>
      </c>
    </row>
    <row r="490" spans="1:13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625">
        <f>C490+D490+E490</f>
        <v>362.4</v>
      </c>
      <c r="G490" s="663">
        <f t="shared" si="56"/>
        <v>1.4860217389726547E-3</v>
      </c>
      <c r="H490" s="46">
        <f t="shared" si="57"/>
        <v>3.4892682044121313</v>
      </c>
      <c r="I490" s="37">
        <f t="shared" si="60"/>
        <v>1.2830039187623408</v>
      </c>
      <c r="J490" s="210">
        <v>1.3516779089965825</v>
      </c>
      <c r="K490" s="37">
        <f t="shared" si="58"/>
        <v>2.6510627823272161E-2</v>
      </c>
      <c r="L490" s="117">
        <f t="shared" si="61"/>
        <v>3.2316455316568765E-2</v>
      </c>
      <c r="M490" s="45">
        <f t="shared" si="59"/>
        <v>1.6971469812346377E-2</v>
      </c>
    </row>
    <row r="491" spans="1:13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625">
        <f t="shared" si="55"/>
        <v>196.1</v>
      </c>
      <c r="G491" s="663">
        <f t="shared" si="56"/>
        <v>8.0410834164607503E-4</v>
      </c>
      <c r="H491" s="46">
        <f t="shared" si="57"/>
        <v>1.8880946326854828</v>
      </c>
      <c r="I491" s="37">
        <f t="shared" si="60"/>
        <v>0.69425239643845205</v>
      </c>
      <c r="J491" s="210">
        <v>0.7314129082622236</v>
      </c>
      <c r="K491" s="37">
        <f t="shared" si="58"/>
        <v>1.4345292814965979E-2</v>
      </c>
      <c r="L491" s="117">
        <f t="shared" si="61"/>
        <v>1.7486911941443528E-2</v>
      </c>
      <c r="M491" s="45">
        <f t="shared" si="59"/>
        <v>1.6971469812346377E-2</v>
      </c>
    </row>
    <row r="492" spans="1:13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625">
        <f t="shared" si="55"/>
        <v>98.48</v>
      </c>
      <c r="G492" s="663">
        <f t="shared" si="56"/>
        <v>4.0381738646254702E-4</v>
      </c>
      <c r="H492" s="46">
        <f t="shared" si="57"/>
        <v>0.94818745245724811</v>
      </c>
      <c r="I492" s="37">
        <f t="shared" si="60"/>
        <v>0.34864852626853016</v>
      </c>
      <c r="J492" s="210">
        <v>0.36731026621960111</v>
      </c>
      <c r="K492" s="37">
        <f t="shared" si="58"/>
        <v>7.2041021744918389E-3</v>
      </c>
      <c r="L492" s="117">
        <f t="shared" si="61"/>
        <v>8.7818005507055517E-3</v>
      </c>
      <c r="M492" s="45">
        <f t="shared" si="59"/>
        <v>1.6971469812346377E-2</v>
      </c>
    </row>
    <row r="493" spans="1:13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625">
        <f t="shared" si="55"/>
        <v>2328.6</v>
      </c>
      <c r="G493" s="663">
        <f t="shared" si="56"/>
        <v>9.5484277631670087E-3</v>
      </c>
      <c r="H493" s="46">
        <f t="shared" si="57"/>
        <v>22.420281293581926</v>
      </c>
      <c r="I493" s="37">
        <f t="shared" si="60"/>
        <v>8.2439374316500746</v>
      </c>
      <c r="J493" s="210">
        <v>8.6852019285028756</v>
      </c>
      <c r="K493" s="37">
        <f t="shared" si="58"/>
        <v>0.17034395129489943</v>
      </c>
      <c r="L493" s="117">
        <f t="shared" si="61"/>
        <v>0.20764927662848243</v>
      </c>
      <c r="M493" s="45">
        <f t="shared" si="59"/>
        <v>1.6971469812346381E-2</v>
      </c>
    </row>
    <row r="494" spans="1:13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625">
        <f t="shared" si="55"/>
        <v>479.01</v>
      </c>
      <c r="G494" s="663">
        <f t="shared" si="56"/>
        <v>1.9641812173987068E-3</v>
      </c>
      <c r="H494" s="46">
        <f t="shared" si="57"/>
        <v>4.6120153493252074</v>
      </c>
      <c r="I494" s="37">
        <f t="shared" si="60"/>
        <v>1.695838043946879</v>
      </c>
      <c r="J494" s="210">
        <v>1.7866093686215589</v>
      </c>
      <c r="K494" s="37">
        <f t="shared" si="58"/>
        <v>3.5040992918392931E-2</v>
      </c>
      <c r="L494" s="117">
        <f t="shared" si="61"/>
        <v>4.2714970367520984E-2</v>
      </c>
      <c r="M494" s="45">
        <f t="shared" si="59"/>
        <v>1.6971469812346377E-2</v>
      </c>
    </row>
    <row r="495" spans="1:13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625">
        <f t="shared" si="55"/>
        <v>479.14</v>
      </c>
      <c r="G495" s="663">
        <f t="shared" si="56"/>
        <v>1.9647142825920468E-3</v>
      </c>
      <c r="H495" s="46">
        <f t="shared" si="57"/>
        <v>4.6132670183830813</v>
      </c>
      <c r="I495" s="37">
        <f t="shared" si="60"/>
        <v>1.696298282659459</v>
      </c>
      <c r="J495" s="210">
        <v>1.7870942420436604</v>
      </c>
      <c r="K495" s="37">
        <f t="shared" si="58"/>
        <v>3.5050502801442111E-2</v>
      </c>
      <c r="L495" s="117">
        <f t="shared" si="61"/>
        <v>4.2726562914957938E-2</v>
      </c>
      <c r="M495" s="45">
        <f t="shared" si="59"/>
        <v>1.6971469812346381E-2</v>
      </c>
    </row>
    <row r="496" spans="1:13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625">
        <f t="shared" si="55"/>
        <v>1158.5899999999999</v>
      </c>
      <c r="G496" s="663">
        <f t="shared" si="56"/>
        <v>4.7508000180914124E-3</v>
      </c>
      <c r="H496" s="46">
        <f t="shared" si="57"/>
        <v>11.155163490479721</v>
      </c>
      <c r="I496" s="37">
        <f t="shared" si="60"/>
        <v>4.1017536154493932</v>
      </c>
      <c r="J496" s="210">
        <v>4.3213038316345216</v>
      </c>
      <c r="K496" s="37">
        <f t="shared" si="58"/>
        <v>8.475427232275079E-2</v>
      </c>
      <c r="L496" s="117">
        <f t="shared" si="61"/>
        <v>0.10331545796143322</v>
      </c>
      <c r="M496" s="45">
        <f t="shared" si="59"/>
        <v>1.6971469812346377E-2</v>
      </c>
    </row>
    <row r="497" spans="1:13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625">
        <f t="shared" si="55"/>
        <v>368.99</v>
      </c>
      <c r="G497" s="663">
        <f t="shared" si="56"/>
        <v>1.5130440437735096E-3</v>
      </c>
      <c r="H497" s="46">
        <f t="shared" si="57"/>
        <v>3.552718197422827</v>
      </c>
      <c r="I497" s="37">
        <f t="shared" si="60"/>
        <v>1.3063344811923736</v>
      </c>
      <c r="J497" s="210">
        <v>1.37625726170157</v>
      </c>
      <c r="K497" s="37">
        <f t="shared" si="58"/>
        <v>2.6992705740919411E-2</v>
      </c>
      <c r="L497" s="117">
        <f t="shared" si="61"/>
        <v>3.2904108298180766E-2</v>
      </c>
      <c r="M497" s="45">
        <f t="shared" si="59"/>
        <v>1.6971469812346377E-2</v>
      </c>
    </row>
    <row r="498" spans="1:13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625">
        <f t="shared" si="55"/>
        <v>346.24</v>
      </c>
      <c r="G498" s="663">
        <f t="shared" si="56"/>
        <v>1.4197576349389955E-3</v>
      </c>
      <c r="H498" s="46">
        <f t="shared" si="57"/>
        <v>3.3336761122948575</v>
      </c>
      <c r="I498" s="37">
        <f t="shared" si="60"/>
        <v>1.2257927064908192</v>
      </c>
      <c r="J498" s="210">
        <v>1.2914044128338209</v>
      </c>
      <c r="K498" s="37">
        <f t="shared" si="58"/>
        <v>2.5328476207311681E-2</v>
      </c>
      <c r="L498" s="117">
        <f t="shared" si="61"/>
        <v>3.087541249671294E-2</v>
      </c>
      <c r="M498" s="45">
        <f t="shared" si="59"/>
        <v>1.6971469812346374E-2</v>
      </c>
    </row>
    <row r="499" spans="1:13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625">
        <f t="shared" si="55"/>
        <v>151.5</v>
      </c>
      <c r="G499" s="663">
        <f t="shared" si="56"/>
        <v>6.212259753155552E-4</v>
      </c>
      <c r="H499" s="46">
        <f t="shared" si="57"/>
        <v>1.4586758635994426</v>
      </c>
      <c r="I499" s="37">
        <f t="shared" si="60"/>
        <v>0.53635511504551503</v>
      </c>
      <c r="J499" s="210">
        <v>0.56506402652588927</v>
      </c>
      <c r="K499" s="37">
        <f t="shared" si="58"/>
        <v>1.1082671399629505E-2</v>
      </c>
      <c r="L499" s="117">
        <f t="shared" si="61"/>
        <v>1.3509776436148369E-2</v>
      </c>
      <c r="M499" s="45">
        <f t="shared" si="59"/>
        <v>1.6971469812346381E-2</v>
      </c>
    </row>
    <row r="500" spans="1:13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625">
        <f t="shared" si="55"/>
        <v>123.6</v>
      </c>
      <c r="G500" s="663">
        <f t="shared" si="56"/>
        <v>5.0682198382179949E-4</v>
      </c>
      <c r="H500" s="46">
        <f t="shared" si="57"/>
        <v>1.1900484273326144</v>
      </c>
      <c r="I500" s="37">
        <f t="shared" si="60"/>
        <v>0.43758080673020233</v>
      </c>
      <c r="J500" s="210">
        <v>0.46100273055181457</v>
      </c>
      <c r="K500" s="37">
        <f t="shared" si="58"/>
        <v>9.0417041913809035E-3</v>
      </c>
      <c r="L500" s="117">
        <f t="shared" si="61"/>
        <v>1.1021837409293323E-2</v>
      </c>
      <c r="M500" s="45">
        <f t="shared" si="59"/>
        <v>1.6971469812346377E-2</v>
      </c>
    </row>
    <row r="501" spans="1:13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625">
        <f t="shared" si="55"/>
        <v>624.51</v>
      </c>
      <c r="G501" s="663">
        <f t="shared" si="56"/>
        <v>2.5608041837908739E-3</v>
      </c>
      <c r="H501" s="46">
        <f t="shared" si="57"/>
        <v>6.012921871791999</v>
      </c>
      <c r="I501" s="37">
        <f t="shared" si="60"/>
        <v>2.2109513722579184</v>
      </c>
      <c r="J501" s="210">
        <v>2.3292946218196904</v>
      </c>
      <c r="K501" s="37">
        <f t="shared" si="58"/>
        <v>4.5684746638829189E-2</v>
      </c>
      <c r="L501" s="117">
        <f t="shared" si="61"/>
        <v>5.5689706152732783E-2</v>
      </c>
      <c r="M501" s="45">
        <f t="shared" si="59"/>
        <v>1.6971469812346381E-2</v>
      </c>
    </row>
    <row r="502" spans="1:13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625">
        <f t="shared" si="55"/>
        <v>202.5</v>
      </c>
      <c r="G502" s="663">
        <f t="shared" si="56"/>
        <v>8.3035155116435591E-4</v>
      </c>
      <c r="H502" s="46">
        <f t="shared" si="57"/>
        <v>1.9497152632269774</v>
      </c>
      <c r="I502" s="37">
        <f t="shared" si="60"/>
        <v>0.71691030228855968</v>
      </c>
      <c r="J502" s="210">
        <v>0.75528359981183213</v>
      </c>
      <c r="K502" s="37">
        <f t="shared" si="58"/>
        <v>1.4813471672772109E-2</v>
      </c>
      <c r="L502" s="117">
        <f t="shared" si="61"/>
        <v>1.8057621969109202E-2</v>
      </c>
      <c r="M502" s="45">
        <f t="shared" si="59"/>
        <v>1.6971469812346377E-2</v>
      </c>
    </row>
    <row r="503" spans="1:13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625">
        <f t="shared" si="55"/>
        <v>132.5</v>
      </c>
      <c r="G503" s="663">
        <f t="shared" si="56"/>
        <v>5.4331644705815879E-4</v>
      </c>
      <c r="H503" s="46">
        <f t="shared" si="57"/>
        <v>1.2757396166793804</v>
      </c>
      <c r="I503" s="37">
        <f t="shared" si="60"/>
        <v>0.4690894570530082</v>
      </c>
      <c r="J503" s="210">
        <v>0.49419791098798899</v>
      </c>
      <c r="K503" s="37">
        <f t="shared" si="58"/>
        <v>9.6927654155175534E-3</v>
      </c>
      <c r="L503" s="117">
        <f t="shared" si="61"/>
        <v>1.1815481041515898E-2</v>
      </c>
      <c r="M503" s="45">
        <f t="shared" si="59"/>
        <v>1.6971469812346377E-2</v>
      </c>
    </row>
    <row r="504" spans="1:13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625">
        <f t="shared" si="55"/>
        <v>156.1</v>
      </c>
      <c r="G504" s="663">
        <f t="shared" si="56"/>
        <v>6.4008828215681953E-4</v>
      </c>
      <c r="H504" s="46">
        <f t="shared" si="57"/>
        <v>1.5029656918011416</v>
      </c>
      <c r="I504" s="37">
        <f t="shared" si="60"/>
        <v>0.55264048487527984</v>
      </c>
      <c r="J504" s="210">
        <v>0.58222108607717038</v>
      </c>
      <c r="K504" s="37">
        <f t="shared" si="58"/>
        <v>1.141917495367766E-2</v>
      </c>
      <c r="L504" s="117">
        <f t="shared" si="61"/>
        <v>1.3919974268533069E-2</v>
      </c>
      <c r="M504" s="45">
        <f t="shared" si="59"/>
        <v>1.6971469812346377E-2</v>
      </c>
    </row>
    <row r="505" spans="1:13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625">
        <f t="shared" si="55"/>
        <v>138</v>
      </c>
      <c r="G505" s="663">
        <f t="shared" si="56"/>
        <v>5.6586920523793145E-4</v>
      </c>
      <c r="H505" s="46">
        <f t="shared" si="57"/>
        <v>1.3286948460509773</v>
      </c>
      <c r="I505" s="37">
        <f t="shared" si="60"/>
        <v>0.48856109489294441</v>
      </c>
      <c r="J505" s="210">
        <v>0.51471178653843375</v>
      </c>
      <c r="K505" s="37">
        <f t="shared" si="58"/>
        <v>1.0095106621444697E-2</v>
      </c>
      <c r="L505" s="117">
        <f t="shared" si="61"/>
        <v>1.2305934971541086E-2</v>
      </c>
      <c r="M505" s="45">
        <f t="shared" si="59"/>
        <v>1.6971469812346377E-2</v>
      </c>
    </row>
    <row r="506" spans="1:13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625">
        <f t="shared" si="55"/>
        <v>137.69999999999999</v>
      </c>
      <c r="G506" s="663">
        <f t="shared" si="56"/>
        <v>5.6463905479176197E-4</v>
      </c>
      <c r="H506" s="46">
        <f t="shared" si="57"/>
        <v>1.3258063789943446</v>
      </c>
      <c r="I506" s="37">
        <f t="shared" si="60"/>
        <v>0.48749900555622055</v>
      </c>
      <c r="J506" s="210">
        <v>0.51359284787204584</v>
      </c>
      <c r="K506" s="37">
        <f t="shared" si="58"/>
        <v>1.0073160737485034E-2</v>
      </c>
      <c r="L506" s="117">
        <f t="shared" si="61"/>
        <v>1.2279182938994257E-2</v>
      </c>
      <c r="M506" s="45">
        <f t="shared" si="59"/>
        <v>1.6971469812346377E-2</v>
      </c>
    </row>
    <row r="507" spans="1:13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625">
        <f t="shared" si="55"/>
        <v>184.88</v>
      </c>
      <c r="G507" s="663">
        <f t="shared" si="56"/>
        <v>7.5810071495933885E-4</v>
      </c>
      <c r="H507" s="46">
        <f t="shared" si="57"/>
        <v>1.7800659647674251</v>
      </c>
      <c r="I507" s="37">
        <f t="shared" si="60"/>
        <v>0.65453025524498221</v>
      </c>
      <c r="J507" s="210">
        <v>0.68956460213931614</v>
      </c>
      <c r="K507" s="37">
        <f t="shared" si="58"/>
        <v>1.3524516754874606E-2</v>
      </c>
      <c r="L507" s="117">
        <f t="shared" si="61"/>
        <v>1.6486385924192146E-2</v>
      </c>
      <c r="M507" s="45">
        <f t="shared" si="59"/>
        <v>1.6971469812346377E-2</v>
      </c>
    </row>
    <row r="508" spans="1:13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625">
        <f t="shared" si="55"/>
        <v>657.19</v>
      </c>
      <c r="G508" s="663">
        <f t="shared" si="56"/>
        <v>2.6948085723935956E-3</v>
      </c>
      <c r="H508" s="46">
        <f t="shared" si="57"/>
        <v>6.3275722164945059</v>
      </c>
      <c r="I508" s="37">
        <f t="shared" si="60"/>
        <v>2.3266483040050301</v>
      </c>
      <c r="J508" s="210">
        <v>2.451184340544879</v>
      </c>
      <c r="K508" s="37">
        <f t="shared" si="58"/>
        <v>4.8075384931501743E-2</v>
      </c>
      <c r="L508" s="117">
        <f t="shared" si="61"/>
        <v>5.8603894231500628E-2</v>
      </c>
      <c r="M508" s="45">
        <f t="shared" si="59"/>
        <v>1.6971469812346377E-2</v>
      </c>
    </row>
    <row r="509" spans="1:13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625">
        <f t="shared" si="55"/>
        <v>815.3</v>
      </c>
      <c r="G509" s="663">
        <f t="shared" si="56"/>
        <v>3.34313886253975E-3</v>
      </c>
      <c r="H509" s="46">
        <f t="shared" si="57"/>
        <v>7.8498906375750854</v>
      </c>
      <c r="I509" s="37">
        <f t="shared" si="60"/>
        <v>2.886404787436359</v>
      </c>
      <c r="J509" s="210">
        <v>3.0409023156868478</v>
      </c>
      <c r="K509" s="37">
        <f t="shared" si="58"/>
        <v>5.964159730770914E-2</v>
      </c>
      <c r="L509" s="117">
        <f t="shared" si="61"/>
        <v>7.2703107118097451E-2</v>
      </c>
      <c r="M509" s="45">
        <f t="shared" si="59"/>
        <v>1.6971469812346377E-2</v>
      </c>
    </row>
    <row r="510" spans="1:13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625">
        <f t="shared" si="55"/>
        <v>800.4</v>
      </c>
      <c r="G510" s="663">
        <f t="shared" si="56"/>
        <v>3.2820413903800025E-3</v>
      </c>
      <c r="H510" s="46">
        <f t="shared" si="57"/>
        <v>7.7064301070956684</v>
      </c>
      <c r="I510" s="37">
        <f t="shared" si="60"/>
        <v>2.8336543503790774</v>
      </c>
      <c r="J510" s="210">
        <v>2.9853283619229156</v>
      </c>
      <c r="K510" s="37">
        <f t="shared" si="58"/>
        <v>5.8551618404379245E-2</v>
      </c>
      <c r="L510" s="117">
        <f t="shared" si="61"/>
        <v>7.1374422834938306E-2</v>
      </c>
      <c r="M510" s="45">
        <f t="shared" si="59"/>
        <v>1.6971469812346381E-2</v>
      </c>
    </row>
    <row r="511" spans="1:13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625">
        <f t="shared" ref="F511:F535" si="62">C511+D511+E511</f>
        <v>285.10000000000002</v>
      </c>
      <c r="G511" s="663">
        <f t="shared" si="56"/>
        <v>1.1690529740096686E-3</v>
      </c>
      <c r="H511" s="46">
        <f t="shared" si="57"/>
        <v>2.7450065261531424</v>
      </c>
      <c r="I511" s="37">
        <f t="shared" si="60"/>
        <v>1.0093388996665105</v>
      </c>
      <c r="J511" s="210">
        <v>1.0633647126239671</v>
      </c>
      <c r="K511" s="37">
        <f t="shared" si="58"/>
        <v>2.0855905056332488E-2</v>
      </c>
      <c r="L511" s="117">
        <f t="shared" si="61"/>
        <v>2.5423348263669304E-2</v>
      </c>
      <c r="M511" s="45">
        <f t="shared" si="59"/>
        <v>1.6971469812346377E-2</v>
      </c>
    </row>
    <row r="512" spans="1:13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625">
        <f t="shared" si="62"/>
        <v>415.84</v>
      </c>
      <c r="G512" s="663">
        <f t="shared" si="56"/>
        <v>1.7051525384502999E-3</v>
      </c>
      <c r="H512" s="46">
        <f t="shared" si="57"/>
        <v>4.0038004694336111</v>
      </c>
      <c r="I512" s="37">
        <f t="shared" si="60"/>
        <v>1.472197432610739</v>
      </c>
      <c r="J512" s="210">
        <v>1.5509981834358135</v>
      </c>
      <c r="K512" s="37">
        <f t="shared" si="58"/>
        <v>3.041992128595335E-2</v>
      </c>
      <c r="L512" s="117">
        <f t="shared" si="61"/>
        <v>3.7081884047577139E-2</v>
      </c>
      <c r="M512" s="45">
        <f t="shared" si="59"/>
        <v>1.6971469812346377E-2</v>
      </c>
    </row>
    <row r="513" spans="1:13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625">
        <f t="shared" si="62"/>
        <v>516.34</v>
      </c>
      <c r="G513" s="663">
        <f t="shared" si="56"/>
        <v>2.1172529379170548E-3</v>
      </c>
      <c r="H513" s="46">
        <f t="shared" si="57"/>
        <v>4.9714369334055197</v>
      </c>
      <c r="I513" s="37">
        <f t="shared" si="60"/>
        <v>1.8279973604132098</v>
      </c>
      <c r="J513" s="210">
        <v>1.9258426366757602</v>
      </c>
      <c r="K513" s="37">
        <f t="shared" si="58"/>
        <v>3.7771792412440254E-2</v>
      </c>
      <c r="L513" s="117">
        <f t="shared" si="61"/>
        <v>4.6043814950764671E-2</v>
      </c>
      <c r="M513" s="45">
        <f t="shared" si="59"/>
        <v>1.6971469812346381E-2</v>
      </c>
    </row>
    <row r="514" spans="1:13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625">
        <f t="shared" si="62"/>
        <v>605.14</v>
      </c>
      <c r="G514" s="663">
        <f t="shared" ref="G514:G534" si="63">1/243872.61*F514</f>
        <v>2.4813774699832016E-3</v>
      </c>
      <c r="H514" s="46">
        <f t="shared" ref="H514:H534" si="64">G514*2348.06</f>
        <v>5.8264231821687558</v>
      </c>
      <c r="I514" s="37">
        <f t="shared" si="60"/>
        <v>2.1423758040834517</v>
      </c>
      <c r="J514" s="210">
        <v>2.2570484819265779</v>
      </c>
      <c r="K514" s="37">
        <f t="shared" ref="K514:K533" si="65">G514*17.84</f>
        <v>4.4267774064500318E-2</v>
      </c>
      <c r="L514" s="117">
        <f t="shared" si="61"/>
        <v>5.3962416584625889E-2</v>
      </c>
      <c r="M514" s="45">
        <f t="shared" si="59"/>
        <v>1.6971469812346377E-2</v>
      </c>
    </row>
    <row r="515" spans="1:13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625">
        <f t="shared" si="62"/>
        <v>476.1</v>
      </c>
      <c r="G515" s="663">
        <f t="shared" si="63"/>
        <v>1.9522487580708636E-3</v>
      </c>
      <c r="H515" s="46">
        <f t="shared" si="64"/>
        <v>4.5839972188758722</v>
      </c>
      <c r="I515" s="37">
        <f t="shared" si="60"/>
        <v>1.6855357773806583</v>
      </c>
      <c r="J515" s="210">
        <v>1.7757556635575964</v>
      </c>
      <c r="K515" s="37">
        <f t="shared" si="65"/>
        <v>3.4828117843984208E-2</v>
      </c>
      <c r="L515" s="117">
        <f t="shared" si="61"/>
        <v>4.2455475651816753E-2</v>
      </c>
      <c r="M515" s="45">
        <f t="shared" si="59"/>
        <v>1.6971469812346377E-2</v>
      </c>
    </row>
    <row r="516" spans="1:13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625">
        <f t="shared" si="62"/>
        <v>417.52</v>
      </c>
      <c r="G516" s="663">
        <f t="shared" si="63"/>
        <v>1.7120413809488487E-3</v>
      </c>
      <c r="H516" s="46">
        <f t="shared" si="64"/>
        <v>4.0199758849507532</v>
      </c>
      <c r="I516" s="37">
        <f t="shared" si="60"/>
        <v>1.4781451328963922</v>
      </c>
      <c r="J516" s="210">
        <v>1.557264239967586</v>
      </c>
      <c r="K516" s="37">
        <f t="shared" si="65"/>
        <v>3.0542818236127461E-2</v>
      </c>
      <c r="L516" s="117">
        <f t="shared" si="61"/>
        <v>3.7231695429839375E-2</v>
      </c>
      <c r="M516" s="45">
        <f t="shared" si="59"/>
        <v>1.6971469812346377E-2</v>
      </c>
    </row>
    <row r="517" spans="1:13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625">
        <f t="shared" si="62"/>
        <v>273.56</v>
      </c>
      <c r="G517" s="663">
        <f t="shared" si="63"/>
        <v>1.1217331868470183E-3</v>
      </c>
      <c r="H517" s="46">
        <f t="shared" si="64"/>
        <v>2.6338968267080096</v>
      </c>
      <c r="I517" s="37">
        <f t="shared" si="60"/>
        <v>0.96848386318053525</v>
      </c>
      <c r="J517" s="210">
        <v>1.0203228719235793</v>
      </c>
      <c r="K517" s="37">
        <f t="shared" si="65"/>
        <v>2.0011720053350807E-2</v>
      </c>
      <c r="L517" s="117">
        <f t="shared" si="61"/>
        <v>2.4394286745034636E-2</v>
      </c>
      <c r="M517" s="45">
        <f t="shared" si="59"/>
        <v>1.6971469812346377E-2</v>
      </c>
    </row>
    <row r="518" spans="1:13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625">
        <f t="shared" si="62"/>
        <v>645.95000000000005</v>
      </c>
      <c r="G518" s="663">
        <f t="shared" si="63"/>
        <v>2.6487189356771148E-3</v>
      </c>
      <c r="H518" s="46">
        <f t="shared" si="64"/>
        <v>6.219350984106006</v>
      </c>
      <c r="I518" s="37">
        <f t="shared" si="60"/>
        <v>2.2868553568557783</v>
      </c>
      <c r="J518" s="210">
        <v>2.409261438510879</v>
      </c>
      <c r="K518" s="37">
        <f t="shared" si="65"/>
        <v>4.7253145812479726E-2</v>
      </c>
      <c r="L518" s="117">
        <f t="shared" si="61"/>
        <v>5.7601584745412791E-2</v>
      </c>
      <c r="M518" s="45">
        <f t="shared" si="59"/>
        <v>1.6971469812346377E-2</v>
      </c>
    </row>
    <row r="519" spans="1:13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625">
        <f t="shared" si="62"/>
        <v>867.68</v>
      </c>
      <c r="G519" s="663">
        <f t="shared" si="63"/>
        <v>3.5579231304409299E-3</v>
      </c>
      <c r="H519" s="46">
        <f t="shared" si="64"/>
        <v>8.354216985663129</v>
      </c>
      <c r="I519" s="37">
        <f t="shared" si="60"/>
        <v>3.0718455856283327</v>
      </c>
      <c r="J519" s="210">
        <v>3.236269006838175</v>
      </c>
      <c r="K519" s="37">
        <f t="shared" si="65"/>
        <v>6.3473348647066191E-2</v>
      </c>
      <c r="L519" s="117">
        <f t="shared" si="61"/>
        <v>7.7374012000773693E-2</v>
      </c>
      <c r="M519" s="45">
        <f t="shared" ref="M519:M582" si="66">(K519+J519+I519+H519)/F519</f>
        <v>1.6971469812346377E-2</v>
      </c>
    </row>
    <row r="520" spans="1:13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625">
        <f t="shared" si="62"/>
        <v>556.85</v>
      </c>
      <c r="G520" s="663">
        <f t="shared" si="63"/>
        <v>2.2833642531647981E-3</v>
      </c>
      <c r="H520" s="46">
        <f t="shared" si="64"/>
        <v>5.3614762682861361</v>
      </c>
      <c r="I520" s="37">
        <f t="shared" si="60"/>
        <v>1.9714148238488123</v>
      </c>
      <c r="J520" s="210">
        <v>2.0769366545936729</v>
      </c>
      <c r="K520" s="37">
        <f t="shared" si="65"/>
        <v>4.0735218276459997E-2</v>
      </c>
      <c r="L520" s="117">
        <f t="shared" si="61"/>
        <v>4.9656231079004742E-2</v>
      </c>
      <c r="M520" s="45">
        <f t="shared" si="66"/>
        <v>1.6971469812346381E-2</v>
      </c>
    </row>
    <row r="521" spans="1:13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625">
        <f t="shared" si="62"/>
        <v>335.18</v>
      </c>
      <c r="G521" s="663">
        <f t="shared" si="63"/>
        <v>1.3744060884902163E-3</v>
      </c>
      <c r="H521" s="46">
        <f t="shared" si="64"/>
        <v>3.2271879601403373</v>
      </c>
      <c r="I521" s="37">
        <f t="shared" si="60"/>
        <v>1.1866370129436021</v>
      </c>
      <c r="J521" s="210">
        <v>1.2501528739996539</v>
      </c>
      <c r="K521" s="37">
        <f t="shared" si="65"/>
        <v>2.4519404618665461E-2</v>
      </c>
      <c r="L521" s="117">
        <f t="shared" si="61"/>
        <v>2.98891542301532E-2</v>
      </c>
      <c r="M521" s="45">
        <f t="shared" si="66"/>
        <v>1.6971469812346377E-2</v>
      </c>
    </row>
    <row r="522" spans="1:13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625">
        <f t="shared" si="62"/>
        <v>274.58999999999997</v>
      </c>
      <c r="G522" s="663">
        <f t="shared" si="63"/>
        <v>1.1259567033788664E-3</v>
      </c>
      <c r="H522" s="46">
        <f t="shared" si="64"/>
        <v>2.6438138969357809</v>
      </c>
      <c r="I522" s="37">
        <f t="shared" si="60"/>
        <v>0.97213036990328672</v>
      </c>
      <c r="J522" s="210">
        <v>1.0241645613448442</v>
      </c>
      <c r="K522" s="37">
        <f t="shared" si="65"/>
        <v>2.0087067588278978E-2</v>
      </c>
      <c r="L522" s="117">
        <f t="shared" si="61"/>
        <v>2.4486135390112077E-2</v>
      </c>
      <c r="M522" s="45">
        <f t="shared" si="66"/>
        <v>1.6971469812346374E-2</v>
      </c>
    </row>
    <row r="523" spans="1:13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625">
        <f t="shared" si="62"/>
        <v>345.54</v>
      </c>
      <c r="G523" s="663">
        <f t="shared" si="63"/>
        <v>1.4168872838979337E-3</v>
      </c>
      <c r="H523" s="46">
        <f t="shared" si="64"/>
        <v>3.3269363558293823</v>
      </c>
      <c r="I523" s="37">
        <f t="shared" si="60"/>
        <v>1.223314498038464</v>
      </c>
      <c r="J523" s="210">
        <v>1.2887935559455828</v>
      </c>
      <c r="K523" s="37">
        <f t="shared" si="65"/>
        <v>2.5277269144739139E-2</v>
      </c>
      <c r="L523" s="117">
        <f t="shared" si="61"/>
        <v>3.0812991087437014E-2</v>
      </c>
      <c r="M523" s="45">
        <f t="shared" si="66"/>
        <v>1.6971469812346381E-2</v>
      </c>
    </row>
    <row r="524" spans="1:13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625">
        <f t="shared" si="62"/>
        <v>212.4</v>
      </c>
      <c r="G524" s="663">
        <f t="shared" si="63"/>
        <v>8.7094651588794667E-4</v>
      </c>
      <c r="H524" s="46">
        <f t="shared" si="64"/>
        <v>2.045034676095852</v>
      </c>
      <c r="I524" s="37">
        <f t="shared" si="60"/>
        <v>0.75195925040044487</v>
      </c>
      <c r="J524" s="210">
        <v>0.79220857580263282</v>
      </c>
      <c r="K524" s="37">
        <f t="shared" si="65"/>
        <v>1.5537685843440969E-2</v>
      </c>
      <c r="L524" s="117">
        <f t="shared" si="61"/>
        <v>1.8940439043154542E-2</v>
      </c>
      <c r="M524" s="45">
        <f t="shared" si="66"/>
        <v>1.6971469812346377E-2</v>
      </c>
    </row>
    <row r="525" spans="1:13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625">
        <f t="shared" si="62"/>
        <v>257.2</v>
      </c>
      <c r="G525" s="663">
        <f t="shared" si="63"/>
        <v>1.0546489825159129E-3</v>
      </c>
      <c r="H525" s="46">
        <f t="shared" si="64"/>
        <v>2.4763790898863145</v>
      </c>
      <c r="I525" s="37">
        <f t="shared" si="60"/>
        <v>0.91056459135119794</v>
      </c>
      <c r="J525" s="210">
        <v>0.95930341664989227</v>
      </c>
      <c r="K525" s="37">
        <f t="shared" si="65"/>
        <v>1.8814937848083885E-2</v>
      </c>
      <c r="L525" s="117">
        <f t="shared" si="61"/>
        <v>2.2935409236814256E-2</v>
      </c>
      <c r="M525" s="45">
        <f t="shared" si="66"/>
        <v>1.6971469812346377E-2</v>
      </c>
    </row>
    <row r="526" spans="1:13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625">
        <f t="shared" si="62"/>
        <v>406.14</v>
      </c>
      <c r="G526" s="663">
        <f t="shared" si="63"/>
        <v>1.6653776740241555E-3</v>
      </c>
      <c r="H526" s="46">
        <f t="shared" si="64"/>
        <v>3.9104067012691583</v>
      </c>
      <c r="I526" s="37">
        <f t="shared" si="60"/>
        <v>1.4378565440566697</v>
      </c>
      <c r="J526" s="210">
        <v>1.5148191665559383</v>
      </c>
      <c r="K526" s="37">
        <f t="shared" si="65"/>
        <v>2.9710337704590934E-2</v>
      </c>
      <c r="L526" s="117">
        <f t="shared" si="61"/>
        <v>3.6216901661896353E-2</v>
      </c>
      <c r="M526" s="45">
        <f t="shared" si="66"/>
        <v>1.6971469812346377E-2</v>
      </c>
    </row>
    <row r="527" spans="1:13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625">
        <f t="shared" si="62"/>
        <v>253.51</v>
      </c>
      <c r="G527" s="663">
        <f t="shared" si="63"/>
        <v>1.039518132028029E-3</v>
      </c>
      <c r="H527" s="46">
        <f t="shared" si="64"/>
        <v>2.4408509450897338</v>
      </c>
      <c r="I527" s="37">
        <f t="shared" ref="I527:I534" si="67">H527*0.3677</f>
        <v>0.89750089250949516</v>
      </c>
      <c r="J527" s="210">
        <v>0.94554047105332129</v>
      </c>
      <c r="K527" s="37">
        <f t="shared" si="65"/>
        <v>1.8545003475380038E-2</v>
      </c>
      <c r="L527" s="117">
        <f t="shared" si="61"/>
        <v>2.2606359236488269E-2</v>
      </c>
      <c r="M527" s="45">
        <f t="shared" si="66"/>
        <v>1.6971469812346377E-2</v>
      </c>
    </row>
    <row r="528" spans="1:13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625">
        <f t="shared" si="62"/>
        <v>354.64</v>
      </c>
      <c r="G528" s="663">
        <f t="shared" si="63"/>
        <v>1.4542018474317392E-3</v>
      </c>
      <c r="H528" s="46">
        <f t="shared" si="64"/>
        <v>3.4145531898805692</v>
      </c>
      <c r="I528" s="37">
        <f t="shared" si="67"/>
        <v>1.2555312079190855</v>
      </c>
      <c r="J528" s="210">
        <v>1.3227346954926822</v>
      </c>
      <c r="K528" s="37">
        <f t="shared" si="65"/>
        <v>2.5942960958182226E-2</v>
      </c>
      <c r="L528" s="117">
        <f t="shared" si="61"/>
        <v>3.1624469408024138E-2</v>
      </c>
      <c r="M528" s="45">
        <f t="shared" si="66"/>
        <v>1.6971469812346377E-2</v>
      </c>
    </row>
    <row r="529" spans="1:13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625">
        <f t="shared" si="62"/>
        <v>286.98</v>
      </c>
      <c r="G529" s="663">
        <f t="shared" si="63"/>
        <v>1.1767619168056636E-3</v>
      </c>
      <c r="H529" s="46">
        <f t="shared" si="64"/>
        <v>2.7631075863747063</v>
      </c>
      <c r="I529" s="37">
        <f t="shared" si="67"/>
        <v>1.0159946595099796</v>
      </c>
      <c r="J529" s="210">
        <v>1.0703767282666645</v>
      </c>
      <c r="K529" s="37">
        <f t="shared" si="65"/>
        <v>2.0993432595813041E-2</v>
      </c>
      <c r="L529" s="117">
        <f t="shared" si="61"/>
        <v>2.5590994334296097E-2</v>
      </c>
      <c r="M529" s="45">
        <f t="shared" si="66"/>
        <v>1.6971469812346377E-2</v>
      </c>
    </row>
    <row r="530" spans="1:13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625">
        <f t="shared" si="62"/>
        <v>128.9</v>
      </c>
      <c r="G530" s="663">
        <f t="shared" si="63"/>
        <v>5.285546417041258E-4</v>
      </c>
      <c r="H530" s="46">
        <f t="shared" si="64"/>
        <v>1.2410780119997895</v>
      </c>
      <c r="I530" s="37">
        <f t="shared" si="67"/>
        <v>0.45634438501232266</v>
      </c>
      <c r="J530" s="210">
        <v>0.48077064699133415</v>
      </c>
      <c r="K530" s="37">
        <f t="shared" si="65"/>
        <v>9.4294148080016037E-3</v>
      </c>
      <c r="L530" s="117">
        <f t="shared" si="61"/>
        <v>1.1494456650953956E-2</v>
      </c>
      <c r="M530" s="45">
        <f t="shared" si="66"/>
        <v>1.6971469812346374E-2</v>
      </c>
    </row>
    <row r="531" spans="1:13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625">
        <f t="shared" si="62"/>
        <v>2048.73</v>
      </c>
      <c r="G531" s="663">
        <f t="shared" si="63"/>
        <v>8.4008204119355601E-3</v>
      </c>
      <c r="H531" s="46">
        <f t="shared" si="64"/>
        <v>19.725630376449409</v>
      </c>
      <c r="I531" s="37">
        <f t="shared" si="67"/>
        <v>7.2531142894204486</v>
      </c>
      <c r="J531" s="210">
        <v>7.6413440466296043</v>
      </c>
      <c r="K531" s="37">
        <f t="shared" si="65"/>
        <v>0.1498706361489304</v>
      </c>
      <c r="L531" s="117">
        <f t="shared" si="61"/>
        <v>0.18269230546554616</v>
      </c>
      <c r="M531" s="45">
        <f t="shared" si="66"/>
        <v>1.6971469812346377E-2</v>
      </c>
    </row>
    <row r="532" spans="1:13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625">
        <f t="shared" si="62"/>
        <v>2056.27</v>
      </c>
      <c r="G532" s="663">
        <f t="shared" si="63"/>
        <v>8.4317381931492841E-3</v>
      </c>
      <c r="H532" s="46">
        <f t="shared" si="64"/>
        <v>19.798227181806109</v>
      </c>
      <c r="I532" s="37">
        <f t="shared" si="67"/>
        <v>7.2798081347501062</v>
      </c>
      <c r="J532" s="210">
        <v>7.6694667051114864</v>
      </c>
      <c r="K532" s="37">
        <f t="shared" si="65"/>
        <v>0.15042220936578324</v>
      </c>
      <c r="L532" s="117">
        <f t="shared" si="61"/>
        <v>0.18336467321688979</v>
      </c>
      <c r="M532" s="45">
        <f t="shared" si="66"/>
        <v>1.6971469812346377E-2</v>
      </c>
    </row>
    <row r="533" spans="1:13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625">
        <f t="shared" si="62"/>
        <v>75.900000000000006</v>
      </c>
      <c r="G533" s="663">
        <f t="shared" si="63"/>
        <v>3.1122806288086234E-4</v>
      </c>
      <c r="H533" s="46">
        <f t="shared" si="64"/>
        <v>0.73078216532803764</v>
      </c>
      <c r="I533" s="37">
        <f t="shared" si="67"/>
        <v>0.26870860219111947</v>
      </c>
      <c r="J533" s="210">
        <v>0.28309148259613859</v>
      </c>
      <c r="K533" s="37">
        <f t="shared" si="65"/>
        <v>5.5523086417945842E-3</v>
      </c>
      <c r="L533" s="117">
        <f t="shared" si="61"/>
        <v>6.768264234347599E-3</v>
      </c>
      <c r="M533" s="45">
        <f t="shared" si="66"/>
        <v>1.6971469812346381E-2</v>
      </c>
    </row>
    <row r="534" spans="1:13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625">
        <f t="shared" si="62"/>
        <v>903</v>
      </c>
      <c r="G534" s="663">
        <f t="shared" si="63"/>
        <v>3.7027528429699427E-3</v>
      </c>
      <c r="H534" s="46">
        <f t="shared" si="64"/>
        <v>8.6942858404640031</v>
      </c>
      <c r="I534" s="37">
        <f t="shared" si="67"/>
        <v>3.1968889035386141</v>
      </c>
      <c r="J534" s="210">
        <v>3.3680053858275771</v>
      </c>
      <c r="K534" s="37">
        <f>G534*17.84*1.08</f>
        <v>7.1341679576070488E-2</v>
      </c>
      <c r="L534" s="117">
        <f t="shared" si="61"/>
        <v>8.6965507403229933E-2</v>
      </c>
      <c r="M534" s="45">
        <f t="shared" si="66"/>
        <v>1.6977322048068951E-2</v>
      </c>
    </row>
    <row r="535" spans="1:13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14">
        <f t="shared" si="62"/>
        <v>243872.61000000004</v>
      </c>
      <c r="G535" s="663">
        <f>1/243872.61*F535</f>
        <v>1.0000000000000002</v>
      </c>
      <c r="H535" s="46">
        <f>G535*2348.06</f>
        <v>2348.0600000000004</v>
      </c>
      <c r="I535" s="316">
        <f t="shared" ref="I535:I581" si="68">H535*0.3677</f>
        <v>863.38166200000023</v>
      </c>
      <c r="J535" s="210">
        <f>SUM(J385:J534)</f>
        <v>909.59497667312098</v>
      </c>
      <c r="K535" s="37">
        <f>G535*17.84*1.08</f>
        <v>19.267200000000006</v>
      </c>
      <c r="L535" s="117">
        <f t="shared" si="61"/>
        <v>23.486716800000011</v>
      </c>
      <c r="M535" s="45">
        <f t="shared" si="66"/>
        <v>1.6977322048068951E-2</v>
      </c>
    </row>
    <row r="536" spans="1:13" s="209" customFormat="1" ht="18" customHeight="1">
      <c r="A536" s="510" t="s">
        <v>600</v>
      </c>
      <c r="B536" s="339"/>
      <c r="C536" s="339"/>
      <c r="D536" s="339"/>
      <c r="E536" s="339"/>
      <c r="F536" s="339"/>
      <c r="G536" s="339"/>
      <c r="H536" s="46">
        <f>G536*2418.5</f>
        <v>0</v>
      </c>
      <c r="I536" s="342"/>
      <c r="J536" s="210">
        <v>0</v>
      </c>
      <c r="K536" s="342"/>
      <c r="L536" s="117">
        <f t="shared" si="61"/>
        <v>0</v>
      </c>
      <c r="M536" s="45" t="e">
        <f t="shared" si="66"/>
        <v>#DIV/0!</v>
      </c>
    </row>
    <row r="537" spans="1:13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625">
        <f t="shared" ref="F537:F594" si="69">C537+D537+E537</f>
        <v>4713.8</v>
      </c>
      <c r="G537" s="665">
        <f t="shared" ref="G537:G600" si="70">1/246324.39*F537</f>
        <v>1.9136554037543742E-2</v>
      </c>
      <c r="H537" s="46">
        <f t="shared" ref="H537:H600" si="71">G537*2348.06</f>
        <v>44.933777073394957</v>
      </c>
      <c r="I537" s="37">
        <f t="shared" si="68"/>
        <v>16.522149829887326</v>
      </c>
      <c r="J537" s="210">
        <v>20.775172433899538</v>
      </c>
      <c r="K537" s="37">
        <f t="shared" ref="K537:K600" si="72">G537*17.84</f>
        <v>0.34139612402978037</v>
      </c>
      <c r="L537" s="117">
        <f t="shared" si="61"/>
        <v>0.4161618751923023</v>
      </c>
      <c r="M537" s="45">
        <f t="shared" si="66"/>
        <v>1.7517182625739657E-2</v>
      </c>
    </row>
    <row r="538" spans="1:13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625">
        <f t="shared" si="69"/>
        <v>14312.59</v>
      </c>
      <c r="G538" s="665">
        <f t="shared" si="70"/>
        <v>5.810463998307272E-2</v>
      </c>
      <c r="H538" s="46">
        <f t="shared" si="71"/>
        <v>136.43318095865374</v>
      </c>
      <c r="I538" s="37">
        <f t="shared" si="68"/>
        <v>50.166480638496985</v>
      </c>
      <c r="J538" s="210">
        <v>63.080004502886453</v>
      </c>
      <c r="K538" s="37">
        <f t="shared" si="72"/>
        <v>1.0365867772980173</v>
      </c>
      <c r="L538" s="117">
        <f t="shared" si="61"/>
        <v>1.2635992815262831</v>
      </c>
      <c r="M538" s="45">
        <f t="shared" si="66"/>
        <v>1.7517182625739661E-2</v>
      </c>
    </row>
    <row r="539" spans="1:13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625">
        <f t="shared" si="69"/>
        <v>4226.7</v>
      </c>
      <c r="G539" s="665">
        <f t="shared" si="70"/>
        <v>1.7159080349290621E-2</v>
      </c>
      <c r="H539" s="46">
        <f t="shared" si="71"/>
        <v>40.290550204955338</v>
      </c>
      <c r="I539" s="37">
        <f t="shared" si="68"/>
        <v>14.81483531036208</v>
      </c>
      <c r="J539" s="210">
        <v>18.628372295465056</v>
      </c>
      <c r="K539" s="37">
        <f t="shared" si="72"/>
        <v>0.30611799343134466</v>
      </c>
      <c r="L539" s="117">
        <f t="shared" si="61"/>
        <v>0.37315783399280916</v>
      </c>
      <c r="M539" s="45">
        <f t="shared" si="66"/>
        <v>1.7517182625739657E-2</v>
      </c>
    </row>
    <row r="540" spans="1:13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625">
        <f t="shared" si="69"/>
        <v>4136.82</v>
      </c>
      <c r="G540" s="665">
        <f t="shared" si="70"/>
        <v>1.6794195653950465E-2</v>
      </c>
      <c r="H540" s="46">
        <f t="shared" si="71"/>
        <v>39.433779047214927</v>
      </c>
      <c r="I540" s="37">
        <f t="shared" si="68"/>
        <v>14.499800555660929</v>
      </c>
      <c r="J540" s="210">
        <v>18.232243376469995</v>
      </c>
      <c r="K540" s="37">
        <f t="shared" si="72"/>
        <v>0.29960845046647627</v>
      </c>
      <c r="L540" s="117">
        <f t="shared" si="61"/>
        <v>0.36522270111863459</v>
      </c>
      <c r="M540" s="45">
        <f t="shared" si="66"/>
        <v>1.7517182625739657E-2</v>
      </c>
    </row>
    <row r="541" spans="1:13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625">
        <f t="shared" si="69"/>
        <v>7984.78</v>
      </c>
      <c r="G541" s="665">
        <f t="shared" si="70"/>
        <v>3.2415710031799931E-2</v>
      </c>
      <c r="H541" s="46">
        <f t="shared" si="71"/>
        <v>76.114032097268151</v>
      </c>
      <c r="I541" s="37">
        <f t="shared" si="68"/>
        <v>27.987129602165503</v>
      </c>
      <c r="J541" s="210">
        <v>35.191391519952546</v>
      </c>
      <c r="K541" s="37">
        <f t="shared" si="72"/>
        <v>0.57829626696731073</v>
      </c>
      <c r="L541" s="117">
        <f t="shared" ref="L541:L604" si="73">K541*1.219</f>
        <v>0.70494314943315184</v>
      </c>
      <c r="M541" s="45">
        <f t="shared" si="66"/>
        <v>1.7517182625739657E-2</v>
      </c>
    </row>
    <row r="542" spans="1:13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625">
        <f t="shared" si="69"/>
        <v>4209.92</v>
      </c>
      <c r="G542" s="665">
        <f t="shared" si="70"/>
        <v>1.7090958796244251E-2</v>
      </c>
      <c r="H542" s="46">
        <f t="shared" si="71"/>
        <v>40.130596711109277</v>
      </c>
      <c r="I542" s="37">
        <f t="shared" si="68"/>
        <v>14.756020410674882</v>
      </c>
      <c r="J542" s="210">
        <v>18.554417653044748</v>
      </c>
      <c r="K542" s="37">
        <f t="shared" si="72"/>
        <v>0.30490270492499744</v>
      </c>
      <c r="L542" s="117">
        <f t="shared" si="73"/>
        <v>0.37167639730357188</v>
      </c>
      <c r="M542" s="45">
        <f t="shared" si="66"/>
        <v>1.7517182625739657E-2</v>
      </c>
    </row>
    <row r="543" spans="1:13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625">
        <f t="shared" si="69"/>
        <v>8071.9</v>
      </c>
      <c r="G543" s="665">
        <f t="shared" si="70"/>
        <v>3.2769389990167028E-2</v>
      </c>
      <c r="H543" s="46">
        <f t="shared" si="71"/>
        <v>76.944493860311596</v>
      </c>
      <c r="I543" s="37">
        <f t="shared" si="68"/>
        <v>28.292490392436576</v>
      </c>
      <c r="J543" s="210">
        <v>35.575356266535209</v>
      </c>
      <c r="K543" s="37">
        <f t="shared" si="72"/>
        <v>0.58460591742457979</v>
      </c>
      <c r="L543" s="117">
        <f t="shared" si="73"/>
        <v>0.71263461334056277</v>
      </c>
      <c r="M543" s="45">
        <f t="shared" si="66"/>
        <v>1.7517182625739661E-2</v>
      </c>
    </row>
    <row r="544" spans="1:13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625">
        <f t="shared" si="69"/>
        <v>4461.2</v>
      </c>
      <c r="G544" s="665">
        <f t="shared" si="70"/>
        <v>1.8111077023270004E-2</v>
      </c>
      <c r="H544" s="46">
        <f t="shared" si="71"/>
        <v>42.525895515259364</v>
      </c>
      <c r="I544" s="37">
        <f t="shared" si="68"/>
        <v>15.636771780960869</v>
      </c>
      <c r="J544" s="210">
        <v>19.661886219634393</v>
      </c>
      <c r="K544" s="37">
        <f t="shared" si="72"/>
        <v>0.32310161409513688</v>
      </c>
      <c r="L544" s="117">
        <f t="shared" si="73"/>
        <v>0.39386086758197186</v>
      </c>
      <c r="M544" s="45">
        <f t="shared" si="66"/>
        <v>1.7517182625739657E-2</v>
      </c>
    </row>
    <row r="545" spans="1:13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625">
        <f t="shared" si="69"/>
        <v>10161.57</v>
      </c>
      <c r="G545" s="665">
        <f t="shared" si="70"/>
        <v>4.1252796769333307E-2</v>
      </c>
      <c r="H545" s="46">
        <f t="shared" si="71"/>
        <v>96.86404198220076</v>
      </c>
      <c r="I545" s="37">
        <f t="shared" si="68"/>
        <v>35.616908236855224</v>
      </c>
      <c r="J545" s="210">
        <v>44.785177340816439</v>
      </c>
      <c r="K545" s="37">
        <f t="shared" si="72"/>
        <v>0.73594989436490621</v>
      </c>
      <c r="L545" s="117">
        <f t="shared" si="73"/>
        <v>0.89712292123082071</v>
      </c>
      <c r="M545" s="45">
        <f t="shared" si="66"/>
        <v>1.7517182625739657E-2</v>
      </c>
    </row>
    <row r="546" spans="1:13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625">
        <f t="shared" si="69"/>
        <v>7889.76</v>
      </c>
      <c r="G546" s="665">
        <f t="shared" si="70"/>
        <v>3.2029958543691103E-2</v>
      </c>
      <c r="H546" s="46">
        <f t="shared" si="71"/>
        <v>75.208264458099336</v>
      </c>
      <c r="I546" s="37">
        <f t="shared" si="68"/>
        <v>27.654078841243127</v>
      </c>
      <c r="J546" s="210">
        <v>34.772609033493829</v>
      </c>
      <c r="K546" s="37">
        <f t="shared" si="72"/>
        <v>0.57141446041944932</v>
      </c>
      <c r="L546" s="117">
        <f t="shared" si="73"/>
        <v>0.69655422725130878</v>
      </c>
      <c r="M546" s="45">
        <f t="shared" si="66"/>
        <v>1.7517182625739661E-2</v>
      </c>
    </row>
    <row r="547" spans="1:13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625">
        <f t="shared" si="69"/>
        <v>7084.55</v>
      </c>
      <c r="G547" s="665">
        <f t="shared" si="70"/>
        <v>2.876105772554638E-2</v>
      </c>
      <c r="H547" s="46">
        <f t="shared" si="71"/>
        <v>67.532689203046431</v>
      </c>
      <c r="I547" s="37">
        <f t="shared" si="68"/>
        <v>24.831769819960176</v>
      </c>
      <c r="J547" s="210">
        <v>31.223799878353546</v>
      </c>
      <c r="K547" s="37">
        <f t="shared" si="72"/>
        <v>0.51309726982374737</v>
      </c>
      <c r="L547" s="117">
        <f t="shared" si="73"/>
        <v>0.62546557191514807</v>
      </c>
      <c r="M547" s="45">
        <f t="shared" si="66"/>
        <v>1.7517182625739657E-2</v>
      </c>
    </row>
    <row r="548" spans="1:13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625">
        <f t="shared" si="69"/>
        <v>4792.88</v>
      </c>
      <c r="G548" s="665">
        <f t="shared" si="70"/>
        <v>1.9457594109945828E-2</v>
      </c>
      <c r="H548" s="46">
        <f t="shared" si="71"/>
        <v>45.687598425799401</v>
      </c>
      <c r="I548" s="37">
        <f t="shared" si="68"/>
        <v>16.799329941166441</v>
      </c>
      <c r="J548" s="210">
        <v>21.123702417367813</v>
      </c>
      <c r="K548" s="37">
        <f t="shared" si="72"/>
        <v>0.34712347892143358</v>
      </c>
      <c r="L548" s="117">
        <f t="shared" si="73"/>
        <v>0.42314352080522755</v>
      </c>
      <c r="M548" s="45">
        <f t="shared" si="66"/>
        <v>1.7517182625739657E-2</v>
      </c>
    </row>
    <row r="549" spans="1:13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625">
        <f t="shared" si="69"/>
        <v>4816.47</v>
      </c>
      <c r="G549" s="665">
        <f t="shared" si="70"/>
        <v>1.9553362133567041E-2</v>
      </c>
      <c r="H549" s="46">
        <f t="shared" si="71"/>
        <v>45.912467491343428</v>
      </c>
      <c r="I549" s="37">
        <f t="shared" si="68"/>
        <v>16.882014296566979</v>
      </c>
      <c r="J549" s="210">
        <v>21.227670833023062</v>
      </c>
      <c r="K549" s="37">
        <f t="shared" si="72"/>
        <v>0.34883198046283598</v>
      </c>
      <c r="L549" s="117">
        <f t="shared" si="73"/>
        <v>0.42522618418419711</v>
      </c>
      <c r="M549" s="45">
        <f t="shared" si="66"/>
        <v>1.7517182625739661E-2</v>
      </c>
    </row>
    <row r="550" spans="1:13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625">
        <f t="shared" si="69"/>
        <v>5818.22</v>
      </c>
      <c r="G550" s="665">
        <f t="shared" si="70"/>
        <v>2.3620153895438447E-2</v>
      </c>
      <c r="H550" s="46">
        <f t="shared" si="71"/>
        <v>55.461538555723202</v>
      </c>
      <c r="I550" s="37">
        <f t="shared" si="68"/>
        <v>20.393207726939423</v>
      </c>
      <c r="J550" s="210">
        <v>25.642692468573753</v>
      </c>
      <c r="K550" s="37">
        <f t="shared" si="72"/>
        <v>0.42138354549462187</v>
      </c>
      <c r="L550" s="117">
        <f t="shared" si="73"/>
        <v>0.51366654195794414</v>
      </c>
      <c r="M550" s="45">
        <f t="shared" si="66"/>
        <v>1.7517182625739661E-2</v>
      </c>
    </row>
    <row r="551" spans="1:13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625">
        <f t="shared" si="69"/>
        <v>16414.989999999998</v>
      </c>
      <c r="G551" s="665">
        <f t="shared" si="70"/>
        <v>6.6639726581683587E-2</v>
      </c>
      <c r="H551" s="46">
        <f t="shared" si="71"/>
        <v>156.47407639738796</v>
      </c>
      <c r="I551" s="37">
        <f t="shared" si="68"/>
        <v>57.535517891319557</v>
      </c>
      <c r="J551" s="210">
        <v>72.345930618765436</v>
      </c>
      <c r="K551" s="37">
        <f t="shared" si="72"/>
        <v>1.1888527222172351</v>
      </c>
      <c r="L551" s="117">
        <f t="shared" si="73"/>
        <v>1.4492114683828097</v>
      </c>
      <c r="M551" s="45">
        <f t="shared" si="66"/>
        <v>1.7517182625739657E-2</v>
      </c>
    </row>
    <row r="552" spans="1:13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625">
        <f t="shared" si="69"/>
        <v>14876.619999999999</v>
      </c>
      <c r="G552" s="665">
        <f t="shared" si="70"/>
        <v>6.0394425416013399E-2</v>
      </c>
      <c r="H552" s="46">
        <f t="shared" si="71"/>
        <v>141.80973454232441</v>
      </c>
      <c r="I552" s="37">
        <f t="shared" si="68"/>
        <v>52.143439391212688</v>
      </c>
      <c r="J552" s="210">
        <v>65.565858910772306</v>
      </c>
      <c r="K552" s="37">
        <f t="shared" si="72"/>
        <v>1.0774365494216791</v>
      </c>
      <c r="L552" s="117">
        <f t="shared" si="73"/>
        <v>1.313395153745027</v>
      </c>
      <c r="M552" s="45">
        <f t="shared" si="66"/>
        <v>1.7517182625739657E-2</v>
      </c>
    </row>
    <row r="553" spans="1:13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625">
        <f t="shared" si="69"/>
        <v>351.06</v>
      </c>
      <c r="G553" s="665">
        <f t="shared" si="70"/>
        <v>1.4251938267258062E-3</v>
      </c>
      <c r="H553" s="46">
        <f t="shared" si="71"/>
        <v>3.3464406167817966</v>
      </c>
      <c r="I553" s="37">
        <f t="shared" si="68"/>
        <v>1.2304862147906668</v>
      </c>
      <c r="J553" s="210">
        <v>1.5472298431509124</v>
      </c>
      <c r="K553" s="37">
        <f t="shared" si="72"/>
        <v>2.5425457868788384E-2</v>
      </c>
      <c r="L553" s="117">
        <f t="shared" si="73"/>
        <v>3.0993633142053043E-2</v>
      </c>
      <c r="M553" s="45">
        <f t="shared" si="66"/>
        <v>1.7517182625739657E-2</v>
      </c>
    </row>
    <row r="554" spans="1:13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625">
        <f t="shared" si="69"/>
        <v>377.1</v>
      </c>
      <c r="G554" s="665">
        <f t="shared" si="70"/>
        <v>1.5309080842542632E-3</v>
      </c>
      <c r="H554" s="46">
        <f t="shared" si="71"/>
        <v>3.5946640363140649</v>
      </c>
      <c r="I554" s="37">
        <f t="shared" si="68"/>
        <v>1.3217579661526817</v>
      </c>
      <c r="J554" s="210">
        <v>1.6619961654765827</v>
      </c>
      <c r="K554" s="37">
        <f t="shared" si="72"/>
        <v>2.7311400223096055E-2</v>
      </c>
      <c r="L554" s="117">
        <f t="shared" si="73"/>
        <v>3.3292596871954093E-2</v>
      </c>
      <c r="M554" s="45">
        <f t="shared" si="66"/>
        <v>1.7517182625739661E-2</v>
      </c>
    </row>
    <row r="555" spans="1:13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625">
        <f t="shared" si="69"/>
        <v>82.9</v>
      </c>
      <c r="G555" s="665">
        <f t="shared" si="70"/>
        <v>3.3654807792277489E-4</v>
      </c>
      <c r="H555" s="46">
        <f t="shared" si="71"/>
        <v>0.79023507984735075</v>
      </c>
      <c r="I555" s="37">
        <f t="shared" si="68"/>
        <v>0.29056943885987091</v>
      </c>
      <c r="J555" s="210">
        <v>0.36536590325645379</v>
      </c>
      <c r="K555" s="37">
        <f t="shared" si="72"/>
        <v>6.0040177101423038E-3</v>
      </c>
      <c r="L555" s="117">
        <f t="shared" si="73"/>
        <v>7.3188975886634691E-3</v>
      </c>
      <c r="M555" s="45">
        <f t="shared" si="66"/>
        <v>1.7517182625739657E-2</v>
      </c>
    </row>
    <row r="556" spans="1:13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625">
        <f t="shared" si="69"/>
        <v>56.1</v>
      </c>
      <c r="G556" s="665">
        <f t="shared" si="70"/>
        <v>2.2774845803941703E-4</v>
      </c>
      <c r="H556" s="46">
        <f t="shared" si="71"/>
        <v>0.53476704438403355</v>
      </c>
      <c r="I556" s="37">
        <f t="shared" si="68"/>
        <v>0.19663384222000915</v>
      </c>
      <c r="J556" s="210">
        <v>0.24725002620852901</v>
      </c>
      <c r="K556" s="37">
        <f t="shared" si="72"/>
        <v>4.0630324914231993E-3</v>
      </c>
      <c r="L556" s="117">
        <f t="shared" si="73"/>
        <v>4.95283660704488E-3</v>
      </c>
      <c r="M556" s="45">
        <v>0</v>
      </c>
    </row>
    <row r="557" spans="1:13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625">
        <f t="shared" si="69"/>
        <v>87</v>
      </c>
      <c r="G557" s="665">
        <f t="shared" si="70"/>
        <v>3.53192795890005E-4</v>
      </c>
      <c r="H557" s="46">
        <f t="shared" si="71"/>
        <v>0.8293178763174851</v>
      </c>
      <c r="I557" s="37">
        <f t="shared" si="68"/>
        <v>0.30494018312193927</v>
      </c>
      <c r="J557" s="210">
        <v>0.38343586952124814</v>
      </c>
      <c r="K557" s="37">
        <f t="shared" si="72"/>
        <v>6.3009594786776887E-3</v>
      </c>
      <c r="L557" s="117">
        <f t="shared" si="73"/>
        <v>7.6808696045081032E-3</v>
      </c>
      <c r="M557" s="45">
        <f t="shared" si="66"/>
        <v>1.7517182625739657E-2</v>
      </c>
    </row>
    <row r="558" spans="1:13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625">
        <f t="shared" si="69"/>
        <v>4409.5</v>
      </c>
      <c r="G558" s="665">
        <f t="shared" si="70"/>
        <v>1.7901191189390542E-2</v>
      </c>
      <c r="H558" s="46">
        <f t="shared" si="71"/>
        <v>42.033070984160354</v>
      </c>
      <c r="I558" s="37">
        <f t="shared" si="68"/>
        <v>15.455560200875762</v>
      </c>
      <c r="J558" s="210">
        <v>19.434028352344182</v>
      </c>
      <c r="K558" s="37">
        <f t="shared" si="72"/>
        <v>0.31935725081872729</v>
      </c>
      <c r="L558" s="117">
        <f t="shared" si="73"/>
        <v>0.38929648874802858</v>
      </c>
      <c r="M558" s="45">
        <f t="shared" si="66"/>
        <v>1.7517182625739657E-2</v>
      </c>
    </row>
    <row r="559" spans="1:13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625">
        <f t="shared" si="69"/>
        <v>354.7</v>
      </c>
      <c r="G559" s="665">
        <f t="shared" si="70"/>
        <v>1.4399710885308595E-3</v>
      </c>
      <c r="H559" s="46">
        <f t="shared" si="71"/>
        <v>3.3811385141357699</v>
      </c>
      <c r="I559" s="37">
        <f t="shared" si="68"/>
        <v>1.2432446316477226</v>
      </c>
      <c r="J559" s="210">
        <v>1.5632724473469737</v>
      </c>
      <c r="K559" s="37">
        <f t="shared" si="72"/>
        <v>2.5689084219390534E-2</v>
      </c>
      <c r="L559" s="117">
        <f t="shared" si="73"/>
        <v>3.1314993663437062E-2</v>
      </c>
      <c r="M559" s="45">
        <f t="shared" si="66"/>
        <v>1.7517182625739661E-2</v>
      </c>
    </row>
    <row r="560" spans="1:13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625">
        <f t="shared" si="69"/>
        <v>352.4</v>
      </c>
      <c r="G560" s="665">
        <f t="shared" si="70"/>
        <v>1.4306338077199742E-3</v>
      </c>
      <c r="H560" s="46">
        <f t="shared" si="71"/>
        <v>3.3592140185549626</v>
      </c>
      <c r="I560" s="37">
        <f t="shared" si="68"/>
        <v>1.2351829946226598</v>
      </c>
      <c r="J560" s="210">
        <v>1.5531356370033085</v>
      </c>
      <c r="K560" s="37">
        <f t="shared" si="72"/>
        <v>2.5522507129724339E-2</v>
      </c>
      <c r="L560" s="117">
        <f t="shared" si="73"/>
        <v>3.111193619113397E-2</v>
      </c>
      <c r="M560" s="45">
        <f t="shared" si="66"/>
        <v>1.7517182625739657E-2</v>
      </c>
    </row>
    <row r="561" spans="1:13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625">
        <f t="shared" si="69"/>
        <v>216.7</v>
      </c>
      <c r="G561" s="665">
        <f t="shared" si="70"/>
        <v>8.7973423987774805E-4</v>
      </c>
      <c r="H561" s="46">
        <f t="shared" si="71"/>
        <v>2.0656687792873449</v>
      </c>
      <c r="I561" s="37">
        <f t="shared" si="68"/>
        <v>0.75954641014395674</v>
      </c>
      <c r="J561" s="210">
        <v>0.9550638267270628</v>
      </c>
      <c r="K561" s="37">
        <f t="shared" si="72"/>
        <v>1.5694458839419025E-2</v>
      </c>
      <c r="L561" s="117">
        <f t="shared" si="73"/>
        <v>1.9131545325251794E-2</v>
      </c>
      <c r="M561" s="45">
        <f t="shared" si="66"/>
        <v>1.7517182625739657E-2</v>
      </c>
    </row>
    <row r="562" spans="1:13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625">
        <f t="shared" si="69"/>
        <v>42.7</v>
      </c>
      <c r="G562" s="665">
        <f t="shared" si="70"/>
        <v>1.7334864809773808E-4</v>
      </c>
      <c r="H562" s="46">
        <f t="shared" si="71"/>
        <v>0.4070330266523749</v>
      </c>
      <c r="I562" s="37">
        <f t="shared" si="68"/>
        <v>0.14966604390007826</v>
      </c>
      <c r="J562" s="210">
        <v>0.18819208768456663</v>
      </c>
      <c r="K562" s="37">
        <f t="shared" si="72"/>
        <v>3.0925398820636474E-3</v>
      </c>
      <c r="L562" s="117">
        <f t="shared" si="73"/>
        <v>3.7698061162355864E-3</v>
      </c>
      <c r="M562" s="45">
        <f t="shared" si="66"/>
        <v>1.7517182625739661E-2</v>
      </c>
    </row>
    <row r="563" spans="1:13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625">
        <f t="shared" si="69"/>
        <v>79.7</v>
      </c>
      <c r="G563" s="665">
        <f t="shared" si="70"/>
        <v>3.2355707853371721E-4</v>
      </c>
      <c r="H563" s="46">
        <f t="shared" si="71"/>
        <v>0.75973143382188002</v>
      </c>
      <c r="I563" s="37">
        <f t="shared" si="68"/>
        <v>0.27935324821630531</v>
      </c>
      <c r="J563" s="210">
        <v>0.35126251495222388</v>
      </c>
      <c r="K563" s="37">
        <f t="shared" si="72"/>
        <v>5.7722582810415153E-3</v>
      </c>
      <c r="L563" s="117">
        <f t="shared" si="73"/>
        <v>7.0363828445896073E-3</v>
      </c>
      <c r="M563" s="45">
        <f t="shared" si="66"/>
        <v>1.7517182625739661E-2</v>
      </c>
    </row>
    <row r="564" spans="1:13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625">
        <f t="shared" si="69"/>
        <v>23.5</v>
      </c>
      <c r="G564" s="665">
        <f t="shared" si="70"/>
        <v>9.540265176339215E-5</v>
      </c>
      <c r="H564" s="46">
        <f t="shared" si="71"/>
        <v>0.22401115049955056</v>
      </c>
      <c r="I564" s="37">
        <f t="shared" si="68"/>
        <v>8.2368900038684745E-2</v>
      </c>
      <c r="J564" s="210">
        <v>0.10357175785918772</v>
      </c>
      <c r="K564" s="37">
        <f t="shared" si="72"/>
        <v>1.701983307458916E-3</v>
      </c>
      <c r="L564" s="117">
        <f t="shared" si="73"/>
        <v>2.0747176517924189E-3</v>
      </c>
      <c r="M564" s="45">
        <v>0</v>
      </c>
    </row>
    <row r="565" spans="1:13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625">
        <f t="shared" si="69"/>
        <v>29</v>
      </c>
      <c r="G565" s="665">
        <f t="shared" si="70"/>
        <v>1.17730931963335E-4</v>
      </c>
      <c r="H565" s="46">
        <f t="shared" si="71"/>
        <v>0.27643929210582835</v>
      </c>
      <c r="I565" s="37">
        <f t="shared" si="68"/>
        <v>0.10164672770731309</v>
      </c>
      <c r="J565" s="210">
        <v>0.12781195650708271</v>
      </c>
      <c r="K565" s="37">
        <f t="shared" si="72"/>
        <v>2.1003198262258961E-3</v>
      </c>
      <c r="L565" s="117">
        <f t="shared" si="73"/>
        <v>2.5602898681693674E-3</v>
      </c>
      <c r="M565" s="45">
        <v>0</v>
      </c>
    </row>
    <row r="566" spans="1:13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625">
        <f t="shared" si="69"/>
        <v>84.7</v>
      </c>
      <c r="G566" s="665">
        <f t="shared" si="70"/>
        <v>3.4385551507911983E-4</v>
      </c>
      <c r="H566" s="46">
        <f t="shared" si="71"/>
        <v>0.8073933807366781</v>
      </c>
      <c r="I566" s="37">
        <f t="shared" si="68"/>
        <v>0.29687854609687658</v>
      </c>
      <c r="J566" s="210">
        <v>0.37329905917758299</v>
      </c>
      <c r="K566" s="37">
        <f t="shared" si="72"/>
        <v>6.1343823890114973E-3</v>
      </c>
      <c r="L566" s="117">
        <f t="shared" si="73"/>
        <v>7.4778121322050155E-3</v>
      </c>
      <c r="M566" s="45">
        <f t="shared" si="66"/>
        <v>1.7517182625739657E-2</v>
      </c>
    </row>
    <row r="567" spans="1:13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625">
        <f t="shared" si="69"/>
        <v>177.23</v>
      </c>
      <c r="G567" s="665">
        <f t="shared" si="70"/>
        <v>7.1949838178834004E-4</v>
      </c>
      <c r="H567" s="46">
        <f t="shared" si="71"/>
        <v>1.6894253703419297</v>
      </c>
      <c r="I567" s="37">
        <f t="shared" si="68"/>
        <v>0.62120170867472757</v>
      </c>
      <c r="J567" s="210">
        <v>0.78110734661207815</v>
      </c>
      <c r="K567" s="37">
        <f t="shared" si="72"/>
        <v>1.2835851131103986E-2</v>
      </c>
      <c r="L567" s="117">
        <f t="shared" si="73"/>
        <v>1.5646902528815759E-2</v>
      </c>
      <c r="M567" s="45">
        <f t="shared" si="66"/>
        <v>1.7517182625739661E-2</v>
      </c>
    </row>
    <row r="568" spans="1:13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625">
        <f t="shared" si="69"/>
        <v>108.36</v>
      </c>
      <c r="G568" s="665">
        <f t="shared" si="70"/>
        <v>4.3990771681196483E-4</v>
      </c>
      <c r="H568" s="46">
        <f t="shared" si="71"/>
        <v>1.0329297135375022</v>
      </c>
      <c r="I568" s="37">
        <f t="shared" si="68"/>
        <v>0.37980825566773957</v>
      </c>
      <c r="J568" s="210">
        <v>0.47757598645198218</v>
      </c>
      <c r="K568" s="37">
        <f t="shared" si="72"/>
        <v>7.8479536679254523E-3</v>
      </c>
      <c r="L568" s="117">
        <f t="shared" si="73"/>
        <v>9.5666555212011277E-3</v>
      </c>
      <c r="M568" s="45">
        <v>0</v>
      </c>
    </row>
    <row r="569" spans="1:13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625">
        <f t="shared" si="69"/>
        <v>76.2</v>
      </c>
      <c r="G569" s="665">
        <f t="shared" si="70"/>
        <v>3.0934817295193541E-4</v>
      </c>
      <c r="H569" s="46">
        <f t="shared" si="71"/>
        <v>0.72636807098152145</v>
      </c>
      <c r="I569" s="37">
        <f t="shared" si="68"/>
        <v>0.26708553969990545</v>
      </c>
      <c r="J569" s="210">
        <v>0.33583693399447251</v>
      </c>
      <c r="K569" s="37">
        <f t="shared" si="72"/>
        <v>5.5187714054625277E-3</v>
      </c>
      <c r="L569" s="117">
        <f t="shared" si="73"/>
        <v>6.727382343258822E-3</v>
      </c>
      <c r="M569" s="45">
        <f t="shared" si="66"/>
        <v>1.7517182625739657E-2</v>
      </c>
    </row>
    <row r="570" spans="1:13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625">
        <f t="shared" si="69"/>
        <v>98.5</v>
      </c>
      <c r="G570" s="665">
        <f t="shared" si="70"/>
        <v>3.9987919994443092E-4</v>
      </c>
      <c r="H570" s="46">
        <f t="shared" si="71"/>
        <v>0.93894035422152045</v>
      </c>
      <c r="I570" s="37">
        <f t="shared" si="68"/>
        <v>0.34524836824725308</v>
      </c>
      <c r="J570" s="210">
        <v>0.4341199212395741</v>
      </c>
      <c r="K570" s="37">
        <f t="shared" si="72"/>
        <v>7.1338449270086472E-3</v>
      </c>
      <c r="L570" s="117">
        <f t="shared" si="73"/>
        <v>8.6961569660235407E-3</v>
      </c>
      <c r="M570" s="45">
        <f t="shared" si="66"/>
        <v>1.7517182625739657E-2</v>
      </c>
    </row>
    <row r="571" spans="1:13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625">
        <f t="shared" si="69"/>
        <v>93.4</v>
      </c>
      <c r="G571" s="665">
        <f t="shared" si="70"/>
        <v>3.7917479466812034E-4</v>
      </c>
      <c r="H571" s="46">
        <f t="shared" si="71"/>
        <v>0.89032516836842668</v>
      </c>
      <c r="I571" s="37">
        <f t="shared" si="68"/>
        <v>0.32737256440907053</v>
      </c>
      <c r="J571" s="210">
        <v>0.41164264612970786</v>
      </c>
      <c r="K571" s="37">
        <f t="shared" si="72"/>
        <v>6.7644783368792667E-3</v>
      </c>
      <c r="L571" s="117">
        <f t="shared" si="73"/>
        <v>8.2458990926558267E-3</v>
      </c>
      <c r="M571" s="45">
        <f t="shared" si="66"/>
        <v>1.7517182625739657E-2</v>
      </c>
    </row>
    <row r="572" spans="1:13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625">
        <f t="shared" si="69"/>
        <v>92.7</v>
      </c>
      <c r="G572" s="665">
        <f t="shared" si="70"/>
        <v>3.7633301355176395E-4</v>
      </c>
      <c r="H572" s="46">
        <f t="shared" si="71"/>
        <v>0.88365249580035488</v>
      </c>
      <c r="I572" s="37">
        <f t="shared" si="68"/>
        <v>0.32491902270579054</v>
      </c>
      <c r="J572" s="210">
        <v>0.40855752993815747</v>
      </c>
      <c r="K572" s="37">
        <f t="shared" si="72"/>
        <v>6.7137809617634691E-3</v>
      </c>
      <c r="L572" s="117">
        <f t="shared" si="73"/>
        <v>8.1840989923896695E-3</v>
      </c>
      <c r="M572" s="45">
        <f t="shared" si="66"/>
        <v>1.7517182625739657E-2</v>
      </c>
    </row>
    <row r="573" spans="1:13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625">
        <f t="shared" si="69"/>
        <v>346.6</v>
      </c>
      <c r="G573" s="665">
        <f t="shared" si="70"/>
        <v>1.4070876213273073E-3</v>
      </c>
      <c r="H573" s="46">
        <f t="shared" si="71"/>
        <v>3.303926160133797</v>
      </c>
      <c r="I573" s="37">
        <f t="shared" si="68"/>
        <v>1.2148536490811972</v>
      </c>
      <c r="J573" s="210">
        <v>1.5275732457018922</v>
      </c>
      <c r="K573" s="37">
        <f t="shared" si="72"/>
        <v>2.5102443164479162E-2</v>
      </c>
      <c r="L573" s="117">
        <f t="shared" si="73"/>
        <v>3.0599878217500098E-2</v>
      </c>
      <c r="M573" s="45">
        <f t="shared" si="66"/>
        <v>1.7517182625739654E-2</v>
      </c>
    </row>
    <row r="574" spans="1:13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625">
        <f t="shared" si="69"/>
        <v>195</v>
      </c>
      <c r="G574" s="665">
        <f t="shared" si="70"/>
        <v>7.916390252707008E-4</v>
      </c>
      <c r="H574" s="46">
        <f t="shared" si="71"/>
        <v>1.8588159296771216</v>
      </c>
      <c r="I574" s="37">
        <f t="shared" si="68"/>
        <v>0.68348661734227767</v>
      </c>
      <c r="J574" s="210">
        <v>0.85942522478900452</v>
      </c>
      <c r="K574" s="37">
        <f t="shared" si="72"/>
        <v>1.4122840210829303E-2</v>
      </c>
      <c r="L574" s="117">
        <f t="shared" si="73"/>
        <v>1.721574221700092E-2</v>
      </c>
      <c r="M574" s="45">
        <f t="shared" si="66"/>
        <v>1.7517182625739657E-2</v>
      </c>
    </row>
    <row r="575" spans="1:13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625">
        <f t="shared" si="69"/>
        <v>68.099999999999994</v>
      </c>
      <c r="G575" s="665">
        <f t="shared" si="70"/>
        <v>2.7646470574838321E-4</v>
      </c>
      <c r="H575" s="46">
        <f t="shared" si="71"/>
        <v>0.64915571697954866</v>
      </c>
      <c r="I575" s="37">
        <f t="shared" si="68"/>
        <v>0.23869455713338006</v>
      </c>
      <c r="J575" s="210">
        <v>0.30013773234939084</v>
      </c>
      <c r="K575" s="37">
        <f t="shared" si="72"/>
        <v>4.9321303505511565E-3</v>
      </c>
      <c r="L575" s="117">
        <f t="shared" si="73"/>
        <v>6.0122668973218605E-3</v>
      </c>
      <c r="M575" s="45">
        <f t="shared" si="66"/>
        <v>1.7517182625739661E-2</v>
      </c>
    </row>
    <row r="576" spans="1:13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625">
        <f t="shared" si="69"/>
        <v>293.2</v>
      </c>
      <c r="G576" s="665">
        <f t="shared" si="70"/>
        <v>1.1903003190224075E-3</v>
      </c>
      <c r="H576" s="46">
        <f t="shared" si="71"/>
        <v>2.7948965670837542</v>
      </c>
      <c r="I576" s="37">
        <f t="shared" si="68"/>
        <v>1.0276834677166966</v>
      </c>
      <c r="J576" s="210">
        <v>1.2922229533750569</v>
      </c>
      <c r="K576" s="37">
        <f t="shared" si="72"/>
        <v>2.1234957691359749E-2</v>
      </c>
      <c r="L576" s="117">
        <f t="shared" si="73"/>
        <v>2.5885413425767535E-2</v>
      </c>
      <c r="M576" s="45">
        <f t="shared" si="66"/>
        <v>1.7517182625739657E-2</v>
      </c>
    </row>
    <row r="577" spans="1:13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625">
        <f t="shared" si="69"/>
        <v>95.9</v>
      </c>
      <c r="G577" s="665">
        <f t="shared" si="70"/>
        <v>3.8932401294082162E-4</v>
      </c>
      <c r="H577" s="46">
        <f t="shared" si="71"/>
        <v>0.91415614182582561</v>
      </c>
      <c r="I577" s="37">
        <f t="shared" si="68"/>
        <v>0.33613521334935609</v>
      </c>
      <c r="J577" s="210">
        <v>0.42266091824238738</v>
      </c>
      <c r="K577" s="37">
        <f t="shared" si="72"/>
        <v>6.9455403908642577E-3</v>
      </c>
      <c r="L577" s="117">
        <f t="shared" si="73"/>
        <v>8.4666137364635304E-3</v>
      </c>
      <c r="M577" s="45">
        <f t="shared" si="66"/>
        <v>1.7517182625739661E-2</v>
      </c>
    </row>
    <row r="578" spans="1:13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625">
        <f t="shared" si="69"/>
        <v>4501</v>
      </c>
      <c r="G578" s="665">
        <f t="shared" si="70"/>
        <v>1.8272652578171407E-2</v>
      </c>
      <c r="H578" s="46">
        <f t="shared" si="71"/>
        <v>42.905284612701152</v>
      </c>
      <c r="I578" s="37">
        <f t="shared" si="68"/>
        <v>15.776273152090214</v>
      </c>
      <c r="J578" s="210">
        <v>19.837297111668253</v>
      </c>
      <c r="K578" s="37">
        <f t="shared" si="72"/>
        <v>0.32598412199457788</v>
      </c>
      <c r="L578" s="117">
        <f t="shared" si="73"/>
        <v>0.39737464471139045</v>
      </c>
      <c r="M578" s="45">
        <f t="shared" si="66"/>
        <v>1.7517182625739657E-2</v>
      </c>
    </row>
    <row r="579" spans="1:13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625">
        <f t="shared" si="69"/>
        <v>195.86</v>
      </c>
      <c r="G579" s="665">
        <f t="shared" si="70"/>
        <v>7.9513035635651018E-4</v>
      </c>
      <c r="H579" s="46">
        <f t="shared" si="71"/>
        <v>1.8670137845464672</v>
      </c>
      <c r="I579" s="37">
        <f t="shared" si="68"/>
        <v>0.68650096857773601</v>
      </c>
      <c r="J579" s="210">
        <v>0.86321551039576627</v>
      </c>
      <c r="K579" s="37">
        <f t="shared" si="72"/>
        <v>1.4185125557400141E-2</v>
      </c>
      <c r="L579" s="117">
        <f t="shared" si="73"/>
        <v>1.7291668054470775E-2</v>
      </c>
      <c r="M579" s="45">
        <f t="shared" si="66"/>
        <v>1.7517182625739657E-2</v>
      </c>
    </row>
    <row r="580" spans="1:13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625">
        <f t="shared" si="69"/>
        <v>148</v>
      </c>
      <c r="G580" s="665">
        <f t="shared" si="70"/>
        <v>6.0083372174391653E-4</v>
      </c>
      <c r="H580" s="46">
        <f t="shared" si="71"/>
        <v>1.4107936286780207</v>
      </c>
      <c r="I580" s="37">
        <f t="shared" si="68"/>
        <v>0.51874881726490829</v>
      </c>
      <c r="J580" s="210">
        <v>0.65228170907062899</v>
      </c>
      <c r="K580" s="37">
        <f t="shared" si="72"/>
        <v>1.0718873595911471E-2</v>
      </c>
      <c r="L580" s="117">
        <f t="shared" si="73"/>
        <v>1.3066306913416084E-2</v>
      </c>
      <c r="M580" s="45">
        <f t="shared" si="66"/>
        <v>1.7517182625739657E-2</v>
      </c>
    </row>
    <row r="581" spans="1:13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625">
        <f t="shared" si="69"/>
        <v>74.95</v>
      </c>
      <c r="G581" s="665">
        <f t="shared" si="70"/>
        <v>3.0427356381558475E-4</v>
      </c>
      <c r="H581" s="46">
        <f t="shared" si="71"/>
        <v>0.71445258425282188</v>
      </c>
      <c r="I581" s="37">
        <f t="shared" si="68"/>
        <v>0.26270421522976262</v>
      </c>
      <c r="J581" s="210">
        <v>0.33032779793813277</v>
      </c>
      <c r="K581" s="37">
        <f t="shared" si="72"/>
        <v>5.4282403784700322E-3</v>
      </c>
      <c r="L581" s="117">
        <f t="shared" si="73"/>
        <v>6.6170250213549693E-3</v>
      </c>
      <c r="M581" s="45">
        <f t="shared" si="66"/>
        <v>1.7517182625739654E-2</v>
      </c>
    </row>
    <row r="582" spans="1:13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625">
        <f t="shared" si="69"/>
        <v>87.3</v>
      </c>
      <c r="G582" s="665">
        <f t="shared" si="70"/>
        <v>3.5441070208272913E-4</v>
      </c>
      <c r="H582" s="46">
        <f t="shared" si="71"/>
        <v>0.83217759313237294</v>
      </c>
      <c r="I582" s="37">
        <f t="shared" ref="I582:I638" si="74">H582*0.3677</f>
        <v>0.30599170099477357</v>
      </c>
      <c r="J582" s="210">
        <v>0.38475806217476971</v>
      </c>
      <c r="K582" s="37">
        <f t="shared" si="72"/>
        <v>6.3226869251558878E-3</v>
      </c>
      <c r="L582" s="117">
        <f t="shared" si="73"/>
        <v>7.7073553617650276E-3</v>
      </c>
      <c r="M582" s="45">
        <f t="shared" si="66"/>
        <v>1.7517182625739657E-2</v>
      </c>
    </row>
    <row r="583" spans="1:13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625">
        <f t="shared" si="69"/>
        <v>92.6</v>
      </c>
      <c r="G583" s="665">
        <f t="shared" si="70"/>
        <v>3.7592704482085587E-4</v>
      </c>
      <c r="H583" s="46">
        <f t="shared" si="71"/>
        <v>0.88269925686205886</v>
      </c>
      <c r="I583" s="37">
        <f t="shared" si="74"/>
        <v>0.32456851674817905</v>
      </c>
      <c r="J583" s="210">
        <v>0.40811679905365028</v>
      </c>
      <c r="K583" s="37">
        <f t="shared" si="72"/>
        <v>6.7065384796040689E-3</v>
      </c>
      <c r="L583" s="117">
        <f t="shared" si="73"/>
        <v>8.175270406637361E-3</v>
      </c>
      <c r="M583" s="45">
        <f t="shared" ref="M583:M646" si="75">(K583+J583+I583+H583)/F583</f>
        <v>1.7517182625739661E-2</v>
      </c>
    </row>
    <row r="584" spans="1:13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625">
        <f t="shared" si="69"/>
        <v>110.7</v>
      </c>
      <c r="G584" s="665">
        <f t="shared" si="70"/>
        <v>4.4940738511521324E-4</v>
      </c>
      <c r="H584" s="46">
        <f t="shared" si="71"/>
        <v>1.0552355046936275</v>
      </c>
      <c r="I584" s="37">
        <f t="shared" si="74"/>
        <v>0.38801009507584683</v>
      </c>
      <c r="J584" s="210">
        <v>0.48788908914945028</v>
      </c>
      <c r="K584" s="37">
        <f t="shared" si="72"/>
        <v>8.017427750455405E-3</v>
      </c>
      <c r="L584" s="117">
        <f t="shared" si="73"/>
        <v>9.7732444278051389E-3</v>
      </c>
      <c r="M584" s="45">
        <f t="shared" si="75"/>
        <v>1.7517182625739657E-2</v>
      </c>
    </row>
    <row r="585" spans="1:13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625">
        <f t="shared" si="69"/>
        <v>78.7</v>
      </c>
      <c r="G585" s="665">
        <f t="shared" si="70"/>
        <v>3.1949739122463669E-4</v>
      </c>
      <c r="H585" s="46">
        <f t="shared" si="71"/>
        <v>0.75019904443892038</v>
      </c>
      <c r="I585" s="37">
        <f t="shared" si="74"/>
        <v>0.27584818864019106</v>
      </c>
      <c r="J585" s="210">
        <v>0.34685520610715215</v>
      </c>
      <c r="K585" s="37">
        <f t="shared" si="72"/>
        <v>5.6998334594475187E-3</v>
      </c>
      <c r="L585" s="117">
        <f t="shared" si="73"/>
        <v>6.9480969870665257E-3</v>
      </c>
      <c r="M585" s="45">
        <f t="shared" si="75"/>
        <v>1.7517182625739661E-2</v>
      </c>
    </row>
    <row r="586" spans="1:13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625">
        <f t="shared" si="69"/>
        <v>114</v>
      </c>
      <c r="G586" s="665">
        <f t="shared" si="70"/>
        <v>4.6280435323517894E-4</v>
      </c>
      <c r="H586" s="46">
        <f t="shared" si="71"/>
        <v>1.0866923896573941</v>
      </c>
      <c r="I586" s="37">
        <f t="shared" si="74"/>
        <v>0.39957679167702387</v>
      </c>
      <c r="J586" s="210">
        <v>0.50243320833818728</v>
      </c>
      <c r="K586" s="37">
        <f t="shared" si="72"/>
        <v>8.2564296617155929E-3</v>
      </c>
      <c r="L586" s="117">
        <f t="shared" si="73"/>
        <v>1.0064587757631308E-2</v>
      </c>
      <c r="M586" s="45">
        <f t="shared" si="75"/>
        <v>1.7517182625739657E-2</v>
      </c>
    </row>
    <row r="587" spans="1:13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625">
        <f t="shared" si="69"/>
        <v>25.1</v>
      </c>
      <c r="G587" s="665">
        <f t="shared" si="70"/>
        <v>1.0189815145792099E-4</v>
      </c>
      <c r="H587" s="46">
        <f t="shared" si="71"/>
        <v>0.23926297351228595</v>
      </c>
      <c r="I587" s="37">
        <f t="shared" si="74"/>
        <v>8.7976995360467547E-2</v>
      </c>
      <c r="J587" s="210">
        <v>0.11062345201130265</v>
      </c>
      <c r="K587" s="37">
        <f t="shared" si="72"/>
        <v>1.8178630220093105E-3</v>
      </c>
      <c r="L587" s="117">
        <f t="shared" si="73"/>
        <v>2.2159750238293498E-3</v>
      </c>
      <c r="M587" s="45">
        <f t="shared" si="75"/>
        <v>1.7517182625739657E-2</v>
      </c>
    </row>
    <row r="588" spans="1:13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625">
        <f t="shared" si="69"/>
        <v>66.599999999999994</v>
      </c>
      <c r="G588" s="665">
        <f t="shared" si="70"/>
        <v>2.703751747847624E-4</v>
      </c>
      <c r="H588" s="46">
        <f t="shared" si="71"/>
        <v>0.63485713290510914</v>
      </c>
      <c r="I588" s="37">
        <f t="shared" si="74"/>
        <v>0.23343696776920864</v>
      </c>
      <c r="J588" s="210">
        <v>0.29352676908178305</v>
      </c>
      <c r="K588" s="37">
        <f t="shared" si="72"/>
        <v>4.8234931181601612E-3</v>
      </c>
      <c r="L588" s="117">
        <f t="shared" si="73"/>
        <v>5.8798381110372368E-3</v>
      </c>
      <c r="M588" s="45">
        <f t="shared" si="75"/>
        <v>1.7517182625739657E-2</v>
      </c>
    </row>
    <row r="589" spans="1:13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625">
        <f t="shared" si="69"/>
        <v>156.4</v>
      </c>
      <c r="G589" s="665">
        <f t="shared" si="70"/>
        <v>6.3493509514019292E-4</v>
      </c>
      <c r="H589" s="46">
        <f t="shared" si="71"/>
        <v>1.4908656994948812</v>
      </c>
      <c r="I589" s="37">
        <f t="shared" si="74"/>
        <v>0.54819131770426788</v>
      </c>
      <c r="J589" s="210">
        <v>0.68930310336923228</v>
      </c>
      <c r="K589" s="37">
        <f t="shared" si="72"/>
        <v>1.1327242097301042E-2</v>
      </c>
      <c r="L589" s="117">
        <f t="shared" si="73"/>
        <v>1.3807908116609971E-2</v>
      </c>
      <c r="M589" s="45">
        <f t="shared" si="75"/>
        <v>1.7517182625739657E-2</v>
      </c>
    </row>
    <row r="590" spans="1:13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625">
        <f t="shared" si="69"/>
        <v>72.7</v>
      </c>
      <c r="G590" s="665">
        <f t="shared" si="70"/>
        <v>2.9513926737015361E-4</v>
      </c>
      <c r="H590" s="46">
        <f t="shared" si="71"/>
        <v>0.69300470814116288</v>
      </c>
      <c r="I590" s="37">
        <f t="shared" si="74"/>
        <v>0.25481783118350559</v>
      </c>
      <c r="J590" s="210">
        <v>0.32041135303672119</v>
      </c>
      <c r="K590" s="37">
        <f t="shared" si="72"/>
        <v>5.2652845298835401E-3</v>
      </c>
      <c r="L590" s="117">
        <f t="shared" si="73"/>
        <v>6.4183818419280359E-3</v>
      </c>
      <c r="M590" s="45">
        <f t="shared" si="75"/>
        <v>1.7517182625739661E-2</v>
      </c>
    </row>
    <row r="591" spans="1:13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625">
        <f t="shared" si="69"/>
        <v>59.6</v>
      </c>
      <c r="G591" s="665">
        <f t="shared" si="70"/>
        <v>2.4195736362119883E-4</v>
      </c>
      <c r="H591" s="46">
        <f t="shared" si="71"/>
        <v>0.56813040722439212</v>
      </c>
      <c r="I591" s="37">
        <f t="shared" si="74"/>
        <v>0.20890155073640901</v>
      </c>
      <c r="J591" s="210">
        <v>0.26267560716628036</v>
      </c>
      <c r="K591" s="37">
        <f t="shared" si="72"/>
        <v>4.3165193670021869E-3</v>
      </c>
      <c r="L591" s="117">
        <f t="shared" si="73"/>
        <v>5.2618371083756662E-3</v>
      </c>
      <c r="M591" s="45">
        <f t="shared" si="75"/>
        <v>1.7517182625739657E-2</v>
      </c>
    </row>
    <row r="592" spans="1:13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625">
        <f t="shared" si="69"/>
        <v>176</v>
      </c>
      <c r="G592" s="665">
        <f t="shared" si="70"/>
        <v>7.1450496639817104E-4</v>
      </c>
      <c r="H592" s="46">
        <f t="shared" si="71"/>
        <v>1.6777005314008895</v>
      </c>
      <c r="I592" s="37">
        <f t="shared" si="74"/>
        <v>0.61689048539610714</v>
      </c>
      <c r="J592" s="210">
        <v>0.77568635673263997</v>
      </c>
      <c r="K592" s="37">
        <f t="shared" si="72"/>
        <v>1.2746768600543371E-2</v>
      </c>
      <c r="L592" s="117">
        <f t="shared" si="73"/>
        <v>1.553831092406237E-2</v>
      </c>
      <c r="M592" s="45">
        <f t="shared" si="75"/>
        <v>1.7517182625739657E-2</v>
      </c>
    </row>
    <row r="593" spans="1:13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625">
        <f t="shared" si="69"/>
        <v>149</v>
      </c>
      <c r="G593" s="665">
        <f t="shared" si="70"/>
        <v>6.0489340905299711E-4</v>
      </c>
      <c r="H593" s="46">
        <f t="shared" si="71"/>
        <v>1.4203260180609802</v>
      </c>
      <c r="I593" s="37">
        <f t="shared" si="74"/>
        <v>0.52225387684102242</v>
      </c>
      <c r="J593" s="210">
        <v>0.656689017915701</v>
      </c>
      <c r="K593" s="37">
        <f t="shared" si="72"/>
        <v>1.0791298417505469E-2</v>
      </c>
      <c r="L593" s="117">
        <f t="shared" si="73"/>
        <v>1.3154592770939168E-2</v>
      </c>
      <c r="M593" s="45">
        <f t="shared" si="75"/>
        <v>1.7517182625739657E-2</v>
      </c>
    </row>
    <row r="594" spans="1:13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625">
        <f t="shared" si="69"/>
        <v>224.8</v>
      </c>
      <c r="G594" s="665">
        <f t="shared" si="70"/>
        <v>9.1261770708130031E-4</v>
      </c>
      <c r="H594" s="46">
        <f t="shared" si="71"/>
        <v>2.1428811332893178</v>
      </c>
      <c r="I594" s="37">
        <f t="shared" si="74"/>
        <v>0.78793739271048224</v>
      </c>
      <c r="J594" s="210">
        <v>0.99076302837214469</v>
      </c>
      <c r="K594" s="37">
        <f t="shared" si="72"/>
        <v>1.6281099894330398E-2</v>
      </c>
      <c r="L594" s="117">
        <f t="shared" si="73"/>
        <v>1.9846660771188757E-2</v>
      </c>
      <c r="M594" s="45">
        <f t="shared" si="75"/>
        <v>1.7517182625739657E-2</v>
      </c>
    </row>
    <row r="595" spans="1:13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625">
        <f t="shared" ref="F595:F654" si="76">C595+D595+E595</f>
        <v>243.4</v>
      </c>
      <c r="G595" s="665">
        <f t="shared" si="70"/>
        <v>9.8812789103019786E-4</v>
      </c>
      <c r="H595" s="46">
        <f t="shared" si="71"/>
        <v>2.3201835758123663</v>
      </c>
      <c r="I595" s="37">
        <f t="shared" si="74"/>
        <v>0.85313150082620715</v>
      </c>
      <c r="J595" s="210">
        <v>1.0727389728904804</v>
      </c>
      <c r="K595" s="37">
        <f t="shared" si="72"/>
        <v>1.762820157597873E-2</v>
      </c>
      <c r="L595" s="117">
        <f t="shared" si="73"/>
        <v>2.1488777721118072E-2</v>
      </c>
      <c r="M595" s="45">
        <f t="shared" si="75"/>
        <v>1.7517182625739657E-2</v>
      </c>
    </row>
    <row r="596" spans="1:13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625">
        <f t="shared" si="76"/>
        <v>169.9</v>
      </c>
      <c r="G596" s="665">
        <f t="shared" si="70"/>
        <v>6.8974087381277983E-4</v>
      </c>
      <c r="H596" s="46">
        <f t="shared" si="71"/>
        <v>1.6195529561648359</v>
      </c>
      <c r="I596" s="37">
        <f t="shared" si="74"/>
        <v>0.59550962198181023</v>
      </c>
      <c r="J596" s="210">
        <v>0.74880177277770199</v>
      </c>
      <c r="K596" s="37">
        <f t="shared" si="72"/>
        <v>1.2304977188819993E-2</v>
      </c>
      <c r="L596" s="117">
        <f t="shared" si="73"/>
        <v>1.4999767193171571E-2</v>
      </c>
      <c r="M596" s="45">
        <f t="shared" si="75"/>
        <v>1.7517182625739661E-2</v>
      </c>
    </row>
    <row r="597" spans="1:13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625">
        <f t="shared" si="76"/>
        <v>377.1</v>
      </c>
      <c r="G597" s="665">
        <f t="shared" si="70"/>
        <v>1.5309080842542632E-3</v>
      </c>
      <c r="H597" s="46">
        <f t="shared" si="71"/>
        <v>3.5946640363140649</v>
      </c>
      <c r="I597" s="37">
        <f t="shared" si="74"/>
        <v>1.3217579661526817</v>
      </c>
      <c r="J597" s="210">
        <v>1.6619961654765827</v>
      </c>
      <c r="K597" s="37">
        <f t="shared" si="72"/>
        <v>2.7311400223096055E-2</v>
      </c>
      <c r="L597" s="117">
        <f t="shared" si="73"/>
        <v>3.3292596871954093E-2</v>
      </c>
      <c r="M597" s="45">
        <f t="shared" si="75"/>
        <v>1.7517182625739661E-2</v>
      </c>
    </row>
    <row r="598" spans="1:13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625">
        <f t="shared" si="76"/>
        <v>87.1</v>
      </c>
      <c r="G598" s="665">
        <f t="shared" si="70"/>
        <v>3.5359876462091302E-4</v>
      </c>
      <c r="H598" s="46">
        <f t="shared" si="71"/>
        <v>0.83027111525578101</v>
      </c>
      <c r="I598" s="37">
        <f t="shared" si="74"/>
        <v>0.3052906890795507</v>
      </c>
      <c r="J598" s="210">
        <v>0.38387660040575539</v>
      </c>
      <c r="K598" s="37">
        <f t="shared" si="72"/>
        <v>6.3082019608370881E-3</v>
      </c>
      <c r="L598" s="117">
        <f t="shared" si="73"/>
        <v>7.6896981902604107E-3</v>
      </c>
      <c r="M598" s="45">
        <f t="shared" si="75"/>
        <v>1.7517182625739657E-2</v>
      </c>
    </row>
    <row r="599" spans="1:13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625">
        <f t="shared" si="76"/>
        <v>348.2</v>
      </c>
      <c r="G599" s="665">
        <f t="shared" si="70"/>
        <v>1.4135831210218359E-3</v>
      </c>
      <c r="H599" s="46">
        <f t="shared" si="71"/>
        <v>3.319177983146532</v>
      </c>
      <c r="I599" s="37">
        <f t="shared" si="74"/>
        <v>1.2204617444029799</v>
      </c>
      <c r="J599" s="210">
        <v>1.5346249398540068</v>
      </c>
      <c r="K599" s="37">
        <f t="shared" si="72"/>
        <v>2.5218322879029552E-2</v>
      </c>
      <c r="L599" s="117">
        <f t="shared" si="73"/>
        <v>3.0741135589537026E-2</v>
      </c>
      <c r="M599" s="45">
        <f t="shared" si="75"/>
        <v>1.7517182625739657E-2</v>
      </c>
    </row>
    <row r="600" spans="1:13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625">
        <f t="shared" si="76"/>
        <v>227.7</v>
      </c>
      <c r="G600" s="665">
        <f t="shared" si="70"/>
        <v>9.2439080027763374E-4</v>
      </c>
      <c r="H600" s="46">
        <f t="shared" si="71"/>
        <v>2.1705250624999008</v>
      </c>
      <c r="I600" s="37">
        <f t="shared" si="74"/>
        <v>0.79810206548121365</v>
      </c>
      <c r="J600" s="210">
        <v>1.0035442240228529</v>
      </c>
      <c r="K600" s="37">
        <f t="shared" si="72"/>
        <v>1.6491131876952985E-2</v>
      </c>
      <c r="L600" s="117">
        <f t="shared" si="73"/>
        <v>2.0102689758005689E-2</v>
      </c>
      <c r="M600" s="45">
        <f t="shared" si="75"/>
        <v>1.7517182625739661E-2</v>
      </c>
    </row>
    <row r="601" spans="1:13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625">
        <f t="shared" si="76"/>
        <v>409.2</v>
      </c>
      <c r="G601" s="665">
        <f t="shared" ref="G601:G664" si="77">1/246324.39*F601</f>
        <v>1.6612240468757476E-3</v>
      </c>
      <c r="H601" s="46">
        <f t="shared" ref="H601:H664" si="78">G601*2348.06</f>
        <v>3.9006537355070678</v>
      </c>
      <c r="I601" s="37">
        <f t="shared" si="74"/>
        <v>1.434270378545949</v>
      </c>
      <c r="J601" s="210">
        <v>1.803470779403388</v>
      </c>
      <c r="K601" s="37">
        <f t="shared" ref="K601:K664" si="79">G601*17.84</f>
        <v>2.9636236996263339E-2</v>
      </c>
      <c r="L601" s="117">
        <f t="shared" si="73"/>
        <v>3.6126572898445015E-2</v>
      </c>
      <c r="M601" s="45">
        <f t="shared" si="75"/>
        <v>1.7517182625739661E-2</v>
      </c>
    </row>
    <row r="602" spans="1:13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625">
        <f t="shared" si="76"/>
        <v>177.6</v>
      </c>
      <c r="G602" s="665">
        <f t="shared" si="77"/>
        <v>7.2100046609269977E-4</v>
      </c>
      <c r="H602" s="46">
        <f t="shared" si="78"/>
        <v>1.6929523544136247</v>
      </c>
      <c r="I602" s="37">
        <f t="shared" si="74"/>
        <v>0.62249858071788988</v>
      </c>
      <c r="J602" s="210">
        <v>0.7827380508847549</v>
      </c>
      <c r="K602" s="37">
        <f t="shared" si="79"/>
        <v>1.2862648315093764E-2</v>
      </c>
      <c r="L602" s="117">
        <f t="shared" si="73"/>
        <v>1.5679568296099299E-2</v>
      </c>
      <c r="M602" s="45">
        <f t="shared" si="75"/>
        <v>1.7517182625739657E-2</v>
      </c>
    </row>
    <row r="603" spans="1:13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625">
        <f t="shared" si="76"/>
        <v>383.9</v>
      </c>
      <c r="G603" s="665">
        <f t="shared" si="77"/>
        <v>1.5585139579560104E-3</v>
      </c>
      <c r="H603" s="46">
        <f t="shared" si="78"/>
        <v>3.6594842841181898</v>
      </c>
      <c r="I603" s="37">
        <f t="shared" si="74"/>
        <v>1.3455923712702584</v>
      </c>
      <c r="J603" s="210">
        <v>1.6919658656230709</v>
      </c>
      <c r="K603" s="37">
        <f t="shared" si="79"/>
        <v>2.7803889009935225E-2</v>
      </c>
      <c r="L603" s="117">
        <f t="shared" si="73"/>
        <v>3.3892940703111038E-2</v>
      </c>
      <c r="M603" s="45">
        <f t="shared" si="75"/>
        <v>1.7517182625739657E-2</v>
      </c>
    </row>
    <row r="604" spans="1:13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625">
        <f t="shared" si="76"/>
        <v>123.2</v>
      </c>
      <c r="G604" s="665">
        <f t="shared" si="77"/>
        <v>5.0015347647871969E-4</v>
      </c>
      <c r="H604" s="46">
        <f t="shared" si="78"/>
        <v>1.1743903719806226</v>
      </c>
      <c r="I604" s="37">
        <f t="shared" si="74"/>
        <v>0.43182333977727494</v>
      </c>
      <c r="J604" s="210">
        <v>0.54298044971284798</v>
      </c>
      <c r="K604" s="37">
        <f t="shared" si="79"/>
        <v>8.9227380203803584E-3</v>
      </c>
      <c r="L604" s="117">
        <f t="shared" si="73"/>
        <v>1.0876817646843657E-2</v>
      </c>
      <c r="M604" s="45">
        <f t="shared" si="75"/>
        <v>1.7517182625739657E-2</v>
      </c>
    </row>
    <row r="605" spans="1:13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625">
        <f t="shared" si="76"/>
        <v>423.7</v>
      </c>
      <c r="G605" s="665">
        <f t="shared" si="77"/>
        <v>1.7200895128574151E-3</v>
      </c>
      <c r="H605" s="46">
        <f t="shared" si="78"/>
        <v>4.0388733815599824</v>
      </c>
      <c r="I605" s="37">
        <f t="shared" si="74"/>
        <v>1.4850937423996056</v>
      </c>
      <c r="J605" s="210">
        <v>1.8673767576569293</v>
      </c>
      <c r="K605" s="37">
        <f t="shared" si="79"/>
        <v>3.0686396909376284E-2</v>
      </c>
      <c r="L605" s="117">
        <f t="shared" ref="L605:L668" si="80">K605*1.219</f>
        <v>3.740671783252969E-2</v>
      </c>
      <c r="M605" s="45">
        <f t="shared" si="75"/>
        <v>1.7517182625739661E-2</v>
      </c>
    </row>
    <row r="606" spans="1:13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625">
        <f t="shared" si="76"/>
        <v>138.80000000000001</v>
      </c>
      <c r="G606" s="665">
        <f t="shared" si="77"/>
        <v>5.6348459850037583E-4</v>
      </c>
      <c r="H606" s="46">
        <f t="shared" si="78"/>
        <v>1.3230956463547925</v>
      </c>
      <c r="I606" s="37">
        <f t="shared" si="74"/>
        <v>0.48650226916465722</v>
      </c>
      <c r="J606" s="210">
        <v>0.61173446769596829</v>
      </c>
      <c r="K606" s="37">
        <f t="shared" si="79"/>
        <v>1.0052565237246704E-2</v>
      </c>
      <c r="L606" s="117">
        <f t="shared" si="80"/>
        <v>1.2254077024203733E-2</v>
      </c>
      <c r="M606" s="45">
        <f t="shared" si="75"/>
        <v>1.7517182625739657E-2</v>
      </c>
    </row>
    <row r="607" spans="1:13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625">
        <f t="shared" si="76"/>
        <v>341.6</v>
      </c>
      <c r="G607" s="665">
        <f t="shared" si="77"/>
        <v>1.3867891847819047E-3</v>
      </c>
      <c r="H607" s="46">
        <f t="shared" si="78"/>
        <v>3.2562642132189992</v>
      </c>
      <c r="I607" s="37">
        <f t="shared" si="74"/>
        <v>1.1973283512006261</v>
      </c>
      <c r="J607" s="210">
        <v>1.5055367014765331</v>
      </c>
      <c r="K607" s="37">
        <f t="shared" si="79"/>
        <v>2.4740319056509179E-2</v>
      </c>
      <c r="L607" s="117">
        <f t="shared" si="80"/>
        <v>3.0158448929884691E-2</v>
      </c>
      <c r="M607" s="45">
        <f t="shared" si="75"/>
        <v>1.7517182625739661E-2</v>
      </c>
    </row>
    <row r="608" spans="1:13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625">
        <f t="shared" si="76"/>
        <v>353.3</v>
      </c>
      <c r="G608" s="665">
        <f t="shared" si="77"/>
        <v>1.4342875262981468E-3</v>
      </c>
      <c r="H608" s="46">
        <f t="shared" si="78"/>
        <v>3.3677931689996266</v>
      </c>
      <c r="I608" s="37">
        <f t="shared" si="74"/>
        <v>1.2383375482411627</v>
      </c>
      <c r="J608" s="210">
        <v>1.5571022149638734</v>
      </c>
      <c r="K608" s="37">
        <f t="shared" si="79"/>
        <v>2.5587689469158938E-2</v>
      </c>
      <c r="L608" s="117">
        <f t="shared" si="80"/>
        <v>3.1191393462904747E-2</v>
      </c>
      <c r="M608" s="45">
        <f t="shared" si="75"/>
        <v>1.7517182625739657E-2</v>
      </c>
    </row>
    <row r="609" spans="1:13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625">
        <f t="shared" si="76"/>
        <v>354.5</v>
      </c>
      <c r="G609" s="665">
        <f t="shared" si="77"/>
        <v>1.4391591510690433E-3</v>
      </c>
      <c r="H609" s="46">
        <f t="shared" si="78"/>
        <v>3.3792320362591779</v>
      </c>
      <c r="I609" s="37">
        <f t="shared" si="74"/>
        <v>1.2425436197324997</v>
      </c>
      <c r="J609" s="210">
        <v>1.5623909855779594</v>
      </c>
      <c r="K609" s="37">
        <f t="shared" si="79"/>
        <v>2.5674599255071734E-2</v>
      </c>
      <c r="L609" s="117">
        <f t="shared" si="80"/>
        <v>3.1297336491932448E-2</v>
      </c>
      <c r="M609" s="45">
        <f t="shared" si="75"/>
        <v>1.7517182625739657E-2</v>
      </c>
    </row>
    <row r="610" spans="1:13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625">
        <f t="shared" si="76"/>
        <v>404.4</v>
      </c>
      <c r="G610" s="665">
        <f t="shared" si="77"/>
        <v>1.6417375477921611E-3</v>
      </c>
      <c r="H610" s="46">
        <f t="shared" si="78"/>
        <v>3.8548982664688616</v>
      </c>
      <c r="I610" s="37">
        <f t="shared" si="74"/>
        <v>1.4174460925806005</v>
      </c>
      <c r="J610" s="210">
        <v>1.7823156969470431</v>
      </c>
      <c r="K610" s="37">
        <f t="shared" si="79"/>
        <v>2.9288597852612154E-2</v>
      </c>
      <c r="L610" s="117">
        <f t="shared" si="80"/>
        <v>3.5702800782334218E-2</v>
      </c>
      <c r="M610" s="45">
        <f t="shared" si="75"/>
        <v>1.7517182625739657E-2</v>
      </c>
    </row>
    <row r="611" spans="1:13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625">
        <f t="shared" si="76"/>
        <v>348.3</v>
      </c>
      <c r="G611" s="665">
        <f t="shared" si="77"/>
        <v>1.4139890897527441E-3</v>
      </c>
      <c r="H611" s="46">
        <f t="shared" si="78"/>
        <v>3.3201312220848282</v>
      </c>
      <c r="I611" s="37">
        <f t="shared" si="74"/>
        <v>1.2208122503605914</v>
      </c>
      <c r="J611" s="210">
        <v>1.5350656707385142</v>
      </c>
      <c r="K611" s="37">
        <f t="shared" si="79"/>
        <v>2.5225565361188956E-2</v>
      </c>
      <c r="L611" s="117">
        <f t="shared" si="80"/>
        <v>3.074996417528934E-2</v>
      </c>
      <c r="M611" s="45">
        <f t="shared" si="75"/>
        <v>1.7517182625739657E-2</v>
      </c>
    </row>
    <row r="612" spans="1:13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625">
        <f t="shared" si="76"/>
        <v>73.400000000000006</v>
      </c>
      <c r="G612" s="665">
        <f t="shared" si="77"/>
        <v>2.9798104848651001E-4</v>
      </c>
      <c r="H612" s="46">
        <f t="shared" si="78"/>
        <v>0.69967738070923469</v>
      </c>
      <c r="I612" s="37">
        <f t="shared" si="74"/>
        <v>0.25727137288678559</v>
      </c>
      <c r="J612" s="210">
        <v>0.32349646922827147</v>
      </c>
      <c r="K612" s="37">
        <f t="shared" si="79"/>
        <v>5.3159819049993385E-3</v>
      </c>
      <c r="L612" s="117">
        <f t="shared" si="80"/>
        <v>6.480181942194194E-3</v>
      </c>
      <c r="M612" s="45">
        <f t="shared" si="75"/>
        <v>1.7517182625739657E-2</v>
      </c>
    </row>
    <row r="613" spans="1:13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625">
        <f t="shared" si="76"/>
        <v>117.2</v>
      </c>
      <c r="G613" s="665">
        <f t="shared" si="77"/>
        <v>4.7579535262423661E-4</v>
      </c>
      <c r="H613" s="46">
        <f t="shared" si="78"/>
        <v>1.117196035682865</v>
      </c>
      <c r="I613" s="37">
        <f t="shared" si="74"/>
        <v>0.41079298232058947</v>
      </c>
      <c r="J613" s="210">
        <v>0.51653659664241713</v>
      </c>
      <c r="K613" s="37">
        <f t="shared" si="79"/>
        <v>8.4881890908163806E-3</v>
      </c>
      <c r="L613" s="117">
        <f t="shared" si="80"/>
        <v>1.0347102501705169E-2</v>
      </c>
      <c r="M613" s="45">
        <f t="shared" si="75"/>
        <v>1.7517182625739657E-2</v>
      </c>
    </row>
    <row r="614" spans="1:13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625">
        <f t="shared" si="76"/>
        <v>65.900000000000006</v>
      </c>
      <c r="G614" s="665">
        <f t="shared" si="77"/>
        <v>2.6753339366840612E-4</v>
      </c>
      <c r="H614" s="46">
        <f t="shared" si="78"/>
        <v>0.62818446033703768</v>
      </c>
      <c r="I614" s="37">
        <f t="shared" si="74"/>
        <v>0.23098342606592878</v>
      </c>
      <c r="J614" s="210">
        <v>0.29044165289023283</v>
      </c>
      <c r="K614" s="37">
        <f t="shared" si="79"/>
        <v>4.7727957430443654E-3</v>
      </c>
      <c r="L614" s="117">
        <f t="shared" si="80"/>
        <v>5.8180380107710821E-3</v>
      </c>
      <c r="M614" s="45">
        <f t="shared" si="75"/>
        <v>1.7517182625739661E-2</v>
      </c>
    </row>
    <row r="615" spans="1:13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625">
        <f t="shared" si="76"/>
        <v>212.3</v>
      </c>
      <c r="G615" s="665">
        <f t="shared" si="77"/>
        <v>8.6187161571779386E-4</v>
      </c>
      <c r="H615" s="46">
        <f t="shared" si="78"/>
        <v>2.0237262660023232</v>
      </c>
      <c r="I615" s="37">
        <f t="shared" si="74"/>
        <v>0.74412414800905424</v>
      </c>
      <c r="J615" s="210">
        <v>0.93567166780874711</v>
      </c>
      <c r="K615" s="37">
        <f t="shared" si="79"/>
        <v>1.5375789624405443E-2</v>
      </c>
      <c r="L615" s="117">
        <f t="shared" si="80"/>
        <v>1.8743087552150237E-2</v>
      </c>
      <c r="M615" s="45">
        <f t="shared" si="75"/>
        <v>1.7517182625739661E-2</v>
      </c>
    </row>
    <row r="616" spans="1:13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625">
        <f t="shared" si="76"/>
        <v>200.1</v>
      </c>
      <c r="G616" s="665">
        <f t="shared" si="77"/>
        <v>8.1234343054701144E-4</v>
      </c>
      <c r="H616" s="46">
        <f t="shared" si="78"/>
        <v>1.9074311155302157</v>
      </c>
      <c r="I616" s="37">
        <f t="shared" si="74"/>
        <v>0.70136242118046033</v>
      </c>
      <c r="J616" s="210">
        <v>0.88190249989887082</v>
      </c>
      <c r="K616" s="37">
        <f t="shared" si="79"/>
        <v>1.4492206800958684E-2</v>
      </c>
      <c r="L616" s="117">
        <f t="shared" si="80"/>
        <v>1.7666000090368637E-2</v>
      </c>
      <c r="M616" s="45">
        <f t="shared" si="75"/>
        <v>1.7517182625739657E-2</v>
      </c>
    </row>
    <row r="617" spans="1:13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625">
        <f t="shared" si="76"/>
        <v>79.099999999999994</v>
      </c>
      <c r="G617" s="665">
        <f t="shared" si="77"/>
        <v>3.211212661482689E-4</v>
      </c>
      <c r="H617" s="46">
        <f t="shared" si="78"/>
        <v>0.75401200019210424</v>
      </c>
      <c r="I617" s="37">
        <f t="shared" si="74"/>
        <v>0.27725021247063675</v>
      </c>
      <c r="J617" s="210">
        <v>0.3486181296451808</v>
      </c>
      <c r="K617" s="37">
        <f t="shared" si="79"/>
        <v>5.7288033880851172E-3</v>
      </c>
      <c r="L617" s="117">
        <f t="shared" si="80"/>
        <v>6.9834113300757585E-3</v>
      </c>
      <c r="M617" s="45">
        <f t="shared" si="75"/>
        <v>1.7517182625739657E-2</v>
      </c>
    </row>
    <row r="618" spans="1:13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625">
        <f t="shared" si="76"/>
        <v>3257.2000000000003</v>
      </c>
      <c r="G618" s="665">
        <f t="shared" si="77"/>
        <v>1.3223213503137061E-2</v>
      </c>
      <c r="H618" s="46">
        <f t="shared" si="78"/>
        <v>31.048898698176007</v>
      </c>
      <c r="I618" s="37">
        <f t="shared" si="74"/>
        <v>11.416680051319318</v>
      </c>
      <c r="J618" s="210">
        <v>14.355486370167927</v>
      </c>
      <c r="K618" s="37">
        <f t="shared" si="79"/>
        <v>0.23590212889596515</v>
      </c>
      <c r="L618" s="117">
        <f t="shared" si="80"/>
        <v>0.28756469512418154</v>
      </c>
      <c r="M618" s="45">
        <f t="shared" si="75"/>
        <v>1.7517182625739657E-2</v>
      </c>
    </row>
    <row r="619" spans="1:13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625">
        <f t="shared" si="76"/>
        <v>4789.17</v>
      </c>
      <c r="G619" s="665">
        <f t="shared" si="77"/>
        <v>1.9442532670029142E-2</v>
      </c>
      <c r="H619" s="46">
        <f t="shared" si="78"/>
        <v>45.652233261188627</v>
      </c>
      <c r="I619" s="37">
        <f t="shared" si="74"/>
        <v>16.786326170139059</v>
      </c>
      <c r="J619" s="210">
        <v>21.107351301552601</v>
      </c>
      <c r="K619" s="37">
        <f t="shared" si="79"/>
        <v>0.34685478283331989</v>
      </c>
      <c r="L619" s="117">
        <f t="shared" si="80"/>
        <v>0.42281598027381695</v>
      </c>
      <c r="M619" s="45">
        <f t="shared" si="75"/>
        <v>1.7517182625739661E-2</v>
      </c>
    </row>
    <row r="620" spans="1:13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625">
        <f t="shared" si="76"/>
        <v>6316.36</v>
      </c>
      <c r="G620" s="665">
        <f t="shared" si="77"/>
        <v>2.5642446531583814E-2</v>
      </c>
      <c r="H620" s="46">
        <f t="shared" si="78"/>
        <v>60.210003002950693</v>
      </c>
      <c r="I620" s="37">
        <f t="shared" si="74"/>
        <v>22.13921810418497</v>
      </c>
      <c r="J620" s="210">
        <v>27.838149296657829</v>
      </c>
      <c r="K620" s="37">
        <f t="shared" si="79"/>
        <v>0.45746124612345523</v>
      </c>
      <c r="L620" s="117">
        <f t="shared" si="80"/>
        <v>0.55764525902449202</v>
      </c>
      <c r="M620" s="45">
        <f t="shared" si="75"/>
        <v>1.7517182625739657E-2</v>
      </c>
    </row>
    <row r="621" spans="1:13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625">
        <f t="shared" si="76"/>
        <v>4812.1099999999997</v>
      </c>
      <c r="G621" s="665">
        <f t="shared" si="77"/>
        <v>1.9535661896899446E-2</v>
      </c>
      <c r="H621" s="46">
        <f t="shared" si="78"/>
        <v>45.870906273633715</v>
      </c>
      <c r="I621" s="37">
        <f t="shared" si="74"/>
        <v>16.866732236815118</v>
      </c>
      <c r="J621" s="210">
        <v>21.208454966458543</v>
      </c>
      <c r="K621" s="37">
        <f t="shared" si="79"/>
        <v>0.34851620824068613</v>
      </c>
      <c r="L621" s="117">
        <f t="shared" si="80"/>
        <v>0.42484125784539645</v>
      </c>
      <c r="M621" s="45">
        <f t="shared" si="75"/>
        <v>1.7517182625739657E-2</v>
      </c>
    </row>
    <row r="622" spans="1:13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625">
        <f t="shared" si="76"/>
        <v>11145.01</v>
      </c>
      <c r="G622" s="665">
        <f t="shared" si="77"/>
        <v>4.5245255656575452E-2</v>
      </c>
      <c r="H622" s="46">
        <f t="shared" si="78"/>
        <v>106.23857499697856</v>
      </c>
      <c r="I622" s="37">
        <f t="shared" si="74"/>
        <v>39.063924026389017</v>
      </c>
      <c r="J622" s="210">
        <v>49.119501151413864</v>
      </c>
      <c r="K622" s="37">
        <f t="shared" si="79"/>
        <v>0.80717536091330611</v>
      </c>
      <c r="L622" s="117">
        <f t="shared" si="80"/>
        <v>0.98394676495332023</v>
      </c>
      <c r="M622" s="45">
        <f t="shared" si="75"/>
        <v>1.7517182625739661E-2</v>
      </c>
    </row>
    <row r="623" spans="1:13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625">
        <f t="shared" si="76"/>
        <v>74.5</v>
      </c>
      <c r="G623" s="665">
        <f t="shared" si="77"/>
        <v>3.0244670452649855E-4</v>
      </c>
      <c r="H623" s="46">
        <f t="shared" si="78"/>
        <v>0.71016300903049012</v>
      </c>
      <c r="I623" s="37">
        <f t="shared" si="74"/>
        <v>0.26112693842051121</v>
      </c>
      <c r="J623" s="210">
        <v>0.3283445089578505</v>
      </c>
      <c r="K623" s="37">
        <f t="shared" si="79"/>
        <v>5.3956492087527345E-3</v>
      </c>
      <c r="L623" s="117">
        <f t="shared" si="80"/>
        <v>6.577296385469584E-3</v>
      </c>
      <c r="M623" s="45">
        <f t="shared" si="75"/>
        <v>1.7517182625739657E-2</v>
      </c>
    </row>
    <row r="624" spans="1:13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625">
        <f t="shared" si="76"/>
        <v>227.9</v>
      </c>
      <c r="G624" s="665">
        <f t="shared" si="77"/>
        <v>9.252027377394499E-4</v>
      </c>
      <c r="H624" s="46">
        <f t="shared" si="78"/>
        <v>2.1724315403764929</v>
      </c>
      <c r="I624" s="37">
        <f t="shared" si="74"/>
        <v>0.79880307739643652</v>
      </c>
      <c r="J624" s="210">
        <v>1.0044256857918674</v>
      </c>
      <c r="K624" s="37">
        <f t="shared" si="79"/>
        <v>1.6505616841271786E-2</v>
      </c>
      <c r="L624" s="117">
        <f t="shared" si="80"/>
        <v>2.012034692951031E-2</v>
      </c>
      <c r="M624" s="45">
        <f t="shared" si="75"/>
        <v>1.7517182625739661E-2</v>
      </c>
    </row>
    <row r="625" spans="1:13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625">
        <f t="shared" si="76"/>
        <v>374.6</v>
      </c>
      <c r="G625" s="665">
        <f t="shared" si="77"/>
        <v>1.5207588659815617E-3</v>
      </c>
      <c r="H625" s="46">
        <f t="shared" si="78"/>
        <v>3.5708330628566656</v>
      </c>
      <c r="I625" s="37">
        <f t="shared" si="74"/>
        <v>1.312995317212396</v>
      </c>
      <c r="J625" s="210">
        <v>1.6509778933639032</v>
      </c>
      <c r="K625" s="37">
        <f t="shared" si="79"/>
        <v>2.7130338169111062E-2</v>
      </c>
      <c r="L625" s="117">
        <f t="shared" si="80"/>
        <v>3.3071882228146388E-2</v>
      </c>
      <c r="M625" s="45">
        <f t="shared" si="75"/>
        <v>1.7517182625739657E-2</v>
      </c>
    </row>
    <row r="626" spans="1:13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625">
        <f t="shared" si="76"/>
        <v>738.4</v>
      </c>
      <c r="G626" s="665">
        <f t="shared" si="77"/>
        <v>2.9976731090250539E-3</v>
      </c>
      <c r="H626" s="46">
        <f t="shared" si="78"/>
        <v>7.0387163203773682</v>
      </c>
      <c r="I626" s="37">
        <f t="shared" si="74"/>
        <v>2.5881359910027584</v>
      </c>
      <c r="J626" s="210">
        <v>3.2543568512010301</v>
      </c>
      <c r="K626" s="37">
        <f t="shared" si="79"/>
        <v>5.3478488265006958E-2</v>
      </c>
      <c r="L626" s="117">
        <f t="shared" si="80"/>
        <v>6.5190277195043486E-2</v>
      </c>
      <c r="M626" s="45">
        <f t="shared" si="75"/>
        <v>1.7517182625739657E-2</v>
      </c>
    </row>
    <row r="627" spans="1:13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625">
        <f t="shared" si="76"/>
        <v>442.3</v>
      </c>
      <c r="G627" s="665">
        <f t="shared" si="77"/>
        <v>1.7955996968063127E-3</v>
      </c>
      <c r="H627" s="46">
        <f t="shared" si="78"/>
        <v>4.21617582408303</v>
      </c>
      <c r="I627" s="37">
        <f t="shared" si="74"/>
        <v>1.5502878505153304</v>
      </c>
      <c r="J627" s="210">
        <v>1.949352702175265</v>
      </c>
      <c r="K627" s="37">
        <f t="shared" si="79"/>
        <v>3.2033498591024619E-2</v>
      </c>
      <c r="L627" s="117">
        <f t="shared" si="80"/>
        <v>3.9048834782459012E-2</v>
      </c>
      <c r="M627" s="45">
        <f t="shared" si="75"/>
        <v>1.7517182625739657E-2</v>
      </c>
    </row>
    <row r="628" spans="1:13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625">
        <f t="shared" si="76"/>
        <v>1043.4000000000001</v>
      </c>
      <c r="G628" s="665">
        <f t="shared" si="77"/>
        <v>4.2358777382946119E-3</v>
      </c>
      <c r="H628" s="46">
        <f t="shared" si="78"/>
        <v>9.9460950821800456</v>
      </c>
      <c r="I628" s="37">
        <f t="shared" si="74"/>
        <v>3.657179161717603</v>
      </c>
      <c r="J628" s="210">
        <v>4.5985860489479355</v>
      </c>
      <c r="K628" s="37">
        <f t="shared" si="79"/>
        <v>7.5568058851175873E-2</v>
      </c>
      <c r="L628" s="117">
        <f t="shared" si="80"/>
        <v>9.2117463739583391E-2</v>
      </c>
      <c r="M628" s="45">
        <f t="shared" si="75"/>
        <v>1.7517182625739661E-2</v>
      </c>
    </row>
    <row r="629" spans="1:13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625">
        <f t="shared" si="76"/>
        <v>473.6</v>
      </c>
      <c r="G629" s="665">
        <f t="shared" si="77"/>
        <v>1.9226679095805329E-3</v>
      </c>
      <c r="H629" s="46">
        <f t="shared" si="78"/>
        <v>4.5145396117696661</v>
      </c>
      <c r="I629" s="37">
        <f t="shared" si="74"/>
        <v>1.6599962152477064</v>
      </c>
      <c r="J629" s="210">
        <v>2.0873014690260132</v>
      </c>
      <c r="K629" s="37">
        <f t="shared" si="79"/>
        <v>3.4300395506916707E-2</v>
      </c>
      <c r="L629" s="117">
        <f t="shared" si="80"/>
        <v>4.1812182122931467E-2</v>
      </c>
      <c r="M629" s="45">
        <f t="shared" si="75"/>
        <v>1.7517182625739661E-2</v>
      </c>
    </row>
    <row r="630" spans="1:13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625">
        <f t="shared" si="76"/>
        <v>345.2</v>
      </c>
      <c r="G630" s="665">
        <f t="shared" si="77"/>
        <v>1.4014040590945944E-3</v>
      </c>
      <c r="H630" s="46">
        <f t="shared" si="78"/>
        <v>3.2905808149976532</v>
      </c>
      <c r="I630" s="37">
        <f t="shared" si="74"/>
        <v>1.2099465656746371</v>
      </c>
      <c r="J630" s="210">
        <v>1.5214030133187915</v>
      </c>
      <c r="K630" s="37">
        <f t="shared" si="79"/>
        <v>2.5001048414247565E-2</v>
      </c>
      <c r="L630" s="117">
        <f t="shared" si="80"/>
        <v>3.0476278016967784E-2</v>
      </c>
      <c r="M630" s="45">
        <f t="shared" si="75"/>
        <v>1.7517182625739657E-2</v>
      </c>
    </row>
    <row r="631" spans="1:13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625">
        <f t="shared" si="76"/>
        <v>864.9</v>
      </c>
      <c r="G631" s="665">
        <f t="shared" si="77"/>
        <v>3.5112235536237392E-3</v>
      </c>
      <c r="H631" s="46">
        <f t="shared" si="78"/>
        <v>8.2445635773217578</v>
      </c>
      <c r="I631" s="37">
        <f t="shared" si="74"/>
        <v>3.0315260273812106</v>
      </c>
      <c r="J631" s="210">
        <v>3.8118814201026154</v>
      </c>
      <c r="K631" s="37">
        <f t="shared" si="79"/>
        <v>6.264022819664751E-2</v>
      </c>
      <c r="L631" s="117">
        <f t="shared" si="80"/>
        <v>7.6358438171713325E-2</v>
      </c>
      <c r="M631" s="45">
        <f t="shared" si="75"/>
        <v>1.7517182625739661E-2</v>
      </c>
    </row>
    <row r="632" spans="1:13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625">
        <f t="shared" si="76"/>
        <v>1116.9000000000001</v>
      </c>
      <c r="G632" s="665">
        <f t="shared" si="77"/>
        <v>4.5342647555120302E-3</v>
      </c>
      <c r="H632" s="46">
        <f t="shared" si="78"/>
        <v>10.646725701827577</v>
      </c>
      <c r="I632" s="37">
        <f t="shared" si="74"/>
        <v>3.9148010405620006</v>
      </c>
      <c r="J632" s="210">
        <v>4.9225232490607143</v>
      </c>
      <c r="K632" s="37">
        <f t="shared" si="79"/>
        <v>8.0891283238334624E-2</v>
      </c>
      <c r="L632" s="117">
        <f t="shared" si="80"/>
        <v>9.8606474267529914E-2</v>
      </c>
      <c r="M632" s="45">
        <f t="shared" si="75"/>
        <v>1.7517182625739661E-2</v>
      </c>
    </row>
    <row r="633" spans="1:13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625">
        <f t="shared" si="76"/>
        <v>506.2</v>
      </c>
      <c r="G633" s="665">
        <f t="shared" si="77"/>
        <v>2.0550137158565577E-3</v>
      </c>
      <c r="H633" s="46">
        <f t="shared" si="78"/>
        <v>4.8252955056541484</v>
      </c>
      <c r="I633" s="37">
        <f t="shared" si="74"/>
        <v>1.7742611574290306</v>
      </c>
      <c r="J633" s="210">
        <v>2.2309797373753542</v>
      </c>
      <c r="K633" s="37">
        <f t="shared" si="79"/>
        <v>3.6661444690880986E-2</v>
      </c>
      <c r="L633" s="117">
        <f t="shared" si="80"/>
        <v>4.4690301078183926E-2</v>
      </c>
      <c r="M633" s="45">
        <f t="shared" si="75"/>
        <v>1.7517182625739657E-2</v>
      </c>
    </row>
    <row r="634" spans="1:13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625">
        <f t="shared" si="76"/>
        <v>369.5</v>
      </c>
      <c r="G634" s="665">
        <f t="shared" si="77"/>
        <v>1.5000544607052511E-3</v>
      </c>
      <c r="H634" s="46">
        <f t="shared" si="78"/>
        <v>3.5222178770035719</v>
      </c>
      <c r="I634" s="37">
        <f t="shared" si="74"/>
        <v>1.2951195133742135</v>
      </c>
      <c r="J634" s="210">
        <v>1.6285006182540369</v>
      </c>
      <c r="K634" s="37">
        <f t="shared" si="79"/>
        <v>2.676097157898168E-2</v>
      </c>
      <c r="L634" s="117">
        <f t="shared" si="80"/>
        <v>3.2621624354778674E-2</v>
      </c>
      <c r="M634" s="45">
        <f t="shared" si="75"/>
        <v>1.7517182625739661E-2</v>
      </c>
    </row>
    <row r="635" spans="1:13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625">
        <f t="shared" si="76"/>
        <v>510.1</v>
      </c>
      <c r="G635" s="665">
        <f t="shared" si="77"/>
        <v>2.0708464963619718E-3</v>
      </c>
      <c r="H635" s="46">
        <f t="shared" si="78"/>
        <v>4.8624718242476916</v>
      </c>
      <c r="I635" s="37">
        <f t="shared" si="74"/>
        <v>1.7879308897758763</v>
      </c>
      <c r="J635" s="210">
        <v>2.2481682418711344</v>
      </c>
      <c r="K635" s="37">
        <f t="shared" si="79"/>
        <v>3.6943901495097575E-2</v>
      </c>
      <c r="L635" s="117">
        <f t="shared" si="80"/>
        <v>4.5034615922523946E-2</v>
      </c>
      <c r="M635" s="45">
        <f t="shared" si="75"/>
        <v>1.7517182625739657E-2</v>
      </c>
    </row>
    <row r="636" spans="1:13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625">
        <f t="shared" si="76"/>
        <v>312</v>
      </c>
      <c r="G636" s="665">
        <f t="shared" si="77"/>
        <v>1.2666224404331214E-3</v>
      </c>
      <c r="H636" s="46">
        <f t="shared" si="78"/>
        <v>2.9741054874833952</v>
      </c>
      <c r="I636" s="37">
        <f t="shared" si="74"/>
        <v>1.0935785877476445</v>
      </c>
      <c r="J636" s="210">
        <v>1.3750803596624073</v>
      </c>
      <c r="K636" s="37">
        <f t="shared" si="79"/>
        <v>2.2596544337326885E-2</v>
      </c>
      <c r="L636" s="117">
        <f t="shared" si="80"/>
        <v>2.7545187547201474E-2</v>
      </c>
      <c r="M636" s="45">
        <f t="shared" si="75"/>
        <v>1.7517182625739657E-2</v>
      </c>
    </row>
    <row r="637" spans="1:13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625">
        <f t="shared" si="76"/>
        <v>488.2</v>
      </c>
      <c r="G637" s="665">
        <f t="shared" si="77"/>
        <v>1.9819393442931086E-3</v>
      </c>
      <c r="H637" s="46">
        <f t="shared" si="78"/>
        <v>4.6537124967608765</v>
      </c>
      <c r="I637" s="37">
        <f t="shared" si="74"/>
        <v>1.7111700850589744</v>
      </c>
      <c r="J637" s="210">
        <v>2.1516481781640615</v>
      </c>
      <c r="K637" s="37">
        <f t="shared" si="79"/>
        <v>3.5357797902189056E-2</v>
      </c>
      <c r="L637" s="117">
        <f t="shared" si="80"/>
        <v>4.3101155642768466E-2</v>
      </c>
      <c r="M637" s="45">
        <f t="shared" si="75"/>
        <v>1.7517182625739661E-2</v>
      </c>
    </row>
    <row r="638" spans="1:13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625">
        <f t="shared" si="76"/>
        <v>223.7</v>
      </c>
      <c r="G638" s="665">
        <f t="shared" si="77"/>
        <v>9.0815205104131165E-4</v>
      </c>
      <c r="H638" s="46">
        <f t="shared" si="78"/>
        <v>2.1323955049680623</v>
      </c>
      <c r="I638" s="37">
        <f t="shared" si="74"/>
        <v>0.78408182717675656</v>
      </c>
      <c r="J638" s="210">
        <v>0.98591498864256577</v>
      </c>
      <c r="K638" s="37">
        <f t="shared" si="79"/>
        <v>1.6201432590576999E-2</v>
      </c>
      <c r="L638" s="117">
        <f t="shared" si="80"/>
        <v>1.9749546327913363E-2</v>
      </c>
      <c r="M638" s="45">
        <f t="shared" si="75"/>
        <v>1.7517182625739661E-2</v>
      </c>
    </row>
    <row r="639" spans="1:13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625">
        <f t="shared" si="76"/>
        <v>388.5</v>
      </c>
      <c r="G639" s="665">
        <f t="shared" si="77"/>
        <v>1.577188519577781E-3</v>
      </c>
      <c r="H639" s="46">
        <f t="shared" si="78"/>
        <v>3.703333275279804</v>
      </c>
      <c r="I639" s="37">
        <f t="shared" ref="I639:I697" si="81">H639*0.3677</f>
        <v>1.361715645320384</v>
      </c>
      <c r="J639" s="210">
        <v>1.7122394863104011</v>
      </c>
      <c r="K639" s="37">
        <f t="shared" si="79"/>
        <v>2.8137043189267612E-2</v>
      </c>
      <c r="L639" s="117">
        <f t="shared" si="80"/>
        <v>3.4299055647717222E-2</v>
      </c>
      <c r="M639" s="45">
        <f t="shared" si="75"/>
        <v>1.7517182625739657E-2</v>
      </c>
    </row>
    <row r="640" spans="1:13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625">
        <f t="shared" si="76"/>
        <v>528.32000000000005</v>
      </c>
      <c r="G640" s="665">
        <f t="shared" si="77"/>
        <v>2.144813999133419E-3</v>
      </c>
      <c r="H640" s="46">
        <f t="shared" si="78"/>
        <v>5.0361519588052159</v>
      </c>
      <c r="I640" s="37">
        <f t="shared" si="81"/>
        <v>1.8517930752526781</v>
      </c>
      <c r="J640" s="210">
        <v>2.3284694090283433</v>
      </c>
      <c r="K640" s="37">
        <f t="shared" si="79"/>
        <v>3.8263481744540195E-2</v>
      </c>
      <c r="L640" s="117">
        <f t="shared" si="80"/>
        <v>4.6643184246594499E-2</v>
      </c>
      <c r="M640" s="45">
        <f t="shared" si="75"/>
        <v>1.7517182625739657E-2</v>
      </c>
    </row>
    <row r="641" spans="1:13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625">
        <f t="shared" si="76"/>
        <v>262.17</v>
      </c>
      <c r="G641" s="665">
        <f t="shared" si="77"/>
        <v>1.0643282218216392E-3</v>
      </c>
      <c r="H641" s="46">
        <f t="shared" si="78"/>
        <v>2.499106524530518</v>
      </c>
      <c r="I641" s="37">
        <f t="shared" si="81"/>
        <v>0.91892146906987149</v>
      </c>
      <c r="J641" s="210">
        <v>1.1554641599124786</v>
      </c>
      <c r="K641" s="37">
        <f t="shared" si="79"/>
        <v>1.8987615477298044E-2</v>
      </c>
      <c r="L641" s="117">
        <f t="shared" si="80"/>
        <v>2.3145903266826317E-2</v>
      </c>
      <c r="M641" s="45">
        <f t="shared" si="75"/>
        <v>1.7517182625739657E-2</v>
      </c>
    </row>
    <row r="642" spans="1:13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625">
        <f t="shared" si="76"/>
        <v>513.29999999999995</v>
      </c>
      <c r="G642" s="665">
        <f t="shared" si="77"/>
        <v>2.083837495751029E-3</v>
      </c>
      <c r="H642" s="46">
        <f t="shared" si="78"/>
        <v>4.8929754702731607</v>
      </c>
      <c r="I642" s="37">
        <f t="shared" si="81"/>
        <v>1.7991470804194414</v>
      </c>
      <c r="J642" s="210">
        <v>2.262271630175364</v>
      </c>
      <c r="K642" s="37">
        <f t="shared" si="79"/>
        <v>3.7175660924198356E-2</v>
      </c>
      <c r="L642" s="117">
        <f t="shared" si="80"/>
        <v>4.5317130666597802E-2</v>
      </c>
      <c r="M642" s="45">
        <f t="shared" si="75"/>
        <v>1.7517182625739657E-2</v>
      </c>
    </row>
    <row r="643" spans="1:13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625">
        <f t="shared" si="76"/>
        <v>577.70000000000005</v>
      </c>
      <c r="G643" s="665">
        <f t="shared" si="77"/>
        <v>2.3452813584558148E-3</v>
      </c>
      <c r="H643" s="46">
        <f t="shared" si="78"/>
        <v>5.5068613465357608</v>
      </c>
      <c r="I643" s="37">
        <f t="shared" si="81"/>
        <v>2.0248729171211992</v>
      </c>
      <c r="J643" s="210">
        <v>2.5461023197979893</v>
      </c>
      <c r="K643" s="37">
        <f t="shared" si="79"/>
        <v>4.1839819434851738E-2</v>
      </c>
      <c r="L643" s="117">
        <f t="shared" si="80"/>
        <v>5.1002739891084274E-2</v>
      </c>
      <c r="M643" s="45">
        <f t="shared" si="75"/>
        <v>1.7517182625739657E-2</v>
      </c>
    </row>
    <row r="644" spans="1:13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625">
        <f t="shared" si="76"/>
        <v>432.4</v>
      </c>
      <c r="G644" s="665">
        <f t="shared" si="77"/>
        <v>1.7554087924464155E-3</v>
      </c>
      <c r="H644" s="46">
        <f t="shared" si="78"/>
        <v>4.1218051691917301</v>
      </c>
      <c r="I644" s="37">
        <f t="shared" si="81"/>
        <v>1.5155877607117993</v>
      </c>
      <c r="J644" s="210">
        <v>1.905720344609054</v>
      </c>
      <c r="K644" s="37">
        <f t="shared" si="79"/>
        <v>3.1316492857244055E-2</v>
      </c>
      <c r="L644" s="117">
        <f t="shared" si="80"/>
        <v>3.8174804792980507E-2</v>
      </c>
      <c r="M644" s="45">
        <f t="shared" si="75"/>
        <v>1.7517182625739657E-2</v>
      </c>
    </row>
    <row r="645" spans="1:13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625">
        <f t="shared" si="76"/>
        <v>488.9</v>
      </c>
      <c r="G645" s="665">
        <f t="shared" si="77"/>
        <v>1.9847811254094646E-3</v>
      </c>
      <c r="H645" s="46">
        <f t="shared" si="78"/>
        <v>4.6603851693289471</v>
      </c>
      <c r="I645" s="37">
        <f t="shared" si="81"/>
        <v>1.713623626762254</v>
      </c>
      <c r="J645" s="210">
        <v>2.1547332943556117</v>
      </c>
      <c r="K645" s="37">
        <f t="shared" si="79"/>
        <v>3.5408495277304851E-2</v>
      </c>
      <c r="L645" s="117">
        <f t="shared" si="80"/>
        <v>4.3162955743034616E-2</v>
      </c>
      <c r="M645" s="45">
        <f t="shared" si="75"/>
        <v>1.7517182625739657E-2</v>
      </c>
    </row>
    <row r="646" spans="1:13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625">
        <f t="shared" si="76"/>
        <v>540.1</v>
      </c>
      <c r="G646" s="665">
        <f t="shared" si="77"/>
        <v>2.1926371156343874E-3</v>
      </c>
      <c r="H646" s="46">
        <f t="shared" si="78"/>
        <v>5.1484435057364797</v>
      </c>
      <c r="I646" s="37">
        <f t="shared" si="81"/>
        <v>1.8930826770593037</v>
      </c>
      <c r="J646" s="210">
        <v>2.380387507223289</v>
      </c>
      <c r="K646" s="37">
        <f t="shared" si="79"/>
        <v>3.9116646142917467E-2</v>
      </c>
      <c r="L646" s="117">
        <f t="shared" si="80"/>
        <v>4.7683191648216397E-2</v>
      </c>
      <c r="M646" s="45">
        <f t="shared" si="75"/>
        <v>1.7517182625739657E-2</v>
      </c>
    </row>
    <row r="647" spans="1:13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625">
        <f t="shared" si="76"/>
        <v>236.8</v>
      </c>
      <c r="G647" s="665">
        <f t="shared" si="77"/>
        <v>9.6133395479026647E-4</v>
      </c>
      <c r="H647" s="46">
        <f t="shared" si="78"/>
        <v>2.2572698058848331</v>
      </c>
      <c r="I647" s="37">
        <f t="shared" si="81"/>
        <v>0.82999810762385318</v>
      </c>
      <c r="J647" s="210">
        <v>1.0436507345130066</v>
      </c>
      <c r="K647" s="37">
        <f t="shared" si="79"/>
        <v>1.7150197753458354E-2</v>
      </c>
      <c r="L647" s="117">
        <f t="shared" si="80"/>
        <v>2.0906091061465733E-2</v>
      </c>
      <c r="M647" s="45">
        <f t="shared" ref="M647:M710" si="82">(K647+J647+I647+H647)/F647</f>
        <v>1.7517182625739661E-2</v>
      </c>
    </row>
    <row r="648" spans="1:13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625">
        <f t="shared" si="76"/>
        <v>375.5</v>
      </c>
      <c r="G648" s="665">
        <f t="shared" si="77"/>
        <v>1.5244125845597341E-3</v>
      </c>
      <c r="H648" s="46">
        <f t="shared" si="78"/>
        <v>3.5794122133013291</v>
      </c>
      <c r="I648" s="37">
        <f t="shared" si="81"/>
        <v>1.3161498708308987</v>
      </c>
      <c r="J648" s="210">
        <v>1.6549444713244676</v>
      </c>
      <c r="K648" s="37">
        <f t="shared" si="79"/>
        <v>2.7195520508545658E-2</v>
      </c>
      <c r="L648" s="117">
        <f t="shared" si="80"/>
        <v>3.3151339499917158E-2</v>
      </c>
      <c r="M648" s="45">
        <f t="shared" si="82"/>
        <v>1.7517182625739657E-2</v>
      </c>
    </row>
    <row r="649" spans="1:13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625">
        <f t="shared" si="76"/>
        <v>618.54</v>
      </c>
      <c r="G649" s="665">
        <f t="shared" si="77"/>
        <v>2.5110789881586629E-3</v>
      </c>
      <c r="H649" s="46">
        <f t="shared" si="78"/>
        <v>5.8961641289358298</v>
      </c>
      <c r="I649" s="37">
        <f t="shared" si="81"/>
        <v>2.1680195502097046</v>
      </c>
      <c r="J649" s="210">
        <v>2.7260968130307219</v>
      </c>
      <c r="K649" s="37">
        <f t="shared" si="79"/>
        <v>4.4797649148750548E-2</v>
      </c>
      <c r="L649" s="117">
        <f t="shared" si="80"/>
        <v>5.4608334312326923E-2</v>
      </c>
      <c r="M649" s="45">
        <f t="shared" si="82"/>
        <v>1.7517182625739657E-2</v>
      </c>
    </row>
    <row r="650" spans="1:13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625">
        <f t="shared" si="76"/>
        <v>473.5</v>
      </c>
      <c r="G650" s="665">
        <f t="shared" si="77"/>
        <v>1.922261940849625E-3</v>
      </c>
      <c r="H650" s="46">
        <f t="shared" si="78"/>
        <v>4.5135863728313703</v>
      </c>
      <c r="I650" s="37">
        <f t="shared" si="81"/>
        <v>1.6596457092900949</v>
      </c>
      <c r="J650" s="210">
        <v>2.0868607381415059</v>
      </c>
      <c r="K650" s="37">
        <f t="shared" si="79"/>
        <v>3.4293153024757307E-2</v>
      </c>
      <c r="L650" s="117">
        <f t="shared" si="80"/>
        <v>4.1803353537179164E-2</v>
      </c>
      <c r="M650" s="45">
        <f t="shared" si="82"/>
        <v>1.7517182625739657E-2</v>
      </c>
    </row>
    <row r="651" spans="1:13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625">
        <f t="shared" si="76"/>
        <v>281.8</v>
      </c>
      <c r="G651" s="665">
        <f t="shared" si="77"/>
        <v>1.1440198836988897E-3</v>
      </c>
      <c r="H651" s="46">
        <f t="shared" si="78"/>
        <v>2.6862273281180147</v>
      </c>
      <c r="I651" s="37">
        <f t="shared" si="81"/>
        <v>0.98772578854899407</v>
      </c>
      <c r="J651" s="210">
        <v>1.2419796325412384</v>
      </c>
      <c r="K651" s="37">
        <f t="shared" si="79"/>
        <v>2.0409314725188192E-2</v>
      </c>
      <c r="L651" s="117">
        <f t="shared" si="80"/>
        <v>2.4878954650004406E-2</v>
      </c>
      <c r="M651" s="45">
        <f t="shared" si="82"/>
        <v>1.7517182625739661E-2</v>
      </c>
    </row>
    <row r="652" spans="1:13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625">
        <f t="shared" si="76"/>
        <v>295.89999999999998</v>
      </c>
      <c r="G652" s="665">
        <f t="shared" si="77"/>
        <v>1.2012614747569249E-3</v>
      </c>
      <c r="H652" s="46">
        <f t="shared" si="78"/>
        <v>2.8206340184177447</v>
      </c>
      <c r="I652" s="37">
        <f t="shared" si="81"/>
        <v>1.0371471285722049</v>
      </c>
      <c r="J652" s="210">
        <v>1.3041226872567508</v>
      </c>
      <c r="K652" s="37">
        <f t="shared" si="79"/>
        <v>2.1430504709663539E-2</v>
      </c>
      <c r="L652" s="117">
        <f t="shared" si="80"/>
        <v>2.6123785241079858E-2</v>
      </c>
      <c r="M652" s="45">
        <f t="shared" si="82"/>
        <v>1.7517182625739657E-2</v>
      </c>
    </row>
    <row r="653" spans="1:13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625">
        <f t="shared" si="76"/>
        <v>346.1</v>
      </c>
      <c r="G653" s="665">
        <f t="shared" si="77"/>
        <v>1.405057777672767E-3</v>
      </c>
      <c r="H653" s="46">
        <f t="shared" si="78"/>
        <v>3.2991599654423172</v>
      </c>
      <c r="I653" s="37">
        <f t="shared" si="81"/>
        <v>1.21310111929314</v>
      </c>
      <c r="J653" s="210">
        <v>1.5253695912793563</v>
      </c>
      <c r="K653" s="37">
        <f t="shared" si="79"/>
        <v>2.5066230753682164E-2</v>
      </c>
      <c r="L653" s="117">
        <f t="shared" si="80"/>
        <v>3.0555735288738558E-2</v>
      </c>
      <c r="M653" s="45">
        <f t="shared" si="82"/>
        <v>1.7517182625739657E-2</v>
      </c>
    </row>
    <row r="654" spans="1:13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625">
        <f t="shared" si="76"/>
        <v>665.4</v>
      </c>
      <c r="G654" s="665">
        <f t="shared" si="77"/>
        <v>2.7013159354621762E-3</v>
      </c>
      <c r="H654" s="46">
        <f t="shared" si="78"/>
        <v>6.3428518954213171</v>
      </c>
      <c r="I654" s="37">
        <f t="shared" si="81"/>
        <v>2.3322666419464184</v>
      </c>
      <c r="J654" s="210">
        <v>2.9326233055107873</v>
      </c>
      <c r="K654" s="37">
        <f t="shared" si="79"/>
        <v>4.8191476288645223E-2</v>
      </c>
      <c r="L654" s="117">
        <f t="shared" si="80"/>
        <v>5.8745409595858528E-2</v>
      </c>
      <c r="M654" s="45">
        <f t="shared" si="82"/>
        <v>1.7517182625739657E-2</v>
      </c>
    </row>
    <row r="655" spans="1:13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625">
        <f t="shared" ref="F655:F716" si="83">C655+D655+E655</f>
        <v>415.51</v>
      </c>
      <c r="G655" s="665">
        <f t="shared" si="77"/>
        <v>1.6868406737960456E-3</v>
      </c>
      <c r="H655" s="46">
        <f t="shared" si="78"/>
        <v>3.9608031125135428</v>
      </c>
      <c r="I655" s="37">
        <f t="shared" si="81"/>
        <v>1.4563873044712299</v>
      </c>
      <c r="J655" s="210">
        <v>1.8312808982157911</v>
      </c>
      <c r="K655" s="37">
        <f t="shared" si="79"/>
        <v>3.0093237620521456E-2</v>
      </c>
      <c r="L655" s="117">
        <f t="shared" si="80"/>
        <v>3.6683656659415656E-2</v>
      </c>
      <c r="M655" s="45">
        <f t="shared" si="82"/>
        <v>1.7517182625739657E-2</v>
      </c>
    </row>
    <row r="656" spans="1:13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625">
        <f t="shared" si="83"/>
        <v>1654.8</v>
      </c>
      <c r="G656" s="665">
        <f t="shared" si="77"/>
        <v>6.7179705590664392E-3</v>
      </c>
      <c r="H656" s="46">
        <f t="shared" si="78"/>
        <v>15.774197950921543</v>
      </c>
      <c r="I656" s="37">
        <f t="shared" si="81"/>
        <v>5.8001725865538516</v>
      </c>
      <c r="J656" s="210">
        <v>7.293214676824844</v>
      </c>
      <c r="K656" s="37">
        <f t="shared" si="79"/>
        <v>0.11984859477374528</v>
      </c>
      <c r="L656" s="117">
        <f t="shared" si="80"/>
        <v>0.1460954370291955</v>
      </c>
      <c r="M656" s="45">
        <f t="shared" si="82"/>
        <v>1.7517182625739657E-2</v>
      </c>
    </row>
    <row r="657" spans="1:13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625">
        <f t="shared" si="83"/>
        <v>3220.9</v>
      </c>
      <c r="G657" s="665">
        <f t="shared" si="77"/>
        <v>1.3075846853817437E-2</v>
      </c>
      <c r="H657" s="46">
        <f t="shared" si="78"/>
        <v>30.702872963574571</v>
      </c>
      <c r="I657" s="37">
        <f t="shared" si="81"/>
        <v>11.28944638870637</v>
      </c>
      <c r="J657" s="210">
        <v>14.19550105909182</v>
      </c>
      <c r="K657" s="37">
        <f t="shared" si="79"/>
        <v>0.23327310787210309</v>
      </c>
      <c r="L657" s="117">
        <f t="shared" si="80"/>
        <v>0.28435991849609371</v>
      </c>
      <c r="M657" s="45">
        <f t="shared" si="82"/>
        <v>1.7517182625739657E-2</v>
      </c>
    </row>
    <row r="658" spans="1:13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625">
        <f t="shared" si="83"/>
        <v>3593.47</v>
      </c>
      <c r="G658" s="665">
        <f t="shared" si="77"/>
        <v>1.4588364554561565E-2</v>
      </c>
      <c r="H658" s="46">
        <f t="shared" si="78"/>
        <v>34.254355275983826</v>
      </c>
      <c r="I658" s="37">
        <f t="shared" si="81"/>
        <v>12.595326434979254</v>
      </c>
      <c r="J658" s="210">
        <v>15.837532115500224</v>
      </c>
      <c r="K658" s="37">
        <f t="shared" si="79"/>
        <v>0.26025642365337831</v>
      </c>
      <c r="L658" s="117">
        <f t="shared" si="80"/>
        <v>0.31725258043346816</v>
      </c>
      <c r="M658" s="45">
        <f t="shared" si="82"/>
        <v>1.7517182625739657E-2</v>
      </c>
    </row>
    <row r="659" spans="1:13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625">
        <f t="shared" si="83"/>
        <v>5258.9</v>
      </c>
      <c r="G659" s="665">
        <f t="shared" si="77"/>
        <v>2.134948958972353E-2</v>
      </c>
      <c r="H659" s="46">
        <f t="shared" si="78"/>
        <v>50.129882526046231</v>
      </c>
      <c r="I659" s="37">
        <f t="shared" si="81"/>
        <v>18.432757804827201</v>
      </c>
      <c r="J659" s="210">
        <v>23.177596485348182</v>
      </c>
      <c r="K659" s="37">
        <f t="shared" si="79"/>
        <v>0.38087489428066779</v>
      </c>
      <c r="L659" s="117">
        <f t="shared" si="80"/>
        <v>0.46428649612813405</v>
      </c>
      <c r="M659" s="45">
        <f t="shared" si="82"/>
        <v>1.7517182625739657E-2</v>
      </c>
    </row>
    <row r="660" spans="1:13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625">
        <f t="shared" si="83"/>
        <v>3743.95</v>
      </c>
      <c r="G660" s="665">
        <f t="shared" si="77"/>
        <v>1.5199266300832001E-2</v>
      </c>
      <c r="H660" s="46">
        <f t="shared" si="78"/>
        <v>35.688789230331587</v>
      </c>
      <c r="I660" s="37">
        <f t="shared" si="81"/>
        <v>13.122767799992925</v>
      </c>
      <c r="J660" s="210">
        <v>16.500743950506632</v>
      </c>
      <c r="K660" s="37">
        <f t="shared" si="79"/>
        <v>0.2711549108068429</v>
      </c>
      <c r="L660" s="117">
        <f t="shared" si="80"/>
        <v>0.3305378362735415</v>
      </c>
      <c r="M660" s="45">
        <f t="shared" si="82"/>
        <v>1.7517182625739657E-2</v>
      </c>
    </row>
    <row r="661" spans="1:13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625">
        <f t="shared" si="83"/>
        <v>3185.57</v>
      </c>
      <c r="G661" s="665">
        <f t="shared" si="77"/>
        <v>1.2932418101187624E-2</v>
      </c>
      <c r="H661" s="46">
        <f t="shared" si="78"/>
        <v>30.36609364667461</v>
      </c>
      <c r="I661" s="37">
        <f t="shared" si="81"/>
        <v>11.165612633882255</v>
      </c>
      <c r="J661" s="210">
        <v>14.039790837595433</v>
      </c>
      <c r="K661" s="37">
        <f t="shared" si="79"/>
        <v>0.2307143389251872</v>
      </c>
      <c r="L661" s="117">
        <f t="shared" si="80"/>
        <v>0.28124077914980322</v>
      </c>
      <c r="M661" s="45">
        <f t="shared" si="82"/>
        <v>1.7517182625739661E-2</v>
      </c>
    </row>
    <row r="662" spans="1:13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625">
        <f t="shared" si="83"/>
        <v>272.89999999999998</v>
      </c>
      <c r="G662" s="665">
        <f t="shared" si="77"/>
        <v>1.1078886666480731E-3</v>
      </c>
      <c r="H662" s="46">
        <f t="shared" si="78"/>
        <v>2.6013890626096745</v>
      </c>
      <c r="I662" s="37">
        <f t="shared" si="81"/>
        <v>0.95653075832157741</v>
      </c>
      <c r="J662" s="210">
        <v>1.202754583820099</v>
      </c>
      <c r="K662" s="37">
        <f t="shared" si="79"/>
        <v>1.9764733813001624E-2</v>
      </c>
      <c r="L662" s="117">
        <f t="shared" si="80"/>
        <v>2.4093210518048983E-2</v>
      </c>
      <c r="M662" s="45">
        <f t="shared" si="82"/>
        <v>1.7517182625739657E-2</v>
      </c>
    </row>
    <row r="663" spans="1:13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625">
        <f t="shared" si="83"/>
        <v>604.1</v>
      </c>
      <c r="G663" s="665">
        <f t="shared" si="77"/>
        <v>2.4524571034155404E-3</v>
      </c>
      <c r="H663" s="46">
        <f t="shared" si="78"/>
        <v>5.7585164262458939</v>
      </c>
      <c r="I663" s="37">
        <f t="shared" si="81"/>
        <v>2.1174064899306155</v>
      </c>
      <c r="J663" s="210">
        <v>2.6624552733078852</v>
      </c>
      <c r="K663" s="37">
        <f t="shared" si="79"/>
        <v>4.3751834724933242E-2</v>
      </c>
      <c r="L663" s="117">
        <f t="shared" si="80"/>
        <v>5.3333486529693629E-2</v>
      </c>
      <c r="M663" s="45">
        <f t="shared" si="82"/>
        <v>1.7517182625739657E-2</v>
      </c>
    </row>
    <row r="664" spans="1:13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625">
        <f t="shared" si="83"/>
        <v>464.8</v>
      </c>
      <c r="G664" s="665">
        <f t="shared" si="77"/>
        <v>1.8869426612606243E-3</v>
      </c>
      <c r="H664" s="46">
        <f t="shared" si="78"/>
        <v>4.4306545851996217</v>
      </c>
      <c r="I664" s="37">
        <f t="shared" si="81"/>
        <v>1.6291516909779011</v>
      </c>
      <c r="J664" s="210">
        <v>2.0485171511893809</v>
      </c>
      <c r="K664" s="37">
        <f t="shared" si="79"/>
        <v>3.366305707688954E-2</v>
      </c>
      <c r="L664" s="117">
        <f t="shared" si="80"/>
        <v>4.1035266576728353E-2</v>
      </c>
      <c r="M664" s="45">
        <f t="shared" si="82"/>
        <v>1.7517182625739661E-2</v>
      </c>
    </row>
    <row r="665" spans="1:13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625">
        <f t="shared" si="83"/>
        <v>83.39</v>
      </c>
      <c r="G665" s="665">
        <f t="shared" ref="G665:G728" si="84">1/246324.39*F665</f>
        <v>3.3853732470422431E-4</v>
      </c>
      <c r="H665" s="46">
        <f t="shared" ref="H665:H728" si="85">G665*2348.06</f>
        <v>0.79490595064500091</v>
      </c>
      <c r="I665" s="37">
        <f t="shared" si="81"/>
        <v>0.29228691805216683</v>
      </c>
      <c r="J665" s="210">
        <v>0.36752548459053885</v>
      </c>
      <c r="K665" s="37">
        <f t="shared" ref="K665:K728" si="86">G665*17.84</f>
        <v>6.039505872723362E-3</v>
      </c>
      <c r="L665" s="117">
        <f t="shared" si="80"/>
        <v>7.3621576588497788E-3</v>
      </c>
      <c r="M665" s="45">
        <f>(K665+J665+I665+H665)/F665</f>
        <v>1.7517182625739657E-2</v>
      </c>
    </row>
    <row r="666" spans="1:13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625">
        <f t="shared" si="83"/>
        <v>489.6</v>
      </c>
      <c r="G666" s="665">
        <f t="shared" si="84"/>
        <v>1.9876229065258211E-3</v>
      </c>
      <c r="H666" s="46">
        <f t="shared" si="85"/>
        <v>4.6670578418970194</v>
      </c>
      <c r="I666" s="37">
        <f t="shared" si="81"/>
        <v>1.7160771684655343</v>
      </c>
      <c r="J666" s="210">
        <v>2.1578184105471623</v>
      </c>
      <c r="K666" s="37">
        <f t="shared" si="86"/>
        <v>3.5459192652420646E-2</v>
      </c>
      <c r="L666" s="117">
        <f t="shared" si="80"/>
        <v>4.3224755843300773E-2</v>
      </c>
      <c r="M666" s="45">
        <f t="shared" si="82"/>
        <v>1.7517182625739661E-2</v>
      </c>
    </row>
    <row r="667" spans="1:13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625">
        <f t="shared" si="83"/>
        <v>127.92</v>
      </c>
      <c r="G667" s="665">
        <f t="shared" si="84"/>
        <v>5.1931520057757973E-4</v>
      </c>
      <c r="H667" s="46">
        <f t="shared" si="85"/>
        <v>1.2193832498681918</v>
      </c>
      <c r="I667" s="37">
        <f t="shared" si="81"/>
        <v>0.44836722097653414</v>
      </c>
      <c r="J667" s="210">
        <v>0.56378294746158697</v>
      </c>
      <c r="K667" s="37">
        <f t="shared" si="86"/>
        <v>9.2645831783040224E-3</v>
      </c>
      <c r="L667" s="117">
        <f t="shared" si="80"/>
        <v>1.1293526894352604E-2</v>
      </c>
      <c r="M667" s="45">
        <f t="shared" si="82"/>
        <v>1.7517182625739654E-2</v>
      </c>
    </row>
    <row r="668" spans="1:13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625">
        <f t="shared" si="83"/>
        <v>129.1</v>
      </c>
      <c r="G668" s="665">
        <f t="shared" si="84"/>
        <v>5.2410563160229474E-4</v>
      </c>
      <c r="H668" s="46">
        <f t="shared" si="85"/>
        <v>1.2306314693400842</v>
      </c>
      <c r="I668" s="37">
        <f t="shared" si="81"/>
        <v>0.45250319127634897</v>
      </c>
      <c r="J668" s="210">
        <v>0.56898357189877158</v>
      </c>
      <c r="K668" s="37">
        <f t="shared" si="86"/>
        <v>9.3500444677849376E-3</v>
      </c>
      <c r="L668" s="117">
        <f t="shared" si="80"/>
        <v>1.139770420622984E-2</v>
      </c>
      <c r="M668" s="45">
        <f t="shared" si="82"/>
        <v>1.7517182625739657E-2</v>
      </c>
    </row>
    <row r="669" spans="1:13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625">
        <f t="shared" si="83"/>
        <v>136.4</v>
      </c>
      <c r="G669" s="665">
        <f t="shared" si="84"/>
        <v>5.5374134895858258E-4</v>
      </c>
      <c r="H669" s="46">
        <f t="shared" si="85"/>
        <v>1.3002179118356894</v>
      </c>
      <c r="I669" s="37">
        <f t="shared" si="81"/>
        <v>0.47809012618198299</v>
      </c>
      <c r="J669" s="210">
        <v>0.60115692646779606</v>
      </c>
      <c r="K669" s="37">
        <f t="shared" si="86"/>
        <v>9.8787456654211136E-3</v>
      </c>
      <c r="L669" s="117">
        <f t="shared" ref="L669:L732" si="87">K669*1.219</f>
        <v>1.2042190966148338E-2</v>
      </c>
      <c r="M669" s="45">
        <f t="shared" si="82"/>
        <v>1.7517182625739657E-2</v>
      </c>
    </row>
    <row r="670" spans="1:13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625">
        <f t="shared" si="83"/>
        <v>68.2</v>
      </c>
      <c r="G670" s="665">
        <f t="shared" si="84"/>
        <v>2.7687067447929129E-4</v>
      </c>
      <c r="H670" s="46">
        <f t="shared" si="85"/>
        <v>0.65010895591784468</v>
      </c>
      <c r="I670" s="37">
        <f t="shared" si="81"/>
        <v>0.23904506309099149</v>
      </c>
      <c r="J670" s="210">
        <v>0.30057846323389803</v>
      </c>
      <c r="K670" s="37">
        <f t="shared" si="86"/>
        <v>4.9393728327105568E-3</v>
      </c>
      <c r="L670" s="117">
        <f t="shared" si="87"/>
        <v>6.021095483074169E-3</v>
      </c>
      <c r="M670" s="45">
        <f t="shared" si="82"/>
        <v>1.7517182625739657E-2</v>
      </c>
    </row>
    <row r="671" spans="1:13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625">
        <f t="shared" si="83"/>
        <v>117.1</v>
      </c>
      <c r="G671" s="665">
        <f t="shared" si="84"/>
        <v>4.7538938389332853E-4</v>
      </c>
      <c r="H671" s="46">
        <f t="shared" si="85"/>
        <v>1.1162427967445689</v>
      </c>
      <c r="I671" s="37">
        <f t="shared" si="81"/>
        <v>0.41044247636297804</v>
      </c>
      <c r="J671" s="210">
        <v>0.51609586575790978</v>
      </c>
      <c r="K671" s="37">
        <f t="shared" si="86"/>
        <v>8.4809466086569803E-3</v>
      </c>
      <c r="L671" s="117">
        <f t="shared" si="87"/>
        <v>1.0338273915952859E-2</v>
      </c>
      <c r="M671" s="45">
        <f t="shared" si="82"/>
        <v>1.7517182625739654E-2</v>
      </c>
    </row>
    <row r="672" spans="1:13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625">
        <f t="shared" si="83"/>
        <v>291.16000000000003</v>
      </c>
      <c r="G672" s="665">
        <f t="shared" si="84"/>
        <v>1.1820185569118835E-3</v>
      </c>
      <c r="H672" s="46">
        <f t="shared" si="85"/>
        <v>2.7754504927425172</v>
      </c>
      <c r="I672" s="37">
        <f t="shared" si="81"/>
        <v>1.0205331461814235</v>
      </c>
      <c r="J672" s="210">
        <v>1.2832320433311108</v>
      </c>
      <c r="K672" s="37">
        <f t="shared" si="86"/>
        <v>2.1087211055308003E-2</v>
      </c>
      <c r="L672" s="117">
        <f t="shared" si="87"/>
        <v>2.5705310276420458E-2</v>
      </c>
      <c r="M672" s="45">
        <f t="shared" si="82"/>
        <v>1.7517182625739661E-2</v>
      </c>
    </row>
    <row r="673" spans="1:13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625">
        <f t="shared" si="83"/>
        <v>455.20000000000005</v>
      </c>
      <c r="G673" s="665">
        <f t="shared" si="84"/>
        <v>1.8479696630934515E-3</v>
      </c>
      <c r="H673" s="46">
        <f t="shared" si="85"/>
        <v>4.3391436471232101</v>
      </c>
      <c r="I673" s="37">
        <f t="shared" si="81"/>
        <v>1.5955031190472044</v>
      </c>
      <c r="J673" s="210">
        <v>2.0062069862766916</v>
      </c>
      <c r="K673" s="37">
        <f t="shared" si="86"/>
        <v>3.2967778789587177E-2</v>
      </c>
      <c r="L673" s="117">
        <f t="shared" si="87"/>
        <v>4.0187722344506772E-2</v>
      </c>
      <c r="M673" s="45">
        <f t="shared" si="82"/>
        <v>1.7517182625739657E-2</v>
      </c>
    </row>
    <row r="674" spans="1:13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625">
        <f t="shared" si="83"/>
        <v>120</v>
      </c>
      <c r="G674" s="665">
        <f t="shared" si="84"/>
        <v>4.8716247708966207E-4</v>
      </c>
      <c r="H674" s="46">
        <f t="shared" si="85"/>
        <v>1.143886725955152</v>
      </c>
      <c r="I674" s="37">
        <f t="shared" si="81"/>
        <v>0.42060714913370939</v>
      </c>
      <c r="J674" s="210">
        <v>0.52887706140861812</v>
      </c>
      <c r="K674" s="37">
        <f t="shared" si="86"/>
        <v>8.6909785912795707E-3</v>
      </c>
      <c r="L674" s="117">
        <f t="shared" si="87"/>
        <v>1.0594302902769798E-2</v>
      </c>
      <c r="M674" s="45">
        <f t="shared" si="82"/>
        <v>1.7517182625739657E-2</v>
      </c>
    </row>
    <row r="675" spans="1:13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625">
        <f t="shared" si="83"/>
        <v>390.8</v>
      </c>
      <c r="G675" s="665">
        <f t="shared" si="84"/>
        <v>1.5865258003886662E-3</v>
      </c>
      <c r="H675" s="46">
        <f t="shared" si="85"/>
        <v>3.7252577708606114</v>
      </c>
      <c r="I675" s="37">
        <f t="shared" si="81"/>
        <v>1.3697772823454468</v>
      </c>
      <c r="J675" s="210">
        <v>1.7223762966540666</v>
      </c>
      <c r="K675" s="37">
        <f t="shared" si="86"/>
        <v>2.8303620278933805E-2</v>
      </c>
      <c r="L675" s="117">
        <f t="shared" si="87"/>
        <v>3.4502113120020307E-2</v>
      </c>
      <c r="M675" s="45">
        <f t="shared" si="82"/>
        <v>1.7517182625739657E-2</v>
      </c>
    </row>
    <row r="676" spans="1:13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625">
        <f t="shared" si="83"/>
        <v>105.1</v>
      </c>
      <c r="G676" s="665">
        <f t="shared" si="84"/>
        <v>4.2667313618436232E-4</v>
      </c>
      <c r="H676" s="46">
        <f t="shared" si="85"/>
        <v>1.0018541241490537</v>
      </c>
      <c r="I676" s="37">
        <f t="shared" si="81"/>
        <v>0.3683817614496071</v>
      </c>
      <c r="J676" s="210">
        <v>0.46320815961704803</v>
      </c>
      <c r="K676" s="37">
        <f t="shared" si="86"/>
        <v>7.611848749529024E-3</v>
      </c>
      <c r="L676" s="117">
        <f t="shared" si="87"/>
        <v>9.2788436256758811E-3</v>
      </c>
      <c r="M676" s="45">
        <f t="shared" si="82"/>
        <v>1.7517182625739657E-2</v>
      </c>
    </row>
    <row r="677" spans="1:13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625">
        <f t="shared" si="83"/>
        <v>168.5</v>
      </c>
      <c r="G677" s="665">
        <f t="shared" si="84"/>
        <v>6.8405731158006715E-4</v>
      </c>
      <c r="H677" s="46">
        <f t="shared" si="85"/>
        <v>1.6062076110286925</v>
      </c>
      <c r="I677" s="37">
        <f t="shared" si="81"/>
        <v>0.59060253857525025</v>
      </c>
      <c r="J677" s="210">
        <v>0.74263154039460122</v>
      </c>
      <c r="K677" s="37">
        <f t="shared" si="86"/>
        <v>1.2203582438588398E-2</v>
      </c>
      <c r="L677" s="117">
        <f t="shared" si="87"/>
        <v>1.4876166992639257E-2</v>
      </c>
      <c r="M677" s="45">
        <f t="shared" si="82"/>
        <v>1.7517182625739657E-2</v>
      </c>
    </row>
    <row r="678" spans="1:13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625">
        <f t="shared" si="83"/>
        <v>73.3</v>
      </c>
      <c r="G678" s="665">
        <f t="shared" si="84"/>
        <v>2.9757507975560187E-4</v>
      </c>
      <c r="H678" s="46">
        <f t="shared" si="85"/>
        <v>0.69872414177093856</v>
      </c>
      <c r="I678" s="37">
        <f t="shared" si="81"/>
        <v>0.25692086692917415</v>
      </c>
      <c r="J678" s="210">
        <v>0.32305573834376422</v>
      </c>
      <c r="K678" s="37">
        <f t="shared" si="86"/>
        <v>5.3087394228399374E-3</v>
      </c>
      <c r="L678" s="117">
        <f t="shared" si="87"/>
        <v>6.4713533564418838E-3</v>
      </c>
      <c r="M678" s="45">
        <f t="shared" si="82"/>
        <v>1.7517182625739657E-2</v>
      </c>
    </row>
    <row r="679" spans="1:13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625">
        <f t="shared" si="83"/>
        <v>87.3</v>
      </c>
      <c r="G679" s="665">
        <f t="shared" si="84"/>
        <v>3.5441070208272913E-4</v>
      </c>
      <c r="H679" s="46">
        <f t="shared" si="85"/>
        <v>0.83217759313237294</v>
      </c>
      <c r="I679" s="37">
        <f t="shared" si="81"/>
        <v>0.30599170099477357</v>
      </c>
      <c r="J679" s="210">
        <v>0.38475806217476971</v>
      </c>
      <c r="K679" s="37">
        <f t="shared" si="86"/>
        <v>6.3226869251558878E-3</v>
      </c>
      <c r="L679" s="117">
        <f t="shared" si="87"/>
        <v>7.7073553617650276E-3</v>
      </c>
      <c r="M679" s="45">
        <f t="shared" si="82"/>
        <v>1.7517182625739657E-2</v>
      </c>
    </row>
    <row r="680" spans="1:13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625">
        <f t="shared" si="83"/>
        <v>227.3</v>
      </c>
      <c r="G680" s="665">
        <f t="shared" si="84"/>
        <v>9.2276692535400164E-4</v>
      </c>
      <c r="H680" s="46">
        <f t="shared" si="85"/>
        <v>2.1667121067467172</v>
      </c>
      <c r="I680" s="37">
        <f t="shared" si="81"/>
        <v>0.79670004165076802</v>
      </c>
      <c r="J680" s="210">
        <v>1.0017813004848242</v>
      </c>
      <c r="K680" s="37">
        <f t="shared" si="86"/>
        <v>1.6462161948315387E-2</v>
      </c>
      <c r="L680" s="117">
        <f t="shared" si="87"/>
        <v>2.0067375414996459E-2</v>
      </c>
      <c r="M680" s="45">
        <f t="shared" si="82"/>
        <v>1.7517182625739661E-2</v>
      </c>
    </row>
    <row r="681" spans="1:13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625">
        <f t="shared" si="83"/>
        <v>53.5</v>
      </c>
      <c r="G681" s="665">
        <f t="shared" si="84"/>
        <v>2.1719327103580767E-4</v>
      </c>
      <c r="H681" s="46">
        <f t="shared" si="85"/>
        <v>0.50998283198833849</v>
      </c>
      <c r="I681" s="37">
        <f t="shared" si="81"/>
        <v>0.18752068732211208</v>
      </c>
      <c r="J681" s="210">
        <v>0.23579102321134227</v>
      </c>
      <c r="K681" s="37">
        <f t="shared" si="86"/>
        <v>3.8747279552788089E-3</v>
      </c>
      <c r="L681" s="117">
        <f t="shared" si="87"/>
        <v>4.723293377484868E-3</v>
      </c>
      <c r="M681" s="45">
        <f t="shared" si="82"/>
        <v>1.7517182625739657E-2</v>
      </c>
    </row>
    <row r="682" spans="1:13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625">
        <f t="shared" si="83"/>
        <v>1851.82</v>
      </c>
      <c r="G682" s="665">
        <f t="shared" si="84"/>
        <v>7.5178101527014832E-3</v>
      </c>
      <c r="H682" s="46">
        <f t="shared" si="85"/>
        <v>17.652269307152245</v>
      </c>
      <c r="I682" s="37">
        <f t="shared" si="81"/>
        <v>6.490739424239881</v>
      </c>
      <c r="J682" s="210">
        <v>8.1615426654808942</v>
      </c>
      <c r="K682" s="37">
        <f t="shared" si="86"/>
        <v>0.13411773312419445</v>
      </c>
      <c r="L682" s="117">
        <f t="shared" si="87"/>
        <v>0.16348951667839304</v>
      </c>
      <c r="M682" s="45">
        <f t="shared" si="82"/>
        <v>1.7517182625739661E-2</v>
      </c>
    </row>
    <row r="683" spans="1:13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625">
        <f t="shared" si="83"/>
        <v>933.25</v>
      </c>
      <c r="G683" s="665">
        <f t="shared" si="84"/>
        <v>3.7887031811993928E-3</v>
      </c>
      <c r="H683" s="46">
        <f t="shared" si="85"/>
        <v>8.8961023916470463</v>
      </c>
      <c r="I683" s="37">
        <f t="shared" si="81"/>
        <v>3.271096849408619</v>
      </c>
      <c r="J683" s="210">
        <v>4.1131209796632744</v>
      </c>
      <c r="K683" s="37">
        <f t="shared" si="86"/>
        <v>6.7590464752597168E-2</v>
      </c>
      <c r="L683" s="117">
        <f t="shared" si="87"/>
        <v>8.2392776533415951E-2</v>
      </c>
      <c r="M683" s="45">
        <f t="shared" si="82"/>
        <v>1.7517182625739657E-2</v>
      </c>
    </row>
    <row r="684" spans="1:13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625">
        <f t="shared" si="83"/>
        <v>1158.5</v>
      </c>
      <c r="G684" s="665">
        <f t="shared" si="84"/>
        <v>4.7031477475697791E-3</v>
      </c>
      <c r="H684" s="46">
        <f t="shared" si="85"/>
        <v>11.043273100158695</v>
      </c>
      <c r="I684" s="37">
        <f t="shared" si="81"/>
        <v>4.0606115189283525</v>
      </c>
      <c r="J684" s="210">
        <v>5.1058672970157</v>
      </c>
      <c r="K684" s="37">
        <f t="shared" si="86"/>
        <v>8.3904155816644857E-2</v>
      </c>
      <c r="L684" s="117">
        <f t="shared" si="87"/>
        <v>0.10227916594049009</v>
      </c>
      <c r="M684" s="45">
        <f t="shared" si="82"/>
        <v>1.7517182625739657E-2</v>
      </c>
    </row>
    <row r="685" spans="1:13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625">
        <f t="shared" si="83"/>
        <v>3775.6499999999996</v>
      </c>
      <c r="G685" s="665">
        <f t="shared" si="84"/>
        <v>1.5327958388529853E-2</v>
      </c>
      <c r="H685" s="46">
        <f t="shared" si="85"/>
        <v>35.990965973771409</v>
      </c>
      <c r="I685" s="37">
        <f t="shared" si="81"/>
        <v>13.233878188555748</v>
      </c>
      <c r="J685" s="210">
        <v>16.640455640895407</v>
      </c>
      <c r="K685" s="37">
        <f t="shared" si="86"/>
        <v>0.2734507776513726</v>
      </c>
      <c r="L685" s="117">
        <f t="shared" si="87"/>
        <v>0.33333649795702325</v>
      </c>
      <c r="M685" s="45">
        <f t="shared" si="82"/>
        <v>1.7517182625739657E-2</v>
      </c>
    </row>
    <row r="686" spans="1:13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625">
        <f t="shared" si="83"/>
        <v>79.3</v>
      </c>
      <c r="G686" s="665">
        <f t="shared" si="84"/>
        <v>3.2193320361008501E-4</v>
      </c>
      <c r="H686" s="46">
        <f t="shared" si="85"/>
        <v>0.75591847806869616</v>
      </c>
      <c r="I686" s="37">
        <f t="shared" si="81"/>
        <v>0.27795122438585962</v>
      </c>
      <c r="J686" s="210">
        <v>0.34949959141419512</v>
      </c>
      <c r="K686" s="37">
        <f t="shared" si="86"/>
        <v>5.7432883524039169E-3</v>
      </c>
      <c r="L686" s="117">
        <f t="shared" si="87"/>
        <v>7.0010685015803754E-3</v>
      </c>
      <c r="M686" s="45">
        <f t="shared" si="82"/>
        <v>1.7517182625739657E-2</v>
      </c>
    </row>
    <row r="687" spans="1:13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625">
        <f t="shared" si="83"/>
        <v>377.9</v>
      </c>
      <c r="G687" s="665">
        <f t="shared" si="84"/>
        <v>1.5341558341015274E-3</v>
      </c>
      <c r="H687" s="46">
        <f t="shared" si="85"/>
        <v>3.6022899478204322</v>
      </c>
      <c r="I687" s="37">
        <f t="shared" si="81"/>
        <v>1.324562013813573</v>
      </c>
      <c r="J687" s="210">
        <v>1.6655220125526398</v>
      </c>
      <c r="K687" s="37">
        <f t="shared" si="86"/>
        <v>2.7369340080371247E-2</v>
      </c>
      <c r="L687" s="117">
        <f t="shared" si="87"/>
        <v>3.3363225557972553E-2</v>
      </c>
      <c r="M687" s="45">
        <f t="shared" si="82"/>
        <v>1.7517182625739657E-2</v>
      </c>
    </row>
    <row r="688" spans="1:13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625">
        <f t="shared" si="83"/>
        <v>86.1</v>
      </c>
      <c r="G688" s="665">
        <f t="shared" si="84"/>
        <v>3.495390773118325E-4</v>
      </c>
      <c r="H688" s="46">
        <f t="shared" si="85"/>
        <v>0.82073872587282137</v>
      </c>
      <c r="I688" s="37">
        <f t="shared" si="81"/>
        <v>0.30178562950343646</v>
      </c>
      <c r="J688" s="210">
        <v>0.37946929156068349</v>
      </c>
      <c r="K688" s="37">
        <f t="shared" si="86"/>
        <v>6.2357771392430915E-3</v>
      </c>
      <c r="L688" s="117">
        <f t="shared" si="87"/>
        <v>7.6014123327373291E-3</v>
      </c>
      <c r="M688" s="45">
        <f t="shared" si="82"/>
        <v>1.7517182625739657E-2</v>
      </c>
    </row>
    <row r="689" spans="1:13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625">
        <f t="shared" si="83"/>
        <v>59.7</v>
      </c>
      <c r="G689" s="665">
        <f t="shared" si="84"/>
        <v>2.4236333235210688E-4</v>
      </c>
      <c r="H689" s="46">
        <f t="shared" si="85"/>
        <v>0.56908364616268803</v>
      </c>
      <c r="I689" s="37">
        <f t="shared" si="81"/>
        <v>0.20925205669402042</v>
      </c>
      <c r="J689" s="210">
        <v>0.26311633805078755</v>
      </c>
      <c r="K689" s="37">
        <f t="shared" si="86"/>
        <v>4.3237618491615863E-3</v>
      </c>
      <c r="L689" s="117">
        <f t="shared" si="87"/>
        <v>5.2706656941279737E-3</v>
      </c>
      <c r="M689" s="45">
        <f t="shared" si="82"/>
        <v>1.7517182625739657E-2</v>
      </c>
    </row>
    <row r="690" spans="1:13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625">
        <f t="shared" si="83"/>
        <v>66.099999999999994</v>
      </c>
      <c r="G690" s="665">
        <f t="shared" si="84"/>
        <v>2.6834533113022217E-4</v>
      </c>
      <c r="H690" s="46">
        <f t="shared" si="85"/>
        <v>0.63009093821362949</v>
      </c>
      <c r="I690" s="37">
        <f t="shared" si="81"/>
        <v>0.23168443798115157</v>
      </c>
      <c r="J690" s="210">
        <v>0.29132311465924715</v>
      </c>
      <c r="K690" s="37">
        <f t="shared" si="86"/>
        <v>4.7872807073631634E-3</v>
      </c>
      <c r="L690" s="117">
        <f t="shared" si="87"/>
        <v>5.8356951822756964E-3</v>
      </c>
      <c r="M690" s="45">
        <f t="shared" si="82"/>
        <v>1.7517182625739661E-2</v>
      </c>
    </row>
    <row r="691" spans="1:13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625">
        <f t="shared" si="83"/>
        <v>111.6</v>
      </c>
      <c r="G691" s="665">
        <f t="shared" si="84"/>
        <v>4.5306110369338568E-4</v>
      </c>
      <c r="H691" s="46">
        <f t="shared" si="85"/>
        <v>1.0638146551382912</v>
      </c>
      <c r="I691" s="37">
        <f t="shared" si="81"/>
        <v>0.39116464869434969</v>
      </c>
      <c r="J691" s="210">
        <v>0.49185566711001488</v>
      </c>
      <c r="K691" s="37">
        <f t="shared" si="86"/>
        <v>8.0826100898900004E-3</v>
      </c>
      <c r="L691" s="117">
        <f t="shared" si="87"/>
        <v>9.8527016995759113E-3</v>
      </c>
      <c r="M691" s="45">
        <f t="shared" si="82"/>
        <v>1.7517182625739657E-2</v>
      </c>
    </row>
    <row r="692" spans="1:13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625">
        <f t="shared" si="83"/>
        <v>119.2</v>
      </c>
      <c r="G692" s="665">
        <f t="shared" si="84"/>
        <v>4.8391472724239765E-4</v>
      </c>
      <c r="H692" s="46">
        <f t="shared" si="85"/>
        <v>1.1362608144487842</v>
      </c>
      <c r="I692" s="37">
        <f t="shared" si="81"/>
        <v>0.41780310147281802</v>
      </c>
      <c r="J692" s="210">
        <v>0.52535121433256071</v>
      </c>
      <c r="K692" s="37">
        <f t="shared" si="86"/>
        <v>8.6330387340043738E-3</v>
      </c>
      <c r="L692" s="117">
        <f t="shared" si="87"/>
        <v>1.0523674216751332E-2</v>
      </c>
      <c r="M692" s="45">
        <f t="shared" si="82"/>
        <v>1.7517182625739657E-2</v>
      </c>
    </row>
    <row r="693" spans="1:13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625">
        <f t="shared" si="83"/>
        <v>139.6</v>
      </c>
      <c r="G693" s="665">
        <f t="shared" si="84"/>
        <v>5.6673234834764014E-4</v>
      </c>
      <c r="H693" s="46">
        <f t="shared" si="85"/>
        <v>1.33072155786116</v>
      </c>
      <c r="I693" s="37">
        <f t="shared" si="81"/>
        <v>0.48930631682554854</v>
      </c>
      <c r="J693" s="210">
        <v>0.6152603147720257</v>
      </c>
      <c r="K693" s="37">
        <f t="shared" si="86"/>
        <v>1.01105050945219E-2</v>
      </c>
      <c r="L693" s="117">
        <f t="shared" si="87"/>
        <v>1.2324705710222197E-2</v>
      </c>
      <c r="M693" s="45">
        <f t="shared" si="82"/>
        <v>1.7517182625739657E-2</v>
      </c>
    </row>
    <row r="694" spans="1:13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625">
        <f t="shared" si="83"/>
        <v>66.5</v>
      </c>
      <c r="G694" s="665">
        <f t="shared" si="84"/>
        <v>2.6996920605385438E-4</v>
      </c>
      <c r="H694" s="46">
        <f t="shared" si="85"/>
        <v>0.63390389396681324</v>
      </c>
      <c r="I694" s="37">
        <f t="shared" si="81"/>
        <v>0.23308646181159726</v>
      </c>
      <c r="J694" s="210">
        <v>0.29308603819727591</v>
      </c>
      <c r="K694" s="37">
        <f t="shared" si="86"/>
        <v>4.8162506360007618E-3</v>
      </c>
      <c r="L694" s="117">
        <f t="shared" si="87"/>
        <v>5.8710095252849292E-3</v>
      </c>
      <c r="M694" s="45">
        <f t="shared" si="82"/>
        <v>1.7517182625739657E-2</v>
      </c>
    </row>
    <row r="695" spans="1:13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625">
        <f t="shared" si="83"/>
        <v>67</v>
      </c>
      <c r="G695" s="665">
        <f t="shared" si="84"/>
        <v>2.7199904970839466E-4</v>
      </c>
      <c r="H695" s="46">
        <f t="shared" si="85"/>
        <v>0.63867008865829311</v>
      </c>
      <c r="I695" s="37">
        <f t="shared" si="81"/>
        <v>0.23483899159965441</v>
      </c>
      <c r="J695" s="210">
        <v>0.29528969261981181</v>
      </c>
      <c r="K695" s="37">
        <f t="shared" si="86"/>
        <v>4.8524630467977605E-3</v>
      </c>
      <c r="L695" s="117">
        <f t="shared" si="87"/>
        <v>5.9151524540464705E-3</v>
      </c>
      <c r="M695" s="45">
        <f t="shared" si="82"/>
        <v>1.7517182625739661E-2</v>
      </c>
    </row>
    <row r="696" spans="1:13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625">
        <f t="shared" si="83"/>
        <v>212.2</v>
      </c>
      <c r="G696" s="665">
        <f t="shared" si="84"/>
        <v>8.6146564698688568E-4</v>
      </c>
      <c r="H696" s="46">
        <f t="shared" si="85"/>
        <v>2.022773027064027</v>
      </c>
      <c r="I696" s="37">
        <f t="shared" si="81"/>
        <v>0.74377364205144281</v>
      </c>
      <c r="J696" s="210">
        <v>0.93523093692423964</v>
      </c>
      <c r="K696" s="37">
        <f t="shared" si="86"/>
        <v>1.5368547142246041E-2</v>
      </c>
      <c r="L696" s="117">
        <f t="shared" si="87"/>
        <v>1.8734258966397924E-2</v>
      </c>
      <c r="M696" s="45">
        <f t="shared" si="82"/>
        <v>1.7517182625739661E-2</v>
      </c>
    </row>
    <row r="697" spans="1:13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625">
        <f t="shared" si="83"/>
        <v>41.6</v>
      </c>
      <c r="G697" s="665">
        <f t="shared" si="84"/>
        <v>1.6888299205774951E-4</v>
      </c>
      <c r="H697" s="46">
        <f t="shared" si="85"/>
        <v>0.39654739833111929</v>
      </c>
      <c r="I697" s="37">
        <f t="shared" si="81"/>
        <v>0.14581047836635258</v>
      </c>
      <c r="J697" s="210">
        <v>0.18334404795498763</v>
      </c>
      <c r="K697" s="37">
        <f t="shared" si="86"/>
        <v>3.012872578310251E-3</v>
      </c>
      <c r="L697" s="117">
        <f t="shared" si="87"/>
        <v>3.6726916729601963E-3</v>
      </c>
      <c r="M697" s="45">
        <f t="shared" si="82"/>
        <v>1.7517182625739657E-2</v>
      </c>
    </row>
    <row r="698" spans="1:13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625">
        <f t="shared" si="83"/>
        <v>466.8</v>
      </c>
      <c r="G698" s="665">
        <f t="shared" si="84"/>
        <v>1.8950620358787855E-3</v>
      </c>
      <c r="H698" s="46">
        <f t="shared" si="85"/>
        <v>4.4497193639655412</v>
      </c>
      <c r="I698" s="37">
        <f t="shared" ref="I698:I747" si="88">H698*0.3677</f>
        <v>1.6361618101301296</v>
      </c>
      <c r="J698" s="210">
        <v>2.0573317688795245</v>
      </c>
      <c r="K698" s="37">
        <f t="shared" si="86"/>
        <v>3.3807906720077531E-2</v>
      </c>
      <c r="L698" s="117">
        <f t="shared" si="87"/>
        <v>4.1211838291774515E-2</v>
      </c>
      <c r="M698" s="45">
        <f t="shared" si="82"/>
        <v>1.7517182625739657E-2</v>
      </c>
    </row>
    <row r="699" spans="1:13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625">
        <f t="shared" si="83"/>
        <v>681.36</v>
      </c>
      <c r="G699" s="665">
        <f t="shared" si="84"/>
        <v>2.7661085449151011E-3</v>
      </c>
      <c r="H699" s="46">
        <f t="shared" si="85"/>
        <v>6.4949888299733525</v>
      </c>
      <c r="I699" s="37">
        <f t="shared" si="88"/>
        <v>2.3882073927812018</v>
      </c>
      <c r="J699" s="210">
        <v>3.0029639546781337</v>
      </c>
      <c r="K699" s="37">
        <f t="shared" si="86"/>
        <v>4.9347376441285402E-2</v>
      </c>
      <c r="L699" s="117">
        <f t="shared" si="87"/>
        <v>6.0154451881926911E-2</v>
      </c>
      <c r="M699" s="45">
        <f t="shared" si="82"/>
        <v>1.7517182625739654E-2</v>
      </c>
    </row>
    <row r="700" spans="1:13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625">
        <f t="shared" si="83"/>
        <v>58.2</v>
      </c>
      <c r="G700" s="665">
        <f t="shared" si="84"/>
        <v>2.3627380138848612E-4</v>
      </c>
      <c r="H700" s="46">
        <f t="shared" si="85"/>
        <v>0.55478506208824874</v>
      </c>
      <c r="I700" s="37">
        <f t="shared" si="88"/>
        <v>0.20399446732984908</v>
      </c>
      <c r="J700" s="210">
        <v>0.25650537478317986</v>
      </c>
      <c r="K700" s="37">
        <f t="shared" si="86"/>
        <v>4.2151246167705927E-3</v>
      </c>
      <c r="L700" s="117">
        <f t="shared" si="87"/>
        <v>5.1382369078433526E-3</v>
      </c>
      <c r="M700" s="45">
        <f t="shared" si="82"/>
        <v>1.7517182625739661E-2</v>
      </c>
    </row>
    <row r="701" spans="1:13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625">
        <f t="shared" si="83"/>
        <v>504.2</v>
      </c>
      <c r="G701" s="665">
        <f t="shared" si="84"/>
        <v>2.0468943412383965E-3</v>
      </c>
      <c r="H701" s="46">
        <f t="shared" si="85"/>
        <v>4.8062307268882289</v>
      </c>
      <c r="I701" s="37">
        <f t="shared" si="88"/>
        <v>1.7672510382768019</v>
      </c>
      <c r="J701" s="210">
        <v>2.2221651196852106</v>
      </c>
      <c r="K701" s="37">
        <f t="shared" si="86"/>
        <v>3.6516595047692994E-2</v>
      </c>
      <c r="L701" s="117">
        <f t="shared" si="87"/>
        <v>4.4513729363137765E-2</v>
      </c>
      <c r="M701" s="45">
        <f t="shared" si="82"/>
        <v>1.7517182625739657E-2</v>
      </c>
    </row>
    <row r="702" spans="1:13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625">
        <f t="shared" si="83"/>
        <v>166.6</v>
      </c>
      <c r="G702" s="665">
        <f t="shared" si="84"/>
        <v>6.7634390569281408E-4</v>
      </c>
      <c r="H702" s="46">
        <f t="shared" si="85"/>
        <v>1.588096071201069</v>
      </c>
      <c r="I702" s="37">
        <f t="shared" si="88"/>
        <v>0.58394292538063308</v>
      </c>
      <c r="J702" s="210">
        <v>0.73425765358896489</v>
      </c>
      <c r="K702" s="37">
        <f t="shared" si="86"/>
        <v>1.2065975277559803E-2</v>
      </c>
      <c r="L702" s="117">
        <f t="shared" si="87"/>
        <v>1.47084238633454E-2</v>
      </c>
      <c r="M702" s="45">
        <f t="shared" si="82"/>
        <v>1.7517182625739657E-2</v>
      </c>
    </row>
    <row r="703" spans="1:13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625">
        <f t="shared" si="83"/>
        <v>37.799999999999997</v>
      </c>
      <c r="G703" s="665">
        <f t="shared" si="84"/>
        <v>1.5345618028324352E-4</v>
      </c>
      <c r="H703" s="46">
        <f t="shared" si="85"/>
        <v>0.36032431867587278</v>
      </c>
      <c r="I703" s="37">
        <f t="shared" si="88"/>
        <v>0.13249125197711842</v>
      </c>
      <c r="J703" s="210">
        <v>0.16659627434371468</v>
      </c>
      <c r="K703" s="37">
        <f t="shared" si="86"/>
        <v>2.7376582562530644E-3</v>
      </c>
      <c r="L703" s="117">
        <f t="shared" si="87"/>
        <v>3.3372054143724857E-3</v>
      </c>
      <c r="M703" s="45">
        <f t="shared" si="82"/>
        <v>1.7517182625739657E-2</v>
      </c>
    </row>
    <row r="704" spans="1:13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625">
        <f t="shared" si="83"/>
        <v>55.5</v>
      </c>
      <c r="G704" s="665">
        <f t="shared" si="84"/>
        <v>2.2531264565396871E-4</v>
      </c>
      <c r="H704" s="46">
        <f t="shared" si="85"/>
        <v>0.52904761075425777</v>
      </c>
      <c r="I704" s="37">
        <f t="shared" si="88"/>
        <v>0.1945308064743406</v>
      </c>
      <c r="J704" s="210">
        <v>0.24460564090148587</v>
      </c>
      <c r="K704" s="37">
        <f t="shared" si="86"/>
        <v>4.019577598466802E-3</v>
      </c>
      <c r="L704" s="117">
        <f t="shared" si="87"/>
        <v>4.8998650925310321E-3</v>
      </c>
      <c r="M704" s="45">
        <f t="shared" si="82"/>
        <v>1.7517182625739657E-2</v>
      </c>
    </row>
    <row r="705" spans="1:13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625">
        <f t="shared" si="83"/>
        <v>146.19999999999999</v>
      </c>
      <c r="G705" s="665">
        <f t="shared" si="84"/>
        <v>5.9352628458757154E-4</v>
      </c>
      <c r="H705" s="46">
        <f t="shared" si="85"/>
        <v>1.3936353277886933</v>
      </c>
      <c r="I705" s="37">
        <f t="shared" si="88"/>
        <v>0.51243971002790256</v>
      </c>
      <c r="J705" s="210">
        <v>0.64434855314949979</v>
      </c>
      <c r="K705" s="37">
        <f t="shared" si="86"/>
        <v>1.0588508917042275E-2</v>
      </c>
      <c r="L705" s="117">
        <f t="shared" si="87"/>
        <v>1.2907392369874534E-2</v>
      </c>
      <c r="M705" s="45">
        <f t="shared" si="82"/>
        <v>1.7517182625739661E-2</v>
      </c>
    </row>
    <row r="706" spans="1:13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625">
        <f t="shared" si="83"/>
        <v>47.9</v>
      </c>
      <c r="G706" s="665">
        <f t="shared" si="84"/>
        <v>1.9445902210495677E-4</v>
      </c>
      <c r="H706" s="46">
        <f t="shared" si="85"/>
        <v>0.45660145144376479</v>
      </c>
      <c r="I706" s="37">
        <f t="shared" si="88"/>
        <v>0.16789235369587233</v>
      </c>
      <c r="J706" s="210">
        <v>0.21111009367894007</v>
      </c>
      <c r="K706" s="37">
        <f t="shared" si="86"/>
        <v>3.4691489543524287E-3</v>
      </c>
      <c r="L706" s="117">
        <f t="shared" si="87"/>
        <v>4.228892575355611E-3</v>
      </c>
      <c r="M706" s="45">
        <f t="shared" si="82"/>
        <v>1.7517182625739657E-2</v>
      </c>
    </row>
    <row r="707" spans="1:13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625">
        <f t="shared" si="83"/>
        <v>72.400000000000006</v>
      </c>
      <c r="G707" s="665">
        <f t="shared" si="84"/>
        <v>2.9392136117742948E-4</v>
      </c>
      <c r="H707" s="46">
        <f t="shared" si="85"/>
        <v>0.69014499132627505</v>
      </c>
      <c r="I707" s="37">
        <f t="shared" si="88"/>
        <v>0.25376631331067134</v>
      </c>
      <c r="J707" s="210">
        <v>0.31908916038319968</v>
      </c>
      <c r="K707" s="37">
        <f t="shared" si="86"/>
        <v>5.2435570834053419E-3</v>
      </c>
      <c r="L707" s="117">
        <f t="shared" si="87"/>
        <v>6.3918960846711123E-3</v>
      </c>
      <c r="M707" s="45">
        <f t="shared" si="82"/>
        <v>1.7517182625739661E-2</v>
      </c>
    </row>
    <row r="708" spans="1:13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625">
        <f t="shared" si="83"/>
        <v>73</v>
      </c>
      <c r="G708" s="665">
        <f t="shared" si="84"/>
        <v>2.9635717356287774E-4</v>
      </c>
      <c r="H708" s="46">
        <f t="shared" si="85"/>
        <v>0.69586442495605072</v>
      </c>
      <c r="I708" s="37">
        <f t="shared" si="88"/>
        <v>0.25586934905633985</v>
      </c>
      <c r="J708" s="210">
        <v>0.32173354569024276</v>
      </c>
      <c r="K708" s="37">
        <f t="shared" si="86"/>
        <v>5.2870119763617392E-3</v>
      </c>
      <c r="L708" s="117">
        <f t="shared" si="87"/>
        <v>6.4448675991849603E-3</v>
      </c>
      <c r="M708" s="45">
        <f t="shared" si="82"/>
        <v>1.7517182625739661E-2</v>
      </c>
    </row>
    <row r="709" spans="1:13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625">
        <f t="shared" si="83"/>
        <v>110</v>
      </c>
      <c r="G709" s="665">
        <f t="shared" si="84"/>
        <v>4.465656039988569E-4</v>
      </c>
      <c r="H709" s="46">
        <f t="shared" si="85"/>
        <v>1.048562832125556</v>
      </c>
      <c r="I709" s="37">
        <f t="shared" si="88"/>
        <v>0.38555655337256695</v>
      </c>
      <c r="J709" s="210">
        <v>0.48480397295790001</v>
      </c>
      <c r="K709" s="37">
        <f t="shared" si="86"/>
        <v>7.9667303753396066E-3</v>
      </c>
      <c r="L709" s="117">
        <f t="shared" si="87"/>
        <v>9.7114443275389817E-3</v>
      </c>
      <c r="M709" s="45">
        <f t="shared" si="82"/>
        <v>1.7517182625739657E-2</v>
      </c>
    </row>
    <row r="710" spans="1:13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625">
        <f t="shared" si="83"/>
        <v>382</v>
      </c>
      <c r="G710" s="665">
        <f t="shared" si="84"/>
        <v>1.5508005520687576E-3</v>
      </c>
      <c r="H710" s="46">
        <f t="shared" si="85"/>
        <v>3.641372744290567</v>
      </c>
      <c r="I710" s="37">
        <f t="shared" si="88"/>
        <v>1.3389327580756416</v>
      </c>
      <c r="J710" s="210">
        <v>1.6835919788174347</v>
      </c>
      <c r="K710" s="37">
        <f t="shared" si="86"/>
        <v>2.7666281848906637E-2</v>
      </c>
      <c r="L710" s="117">
        <f t="shared" si="87"/>
        <v>3.3725197573817194E-2</v>
      </c>
      <c r="M710" s="45">
        <f t="shared" si="82"/>
        <v>1.7517182625739657E-2</v>
      </c>
    </row>
    <row r="711" spans="1:13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625">
        <f t="shared" si="83"/>
        <v>226.9</v>
      </c>
      <c r="G711" s="665">
        <f t="shared" si="84"/>
        <v>9.2114305043036933E-4</v>
      </c>
      <c r="H711" s="46">
        <f t="shared" si="85"/>
        <v>2.1628991509935331</v>
      </c>
      <c r="I711" s="37">
        <f t="shared" si="88"/>
        <v>0.79529801782032217</v>
      </c>
      <c r="J711" s="210">
        <v>1.0000183769467954</v>
      </c>
      <c r="K711" s="37">
        <f t="shared" si="86"/>
        <v>1.643319201967779E-2</v>
      </c>
      <c r="L711" s="117">
        <f t="shared" si="87"/>
        <v>2.0032061071987226E-2</v>
      </c>
      <c r="M711" s="45">
        <f t="shared" ref="M711:M774" si="89">(K711+J711+I711+H711)/F711</f>
        <v>1.7517182625739657E-2</v>
      </c>
    </row>
    <row r="712" spans="1:13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625">
        <f t="shared" si="83"/>
        <v>142.6</v>
      </c>
      <c r="G712" s="665">
        <f t="shared" si="84"/>
        <v>5.7891141027488176E-4</v>
      </c>
      <c r="H712" s="46">
        <f t="shared" si="85"/>
        <v>1.3593187260100388</v>
      </c>
      <c r="I712" s="37">
        <f t="shared" si="88"/>
        <v>0.49982149555389127</v>
      </c>
      <c r="J712" s="210">
        <v>0.62848224130724117</v>
      </c>
      <c r="K712" s="37">
        <f t="shared" si="86"/>
        <v>1.032777955930389E-2</v>
      </c>
      <c r="L712" s="117">
        <f t="shared" si="87"/>
        <v>1.2589563282791443E-2</v>
      </c>
      <c r="M712" s="45">
        <f t="shared" si="89"/>
        <v>1.7517182625739657E-2</v>
      </c>
    </row>
    <row r="713" spans="1:13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625">
        <f t="shared" si="83"/>
        <v>428.31</v>
      </c>
      <c r="G713" s="665">
        <f t="shared" si="84"/>
        <v>1.7388046713522763E-3</v>
      </c>
      <c r="H713" s="46">
        <f t="shared" si="85"/>
        <v>4.0828176966154262</v>
      </c>
      <c r="I713" s="37">
        <f t="shared" si="88"/>
        <v>1.5012520670454923</v>
      </c>
      <c r="J713" s="210">
        <v>1.8876944514327103</v>
      </c>
      <c r="K713" s="37">
        <f t="shared" si="86"/>
        <v>3.102027533692461E-2</v>
      </c>
      <c r="L713" s="117">
        <f t="shared" si="87"/>
        <v>3.78137156357111E-2</v>
      </c>
      <c r="M713" s="45">
        <f t="shared" si="89"/>
        <v>1.7517182625739657E-2</v>
      </c>
    </row>
    <row r="714" spans="1:13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625">
        <f t="shared" si="83"/>
        <v>744.3</v>
      </c>
      <c r="G714" s="665">
        <f t="shared" si="84"/>
        <v>3.0216252641486288E-3</v>
      </c>
      <c r="H714" s="46">
        <f t="shared" si="85"/>
        <v>7.0949574177368291</v>
      </c>
      <c r="I714" s="37">
        <f t="shared" si="88"/>
        <v>2.6088158425018322</v>
      </c>
      <c r="J714" s="210">
        <v>3.2803599733869535</v>
      </c>
      <c r="K714" s="37">
        <f t="shared" si="86"/>
        <v>5.3905794712411539E-2</v>
      </c>
      <c r="L714" s="117">
        <f t="shared" si="87"/>
        <v>6.5711163754429674E-2</v>
      </c>
      <c r="M714" s="45">
        <f t="shared" si="89"/>
        <v>1.7517182625739657E-2</v>
      </c>
    </row>
    <row r="715" spans="1:13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625">
        <f t="shared" si="83"/>
        <v>1084.5899999999999</v>
      </c>
      <c r="G715" s="665">
        <f t="shared" si="84"/>
        <v>4.4030962585556374E-3</v>
      </c>
      <c r="H715" s="46">
        <f t="shared" si="85"/>
        <v>10.338734200864149</v>
      </c>
      <c r="I715" s="37">
        <f t="shared" si="88"/>
        <v>3.8015525656577478</v>
      </c>
      <c r="J715" s="210">
        <v>4.7801231002764428</v>
      </c>
      <c r="K715" s="37">
        <f t="shared" si="86"/>
        <v>7.8551237252632578E-2</v>
      </c>
      <c r="L715" s="117">
        <f t="shared" si="87"/>
        <v>9.5753958210959125E-2</v>
      </c>
      <c r="M715" s="45">
        <f t="shared" si="89"/>
        <v>1.7517182625739654E-2</v>
      </c>
    </row>
    <row r="716" spans="1:13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625">
        <f t="shared" si="83"/>
        <v>1069.71</v>
      </c>
      <c r="G716" s="665">
        <f t="shared" si="84"/>
        <v>4.3426881113965204E-3</v>
      </c>
      <c r="H716" s="46">
        <f t="shared" si="85"/>
        <v>10.196892246845714</v>
      </c>
      <c r="I716" s="37">
        <f t="shared" si="88"/>
        <v>3.7493972791651693</v>
      </c>
      <c r="J716" s="210">
        <v>4.7145423446617745</v>
      </c>
      <c r="K716" s="37">
        <f t="shared" si="86"/>
        <v>7.7473555907313918E-2</v>
      </c>
      <c r="L716" s="117">
        <f t="shared" si="87"/>
        <v>9.4440264651015668E-2</v>
      </c>
      <c r="M716" s="45">
        <f t="shared" si="89"/>
        <v>1.7517182625739657E-2</v>
      </c>
    </row>
    <row r="717" spans="1:13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625">
        <f t="shared" ref="F717:F746" si="90">C717+D717+E717</f>
        <v>196.8</v>
      </c>
      <c r="G717" s="665">
        <f t="shared" si="84"/>
        <v>7.989464624270458E-4</v>
      </c>
      <c r="H717" s="46">
        <f t="shared" si="85"/>
        <v>1.8759742305664491</v>
      </c>
      <c r="I717" s="37">
        <f t="shared" si="88"/>
        <v>0.6897957245792834</v>
      </c>
      <c r="J717" s="210">
        <v>0.86735838071013382</v>
      </c>
      <c r="K717" s="37">
        <f t="shared" si="86"/>
        <v>1.4253204889698497E-2</v>
      </c>
      <c r="L717" s="117">
        <f t="shared" si="87"/>
        <v>1.7374656760542468E-2</v>
      </c>
      <c r="M717" s="45">
        <f t="shared" si="89"/>
        <v>1.7517182625739657E-2</v>
      </c>
    </row>
    <row r="718" spans="1:13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625">
        <f t="shared" si="90"/>
        <v>625.9</v>
      </c>
      <c r="G718" s="665">
        <f t="shared" si="84"/>
        <v>2.5409582867534958E-3</v>
      </c>
      <c r="H718" s="46">
        <f t="shared" si="85"/>
        <v>5.9663225147944132</v>
      </c>
      <c r="I718" s="37">
        <f t="shared" si="88"/>
        <v>2.1938167886899058</v>
      </c>
      <c r="J718" s="210">
        <v>2.7585346061304508</v>
      </c>
      <c r="K718" s="37">
        <f t="shared" si="86"/>
        <v>4.5330695835682368E-2</v>
      </c>
      <c r="L718" s="117">
        <f t="shared" si="87"/>
        <v>5.5258118223696813E-2</v>
      </c>
      <c r="M718" s="45">
        <f t="shared" si="89"/>
        <v>1.7517182625739657E-2</v>
      </c>
    </row>
    <row r="719" spans="1:13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625">
        <f t="shared" si="90"/>
        <v>127.5</v>
      </c>
      <c r="G719" s="665">
        <f t="shared" si="84"/>
        <v>5.1761013190776591E-4</v>
      </c>
      <c r="H719" s="46">
        <f t="shared" si="85"/>
        <v>1.2153796463273487</v>
      </c>
      <c r="I719" s="37">
        <f t="shared" si="88"/>
        <v>0.44689509595456617</v>
      </c>
      <c r="J719" s="210">
        <v>0.56193187774665676</v>
      </c>
      <c r="K719" s="37">
        <f t="shared" si="86"/>
        <v>9.2341647532345437E-3</v>
      </c>
      <c r="L719" s="117">
        <f t="shared" si="87"/>
        <v>1.1256446834192909E-2</v>
      </c>
      <c r="M719" s="45">
        <f t="shared" si="89"/>
        <v>1.7517182625739661E-2</v>
      </c>
    </row>
    <row r="720" spans="1:13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625">
        <f t="shared" si="90"/>
        <v>561.25</v>
      </c>
      <c r="G720" s="665">
        <f t="shared" si="84"/>
        <v>2.2784995022214405E-3</v>
      </c>
      <c r="H720" s="46">
        <f t="shared" si="85"/>
        <v>5.3500535411860755</v>
      </c>
      <c r="I720" s="37">
        <f t="shared" si="88"/>
        <v>1.9672146870941201</v>
      </c>
      <c r="J720" s="210">
        <v>2.4736020892965578</v>
      </c>
      <c r="K720" s="37">
        <f t="shared" si="86"/>
        <v>4.0648431119630499E-2</v>
      </c>
      <c r="L720" s="117">
        <f t="shared" si="87"/>
        <v>4.9550437534829579E-2</v>
      </c>
      <c r="M720" s="45">
        <f t="shared" si="89"/>
        <v>1.7517182625739661E-2</v>
      </c>
    </row>
    <row r="721" spans="1:13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625">
        <f t="shared" si="90"/>
        <v>122.9</v>
      </c>
      <c r="G721" s="665">
        <f t="shared" si="84"/>
        <v>4.9893557028599556E-4</v>
      </c>
      <c r="H721" s="46">
        <f t="shared" si="85"/>
        <v>1.1715306551657347</v>
      </c>
      <c r="I721" s="37">
        <f t="shared" si="88"/>
        <v>0.43077182190444069</v>
      </c>
      <c r="J721" s="210">
        <v>0.54165825705932646</v>
      </c>
      <c r="K721" s="37">
        <f t="shared" si="86"/>
        <v>8.901010573902161E-3</v>
      </c>
      <c r="L721" s="117">
        <f t="shared" si="87"/>
        <v>1.0850331889586735E-2</v>
      </c>
      <c r="M721" s="45">
        <f t="shared" si="89"/>
        <v>1.7517182625739657E-2</v>
      </c>
    </row>
    <row r="722" spans="1:13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625">
        <f t="shared" si="90"/>
        <v>82.5</v>
      </c>
      <c r="G722" s="665">
        <f t="shared" si="84"/>
        <v>3.3492420299914268E-4</v>
      </c>
      <c r="H722" s="46">
        <f t="shared" si="85"/>
        <v>0.7864221240941669</v>
      </c>
      <c r="I722" s="37">
        <f t="shared" si="88"/>
        <v>0.28916741502942517</v>
      </c>
      <c r="J722" s="210">
        <v>0.36360297971842498</v>
      </c>
      <c r="K722" s="37">
        <f t="shared" si="86"/>
        <v>5.9750477815047054E-3</v>
      </c>
      <c r="L722" s="117">
        <f t="shared" si="87"/>
        <v>7.2835832456542363E-3</v>
      </c>
      <c r="M722" s="45">
        <f t="shared" si="89"/>
        <v>1.7517182625739657E-2</v>
      </c>
    </row>
    <row r="723" spans="1:13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625">
        <f t="shared" si="90"/>
        <v>118.7</v>
      </c>
      <c r="G723" s="665">
        <f t="shared" si="84"/>
        <v>4.8188488358785742E-4</v>
      </c>
      <c r="H723" s="46">
        <f t="shared" si="85"/>
        <v>1.1314946197573044</v>
      </c>
      <c r="I723" s="37">
        <f t="shared" si="88"/>
        <v>0.41605057168476084</v>
      </c>
      <c r="J723" s="210">
        <v>0.52314755991002482</v>
      </c>
      <c r="K723" s="37">
        <f t="shared" si="86"/>
        <v>8.5968263232073759E-3</v>
      </c>
      <c r="L723" s="117">
        <f t="shared" si="87"/>
        <v>1.0479531287989792E-2</v>
      </c>
      <c r="M723" s="45">
        <f t="shared" si="89"/>
        <v>1.7517182625739654E-2</v>
      </c>
    </row>
    <row r="724" spans="1:13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625">
        <f t="shared" si="90"/>
        <v>113.8</v>
      </c>
      <c r="G724" s="665">
        <f t="shared" si="84"/>
        <v>4.6199241577336283E-4</v>
      </c>
      <c r="H724" s="46">
        <f t="shared" si="85"/>
        <v>1.0847859117808023</v>
      </c>
      <c r="I724" s="37">
        <f t="shared" si="88"/>
        <v>0.39887577976180105</v>
      </c>
      <c r="J724" s="210">
        <v>0.5015517465691729</v>
      </c>
      <c r="K724" s="37">
        <f t="shared" si="86"/>
        <v>8.2419446973967924E-3</v>
      </c>
      <c r="L724" s="117">
        <f t="shared" si="87"/>
        <v>1.0046930586126691E-2</v>
      </c>
      <c r="M724" s="45">
        <f t="shared" si="89"/>
        <v>1.7517182625739657E-2</v>
      </c>
    </row>
    <row r="725" spans="1:13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625">
        <f t="shared" si="90"/>
        <v>294</v>
      </c>
      <c r="G725" s="665">
        <f t="shared" si="84"/>
        <v>1.1935480688696721E-3</v>
      </c>
      <c r="H725" s="46">
        <f t="shared" si="85"/>
        <v>2.8025224785901224</v>
      </c>
      <c r="I725" s="37">
        <f t="shared" si="88"/>
        <v>1.0304875153775881</v>
      </c>
      <c r="J725" s="210">
        <v>1.2957488004511144</v>
      </c>
      <c r="K725" s="37">
        <f t="shared" si="86"/>
        <v>2.1292897548634952E-2</v>
      </c>
      <c r="L725" s="117">
        <f t="shared" si="87"/>
        <v>2.5956042111786006E-2</v>
      </c>
      <c r="M725" s="45">
        <f t="shared" si="89"/>
        <v>1.7517182625739661E-2</v>
      </c>
    </row>
    <row r="726" spans="1:13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625">
        <f t="shared" si="90"/>
        <v>38.6</v>
      </c>
      <c r="G726" s="665">
        <f t="shared" si="84"/>
        <v>1.5670393013050797E-4</v>
      </c>
      <c r="H726" s="46">
        <f t="shared" si="85"/>
        <v>0.36795023018224055</v>
      </c>
      <c r="I726" s="37">
        <f t="shared" si="88"/>
        <v>0.13529529963800985</v>
      </c>
      <c r="J726" s="210">
        <v>0.1701221214197722</v>
      </c>
      <c r="K726" s="37">
        <f t="shared" si="86"/>
        <v>2.7955981135282621E-3</v>
      </c>
      <c r="L726" s="117">
        <f t="shared" si="87"/>
        <v>3.4078341003909518E-3</v>
      </c>
      <c r="M726" s="45">
        <f t="shared" si="89"/>
        <v>1.7517182625739657E-2</v>
      </c>
    </row>
    <row r="727" spans="1:13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625">
        <f t="shared" si="90"/>
        <v>295.8</v>
      </c>
      <c r="G727" s="665">
        <f t="shared" si="84"/>
        <v>1.2008555060260171E-3</v>
      </c>
      <c r="H727" s="46">
        <f t="shared" si="85"/>
        <v>2.8196807794794498</v>
      </c>
      <c r="I727" s="37">
        <f t="shared" si="88"/>
        <v>1.0367966226145937</v>
      </c>
      <c r="J727" s="210">
        <v>1.3036819563722437</v>
      </c>
      <c r="K727" s="37">
        <f t="shared" si="86"/>
        <v>2.1423262227504146E-2</v>
      </c>
      <c r="L727" s="117">
        <f t="shared" si="87"/>
        <v>2.6114956655327554E-2</v>
      </c>
      <c r="M727" s="45">
        <f t="shared" si="89"/>
        <v>1.7517182625739657E-2</v>
      </c>
    </row>
    <row r="728" spans="1:13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625">
        <f t="shared" si="90"/>
        <v>2954.3</v>
      </c>
      <c r="G728" s="665">
        <f t="shared" si="84"/>
        <v>1.1993534217216573E-2</v>
      </c>
      <c r="H728" s="46">
        <f t="shared" si="85"/>
        <v>28.161537954077545</v>
      </c>
      <c r="I728" s="37">
        <f t="shared" si="88"/>
        <v>10.354997505714314</v>
      </c>
      <c r="J728" s="210">
        <v>13.020512520995672</v>
      </c>
      <c r="K728" s="37">
        <f t="shared" si="86"/>
        <v>0.21396465043514365</v>
      </c>
      <c r="L728" s="117">
        <f t="shared" si="87"/>
        <v>0.26082290888044013</v>
      </c>
      <c r="M728" s="45">
        <f t="shared" si="89"/>
        <v>1.7517182625739657E-2</v>
      </c>
    </row>
    <row r="729" spans="1:13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625">
        <f t="shared" si="90"/>
        <v>601.58000000000004</v>
      </c>
      <c r="G729" s="665">
        <f t="shared" ref="G729:G746" si="91">1/246324.39*F729</f>
        <v>2.4422266913966578E-3</v>
      </c>
      <c r="H729" s="46">
        <f t="shared" ref="H729:H747" si="92">G729*2348.06</f>
        <v>5.7344948050008364</v>
      </c>
      <c r="I729" s="37">
        <f t="shared" si="88"/>
        <v>2.1085737397988078</v>
      </c>
      <c r="J729" s="210">
        <v>2.6513488550183046</v>
      </c>
      <c r="K729" s="37">
        <f t="shared" ref="K729:K744" si="93">G729*17.84</f>
        <v>4.3569324174516373E-2</v>
      </c>
      <c r="L729" s="117">
        <f t="shared" si="87"/>
        <v>5.3111006168735465E-2</v>
      </c>
      <c r="M729" s="45">
        <f t="shared" si="89"/>
        <v>1.7517182625739657E-2</v>
      </c>
    </row>
    <row r="730" spans="1:13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625">
        <f t="shared" si="90"/>
        <v>392.31</v>
      </c>
      <c r="G730" s="665">
        <f t="shared" si="91"/>
        <v>1.5926559282253777E-3</v>
      </c>
      <c r="H730" s="46">
        <f t="shared" si="92"/>
        <v>3.7396516788288805</v>
      </c>
      <c r="I730" s="37">
        <f t="shared" si="88"/>
        <v>1.3750699223053795</v>
      </c>
      <c r="J730" s="210">
        <v>1.729031333010125</v>
      </c>
      <c r="K730" s="37">
        <f t="shared" si="93"/>
        <v>2.841298175954074E-2</v>
      </c>
      <c r="L730" s="117">
        <f t="shared" si="87"/>
        <v>3.4635424764880164E-2</v>
      </c>
      <c r="M730" s="45">
        <f t="shared" si="89"/>
        <v>1.7517182625739661E-2</v>
      </c>
    </row>
    <row r="731" spans="1:13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625">
        <f t="shared" si="90"/>
        <v>600.88</v>
      </c>
      <c r="G731" s="665">
        <f t="shared" si="91"/>
        <v>2.439384910280301E-3</v>
      </c>
      <c r="H731" s="46">
        <f t="shared" si="92"/>
        <v>5.7278221324327632</v>
      </c>
      <c r="I731" s="37">
        <f t="shared" si="88"/>
        <v>2.1061201980955273</v>
      </c>
      <c r="J731" s="210">
        <v>2.648263738826754</v>
      </c>
      <c r="K731" s="37">
        <f t="shared" si="93"/>
        <v>4.3518626799400571E-2</v>
      </c>
      <c r="L731" s="117">
        <f t="shared" si="87"/>
        <v>5.3049206068469301E-2</v>
      </c>
      <c r="M731" s="45">
        <f t="shared" si="89"/>
        <v>1.7517182625739657E-2</v>
      </c>
    </row>
    <row r="732" spans="1:13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625">
        <f t="shared" si="90"/>
        <v>307.3</v>
      </c>
      <c r="G732" s="665">
        <f t="shared" si="91"/>
        <v>1.2475419100804429E-3</v>
      </c>
      <c r="H732" s="46">
        <f t="shared" si="92"/>
        <v>2.9293032573834847</v>
      </c>
      <c r="I732" s="37">
        <f t="shared" si="88"/>
        <v>1.0771048077399075</v>
      </c>
      <c r="J732" s="210">
        <v>1.3543660080905695</v>
      </c>
      <c r="K732" s="37">
        <f t="shared" si="93"/>
        <v>2.22561476758351E-2</v>
      </c>
      <c r="L732" s="117">
        <f t="shared" si="87"/>
        <v>2.713024401684299E-2</v>
      </c>
      <c r="M732" s="45">
        <f t="shared" si="89"/>
        <v>1.7517182625739657E-2</v>
      </c>
    </row>
    <row r="733" spans="1:13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625">
        <f t="shared" si="90"/>
        <v>800.1</v>
      </c>
      <c r="G733" s="665">
        <f t="shared" si="91"/>
        <v>3.2481558159953221E-3</v>
      </c>
      <c r="H733" s="46">
        <f t="shared" si="92"/>
        <v>7.6268647453059755</v>
      </c>
      <c r="I733" s="37">
        <f t="shared" si="88"/>
        <v>2.8043981668490074</v>
      </c>
      <c r="J733" s="210">
        <v>3.5262878069419616</v>
      </c>
      <c r="K733" s="37">
        <f t="shared" si="93"/>
        <v>5.7947099757356547E-2</v>
      </c>
      <c r="L733" s="117">
        <f t="shared" ref="L733:L747" si="94">K733*1.219</f>
        <v>7.0637514604217633E-2</v>
      </c>
      <c r="M733" s="45">
        <f t="shared" si="89"/>
        <v>1.7517182625739657E-2</v>
      </c>
    </row>
    <row r="734" spans="1:13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625">
        <f t="shared" si="90"/>
        <v>325.2</v>
      </c>
      <c r="G734" s="665">
        <f t="shared" si="91"/>
        <v>1.3202103129129842E-3</v>
      </c>
      <c r="H734" s="46">
        <f t="shared" si="92"/>
        <v>3.0999330273384618</v>
      </c>
      <c r="I734" s="37">
        <f t="shared" si="88"/>
        <v>1.1398453741523524</v>
      </c>
      <c r="J734" s="210">
        <v>1.433256836417355</v>
      </c>
      <c r="K734" s="37">
        <f t="shared" si="93"/>
        <v>2.3552551982367637E-2</v>
      </c>
      <c r="L734" s="117">
        <f t="shared" si="94"/>
        <v>2.8710560866506151E-2</v>
      </c>
      <c r="M734" s="45">
        <f t="shared" si="89"/>
        <v>1.7517182625739657E-2</v>
      </c>
    </row>
    <row r="735" spans="1:13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625">
        <f t="shared" si="90"/>
        <v>420.25</v>
      </c>
      <c r="G735" s="665">
        <f t="shared" si="91"/>
        <v>1.7060835916410874E-3</v>
      </c>
      <c r="H735" s="46">
        <f t="shared" si="92"/>
        <v>4.0059866381887712</v>
      </c>
      <c r="I735" s="37">
        <f t="shared" si="88"/>
        <v>1.4730012868620113</v>
      </c>
      <c r="J735" s="210">
        <v>1.8521715421414318</v>
      </c>
      <c r="K735" s="37">
        <f t="shared" si="93"/>
        <v>3.0436531274876999E-2</v>
      </c>
      <c r="L735" s="117">
        <f t="shared" si="94"/>
        <v>3.7102131624075066E-2</v>
      </c>
      <c r="M735" s="45">
        <f t="shared" si="89"/>
        <v>1.7517182625739657E-2</v>
      </c>
    </row>
    <row r="736" spans="1:13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625">
        <f t="shared" si="90"/>
        <v>468.48</v>
      </c>
      <c r="G736" s="665">
        <f t="shared" si="91"/>
        <v>1.9018823105580408E-3</v>
      </c>
      <c r="H736" s="46">
        <f t="shared" si="92"/>
        <v>4.4657337781289135</v>
      </c>
      <c r="I736" s="37">
        <f t="shared" si="88"/>
        <v>1.6420503102180015</v>
      </c>
      <c r="J736" s="210">
        <v>2.0647360477392454</v>
      </c>
      <c r="K736" s="37">
        <f t="shared" si="93"/>
        <v>3.3929580420355446E-2</v>
      </c>
      <c r="L736" s="117">
        <f t="shared" si="94"/>
        <v>4.1360158532413288E-2</v>
      </c>
      <c r="M736" s="45">
        <f t="shared" si="89"/>
        <v>1.7517182625739657E-2</v>
      </c>
    </row>
    <row r="737" spans="1:256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625">
        <f t="shared" si="90"/>
        <v>1026.08</v>
      </c>
      <c r="G737" s="665">
        <f t="shared" si="91"/>
        <v>4.1655639541013367E-3</v>
      </c>
      <c r="H737" s="46">
        <f t="shared" si="92"/>
        <v>9.7809940980671843</v>
      </c>
      <c r="I737" s="37">
        <f t="shared" si="88"/>
        <v>3.5964715298593037</v>
      </c>
      <c r="J737" s="210">
        <v>4.5222514597512902</v>
      </c>
      <c r="K737" s="37">
        <f t="shared" si="93"/>
        <v>7.4313660941167842E-2</v>
      </c>
      <c r="L737" s="117">
        <f t="shared" si="94"/>
        <v>9.0588352687283602E-2</v>
      </c>
      <c r="M737" s="45">
        <f t="shared" si="89"/>
        <v>1.7517182625739654E-2</v>
      </c>
    </row>
    <row r="738" spans="1:256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625">
        <f t="shared" si="90"/>
        <v>1242.02</v>
      </c>
      <c r="G738" s="665">
        <f t="shared" si="91"/>
        <v>5.0422128316241835E-3</v>
      </c>
      <c r="H738" s="46">
        <f t="shared" si="92"/>
        <v>11.83941826142348</v>
      </c>
      <c r="I738" s="37">
        <f t="shared" si="88"/>
        <v>4.3533540947254137</v>
      </c>
      <c r="J738" s="210">
        <v>5.4739657317560981</v>
      </c>
      <c r="K738" s="37">
        <f t="shared" si="93"/>
        <v>8.9953076916175434E-2</v>
      </c>
      <c r="L738" s="117">
        <f t="shared" si="94"/>
        <v>0.10965280076081786</v>
      </c>
      <c r="M738" s="45">
        <f t="shared" si="89"/>
        <v>1.7517182625739657E-2</v>
      </c>
    </row>
    <row r="739" spans="1:256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625">
        <f t="shared" si="90"/>
        <v>827.02</v>
      </c>
      <c r="G739" s="665">
        <f t="shared" si="91"/>
        <v>3.3574425983557694E-3</v>
      </c>
      <c r="H739" s="46">
        <f t="shared" si="92"/>
        <v>7.8834766674952474</v>
      </c>
      <c r="I739" s="37">
        <f t="shared" si="88"/>
        <v>2.8987543706380028</v>
      </c>
      <c r="J739" s="210">
        <v>3.644932561051295</v>
      </c>
      <c r="K739" s="37">
        <f t="shared" si="93"/>
        <v>5.9896775954666928E-2</v>
      </c>
      <c r="L739" s="117">
        <f t="shared" si="94"/>
        <v>7.3014169888738989E-2</v>
      </c>
      <c r="M739" s="45">
        <f t="shared" si="89"/>
        <v>1.7517182625739657E-2</v>
      </c>
    </row>
    <row r="740" spans="1:256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625">
        <f t="shared" si="90"/>
        <v>487.41</v>
      </c>
      <c r="G740" s="665">
        <f t="shared" si="91"/>
        <v>1.9787321913189351E-3</v>
      </c>
      <c r="H740" s="46">
        <f t="shared" si="92"/>
        <v>4.6461819091483383</v>
      </c>
      <c r="I740" s="37">
        <f t="shared" si="88"/>
        <v>1.708401087993844</v>
      </c>
      <c r="J740" s="210">
        <v>2.1481664041764548</v>
      </c>
      <c r="K740" s="37">
        <f t="shared" si="93"/>
        <v>3.5300582293129802E-2</v>
      </c>
      <c r="L740" s="117">
        <f t="shared" si="94"/>
        <v>4.3031409815325231E-2</v>
      </c>
      <c r="M740" s="45">
        <f t="shared" si="89"/>
        <v>1.7517182625739657E-2</v>
      </c>
    </row>
    <row r="741" spans="1:256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625">
        <f t="shared" si="90"/>
        <v>685</v>
      </c>
      <c r="G741" s="665">
        <f t="shared" si="91"/>
        <v>2.7808858067201541E-3</v>
      </c>
      <c r="H741" s="46">
        <f t="shared" si="92"/>
        <v>6.5296867273273245</v>
      </c>
      <c r="I741" s="37">
        <f t="shared" si="88"/>
        <v>2.4009658096382576</v>
      </c>
      <c r="J741" s="210">
        <v>3.0190065588741954</v>
      </c>
      <c r="K741" s="37">
        <f t="shared" si="93"/>
        <v>4.961100279188755E-2</v>
      </c>
      <c r="L741" s="117">
        <f t="shared" si="94"/>
        <v>6.047581240331093E-2</v>
      </c>
      <c r="M741" s="45">
        <f t="shared" si="89"/>
        <v>1.7517182625739657E-2</v>
      </c>
    </row>
    <row r="742" spans="1:256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625">
        <f t="shared" si="90"/>
        <v>636.55999999999995</v>
      </c>
      <c r="G742" s="665">
        <f t="shared" si="91"/>
        <v>2.5842345534682937E-3</v>
      </c>
      <c r="H742" s="46">
        <f t="shared" si="92"/>
        <v>6.0679377856167616</v>
      </c>
      <c r="I742" s="37">
        <f t="shared" si="88"/>
        <v>2.2311807237712835</v>
      </c>
      <c r="J742" s="210">
        <v>2.8055165184189161</v>
      </c>
      <c r="K742" s="37">
        <f t="shared" si="93"/>
        <v>4.6102744433874361E-2</v>
      </c>
      <c r="L742" s="117">
        <f t="shared" si="94"/>
        <v>5.6199245464892848E-2</v>
      </c>
      <c r="M742" s="45">
        <f t="shared" si="89"/>
        <v>1.7517182625739657E-2</v>
      </c>
    </row>
    <row r="743" spans="1:256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625">
        <f t="shared" si="90"/>
        <v>505.1</v>
      </c>
      <c r="G743" s="665">
        <f t="shared" si="91"/>
        <v>2.0505480598165694E-3</v>
      </c>
      <c r="H743" s="46">
        <f t="shared" si="92"/>
        <v>4.8148098773328938</v>
      </c>
      <c r="I743" s="37">
        <f t="shared" si="88"/>
        <v>1.7704055918953052</v>
      </c>
      <c r="J743" s="210">
        <v>2.2261316976457755</v>
      </c>
      <c r="K743" s="37">
        <f t="shared" si="93"/>
        <v>3.6581777387127597E-2</v>
      </c>
      <c r="L743" s="117">
        <f t="shared" si="94"/>
        <v>4.4593186634908542E-2</v>
      </c>
      <c r="M743" s="45">
        <f t="shared" si="89"/>
        <v>1.7517182625739661E-2</v>
      </c>
    </row>
    <row r="744" spans="1:256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625">
        <f t="shared" si="90"/>
        <v>536.88</v>
      </c>
      <c r="G744" s="665">
        <f t="shared" si="91"/>
        <v>2.179564922499148E-3</v>
      </c>
      <c r="H744" s="46">
        <f t="shared" si="92"/>
        <v>5.117749211923349</v>
      </c>
      <c r="I744" s="37">
        <f t="shared" si="88"/>
        <v>1.8817963852242157</v>
      </c>
      <c r="J744" s="210">
        <v>2.3661959727421578</v>
      </c>
      <c r="K744" s="37">
        <f t="shared" si="93"/>
        <v>3.8883438217384797E-2</v>
      </c>
      <c r="L744" s="117">
        <f t="shared" si="94"/>
        <v>4.739891118699207E-2</v>
      </c>
      <c r="M744" s="45">
        <f t="shared" si="89"/>
        <v>1.7517182625739657E-2</v>
      </c>
    </row>
    <row r="745" spans="1:256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625">
        <f t="shared" si="90"/>
        <v>132.6</v>
      </c>
      <c r="G745" s="665">
        <f t="shared" si="91"/>
        <v>5.3831453718407654E-4</v>
      </c>
      <c r="H745" s="46">
        <f t="shared" si="92"/>
        <v>1.2639948321804428</v>
      </c>
      <c r="I745" s="37">
        <f t="shared" si="88"/>
        <v>0.46477089979274888</v>
      </c>
      <c r="J745" s="210">
        <v>0</v>
      </c>
      <c r="K745" s="37">
        <f>G745*17.84*1.08</f>
        <v>1.037181385083304E-2</v>
      </c>
      <c r="L745" s="117">
        <f t="shared" si="94"/>
        <v>1.2643241084165476E-2</v>
      </c>
      <c r="M745" s="45">
        <f t="shared" si="89"/>
        <v>1.3115667766395361E-2</v>
      </c>
    </row>
    <row r="746" spans="1:256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90"/>
        <v>380.2</v>
      </c>
      <c r="G746" s="665">
        <f t="shared" si="91"/>
        <v>1.5434931149124127E-3</v>
      </c>
      <c r="H746" s="46">
        <f t="shared" si="92"/>
        <v>3.6242144434012395</v>
      </c>
      <c r="I746" s="37">
        <f t="shared" si="88"/>
        <v>1.332623650838636</v>
      </c>
      <c r="J746" s="210">
        <v>0</v>
      </c>
      <c r="K746" s="37">
        <f>G746*17.84*1.08</f>
        <v>2.9738790543640439E-2</v>
      </c>
      <c r="L746" s="117">
        <f t="shared" si="94"/>
        <v>3.6251585672697699E-2</v>
      </c>
      <c r="M746" s="45">
        <f t="shared" si="89"/>
        <v>1.3115667766395361E-2</v>
      </c>
      <c r="N746" s="942"/>
      <c r="O746" s="943"/>
      <c r="P746" s="942"/>
      <c r="Q746" s="943"/>
      <c r="R746" s="942"/>
      <c r="S746" s="943"/>
      <c r="T746" s="942"/>
      <c r="U746" s="943"/>
      <c r="V746" s="942"/>
      <c r="W746" s="943"/>
      <c r="X746" s="942"/>
      <c r="Y746" s="943"/>
      <c r="Z746" s="942"/>
      <c r="AA746" s="943"/>
      <c r="AB746" s="942"/>
      <c r="AC746" s="943"/>
      <c r="AD746" s="942"/>
      <c r="AE746" s="943"/>
      <c r="AF746" s="942"/>
      <c r="AG746" s="943"/>
      <c r="AH746" s="942"/>
      <c r="AI746" s="943">
        <v>210</v>
      </c>
      <c r="AJ746" s="942" t="s">
        <v>894</v>
      </c>
      <c r="AK746" s="943">
        <v>210</v>
      </c>
      <c r="AL746" s="942" t="s">
        <v>894</v>
      </c>
      <c r="AM746" s="943">
        <v>210</v>
      </c>
      <c r="AN746" s="942" t="s">
        <v>894</v>
      </c>
      <c r="AO746" s="943">
        <v>210</v>
      </c>
      <c r="AP746" s="942" t="s">
        <v>894</v>
      </c>
      <c r="AQ746" s="943">
        <v>210</v>
      </c>
      <c r="AR746" s="942" t="s">
        <v>894</v>
      </c>
      <c r="AS746" s="943">
        <v>210</v>
      </c>
      <c r="AT746" s="942" t="s">
        <v>894</v>
      </c>
      <c r="AU746" s="943">
        <v>210</v>
      </c>
      <c r="AV746" s="942" t="s">
        <v>894</v>
      </c>
      <c r="AW746" s="943">
        <v>210</v>
      </c>
      <c r="AX746" s="942" t="s">
        <v>894</v>
      </c>
      <c r="AY746" s="943">
        <v>210</v>
      </c>
      <c r="AZ746" s="942" t="s">
        <v>894</v>
      </c>
      <c r="BA746" s="943">
        <v>210</v>
      </c>
      <c r="BB746" s="942" t="s">
        <v>894</v>
      </c>
      <c r="BC746" s="943">
        <v>210</v>
      </c>
      <c r="BD746" s="942" t="s">
        <v>894</v>
      </c>
      <c r="BE746" s="943">
        <v>210</v>
      </c>
      <c r="BF746" s="942" t="s">
        <v>894</v>
      </c>
      <c r="BG746" s="943">
        <v>210</v>
      </c>
      <c r="BH746" s="942" t="s">
        <v>894</v>
      </c>
      <c r="BI746" s="943">
        <v>210</v>
      </c>
      <c r="BJ746" s="942" t="s">
        <v>894</v>
      </c>
      <c r="BK746" s="943">
        <v>210</v>
      </c>
      <c r="BL746" s="942" t="s">
        <v>894</v>
      </c>
      <c r="BM746" s="943">
        <v>210</v>
      </c>
      <c r="BN746" s="942" t="s">
        <v>894</v>
      </c>
      <c r="BO746" s="943">
        <v>210</v>
      </c>
      <c r="BP746" s="942" t="s">
        <v>894</v>
      </c>
      <c r="BQ746" s="943">
        <v>210</v>
      </c>
      <c r="BR746" s="942" t="s">
        <v>894</v>
      </c>
      <c r="BS746" s="943">
        <v>210</v>
      </c>
      <c r="BT746" s="942" t="s">
        <v>894</v>
      </c>
      <c r="BU746" s="943">
        <v>210</v>
      </c>
      <c r="BV746" s="942" t="s">
        <v>894</v>
      </c>
      <c r="BW746" s="943">
        <v>210</v>
      </c>
      <c r="BX746" s="942" t="s">
        <v>894</v>
      </c>
      <c r="BY746" s="943">
        <v>210</v>
      </c>
      <c r="BZ746" s="942" t="s">
        <v>894</v>
      </c>
      <c r="CA746" s="943">
        <v>210</v>
      </c>
      <c r="CB746" s="942" t="s">
        <v>894</v>
      </c>
      <c r="CC746" s="943">
        <v>210</v>
      </c>
      <c r="CD746" s="942" t="s">
        <v>894</v>
      </c>
      <c r="CE746" s="943">
        <v>210</v>
      </c>
      <c r="CF746" s="942" t="s">
        <v>894</v>
      </c>
      <c r="CG746" s="943">
        <v>210</v>
      </c>
      <c r="CH746" s="942" t="s">
        <v>894</v>
      </c>
      <c r="CI746" s="943">
        <v>210</v>
      </c>
      <c r="CJ746" s="942" t="s">
        <v>894</v>
      </c>
      <c r="CK746" s="943">
        <v>210</v>
      </c>
      <c r="CL746" s="942" t="s">
        <v>894</v>
      </c>
      <c r="CM746" s="943">
        <v>210</v>
      </c>
      <c r="CN746" s="942" t="s">
        <v>894</v>
      </c>
      <c r="CO746" s="943">
        <v>210</v>
      </c>
      <c r="CP746" s="942" t="s">
        <v>894</v>
      </c>
      <c r="CQ746" s="943">
        <v>210</v>
      </c>
      <c r="CR746" s="942" t="s">
        <v>894</v>
      </c>
      <c r="CS746" s="943">
        <v>210</v>
      </c>
      <c r="CT746" s="942" t="s">
        <v>894</v>
      </c>
      <c r="CU746" s="943">
        <v>210</v>
      </c>
      <c r="CV746" s="942" t="s">
        <v>894</v>
      </c>
      <c r="CW746" s="943">
        <v>210</v>
      </c>
      <c r="CX746" s="942" t="s">
        <v>894</v>
      </c>
      <c r="CY746" s="943">
        <v>210</v>
      </c>
      <c r="CZ746" s="942" t="s">
        <v>894</v>
      </c>
      <c r="DA746" s="943">
        <v>210</v>
      </c>
      <c r="DB746" s="942" t="s">
        <v>894</v>
      </c>
      <c r="DC746" s="943">
        <v>210</v>
      </c>
      <c r="DD746" s="942" t="s">
        <v>894</v>
      </c>
      <c r="DE746" s="943">
        <v>210</v>
      </c>
      <c r="DF746" s="942" t="s">
        <v>894</v>
      </c>
      <c r="DG746" s="943">
        <v>210</v>
      </c>
      <c r="DH746" s="942" t="s">
        <v>894</v>
      </c>
      <c r="DI746" s="943">
        <v>210</v>
      </c>
      <c r="DJ746" s="942" t="s">
        <v>894</v>
      </c>
      <c r="DK746" s="943">
        <v>210</v>
      </c>
      <c r="DL746" s="942" t="s">
        <v>894</v>
      </c>
      <c r="DM746" s="943">
        <v>210</v>
      </c>
      <c r="DN746" s="942" t="s">
        <v>894</v>
      </c>
      <c r="DO746" s="943">
        <v>210</v>
      </c>
      <c r="DP746" s="942" t="s">
        <v>894</v>
      </c>
      <c r="DQ746" s="943">
        <v>210</v>
      </c>
      <c r="DR746" s="942" t="s">
        <v>894</v>
      </c>
      <c r="DS746" s="943">
        <v>210</v>
      </c>
      <c r="DT746" s="942" t="s">
        <v>894</v>
      </c>
      <c r="DU746" s="943">
        <v>210</v>
      </c>
      <c r="DV746" s="942" t="s">
        <v>894</v>
      </c>
      <c r="DW746" s="943">
        <v>210</v>
      </c>
      <c r="DX746" s="942" t="s">
        <v>894</v>
      </c>
      <c r="DY746" s="943">
        <v>210</v>
      </c>
      <c r="DZ746" s="942" t="s">
        <v>894</v>
      </c>
      <c r="EA746" s="943">
        <v>210</v>
      </c>
      <c r="EB746" s="942" t="s">
        <v>894</v>
      </c>
      <c r="EC746" s="943">
        <v>210</v>
      </c>
      <c r="ED746" s="942" t="s">
        <v>894</v>
      </c>
      <c r="EE746" s="943">
        <v>210</v>
      </c>
      <c r="EF746" s="942" t="s">
        <v>894</v>
      </c>
      <c r="EG746" s="943">
        <v>210</v>
      </c>
      <c r="EH746" s="942" t="s">
        <v>894</v>
      </c>
      <c r="EI746" s="943">
        <v>210</v>
      </c>
      <c r="EJ746" s="942" t="s">
        <v>894</v>
      </c>
      <c r="EK746" s="943">
        <v>210</v>
      </c>
      <c r="EL746" s="942" t="s">
        <v>894</v>
      </c>
      <c r="EM746" s="943">
        <v>210</v>
      </c>
      <c r="EN746" s="942" t="s">
        <v>894</v>
      </c>
      <c r="EO746" s="943">
        <v>210</v>
      </c>
      <c r="EP746" s="942" t="s">
        <v>894</v>
      </c>
      <c r="EQ746" s="943">
        <v>210</v>
      </c>
      <c r="ER746" s="942" t="s">
        <v>894</v>
      </c>
      <c r="ES746" s="943">
        <v>210</v>
      </c>
      <c r="ET746" s="942" t="s">
        <v>894</v>
      </c>
      <c r="EU746" s="943">
        <v>210</v>
      </c>
      <c r="EV746" s="942" t="s">
        <v>894</v>
      </c>
      <c r="EW746" s="943">
        <v>210</v>
      </c>
      <c r="EX746" s="942" t="s">
        <v>894</v>
      </c>
      <c r="EY746" s="943">
        <v>210</v>
      </c>
      <c r="EZ746" s="942" t="s">
        <v>894</v>
      </c>
      <c r="FA746" s="943">
        <v>210</v>
      </c>
      <c r="FB746" s="942" t="s">
        <v>894</v>
      </c>
      <c r="FC746" s="943">
        <v>210</v>
      </c>
      <c r="FD746" s="942" t="s">
        <v>894</v>
      </c>
      <c r="FE746" s="943">
        <v>210</v>
      </c>
      <c r="FF746" s="942" t="s">
        <v>894</v>
      </c>
      <c r="FG746" s="943">
        <v>210</v>
      </c>
      <c r="FH746" s="942" t="s">
        <v>894</v>
      </c>
      <c r="FI746" s="943">
        <v>210</v>
      </c>
      <c r="FJ746" s="942" t="s">
        <v>894</v>
      </c>
      <c r="FK746" s="943">
        <v>210</v>
      </c>
      <c r="FL746" s="942" t="s">
        <v>894</v>
      </c>
      <c r="FM746" s="943">
        <v>210</v>
      </c>
      <c r="FN746" s="942" t="s">
        <v>894</v>
      </c>
      <c r="FO746" s="943">
        <v>210</v>
      </c>
      <c r="FP746" s="942" t="s">
        <v>894</v>
      </c>
      <c r="FQ746" s="943">
        <v>210</v>
      </c>
      <c r="FR746" s="942" t="s">
        <v>894</v>
      </c>
      <c r="FS746" s="943">
        <v>210</v>
      </c>
      <c r="FT746" s="942" t="s">
        <v>894</v>
      </c>
      <c r="FU746" s="943">
        <v>210</v>
      </c>
      <c r="FV746" s="942" t="s">
        <v>894</v>
      </c>
      <c r="FW746" s="943">
        <v>210</v>
      </c>
      <c r="FX746" s="942" t="s">
        <v>894</v>
      </c>
      <c r="FY746" s="943">
        <v>210</v>
      </c>
      <c r="FZ746" s="942" t="s">
        <v>894</v>
      </c>
      <c r="GA746" s="943">
        <v>210</v>
      </c>
      <c r="GB746" s="942" t="s">
        <v>894</v>
      </c>
      <c r="GC746" s="943">
        <v>210</v>
      </c>
      <c r="GD746" s="942" t="s">
        <v>894</v>
      </c>
      <c r="GE746" s="943">
        <v>210</v>
      </c>
      <c r="GF746" s="942" t="s">
        <v>894</v>
      </c>
      <c r="GG746" s="943">
        <v>210</v>
      </c>
      <c r="GH746" s="942" t="s">
        <v>894</v>
      </c>
      <c r="GI746" s="943">
        <v>210</v>
      </c>
      <c r="GJ746" s="942" t="s">
        <v>894</v>
      </c>
      <c r="GK746" s="943">
        <v>210</v>
      </c>
      <c r="GL746" s="942" t="s">
        <v>894</v>
      </c>
      <c r="GM746" s="943">
        <v>210</v>
      </c>
      <c r="GN746" s="942" t="s">
        <v>894</v>
      </c>
      <c r="GO746" s="943">
        <v>210</v>
      </c>
      <c r="GP746" s="942" t="s">
        <v>894</v>
      </c>
      <c r="GQ746" s="943">
        <v>210</v>
      </c>
      <c r="GR746" s="942" t="s">
        <v>894</v>
      </c>
      <c r="GS746" s="943">
        <v>210</v>
      </c>
      <c r="GT746" s="942" t="s">
        <v>894</v>
      </c>
      <c r="GU746" s="943">
        <v>210</v>
      </c>
      <c r="GV746" s="942" t="s">
        <v>894</v>
      </c>
      <c r="GW746" s="943">
        <v>210</v>
      </c>
      <c r="GX746" s="942" t="s">
        <v>894</v>
      </c>
      <c r="GY746" s="943">
        <v>210</v>
      </c>
      <c r="GZ746" s="942" t="s">
        <v>894</v>
      </c>
      <c r="HA746" s="943">
        <v>210</v>
      </c>
      <c r="HB746" s="942" t="s">
        <v>894</v>
      </c>
      <c r="HC746" s="943">
        <v>210</v>
      </c>
      <c r="HD746" s="942" t="s">
        <v>894</v>
      </c>
      <c r="HE746" s="943">
        <v>210</v>
      </c>
      <c r="HF746" s="942" t="s">
        <v>894</v>
      </c>
      <c r="HG746" s="943">
        <v>210</v>
      </c>
      <c r="HH746" s="942" t="s">
        <v>894</v>
      </c>
      <c r="HI746" s="943">
        <v>210</v>
      </c>
      <c r="HJ746" s="942" t="s">
        <v>894</v>
      </c>
      <c r="HK746" s="943">
        <v>210</v>
      </c>
      <c r="HL746" s="942" t="s">
        <v>894</v>
      </c>
      <c r="HM746" s="943">
        <v>210</v>
      </c>
      <c r="HN746" s="942" t="s">
        <v>894</v>
      </c>
      <c r="HO746" s="943">
        <v>210</v>
      </c>
      <c r="HP746" s="942" t="s">
        <v>894</v>
      </c>
      <c r="HQ746" s="943">
        <v>210</v>
      </c>
      <c r="HR746" s="942" t="s">
        <v>894</v>
      </c>
      <c r="HS746" s="943">
        <v>210</v>
      </c>
      <c r="HT746" s="942" t="s">
        <v>894</v>
      </c>
      <c r="HU746" s="943">
        <v>210</v>
      </c>
      <c r="HV746" s="942" t="s">
        <v>894</v>
      </c>
      <c r="HW746" s="943">
        <v>210</v>
      </c>
      <c r="HX746" s="942" t="s">
        <v>894</v>
      </c>
      <c r="HY746" s="943">
        <v>210</v>
      </c>
      <c r="HZ746" s="942" t="s">
        <v>894</v>
      </c>
      <c r="IA746" s="943">
        <v>210</v>
      </c>
      <c r="IB746" s="942" t="s">
        <v>894</v>
      </c>
      <c r="IC746" s="943">
        <v>210</v>
      </c>
      <c r="ID746" s="942" t="s">
        <v>894</v>
      </c>
      <c r="IE746" s="943">
        <v>210</v>
      </c>
      <c r="IF746" s="942" t="s">
        <v>894</v>
      </c>
      <c r="IG746" s="943">
        <v>210</v>
      </c>
      <c r="IH746" s="942" t="s">
        <v>894</v>
      </c>
      <c r="II746" s="943">
        <v>210</v>
      </c>
      <c r="IJ746" s="942" t="s">
        <v>894</v>
      </c>
      <c r="IK746" s="943">
        <v>210</v>
      </c>
      <c r="IL746" s="942" t="s">
        <v>894</v>
      </c>
      <c r="IM746" s="943">
        <v>210</v>
      </c>
      <c r="IN746" s="942" t="s">
        <v>894</v>
      </c>
      <c r="IO746" s="943">
        <v>210</v>
      </c>
      <c r="IP746" s="942" t="s">
        <v>894</v>
      </c>
      <c r="IQ746" s="943">
        <v>210</v>
      </c>
      <c r="IR746" s="942" t="s">
        <v>894</v>
      </c>
      <c r="IS746" s="943">
        <v>210</v>
      </c>
      <c r="IT746" s="942" t="s">
        <v>894</v>
      </c>
      <c r="IU746" s="943">
        <v>210</v>
      </c>
      <c r="IV746" s="942" t="s">
        <v>894</v>
      </c>
    </row>
    <row r="747" spans="1:256" s="69" customFormat="1" ht="16.5" thickBot="1">
      <c r="A747" s="382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657">
        <f>SUM(F537:F745)</f>
        <v>246324.39000000004</v>
      </c>
      <c r="G747" s="665">
        <f>1/246324.39*F747</f>
        <v>1</v>
      </c>
      <c r="H747" s="46">
        <f t="shared" si="92"/>
        <v>2348.06</v>
      </c>
      <c r="I747" s="37">
        <f t="shared" si="88"/>
        <v>863.38166200000001</v>
      </c>
      <c r="J747" s="210">
        <v>0</v>
      </c>
      <c r="K747" s="37">
        <f>G747*17.84*1.08</f>
        <v>19.267200000000003</v>
      </c>
      <c r="L747" s="117">
        <f t="shared" si="94"/>
        <v>23.486716800000004</v>
      </c>
      <c r="M747" s="45">
        <f t="shared" si="89"/>
        <v>1.311566776639536E-2</v>
      </c>
    </row>
    <row r="748" spans="1:256" s="209" customFormat="1" ht="16.5" thickBot="1">
      <c r="A748" s="668" t="s">
        <v>335</v>
      </c>
      <c r="B748" s="120"/>
      <c r="C748" s="120"/>
      <c r="D748" s="120"/>
      <c r="E748" s="120"/>
      <c r="F748" s="120"/>
      <c r="G748" s="120"/>
      <c r="H748" s="46">
        <f>G748*2418.5</f>
        <v>0</v>
      </c>
      <c r="I748" s="669"/>
      <c r="J748" s="210">
        <v>0</v>
      </c>
      <c r="K748" s="669"/>
      <c r="L748" s="669"/>
      <c r="M748" s="45" t="e">
        <f t="shared" si="89"/>
        <v>#DIV/0!</v>
      </c>
    </row>
    <row r="749" spans="1:256" s="6" customFormat="1" ht="15.75">
      <c r="A749" s="21">
        <v>1</v>
      </c>
      <c r="B749" s="21" t="s">
        <v>336</v>
      </c>
      <c r="C749" s="8">
        <v>4275.08</v>
      </c>
      <c r="D749" s="142"/>
      <c r="E749" s="142"/>
      <c r="F749" s="658">
        <f t="shared" ref="F749:F811" si="95">C749+D749+E749</f>
        <v>4275.08</v>
      </c>
      <c r="G749" s="663">
        <f t="shared" ref="G749:G812" si="96">1/271319.02*F749</f>
        <v>1.5756654288372411E-2</v>
      </c>
      <c r="H749" s="46">
        <f t="shared" ref="H749:H812" si="97">G749*2348.06</f>
        <v>36.997569668355723</v>
      </c>
      <c r="I749" s="39">
        <f t="shared" ref="I749:I811" si="98">H749*0.3677</f>
        <v>13.604006367054401</v>
      </c>
      <c r="J749" s="210">
        <v>14.277660398372646</v>
      </c>
      <c r="K749" s="39">
        <f t="shared" ref="K749:K812" si="99">G749*17.84</f>
        <v>0.28109871250456381</v>
      </c>
      <c r="L749" s="39"/>
      <c r="M749" s="45">
        <f t="shared" si="89"/>
        <v>1.5241898431441596E-2</v>
      </c>
    </row>
    <row r="750" spans="1:256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658">
        <f t="shared" si="95"/>
        <v>4574.41</v>
      </c>
      <c r="G750" s="663">
        <f t="shared" si="96"/>
        <v>1.6859894304498076E-2</v>
      </c>
      <c r="H750" s="46">
        <f t="shared" si="97"/>
        <v>39.588043420619755</v>
      </c>
      <c r="I750" s="37">
        <f t="shared" si="98"/>
        <v>14.556523565761886</v>
      </c>
      <c r="J750" s="210">
        <v>15.277345102996859</v>
      </c>
      <c r="K750" s="37">
        <f t="shared" si="99"/>
        <v>0.30078051439224568</v>
      </c>
      <c r="L750" s="37"/>
      <c r="M750" s="45">
        <f t="shared" si="89"/>
        <v>1.5241898431441596E-2</v>
      </c>
    </row>
    <row r="751" spans="1:256" s="6" customFormat="1" ht="15.75">
      <c r="A751" s="8">
        <v>3</v>
      </c>
      <c r="B751" s="8" t="s">
        <v>338</v>
      </c>
      <c r="C751" s="8">
        <v>8527.85</v>
      </c>
      <c r="D751" s="55"/>
      <c r="E751" s="55"/>
      <c r="F751" s="658">
        <f t="shared" si="95"/>
        <v>8527.85</v>
      </c>
      <c r="G751" s="663">
        <f t="shared" si="96"/>
        <v>3.1431080651846674E-2</v>
      </c>
      <c r="H751" s="46">
        <f t="shared" si="97"/>
        <v>73.802063235375101</v>
      </c>
      <c r="I751" s="37">
        <f t="shared" si="98"/>
        <v>27.137018651647427</v>
      </c>
      <c r="J751" s="210">
        <v>28.480811172717743</v>
      </c>
      <c r="K751" s="37">
        <f t="shared" si="99"/>
        <v>0.56073047882894467</v>
      </c>
      <c r="L751" s="37"/>
      <c r="M751" s="45">
        <f t="shared" si="89"/>
        <v>1.5241898431441595E-2</v>
      </c>
    </row>
    <row r="752" spans="1:256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658">
        <f t="shared" si="95"/>
        <v>5131.3999999999996</v>
      </c>
      <c r="G752" s="663">
        <f t="shared" si="96"/>
        <v>1.8912791296386074E-2</v>
      </c>
      <c r="H752" s="46">
        <f t="shared" si="97"/>
        <v>44.408368731392287</v>
      </c>
      <c r="I752" s="37">
        <f t="shared" si="98"/>
        <v>16.328957182532946</v>
      </c>
      <c r="J752" s="210">
        <v>17.137547500446633</v>
      </c>
      <c r="K752" s="37">
        <f t="shared" si="99"/>
        <v>0.33740419672752753</v>
      </c>
      <c r="L752" s="37"/>
      <c r="M752" s="45">
        <f t="shared" si="89"/>
        <v>1.5241898431441595E-2</v>
      </c>
    </row>
    <row r="753" spans="1:13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658">
        <f t="shared" si="95"/>
        <v>4290.1499999999996</v>
      </c>
      <c r="G753" s="663">
        <f t="shared" si="96"/>
        <v>1.5812197758933375E-2</v>
      </c>
      <c r="H753" s="46">
        <f t="shared" si="97"/>
        <v>37.127989069841099</v>
      </c>
      <c r="I753" s="37">
        <f t="shared" si="98"/>
        <v>13.651961580980574</v>
      </c>
      <c r="J753" s="210">
        <v>14.327990296808107</v>
      </c>
      <c r="K753" s="37">
        <f t="shared" si="99"/>
        <v>0.28208960801937139</v>
      </c>
      <c r="L753" s="37"/>
      <c r="M753" s="45">
        <f t="shared" si="89"/>
        <v>1.5241898431441595E-2</v>
      </c>
    </row>
    <row r="754" spans="1:13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658">
        <f t="shared" si="95"/>
        <v>5185.3900000000003</v>
      </c>
      <c r="G754" s="663">
        <f t="shared" si="96"/>
        <v>1.9111782137499981E-2</v>
      </c>
      <c r="H754" s="46">
        <f t="shared" si="97"/>
        <v>44.875611165778203</v>
      </c>
      <c r="I754" s="37">
        <f t="shared" si="98"/>
        <v>16.500762225656647</v>
      </c>
      <c r="J754" s="210">
        <v>17.317860122645083</v>
      </c>
      <c r="K754" s="37">
        <f t="shared" si="99"/>
        <v>0.34095419333299964</v>
      </c>
      <c r="L754" s="37"/>
      <c r="M754" s="45">
        <f t="shared" si="89"/>
        <v>1.5241898431441596E-2</v>
      </c>
    </row>
    <row r="755" spans="1:13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658">
        <f t="shared" si="95"/>
        <v>4246.38</v>
      </c>
      <c r="G755" s="663">
        <f t="shared" si="96"/>
        <v>1.5650874752533014E-2</v>
      </c>
      <c r="H755" s="46">
        <f t="shared" si="97"/>
        <v>36.74919297143267</v>
      </c>
      <c r="I755" s="37">
        <f t="shared" si="98"/>
        <v>13.512678255595794</v>
      </c>
      <c r="J755" s="210">
        <v>14.181809828691309</v>
      </c>
      <c r="K755" s="37">
        <f t="shared" si="99"/>
        <v>0.27921160558518898</v>
      </c>
      <c r="L755" s="37"/>
      <c r="M755" s="45">
        <f t="shared" si="89"/>
        <v>1.5241898431441596E-2</v>
      </c>
    </row>
    <row r="756" spans="1:13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658">
        <f t="shared" si="95"/>
        <v>4446.42</v>
      </c>
      <c r="G756" s="663">
        <f t="shared" si="96"/>
        <v>1.6388161803031723E-2</v>
      </c>
      <c r="H756" s="46">
        <f t="shared" si="97"/>
        <v>38.480387203226663</v>
      </c>
      <c r="I756" s="37">
        <f t="shared" si="98"/>
        <v>14.149238374626444</v>
      </c>
      <c r="J756" s="210">
        <v>14.849891639111339</v>
      </c>
      <c r="K756" s="37">
        <f t="shared" si="99"/>
        <v>0.29236480656608593</v>
      </c>
      <c r="L756" s="37"/>
      <c r="M756" s="45">
        <f t="shared" si="89"/>
        <v>1.5241898431441595E-2</v>
      </c>
    </row>
    <row r="757" spans="1:13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658">
        <f t="shared" si="95"/>
        <v>2920.24</v>
      </c>
      <c r="G757" s="663">
        <f t="shared" si="96"/>
        <v>1.076312305713031E-2</v>
      </c>
      <c r="H757" s="46">
        <f t="shared" si="97"/>
        <v>25.272458725525397</v>
      </c>
      <c r="I757" s="37">
        <f t="shared" si="98"/>
        <v>9.2926830733756898</v>
      </c>
      <c r="J757" s="210">
        <v>9.7528455611927107</v>
      </c>
      <c r="K757" s="37">
        <f t="shared" si="99"/>
        <v>0.19201411533920473</v>
      </c>
      <c r="L757" s="37"/>
      <c r="M757" s="45">
        <f t="shared" si="89"/>
        <v>1.5241898431441595E-2</v>
      </c>
    </row>
    <row r="758" spans="1:13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658">
        <f t="shared" si="95"/>
        <v>4278.99</v>
      </c>
      <c r="G758" s="663">
        <f t="shared" si="96"/>
        <v>1.5771065367993737E-2</v>
      </c>
      <c r="H758" s="46">
        <f t="shared" si="97"/>
        <v>37.031407747971372</v>
      </c>
      <c r="I758" s="37">
        <f t="shared" si="98"/>
        <v>13.616448628929074</v>
      </c>
      <c r="J758" s="210">
        <v>14.290718786088814</v>
      </c>
      <c r="K758" s="37">
        <f t="shared" si="99"/>
        <v>0.28135580616500827</v>
      </c>
      <c r="L758" s="37"/>
      <c r="M758" s="45">
        <f t="shared" si="89"/>
        <v>1.5241898431441595E-2</v>
      </c>
    </row>
    <row r="759" spans="1:13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658">
        <f t="shared" si="95"/>
        <v>8595.7800000000007</v>
      </c>
      <c r="G759" s="663">
        <f t="shared" si="96"/>
        <v>3.1681450124653995E-2</v>
      </c>
      <c r="H759" s="46">
        <f t="shared" si="97"/>
        <v>74.389945779695054</v>
      </c>
      <c r="I759" s="37">
        <f t="shared" si="98"/>
        <v>27.353183063193875</v>
      </c>
      <c r="J759" s="210">
        <v>28.707679785904272</v>
      </c>
      <c r="K759" s="37">
        <f t="shared" si="99"/>
        <v>0.56519707022382726</v>
      </c>
      <c r="L759" s="37"/>
      <c r="M759" s="45">
        <f t="shared" si="89"/>
        <v>1.5241898431441593E-2</v>
      </c>
    </row>
    <row r="760" spans="1:13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658">
        <f t="shared" si="95"/>
        <v>4516.6000000000004</v>
      </c>
      <c r="G760" s="663">
        <f t="shared" si="96"/>
        <v>1.6646824096593009E-2</v>
      </c>
      <c r="H760" s="46">
        <f t="shared" si="97"/>
        <v>39.087741788246177</v>
      </c>
      <c r="I760" s="37">
        <f t="shared" si="98"/>
        <v>14.37256265553812</v>
      </c>
      <c r="J760" s="210">
        <v>15.084274669781596</v>
      </c>
      <c r="K760" s="37">
        <f t="shared" si="99"/>
        <v>0.29697934188321928</v>
      </c>
      <c r="L760" s="37"/>
      <c r="M760" s="45">
        <f t="shared" si="89"/>
        <v>1.5241898431441593E-2</v>
      </c>
    </row>
    <row r="761" spans="1:13" s="6" customFormat="1" ht="15.75">
      <c r="A761" s="8">
        <v>13</v>
      </c>
      <c r="B761" s="8" t="s">
        <v>348</v>
      </c>
      <c r="C761" s="8">
        <v>5874.29</v>
      </c>
      <c r="D761" s="55"/>
      <c r="E761" s="55"/>
      <c r="F761" s="658">
        <f t="shared" si="95"/>
        <v>5874.29</v>
      </c>
      <c r="G761" s="663">
        <f t="shared" si="96"/>
        <v>2.1650859567456788E-2</v>
      </c>
      <c r="H761" s="46">
        <f t="shared" si="97"/>
        <v>50.837517315962586</v>
      </c>
      <c r="I761" s="37">
        <f t="shared" si="98"/>
        <v>18.692955117079443</v>
      </c>
      <c r="J761" s="210">
        <v>19.618607769107584</v>
      </c>
      <c r="K761" s="37">
        <f t="shared" si="99"/>
        <v>0.38625133468342909</v>
      </c>
      <c r="L761" s="37"/>
      <c r="M761" s="45">
        <f t="shared" si="89"/>
        <v>1.5241898431441595E-2</v>
      </c>
    </row>
    <row r="762" spans="1:13" s="6" customFormat="1" ht="15.75">
      <c r="A762" s="8">
        <v>14</v>
      </c>
      <c r="B762" s="8" t="s">
        <v>349</v>
      </c>
      <c r="C762" s="8">
        <v>5810.95</v>
      </c>
      <c r="D762" s="55"/>
      <c r="E762" s="55"/>
      <c r="F762" s="658">
        <f t="shared" si="95"/>
        <v>5810.95</v>
      </c>
      <c r="G762" s="663">
        <f t="shared" si="96"/>
        <v>2.1417407448987541E-2</v>
      </c>
      <c r="H762" s="46">
        <f t="shared" si="97"/>
        <v>50.289357734669686</v>
      </c>
      <c r="I762" s="37">
        <f t="shared" si="98"/>
        <v>18.491396839038046</v>
      </c>
      <c r="J762" s="210">
        <v>19.407068567587864</v>
      </c>
      <c r="K762" s="37">
        <f t="shared" si="99"/>
        <v>0.3820865488899377</v>
      </c>
      <c r="L762" s="37"/>
      <c r="M762" s="45">
        <f t="shared" si="89"/>
        <v>1.5241898431441596E-2</v>
      </c>
    </row>
    <row r="763" spans="1:13" s="6" customFormat="1" ht="15.75">
      <c r="A763" s="8">
        <v>15</v>
      </c>
      <c r="B763" s="8" t="s">
        <v>350</v>
      </c>
      <c r="C763" s="8">
        <v>4315.22</v>
      </c>
      <c r="D763" s="55"/>
      <c r="E763" s="55">
        <v>220.4</v>
      </c>
      <c r="F763" s="658">
        <f t="shared" si="95"/>
        <v>4535.62</v>
      </c>
      <c r="G763" s="663">
        <f t="shared" si="96"/>
        <v>1.6716926074699812E-2</v>
      </c>
      <c r="H763" s="46">
        <f t="shared" si="97"/>
        <v>39.252345438959644</v>
      </c>
      <c r="I763" s="37">
        <f t="shared" si="98"/>
        <v>14.433087417905462</v>
      </c>
      <c r="J763" s="210">
        <v>15.147796545577378</v>
      </c>
      <c r="K763" s="37">
        <f t="shared" si="99"/>
        <v>0.29822996117264466</v>
      </c>
      <c r="L763" s="37"/>
      <c r="M763" s="45">
        <f t="shared" si="89"/>
        <v>1.5241898431441598E-2</v>
      </c>
    </row>
    <row r="764" spans="1:13" s="6" customFormat="1" ht="15.75">
      <c r="A764" s="8">
        <v>16</v>
      </c>
      <c r="B764" s="8" t="s">
        <v>351</v>
      </c>
      <c r="C764" s="8">
        <v>6019.4</v>
      </c>
      <c r="D764" s="55"/>
      <c r="E764" s="55">
        <v>951.1</v>
      </c>
      <c r="F764" s="658">
        <f t="shared" si="95"/>
        <v>6970.5</v>
      </c>
      <c r="G764" s="663">
        <f t="shared" si="96"/>
        <v>2.5691158695767071E-2</v>
      </c>
      <c r="H764" s="46">
        <f t="shared" si="97"/>
        <v>60.324382087182826</v>
      </c>
      <c r="I764" s="37">
        <f t="shared" si="98"/>
        <v>22.181275293457126</v>
      </c>
      <c r="J764" s="210">
        <v>23.2796653645912</v>
      </c>
      <c r="K764" s="37">
        <f t="shared" si="99"/>
        <v>0.45833027113248453</v>
      </c>
      <c r="L764" s="37"/>
      <c r="M764" s="45">
        <f t="shared" si="89"/>
        <v>1.5241898431441595E-2</v>
      </c>
    </row>
    <row r="765" spans="1:13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658">
        <f t="shared" si="95"/>
        <v>7328.65</v>
      </c>
      <c r="G765" s="663">
        <f t="shared" si="96"/>
        <v>2.7011191474891807E-2</v>
      </c>
      <c r="H765" s="46">
        <f t="shared" si="97"/>
        <v>63.423898254534457</v>
      </c>
      <c r="I765" s="37">
        <f t="shared" si="98"/>
        <v>23.320967388192322</v>
      </c>
      <c r="J765" s="210">
        <v>24.475793640945597</v>
      </c>
      <c r="K765" s="37">
        <f t="shared" si="99"/>
        <v>0.48187965591206983</v>
      </c>
      <c r="L765" s="37"/>
      <c r="M765" s="45">
        <f t="shared" si="89"/>
        <v>1.5241898431441598E-2</v>
      </c>
    </row>
    <row r="766" spans="1:13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658">
        <f t="shared" si="95"/>
        <v>6535.5999999999995</v>
      </c>
      <c r="G766" s="663">
        <f t="shared" si="96"/>
        <v>2.4088248586479486E-2</v>
      </c>
      <c r="H766" s="46">
        <f t="shared" si="97"/>
        <v>56.56065297596902</v>
      </c>
      <c r="I766" s="37">
        <f t="shared" si="98"/>
        <v>20.797352099263811</v>
      </c>
      <c r="J766" s="210">
        <v>21.827211958514056</v>
      </c>
      <c r="K766" s="37">
        <f t="shared" si="99"/>
        <v>0.42973435478279404</v>
      </c>
      <c r="L766" s="37"/>
      <c r="M766" s="45">
        <f t="shared" si="89"/>
        <v>1.5241898431441595E-2</v>
      </c>
    </row>
    <row r="767" spans="1:13" s="6" customFormat="1" ht="15.75">
      <c r="A767" s="8">
        <v>19</v>
      </c>
      <c r="B767" s="8" t="s">
        <v>354</v>
      </c>
      <c r="C767" s="8">
        <v>11062.33</v>
      </c>
      <c r="D767" s="55"/>
      <c r="E767" s="55"/>
      <c r="F767" s="658">
        <f t="shared" si="95"/>
        <v>11062.33</v>
      </c>
      <c r="G767" s="663">
        <f t="shared" si="96"/>
        <v>4.0772408804955876E-2</v>
      </c>
      <c r="H767" s="46">
        <f t="shared" si="97"/>
        <v>95.736062218564697</v>
      </c>
      <c r="I767" s="37">
        <f t="shared" si="98"/>
        <v>35.202150077766241</v>
      </c>
      <c r="J767" s="210">
        <v>36.94531820567795</v>
      </c>
      <c r="K767" s="37">
        <f t="shared" si="99"/>
        <v>0.72737977308041279</v>
      </c>
      <c r="L767" s="37"/>
      <c r="M767" s="45">
        <f t="shared" si="89"/>
        <v>1.5241898431441593E-2</v>
      </c>
    </row>
    <row r="768" spans="1:13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658">
        <f t="shared" si="95"/>
        <v>8492.94</v>
      </c>
      <c r="G768" s="663">
        <f t="shared" si="96"/>
        <v>3.1302412930726345E-2</v>
      </c>
      <c r="H768" s="46">
        <f t="shared" si="97"/>
        <v>73.4999437061213</v>
      </c>
      <c r="I768" s="37">
        <f t="shared" si="98"/>
        <v>27.025929300740803</v>
      </c>
      <c r="J768" s="210">
        <v>28.364220810781319</v>
      </c>
      <c r="K768" s="37">
        <f t="shared" si="99"/>
        <v>0.558435046684158</v>
      </c>
      <c r="L768" s="37"/>
      <c r="M768" s="45">
        <f t="shared" si="89"/>
        <v>1.5241898431441595E-2</v>
      </c>
    </row>
    <row r="769" spans="1:13" s="6" customFormat="1" ht="15.75">
      <c r="A769" s="8">
        <v>21</v>
      </c>
      <c r="B769" s="8" t="s">
        <v>365</v>
      </c>
      <c r="C769" s="8">
        <v>3876.37</v>
      </c>
      <c r="D769" s="55"/>
      <c r="E769" s="55"/>
      <c r="F769" s="658">
        <f t="shared" si="95"/>
        <v>3876.37</v>
      </c>
      <c r="G769" s="663">
        <f t="shared" si="96"/>
        <v>1.4287129593789628E-2</v>
      </c>
      <c r="H769" s="46">
        <f t="shared" si="97"/>
        <v>33.547037513993672</v>
      </c>
      <c r="I769" s="37">
        <f t="shared" si="98"/>
        <v>12.335245693895475</v>
      </c>
      <c r="J769" s="210">
        <v>12.946072222844901</v>
      </c>
      <c r="K769" s="37">
        <f t="shared" si="99"/>
        <v>0.25488239195320694</v>
      </c>
      <c r="L769" s="37"/>
      <c r="M769" s="45">
        <f t="shared" si="89"/>
        <v>1.5241898431441595E-2</v>
      </c>
    </row>
    <row r="770" spans="1:13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658">
        <f t="shared" si="95"/>
        <v>5695.76</v>
      </c>
      <c r="G770" s="663">
        <f t="shared" si="96"/>
        <v>2.0992851883365936E-2</v>
      </c>
      <c r="H770" s="46">
        <f t="shared" si="97"/>
        <v>49.292475793256216</v>
      </c>
      <c r="I770" s="37">
        <f t="shared" si="98"/>
        <v>18.124843349180313</v>
      </c>
      <c r="J770" s="210">
        <v>19.022363789832003</v>
      </c>
      <c r="K770" s="37">
        <f t="shared" si="99"/>
        <v>0.37451247759924827</v>
      </c>
      <c r="L770" s="37"/>
      <c r="M770" s="45">
        <f t="shared" si="89"/>
        <v>1.5241898431441595E-2</v>
      </c>
    </row>
    <row r="771" spans="1:13" s="6" customFormat="1" ht="15.75">
      <c r="A771" s="8">
        <v>23</v>
      </c>
      <c r="B771" s="8" t="s">
        <v>367</v>
      </c>
      <c r="C771" s="8">
        <v>5815.2</v>
      </c>
      <c r="D771" s="55"/>
      <c r="E771" s="55"/>
      <c r="F771" s="658">
        <f t="shared" si="95"/>
        <v>5815.2</v>
      </c>
      <c r="G771" s="663">
        <f t="shared" si="96"/>
        <v>2.1433071665967241E-2</v>
      </c>
      <c r="H771" s="46">
        <f t="shared" si="97"/>
        <v>50.32613825599104</v>
      </c>
      <c r="I771" s="37">
        <f t="shared" si="98"/>
        <v>18.504921036727907</v>
      </c>
      <c r="J771" s="210">
        <v>19.421262467279352</v>
      </c>
      <c r="K771" s="37">
        <f t="shared" si="99"/>
        <v>0.38236599852085557</v>
      </c>
      <c r="L771" s="37"/>
      <c r="M771" s="45">
        <f t="shared" si="89"/>
        <v>1.5241898431441596E-2</v>
      </c>
    </row>
    <row r="772" spans="1:13" s="6" customFormat="1" ht="15.75">
      <c r="A772" s="8">
        <v>24</v>
      </c>
      <c r="B772" s="8" t="s">
        <v>368</v>
      </c>
      <c r="C772" s="8">
        <v>5690.31</v>
      </c>
      <c r="D772" s="55"/>
      <c r="E772" s="55"/>
      <c r="F772" s="658">
        <f t="shared" si="95"/>
        <v>5690.31</v>
      </c>
      <c r="G772" s="663">
        <f t="shared" si="96"/>
        <v>2.0972764828650792E-2</v>
      </c>
      <c r="H772" s="46">
        <f t="shared" si="97"/>
        <v>49.245310183561777</v>
      </c>
      <c r="I772" s="37">
        <f t="shared" si="98"/>
        <v>18.107500554495665</v>
      </c>
      <c r="J772" s="210">
        <v>19.004162200815859</v>
      </c>
      <c r="K772" s="37">
        <f t="shared" si="99"/>
        <v>0.37415412454313013</v>
      </c>
      <c r="L772" s="37"/>
      <c r="M772" s="45">
        <f t="shared" si="89"/>
        <v>1.5241898431441596E-2</v>
      </c>
    </row>
    <row r="773" spans="1:13" s="6" customFormat="1" ht="15.75">
      <c r="A773" s="8">
        <v>25</v>
      </c>
      <c r="B773" s="8" t="s">
        <v>369</v>
      </c>
      <c r="C773" s="8">
        <v>3955.02</v>
      </c>
      <c r="D773" s="55"/>
      <c r="E773" s="55"/>
      <c r="F773" s="658">
        <f t="shared" si="95"/>
        <v>3955.02</v>
      </c>
      <c r="G773" s="663">
        <f t="shared" si="96"/>
        <v>1.4577009750366928E-2</v>
      </c>
      <c r="H773" s="46">
        <f t="shared" si="97"/>
        <v>34.227693514446571</v>
      </c>
      <c r="I773" s="37">
        <f t="shared" si="98"/>
        <v>12.585522905262005</v>
      </c>
      <c r="J773" s="210">
        <v>13.208742860665012</v>
      </c>
      <c r="K773" s="37">
        <f t="shared" si="99"/>
        <v>0.26005385394654601</v>
      </c>
      <c r="L773" s="37"/>
      <c r="M773" s="45">
        <f t="shared" si="89"/>
        <v>1.5241898431441595E-2</v>
      </c>
    </row>
    <row r="774" spans="1:13" s="6" customFormat="1" ht="15.75">
      <c r="A774" s="8">
        <v>26</v>
      </c>
      <c r="B774" s="8" t="s">
        <v>370</v>
      </c>
      <c r="C774" s="8">
        <v>3905.27</v>
      </c>
      <c r="D774" s="55"/>
      <c r="E774" s="55"/>
      <c r="F774" s="658">
        <f t="shared" si="95"/>
        <v>3905.27</v>
      </c>
      <c r="G774" s="663">
        <f t="shared" si="96"/>
        <v>1.4393646269251598E-2</v>
      </c>
      <c r="H774" s="46">
        <f t="shared" si="97"/>
        <v>33.797145058978906</v>
      </c>
      <c r="I774" s="37">
        <f t="shared" si="98"/>
        <v>12.427210238186545</v>
      </c>
      <c r="J774" s="210">
        <v>13.042590740747015</v>
      </c>
      <c r="K774" s="37">
        <f t="shared" si="99"/>
        <v>0.25678264944344853</v>
      </c>
      <c r="L774" s="37"/>
      <c r="M774" s="45">
        <f t="shared" si="89"/>
        <v>1.5241898431441595E-2</v>
      </c>
    </row>
    <row r="775" spans="1:13" s="6" customFormat="1" ht="15.75">
      <c r="A775" s="8">
        <v>27</v>
      </c>
      <c r="B775" s="8" t="s">
        <v>371</v>
      </c>
      <c r="C775" s="8">
        <v>4170.17</v>
      </c>
      <c r="D775" s="55"/>
      <c r="E775" s="55">
        <v>689.1</v>
      </c>
      <c r="F775" s="658">
        <f t="shared" si="95"/>
        <v>4859.2700000000004</v>
      </c>
      <c r="G775" s="663">
        <f t="shared" si="96"/>
        <v>1.7909802268930502E-2</v>
      </c>
      <c r="H775" s="46">
        <f t="shared" si="97"/>
        <v>42.053290315584952</v>
      </c>
      <c r="I775" s="37">
        <f t="shared" si="98"/>
        <v>15.462994849040587</v>
      </c>
      <c r="J775" s="210">
        <v>16.228703753847942</v>
      </c>
      <c r="K775" s="37">
        <f t="shared" si="99"/>
        <v>0.31951087247772014</v>
      </c>
      <c r="L775" s="37"/>
      <c r="M775" s="45">
        <f t="shared" ref="M775:M838" si="100">(K775+J775+I775+H775)/F775</f>
        <v>1.5241898431441595E-2</v>
      </c>
    </row>
    <row r="776" spans="1:13" s="6" customFormat="1" ht="15.75">
      <c r="A776" s="8">
        <v>28</v>
      </c>
      <c r="B776" s="8" t="s">
        <v>372</v>
      </c>
      <c r="C776" s="8">
        <v>4268.12</v>
      </c>
      <c r="D776" s="55">
        <v>216.9</v>
      </c>
      <c r="E776" s="55">
        <v>468.4</v>
      </c>
      <c r="F776" s="658">
        <f t="shared" si="95"/>
        <v>4953.4199999999992</v>
      </c>
      <c r="G776" s="663">
        <f t="shared" si="96"/>
        <v>1.8256810746257297E-2</v>
      </c>
      <c r="H776" s="46">
        <f t="shared" si="97"/>
        <v>42.868087040856906</v>
      </c>
      <c r="I776" s="37">
        <f t="shared" si="98"/>
        <v>15.762595604923085</v>
      </c>
      <c r="J776" s="210">
        <v>16.54314037877818</v>
      </c>
      <c r="K776" s="37">
        <f t="shared" si="99"/>
        <v>0.3257015037132302</v>
      </c>
      <c r="L776" s="37"/>
      <c r="M776" s="45">
        <f t="shared" si="100"/>
        <v>1.5241898431441591E-2</v>
      </c>
    </row>
    <row r="777" spans="1:13" s="6" customFormat="1" ht="15.75">
      <c r="A777" s="8">
        <v>29</v>
      </c>
      <c r="B777" s="8" t="s">
        <v>373</v>
      </c>
      <c r="C777" s="8">
        <v>10932.24</v>
      </c>
      <c r="D777" s="55"/>
      <c r="E777" s="55"/>
      <c r="F777" s="658">
        <f t="shared" si="95"/>
        <v>10932.24</v>
      </c>
      <c r="G777" s="663">
        <f t="shared" si="96"/>
        <v>4.0292936337452491E-2</v>
      </c>
      <c r="H777" s="46">
        <f t="shared" si="97"/>
        <v>94.6102320965187</v>
      </c>
      <c r="I777" s="37">
        <f t="shared" si="98"/>
        <v>34.788182341889929</v>
      </c>
      <c r="J777" s="210">
        <v>36.510851285474281</v>
      </c>
      <c r="K777" s="37">
        <f t="shared" si="99"/>
        <v>0.71882598426015243</v>
      </c>
      <c r="L777" s="37"/>
      <c r="M777" s="45">
        <f t="shared" si="100"/>
        <v>1.5241898431441596E-2</v>
      </c>
    </row>
    <row r="778" spans="1:13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658">
        <f t="shared" si="95"/>
        <v>4713.08</v>
      </c>
      <c r="G778" s="663">
        <f t="shared" si="96"/>
        <v>1.7370990061809893E-2</v>
      </c>
      <c r="H778" s="46">
        <f t="shared" si="97"/>
        <v>40.788126924533337</v>
      </c>
      <c r="I778" s="37">
        <f t="shared" si="98"/>
        <v>14.997794270150909</v>
      </c>
      <c r="J778" s="210">
        <v>15.740467001871812</v>
      </c>
      <c r="K778" s="37">
        <f t="shared" si="99"/>
        <v>0.3098984627026885</v>
      </c>
      <c r="L778" s="37"/>
      <c r="M778" s="45">
        <f t="shared" si="100"/>
        <v>1.5241898431441595E-2</v>
      </c>
    </row>
    <row r="779" spans="1:13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658">
        <f t="shared" si="95"/>
        <v>4688.58</v>
      </c>
      <c r="G779" s="663">
        <f t="shared" si="96"/>
        <v>1.7280690458044555E-2</v>
      </c>
      <c r="H779" s="46">
        <f t="shared" si="97"/>
        <v>40.5760980369161</v>
      </c>
      <c r="I779" s="37">
        <f t="shared" si="98"/>
        <v>14.91983124817405</v>
      </c>
      <c r="J779" s="210">
        <v>15.658643344826768</v>
      </c>
      <c r="K779" s="37">
        <f t="shared" si="99"/>
        <v>0.30828751777151486</v>
      </c>
      <c r="L779" s="37"/>
      <c r="M779" s="45">
        <f t="shared" si="100"/>
        <v>1.5241898431441595E-2</v>
      </c>
    </row>
    <row r="780" spans="1:13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658">
        <f t="shared" si="95"/>
        <v>2330.62</v>
      </c>
      <c r="G780" s="663">
        <f t="shared" si="96"/>
        <v>8.5899617358193309E-3</v>
      </c>
      <c r="H780" s="46">
        <f t="shared" si="97"/>
        <v>20.169745553407939</v>
      </c>
      <c r="I780" s="37">
        <f t="shared" si="98"/>
        <v>7.4164154399880999</v>
      </c>
      <c r="J780" s="210">
        <v>7.7836674115233535</v>
      </c>
      <c r="K780" s="37">
        <f t="shared" si="99"/>
        <v>0.15324491736701687</v>
      </c>
      <c r="L780" s="37"/>
      <c r="M780" s="45">
        <f t="shared" si="100"/>
        <v>1.5241898431441595E-2</v>
      </c>
    </row>
    <row r="781" spans="1:13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658">
        <f t="shared" si="95"/>
        <v>2305.7800000000002</v>
      </c>
      <c r="G781" s="663">
        <f t="shared" si="96"/>
        <v>8.4984089946956182E-3</v>
      </c>
      <c r="H781" s="46">
        <f t="shared" si="97"/>
        <v>19.954774224084993</v>
      </c>
      <c r="I781" s="37">
        <f t="shared" si="98"/>
        <v>7.3373704821960528</v>
      </c>
      <c r="J781" s="210">
        <v>7.7007082425029907</v>
      </c>
      <c r="K781" s="37">
        <f t="shared" si="99"/>
        <v>0.15161161646536983</v>
      </c>
      <c r="L781" s="37"/>
      <c r="M781" s="45">
        <f t="shared" si="100"/>
        <v>1.5241898431441596E-2</v>
      </c>
    </row>
    <row r="782" spans="1:13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658">
        <f t="shared" si="95"/>
        <v>2216.46</v>
      </c>
      <c r="G782" s="663">
        <f t="shared" si="96"/>
        <v>8.1692024392539826E-3</v>
      </c>
      <c r="H782" s="46">
        <f t="shared" si="97"/>
        <v>19.181777479514707</v>
      </c>
      <c r="I782" s="37">
        <f t="shared" si="98"/>
        <v>7.0531395792175582</v>
      </c>
      <c r="J782" s="210">
        <v>7.4024025671044837</v>
      </c>
      <c r="K782" s="37">
        <f t="shared" si="99"/>
        <v>0.14573857151629105</v>
      </c>
      <c r="L782" s="37"/>
      <c r="M782" s="45">
        <f t="shared" si="100"/>
        <v>1.5241898431441596E-2</v>
      </c>
    </row>
    <row r="783" spans="1:13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658">
        <f t="shared" si="95"/>
        <v>5853.7699999999995</v>
      </c>
      <c r="G783" s="663">
        <f t="shared" si="96"/>
        <v>2.1575229042180673E-2</v>
      </c>
      <c r="H783" s="46">
        <f t="shared" si="97"/>
        <v>50.65993230478275</v>
      </c>
      <c r="I783" s="37">
        <f t="shared" si="98"/>
        <v>18.627657108468618</v>
      </c>
      <c r="J783" s="210">
        <v>19.550076281655979</v>
      </c>
      <c r="K783" s="37">
        <f t="shared" si="99"/>
        <v>0.38490208611250321</v>
      </c>
      <c r="L783" s="37"/>
      <c r="M783" s="45">
        <f t="shared" si="100"/>
        <v>1.5241898431441593E-2</v>
      </c>
    </row>
    <row r="784" spans="1:13" s="6" customFormat="1" ht="15.75">
      <c r="A784" s="8">
        <v>36</v>
      </c>
      <c r="B784" s="8" t="s">
        <v>380</v>
      </c>
      <c r="C784" s="8">
        <v>4616.67</v>
      </c>
      <c r="D784" s="55"/>
      <c r="E784" s="55">
        <v>516.1</v>
      </c>
      <c r="F784" s="658">
        <f t="shared" si="95"/>
        <v>5132.7700000000004</v>
      </c>
      <c r="G784" s="663">
        <f t="shared" si="96"/>
        <v>1.8917840702800712E-2</v>
      </c>
      <c r="H784" s="46">
        <f t="shared" si="97"/>
        <v>44.420225040618242</v>
      </c>
      <c r="I784" s="37">
        <f t="shared" si="98"/>
        <v>16.33331674743533</v>
      </c>
      <c r="J784" s="210">
        <v>17.142122945758953</v>
      </c>
      <c r="K784" s="37">
        <f t="shared" si="99"/>
        <v>0.33749427813796468</v>
      </c>
      <c r="L784" s="37"/>
      <c r="M784" s="45">
        <f t="shared" si="100"/>
        <v>1.5241898431441595E-2</v>
      </c>
    </row>
    <row r="785" spans="1:13" s="6" customFormat="1" ht="15.75">
      <c r="A785" s="8">
        <v>37</v>
      </c>
      <c r="B785" s="8" t="s">
        <v>381</v>
      </c>
      <c r="C785" s="8">
        <v>4459.21</v>
      </c>
      <c r="D785" s="55"/>
      <c r="E785" s="55">
        <v>199.1</v>
      </c>
      <c r="F785" s="658">
        <f t="shared" si="95"/>
        <v>4658.3100000000004</v>
      </c>
      <c r="G785" s="663">
        <f t="shared" si="96"/>
        <v>1.7169124376167952E-2</v>
      </c>
      <c r="H785" s="46">
        <f t="shared" si="97"/>
        <v>40.314134182704919</v>
      </c>
      <c r="I785" s="37">
        <f t="shared" si="98"/>
        <v>14.823507138980601</v>
      </c>
      <c r="J785" s="210">
        <v>15.55754938161234</v>
      </c>
      <c r="K785" s="37">
        <f t="shared" si="99"/>
        <v>0.30629717887083624</v>
      </c>
      <c r="L785" s="37"/>
      <c r="M785" s="45">
        <f t="shared" si="100"/>
        <v>1.5241898431441595E-2</v>
      </c>
    </row>
    <row r="786" spans="1:13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658">
        <f t="shared" si="95"/>
        <v>4519.6099999999997</v>
      </c>
      <c r="G786" s="663">
        <f t="shared" si="96"/>
        <v>1.6657918047912747E-2</v>
      </c>
      <c r="H786" s="46">
        <f t="shared" si="97"/>
        <v>39.113791051582005</v>
      </c>
      <c r="I786" s="37">
        <f t="shared" si="98"/>
        <v>14.382140969666704</v>
      </c>
      <c r="J786" s="210">
        <v>15.094327290504271</v>
      </c>
      <c r="K786" s="37">
        <f t="shared" si="99"/>
        <v>0.29717725797476341</v>
      </c>
      <c r="L786" s="37"/>
      <c r="M786" s="45">
        <f t="shared" si="100"/>
        <v>1.5241898431441595E-2</v>
      </c>
    </row>
    <row r="787" spans="1:13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658">
        <f t="shared" si="95"/>
        <v>7164.75</v>
      </c>
      <c r="G787" s="663">
        <f t="shared" si="96"/>
        <v>2.6407105554192255E-2</v>
      </c>
      <c r="H787" s="46">
        <f t="shared" si="97"/>
        <v>62.005468267576667</v>
      </c>
      <c r="I787" s="37">
        <f t="shared" si="98"/>
        <v>22.799410681987943</v>
      </c>
      <c r="J787" s="210">
        <v>23.928410074019766</v>
      </c>
      <c r="K787" s="37">
        <f t="shared" si="99"/>
        <v>0.47110276308678983</v>
      </c>
      <c r="L787" s="37"/>
      <c r="M787" s="45">
        <f t="shared" si="100"/>
        <v>1.5241898431441595E-2</v>
      </c>
    </row>
    <row r="788" spans="1:13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658">
        <f t="shared" si="95"/>
        <v>4422.5</v>
      </c>
      <c r="G788" s="663">
        <f t="shared" si="96"/>
        <v>1.6299999904171848E-2</v>
      </c>
      <c r="H788" s="46">
        <f t="shared" si="97"/>
        <v>38.273377774989747</v>
      </c>
      <c r="I788" s="37">
        <f t="shared" si="98"/>
        <v>14.073121007863731</v>
      </c>
      <c r="J788" s="210">
        <v>14.770005031906546</v>
      </c>
      <c r="K788" s="37">
        <f t="shared" si="99"/>
        <v>0.29079199829042573</v>
      </c>
      <c r="L788" s="37"/>
      <c r="M788" s="45">
        <f t="shared" si="100"/>
        <v>1.5241898431441595E-2</v>
      </c>
    </row>
    <row r="789" spans="1:13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658">
        <f t="shared" si="95"/>
        <v>9048.7900000000009</v>
      </c>
      <c r="G789" s="663">
        <f t="shared" si="96"/>
        <v>3.3351108226765673E-2</v>
      </c>
      <c r="H789" s="46">
        <f t="shared" si="97"/>
        <v>78.31040318293941</v>
      </c>
      <c r="I789" s="37">
        <f t="shared" si="98"/>
        <v>28.794735250366823</v>
      </c>
      <c r="J789" s="210">
        <v>30.220615903372668</v>
      </c>
      <c r="K789" s="37">
        <f t="shared" si="99"/>
        <v>0.59498377076549958</v>
      </c>
      <c r="L789" s="37"/>
      <c r="M789" s="45">
        <f t="shared" si="100"/>
        <v>1.5241898431441596E-2</v>
      </c>
    </row>
    <row r="790" spans="1:13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658">
        <f t="shared" si="95"/>
        <v>4583.33</v>
      </c>
      <c r="G790" s="663">
        <f t="shared" si="96"/>
        <v>1.6892770731664886E-2</v>
      </c>
      <c r="H790" s="46">
        <f t="shared" si="97"/>
        <v>39.665239244193053</v>
      </c>
      <c r="I790" s="37">
        <f t="shared" si="98"/>
        <v>14.584908470089786</v>
      </c>
      <c r="J790" s="210">
        <v>15.307135593643464</v>
      </c>
      <c r="K790" s="37">
        <f t="shared" si="99"/>
        <v>0.30136702985290159</v>
      </c>
      <c r="L790" s="37"/>
      <c r="M790" s="45">
        <f t="shared" si="100"/>
        <v>1.5241898431441596E-2</v>
      </c>
    </row>
    <row r="791" spans="1:13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658">
        <f t="shared" si="95"/>
        <v>2213.66</v>
      </c>
      <c r="G791" s="663">
        <f t="shared" si="96"/>
        <v>8.158882484537942E-3</v>
      </c>
      <c r="H791" s="46">
        <f t="shared" si="97"/>
        <v>19.15754560664416</v>
      </c>
      <c r="I791" s="37">
        <f t="shared" si="98"/>
        <v>7.044229519563058</v>
      </c>
      <c r="J791" s="210">
        <v>7.3930512920136202</v>
      </c>
      <c r="K791" s="37">
        <f t="shared" si="99"/>
        <v>0.14555446352415688</v>
      </c>
      <c r="L791" s="37"/>
      <c r="M791" s="45">
        <f t="shared" si="100"/>
        <v>1.5241898431441595E-2</v>
      </c>
    </row>
    <row r="792" spans="1:13" s="6" customFormat="1" ht="15.75">
      <c r="A792" s="8">
        <v>44</v>
      </c>
      <c r="B792" s="8" t="s">
        <v>388</v>
      </c>
      <c r="C792" s="32">
        <v>41.2</v>
      </c>
      <c r="D792" s="55"/>
      <c r="E792" s="55"/>
      <c r="F792" s="658">
        <f t="shared" si="95"/>
        <v>41.2</v>
      </c>
      <c r="G792" s="663">
        <f t="shared" si="96"/>
        <v>1.5185076225028381E-4</v>
      </c>
      <c r="H792" s="46">
        <f t="shared" si="97"/>
        <v>0.35655470080940138</v>
      </c>
      <c r="I792" s="37">
        <f t="shared" si="98"/>
        <v>0.13110516348761689</v>
      </c>
      <c r="J792" s="210">
        <v>0.13759733347983033</v>
      </c>
      <c r="K792" s="37">
        <f t="shared" si="99"/>
        <v>2.7090175985450631E-3</v>
      </c>
      <c r="L792" s="37"/>
      <c r="M792" s="45">
        <f t="shared" si="100"/>
        <v>1.5241898431441593E-2</v>
      </c>
    </row>
    <row r="793" spans="1:13" s="6" customFormat="1" ht="15.75">
      <c r="A793" s="8">
        <v>45</v>
      </c>
      <c r="B793" s="8" t="s">
        <v>389</v>
      </c>
      <c r="C793" s="32">
        <v>21</v>
      </c>
      <c r="D793" s="55"/>
      <c r="E793" s="55"/>
      <c r="F793" s="658">
        <f t="shared" si="95"/>
        <v>21</v>
      </c>
      <c r="G793" s="663">
        <f t="shared" si="96"/>
        <v>7.7399660370290293E-5</v>
      </c>
      <c r="H793" s="46">
        <f t="shared" si="97"/>
        <v>0.18173904652906381</v>
      </c>
      <c r="I793" s="37">
        <f t="shared" si="98"/>
        <v>6.6825447408736763E-2</v>
      </c>
      <c r="J793" s="210">
        <v>7.0134563181466922E-2</v>
      </c>
      <c r="K793" s="37">
        <f t="shared" si="99"/>
        <v>1.3808099410059789E-3</v>
      </c>
      <c r="L793" s="37"/>
      <c r="M793" s="45">
        <f t="shared" si="100"/>
        <v>1.5241898431441595E-2</v>
      </c>
    </row>
    <row r="794" spans="1:13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658">
        <f t="shared" si="95"/>
        <v>113.2</v>
      </c>
      <c r="G794" s="663">
        <f t="shared" si="96"/>
        <v>4.1722102637699343E-4</v>
      </c>
      <c r="H794" s="46">
        <f t="shared" si="97"/>
        <v>0.97966000319476321</v>
      </c>
      <c r="I794" s="37">
        <f t="shared" si="98"/>
        <v>0.36022098317471446</v>
      </c>
      <c r="J794" s="210">
        <v>0.37805869295914546</v>
      </c>
      <c r="K794" s="37">
        <f t="shared" si="99"/>
        <v>7.4432231105655625E-3</v>
      </c>
      <c r="L794" s="37"/>
      <c r="M794" s="45">
        <f t="shared" si="100"/>
        <v>1.5241898431441596E-2</v>
      </c>
    </row>
    <row r="795" spans="1:13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658">
        <f t="shared" si="95"/>
        <v>149.19999999999999</v>
      </c>
      <c r="G795" s="663">
        <f t="shared" si="96"/>
        <v>5.4990615844034815E-4</v>
      </c>
      <c r="H795" s="46">
        <f t="shared" si="97"/>
        <v>1.2912126543874438</v>
      </c>
      <c r="I795" s="37">
        <f t="shared" si="98"/>
        <v>0.47477889301826315</v>
      </c>
      <c r="J795" s="210">
        <v>0.49828937269880302</v>
      </c>
      <c r="K795" s="37">
        <f t="shared" si="99"/>
        <v>9.8103258665758111E-3</v>
      </c>
      <c r="L795" s="37"/>
      <c r="M795" s="45">
        <f t="shared" si="100"/>
        <v>1.5241898431441593E-2</v>
      </c>
    </row>
    <row r="796" spans="1:13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658">
        <f t="shared" si="95"/>
        <v>685</v>
      </c>
      <c r="G796" s="663">
        <f t="shared" si="96"/>
        <v>2.5247032073166119E-3</v>
      </c>
      <c r="H796" s="46">
        <f t="shared" si="97"/>
        <v>5.9281546129718432</v>
      </c>
      <c r="I796" s="37">
        <f t="shared" si="98"/>
        <v>2.1797824511897468</v>
      </c>
      <c r="J796" s="210">
        <v>2.2877226561573734</v>
      </c>
      <c r="K796" s="37">
        <f t="shared" si="99"/>
        <v>4.5040705218528355E-2</v>
      </c>
      <c r="L796" s="37"/>
      <c r="M796" s="45">
        <f t="shared" si="100"/>
        <v>1.5241898431441593E-2</v>
      </c>
    </row>
    <row r="797" spans="1:13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658">
        <f t="shared" si="95"/>
        <v>480.56</v>
      </c>
      <c r="G797" s="663">
        <f t="shared" si="96"/>
        <v>1.7711990851212716E-3</v>
      </c>
      <c r="H797" s="46">
        <f t="shared" si="97"/>
        <v>4.158881723809853</v>
      </c>
      <c r="I797" s="37">
        <f t="shared" si="98"/>
        <v>1.529220809844883</v>
      </c>
      <c r="J797" s="210">
        <v>1.6049459848802734</v>
      </c>
      <c r="K797" s="37">
        <f t="shared" si="99"/>
        <v>3.1598191678563488E-2</v>
      </c>
      <c r="L797" s="37"/>
      <c r="M797" s="45">
        <f t="shared" si="100"/>
        <v>1.5241898431441595E-2</v>
      </c>
    </row>
    <row r="798" spans="1:13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658">
        <f t="shared" si="95"/>
        <v>514.09</v>
      </c>
      <c r="G798" s="663">
        <f t="shared" si="96"/>
        <v>1.8947805428458351E-3</v>
      </c>
      <c r="H798" s="46">
        <f t="shared" si="97"/>
        <v>4.4490584014345913</v>
      </c>
      <c r="I798" s="37">
        <f t="shared" si="98"/>
        <v>1.6359187742074994</v>
      </c>
      <c r="J798" s="210">
        <v>1.7169275040933489</v>
      </c>
      <c r="K798" s="37">
        <f t="shared" si="99"/>
        <v>3.3802884884369701E-2</v>
      </c>
      <c r="L798" s="37"/>
      <c r="M798" s="45">
        <f t="shared" si="100"/>
        <v>1.5241898431441595E-2</v>
      </c>
    </row>
    <row r="799" spans="1:13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658">
        <f t="shared" si="95"/>
        <v>550.09999999999991</v>
      </c>
      <c r="G799" s="663">
        <f t="shared" si="96"/>
        <v>2.0275025318903183E-3</v>
      </c>
      <c r="H799" s="46">
        <f t="shared" si="97"/>
        <v>4.7606975950303809</v>
      </c>
      <c r="I799" s="37">
        <f t="shared" si="98"/>
        <v>1.7505085056926712</v>
      </c>
      <c r="J799" s="210">
        <v>1.8371915812440449</v>
      </c>
      <c r="K799" s="37">
        <f t="shared" si="99"/>
        <v>3.6170645168923279E-2</v>
      </c>
      <c r="L799" s="37"/>
      <c r="M799" s="45">
        <f t="shared" si="100"/>
        <v>1.5241898431441595E-2</v>
      </c>
    </row>
    <row r="800" spans="1:13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658">
        <f t="shared" si="95"/>
        <v>1211.25</v>
      </c>
      <c r="G800" s="663">
        <f t="shared" si="96"/>
        <v>4.4643018392149583E-3</v>
      </c>
      <c r="H800" s="46">
        <f t="shared" si="97"/>
        <v>10.482448576587075</v>
      </c>
      <c r="I800" s="37">
        <f t="shared" si="98"/>
        <v>3.8543963416110678</v>
      </c>
      <c r="J800" s="210">
        <v>4.045261412073895</v>
      </c>
      <c r="K800" s="37">
        <f t="shared" si="99"/>
        <v>7.964314481159486E-2</v>
      </c>
      <c r="L800" s="37"/>
      <c r="M800" s="45">
        <f t="shared" si="100"/>
        <v>1.5241898431441595E-2</v>
      </c>
    </row>
    <row r="801" spans="1:13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658">
        <f t="shared" si="95"/>
        <v>337.37</v>
      </c>
      <c r="G801" s="663">
        <f t="shared" si="96"/>
        <v>1.243443972339278E-3</v>
      </c>
      <c r="H801" s="46">
        <f t="shared" si="97"/>
        <v>2.9196810536909652</v>
      </c>
      <c r="I801" s="37">
        <f t="shared" si="98"/>
        <v>1.073566723442168</v>
      </c>
      <c r="J801" s="210">
        <v>1.1267284562157853</v>
      </c>
      <c r="K801" s="37">
        <f t="shared" si="99"/>
        <v>2.218304046653272E-2</v>
      </c>
      <c r="L801" s="37"/>
      <c r="M801" s="45">
        <f t="shared" si="100"/>
        <v>1.5241898431441596E-2</v>
      </c>
    </row>
    <row r="802" spans="1:13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658">
        <f t="shared" si="95"/>
        <v>238.68</v>
      </c>
      <c r="G802" s="663">
        <f t="shared" si="96"/>
        <v>8.7970242558004224E-4</v>
      </c>
      <c r="H802" s="46">
        <f t="shared" si="97"/>
        <v>2.0655940774074741</v>
      </c>
      <c r="I802" s="37">
        <f t="shared" si="98"/>
        <v>0.75951894226272831</v>
      </c>
      <c r="J802" s="210">
        <v>0.79712940667392962</v>
      </c>
      <c r="K802" s="37">
        <f t="shared" si="99"/>
        <v>1.5693891272347955E-2</v>
      </c>
      <c r="L802" s="37"/>
      <c r="M802" s="45">
        <f t="shared" si="100"/>
        <v>1.5241898431441595E-2</v>
      </c>
    </row>
    <row r="803" spans="1:13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658">
        <f t="shared" si="95"/>
        <v>741.27</v>
      </c>
      <c r="G803" s="663">
        <f t="shared" si="96"/>
        <v>2.732097440127861E-3</v>
      </c>
      <c r="H803" s="46">
        <f t="shared" si="97"/>
        <v>6.4151287152666248</v>
      </c>
      <c r="I803" s="37">
        <f t="shared" si="98"/>
        <v>2.3588428286035379</v>
      </c>
      <c r="J803" s="210">
        <v>2.4756498880726654</v>
      </c>
      <c r="K803" s="37">
        <f t="shared" si="99"/>
        <v>4.8740618331881036E-2</v>
      </c>
      <c r="L803" s="37"/>
      <c r="M803" s="45">
        <f t="shared" si="100"/>
        <v>1.5241898431441591E-2</v>
      </c>
    </row>
    <row r="804" spans="1:13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658">
        <f t="shared" si="95"/>
        <v>733.6</v>
      </c>
      <c r="G804" s="663">
        <f t="shared" si="96"/>
        <v>2.7038281356021412E-3</v>
      </c>
      <c r="H804" s="46">
        <f t="shared" si="97"/>
        <v>6.3487506920819632</v>
      </c>
      <c r="I804" s="37">
        <f t="shared" si="98"/>
        <v>2.3344356294785382</v>
      </c>
      <c r="J804" s="210">
        <v>2.4500340738059112</v>
      </c>
      <c r="K804" s="37">
        <f t="shared" si="99"/>
        <v>4.8236293939142201E-2</v>
      </c>
      <c r="L804" s="37"/>
      <c r="M804" s="45">
        <f t="shared" si="100"/>
        <v>1.5241898431441596E-2</v>
      </c>
    </row>
    <row r="805" spans="1:13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658">
        <f t="shared" si="95"/>
        <v>220.5</v>
      </c>
      <c r="G805" s="663">
        <f t="shared" si="96"/>
        <v>8.1269643388804812E-4</v>
      </c>
      <c r="H805" s="46">
        <f t="shared" si="97"/>
        <v>1.9082599885551703</v>
      </c>
      <c r="I805" s="37">
        <f t="shared" si="98"/>
        <v>0.70166719779173614</v>
      </c>
      <c r="J805" s="210">
        <v>0.7364129134054026</v>
      </c>
      <c r="K805" s="37">
        <f t="shared" si="99"/>
        <v>1.4498504380562778E-2</v>
      </c>
      <c r="L805" s="37"/>
      <c r="M805" s="45">
        <f t="shared" si="100"/>
        <v>1.5241898431441596E-2</v>
      </c>
    </row>
    <row r="806" spans="1:13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658">
        <f t="shared" si="95"/>
        <v>330.61</v>
      </c>
      <c r="G806" s="663">
        <f t="shared" si="96"/>
        <v>1.2185286530962702E-3</v>
      </c>
      <c r="H806" s="46">
        <f t="shared" si="97"/>
        <v>2.8611783891892282</v>
      </c>
      <c r="I806" s="37">
        <f t="shared" si="98"/>
        <v>1.0520552937048793</v>
      </c>
      <c r="J806" s="210">
        <v>1.1041518063535609</v>
      </c>
      <c r="K806" s="37">
        <f t="shared" si="99"/>
        <v>2.173855117123746E-2</v>
      </c>
      <c r="L806" s="37"/>
      <c r="M806" s="45">
        <f t="shared" si="100"/>
        <v>1.5241898431441595E-2</v>
      </c>
    </row>
    <row r="807" spans="1:13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658">
        <f t="shared" si="95"/>
        <v>1037.5</v>
      </c>
      <c r="G807" s="663">
        <f t="shared" si="96"/>
        <v>3.8239117921036276E-3</v>
      </c>
      <c r="H807" s="46">
        <f t="shared" si="97"/>
        <v>8.9787743225668439</v>
      </c>
      <c r="I807" s="37">
        <f t="shared" si="98"/>
        <v>3.3014953184078286</v>
      </c>
      <c r="J807" s="210">
        <v>3.4649813952748536</v>
      </c>
      <c r="K807" s="37">
        <f t="shared" si="99"/>
        <v>6.8218586371128723E-2</v>
      </c>
      <c r="L807" s="37"/>
      <c r="M807" s="45">
        <f t="shared" si="100"/>
        <v>1.5241898431441595E-2</v>
      </c>
    </row>
    <row r="808" spans="1:13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658">
        <f t="shared" si="95"/>
        <v>230.10000000000002</v>
      </c>
      <c r="G808" s="663">
        <f t="shared" si="96"/>
        <v>8.4807913577160941E-4</v>
      </c>
      <c r="H808" s="46">
        <f t="shared" si="97"/>
        <v>1.9913406955398851</v>
      </c>
      <c r="I808" s="37">
        <f t="shared" si="98"/>
        <v>0.73221597375001579</v>
      </c>
      <c r="J808" s="210">
        <v>0.76847442800264465</v>
      </c>
      <c r="K808" s="37">
        <f t="shared" si="99"/>
        <v>1.5129731782165512E-2</v>
      </c>
      <c r="L808" s="37"/>
      <c r="M808" s="45">
        <f t="shared" si="100"/>
        <v>1.5241898431441593E-2</v>
      </c>
    </row>
    <row r="809" spans="1:13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658">
        <f t="shared" si="95"/>
        <v>1331.77</v>
      </c>
      <c r="G809" s="663">
        <f t="shared" si="96"/>
        <v>4.9085021757781667E-3</v>
      </c>
      <c r="H809" s="46">
        <f t="shared" si="97"/>
        <v>11.525457618857681</v>
      </c>
      <c r="I809" s="37">
        <f t="shared" si="98"/>
        <v>4.2379107664539699</v>
      </c>
      <c r="J809" s="210">
        <v>4.447767009913437</v>
      </c>
      <c r="K809" s="37">
        <f t="shared" si="99"/>
        <v>8.7567678815882496E-2</v>
      </c>
      <c r="L809" s="37"/>
      <c r="M809" s="45">
        <f t="shared" si="100"/>
        <v>1.5241898431441595E-2</v>
      </c>
    </row>
    <row r="810" spans="1:13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658">
        <f t="shared" si="95"/>
        <v>483.9</v>
      </c>
      <c r="G810" s="663">
        <f t="shared" si="96"/>
        <v>1.7835093168182606E-3</v>
      </c>
      <c r="H810" s="46">
        <f t="shared" si="97"/>
        <v>4.1877868864482846</v>
      </c>
      <c r="I810" s="37">
        <f t="shared" si="98"/>
        <v>1.5398492381470343</v>
      </c>
      <c r="J810" s="210">
        <v>1.6161007201672304</v>
      </c>
      <c r="K810" s="37">
        <f t="shared" si="99"/>
        <v>3.1817806212037766E-2</v>
      </c>
      <c r="L810" s="37"/>
      <c r="M810" s="45">
        <f t="shared" si="100"/>
        <v>1.5241898431441595E-2</v>
      </c>
    </row>
    <row r="811" spans="1:13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658">
        <f t="shared" si="95"/>
        <v>665.8</v>
      </c>
      <c r="G811" s="663">
        <f t="shared" si="96"/>
        <v>2.4539378035494893E-3</v>
      </c>
      <c r="H811" s="46">
        <f t="shared" si="97"/>
        <v>5.761993199002414</v>
      </c>
      <c r="I811" s="37">
        <f t="shared" si="98"/>
        <v>2.1186848992731879</v>
      </c>
      <c r="J811" s="210">
        <v>2.2235996269628888</v>
      </c>
      <c r="K811" s="37">
        <f t="shared" si="99"/>
        <v>4.3778250415322892E-2</v>
      </c>
      <c r="L811" s="37"/>
      <c r="M811" s="45">
        <f t="shared" si="100"/>
        <v>1.5241898431441598E-2</v>
      </c>
    </row>
    <row r="812" spans="1:13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658">
        <f t="shared" ref="F812:F871" si="101">C812+D812+E812</f>
        <v>59.2</v>
      </c>
      <c r="G812" s="663">
        <f t="shared" si="96"/>
        <v>2.1819332828196123E-4</v>
      </c>
      <c r="H812" s="46">
        <f t="shared" si="97"/>
        <v>0.51233102640574191</v>
      </c>
      <c r="I812" s="37">
        <f t="shared" ref="I812:I871" si="102">H812*0.3677</f>
        <v>0.18838411840939132</v>
      </c>
      <c r="J812" s="210">
        <v>0.19771267334965914</v>
      </c>
      <c r="K812" s="37">
        <f t="shared" si="99"/>
        <v>3.8925689765501883E-3</v>
      </c>
      <c r="L812" s="37"/>
      <c r="M812" s="45">
        <f t="shared" si="100"/>
        <v>1.5241898431441596E-2</v>
      </c>
    </row>
    <row r="813" spans="1:13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658">
        <f t="shared" si="101"/>
        <v>421.78</v>
      </c>
      <c r="G813" s="663">
        <f t="shared" ref="G813:G876" si="103">1/271319.02*F813</f>
        <v>1.5545537500467161E-3</v>
      </c>
      <c r="H813" s="46">
        <f t="shared" ref="H813:H876" si="104">G813*2348.06</f>
        <v>3.6501854783346923</v>
      </c>
      <c r="I813" s="37">
        <f t="shared" si="102"/>
        <v>1.3421732003836664</v>
      </c>
      <c r="J813" s="210">
        <v>1.4086360027942435</v>
      </c>
      <c r="K813" s="37">
        <f t="shared" ref="K813:K873" si="105">G813*17.84</f>
        <v>2.7733238900833415E-2</v>
      </c>
      <c r="L813" s="37"/>
      <c r="M813" s="45">
        <f t="shared" si="100"/>
        <v>1.5241898431441595E-2</v>
      </c>
    </row>
    <row r="814" spans="1:13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658">
        <f t="shared" si="101"/>
        <v>212.60000000000002</v>
      </c>
      <c r="G814" s="663">
        <f t="shared" si="103"/>
        <v>7.8357941879636755E-4</v>
      </c>
      <c r="H814" s="46">
        <f t="shared" si="104"/>
        <v>1.8398914900989987</v>
      </c>
      <c r="I814" s="37">
        <f t="shared" si="102"/>
        <v>0.67652810090940185</v>
      </c>
      <c r="J814" s="210">
        <v>0.71002895868475557</v>
      </c>
      <c r="K814" s="37">
        <f t="shared" si="105"/>
        <v>1.3979056831327196E-2</v>
      </c>
      <c r="L814" s="37"/>
      <c r="M814" s="45">
        <f t="shared" si="100"/>
        <v>1.5241898431441595E-2</v>
      </c>
    </row>
    <row r="815" spans="1:13" s="6" customFormat="1" ht="15.75">
      <c r="A815" s="8">
        <v>68</v>
      </c>
      <c r="B815" s="8" t="s">
        <v>827</v>
      </c>
      <c r="C815" s="8">
        <v>205.2</v>
      </c>
      <c r="D815" s="55"/>
      <c r="E815" s="56"/>
      <c r="F815" s="658">
        <f t="shared" si="101"/>
        <v>205.2</v>
      </c>
      <c r="G815" s="663">
        <f t="shared" si="103"/>
        <v>7.5630525276112223E-4</v>
      </c>
      <c r="H815" s="46">
        <f t="shared" si="104"/>
        <v>1.7758501117982806</v>
      </c>
      <c r="I815" s="37">
        <f t="shared" si="102"/>
        <v>0.65298008610822778</v>
      </c>
      <c r="J815" s="210">
        <v>0.68531487451604811</v>
      </c>
      <c r="K815" s="37">
        <f t="shared" si="105"/>
        <v>1.3492485709258421E-2</v>
      </c>
      <c r="L815" s="37"/>
      <c r="M815" s="45">
        <f t="shared" si="100"/>
        <v>1.5241898431441595E-2</v>
      </c>
    </row>
    <row r="816" spans="1:13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658">
        <f t="shared" si="101"/>
        <v>177.45</v>
      </c>
      <c r="G816" s="663">
        <f t="shared" si="103"/>
        <v>6.5402713012895292E-4</v>
      </c>
      <c r="H816" s="46">
        <f t="shared" si="104"/>
        <v>1.5356949431705891</v>
      </c>
      <c r="I816" s="37">
        <f t="shared" si="102"/>
        <v>0.56467503060382562</v>
      </c>
      <c r="J816" s="210">
        <v>0.59263705888339535</v>
      </c>
      <c r="K816" s="37">
        <f t="shared" si="105"/>
        <v>1.166784400150052E-2</v>
      </c>
      <c r="L816" s="37"/>
      <c r="M816" s="45">
        <f t="shared" si="100"/>
        <v>1.5241898431441595E-2</v>
      </c>
    </row>
    <row r="817" spans="1:13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658">
        <f t="shared" si="101"/>
        <v>200</v>
      </c>
      <c r="G817" s="663">
        <f t="shared" si="103"/>
        <v>7.3713962257419331E-4</v>
      </c>
      <c r="H817" s="46">
        <f t="shared" si="104"/>
        <v>1.7308480621815603</v>
      </c>
      <c r="I817" s="37">
        <f t="shared" si="102"/>
        <v>0.63643283246415971</v>
      </c>
      <c r="J817" s="210">
        <v>0.66794822077587546</v>
      </c>
      <c r="K817" s="37">
        <f t="shared" si="105"/>
        <v>1.3150570866723608E-2</v>
      </c>
      <c r="L817" s="37"/>
      <c r="M817" s="45">
        <f t="shared" si="100"/>
        <v>1.5241898431441596E-2</v>
      </c>
    </row>
    <row r="818" spans="1:13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658">
        <f t="shared" si="101"/>
        <v>542.18000000000006</v>
      </c>
      <c r="G818" s="663">
        <f t="shared" si="103"/>
        <v>1.9983118028363807E-3</v>
      </c>
      <c r="H818" s="46">
        <f t="shared" si="104"/>
        <v>4.6921560117679917</v>
      </c>
      <c r="I818" s="37">
        <f t="shared" si="102"/>
        <v>1.7253057655270907</v>
      </c>
      <c r="J818" s="210">
        <v>1.8107408317013209</v>
      </c>
      <c r="K818" s="37">
        <f t="shared" si="105"/>
        <v>3.5649882562601029E-2</v>
      </c>
      <c r="L818" s="37"/>
      <c r="M818" s="45">
        <f t="shared" si="100"/>
        <v>1.5241898431441591E-2</v>
      </c>
    </row>
    <row r="819" spans="1:13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658">
        <f t="shared" si="101"/>
        <v>204.3</v>
      </c>
      <c r="G819" s="663">
        <f t="shared" si="103"/>
        <v>7.5298812445953849E-4</v>
      </c>
      <c r="H819" s="46">
        <f t="shared" si="104"/>
        <v>1.768061295518464</v>
      </c>
      <c r="I819" s="37">
        <f t="shared" si="102"/>
        <v>0.65011613836213922</v>
      </c>
      <c r="J819" s="210">
        <v>0.68230910752255669</v>
      </c>
      <c r="K819" s="37">
        <f t="shared" si="105"/>
        <v>1.3433308140358168E-2</v>
      </c>
      <c r="L819" s="37"/>
      <c r="M819" s="45">
        <f t="shared" si="100"/>
        <v>1.5241898431441596E-2</v>
      </c>
    </row>
    <row r="820" spans="1:13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658">
        <f t="shared" si="101"/>
        <v>306.39999999999998</v>
      </c>
      <c r="G820" s="663">
        <f t="shared" si="103"/>
        <v>1.129297901783664E-3</v>
      </c>
      <c r="H820" s="46">
        <f t="shared" si="104"/>
        <v>2.6516592312621503</v>
      </c>
      <c r="I820" s="37">
        <f t="shared" si="102"/>
        <v>0.97501509933509278</v>
      </c>
      <c r="J820" s="210">
        <v>1.0232966742286409</v>
      </c>
      <c r="K820" s="37">
        <f t="shared" si="105"/>
        <v>2.0146674567820565E-2</v>
      </c>
      <c r="L820" s="37"/>
      <c r="M820" s="45">
        <f t="shared" si="100"/>
        <v>1.5241898431441595E-2</v>
      </c>
    </row>
    <row r="821" spans="1:13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658">
        <f t="shared" si="101"/>
        <v>301.42</v>
      </c>
      <c r="G821" s="663">
        <f t="shared" si="103"/>
        <v>1.1109431251815668E-3</v>
      </c>
      <c r="H821" s="46">
        <f t="shared" si="104"/>
        <v>2.6085611145138299</v>
      </c>
      <c r="I821" s="37">
        <f t="shared" si="102"/>
        <v>0.95916792180673527</v>
      </c>
      <c r="J821" s="210">
        <v>1.0066647635313219</v>
      </c>
      <c r="K821" s="37">
        <f t="shared" si="105"/>
        <v>1.9819225353239153E-2</v>
      </c>
      <c r="L821" s="37"/>
      <c r="M821" s="45">
        <f t="shared" si="100"/>
        <v>1.5241898431441598E-2</v>
      </c>
    </row>
    <row r="822" spans="1:13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658">
        <f t="shared" si="101"/>
        <v>394.72</v>
      </c>
      <c r="G822" s="663">
        <f t="shared" si="103"/>
        <v>1.4548187591124279E-3</v>
      </c>
      <c r="H822" s="46">
        <f t="shared" si="104"/>
        <v>3.4160017355215273</v>
      </c>
      <c r="I822" s="37">
        <f t="shared" si="102"/>
        <v>1.2560638381512657</v>
      </c>
      <c r="J822" s="210">
        <v>1.3182626085232676</v>
      </c>
      <c r="K822" s="37">
        <f t="shared" si="105"/>
        <v>2.5953966662565716E-2</v>
      </c>
      <c r="L822" s="37"/>
      <c r="M822" s="45">
        <f t="shared" si="100"/>
        <v>1.5241898431441593E-2</v>
      </c>
    </row>
    <row r="823" spans="1:13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658">
        <f t="shared" si="101"/>
        <v>680.89</v>
      </c>
      <c r="G823" s="663">
        <f t="shared" si="103"/>
        <v>2.5095549880727124E-3</v>
      </c>
      <c r="H823" s="46">
        <f t="shared" si="104"/>
        <v>5.8925856852940131</v>
      </c>
      <c r="I823" s="37">
        <f t="shared" si="102"/>
        <v>2.1667037564826086</v>
      </c>
      <c r="J823" s="210">
        <v>2.2739963202204287</v>
      </c>
      <c r="K823" s="37">
        <f t="shared" si="105"/>
        <v>4.4770460987217188E-2</v>
      </c>
      <c r="L823" s="37"/>
      <c r="M823" s="45">
        <f t="shared" si="100"/>
        <v>1.5241898431441595E-2</v>
      </c>
    </row>
    <row r="824" spans="1:13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658">
        <f t="shared" si="101"/>
        <v>581.98</v>
      </c>
      <c r="G824" s="663">
        <f t="shared" si="103"/>
        <v>2.1450025877286449E-3</v>
      </c>
      <c r="H824" s="46">
        <f t="shared" si="104"/>
        <v>5.0365947761421221</v>
      </c>
      <c r="I824" s="37">
        <f t="shared" si="102"/>
        <v>1.8519558991874585</v>
      </c>
      <c r="J824" s="210">
        <v>1.94366252763572</v>
      </c>
      <c r="K824" s="37">
        <f t="shared" si="105"/>
        <v>3.8266846165079027E-2</v>
      </c>
      <c r="L824" s="37"/>
      <c r="M824" s="45">
        <f t="shared" si="100"/>
        <v>1.5241898431441593E-2</v>
      </c>
    </row>
    <row r="825" spans="1:13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658">
        <f t="shared" si="101"/>
        <v>260.39999999999998</v>
      </c>
      <c r="G825" s="663">
        <f t="shared" si="103"/>
        <v>9.5975578859159953E-4</v>
      </c>
      <c r="H825" s="46">
        <f t="shared" si="104"/>
        <v>2.2535641769603911</v>
      </c>
      <c r="I825" s="37">
        <f t="shared" si="102"/>
        <v>0.82863554786833593</v>
      </c>
      <c r="J825" s="210">
        <v>0.86966858345018971</v>
      </c>
      <c r="K825" s="37">
        <f t="shared" si="105"/>
        <v>1.7122043268474135E-2</v>
      </c>
      <c r="L825" s="37"/>
      <c r="M825" s="45">
        <f t="shared" si="100"/>
        <v>1.5241898431441595E-2</v>
      </c>
    </row>
    <row r="826" spans="1:13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658">
        <f t="shared" si="101"/>
        <v>135.71</v>
      </c>
      <c r="G826" s="663">
        <f t="shared" si="103"/>
        <v>5.0018609089771883E-4</v>
      </c>
      <c r="H826" s="46">
        <f t="shared" si="104"/>
        <v>1.1744669525932976</v>
      </c>
      <c r="I826" s="37">
        <f t="shared" si="102"/>
        <v>0.43185149846855553</v>
      </c>
      <c r="J826" s="210">
        <v>0.45323626520747023</v>
      </c>
      <c r="K826" s="37">
        <f t="shared" si="105"/>
        <v>8.9233198616153041E-3</v>
      </c>
      <c r="L826" s="37"/>
      <c r="M826" s="45">
        <f t="shared" si="100"/>
        <v>1.5241898431441595E-2</v>
      </c>
    </row>
    <row r="827" spans="1:13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658">
        <f t="shared" si="101"/>
        <v>201.8</v>
      </c>
      <c r="G827" s="663">
        <f t="shared" si="103"/>
        <v>7.437738791773611E-4</v>
      </c>
      <c r="H827" s="46">
        <f t="shared" si="104"/>
        <v>1.7464256947411945</v>
      </c>
      <c r="I827" s="37">
        <f t="shared" si="102"/>
        <v>0.64216072795633727</v>
      </c>
      <c r="J827" s="210">
        <v>0.6739597547628583</v>
      </c>
      <c r="K827" s="37">
        <f t="shared" si="105"/>
        <v>1.3268926004524123E-2</v>
      </c>
      <c r="L827" s="37"/>
      <c r="M827" s="45">
        <f t="shared" si="100"/>
        <v>1.5241898431441596E-2</v>
      </c>
    </row>
    <row r="828" spans="1:13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658">
        <f t="shared" si="101"/>
        <v>1437.1</v>
      </c>
      <c r="G828" s="663">
        <f t="shared" si="103"/>
        <v>5.2967167580068655E-3</v>
      </c>
      <c r="H828" s="46">
        <f t="shared" si="104"/>
        <v>12.4370087508056</v>
      </c>
      <c r="I828" s="37">
        <f t="shared" si="102"/>
        <v>4.5730881176712197</v>
      </c>
      <c r="J828" s="210">
        <v>4.7995419403850521</v>
      </c>
      <c r="K828" s="37">
        <f t="shared" si="105"/>
        <v>9.4493426962842478E-2</v>
      </c>
      <c r="L828" s="37"/>
      <c r="M828" s="45">
        <f t="shared" si="100"/>
        <v>1.5241898431441595E-2</v>
      </c>
    </row>
    <row r="829" spans="1:13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658">
        <f t="shared" si="101"/>
        <v>213.86</v>
      </c>
      <c r="G829" s="663">
        <f t="shared" si="103"/>
        <v>7.8822339841858491E-4</v>
      </c>
      <c r="H829" s="46">
        <f t="shared" si="104"/>
        <v>1.8507958328907423</v>
      </c>
      <c r="I829" s="37">
        <f t="shared" si="102"/>
        <v>0.68053762775392601</v>
      </c>
      <c r="J829" s="210">
        <v>0.71423703247564363</v>
      </c>
      <c r="K829" s="37">
        <f t="shared" si="105"/>
        <v>1.4061905427787555E-2</v>
      </c>
      <c r="L829" s="37"/>
      <c r="M829" s="45">
        <f t="shared" si="100"/>
        <v>1.5241898431441593E-2</v>
      </c>
    </row>
    <row r="830" spans="1:13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658">
        <f t="shared" si="101"/>
        <v>397.89</v>
      </c>
      <c r="G830" s="663">
        <f t="shared" si="103"/>
        <v>1.4665024221302287E-3</v>
      </c>
      <c r="H830" s="46">
        <f t="shared" si="104"/>
        <v>3.4434356773071046</v>
      </c>
      <c r="I830" s="37">
        <f t="shared" si="102"/>
        <v>1.2661512985458225</v>
      </c>
      <c r="J830" s="210">
        <v>1.3288495878225652</v>
      </c>
      <c r="K830" s="37">
        <f t="shared" si="105"/>
        <v>2.6162403210803282E-2</v>
      </c>
      <c r="L830" s="37"/>
      <c r="M830" s="45">
        <f t="shared" si="100"/>
        <v>1.5241898431441595E-2</v>
      </c>
    </row>
    <row r="831" spans="1:13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658">
        <f t="shared" si="101"/>
        <v>352.17</v>
      </c>
      <c r="G831" s="663">
        <f t="shared" si="103"/>
        <v>1.2979923044097682E-3</v>
      </c>
      <c r="H831" s="46">
        <f t="shared" si="104"/>
        <v>3.0477638102924001</v>
      </c>
      <c r="I831" s="37">
        <f t="shared" si="102"/>
        <v>1.1206627530445157</v>
      </c>
      <c r="J831" s="210">
        <v>1.1761566245532002</v>
      </c>
      <c r="K831" s="37">
        <f t="shared" si="105"/>
        <v>2.3156182710670263E-2</v>
      </c>
      <c r="L831" s="37"/>
      <c r="M831" s="45">
        <f t="shared" si="100"/>
        <v>1.5241898431441593E-2</v>
      </c>
    </row>
    <row r="832" spans="1:13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658">
        <f t="shared" si="101"/>
        <v>653.07000000000005</v>
      </c>
      <c r="G832" s="663">
        <f t="shared" si="103"/>
        <v>2.4070188665726421E-3</v>
      </c>
      <c r="H832" s="46">
        <f t="shared" si="104"/>
        <v>5.6518247198445577</v>
      </c>
      <c r="I832" s="37">
        <f t="shared" si="102"/>
        <v>2.0781759494868441</v>
      </c>
      <c r="J832" s="210">
        <v>2.1810847227105046</v>
      </c>
      <c r="K832" s="37">
        <f t="shared" si="105"/>
        <v>4.2941216579655932E-2</v>
      </c>
      <c r="L832" s="37"/>
      <c r="M832" s="45">
        <f t="shared" si="100"/>
        <v>1.5241898431441591E-2</v>
      </c>
    </row>
    <row r="833" spans="1:13" s="6" customFormat="1" ht="15.75">
      <c r="A833" s="8">
        <v>87</v>
      </c>
      <c r="B833" s="8" t="s">
        <v>916</v>
      </c>
      <c r="C833" s="17">
        <v>786.94</v>
      </c>
      <c r="D833" s="55"/>
      <c r="E833" s="55"/>
      <c r="F833" s="658">
        <f t="shared" si="101"/>
        <v>786.94</v>
      </c>
      <c r="G833" s="663">
        <f t="shared" si="103"/>
        <v>2.9004232729426785E-3</v>
      </c>
      <c r="H833" s="46">
        <f t="shared" si="104"/>
        <v>6.8103678702657859</v>
      </c>
      <c r="I833" s="37">
        <f t="shared" si="102"/>
        <v>2.5041722658967296</v>
      </c>
      <c r="J833" s="210">
        <v>2.6281758642868369</v>
      </c>
      <c r="K833" s="37">
        <f t="shared" si="105"/>
        <v>5.1743551189297382E-2</v>
      </c>
      <c r="L833" s="37"/>
      <c r="M833" s="45">
        <f t="shared" si="100"/>
        <v>1.5241898431441596E-2</v>
      </c>
    </row>
    <row r="834" spans="1:13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658">
        <f t="shared" si="101"/>
        <v>3342.78</v>
      </c>
      <c r="G834" s="663">
        <f t="shared" si="103"/>
        <v>1.232047793774281E-2</v>
      </c>
      <c r="H834" s="46">
        <f t="shared" si="104"/>
        <v>28.929221426496383</v>
      </c>
      <c r="I834" s="37">
        <f t="shared" si="102"/>
        <v>10.63727471852272</v>
      </c>
      <c r="J834" s="210">
        <v>11.164019767225904</v>
      </c>
      <c r="K834" s="37">
        <f t="shared" si="105"/>
        <v>0.21979732640933172</v>
      </c>
      <c r="L834" s="37"/>
      <c r="M834" s="45">
        <f t="shared" si="100"/>
        <v>1.5241898431441595E-2</v>
      </c>
    </row>
    <row r="835" spans="1:13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658">
        <f t="shared" si="101"/>
        <v>139.80000000000001</v>
      </c>
      <c r="G835" s="663">
        <f t="shared" si="103"/>
        <v>5.1526059617936111E-4</v>
      </c>
      <c r="H835" s="46">
        <f t="shared" si="104"/>
        <v>1.2098627954649106</v>
      </c>
      <c r="I835" s="37">
        <f t="shared" si="102"/>
        <v>0.44486654989244767</v>
      </c>
      <c r="J835" s="210">
        <v>0.46689580632233696</v>
      </c>
      <c r="K835" s="37">
        <f t="shared" si="105"/>
        <v>9.1922490358398029E-3</v>
      </c>
      <c r="L835" s="37"/>
      <c r="M835" s="45">
        <f t="shared" si="100"/>
        <v>1.5241898431441593E-2</v>
      </c>
    </row>
    <row r="836" spans="1:13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658">
        <f t="shared" si="101"/>
        <v>3135.2999999999997</v>
      </c>
      <c r="G836" s="663">
        <f t="shared" si="103"/>
        <v>1.155576929328434E-2</v>
      </c>
      <c r="H836" s="46">
        <f t="shared" si="104"/>
        <v>27.133639646789227</v>
      </c>
      <c r="I836" s="37">
        <f t="shared" si="102"/>
        <v>9.9770392981243994</v>
      </c>
      <c r="J836" s="210">
        <v>10.471090282993009</v>
      </c>
      <c r="K836" s="37">
        <f t="shared" si="105"/>
        <v>0.20615492419219261</v>
      </c>
      <c r="L836" s="37"/>
      <c r="M836" s="45">
        <f t="shared" si="100"/>
        <v>1.5241898431441595E-2</v>
      </c>
    </row>
    <row r="837" spans="1:13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658">
        <f t="shared" si="101"/>
        <v>230.5</v>
      </c>
      <c r="G837" s="663">
        <f t="shared" si="103"/>
        <v>8.4955341501675779E-4</v>
      </c>
      <c r="H837" s="46">
        <f t="shared" si="104"/>
        <v>1.9948023916642483</v>
      </c>
      <c r="I837" s="37">
        <f t="shared" si="102"/>
        <v>0.73348883941494414</v>
      </c>
      <c r="J837" s="210">
        <v>0.76981032444419628</v>
      </c>
      <c r="K837" s="37">
        <f t="shared" si="105"/>
        <v>1.5156032923898959E-2</v>
      </c>
      <c r="L837" s="37"/>
      <c r="M837" s="45">
        <f t="shared" si="100"/>
        <v>1.5241898431441595E-2</v>
      </c>
    </row>
    <row r="838" spans="1:13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658">
        <f t="shared" si="101"/>
        <v>65.900000000000006</v>
      </c>
      <c r="G838" s="663">
        <f t="shared" si="103"/>
        <v>2.4288750563819671E-4</v>
      </c>
      <c r="H838" s="46">
        <f t="shared" si="104"/>
        <v>0.57031443648882418</v>
      </c>
      <c r="I838" s="37">
        <f t="shared" si="102"/>
        <v>0.20970461829694068</v>
      </c>
      <c r="J838" s="210">
        <v>0.22008893874565094</v>
      </c>
      <c r="K838" s="37">
        <f t="shared" si="105"/>
        <v>4.3331131005854293E-3</v>
      </c>
      <c r="L838" s="37"/>
      <c r="M838" s="45">
        <f t="shared" si="100"/>
        <v>1.5241898431441598E-2</v>
      </c>
    </row>
    <row r="839" spans="1:13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658">
        <f t="shared" si="101"/>
        <v>75.900000000000006</v>
      </c>
      <c r="G839" s="663">
        <f t="shared" si="103"/>
        <v>2.7974448676690636E-4</v>
      </c>
      <c r="H839" s="46">
        <f t="shared" si="104"/>
        <v>0.65685683959790209</v>
      </c>
      <c r="I839" s="37">
        <f t="shared" si="102"/>
        <v>0.24152625992014862</v>
      </c>
      <c r="J839" s="210">
        <v>0.25348634978444473</v>
      </c>
      <c r="K839" s="37">
        <f t="shared" si="105"/>
        <v>4.9906416439216093E-3</v>
      </c>
      <c r="L839" s="37"/>
      <c r="M839" s="45">
        <f t="shared" ref="M839:M902" si="106">(K839+J839+I839+H839)/F839</f>
        <v>1.5241898431441595E-2</v>
      </c>
    </row>
    <row r="840" spans="1:13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658">
        <f t="shared" si="101"/>
        <v>115.8</v>
      </c>
      <c r="G840" s="663">
        <f t="shared" si="103"/>
        <v>4.2680384147045789E-4</v>
      </c>
      <c r="H840" s="46">
        <f t="shared" si="104"/>
        <v>1.0021610280031232</v>
      </c>
      <c r="I840" s="37">
        <f t="shared" si="102"/>
        <v>0.36849460999674843</v>
      </c>
      <c r="J840" s="210">
        <v>0.38674201982923179</v>
      </c>
      <c r="K840" s="37">
        <f t="shared" si="105"/>
        <v>7.6141805318329691E-3</v>
      </c>
      <c r="L840" s="37"/>
      <c r="M840" s="45">
        <f t="shared" si="106"/>
        <v>1.5241898431441595E-2</v>
      </c>
    </row>
    <row r="841" spans="1:13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658">
        <f t="shared" si="101"/>
        <v>43.6</v>
      </c>
      <c r="G841" s="663">
        <f t="shared" si="103"/>
        <v>1.6069643772117413E-4</v>
      </c>
      <c r="H841" s="46">
        <f t="shared" si="104"/>
        <v>0.37732487755558014</v>
      </c>
      <c r="I841" s="37">
        <f t="shared" si="102"/>
        <v>0.13874235747718683</v>
      </c>
      <c r="J841" s="210">
        <v>0.14561271212914084</v>
      </c>
      <c r="K841" s="37">
        <f t="shared" si="105"/>
        <v>2.8668244489457465E-3</v>
      </c>
      <c r="L841" s="37"/>
      <c r="M841" s="45">
        <f t="shared" si="106"/>
        <v>1.5241898431441595E-2</v>
      </c>
    </row>
    <row r="842" spans="1:13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658">
        <f t="shared" si="101"/>
        <v>229.9</v>
      </c>
      <c r="G842" s="663">
        <f t="shared" si="103"/>
        <v>8.4734199614903516E-4</v>
      </c>
      <c r="H842" s="46">
        <f t="shared" si="104"/>
        <v>1.9896098474777035</v>
      </c>
      <c r="I842" s="37">
        <f t="shared" si="102"/>
        <v>0.73157954091755162</v>
      </c>
      <c r="J842" s="210">
        <v>0.76780647978186878</v>
      </c>
      <c r="K842" s="37">
        <f t="shared" si="105"/>
        <v>1.5116581211298788E-2</v>
      </c>
      <c r="L842" s="37"/>
      <c r="M842" s="45">
        <f t="shared" si="106"/>
        <v>1.5241898431441595E-2</v>
      </c>
    </row>
    <row r="843" spans="1:13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658">
        <f t="shared" si="101"/>
        <v>274.3</v>
      </c>
      <c r="G843" s="663">
        <f t="shared" si="103"/>
        <v>1.010986992360506E-3</v>
      </c>
      <c r="H843" s="46">
        <f t="shared" si="104"/>
        <v>2.3738581172820097</v>
      </c>
      <c r="I843" s="37">
        <f t="shared" si="102"/>
        <v>0.87286762972459497</v>
      </c>
      <c r="J843" s="210">
        <v>0.91609098479411311</v>
      </c>
      <c r="K843" s="37">
        <f t="shared" si="105"/>
        <v>1.8036007943711428E-2</v>
      </c>
      <c r="L843" s="37"/>
      <c r="M843" s="45">
        <f t="shared" si="106"/>
        <v>1.5241898431441593E-2</v>
      </c>
    </row>
    <row r="844" spans="1:13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658">
        <f t="shared" si="101"/>
        <v>282</v>
      </c>
      <c r="G844" s="663">
        <f t="shared" si="103"/>
        <v>1.0393668678296125E-3</v>
      </c>
      <c r="H844" s="46">
        <f t="shared" si="104"/>
        <v>2.440495767676</v>
      </c>
      <c r="I844" s="37">
        <f t="shared" si="102"/>
        <v>0.8973702937744652</v>
      </c>
      <c r="J844" s="210">
        <v>0.94180699129398426</v>
      </c>
      <c r="K844" s="37">
        <f t="shared" si="105"/>
        <v>1.8542304922080286E-2</v>
      </c>
      <c r="L844" s="37"/>
      <c r="M844" s="45">
        <f t="shared" si="106"/>
        <v>1.5241898431441596E-2</v>
      </c>
    </row>
    <row r="845" spans="1:13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658">
        <f t="shared" si="101"/>
        <v>181.2</v>
      </c>
      <c r="G845" s="663">
        <f t="shared" si="103"/>
        <v>6.6784849805221901E-4</v>
      </c>
      <c r="H845" s="46">
        <f t="shared" si="104"/>
        <v>1.5681483443364934</v>
      </c>
      <c r="I845" s="37">
        <f t="shared" si="102"/>
        <v>0.57660814621252865</v>
      </c>
      <c r="J845" s="210">
        <v>0.60516108802294311</v>
      </c>
      <c r="K845" s="37">
        <f t="shared" si="105"/>
        <v>1.1914417205251587E-2</v>
      </c>
      <c r="L845" s="37"/>
      <c r="M845" s="45">
        <f t="shared" si="106"/>
        <v>1.5241898431441595E-2</v>
      </c>
    </row>
    <row r="846" spans="1:13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658">
        <f t="shared" si="101"/>
        <v>171</v>
      </c>
      <c r="G846" s="663">
        <f t="shared" si="103"/>
        <v>6.3025437730093519E-4</v>
      </c>
      <c r="H846" s="46">
        <f t="shared" si="104"/>
        <v>1.4798750931652338</v>
      </c>
      <c r="I846" s="37">
        <f t="shared" si="102"/>
        <v>0.54415007175685648</v>
      </c>
      <c r="J846" s="210">
        <v>0.57109572876337344</v>
      </c>
      <c r="K846" s="37">
        <f t="shared" si="105"/>
        <v>1.1243738091048684E-2</v>
      </c>
      <c r="L846" s="37"/>
      <c r="M846" s="45">
        <f t="shared" si="106"/>
        <v>1.5241898431441591E-2</v>
      </c>
    </row>
    <row r="847" spans="1:13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658">
        <f t="shared" si="101"/>
        <v>160.5</v>
      </c>
      <c r="G847" s="663">
        <f t="shared" si="103"/>
        <v>5.9155454711579006E-4</v>
      </c>
      <c r="H847" s="46">
        <f t="shared" si="104"/>
        <v>1.389005569900702</v>
      </c>
      <c r="I847" s="37">
        <f t="shared" si="102"/>
        <v>0.51073734805248816</v>
      </c>
      <c r="J847" s="210">
        <v>0.53602844717263998</v>
      </c>
      <c r="K847" s="37">
        <f t="shared" si="105"/>
        <v>1.0553333120545695E-2</v>
      </c>
      <c r="L847" s="37"/>
      <c r="M847" s="45">
        <f t="shared" si="106"/>
        <v>1.5241898431441595E-2</v>
      </c>
    </row>
    <row r="848" spans="1:13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658">
        <f t="shared" si="101"/>
        <v>165.6</v>
      </c>
      <c r="G848" s="663">
        <f t="shared" si="103"/>
        <v>6.1035160749143202E-4</v>
      </c>
      <c r="H848" s="46">
        <f t="shared" si="104"/>
        <v>1.4331421954863319</v>
      </c>
      <c r="I848" s="37">
        <f t="shared" si="102"/>
        <v>0.52696638528032425</v>
      </c>
      <c r="J848" s="210">
        <v>0.55306112680242481</v>
      </c>
      <c r="K848" s="37">
        <f t="shared" si="105"/>
        <v>1.0888672677647147E-2</v>
      </c>
      <c r="L848" s="37"/>
      <c r="M848" s="45">
        <f t="shared" si="106"/>
        <v>1.5241898431441598E-2</v>
      </c>
    </row>
    <row r="849" spans="1:13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658">
        <f t="shared" si="101"/>
        <v>158.6</v>
      </c>
      <c r="G849" s="663">
        <f t="shared" si="103"/>
        <v>5.8455172070133519E-4</v>
      </c>
      <c r="H849" s="46">
        <f t="shared" si="104"/>
        <v>1.372562513309977</v>
      </c>
      <c r="I849" s="37">
        <f t="shared" si="102"/>
        <v>0.50469123614407863</v>
      </c>
      <c r="J849" s="210">
        <v>0.5296829390752692</v>
      </c>
      <c r="K849" s="37">
        <f t="shared" si="105"/>
        <v>1.0428402697311819E-2</v>
      </c>
      <c r="L849" s="37"/>
      <c r="M849" s="45">
        <f t="shared" si="106"/>
        <v>1.5241898431441595E-2</v>
      </c>
    </row>
    <row r="850" spans="1:13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658">
        <f t="shared" si="101"/>
        <v>414.61</v>
      </c>
      <c r="G850" s="663">
        <f t="shared" si="103"/>
        <v>1.5281272945774315E-3</v>
      </c>
      <c r="H850" s="46">
        <f t="shared" si="104"/>
        <v>3.5881345753054834</v>
      </c>
      <c r="I850" s="37">
        <f t="shared" si="102"/>
        <v>1.3193570833398263</v>
      </c>
      <c r="J850" s="210">
        <v>1.3846900590794284</v>
      </c>
      <c r="K850" s="37">
        <f t="shared" si="105"/>
        <v>2.7261790935261376E-2</v>
      </c>
      <c r="L850" s="37"/>
      <c r="M850" s="45">
        <f t="shared" si="106"/>
        <v>1.5241898431441593E-2</v>
      </c>
    </row>
    <row r="851" spans="1:13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658">
        <f t="shared" si="101"/>
        <v>148.1</v>
      </c>
      <c r="G851" s="663">
        <f t="shared" si="103"/>
        <v>5.4585189051619006E-4</v>
      </c>
      <c r="H851" s="46">
        <f t="shared" si="104"/>
        <v>1.2816929900454452</v>
      </c>
      <c r="I851" s="37">
        <f t="shared" si="102"/>
        <v>0.47127851243971025</v>
      </c>
      <c r="J851" s="210">
        <v>0.49461565748453573</v>
      </c>
      <c r="K851" s="37">
        <f t="shared" si="105"/>
        <v>9.7379977268088301E-3</v>
      </c>
      <c r="L851" s="37"/>
      <c r="M851" s="45">
        <f t="shared" si="106"/>
        <v>1.5241898431441595E-2</v>
      </c>
    </row>
    <row r="852" spans="1:13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658">
        <f t="shared" si="101"/>
        <v>27.8</v>
      </c>
      <c r="G852" s="663">
        <f t="shared" si="103"/>
        <v>1.0246240753781287E-4</v>
      </c>
      <c r="H852" s="46">
        <f t="shared" si="104"/>
        <v>0.24058788064323688</v>
      </c>
      <c r="I852" s="37">
        <f t="shared" si="102"/>
        <v>8.846416371251821E-2</v>
      </c>
      <c r="J852" s="210">
        <v>9.2844802687846673E-2</v>
      </c>
      <c r="K852" s="37">
        <f t="shared" si="105"/>
        <v>1.8279293504745817E-3</v>
      </c>
      <c r="L852" s="37"/>
      <c r="M852" s="45">
        <f t="shared" si="106"/>
        <v>1.5241898431441595E-2</v>
      </c>
    </row>
    <row r="853" spans="1:13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658">
        <f t="shared" si="101"/>
        <v>140.9</v>
      </c>
      <c r="G853" s="663">
        <f t="shared" si="103"/>
        <v>5.193148641035192E-4</v>
      </c>
      <c r="H853" s="46">
        <f t="shared" si="104"/>
        <v>1.2193824598069092</v>
      </c>
      <c r="I853" s="37">
        <f t="shared" si="102"/>
        <v>0.44836693047100051</v>
      </c>
      <c r="J853" s="210">
        <v>0.47056952153660425</v>
      </c>
      <c r="K853" s="37">
        <f t="shared" si="105"/>
        <v>9.2645771756067821E-3</v>
      </c>
      <c r="L853" s="37"/>
      <c r="M853" s="45">
        <f t="shared" si="106"/>
        <v>1.5241898431441595E-2</v>
      </c>
    </row>
    <row r="854" spans="1:13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658">
        <f t="shared" si="101"/>
        <v>66.599999999999994</v>
      </c>
      <c r="G854" s="663">
        <f t="shared" si="103"/>
        <v>2.4546749431720634E-4</v>
      </c>
      <c r="H854" s="46">
        <f t="shared" si="104"/>
        <v>0.57637240470645945</v>
      </c>
      <c r="I854" s="37">
        <f t="shared" si="102"/>
        <v>0.21193213321056514</v>
      </c>
      <c r="J854" s="210">
        <v>0.22242675751836649</v>
      </c>
      <c r="K854" s="37">
        <f t="shared" si="105"/>
        <v>4.3791400986189612E-3</v>
      </c>
      <c r="L854" s="37"/>
      <c r="M854" s="45">
        <f t="shared" si="106"/>
        <v>1.5241898431441595E-2</v>
      </c>
    </row>
    <row r="855" spans="1:13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658">
        <f t="shared" si="101"/>
        <v>97.5</v>
      </c>
      <c r="G855" s="663">
        <f t="shared" si="103"/>
        <v>3.5935556600491921E-4</v>
      </c>
      <c r="H855" s="46">
        <f t="shared" si="104"/>
        <v>0.84378843031351058</v>
      </c>
      <c r="I855" s="37">
        <f t="shared" si="102"/>
        <v>0.31026100582627786</v>
      </c>
      <c r="J855" s="210">
        <v>0.32562475762823928</v>
      </c>
      <c r="K855" s="37">
        <f t="shared" si="105"/>
        <v>6.4109032975277584E-3</v>
      </c>
      <c r="L855" s="37"/>
      <c r="M855" s="45">
        <f t="shared" si="106"/>
        <v>1.5241898431441595E-2</v>
      </c>
    </row>
    <row r="856" spans="1:13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658">
        <f t="shared" si="101"/>
        <v>522.6</v>
      </c>
      <c r="G856" s="663">
        <f t="shared" si="103"/>
        <v>1.9261458337863672E-3</v>
      </c>
      <c r="H856" s="46">
        <f t="shared" si="104"/>
        <v>4.5227059864804176</v>
      </c>
      <c r="I856" s="37">
        <f t="shared" si="102"/>
        <v>1.6629989912288496</v>
      </c>
      <c r="J856" s="210">
        <v>1.7453487008873625</v>
      </c>
      <c r="K856" s="37">
        <f t="shared" si="105"/>
        <v>3.4362441674748792E-2</v>
      </c>
      <c r="L856" s="37"/>
      <c r="M856" s="45">
        <f t="shared" si="106"/>
        <v>1.5241898431441595E-2</v>
      </c>
    </row>
    <row r="857" spans="1:13" s="6" customFormat="1" ht="15.75">
      <c r="A857" s="8">
        <v>112</v>
      </c>
      <c r="B857" s="8" t="s">
        <v>34</v>
      </c>
      <c r="C857" s="8">
        <v>71.8</v>
      </c>
      <c r="D857" s="55"/>
      <c r="E857" s="55"/>
      <c r="F857" s="658">
        <f t="shared" si="101"/>
        <v>71.8</v>
      </c>
      <c r="G857" s="663">
        <f t="shared" si="103"/>
        <v>2.6463312450413537E-4</v>
      </c>
      <c r="H857" s="46">
        <f t="shared" si="104"/>
        <v>0.62137445432318006</v>
      </c>
      <c r="I857" s="37">
        <f t="shared" si="102"/>
        <v>0.22847938685463332</v>
      </c>
      <c r="J857" s="210">
        <v>0.23979341125853923</v>
      </c>
      <c r="K857" s="37">
        <f t="shared" si="105"/>
        <v>4.7210549411537753E-3</v>
      </c>
      <c r="L857" s="37"/>
      <c r="M857" s="45">
        <f t="shared" si="106"/>
        <v>1.5241898431441593E-2</v>
      </c>
    </row>
    <row r="858" spans="1:13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658">
        <f t="shared" si="101"/>
        <v>199</v>
      </c>
      <c r="G858" s="663">
        <f t="shared" si="103"/>
        <v>7.3345392446132229E-4</v>
      </c>
      <c r="H858" s="46">
        <f t="shared" si="104"/>
        <v>1.7221938218706523</v>
      </c>
      <c r="I858" s="37">
        <f t="shared" si="102"/>
        <v>0.63325066830183885</v>
      </c>
      <c r="J858" s="210">
        <v>0.66460847967199599</v>
      </c>
      <c r="K858" s="37">
        <f t="shared" si="105"/>
        <v>1.308481801238999E-2</v>
      </c>
      <c r="L858" s="37"/>
      <c r="M858" s="45">
        <f t="shared" si="106"/>
        <v>1.5241898431441593E-2</v>
      </c>
    </row>
    <row r="859" spans="1:13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658">
        <f t="shared" si="101"/>
        <v>128.5</v>
      </c>
      <c r="G859" s="663">
        <f t="shared" si="103"/>
        <v>4.7361220750391915E-4</v>
      </c>
      <c r="H859" s="46">
        <f t="shared" si="104"/>
        <v>1.1120698799516524</v>
      </c>
      <c r="I859" s="37">
        <f t="shared" si="102"/>
        <v>0.4089080948582226</v>
      </c>
      <c r="J859" s="210">
        <v>0.42915673184849989</v>
      </c>
      <c r="K859" s="37">
        <f t="shared" si="105"/>
        <v>8.4492417818699175E-3</v>
      </c>
      <c r="L859" s="37"/>
      <c r="M859" s="45">
        <f t="shared" si="106"/>
        <v>1.5241898431441593E-2</v>
      </c>
    </row>
    <row r="860" spans="1:13" s="6" customFormat="1" ht="15.75">
      <c r="A860" s="8">
        <v>115</v>
      </c>
      <c r="B860" s="8" t="s">
        <v>37</v>
      </c>
      <c r="C860" s="8">
        <v>43.4</v>
      </c>
      <c r="D860" s="55"/>
      <c r="E860" s="55"/>
      <c r="F860" s="658">
        <f t="shared" si="101"/>
        <v>43.4</v>
      </c>
      <c r="G860" s="663">
        <f t="shared" si="103"/>
        <v>1.5995929809859994E-4</v>
      </c>
      <c r="H860" s="46">
        <f t="shared" si="104"/>
        <v>0.37559402949339854</v>
      </c>
      <c r="I860" s="37">
        <f t="shared" si="102"/>
        <v>0.13810592464472266</v>
      </c>
      <c r="J860" s="210">
        <v>0.14494476390836494</v>
      </c>
      <c r="K860" s="37">
        <f t="shared" si="105"/>
        <v>2.8536738780790228E-3</v>
      </c>
      <c r="L860" s="37"/>
      <c r="M860" s="45">
        <f t="shared" si="106"/>
        <v>1.5241898431441595E-2</v>
      </c>
    </row>
    <row r="861" spans="1:13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658">
        <f t="shared" si="101"/>
        <v>35.4</v>
      </c>
      <c r="G861" s="663">
        <f t="shared" si="103"/>
        <v>1.304737131956322E-4</v>
      </c>
      <c r="H861" s="46">
        <f t="shared" si="104"/>
        <v>0.30636010700613614</v>
      </c>
      <c r="I861" s="37">
        <f t="shared" si="102"/>
        <v>0.11264861134615627</v>
      </c>
      <c r="J861" s="210">
        <v>0.11822683507732992</v>
      </c>
      <c r="K861" s="37">
        <f t="shared" si="105"/>
        <v>2.3276510434100785E-3</v>
      </c>
      <c r="L861" s="37"/>
      <c r="M861" s="45">
        <f t="shared" si="106"/>
        <v>1.5241898431441595E-2</v>
      </c>
    </row>
    <row r="862" spans="1:13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658">
        <f t="shared" si="101"/>
        <v>407.14</v>
      </c>
      <c r="G862" s="663">
        <f t="shared" si="103"/>
        <v>1.5005951296742852E-3</v>
      </c>
      <c r="H862" s="46">
        <f t="shared" si="104"/>
        <v>3.5234874001830021</v>
      </c>
      <c r="I862" s="37">
        <f t="shared" si="102"/>
        <v>1.2955863170472899</v>
      </c>
      <c r="J862" s="210">
        <v>1.3597421930334495</v>
      </c>
      <c r="K862" s="37">
        <f t="shared" si="105"/>
        <v>2.6770617113389246E-2</v>
      </c>
      <c r="L862" s="37"/>
      <c r="M862" s="45">
        <f t="shared" si="106"/>
        <v>1.5241898431441595E-2</v>
      </c>
    </row>
    <row r="863" spans="1:13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658">
        <f t="shared" si="101"/>
        <v>207.4</v>
      </c>
      <c r="G863" s="663">
        <f t="shared" si="103"/>
        <v>7.6441378860943841E-4</v>
      </c>
      <c r="H863" s="46">
        <f t="shared" si="104"/>
        <v>1.7948894404822779</v>
      </c>
      <c r="I863" s="37">
        <f t="shared" si="102"/>
        <v>0.65998084726533368</v>
      </c>
      <c r="J863" s="210">
        <v>0.69266230494458281</v>
      </c>
      <c r="K863" s="37">
        <f t="shared" si="105"/>
        <v>1.3637141988792382E-2</v>
      </c>
      <c r="L863" s="37"/>
      <c r="M863" s="45">
        <f t="shared" si="106"/>
        <v>1.5241898431441595E-2</v>
      </c>
    </row>
    <row r="864" spans="1:13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658">
        <f t="shared" si="101"/>
        <v>619.29999999999995</v>
      </c>
      <c r="G864" s="663">
        <f t="shared" si="103"/>
        <v>2.2825528413009891E-3</v>
      </c>
      <c r="H864" s="46">
        <f t="shared" si="104"/>
        <v>5.3595710245452004</v>
      </c>
      <c r="I864" s="37">
        <f t="shared" si="102"/>
        <v>1.9707142657252703</v>
      </c>
      <c r="J864" s="210">
        <v>2.068301665632498</v>
      </c>
      <c r="K864" s="37">
        <f t="shared" si="105"/>
        <v>4.0720742688809645E-2</v>
      </c>
      <c r="L864" s="37"/>
      <c r="M864" s="45">
        <f t="shared" si="106"/>
        <v>1.5241898431441593E-2</v>
      </c>
    </row>
    <row r="865" spans="1:13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658">
        <f t="shared" si="101"/>
        <v>326.7</v>
      </c>
      <c r="G865" s="663">
        <f t="shared" si="103"/>
        <v>1.2041175734749446E-3</v>
      </c>
      <c r="H865" s="46">
        <f t="shared" si="104"/>
        <v>2.8273403095735783</v>
      </c>
      <c r="I865" s="37">
        <f t="shared" si="102"/>
        <v>1.0396130318302048</v>
      </c>
      <c r="J865" s="210">
        <v>1.0910934186373924</v>
      </c>
      <c r="K865" s="37">
        <f t="shared" si="105"/>
        <v>2.1481457510793011E-2</v>
      </c>
      <c r="L865" s="37"/>
      <c r="M865" s="45">
        <f t="shared" si="106"/>
        <v>1.5241898431441595E-2</v>
      </c>
    </row>
    <row r="866" spans="1:13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658">
        <f t="shared" si="101"/>
        <v>485.4</v>
      </c>
      <c r="G866" s="663">
        <f t="shared" si="103"/>
        <v>1.7890378639875671E-3</v>
      </c>
      <c r="H866" s="46">
        <f t="shared" si="104"/>
        <v>4.200768246914647</v>
      </c>
      <c r="I866" s="37">
        <f t="shared" si="102"/>
        <v>1.5446224843905159</v>
      </c>
      <c r="J866" s="210">
        <v>1.6211103318230495</v>
      </c>
      <c r="K866" s="37">
        <f t="shared" si="105"/>
        <v>3.1916435493538196E-2</v>
      </c>
      <c r="L866" s="37"/>
      <c r="M866" s="45">
        <f t="shared" si="106"/>
        <v>1.5241898431441596E-2</v>
      </c>
    </row>
    <row r="867" spans="1:13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658">
        <f t="shared" si="101"/>
        <v>133.6</v>
      </c>
      <c r="G867" s="663">
        <f t="shared" si="103"/>
        <v>4.9240926787956106E-4</v>
      </c>
      <c r="H867" s="46">
        <f t="shared" si="104"/>
        <v>1.1562065055372821</v>
      </c>
      <c r="I867" s="37">
        <f t="shared" si="102"/>
        <v>0.42513713208605863</v>
      </c>
      <c r="J867" s="210">
        <v>0.44618941147828473</v>
      </c>
      <c r="K867" s="37">
        <f t="shared" si="105"/>
        <v>8.7845813389713697E-3</v>
      </c>
      <c r="L867" s="37"/>
      <c r="M867" s="45">
        <f t="shared" si="106"/>
        <v>1.5241898431441595E-2</v>
      </c>
    </row>
    <row r="868" spans="1:13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658">
        <f t="shared" si="101"/>
        <v>562.28</v>
      </c>
      <c r="G868" s="663">
        <f t="shared" si="103"/>
        <v>2.0723943349050867E-3</v>
      </c>
      <c r="H868" s="46">
        <f t="shared" si="104"/>
        <v>4.8661062420172376</v>
      </c>
      <c r="I868" s="37">
        <f t="shared" si="102"/>
        <v>1.7892672651897383</v>
      </c>
      <c r="J868" s="210">
        <v>1.8778696278892957</v>
      </c>
      <c r="K868" s="37">
        <f t="shared" si="105"/>
        <v>3.6971514934706746E-2</v>
      </c>
      <c r="L868" s="37"/>
      <c r="M868" s="45">
        <f t="shared" si="106"/>
        <v>1.5241898431441593E-2</v>
      </c>
    </row>
    <row r="869" spans="1:13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658">
        <f t="shared" si="101"/>
        <v>156.78</v>
      </c>
      <c r="G869" s="663">
        <f t="shared" si="103"/>
        <v>5.7784375013591007E-4</v>
      </c>
      <c r="H869" s="46">
        <f t="shared" si="104"/>
        <v>1.356811795944125</v>
      </c>
      <c r="I869" s="37">
        <f t="shared" si="102"/>
        <v>0.4988996973686548</v>
      </c>
      <c r="J869" s="210">
        <v>0.52360461026620864</v>
      </c>
      <c r="K869" s="37">
        <f t="shared" si="105"/>
        <v>1.0308732502424636E-2</v>
      </c>
      <c r="L869" s="37"/>
      <c r="M869" s="45">
        <f t="shared" si="106"/>
        <v>1.5241898431441596E-2</v>
      </c>
    </row>
    <row r="870" spans="1:13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658">
        <f t="shared" si="101"/>
        <v>169.82</v>
      </c>
      <c r="G870" s="663">
        <f t="shared" si="103"/>
        <v>6.2590525352774747E-4</v>
      </c>
      <c r="H870" s="46">
        <f t="shared" si="104"/>
        <v>1.4696630895983627</v>
      </c>
      <c r="I870" s="37">
        <f t="shared" si="102"/>
        <v>0.54039511804531803</v>
      </c>
      <c r="J870" s="210">
        <v>0.56715483426079571</v>
      </c>
      <c r="K870" s="37">
        <f t="shared" si="105"/>
        <v>1.1166149722935014E-2</v>
      </c>
      <c r="L870" s="37"/>
      <c r="M870" s="45">
        <f t="shared" si="106"/>
        <v>1.5241898431441595E-2</v>
      </c>
    </row>
    <row r="871" spans="1:13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658">
        <f t="shared" si="101"/>
        <v>263.20999999999998</v>
      </c>
      <c r="G871" s="663">
        <f t="shared" si="103"/>
        <v>9.7011260028876702E-4</v>
      </c>
      <c r="H871" s="46">
        <f t="shared" si="104"/>
        <v>2.2778825922340422</v>
      </c>
      <c r="I871" s="37">
        <f t="shared" si="102"/>
        <v>0.83757742916445743</v>
      </c>
      <c r="J871" s="210">
        <v>0.87905325595209072</v>
      </c>
      <c r="K871" s="37">
        <f t="shared" si="105"/>
        <v>1.7306808789151605E-2</v>
      </c>
      <c r="L871" s="37"/>
      <c r="M871" s="45">
        <f t="shared" si="106"/>
        <v>1.5241898431441595E-2</v>
      </c>
    </row>
    <row r="872" spans="1:13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658">
        <f t="shared" ref="F872:F879" si="107">C872+D872+E872</f>
        <v>83.5</v>
      </c>
      <c r="G872" s="663">
        <f t="shared" si="103"/>
        <v>3.0775579242472571E-4</v>
      </c>
      <c r="H872" s="46">
        <f t="shared" si="104"/>
        <v>0.72262906596080145</v>
      </c>
      <c r="I872" s="37">
        <f t="shared" ref="I872:I879" si="108">H872*0.3677</f>
        <v>0.26571070755378673</v>
      </c>
      <c r="J872" s="210">
        <v>0.27886838217392795</v>
      </c>
      <c r="K872" s="37">
        <f t="shared" si="105"/>
        <v>5.4903633368571063E-3</v>
      </c>
      <c r="L872" s="37"/>
      <c r="M872" s="45">
        <f t="shared" si="106"/>
        <v>1.5241898431441596E-2</v>
      </c>
    </row>
    <row r="873" spans="1:13" s="6" customFormat="1" ht="15.75">
      <c r="A873" s="32">
        <v>128</v>
      </c>
      <c r="B873" s="146" t="s">
        <v>1372</v>
      </c>
      <c r="C873" s="196">
        <v>1770.4</v>
      </c>
      <c r="D873" s="55"/>
      <c r="E873" s="55"/>
      <c r="F873" s="658">
        <f t="shared" si="107"/>
        <v>1770.4</v>
      </c>
      <c r="G873" s="663">
        <f t="shared" si="103"/>
        <v>6.5251599390267591E-3</v>
      </c>
      <c r="H873" s="46">
        <f t="shared" si="104"/>
        <v>15.321467046431172</v>
      </c>
      <c r="I873" s="37">
        <f t="shared" si="108"/>
        <v>5.6337034329727427</v>
      </c>
      <c r="J873" s="210">
        <v>5.9126776503080487</v>
      </c>
      <c r="K873" s="37">
        <f t="shared" si="105"/>
        <v>0.11640885331223738</v>
      </c>
      <c r="L873" s="37"/>
      <c r="M873" s="45">
        <f t="shared" si="106"/>
        <v>1.5241898431441596E-2</v>
      </c>
    </row>
    <row r="874" spans="1:13" s="6" customFormat="1" ht="15.75">
      <c r="A874" s="32">
        <v>129</v>
      </c>
      <c r="B874" s="146" t="s">
        <v>1373</v>
      </c>
      <c r="C874" s="196">
        <v>4227</v>
      </c>
      <c r="D874" s="55"/>
      <c r="E874" s="55">
        <v>534.20000000000005</v>
      </c>
      <c r="F874" s="658">
        <f t="shared" si="107"/>
        <v>4761.2</v>
      </c>
      <c r="G874" s="663">
        <f t="shared" si="103"/>
        <v>1.7548345855001243E-2</v>
      </c>
      <c r="H874" s="46">
        <f t="shared" si="104"/>
        <v>41.204568968294218</v>
      </c>
      <c r="I874" s="37">
        <f t="shared" si="108"/>
        <v>15.150920009641785</v>
      </c>
      <c r="J874" s="210">
        <v>15.901175343790488</v>
      </c>
      <c r="K874" s="37">
        <f>G874*17.84</f>
        <v>0.31306249005322218</v>
      </c>
      <c r="L874" s="37"/>
      <c r="M874" s="45">
        <f t="shared" si="106"/>
        <v>1.5241898431441595E-2</v>
      </c>
    </row>
    <row r="875" spans="1:13" s="6" customFormat="1" ht="15.75">
      <c r="A875" s="8">
        <v>130</v>
      </c>
      <c r="B875" s="195" t="s">
        <v>1382</v>
      </c>
      <c r="C875" s="158">
        <v>725.2</v>
      </c>
      <c r="D875" s="160"/>
      <c r="E875" s="160"/>
      <c r="F875" s="658">
        <f t="shared" si="107"/>
        <v>725.2</v>
      </c>
      <c r="G875" s="663">
        <f t="shared" si="103"/>
        <v>2.6728682714540252E-3</v>
      </c>
      <c r="H875" s="46">
        <f t="shared" si="104"/>
        <v>6.2760550734703386</v>
      </c>
      <c r="I875" s="37">
        <f t="shared" si="108"/>
        <v>2.3077054505150438</v>
      </c>
      <c r="J875" s="210">
        <v>2.4219802485333242</v>
      </c>
      <c r="K875" s="37">
        <f>G875*17.84</f>
        <v>4.7683969962739811E-2</v>
      </c>
      <c r="L875" s="37"/>
      <c r="M875" s="45">
        <f t="shared" si="106"/>
        <v>1.5241898431441596E-2</v>
      </c>
    </row>
    <row r="876" spans="1:13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658">
        <f t="shared" si="107"/>
        <v>2911.81</v>
      </c>
      <c r="G876" s="663">
        <f t="shared" si="103"/>
        <v>1.0732052622038808E-2</v>
      </c>
      <c r="H876" s="46">
        <f t="shared" si="104"/>
        <v>25.199503479704443</v>
      </c>
      <c r="I876" s="37">
        <f t="shared" si="108"/>
        <v>9.2658574294873244</v>
      </c>
      <c r="J876" s="210">
        <v>5.9126776503080487</v>
      </c>
      <c r="K876" s="39">
        <f>G876*17.84</f>
        <v>0.19145981877717233</v>
      </c>
      <c r="L876" s="39"/>
      <c r="M876" s="45">
        <f t="shared" si="106"/>
        <v>1.3932742307457214E-2</v>
      </c>
    </row>
    <row r="877" spans="1:13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658">
        <f t="shared" si="107"/>
        <v>2933</v>
      </c>
      <c r="G877" s="663">
        <f>1/271319.02*F877</f>
        <v>1.0810152565050545E-2</v>
      </c>
      <c r="H877" s="46">
        <f>G877*2348.06</f>
        <v>25.382886831892581</v>
      </c>
      <c r="I877" s="37">
        <f t="shared" si="108"/>
        <v>9.3332874880869028</v>
      </c>
      <c r="J877" s="210">
        <v>15.901175343790488</v>
      </c>
      <c r="K877" s="39">
        <f>G877*17.84</f>
        <v>0.19285312176050171</v>
      </c>
      <c r="L877" s="39"/>
      <c r="M877" s="45">
        <f t="shared" si="106"/>
        <v>1.7323628634684788E-2</v>
      </c>
    </row>
    <row r="878" spans="1:13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658">
        <f t="shared" si="107"/>
        <v>3120.67</v>
      </c>
      <c r="G878" s="663">
        <f>1/271319.02*F878</f>
        <v>1.1501847529893038E-2</v>
      </c>
      <c r="H878" s="46">
        <f>G878*2348.06</f>
        <v>27.007028111040647</v>
      </c>
      <c r="I878" s="37">
        <f t="shared" si="108"/>
        <v>9.9304842364296473</v>
      </c>
      <c r="J878" s="210">
        <v>2.4219802485333242</v>
      </c>
      <c r="K878" s="39">
        <f>G878*17.84</f>
        <v>0.20519295993329181</v>
      </c>
      <c r="L878" s="39"/>
      <c r="M878" s="45">
        <f t="shared" si="106"/>
        <v>1.2678266383801207E-2</v>
      </c>
    </row>
    <row r="879" spans="1:13" s="69" customFormat="1" ht="16.5" thickBot="1">
      <c r="A879" s="63"/>
      <c r="B879" s="63" t="s">
        <v>681</v>
      </c>
      <c r="C879" s="200">
        <f>SUM(C749:C875)</f>
        <v>265493.51999999984</v>
      </c>
      <c r="D879" s="200">
        <f>SUM(D749:D875)</f>
        <v>216.9</v>
      </c>
      <c r="E879" s="200">
        <f>SUM(E749:E875)</f>
        <v>5608.6</v>
      </c>
      <c r="F879" s="658">
        <f t="shared" si="107"/>
        <v>271319.01999999984</v>
      </c>
      <c r="G879" s="663">
        <f>1/271319.02*F879</f>
        <v>0.99999999999999944</v>
      </c>
      <c r="H879" s="46">
        <f>G879*2348.06</f>
        <v>2348.0599999999986</v>
      </c>
      <c r="I879" s="316">
        <f t="shared" si="108"/>
        <v>863.38166199999955</v>
      </c>
      <c r="J879" s="210">
        <f>SUM(J748:J875)</f>
        <v>906.13528335827061</v>
      </c>
      <c r="K879" s="37">
        <f>SUM(K749:K875)</f>
        <v>17.839999999999996</v>
      </c>
      <c r="L879" s="37"/>
      <c r="M879" s="45">
        <f t="shared" si="106"/>
        <v>1.5241898431441598E-2</v>
      </c>
    </row>
    <row r="880" spans="1:13" s="209" customFormat="1" ht="16.5" thickBot="1">
      <c r="A880" s="510" t="s">
        <v>392</v>
      </c>
      <c r="B880" s="339"/>
      <c r="C880" s="138"/>
      <c r="D880" s="138"/>
      <c r="E880" s="138"/>
      <c r="F880" s="339"/>
      <c r="G880" s="339"/>
      <c r="H880" s="46">
        <f>G880*2418.5</f>
        <v>0</v>
      </c>
      <c r="I880" s="342"/>
      <c r="J880" s="210">
        <v>0</v>
      </c>
      <c r="K880" s="342"/>
      <c r="L880" s="342"/>
      <c r="M880" s="45" t="e">
        <f t="shared" si="106"/>
        <v>#DIV/0!</v>
      </c>
    </row>
    <row r="881" spans="1:13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25">
        <f t="shared" ref="F881:F942" si="109">C881+D881+E881</f>
        <v>4265.91</v>
      </c>
      <c r="G881" s="663">
        <f t="shared" ref="G881:G944" si="110">1/282420.13*F881</f>
        <v>1.5104836896718373E-2</v>
      </c>
      <c r="H881" s="46">
        <f t="shared" ref="H881:H944" si="111">G881*2348.06</f>
        <v>35.467063323708544</v>
      </c>
      <c r="I881" s="37">
        <f t="shared" ref="I881:I943" si="112">H881*0.3677</f>
        <v>13.041239184127633</v>
      </c>
      <c r="J881" s="210">
        <v>13.635808053359298</v>
      </c>
      <c r="K881" s="37">
        <f>G881*217.84</f>
        <v>3.2904376695811304</v>
      </c>
      <c r="L881" s="37">
        <f>K881*1.219</f>
        <v>4.0110435192193981</v>
      </c>
      <c r="M881" s="45">
        <f t="shared" si="106"/>
        <v>1.5338942507173527E-2</v>
      </c>
    </row>
    <row r="882" spans="1:13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25">
        <f t="shared" si="109"/>
        <v>9865.73</v>
      </c>
      <c r="G882" s="663">
        <f t="shared" si="110"/>
        <v>3.4932814456249982E-2</v>
      </c>
      <c r="H882" s="46">
        <f t="shared" si="111"/>
        <v>82.024344312142333</v>
      </c>
      <c r="I882" s="37">
        <f t="shared" si="112"/>
        <v>30.160351403574737</v>
      </c>
      <c r="J882" s="210">
        <v>31.535405244430478</v>
      </c>
      <c r="K882" s="37">
        <f t="shared" ref="K882:K945" si="113">G882*217.84</f>
        <v>7.6097643011494958</v>
      </c>
      <c r="L882" s="37">
        <f t="shared" ref="L882:L945" si="114">K882*1.219</f>
        <v>9.2763026831012354</v>
      </c>
      <c r="M882" s="45">
        <f t="shared" si="106"/>
        <v>1.5338942507173523E-2</v>
      </c>
    </row>
    <row r="883" spans="1:13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25">
        <f t="shared" si="109"/>
        <v>4252.49</v>
      </c>
      <c r="G883" s="663">
        <f t="shared" si="110"/>
        <v>1.5057319037421303E-2</v>
      </c>
      <c r="H883" s="46">
        <f t="shared" si="111"/>
        <v>35.355488539007467</v>
      </c>
      <c r="I883" s="37">
        <f t="shared" si="112"/>
        <v>13.000213135793047</v>
      </c>
      <c r="J883" s="210">
        <v>13.592911568417966</v>
      </c>
      <c r="K883" s="37">
        <f t="shared" si="113"/>
        <v>3.2800863791118569</v>
      </c>
      <c r="L883" s="37">
        <f t="shared" si="114"/>
        <v>3.9984252961373539</v>
      </c>
      <c r="M883" s="45">
        <f t="shared" si="106"/>
        <v>1.5338942507173525E-2</v>
      </c>
    </row>
    <row r="884" spans="1:13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25">
        <f t="shared" si="109"/>
        <v>5951.3</v>
      </c>
      <c r="G884" s="663">
        <f t="shared" si="110"/>
        <v>2.1072506410927578E-2</v>
      </c>
      <c r="H884" s="46">
        <f t="shared" si="111"/>
        <v>49.479509403242609</v>
      </c>
      <c r="I884" s="37">
        <f t="shared" si="112"/>
        <v>18.193615607572308</v>
      </c>
      <c r="J884" s="210">
        <v>19.023088735570418</v>
      </c>
      <c r="K884" s="37">
        <f t="shared" si="113"/>
        <v>4.5904347965564636</v>
      </c>
      <c r="L884" s="37">
        <f t="shared" si="114"/>
        <v>5.5957400170023295</v>
      </c>
      <c r="M884" s="45">
        <f t="shared" si="106"/>
        <v>1.5338942507173525E-2</v>
      </c>
    </row>
    <row r="885" spans="1:13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25">
        <f t="shared" si="109"/>
        <v>4295.57</v>
      </c>
      <c r="G885" s="663">
        <f t="shared" si="110"/>
        <v>1.520985773924826E-2</v>
      </c>
      <c r="H885" s="46">
        <f t="shared" si="111"/>
        <v>35.713658563219269</v>
      </c>
      <c r="I885" s="37">
        <f t="shared" si="112"/>
        <v>13.131912253695726</v>
      </c>
      <c r="J885" s="210">
        <v>13.730615038706537</v>
      </c>
      <c r="K885" s="37">
        <f t="shared" si="113"/>
        <v>3.3133154099178412</v>
      </c>
      <c r="L885" s="37">
        <f t="shared" si="114"/>
        <v>4.038931484689849</v>
      </c>
      <c r="M885" s="45">
        <f t="shared" si="106"/>
        <v>1.5338942507173523E-2</v>
      </c>
    </row>
    <row r="886" spans="1:13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25">
        <f t="shared" si="109"/>
        <v>7972.34</v>
      </c>
      <c r="G886" s="663">
        <f t="shared" si="110"/>
        <v>2.8228653531177116E-2</v>
      </c>
      <c r="H886" s="46">
        <f t="shared" si="111"/>
        <v>66.282572210415736</v>
      </c>
      <c r="I886" s="37">
        <f t="shared" si="112"/>
        <v>24.372101801769869</v>
      </c>
      <c r="J886" s="210">
        <v>25.483261010222549</v>
      </c>
      <c r="K886" s="37">
        <f t="shared" si="113"/>
        <v>6.1493298852316229</v>
      </c>
      <c r="L886" s="37">
        <f t="shared" si="114"/>
        <v>7.4960331300973486</v>
      </c>
      <c r="M886" s="45">
        <f t="shared" si="106"/>
        <v>1.5338942507173525E-2</v>
      </c>
    </row>
    <row r="887" spans="1:13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25">
        <f t="shared" si="109"/>
        <v>3946.89</v>
      </c>
      <c r="G887" s="663">
        <f t="shared" si="110"/>
        <v>1.3975243195306226E-2</v>
      </c>
      <c r="H887" s="46">
        <f t="shared" si="111"/>
        <v>32.814709537170735</v>
      </c>
      <c r="I887" s="37">
        <f t="shared" si="112"/>
        <v>12.065968696817681</v>
      </c>
      <c r="J887" s="210">
        <v>12.616073580484182</v>
      </c>
      <c r="K887" s="37">
        <f t="shared" si="113"/>
        <v>3.0443669776655082</v>
      </c>
      <c r="L887" s="37">
        <f t="shared" si="114"/>
        <v>3.7110833457742549</v>
      </c>
      <c r="M887" s="45">
        <f t="shared" si="106"/>
        <v>1.5338942507173523E-2</v>
      </c>
    </row>
    <row r="888" spans="1:13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25">
        <f t="shared" si="109"/>
        <v>8036.22</v>
      </c>
      <c r="G888" s="663">
        <f t="shared" si="110"/>
        <v>2.8454841374090437E-2</v>
      </c>
      <c r="H888" s="46">
        <f t="shared" si="111"/>
        <v>66.813674836846786</v>
      </c>
      <c r="I888" s="37">
        <f t="shared" si="112"/>
        <v>24.567388237508567</v>
      </c>
      <c r="J888" s="210">
        <v>25.687450835710802</v>
      </c>
      <c r="K888" s="37">
        <f t="shared" si="113"/>
        <v>6.198602644931861</v>
      </c>
      <c r="L888" s="37">
        <f t="shared" si="114"/>
        <v>7.5560966241719392</v>
      </c>
      <c r="M888" s="45">
        <f t="shared" si="106"/>
        <v>1.5338942507173523E-2</v>
      </c>
    </row>
    <row r="889" spans="1:13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25">
        <f t="shared" si="109"/>
        <v>3993.05</v>
      </c>
      <c r="G889" s="663">
        <f t="shared" si="110"/>
        <v>1.4138687635332509E-2</v>
      </c>
      <c r="H889" s="46">
        <f t="shared" si="111"/>
        <v>33.198486889018852</v>
      </c>
      <c r="I889" s="37">
        <f t="shared" si="112"/>
        <v>12.207083629092233</v>
      </c>
      <c r="J889" s="210">
        <v>12.763622145677322</v>
      </c>
      <c r="K889" s="37">
        <f t="shared" si="113"/>
        <v>3.0799717144808341</v>
      </c>
      <c r="L889" s="37">
        <f t="shared" si="114"/>
        <v>3.7544855199521372</v>
      </c>
      <c r="M889" s="45">
        <f t="shared" si="106"/>
        <v>1.5338942507173523E-2</v>
      </c>
    </row>
    <row r="890" spans="1:13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25">
        <f t="shared" si="109"/>
        <v>8196.09</v>
      </c>
      <c r="G890" s="663">
        <f t="shared" si="110"/>
        <v>2.9020912921469161E-2</v>
      </c>
      <c r="H890" s="46">
        <f t="shared" si="111"/>
        <v>68.142844794384871</v>
      </c>
      <c r="I890" s="37">
        <f t="shared" si="112"/>
        <v>25.056124030895319</v>
      </c>
      <c r="J890" s="210">
        <v>26.198468797526814</v>
      </c>
      <c r="K890" s="37">
        <f t="shared" si="113"/>
        <v>6.3219156708128423</v>
      </c>
      <c r="L890" s="37">
        <f t="shared" si="114"/>
        <v>7.706415202720855</v>
      </c>
      <c r="M890" s="45">
        <f t="shared" si="106"/>
        <v>1.5338942507173523E-2</v>
      </c>
    </row>
    <row r="891" spans="1:13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25">
        <f t="shared" si="109"/>
        <v>3935.64</v>
      </c>
      <c r="G891" s="663">
        <f t="shared" si="110"/>
        <v>1.3935408924285955E-2</v>
      </c>
      <c r="H891" s="46">
        <f t="shared" si="111"/>
        <v>32.721176278758875</v>
      </c>
      <c r="I891" s="37">
        <f t="shared" si="112"/>
        <v>12.031576517699639</v>
      </c>
      <c r="J891" s="210">
        <v>12.580113412407432</v>
      </c>
      <c r="K891" s="37">
        <f t="shared" si="113"/>
        <v>3.0356894800664525</v>
      </c>
      <c r="L891" s="37">
        <f t="shared" si="114"/>
        <v>3.7005054762010059</v>
      </c>
      <c r="M891" s="45">
        <f t="shared" si="106"/>
        <v>1.5338942507173521E-2</v>
      </c>
    </row>
    <row r="892" spans="1:13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25">
        <f t="shared" si="109"/>
        <v>4128.3999999999996</v>
      </c>
      <c r="G892" s="663">
        <f t="shared" si="110"/>
        <v>1.4617938176007494E-2</v>
      </c>
      <c r="H892" s="46">
        <f t="shared" si="111"/>
        <v>34.323795913556154</v>
      </c>
      <c r="I892" s="37">
        <f t="shared" si="112"/>
        <v>12.620859757414598</v>
      </c>
      <c r="J892" s="210">
        <v>13.196262923382941</v>
      </c>
      <c r="K892" s="37">
        <f t="shared" si="113"/>
        <v>3.1843716522614725</v>
      </c>
      <c r="L892" s="37">
        <f t="shared" si="114"/>
        <v>3.8817490441067353</v>
      </c>
      <c r="M892" s="45">
        <f t="shared" si="106"/>
        <v>1.5338942507173523E-2</v>
      </c>
    </row>
    <row r="893" spans="1:13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25">
        <f t="shared" si="109"/>
        <v>18171.13</v>
      </c>
      <c r="G893" s="663">
        <f t="shared" si="110"/>
        <v>6.4340774859072553E-2</v>
      </c>
      <c r="H893" s="46">
        <f t="shared" si="111"/>
        <v>151.07599981559389</v>
      </c>
      <c r="I893" s="37">
        <f t="shared" si="112"/>
        <v>55.550645132193878</v>
      </c>
      <c r="J893" s="210">
        <v>58.083279017287936</v>
      </c>
      <c r="K893" s="37">
        <f t="shared" si="113"/>
        <v>14.015994395300366</v>
      </c>
      <c r="L893" s="37">
        <f t="shared" si="114"/>
        <v>17.085497167871146</v>
      </c>
      <c r="M893" s="45">
        <f t="shared" si="106"/>
        <v>1.5338942507173525E-2</v>
      </c>
    </row>
    <row r="894" spans="1:13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25">
        <f t="shared" si="109"/>
        <v>3212.3</v>
      </c>
      <c r="G894" s="663">
        <f t="shared" si="110"/>
        <v>1.1374189226525744E-2</v>
      </c>
      <c r="H894" s="46">
        <f t="shared" si="111"/>
        <v>26.70727875523604</v>
      </c>
      <c r="I894" s="37">
        <f t="shared" si="112"/>
        <v>9.8202663983002925</v>
      </c>
      <c r="J894" s="210">
        <v>10.267986481150816</v>
      </c>
      <c r="K894" s="37">
        <f t="shared" si="113"/>
        <v>2.4777533811063681</v>
      </c>
      <c r="L894" s="37">
        <f t="shared" si="114"/>
        <v>3.0203813715686629</v>
      </c>
      <c r="M894" s="45">
        <f t="shared" si="106"/>
        <v>1.5338942507173525E-2</v>
      </c>
    </row>
    <row r="895" spans="1:13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25">
        <f t="shared" si="109"/>
        <v>4181.6099999999997</v>
      </c>
      <c r="G895" s="663">
        <f t="shared" si="110"/>
        <v>1.4806345425873148E-2</v>
      </c>
      <c r="H895" s="46">
        <f t="shared" si="111"/>
        <v>34.766187440675701</v>
      </c>
      <c r="I895" s="37">
        <f t="shared" si="112"/>
        <v>12.783527121936457</v>
      </c>
      <c r="J895" s="210">
        <v>13.366346527237511</v>
      </c>
      <c r="K895" s="37">
        <f t="shared" si="113"/>
        <v>3.2254142875722067</v>
      </c>
      <c r="L895" s="37">
        <f t="shared" si="114"/>
        <v>3.9317800165505203</v>
      </c>
      <c r="M895" s="45">
        <f t="shared" si="106"/>
        <v>1.5338942507173523E-2</v>
      </c>
    </row>
    <row r="896" spans="1:13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25">
        <f t="shared" si="109"/>
        <v>6299.01</v>
      </c>
      <c r="G896" s="663">
        <f t="shared" si="110"/>
        <v>2.2303686355501642E-2</v>
      </c>
      <c r="H896" s="46">
        <f t="shared" si="111"/>
        <v>52.370393783899182</v>
      </c>
      <c r="I896" s="37">
        <f t="shared" si="112"/>
        <v>19.256593794339732</v>
      </c>
      <c r="J896" s="210">
        <v>20.134529628189711</v>
      </c>
      <c r="K896" s="37">
        <f t="shared" si="113"/>
        <v>4.8586350356824779</v>
      </c>
      <c r="L896" s="37">
        <f t="shared" si="114"/>
        <v>5.9226761084969413</v>
      </c>
      <c r="M896" s="45">
        <f t="shared" si="106"/>
        <v>1.5338942507173525E-2</v>
      </c>
    </row>
    <row r="897" spans="1:13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25">
        <f t="shared" si="109"/>
        <v>147.65</v>
      </c>
      <c r="G897" s="663">
        <f t="shared" si="110"/>
        <v>5.2280267699048228E-4</v>
      </c>
      <c r="H897" s="46">
        <f t="shared" si="111"/>
        <v>1.2275720537342718</v>
      </c>
      <c r="I897" s="37">
        <f t="shared" si="112"/>
        <v>0.4513782441580918</v>
      </c>
      <c r="J897" s="210">
        <v>0.47195722813620089</v>
      </c>
      <c r="K897" s="37">
        <f t="shared" si="113"/>
        <v>0.11388733515560666</v>
      </c>
      <c r="L897" s="37">
        <f t="shared" si="114"/>
        <v>0.13882866155468454</v>
      </c>
      <c r="M897" s="45">
        <f t="shared" si="106"/>
        <v>1.5338942507173527E-2</v>
      </c>
    </row>
    <row r="898" spans="1:13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25">
        <f t="shared" si="109"/>
        <v>4248.3</v>
      </c>
      <c r="G898" s="663">
        <f t="shared" si="110"/>
        <v>1.5042482984481312E-2</v>
      </c>
      <c r="H898" s="46">
        <f t="shared" si="111"/>
        <v>35.320652596541187</v>
      </c>
      <c r="I898" s="37">
        <f t="shared" si="112"/>
        <v>12.987403959748196</v>
      </c>
      <c r="J898" s="210">
        <v>13.579518403596493</v>
      </c>
      <c r="K898" s="37">
        <f t="shared" si="113"/>
        <v>3.276854493339409</v>
      </c>
      <c r="L898" s="37">
        <f t="shared" si="114"/>
        <v>3.9944856273807399</v>
      </c>
      <c r="M898" s="45">
        <f t="shared" si="106"/>
        <v>1.5338942507173523E-2</v>
      </c>
    </row>
    <row r="899" spans="1:13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25">
        <f t="shared" si="109"/>
        <v>4085.47</v>
      </c>
      <c r="G899" s="663">
        <f t="shared" si="110"/>
        <v>1.4465930597794142E-2</v>
      </c>
      <c r="H899" s="46">
        <f t="shared" si="111"/>
        <v>33.966872999456513</v>
      </c>
      <c r="I899" s="37">
        <f t="shared" si="112"/>
        <v>12.48961920190016</v>
      </c>
      <c r="J899" s="210">
        <v>13.059038922002062</v>
      </c>
      <c r="K899" s="37">
        <f t="shared" si="113"/>
        <v>3.1512583214234762</v>
      </c>
      <c r="L899" s="37">
        <f t="shared" si="114"/>
        <v>3.8413838938152178</v>
      </c>
      <c r="M899" s="45">
        <f t="shared" si="106"/>
        <v>1.5338942507173523E-2</v>
      </c>
    </row>
    <row r="900" spans="1:13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25">
        <f t="shared" si="109"/>
        <v>4100.95</v>
      </c>
      <c r="G900" s="663">
        <f t="shared" si="110"/>
        <v>1.4520742554718035E-2</v>
      </c>
      <c r="H900" s="46">
        <f t="shared" si="111"/>
        <v>34.09557476303123</v>
      </c>
      <c r="I900" s="37">
        <f t="shared" si="112"/>
        <v>12.536942840366585</v>
      </c>
      <c r="J900" s="210">
        <v>13.10852011327567</v>
      </c>
      <c r="K900" s="37">
        <f t="shared" si="113"/>
        <v>3.163198558119777</v>
      </c>
      <c r="L900" s="37">
        <f t="shared" si="114"/>
        <v>3.8559390423480084</v>
      </c>
      <c r="M900" s="45">
        <f t="shared" si="106"/>
        <v>1.5338942507173525E-2</v>
      </c>
    </row>
    <row r="901" spans="1:13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25">
        <f t="shared" si="109"/>
        <v>7076.23</v>
      </c>
      <c r="G901" s="663">
        <f t="shared" si="110"/>
        <v>2.5055685655268268E-2</v>
      </c>
      <c r="H901" s="46">
        <f t="shared" si="111"/>
        <v>58.832253259709205</v>
      </c>
      <c r="I901" s="37">
        <f t="shared" si="112"/>
        <v>21.632619523595075</v>
      </c>
      <c r="J901" s="210">
        <v>22.618881791088576</v>
      </c>
      <c r="K901" s="37">
        <f t="shared" si="113"/>
        <v>5.4581305631436399</v>
      </c>
      <c r="L901" s="37">
        <f t="shared" si="114"/>
        <v>6.6534611564720976</v>
      </c>
      <c r="M901" s="45">
        <f t="shared" si="106"/>
        <v>1.5338942507173523E-2</v>
      </c>
    </row>
    <row r="902" spans="1:13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25">
        <f t="shared" si="109"/>
        <v>4062.74</v>
      </c>
      <c r="G902" s="663">
        <f t="shared" si="110"/>
        <v>1.4385447666212744E-2</v>
      </c>
      <c r="H902" s="46">
        <f t="shared" si="111"/>
        <v>33.777894247127492</v>
      </c>
      <c r="I902" s="37">
        <f t="shared" si="112"/>
        <v>12.420131714668779</v>
      </c>
      <c r="J902" s="210">
        <v>12.986383400190102</v>
      </c>
      <c r="K902" s="37">
        <f t="shared" si="113"/>
        <v>3.1337259196077842</v>
      </c>
      <c r="L902" s="37">
        <f t="shared" si="114"/>
        <v>3.8200118960018892</v>
      </c>
      <c r="M902" s="45">
        <f t="shared" si="106"/>
        <v>1.5338942507173523E-2</v>
      </c>
    </row>
    <row r="903" spans="1:13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25">
        <f t="shared" si="109"/>
        <v>6379.08</v>
      </c>
      <c r="G903" s="663">
        <f t="shared" si="110"/>
        <v>2.2587200140443246E-2</v>
      </c>
      <c r="H903" s="46">
        <f t="shared" si="111"/>
        <v>53.036101161769167</v>
      </c>
      <c r="I903" s="37">
        <f t="shared" si="112"/>
        <v>19.501374397182524</v>
      </c>
      <c r="J903" s="210">
        <v>20.390470131114636</v>
      </c>
      <c r="K903" s="37">
        <f t="shared" si="113"/>
        <v>4.9203956785941569</v>
      </c>
      <c r="L903" s="37">
        <f t="shared" si="114"/>
        <v>5.9979623322062778</v>
      </c>
      <c r="M903" s="45">
        <f t="shared" ref="M903:M966" si="115">(K903+J903+I903+H903)/F903</f>
        <v>1.5338942507173525E-2</v>
      </c>
    </row>
    <row r="904" spans="1:13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25">
        <f t="shared" si="109"/>
        <v>6509.3399999999992</v>
      </c>
      <c r="G904" s="663">
        <f t="shared" si="110"/>
        <v>2.3048427886496616E-2</v>
      </c>
      <c r="H904" s="46">
        <f t="shared" si="111"/>
        <v>54.11909158316724</v>
      </c>
      <c r="I904" s="37">
        <f t="shared" si="112"/>
        <v>19.899589975130596</v>
      </c>
      <c r="J904" s="210">
        <v>20.806840930552639</v>
      </c>
      <c r="K904" s="37">
        <f t="shared" si="113"/>
        <v>5.0208695307944229</v>
      </c>
      <c r="L904" s="37">
        <f t="shared" si="114"/>
        <v>6.1204399580384017</v>
      </c>
      <c r="M904" s="45">
        <f t="shared" si="115"/>
        <v>1.5338942507173525E-2</v>
      </c>
    </row>
    <row r="905" spans="1:13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25">
        <f t="shared" si="109"/>
        <v>4249.6000000000004</v>
      </c>
      <c r="G905" s="663">
        <f t="shared" si="110"/>
        <v>1.504708605579921E-2</v>
      </c>
      <c r="H905" s="46">
        <f t="shared" si="111"/>
        <v>35.33146088417989</v>
      </c>
      <c r="I905" s="37">
        <f t="shared" si="112"/>
        <v>12.991378167112947</v>
      </c>
      <c r="J905" s="210">
        <v>13.583673800796472</v>
      </c>
      <c r="K905" s="37">
        <f t="shared" si="113"/>
        <v>3.2778572263952999</v>
      </c>
      <c r="L905" s="37">
        <f t="shared" si="114"/>
        <v>3.9957079589758706</v>
      </c>
      <c r="M905" s="45">
        <f t="shared" si="115"/>
        <v>1.5338942507173525E-2</v>
      </c>
    </row>
    <row r="906" spans="1:13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25">
        <f t="shared" si="109"/>
        <v>2807.52</v>
      </c>
      <c r="G906" s="663">
        <f t="shared" si="110"/>
        <v>9.9409344510959612E-3</v>
      </c>
      <c r="H906" s="46">
        <f t="shared" si="111"/>
        <v>23.341910547240381</v>
      </c>
      <c r="I906" s="37">
        <f t="shared" si="112"/>
        <v>8.5828205082202889</v>
      </c>
      <c r="J906" s="210">
        <v>8.9741236514523965</v>
      </c>
      <c r="K906" s="37">
        <f t="shared" si="113"/>
        <v>2.1655331608267443</v>
      </c>
      <c r="L906" s="37">
        <f t="shared" si="114"/>
        <v>2.6397849230478014</v>
      </c>
      <c r="M906" s="45">
        <f t="shared" si="115"/>
        <v>1.5338942507173523E-2</v>
      </c>
    </row>
    <row r="907" spans="1:13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25">
        <f t="shared" si="109"/>
        <v>4226.7</v>
      </c>
      <c r="G907" s="663">
        <f t="shared" si="110"/>
        <v>1.4966001184122391E-2</v>
      </c>
      <c r="H907" s="46">
        <f t="shared" si="111"/>
        <v>35.141068740390416</v>
      </c>
      <c r="I907" s="37">
        <f t="shared" si="112"/>
        <v>12.921370975841556</v>
      </c>
      <c r="J907" s="210">
        <v>13.510474880889129</v>
      </c>
      <c r="K907" s="37">
        <f t="shared" si="113"/>
        <v>3.2601936979492216</v>
      </c>
      <c r="L907" s="37">
        <f t="shared" si="114"/>
        <v>3.9741761178001016</v>
      </c>
      <c r="M907" s="45">
        <f t="shared" si="115"/>
        <v>1.5338942507173525E-2</v>
      </c>
    </row>
    <row r="908" spans="1:13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25">
        <f t="shared" si="109"/>
        <v>4709.3599999999997</v>
      </c>
      <c r="G908" s="663">
        <f t="shared" si="110"/>
        <v>1.6675015339735165E-2</v>
      </c>
      <c r="H908" s="46">
        <f t="shared" si="111"/>
        <v>39.153936518618551</v>
      </c>
      <c r="I908" s="37">
        <f t="shared" si="112"/>
        <v>14.396902457896042</v>
      </c>
      <c r="J908" s="210">
        <v>15.053277967460199</v>
      </c>
      <c r="K908" s="37">
        <f t="shared" si="113"/>
        <v>3.6324853416079086</v>
      </c>
      <c r="L908" s="37">
        <f t="shared" si="114"/>
        <v>4.4279996314200405</v>
      </c>
      <c r="M908" s="45">
        <f t="shared" si="115"/>
        <v>1.5338942507173525E-2</v>
      </c>
    </row>
    <row r="909" spans="1:13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625">
        <f t="shared" si="109"/>
        <v>5750.25</v>
      </c>
      <c r="G909" s="663">
        <f t="shared" si="110"/>
        <v>2.0360623727494212E-2</v>
      </c>
      <c r="H909" s="46">
        <f t="shared" si="111"/>
        <v>47.807966149580061</v>
      </c>
      <c r="I909" s="37">
        <f t="shared" si="112"/>
        <v>17.578989153200588</v>
      </c>
      <c r="J909" s="210">
        <v>18.380440576296571</v>
      </c>
      <c r="K909" s="37">
        <f t="shared" si="113"/>
        <v>4.4353582727973393</v>
      </c>
      <c r="L909" s="37">
        <f t="shared" si="114"/>
        <v>5.4067017345399568</v>
      </c>
      <c r="M909" s="45">
        <f t="shared" si="115"/>
        <v>1.5338942507173525E-2</v>
      </c>
    </row>
    <row r="910" spans="1:13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25">
        <f t="shared" si="109"/>
        <v>3555.12</v>
      </c>
      <c r="G910" s="663">
        <f t="shared" si="110"/>
        <v>1.258805454129633E-2</v>
      </c>
      <c r="H910" s="46">
        <f t="shared" si="111"/>
        <v>29.55750734623626</v>
      </c>
      <c r="I910" s="37">
        <f t="shared" si="112"/>
        <v>10.868295451211074</v>
      </c>
      <c r="J910" s="210">
        <v>11.363796687379413</v>
      </c>
      <c r="K910" s="37">
        <f t="shared" si="113"/>
        <v>2.7421818012759926</v>
      </c>
      <c r="L910" s="37">
        <f t="shared" si="114"/>
        <v>3.3427196157554353</v>
      </c>
      <c r="M910" s="45">
        <f t="shared" si="115"/>
        <v>1.5338942507173525E-2</v>
      </c>
    </row>
    <row r="911" spans="1:13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25">
        <f t="shared" si="109"/>
        <v>342.6</v>
      </c>
      <c r="G911" s="663">
        <f t="shared" si="110"/>
        <v>1.2130863334706347E-3</v>
      </c>
      <c r="H911" s="46">
        <f t="shared" si="111"/>
        <v>2.8483994961690584</v>
      </c>
      <c r="I911" s="37">
        <f t="shared" si="112"/>
        <v>1.0473564947413629</v>
      </c>
      <c r="J911" s="210">
        <v>1.0951069851639852</v>
      </c>
      <c r="K911" s="37">
        <f t="shared" si="113"/>
        <v>0.26425872688324309</v>
      </c>
      <c r="L911" s="37">
        <f t="shared" si="114"/>
        <v>0.32213138807067337</v>
      </c>
      <c r="M911" s="45">
        <f t="shared" si="115"/>
        <v>1.5338942507173523E-2</v>
      </c>
    </row>
    <row r="912" spans="1:13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25">
        <f t="shared" si="109"/>
        <v>361.6</v>
      </c>
      <c r="G912" s="663">
        <f t="shared" si="110"/>
        <v>1.280361991193758E-3</v>
      </c>
      <c r="H912" s="46">
        <f t="shared" si="111"/>
        <v>3.0063667770424152</v>
      </c>
      <c r="I912" s="37">
        <f t="shared" si="112"/>
        <v>1.1054410639184962</v>
      </c>
      <c r="J912" s="210">
        <v>1.1558397134713865</v>
      </c>
      <c r="K912" s="37">
        <f t="shared" si="113"/>
        <v>0.27891405616164822</v>
      </c>
      <c r="L912" s="37">
        <f t="shared" si="114"/>
        <v>0.33999623446104921</v>
      </c>
      <c r="M912" s="45">
        <f t="shared" si="115"/>
        <v>1.5338942507173521E-2</v>
      </c>
    </row>
    <row r="913" spans="1:13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25">
        <f t="shared" si="109"/>
        <v>7926.65</v>
      </c>
      <c r="G913" s="663">
        <f t="shared" si="110"/>
        <v>2.8066873278473455E-2</v>
      </c>
      <c r="H913" s="46">
        <f t="shared" si="111"/>
        <v>65.902702470252379</v>
      </c>
      <c r="I913" s="37">
        <f t="shared" si="112"/>
        <v>24.232423698311802</v>
      </c>
      <c r="J913" s="210">
        <v>25.337214780940169</v>
      </c>
      <c r="K913" s="37">
        <f t="shared" si="113"/>
        <v>6.1140876749826578</v>
      </c>
      <c r="L913" s="37">
        <f t="shared" si="114"/>
        <v>7.4530728758038602</v>
      </c>
      <c r="M913" s="45">
        <f t="shared" si="115"/>
        <v>1.5338942507173525E-2</v>
      </c>
    </row>
    <row r="914" spans="1:13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25">
        <f t="shared" si="109"/>
        <v>4021.5</v>
      </c>
      <c r="G914" s="663">
        <f t="shared" si="110"/>
        <v>1.4239424080712659E-2</v>
      </c>
      <c r="H914" s="46">
        <f t="shared" si="111"/>
        <v>33.435022106958165</v>
      </c>
      <c r="I914" s="37">
        <f t="shared" si="112"/>
        <v>12.294057628728519</v>
      </c>
      <c r="J914" s="210">
        <v>12.854561415169194</v>
      </c>
      <c r="K914" s="37">
        <f t="shared" si="113"/>
        <v>3.1019161417424459</v>
      </c>
      <c r="L914" s="37">
        <f t="shared" si="114"/>
        <v>3.7812357767840417</v>
      </c>
      <c r="M914" s="45">
        <f t="shared" si="115"/>
        <v>1.5338942507173523E-2</v>
      </c>
    </row>
    <row r="915" spans="1:13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25">
        <f t="shared" si="109"/>
        <v>4138.7700000000004</v>
      </c>
      <c r="G915" s="663">
        <f t="shared" si="110"/>
        <v>1.465465652182796E-2</v>
      </c>
      <c r="H915" s="46">
        <f t="shared" si="111"/>
        <v>34.410012792643357</v>
      </c>
      <c r="I915" s="37">
        <f t="shared" si="112"/>
        <v>12.652561703854964</v>
      </c>
      <c r="J915" s="210">
        <v>13.229410207201248</v>
      </c>
      <c r="K915" s="37">
        <f t="shared" si="113"/>
        <v>3.1923703767150027</v>
      </c>
      <c r="L915" s="37">
        <f t="shared" si="114"/>
        <v>3.8914994892155885</v>
      </c>
      <c r="M915" s="45">
        <f t="shared" si="115"/>
        <v>1.5338942507173525E-2</v>
      </c>
    </row>
    <row r="916" spans="1:13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25">
        <f t="shared" si="109"/>
        <v>361.5</v>
      </c>
      <c r="G916" s="663">
        <f t="shared" si="110"/>
        <v>1.2800079087846889E-3</v>
      </c>
      <c r="H916" s="46">
        <f t="shared" si="111"/>
        <v>3.0055353703009766</v>
      </c>
      <c r="I916" s="37">
        <f t="shared" si="112"/>
        <v>1.1051353556596692</v>
      </c>
      <c r="J916" s="210">
        <v>1.1555200675329265</v>
      </c>
      <c r="K916" s="37">
        <f t="shared" si="113"/>
        <v>0.27883692284965661</v>
      </c>
      <c r="L916" s="37">
        <f t="shared" si="114"/>
        <v>0.33990220895373141</v>
      </c>
      <c r="M916" s="45">
        <f t="shared" si="115"/>
        <v>1.5338942507173525E-2</v>
      </c>
    </row>
    <row r="917" spans="1:13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25">
        <f t="shared" si="109"/>
        <v>5864.56</v>
      </c>
      <c r="G917" s="663">
        <f t="shared" si="110"/>
        <v>2.0765375329301068E-2</v>
      </c>
      <c r="H917" s="46">
        <f t="shared" si="111"/>
        <v>48.758347195718663</v>
      </c>
      <c r="I917" s="37">
        <f t="shared" si="112"/>
        <v>17.928444263865753</v>
      </c>
      <c r="J917" s="210">
        <v>18.745827848550206</v>
      </c>
      <c r="K917" s="37">
        <f t="shared" si="113"/>
        <v>4.523529361734945</v>
      </c>
      <c r="L917" s="37">
        <f t="shared" si="114"/>
        <v>5.5141822919548984</v>
      </c>
      <c r="M917" s="45">
        <f t="shared" si="115"/>
        <v>1.5338942507173525E-2</v>
      </c>
    </row>
    <row r="918" spans="1:13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25">
        <f t="shared" si="109"/>
        <v>135.35</v>
      </c>
      <c r="G918" s="663">
        <f t="shared" si="110"/>
        <v>4.7925054067498657E-4</v>
      </c>
      <c r="H918" s="46">
        <f t="shared" si="111"/>
        <v>1.125309024537309</v>
      </c>
      <c r="I918" s="37">
        <f t="shared" si="112"/>
        <v>0.41377612832236854</v>
      </c>
      <c r="J918" s="210">
        <v>0.43264077770561993</v>
      </c>
      <c r="K918" s="37">
        <f t="shared" si="113"/>
        <v>0.10439993778063908</v>
      </c>
      <c r="L918" s="37">
        <f t="shared" si="114"/>
        <v>0.12726352415459904</v>
      </c>
      <c r="M918" s="45">
        <f t="shared" si="115"/>
        <v>1.5338942507173527E-2</v>
      </c>
    </row>
    <row r="919" spans="1:13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25">
        <f t="shared" si="109"/>
        <v>37.4</v>
      </c>
      <c r="G919" s="663">
        <f t="shared" si="110"/>
        <v>1.3242682099183227E-4</v>
      </c>
      <c r="H919" s="46">
        <f t="shared" si="111"/>
        <v>0.31094612129808169</v>
      </c>
      <c r="I919" s="37">
        <f t="shared" si="112"/>
        <v>0.11433488880130464</v>
      </c>
      <c r="J919" s="210">
        <v>0.11954758098404274</v>
      </c>
      <c r="K919" s="37">
        <f t="shared" si="113"/>
        <v>2.8847858684860742E-2</v>
      </c>
      <c r="L919" s="37">
        <f t="shared" si="114"/>
        <v>3.5165539736845247E-2</v>
      </c>
      <c r="M919" s="45">
        <f t="shared" si="115"/>
        <v>1.5338942507173525E-2</v>
      </c>
    </row>
    <row r="920" spans="1:13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25">
        <f t="shared" si="109"/>
        <v>236.9</v>
      </c>
      <c r="G920" s="663">
        <f t="shared" si="110"/>
        <v>8.3882122708462737E-4</v>
      </c>
      <c r="H920" s="46">
        <f t="shared" si="111"/>
        <v>1.9696025704683302</v>
      </c>
      <c r="I920" s="37">
        <f t="shared" si="112"/>
        <v>0.72422286516120504</v>
      </c>
      <c r="J920" s="210">
        <v>0.75724122821175732</v>
      </c>
      <c r="K920" s="37">
        <f t="shared" si="113"/>
        <v>0.18272881610811523</v>
      </c>
      <c r="L920" s="37">
        <f t="shared" si="114"/>
        <v>0.22274642683579249</v>
      </c>
      <c r="M920" s="45">
        <f t="shared" si="115"/>
        <v>1.5338942507173521E-2</v>
      </c>
    </row>
    <row r="921" spans="1:13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25">
        <f t="shared" si="109"/>
        <v>362.6</v>
      </c>
      <c r="G921" s="663">
        <f t="shared" si="110"/>
        <v>1.2839028152844489E-3</v>
      </c>
      <c r="H921" s="46">
        <f t="shared" si="111"/>
        <v>3.014680844456803</v>
      </c>
      <c r="I921" s="37">
        <f t="shared" si="112"/>
        <v>1.1084981465067665</v>
      </c>
      <c r="J921" s="210">
        <v>1.1590361728559866</v>
      </c>
      <c r="K921" s="37">
        <f t="shared" si="113"/>
        <v>0.27968538928156433</v>
      </c>
      <c r="L921" s="37">
        <f t="shared" si="114"/>
        <v>0.34093648953422695</v>
      </c>
      <c r="M921" s="45">
        <f t="shared" si="115"/>
        <v>1.5338942507173523E-2</v>
      </c>
    </row>
    <row r="922" spans="1:13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25">
        <f t="shared" si="109"/>
        <v>494.9</v>
      </c>
      <c r="G922" s="663">
        <f t="shared" si="110"/>
        <v>1.7523538424828286E-3</v>
      </c>
      <c r="H922" s="46">
        <f t="shared" si="111"/>
        <v>4.1146319633802309</v>
      </c>
      <c r="I922" s="37">
        <f t="shared" si="112"/>
        <v>1.5129501729349111</v>
      </c>
      <c r="J922" s="210">
        <v>1.5819277494385762</v>
      </c>
      <c r="K922" s="37">
        <f t="shared" si="113"/>
        <v>0.38173276104645937</v>
      </c>
      <c r="L922" s="37">
        <f t="shared" si="114"/>
        <v>0.46533223571563398</v>
      </c>
      <c r="M922" s="45">
        <f t="shared" si="115"/>
        <v>1.5338942507173525E-2</v>
      </c>
    </row>
    <row r="923" spans="1:13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25">
        <f t="shared" si="109"/>
        <v>277.2</v>
      </c>
      <c r="G923" s="663">
        <f t="shared" si="110"/>
        <v>9.8151643793946267E-4</v>
      </c>
      <c r="H923" s="46">
        <f t="shared" si="111"/>
        <v>2.3046594872681347</v>
      </c>
      <c r="I923" s="37">
        <f t="shared" si="112"/>
        <v>0.84742329346849321</v>
      </c>
      <c r="J923" s="210">
        <v>0.88605854141114027</v>
      </c>
      <c r="K923" s="37">
        <f t="shared" si="113"/>
        <v>0.21381354084073256</v>
      </c>
      <c r="L923" s="37">
        <f t="shared" si="114"/>
        <v>0.26063870628485303</v>
      </c>
      <c r="M923" s="45">
        <f t="shared" si="115"/>
        <v>1.5338942507173523E-2</v>
      </c>
    </row>
    <row r="924" spans="1:13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25">
        <f t="shared" si="109"/>
        <v>7127.52</v>
      </c>
      <c r="G924" s="663">
        <f t="shared" si="110"/>
        <v>2.5237294522879795E-2</v>
      </c>
      <c r="H924" s="46">
        <f t="shared" si="111"/>
        <v>59.258681777393129</v>
      </c>
      <c r="I924" s="37">
        <f t="shared" si="112"/>
        <v>21.789417289547455</v>
      </c>
      <c r="J924" s="210">
        <v>22.782828192924715</v>
      </c>
      <c r="K924" s="37">
        <f t="shared" si="113"/>
        <v>5.4976922388641345</v>
      </c>
      <c r="L924" s="37">
        <f t="shared" si="114"/>
        <v>6.7016868391753803</v>
      </c>
      <c r="M924" s="45">
        <f t="shared" si="115"/>
        <v>1.5338942507173523E-2</v>
      </c>
    </row>
    <row r="925" spans="1:13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25">
        <f t="shared" si="109"/>
        <v>52.9</v>
      </c>
      <c r="G925" s="663">
        <f t="shared" si="110"/>
        <v>1.8730959439753814E-4</v>
      </c>
      <c r="H925" s="46">
        <f t="shared" si="111"/>
        <v>0.43981416622108338</v>
      </c>
      <c r="I925" s="37">
        <f t="shared" si="112"/>
        <v>0.16171966891949238</v>
      </c>
      <c r="J925" s="210">
        <v>0.16909270144534386</v>
      </c>
      <c r="K925" s="37">
        <f t="shared" si="113"/>
        <v>4.0803522043559706E-2</v>
      </c>
      <c r="L925" s="37">
        <f t="shared" si="114"/>
        <v>4.9739493371099286E-2</v>
      </c>
      <c r="M925" s="45">
        <f t="shared" si="115"/>
        <v>1.5338942507173523E-2</v>
      </c>
    </row>
    <row r="926" spans="1:13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25">
        <f t="shared" si="109"/>
        <v>119.9</v>
      </c>
      <c r="G926" s="663">
        <f t="shared" si="110"/>
        <v>4.2454480847381524E-4</v>
      </c>
      <c r="H926" s="46">
        <f t="shared" si="111"/>
        <v>0.99685668298502661</v>
      </c>
      <c r="I926" s="37">
        <f t="shared" si="112"/>
        <v>0.3665442023335943</v>
      </c>
      <c r="J926" s="210">
        <v>0.38325548021354883</v>
      </c>
      <c r="K926" s="37">
        <f t="shared" si="113"/>
        <v>9.2482841077935918E-2</v>
      </c>
      <c r="L926" s="37">
        <f t="shared" si="114"/>
        <v>0.11273658327400389</v>
      </c>
      <c r="M926" s="45">
        <f t="shared" si="115"/>
        <v>1.5338942507173525E-2</v>
      </c>
    </row>
    <row r="927" spans="1:13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25">
        <f t="shared" si="109"/>
        <v>75.3</v>
      </c>
      <c r="G927" s="663">
        <f t="shared" si="110"/>
        <v>2.6662405402900986E-4</v>
      </c>
      <c r="H927" s="46">
        <f t="shared" si="111"/>
        <v>0.62604927630335694</v>
      </c>
      <c r="I927" s="37">
        <f t="shared" si="112"/>
        <v>0.23019831889674436</v>
      </c>
      <c r="J927" s="210">
        <v>0.2406933916603855</v>
      </c>
      <c r="K927" s="37">
        <f t="shared" si="113"/>
        <v>5.8081383929679507E-2</v>
      </c>
      <c r="L927" s="37">
        <f t="shared" si="114"/>
        <v>7.0801207010279324E-2</v>
      </c>
      <c r="M927" s="45">
        <f t="shared" si="115"/>
        <v>1.5338942507173525E-2</v>
      </c>
    </row>
    <row r="928" spans="1:13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25">
        <f t="shared" si="109"/>
        <v>120.8</v>
      </c>
      <c r="G928" s="663">
        <f t="shared" si="110"/>
        <v>4.2773155015543682E-4</v>
      </c>
      <c r="H928" s="46">
        <f t="shared" si="111"/>
        <v>1.0043393436579751</v>
      </c>
      <c r="I928" s="37">
        <f t="shared" si="112"/>
        <v>0.36929557666303747</v>
      </c>
      <c r="J928" s="210">
        <v>0.38613229365968882</v>
      </c>
      <c r="K928" s="37">
        <f t="shared" si="113"/>
        <v>9.317704088586036E-2</v>
      </c>
      <c r="L928" s="37">
        <f t="shared" si="114"/>
        <v>0.11358281283986378</v>
      </c>
      <c r="M928" s="45">
        <f t="shared" si="115"/>
        <v>1.5338942507173525E-2</v>
      </c>
    </row>
    <row r="929" spans="1:13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25">
        <f t="shared" si="109"/>
        <v>429.7</v>
      </c>
      <c r="G929" s="663">
        <f t="shared" si="110"/>
        <v>1.5214921117697947E-3</v>
      </c>
      <c r="H929" s="46">
        <f t="shared" si="111"/>
        <v>3.5725547679621843</v>
      </c>
      <c r="I929" s="37">
        <f t="shared" si="112"/>
        <v>1.3136283881796953</v>
      </c>
      <c r="J929" s="210">
        <v>1.3735185975626514</v>
      </c>
      <c r="K929" s="37">
        <f t="shared" si="113"/>
        <v>0.33144184162793211</v>
      </c>
      <c r="L929" s="37">
        <f t="shared" si="114"/>
        <v>0.40402760494444928</v>
      </c>
      <c r="M929" s="45">
        <f t="shared" si="115"/>
        <v>1.5338942507173523E-2</v>
      </c>
    </row>
    <row r="930" spans="1:13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25">
        <f t="shared" si="109"/>
        <v>249.1</v>
      </c>
      <c r="G930" s="663">
        <f t="shared" si="110"/>
        <v>8.8201928099105394E-4</v>
      </c>
      <c r="H930" s="46">
        <f t="shared" si="111"/>
        <v>2.0710341929238543</v>
      </c>
      <c r="I930" s="37">
        <f t="shared" si="112"/>
        <v>0.76151927273810127</v>
      </c>
      <c r="J930" s="210">
        <v>0.79623803270387816</v>
      </c>
      <c r="K930" s="37">
        <f t="shared" si="113"/>
        <v>0.19213908017109119</v>
      </c>
      <c r="L930" s="37">
        <f t="shared" si="114"/>
        <v>0.23421753872856016</v>
      </c>
      <c r="M930" s="45">
        <f t="shared" si="115"/>
        <v>1.5338942507173523E-2</v>
      </c>
    </row>
    <row r="931" spans="1:13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25">
        <f t="shared" si="109"/>
        <v>103</v>
      </c>
      <c r="G931" s="663">
        <f t="shared" si="110"/>
        <v>3.6470488134114236E-4</v>
      </c>
      <c r="H931" s="46">
        <f t="shared" si="111"/>
        <v>0.85634894368188275</v>
      </c>
      <c r="I931" s="37">
        <f t="shared" si="112"/>
        <v>0.31487950659182828</v>
      </c>
      <c r="J931" s="210">
        <v>0.32923531661380756</v>
      </c>
      <c r="K931" s="37">
        <f t="shared" si="113"/>
        <v>7.9447311351354452E-2</v>
      </c>
      <c r="L931" s="37">
        <f t="shared" si="114"/>
        <v>9.684627253730109E-2</v>
      </c>
      <c r="M931" s="45">
        <f t="shared" si="115"/>
        <v>1.5338942507173525E-2</v>
      </c>
    </row>
    <row r="932" spans="1:13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25">
        <f t="shared" si="109"/>
        <v>176.5</v>
      </c>
      <c r="G932" s="663">
        <f t="shared" si="110"/>
        <v>6.2495545200690896E-4</v>
      </c>
      <c r="H932" s="46">
        <f t="shared" si="111"/>
        <v>1.4674328986393426</v>
      </c>
      <c r="I932" s="37">
        <f t="shared" si="112"/>
        <v>0.53957507682968631</v>
      </c>
      <c r="J932" s="210">
        <v>0.56417508138191286</v>
      </c>
      <c r="K932" s="37">
        <f t="shared" si="113"/>
        <v>0.13614029566518504</v>
      </c>
      <c r="L932" s="37">
        <f t="shared" si="114"/>
        <v>0.16595502041586058</v>
      </c>
      <c r="M932" s="45">
        <f t="shared" si="115"/>
        <v>1.5338942507173521E-2</v>
      </c>
    </row>
    <row r="933" spans="1:13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25">
        <f t="shared" si="109"/>
        <v>109.5</v>
      </c>
      <c r="G933" s="663">
        <f t="shared" si="110"/>
        <v>3.8772023793063194E-4</v>
      </c>
      <c r="H933" s="46">
        <f t="shared" si="111"/>
        <v>0.91039038187539956</v>
      </c>
      <c r="I933" s="37">
        <f t="shared" si="112"/>
        <v>0.33475054341558447</v>
      </c>
      <c r="J933" s="210">
        <v>0.35001230261370803</v>
      </c>
      <c r="K933" s="37">
        <f t="shared" si="113"/>
        <v>8.4460976630808857E-2</v>
      </c>
      <c r="L933" s="37">
        <f t="shared" si="114"/>
        <v>0.102957930512956</v>
      </c>
      <c r="M933" s="45">
        <f t="shared" si="115"/>
        <v>1.5338942507173525E-2</v>
      </c>
    </row>
    <row r="934" spans="1:13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25">
        <f t="shared" si="109"/>
        <v>111.4</v>
      </c>
      <c r="G934" s="663">
        <f t="shared" si="110"/>
        <v>3.9444780370294428E-4</v>
      </c>
      <c r="H934" s="46">
        <f t="shared" si="111"/>
        <v>0.92618710996273534</v>
      </c>
      <c r="I934" s="37">
        <f t="shared" si="112"/>
        <v>0.34055900033329783</v>
      </c>
      <c r="J934" s="210">
        <v>0.35608557544444819</v>
      </c>
      <c r="K934" s="37">
        <f t="shared" si="113"/>
        <v>8.5926509558649389E-2</v>
      </c>
      <c r="L934" s="37">
        <f t="shared" si="114"/>
        <v>0.10474441515199361</v>
      </c>
      <c r="M934" s="45">
        <f t="shared" si="115"/>
        <v>1.5338942507173523E-2</v>
      </c>
    </row>
    <row r="935" spans="1:13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25">
        <f t="shared" si="109"/>
        <v>92.9</v>
      </c>
      <c r="G935" s="663">
        <f t="shared" si="110"/>
        <v>3.2894255802516626E-4</v>
      </c>
      <c r="H935" s="46">
        <f t="shared" si="111"/>
        <v>0.77237686279657192</v>
      </c>
      <c r="I935" s="37">
        <f t="shared" si="112"/>
        <v>0.28400297245029954</v>
      </c>
      <c r="J935" s="210">
        <v>0.29695107682934685</v>
      </c>
      <c r="K935" s="37">
        <f t="shared" si="113"/>
        <v>7.1656846840202224E-2</v>
      </c>
      <c r="L935" s="37">
        <f t="shared" si="114"/>
        <v>8.7349696298206519E-2</v>
      </c>
      <c r="M935" s="45">
        <f t="shared" si="115"/>
        <v>1.5338942507173525E-2</v>
      </c>
    </row>
    <row r="936" spans="1:13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25">
        <f t="shared" si="109"/>
        <v>101.8</v>
      </c>
      <c r="G936" s="663">
        <f t="shared" si="110"/>
        <v>3.6045589243231352E-4</v>
      </c>
      <c r="H936" s="46">
        <f t="shared" si="111"/>
        <v>0.84637206278461807</v>
      </c>
      <c r="I936" s="37">
        <f t="shared" si="112"/>
        <v>0.31121100748590408</v>
      </c>
      <c r="J936" s="210">
        <v>0.32539956535228748</v>
      </c>
      <c r="K936" s="37">
        <f t="shared" si="113"/>
        <v>7.8521711607455177E-2</v>
      </c>
      <c r="L936" s="37">
        <f t="shared" si="114"/>
        <v>9.5717966449487865E-2</v>
      </c>
      <c r="M936" s="45">
        <f t="shared" si="115"/>
        <v>1.5338942507173525E-2</v>
      </c>
    </row>
    <row r="937" spans="1:13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25">
        <f t="shared" si="109"/>
        <v>202</v>
      </c>
      <c r="G937" s="663">
        <f t="shared" si="110"/>
        <v>7.1524646631952184E-4</v>
      </c>
      <c r="H937" s="46">
        <f t="shared" si="111"/>
        <v>1.6794416177062164</v>
      </c>
      <c r="I937" s="37">
        <f t="shared" si="112"/>
        <v>0.61753068283057577</v>
      </c>
      <c r="J937" s="210">
        <v>0.64568479568921477</v>
      </c>
      <c r="K937" s="37">
        <f t="shared" si="113"/>
        <v>0.15580929022304463</v>
      </c>
      <c r="L937" s="37">
        <f t="shared" si="114"/>
        <v>0.1899315247818914</v>
      </c>
      <c r="M937" s="45">
        <f t="shared" si="115"/>
        <v>1.5338942507173523E-2</v>
      </c>
    </row>
    <row r="938" spans="1:13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25">
        <f t="shared" si="109"/>
        <v>214.1</v>
      </c>
      <c r="G938" s="663">
        <f t="shared" si="110"/>
        <v>7.5809043781687932E-4</v>
      </c>
      <c r="H938" s="46">
        <f t="shared" si="111"/>
        <v>1.7800418334203016</v>
      </c>
      <c r="I938" s="37">
        <f t="shared" si="112"/>
        <v>0.65452138214864497</v>
      </c>
      <c r="J938" s="210">
        <v>0.68436195424287571</v>
      </c>
      <c r="K938" s="37">
        <f t="shared" si="113"/>
        <v>0.16514242097402898</v>
      </c>
      <c r="L938" s="37">
        <f t="shared" si="114"/>
        <v>0.20130861116734133</v>
      </c>
      <c r="M938" s="45">
        <f t="shared" si="115"/>
        <v>1.5338942507173525E-2</v>
      </c>
    </row>
    <row r="939" spans="1:13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25">
        <f t="shared" si="109"/>
        <v>161.19999999999999</v>
      </c>
      <c r="G939" s="663">
        <f t="shared" si="110"/>
        <v>5.7078084341934121E-4</v>
      </c>
      <c r="H939" s="46">
        <f t="shared" si="111"/>
        <v>1.3402276671992184</v>
      </c>
      <c r="I939" s="37">
        <f t="shared" si="112"/>
        <v>0.49280171322915262</v>
      </c>
      <c r="J939" s="210">
        <v>0.51526925279753177</v>
      </c>
      <c r="K939" s="37">
        <f t="shared" si="113"/>
        <v>0.12433889893046929</v>
      </c>
      <c r="L939" s="37">
        <f t="shared" si="114"/>
        <v>0.15156911779624208</v>
      </c>
      <c r="M939" s="45">
        <f t="shared" si="115"/>
        <v>1.5338942507173525E-2</v>
      </c>
    </row>
    <row r="940" spans="1:13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25">
        <f t="shared" si="109"/>
        <v>134.9</v>
      </c>
      <c r="G940" s="663">
        <f t="shared" si="110"/>
        <v>4.7765716983417579E-4</v>
      </c>
      <c r="H940" s="46">
        <f t="shared" si="111"/>
        <v>1.1215676942008348</v>
      </c>
      <c r="I940" s="37">
        <f t="shared" si="112"/>
        <v>0.41240044115764696</v>
      </c>
      <c r="J940" s="210">
        <v>0.43120237098254988</v>
      </c>
      <c r="K940" s="37">
        <f t="shared" si="113"/>
        <v>0.10405283787667685</v>
      </c>
      <c r="L940" s="37">
        <f t="shared" si="114"/>
        <v>0.1268404093716691</v>
      </c>
      <c r="M940" s="45">
        <f t="shared" si="115"/>
        <v>1.5338942507173525E-2</v>
      </c>
    </row>
    <row r="941" spans="1:13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25">
        <f t="shared" si="109"/>
        <v>80.599999999999994</v>
      </c>
      <c r="G941" s="663">
        <f t="shared" si="110"/>
        <v>2.8539042170967061E-4</v>
      </c>
      <c r="H941" s="46">
        <f t="shared" si="111"/>
        <v>0.67011383359960919</v>
      </c>
      <c r="I941" s="37">
        <f t="shared" si="112"/>
        <v>0.24640085661457631</v>
      </c>
      <c r="J941" s="210">
        <v>0.25763462639876589</v>
      </c>
      <c r="K941" s="37">
        <f t="shared" si="113"/>
        <v>6.2169449465234644E-2</v>
      </c>
      <c r="L941" s="37">
        <f t="shared" si="114"/>
        <v>7.5784558898121038E-2</v>
      </c>
      <c r="M941" s="45">
        <f t="shared" si="115"/>
        <v>1.5338942507173525E-2</v>
      </c>
    </row>
    <row r="942" spans="1:13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25">
        <f t="shared" si="109"/>
        <v>249.4</v>
      </c>
      <c r="G942" s="663">
        <f t="shared" si="110"/>
        <v>8.830815282182612E-4</v>
      </c>
      <c r="H942" s="46">
        <f t="shared" si="111"/>
        <v>2.0735284131481704</v>
      </c>
      <c r="I942" s="37">
        <f t="shared" si="112"/>
        <v>0.76243639751458225</v>
      </c>
      <c r="J942" s="210">
        <v>0.79719697051925831</v>
      </c>
      <c r="K942" s="37">
        <f t="shared" si="113"/>
        <v>0.19237048010706603</v>
      </c>
      <c r="L942" s="37">
        <f t="shared" si="114"/>
        <v>0.23449961525051352</v>
      </c>
      <c r="M942" s="45">
        <f t="shared" si="115"/>
        <v>1.5338942507173523E-2</v>
      </c>
    </row>
    <row r="943" spans="1:13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25">
        <f t="shared" ref="F943:F1001" si="116">C943+D943+E943</f>
        <v>110.5</v>
      </c>
      <c r="G943" s="663">
        <f t="shared" si="110"/>
        <v>3.912610620213226E-4</v>
      </c>
      <c r="H943" s="46">
        <f t="shared" si="111"/>
        <v>0.91870444928978667</v>
      </c>
      <c r="I943" s="37">
        <f t="shared" si="112"/>
        <v>0.33780762600385461</v>
      </c>
      <c r="J943" s="210">
        <v>0.35320876199830809</v>
      </c>
      <c r="K943" s="37">
        <f t="shared" si="113"/>
        <v>8.5232309750724919E-2</v>
      </c>
      <c r="L943" s="37">
        <f t="shared" si="114"/>
        <v>0.10389818558613369</v>
      </c>
      <c r="M943" s="45">
        <f t="shared" si="115"/>
        <v>1.5338942507173525E-2</v>
      </c>
    </row>
    <row r="944" spans="1:13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25">
        <f t="shared" si="116"/>
        <v>168.5</v>
      </c>
      <c r="G944" s="663">
        <f t="shared" si="110"/>
        <v>5.9662885928138333E-4</v>
      </c>
      <c r="H944" s="46">
        <f t="shared" si="111"/>
        <v>1.400920359324245</v>
      </c>
      <c r="I944" s="37">
        <f t="shared" ref="I944:I1002" si="117">H944*0.3677</f>
        <v>0.51511841612352494</v>
      </c>
      <c r="J944" s="210">
        <v>0.53860340630511239</v>
      </c>
      <c r="K944" s="37">
        <f t="shared" si="113"/>
        <v>0.12996963070585654</v>
      </c>
      <c r="L944" s="37">
        <f t="shared" si="114"/>
        <v>0.15843297983043914</v>
      </c>
      <c r="M944" s="45">
        <f t="shared" si="115"/>
        <v>1.5338942507173527E-2</v>
      </c>
    </row>
    <row r="945" spans="1:13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25">
        <f t="shared" si="116"/>
        <v>130</v>
      </c>
      <c r="G945" s="663">
        <f t="shared" ref="G945:G1008" si="118">1/282420.13*F945</f>
        <v>4.6030713178979129E-4</v>
      </c>
      <c r="H945" s="46">
        <f t="shared" ref="H945:H1008" si="119">G945*2348.06</f>
        <v>1.0808287638703373</v>
      </c>
      <c r="I945" s="37">
        <f t="shared" si="117"/>
        <v>0.39742073647512305</v>
      </c>
      <c r="J945" s="210">
        <v>0.41553971999800954</v>
      </c>
      <c r="K945" s="37">
        <f t="shared" si="113"/>
        <v>0.10027330558908813</v>
      </c>
      <c r="L945" s="37">
        <f t="shared" si="114"/>
        <v>0.12223315951309845</v>
      </c>
      <c r="M945" s="45">
        <f t="shared" si="115"/>
        <v>1.5338942507173523E-2</v>
      </c>
    </row>
    <row r="946" spans="1:13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25">
        <f t="shared" si="116"/>
        <v>175.8</v>
      </c>
      <c r="G946" s="663">
        <f t="shared" si="118"/>
        <v>6.2247687514342556E-4</v>
      </c>
      <c r="H946" s="46">
        <f t="shared" si="119"/>
        <v>1.4616130514492718</v>
      </c>
      <c r="I946" s="37">
        <f t="shared" si="117"/>
        <v>0.53743511901789731</v>
      </c>
      <c r="J946" s="210">
        <v>0.56193755981269289</v>
      </c>
      <c r="K946" s="37">
        <f t="shared" ref="K946:K1009" si="120">G946*217.84</f>
        <v>0.13560036248124382</v>
      </c>
      <c r="L946" s="37">
        <f t="shared" ref="L946:L1009" si="121">K946*1.219</f>
        <v>0.16529684186463622</v>
      </c>
      <c r="M946" s="45">
        <f t="shared" si="115"/>
        <v>1.5338942507173525E-2</v>
      </c>
    </row>
    <row r="947" spans="1:13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25">
        <f t="shared" si="116"/>
        <v>129.80000000000001</v>
      </c>
      <c r="G947" s="663">
        <f t="shared" si="118"/>
        <v>4.5959896697165322E-4</v>
      </c>
      <c r="H947" s="46">
        <f t="shared" si="119"/>
        <v>1.07916595038746</v>
      </c>
      <c r="I947" s="37">
        <f t="shared" si="117"/>
        <v>0.39680931995746904</v>
      </c>
      <c r="J947" s="210">
        <v>0.41490042812108957</v>
      </c>
      <c r="K947" s="37">
        <f t="shared" si="120"/>
        <v>0.10011903896510493</v>
      </c>
      <c r="L947" s="37">
        <f t="shared" si="121"/>
        <v>0.12204510849846292</v>
      </c>
      <c r="M947" s="45">
        <f t="shared" si="115"/>
        <v>1.5338942507173523E-2</v>
      </c>
    </row>
    <row r="948" spans="1:13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25">
        <f t="shared" si="116"/>
        <v>152.30000000000001</v>
      </c>
      <c r="G948" s="663">
        <f t="shared" si="118"/>
        <v>5.3926750901219401E-4</v>
      </c>
      <c r="H948" s="46">
        <f t="shared" si="119"/>
        <v>1.2662324672111722</v>
      </c>
      <c r="I948" s="37">
        <f t="shared" si="117"/>
        <v>0.46559367819354808</v>
      </c>
      <c r="J948" s="210">
        <v>0.48682076427459114</v>
      </c>
      <c r="K948" s="37">
        <f t="shared" si="120"/>
        <v>0.11747403416321635</v>
      </c>
      <c r="L948" s="37">
        <f t="shared" si="121"/>
        <v>0.14320084764496074</v>
      </c>
      <c r="M948" s="45">
        <f t="shared" si="115"/>
        <v>1.5338942507173525E-2</v>
      </c>
    </row>
    <row r="949" spans="1:13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25">
        <f t="shared" si="116"/>
        <v>239.4</v>
      </c>
      <c r="G949" s="663">
        <f t="shared" si="118"/>
        <v>8.4767328731135414E-4</v>
      </c>
      <c r="H949" s="46">
        <f t="shared" si="119"/>
        <v>1.9903877390042981</v>
      </c>
      <c r="I949" s="37">
        <f t="shared" si="117"/>
        <v>0.73186557163188048</v>
      </c>
      <c r="J949" s="210">
        <v>0.76523237667325761</v>
      </c>
      <c r="K949" s="37">
        <f t="shared" si="120"/>
        <v>0.18465714890790538</v>
      </c>
      <c r="L949" s="37">
        <f t="shared" si="121"/>
        <v>0.22509706451873668</v>
      </c>
      <c r="M949" s="45">
        <f t="shared" si="115"/>
        <v>1.5338942507173523E-2</v>
      </c>
    </row>
    <row r="950" spans="1:13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25">
        <f t="shared" si="116"/>
        <v>84.2</v>
      </c>
      <c r="G950" s="663">
        <f t="shared" si="118"/>
        <v>2.9813738843615718E-4</v>
      </c>
      <c r="H950" s="46">
        <f t="shared" si="119"/>
        <v>0.70004447629140321</v>
      </c>
      <c r="I950" s="37">
        <f t="shared" si="117"/>
        <v>0.25740635393234895</v>
      </c>
      <c r="J950" s="210">
        <v>0.26914188018332619</v>
      </c>
      <c r="K950" s="37">
        <f t="shared" si="120"/>
        <v>6.4946248696932482E-2</v>
      </c>
      <c r="L950" s="37">
        <f t="shared" si="121"/>
        <v>7.9169477161560697E-2</v>
      </c>
      <c r="M950" s="45">
        <f t="shared" si="115"/>
        <v>1.5338942507173527E-2</v>
      </c>
    </row>
    <row r="951" spans="1:13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25">
        <f t="shared" si="116"/>
        <v>193.9</v>
      </c>
      <c r="G951" s="663">
        <f t="shared" si="118"/>
        <v>6.8656579118492724E-4</v>
      </c>
      <c r="H951" s="46">
        <f t="shared" si="119"/>
        <v>1.6120976716496802</v>
      </c>
      <c r="I951" s="37">
        <f t="shared" si="117"/>
        <v>0.59276831386558748</v>
      </c>
      <c r="J951" s="210">
        <v>0.61979347467395429</v>
      </c>
      <c r="K951" s="37">
        <f t="shared" si="120"/>
        <v>0.14956149195172455</v>
      </c>
      <c r="L951" s="37">
        <f t="shared" si="121"/>
        <v>0.18231545868915225</v>
      </c>
      <c r="M951" s="45">
        <f t="shared" si="115"/>
        <v>1.5338942507173523E-2</v>
      </c>
    </row>
    <row r="952" spans="1:13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25">
        <f t="shared" si="116"/>
        <v>252.4</v>
      </c>
      <c r="G952" s="663">
        <f t="shared" si="118"/>
        <v>8.937040004903333E-4</v>
      </c>
      <c r="H952" s="46">
        <f t="shared" si="119"/>
        <v>2.098470615391332</v>
      </c>
      <c r="I952" s="37">
        <f t="shared" si="117"/>
        <v>0.77160764527939285</v>
      </c>
      <c r="J952" s="210">
        <v>0.80678634867305854</v>
      </c>
      <c r="K952" s="37">
        <f t="shared" si="120"/>
        <v>0.19468447946681422</v>
      </c>
      <c r="L952" s="37">
        <f t="shared" si="121"/>
        <v>0.23732038047004655</v>
      </c>
      <c r="M952" s="45">
        <f t="shared" si="115"/>
        <v>1.5338942507173523E-2</v>
      </c>
    </row>
    <row r="953" spans="1:13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25">
        <f t="shared" si="116"/>
        <v>79</v>
      </c>
      <c r="G953" s="663">
        <f t="shared" si="118"/>
        <v>2.7972510316456547E-4</v>
      </c>
      <c r="H953" s="46">
        <f t="shared" si="119"/>
        <v>0.65681132573658962</v>
      </c>
      <c r="I953" s="37">
        <f t="shared" si="117"/>
        <v>0.24150952447334403</v>
      </c>
      <c r="J953" s="210">
        <v>0.25252029138340576</v>
      </c>
      <c r="K953" s="37">
        <f t="shared" si="120"/>
        <v>6.0935316473368945E-2</v>
      </c>
      <c r="L953" s="37">
        <f t="shared" si="121"/>
        <v>7.4280150781036752E-2</v>
      </c>
      <c r="M953" s="45">
        <f t="shared" si="115"/>
        <v>1.5338942507173525E-2</v>
      </c>
    </row>
    <row r="954" spans="1:13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25">
        <f t="shared" si="116"/>
        <v>549.69000000000005</v>
      </c>
      <c r="G954" s="663">
        <f t="shared" si="118"/>
        <v>1.9463555944117725E-3</v>
      </c>
      <c r="H954" s="46">
        <f t="shared" si="119"/>
        <v>4.5701597170145067</v>
      </c>
      <c r="I954" s="37">
        <f t="shared" si="117"/>
        <v>1.6804477279462342</v>
      </c>
      <c r="J954" s="210">
        <v>1.7570617591208144</v>
      </c>
      <c r="K954" s="37">
        <f t="shared" si="120"/>
        <v>0.42399410268666055</v>
      </c>
      <c r="L954" s="37">
        <f t="shared" si="121"/>
        <v>0.51684881117503922</v>
      </c>
      <c r="M954" s="45">
        <f t="shared" si="115"/>
        <v>1.5338942507173523E-2</v>
      </c>
    </row>
    <row r="955" spans="1:13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25">
        <f t="shared" si="116"/>
        <v>192.1</v>
      </c>
      <c r="G955" s="663">
        <f t="shared" si="118"/>
        <v>6.8019230782168387E-4</v>
      </c>
      <c r="H955" s="46">
        <f t="shared" si="119"/>
        <v>1.5971323503037831</v>
      </c>
      <c r="I955" s="37">
        <f t="shared" si="117"/>
        <v>0.58726556520670103</v>
      </c>
      <c r="J955" s="210">
        <v>0.61403984778167409</v>
      </c>
      <c r="K955" s="37">
        <f t="shared" si="120"/>
        <v>0.14817309233587561</v>
      </c>
      <c r="L955" s="37">
        <f t="shared" si="121"/>
        <v>0.18062299955743238</v>
      </c>
      <c r="M955" s="45">
        <f t="shared" si="115"/>
        <v>1.5338942507173525E-2</v>
      </c>
    </row>
    <row r="956" spans="1:13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25">
        <f t="shared" si="116"/>
        <v>166.8</v>
      </c>
      <c r="G956" s="663">
        <f t="shared" si="118"/>
        <v>5.9060945832720916E-4</v>
      </c>
      <c r="H956" s="46">
        <f t="shared" si="119"/>
        <v>1.3867864447197866</v>
      </c>
      <c r="I956" s="37">
        <f t="shared" si="117"/>
        <v>0.50992137572346563</v>
      </c>
      <c r="J956" s="210">
        <v>0.5331694253512923</v>
      </c>
      <c r="K956" s="37">
        <f t="shared" si="120"/>
        <v>0.12865836440199924</v>
      </c>
      <c r="L956" s="37">
        <f t="shared" si="121"/>
        <v>0.15683454620603707</v>
      </c>
      <c r="M956" s="45">
        <f t="shared" si="115"/>
        <v>1.5338942507173523E-2</v>
      </c>
    </row>
    <row r="957" spans="1:13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25">
        <f t="shared" si="116"/>
        <v>119.9</v>
      </c>
      <c r="G957" s="663">
        <f t="shared" si="118"/>
        <v>4.2454480847381524E-4</v>
      </c>
      <c r="H957" s="46">
        <f t="shared" si="119"/>
        <v>0.99685668298502661</v>
      </c>
      <c r="I957" s="37">
        <f t="shared" si="117"/>
        <v>0.3665442023335943</v>
      </c>
      <c r="J957" s="210">
        <v>0.38325548021354883</v>
      </c>
      <c r="K957" s="37">
        <f t="shared" si="120"/>
        <v>9.2482841077935918E-2</v>
      </c>
      <c r="L957" s="37">
        <f t="shared" si="121"/>
        <v>0.11273658327400389</v>
      </c>
      <c r="M957" s="45">
        <f t="shared" si="115"/>
        <v>1.5338942507173525E-2</v>
      </c>
    </row>
    <row r="958" spans="1:13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25">
        <f t="shared" si="116"/>
        <v>188.7</v>
      </c>
      <c r="G958" s="663">
        <f t="shared" si="118"/>
        <v>6.6815350591333553E-4</v>
      </c>
      <c r="H958" s="46">
        <f t="shared" si="119"/>
        <v>1.5688645210948666</v>
      </c>
      <c r="I958" s="37">
        <f t="shared" si="117"/>
        <v>0.57687148440658254</v>
      </c>
      <c r="J958" s="210">
        <v>0.60317188587403381</v>
      </c>
      <c r="K958" s="37">
        <f t="shared" si="120"/>
        <v>0.14555055972816103</v>
      </c>
      <c r="L958" s="37">
        <f t="shared" si="121"/>
        <v>0.1774261323086283</v>
      </c>
      <c r="M958" s="45">
        <f t="shared" si="115"/>
        <v>1.5338942507173525E-2</v>
      </c>
    </row>
    <row r="959" spans="1:13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25">
        <f t="shared" si="116"/>
        <v>4734.5</v>
      </c>
      <c r="G959" s="663">
        <f t="shared" si="118"/>
        <v>1.6764031657375132E-2</v>
      </c>
      <c r="H959" s="46">
        <f t="shared" si="119"/>
        <v>39.362952173416254</v>
      </c>
      <c r="I959" s="37">
        <f t="shared" si="117"/>
        <v>14.473757514165158</v>
      </c>
      <c r="J959" s="210">
        <v>15.133636956389047</v>
      </c>
      <c r="K959" s="37">
        <f t="shared" si="120"/>
        <v>3.6518766562425991</v>
      </c>
      <c r="L959" s="37">
        <f t="shared" si="121"/>
        <v>4.4516376439597289</v>
      </c>
      <c r="M959" s="45">
        <f t="shared" si="115"/>
        <v>1.5338942507173525E-2</v>
      </c>
    </row>
    <row r="960" spans="1:13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25">
        <f t="shared" si="116"/>
        <v>66.3</v>
      </c>
      <c r="G960" s="663">
        <f t="shared" si="118"/>
        <v>2.3475663721279357E-4</v>
      </c>
      <c r="H960" s="46">
        <f t="shared" si="119"/>
        <v>0.55122266957387211</v>
      </c>
      <c r="I960" s="37">
        <f t="shared" si="117"/>
        <v>0.20268457560231279</v>
      </c>
      <c r="J960" s="210">
        <v>0.21192525719898486</v>
      </c>
      <c r="K960" s="37">
        <f t="shared" si="120"/>
        <v>5.1139385850434954E-2</v>
      </c>
      <c r="L960" s="37">
        <f t="shared" si="121"/>
        <v>6.2338911351680217E-2</v>
      </c>
      <c r="M960" s="45">
        <f t="shared" si="115"/>
        <v>1.5338942507173525E-2</v>
      </c>
    </row>
    <row r="961" spans="1:13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25">
        <f t="shared" si="116"/>
        <v>19.8</v>
      </c>
      <c r="G961" s="663">
        <f t="shared" si="118"/>
        <v>7.0108316995675911E-5</v>
      </c>
      <c r="H961" s="46">
        <f t="shared" si="119"/>
        <v>0.16461853480486677</v>
      </c>
      <c r="I961" s="37">
        <f t="shared" si="117"/>
        <v>6.0530235247749517E-2</v>
      </c>
      <c r="J961" s="210">
        <v>6.3289895815081459E-2</v>
      </c>
      <c r="K961" s="37">
        <f t="shared" si="120"/>
        <v>1.5272395774338041E-2</v>
      </c>
      <c r="L961" s="37">
        <f t="shared" si="121"/>
        <v>1.8617050448918072E-2</v>
      </c>
      <c r="M961" s="45">
        <f t="shared" si="115"/>
        <v>1.5338942507173523E-2</v>
      </c>
    </row>
    <row r="962" spans="1:13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25">
        <f t="shared" si="116"/>
        <v>61.2</v>
      </c>
      <c r="G962" s="663">
        <f t="shared" si="118"/>
        <v>2.1669843435027101E-4</v>
      </c>
      <c r="H962" s="46">
        <f t="shared" si="119"/>
        <v>0.50882092576049731</v>
      </c>
      <c r="I962" s="37">
        <f t="shared" si="117"/>
        <v>0.18709345440213487</v>
      </c>
      <c r="J962" s="210">
        <v>0.1956233143375245</v>
      </c>
      <c r="K962" s="37">
        <f t="shared" si="120"/>
        <v>4.7205586938863037E-2</v>
      </c>
      <c r="L962" s="37">
        <f t="shared" si="121"/>
        <v>5.7543610478474047E-2</v>
      </c>
      <c r="M962" s="45">
        <f t="shared" si="115"/>
        <v>1.5338942507173525E-2</v>
      </c>
    </row>
    <row r="963" spans="1:13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25">
        <f t="shared" si="116"/>
        <v>47.1</v>
      </c>
      <c r="G963" s="663">
        <f t="shared" si="118"/>
        <v>1.6677281467153209E-4</v>
      </c>
      <c r="H963" s="46">
        <f t="shared" si="119"/>
        <v>0.39159257521763763</v>
      </c>
      <c r="I963" s="37">
        <f t="shared" si="117"/>
        <v>0.14398858990752536</v>
      </c>
      <c r="J963" s="210">
        <v>0.15055323701466347</v>
      </c>
      <c r="K963" s="37">
        <f t="shared" si="120"/>
        <v>3.6329789948046552E-2</v>
      </c>
      <c r="L963" s="37">
        <f t="shared" si="121"/>
        <v>4.4286013946668749E-2</v>
      </c>
      <c r="M963" s="45">
        <f t="shared" si="115"/>
        <v>1.5338942507173523E-2</v>
      </c>
    </row>
    <row r="964" spans="1:13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25">
        <f t="shared" si="116"/>
        <v>282.8</v>
      </c>
      <c r="G964" s="663">
        <f t="shared" si="118"/>
        <v>1.0013450528473307E-3</v>
      </c>
      <c r="H964" s="46">
        <f t="shared" si="119"/>
        <v>2.3512182647887032</v>
      </c>
      <c r="I964" s="37">
        <f t="shared" si="117"/>
        <v>0.86454295596280628</v>
      </c>
      <c r="J964" s="210">
        <v>0.90395871396490068</v>
      </c>
      <c r="K964" s="37">
        <f t="shared" si="120"/>
        <v>0.21813300631226254</v>
      </c>
      <c r="L964" s="37">
        <f t="shared" si="121"/>
        <v>0.26590413469464808</v>
      </c>
      <c r="M964" s="45">
        <f t="shared" si="115"/>
        <v>1.5338942507173523E-2</v>
      </c>
    </row>
    <row r="965" spans="1:13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25">
        <f t="shared" si="116"/>
        <v>46.6</v>
      </c>
      <c r="G965" s="663">
        <f t="shared" si="118"/>
        <v>1.6500240262618673E-4</v>
      </c>
      <c r="H965" s="46">
        <f t="shared" si="119"/>
        <v>0.38743554151044401</v>
      </c>
      <c r="I965" s="37">
        <f t="shared" si="117"/>
        <v>0.14246004861339026</v>
      </c>
      <c r="J965" s="210">
        <v>0.14895500732236341</v>
      </c>
      <c r="K965" s="37">
        <f t="shared" si="120"/>
        <v>3.5944123388088521E-2</v>
      </c>
      <c r="L965" s="37">
        <f t="shared" si="121"/>
        <v>4.3815886410079913E-2</v>
      </c>
      <c r="M965" s="45">
        <f t="shared" si="115"/>
        <v>1.5338942507173523E-2</v>
      </c>
    </row>
    <row r="966" spans="1:13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25">
        <f t="shared" si="116"/>
        <v>3266.45</v>
      </c>
      <c r="G966" s="663">
        <f t="shared" si="118"/>
        <v>1.1565924851036644E-2</v>
      </c>
      <c r="H966" s="46">
        <f t="shared" si="119"/>
        <v>27.157485505725102</v>
      </c>
      <c r="I966" s="37">
        <f t="shared" si="117"/>
        <v>9.9858074204551208</v>
      </c>
      <c r="J966" s="210">
        <v>10.441074756826909</v>
      </c>
      <c r="K966" s="37">
        <f t="shared" si="120"/>
        <v>2.5195210695498225</v>
      </c>
      <c r="L966" s="37">
        <f t="shared" si="121"/>
        <v>3.0712961837812336</v>
      </c>
      <c r="M966" s="45">
        <f t="shared" si="115"/>
        <v>1.5338942507173525E-2</v>
      </c>
    </row>
    <row r="967" spans="1:13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25">
        <f t="shared" si="116"/>
        <v>3257.47</v>
      </c>
      <c r="G967" s="663">
        <f t="shared" si="118"/>
        <v>1.1534128250702241E-2</v>
      </c>
      <c r="H967" s="46">
        <f t="shared" si="119"/>
        <v>27.082825180343903</v>
      </c>
      <c r="I967" s="37">
        <f t="shared" si="117"/>
        <v>9.9583548188124542</v>
      </c>
      <c r="J967" s="210">
        <v>10.412370551553201</v>
      </c>
      <c r="K967" s="37">
        <f t="shared" si="120"/>
        <v>2.5125944981329762</v>
      </c>
      <c r="L967" s="37">
        <f t="shared" si="121"/>
        <v>3.062852693224098</v>
      </c>
      <c r="M967" s="45">
        <f t="shared" ref="M967:M1030" si="122">(K967+J967+I967+H967)/F967</f>
        <v>1.5338942507173523E-2</v>
      </c>
    </row>
    <row r="968" spans="1:13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25">
        <f t="shared" si="116"/>
        <v>24.3</v>
      </c>
      <c r="G968" s="663">
        <f t="shared" si="118"/>
        <v>8.6042025403784071E-5</v>
      </c>
      <c r="H968" s="46">
        <f t="shared" si="119"/>
        <v>0.20203183816960923</v>
      </c>
      <c r="I968" s="37">
        <f t="shared" si="117"/>
        <v>7.4287106894965316E-2</v>
      </c>
      <c r="J968" s="210">
        <v>7.767396304578178E-2</v>
      </c>
      <c r="K968" s="37">
        <f t="shared" si="120"/>
        <v>1.8743394813960323E-2</v>
      </c>
      <c r="L968" s="37">
        <f t="shared" si="121"/>
        <v>2.2848198278217637E-2</v>
      </c>
      <c r="M968" s="45">
        <f t="shared" si="122"/>
        <v>1.5338942507173523E-2</v>
      </c>
    </row>
    <row r="969" spans="1:13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25">
        <f t="shared" si="116"/>
        <v>4572.4000000000005</v>
      </c>
      <c r="G969" s="663">
        <f t="shared" si="118"/>
        <v>1.619006407227417E-2</v>
      </c>
      <c r="H969" s="46">
        <f t="shared" si="119"/>
        <v>38.015241845544089</v>
      </c>
      <c r="I969" s="37">
        <f t="shared" si="117"/>
        <v>13.978204426606563</v>
      </c>
      <c r="J969" s="210">
        <v>14.615490890145376</v>
      </c>
      <c r="K969" s="37">
        <f t="shared" si="120"/>
        <v>3.5268435575042054</v>
      </c>
      <c r="L969" s="37">
        <f t="shared" si="121"/>
        <v>4.2992222965976268</v>
      </c>
      <c r="M969" s="45">
        <f t="shared" si="122"/>
        <v>1.5338942507173527E-2</v>
      </c>
    </row>
    <row r="970" spans="1:13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25">
        <f t="shared" si="116"/>
        <v>140.30000000000001</v>
      </c>
      <c r="G970" s="663">
        <f t="shared" si="118"/>
        <v>4.9677761992390562E-4</v>
      </c>
      <c r="H970" s="46">
        <f t="shared" si="119"/>
        <v>1.1664636582385257</v>
      </c>
      <c r="I970" s="37">
        <f t="shared" si="117"/>
        <v>0.42890868713430591</v>
      </c>
      <c r="J970" s="210">
        <v>0.44846325165939027</v>
      </c>
      <c r="K970" s="37">
        <f t="shared" si="120"/>
        <v>0.1082180367242236</v>
      </c>
      <c r="L970" s="37">
        <f t="shared" si="121"/>
        <v>0.13191778676682858</v>
      </c>
      <c r="M970" s="45">
        <f t="shared" si="122"/>
        <v>1.5338942507173523E-2</v>
      </c>
    </row>
    <row r="971" spans="1:13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25">
        <f t="shared" si="116"/>
        <v>427.4</v>
      </c>
      <c r="G971" s="663">
        <f t="shared" si="118"/>
        <v>1.5133482163612062E-3</v>
      </c>
      <c r="H971" s="46">
        <f t="shared" si="119"/>
        <v>3.5534324129090935</v>
      </c>
      <c r="I971" s="37">
        <f t="shared" si="117"/>
        <v>1.3065970982266737</v>
      </c>
      <c r="J971" s="210">
        <v>1.3661667409780713</v>
      </c>
      <c r="K971" s="37">
        <f t="shared" si="120"/>
        <v>0.32966777545212517</v>
      </c>
      <c r="L971" s="37">
        <f t="shared" si="121"/>
        <v>0.40186501827614063</v>
      </c>
      <c r="M971" s="45">
        <f t="shared" si="122"/>
        <v>1.5338942507173523E-2</v>
      </c>
    </row>
    <row r="972" spans="1:13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25">
        <f t="shared" si="116"/>
        <v>954</v>
      </c>
      <c r="G972" s="663">
        <f t="shared" si="118"/>
        <v>3.3779461825189303E-3</v>
      </c>
      <c r="H972" s="46">
        <f t="shared" si="119"/>
        <v>7.9316203133253991</v>
      </c>
      <c r="I972" s="37">
        <f t="shared" si="117"/>
        <v>2.9164567892097493</v>
      </c>
      <c r="J972" s="210">
        <v>3.04942225290847</v>
      </c>
      <c r="K972" s="37">
        <f t="shared" si="120"/>
        <v>0.73585179639992382</v>
      </c>
      <c r="L972" s="37">
        <f t="shared" si="121"/>
        <v>0.89700333981150715</v>
      </c>
      <c r="M972" s="45">
        <f t="shared" si="122"/>
        <v>1.5338942507173523E-2</v>
      </c>
    </row>
    <row r="973" spans="1:13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25">
        <f t="shared" si="116"/>
        <v>202.5</v>
      </c>
      <c r="G973" s="663">
        <f t="shared" si="118"/>
        <v>7.1701687836486728E-4</v>
      </c>
      <c r="H973" s="46">
        <f t="shared" si="119"/>
        <v>1.6835986514134103</v>
      </c>
      <c r="I973" s="37">
        <f t="shared" si="117"/>
        <v>0.61905922412471104</v>
      </c>
      <c r="J973" s="210">
        <v>0.64728302538151483</v>
      </c>
      <c r="K973" s="37">
        <f t="shared" si="120"/>
        <v>0.15619495678300269</v>
      </c>
      <c r="L973" s="37">
        <f t="shared" si="121"/>
        <v>0.19040165231848027</v>
      </c>
      <c r="M973" s="45">
        <f t="shared" si="122"/>
        <v>1.5338942507173525E-2</v>
      </c>
    </row>
    <row r="974" spans="1:13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25">
        <f t="shared" si="116"/>
        <v>308.2</v>
      </c>
      <c r="G974" s="663">
        <f t="shared" si="118"/>
        <v>1.0912819847508745E-3</v>
      </c>
      <c r="H974" s="46">
        <f t="shared" si="119"/>
        <v>2.5623955771141382</v>
      </c>
      <c r="I974" s="37">
        <f t="shared" si="117"/>
        <v>0.94219285370486872</v>
      </c>
      <c r="J974" s="210">
        <v>0.98514878233374259</v>
      </c>
      <c r="K974" s="37">
        <f t="shared" si="120"/>
        <v>0.23772486755813052</v>
      </c>
      <c r="L974" s="37">
        <f t="shared" si="121"/>
        <v>0.28978661355336111</v>
      </c>
      <c r="M974" s="45">
        <f t="shared" si="122"/>
        <v>1.5338942507173523E-2</v>
      </c>
    </row>
    <row r="975" spans="1:13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25">
        <f t="shared" si="116"/>
        <v>44.1</v>
      </c>
      <c r="G975" s="663">
        <f t="shared" si="118"/>
        <v>1.5615034239945997E-4</v>
      </c>
      <c r="H975" s="46">
        <f t="shared" si="119"/>
        <v>0.36665037297447595</v>
      </c>
      <c r="I975" s="37">
        <f t="shared" si="117"/>
        <v>0.13481734214271482</v>
      </c>
      <c r="J975" s="210">
        <v>0.14096385886086324</v>
      </c>
      <c r="K975" s="37">
        <f t="shared" si="120"/>
        <v>3.4015790588298359E-2</v>
      </c>
      <c r="L975" s="37">
        <f t="shared" si="121"/>
        <v>4.1465248727135702E-2</v>
      </c>
      <c r="M975" s="45">
        <f t="shared" si="122"/>
        <v>1.5338942507173525E-2</v>
      </c>
    </row>
    <row r="976" spans="1:13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25">
        <f t="shared" si="116"/>
        <v>236.79</v>
      </c>
      <c r="G976" s="663">
        <f t="shared" si="118"/>
        <v>8.3843173643465138E-4</v>
      </c>
      <c r="H976" s="46">
        <f t="shared" si="119"/>
        <v>1.9686880230527475</v>
      </c>
      <c r="I976" s="37">
        <f t="shared" si="117"/>
        <v>0.72388658607649525</v>
      </c>
      <c r="J976" s="210">
        <v>0.75688961767945129</v>
      </c>
      <c r="K976" s="37">
        <f t="shared" si="120"/>
        <v>0.18264396946492445</v>
      </c>
      <c r="L976" s="37">
        <f t="shared" si="121"/>
        <v>0.22264299877774291</v>
      </c>
      <c r="M976" s="45">
        <f t="shared" si="122"/>
        <v>1.5338942507173523E-2</v>
      </c>
    </row>
    <row r="977" spans="1:13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25">
        <f t="shared" si="116"/>
        <v>571.4</v>
      </c>
      <c r="G977" s="663">
        <f t="shared" si="118"/>
        <v>2.0232268854206673E-3</v>
      </c>
      <c r="H977" s="46">
        <f t="shared" si="119"/>
        <v>4.7506581205808516</v>
      </c>
      <c r="I977" s="37">
        <f t="shared" si="117"/>
        <v>1.7468169909375793</v>
      </c>
      <c r="J977" s="210">
        <v>1.8264568923604818</v>
      </c>
      <c r="K977" s="37">
        <f t="shared" si="120"/>
        <v>0.44073974472003818</v>
      </c>
      <c r="L977" s="37">
        <f t="shared" si="121"/>
        <v>0.53726174881372657</v>
      </c>
      <c r="M977" s="45">
        <f t="shared" si="122"/>
        <v>1.5338942507173521E-2</v>
      </c>
    </row>
    <row r="978" spans="1:13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625">
        <f t="shared" si="116"/>
        <v>654.29999999999995</v>
      </c>
      <c r="G978" s="663">
        <f t="shared" si="118"/>
        <v>2.3167612025389262E-3</v>
      </c>
      <c r="H978" s="46">
        <f t="shared" si="119"/>
        <v>5.4398943092335514</v>
      </c>
      <c r="I978" s="37">
        <f t="shared" si="117"/>
        <v>2.0002491375051772</v>
      </c>
      <c r="J978" s="210">
        <v>2.091443375343828</v>
      </c>
      <c r="K978" s="37">
        <f t="shared" si="120"/>
        <v>0.50468326036107969</v>
      </c>
      <c r="L978" s="37">
        <f t="shared" si="121"/>
        <v>0.61520889438015613</v>
      </c>
      <c r="M978" s="45">
        <f t="shared" si="122"/>
        <v>1.5338942507173523E-2</v>
      </c>
    </row>
    <row r="979" spans="1:13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625">
        <f t="shared" si="116"/>
        <v>559.79999999999995</v>
      </c>
      <c r="G979" s="663">
        <f t="shared" si="118"/>
        <v>1.9821533259686552E-3</v>
      </c>
      <c r="H979" s="46">
        <f t="shared" si="119"/>
        <v>4.6542149385739604</v>
      </c>
      <c r="I979" s="37">
        <f t="shared" si="117"/>
        <v>1.7113548329136454</v>
      </c>
      <c r="J979" s="210">
        <v>1.7893779634991209</v>
      </c>
      <c r="K979" s="37">
        <f t="shared" si="120"/>
        <v>0.43179228052901186</v>
      </c>
      <c r="L979" s="37">
        <f t="shared" si="121"/>
        <v>0.52635478996486551</v>
      </c>
      <c r="M979" s="45">
        <f t="shared" si="122"/>
        <v>1.5338942507173525E-2</v>
      </c>
    </row>
    <row r="980" spans="1:13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25">
        <f t="shared" si="116"/>
        <v>681</v>
      </c>
      <c r="G980" s="663">
        <f t="shared" si="118"/>
        <v>2.4113012057603682E-3</v>
      </c>
      <c r="H980" s="46">
        <f t="shared" si="119"/>
        <v>5.6618799091976904</v>
      </c>
      <c r="I980" s="37">
        <f t="shared" si="117"/>
        <v>2.0818732426119908</v>
      </c>
      <c r="J980" s="210">
        <v>2.1767888409126499</v>
      </c>
      <c r="K980" s="37">
        <f t="shared" si="120"/>
        <v>0.52527785466283861</v>
      </c>
      <c r="L980" s="37">
        <f t="shared" si="121"/>
        <v>0.6403137048340003</v>
      </c>
      <c r="M980" s="45">
        <f t="shared" si="122"/>
        <v>1.5338942507173525E-2</v>
      </c>
    </row>
    <row r="981" spans="1:13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625">
        <f t="shared" si="116"/>
        <v>373.3</v>
      </c>
      <c r="G981" s="663">
        <f t="shared" si="118"/>
        <v>1.3217896330548393E-3</v>
      </c>
      <c r="H981" s="46">
        <f t="shared" si="119"/>
        <v>3.1036413657907458</v>
      </c>
      <c r="I981" s="37">
        <f t="shared" si="117"/>
        <v>1.1412089302012574</v>
      </c>
      <c r="J981" s="210">
        <v>1.1932382882712074</v>
      </c>
      <c r="K981" s="37">
        <f t="shared" si="120"/>
        <v>0.2879386536646662</v>
      </c>
      <c r="L981" s="37">
        <f t="shared" si="121"/>
        <v>0.35099721881722812</v>
      </c>
      <c r="M981" s="45">
        <f t="shared" si="122"/>
        <v>1.5338942507173525E-2</v>
      </c>
    </row>
    <row r="982" spans="1:13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625">
        <f t="shared" si="116"/>
        <v>395.4</v>
      </c>
      <c r="G982" s="663">
        <f t="shared" si="118"/>
        <v>1.4000418454591036E-3</v>
      </c>
      <c r="H982" s="46">
        <f t="shared" si="119"/>
        <v>3.2873822556487027</v>
      </c>
      <c r="I982" s="37">
        <f t="shared" si="117"/>
        <v>1.208770455402028</v>
      </c>
      <c r="J982" s="210">
        <v>1.2638800406708688</v>
      </c>
      <c r="K982" s="37">
        <f t="shared" si="120"/>
        <v>0.30498511561481112</v>
      </c>
      <c r="L982" s="37">
        <f t="shared" si="121"/>
        <v>0.37177685593445475</v>
      </c>
      <c r="M982" s="45">
        <f t="shared" si="122"/>
        <v>1.5338942507173521E-2</v>
      </c>
    </row>
    <row r="983" spans="1:13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625">
        <f t="shared" si="116"/>
        <v>359.5</v>
      </c>
      <c r="G983" s="663">
        <f t="shared" si="118"/>
        <v>1.2729262606033076E-3</v>
      </c>
      <c r="H983" s="46">
        <f t="shared" si="119"/>
        <v>2.9889072354722024</v>
      </c>
      <c r="I983" s="37">
        <f t="shared" si="117"/>
        <v>1.0990211904831289</v>
      </c>
      <c r="J983" s="210">
        <v>1.1491271487637262</v>
      </c>
      <c r="K983" s="37">
        <f t="shared" si="120"/>
        <v>0.27729425660982454</v>
      </c>
      <c r="L983" s="37">
        <f t="shared" si="121"/>
        <v>0.33802169880737615</v>
      </c>
      <c r="M983" s="45">
        <f t="shared" si="122"/>
        <v>1.5338942507173525E-2</v>
      </c>
    </row>
    <row r="984" spans="1:13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25">
        <f t="shared" si="116"/>
        <v>581.70000000000005</v>
      </c>
      <c r="G984" s="663">
        <f t="shared" si="118"/>
        <v>2.0596973735547818E-3</v>
      </c>
      <c r="H984" s="46">
        <f t="shared" si="119"/>
        <v>4.8362930149490406</v>
      </c>
      <c r="I984" s="37">
        <f t="shared" si="117"/>
        <v>1.7783049415967624</v>
      </c>
      <c r="J984" s="210">
        <v>1.859380424021863</v>
      </c>
      <c r="K984" s="37">
        <f t="shared" si="120"/>
        <v>0.44868447585517368</v>
      </c>
      <c r="L984" s="37">
        <f t="shared" si="121"/>
        <v>0.54694637606745677</v>
      </c>
      <c r="M984" s="45">
        <f t="shared" si="122"/>
        <v>1.5338942507173523E-2</v>
      </c>
    </row>
    <row r="985" spans="1:13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625">
        <f t="shared" si="116"/>
        <v>397</v>
      </c>
      <c r="G985" s="663">
        <f t="shared" si="118"/>
        <v>1.4057071640042088E-3</v>
      </c>
      <c r="H985" s="46">
        <f t="shared" si="119"/>
        <v>3.3006847635117227</v>
      </c>
      <c r="I985" s="37">
        <f t="shared" si="117"/>
        <v>1.2136617875432605</v>
      </c>
      <c r="J985" s="210">
        <v>1.268994375686229</v>
      </c>
      <c r="K985" s="37">
        <f t="shared" si="120"/>
        <v>0.30621924860667687</v>
      </c>
      <c r="L985" s="37">
        <f t="shared" si="121"/>
        <v>0.37328126405153916</v>
      </c>
      <c r="M985" s="45">
        <f t="shared" si="122"/>
        <v>1.5338942507173523E-2</v>
      </c>
    </row>
    <row r="986" spans="1:13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625">
        <f t="shared" si="116"/>
        <v>271.5</v>
      </c>
      <c r="G986" s="663">
        <f t="shared" si="118"/>
        <v>9.6133374062252574E-4</v>
      </c>
      <c r="H986" s="46">
        <f t="shared" si="119"/>
        <v>2.2572693030061277</v>
      </c>
      <c r="I986" s="37">
        <f t="shared" si="117"/>
        <v>0.82999792271535322</v>
      </c>
      <c r="J986" s="210">
        <v>0.86783872291891995</v>
      </c>
      <c r="K986" s="37">
        <f t="shared" si="120"/>
        <v>0.20941694205721101</v>
      </c>
      <c r="L986" s="37">
        <f t="shared" si="121"/>
        <v>0.25527925236774024</v>
      </c>
      <c r="M986" s="45">
        <f t="shared" si="122"/>
        <v>1.5338942507173523E-2</v>
      </c>
    </row>
    <row r="987" spans="1:13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625">
        <f t="shared" si="116"/>
        <v>258.60000000000002</v>
      </c>
      <c r="G987" s="663">
        <f t="shared" si="118"/>
        <v>9.1565710985261567E-4</v>
      </c>
      <c r="H987" s="46">
        <f t="shared" si="119"/>
        <v>2.1500178333605326</v>
      </c>
      <c r="I987" s="37">
        <f t="shared" si="117"/>
        <v>0.79056155732666789</v>
      </c>
      <c r="J987" s="210">
        <v>0.82660439685757903</v>
      </c>
      <c r="K987" s="37">
        <f t="shared" si="120"/>
        <v>0.19946674481029381</v>
      </c>
      <c r="L987" s="37">
        <f t="shared" si="121"/>
        <v>0.24314996192374816</v>
      </c>
      <c r="M987" s="45">
        <f t="shared" si="122"/>
        <v>1.5338942507173523E-2</v>
      </c>
    </row>
    <row r="988" spans="1:13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625">
        <f t="shared" si="116"/>
        <v>737.4</v>
      </c>
      <c r="G988" s="663">
        <f t="shared" si="118"/>
        <v>2.6110036844753238E-3</v>
      </c>
      <c r="H988" s="46">
        <f t="shared" si="119"/>
        <v>6.1307933113691284</v>
      </c>
      <c r="I988" s="37">
        <f t="shared" si="117"/>
        <v>2.2542927005904287</v>
      </c>
      <c r="J988" s="210">
        <v>2.3570691502040937</v>
      </c>
      <c r="K988" s="37">
        <f t="shared" si="120"/>
        <v>0.56878104262610452</v>
      </c>
      <c r="L988" s="37">
        <f t="shared" si="121"/>
        <v>0.6933440909612214</v>
      </c>
      <c r="M988" s="45">
        <f t="shared" si="122"/>
        <v>1.5338942507173521E-2</v>
      </c>
    </row>
    <row r="989" spans="1:13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625">
        <f t="shared" si="116"/>
        <v>473.4</v>
      </c>
      <c r="G989" s="663">
        <f t="shared" si="118"/>
        <v>1.6762261245329784E-3</v>
      </c>
      <c r="H989" s="46">
        <f t="shared" si="119"/>
        <v>3.9358795139709053</v>
      </c>
      <c r="I989" s="37">
        <f t="shared" si="117"/>
        <v>1.447222897287102</v>
      </c>
      <c r="J989" s="210">
        <v>1.5132038726696748</v>
      </c>
      <c r="K989" s="37">
        <f t="shared" si="120"/>
        <v>0.36514909896826403</v>
      </c>
      <c r="L989" s="37">
        <f t="shared" si="121"/>
        <v>0.4451167516423139</v>
      </c>
      <c r="M989" s="45">
        <f t="shared" si="122"/>
        <v>1.5338942507173523E-2</v>
      </c>
    </row>
    <row r="990" spans="1:13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625">
        <f t="shared" si="116"/>
        <v>320.60000000000002</v>
      </c>
      <c r="G990" s="663">
        <f t="shared" si="118"/>
        <v>1.1351882034754393E-3</v>
      </c>
      <c r="H990" s="46">
        <f t="shared" si="119"/>
        <v>2.6654900130525401</v>
      </c>
      <c r="I990" s="37">
        <f t="shared" si="117"/>
        <v>0.98010067779941901</v>
      </c>
      <c r="J990" s="210">
        <v>1.0247848787027836</v>
      </c>
      <c r="K990" s="37">
        <f t="shared" si="120"/>
        <v>0.24728939824508969</v>
      </c>
      <c r="L990" s="37">
        <f t="shared" si="121"/>
        <v>0.30144577646076437</v>
      </c>
      <c r="M990" s="45">
        <f t="shared" si="122"/>
        <v>1.5338942507173523E-2</v>
      </c>
    </row>
    <row r="991" spans="1:13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625">
        <f t="shared" si="116"/>
        <v>963.8</v>
      </c>
      <c r="G991" s="663">
        <f t="shared" si="118"/>
        <v>3.4126462586076987E-3</v>
      </c>
      <c r="H991" s="46">
        <f t="shared" si="119"/>
        <v>8.0130981739863927</v>
      </c>
      <c r="I991" s="37">
        <f t="shared" si="117"/>
        <v>2.9464161985747968</v>
      </c>
      <c r="J991" s="210">
        <v>3.0807475548775507</v>
      </c>
      <c r="K991" s="37">
        <f t="shared" si="120"/>
        <v>0.74341086097510112</v>
      </c>
      <c r="L991" s="37">
        <f t="shared" si="121"/>
        <v>0.90621783952864832</v>
      </c>
      <c r="M991" s="45">
        <f t="shared" si="122"/>
        <v>1.5338942507173525E-2</v>
      </c>
    </row>
    <row r="992" spans="1:13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625">
        <f t="shared" si="116"/>
        <v>143.69999999999999</v>
      </c>
      <c r="G992" s="663">
        <f t="shared" si="118"/>
        <v>5.0881642183225385E-4</v>
      </c>
      <c r="H992" s="46">
        <f t="shared" si="119"/>
        <v>1.194731487447442</v>
      </c>
      <c r="I992" s="37">
        <f t="shared" si="117"/>
        <v>0.43930276793442447</v>
      </c>
      <c r="J992" s="210">
        <v>0.45933121356703049</v>
      </c>
      <c r="K992" s="37">
        <f t="shared" si="120"/>
        <v>0.11084056933193819</v>
      </c>
      <c r="L992" s="37">
        <f t="shared" si="121"/>
        <v>0.13511465401563266</v>
      </c>
      <c r="M992" s="45">
        <f t="shared" si="122"/>
        <v>1.5338942507173523E-2</v>
      </c>
    </row>
    <row r="993" spans="1:13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625">
        <f t="shared" si="116"/>
        <v>136.80000000000001</v>
      </c>
      <c r="G993" s="663">
        <f t="shared" si="118"/>
        <v>4.8438473560648813E-4</v>
      </c>
      <c r="H993" s="46">
        <f t="shared" si="119"/>
        <v>1.1373644222881705</v>
      </c>
      <c r="I993" s="37">
        <f t="shared" si="117"/>
        <v>0.41820889807536032</v>
      </c>
      <c r="J993" s="210">
        <v>0.43727564381329009</v>
      </c>
      <c r="K993" s="37">
        <f t="shared" si="120"/>
        <v>0.10551837080451737</v>
      </c>
      <c r="L993" s="37">
        <f t="shared" si="121"/>
        <v>0.12862689401070668</v>
      </c>
      <c r="M993" s="45">
        <f t="shared" si="122"/>
        <v>1.5338942507173525E-2</v>
      </c>
    </row>
    <row r="994" spans="1:13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625">
        <f t="shared" si="116"/>
        <v>128.1</v>
      </c>
      <c r="G994" s="663">
        <f t="shared" si="118"/>
        <v>4.5357956601747894E-4</v>
      </c>
      <c r="H994" s="46">
        <f t="shared" si="119"/>
        <v>1.0650320357830017</v>
      </c>
      <c r="I994" s="37">
        <f t="shared" si="117"/>
        <v>0.39161227955740974</v>
      </c>
      <c r="J994" s="210">
        <v>0.40946644716726938</v>
      </c>
      <c r="K994" s="37">
        <f t="shared" si="120"/>
        <v>9.8807772661247614E-2</v>
      </c>
      <c r="L994" s="37">
        <f t="shared" si="121"/>
        <v>0.12044667487406086</v>
      </c>
      <c r="M994" s="45">
        <f t="shared" si="122"/>
        <v>1.5338942507173523E-2</v>
      </c>
    </row>
    <row r="995" spans="1:13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625">
        <f t="shared" si="116"/>
        <v>72.5</v>
      </c>
      <c r="G995" s="663">
        <f t="shared" si="118"/>
        <v>2.5670974657507594E-4</v>
      </c>
      <c r="H995" s="46">
        <f t="shared" si="119"/>
        <v>0.60276988754307281</v>
      </c>
      <c r="I995" s="37">
        <f t="shared" si="117"/>
        <v>0.22163848764958788</v>
      </c>
      <c r="J995" s="210">
        <v>0.23174330538350532</v>
      </c>
      <c r="K995" s="37">
        <f t="shared" si="120"/>
        <v>5.5921651193914547E-2</v>
      </c>
      <c r="L995" s="37">
        <f t="shared" si="121"/>
        <v>6.8168492805381842E-2</v>
      </c>
      <c r="M995" s="45">
        <f t="shared" si="122"/>
        <v>1.5338942507173523E-2</v>
      </c>
    </row>
    <row r="996" spans="1:13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625">
        <f t="shared" si="116"/>
        <v>237.6</v>
      </c>
      <c r="G996" s="663">
        <f t="shared" si="118"/>
        <v>8.4129980394811088E-4</v>
      </c>
      <c r="H996" s="46">
        <f t="shared" si="119"/>
        <v>1.9754224176584012</v>
      </c>
      <c r="I996" s="37">
        <f t="shared" si="117"/>
        <v>0.72636282297299415</v>
      </c>
      <c r="J996" s="210">
        <v>0.7594787497809774</v>
      </c>
      <c r="K996" s="37">
        <f t="shared" si="120"/>
        <v>0.18326874929205647</v>
      </c>
      <c r="L996" s="37">
        <f t="shared" si="121"/>
        <v>0.22340460538701684</v>
      </c>
      <c r="M996" s="45">
        <f t="shared" si="122"/>
        <v>1.5338942507173523E-2</v>
      </c>
    </row>
    <row r="997" spans="1:13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625">
        <f t="shared" si="116"/>
        <v>106.4</v>
      </c>
      <c r="G997" s="663">
        <f t="shared" si="118"/>
        <v>3.7674368324949075E-4</v>
      </c>
      <c r="H997" s="46">
        <f t="shared" si="119"/>
        <v>0.88461677289079921</v>
      </c>
      <c r="I997" s="37">
        <f t="shared" si="117"/>
        <v>0.32527358739194689</v>
      </c>
      <c r="J997" s="210">
        <v>0.34010327852144778</v>
      </c>
      <c r="K997" s="37">
        <f t="shared" si="120"/>
        <v>8.2069843959069064E-2</v>
      </c>
      <c r="L997" s="37">
        <f t="shared" si="121"/>
        <v>0.1000431397861052</v>
      </c>
      <c r="M997" s="45">
        <f t="shared" si="122"/>
        <v>1.5338942507173523E-2</v>
      </c>
    </row>
    <row r="998" spans="1:13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625">
        <f t="shared" si="116"/>
        <v>348.62</v>
      </c>
      <c r="G998" s="663">
        <f t="shared" si="118"/>
        <v>1.2344020944965927E-3</v>
      </c>
      <c r="H998" s="46">
        <f t="shared" si="119"/>
        <v>2.8984501820036694</v>
      </c>
      <c r="I998" s="37">
        <f t="shared" si="117"/>
        <v>1.0657601319227494</v>
      </c>
      <c r="J998" s="210">
        <v>1.1143496706592775</v>
      </c>
      <c r="K998" s="37">
        <f t="shared" si="120"/>
        <v>0.26890215226513775</v>
      </c>
      <c r="L998" s="37">
        <f t="shared" si="121"/>
        <v>0.32779172361120296</v>
      </c>
      <c r="M998" s="45">
        <f t="shared" si="122"/>
        <v>1.5338942507173523E-2</v>
      </c>
    </row>
    <row r="999" spans="1:13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625">
        <f t="shared" si="116"/>
        <v>360.12</v>
      </c>
      <c r="G999" s="663">
        <f t="shared" si="118"/>
        <v>1.2751215715395357E-3</v>
      </c>
      <c r="H999" s="46">
        <f t="shared" si="119"/>
        <v>2.9940619572691221</v>
      </c>
      <c r="I999" s="37">
        <f t="shared" si="117"/>
        <v>1.1009165816878563</v>
      </c>
      <c r="J999" s="210">
        <v>1.1511089535821786</v>
      </c>
      <c r="K999" s="37">
        <f t="shared" si="120"/>
        <v>0.27777248314417247</v>
      </c>
      <c r="L999" s="37">
        <f t="shared" si="121"/>
        <v>0.33860465695274627</v>
      </c>
      <c r="M999" s="45">
        <f t="shared" si="122"/>
        <v>1.5338942507173523E-2</v>
      </c>
    </row>
    <row r="1000" spans="1:13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625">
        <f t="shared" si="116"/>
        <v>301.69</v>
      </c>
      <c r="G1000" s="663">
        <f t="shared" si="118"/>
        <v>1.0682312199204781E-3</v>
      </c>
      <c r="H1000" s="46">
        <f t="shared" si="119"/>
        <v>2.5082709982464779</v>
      </c>
      <c r="I1000" s="37">
        <f t="shared" si="117"/>
        <v>0.92229124605523005</v>
      </c>
      <c r="J1000" s="210">
        <v>0.96433983173999616</v>
      </c>
      <c r="K1000" s="37">
        <f t="shared" si="120"/>
        <v>0.23270348894747694</v>
      </c>
      <c r="L1000" s="37">
        <f t="shared" si="121"/>
        <v>0.28366555302697444</v>
      </c>
      <c r="M1000" s="45">
        <f t="shared" si="122"/>
        <v>1.5338942507173528E-2</v>
      </c>
    </row>
    <row r="1001" spans="1:13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625">
        <f t="shared" si="116"/>
        <v>136.1</v>
      </c>
      <c r="G1001" s="663">
        <f t="shared" si="118"/>
        <v>4.8190615874300457E-4</v>
      </c>
      <c r="H1001" s="46">
        <f t="shared" si="119"/>
        <v>1.1315445750980992</v>
      </c>
      <c r="I1001" s="37">
        <f t="shared" si="117"/>
        <v>0.41606894026357111</v>
      </c>
      <c r="J1001" s="210">
        <v>0.43503812224406996</v>
      </c>
      <c r="K1001" s="37">
        <f t="shared" si="120"/>
        <v>0.10497843762057611</v>
      </c>
      <c r="L1001" s="37">
        <f t="shared" si="121"/>
        <v>0.1279687154594823</v>
      </c>
      <c r="M1001" s="45">
        <f t="shared" si="122"/>
        <v>1.5338942507173525E-2</v>
      </c>
    </row>
    <row r="1002" spans="1:13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625">
        <f t="shared" ref="F1002:F1063" si="123">C1002+D1002+E1002</f>
        <v>113.9</v>
      </c>
      <c r="G1002" s="663">
        <f t="shared" si="118"/>
        <v>4.0329986392967105E-4</v>
      </c>
      <c r="H1002" s="46">
        <f t="shared" si="119"/>
        <v>0.94697227849870336</v>
      </c>
      <c r="I1002" s="37">
        <f t="shared" si="117"/>
        <v>0.34820170680397328</v>
      </c>
      <c r="J1002" s="210">
        <v>0.36407672390594836</v>
      </c>
      <c r="K1002" s="37">
        <f t="shared" si="120"/>
        <v>8.7854842358439544E-2</v>
      </c>
      <c r="L1002" s="37">
        <f t="shared" si="121"/>
        <v>0.10709505283493781</v>
      </c>
      <c r="M1002" s="45">
        <f t="shared" si="122"/>
        <v>1.5338942507173525E-2</v>
      </c>
    </row>
    <row r="1003" spans="1:13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625">
        <f t="shared" si="123"/>
        <v>566.45000000000005</v>
      </c>
      <c r="G1003" s="663">
        <f t="shared" si="118"/>
        <v>2.0056998061717484E-3</v>
      </c>
      <c r="H1003" s="46">
        <f t="shared" si="119"/>
        <v>4.709503486879635</v>
      </c>
      <c r="I1003" s="37">
        <f t="shared" ref="I1003:I1064" si="124">H1003*0.3677</f>
        <v>1.7316844321256419</v>
      </c>
      <c r="J1003" s="210">
        <v>1.8106344184067118</v>
      </c>
      <c r="K1003" s="37">
        <f t="shared" si="120"/>
        <v>0.43692164577645365</v>
      </c>
      <c r="L1003" s="37">
        <f t="shared" si="121"/>
        <v>0.532607486201497</v>
      </c>
      <c r="M1003" s="45">
        <f t="shared" si="122"/>
        <v>1.5338942507173521E-2</v>
      </c>
    </row>
    <row r="1004" spans="1:13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625">
        <f t="shared" si="123"/>
        <v>760.45</v>
      </c>
      <c r="G1004" s="663">
        <f t="shared" si="118"/>
        <v>2.6926196797657448E-3</v>
      </c>
      <c r="H1004" s="46">
        <f t="shared" si="119"/>
        <v>6.3224325652707547</v>
      </c>
      <c r="I1004" s="37">
        <f t="shared" si="124"/>
        <v>2.3247584542500568</v>
      </c>
      <c r="J1004" s="210">
        <v>2.4307475390191255</v>
      </c>
      <c r="K1004" s="37">
        <f t="shared" si="120"/>
        <v>0.58656027104016983</v>
      </c>
      <c r="L1004" s="37">
        <f t="shared" si="121"/>
        <v>0.71501697039796708</v>
      </c>
      <c r="M1004" s="45">
        <f t="shared" si="122"/>
        <v>1.5338942507173525E-2</v>
      </c>
    </row>
    <row r="1005" spans="1:13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625">
        <f t="shared" si="123"/>
        <v>275.3</v>
      </c>
      <c r="G1005" s="663">
        <f t="shared" si="118"/>
        <v>9.7478887216715044E-4</v>
      </c>
      <c r="H1005" s="46">
        <f t="shared" si="119"/>
        <v>2.2888627591807991</v>
      </c>
      <c r="I1005" s="37">
        <f t="shared" si="124"/>
        <v>0.84161483655077984</v>
      </c>
      <c r="J1005" s="210">
        <v>0.87998526858040016</v>
      </c>
      <c r="K1005" s="37">
        <f t="shared" si="120"/>
        <v>0.21234800791289205</v>
      </c>
      <c r="L1005" s="37">
        <f t="shared" si="121"/>
        <v>0.25885222164581539</v>
      </c>
      <c r="M1005" s="45">
        <f t="shared" si="122"/>
        <v>1.5338942507173523E-2</v>
      </c>
    </row>
    <row r="1006" spans="1:13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625">
        <f t="shared" si="123"/>
        <v>384.4</v>
      </c>
      <c r="G1006" s="663">
        <f t="shared" si="118"/>
        <v>1.3610927804615059E-3</v>
      </c>
      <c r="H1006" s="46">
        <f t="shared" si="119"/>
        <v>3.1959275140904433</v>
      </c>
      <c r="I1006" s="37">
        <f t="shared" si="124"/>
        <v>1.1751425469310561</v>
      </c>
      <c r="J1006" s="210">
        <v>1.2287189874402682</v>
      </c>
      <c r="K1006" s="37">
        <f t="shared" si="120"/>
        <v>0.29650045129573444</v>
      </c>
      <c r="L1006" s="37">
        <f t="shared" si="121"/>
        <v>0.36143405012950031</v>
      </c>
      <c r="M1006" s="45">
        <f t="shared" si="122"/>
        <v>1.5338942507173525E-2</v>
      </c>
    </row>
    <row r="1007" spans="1:13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625">
        <f t="shared" si="123"/>
        <v>207.2</v>
      </c>
      <c r="G1007" s="663">
        <f t="shared" si="118"/>
        <v>7.3365875159111355E-4</v>
      </c>
      <c r="H1007" s="46">
        <f t="shared" si="119"/>
        <v>1.7226747682610299</v>
      </c>
      <c r="I1007" s="37">
        <f t="shared" si="124"/>
        <v>0.63342751228958072</v>
      </c>
      <c r="J1007" s="210">
        <v>0.66230638448913515</v>
      </c>
      <c r="K1007" s="37">
        <f t="shared" si="120"/>
        <v>0.15982022244660818</v>
      </c>
      <c r="L1007" s="37">
        <f t="shared" si="121"/>
        <v>0.19482085116241538</v>
      </c>
      <c r="M1007" s="45">
        <f t="shared" si="122"/>
        <v>1.5338942507173525E-2</v>
      </c>
    </row>
    <row r="1008" spans="1:13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625">
        <f t="shared" si="123"/>
        <v>603.70000000000005</v>
      </c>
      <c r="G1008" s="663">
        <f t="shared" si="118"/>
        <v>2.1375955035499773E-3</v>
      </c>
      <c r="H1008" s="46">
        <f t="shared" si="119"/>
        <v>5.0192024980655594</v>
      </c>
      <c r="I1008" s="37">
        <f t="shared" si="124"/>
        <v>1.8455607585387064</v>
      </c>
      <c r="J1008" s="210">
        <v>1.9297025304830646</v>
      </c>
      <c r="K1008" s="37">
        <f t="shared" si="120"/>
        <v>0.46565380449332705</v>
      </c>
      <c r="L1008" s="37">
        <f t="shared" si="121"/>
        <v>0.56763198767736567</v>
      </c>
      <c r="M1008" s="45">
        <f t="shared" si="122"/>
        <v>1.5338942507173525E-2</v>
      </c>
    </row>
    <row r="1009" spans="1:13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625">
        <f t="shared" si="123"/>
        <v>477.8</v>
      </c>
      <c r="G1009" s="663">
        <f t="shared" ref="G1009:G1072" si="125">1/282420.13*F1009</f>
        <v>1.6918057505320176E-3</v>
      </c>
      <c r="H1009" s="46">
        <f t="shared" ref="H1009:H1072" si="126">G1009*2348.06</f>
        <v>3.9724614105942093</v>
      </c>
      <c r="I1009" s="37">
        <f t="shared" si="124"/>
        <v>1.4606740606754909</v>
      </c>
      <c r="J1009" s="210">
        <v>1.5272682939619151</v>
      </c>
      <c r="K1009" s="37">
        <f t="shared" si="120"/>
        <v>0.3685429646958947</v>
      </c>
      <c r="L1009" s="37">
        <f t="shared" si="121"/>
        <v>0.44925387396429567</v>
      </c>
      <c r="M1009" s="45">
        <f t="shared" si="122"/>
        <v>1.5338942507173523E-2</v>
      </c>
    </row>
    <row r="1010" spans="1:13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625">
        <f t="shared" si="123"/>
        <v>481.5</v>
      </c>
      <c r="G1010" s="663">
        <f t="shared" si="125"/>
        <v>1.7049067996675732E-3</v>
      </c>
      <c r="H1010" s="46">
        <f t="shared" si="126"/>
        <v>4.0032234600274421</v>
      </c>
      <c r="I1010" s="37">
        <f t="shared" si="124"/>
        <v>1.4719852662520905</v>
      </c>
      <c r="J1010" s="210">
        <v>1.5390951936849353</v>
      </c>
      <c r="K1010" s="37">
        <f t="shared" ref="K1010:K1073" si="127">G1010*217.84</f>
        <v>0.37139689723958413</v>
      </c>
      <c r="L1010" s="37">
        <f t="shared" ref="L1010:L1073" si="128">K1010*1.219</f>
        <v>0.45273281773505308</v>
      </c>
      <c r="M1010" s="45">
        <f t="shared" si="122"/>
        <v>1.5338942507173525E-2</v>
      </c>
    </row>
    <row r="1011" spans="1:13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625">
        <f t="shared" si="123"/>
        <v>539.4</v>
      </c>
      <c r="G1011" s="663">
        <f t="shared" si="125"/>
        <v>1.9099205145185648E-3</v>
      </c>
      <c r="H1011" s="46">
        <f t="shared" si="126"/>
        <v>4.4846079633204612</v>
      </c>
      <c r="I1011" s="37">
        <f t="shared" si="124"/>
        <v>1.6489903481129338</v>
      </c>
      <c r="J1011" s="210">
        <v>1.7241701920532795</v>
      </c>
      <c r="K1011" s="37">
        <f t="shared" si="127"/>
        <v>0.41605708488272414</v>
      </c>
      <c r="L1011" s="37">
        <f t="shared" si="128"/>
        <v>0.5071735864720408</v>
      </c>
      <c r="M1011" s="45">
        <f t="shared" si="122"/>
        <v>1.5338942507173523E-2</v>
      </c>
    </row>
    <row r="1012" spans="1:13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625">
        <f t="shared" si="123"/>
        <v>120.6</v>
      </c>
      <c r="G1012" s="663">
        <f t="shared" si="125"/>
        <v>4.270233853372987E-4</v>
      </c>
      <c r="H1012" s="46">
        <f t="shared" si="126"/>
        <v>1.0026765301750975</v>
      </c>
      <c r="I1012" s="37">
        <f t="shared" si="124"/>
        <v>0.36868416014538336</v>
      </c>
      <c r="J1012" s="210">
        <v>0.38549300178276885</v>
      </c>
      <c r="K1012" s="37">
        <f t="shared" si="127"/>
        <v>9.3022774261877147E-2</v>
      </c>
      <c r="L1012" s="37">
        <f t="shared" si="128"/>
        <v>0.11339476182522826</v>
      </c>
      <c r="M1012" s="45">
        <f t="shared" si="122"/>
        <v>1.5338942507173523E-2</v>
      </c>
    </row>
    <row r="1013" spans="1:13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625">
        <f t="shared" si="123"/>
        <v>98.1</v>
      </c>
      <c r="G1013" s="663">
        <f t="shared" si="125"/>
        <v>3.4735484329675791E-4</v>
      </c>
      <c r="H1013" s="46">
        <f t="shared" si="126"/>
        <v>0.81561001335138539</v>
      </c>
      <c r="I1013" s="37">
        <f t="shared" si="124"/>
        <v>0.29989980190930443</v>
      </c>
      <c r="J1013" s="210">
        <v>0.31357266562926717</v>
      </c>
      <c r="K1013" s="37">
        <f t="shared" si="127"/>
        <v>7.5667779063765747E-2</v>
      </c>
      <c r="L1013" s="37">
        <f t="shared" si="128"/>
        <v>9.2239022678730451E-2</v>
      </c>
      <c r="M1013" s="45">
        <f t="shared" si="122"/>
        <v>1.5338942507173523E-2</v>
      </c>
    </row>
    <row r="1014" spans="1:13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625">
        <f t="shared" si="123"/>
        <v>95.2</v>
      </c>
      <c r="G1014" s="663">
        <f t="shared" si="125"/>
        <v>3.370864534337549E-4</v>
      </c>
      <c r="H1014" s="46">
        <f t="shared" si="126"/>
        <v>0.79149921784966248</v>
      </c>
      <c r="I1014" s="37">
        <f t="shared" si="124"/>
        <v>0.29103426240332092</v>
      </c>
      <c r="J1014" s="210">
        <v>0.304302933413927</v>
      </c>
      <c r="K1014" s="37">
        <f t="shared" si="127"/>
        <v>7.3430913016009167E-2</v>
      </c>
      <c r="L1014" s="37">
        <f t="shared" si="128"/>
        <v>8.9512282966515186E-2</v>
      </c>
      <c r="M1014" s="45">
        <f t="shared" si="122"/>
        <v>1.5338942507173525E-2</v>
      </c>
    </row>
    <row r="1015" spans="1:13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625">
        <f t="shared" si="123"/>
        <v>2329.16</v>
      </c>
      <c r="G1015" s="663">
        <f t="shared" si="125"/>
        <v>8.2471458390731556E-3</v>
      </c>
      <c r="H1015" s="46">
        <f t="shared" si="126"/>
        <v>19.364793258894114</v>
      </c>
      <c r="I1015" s="37">
        <f t="shared" si="124"/>
        <v>7.1204344812953666</v>
      </c>
      <c r="J1015" s="210">
        <v>7.4450653402351072</v>
      </c>
      <c r="K1015" s="37">
        <f t="shared" si="127"/>
        <v>1.7965582495836963</v>
      </c>
      <c r="L1015" s="37">
        <f t="shared" si="128"/>
        <v>2.1900045062425257</v>
      </c>
      <c r="M1015" s="45">
        <f t="shared" si="122"/>
        <v>1.5338942507173527E-2</v>
      </c>
    </row>
    <row r="1016" spans="1:13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625">
        <f t="shared" si="123"/>
        <v>188</v>
      </c>
      <c r="G1016" s="663">
        <f t="shared" si="125"/>
        <v>6.6567492904985202E-4</v>
      </c>
      <c r="H1016" s="46">
        <f t="shared" si="126"/>
        <v>1.5630446739047954</v>
      </c>
      <c r="I1016" s="37">
        <f t="shared" si="124"/>
        <v>0.57473152659479332</v>
      </c>
      <c r="J1016" s="210">
        <v>0.60093436430481384</v>
      </c>
      <c r="K1016" s="37">
        <f t="shared" si="127"/>
        <v>0.14501062654421976</v>
      </c>
      <c r="L1016" s="37">
        <f t="shared" si="128"/>
        <v>0.1767679537574039</v>
      </c>
      <c r="M1016" s="45">
        <f t="shared" si="122"/>
        <v>1.5338942507173525E-2</v>
      </c>
    </row>
    <row r="1017" spans="1:13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625">
        <f t="shared" si="123"/>
        <v>110.1</v>
      </c>
      <c r="G1017" s="663">
        <f t="shared" si="125"/>
        <v>3.898447323850463E-4</v>
      </c>
      <c r="H1017" s="46">
        <f t="shared" si="126"/>
        <v>0.91537882232403178</v>
      </c>
      <c r="I1017" s="37">
        <f t="shared" si="124"/>
        <v>0.33658479296854649</v>
      </c>
      <c r="J1017" s="210">
        <v>0.35193017824446809</v>
      </c>
      <c r="K1017" s="37">
        <f t="shared" si="127"/>
        <v>8.4923776502758494E-2</v>
      </c>
      <c r="L1017" s="37">
        <f t="shared" si="128"/>
        <v>0.10352208355686261</v>
      </c>
      <c r="M1017" s="45">
        <f t="shared" si="122"/>
        <v>1.5338942507173525E-2</v>
      </c>
    </row>
    <row r="1018" spans="1:13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625">
        <f t="shared" si="123"/>
        <v>215.8</v>
      </c>
      <c r="G1018" s="663">
        <f t="shared" si="125"/>
        <v>7.641098387710536E-4</v>
      </c>
      <c r="H1018" s="46">
        <f t="shared" si="126"/>
        <v>1.79417574802476</v>
      </c>
      <c r="I1018" s="37">
        <f t="shared" si="124"/>
        <v>0.65971842254870428</v>
      </c>
      <c r="J1018" s="210">
        <v>0.68979593519669591</v>
      </c>
      <c r="K1018" s="37">
        <f t="shared" si="127"/>
        <v>0.16645368727788631</v>
      </c>
      <c r="L1018" s="37">
        <f t="shared" si="128"/>
        <v>0.20290704479174343</v>
      </c>
      <c r="M1018" s="45">
        <f t="shared" si="122"/>
        <v>1.5338942507173523E-2</v>
      </c>
    </row>
    <row r="1019" spans="1:13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625">
        <f t="shared" si="123"/>
        <v>1481.3</v>
      </c>
      <c r="G1019" s="663">
        <f t="shared" si="125"/>
        <v>5.2450227255401377E-3</v>
      </c>
      <c r="H1019" s="46">
        <f t="shared" si="126"/>
        <v>12.315628060931775</v>
      </c>
      <c r="I1019" s="37">
        <f t="shared" si="124"/>
        <v>4.5284564380046142</v>
      </c>
      <c r="J1019" s="210">
        <v>4.7349152864080883</v>
      </c>
      <c r="K1019" s="37">
        <f t="shared" si="127"/>
        <v>1.1425757505316636</v>
      </c>
      <c r="L1019" s="37">
        <f t="shared" si="128"/>
        <v>1.3927998398980981</v>
      </c>
      <c r="M1019" s="45">
        <f t="shared" si="122"/>
        <v>1.5338942507173525E-2</v>
      </c>
    </row>
    <row r="1020" spans="1:13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625">
        <f t="shared" si="123"/>
        <v>152.6</v>
      </c>
      <c r="G1020" s="663">
        <f t="shared" si="125"/>
        <v>5.4032975623940116E-4</v>
      </c>
      <c r="H1020" s="46">
        <f t="shared" si="126"/>
        <v>1.2687266874354883</v>
      </c>
      <c r="I1020" s="37">
        <f t="shared" si="124"/>
        <v>0.46651080297002911</v>
      </c>
      <c r="J1020" s="210">
        <v>0.48777970208997118</v>
      </c>
      <c r="K1020" s="37">
        <f t="shared" si="127"/>
        <v>0.11770543409919115</v>
      </c>
      <c r="L1020" s="37">
        <f t="shared" si="128"/>
        <v>0.14348292416691402</v>
      </c>
      <c r="M1020" s="45">
        <f t="shared" si="122"/>
        <v>1.5338942507173523E-2</v>
      </c>
    </row>
    <row r="1021" spans="1:13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625">
        <f t="shared" si="123"/>
        <v>110.9</v>
      </c>
      <c r="G1021" s="663">
        <f t="shared" si="125"/>
        <v>3.926773916575989E-4</v>
      </c>
      <c r="H1021" s="46">
        <f t="shared" si="126"/>
        <v>0.92203007625554168</v>
      </c>
      <c r="I1021" s="37">
        <f t="shared" si="124"/>
        <v>0.33903045903916268</v>
      </c>
      <c r="J1021" s="210">
        <v>0.35448734575214813</v>
      </c>
      <c r="K1021" s="37">
        <f t="shared" si="127"/>
        <v>8.5540842998691344E-2</v>
      </c>
      <c r="L1021" s="37">
        <f t="shared" si="128"/>
        <v>0.10427428761540476</v>
      </c>
      <c r="M1021" s="45">
        <f t="shared" si="122"/>
        <v>1.5338942507173523E-2</v>
      </c>
    </row>
    <row r="1022" spans="1:13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625">
        <f t="shared" si="123"/>
        <v>59.5</v>
      </c>
      <c r="G1022" s="663">
        <f t="shared" si="125"/>
        <v>2.1067903339609678E-4</v>
      </c>
      <c r="H1022" s="46">
        <f t="shared" si="126"/>
        <v>0.49468701115603897</v>
      </c>
      <c r="I1022" s="37">
        <f t="shared" si="124"/>
        <v>0.18189641400207554</v>
      </c>
      <c r="J1022" s="210">
        <v>0.19018933338370436</v>
      </c>
      <c r="K1022" s="37">
        <f t="shared" si="127"/>
        <v>4.5894320635005724E-2</v>
      </c>
      <c r="L1022" s="37">
        <f t="shared" si="128"/>
        <v>5.5945176854071979E-2</v>
      </c>
      <c r="M1022" s="45">
        <f t="shared" si="122"/>
        <v>1.5338942507173521E-2</v>
      </c>
    </row>
    <row r="1023" spans="1:13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625">
        <f t="shared" si="123"/>
        <v>38.700000000000003</v>
      </c>
      <c r="G1023" s="663">
        <f t="shared" si="125"/>
        <v>1.3702989230973019E-4</v>
      </c>
      <c r="H1023" s="46">
        <f t="shared" si="126"/>
        <v>0.32175440893678509</v>
      </c>
      <c r="I1023" s="37">
        <f t="shared" si="124"/>
        <v>0.11830909616605588</v>
      </c>
      <c r="J1023" s="210">
        <v>0.12370297818402284</v>
      </c>
      <c r="K1023" s="37">
        <f t="shared" si="127"/>
        <v>2.9850591740751626E-2</v>
      </c>
      <c r="L1023" s="37">
        <f t="shared" si="128"/>
        <v>3.6387871331976233E-2</v>
      </c>
      <c r="M1023" s="45">
        <f t="shared" si="122"/>
        <v>1.5338942507173527E-2</v>
      </c>
    </row>
    <row r="1024" spans="1:13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625">
        <f t="shared" si="123"/>
        <v>72.3</v>
      </c>
      <c r="G1024" s="663">
        <f t="shared" si="125"/>
        <v>2.5600158175693777E-4</v>
      </c>
      <c r="H1024" s="46">
        <f t="shared" si="126"/>
        <v>0.60110707406019526</v>
      </c>
      <c r="I1024" s="37">
        <f t="shared" si="124"/>
        <v>0.22102707113193382</v>
      </c>
      <c r="J1024" s="210">
        <v>0.23110401350658527</v>
      </c>
      <c r="K1024" s="37">
        <f t="shared" si="127"/>
        <v>5.5767384569931321E-2</v>
      </c>
      <c r="L1024" s="37">
        <f t="shared" si="128"/>
        <v>6.798044179074629E-2</v>
      </c>
      <c r="M1024" s="45">
        <f t="shared" si="122"/>
        <v>1.5338942507173523E-2</v>
      </c>
    </row>
    <row r="1025" spans="1:13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625">
        <f t="shared" si="123"/>
        <v>99.09</v>
      </c>
      <c r="G1025" s="663">
        <f t="shared" si="125"/>
        <v>3.5086025914654172E-4</v>
      </c>
      <c r="H1025" s="46">
        <f t="shared" si="126"/>
        <v>0.82384094009162878</v>
      </c>
      <c r="I1025" s="37">
        <f t="shared" si="124"/>
        <v>0.30292631367169193</v>
      </c>
      <c r="J1025" s="210">
        <v>0.31673716042002126</v>
      </c>
      <c r="K1025" s="37">
        <f t="shared" si="127"/>
        <v>7.6431398852482652E-2</v>
      </c>
      <c r="L1025" s="37">
        <f t="shared" si="128"/>
        <v>9.3169875201176353E-2</v>
      </c>
      <c r="M1025" s="45">
        <f t="shared" si="122"/>
        <v>1.5338942507173525E-2</v>
      </c>
    </row>
    <row r="1026" spans="1:13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625">
        <f t="shared" si="123"/>
        <v>78.7</v>
      </c>
      <c r="G1026" s="663">
        <f t="shared" si="125"/>
        <v>2.7866285593735831E-4</v>
      </c>
      <c r="H1026" s="46">
        <f t="shared" si="126"/>
        <v>0.65431710551227351</v>
      </c>
      <c r="I1026" s="37">
        <f t="shared" si="124"/>
        <v>0.240592399696863</v>
      </c>
      <c r="J1026" s="210">
        <v>0.25156135356802578</v>
      </c>
      <c r="K1026" s="37">
        <f t="shared" si="127"/>
        <v>6.0703916537394133E-2</v>
      </c>
      <c r="L1026" s="37">
        <f t="shared" si="128"/>
        <v>7.3998074259083446E-2</v>
      </c>
      <c r="M1026" s="45">
        <f t="shared" si="122"/>
        <v>1.5338942507173523E-2</v>
      </c>
    </row>
    <row r="1027" spans="1:13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625">
        <f t="shared" si="123"/>
        <v>557.9</v>
      </c>
      <c r="G1027" s="663">
        <f t="shared" si="125"/>
        <v>1.9754257601963428E-3</v>
      </c>
      <c r="H1027" s="46">
        <f t="shared" si="126"/>
        <v>4.6384182104866243</v>
      </c>
      <c r="I1027" s="37">
        <f t="shared" si="124"/>
        <v>1.705546375995932</v>
      </c>
      <c r="J1027" s="210">
        <v>1.7833046906683807</v>
      </c>
      <c r="K1027" s="37">
        <f t="shared" si="127"/>
        <v>0.43032674760117134</v>
      </c>
      <c r="L1027" s="37">
        <f t="shared" si="128"/>
        <v>0.52456830532582788</v>
      </c>
      <c r="M1027" s="45">
        <f t="shared" si="122"/>
        <v>1.5338942507173523E-2</v>
      </c>
    </row>
    <row r="1028" spans="1:13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625">
        <f t="shared" si="123"/>
        <v>122.5</v>
      </c>
      <c r="G1028" s="663">
        <f t="shared" si="125"/>
        <v>4.3375095110961104E-4</v>
      </c>
      <c r="H1028" s="46">
        <f t="shared" si="126"/>
        <v>1.0184732582624332</v>
      </c>
      <c r="I1028" s="37">
        <f t="shared" si="124"/>
        <v>0.37449261706309672</v>
      </c>
      <c r="J1028" s="210">
        <v>0.39156627461350896</v>
      </c>
      <c r="K1028" s="37">
        <f t="shared" si="127"/>
        <v>9.4488307189717666E-2</v>
      </c>
      <c r="L1028" s="37">
        <f t="shared" si="128"/>
        <v>0.11518124646426585</v>
      </c>
      <c r="M1028" s="45">
        <f t="shared" si="122"/>
        <v>1.5338942507173523E-2</v>
      </c>
    </row>
    <row r="1029" spans="1:13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25">
        <f t="shared" si="123"/>
        <v>275.5</v>
      </c>
      <c r="G1029" s="663">
        <f t="shared" si="125"/>
        <v>9.754970369852885E-4</v>
      </c>
      <c r="H1029" s="46">
        <f t="shared" si="126"/>
        <v>2.2905255726636766</v>
      </c>
      <c r="I1029" s="37">
        <f t="shared" si="124"/>
        <v>0.84222625306843391</v>
      </c>
      <c r="J1029" s="210">
        <v>0.88062456045732018</v>
      </c>
      <c r="K1029" s="37">
        <f t="shared" si="127"/>
        <v>0.21250227453687526</v>
      </c>
      <c r="L1029" s="37">
        <f t="shared" si="128"/>
        <v>0.25904027266045093</v>
      </c>
      <c r="M1029" s="45">
        <f t="shared" si="122"/>
        <v>1.5338942507173523E-2</v>
      </c>
    </row>
    <row r="1030" spans="1:13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625">
        <f t="shared" si="123"/>
        <v>189.1</v>
      </c>
      <c r="G1030" s="663">
        <f t="shared" si="125"/>
        <v>6.6956983554961177E-4</v>
      </c>
      <c r="H1030" s="46">
        <f t="shared" si="126"/>
        <v>1.5721901480606213</v>
      </c>
      <c r="I1030" s="37">
        <f t="shared" si="124"/>
        <v>0.57809431744189044</v>
      </c>
      <c r="J1030" s="210">
        <v>0.60445046962787385</v>
      </c>
      <c r="K1030" s="37">
        <f t="shared" si="127"/>
        <v>0.14585909297612742</v>
      </c>
      <c r="L1030" s="37">
        <f t="shared" si="128"/>
        <v>0.17780223433789935</v>
      </c>
      <c r="M1030" s="45">
        <f t="shared" si="122"/>
        <v>1.5338942507173523E-2</v>
      </c>
    </row>
    <row r="1031" spans="1:13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625">
        <f t="shared" si="123"/>
        <v>590.4</v>
      </c>
      <c r="G1031" s="663">
        <f t="shared" si="125"/>
        <v>2.0905025431437905E-3</v>
      </c>
      <c r="H1031" s="46">
        <f t="shared" si="126"/>
        <v>4.9086254014542083</v>
      </c>
      <c r="I1031" s="37">
        <f t="shared" si="124"/>
        <v>1.8049015601147125</v>
      </c>
      <c r="J1031" s="210">
        <v>1.8871896206678833</v>
      </c>
      <c r="K1031" s="37">
        <f t="shared" si="127"/>
        <v>0.45539507399844331</v>
      </c>
      <c r="L1031" s="37">
        <f t="shared" si="128"/>
        <v>0.55512659520410246</v>
      </c>
      <c r="M1031" s="45">
        <f t="shared" ref="M1031:M1094" si="129">(K1031+J1031+I1031+H1031)/F1031</f>
        <v>1.5338942507173525E-2</v>
      </c>
    </row>
    <row r="1032" spans="1:13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625">
        <f t="shared" si="123"/>
        <v>761.4</v>
      </c>
      <c r="G1032" s="663">
        <f t="shared" si="125"/>
        <v>2.6959834626519006E-3</v>
      </c>
      <c r="H1032" s="46">
        <f t="shared" si="126"/>
        <v>6.3303309293144219</v>
      </c>
      <c r="I1032" s="37">
        <f t="shared" si="124"/>
        <v>2.3276626827089131</v>
      </c>
      <c r="J1032" s="210">
        <v>2.433784175434496</v>
      </c>
      <c r="K1032" s="37">
        <f t="shared" si="127"/>
        <v>0.58729303750409001</v>
      </c>
      <c r="L1032" s="37">
        <f t="shared" si="128"/>
        <v>0.71591021271748578</v>
      </c>
      <c r="M1032" s="45">
        <f t="shared" si="129"/>
        <v>1.5338942507173525E-2</v>
      </c>
    </row>
    <row r="1033" spans="1:13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25">
        <f t="shared" si="123"/>
        <v>577.12</v>
      </c>
      <c r="G1033" s="663">
        <f t="shared" si="125"/>
        <v>2.0434803992194182E-3</v>
      </c>
      <c r="H1033" s="46">
        <f t="shared" si="126"/>
        <v>4.7982145861911469</v>
      </c>
      <c r="I1033" s="37">
        <f t="shared" si="124"/>
        <v>1.7643035033424848</v>
      </c>
      <c r="J1033" s="210">
        <v>1.8447406400403941</v>
      </c>
      <c r="K1033" s="37">
        <f t="shared" si="127"/>
        <v>0.44515177016595808</v>
      </c>
      <c r="L1033" s="37">
        <f t="shared" si="128"/>
        <v>0.54264000783230293</v>
      </c>
      <c r="M1033" s="45">
        <f t="shared" si="129"/>
        <v>1.5338942507173523E-2</v>
      </c>
    </row>
    <row r="1034" spans="1:13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25">
        <f t="shared" si="123"/>
        <v>136.80000000000001</v>
      </c>
      <c r="G1034" s="663">
        <f t="shared" si="125"/>
        <v>4.8438473560648813E-4</v>
      </c>
      <c r="H1034" s="46">
        <f t="shared" si="126"/>
        <v>1.1373644222881705</v>
      </c>
      <c r="I1034" s="37">
        <f t="shared" si="124"/>
        <v>0.41820889807536032</v>
      </c>
      <c r="J1034" s="210">
        <v>0.43727564381329009</v>
      </c>
      <c r="K1034" s="37">
        <f t="shared" si="127"/>
        <v>0.10551837080451737</v>
      </c>
      <c r="L1034" s="37">
        <f t="shared" si="128"/>
        <v>0.12862689401070668</v>
      </c>
      <c r="M1034" s="45">
        <f t="shared" si="129"/>
        <v>1.5338942507173525E-2</v>
      </c>
    </row>
    <row r="1035" spans="1:13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625">
        <f t="shared" si="123"/>
        <v>578</v>
      </c>
      <c r="G1035" s="663">
        <f t="shared" si="125"/>
        <v>2.0465963244192258E-3</v>
      </c>
      <c r="H1035" s="46">
        <f t="shared" si="126"/>
        <v>4.8055309655158069</v>
      </c>
      <c r="I1035" s="37">
        <f t="shared" si="124"/>
        <v>1.7669937360201624</v>
      </c>
      <c r="J1035" s="210">
        <v>1.8475535242988421</v>
      </c>
      <c r="K1035" s="37">
        <f t="shared" si="127"/>
        <v>0.44583054331148414</v>
      </c>
      <c r="L1035" s="37">
        <f t="shared" si="128"/>
        <v>0.54346743229669925</v>
      </c>
      <c r="M1035" s="45">
        <f t="shared" si="129"/>
        <v>1.5338942507173523E-2</v>
      </c>
    </row>
    <row r="1036" spans="1:13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625">
        <f t="shared" si="123"/>
        <v>150</v>
      </c>
      <c r="G1036" s="663">
        <f t="shared" si="125"/>
        <v>5.3112361360360531E-4</v>
      </c>
      <c r="H1036" s="46">
        <f t="shared" si="126"/>
        <v>1.2471101121580814</v>
      </c>
      <c r="I1036" s="37">
        <f t="shared" si="124"/>
        <v>0.45856238824052659</v>
      </c>
      <c r="J1036" s="210">
        <v>0.47946890769001094</v>
      </c>
      <c r="K1036" s="37">
        <f t="shared" si="127"/>
        <v>0.11569996798740938</v>
      </c>
      <c r="L1036" s="37">
        <f t="shared" si="128"/>
        <v>0.14103826097665204</v>
      </c>
      <c r="M1036" s="45">
        <f t="shared" si="129"/>
        <v>1.5338942507173521E-2</v>
      </c>
    </row>
    <row r="1037" spans="1:13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625">
        <f t="shared" si="123"/>
        <v>106.6</v>
      </c>
      <c r="G1037" s="663">
        <f t="shared" si="125"/>
        <v>3.7745184806762887E-4</v>
      </c>
      <c r="H1037" s="46">
        <f t="shared" si="126"/>
        <v>0.88627958637367665</v>
      </c>
      <c r="I1037" s="37">
        <f t="shared" si="124"/>
        <v>0.32588500390960096</v>
      </c>
      <c r="J1037" s="210">
        <v>0.34074257039836781</v>
      </c>
      <c r="K1037" s="37">
        <f t="shared" si="127"/>
        <v>8.2224110583052276E-2</v>
      </c>
      <c r="L1037" s="37">
        <f t="shared" si="128"/>
        <v>0.10023119080074074</v>
      </c>
      <c r="M1037" s="45">
        <f t="shared" si="129"/>
        <v>1.5338942507173525E-2</v>
      </c>
    </row>
    <row r="1038" spans="1:13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625">
        <f t="shared" si="123"/>
        <v>128.4</v>
      </c>
      <c r="G1038" s="663">
        <f t="shared" si="125"/>
        <v>4.5464181324468621E-4</v>
      </c>
      <c r="H1038" s="46">
        <f t="shared" si="126"/>
        <v>1.0675262560073178</v>
      </c>
      <c r="I1038" s="37">
        <f t="shared" si="124"/>
        <v>0.39252940433389077</v>
      </c>
      <c r="J1038" s="210">
        <v>0.41042538498264941</v>
      </c>
      <c r="K1038" s="37">
        <f t="shared" si="127"/>
        <v>9.9039172597222447E-2</v>
      </c>
      <c r="L1038" s="37">
        <f t="shared" si="128"/>
        <v>0.12072875139601418</v>
      </c>
      <c r="M1038" s="45">
        <f t="shared" si="129"/>
        <v>1.5338942507173523E-2</v>
      </c>
    </row>
    <row r="1039" spans="1:13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625">
        <f t="shared" si="123"/>
        <v>57.7</v>
      </c>
      <c r="G1039" s="663">
        <f t="shared" si="125"/>
        <v>2.0430555003285355E-4</v>
      </c>
      <c r="H1039" s="46">
        <f t="shared" si="126"/>
        <v>0.47972168981014207</v>
      </c>
      <c r="I1039" s="37">
        <f t="shared" si="124"/>
        <v>0.17639366534318926</v>
      </c>
      <c r="J1039" s="210">
        <v>0.18443570649142424</v>
      </c>
      <c r="K1039" s="37">
        <f t="shared" si="127"/>
        <v>4.4505921019156819E-2</v>
      </c>
      <c r="L1039" s="37">
        <f t="shared" si="128"/>
        <v>5.4252717722352163E-2</v>
      </c>
      <c r="M1039" s="45">
        <f t="shared" si="129"/>
        <v>1.5338942507173525E-2</v>
      </c>
    </row>
    <row r="1040" spans="1:13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25">
        <f t="shared" si="123"/>
        <v>256.5</v>
      </c>
      <c r="G1040" s="663">
        <f t="shared" si="125"/>
        <v>9.0822137926216515E-4</v>
      </c>
      <c r="H1040" s="46">
        <f t="shared" si="126"/>
        <v>2.1325582917903194</v>
      </c>
      <c r="I1040" s="37">
        <f t="shared" si="124"/>
        <v>0.78414168389130046</v>
      </c>
      <c r="J1040" s="210">
        <v>0.8198918321499189</v>
      </c>
      <c r="K1040" s="37">
        <f t="shared" si="127"/>
        <v>0.19784694525847005</v>
      </c>
      <c r="L1040" s="37">
        <f t="shared" si="128"/>
        <v>0.24117542627007502</v>
      </c>
      <c r="M1040" s="45">
        <f t="shared" si="129"/>
        <v>1.5338942507173525E-2</v>
      </c>
    </row>
    <row r="1041" spans="1:13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25">
        <f t="shared" si="123"/>
        <v>118.5</v>
      </c>
      <c r="G1041" s="663">
        <f t="shared" si="125"/>
        <v>4.1958765474684823E-4</v>
      </c>
      <c r="H1041" s="46">
        <f t="shared" si="126"/>
        <v>0.98521698860488438</v>
      </c>
      <c r="I1041" s="37">
        <f t="shared" si="124"/>
        <v>0.36226428671001604</v>
      </c>
      <c r="J1041" s="210">
        <v>0.37878043707510867</v>
      </c>
      <c r="K1041" s="37">
        <f t="shared" si="127"/>
        <v>9.1402974710053417E-2</v>
      </c>
      <c r="L1041" s="37">
        <f t="shared" si="128"/>
        <v>0.11142022617155513</v>
      </c>
      <c r="M1041" s="45">
        <f t="shared" si="129"/>
        <v>1.5338942507173521E-2</v>
      </c>
    </row>
    <row r="1042" spans="1:13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625">
        <f t="shared" si="123"/>
        <v>142.1</v>
      </c>
      <c r="G1042" s="663">
        <f t="shared" si="125"/>
        <v>5.0315110328714877E-4</v>
      </c>
      <c r="H1042" s="46">
        <f t="shared" si="126"/>
        <v>1.1814289795844226</v>
      </c>
      <c r="I1042" s="37">
        <f t="shared" si="124"/>
        <v>0.43441143579319225</v>
      </c>
      <c r="J1042" s="210">
        <v>0.45421687855167042</v>
      </c>
      <c r="K1042" s="37">
        <f t="shared" si="127"/>
        <v>0.10960643634007249</v>
      </c>
      <c r="L1042" s="37">
        <f t="shared" si="128"/>
        <v>0.13361024589854836</v>
      </c>
      <c r="M1042" s="45">
        <f t="shared" si="129"/>
        <v>1.5338942507173523E-2</v>
      </c>
    </row>
    <row r="1043" spans="1:13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625">
        <f t="shared" si="123"/>
        <v>259.7</v>
      </c>
      <c r="G1043" s="663">
        <f t="shared" si="125"/>
        <v>9.1955201635237542E-4</v>
      </c>
      <c r="H1043" s="46">
        <f t="shared" si="126"/>
        <v>2.1591633075163585</v>
      </c>
      <c r="I1043" s="37">
        <f t="shared" si="124"/>
        <v>0.79392434817376512</v>
      </c>
      <c r="J1043" s="210">
        <v>0.83012050218063904</v>
      </c>
      <c r="K1043" s="37">
        <f t="shared" si="127"/>
        <v>0.20031521124220147</v>
      </c>
      <c r="L1043" s="37">
        <f t="shared" si="128"/>
        <v>0.24418424250424361</v>
      </c>
      <c r="M1043" s="45">
        <f t="shared" si="129"/>
        <v>1.5338942507173525E-2</v>
      </c>
    </row>
    <row r="1044" spans="1:13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25">
        <f t="shared" si="123"/>
        <v>309.39999999999998</v>
      </c>
      <c r="G1044" s="663">
        <f t="shared" si="125"/>
        <v>1.0955309736597032E-3</v>
      </c>
      <c r="H1044" s="46">
        <f t="shared" si="126"/>
        <v>2.5723724580114027</v>
      </c>
      <c r="I1044" s="37">
        <f t="shared" si="124"/>
        <v>0.94586135281079287</v>
      </c>
      <c r="J1044" s="210">
        <v>0.98898453359526262</v>
      </c>
      <c r="K1044" s="37">
        <f t="shared" si="127"/>
        <v>0.23865046730202974</v>
      </c>
      <c r="L1044" s="37">
        <f t="shared" si="128"/>
        <v>0.29091491964117427</v>
      </c>
      <c r="M1044" s="45">
        <f t="shared" si="129"/>
        <v>1.5338942507173523E-2</v>
      </c>
    </row>
    <row r="1045" spans="1:13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625">
        <f t="shared" si="123"/>
        <v>432.1</v>
      </c>
      <c r="G1045" s="663">
        <f t="shared" si="125"/>
        <v>1.5299900895874526E-3</v>
      </c>
      <c r="H1045" s="46">
        <f t="shared" si="126"/>
        <v>3.5925085297567141</v>
      </c>
      <c r="I1045" s="37">
        <f t="shared" si="124"/>
        <v>1.3209653863915438</v>
      </c>
      <c r="J1045" s="210">
        <v>1.3811901000856917</v>
      </c>
      <c r="K1045" s="37">
        <f t="shared" si="127"/>
        <v>0.33329304111573071</v>
      </c>
      <c r="L1045" s="37">
        <f t="shared" si="128"/>
        <v>0.40628421712007579</v>
      </c>
      <c r="M1045" s="45">
        <f t="shared" si="129"/>
        <v>1.5338942507173527E-2</v>
      </c>
    </row>
    <row r="1046" spans="1:13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25">
        <f t="shared" si="123"/>
        <v>241.89999999999998</v>
      </c>
      <c r="G1046" s="663">
        <f t="shared" si="125"/>
        <v>8.565253475380808E-4</v>
      </c>
      <c r="H1046" s="46">
        <f t="shared" si="126"/>
        <v>2.0111729075402658</v>
      </c>
      <c r="I1046" s="37">
        <f t="shared" si="124"/>
        <v>0.73950827810255582</v>
      </c>
      <c r="J1046" s="210">
        <v>0.77322352513475767</v>
      </c>
      <c r="K1046" s="37">
        <f t="shared" si="127"/>
        <v>0.18658548170769551</v>
      </c>
      <c r="L1046" s="37">
        <f t="shared" si="128"/>
        <v>0.22744770220168084</v>
      </c>
      <c r="M1046" s="45">
        <f t="shared" si="129"/>
        <v>1.5338942507173523E-2</v>
      </c>
    </row>
    <row r="1047" spans="1:13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625">
        <f t="shared" si="123"/>
        <v>278.3</v>
      </c>
      <c r="G1047" s="663">
        <f t="shared" si="125"/>
        <v>9.8541134443922243E-4</v>
      </c>
      <c r="H1047" s="46">
        <f t="shared" si="126"/>
        <v>2.3138049614239606</v>
      </c>
      <c r="I1047" s="37">
        <f t="shared" si="124"/>
        <v>0.85078608431559044</v>
      </c>
      <c r="J1047" s="210">
        <v>0.88957464673420039</v>
      </c>
      <c r="K1047" s="37">
        <f t="shared" si="127"/>
        <v>0.2146620072726402</v>
      </c>
      <c r="L1047" s="37">
        <f t="shared" si="128"/>
        <v>0.2616729868653484</v>
      </c>
      <c r="M1047" s="45">
        <f t="shared" si="129"/>
        <v>1.5338942507173525E-2</v>
      </c>
    </row>
    <row r="1048" spans="1:13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625">
        <f t="shared" si="123"/>
        <v>150</v>
      </c>
      <c r="G1048" s="663">
        <f t="shared" si="125"/>
        <v>5.3112361360360531E-4</v>
      </c>
      <c r="H1048" s="46">
        <f t="shared" si="126"/>
        <v>1.2471101121580814</v>
      </c>
      <c r="I1048" s="37">
        <f t="shared" si="124"/>
        <v>0.45856238824052659</v>
      </c>
      <c r="J1048" s="210">
        <v>0.47946890769001094</v>
      </c>
      <c r="K1048" s="37">
        <f t="shared" si="127"/>
        <v>0.11569996798740938</v>
      </c>
      <c r="L1048" s="37">
        <f t="shared" si="128"/>
        <v>0.14103826097665204</v>
      </c>
      <c r="M1048" s="45">
        <f t="shared" si="129"/>
        <v>1.5338942507173521E-2</v>
      </c>
    </row>
    <row r="1049" spans="1:13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625">
        <f t="shared" si="123"/>
        <v>140.6</v>
      </c>
      <c r="G1049" s="663">
        <f t="shared" si="125"/>
        <v>4.9783986715111277E-4</v>
      </c>
      <c r="H1049" s="46">
        <f t="shared" si="126"/>
        <v>1.1689578784628418</v>
      </c>
      <c r="I1049" s="37">
        <f t="shared" si="124"/>
        <v>0.42982581191078695</v>
      </c>
      <c r="J1049" s="210">
        <v>0.44942218947477031</v>
      </c>
      <c r="K1049" s="37">
        <f t="shared" si="127"/>
        <v>0.10844943666019841</v>
      </c>
      <c r="L1049" s="37">
        <f t="shared" si="128"/>
        <v>0.13219986328878186</v>
      </c>
      <c r="M1049" s="45">
        <f t="shared" si="129"/>
        <v>1.5338942507173527E-2</v>
      </c>
    </row>
    <row r="1050" spans="1:13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625">
        <f t="shared" si="123"/>
        <v>209.1</v>
      </c>
      <c r="G1050" s="663">
        <f t="shared" si="125"/>
        <v>7.403863173634259E-4</v>
      </c>
      <c r="H1050" s="46">
        <f t="shared" si="126"/>
        <v>1.7384714963483658</v>
      </c>
      <c r="I1050" s="37">
        <f t="shared" si="124"/>
        <v>0.6392359692072942</v>
      </c>
      <c r="J1050" s="210">
        <v>0.66837965731987536</v>
      </c>
      <c r="K1050" s="37">
        <f t="shared" si="127"/>
        <v>0.1612857553744487</v>
      </c>
      <c r="L1050" s="37">
        <f t="shared" si="128"/>
        <v>0.19660733580145298</v>
      </c>
      <c r="M1050" s="45">
        <f t="shared" si="129"/>
        <v>1.5338942507173527E-2</v>
      </c>
    </row>
    <row r="1051" spans="1:13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625">
        <f t="shared" si="123"/>
        <v>463.5</v>
      </c>
      <c r="G1051" s="663">
        <f t="shared" si="125"/>
        <v>1.6411719660351406E-3</v>
      </c>
      <c r="H1051" s="46">
        <f t="shared" si="126"/>
        <v>3.8535702465684722</v>
      </c>
      <c r="I1051" s="37">
        <f t="shared" si="124"/>
        <v>1.4169577796632273</v>
      </c>
      <c r="J1051" s="210">
        <v>1.4815589247621339</v>
      </c>
      <c r="K1051" s="37">
        <f t="shared" si="127"/>
        <v>0.35751290108109501</v>
      </c>
      <c r="L1051" s="37">
        <f t="shared" si="128"/>
        <v>0.43580822641785483</v>
      </c>
      <c r="M1051" s="45">
        <f t="shared" si="129"/>
        <v>1.5338942507173525E-2</v>
      </c>
    </row>
    <row r="1052" spans="1:13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625">
        <f t="shared" si="123"/>
        <v>126</v>
      </c>
      <c r="G1052" s="663">
        <f t="shared" si="125"/>
        <v>4.4614383542702853E-4</v>
      </c>
      <c r="H1052" s="46">
        <f t="shared" si="126"/>
        <v>1.0475724942127886</v>
      </c>
      <c r="I1052" s="37">
        <f t="shared" si="124"/>
        <v>0.38519240612204242</v>
      </c>
      <c r="J1052" s="210">
        <v>0.40275388245960925</v>
      </c>
      <c r="K1052" s="37">
        <f t="shared" si="127"/>
        <v>9.7187973109423897E-2</v>
      </c>
      <c r="L1052" s="37">
        <f t="shared" si="128"/>
        <v>0.11847213922038774</v>
      </c>
      <c r="M1052" s="45">
        <f t="shared" si="129"/>
        <v>1.5338942507173525E-2</v>
      </c>
    </row>
    <row r="1053" spans="1:13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625">
        <f t="shared" si="123"/>
        <v>725.1</v>
      </c>
      <c r="G1053" s="663">
        <f t="shared" si="125"/>
        <v>2.5674515481598284E-3</v>
      </c>
      <c r="H1053" s="46">
        <f t="shared" si="126"/>
        <v>6.0285302821721665</v>
      </c>
      <c r="I1053" s="37">
        <f t="shared" si="124"/>
        <v>2.2166905847547058</v>
      </c>
      <c r="J1053" s="210">
        <v>2.3177526997735134</v>
      </c>
      <c r="K1053" s="37">
        <f t="shared" si="127"/>
        <v>0.55929364525113701</v>
      </c>
      <c r="L1053" s="37">
        <f t="shared" si="128"/>
        <v>0.68177895356113605</v>
      </c>
      <c r="M1053" s="45">
        <f t="shared" si="129"/>
        <v>1.5338942507173525E-2</v>
      </c>
    </row>
    <row r="1054" spans="1:13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625">
        <f t="shared" si="123"/>
        <v>466.88</v>
      </c>
      <c r="G1054" s="663">
        <f t="shared" si="125"/>
        <v>1.6531399514616752E-3</v>
      </c>
      <c r="H1054" s="46">
        <f t="shared" si="126"/>
        <v>3.881671794429101</v>
      </c>
      <c r="I1054" s="37">
        <f t="shared" si="124"/>
        <v>1.4272907188115806</v>
      </c>
      <c r="J1054" s="210">
        <v>1.4923629574820823</v>
      </c>
      <c r="K1054" s="37">
        <f t="shared" si="127"/>
        <v>0.36012000702641134</v>
      </c>
      <c r="L1054" s="37">
        <f t="shared" si="128"/>
        <v>0.43898628856519545</v>
      </c>
      <c r="M1054" s="45">
        <f t="shared" si="129"/>
        <v>1.5338942507173527E-2</v>
      </c>
    </row>
    <row r="1055" spans="1:13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625">
        <f t="shared" si="123"/>
        <v>138.1</v>
      </c>
      <c r="G1055" s="663">
        <f t="shared" si="125"/>
        <v>4.8898780692438601E-4</v>
      </c>
      <c r="H1055" s="46">
        <f t="shared" si="126"/>
        <v>1.1481727099268737</v>
      </c>
      <c r="I1055" s="37">
        <f t="shared" si="124"/>
        <v>0.42218310544011151</v>
      </c>
      <c r="J1055" s="210">
        <v>0.44143104101327013</v>
      </c>
      <c r="K1055" s="37">
        <f t="shared" si="127"/>
        <v>0.10652110386040825</v>
      </c>
      <c r="L1055" s="37">
        <f t="shared" si="128"/>
        <v>0.12984922560583767</v>
      </c>
      <c r="M1055" s="45">
        <f t="shared" si="129"/>
        <v>1.5338942507173525E-2</v>
      </c>
    </row>
    <row r="1056" spans="1:13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25">
        <f t="shared" si="123"/>
        <v>139.30000000000001</v>
      </c>
      <c r="G1056" s="663">
        <f t="shared" si="125"/>
        <v>4.9323679583321484E-4</v>
      </c>
      <c r="H1056" s="46">
        <f t="shared" si="126"/>
        <v>1.1581495908241384</v>
      </c>
      <c r="I1056" s="37">
        <f t="shared" si="124"/>
        <v>0.42585160454603571</v>
      </c>
      <c r="J1056" s="210">
        <v>0.44526679227479021</v>
      </c>
      <c r="K1056" s="37">
        <f t="shared" si="127"/>
        <v>0.10744670360430753</v>
      </c>
      <c r="L1056" s="37">
        <f t="shared" si="128"/>
        <v>0.13097753169365089</v>
      </c>
      <c r="M1056" s="45">
        <f t="shared" si="129"/>
        <v>1.5338942507173521E-2</v>
      </c>
    </row>
    <row r="1057" spans="1:13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625">
        <f t="shared" si="123"/>
        <v>807</v>
      </c>
      <c r="G1057" s="663">
        <f t="shared" si="125"/>
        <v>2.8574450411873969E-3</v>
      </c>
      <c r="H1057" s="46">
        <f t="shared" si="126"/>
        <v>6.709452403410479</v>
      </c>
      <c r="I1057" s="37">
        <f t="shared" si="124"/>
        <v>2.4670656487340334</v>
      </c>
      <c r="J1057" s="210">
        <v>2.579542723372259</v>
      </c>
      <c r="K1057" s="37">
        <f t="shared" si="127"/>
        <v>0.62246582777226256</v>
      </c>
      <c r="L1057" s="37">
        <f t="shared" si="128"/>
        <v>0.75878584405438809</v>
      </c>
      <c r="M1057" s="45">
        <f t="shared" si="129"/>
        <v>1.5338942507173523E-2</v>
      </c>
    </row>
    <row r="1058" spans="1:13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625">
        <f t="shared" si="123"/>
        <v>1555.2</v>
      </c>
      <c r="G1058" s="663">
        <f t="shared" si="125"/>
        <v>5.5066896258421805E-3</v>
      </c>
      <c r="H1058" s="46">
        <f t="shared" si="126"/>
        <v>12.930037642854991</v>
      </c>
      <c r="I1058" s="37">
        <f t="shared" si="124"/>
        <v>4.7543748412777802</v>
      </c>
      <c r="J1058" s="210">
        <v>4.9711336349300339</v>
      </c>
      <c r="K1058" s="37">
        <f t="shared" si="127"/>
        <v>1.1995772680934607</v>
      </c>
      <c r="L1058" s="37">
        <f t="shared" si="128"/>
        <v>1.4622846898059287</v>
      </c>
      <c r="M1058" s="45">
        <f t="shared" si="129"/>
        <v>1.5338942507173523E-2</v>
      </c>
    </row>
    <row r="1059" spans="1:13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625">
        <f t="shared" si="123"/>
        <v>1514.3</v>
      </c>
      <c r="G1059" s="663">
        <f t="shared" si="125"/>
        <v>5.3618699205329303E-3</v>
      </c>
      <c r="H1059" s="46">
        <f t="shared" si="126"/>
        <v>12.589992285606552</v>
      </c>
      <c r="I1059" s="37">
        <f t="shared" si="124"/>
        <v>4.6293401634175293</v>
      </c>
      <c r="J1059" s="210">
        <v>4.8403984460998908</v>
      </c>
      <c r="K1059" s="37">
        <f t="shared" si="127"/>
        <v>1.1680297434888935</v>
      </c>
      <c r="L1059" s="37">
        <f t="shared" si="128"/>
        <v>1.4238282573129613</v>
      </c>
      <c r="M1059" s="45">
        <f t="shared" si="129"/>
        <v>1.5338942507173521E-2</v>
      </c>
    </row>
    <row r="1060" spans="1:13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625">
        <f t="shared" si="123"/>
        <v>394</v>
      </c>
      <c r="G1060" s="663">
        <f t="shared" si="125"/>
        <v>1.3950846917321368E-3</v>
      </c>
      <c r="H1060" s="46">
        <f t="shared" si="126"/>
        <v>3.2757425612685611</v>
      </c>
      <c r="I1060" s="37">
        <f t="shared" si="124"/>
        <v>1.20449053977845</v>
      </c>
      <c r="J1060" s="210">
        <v>1.2594049975324288</v>
      </c>
      <c r="K1060" s="37">
        <f t="shared" si="127"/>
        <v>0.30390524924692869</v>
      </c>
      <c r="L1060" s="37">
        <f t="shared" si="128"/>
        <v>0.3704604988320061</v>
      </c>
      <c r="M1060" s="45">
        <f t="shared" si="129"/>
        <v>1.5338942507173523E-2</v>
      </c>
    </row>
    <row r="1061" spans="1:13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625">
        <f t="shared" si="123"/>
        <v>572.5</v>
      </c>
      <c r="G1061" s="663">
        <f t="shared" si="125"/>
        <v>2.027121791920427E-3</v>
      </c>
      <c r="H1061" s="46">
        <f t="shared" si="126"/>
        <v>4.7598035947366775</v>
      </c>
      <c r="I1061" s="37">
        <f t="shared" si="124"/>
        <v>1.7501797817846765</v>
      </c>
      <c r="J1061" s="210">
        <v>1.8299729976835422</v>
      </c>
      <c r="K1061" s="37">
        <f t="shared" si="127"/>
        <v>0.44158821115194585</v>
      </c>
      <c r="L1061" s="37">
        <f t="shared" si="128"/>
        <v>0.53829602939422205</v>
      </c>
      <c r="M1061" s="45">
        <f t="shared" si="129"/>
        <v>1.5338942507173523E-2</v>
      </c>
    </row>
    <row r="1062" spans="1:13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625">
        <f t="shared" si="123"/>
        <v>351.9</v>
      </c>
      <c r="G1062" s="663">
        <f t="shared" si="125"/>
        <v>1.2460159975140582E-3</v>
      </c>
      <c r="H1062" s="46">
        <f t="shared" si="126"/>
        <v>2.9257203231228592</v>
      </c>
      <c r="I1062" s="37">
        <f t="shared" si="124"/>
        <v>1.0757873628122754</v>
      </c>
      <c r="J1062" s="210">
        <v>1.1248340574407658</v>
      </c>
      <c r="K1062" s="37">
        <f t="shared" si="127"/>
        <v>0.27143212489846241</v>
      </c>
      <c r="L1062" s="37">
        <f t="shared" si="128"/>
        <v>0.33087576025122573</v>
      </c>
      <c r="M1062" s="45">
        <f t="shared" si="129"/>
        <v>1.5338942507173523E-2</v>
      </c>
    </row>
    <row r="1063" spans="1:13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625">
        <f t="shared" si="123"/>
        <v>449.4</v>
      </c>
      <c r="G1063" s="663">
        <f t="shared" si="125"/>
        <v>1.5912463463564016E-3</v>
      </c>
      <c r="H1063" s="46">
        <f t="shared" si="126"/>
        <v>3.7363418960256123</v>
      </c>
      <c r="I1063" s="37">
        <f t="shared" si="124"/>
        <v>1.3738529151686176</v>
      </c>
      <c r="J1063" s="210">
        <v>1.436488847439273</v>
      </c>
      <c r="K1063" s="37">
        <f t="shared" si="127"/>
        <v>0.34663710409027854</v>
      </c>
      <c r="L1063" s="37">
        <f t="shared" si="128"/>
        <v>0.42255062988604958</v>
      </c>
      <c r="M1063" s="45">
        <f t="shared" si="129"/>
        <v>1.5338942507173523E-2</v>
      </c>
    </row>
    <row r="1064" spans="1:13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625">
        <f t="shared" ref="F1064:F1126" si="130">C1064+D1064+E1064</f>
        <v>1394.3</v>
      </c>
      <c r="G1064" s="663">
        <f t="shared" si="125"/>
        <v>4.9369710296500464E-3</v>
      </c>
      <c r="H1064" s="46">
        <f t="shared" si="126"/>
        <v>11.592304195880088</v>
      </c>
      <c r="I1064" s="37">
        <f t="shared" si="124"/>
        <v>4.262490252825109</v>
      </c>
      <c r="J1064" s="210">
        <v>4.4568233199478824</v>
      </c>
      <c r="K1064" s="37">
        <f t="shared" si="127"/>
        <v>1.0754697690989661</v>
      </c>
      <c r="L1064" s="37">
        <f t="shared" si="128"/>
        <v>1.3109976485316397</v>
      </c>
      <c r="M1064" s="45">
        <f t="shared" si="129"/>
        <v>1.5338942507173525E-2</v>
      </c>
    </row>
    <row r="1065" spans="1:13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625">
        <f t="shared" si="130"/>
        <v>398.7</v>
      </c>
      <c r="G1065" s="663">
        <f t="shared" si="125"/>
        <v>1.4117265649583831E-3</v>
      </c>
      <c r="H1065" s="46">
        <f t="shared" si="126"/>
        <v>3.3148186781161808</v>
      </c>
      <c r="I1065" s="37">
        <f t="shared" ref="I1065:I1127" si="131">H1065*0.3677</f>
        <v>1.2188588279433197</v>
      </c>
      <c r="J1065" s="210">
        <v>1.2744283566400492</v>
      </c>
      <c r="K1065" s="37">
        <f t="shared" si="127"/>
        <v>0.30753051491053418</v>
      </c>
      <c r="L1065" s="37">
        <f t="shared" si="128"/>
        <v>0.3748796976759412</v>
      </c>
      <c r="M1065" s="45">
        <f t="shared" si="129"/>
        <v>1.5338942507173525E-2</v>
      </c>
    </row>
    <row r="1066" spans="1:13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625">
        <f t="shared" si="130"/>
        <v>359.4</v>
      </c>
      <c r="G1066" s="663">
        <f t="shared" si="125"/>
        <v>1.2725721781942385E-3</v>
      </c>
      <c r="H1066" s="46">
        <f t="shared" si="126"/>
        <v>2.9880758287307634</v>
      </c>
      <c r="I1066" s="37">
        <f t="shared" si="131"/>
        <v>1.0987154822243017</v>
      </c>
      <c r="J1066" s="210">
        <v>1.1488075028252662</v>
      </c>
      <c r="K1066" s="37">
        <f t="shared" si="127"/>
        <v>0.27721712329783293</v>
      </c>
      <c r="L1066" s="37">
        <f t="shared" si="128"/>
        <v>0.33792767330005835</v>
      </c>
      <c r="M1066" s="45">
        <f t="shared" si="129"/>
        <v>1.5338942507173525E-2</v>
      </c>
    </row>
    <row r="1067" spans="1:13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625">
        <f t="shared" si="130"/>
        <v>694.9</v>
      </c>
      <c r="G1067" s="663">
        <f t="shared" si="125"/>
        <v>2.460518660620969E-3</v>
      </c>
      <c r="H1067" s="46">
        <f t="shared" si="126"/>
        <v>5.7774454462576728</v>
      </c>
      <c r="I1067" s="37">
        <f t="shared" si="131"/>
        <v>2.1243666905889462</v>
      </c>
      <c r="J1067" s="210">
        <v>2.2212196263585908</v>
      </c>
      <c r="K1067" s="37">
        <f t="shared" si="127"/>
        <v>0.53599938502967193</v>
      </c>
      <c r="L1067" s="37">
        <f t="shared" si="128"/>
        <v>0.65338325035117018</v>
      </c>
      <c r="M1067" s="45">
        <f t="shared" si="129"/>
        <v>1.5338942507173523E-2</v>
      </c>
    </row>
    <row r="1068" spans="1:13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625">
        <f t="shared" si="130"/>
        <v>629.6</v>
      </c>
      <c r="G1068" s="663">
        <f t="shared" si="125"/>
        <v>2.2293028474988665E-3</v>
      </c>
      <c r="H1068" s="46">
        <f t="shared" si="126"/>
        <v>5.2345368440981881</v>
      </c>
      <c r="I1068" s="37">
        <f t="shared" si="131"/>
        <v>1.924739197574904</v>
      </c>
      <c r="J1068" s="210">
        <v>2.0124908285442062</v>
      </c>
      <c r="K1068" s="37">
        <f t="shared" si="127"/>
        <v>0.48563133229915306</v>
      </c>
      <c r="L1068" s="37">
        <f t="shared" si="128"/>
        <v>0.59198459407266757</v>
      </c>
      <c r="M1068" s="45">
        <f t="shared" si="129"/>
        <v>1.5338942507173523E-2</v>
      </c>
    </row>
    <row r="1069" spans="1:13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625">
        <f t="shared" si="130"/>
        <v>969.07</v>
      </c>
      <c r="G1069" s="663">
        <f t="shared" si="125"/>
        <v>3.4313064015656391E-3</v>
      </c>
      <c r="H1069" s="46">
        <f t="shared" si="126"/>
        <v>8.0569133092602137</v>
      </c>
      <c r="I1069" s="37">
        <f t="shared" si="131"/>
        <v>2.9625270238149808</v>
      </c>
      <c r="J1069" s="210">
        <v>3.0975928958343935</v>
      </c>
      <c r="K1069" s="37">
        <f t="shared" si="127"/>
        <v>0.74747578651705882</v>
      </c>
      <c r="L1069" s="37">
        <f t="shared" si="128"/>
        <v>0.91117298376429479</v>
      </c>
      <c r="M1069" s="45">
        <f t="shared" si="129"/>
        <v>1.5338942507173523E-2</v>
      </c>
    </row>
    <row r="1070" spans="1:13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625">
        <f t="shared" si="130"/>
        <v>315.7</v>
      </c>
      <c r="G1070" s="663">
        <f t="shared" si="125"/>
        <v>1.1178381654310546E-3</v>
      </c>
      <c r="H1070" s="46">
        <f t="shared" si="126"/>
        <v>2.6247510827220419</v>
      </c>
      <c r="I1070" s="37">
        <f t="shared" si="131"/>
        <v>0.96512097311689493</v>
      </c>
      <c r="J1070" s="210">
        <v>1.009122227718243</v>
      </c>
      <c r="K1070" s="37">
        <f t="shared" si="127"/>
        <v>0.24350986595750093</v>
      </c>
      <c r="L1070" s="37">
        <f t="shared" si="128"/>
        <v>0.29683852660219368</v>
      </c>
      <c r="M1070" s="45">
        <f t="shared" si="129"/>
        <v>1.5338942507173525E-2</v>
      </c>
    </row>
    <row r="1071" spans="1:13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625">
        <f t="shared" si="130"/>
        <v>677.4</v>
      </c>
      <c r="G1071" s="663">
        <f t="shared" si="125"/>
        <v>2.3985542390338819E-3</v>
      </c>
      <c r="H1071" s="46">
        <f t="shared" si="126"/>
        <v>5.631949266505897</v>
      </c>
      <c r="I1071" s="37">
        <f t="shared" si="131"/>
        <v>2.0708677452942186</v>
      </c>
      <c r="J1071" s="210">
        <v>2.1652815871280895</v>
      </c>
      <c r="K1071" s="37">
        <f t="shared" si="127"/>
        <v>0.52250105543114089</v>
      </c>
      <c r="L1071" s="37">
        <f t="shared" si="128"/>
        <v>0.63692878657056085</v>
      </c>
      <c r="M1071" s="45">
        <f t="shared" si="129"/>
        <v>1.5338942507173525E-2</v>
      </c>
    </row>
    <row r="1072" spans="1:13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625">
        <f t="shared" si="130"/>
        <v>255.8</v>
      </c>
      <c r="G1072" s="663">
        <f t="shared" si="125"/>
        <v>9.0574280239868175E-4</v>
      </c>
      <c r="H1072" s="46">
        <f t="shared" si="126"/>
        <v>2.1267384446002486</v>
      </c>
      <c r="I1072" s="37">
        <f t="shared" si="131"/>
        <v>0.78200172607951146</v>
      </c>
      <c r="J1072" s="210">
        <v>0.81765431058069882</v>
      </c>
      <c r="K1072" s="37">
        <f t="shared" si="127"/>
        <v>0.19730701207452883</v>
      </c>
      <c r="L1072" s="37">
        <f t="shared" si="128"/>
        <v>0.24051724771885066</v>
      </c>
      <c r="M1072" s="45">
        <f t="shared" si="129"/>
        <v>1.5338942507173525E-2</v>
      </c>
    </row>
    <row r="1073" spans="1:13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25">
        <f t="shared" si="130"/>
        <v>352.5</v>
      </c>
      <c r="G1073" s="663">
        <f t="shared" ref="G1073:G1136" si="132">1/282420.13*F1073</f>
        <v>1.2481404919684727E-3</v>
      </c>
      <c r="H1073" s="46">
        <f t="shared" ref="H1073:H1136" si="133">G1073*2348.06</f>
        <v>2.9307087635714919</v>
      </c>
      <c r="I1073" s="37">
        <f t="shared" si="131"/>
        <v>1.0776216123652376</v>
      </c>
      <c r="J1073" s="210">
        <v>1.1267519330715259</v>
      </c>
      <c r="K1073" s="37">
        <f t="shared" si="127"/>
        <v>0.27189492477041211</v>
      </c>
      <c r="L1073" s="37">
        <f t="shared" si="128"/>
        <v>0.33143991329513239</v>
      </c>
      <c r="M1073" s="45">
        <f t="shared" si="129"/>
        <v>1.5338942507173523E-2</v>
      </c>
    </row>
    <row r="1074" spans="1:13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625">
        <f t="shared" si="130"/>
        <v>642.9</v>
      </c>
      <c r="G1074" s="663">
        <f t="shared" si="132"/>
        <v>2.2763958079050524E-3</v>
      </c>
      <c r="H1074" s="46">
        <f t="shared" si="133"/>
        <v>5.3451139407095374</v>
      </c>
      <c r="I1074" s="37">
        <f t="shared" si="131"/>
        <v>1.965398395998897</v>
      </c>
      <c r="J1074" s="210">
        <v>2.0550037383593871</v>
      </c>
      <c r="K1074" s="37">
        <f t="shared" ref="K1074:K1137" si="134">G1074*217.84</f>
        <v>0.49589006279403663</v>
      </c>
      <c r="L1074" s="37">
        <f t="shared" ref="L1074:L1137" si="135">K1074*1.219</f>
        <v>0.60448998654593067</v>
      </c>
      <c r="M1074" s="45">
        <f t="shared" si="129"/>
        <v>1.5338942507173527E-2</v>
      </c>
    </row>
    <row r="1075" spans="1:13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25">
        <f t="shared" si="130"/>
        <v>324.39999999999998</v>
      </c>
      <c r="G1075" s="663">
        <f t="shared" si="132"/>
        <v>1.1486433350200637E-3</v>
      </c>
      <c r="H1075" s="46">
        <f t="shared" si="133"/>
        <v>2.697083469227211</v>
      </c>
      <c r="I1075" s="37">
        <f t="shared" si="131"/>
        <v>0.99171759163484552</v>
      </c>
      <c r="J1075" s="210">
        <v>1.0369314243642636</v>
      </c>
      <c r="K1075" s="37">
        <f t="shared" si="134"/>
        <v>0.2502204641007707</v>
      </c>
      <c r="L1075" s="37">
        <f t="shared" si="135"/>
        <v>0.30501874573883953</v>
      </c>
      <c r="M1075" s="45">
        <f t="shared" si="129"/>
        <v>1.5338942507173525E-2</v>
      </c>
    </row>
    <row r="1076" spans="1:13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625">
        <f t="shared" si="130"/>
        <v>505</v>
      </c>
      <c r="G1076" s="663">
        <f t="shared" si="132"/>
        <v>1.7881161657988048E-3</v>
      </c>
      <c r="H1076" s="46">
        <f t="shared" si="133"/>
        <v>4.198604044265541</v>
      </c>
      <c r="I1076" s="37">
        <f t="shared" si="131"/>
        <v>1.5438267070764395</v>
      </c>
      <c r="J1076" s="210">
        <v>1.6142119892230369</v>
      </c>
      <c r="K1076" s="37">
        <f t="shared" si="134"/>
        <v>0.38952322555761165</v>
      </c>
      <c r="L1076" s="37">
        <f t="shared" si="135"/>
        <v>0.47482881195472865</v>
      </c>
      <c r="M1076" s="45">
        <f t="shared" si="129"/>
        <v>1.5338942507173523E-2</v>
      </c>
    </row>
    <row r="1077" spans="1:13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25">
        <f t="shared" si="130"/>
        <v>548.70000000000005</v>
      </c>
      <c r="G1077" s="663">
        <f t="shared" si="132"/>
        <v>1.9428501785619886E-3</v>
      </c>
      <c r="H1077" s="46">
        <f t="shared" si="133"/>
        <v>4.5619287902742629</v>
      </c>
      <c r="I1077" s="37">
        <f t="shared" si="131"/>
        <v>1.6774212161838467</v>
      </c>
      <c r="J1077" s="210">
        <v>1.7538972643300603</v>
      </c>
      <c r="K1077" s="37">
        <f t="shared" si="134"/>
        <v>0.42323048289794363</v>
      </c>
      <c r="L1077" s="37">
        <f t="shared" si="135"/>
        <v>0.51591795865259327</v>
      </c>
      <c r="M1077" s="45">
        <f t="shared" si="129"/>
        <v>1.5338942507173523E-2</v>
      </c>
    </row>
    <row r="1078" spans="1:13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625">
        <f t="shared" si="130"/>
        <v>222.33</v>
      </c>
      <c r="G1078" s="663">
        <f t="shared" si="132"/>
        <v>7.8723142008326396E-4</v>
      </c>
      <c r="H1078" s="46">
        <f t="shared" si="133"/>
        <v>1.8484666082407086</v>
      </c>
      <c r="I1078" s="37">
        <f t="shared" si="131"/>
        <v>0.67968117185010857</v>
      </c>
      <c r="J1078" s="210">
        <v>0.71066881497813428</v>
      </c>
      <c r="K1078" s="37">
        <f t="shared" si="134"/>
        <v>0.17149049255093823</v>
      </c>
      <c r="L1078" s="37">
        <f t="shared" si="135"/>
        <v>0.20904691041959372</v>
      </c>
      <c r="M1078" s="45">
        <f t="shared" si="129"/>
        <v>1.5338942507173523E-2</v>
      </c>
    </row>
    <row r="1079" spans="1:13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625">
        <f t="shared" si="130"/>
        <v>461.2</v>
      </c>
      <c r="G1079" s="663">
        <f t="shared" si="132"/>
        <v>1.6330280706265518E-3</v>
      </c>
      <c r="H1079" s="46">
        <f t="shared" si="133"/>
        <v>3.834447891515381</v>
      </c>
      <c r="I1079" s="37">
        <f t="shared" si="131"/>
        <v>1.4099264897102057</v>
      </c>
      <c r="J1079" s="210">
        <v>1.4742070681775536</v>
      </c>
      <c r="K1079" s="37">
        <f t="shared" si="134"/>
        <v>0.35573883490528807</v>
      </c>
      <c r="L1079" s="37">
        <f t="shared" si="135"/>
        <v>0.43364563974954617</v>
      </c>
      <c r="M1079" s="45">
        <f t="shared" si="129"/>
        <v>1.5338942507173523E-2</v>
      </c>
    </row>
    <row r="1080" spans="1:13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625">
        <f t="shared" si="130"/>
        <v>446.5</v>
      </c>
      <c r="G1080" s="663">
        <f t="shared" si="132"/>
        <v>1.5809779564933987E-3</v>
      </c>
      <c r="H1080" s="46">
        <f t="shared" si="133"/>
        <v>3.7122311005238897</v>
      </c>
      <c r="I1080" s="37">
        <f t="shared" si="131"/>
        <v>1.3649873756626343</v>
      </c>
      <c r="J1080" s="210">
        <v>1.4272191152239329</v>
      </c>
      <c r="K1080" s="37">
        <f t="shared" si="134"/>
        <v>0.34440023804252196</v>
      </c>
      <c r="L1080" s="37">
        <f t="shared" si="135"/>
        <v>0.41982389017383431</v>
      </c>
      <c r="M1080" s="45">
        <f t="shared" si="129"/>
        <v>1.5338942507173525E-2</v>
      </c>
    </row>
    <row r="1081" spans="1:13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625">
        <f t="shared" si="130"/>
        <v>291.5</v>
      </c>
      <c r="G1081" s="663">
        <f t="shared" si="132"/>
        <v>1.0321502224363397E-3</v>
      </c>
      <c r="H1081" s="46">
        <f t="shared" si="133"/>
        <v>2.4235506512938718</v>
      </c>
      <c r="I1081" s="37">
        <f t="shared" si="131"/>
        <v>0.89113957448075676</v>
      </c>
      <c r="J1081" s="210">
        <v>0.93176791061092135</v>
      </c>
      <c r="K1081" s="37">
        <f t="shared" si="134"/>
        <v>0.22484360445553223</v>
      </c>
      <c r="L1081" s="37">
        <f t="shared" si="135"/>
        <v>0.27408435383129381</v>
      </c>
      <c r="M1081" s="45">
        <f t="shared" si="129"/>
        <v>1.5338942507173523E-2</v>
      </c>
    </row>
    <row r="1082" spans="1:13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625">
        <f t="shared" si="130"/>
        <v>361.5</v>
      </c>
      <c r="G1082" s="663">
        <f t="shared" si="132"/>
        <v>1.2800079087846889E-3</v>
      </c>
      <c r="H1082" s="46">
        <f t="shared" si="133"/>
        <v>3.0055353703009766</v>
      </c>
      <c r="I1082" s="37">
        <f t="shared" si="131"/>
        <v>1.1051353556596692</v>
      </c>
      <c r="J1082" s="210">
        <v>1.1555200675329265</v>
      </c>
      <c r="K1082" s="37">
        <f t="shared" si="134"/>
        <v>0.27883692284965661</v>
      </c>
      <c r="L1082" s="37">
        <f t="shared" si="135"/>
        <v>0.33990220895373141</v>
      </c>
      <c r="M1082" s="45">
        <f t="shared" si="129"/>
        <v>1.5338942507173525E-2</v>
      </c>
    </row>
    <row r="1083" spans="1:13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25">
        <f t="shared" si="130"/>
        <v>485.90000000000003</v>
      </c>
      <c r="G1083" s="663">
        <f t="shared" si="132"/>
        <v>1.7204864256666124E-3</v>
      </c>
      <c r="H1083" s="46">
        <f t="shared" si="133"/>
        <v>4.0398053566507457</v>
      </c>
      <c r="I1083" s="37">
        <f t="shared" si="131"/>
        <v>1.4854364296404794</v>
      </c>
      <c r="J1083" s="210">
        <v>1.5531596149771758</v>
      </c>
      <c r="K1083" s="37">
        <f t="shared" si="134"/>
        <v>0.37479076296721486</v>
      </c>
      <c r="L1083" s="37">
        <f t="shared" si="135"/>
        <v>0.45686994005703496</v>
      </c>
      <c r="M1083" s="45">
        <f t="shared" si="129"/>
        <v>1.5338942507173523E-2</v>
      </c>
    </row>
    <row r="1084" spans="1:13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25">
        <f t="shared" si="130"/>
        <v>430.5</v>
      </c>
      <c r="G1084" s="663">
        <f t="shared" si="132"/>
        <v>1.5243247710423475E-3</v>
      </c>
      <c r="H1084" s="46">
        <f t="shared" si="133"/>
        <v>3.5792060218936941</v>
      </c>
      <c r="I1084" s="37">
        <f t="shared" si="131"/>
        <v>1.3160740542503113</v>
      </c>
      <c r="J1084" s="210">
        <v>1.3760757650703315</v>
      </c>
      <c r="K1084" s="37">
        <f t="shared" si="134"/>
        <v>0.33205890812386496</v>
      </c>
      <c r="L1084" s="37">
        <f t="shared" si="135"/>
        <v>0.40477980900299143</v>
      </c>
      <c r="M1084" s="45">
        <f t="shared" si="129"/>
        <v>1.5338942507173523E-2</v>
      </c>
    </row>
    <row r="1085" spans="1:13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625">
        <f t="shared" si="130"/>
        <v>96.4</v>
      </c>
      <c r="G1085" s="663">
        <f t="shared" si="132"/>
        <v>3.4133544234258374E-4</v>
      </c>
      <c r="H1085" s="46">
        <f t="shared" si="133"/>
        <v>0.80147609874692716</v>
      </c>
      <c r="I1085" s="37">
        <f t="shared" si="131"/>
        <v>0.29470276150924513</v>
      </c>
      <c r="J1085" s="210">
        <v>0.30813868467544708</v>
      </c>
      <c r="K1085" s="37">
        <f t="shared" si="134"/>
        <v>7.4356512759908441E-2</v>
      </c>
      <c r="L1085" s="37">
        <f t="shared" si="135"/>
        <v>9.0640589054328397E-2</v>
      </c>
      <c r="M1085" s="45">
        <f t="shared" si="129"/>
        <v>1.5338942507173525E-2</v>
      </c>
    </row>
    <row r="1086" spans="1:13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625">
        <f t="shared" si="130"/>
        <v>76.2</v>
      </c>
      <c r="G1086" s="663">
        <f t="shared" si="132"/>
        <v>2.6981079571063155E-4</v>
      </c>
      <c r="H1086" s="46">
        <f t="shared" si="133"/>
        <v>0.6335319369763055</v>
      </c>
      <c r="I1086" s="37">
        <f t="shared" si="131"/>
        <v>0.23294969322618755</v>
      </c>
      <c r="J1086" s="210">
        <v>0.24357020510652558</v>
      </c>
      <c r="K1086" s="37">
        <f t="shared" si="134"/>
        <v>5.8775583737603977E-2</v>
      </c>
      <c r="L1086" s="37">
        <f t="shared" si="135"/>
        <v>7.1647436576139256E-2</v>
      </c>
      <c r="M1086" s="45">
        <f t="shared" si="129"/>
        <v>1.5338942507173523E-2</v>
      </c>
    </row>
    <row r="1087" spans="1:13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625">
        <f t="shared" si="130"/>
        <v>84.3</v>
      </c>
      <c r="G1087" s="663">
        <f t="shared" si="132"/>
        <v>2.9849147084522621E-4</v>
      </c>
      <c r="H1087" s="46">
        <f t="shared" si="133"/>
        <v>0.70087588303284187</v>
      </c>
      <c r="I1087" s="37">
        <f t="shared" si="131"/>
        <v>0.25771206219117598</v>
      </c>
      <c r="J1087" s="210">
        <v>0.2694615261217862</v>
      </c>
      <c r="K1087" s="37">
        <f t="shared" si="134"/>
        <v>6.5023382008924074E-2</v>
      </c>
      <c r="L1087" s="37">
        <f t="shared" si="135"/>
        <v>7.9263502668878452E-2</v>
      </c>
      <c r="M1087" s="45">
        <f t="shared" si="129"/>
        <v>1.5338942507173527E-2</v>
      </c>
    </row>
    <row r="1088" spans="1:13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625">
        <f t="shared" si="130"/>
        <v>236.4</v>
      </c>
      <c r="G1088" s="663">
        <f t="shared" si="132"/>
        <v>8.3705081503928204E-4</v>
      </c>
      <c r="H1088" s="46">
        <f t="shared" si="133"/>
        <v>1.9654455367611365</v>
      </c>
      <c r="I1088" s="37">
        <f t="shared" si="131"/>
        <v>0.72269432386707</v>
      </c>
      <c r="J1088" s="210">
        <v>0.75564299851945738</v>
      </c>
      <c r="K1088" s="37">
        <f t="shared" si="134"/>
        <v>0.1823431495481572</v>
      </c>
      <c r="L1088" s="37">
        <f t="shared" si="135"/>
        <v>0.22227629929920364</v>
      </c>
      <c r="M1088" s="45">
        <f t="shared" si="129"/>
        <v>1.5338942507173523E-2</v>
      </c>
    </row>
    <row r="1089" spans="1:13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625">
        <f t="shared" si="130"/>
        <v>84.3</v>
      </c>
      <c r="G1089" s="663">
        <f t="shared" si="132"/>
        <v>2.9849147084522621E-4</v>
      </c>
      <c r="H1089" s="46">
        <f t="shared" si="133"/>
        <v>0.70087588303284187</v>
      </c>
      <c r="I1089" s="37">
        <f t="shared" si="131"/>
        <v>0.25771206219117598</v>
      </c>
      <c r="J1089" s="210">
        <v>0.2694615261217862</v>
      </c>
      <c r="K1089" s="37">
        <f t="shared" si="134"/>
        <v>6.5023382008924074E-2</v>
      </c>
      <c r="L1089" s="37">
        <f t="shared" si="135"/>
        <v>7.9263502668878452E-2</v>
      </c>
      <c r="M1089" s="45">
        <f t="shared" si="129"/>
        <v>1.5338942507173527E-2</v>
      </c>
    </row>
    <row r="1090" spans="1:13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625">
        <f t="shared" si="130"/>
        <v>84.3</v>
      </c>
      <c r="G1090" s="663">
        <f t="shared" si="132"/>
        <v>2.9849147084522621E-4</v>
      </c>
      <c r="H1090" s="46">
        <f t="shared" si="133"/>
        <v>0.70087588303284187</v>
      </c>
      <c r="I1090" s="37">
        <f t="shared" si="131"/>
        <v>0.25771206219117598</v>
      </c>
      <c r="J1090" s="210">
        <v>0.2694615261217862</v>
      </c>
      <c r="K1090" s="37">
        <f t="shared" si="134"/>
        <v>6.5023382008924074E-2</v>
      </c>
      <c r="L1090" s="37">
        <f t="shared" si="135"/>
        <v>7.9263502668878452E-2</v>
      </c>
      <c r="M1090" s="45">
        <f t="shared" si="129"/>
        <v>1.5338942507173527E-2</v>
      </c>
    </row>
    <row r="1091" spans="1:13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625">
        <f t="shared" si="130"/>
        <v>176.6</v>
      </c>
      <c r="G1091" s="663">
        <f t="shared" si="132"/>
        <v>6.2530953441597805E-4</v>
      </c>
      <c r="H1091" s="46">
        <f t="shared" si="133"/>
        <v>1.4682643053807813</v>
      </c>
      <c r="I1091" s="37">
        <f t="shared" si="131"/>
        <v>0.53988078508851334</v>
      </c>
      <c r="J1091" s="210">
        <v>0.56449472732037287</v>
      </c>
      <c r="K1091" s="37">
        <f t="shared" si="134"/>
        <v>0.13621742897717665</v>
      </c>
      <c r="L1091" s="37">
        <f t="shared" si="135"/>
        <v>0.16604904592317835</v>
      </c>
      <c r="M1091" s="45">
        <f t="shared" si="129"/>
        <v>1.5338942507173525E-2</v>
      </c>
    </row>
    <row r="1092" spans="1:13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625">
        <f t="shared" si="130"/>
        <v>111.5</v>
      </c>
      <c r="G1092" s="663">
        <f t="shared" si="132"/>
        <v>3.9480188611201332E-4</v>
      </c>
      <c r="H1092" s="46">
        <f t="shared" si="133"/>
        <v>0.92701851670417401</v>
      </c>
      <c r="I1092" s="37">
        <f t="shared" si="131"/>
        <v>0.34086470859212481</v>
      </c>
      <c r="J1092" s="210">
        <v>0.3564052213829082</v>
      </c>
      <c r="K1092" s="37">
        <f t="shared" si="134"/>
        <v>8.6003642870640981E-2</v>
      </c>
      <c r="L1092" s="37">
        <f t="shared" si="135"/>
        <v>0.10483844065931136</v>
      </c>
      <c r="M1092" s="45">
        <f t="shared" si="129"/>
        <v>1.5338942507173523E-2</v>
      </c>
    </row>
    <row r="1093" spans="1:13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625">
        <f t="shared" si="130"/>
        <v>94.2</v>
      </c>
      <c r="G1093" s="663">
        <f t="shared" si="132"/>
        <v>3.3354562934306419E-4</v>
      </c>
      <c r="H1093" s="46">
        <f t="shared" si="133"/>
        <v>0.78318515043527526</v>
      </c>
      <c r="I1093" s="37">
        <f t="shared" si="131"/>
        <v>0.28797717981505072</v>
      </c>
      <c r="J1093" s="210">
        <v>0.30110647402932694</v>
      </c>
      <c r="K1093" s="37">
        <f t="shared" si="134"/>
        <v>7.2659579896093104E-2</v>
      </c>
      <c r="L1093" s="37">
        <f t="shared" si="135"/>
        <v>8.8572027893337499E-2</v>
      </c>
      <c r="M1093" s="45">
        <f t="shared" si="129"/>
        <v>1.5338942507173523E-2</v>
      </c>
    </row>
    <row r="1094" spans="1:13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625">
        <f t="shared" si="130"/>
        <v>131.4</v>
      </c>
      <c r="G1094" s="663">
        <f t="shared" si="132"/>
        <v>4.652642855167583E-4</v>
      </c>
      <c r="H1094" s="46">
        <f t="shared" si="133"/>
        <v>1.0924684582504796</v>
      </c>
      <c r="I1094" s="37">
        <f t="shared" si="131"/>
        <v>0.40170065209870137</v>
      </c>
      <c r="J1094" s="210">
        <v>0.42001476313644964</v>
      </c>
      <c r="K1094" s="37">
        <f t="shared" si="134"/>
        <v>0.10135317195697063</v>
      </c>
      <c r="L1094" s="37">
        <f t="shared" si="135"/>
        <v>0.12354951661554721</v>
      </c>
      <c r="M1094" s="45">
        <f t="shared" si="129"/>
        <v>1.5338942507173523E-2</v>
      </c>
    </row>
    <row r="1095" spans="1:13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625">
        <f t="shared" si="130"/>
        <v>87.9</v>
      </c>
      <c r="G1095" s="663">
        <f t="shared" si="132"/>
        <v>3.1123843757171278E-4</v>
      </c>
      <c r="H1095" s="46">
        <f t="shared" si="133"/>
        <v>0.73080652572463589</v>
      </c>
      <c r="I1095" s="37">
        <f t="shared" si="131"/>
        <v>0.26871755950894866</v>
      </c>
      <c r="J1095" s="210">
        <v>0.28096877990634644</v>
      </c>
      <c r="K1095" s="37">
        <f t="shared" si="134"/>
        <v>6.7800181240621912E-2</v>
      </c>
      <c r="L1095" s="37">
        <f t="shared" si="135"/>
        <v>8.2648420932318112E-2</v>
      </c>
      <c r="M1095" s="45">
        <f t="shared" ref="M1095:M1158" si="136">(K1095+J1095+I1095+H1095)/F1095</f>
        <v>1.5338942507173525E-2</v>
      </c>
    </row>
    <row r="1096" spans="1:13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25">
        <f t="shared" si="130"/>
        <v>69.599999999999994</v>
      </c>
      <c r="G1096" s="663">
        <f t="shared" si="132"/>
        <v>2.4644135671207288E-4</v>
      </c>
      <c r="H1096" s="46">
        <f t="shared" si="133"/>
        <v>0.5786590920413498</v>
      </c>
      <c r="I1096" s="37">
        <f t="shared" si="131"/>
        <v>0.21277294814360434</v>
      </c>
      <c r="J1096" s="210">
        <v>0.22247357316816507</v>
      </c>
      <c r="K1096" s="37">
        <f t="shared" si="134"/>
        <v>5.3684785146157959E-2</v>
      </c>
      <c r="L1096" s="37">
        <f t="shared" si="135"/>
        <v>6.5441753093166563E-2</v>
      </c>
      <c r="M1096" s="45">
        <f t="shared" si="136"/>
        <v>1.5338942507173523E-2</v>
      </c>
    </row>
    <row r="1097" spans="1:13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625">
        <f t="shared" si="130"/>
        <v>101.5</v>
      </c>
      <c r="G1097" s="663">
        <f t="shared" si="132"/>
        <v>3.5939364520510631E-4</v>
      </c>
      <c r="H1097" s="46">
        <f t="shared" si="133"/>
        <v>0.84387784256030185</v>
      </c>
      <c r="I1097" s="37">
        <f t="shared" si="131"/>
        <v>0.31029388270942299</v>
      </c>
      <c r="J1097" s="210">
        <v>0.32444062753690744</v>
      </c>
      <c r="K1097" s="37">
        <f t="shared" si="134"/>
        <v>7.8290311671480359E-2</v>
      </c>
      <c r="L1097" s="37">
        <f t="shared" si="135"/>
        <v>9.5435889927534559E-2</v>
      </c>
      <c r="M1097" s="45">
        <f t="shared" si="136"/>
        <v>1.5338942507173523E-2</v>
      </c>
    </row>
    <row r="1098" spans="1:13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625">
        <f t="shared" si="130"/>
        <v>237.8</v>
      </c>
      <c r="G1098" s="663">
        <f t="shared" si="132"/>
        <v>8.4200796876624906E-4</v>
      </c>
      <c r="H1098" s="46">
        <f t="shared" si="133"/>
        <v>1.9770852311412788</v>
      </c>
      <c r="I1098" s="37">
        <f t="shared" si="131"/>
        <v>0.72697423949064821</v>
      </c>
      <c r="J1098" s="210">
        <v>0.76011804165789754</v>
      </c>
      <c r="K1098" s="37">
        <f t="shared" si="134"/>
        <v>0.18342301591603968</v>
      </c>
      <c r="L1098" s="37">
        <f t="shared" si="135"/>
        <v>0.22359265640165238</v>
      </c>
      <c r="M1098" s="45">
        <f t="shared" si="136"/>
        <v>1.5338942507173523E-2</v>
      </c>
    </row>
    <row r="1099" spans="1:13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625">
        <f t="shared" si="130"/>
        <v>96.6</v>
      </c>
      <c r="G1099" s="663">
        <f t="shared" si="132"/>
        <v>3.4204360716072181E-4</v>
      </c>
      <c r="H1099" s="46">
        <f t="shared" si="133"/>
        <v>0.80313891222980438</v>
      </c>
      <c r="I1099" s="37">
        <f t="shared" si="131"/>
        <v>0.29531417802689908</v>
      </c>
      <c r="J1099" s="210">
        <v>0.30877797655236705</v>
      </c>
      <c r="K1099" s="37">
        <f t="shared" si="134"/>
        <v>7.451077938389164E-2</v>
      </c>
      <c r="L1099" s="37">
        <f t="shared" si="135"/>
        <v>9.082864006896392E-2</v>
      </c>
      <c r="M1099" s="45">
        <f t="shared" si="136"/>
        <v>1.5338942507173521E-2</v>
      </c>
    </row>
    <row r="1100" spans="1:13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625">
        <f t="shared" si="130"/>
        <v>120.2</v>
      </c>
      <c r="G1100" s="663">
        <f t="shared" si="132"/>
        <v>4.2560705570102245E-4</v>
      </c>
      <c r="H1100" s="46">
        <f t="shared" si="133"/>
        <v>0.99935090320934272</v>
      </c>
      <c r="I1100" s="37">
        <f t="shared" si="131"/>
        <v>0.36746132711007534</v>
      </c>
      <c r="J1100" s="210">
        <v>0.38421441802892881</v>
      </c>
      <c r="K1100" s="37">
        <f t="shared" si="134"/>
        <v>9.2714241013910736E-2</v>
      </c>
      <c r="L1100" s="37">
        <f t="shared" si="135"/>
        <v>0.1130186597959572</v>
      </c>
      <c r="M1100" s="45">
        <f t="shared" si="136"/>
        <v>1.5338942507173523E-2</v>
      </c>
    </row>
    <row r="1101" spans="1:13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625">
        <f t="shared" si="130"/>
        <v>340.3</v>
      </c>
      <c r="G1101" s="663">
        <f t="shared" si="132"/>
        <v>1.2049424380620461E-3</v>
      </c>
      <c r="H1101" s="46">
        <f t="shared" si="133"/>
        <v>2.8292771411159681</v>
      </c>
      <c r="I1101" s="37">
        <f t="shared" si="131"/>
        <v>1.0403252047883416</v>
      </c>
      <c r="J1101" s="210">
        <v>1.0877551285794049</v>
      </c>
      <c r="K1101" s="37">
        <f t="shared" si="134"/>
        <v>0.26248466070743615</v>
      </c>
      <c r="L1101" s="37">
        <f t="shared" si="135"/>
        <v>0.31996880140236467</v>
      </c>
      <c r="M1101" s="45">
        <f t="shared" si="136"/>
        <v>1.5338942507173525E-2</v>
      </c>
    </row>
    <row r="1102" spans="1:13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25">
        <f t="shared" si="130"/>
        <v>264.89999999999998</v>
      </c>
      <c r="G1102" s="663">
        <f t="shared" si="132"/>
        <v>9.3796430162396702E-4</v>
      </c>
      <c r="H1102" s="46">
        <f t="shared" si="133"/>
        <v>2.2023964580711719</v>
      </c>
      <c r="I1102" s="37">
        <f t="shared" si="131"/>
        <v>0.80982117763276995</v>
      </c>
      <c r="J1102" s="210">
        <v>0.8467420909805593</v>
      </c>
      <c r="K1102" s="37">
        <f t="shared" si="134"/>
        <v>0.20432614346576497</v>
      </c>
      <c r="L1102" s="37">
        <f t="shared" si="135"/>
        <v>0.2490735688847675</v>
      </c>
      <c r="M1102" s="45">
        <f t="shared" si="136"/>
        <v>1.5338942507173523E-2</v>
      </c>
    </row>
    <row r="1103" spans="1:13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625">
        <f t="shared" si="130"/>
        <v>299.7</v>
      </c>
      <c r="G1103" s="663">
        <f t="shared" si="132"/>
        <v>1.0611849799800036E-3</v>
      </c>
      <c r="H1103" s="46">
        <f t="shared" si="133"/>
        <v>2.4917260040918472</v>
      </c>
      <c r="I1103" s="37">
        <f t="shared" si="131"/>
        <v>0.9162076517045723</v>
      </c>
      <c r="J1103" s="210">
        <v>0.95797887756464206</v>
      </c>
      <c r="K1103" s="37">
        <f t="shared" si="134"/>
        <v>0.23116853603884399</v>
      </c>
      <c r="L1103" s="37">
        <f t="shared" si="135"/>
        <v>0.28179444543135085</v>
      </c>
      <c r="M1103" s="45">
        <f t="shared" si="136"/>
        <v>1.5338942507173527E-2</v>
      </c>
    </row>
    <row r="1104" spans="1:13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25">
        <f t="shared" si="130"/>
        <v>143.69999999999999</v>
      </c>
      <c r="G1104" s="663">
        <f t="shared" si="132"/>
        <v>5.0881642183225385E-4</v>
      </c>
      <c r="H1104" s="46">
        <f t="shared" si="133"/>
        <v>1.194731487447442</v>
      </c>
      <c r="I1104" s="37">
        <f t="shared" si="131"/>
        <v>0.43930276793442447</v>
      </c>
      <c r="J1104" s="210">
        <v>0.45933121356703049</v>
      </c>
      <c r="K1104" s="37">
        <f t="shared" si="134"/>
        <v>0.11084056933193819</v>
      </c>
      <c r="L1104" s="37">
        <f t="shared" si="135"/>
        <v>0.13511465401563266</v>
      </c>
      <c r="M1104" s="45">
        <f t="shared" si="136"/>
        <v>1.5338942507173523E-2</v>
      </c>
    </row>
    <row r="1105" spans="1:13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25">
        <f t="shared" si="130"/>
        <v>295.10000000000002</v>
      </c>
      <c r="G1105" s="663">
        <f t="shared" si="132"/>
        <v>1.0448971891628264E-3</v>
      </c>
      <c r="H1105" s="46">
        <f t="shared" si="133"/>
        <v>2.4534812939856661</v>
      </c>
      <c r="I1105" s="37">
        <f t="shared" si="131"/>
        <v>0.90214507179852943</v>
      </c>
      <c r="J1105" s="210">
        <v>0.94327516439548176</v>
      </c>
      <c r="K1105" s="37">
        <f t="shared" si="134"/>
        <v>0.22762040368723011</v>
      </c>
      <c r="L1105" s="37">
        <f t="shared" si="135"/>
        <v>0.27746927209473354</v>
      </c>
      <c r="M1105" s="45">
        <f t="shared" si="136"/>
        <v>1.5338942507173523E-2</v>
      </c>
    </row>
    <row r="1106" spans="1:13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25">
        <f t="shared" si="130"/>
        <v>148.69999999999999</v>
      </c>
      <c r="G1106" s="663">
        <f t="shared" si="132"/>
        <v>5.2652054228570738E-4</v>
      </c>
      <c r="H1106" s="46">
        <f t="shared" si="133"/>
        <v>1.236301824519378</v>
      </c>
      <c r="I1106" s="37">
        <f t="shared" si="131"/>
        <v>0.45458818087577529</v>
      </c>
      <c r="J1106" s="210">
        <v>0.4753135104900309</v>
      </c>
      <c r="K1106" s="37">
        <f t="shared" si="134"/>
        <v>0.1146972349315185</v>
      </c>
      <c r="L1106" s="37">
        <f t="shared" si="135"/>
        <v>0.13981592938152107</v>
      </c>
      <c r="M1106" s="45">
        <f t="shared" si="136"/>
        <v>1.5338942507173525E-2</v>
      </c>
    </row>
    <row r="1107" spans="1:13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625">
        <f t="shared" si="130"/>
        <v>339.7</v>
      </c>
      <c r="G1107" s="663">
        <f t="shared" si="132"/>
        <v>1.2028179436076316E-3</v>
      </c>
      <c r="H1107" s="46">
        <f t="shared" si="133"/>
        <v>2.8242887006673354</v>
      </c>
      <c r="I1107" s="37">
        <f t="shared" si="131"/>
        <v>1.0384909552353794</v>
      </c>
      <c r="J1107" s="210">
        <v>1.0858372529486449</v>
      </c>
      <c r="K1107" s="37">
        <f t="shared" si="134"/>
        <v>0.26202186083548645</v>
      </c>
      <c r="L1107" s="37">
        <f t="shared" si="135"/>
        <v>0.319404648358458</v>
      </c>
      <c r="M1107" s="45">
        <f t="shared" si="136"/>
        <v>1.5338942507173525E-2</v>
      </c>
    </row>
    <row r="1108" spans="1:13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625">
        <f t="shared" si="130"/>
        <v>197.6</v>
      </c>
      <c r="G1108" s="663">
        <f t="shared" si="132"/>
        <v>6.9966684032048273E-4</v>
      </c>
      <c r="H1108" s="46">
        <f t="shared" si="133"/>
        <v>1.6428597210829126</v>
      </c>
      <c r="I1108" s="37">
        <f t="shared" si="131"/>
        <v>0.60407951944218696</v>
      </c>
      <c r="J1108" s="210">
        <v>0.63162037439697449</v>
      </c>
      <c r="K1108" s="37">
        <f t="shared" si="134"/>
        <v>0.15241542449541395</v>
      </c>
      <c r="L1108" s="37">
        <f t="shared" si="135"/>
        <v>0.18579440245990964</v>
      </c>
      <c r="M1108" s="45">
        <f t="shared" si="136"/>
        <v>1.5338942507173523E-2</v>
      </c>
    </row>
    <row r="1109" spans="1:13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625">
        <f t="shared" si="130"/>
        <v>251</v>
      </c>
      <c r="G1109" s="663">
        <f t="shared" si="132"/>
        <v>8.8874684676336628E-4</v>
      </c>
      <c r="H1109" s="46">
        <f t="shared" si="133"/>
        <v>2.0868309210111899</v>
      </c>
      <c r="I1109" s="37">
        <f t="shared" si="131"/>
        <v>0.76732772965581464</v>
      </c>
      <c r="J1109" s="210">
        <v>0.80231130553461849</v>
      </c>
      <c r="K1109" s="37">
        <f t="shared" si="134"/>
        <v>0.1936046130989317</v>
      </c>
      <c r="L1109" s="37">
        <f t="shared" si="135"/>
        <v>0.23600402336759777</v>
      </c>
      <c r="M1109" s="45">
        <f t="shared" si="136"/>
        <v>1.5338942507173525E-2</v>
      </c>
    </row>
    <row r="1110" spans="1:13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625">
        <f t="shared" si="130"/>
        <v>172.7</v>
      </c>
      <c r="G1110" s="663">
        <f t="shared" si="132"/>
        <v>6.1150032046228427E-4</v>
      </c>
      <c r="H1110" s="46">
        <f t="shared" si="133"/>
        <v>1.4358394424646712</v>
      </c>
      <c r="I1110" s="37">
        <f t="shared" si="131"/>
        <v>0.52795816299425968</v>
      </c>
      <c r="J1110" s="210">
        <v>0.55202853572043264</v>
      </c>
      <c r="K1110" s="37">
        <f t="shared" si="134"/>
        <v>0.133209229809504</v>
      </c>
      <c r="L1110" s="37">
        <f t="shared" si="135"/>
        <v>0.16238205113778539</v>
      </c>
      <c r="M1110" s="45">
        <f t="shared" si="136"/>
        <v>1.5338942507173525E-2</v>
      </c>
    </row>
    <row r="1111" spans="1:13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625">
        <f t="shared" si="130"/>
        <v>294.2</v>
      </c>
      <c r="G1111" s="663">
        <f t="shared" si="132"/>
        <v>1.0417104474812046E-3</v>
      </c>
      <c r="H1111" s="46">
        <f t="shared" si="133"/>
        <v>2.4459986333127173</v>
      </c>
      <c r="I1111" s="37">
        <f t="shared" si="131"/>
        <v>0.89939369746908626</v>
      </c>
      <c r="J1111" s="210">
        <v>0.94039835094934154</v>
      </c>
      <c r="K1111" s="37">
        <f t="shared" si="134"/>
        <v>0.22692620387930562</v>
      </c>
      <c r="L1111" s="37">
        <f t="shared" si="135"/>
        <v>0.2766230425288736</v>
      </c>
      <c r="M1111" s="45">
        <f t="shared" si="136"/>
        <v>1.5338942507173525E-2</v>
      </c>
    </row>
    <row r="1112" spans="1:13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625">
        <f t="shared" si="130"/>
        <v>200.9</v>
      </c>
      <c r="G1112" s="663">
        <f t="shared" si="132"/>
        <v>7.1135155981976209E-4</v>
      </c>
      <c r="H1112" s="46">
        <f t="shared" si="133"/>
        <v>1.6702961435503905</v>
      </c>
      <c r="I1112" s="37">
        <f t="shared" si="131"/>
        <v>0.61416789198347865</v>
      </c>
      <c r="J1112" s="210">
        <v>0.64216869036615476</v>
      </c>
      <c r="K1112" s="37">
        <f t="shared" si="134"/>
        <v>0.15496082379113699</v>
      </c>
      <c r="L1112" s="37">
        <f t="shared" si="135"/>
        <v>0.188897244201396</v>
      </c>
      <c r="M1112" s="45">
        <f t="shared" si="136"/>
        <v>1.5338942507173523E-2</v>
      </c>
    </row>
    <row r="1113" spans="1:13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625">
        <f t="shared" si="130"/>
        <v>297.8</v>
      </c>
      <c r="G1113" s="663">
        <f t="shared" si="132"/>
        <v>1.0544574142076911E-3</v>
      </c>
      <c r="H1113" s="46">
        <f t="shared" si="133"/>
        <v>2.4759292760045111</v>
      </c>
      <c r="I1113" s="37">
        <f t="shared" si="131"/>
        <v>0.91039919478685882</v>
      </c>
      <c r="J1113" s="210">
        <v>0.95190560473390173</v>
      </c>
      <c r="K1113" s="37">
        <f t="shared" si="134"/>
        <v>0.22970300311100345</v>
      </c>
      <c r="L1113" s="37">
        <f t="shared" si="135"/>
        <v>0.28000796079231322</v>
      </c>
      <c r="M1113" s="45">
        <f t="shared" si="136"/>
        <v>1.5338942507173521E-2</v>
      </c>
    </row>
    <row r="1114" spans="1:13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625">
        <f t="shared" si="130"/>
        <v>124.6</v>
      </c>
      <c r="G1114" s="663">
        <f t="shared" si="132"/>
        <v>4.4118668170006151E-4</v>
      </c>
      <c r="H1114" s="46">
        <f t="shared" si="133"/>
        <v>1.0359327998326464</v>
      </c>
      <c r="I1114" s="37">
        <f t="shared" si="131"/>
        <v>0.3809124904984641</v>
      </c>
      <c r="J1114" s="210">
        <v>0.39827883932116909</v>
      </c>
      <c r="K1114" s="37">
        <f t="shared" si="134"/>
        <v>9.6108106741541396E-2</v>
      </c>
      <c r="L1114" s="37">
        <f t="shared" si="135"/>
        <v>0.11715578211793896</v>
      </c>
      <c r="M1114" s="45">
        <f t="shared" si="136"/>
        <v>1.5338942507173523E-2</v>
      </c>
    </row>
    <row r="1115" spans="1:13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25">
        <f t="shared" si="130"/>
        <v>132.19999999999999</v>
      </c>
      <c r="G1115" s="663">
        <f t="shared" si="132"/>
        <v>4.6809694478931084E-4</v>
      </c>
      <c r="H1115" s="46">
        <f t="shared" si="133"/>
        <v>1.0991197121819891</v>
      </c>
      <c r="I1115" s="37">
        <f t="shared" si="131"/>
        <v>0.40414631816931745</v>
      </c>
      <c r="J1115" s="210">
        <v>0.42257193064412962</v>
      </c>
      <c r="K1115" s="37">
        <f t="shared" si="134"/>
        <v>0.10197023845290347</v>
      </c>
      <c r="L1115" s="37">
        <f t="shared" si="135"/>
        <v>0.12430172067408934</v>
      </c>
      <c r="M1115" s="45">
        <f t="shared" si="136"/>
        <v>1.5338942507173525E-2</v>
      </c>
    </row>
    <row r="1116" spans="1:13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625">
        <f t="shared" si="130"/>
        <v>225.4</v>
      </c>
      <c r="G1116" s="663">
        <f t="shared" si="132"/>
        <v>7.9810175004168431E-4</v>
      </c>
      <c r="H1116" s="46">
        <f t="shared" si="133"/>
        <v>1.8739907952028771</v>
      </c>
      <c r="I1116" s="37">
        <f t="shared" si="131"/>
        <v>0.68906641539609803</v>
      </c>
      <c r="J1116" s="210">
        <v>0.72048194528885656</v>
      </c>
      <c r="K1116" s="37">
        <f t="shared" si="134"/>
        <v>0.17385848522908051</v>
      </c>
      <c r="L1116" s="37">
        <f t="shared" si="135"/>
        <v>0.21193349349424917</v>
      </c>
      <c r="M1116" s="45">
        <f t="shared" si="136"/>
        <v>1.5338942507173523E-2</v>
      </c>
    </row>
    <row r="1117" spans="1:13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625">
        <f t="shared" si="130"/>
        <v>415.6</v>
      </c>
      <c r="G1117" s="663">
        <f t="shared" si="132"/>
        <v>1.4715664920910559E-3</v>
      </c>
      <c r="H1117" s="46">
        <f t="shared" si="133"/>
        <v>3.4553264174193248</v>
      </c>
      <c r="I1117" s="37">
        <f t="shared" si="131"/>
        <v>1.2705235236850858</v>
      </c>
      <c r="J1117" s="210">
        <v>1.3284485202397907</v>
      </c>
      <c r="K1117" s="37">
        <f t="shared" si="134"/>
        <v>0.32056604463711563</v>
      </c>
      <c r="L1117" s="37">
        <f t="shared" si="135"/>
        <v>0.39077000841264398</v>
      </c>
      <c r="M1117" s="45">
        <f t="shared" si="136"/>
        <v>1.5338942507173523E-2</v>
      </c>
    </row>
    <row r="1118" spans="1:13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625">
        <f t="shared" si="130"/>
        <v>1495</v>
      </c>
      <c r="G1118" s="663">
        <f t="shared" si="132"/>
        <v>5.2935320155826004E-3</v>
      </c>
      <c r="H1118" s="46">
        <f t="shared" si="133"/>
        <v>12.429530784508881</v>
      </c>
      <c r="I1118" s="37">
        <f t="shared" si="131"/>
        <v>4.5703384694639162</v>
      </c>
      <c r="J1118" s="210">
        <v>4.7787067799771092</v>
      </c>
      <c r="K1118" s="37">
        <f t="shared" si="134"/>
        <v>1.1531430142745136</v>
      </c>
      <c r="L1118" s="37">
        <f t="shared" si="135"/>
        <v>1.4056813344006323</v>
      </c>
      <c r="M1118" s="45">
        <f t="shared" si="136"/>
        <v>1.5338942507173525E-2</v>
      </c>
    </row>
    <row r="1119" spans="1:13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25">
        <f t="shared" si="130"/>
        <v>288.60000000000002</v>
      </c>
      <c r="G1119" s="663">
        <f t="shared" si="132"/>
        <v>1.0218818325733368E-3</v>
      </c>
      <c r="H1119" s="46">
        <f t="shared" si="133"/>
        <v>2.3994398557921492</v>
      </c>
      <c r="I1119" s="37">
        <f t="shared" si="131"/>
        <v>0.8822740349747733</v>
      </c>
      <c r="J1119" s="210">
        <v>0.92249817839558135</v>
      </c>
      <c r="K1119" s="37">
        <f t="shared" si="134"/>
        <v>0.22260673840777567</v>
      </c>
      <c r="L1119" s="37">
        <f t="shared" si="135"/>
        <v>0.27135761411907855</v>
      </c>
      <c r="M1119" s="45">
        <f t="shared" si="136"/>
        <v>1.5338942507173527E-2</v>
      </c>
    </row>
    <row r="1120" spans="1:13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25">
        <f t="shared" si="130"/>
        <v>272.10000000000002</v>
      </c>
      <c r="G1120" s="663">
        <f t="shared" si="132"/>
        <v>9.6345823507694016E-4</v>
      </c>
      <c r="H1120" s="46">
        <f t="shared" si="133"/>
        <v>2.2622577434547599</v>
      </c>
      <c r="I1120" s="37">
        <f t="shared" si="131"/>
        <v>0.8318321722683153</v>
      </c>
      <c r="J1120" s="210">
        <v>0.86975659854968002</v>
      </c>
      <c r="K1120" s="37">
        <f t="shared" si="134"/>
        <v>0.20987974192916065</v>
      </c>
      <c r="L1120" s="37">
        <f t="shared" si="135"/>
        <v>0.25584340541164685</v>
      </c>
      <c r="M1120" s="45">
        <f t="shared" si="136"/>
        <v>1.5338942507173523E-2</v>
      </c>
    </row>
    <row r="1121" spans="1:13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25">
        <f t="shared" si="130"/>
        <v>313.7</v>
      </c>
      <c r="G1121" s="663">
        <f t="shared" si="132"/>
        <v>1.1107565172496733E-3</v>
      </c>
      <c r="H1121" s="46">
        <f t="shared" si="133"/>
        <v>2.6081229478932677</v>
      </c>
      <c r="I1121" s="37">
        <f t="shared" si="131"/>
        <v>0.95900680794035464</v>
      </c>
      <c r="J1121" s="210">
        <v>1.002729308949043</v>
      </c>
      <c r="K1121" s="37">
        <f t="shared" si="134"/>
        <v>0.24196719971766883</v>
      </c>
      <c r="L1121" s="37">
        <f t="shared" si="135"/>
        <v>0.29495801645583836</v>
      </c>
      <c r="M1121" s="45">
        <f t="shared" si="136"/>
        <v>1.5338942507173525E-2</v>
      </c>
    </row>
    <row r="1122" spans="1:13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25">
        <f t="shared" si="130"/>
        <v>860.41000000000008</v>
      </c>
      <c r="G1122" s="663">
        <f t="shared" si="132"/>
        <v>3.0465604558711874E-3</v>
      </c>
      <c r="H1122" s="46">
        <f t="shared" si="133"/>
        <v>7.1535067440129003</v>
      </c>
      <c r="I1122" s="37">
        <f t="shared" si="131"/>
        <v>2.6303444297735434</v>
      </c>
      <c r="J1122" s="210">
        <v>2.7502656191037493</v>
      </c>
      <c r="K1122" s="37">
        <f t="shared" si="134"/>
        <v>0.66366272970697948</v>
      </c>
      <c r="L1122" s="37">
        <f t="shared" si="135"/>
        <v>0.80900486751280809</v>
      </c>
      <c r="M1122" s="45">
        <f t="shared" si="136"/>
        <v>1.5338942507173525E-2</v>
      </c>
    </row>
    <row r="1123" spans="1:13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625">
        <f t="shared" si="130"/>
        <v>294</v>
      </c>
      <c r="G1123" s="663">
        <f t="shared" si="132"/>
        <v>1.0410022826630664E-3</v>
      </c>
      <c r="H1123" s="46">
        <f t="shared" si="133"/>
        <v>2.4443358198298397</v>
      </c>
      <c r="I1123" s="37">
        <f t="shared" si="131"/>
        <v>0.89878228095143209</v>
      </c>
      <c r="J1123" s="210">
        <v>0.93975905907242152</v>
      </c>
      <c r="K1123" s="37">
        <f t="shared" si="134"/>
        <v>0.22677193725532238</v>
      </c>
      <c r="L1123" s="37">
        <f t="shared" si="135"/>
        <v>0.276434991514238</v>
      </c>
      <c r="M1123" s="45">
        <f t="shared" si="136"/>
        <v>1.5338942507173521E-2</v>
      </c>
    </row>
    <row r="1124" spans="1:13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625">
        <f t="shared" si="130"/>
        <v>1119.54</v>
      </c>
      <c r="G1124" s="663">
        <f t="shared" si="132"/>
        <v>3.9640942024918692E-3</v>
      </c>
      <c r="H1124" s="46">
        <f t="shared" si="133"/>
        <v>9.307931033103058</v>
      </c>
      <c r="I1124" s="37">
        <f t="shared" si="131"/>
        <v>3.4225262408719948</v>
      </c>
      <c r="J1124" s="210">
        <v>3.5785641394351662</v>
      </c>
      <c r="K1124" s="37">
        <f t="shared" si="134"/>
        <v>0.86353828107082886</v>
      </c>
      <c r="L1124" s="37">
        <f t="shared" si="135"/>
        <v>1.0526531646253405</v>
      </c>
      <c r="M1124" s="45">
        <f t="shared" si="136"/>
        <v>1.5338942507173525E-2</v>
      </c>
    </row>
    <row r="1125" spans="1:13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625">
        <f t="shared" si="130"/>
        <v>542.66</v>
      </c>
      <c r="G1125" s="663">
        <f t="shared" si="132"/>
        <v>1.9214636010542164E-3</v>
      </c>
      <c r="H1125" s="46">
        <f t="shared" si="133"/>
        <v>4.5117118230913631</v>
      </c>
      <c r="I1125" s="37">
        <f t="shared" si="131"/>
        <v>1.6589564373506944</v>
      </c>
      <c r="J1125" s="210">
        <v>1.7345906496470758</v>
      </c>
      <c r="K1125" s="37">
        <f t="shared" si="134"/>
        <v>0.41857163085365051</v>
      </c>
      <c r="L1125" s="37">
        <f t="shared" si="135"/>
        <v>0.5102388180106</v>
      </c>
      <c r="M1125" s="45">
        <f t="shared" si="136"/>
        <v>1.5338942507173521E-2</v>
      </c>
    </row>
    <row r="1126" spans="1:13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625">
        <f t="shared" si="130"/>
        <v>507.72</v>
      </c>
      <c r="G1126" s="663">
        <f t="shared" si="132"/>
        <v>1.7977472073254835E-3</v>
      </c>
      <c r="H1126" s="46">
        <f t="shared" si="133"/>
        <v>4.2212183076326744</v>
      </c>
      <c r="I1126" s="37">
        <f t="shared" si="131"/>
        <v>1.5521419717165346</v>
      </c>
      <c r="J1126" s="210">
        <v>1.6229063587491495</v>
      </c>
      <c r="K1126" s="37">
        <f t="shared" si="134"/>
        <v>0.39162125164378336</v>
      </c>
      <c r="L1126" s="37">
        <f t="shared" si="135"/>
        <v>0.47738630575377194</v>
      </c>
      <c r="M1126" s="45">
        <f t="shared" si="136"/>
        <v>1.5338942507173523E-2</v>
      </c>
    </row>
    <row r="1127" spans="1:13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625">
        <f t="shared" ref="F1127:F1144" si="137">C1127+D1127+E1127</f>
        <v>517.03</v>
      </c>
      <c r="G1127" s="663">
        <f t="shared" si="132"/>
        <v>1.8307122796098138E-3</v>
      </c>
      <c r="H1127" s="46">
        <f t="shared" si="133"/>
        <v>4.2986222752606196</v>
      </c>
      <c r="I1127" s="37">
        <f t="shared" si="131"/>
        <v>1.58060341061333</v>
      </c>
      <c r="J1127" s="210">
        <v>1.6526653956197759</v>
      </c>
      <c r="K1127" s="37">
        <f t="shared" si="134"/>
        <v>0.39880236299020183</v>
      </c>
      <c r="L1127" s="37">
        <f t="shared" si="135"/>
        <v>0.48614008048505608</v>
      </c>
      <c r="M1127" s="45">
        <f t="shared" si="136"/>
        <v>1.5338942507173525E-2</v>
      </c>
    </row>
    <row r="1128" spans="1:13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625">
        <f t="shared" si="137"/>
        <v>497.81</v>
      </c>
      <c r="G1128" s="663">
        <f t="shared" si="132"/>
        <v>1.7626576405867385E-3</v>
      </c>
      <c r="H1128" s="46">
        <f t="shared" si="133"/>
        <v>4.1388258995560969</v>
      </c>
      <c r="I1128" s="37">
        <f t="shared" ref="I1128:I1145" si="138">H1128*0.3677</f>
        <v>1.521846283266777</v>
      </c>
      <c r="J1128" s="210">
        <v>1.5912294462477625</v>
      </c>
      <c r="K1128" s="37">
        <f t="shared" si="134"/>
        <v>0.38397734042541515</v>
      </c>
      <c r="L1128" s="37">
        <f t="shared" si="135"/>
        <v>0.46806837797858108</v>
      </c>
      <c r="M1128" s="45">
        <f t="shared" si="136"/>
        <v>1.5338942507173523E-2</v>
      </c>
    </row>
    <row r="1129" spans="1:13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25">
        <f t="shared" si="137"/>
        <v>301.3</v>
      </c>
      <c r="G1129" s="663">
        <f t="shared" si="132"/>
        <v>1.0668502985251088E-3</v>
      </c>
      <c r="H1129" s="46">
        <f t="shared" si="133"/>
        <v>2.5050285119548668</v>
      </c>
      <c r="I1129" s="37">
        <f t="shared" si="138"/>
        <v>0.92109898384580458</v>
      </c>
      <c r="J1129" s="210">
        <v>0.96309321258000213</v>
      </c>
      <c r="K1129" s="37">
        <f t="shared" si="134"/>
        <v>0.23240266903070969</v>
      </c>
      <c r="L1129" s="37">
        <f t="shared" si="135"/>
        <v>0.28329885354843515</v>
      </c>
      <c r="M1129" s="45">
        <f t="shared" si="136"/>
        <v>1.5338942507173527E-2</v>
      </c>
    </row>
    <row r="1130" spans="1:13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25">
        <f t="shared" si="137"/>
        <v>493.5</v>
      </c>
      <c r="G1130" s="663">
        <f t="shared" si="132"/>
        <v>1.7473966887558616E-3</v>
      </c>
      <c r="H1130" s="46">
        <f t="shared" si="133"/>
        <v>4.1029922690000884</v>
      </c>
      <c r="I1130" s="37">
        <f t="shared" si="138"/>
        <v>1.5086702573113326</v>
      </c>
      <c r="J1130" s="210">
        <v>1.577452706300136</v>
      </c>
      <c r="K1130" s="37">
        <f t="shared" si="134"/>
        <v>0.38065289467857688</v>
      </c>
      <c r="L1130" s="37">
        <f t="shared" si="135"/>
        <v>0.46401587861318527</v>
      </c>
      <c r="M1130" s="45">
        <f t="shared" si="136"/>
        <v>1.5338942507173523E-2</v>
      </c>
    </row>
    <row r="1131" spans="1:13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25">
        <f t="shared" si="137"/>
        <v>264.8</v>
      </c>
      <c r="G1131" s="663">
        <f t="shared" si="132"/>
        <v>9.3761021921489804E-4</v>
      </c>
      <c r="H1131" s="46">
        <f t="shared" si="133"/>
        <v>2.2015650513297333</v>
      </c>
      <c r="I1131" s="37">
        <f t="shared" si="138"/>
        <v>0.80951546937394303</v>
      </c>
      <c r="J1131" s="210">
        <v>0.8464224450420994</v>
      </c>
      <c r="K1131" s="37">
        <f t="shared" si="134"/>
        <v>0.20424901015377339</v>
      </c>
      <c r="L1131" s="37">
        <f t="shared" si="135"/>
        <v>0.24897954337744979</v>
      </c>
      <c r="M1131" s="45">
        <f t="shared" si="136"/>
        <v>1.5338942507173521E-2</v>
      </c>
    </row>
    <row r="1132" spans="1:13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25">
        <f t="shared" si="137"/>
        <v>544.79999999999995</v>
      </c>
      <c r="G1132" s="663">
        <f t="shared" si="132"/>
        <v>1.9290409646082944E-3</v>
      </c>
      <c r="H1132" s="46">
        <f t="shared" si="133"/>
        <v>4.5295039273581521</v>
      </c>
      <c r="I1132" s="37">
        <f t="shared" si="138"/>
        <v>1.6654985940895926</v>
      </c>
      <c r="J1132" s="210">
        <v>1.7414310727301197</v>
      </c>
      <c r="K1132" s="37">
        <f t="shared" si="134"/>
        <v>0.42022228373027087</v>
      </c>
      <c r="L1132" s="37">
        <f t="shared" si="135"/>
        <v>0.51225096386720026</v>
      </c>
      <c r="M1132" s="45">
        <f t="shared" si="136"/>
        <v>1.5338942507173525E-2</v>
      </c>
    </row>
    <row r="1133" spans="1:13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25">
        <f t="shared" si="137"/>
        <v>205</v>
      </c>
      <c r="G1133" s="663">
        <f t="shared" si="132"/>
        <v>7.2586893859159394E-4</v>
      </c>
      <c r="H1133" s="46">
        <f t="shared" si="133"/>
        <v>1.7043838199493779</v>
      </c>
      <c r="I1133" s="37">
        <f t="shared" si="138"/>
        <v>0.62670193059538626</v>
      </c>
      <c r="J1133" s="210">
        <v>0.65527417384301501</v>
      </c>
      <c r="K1133" s="37">
        <f t="shared" si="134"/>
        <v>0.15812328958279281</v>
      </c>
      <c r="L1133" s="37">
        <f t="shared" si="135"/>
        <v>0.19275229000142446</v>
      </c>
      <c r="M1133" s="45">
        <f t="shared" si="136"/>
        <v>1.5338942507173521E-2</v>
      </c>
    </row>
    <row r="1134" spans="1:13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25">
        <f t="shared" si="137"/>
        <v>577.32000000000005</v>
      </c>
      <c r="G1134" s="663">
        <f t="shared" si="132"/>
        <v>2.0441885640375564E-3</v>
      </c>
      <c r="H1134" s="46">
        <f t="shared" si="133"/>
        <v>4.7998773996740249</v>
      </c>
      <c r="I1134" s="37">
        <f t="shared" si="138"/>
        <v>1.764914919860139</v>
      </c>
      <c r="J1134" s="210">
        <v>1.8453799319173143</v>
      </c>
      <c r="K1134" s="37">
        <f t="shared" si="134"/>
        <v>0.4453060367899413</v>
      </c>
      <c r="L1134" s="37">
        <f t="shared" si="135"/>
        <v>0.54282805884693852</v>
      </c>
      <c r="M1134" s="45">
        <f t="shared" si="136"/>
        <v>1.5338942507173525E-2</v>
      </c>
    </row>
    <row r="1135" spans="1:13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25">
        <f t="shared" si="137"/>
        <v>353</v>
      </c>
      <c r="G1135" s="663">
        <f t="shared" si="132"/>
        <v>1.2499109040138179E-3</v>
      </c>
      <c r="H1135" s="46">
        <f t="shared" si="133"/>
        <v>2.9348657972786851</v>
      </c>
      <c r="I1135" s="37">
        <f t="shared" si="138"/>
        <v>1.0791501536593726</v>
      </c>
      <c r="J1135" s="210">
        <v>1.1283501627638257</v>
      </c>
      <c r="K1135" s="37">
        <f t="shared" si="134"/>
        <v>0.27228059133037008</v>
      </c>
      <c r="L1135" s="37">
        <f t="shared" si="135"/>
        <v>0.33191004083172115</v>
      </c>
      <c r="M1135" s="45">
        <f t="shared" si="136"/>
        <v>1.5338942507173521E-2</v>
      </c>
    </row>
    <row r="1136" spans="1:13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25">
        <f t="shared" si="137"/>
        <v>646.29999999999995</v>
      </c>
      <c r="G1136" s="663">
        <f t="shared" si="132"/>
        <v>2.2884346098134009E-3</v>
      </c>
      <c r="H1136" s="46">
        <f t="shared" si="133"/>
        <v>5.3733817699184545</v>
      </c>
      <c r="I1136" s="37">
        <f t="shared" si="138"/>
        <v>1.9757924767990158</v>
      </c>
      <c r="J1136" s="210">
        <v>2.065871700267027</v>
      </c>
      <c r="K1136" s="37">
        <f t="shared" si="134"/>
        <v>0.49851259540175125</v>
      </c>
      <c r="L1136" s="37">
        <f t="shared" si="135"/>
        <v>0.60768685379473486</v>
      </c>
      <c r="M1136" s="45">
        <f t="shared" si="136"/>
        <v>1.5338942507173525E-2</v>
      </c>
    </row>
    <row r="1137" spans="1:13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25">
        <f t="shared" si="137"/>
        <v>281.89999999999998</v>
      </c>
      <c r="G1137" s="663">
        <f t="shared" ref="G1137:G1145" si="139">1/282420.13*F1137</f>
        <v>9.9815831116570894E-4</v>
      </c>
      <c r="H1137" s="46">
        <f t="shared" ref="H1137:H1145" si="140">G1137*2348.06</f>
        <v>2.3437356041157544</v>
      </c>
      <c r="I1137" s="37">
        <f t="shared" si="138"/>
        <v>0.861791581633363</v>
      </c>
      <c r="J1137" s="210">
        <v>0.90108190051876069</v>
      </c>
      <c r="K1137" s="37">
        <f t="shared" si="134"/>
        <v>0.21743880650433803</v>
      </c>
      <c r="L1137" s="37">
        <f t="shared" si="135"/>
        <v>0.26505790512878807</v>
      </c>
      <c r="M1137" s="45">
        <f t="shared" si="136"/>
        <v>1.5338942507173525E-2</v>
      </c>
    </row>
    <row r="1138" spans="1:13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25">
        <f t="shared" si="137"/>
        <v>305.10000000000002</v>
      </c>
      <c r="G1138" s="663">
        <f t="shared" si="139"/>
        <v>1.0803054300697335E-3</v>
      </c>
      <c r="H1138" s="46">
        <f t="shared" si="140"/>
        <v>2.5366219681295381</v>
      </c>
      <c r="I1138" s="37">
        <f t="shared" si="138"/>
        <v>0.9327158976812312</v>
      </c>
      <c r="J1138" s="210">
        <v>0.97523975824148246</v>
      </c>
      <c r="K1138" s="37">
        <f t="shared" ref="K1138:K1145" si="141">G1138*217.84</f>
        <v>0.23533373488639073</v>
      </c>
      <c r="L1138" s="37">
        <f t="shared" ref="L1138:L1146" si="142">K1138*1.219</f>
        <v>0.2868718228265103</v>
      </c>
      <c r="M1138" s="45">
        <f t="shared" si="136"/>
        <v>1.5338942507173525E-2</v>
      </c>
    </row>
    <row r="1139" spans="1:13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25">
        <f t="shared" si="137"/>
        <v>369.45</v>
      </c>
      <c r="G1139" s="663">
        <f t="shared" si="139"/>
        <v>1.30815746030568E-3</v>
      </c>
      <c r="H1139" s="46">
        <f t="shared" si="140"/>
        <v>3.0716322062453547</v>
      </c>
      <c r="I1139" s="37">
        <f t="shared" si="138"/>
        <v>1.129439162236417</v>
      </c>
      <c r="J1139" s="210">
        <v>1.180931919640497</v>
      </c>
      <c r="K1139" s="37">
        <f t="shared" si="141"/>
        <v>0.28496902115298933</v>
      </c>
      <c r="L1139" s="37">
        <f t="shared" si="142"/>
        <v>0.34737723678549404</v>
      </c>
      <c r="M1139" s="45">
        <f t="shared" si="136"/>
        <v>1.5338942507173523E-2</v>
      </c>
    </row>
    <row r="1140" spans="1:13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25">
        <f t="shared" si="137"/>
        <v>453.11</v>
      </c>
      <c r="G1140" s="663">
        <f t="shared" si="139"/>
        <v>1.6043828037328642E-3</v>
      </c>
      <c r="H1140" s="46">
        <f t="shared" si="140"/>
        <v>3.767187086132989</v>
      </c>
      <c r="I1140" s="37">
        <f t="shared" si="138"/>
        <v>1.3851946915711002</v>
      </c>
      <c r="J1140" s="210">
        <v>1.4483477117561394</v>
      </c>
      <c r="K1140" s="37">
        <f t="shared" si="141"/>
        <v>0.34949874996516717</v>
      </c>
      <c r="L1140" s="37">
        <f t="shared" si="142"/>
        <v>0.42603897620753878</v>
      </c>
      <c r="M1140" s="45">
        <f t="shared" si="136"/>
        <v>1.5338942507173525E-2</v>
      </c>
    </row>
    <row r="1141" spans="1:13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25">
        <f t="shared" si="137"/>
        <v>729</v>
      </c>
      <c r="G1141" s="663">
        <f t="shared" si="139"/>
        <v>2.5812607621135222E-3</v>
      </c>
      <c r="H1141" s="46">
        <f t="shared" si="140"/>
        <v>6.0609551450882764</v>
      </c>
      <c r="I1141" s="37">
        <f t="shared" si="138"/>
        <v>2.2286132068489595</v>
      </c>
      <c r="J1141" s="210">
        <v>2.3302188913734532</v>
      </c>
      <c r="K1141" s="37">
        <f t="shared" si="141"/>
        <v>0.5623018444188097</v>
      </c>
      <c r="L1141" s="37">
        <f t="shared" si="142"/>
        <v>0.68544594834652905</v>
      </c>
      <c r="M1141" s="45">
        <f t="shared" si="136"/>
        <v>1.5338942507173523E-2</v>
      </c>
    </row>
    <row r="1142" spans="1:13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25">
        <f t="shared" si="137"/>
        <v>422.76</v>
      </c>
      <c r="G1142" s="663">
        <f t="shared" si="139"/>
        <v>1.4969187925804013E-3</v>
      </c>
      <c r="H1142" s="46">
        <f t="shared" si="140"/>
        <v>3.514855140106337</v>
      </c>
      <c r="I1142" s="37">
        <f t="shared" si="138"/>
        <v>1.2924122350171001</v>
      </c>
      <c r="J1142" s="210">
        <v>1.3513351694335269</v>
      </c>
      <c r="K1142" s="37">
        <f t="shared" si="141"/>
        <v>0.32608878977571465</v>
      </c>
      <c r="L1142" s="37">
        <f t="shared" si="142"/>
        <v>0.39750223473659618</v>
      </c>
      <c r="M1142" s="45">
        <f t="shared" si="136"/>
        <v>1.5338942507173523E-2</v>
      </c>
    </row>
    <row r="1143" spans="1:13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25">
        <f t="shared" si="137"/>
        <v>152.30000000000001</v>
      </c>
      <c r="G1143" s="663">
        <f t="shared" si="139"/>
        <v>5.3926750901219401E-4</v>
      </c>
      <c r="H1143" s="46">
        <f t="shared" si="140"/>
        <v>1.2662324672111722</v>
      </c>
      <c r="I1143" s="37">
        <f t="shared" si="138"/>
        <v>0.46559367819354808</v>
      </c>
      <c r="J1143" s="210">
        <v>0.48682076427459114</v>
      </c>
      <c r="K1143" s="37">
        <f t="shared" si="141"/>
        <v>0.11747403416321635</v>
      </c>
      <c r="L1143" s="37">
        <f t="shared" si="142"/>
        <v>0.14320084764496074</v>
      </c>
      <c r="M1143" s="45">
        <f t="shared" si="136"/>
        <v>1.5338942507173525E-2</v>
      </c>
    </row>
    <row r="1144" spans="1:13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25">
        <f t="shared" si="137"/>
        <v>252.6</v>
      </c>
      <c r="G1144" s="663">
        <f t="shared" si="139"/>
        <v>8.9441216530847137E-4</v>
      </c>
      <c r="H1144" s="46">
        <f t="shared" si="140"/>
        <v>2.1001334288742091</v>
      </c>
      <c r="I1144" s="37">
        <f t="shared" si="138"/>
        <v>0.77221906179704669</v>
      </c>
      <c r="J1144" s="210">
        <v>0.80742564054997845</v>
      </c>
      <c r="K1144" s="37">
        <f t="shared" si="141"/>
        <v>0.1948387460907974</v>
      </c>
      <c r="L1144" s="37">
        <f t="shared" si="142"/>
        <v>0.23750843148468206</v>
      </c>
      <c r="M1144" s="45">
        <f t="shared" si="136"/>
        <v>1.5338942507173521E-2</v>
      </c>
    </row>
    <row r="1145" spans="1:13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25">
        <f>C1145+D1145+E1145</f>
        <v>143.69999999999999</v>
      </c>
      <c r="G1145" s="663">
        <f t="shared" si="139"/>
        <v>5.0881642183225385E-4</v>
      </c>
      <c r="H1145" s="46">
        <f t="shared" si="140"/>
        <v>1.194731487447442</v>
      </c>
      <c r="I1145" s="37">
        <f t="shared" si="138"/>
        <v>0.43930276793442447</v>
      </c>
      <c r="J1145" s="210">
        <v>0.45933121356703049</v>
      </c>
      <c r="K1145" s="37">
        <f t="shared" si="141"/>
        <v>0.11084056933193819</v>
      </c>
      <c r="L1145" s="37">
        <f t="shared" si="142"/>
        <v>0.13511465401563266</v>
      </c>
      <c r="M1145" s="45">
        <f t="shared" si="136"/>
        <v>1.5338942507173523E-2</v>
      </c>
    </row>
    <row r="1146" spans="1:13" s="69" customFormat="1" ht="15.75">
      <c r="A1146" s="190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59">
        <f>SUM(F881:F1145)</f>
        <v>282420.12999999977</v>
      </c>
      <c r="G1146" s="663">
        <f>1/282420.13*F1146</f>
        <v>0.99999999999999911</v>
      </c>
      <c r="H1146" s="46">
        <f>G1146*2348.06</f>
        <v>2348.0599999999977</v>
      </c>
      <c r="I1146" s="316">
        <f t="shared" ref="I1146:I1201" si="143">H1146*0.3677</f>
        <v>863.38166199999921</v>
      </c>
      <c r="J1146" s="210">
        <f>SUM(J880:J1145)</f>
        <v>902.74447493847333</v>
      </c>
      <c r="K1146" s="37">
        <f>G1146*217.84*1.08</f>
        <v>235.2671999999998</v>
      </c>
      <c r="L1146" s="37">
        <f t="shared" si="142"/>
        <v>286.79071679999976</v>
      </c>
      <c r="M1146" s="45">
        <f t="shared" si="136"/>
        <v>1.5400649156766812E-2</v>
      </c>
    </row>
    <row r="1147" spans="1:13" s="209" customFormat="1" ht="15.75">
      <c r="A1147" s="1054" t="s">
        <v>634</v>
      </c>
      <c r="B1147" s="1055"/>
      <c r="C1147" s="339"/>
      <c r="D1147" s="339"/>
      <c r="E1147" s="339"/>
      <c r="F1147" s="339"/>
      <c r="G1147" s="339"/>
      <c r="H1147" s="46">
        <f>G1147*2418.5</f>
        <v>0</v>
      </c>
      <c r="I1147" s="342"/>
      <c r="J1147" s="210"/>
      <c r="K1147" s="342"/>
      <c r="L1147" s="342"/>
      <c r="M1147" s="45" t="e">
        <f t="shared" si="136"/>
        <v>#DIV/0!</v>
      </c>
    </row>
    <row r="1148" spans="1:13" s="6" customFormat="1" ht="18">
      <c r="A1148" s="105">
        <v>1</v>
      </c>
      <c r="B1148" s="32" t="s">
        <v>480</v>
      </c>
      <c r="C1148" s="386">
        <v>219.1</v>
      </c>
      <c r="D1148" s="386"/>
      <c r="E1148" s="386"/>
      <c r="F1148" s="625">
        <f t="shared" ref="F1148:F1201" si="144">C1148+D1148+E1148</f>
        <v>219.1</v>
      </c>
      <c r="G1148" s="663">
        <f t="shared" ref="G1148:G1201" si="145">1/173207.23*F1148</f>
        <v>1.2649587433503785E-3</v>
      </c>
      <c r="H1148" s="46">
        <f t="shared" ref="H1148:H1201" si="146">G1148*2348.06</f>
        <v>2.9701990269112897</v>
      </c>
      <c r="I1148" s="37">
        <f t="shared" si="143"/>
        <v>1.0921421821952813</v>
      </c>
      <c r="J1148" s="210">
        <v>1.1508488606218141</v>
      </c>
      <c r="K1148" s="37">
        <f t="shared" ref="K1148:K1201" si="147">G1148*17.84</f>
        <v>2.2566863981370752E-2</v>
      </c>
      <c r="L1148" s="37"/>
      <c r="M1148" s="45">
        <f t="shared" si="136"/>
        <v>2.3896654193107054E-2</v>
      </c>
    </row>
    <row r="1149" spans="1:13" s="6" customFormat="1" ht="18">
      <c r="A1149" s="105">
        <v>2</v>
      </c>
      <c r="B1149" s="32" t="s">
        <v>481</v>
      </c>
      <c r="C1149" s="330">
        <v>265.10000000000002</v>
      </c>
      <c r="D1149" s="330"/>
      <c r="E1149" s="330"/>
      <c r="F1149" s="625">
        <f t="shared" si="144"/>
        <v>265.10000000000002</v>
      </c>
      <c r="G1149" s="663">
        <f t="shared" si="145"/>
        <v>1.5305365717123932E-3</v>
      </c>
      <c r="H1149" s="46">
        <f t="shared" si="146"/>
        <v>3.5937917025750021</v>
      </c>
      <c r="I1149" s="37">
        <f t="shared" si="143"/>
        <v>1.3214372090368285</v>
      </c>
      <c r="J1149" s="210">
        <v>1.3924693425415013</v>
      </c>
      <c r="K1149" s="37">
        <f t="shared" si="147"/>
        <v>2.7304772439349097E-2</v>
      </c>
      <c r="L1149" s="37"/>
      <c r="M1149" s="45">
        <f t="shared" si="136"/>
        <v>2.3896654193107058E-2</v>
      </c>
    </row>
    <row r="1150" spans="1:13" s="6" customFormat="1" ht="18">
      <c r="A1150" s="105">
        <v>3</v>
      </c>
      <c r="B1150" s="32" t="s">
        <v>482</v>
      </c>
      <c r="C1150" s="330">
        <v>352.7</v>
      </c>
      <c r="D1150" s="330"/>
      <c r="E1150" s="330"/>
      <c r="F1150" s="625">
        <f t="shared" si="144"/>
        <v>352.7</v>
      </c>
      <c r="G1150" s="663">
        <f t="shared" si="145"/>
        <v>2.0362891318104906E-3</v>
      </c>
      <c r="H1150" s="46">
        <f t="shared" si="146"/>
        <v>4.7813290588389403</v>
      </c>
      <c r="I1150" s="37">
        <f t="shared" si="143"/>
        <v>1.7580946949350784</v>
      </c>
      <c r="J1150" s="210">
        <v>1.8525987820233401</v>
      </c>
      <c r="K1150" s="37">
        <f t="shared" si="147"/>
        <v>3.6327398111499154E-2</v>
      </c>
      <c r="L1150" s="37"/>
      <c r="M1150" s="45">
        <f t="shared" si="136"/>
        <v>2.3896654193107058E-2</v>
      </c>
    </row>
    <row r="1151" spans="1:13" s="6" customFormat="1" ht="18">
      <c r="A1151" s="105">
        <v>4</v>
      </c>
      <c r="B1151" s="32" t="s">
        <v>483</v>
      </c>
      <c r="C1151" s="330">
        <v>350.15</v>
      </c>
      <c r="D1151" s="330"/>
      <c r="E1151" s="330"/>
      <c r="F1151" s="625">
        <f t="shared" si="144"/>
        <v>350.15</v>
      </c>
      <c r="G1151" s="663">
        <f t="shared" si="145"/>
        <v>2.0215668826295526E-3</v>
      </c>
      <c r="H1151" s="46">
        <f t="shared" si="146"/>
        <v>4.7467603344271474</v>
      </c>
      <c r="I1151" s="37">
        <f t="shared" si="143"/>
        <v>1.7453837749688623</v>
      </c>
      <c r="J1151" s="210">
        <v>1.8392046031343141</v>
      </c>
      <c r="K1151" s="37">
        <f t="shared" si="147"/>
        <v>3.6064753186111215E-2</v>
      </c>
      <c r="L1151" s="37"/>
      <c r="M1151" s="45">
        <f t="shared" si="136"/>
        <v>2.3896654193107054E-2</v>
      </c>
    </row>
    <row r="1152" spans="1:13" s="6" customFormat="1" ht="18">
      <c r="A1152" s="105">
        <v>5</v>
      </c>
      <c r="B1152" s="32" t="s">
        <v>484</v>
      </c>
      <c r="C1152" s="330">
        <v>348.6</v>
      </c>
      <c r="D1152" s="330"/>
      <c r="E1152" s="330"/>
      <c r="F1152" s="625">
        <f t="shared" si="144"/>
        <v>348.6</v>
      </c>
      <c r="G1152" s="663">
        <f t="shared" si="145"/>
        <v>2.0126180644999634E-3</v>
      </c>
      <c r="H1152" s="46">
        <f t="shared" si="146"/>
        <v>4.725747972529784</v>
      </c>
      <c r="I1152" s="37">
        <f t="shared" si="143"/>
        <v>1.7376575294992016</v>
      </c>
      <c r="J1152" s="210">
        <v>1.8310630434174553</v>
      </c>
      <c r="K1152" s="37">
        <f t="shared" si="147"/>
        <v>3.5905106270679346E-2</v>
      </c>
      <c r="L1152" s="37"/>
      <c r="M1152" s="45">
        <f t="shared" si="136"/>
        <v>2.3896654193107058E-2</v>
      </c>
    </row>
    <row r="1153" spans="1:13" s="6" customFormat="1" ht="18">
      <c r="A1153" s="105">
        <v>6</v>
      </c>
      <c r="B1153" s="32" t="s">
        <v>485</v>
      </c>
      <c r="C1153" s="330">
        <v>430.37</v>
      </c>
      <c r="D1153" s="330"/>
      <c r="E1153" s="330"/>
      <c r="F1153" s="625">
        <f t="shared" si="144"/>
        <v>430.37</v>
      </c>
      <c r="G1153" s="663">
        <f t="shared" si="145"/>
        <v>2.4847115215687011E-3</v>
      </c>
      <c r="H1153" s="46">
        <f t="shared" si="146"/>
        <v>5.8342517353346039</v>
      </c>
      <c r="I1153" s="37">
        <f t="shared" si="143"/>
        <v>2.1452543630825338</v>
      </c>
      <c r="J1153" s="210">
        <v>2.2605697131255598</v>
      </c>
      <c r="K1153" s="37">
        <f t="shared" si="147"/>
        <v>4.432725354478563E-2</v>
      </c>
      <c r="L1153" s="37"/>
      <c r="M1153" s="45">
        <f t="shared" si="136"/>
        <v>2.3896654193107054E-2</v>
      </c>
    </row>
    <row r="1154" spans="1:13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625">
        <f t="shared" si="144"/>
        <v>79.3</v>
      </c>
      <c r="G1154" s="663">
        <f t="shared" si="145"/>
        <v>4.5783308237190784E-4</v>
      </c>
      <c r="H1154" s="46">
        <f t="shared" si="146"/>
        <v>1.0750195473941819</v>
      </c>
      <c r="I1154" s="37">
        <f t="shared" si="143"/>
        <v>0.39528468757684071</v>
      </c>
      <c r="J1154" s="210">
        <v>0.41653270035285189</v>
      </c>
      <c r="K1154" s="37">
        <f t="shared" si="147"/>
        <v>8.1677421895148365E-3</v>
      </c>
      <c r="L1154" s="37"/>
      <c r="M1154" s="45">
        <f t="shared" si="136"/>
        <v>2.3896654193107054E-2</v>
      </c>
    </row>
    <row r="1155" spans="1:13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625">
        <f t="shared" si="144"/>
        <v>70.099999999999994</v>
      </c>
      <c r="G1155" s="663">
        <f t="shared" si="145"/>
        <v>4.0471751669950493E-4</v>
      </c>
      <c r="H1155" s="46">
        <f t="shared" si="146"/>
        <v>0.95030101226143948</v>
      </c>
      <c r="I1155" s="37">
        <f t="shared" si="143"/>
        <v>0.34942568220853132</v>
      </c>
      <c r="J1155" s="210">
        <v>0.36820860396891453</v>
      </c>
      <c r="K1155" s="37">
        <f t="shared" si="147"/>
        <v>7.2201604979191675E-3</v>
      </c>
      <c r="L1155" s="37"/>
      <c r="M1155" s="45">
        <f t="shared" si="136"/>
        <v>2.3896654193107058E-2</v>
      </c>
    </row>
    <row r="1156" spans="1:13" s="6" customFormat="1" ht="18">
      <c r="A1156" s="105">
        <v>9</v>
      </c>
      <c r="B1156" s="32" t="s">
        <v>488</v>
      </c>
      <c r="C1156" s="330">
        <v>326.92</v>
      </c>
      <c r="D1156" s="330"/>
      <c r="E1156" s="330"/>
      <c r="F1156" s="625">
        <f t="shared" si="144"/>
        <v>326.92</v>
      </c>
      <c r="G1156" s="663">
        <f t="shared" si="145"/>
        <v>1.8874500793067356E-3</v>
      </c>
      <c r="H1156" s="46">
        <f t="shared" si="146"/>
        <v>4.4318460332169733</v>
      </c>
      <c r="I1156" s="37">
        <f t="shared" si="143"/>
        <v>1.6295897864138813</v>
      </c>
      <c r="J1156" s="210">
        <v>1.7171862597648722</v>
      </c>
      <c r="K1156" s="37">
        <f t="shared" si="147"/>
        <v>3.367210941483216E-2</v>
      </c>
      <c r="L1156" s="37"/>
      <c r="M1156" s="45">
        <f t="shared" si="136"/>
        <v>2.3896654193107054E-2</v>
      </c>
    </row>
    <row r="1157" spans="1:13" s="6" customFormat="1" ht="18">
      <c r="A1157" s="105">
        <v>10</v>
      </c>
      <c r="B1157" s="32" t="s">
        <v>489</v>
      </c>
      <c r="C1157" s="330">
        <v>322.55</v>
      </c>
      <c r="D1157" s="330"/>
      <c r="E1157" s="330"/>
      <c r="F1157" s="625">
        <f t="shared" si="144"/>
        <v>322.55</v>
      </c>
      <c r="G1157" s="663">
        <f t="shared" si="145"/>
        <v>1.8622201856123442E-3</v>
      </c>
      <c r="H1157" s="46">
        <f t="shared" si="146"/>
        <v>4.3726047290289207</v>
      </c>
      <c r="I1157" s="37">
        <f t="shared" si="143"/>
        <v>1.6078067588639342</v>
      </c>
      <c r="J1157" s="210">
        <v>1.694232313982502</v>
      </c>
      <c r="K1157" s="37">
        <f t="shared" si="147"/>
        <v>3.3222008111324218E-2</v>
      </c>
      <c r="L1157" s="37"/>
      <c r="M1157" s="45">
        <f t="shared" si="136"/>
        <v>2.3896654193107058E-2</v>
      </c>
    </row>
    <row r="1158" spans="1:13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625">
        <f t="shared" si="144"/>
        <v>415.5</v>
      </c>
      <c r="G1158" s="663">
        <f t="shared" si="145"/>
        <v>2.3988606018351542E-3</v>
      </c>
      <c r="H1158" s="46">
        <f t="shared" si="146"/>
        <v>5.6326686247450519</v>
      </c>
      <c r="I1158" s="37">
        <f t="shared" si="143"/>
        <v>2.0711322533187557</v>
      </c>
      <c r="J1158" s="210">
        <v>2.1824632660354348</v>
      </c>
      <c r="K1158" s="37">
        <f t="shared" si="147"/>
        <v>4.2795673136739154E-2</v>
      </c>
      <c r="L1158" s="37"/>
      <c r="M1158" s="45">
        <f t="shared" si="136"/>
        <v>2.3896654193107054E-2</v>
      </c>
    </row>
    <row r="1159" spans="1:13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625">
        <f t="shared" si="144"/>
        <v>372.82</v>
      </c>
      <c r="G1159" s="663">
        <f t="shared" si="145"/>
        <v>2.1524505645636152E-3</v>
      </c>
      <c r="H1159" s="46">
        <f t="shared" si="146"/>
        <v>5.0540830726292425</v>
      </c>
      <c r="I1159" s="37">
        <f t="shared" si="143"/>
        <v>1.8583863458057726</v>
      </c>
      <c r="J1159" s="210">
        <v>1.9582814797673425</v>
      </c>
      <c r="K1159" s="37">
        <f t="shared" si="147"/>
        <v>3.8399718071814894E-2</v>
      </c>
      <c r="L1159" s="37"/>
      <c r="M1159" s="45">
        <f t="shared" ref="M1159:M1222" si="148">(K1159+J1159+I1159+H1159)/F1159</f>
        <v>2.3896654193107054E-2</v>
      </c>
    </row>
    <row r="1160" spans="1:13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625">
        <f t="shared" si="144"/>
        <v>282.76</v>
      </c>
      <c r="G1160" s="663">
        <f t="shared" si="145"/>
        <v>1.6324953640792013E-3</v>
      </c>
      <c r="H1160" s="46">
        <f t="shared" si="146"/>
        <v>3.8331970645798092</v>
      </c>
      <c r="I1160" s="37">
        <f t="shared" si="143"/>
        <v>1.409466560645996</v>
      </c>
      <c r="J1160" s="210">
        <v>0</v>
      </c>
      <c r="K1160" s="37">
        <f t="shared" si="147"/>
        <v>2.9123717295172952E-2</v>
      </c>
      <c r="L1160" s="37"/>
      <c r="M1160" s="45">
        <v>0</v>
      </c>
    </row>
    <row r="1161" spans="1:13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625">
        <f t="shared" si="144"/>
        <v>180.5</v>
      </c>
      <c r="G1161" s="663">
        <f t="shared" si="145"/>
        <v>1.0421043047683402E-3</v>
      </c>
      <c r="H1161" s="46">
        <f t="shared" si="146"/>
        <v>2.4469234338543489</v>
      </c>
      <c r="I1161" s="37">
        <f t="shared" si="143"/>
        <v>0.89973374662824412</v>
      </c>
      <c r="J1161" s="210">
        <v>0.94809776057616368</v>
      </c>
      <c r="K1161" s="37">
        <f t="shared" si="147"/>
        <v>1.8591140797067189E-2</v>
      </c>
      <c r="L1161" s="37"/>
      <c r="M1161" s="45">
        <f t="shared" si="148"/>
        <v>2.3896654193107054E-2</v>
      </c>
    </row>
    <row r="1162" spans="1:13" s="6" customFormat="1" ht="18">
      <c r="A1162" s="105">
        <v>17</v>
      </c>
      <c r="B1162" s="32" t="s">
        <v>494</v>
      </c>
      <c r="C1162" s="330">
        <v>5520.77</v>
      </c>
      <c r="D1162" s="330"/>
      <c r="E1162" s="330"/>
      <c r="F1162" s="625">
        <f t="shared" si="144"/>
        <v>5520.77</v>
      </c>
      <c r="G1162" s="663">
        <f t="shared" si="145"/>
        <v>3.1873784945351299E-2</v>
      </c>
      <c r="H1162" s="46">
        <f t="shared" si="146"/>
        <v>74.841559478781576</v>
      </c>
      <c r="I1162" s="37">
        <f t="shared" si="143"/>
        <v>27.519241420347988</v>
      </c>
      <c r="J1162" s="210">
        <v>28.998502347125026</v>
      </c>
      <c r="K1162" s="37">
        <f t="shared" si="147"/>
        <v>0.56862832342506719</v>
      </c>
      <c r="L1162" s="37"/>
      <c r="M1162" s="45">
        <f t="shared" si="148"/>
        <v>2.3896654193107058E-2</v>
      </c>
    </row>
    <row r="1163" spans="1:13" s="6" customFormat="1" ht="18">
      <c r="A1163" s="105">
        <v>18</v>
      </c>
      <c r="B1163" s="32" t="s">
        <v>495</v>
      </c>
      <c r="C1163" s="330">
        <v>5310.85</v>
      </c>
      <c r="D1163" s="330"/>
      <c r="E1163" s="330"/>
      <c r="F1163" s="625">
        <f t="shared" si="144"/>
        <v>5310.85</v>
      </c>
      <c r="G1163" s="663">
        <f t="shared" si="145"/>
        <v>3.0661826299052296E-2</v>
      </c>
      <c r="H1163" s="46">
        <f t="shared" si="146"/>
        <v>71.99580785975273</v>
      </c>
      <c r="I1163" s="37">
        <f t="shared" si="143"/>
        <v>26.472858550031081</v>
      </c>
      <c r="J1163" s="210">
        <v>27.895872530503706</v>
      </c>
      <c r="K1163" s="37">
        <f t="shared" si="147"/>
        <v>0.54700698117509294</v>
      </c>
      <c r="L1163" s="37"/>
      <c r="M1163" s="45">
        <f t="shared" si="148"/>
        <v>2.3896654193107058E-2</v>
      </c>
    </row>
    <row r="1164" spans="1:13" s="6" customFormat="1" ht="18">
      <c r="A1164" s="105">
        <v>19</v>
      </c>
      <c r="B1164" s="32" t="s">
        <v>496</v>
      </c>
      <c r="C1164" s="330">
        <v>5405.43</v>
      </c>
      <c r="D1164" s="330"/>
      <c r="E1164" s="330"/>
      <c r="F1164" s="625">
        <f t="shared" si="144"/>
        <v>5405.43</v>
      </c>
      <c r="G1164" s="663">
        <f t="shared" si="145"/>
        <v>3.1207877407888805E-2</v>
      </c>
      <c r="H1164" s="46">
        <f t="shared" si="146"/>
        <v>73.277968626367382</v>
      </c>
      <c r="I1164" s="37">
        <f t="shared" si="143"/>
        <v>26.944309063915288</v>
      </c>
      <c r="J1164" s="210">
        <v>28.392665251807273</v>
      </c>
      <c r="K1164" s="37">
        <f t="shared" si="147"/>
        <v>0.55674853295673632</v>
      </c>
      <c r="L1164" s="37"/>
      <c r="M1164" s="45">
        <f t="shared" si="148"/>
        <v>2.3896654193107058E-2</v>
      </c>
    </row>
    <row r="1165" spans="1:13" s="6" customFormat="1" ht="18">
      <c r="A1165" s="105">
        <v>20</v>
      </c>
      <c r="B1165" s="32" t="s">
        <v>497</v>
      </c>
      <c r="C1165" s="330">
        <v>349.2</v>
      </c>
      <c r="D1165" s="330"/>
      <c r="E1165" s="330"/>
      <c r="F1165" s="625">
        <f t="shared" si="144"/>
        <v>349.2</v>
      </c>
      <c r="G1165" s="663">
        <f t="shared" si="145"/>
        <v>2.0160821231307718E-3</v>
      </c>
      <c r="H1165" s="46">
        <f t="shared" si="146"/>
        <v>4.7338817900384402</v>
      </c>
      <c r="I1165" s="37">
        <f t="shared" si="143"/>
        <v>1.7406483341971346</v>
      </c>
      <c r="J1165" s="210">
        <v>1.8342146149207552</v>
      </c>
      <c r="K1165" s="37">
        <f t="shared" si="147"/>
        <v>3.5966905076652969E-2</v>
      </c>
      <c r="L1165" s="37"/>
      <c r="M1165" s="45">
        <f t="shared" si="148"/>
        <v>2.3896654193107054E-2</v>
      </c>
    </row>
    <row r="1166" spans="1:13" s="6" customFormat="1" ht="18">
      <c r="A1166" s="105">
        <v>21</v>
      </c>
      <c r="B1166" s="32" t="s">
        <v>498</v>
      </c>
      <c r="C1166" s="330">
        <v>433.4</v>
      </c>
      <c r="D1166" s="330"/>
      <c r="E1166" s="330"/>
      <c r="F1166" s="625">
        <f t="shared" si="144"/>
        <v>433.4</v>
      </c>
      <c r="G1166" s="663">
        <f t="shared" si="145"/>
        <v>2.502205017654286E-3</v>
      </c>
      <c r="H1166" s="46">
        <f t="shared" si="146"/>
        <v>5.875327513753323</v>
      </c>
      <c r="I1166" s="37">
        <f t="shared" si="143"/>
        <v>2.1603579268070972</v>
      </c>
      <c r="J1166" s="210">
        <v>2.2764851492172258</v>
      </c>
      <c r="K1166" s="37">
        <f t="shared" si="147"/>
        <v>4.4639337514952464E-2</v>
      </c>
      <c r="L1166" s="37"/>
      <c r="M1166" s="45">
        <f t="shared" si="148"/>
        <v>2.3896654193107058E-2</v>
      </c>
    </row>
    <row r="1167" spans="1:13" s="6" customFormat="1" ht="18">
      <c r="A1167" s="105">
        <v>22</v>
      </c>
      <c r="B1167" s="32" t="s">
        <v>499</v>
      </c>
      <c r="C1167" s="330">
        <v>360.2</v>
      </c>
      <c r="D1167" s="330"/>
      <c r="E1167" s="330"/>
      <c r="F1167" s="625">
        <f t="shared" si="144"/>
        <v>360.2</v>
      </c>
      <c r="G1167" s="663">
        <f t="shared" si="145"/>
        <v>2.0795898646956018E-3</v>
      </c>
      <c r="H1167" s="46">
        <f t="shared" si="146"/>
        <v>4.8830017776971548</v>
      </c>
      <c r="I1167" s="37">
        <f t="shared" si="143"/>
        <v>1.7954797536592439</v>
      </c>
      <c r="J1167" s="210">
        <v>1.8919934258145934</v>
      </c>
      <c r="K1167" s="37">
        <f t="shared" si="147"/>
        <v>3.7099883186169538E-2</v>
      </c>
      <c r="L1167" s="37"/>
      <c r="M1167" s="45">
        <f t="shared" si="148"/>
        <v>2.3896654193107054E-2</v>
      </c>
    </row>
    <row r="1168" spans="1:13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625">
        <f t="shared" si="144"/>
        <v>31.8</v>
      </c>
      <c r="G1168" s="663">
        <f t="shared" si="145"/>
        <v>1.83595107432871E-4</v>
      </c>
      <c r="H1168" s="46">
        <f t="shared" si="146"/>
        <v>0.43109232795882707</v>
      </c>
      <c r="I1168" s="37">
        <f t="shared" si="143"/>
        <v>0.15851264899046072</v>
      </c>
      <c r="J1168" s="210">
        <v>0.16703328967491415</v>
      </c>
      <c r="K1168" s="37">
        <f t="shared" si="147"/>
        <v>3.2753367166024187E-3</v>
      </c>
      <c r="L1168" s="37"/>
      <c r="M1168" s="45">
        <f t="shared" si="148"/>
        <v>2.3896654193107051E-2</v>
      </c>
    </row>
    <row r="1169" spans="1:13" s="6" customFormat="1" ht="18">
      <c r="A1169" s="105">
        <v>24</v>
      </c>
      <c r="B1169" s="32" t="s">
        <v>501</v>
      </c>
      <c r="C1169" s="330">
        <v>357.19</v>
      </c>
      <c r="D1169" s="330"/>
      <c r="E1169" s="330"/>
      <c r="F1169" s="625">
        <f t="shared" si="144"/>
        <v>357.19</v>
      </c>
      <c r="G1169" s="663">
        <f t="shared" si="145"/>
        <v>2.0622118372310436E-3</v>
      </c>
      <c r="H1169" s="46">
        <f t="shared" si="146"/>
        <v>4.842197126528724</v>
      </c>
      <c r="I1169" s="37">
        <f t="shared" si="143"/>
        <v>1.7804758834246119</v>
      </c>
      <c r="J1169" s="210">
        <v>1.8761830421063705</v>
      </c>
      <c r="K1169" s="37">
        <f t="shared" si="147"/>
        <v>3.6789859176201818E-2</v>
      </c>
      <c r="L1169" s="37"/>
      <c r="M1169" s="45">
        <f t="shared" si="148"/>
        <v>2.3896654193107054E-2</v>
      </c>
    </row>
    <row r="1170" spans="1:13" s="6" customFormat="1" ht="18">
      <c r="A1170" s="105">
        <v>25</v>
      </c>
      <c r="B1170" s="32" t="s">
        <v>502</v>
      </c>
      <c r="C1170" s="330">
        <v>306.39999999999998</v>
      </c>
      <c r="D1170" s="330"/>
      <c r="E1170" s="330"/>
      <c r="F1170" s="625">
        <f t="shared" si="144"/>
        <v>306.39999999999998</v>
      </c>
      <c r="G1170" s="663">
        <f t="shared" si="145"/>
        <v>1.7689792741330714E-3</v>
      </c>
      <c r="H1170" s="46">
        <f t="shared" si="146"/>
        <v>4.1536694744208997</v>
      </c>
      <c r="I1170" s="37">
        <f t="shared" si="143"/>
        <v>1.527304265744565</v>
      </c>
      <c r="J1170" s="210">
        <v>1.6094025143520028</v>
      </c>
      <c r="K1170" s="37">
        <f t="shared" si="147"/>
        <v>3.1558590250533994E-2</v>
      </c>
      <c r="L1170" s="37"/>
      <c r="M1170" s="45">
        <f t="shared" si="148"/>
        <v>2.3896654193107058E-2</v>
      </c>
    </row>
    <row r="1171" spans="1:13" s="6" customFormat="1" ht="18">
      <c r="A1171" s="105">
        <v>26</v>
      </c>
      <c r="B1171" s="32" t="s">
        <v>503</v>
      </c>
      <c r="C1171" s="330">
        <v>407.2</v>
      </c>
      <c r="D1171" s="330"/>
      <c r="E1171" s="330"/>
      <c r="F1171" s="625">
        <f t="shared" si="144"/>
        <v>407.2</v>
      </c>
      <c r="G1171" s="663">
        <f t="shared" si="145"/>
        <v>2.3509411241089645E-3</v>
      </c>
      <c r="H1171" s="46">
        <f t="shared" si="146"/>
        <v>5.5201508158752954</v>
      </c>
      <c r="I1171" s="37">
        <f t="shared" si="143"/>
        <v>2.0297594549973463</v>
      </c>
      <c r="J1171" s="210">
        <v>2.138866526906448</v>
      </c>
      <c r="K1171" s="37">
        <f t="shared" si="147"/>
        <v>4.1940789654103923E-2</v>
      </c>
      <c r="L1171" s="37"/>
      <c r="M1171" s="45">
        <f t="shared" si="148"/>
        <v>2.3896654193107058E-2</v>
      </c>
    </row>
    <row r="1172" spans="1:13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625">
        <f t="shared" si="144"/>
        <v>52.3</v>
      </c>
      <c r="G1172" s="663">
        <f t="shared" si="145"/>
        <v>3.0195044398550797E-4</v>
      </c>
      <c r="H1172" s="46">
        <f t="shared" si="146"/>
        <v>0.70899775950461186</v>
      </c>
      <c r="I1172" s="37">
        <f t="shared" si="143"/>
        <v>0.26069847616984582</v>
      </c>
      <c r="J1172" s="210">
        <v>0.27471198270433994</v>
      </c>
      <c r="K1172" s="37">
        <f t="shared" si="147"/>
        <v>5.3867959207014619E-3</v>
      </c>
      <c r="L1172" s="37"/>
      <c r="M1172" s="45">
        <f t="shared" si="148"/>
        <v>2.3896654193107058E-2</v>
      </c>
    </row>
    <row r="1173" spans="1:13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625">
        <f t="shared" si="144"/>
        <v>122.2</v>
      </c>
      <c r="G1173" s="663">
        <f t="shared" si="145"/>
        <v>7.0551327447474334E-4</v>
      </c>
      <c r="H1173" s="46">
        <f t="shared" si="146"/>
        <v>1.6565874992631657</v>
      </c>
      <c r="I1173" s="37">
        <f t="shared" si="143"/>
        <v>0.60912722347906612</v>
      </c>
      <c r="J1173" s="210">
        <v>0.64187006283882109</v>
      </c>
      <c r="K1173" s="37">
        <f t="shared" si="147"/>
        <v>1.258635681662942E-2</v>
      </c>
      <c r="L1173" s="37"/>
      <c r="M1173" s="45">
        <f t="shared" si="148"/>
        <v>2.3896654193107058E-2</v>
      </c>
    </row>
    <row r="1174" spans="1:13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625">
        <f t="shared" si="144"/>
        <v>77.900000000000006</v>
      </c>
      <c r="G1174" s="663">
        <f t="shared" si="145"/>
        <v>4.4975027890002049E-4</v>
      </c>
      <c r="H1174" s="46">
        <f t="shared" si="146"/>
        <v>1.0560406398739821</v>
      </c>
      <c r="I1174" s="37">
        <f t="shared" si="143"/>
        <v>0.38830614328166324</v>
      </c>
      <c r="J1174" s="210">
        <v>0.409179033511818</v>
      </c>
      <c r="K1174" s="37">
        <f t="shared" si="147"/>
        <v>8.023544975576365E-3</v>
      </c>
      <c r="L1174" s="37"/>
      <c r="M1174" s="45">
        <f t="shared" si="148"/>
        <v>2.3896654193107054E-2</v>
      </c>
    </row>
    <row r="1175" spans="1:13" s="6" customFormat="1" ht="18">
      <c r="A1175" s="105">
        <v>30</v>
      </c>
      <c r="B1175" s="32" t="s">
        <v>507</v>
      </c>
      <c r="C1175" s="330">
        <v>205.19</v>
      </c>
      <c r="D1175" s="330"/>
      <c r="E1175" s="330"/>
      <c r="F1175" s="625">
        <f t="shared" si="144"/>
        <v>205.19</v>
      </c>
      <c r="G1175" s="663">
        <f t="shared" si="145"/>
        <v>1.1846503174261257E-3</v>
      </c>
      <c r="H1175" s="46">
        <f t="shared" si="146"/>
        <v>2.7816300243355889</v>
      </c>
      <c r="I1175" s="37">
        <f t="shared" si="143"/>
        <v>1.0228053599481961</v>
      </c>
      <c r="J1175" s="210">
        <v>1.0777849279369696</v>
      </c>
      <c r="K1175" s="37">
        <f t="shared" si="147"/>
        <v>2.1134161662882085E-2</v>
      </c>
      <c r="L1175" s="37"/>
      <c r="M1175" s="45">
        <f t="shared" si="148"/>
        <v>2.3896654193107054E-2</v>
      </c>
    </row>
    <row r="1176" spans="1:13" s="6" customFormat="1" ht="18">
      <c r="A1176" s="105">
        <v>31</v>
      </c>
      <c r="B1176" s="32" t="s">
        <v>508</v>
      </c>
      <c r="C1176" s="330">
        <v>289.10000000000002</v>
      </c>
      <c r="D1176" s="330"/>
      <c r="E1176" s="330"/>
      <c r="F1176" s="625">
        <f t="shared" si="144"/>
        <v>289.10000000000002</v>
      </c>
      <c r="G1176" s="663">
        <f t="shared" si="145"/>
        <v>1.6690989169447488E-3</v>
      </c>
      <c r="H1176" s="46">
        <f t="shared" si="146"/>
        <v>3.9191444029212867</v>
      </c>
      <c r="I1176" s="37">
        <f t="shared" si="143"/>
        <v>1.4410693969541573</v>
      </c>
      <c r="J1176" s="210">
        <v>1.5185322026735122</v>
      </c>
      <c r="K1176" s="37">
        <f t="shared" si="147"/>
        <v>2.9776724678294317E-2</v>
      </c>
      <c r="L1176" s="37"/>
      <c r="M1176" s="45">
        <f t="shared" si="148"/>
        <v>2.3896654193107054E-2</v>
      </c>
    </row>
    <row r="1177" spans="1:13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625">
        <f t="shared" si="144"/>
        <v>117.92</v>
      </c>
      <c r="G1177" s="663">
        <f t="shared" si="145"/>
        <v>6.8080298957497328E-4</v>
      </c>
      <c r="H1177" s="46">
        <f t="shared" si="146"/>
        <v>1.5985662677014116</v>
      </c>
      <c r="I1177" s="37">
        <f t="shared" si="143"/>
        <v>0.58779281663380911</v>
      </c>
      <c r="J1177" s="210">
        <v>0.61938885278194589</v>
      </c>
      <c r="K1177" s="37">
        <f t="shared" si="147"/>
        <v>1.2145525334017523E-2</v>
      </c>
      <c r="L1177" s="37"/>
      <c r="M1177" s="45">
        <f t="shared" si="148"/>
        <v>2.3896654193107058E-2</v>
      </c>
    </row>
    <row r="1178" spans="1:13" s="6" customFormat="1" ht="18">
      <c r="A1178" s="105">
        <v>33</v>
      </c>
      <c r="B1178" s="32" t="s">
        <v>510</v>
      </c>
      <c r="C1178" s="330">
        <v>242.85</v>
      </c>
      <c r="D1178" s="330"/>
      <c r="E1178" s="330"/>
      <c r="F1178" s="625">
        <f t="shared" si="144"/>
        <v>242.85</v>
      </c>
      <c r="G1178" s="663">
        <f t="shared" si="145"/>
        <v>1.4020777308198968E-3</v>
      </c>
      <c r="H1178" s="46">
        <f t="shared" si="146"/>
        <v>3.2921626366289667</v>
      </c>
      <c r="I1178" s="37">
        <f t="shared" si="143"/>
        <v>1.2105282014884711</v>
      </c>
      <c r="J1178" s="210">
        <v>1.2755985659607831</v>
      </c>
      <c r="K1178" s="37">
        <f t="shared" si="147"/>
        <v>2.5013066717826958E-2</v>
      </c>
      <c r="L1178" s="37"/>
      <c r="M1178" s="45">
        <f t="shared" si="148"/>
        <v>2.3896654193107054E-2</v>
      </c>
    </row>
    <row r="1179" spans="1:13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625">
        <f t="shared" si="144"/>
        <v>415.2</v>
      </c>
      <c r="G1179" s="663">
        <f t="shared" si="145"/>
        <v>2.3971285725197496E-3</v>
      </c>
      <c r="H1179" s="46">
        <f t="shared" si="146"/>
        <v>5.6286017159907233</v>
      </c>
      <c r="I1179" s="37">
        <f t="shared" si="143"/>
        <v>2.0696368509697893</v>
      </c>
      <c r="J1179" s="210">
        <v>0</v>
      </c>
      <c r="K1179" s="37">
        <f t="shared" si="147"/>
        <v>4.2764773733752336E-2</v>
      </c>
      <c r="L1179" s="37"/>
      <c r="M1179" s="45">
        <f t="shared" si="148"/>
        <v>1.8644035020939944E-2</v>
      </c>
    </row>
    <row r="1180" spans="1:13" s="6" customFormat="1" ht="18">
      <c r="A1180" s="105">
        <v>35</v>
      </c>
      <c r="B1180" s="32" t="s">
        <v>512</v>
      </c>
      <c r="C1180" s="330">
        <v>8111.75</v>
      </c>
      <c r="D1180" s="330"/>
      <c r="E1180" s="330"/>
      <c r="F1180" s="625">
        <f t="shared" si="144"/>
        <v>8111.75</v>
      </c>
      <c r="G1180" s="663">
        <f t="shared" si="145"/>
        <v>4.6832629330773312E-2</v>
      </c>
      <c r="H1180" s="46">
        <f t="shared" si="146"/>
        <v>109.96582362641558</v>
      </c>
      <c r="I1180" s="37">
        <f t="shared" si="143"/>
        <v>40.434433347433014</v>
      </c>
      <c r="J1180" s="210">
        <v>42.607933569826571</v>
      </c>
      <c r="K1180" s="37">
        <f t="shared" si="147"/>
        <v>0.83549410726099593</v>
      </c>
      <c r="L1180" s="37"/>
      <c r="M1180" s="45">
        <f t="shared" si="148"/>
        <v>2.3896654193107054E-2</v>
      </c>
    </row>
    <row r="1181" spans="1:13" s="6" customFormat="1" ht="18">
      <c r="A1181" s="105">
        <v>36</v>
      </c>
      <c r="B1181" s="32" t="s">
        <v>513</v>
      </c>
      <c r="C1181" s="330">
        <v>6280.23</v>
      </c>
      <c r="D1181" s="330"/>
      <c r="E1181" s="330"/>
      <c r="F1181" s="625">
        <f t="shared" si="144"/>
        <v>6280.23</v>
      </c>
      <c r="G1181" s="663">
        <f t="shared" si="145"/>
        <v>3.6258474891608154E-2</v>
      </c>
      <c r="H1181" s="46">
        <f t="shared" si="146"/>
        <v>85.137074553989436</v>
      </c>
      <c r="I1181" s="37">
        <f t="shared" si="143"/>
        <v>31.304902313501916</v>
      </c>
      <c r="J1181" s="210">
        <v>32.987656503619057</v>
      </c>
      <c r="K1181" s="37">
        <f t="shared" si="147"/>
        <v>0.64685119206628949</v>
      </c>
      <c r="L1181" s="37"/>
      <c r="M1181" s="45">
        <f t="shared" si="148"/>
        <v>2.3896654193107051E-2</v>
      </c>
    </row>
    <row r="1182" spans="1:13" s="6" customFormat="1" ht="18">
      <c r="A1182" s="105">
        <v>37</v>
      </c>
      <c r="B1182" s="31" t="s">
        <v>514</v>
      </c>
      <c r="C1182" s="330">
        <v>8361.6299999999992</v>
      </c>
      <c r="D1182" s="330"/>
      <c r="E1182" s="330"/>
      <c r="F1182" s="625">
        <f t="shared" si="144"/>
        <v>8361.6299999999992</v>
      </c>
      <c r="G1182" s="663">
        <f t="shared" si="145"/>
        <v>4.8275294281884179E-2</v>
      </c>
      <c r="H1182" s="46">
        <f t="shared" si="146"/>
        <v>113.35328749152096</v>
      </c>
      <c r="I1182" s="37">
        <f t="shared" si="143"/>
        <v>41.680003810632257</v>
      </c>
      <c r="J1182" s="210">
        <v>43.920458048567681</v>
      </c>
      <c r="K1182" s="37">
        <f t="shared" si="147"/>
        <v>0.86123124998881373</v>
      </c>
      <c r="L1182" s="37"/>
      <c r="M1182" s="45">
        <f t="shared" si="148"/>
        <v>2.3896654193107051E-2</v>
      </c>
    </row>
    <row r="1183" spans="1:13" s="6" customFormat="1" ht="18">
      <c r="A1183" s="105">
        <v>38</v>
      </c>
      <c r="B1183" s="32" t="s">
        <v>515</v>
      </c>
      <c r="C1183" s="330">
        <v>6675.9</v>
      </c>
      <c r="D1183" s="330"/>
      <c r="E1183" s="330"/>
      <c r="F1183" s="625">
        <f t="shared" si="144"/>
        <v>6675.9</v>
      </c>
      <c r="G1183" s="663">
        <f t="shared" si="145"/>
        <v>3.8542848355695075E-2</v>
      </c>
      <c r="H1183" s="46">
        <f t="shared" si="146"/>
        <v>90.500920510073371</v>
      </c>
      <c r="I1183" s="37">
        <f t="shared" si="143"/>
        <v>33.277188471553984</v>
      </c>
      <c r="J1183" s="210">
        <v>35.065960331470414</v>
      </c>
      <c r="K1183" s="37">
        <f t="shared" si="147"/>
        <v>0.68760441466560018</v>
      </c>
      <c r="L1183" s="37"/>
      <c r="M1183" s="45">
        <f t="shared" si="148"/>
        <v>2.3896654193107054E-2</v>
      </c>
    </row>
    <row r="1184" spans="1:13" s="6" customFormat="1" ht="18">
      <c r="A1184" s="105">
        <v>39</v>
      </c>
      <c r="B1184" s="32" t="s">
        <v>516</v>
      </c>
      <c r="C1184" s="330">
        <v>4489.2299999999996</v>
      </c>
      <c r="D1184" s="330"/>
      <c r="E1184" s="330">
        <v>48.5</v>
      </c>
      <c r="F1184" s="625">
        <f t="shared" si="144"/>
        <v>4537.7299999999996</v>
      </c>
      <c r="G1184" s="663">
        <f t="shared" si="145"/>
        <v>2.6198271284634013E-2</v>
      </c>
      <c r="H1184" s="46">
        <f t="shared" si="146"/>
        <v>61.51511287259774</v>
      </c>
      <c r="I1184" s="37">
        <f t="shared" si="143"/>
        <v>22.619107003254189</v>
      </c>
      <c r="J1184" s="210">
        <v>23.834967596117863</v>
      </c>
      <c r="K1184" s="37">
        <f t="shared" si="147"/>
        <v>0.4673771597178708</v>
      </c>
      <c r="L1184" s="37"/>
      <c r="M1184" s="45">
        <f t="shared" si="148"/>
        <v>2.3896654193107054E-2</v>
      </c>
    </row>
    <row r="1185" spans="1:13" s="6" customFormat="1" ht="18">
      <c r="A1185" s="105">
        <v>40</v>
      </c>
      <c r="B1185" s="32" t="s">
        <v>517</v>
      </c>
      <c r="C1185" s="330">
        <v>4352.13</v>
      </c>
      <c r="D1185" s="330"/>
      <c r="E1185" s="330"/>
      <c r="F1185" s="625">
        <f t="shared" si="144"/>
        <v>4352.13</v>
      </c>
      <c r="G1185" s="663">
        <f t="shared" si="145"/>
        <v>2.5126722481503803E-2</v>
      </c>
      <c r="H1185" s="46">
        <f t="shared" si="146"/>
        <v>58.99905198991982</v>
      </c>
      <c r="I1185" s="37">
        <f t="shared" si="143"/>
        <v>21.693951416693519</v>
      </c>
      <c r="J1185" s="210">
        <v>22.860081477763654</v>
      </c>
      <c r="K1185" s="37">
        <f t="shared" si="147"/>
        <v>0.44826072907002784</v>
      </c>
      <c r="L1185" s="37"/>
      <c r="M1185" s="45">
        <f t="shared" si="148"/>
        <v>2.3896654193107058E-2</v>
      </c>
    </row>
    <row r="1186" spans="1:13" s="6" customFormat="1" ht="18">
      <c r="A1186" s="105">
        <v>41</v>
      </c>
      <c r="B1186" s="32" t="s">
        <v>518</v>
      </c>
      <c r="C1186" s="330">
        <v>4481.0200000000004</v>
      </c>
      <c r="D1186" s="330"/>
      <c r="E1186" s="330">
        <v>48.33</v>
      </c>
      <c r="F1186" s="625">
        <f t="shared" si="144"/>
        <v>4529.3500000000004</v>
      </c>
      <c r="G1186" s="663">
        <f t="shared" si="145"/>
        <v>2.6149889932423721E-2</v>
      </c>
      <c r="H1186" s="46">
        <f t="shared" si="146"/>
        <v>61.40151055472684</v>
      </c>
      <c r="I1186" s="37">
        <f t="shared" si="143"/>
        <v>22.577335430973061</v>
      </c>
      <c r="J1186" s="210">
        <v>23.790950647455109</v>
      </c>
      <c r="K1186" s="37">
        <f t="shared" si="147"/>
        <v>0.46651403639443917</v>
      </c>
      <c r="L1186" s="37"/>
      <c r="M1186" s="45">
        <f t="shared" si="148"/>
        <v>2.3896654193107054E-2</v>
      </c>
    </row>
    <row r="1187" spans="1:13" s="6" customFormat="1" ht="18">
      <c r="A1187" s="105">
        <v>42</v>
      </c>
      <c r="B1187" s="32" t="s">
        <v>519</v>
      </c>
      <c r="C1187" s="330">
        <v>4132.3900000000003</v>
      </c>
      <c r="D1187" s="330"/>
      <c r="E1187" s="330">
        <v>18.8</v>
      </c>
      <c r="F1187" s="625">
        <f t="shared" si="144"/>
        <v>4151.1900000000005</v>
      </c>
      <c r="G1187" s="663">
        <f t="shared" si="145"/>
        <v>2.3966609246045909E-2</v>
      </c>
      <c r="H1187" s="46">
        <f t="shared" si="146"/>
        <v>56.275036506270553</v>
      </c>
      <c r="I1187" s="37">
        <f t="shared" si="143"/>
        <v>20.692330923355684</v>
      </c>
      <c r="J1187" s="210">
        <v>21.804620181308394</v>
      </c>
      <c r="K1187" s="37">
        <f t="shared" si="147"/>
        <v>0.42756430894945902</v>
      </c>
      <c r="L1187" s="37"/>
      <c r="M1187" s="45">
        <f t="shared" si="148"/>
        <v>2.3896654193107054E-2</v>
      </c>
    </row>
    <row r="1188" spans="1:13" s="6" customFormat="1" ht="18">
      <c r="A1188" s="105">
        <v>43</v>
      </c>
      <c r="B1188" s="245" t="s">
        <v>520</v>
      </c>
      <c r="C1188" s="330">
        <v>8136.02</v>
      </c>
      <c r="D1188" s="330"/>
      <c r="E1188" s="330"/>
      <c r="F1188" s="625">
        <f t="shared" si="144"/>
        <v>8136.02</v>
      </c>
      <c r="G1188" s="663">
        <f t="shared" si="145"/>
        <v>4.6972750502389533E-2</v>
      </c>
      <c r="H1188" s="46">
        <f t="shared" si="146"/>
        <v>110.29483654464076</v>
      </c>
      <c r="I1188" s="37">
        <f t="shared" si="143"/>
        <v>40.555411397464411</v>
      </c>
      <c r="J1188" s="210">
        <v>42.735414637135065</v>
      </c>
      <c r="K1188" s="37">
        <f t="shared" si="147"/>
        <v>0.83799386896262928</v>
      </c>
      <c r="L1188" s="37"/>
      <c r="M1188" s="45">
        <f t="shared" si="148"/>
        <v>2.3896654193107051E-2</v>
      </c>
    </row>
    <row r="1189" spans="1:13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625">
        <f t="shared" si="144"/>
        <v>6240.13</v>
      </c>
      <c r="G1189" s="663">
        <f t="shared" si="145"/>
        <v>3.6026960306449099E-2</v>
      </c>
      <c r="H1189" s="46">
        <f t="shared" si="146"/>
        <v>84.593464417160874</v>
      </c>
      <c r="I1189" s="37">
        <f t="shared" si="143"/>
        <v>31.105016866190056</v>
      </c>
      <c r="J1189" s="210">
        <v>32.777026474815159</v>
      </c>
      <c r="K1189" s="37">
        <f t="shared" si="147"/>
        <v>0.6427209718670519</v>
      </c>
      <c r="L1189" s="37"/>
      <c r="M1189" s="45">
        <f t="shared" si="148"/>
        <v>2.3896654193107058E-2</v>
      </c>
    </row>
    <row r="1190" spans="1:13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625">
        <f t="shared" si="144"/>
        <v>6278.0199999999995</v>
      </c>
      <c r="G1190" s="663">
        <f t="shared" si="145"/>
        <v>3.624571560898468E-2</v>
      </c>
      <c r="H1190" s="46">
        <f t="shared" si="146"/>
        <v>85.107114992832564</v>
      </c>
      <c r="I1190" s="37">
        <f t="shared" si="143"/>
        <v>31.293886182864536</v>
      </c>
      <c r="J1190" s="210">
        <v>32.976048215248568</v>
      </c>
      <c r="K1190" s="37">
        <f t="shared" si="147"/>
        <v>0.64662356646428665</v>
      </c>
      <c r="L1190" s="37"/>
      <c r="M1190" s="45">
        <f t="shared" si="148"/>
        <v>2.3896654193107058E-2</v>
      </c>
    </row>
    <row r="1191" spans="1:13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625">
        <f t="shared" si="144"/>
        <v>3988.11</v>
      </c>
      <c r="G1191" s="663">
        <f t="shared" si="145"/>
        <v>2.3025078110192051E-2</v>
      </c>
      <c r="H1191" s="46">
        <f t="shared" si="146"/>
        <v>54.064264907417545</v>
      </c>
      <c r="I1191" s="37">
        <f t="shared" si="143"/>
        <v>19.879430206457432</v>
      </c>
      <c r="J1191" s="210">
        <v>20.948023046711381</v>
      </c>
      <c r="K1191" s="37">
        <f t="shared" si="147"/>
        <v>0.41076739348582619</v>
      </c>
      <c r="L1191" s="37"/>
      <c r="M1191" s="45">
        <f t="shared" si="148"/>
        <v>2.3896654193107054E-2</v>
      </c>
    </row>
    <row r="1192" spans="1:13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625">
        <f t="shared" si="144"/>
        <v>4150.55</v>
      </c>
      <c r="G1192" s="663">
        <f t="shared" si="145"/>
        <v>2.3962914250173044E-2</v>
      </c>
      <c r="H1192" s="46">
        <f t="shared" si="146"/>
        <v>56.266360434261316</v>
      </c>
      <c r="I1192" s="37">
        <f t="shared" si="143"/>
        <v>20.689140731677888</v>
      </c>
      <c r="J1192" s="210">
        <v>21.801258505038206</v>
      </c>
      <c r="K1192" s="37">
        <f t="shared" si="147"/>
        <v>0.42749839022308711</v>
      </c>
      <c r="L1192" s="37"/>
      <c r="M1192" s="45">
        <f t="shared" si="148"/>
        <v>2.3896654193107054E-2</v>
      </c>
    </row>
    <row r="1193" spans="1:13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625">
        <f t="shared" si="144"/>
        <v>14374.02</v>
      </c>
      <c r="G1193" s="663">
        <f t="shared" si="145"/>
        <v>8.2987413400699261E-2</v>
      </c>
      <c r="H1193" s="46">
        <f t="shared" si="146"/>
        <v>194.85942590964589</v>
      </c>
      <c r="I1193" s="37">
        <f t="shared" si="143"/>
        <v>71.649810906976796</v>
      </c>
      <c r="J1193" s="210">
        <v>75.5012530331135</v>
      </c>
      <c r="K1193" s="37">
        <f t="shared" si="147"/>
        <v>1.4804954550684748</v>
      </c>
      <c r="L1193" s="37"/>
      <c r="M1193" s="45">
        <f t="shared" si="148"/>
        <v>2.3896654193107054E-2</v>
      </c>
    </row>
    <row r="1194" spans="1:13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625">
        <f t="shared" si="144"/>
        <v>4120.28</v>
      </c>
      <c r="G1194" s="663">
        <f t="shared" si="145"/>
        <v>2.3788152492248731E-2</v>
      </c>
      <c r="H1194" s="46">
        <f t="shared" si="146"/>
        <v>55.856009340949555</v>
      </c>
      <c r="I1194" s="37">
        <f t="shared" si="143"/>
        <v>20.538254634667155</v>
      </c>
      <c r="J1194" s="210">
        <v>21.642261722696702</v>
      </c>
      <c r="K1194" s="37">
        <f t="shared" si="147"/>
        <v>0.42438064046171736</v>
      </c>
      <c r="L1194" s="37"/>
      <c r="M1194" s="45">
        <f t="shared" si="148"/>
        <v>2.3896654193107054E-2</v>
      </c>
    </row>
    <row r="1195" spans="1:13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625">
        <f t="shared" si="144"/>
        <v>14371.39</v>
      </c>
      <c r="G1195" s="663">
        <f t="shared" si="145"/>
        <v>8.297222927703421E-2</v>
      </c>
      <c r="H1195" s="46">
        <f t="shared" si="146"/>
        <v>194.82377267623295</v>
      </c>
      <c r="I1195" s="37">
        <f t="shared" si="143"/>
        <v>71.636701213050856</v>
      </c>
      <c r="J1195" s="210">
        <v>75.487438644690698</v>
      </c>
      <c r="K1195" s="37">
        <f t="shared" si="147"/>
        <v>1.4802245703022903</v>
      </c>
      <c r="L1195" s="37"/>
      <c r="M1195" s="45">
        <f t="shared" si="148"/>
        <v>2.3896654193107051E-2</v>
      </c>
    </row>
    <row r="1196" spans="1:13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625">
        <f t="shared" si="144"/>
        <v>11511.4</v>
      </c>
      <c r="G1196" s="663">
        <f t="shared" si="145"/>
        <v>6.6460274204489037E-2</v>
      </c>
      <c r="H1196" s="46">
        <f t="shared" si="146"/>
        <v>156.05271144859253</v>
      </c>
      <c r="I1196" s="37">
        <f t="shared" si="143"/>
        <v>57.380581999647475</v>
      </c>
      <c r="J1196" s="210">
        <v>60.465000338484487</v>
      </c>
      <c r="K1196" s="37">
        <f t="shared" si="147"/>
        <v>1.1856512918080844</v>
      </c>
      <c r="L1196" s="37"/>
      <c r="M1196" s="45">
        <f t="shared" si="148"/>
        <v>2.3896654193107058E-2</v>
      </c>
    </row>
    <row r="1197" spans="1:13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625">
        <f t="shared" si="144"/>
        <v>6924.2000000000007</v>
      </c>
      <c r="G1197" s="663">
        <f t="shared" si="145"/>
        <v>3.9976391285744831E-2</v>
      </c>
      <c r="H1197" s="46">
        <f t="shared" si="146"/>
        <v>93.866965322406003</v>
      </c>
      <c r="I1197" s="37">
        <f t="shared" si="143"/>
        <v>34.514883149048693</v>
      </c>
      <c r="J1197" s="210">
        <v>36.370185671919515</v>
      </c>
      <c r="K1197" s="37">
        <f t="shared" si="147"/>
        <v>0.71317882053768777</v>
      </c>
      <c r="L1197" s="37"/>
      <c r="M1197" s="45">
        <f t="shared" si="148"/>
        <v>2.3896654193107054E-2</v>
      </c>
    </row>
    <row r="1198" spans="1:13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625">
        <f t="shared" si="144"/>
        <v>10867.230000000001</v>
      </c>
      <c r="G1198" s="663">
        <f t="shared" si="145"/>
        <v>6.2741203124142109E-2</v>
      </c>
      <c r="H1198" s="46">
        <f t="shared" si="146"/>
        <v>147.32010940767313</v>
      </c>
      <c r="I1198" s="37">
        <f t="shared" si="143"/>
        <v>54.169604229201411</v>
      </c>
      <c r="J1198" s="210">
        <v>57.081420646349606</v>
      </c>
      <c r="K1198" s="37">
        <f t="shared" si="147"/>
        <v>1.1193030637346952</v>
      </c>
      <c r="L1198" s="37"/>
      <c r="M1198" s="45">
        <f t="shared" si="148"/>
        <v>2.3896654193107058E-2</v>
      </c>
    </row>
    <row r="1199" spans="1:13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625">
        <f t="shared" si="144"/>
        <v>7546</v>
      </c>
      <c r="G1199" s="663">
        <f t="shared" si="145"/>
        <v>4.3566310713473097E-2</v>
      </c>
      <c r="H1199" s="46">
        <f t="shared" si="146"/>
        <v>102.29631153387764</v>
      </c>
      <c r="I1199" s="37">
        <f t="shared" si="143"/>
        <v>37.61435375100681</v>
      </c>
      <c r="J1199" s="210">
        <v>39.636264273173026</v>
      </c>
      <c r="K1199" s="37">
        <f t="shared" si="147"/>
        <v>0.77722298312836002</v>
      </c>
      <c r="L1199" s="37"/>
      <c r="M1199" s="45">
        <f t="shared" si="148"/>
        <v>2.3896654193107054E-2</v>
      </c>
    </row>
    <row r="1200" spans="1:13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625">
        <f t="shared" si="144"/>
        <v>2503.4</v>
      </c>
      <c r="G1200" s="663">
        <f t="shared" si="145"/>
        <v>1.4453207293944946E-2</v>
      </c>
      <c r="H1200" s="46">
        <f t="shared" si="146"/>
        <v>33.936997918620371</v>
      </c>
      <c r="I1200" s="37">
        <f t="shared" si="143"/>
        <v>12.478634134676712</v>
      </c>
      <c r="J1200" s="210">
        <v>13.149406835603148</v>
      </c>
      <c r="K1200" s="37">
        <f t="shared" si="147"/>
        <v>0.25784521812397782</v>
      </c>
      <c r="L1200" s="37"/>
      <c r="M1200" s="45">
        <f t="shared" si="148"/>
        <v>2.3896654193107058E-2</v>
      </c>
    </row>
    <row r="1201" spans="1:13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625">
        <f t="shared" si="144"/>
        <v>1175</v>
      </c>
      <c r="G1201" s="663">
        <f t="shared" si="145"/>
        <v>6.7837814853340698E-3</v>
      </c>
      <c r="H1201" s="46">
        <f t="shared" si="146"/>
        <v>15.928725954453515</v>
      </c>
      <c r="I1201" s="37">
        <f t="shared" si="143"/>
        <v>5.8569925334525577</v>
      </c>
      <c r="J1201" s="210">
        <v>6.1718275272963563</v>
      </c>
      <c r="K1201" s="37">
        <f t="shared" si="147"/>
        <v>0.1210226616983598</v>
      </c>
      <c r="L1201" s="37"/>
      <c r="M1201" s="45">
        <f t="shared" si="148"/>
        <v>2.3896654193107054E-2</v>
      </c>
    </row>
    <row r="1202" spans="1:13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14">
        <f t="shared" ref="F1202:F1231" si="149">C1202+D1202+E1202</f>
        <v>173207.23</v>
      </c>
      <c r="G1202" s="663">
        <f>1/173207.23*F1202</f>
        <v>1</v>
      </c>
      <c r="H1202" s="46">
        <f>G1202*2348.06</f>
        <v>2348.06</v>
      </c>
      <c r="I1202" s="316">
        <f>H1202*0.3677</f>
        <v>863.38166200000001</v>
      </c>
      <c r="J1202" s="210">
        <f>SUM(J1148:J1201)</f>
        <v>906.12549897855274</v>
      </c>
      <c r="K1202" s="316">
        <f>G1202*17.84</f>
        <v>17.84</v>
      </c>
      <c r="L1202" s="316"/>
      <c r="M1202" s="45">
        <f t="shared" si="148"/>
        <v>2.3875488113161057E-2</v>
      </c>
    </row>
    <row r="1203" spans="1:13" s="209" customFormat="1" ht="15.75">
      <c r="A1203" s="339"/>
      <c r="B1203" s="510" t="s">
        <v>641</v>
      </c>
      <c r="C1203" s="339"/>
      <c r="D1203" s="339"/>
      <c r="E1203" s="339"/>
      <c r="F1203" s="339"/>
      <c r="G1203" s="339"/>
      <c r="H1203" s="46"/>
      <c r="I1203" s="342"/>
      <c r="J1203" s="210"/>
      <c r="K1203" s="342"/>
      <c r="L1203" s="342"/>
      <c r="M1203" s="45" t="e">
        <f t="shared" si="148"/>
        <v>#DIV/0!</v>
      </c>
    </row>
    <row r="1204" spans="1:13" s="6" customFormat="1" ht="15.75">
      <c r="A1204" s="8">
        <v>1</v>
      </c>
      <c r="B1204" s="8" t="s">
        <v>532</v>
      </c>
      <c r="C1204" s="386">
        <v>3898.29</v>
      </c>
      <c r="D1204" s="386">
        <v>123.1</v>
      </c>
      <c r="E1204" s="386">
        <v>374.5</v>
      </c>
      <c r="F1204" s="625">
        <f t="shared" si="149"/>
        <v>4395.8899999999994</v>
      </c>
      <c r="G1204" s="670">
        <f t="shared" ref="G1204:G1231" si="150">0.5/93179.59*F1204</f>
        <v>2.3588266486255196E-2</v>
      </c>
      <c r="H1204" s="46">
        <f t="shared" ref="H1204:H1231" si="151">G1204*2348.06</f>
        <v>55.386665005716374</v>
      </c>
      <c r="I1204" s="37">
        <f t="shared" ref="I1204:I1232" si="152">H1204*0.3677</f>
        <v>20.365676722601911</v>
      </c>
      <c r="J1204" s="210">
        <v>21.362046054042189</v>
      </c>
      <c r="K1204" s="37">
        <f t="shared" ref="K1204:K1231" si="153">G1204*17.84</f>
        <v>0.42081467411479268</v>
      </c>
      <c r="L1204" s="37"/>
      <c r="M1204" s="45">
        <f t="shared" si="148"/>
        <v>2.2187816905444697E-2</v>
      </c>
    </row>
    <row r="1205" spans="1:13" s="6" customFormat="1" ht="15.75">
      <c r="A1205" s="8">
        <v>2</v>
      </c>
      <c r="B1205" s="8" t="s">
        <v>533</v>
      </c>
      <c r="C1205" s="330">
        <v>3600.73</v>
      </c>
      <c r="D1205" s="330"/>
      <c r="E1205" s="330">
        <v>290.5</v>
      </c>
      <c r="F1205" s="625">
        <f t="shared" si="149"/>
        <v>3891.23</v>
      </c>
      <c r="G1205" s="670">
        <f t="shared" si="150"/>
        <v>2.088027002479835E-2</v>
      </c>
      <c r="H1205" s="46">
        <f t="shared" si="151"/>
        <v>49.028126834428015</v>
      </c>
      <c r="I1205" s="37">
        <f t="shared" si="152"/>
        <v>18.027642237019183</v>
      </c>
      <c r="J1205" s="210">
        <v>18.909625688283963</v>
      </c>
      <c r="K1205" s="37">
        <f t="shared" si="153"/>
        <v>0.37250401724240256</v>
      </c>
      <c r="L1205" s="37"/>
      <c r="M1205" s="45">
        <f t="shared" si="148"/>
        <v>2.2187816905444694E-2</v>
      </c>
    </row>
    <row r="1206" spans="1:13" s="6" customFormat="1" ht="15.75">
      <c r="A1206" s="8">
        <v>3</v>
      </c>
      <c r="B1206" s="8" t="s">
        <v>534</v>
      </c>
      <c r="C1206" s="330">
        <v>5868.42</v>
      </c>
      <c r="D1206" s="330">
        <v>489.8</v>
      </c>
      <c r="E1206" s="330"/>
      <c r="F1206" s="625">
        <f t="shared" si="149"/>
        <v>6358.22</v>
      </c>
      <c r="G1206" s="670">
        <f t="shared" si="150"/>
        <v>3.4118093887298709E-2</v>
      </c>
      <c r="H1206" s="46">
        <f t="shared" si="151"/>
        <v>80.111331533010599</v>
      </c>
      <c r="I1206" s="37">
        <f t="shared" si="152"/>
        <v>29.456936604688</v>
      </c>
      <c r="J1206" s="210">
        <v>30.898086271888548</v>
      </c>
      <c r="K1206" s="37">
        <f t="shared" si="153"/>
        <v>0.60866679494940901</v>
      </c>
      <c r="L1206" s="37"/>
      <c r="M1206" s="45">
        <f t="shared" si="148"/>
        <v>2.2187816905444691E-2</v>
      </c>
    </row>
    <row r="1207" spans="1:13" s="6" customFormat="1" ht="15.75">
      <c r="A1207" s="8">
        <v>4</v>
      </c>
      <c r="B1207" s="8" t="s">
        <v>535</v>
      </c>
      <c r="C1207" s="330">
        <v>4090.86</v>
      </c>
      <c r="D1207" s="330"/>
      <c r="E1207" s="330"/>
      <c r="F1207" s="625">
        <f t="shared" si="149"/>
        <v>4090.86</v>
      </c>
      <c r="G1207" s="670">
        <f t="shared" si="150"/>
        <v>2.1951481005658E-2</v>
      </c>
      <c r="H1207" s="46">
        <f t="shared" si="151"/>
        <v>51.543394490145324</v>
      </c>
      <c r="I1207" s="37">
        <f t="shared" si="152"/>
        <v>18.952506154026437</v>
      </c>
      <c r="J1207" s="210">
        <v>19.879737600494792</v>
      </c>
      <c r="K1207" s="37">
        <f t="shared" si="153"/>
        <v>0.3916144211409387</v>
      </c>
      <c r="L1207" s="37"/>
      <c r="M1207" s="45">
        <f t="shared" si="148"/>
        <v>2.2187816905444694E-2</v>
      </c>
    </row>
    <row r="1208" spans="1:13" s="6" customFormat="1" ht="15.75">
      <c r="A1208" s="8">
        <v>5</v>
      </c>
      <c r="B1208" s="8" t="s">
        <v>536</v>
      </c>
      <c r="C1208" s="330">
        <v>3274.15</v>
      </c>
      <c r="D1208" s="330"/>
      <c r="E1208" s="330"/>
      <c r="F1208" s="625">
        <f t="shared" si="149"/>
        <v>3274.15</v>
      </c>
      <c r="G1208" s="670">
        <f t="shared" si="150"/>
        <v>1.756902987016792E-2</v>
      </c>
      <c r="H1208" s="46">
        <f t="shared" si="151"/>
        <v>41.253136276946485</v>
      </c>
      <c r="I1208" s="37">
        <f t="shared" si="152"/>
        <v>15.168778209033224</v>
      </c>
      <c r="J1208" s="210">
        <v>15.910894742098241</v>
      </c>
      <c r="K1208" s="37">
        <f t="shared" si="153"/>
        <v>0.31343149288379568</v>
      </c>
      <c r="L1208" s="37"/>
      <c r="M1208" s="45">
        <f t="shared" si="148"/>
        <v>2.2187816905444694E-2</v>
      </c>
    </row>
    <row r="1209" spans="1:13" s="6" customFormat="1" ht="15.75">
      <c r="A1209" s="8">
        <v>6</v>
      </c>
      <c r="B1209" s="8" t="s">
        <v>537</v>
      </c>
      <c r="C1209" s="330">
        <v>6596</v>
      </c>
      <c r="D1209" s="330"/>
      <c r="E1209" s="330"/>
      <c r="F1209" s="625">
        <f t="shared" si="149"/>
        <v>6596</v>
      </c>
      <c r="G1209" s="670">
        <f t="shared" si="150"/>
        <v>3.5394017080349893E-2</v>
      </c>
      <c r="H1209" s="46">
        <f t="shared" si="151"/>
        <v>83.107275745686366</v>
      </c>
      <c r="I1209" s="37">
        <f t="shared" si="152"/>
        <v>30.55854529168888</v>
      </c>
      <c r="J1209" s="210">
        <v>32.05359000622451</v>
      </c>
      <c r="K1209" s="37">
        <f t="shared" si="153"/>
        <v>0.63142926471344207</v>
      </c>
      <c r="L1209" s="37"/>
      <c r="M1209" s="45">
        <f t="shared" si="148"/>
        <v>2.2187816905444694E-2</v>
      </c>
    </row>
    <row r="1210" spans="1:13" s="6" customFormat="1" ht="15.75">
      <c r="A1210" s="8">
        <v>7</v>
      </c>
      <c r="B1210" s="8" t="s">
        <v>538</v>
      </c>
      <c r="C1210" s="330">
        <v>7101.2</v>
      </c>
      <c r="D1210" s="330"/>
      <c r="E1210" s="330"/>
      <c r="F1210" s="625">
        <f t="shared" si="149"/>
        <v>7101.2</v>
      </c>
      <c r="G1210" s="670">
        <f t="shared" si="150"/>
        <v>3.810491117207105E-2</v>
      </c>
      <c r="H1210" s="46">
        <f t="shared" si="151"/>
        <v>89.472617726693144</v>
      </c>
      <c r="I1210" s="37">
        <f t="shared" si="152"/>
        <v>32.899081538105072</v>
      </c>
      <c r="J1210" s="210">
        <v>34.508634528835891</v>
      </c>
      <c r="K1210" s="37">
        <f t="shared" si="153"/>
        <v>0.67979161530974752</v>
      </c>
      <c r="L1210" s="37"/>
      <c r="M1210" s="45">
        <f t="shared" si="148"/>
        <v>2.2187816905444694E-2</v>
      </c>
    </row>
    <row r="1211" spans="1:13" s="6" customFormat="1" ht="15.75">
      <c r="A1211" s="8">
        <v>8</v>
      </c>
      <c r="B1211" s="8" t="s">
        <v>539</v>
      </c>
      <c r="C1211" s="330">
        <v>7470.48</v>
      </c>
      <c r="D1211" s="330"/>
      <c r="E1211" s="330"/>
      <c r="F1211" s="625">
        <f t="shared" si="149"/>
        <v>7470.48</v>
      </c>
      <c r="G1211" s="670">
        <f t="shared" si="150"/>
        <v>4.008646099430143E-2</v>
      </c>
      <c r="H1211" s="46">
        <f t="shared" si="151"/>
        <v>94.125415602279418</v>
      </c>
      <c r="I1211" s="37">
        <f t="shared" si="152"/>
        <v>34.609915316958144</v>
      </c>
      <c r="J1211" s="210">
        <v>36.303169052410567</v>
      </c>
      <c r="K1211" s="37">
        <f t="shared" si="153"/>
        <v>0.71514246413833749</v>
      </c>
      <c r="L1211" s="37"/>
      <c r="M1211" s="45">
        <f t="shared" si="148"/>
        <v>2.2187816905444694E-2</v>
      </c>
    </row>
    <row r="1212" spans="1:13" s="6" customFormat="1" ht="15.75">
      <c r="A1212" s="8">
        <v>9</v>
      </c>
      <c r="B1212" s="8" t="s">
        <v>540</v>
      </c>
      <c r="C1212" s="330">
        <v>2276.6</v>
      </c>
      <c r="D1212" s="330"/>
      <c r="E1212" s="330"/>
      <c r="F1212" s="625">
        <f t="shared" si="149"/>
        <v>2276.6</v>
      </c>
      <c r="G1212" s="670">
        <f t="shared" si="150"/>
        <v>1.2216194555052238E-2</v>
      </c>
      <c r="H1212" s="46">
        <f t="shared" si="151"/>
        <v>28.684357786935959</v>
      </c>
      <c r="I1212" s="37">
        <f t="shared" si="152"/>
        <v>10.547238358256353</v>
      </c>
      <c r="J1212" s="210">
        <v>11.063250910880948</v>
      </c>
      <c r="K1212" s="37">
        <f t="shared" si="153"/>
        <v>0.21793691086213193</v>
      </c>
      <c r="L1212" s="37"/>
      <c r="M1212" s="45">
        <f t="shared" si="148"/>
        <v>2.2187816905444694E-2</v>
      </c>
    </row>
    <row r="1213" spans="1:13" s="6" customFormat="1" ht="15.75">
      <c r="A1213" s="8">
        <v>10</v>
      </c>
      <c r="B1213" s="8" t="s">
        <v>541</v>
      </c>
      <c r="C1213" s="330">
        <v>4642.43</v>
      </c>
      <c r="D1213" s="330"/>
      <c r="E1213" s="330"/>
      <c r="F1213" s="625">
        <f t="shared" si="149"/>
        <v>4642.43</v>
      </c>
      <c r="G1213" s="670">
        <f t="shared" si="150"/>
        <v>2.4911195681371855E-2</v>
      </c>
      <c r="H1213" s="46">
        <f t="shared" si="151"/>
        <v>58.492982131601998</v>
      </c>
      <c r="I1213" s="37">
        <f t="shared" si="152"/>
        <v>21.507869529790057</v>
      </c>
      <c r="J1213" s="210">
        <v>22.560119443995891</v>
      </c>
      <c r="K1213" s="37">
        <f t="shared" si="153"/>
        <v>0.44441573095567388</v>
      </c>
      <c r="L1213" s="37"/>
      <c r="M1213" s="45">
        <f t="shared" si="148"/>
        <v>2.2187816905444694E-2</v>
      </c>
    </row>
    <row r="1214" spans="1:13" s="6" customFormat="1" ht="15.75">
      <c r="A1214" s="8">
        <v>11</v>
      </c>
      <c r="B1214" s="8" t="s">
        <v>542</v>
      </c>
      <c r="C1214" s="330">
        <v>3634.2</v>
      </c>
      <c r="D1214" s="330"/>
      <c r="E1214" s="330"/>
      <c r="F1214" s="625">
        <f t="shared" si="149"/>
        <v>3634.2</v>
      </c>
      <c r="G1214" s="670">
        <f t="shared" si="150"/>
        <v>1.9501051678806485E-2</v>
      </c>
      <c r="H1214" s="46">
        <f t="shared" si="151"/>
        <v>45.789639404938356</v>
      </c>
      <c r="I1214" s="37">
        <f t="shared" si="152"/>
        <v>16.836850409195836</v>
      </c>
      <c r="J1214" s="210">
        <v>17.660575621683009</v>
      </c>
      <c r="K1214" s="37">
        <f t="shared" si="153"/>
        <v>0.34789876194990771</v>
      </c>
      <c r="L1214" s="37"/>
      <c r="M1214" s="45">
        <f t="shared" si="148"/>
        <v>2.2187816905444694E-2</v>
      </c>
    </row>
    <row r="1215" spans="1:13" s="6" customFormat="1" ht="15.75">
      <c r="A1215" s="8">
        <v>12</v>
      </c>
      <c r="B1215" s="8" t="s">
        <v>543</v>
      </c>
      <c r="C1215" s="330">
        <v>5551.35</v>
      </c>
      <c r="D1215" s="330"/>
      <c r="E1215" s="330"/>
      <c r="F1215" s="625">
        <f t="shared" si="149"/>
        <v>5551.35</v>
      </c>
      <c r="G1215" s="670">
        <f t="shared" si="150"/>
        <v>2.9788444014402726E-2</v>
      </c>
      <c r="H1215" s="46">
        <f t="shared" si="151"/>
        <v>69.945053852458457</v>
      </c>
      <c r="I1215" s="37">
        <f t="shared" si="152"/>
        <v>25.718796301548977</v>
      </c>
      <c r="J1215" s="210">
        <v>26.977061382816022</v>
      </c>
      <c r="K1215" s="37">
        <f t="shared" si="153"/>
        <v>0.53142584121694458</v>
      </c>
      <c r="L1215" s="37"/>
      <c r="M1215" s="45">
        <f t="shared" si="148"/>
        <v>2.2187816905444691E-2</v>
      </c>
    </row>
    <row r="1216" spans="1:13" s="6" customFormat="1" ht="15.75">
      <c r="A1216" s="8">
        <v>13</v>
      </c>
      <c r="B1216" s="8" t="s">
        <v>545</v>
      </c>
      <c r="C1216" s="330">
        <v>4556.37</v>
      </c>
      <c r="D1216" s="330"/>
      <c r="E1216" s="330"/>
      <c r="F1216" s="625">
        <f t="shared" si="149"/>
        <v>4556.37</v>
      </c>
      <c r="G1216" s="670">
        <f t="shared" si="150"/>
        <v>2.4449399272952369E-2</v>
      </c>
      <c r="H1216" s="46">
        <f t="shared" si="151"/>
        <v>57.40865645684854</v>
      </c>
      <c r="I1216" s="37">
        <f t="shared" si="152"/>
        <v>21.10916297918321</v>
      </c>
      <c r="J1216" s="210">
        <v>22.141906594399817</v>
      </c>
      <c r="K1216" s="37">
        <f t="shared" si="153"/>
        <v>0.43617728302947029</v>
      </c>
      <c r="L1216" s="37"/>
      <c r="M1216" s="45">
        <f t="shared" si="148"/>
        <v>2.2187816905444694E-2</v>
      </c>
    </row>
    <row r="1217" spans="1:13" s="6" customFormat="1" ht="15.75">
      <c r="A1217" s="8">
        <v>14</v>
      </c>
      <c r="B1217" s="8" t="s">
        <v>546</v>
      </c>
      <c r="C1217" s="330">
        <v>4596.6099999999997</v>
      </c>
      <c r="D1217" s="330"/>
      <c r="E1217" s="330"/>
      <c r="F1217" s="625">
        <f t="shared" si="149"/>
        <v>4596.6099999999997</v>
      </c>
      <c r="G1217" s="670">
        <f t="shared" si="150"/>
        <v>2.4665326387463177E-2</v>
      </c>
      <c r="H1217" s="46">
        <f t="shared" si="151"/>
        <v>57.915666277346787</v>
      </c>
      <c r="I1217" s="37">
        <f t="shared" si="152"/>
        <v>21.295590490180416</v>
      </c>
      <c r="J1217" s="210">
        <v>22.33745487545659</v>
      </c>
      <c r="K1217" s="37">
        <f t="shared" si="153"/>
        <v>0.44002942275234308</v>
      </c>
      <c r="L1217" s="37"/>
      <c r="M1217" s="45">
        <f t="shared" si="148"/>
        <v>2.2187816905444697E-2</v>
      </c>
    </row>
    <row r="1218" spans="1:13" s="6" customFormat="1" ht="15.75">
      <c r="A1218" s="8">
        <v>15</v>
      </c>
      <c r="B1218" s="8" t="s">
        <v>567</v>
      </c>
      <c r="C1218" s="330">
        <v>4490.43</v>
      </c>
      <c r="D1218" s="330"/>
      <c r="E1218" s="330"/>
      <c r="F1218" s="625">
        <f t="shared" si="149"/>
        <v>4490.43</v>
      </c>
      <c r="G1218" s="670">
        <f t="shared" si="150"/>
        <v>2.4095566421788294E-2</v>
      </c>
      <c r="H1218" s="46">
        <f t="shared" si="151"/>
        <v>56.577835692344223</v>
      </c>
      <c r="I1218" s="37">
        <f t="shared" si="152"/>
        <v>20.803670184074971</v>
      </c>
      <c r="J1218" s="210">
        <v>21.821467885332133</v>
      </c>
      <c r="K1218" s="37">
        <f t="shared" si="153"/>
        <v>0.42986490496470314</v>
      </c>
      <c r="L1218" s="37"/>
      <c r="M1218" s="45">
        <f t="shared" si="148"/>
        <v>2.2187816905444694E-2</v>
      </c>
    </row>
    <row r="1219" spans="1:13" s="6" customFormat="1" ht="15.75">
      <c r="A1219" s="8">
        <v>16</v>
      </c>
      <c r="B1219" s="8" t="s">
        <v>568</v>
      </c>
      <c r="C1219" s="330">
        <v>4338.5</v>
      </c>
      <c r="D1219" s="330"/>
      <c r="E1219" s="330"/>
      <c r="F1219" s="625">
        <f t="shared" si="149"/>
        <v>4338.5</v>
      </c>
      <c r="G1219" s="670">
        <f t="shared" si="150"/>
        <v>2.3280312780942693E-2</v>
      </c>
      <c r="H1219" s="46">
        <f t="shared" si="151"/>
        <v>54.663571228420302</v>
      </c>
      <c r="I1219" s="37">
        <f t="shared" si="152"/>
        <v>20.099795140690148</v>
      </c>
      <c r="J1219" s="210">
        <v>21.083156495149343</v>
      </c>
      <c r="K1219" s="37">
        <f t="shared" si="153"/>
        <v>0.41532078001201767</v>
      </c>
      <c r="L1219" s="37"/>
      <c r="M1219" s="45">
        <f t="shared" si="148"/>
        <v>2.2187816905444694E-2</v>
      </c>
    </row>
    <row r="1220" spans="1:13" s="6" customFormat="1" ht="15.75">
      <c r="A1220" s="8">
        <v>17</v>
      </c>
      <c r="B1220" s="8" t="s">
        <v>569</v>
      </c>
      <c r="C1220" s="330">
        <v>3131.06</v>
      </c>
      <c r="D1220" s="330"/>
      <c r="E1220" s="330"/>
      <c r="F1220" s="625">
        <f t="shared" si="149"/>
        <v>3131.06</v>
      </c>
      <c r="G1220" s="670">
        <f t="shared" si="150"/>
        <v>1.6801211509945471E-2</v>
      </c>
      <c r="H1220" s="46">
        <f t="shared" si="151"/>
        <v>39.450252698042561</v>
      </c>
      <c r="I1220" s="37">
        <f t="shared" si="152"/>
        <v>14.505857917070252</v>
      </c>
      <c r="J1220" s="210">
        <v>15.215541771511422</v>
      </c>
      <c r="K1220" s="37">
        <f t="shared" si="153"/>
        <v>0.29973361333742721</v>
      </c>
      <c r="L1220" s="37"/>
      <c r="M1220" s="45">
        <f t="shared" si="148"/>
        <v>2.2187816905444691E-2</v>
      </c>
    </row>
    <row r="1221" spans="1:13" s="6" customFormat="1" ht="15.75">
      <c r="A1221" s="8">
        <v>18</v>
      </c>
      <c r="B1221" s="8" t="s">
        <v>570</v>
      </c>
      <c r="C1221" s="330">
        <v>3376.98</v>
      </c>
      <c r="D1221" s="330"/>
      <c r="E1221" s="330"/>
      <c r="F1221" s="625">
        <f t="shared" si="149"/>
        <v>3376.98</v>
      </c>
      <c r="G1221" s="670">
        <f t="shared" si="150"/>
        <v>1.8120813796240143E-2</v>
      </c>
      <c r="H1221" s="46">
        <f t="shared" si="151"/>
        <v>42.548758042399626</v>
      </c>
      <c r="I1221" s="37">
        <f t="shared" si="152"/>
        <v>15.645178332190344</v>
      </c>
      <c r="J1221" s="210">
        <v>16.410602240633729</v>
      </c>
      <c r="K1221" s="37">
        <f t="shared" si="153"/>
        <v>0.32327531812492416</v>
      </c>
      <c r="L1221" s="37"/>
      <c r="M1221" s="45">
        <f t="shared" si="148"/>
        <v>2.2187816905444697E-2</v>
      </c>
    </row>
    <row r="1222" spans="1:13" s="6" customFormat="1" ht="15.75">
      <c r="A1222" s="8">
        <v>20</v>
      </c>
      <c r="B1222" s="8" t="s">
        <v>571</v>
      </c>
      <c r="C1222" s="330">
        <v>50.5</v>
      </c>
      <c r="D1222" s="330"/>
      <c r="E1222" s="330"/>
      <c r="F1222" s="625">
        <f t="shared" si="149"/>
        <v>50.5</v>
      </c>
      <c r="G1222" s="670">
        <f t="shared" si="150"/>
        <v>2.7098208953269703E-4</v>
      </c>
      <c r="H1222" s="46">
        <f t="shared" si="151"/>
        <v>0.6362822051481446</v>
      </c>
      <c r="I1222" s="37">
        <f t="shared" si="152"/>
        <v>0.23396096683297279</v>
      </c>
      <c r="J1222" s="210">
        <v>0.24540726126657644</v>
      </c>
      <c r="K1222" s="37">
        <f t="shared" si="153"/>
        <v>4.8343204772633153E-3</v>
      </c>
      <c r="L1222" s="37"/>
      <c r="M1222" s="45">
        <f t="shared" si="148"/>
        <v>2.2187816905444697E-2</v>
      </c>
    </row>
    <row r="1223" spans="1:13" s="6" customFormat="1" ht="15.75">
      <c r="A1223" s="8">
        <v>22</v>
      </c>
      <c r="B1223" s="8" t="s">
        <v>356</v>
      </c>
      <c r="C1223" s="330">
        <v>306.8</v>
      </c>
      <c r="D1223" s="330"/>
      <c r="E1223" s="330"/>
      <c r="F1223" s="625">
        <f t="shared" si="149"/>
        <v>306.8</v>
      </c>
      <c r="G1223" s="670">
        <f t="shared" si="150"/>
        <v>1.6462832686857712E-3</v>
      </c>
      <c r="H1223" s="46">
        <f t="shared" si="151"/>
        <v>3.8655718918703119</v>
      </c>
      <c r="I1223" s="37">
        <f t="shared" si="152"/>
        <v>1.4213707846407138</v>
      </c>
      <c r="J1223" s="210">
        <v>1.4909098565660523</v>
      </c>
      <c r="K1223" s="37">
        <f t="shared" si="153"/>
        <v>2.936969351335416E-2</v>
      </c>
      <c r="L1223" s="37"/>
      <c r="M1223" s="45">
        <f t="shared" ref="M1223:M1232" si="154">(K1223+J1223+I1223+H1223)/F1223</f>
        <v>2.2187816905444694E-2</v>
      </c>
    </row>
    <row r="1224" spans="1:13" s="6" customFormat="1" ht="15.75">
      <c r="A1224" s="8">
        <v>23</v>
      </c>
      <c r="B1224" s="8" t="s">
        <v>357</v>
      </c>
      <c r="C1224" s="330">
        <v>304.18</v>
      </c>
      <c r="D1224" s="330"/>
      <c r="E1224" s="330"/>
      <c r="F1224" s="625">
        <f t="shared" si="149"/>
        <v>304.18</v>
      </c>
      <c r="G1224" s="670">
        <f t="shared" si="150"/>
        <v>1.6322243959218967E-3</v>
      </c>
      <c r="H1224" s="46">
        <f t="shared" si="151"/>
        <v>3.8325608150883688</v>
      </c>
      <c r="I1224" s="37">
        <f t="shared" si="152"/>
        <v>1.4092326117079932</v>
      </c>
      <c r="J1224" s="210">
        <v>1.4781778362785587</v>
      </c>
      <c r="K1224" s="37">
        <f t="shared" si="153"/>
        <v>2.9118883223246635E-2</v>
      </c>
      <c r="L1224" s="37"/>
      <c r="M1224" s="45">
        <f t="shared" si="154"/>
        <v>2.2187816905444694E-2</v>
      </c>
    </row>
    <row r="1225" spans="1:13" s="6" customFormat="1" ht="15.75">
      <c r="A1225" s="8">
        <v>24</v>
      </c>
      <c r="B1225" s="8" t="s">
        <v>358</v>
      </c>
      <c r="C1225" s="330">
        <v>823.48</v>
      </c>
      <c r="D1225" s="330"/>
      <c r="E1225" s="330"/>
      <c r="F1225" s="625">
        <f t="shared" si="149"/>
        <v>823.48</v>
      </c>
      <c r="G1225" s="670">
        <f t="shared" si="150"/>
        <v>4.4187788334333735E-3</v>
      </c>
      <c r="H1225" s="46">
        <f t="shared" si="151"/>
        <v>10.375557827631567</v>
      </c>
      <c r="I1225" s="37">
        <f t="shared" si="152"/>
        <v>3.8150926132201275</v>
      </c>
      <c r="J1225" s="210">
        <v>4.0017420100554526</v>
      </c>
      <c r="K1225" s="37">
        <f t="shared" si="153"/>
        <v>7.8831014388451387E-2</v>
      </c>
      <c r="L1225" s="37"/>
      <c r="M1225" s="45">
        <f t="shared" si="154"/>
        <v>2.2187816905444697E-2</v>
      </c>
    </row>
    <row r="1226" spans="1:13" s="6" customFormat="1" ht="15.75">
      <c r="A1226" s="8">
        <v>25</v>
      </c>
      <c r="B1226" s="8" t="s">
        <v>359</v>
      </c>
      <c r="C1226" s="330">
        <v>733.47</v>
      </c>
      <c r="D1226" s="330"/>
      <c r="E1226" s="330">
        <v>70</v>
      </c>
      <c r="F1226" s="625">
        <f t="shared" si="149"/>
        <v>803.47</v>
      </c>
      <c r="G1226" s="670">
        <f t="shared" si="150"/>
        <v>4.3114055341947743E-3</v>
      </c>
      <c r="H1226" s="46">
        <f t="shared" si="151"/>
        <v>10.123438878621382</v>
      </c>
      <c r="I1226" s="37">
        <f t="shared" si="152"/>
        <v>3.7223884756690824</v>
      </c>
      <c r="J1226" s="210">
        <v>3.9045024199971521</v>
      </c>
      <c r="K1226" s="37">
        <f t="shared" si="153"/>
        <v>7.6915474730034766E-2</v>
      </c>
      <c r="L1226" s="37"/>
      <c r="M1226" s="45">
        <f t="shared" si="154"/>
        <v>2.2187816905444697E-2</v>
      </c>
    </row>
    <row r="1227" spans="1:13" s="6" customFormat="1" ht="15.75">
      <c r="A1227" s="8">
        <v>26</v>
      </c>
      <c r="B1227" s="8" t="s">
        <v>360</v>
      </c>
      <c r="C1227" s="330">
        <v>4465.32</v>
      </c>
      <c r="D1227" s="330"/>
      <c r="E1227" s="330"/>
      <c r="F1227" s="625">
        <f t="shared" si="149"/>
        <v>4465.32</v>
      </c>
      <c r="G1227" s="670">
        <f t="shared" si="150"/>
        <v>2.3960826614497874E-2</v>
      </c>
      <c r="H1227" s="46">
        <f t="shared" si="151"/>
        <v>56.261458540437879</v>
      </c>
      <c r="I1227" s="37">
        <f t="shared" si="152"/>
        <v>20.68733830531901</v>
      </c>
      <c r="J1227" s="210">
        <v>21.699444591660772</v>
      </c>
      <c r="K1227" s="37">
        <f t="shared" si="153"/>
        <v>0.42746114680264208</v>
      </c>
      <c r="L1227" s="37"/>
      <c r="M1227" s="45">
        <f t="shared" si="154"/>
        <v>2.2187816905444694E-2</v>
      </c>
    </row>
    <row r="1228" spans="1:13" s="6" customFormat="1" ht="15.75">
      <c r="A1228" s="8">
        <v>27</v>
      </c>
      <c r="B1228" s="8" t="s">
        <v>361</v>
      </c>
      <c r="C1228" s="330">
        <v>2218.6799999999998</v>
      </c>
      <c r="D1228" s="330"/>
      <c r="E1228" s="330"/>
      <c r="F1228" s="625">
        <f t="shared" si="149"/>
        <v>2218.6799999999998</v>
      </c>
      <c r="G1228" s="670">
        <f t="shared" si="150"/>
        <v>1.1905396879295132E-2</v>
      </c>
      <c r="H1228" s="46">
        <f t="shared" si="151"/>
        <v>27.954586196397727</v>
      </c>
      <c r="I1228" s="37">
        <f t="shared" si="152"/>
        <v>10.278901344415445</v>
      </c>
      <c r="J1228" s="210">
        <v>10.781785790632231</v>
      </c>
      <c r="K1228" s="37">
        <f t="shared" si="153"/>
        <v>0.21239228032662516</v>
      </c>
      <c r="L1228" s="37"/>
      <c r="M1228" s="45">
        <f t="shared" si="154"/>
        <v>2.2187816905444691E-2</v>
      </c>
    </row>
    <row r="1229" spans="1:13" s="6" customFormat="1" ht="15.75">
      <c r="A1229" s="8">
        <v>28</v>
      </c>
      <c r="B1229" s="8" t="s">
        <v>362</v>
      </c>
      <c r="C1229" s="330">
        <v>120.8</v>
      </c>
      <c r="D1229" s="330"/>
      <c r="E1229" s="330"/>
      <c r="F1229" s="625">
        <f t="shared" si="149"/>
        <v>120.8</v>
      </c>
      <c r="G1229" s="670">
        <f t="shared" si="150"/>
        <v>6.4821062209009502E-4</v>
      </c>
      <c r="H1229" s="46">
        <f t="shared" si="151"/>
        <v>1.5220374333048685</v>
      </c>
      <c r="I1229" s="37">
        <f t="shared" si="152"/>
        <v>0.55965316422620015</v>
      </c>
      <c r="J1229" s="210">
        <v>0.58703360714856301</v>
      </c>
      <c r="K1229" s="37">
        <f t="shared" si="153"/>
        <v>1.1564077498087294E-2</v>
      </c>
      <c r="L1229" s="37"/>
      <c r="M1229" s="45">
        <f t="shared" si="154"/>
        <v>2.2187816905444694E-2</v>
      </c>
    </row>
    <row r="1230" spans="1:13" s="6" customFormat="1" ht="15.75">
      <c r="A1230" s="8">
        <v>30</v>
      </c>
      <c r="B1230" s="8" t="s">
        <v>363</v>
      </c>
      <c r="C1230" s="330">
        <v>174.6</v>
      </c>
      <c r="D1230" s="330"/>
      <c r="E1230" s="330"/>
      <c r="F1230" s="625">
        <f t="shared" si="149"/>
        <v>174.6</v>
      </c>
      <c r="G1230" s="670">
        <f t="shared" si="150"/>
        <v>9.3690045212690889E-4</v>
      </c>
      <c r="H1230" s="46">
        <f t="shared" si="151"/>
        <v>2.1998984756211097</v>
      </c>
      <c r="I1230" s="37">
        <f t="shared" si="152"/>
        <v>0.80890266948588208</v>
      </c>
      <c r="J1230" s="210">
        <v>0.84847738251770777</v>
      </c>
      <c r="K1230" s="37">
        <f t="shared" si="153"/>
        <v>1.6714304065944055E-2</v>
      </c>
      <c r="L1230" s="37"/>
      <c r="M1230" s="45">
        <f t="shared" si="154"/>
        <v>2.2187816905444697E-2</v>
      </c>
    </row>
    <row r="1231" spans="1:13" s="6" customFormat="1" ht="15.75">
      <c r="A1231" s="8">
        <v>31</v>
      </c>
      <c r="B1231" s="8" t="s">
        <v>364</v>
      </c>
      <c r="C1231" s="330">
        <v>139.19999999999999</v>
      </c>
      <c r="D1231" s="330"/>
      <c r="E1231" s="330"/>
      <c r="F1231" s="625">
        <f t="shared" si="149"/>
        <v>139.19999999999999</v>
      </c>
      <c r="G1231" s="670">
        <f t="shared" si="150"/>
        <v>7.4694469035547367E-4</v>
      </c>
      <c r="H1231" s="46">
        <f t="shared" si="151"/>
        <v>1.7538709496360734</v>
      </c>
      <c r="I1231" s="37">
        <f t="shared" si="152"/>
        <v>0.64489834818118419</v>
      </c>
      <c r="J1231" s="210">
        <v>0.67644932214470166</v>
      </c>
      <c r="K1231" s="37">
        <f t="shared" si="153"/>
        <v>1.332549327594165E-2</v>
      </c>
      <c r="L1231" s="37"/>
      <c r="M1231" s="45">
        <f t="shared" si="154"/>
        <v>2.2187816905444694E-2</v>
      </c>
    </row>
    <row r="1232" spans="1:13" s="384" customFormat="1" ht="15.75">
      <c r="A1232" s="510"/>
      <c r="B1232" s="510" t="s">
        <v>572</v>
      </c>
      <c r="C1232" s="510">
        <f>SUM(C1204:C1231)</f>
        <v>91831.689999999973</v>
      </c>
      <c r="D1232" s="510">
        <f>SUM(D1204:D1231)</f>
        <v>612.9</v>
      </c>
      <c r="E1232" s="510">
        <f>SUM(E1204:E1231)</f>
        <v>735</v>
      </c>
      <c r="F1232" s="510">
        <f>SUM(F1204:F1231)</f>
        <v>93179.589999999967</v>
      </c>
      <c r="G1232" s="670">
        <f>0.5/93179.59*F1232</f>
        <v>0.49999999999999983</v>
      </c>
      <c r="H1232" s="46">
        <f>G1232*2348.06</f>
        <v>1174.0299999999995</v>
      </c>
      <c r="I1232" s="210">
        <f t="shared" si="152"/>
        <v>431.69083099999983</v>
      </c>
      <c r="J1232" s="210">
        <f>SUM(J1203:J1231)</f>
        <v>452.81085124440551</v>
      </c>
      <c r="K1232" s="210">
        <f>G1232*17.84</f>
        <v>8.9199999999999964</v>
      </c>
      <c r="L1232" s="210"/>
      <c r="M1232" s="45">
        <f t="shared" si="154"/>
        <v>2.2187816905444694E-2</v>
      </c>
    </row>
    <row r="1233" spans="1:13" s="6" customFormat="1" ht="15.75">
      <c r="A1233" s="8"/>
      <c r="F1233" s="651"/>
      <c r="G1233" s="34"/>
      <c r="H1233" s="34"/>
      <c r="I1233" s="34"/>
      <c r="J1233" s="37">
        <f>H1233*0.5</f>
        <v>0</v>
      </c>
      <c r="K1233" s="37">
        <f>G1233*17.84</f>
        <v>0</v>
      </c>
      <c r="L1233" s="117"/>
      <c r="M1233" s="34"/>
    </row>
    <row r="1234" spans="1:13" s="209" customFormat="1" ht="15.75">
      <c r="A1234" s="1056" t="s">
        <v>624</v>
      </c>
      <c r="B1234" s="1057"/>
      <c r="C1234" s="671">
        <f t="shared" ref="C1234:M1234" si="155">C1232+C1202+C1146+C879+C747+C535+C384+C90+C67</f>
        <v>1871681.0599999996</v>
      </c>
      <c r="D1234" s="671">
        <f t="shared" si="155"/>
        <v>10680.369999999999</v>
      </c>
      <c r="E1234" s="671">
        <f t="shared" si="155"/>
        <v>25132.499999999996</v>
      </c>
      <c r="F1234" s="671">
        <f t="shared" si="155"/>
        <v>1907493.9299999997</v>
      </c>
      <c r="G1234" s="671">
        <f t="shared" si="155"/>
        <v>8.4999999999999982</v>
      </c>
      <c r="H1234" s="671">
        <f t="shared" si="155"/>
        <v>19958.509999999998</v>
      </c>
      <c r="I1234" s="671">
        <f t="shared" si="155"/>
        <v>7280.8188903653845</v>
      </c>
      <c r="J1234" s="671">
        <f t="shared" si="155"/>
        <v>6977.0285562342169</v>
      </c>
      <c r="K1234" s="671">
        <f t="shared" si="155"/>
        <v>371.92159999999978</v>
      </c>
      <c r="L1234" s="671"/>
      <c r="M1234" s="671">
        <f t="shared" si="155"/>
        <v>0.17815968048340128</v>
      </c>
    </row>
    <row r="1235" spans="1:13" s="6" customFormat="1" ht="15.75">
      <c r="F1235" s="651"/>
      <c r="G1235" s="34"/>
      <c r="H1235" s="34"/>
      <c r="I1235" s="34"/>
      <c r="J1235" s="117"/>
      <c r="K1235" s="117"/>
      <c r="L1235" s="117"/>
      <c r="M1235" s="34"/>
    </row>
    <row r="1236" spans="1:13" s="6" customFormat="1" ht="15.75">
      <c r="F1236" s="651"/>
      <c r="G1236" s="34"/>
      <c r="H1236" s="34"/>
      <c r="I1236" s="34"/>
      <c r="J1236" s="43"/>
      <c r="K1236" s="43"/>
      <c r="L1236" s="43"/>
      <c r="M1236" s="34"/>
    </row>
    <row r="1237" spans="1:13" s="6" customFormat="1" ht="15.75">
      <c r="F1237" s="651"/>
      <c r="G1237" s="34"/>
      <c r="H1237" s="34"/>
      <c r="I1237" s="34"/>
      <c r="J1237" s="34"/>
      <c r="K1237" s="34"/>
      <c r="L1237" s="34"/>
      <c r="M1237" s="34"/>
    </row>
    <row r="1238" spans="1:13" s="6" customFormat="1" ht="15.75">
      <c r="F1238" s="651"/>
      <c r="G1238" s="34"/>
      <c r="H1238" s="34"/>
      <c r="I1238" s="34"/>
      <c r="J1238" s="34"/>
      <c r="K1238" s="34"/>
      <c r="L1238" s="34"/>
      <c r="M1238" s="34"/>
    </row>
    <row r="1239" spans="1:13" s="6" customFormat="1" ht="15.75">
      <c r="F1239" s="651"/>
      <c r="G1239" s="34"/>
      <c r="H1239" s="34"/>
      <c r="I1239" s="34"/>
      <c r="J1239" s="34"/>
      <c r="K1239" s="34"/>
      <c r="L1239" s="34"/>
      <c r="M1239" s="34"/>
    </row>
    <row r="1240" spans="1:13" s="6" customFormat="1" ht="15.75">
      <c r="F1240" s="651"/>
      <c r="G1240" s="34"/>
      <c r="H1240" s="34"/>
      <c r="I1240" s="34"/>
      <c r="J1240" s="34"/>
      <c r="K1240" s="34"/>
      <c r="L1240" s="34"/>
      <c r="M1240" s="34"/>
    </row>
    <row r="1241" spans="1:13" s="6" customFormat="1" ht="15.75">
      <c r="F1241" s="651"/>
      <c r="G1241" s="34"/>
      <c r="H1241" s="34"/>
      <c r="I1241" s="34"/>
      <c r="J1241" s="34"/>
      <c r="K1241" s="34"/>
      <c r="L1241" s="34"/>
      <c r="M1241" s="34"/>
    </row>
    <row r="1242" spans="1:13" s="10" customFormat="1" ht="15.75">
      <c r="F1242" s="651"/>
      <c r="G1242" s="34"/>
      <c r="H1242" s="34"/>
      <c r="I1242" s="34"/>
      <c r="J1242" s="34"/>
      <c r="K1242" s="34"/>
      <c r="L1242" s="34"/>
      <c r="M1242" s="34"/>
    </row>
    <row r="1243" spans="1:13" s="10" customFormat="1" ht="15.75">
      <c r="F1243" s="651"/>
      <c r="G1243" s="34"/>
      <c r="H1243" s="34"/>
      <c r="I1243" s="34"/>
      <c r="J1243" s="34"/>
      <c r="K1243" s="34"/>
      <c r="L1243" s="34"/>
      <c r="M1243" s="34"/>
    </row>
    <row r="1244" spans="1:13" s="10" customFormat="1" ht="15.75">
      <c r="F1244" s="651"/>
      <c r="G1244" s="34"/>
      <c r="H1244" s="34"/>
      <c r="I1244" s="34"/>
      <c r="J1244" s="34"/>
      <c r="K1244" s="34"/>
      <c r="L1244" s="34"/>
      <c r="M1244" s="34"/>
    </row>
    <row r="1245" spans="1:13" s="10" customFormat="1" ht="15.75">
      <c r="F1245" s="651"/>
      <c r="G1245" s="34"/>
      <c r="H1245" s="34"/>
      <c r="I1245" s="34"/>
      <c r="J1245" s="34"/>
      <c r="K1245" s="34"/>
      <c r="L1245" s="34"/>
      <c r="M1245" s="34"/>
    </row>
    <row r="1246" spans="1:13" s="10" customFormat="1" ht="15.75">
      <c r="F1246" s="651"/>
      <c r="G1246" s="34"/>
      <c r="H1246" s="34"/>
      <c r="I1246" s="34"/>
      <c r="J1246" s="34"/>
      <c r="K1246" s="34"/>
      <c r="L1246" s="34"/>
      <c r="M1246" s="34"/>
    </row>
    <row r="1247" spans="1:13" s="10" customFormat="1" ht="15.75">
      <c r="F1247" s="651"/>
      <c r="G1247" s="34"/>
      <c r="H1247" s="34"/>
      <c r="I1247" s="34"/>
      <c r="J1247" s="34"/>
      <c r="K1247" s="34"/>
      <c r="L1247" s="34"/>
      <c r="M1247" s="34"/>
    </row>
    <row r="1248" spans="1:13" s="10" customFormat="1" ht="15.75">
      <c r="F1248" s="651"/>
      <c r="G1248" s="34"/>
      <c r="H1248" s="34"/>
      <c r="I1248" s="34"/>
      <c r="J1248" s="34"/>
      <c r="K1248" s="34"/>
      <c r="L1248" s="34"/>
      <c r="M1248" s="34"/>
    </row>
    <row r="1249" spans="6:13" s="10" customFormat="1" ht="15.75">
      <c r="F1249" s="651"/>
      <c r="G1249" s="34"/>
      <c r="H1249" s="34"/>
      <c r="I1249" s="34"/>
      <c r="J1249" s="34"/>
      <c r="K1249" s="34"/>
      <c r="L1249" s="34"/>
      <c r="M1249" s="34"/>
    </row>
    <row r="1250" spans="6:13" s="10" customFormat="1" ht="15.75">
      <c r="F1250" s="651"/>
      <c r="G1250" s="34"/>
      <c r="H1250" s="34"/>
      <c r="I1250" s="34"/>
      <c r="J1250" s="34"/>
      <c r="K1250" s="34"/>
      <c r="L1250" s="34"/>
      <c r="M1250" s="34"/>
    </row>
    <row r="1251" spans="6:13" s="10" customFormat="1" ht="15.75">
      <c r="F1251" s="651"/>
      <c r="G1251" s="34"/>
      <c r="H1251" s="34"/>
      <c r="I1251" s="34"/>
      <c r="J1251" s="34"/>
      <c r="K1251" s="34"/>
      <c r="L1251" s="34"/>
      <c r="M1251" s="34"/>
    </row>
    <row r="1252" spans="6:13" s="10" customFormat="1" ht="15.75">
      <c r="F1252" s="651"/>
      <c r="G1252" s="34"/>
      <c r="H1252" s="34"/>
      <c r="I1252" s="34"/>
      <c r="J1252" s="34"/>
      <c r="K1252" s="34"/>
      <c r="L1252" s="34"/>
      <c r="M1252" s="34"/>
    </row>
    <row r="1253" spans="6:13" s="10" customFormat="1" ht="15.75">
      <c r="F1253" s="651"/>
      <c r="G1253" s="34"/>
      <c r="H1253" s="34"/>
      <c r="I1253" s="34"/>
      <c r="J1253" s="34"/>
      <c r="K1253" s="34"/>
      <c r="L1253" s="34"/>
      <c r="M1253" s="34"/>
    </row>
    <row r="1254" spans="6:13" s="10" customFormat="1" ht="15.75">
      <c r="F1254" s="651"/>
      <c r="G1254" s="34"/>
      <c r="H1254" s="34"/>
      <c r="I1254" s="34"/>
      <c r="J1254" s="34"/>
      <c r="K1254" s="34"/>
      <c r="L1254" s="34"/>
      <c r="M1254" s="34"/>
    </row>
    <row r="1255" spans="6:13" s="10" customFormat="1" ht="15.75">
      <c r="F1255" s="651"/>
      <c r="G1255" s="34"/>
      <c r="H1255" s="34"/>
      <c r="I1255" s="34"/>
      <c r="J1255" s="34"/>
      <c r="K1255" s="34"/>
      <c r="L1255" s="34"/>
      <c r="M1255" s="34"/>
    </row>
    <row r="1256" spans="6:13" s="10" customFormat="1" ht="15.75">
      <c r="F1256" s="651"/>
      <c r="G1256" s="34"/>
      <c r="H1256" s="34"/>
      <c r="I1256" s="34"/>
      <c r="J1256" s="34"/>
      <c r="K1256" s="34"/>
      <c r="L1256" s="34"/>
      <c r="M1256" s="34"/>
    </row>
    <row r="1257" spans="6:13" s="10" customFormat="1" ht="15.75">
      <c r="F1257" s="651"/>
      <c r="G1257" s="34"/>
      <c r="H1257" s="34"/>
      <c r="I1257" s="34"/>
      <c r="J1257" s="34"/>
      <c r="K1257" s="34"/>
      <c r="L1257" s="34"/>
      <c r="M1257" s="34"/>
    </row>
    <row r="1258" spans="6:13" s="10" customFormat="1" ht="15.75">
      <c r="F1258" s="651"/>
      <c r="G1258" s="34"/>
      <c r="H1258" s="34"/>
      <c r="I1258" s="34"/>
      <c r="J1258" s="34"/>
      <c r="K1258" s="34"/>
      <c r="L1258" s="34"/>
      <c r="M1258" s="34"/>
    </row>
    <row r="1259" spans="6:13" s="10" customFormat="1" ht="15.75">
      <c r="F1259" s="651"/>
      <c r="G1259" s="34"/>
      <c r="H1259" s="34"/>
      <c r="I1259" s="34"/>
      <c r="J1259" s="34"/>
      <c r="K1259" s="34"/>
      <c r="L1259" s="34"/>
      <c r="M1259" s="34"/>
    </row>
    <row r="1260" spans="6:13" s="10" customFormat="1" ht="15.75">
      <c r="F1260" s="651"/>
      <c r="G1260" s="34"/>
      <c r="H1260" s="34"/>
      <c r="I1260" s="34"/>
      <c r="J1260" s="34"/>
      <c r="K1260" s="34"/>
      <c r="L1260" s="34"/>
      <c r="M1260" s="34"/>
    </row>
    <row r="1261" spans="6:13" s="10" customFormat="1" ht="15.75">
      <c r="F1261" s="651"/>
      <c r="G1261" s="34"/>
      <c r="H1261" s="34"/>
      <c r="I1261" s="34"/>
      <c r="J1261" s="34"/>
      <c r="K1261" s="34"/>
      <c r="L1261" s="34"/>
      <c r="M1261" s="34"/>
    </row>
    <row r="1262" spans="6:13" s="10" customFormat="1" ht="15.75">
      <c r="F1262" s="651"/>
      <c r="G1262" s="34"/>
      <c r="H1262" s="34"/>
      <c r="I1262" s="34"/>
      <c r="J1262" s="34"/>
      <c r="K1262" s="34"/>
      <c r="L1262" s="34"/>
      <c r="M1262" s="34"/>
    </row>
    <row r="1263" spans="6:13" s="10" customFormat="1" ht="15.75">
      <c r="F1263" s="651"/>
      <c r="G1263" s="34"/>
      <c r="H1263" s="34"/>
      <c r="I1263" s="34"/>
      <c r="J1263" s="34"/>
      <c r="K1263" s="34"/>
      <c r="L1263" s="34"/>
      <c r="M1263" s="34"/>
    </row>
    <row r="1264" spans="6:13" s="10" customFormat="1" ht="15.75">
      <c r="F1264" s="651"/>
      <c r="G1264" s="34"/>
      <c r="H1264" s="34"/>
      <c r="I1264" s="34"/>
      <c r="J1264" s="34"/>
      <c r="K1264" s="34"/>
      <c r="L1264" s="34"/>
      <c r="M1264" s="34"/>
    </row>
    <row r="1265" spans="6:13" s="10" customFormat="1" ht="15.75">
      <c r="F1265" s="651"/>
      <c r="G1265" s="34"/>
      <c r="H1265" s="34"/>
      <c r="I1265" s="34"/>
      <c r="J1265" s="34"/>
      <c r="K1265" s="34"/>
      <c r="L1265" s="34"/>
      <c r="M1265" s="34"/>
    </row>
    <row r="1266" spans="6:13" s="10" customFormat="1" ht="15.75">
      <c r="F1266" s="651"/>
      <c r="G1266" s="34"/>
      <c r="H1266" s="34"/>
      <c r="I1266" s="34"/>
      <c r="J1266" s="34"/>
      <c r="K1266" s="34"/>
      <c r="L1266" s="34"/>
      <c r="M1266" s="34"/>
    </row>
    <row r="1267" spans="6:13" s="10" customFormat="1" ht="15.75">
      <c r="F1267" s="651"/>
      <c r="G1267" s="34"/>
      <c r="H1267" s="34"/>
      <c r="I1267" s="34"/>
      <c r="J1267" s="34"/>
      <c r="K1267" s="34"/>
      <c r="L1267" s="34"/>
      <c r="M1267" s="34"/>
    </row>
    <row r="1268" spans="6:13" s="10" customFormat="1" ht="15.75">
      <c r="F1268" s="651"/>
      <c r="G1268" s="34"/>
      <c r="H1268" s="34"/>
      <c r="I1268" s="34"/>
      <c r="J1268" s="34"/>
      <c r="K1268" s="34"/>
      <c r="L1268" s="34"/>
      <c r="M1268" s="34"/>
    </row>
    <row r="1269" spans="6:13" s="10" customFormat="1" ht="15.75">
      <c r="F1269" s="651"/>
      <c r="G1269" s="34"/>
      <c r="H1269" s="34"/>
      <c r="I1269" s="34"/>
      <c r="J1269" s="34"/>
      <c r="K1269" s="34"/>
      <c r="L1269" s="34"/>
      <c r="M1269" s="34"/>
    </row>
    <row r="1270" spans="6:13" s="10" customFormat="1" ht="15.75">
      <c r="F1270" s="651"/>
      <c r="G1270" s="34"/>
      <c r="H1270" s="34"/>
      <c r="I1270" s="34"/>
      <c r="J1270" s="34"/>
      <c r="K1270" s="34"/>
      <c r="L1270" s="34"/>
      <c r="M1270" s="34"/>
    </row>
    <row r="1271" spans="6:13" s="10" customFormat="1" ht="15.75">
      <c r="F1271" s="651"/>
      <c r="G1271" s="34"/>
      <c r="H1271" s="34"/>
      <c r="I1271" s="34"/>
      <c r="J1271" s="34"/>
      <c r="K1271" s="34"/>
      <c r="L1271" s="34"/>
      <c r="M1271" s="34"/>
    </row>
    <row r="1272" spans="6:13" s="10" customFormat="1" ht="15.75">
      <c r="F1272" s="651"/>
      <c r="G1272" s="34"/>
      <c r="H1272" s="34"/>
      <c r="I1272" s="34"/>
      <c r="J1272" s="34"/>
      <c r="K1272" s="34"/>
      <c r="L1272" s="34"/>
      <c r="M1272" s="34"/>
    </row>
    <row r="1273" spans="6:13" s="10" customFormat="1" ht="15.75">
      <c r="F1273" s="651"/>
      <c r="G1273" s="34"/>
      <c r="H1273" s="34"/>
      <c r="I1273" s="34"/>
      <c r="J1273" s="34"/>
      <c r="K1273" s="34"/>
      <c r="L1273" s="34"/>
      <c r="M1273" s="34"/>
    </row>
    <row r="1274" spans="6:13" s="10" customFormat="1" ht="15.75">
      <c r="F1274" s="651"/>
      <c r="G1274" s="34"/>
      <c r="H1274" s="34"/>
      <c r="I1274" s="34"/>
      <c r="J1274" s="34"/>
      <c r="K1274" s="34"/>
      <c r="L1274" s="34"/>
      <c r="M1274" s="34"/>
    </row>
    <row r="1275" spans="6:13" s="10" customFormat="1" ht="15.75">
      <c r="F1275" s="651"/>
      <c r="G1275" s="34"/>
      <c r="H1275" s="34"/>
      <c r="I1275" s="34"/>
      <c r="J1275" s="34"/>
      <c r="K1275" s="34"/>
      <c r="L1275" s="34"/>
      <c r="M1275" s="34"/>
    </row>
    <row r="1276" spans="6:13" s="10" customFormat="1" ht="15.75">
      <c r="F1276" s="651"/>
      <c r="G1276" s="34"/>
      <c r="H1276" s="34"/>
      <c r="I1276" s="34"/>
      <c r="J1276" s="34"/>
      <c r="K1276" s="34"/>
      <c r="L1276" s="34"/>
      <c r="M1276" s="34"/>
    </row>
    <row r="1277" spans="6:13" s="10" customFormat="1" ht="15.75">
      <c r="F1277" s="651"/>
      <c r="G1277" s="34"/>
      <c r="H1277" s="34"/>
      <c r="I1277" s="34"/>
      <c r="J1277" s="34"/>
      <c r="K1277" s="34"/>
      <c r="L1277" s="34"/>
      <c r="M1277" s="34"/>
    </row>
    <row r="1278" spans="6:13" s="10" customFormat="1" ht="15.75">
      <c r="F1278" s="651"/>
      <c r="G1278" s="34"/>
      <c r="H1278" s="34"/>
      <c r="I1278" s="34"/>
      <c r="J1278" s="34"/>
      <c r="K1278" s="34"/>
      <c r="L1278" s="34"/>
      <c r="M1278" s="34"/>
    </row>
    <row r="1279" spans="6:13" s="10" customFormat="1" ht="15.75">
      <c r="F1279" s="651"/>
      <c r="G1279" s="34"/>
      <c r="H1279" s="34"/>
      <c r="I1279" s="34"/>
      <c r="J1279" s="34"/>
      <c r="K1279" s="34"/>
      <c r="L1279" s="34"/>
      <c r="M1279" s="34"/>
    </row>
    <row r="1280" spans="6:13" s="10" customFormat="1" ht="15.75">
      <c r="F1280" s="651"/>
      <c r="G1280" s="34"/>
      <c r="H1280" s="34"/>
      <c r="I1280" s="34"/>
      <c r="J1280" s="34"/>
      <c r="K1280" s="34"/>
      <c r="L1280" s="34"/>
      <c r="M1280" s="34"/>
    </row>
    <row r="1281" spans="6:13" s="10" customFormat="1" ht="15.75">
      <c r="F1281" s="651"/>
      <c r="G1281" s="34"/>
      <c r="H1281" s="34"/>
      <c r="I1281" s="34"/>
      <c r="J1281" s="34"/>
      <c r="K1281" s="34"/>
      <c r="L1281" s="34"/>
      <c r="M1281" s="34"/>
    </row>
    <row r="1282" spans="6:13" s="10" customFormat="1" ht="15.75">
      <c r="F1282" s="651"/>
      <c r="G1282" s="34"/>
      <c r="H1282" s="34"/>
      <c r="I1282" s="34"/>
      <c r="J1282" s="34"/>
      <c r="K1282" s="34"/>
      <c r="L1282" s="34"/>
      <c r="M1282" s="34"/>
    </row>
    <row r="1283" spans="6:13" s="10" customFormat="1" ht="15.75">
      <c r="F1283" s="651"/>
      <c r="G1283" s="34"/>
      <c r="H1283" s="34"/>
      <c r="I1283" s="34"/>
      <c r="J1283" s="34"/>
      <c r="K1283" s="34"/>
      <c r="L1283" s="34"/>
      <c r="M1283" s="34"/>
    </row>
    <row r="1284" spans="6:13" s="10" customFormat="1" ht="15.75">
      <c r="F1284" s="651"/>
      <c r="G1284" s="34"/>
      <c r="H1284" s="34"/>
      <c r="I1284" s="34"/>
      <c r="J1284" s="34"/>
      <c r="K1284" s="34"/>
      <c r="L1284" s="34"/>
      <c r="M1284" s="34"/>
    </row>
    <row r="1285" spans="6:13" s="10" customFormat="1" ht="15.75">
      <c r="F1285" s="651"/>
      <c r="G1285" s="34"/>
      <c r="H1285" s="34"/>
      <c r="I1285" s="34"/>
      <c r="J1285" s="34"/>
      <c r="K1285" s="34"/>
      <c r="L1285" s="34"/>
      <c r="M1285" s="34"/>
    </row>
    <row r="1286" spans="6:13" s="10" customFormat="1" ht="15.75">
      <c r="F1286" s="651"/>
      <c r="G1286" s="34"/>
      <c r="H1286" s="34"/>
      <c r="I1286" s="34"/>
      <c r="J1286" s="34"/>
      <c r="K1286" s="34"/>
      <c r="L1286" s="34"/>
      <c r="M1286" s="34"/>
    </row>
    <row r="1287" spans="6:13" s="10" customFormat="1" ht="15.75">
      <c r="F1287" s="651"/>
      <c r="G1287" s="34"/>
      <c r="H1287" s="34"/>
      <c r="I1287" s="34"/>
      <c r="J1287" s="34"/>
      <c r="K1287" s="34"/>
      <c r="L1287" s="34"/>
      <c r="M1287" s="34"/>
    </row>
    <row r="1288" spans="6:13" s="10" customFormat="1" ht="15.75">
      <c r="F1288" s="651"/>
      <c r="G1288" s="34"/>
      <c r="H1288" s="34"/>
      <c r="I1288" s="34"/>
      <c r="J1288" s="34"/>
      <c r="K1288" s="34"/>
      <c r="L1288" s="34"/>
      <c r="M1288" s="34"/>
    </row>
    <row r="1289" spans="6:13" s="10" customFormat="1" ht="15.75">
      <c r="F1289" s="651"/>
      <c r="G1289" s="34"/>
      <c r="H1289" s="34"/>
      <c r="I1289" s="34"/>
      <c r="J1289" s="34"/>
      <c r="K1289" s="34"/>
      <c r="L1289" s="34"/>
      <c r="M1289" s="34"/>
    </row>
    <row r="1290" spans="6:13" s="10" customFormat="1" ht="15.75">
      <c r="F1290" s="651"/>
      <c r="G1290" s="34"/>
      <c r="H1290" s="34"/>
      <c r="I1290" s="34"/>
      <c r="J1290" s="34"/>
      <c r="K1290" s="34"/>
      <c r="L1290" s="34"/>
      <c r="M1290" s="34"/>
    </row>
    <row r="1291" spans="6:13" s="10" customFormat="1" ht="15.75">
      <c r="F1291" s="651"/>
      <c r="G1291" s="34"/>
      <c r="H1291" s="34"/>
      <c r="I1291" s="34"/>
      <c r="J1291" s="34"/>
      <c r="K1291" s="34"/>
      <c r="L1291" s="34"/>
      <c r="M1291" s="34"/>
    </row>
    <row r="1292" spans="6:13" s="10" customFormat="1" ht="15.75">
      <c r="F1292" s="651"/>
      <c r="G1292" s="34"/>
      <c r="H1292" s="34"/>
      <c r="I1292" s="34"/>
      <c r="J1292" s="34"/>
      <c r="K1292" s="34"/>
      <c r="L1292" s="34"/>
      <c r="M1292" s="34"/>
    </row>
    <row r="1293" spans="6:13" s="10" customFormat="1" ht="15.75">
      <c r="F1293" s="651"/>
      <c r="G1293" s="34"/>
      <c r="H1293" s="34"/>
      <c r="I1293" s="34"/>
      <c r="J1293" s="34"/>
      <c r="K1293" s="34"/>
      <c r="L1293" s="34"/>
      <c r="M1293" s="34"/>
    </row>
    <row r="1294" spans="6:13" s="10" customFormat="1" ht="15.75">
      <c r="F1294" s="651"/>
      <c r="G1294" s="34"/>
      <c r="H1294" s="34"/>
      <c r="I1294" s="34"/>
      <c r="J1294" s="34"/>
      <c r="K1294" s="34"/>
      <c r="L1294" s="34"/>
      <c r="M1294" s="34"/>
    </row>
    <row r="1295" spans="6:13" s="10" customFormat="1" ht="15.75">
      <c r="F1295" s="651"/>
      <c r="G1295" s="34"/>
      <c r="H1295" s="34"/>
      <c r="I1295" s="34"/>
      <c r="J1295" s="34"/>
      <c r="K1295" s="34"/>
      <c r="L1295" s="34"/>
      <c r="M1295" s="34"/>
    </row>
    <row r="1296" spans="6:13" s="10" customFormat="1" ht="15.75">
      <c r="F1296" s="651"/>
      <c r="G1296" s="34"/>
      <c r="H1296" s="34"/>
      <c r="I1296" s="34"/>
      <c r="J1296" s="34"/>
      <c r="K1296" s="34"/>
      <c r="L1296" s="34"/>
      <c r="M1296" s="34"/>
    </row>
    <row r="1297" spans="6:13" s="10" customFormat="1" ht="15.75">
      <c r="F1297" s="651"/>
      <c r="G1297" s="34"/>
      <c r="H1297" s="34"/>
      <c r="I1297" s="34"/>
      <c r="J1297" s="34"/>
      <c r="K1297" s="34"/>
      <c r="L1297" s="34"/>
      <c r="M1297" s="34"/>
    </row>
    <row r="1298" spans="6:13" s="10" customFormat="1" ht="15.75">
      <c r="F1298" s="651"/>
      <c r="G1298" s="34"/>
      <c r="H1298" s="34"/>
      <c r="I1298" s="34"/>
      <c r="J1298" s="34"/>
      <c r="K1298" s="34"/>
      <c r="L1298" s="34"/>
      <c r="M1298" s="34"/>
    </row>
    <row r="1299" spans="6:13" s="10" customFormat="1" ht="15.75">
      <c r="F1299" s="651"/>
      <c r="G1299" s="34"/>
      <c r="H1299" s="34"/>
      <c r="I1299" s="34"/>
      <c r="J1299" s="34"/>
      <c r="K1299" s="34"/>
      <c r="L1299" s="34"/>
      <c r="M1299" s="34"/>
    </row>
    <row r="1300" spans="6:13" s="10" customFormat="1" ht="15.75">
      <c r="F1300" s="651"/>
      <c r="G1300" s="34"/>
      <c r="H1300" s="34"/>
      <c r="I1300" s="34"/>
      <c r="J1300" s="34"/>
      <c r="K1300" s="34"/>
      <c r="L1300" s="34"/>
      <c r="M1300" s="34"/>
    </row>
    <row r="1301" spans="6:13" s="10" customFormat="1" ht="15.75">
      <c r="F1301" s="651"/>
      <c r="G1301" s="34"/>
      <c r="H1301" s="34"/>
      <c r="I1301" s="34"/>
      <c r="J1301" s="34"/>
      <c r="K1301" s="34"/>
      <c r="L1301" s="34"/>
      <c r="M1301" s="34"/>
    </row>
    <row r="1302" spans="6:13" s="10" customFormat="1" ht="15.75">
      <c r="F1302" s="651"/>
      <c r="G1302" s="34"/>
      <c r="H1302" s="34"/>
      <c r="I1302" s="34"/>
      <c r="J1302" s="34"/>
      <c r="K1302" s="34"/>
      <c r="L1302" s="34"/>
      <c r="M1302" s="34"/>
    </row>
    <row r="1303" spans="6:13" s="10" customFormat="1" ht="15.75">
      <c r="F1303" s="651"/>
      <c r="G1303" s="34"/>
      <c r="H1303" s="34"/>
      <c r="I1303" s="34"/>
      <c r="J1303" s="34"/>
      <c r="K1303" s="34"/>
      <c r="L1303" s="34"/>
      <c r="M1303" s="34"/>
    </row>
    <row r="1304" spans="6:13" s="10" customFormat="1" ht="15.75">
      <c r="F1304" s="651"/>
      <c r="G1304" s="34"/>
      <c r="H1304" s="34"/>
      <c r="I1304" s="34"/>
      <c r="J1304" s="34"/>
      <c r="K1304" s="34"/>
      <c r="L1304" s="34"/>
      <c r="M1304" s="34"/>
    </row>
    <row r="1305" spans="6:13" s="10" customFormat="1" ht="15.75">
      <c r="F1305" s="651"/>
      <c r="G1305" s="34"/>
      <c r="H1305" s="34"/>
      <c r="I1305" s="34"/>
      <c r="J1305" s="34"/>
      <c r="K1305" s="34"/>
      <c r="L1305" s="34"/>
      <c r="M1305" s="34"/>
    </row>
    <row r="1306" spans="6:13" s="10" customFormat="1" ht="15.75">
      <c r="F1306" s="651"/>
      <c r="G1306" s="34"/>
      <c r="H1306" s="34"/>
      <c r="I1306" s="34"/>
      <c r="J1306" s="34"/>
      <c r="K1306" s="34"/>
      <c r="L1306" s="34"/>
      <c r="M1306" s="34"/>
    </row>
    <row r="1307" spans="6:13" s="10" customFormat="1" ht="15.75">
      <c r="F1307" s="651"/>
      <c r="G1307" s="34"/>
      <c r="H1307" s="34"/>
      <c r="I1307" s="34"/>
      <c r="J1307" s="34"/>
      <c r="K1307" s="34"/>
      <c r="L1307" s="34"/>
      <c r="M1307" s="34"/>
    </row>
    <row r="1308" spans="6:13" s="10" customFormat="1" ht="15.75">
      <c r="F1308" s="651"/>
      <c r="G1308" s="34"/>
      <c r="H1308" s="34"/>
      <c r="I1308" s="34"/>
      <c r="J1308" s="34"/>
      <c r="K1308" s="34"/>
      <c r="L1308" s="34"/>
      <c r="M1308" s="34"/>
    </row>
    <row r="1309" spans="6:13" s="10" customFormat="1" ht="15.75">
      <c r="F1309" s="651"/>
      <c r="G1309" s="34"/>
      <c r="H1309" s="34"/>
      <c r="I1309" s="34"/>
      <c r="J1309" s="34"/>
      <c r="K1309" s="34"/>
      <c r="L1309" s="34"/>
      <c r="M1309" s="34"/>
    </row>
    <row r="1310" spans="6:13" s="10" customFormat="1" ht="15.75">
      <c r="F1310" s="651"/>
      <c r="G1310" s="34"/>
      <c r="H1310" s="34"/>
      <c r="I1310" s="34"/>
      <c r="J1310" s="34"/>
      <c r="K1310" s="34"/>
      <c r="L1310" s="34"/>
      <c r="M1310" s="34"/>
    </row>
    <row r="1311" spans="6:13" s="10" customFormat="1" ht="15.75">
      <c r="F1311" s="651"/>
      <c r="G1311" s="34"/>
      <c r="H1311" s="34"/>
      <c r="I1311" s="34"/>
      <c r="J1311" s="34"/>
      <c r="K1311" s="34"/>
      <c r="L1311" s="34"/>
      <c r="M1311" s="34"/>
    </row>
    <row r="1312" spans="6:13" s="10" customFormat="1" ht="15.75">
      <c r="F1312" s="651"/>
      <c r="G1312" s="34"/>
      <c r="H1312" s="34"/>
      <c r="I1312" s="34"/>
      <c r="J1312" s="34"/>
      <c r="K1312" s="34"/>
      <c r="L1312" s="34"/>
      <c r="M1312" s="34"/>
    </row>
    <row r="1313" spans="6:13" s="10" customFormat="1" ht="15.75">
      <c r="F1313" s="651"/>
      <c r="G1313" s="34"/>
      <c r="H1313" s="34"/>
      <c r="I1313" s="34"/>
      <c r="J1313" s="34"/>
      <c r="K1313" s="34"/>
      <c r="L1313" s="34"/>
      <c r="M1313" s="34"/>
    </row>
    <row r="1314" spans="6:13" s="10" customFormat="1" ht="15.75">
      <c r="F1314" s="651"/>
      <c r="G1314" s="34"/>
      <c r="H1314" s="34"/>
      <c r="I1314" s="34"/>
      <c r="J1314" s="34"/>
      <c r="K1314" s="34"/>
      <c r="L1314" s="34"/>
      <c r="M1314" s="34"/>
    </row>
    <row r="1315" spans="6:13" s="10" customFormat="1" ht="15.75">
      <c r="F1315" s="651"/>
      <c r="G1315" s="34"/>
      <c r="H1315" s="34"/>
      <c r="I1315" s="34"/>
      <c r="J1315" s="34"/>
      <c r="K1315" s="34"/>
      <c r="L1315" s="34"/>
      <c r="M1315" s="34"/>
    </row>
    <row r="1316" spans="6:13" s="10" customFormat="1" ht="15.75">
      <c r="F1316" s="651"/>
      <c r="G1316" s="34"/>
      <c r="H1316" s="34"/>
      <c r="I1316" s="34"/>
      <c r="J1316" s="34"/>
      <c r="K1316" s="34"/>
      <c r="L1316" s="34"/>
      <c r="M1316" s="34"/>
    </row>
    <row r="1317" spans="6:13" s="10" customFormat="1" ht="15.75">
      <c r="F1317" s="651"/>
      <c r="G1317" s="34"/>
      <c r="H1317" s="34"/>
      <c r="I1317" s="34"/>
      <c r="J1317" s="34"/>
      <c r="K1317" s="34"/>
      <c r="L1317" s="34"/>
      <c r="M1317" s="34"/>
    </row>
    <row r="1318" spans="6:13" s="10" customFormat="1" ht="15.75">
      <c r="F1318" s="651"/>
      <c r="G1318" s="34"/>
      <c r="H1318" s="34"/>
      <c r="I1318" s="34"/>
      <c r="J1318" s="34"/>
      <c r="K1318" s="34"/>
      <c r="L1318" s="34"/>
      <c r="M1318" s="34"/>
    </row>
    <row r="1319" spans="6:13" s="10" customFormat="1" ht="15.75">
      <c r="F1319" s="651"/>
      <c r="G1319" s="34"/>
      <c r="H1319" s="34"/>
      <c r="I1319" s="34"/>
      <c r="J1319" s="34"/>
      <c r="K1319" s="34"/>
      <c r="L1319" s="34"/>
      <c r="M1319" s="34"/>
    </row>
    <row r="1320" spans="6:13" s="10" customFormat="1" ht="15.75">
      <c r="F1320" s="651"/>
      <c r="G1320" s="34"/>
      <c r="H1320" s="34"/>
      <c r="I1320" s="34"/>
      <c r="J1320" s="34"/>
      <c r="K1320" s="34"/>
      <c r="L1320" s="34"/>
      <c r="M1320" s="34"/>
    </row>
    <row r="1321" spans="6:13" s="10" customFormat="1" ht="15.75">
      <c r="F1321" s="651"/>
      <c r="G1321" s="34"/>
      <c r="H1321" s="34"/>
      <c r="I1321" s="34"/>
      <c r="J1321" s="34"/>
      <c r="K1321" s="34"/>
      <c r="L1321" s="34"/>
      <c r="M1321" s="34"/>
    </row>
    <row r="1322" spans="6:13" s="10" customFormat="1" ht="15.75">
      <c r="F1322" s="651"/>
      <c r="G1322" s="34"/>
      <c r="H1322" s="34"/>
      <c r="I1322" s="34"/>
      <c r="J1322" s="34"/>
      <c r="K1322" s="34"/>
      <c r="L1322" s="34"/>
      <c r="M1322" s="34"/>
    </row>
    <row r="1323" spans="6:13" s="10" customFormat="1" ht="15.75">
      <c r="F1323" s="651"/>
      <c r="G1323" s="34"/>
      <c r="H1323" s="34"/>
      <c r="I1323" s="34"/>
      <c r="J1323" s="34"/>
      <c r="K1323" s="34"/>
      <c r="L1323" s="34"/>
      <c r="M1323" s="34"/>
    </row>
    <row r="1324" spans="6:13" s="10" customFormat="1" ht="15.75">
      <c r="F1324" s="651"/>
      <c r="G1324" s="34"/>
      <c r="H1324" s="34"/>
      <c r="I1324" s="34"/>
      <c r="J1324" s="34"/>
      <c r="K1324" s="34"/>
      <c r="L1324" s="34"/>
      <c r="M1324" s="34"/>
    </row>
    <row r="1325" spans="6:13" s="10" customFormat="1" ht="15.75">
      <c r="F1325" s="651"/>
      <c r="G1325" s="34"/>
      <c r="H1325" s="34"/>
      <c r="I1325" s="34"/>
      <c r="J1325" s="34"/>
      <c r="K1325" s="34"/>
      <c r="L1325" s="34"/>
      <c r="M1325" s="34"/>
    </row>
    <row r="1326" spans="6:13" s="10" customFormat="1" ht="15.75">
      <c r="F1326" s="651"/>
      <c r="G1326" s="34"/>
      <c r="H1326" s="34"/>
      <c r="I1326" s="34"/>
      <c r="J1326" s="34"/>
      <c r="K1326" s="34"/>
      <c r="L1326" s="34"/>
      <c r="M1326" s="34"/>
    </row>
    <row r="1327" spans="6:13" s="10" customFormat="1" ht="15.75">
      <c r="F1327" s="651"/>
      <c r="G1327" s="34"/>
      <c r="H1327" s="34"/>
      <c r="I1327" s="34"/>
      <c r="J1327" s="34"/>
      <c r="K1327" s="34"/>
      <c r="L1327" s="34"/>
      <c r="M1327" s="34"/>
    </row>
    <row r="1328" spans="6:13" s="10" customFormat="1" ht="15.75">
      <c r="F1328" s="651"/>
      <c r="G1328" s="34"/>
      <c r="H1328" s="34"/>
      <c r="I1328" s="34"/>
      <c r="J1328" s="34"/>
      <c r="K1328" s="34"/>
      <c r="L1328" s="34"/>
      <c r="M1328" s="34"/>
    </row>
    <row r="1329" spans="6:13" s="10" customFormat="1" ht="15.75">
      <c r="F1329" s="651"/>
      <c r="G1329" s="34"/>
      <c r="H1329" s="34"/>
      <c r="I1329" s="34"/>
      <c r="J1329" s="34"/>
      <c r="K1329" s="34"/>
      <c r="L1329" s="34"/>
      <c r="M1329" s="34"/>
    </row>
    <row r="1330" spans="6:13" s="10" customFormat="1" ht="15.75">
      <c r="F1330" s="651"/>
      <c r="G1330" s="34"/>
      <c r="H1330" s="34"/>
      <c r="I1330" s="34"/>
      <c r="J1330" s="34"/>
      <c r="K1330" s="34"/>
      <c r="L1330" s="34"/>
      <c r="M1330" s="34"/>
    </row>
    <row r="1331" spans="6:13" s="10" customFormat="1" ht="15.75">
      <c r="F1331" s="651"/>
      <c r="G1331" s="34"/>
      <c r="H1331" s="34"/>
      <c r="I1331" s="34"/>
      <c r="J1331" s="34"/>
      <c r="K1331" s="34"/>
      <c r="L1331" s="34"/>
      <c r="M1331" s="34"/>
    </row>
    <row r="1332" spans="6:13" s="10" customFormat="1" ht="15.75">
      <c r="F1332" s="651"/>
      <c r="G1332" s="34"/>
      <c r="H1332" s="34"/>
      <c r="I1332" s="34"/>
      <c r="J1332" s="34"/>
      <c r="K1332" s="34"/>
      <c r="L1332" s="34"/>
      <c r="M1332" s="34"/>
    </row>
    <row r="1333" spans="6:13" s="10" customFormat="1" ht="15.75">
      <c r="F1333" s="651"/>
      <c r="G1333" s="34"/>
      <c r="H1333" s="34"/>
      <c r="I1333" s="34"/>
      <c r="J1333" s="34"/>
      <c r="K1333" s="34"/>
      <c r="L1333" s="34"/>
      <c r="M1333" s="34"/>
    </row>
    <row r="1334" spans="6:13" s="10" customFormat="1" ht="15.75">
      <c r="F1334" s="651"/>
      <c r="G1334" s="34"/>
      <c r="H1334" s="34"/>
      <c r="I1334" s="34"/>
      <c r="J1334" s="34"/>
      <c r="K1334" s="34"/>
      <c r="L1334" s="34"/>
      <c r="M1334" s="34"/>
    </row>
  </sheetData>
  <mergeCells count="2">
    <mergeCell ref="A1147:B1147"/>
    <mergeCell ref="A1234:B123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315"/>
  <sheetViews>
    <sheetView topLeftCell="D1" zoomScale="75" zoomScaleNormal="100" workbookViewId="0">
      <pane ySplit="1860" topLeftCell="A1191" activePane="bottomLeft"/>
      <selection activeCell="Q1" sqref="Q1:Q65536"/>
      <selection pane="bottomLeft" activeCell="M1204" sqref="M1204"/>
    </sheetView>
  </sheetViews>
  <sheetFormatPr defaultRowHeight="12.75"/>
  <cols>
    <col min="1" max="1" width="9.140625" style="695"/>
    <col min="2" max="2" width="26" style="695" customWidth="1"/>
    <col min="3" max="3" width="13.28515625" style="695" customWidth="1"/>
    <col min="4" max="5" width="12.140625" style="695" customWidth="1"/>
    <col min="6" max="6" width="12.140625" style="442" customWidth="1"/>
    <col min="7" max="7" width="9.28515625" style="406" bestFit="1" customWidth="1"/>
    <col min="8" max="8" width="10.7109375" style="406" bestFit="1" customWidth="1"/>
    <col min="9" max="9" width="9.28515625" style="406" bestFit="1" customWidth="1"/>
    <col min="10" max="10" width="10.7109375" style="406" bestFit="1" customWidth="1"/>
    <col min="11" max="11" width="10.7109375" style="421" bestFit="1" customWidth="1"/>
    <col min="12" max="12" width="11.5703125" style="421" bestFit="1" customWidth="1"/>
    <col min="13" max="13" width="10.28515625" style="421" bestFit="1" customWidth="1"/>
    <col min="14" max="15" width="10.7109375" style="421" bestFit="1" customWidth="1"/>
    <col min="16" max="16" width="11.140625" style="421" customWidth="1"/>
    <col min="17" max="17" width="11.140625" style="421" hidden="1" customWidth="1"/>
    <col min="18" max="18" width="10.7109375" style="421" bestFit="1" customWidth="1"/>
  </cols>
  <sheetData>
    <row r="1" spans="1:19" s="6" customFormat="1" ht="15.75">
      <c r="A1" s="523" t="s">
        <v>628</v>
      </c>
      <c r="B1" s="523"/>
      <c r="C1" s="523"/>
      <c r="D1" s="523"/>
      <c r="E1" s="523"/>
      <c r="F1" s="442"/>
      <c r="G1" s="406"/>
      <c r="H1" s="406"/>
      <c r="I1" s="406"/>
      <c r="J1" s="406"/>
      <c r="K1" s="421"/>
      <c r="L1" s="421"/>
      <c r="M1" s="421"/>
      <c r="N1" s="421"/>
      <c r="O1" s="421"/>
      <c r="P1" s="421"/>
      <c r="Q1" s="421"/>
      <c r="R1" s="421"/>
    </row>
    <row r="2" spans="1:19" s="6" customFormat="1" ht="15" customHeight="1">
      <c r="A2" s="523"/>
      <c r="B2" s="523" t="s">
        <v>672</v>
      </c>
      <c r="C2" s="523"/>
      <c r="D2" s="523"/>
      <c r="E2" s="523"/>
      <c r="F2" s="442"/>
      <c r="G2" s="409"/>
      <c r="H2" s="409"/>
      <c r="I2" s="409"/>
      <c r="J2" s="409"/>
      <c r="K2" s="421"/>
      <c r="L2" s="421"/>
      <c r="M2" s="674"/>
      <c r="N2" s="675"/>
      <c r="O2" s="421"/>
      <c r="P2" s="675">
        <v>184.64</v>
      </c>
      <c r="Q2" s="675"/>
      <c r="R2" s="421"/>
    </row>
    <row r="3" spans="1:19" s="6" customFormat="1" ht="77.25">
      <c r="A3" s="330"/>
      <c r="B3" s="330" t="s">
        <v>674</v>
      </c>
      <c r="C3" s="525" t="s">
        <v>1331</v>
      </c>
      <c r="D3" s="525" t="s">
        <v>610</v>
      </c>
      <c r="E3" s="525" t="s">
        <v>611</v>
      </c>
      <c r="F3" s="676" t="s">
        <v>575</v>
      </c>
      <c r="G3" s="677" t="s">
        <v>604</v>
      </c>
      <c r="H3" s="677" t="s">
        <v>605</v>
      </c>
      <c r="I3" s="677" t="s">
        <v>606</v>
      </c>
      <c r="J3" s="677" t="s">
        <v>607</v>
      </c>
      <c r="K3" s="527" t="s">
        <v>608</v>
      </c>
      <c r="L3" s="527" t="s">
        <v>609</v>
      </c>
      <c r="M3" s="527" t="s">
        <v>612</v>
      </c>
      <c r="N3" s="527" t="s">
        <v>65</v>
      </c>
      <c r="O3" s="527" t="s">
        <v>613</v>
      </c>
      <c r="P3" s="527" t="s">
        <v>614</v>
      </c>
      <c r="Q3" s="527">
        <v>1.29</v>
      </c>
      <c r="R3" s="527" t="s">
        <v>615</v>
      </c>
    </row>
    <row r="4" spans="1:19" s="2" customFormat="1" ht="14.25" customHeight="1" thickBot="1">
      <c r="A4" s="528">
        <v>1</v>
      </c>
      <c r="B4" s="528">
        <v>2</v>
      </c>
      <c r="C4" s="585">
        <v>3</v>
      </c>
      <c r="D4" s="585">
        <v>4</v>
      </c>
      <c r="E4" s="585">
        <v>5</v>
      </c>
      <c r="F4" s="678"/>
      <c r="G4" s="679">
        <v>6</v>
      </c>
      <c r="H4" s="679">
        <v>7</v>
      </c>
      <c r="I4" s="679">
        <v>8</v>
      </c>
      <c r="J4" s="679">
        <v>9</v>
      </c>
      <c r="K4" s="588">
        <v>10</v>
      </c>
      <c r="L4" s="588">
        <v>11</v>
      </c>
      <c r="M4" s="588">
        <v>12</v>
      </c>
      <c r="N4" s="588">
        <v>13</v>
      </c>
      <c r="O4" s="588">
        <v>14</v>
      </c>
      <c r="P4" s="588">
        <v>15</v>
      </c>
      <c r="Q4" s="588"/>
      <c r="R4" s="588">
        <v>16</v>
      </c>
    </row>
    <row r="5" spans="1:19" s="384" customFormat="1" ht="16.5" thickBot="1">
      <c r="A5" s="137" t="s">
        <v>682</v>
      </c>
      <c r="B5" s="395"/>
      <c r="C5" s="395"/>
      <c r="D5" s="395"/>
      <c r="E5" s="395"/>
      <c r="F5" s="395"/>
      <c r="G5" s="395"/>
      <c r="H5" s="395"/>
      <c r="I5" s="395"/>
      <c r="J5" s="395"/>
      <c r="K5" s="598"/>
      <c r="L5" s="395"/>
      <c r="M5" s="570"/>
      <c r="N5" s="570"/>
      <c r="O5" s="570"/>
      <c r="P5" s="570"/>
      <c r="Q5" s="570"/>
      <c r="R5" s="571"/>
    </row>
    <row r="6" spans="1:19" s="6" customFormat="1" ht="15.75">
      <c r="A6" s="308">
        <v>1</v>
      </c>
      <c r="B6" s="304" t="s">
        <v>683</v>
      </c>
      <c r="C6" s="386">
        <v>9570.0499999999993</v>
      </c>
      <c r="D6" s="386"/>
      <c r="E6" s="386"/>
      <c r="F6" s="437">
        <f>C6+D6+E6</f>
        <v>9570.0499999999993</v>
      </c>
      <c r="G6" s="405">
        <v>1100</v>
      </c>
      <c r="H6" s="405">
        <v>0</v>
      </c>
      <c r="I6" s="405">
        <v>5000</v>
      </c>
      <c r="J6" s="405">
        <v>148</v>
      </c>
      <c r="K6" s="593">
        <f t="shared" ref="K6:K66" si="0">0.1/106*H6</f>
        <v>0</v>
      </c>
      <c r="L6" s="593">
        <f t="shared" ref="L6:L66" si="1">0.9/6590*J6</f>
        <v>2.0212443095599393E-2</v>
      </c>
      <c r="M6" s="426">
        <f t="shared" ref="M6:M66" si="2">(K6+L6)*2017.01</f>
        <v>40.768699848254933</v>
      </c>
      <c r="N6" s="426">
        <f t="shared" ref="N6:N79" si="3">M6*0.3677</f>
        <v>14.990650934203339</v>
      </c>
      <c r="O6" s="426">
        <v>20.340614634146341</v>
      </c>
      <c r="P6" s="426">
        <f>K6+L6*184.64</f>
        <v>3.7320254931714718</v>
      </c>
      <c r="Q6" s="426"/>
      <c r="R6" s="532">
        <f>(P6+O6+N6+M6)/F6</f>
        <v>8.3418572431467018E-3</v>
      </c>
      <c r="S6" s="6" t="s">
        <v>1418</v>
      </c>
    </row>
    <row r="7" spans="1:19" s="6" customFormat="1" ht="15.75">
      <c r="A7" s="309">
        <v>2</v>
      </c>
      <c r="B7" s="305" t="s">
        <v>684</v>
      </c>
      <c r="C7" s="330">
        <v>4259.1400000000003</v>
      </c>
      <c r="D7" s="330"/>
      <c r="E7" s="330"/>
      <c r="F7" s="438">
        <f t="shared" ref="F7:F79" si="4">C7+D7+E7</f>
        <v>4259.1400000000003</v>
      </c>
      <c r="G7" s="404">
        <v>1100</v>
      </c>
      <c r="H7" s="404">
        <v>0</v>
      </c>
      <c r="I7" s="404">
        <v>5000</v>
      </c>
      <c r="J7" s="404">
        <v>74</v>
      </c>
      <c r="K7" s="593">
        <f t="shared" si="0"/>
        <v>0</v>
      </c>
      <c r="L7" s="593">
        <f t="shared" si="1"/>
        <v>1.0106221547799697E-2</v>
      </c>
      <c r="M7" s="426">
        <f t="shared" si="2"/>
        <v>20.384349924127466</v>
      </c>
      <c r="N7" s="427">
        <f t="shared" si="3"/>
        <v>7.4953254671016696</v>
      </c>
      <c r="O7" s="426">
        <v>10.170307317073171</v>
      </c>
      <c r="P7" s="426">
        <f t="shared" ref="P7:P59" si="5">K7+L7*184.64</f>
        <v>1.8660127465857359</v>
      </c>
      <c r="Q7" s="426"/>
      <c r="R7" s="532">
        <f t="shared" ref="R7:R70" si="6">(P7+O7+N7+M7)/F7</f>
        <v>9.3718439532130982E-3</v>
      </c>
      <c r="S7" s="6" t="s">
        <v>1419</v>
      </c>
    </row>
    <row r="8" spans="1:19" s="6" customFormat="1" ht="15.75">
      <c r="A8" s="309">
        <v>3</v>
      </c>
      <c r="B8" s="305" t="s">
        <v>685</v>
      </c>
      <c r="C8" s="330">
        <v>8696.41</v>
      </c>
      <c r="D8" s="330"/>
      <c r="E8" s="330"/>
      <c r="F8" s="438">
        <f t="shared" si="4"/>
        <v>8696.41</v>
      </c>
      <c r="G8" s="404">
        <v>1100</v>
      </c>
      <c r="H8" s="404">
        <v>0</v>
      </c>
      <c r="I8" s="404">
        <v>5000</v>
      </c>
      <c r="J8" s="404">
        <v>148</v>
      </c>
      <c r="K8" s="593">
        <f t="shared" si="0"/>
        <v>0</v>
      </c>
      <c r="L8" s="593">
        <f t="shared" si="1"/>
        <v>2.0212443095599393E-2</v>
      </c>
      <c r="M8" s="426">
        <f t="shared" si="2"/>
        <v>40.768699848254933</v>
      </c>
      <c r="N8" s="427">
        <f t="shared" si="3"/>
        <v>14.990650934203339</v>
      </c>
      <c r="O8" s="426">
        <v>20.340614634146341</v>
      </c>
      <c r="P8" s="426">
        <f t="shared" si="5"/>
        <v>3.7320254931714718</v>
      </c>
      <c r="Q8" s="426"/>
      <c r="R8" s="532">
        <f t="shared" si="6"/>
        <v>9.1798789281756586E-3</v>
      </c>
    </row>
    <row r="9" spans="1:19" s="6" customFormat="1" ht="15.75">
      <c r="A9" s="309">
        <v>4</v>
      </c>
      <c r="B9" s="305" t="s">
        <v>686</v>
      </c>
      <c r="C9" s="330">
        <v>2719.72</v>
      </c>
      <c r="D9" s="330"/>
      <c r="E9" s="330"/>
      <c r="F9" s="438">
        <f t="shared" si="4"/>
        <v>2719.72</v>
      </c>
      <c r="G9" s="404">
        <v>1100</v>
      </c>
      <c r="H9" s="404">
        <v>0</v>
      </c>
      <c r="I9" s="404">
        <v>5000</v>
      </c>
      <c r="J9" s="404">
        <v>144</v>
      </c>
      <c r="K9" s="593">
        <f t="shared" si="0"/>
        <v>0</v>
      </c>
      <c r="L9" s="593">
        <f t="shared" si="1"/>
        <v>1.9666160849772379E-2</v>
      </c>
      <c r="M9" s="426">
        <f t="shared" si="2"/>
        <v>39.66684309559939</v>
      </c>
      <c r="N9" s="427">
        <f t="shared" si="3"/>
        <v>14.585498206251897</v>
      </c>
      <c r="O9" s="426">
        <v>19.790868292682923</v>
      </c>
      <c r="P9" s="426">
        <f t="shared" si="5"/>
        <v>3.631159939301972</v>
      </c>
      <c r="Q9" s="426"/>
      <c r="R9" s="532">
        <f t="shared" si="6"/>
        <v>2.8559693473532641E-2</v>
      </c>
    </row>
    <row r="10" spans="1:19" s="6" customFormat="1" ht="15.75">
      <c r="A10" s="309">
        <v>5</v>
      </c>
      <c r="B10" s="305" t="s">
        <v>687</v>
      </c>
      <c r="C10" s="330">
        <v>4138.7</v>
      </c>
      <c r="D10" s="330"/>
      <c r="E10" s="330"/>
      <c r="F10" s="438">
        <f t="shared" si="4"/>
        <v>4138.7</v>
      </c>
      <c r="G10" s="404">
        <v>1100</v>
      </c>
      <c r="H10" s="404">
        <v>0</v>
      </c>
      <c r="I10" s="404">
        <v>5000</v>
      </c>
      <c r="J10" s="404">
        <v>74</v>
      </c>
      <c r="K10" s="593">
        <f t="shared" si="0"/>
        <v>0</v>
      </c>
      <c r="L10" s="593">
        <f t="shared" si="1"/>
        <v>1.0106221547799697E-2</v>
      </c>
      <c r="M10" s="426">
        <f t="shared" si="2"/>
        <v>20.384349924127466</v>
      </c>
      <c r="N10" s="427">
        <f t="shared" si="3"/>
        <v>7.4953254671016696</v>
      </c>
      <c r="O10" s="426">
        <v>10.170307317073171</v>
      </c>
      <c r="P10" s="426">
        <f t="shared" si="5"/>
        <v>1.8660127465857359</v>
      </c>
      <c r="Q10" s="426"/>
      <c r="R10" s="532">
        <f t="shared" si="6"/>
        <v>9.6445732850624702E-3</v>
      </c>
    </row>
    <row r="11" spans="1:19" s="6" customFormat="1" ht="15.75">
      <c r="A11" s="309">
        <v>6</v>
      </c>
      <c r="B11" s="305" t="s">
        <v>688</v>
      </c>
      <c r="C11" s="330">
        <v>4166.1899999999996</v>
      </c>
      <c r="D11" s="330"/>
      <c r="E11" s="330"/>
      <c r="F11" s="438">
        <f t="shared" si="4"/>
        <v>4166.1899999999996</v>
      </c>
      <c r="G11" s="404">
        <v>1100</v>
      </c>
      <c r="H11" s="404">
        <v>0</v>
      </c>
      <c r="I11" s="404">
        <v>5000</v>
      </c>
      <c r="J11" s="404">
        <v>74</v>
      </c>
      <c r="K11" s="593">
        <f t="shared" si="0"/>
        <v>0</v>
      </c>
      <c r="L11" s="593">
        <f t="shared" si="1"/>
        <v>1.0106221547799697E-2</v>
      </c>
      <c r="M11" s="426">
        <f t="shared" si="2"/>
        <v>20.384349924127466</v>
      </c>
      <c r="N11" s="427">
        <f t="shared" si="3"/>
        <v>7.4953254671016696</v>
      </c>
      <c r="O11" s="426">
        <v>10.170307317073171</v>
      </c>
      <c r="P11" s="426">
        <f t="shared" si="5"/>
        <v>1.8660127465857359</v>
      </c>
      <c r="Q11" s="426"/>
      <c r="R11" s="532">
        <f t="shared" si="6"/>
        <v>9.5809349681334859E-3</v>
      </c>
    </row>
    <row r="12" spans="1:19" s="6" customFormat="1" ht="15.75">
      <c r="A12" s="309">
        <v>7</v>
      </c>
      <c r="B12" s="305" t="s">
        <v>689</v>
      </c>
      <c r="C12" s="330">
        <v>3572.8</v>
      </c>
      <c r="D12" s="330"/>
      <c r="E12" s="330"/>
      <c r="F12" s="438">
        <f t="shared" si="4"/>
        <v>3572.8</v>
      </c>
      <c r="G12" s="404">
        <v>1100</v>
      </c>
      <c r="H12" s="404">
        <v>0</v>
      </c>
      <c r="I12" s="404">
        <v>5000</v>
      </c>
      <c r="J12" s="404">
        <v>114</v>
      </c>
      <c r="K12" s="593">
        <f t="shared" si="0"/>
        <v>0</v>
      </c>
      <c r="L12" s="593">
        <f t="shared" si="1"/>
        <v>1.5569044006069802E-2</v>
      </c>
      <c r="M12" s="426">
        <f t="shared" si="2"/>
        <v>31.40291745068285</v>
      </c>
      <c r="N12" s="427">
        <f t="shared" si="3"/>
        <v>11.546852746616084</v>
      </c>
      <c r="O12" s="426">
        <v>15.667770731707318</v>
      </c>
      <c r="P12" s="426">
        <f t="shared" si="5"/>
        <v>2.8746682852807282</v>
      </c>
      <c r="Q12" s="426"/>
      <c r="R12" s="532">
        <f t="shared" si="6"/>
        <v>1.7211209475561737E-2</v>
      </c>
    </row>
    <row r="13" spans="1:19" s="6" customFormat="1" ht="15.75">
      <c r="A13" s="309">
        <v>8</v>
      </c>
      <c r="B13" s="305" t="s">
        <v>690</v>
      </c>
      <c r="C13" s="330">
        <v>6443.05</v>
      </c>
      <c r="D13" s="330"/>
      <c r="E13" s="330"/>
      <c r="F13" s="438">
        <f t="shared" si="4"/>
        <v>6443.05</v>
      </c>
      <c r="G13" s="404">
        <v>1100</v>
      </c>
      <c r="H13" s="404">
        <v>0</v>
      </c>
      <c r="I13" s="404">
        <v>5000</v>
      </c>
      <c r="J13" s="404">
        <v>148</v>
      </c>
      <c r="K13" s="593">
        <f t="shared" si="0"/>
        <v>0</v>
      </c>
      <c r="L13" s="593">
        <f t="shared" si="1"/>
        <v>2.0212443095599393E-2</v>
      </c>
      <c r="M13" s="426">
        <f t="shared" si="2"/>
        <v>40.768699848254933</v>
      </c>
      <c r="N13" s="427">
        <f t="shared" si="3"/>
        <v>14.990650934203339</v>
      </c>
      <c r="O13" s="426">
        <v>20.340614634146341</v>
      </c>
      <c r="P13" s="426">
        <f t="shared" si="5"/>
        <v>3.7320254931714718</v>
      </c>
      <c r="Q13" s="426"/>
      <c r="R13" s="532">
        <f t="shared" si="6"/>
        <v>1.2390403754398318E-2</v>
      </c>
    </row>
    <row r="14" spans="1:19" s="6" customFormat="1" ht="15.75">
      <c r="A14" s="309">
        <v>9</v>
      </c>
      <c r="B14" s="305" t="s">
        <v>691</v>
      </c>
      <c r="C14" s="330">
        <v>6459.7</v>
      </c>
      <c r="D14" s="330"/>
      <c r="E14" s="330"/>
      <c r="F14" s="438">
        <f t="shared" si="4"/>
        <v>6459.7</v>
      </c>
      <c r="G14" s="404">
        <v>1100</v>
      </c>
      <c r="H14" s="404">
        <v>0</v>
      </c>
      <c r="I14" s="404">
        <v>5000</v>
      </c>
      <c r="J14" s="404">
        <v>114</v>
      </c>
      <c r="K14" s="593">
        <f t="shared" si="0"/>
        <v>0</v>
      </c>
      <c r="L14" s="593">
        <f t="shared" si="1"/>
        <v>1.5569044006069802E-2</v>
      </c>
      <c r="M14" s="426">
        <f t="shared" si="2"/>
        <v>31.40291745068285</v>
      </c>
      <c r="N14" s="427">
        <f t="shared" si="3"/>
        <v>11.546852746616084</v>
      </c>
      <c r="O14" s="426">
        <v>15.667770731707318</v>
      </c>
      <c r="P14" s="426">
        <f t="shared" si="5"/>
        <v>2.8746682852807282</v>
      </c>
      <c r="Q14" s="426"/>
      <c r="R14" s="532">
        <f t="shared" si="6"/>
        <v>9.5193599105665872E-3</v>
      </c>
    </row>
    <row r="15" spans="1:19" s="6" customFormat="1" ht="15.75">
      <c r="A15" s="309">
        <v>10</v>
      </c>
      <c r="B15" s="305" t="s">
        <v>692</v>
      </c>
      <c r="C15" s="330">
        <v>4374.04</v>
      </c>
      <c r="D15" s="330"/>
      <c r="E15" s="330"/>
      <c r="F15" s="438">
        <f t="shared" si="4"/>
        <v>4374.04</v>
      </c>
      <c r="G15" s="404">
        <v>1100</v>
      </c>
      <c r="H15" s="404">
        <v>0</v>
      </c>
      <c r="I15" s="404">
        <v>5000</v>
      </c>
      <c r="J15" s="404">
        <v>74</v>
      </c>
      <c r="K15" s="593">
        <f t="shared" si="0"/>
        <v>0</v>
      </c>
      <c r="L15" s="593">
        <f t="shared" si="1"/>
        <v>1.0106221547799697E-2</v>
      </c>
      <c r="M15" s="426">
        <f t="shared" si="2"/>
        <v>20.384349924127466</v>
      </c>
      <c r="N15" s="427">
        <f t="shared" si="3"/>
        <v>7.4953254671016696</v>
      </c>
      <c r="O15" s="426">
        <v>10.170307317073171</v>
      </c>
      <c r="P15" s="426">
        <f t="shared" si="5"/>
        <v>1.8660127465857359</v>
      </c>
      <c r="Q15" s="426"/>
      <c r="R15" s="532">
        <f t="shared" si="6"/>
        <v>9.1256585341899111E-3</v>
      </c>
    </row>
    <row r="16" spans="1:19" s="6" customFormat="1" ht="15.75">
      <c r="A16" s="309">
        <v>11</v>
      </c>
      <c r="B16" s="305" t="s">
        <v>693</v>
      </c>
      <c r="C16" s="330">
        <v>3413.87</v>
      </c>
      <c r="D16" s="330"/>
      <c r="E16" s="330">
        <v>85.7</v>
      </c>
      <c r="F16" s="438">
        <f t="shared" si="4"/>
        <v>3499.5699999999997</v>
      </c>
      <c r="G16" s="404">
        <v>1100</v>
      </c>
      <c r="H16" s="404">
        <v>0</v>
      </c>
      <c r="I16" s="404">
        <v>5000</v>
      </c>
      <c r="J16" s="404">
        <v>74</v>
      </c>
      <c r="K16" s="593">
        <f t="shared" si="0"/>
        <v>0</v>
      </c>
      <c r="L16" s="593">
        <f t="shared" si="1"/>
        <v>1.0106221547799697E-2</v>
      </c>
      <c r="M16" s="426">
        <f t="shared" si="2"/>
        <v>20.384349924127466</v>
      </c>
      <c r="N16" s="427">
        <f t="shared" si="3"/>
        <v>7.4953254671016696</v>
      </c>
      <c r="O16" s="426">
        <v>10.170307317073171</v>
      </c>
      <c r="P16" s="426">
        <f t="shared" si="5"/>
        <v>1.8660127465857359</v>
      </c>
      <c r="Q16" s="426"/>
      <c r="R16" s="532">
        <f t="shared" si="6"/>
        <v>1.140597143503003E-2</v>
      </c>
    </row>
    <row r="17" spans="1:18" s="6" customFormat="1" ht="15.75">
      <c r="A17" s="309">
        <v>12</v>
      </c>
      <c r="B17" s="305" t="s">
        <v>694</v>
      </c>
      <c r="C17" s="330">
        <v>3466.61</v>
      </c>
      <c r="D17" s="330">
        <v>97.8</v>
      </c>
      <c r="E17" s="330"/>
      <c r="F17" s="438">
        <f t="shared" si="4"/>
        <v>3564.4100000000003</v>
      </c>
      <c r="G17" s="404">
        <v>1100</v>
      </c>
      <c r="H17" s="404">
        <v>0</v>
      </c>
      <c r="I17" s="404">
        <v>5000</v>
      </c>
      <c r="J17" s="404">
        <v>74</v>
      </c>
      <c r="K17" s="593">
        <f t="shared" si="0"/>
        <v>0</v>
      </c>
      <c r="L17" s="593">
        <f t="shared" si="1"/>
        <v>1.0106221547799697E-2</v>
      </c>
      <c r="M17" s="426">
        <f t="shared" si="2"/>
        <v>20.384349924127466</v>
      </c>
      <c r="N17" s="427">
        <f t="shared" si="3"/>
        <v>7.4953254671016696</v>
      </c>
      <c r="O17" s="426">
        <v>10.170307317073171</v>
      </c>
      <c r="P17" s="426">
        <f t="shared" si="5"/>
        <v>1.8660127465857359</v>
      </c>
      <c r="Q17" s="426"/>
      <c r="R17" s="532">
        <f t="shared" si="6"/>
        <v>1.1198485992040208E-2</v>
      </c>
    </row>
    <row r="18" spans="1:18" s="6" customFormat="1" ht="15.75">
      <c r="A18" s="309">
        <v>13</v>
      </c>
      <c r="B18" s="305" t="s">
        <v>695</v>
      </c>
      <c r="C18" s="330">
        <v>5767.21</v>
      </c>
      <c r="D18" s="330">
        <v>261.60000000000002</v>
      </c>
      <c r="E18" s="330">
        <v>456.05</v>
      </c>
      <c r="F18" s="438">
        <f t="shared" si="4"/>
        <v>6484.8600000000006</v>
      </c>
      <c r="G18" s="404">
        <v>1100</v>
      </c>
      <c r="H18" s="404">
        <v>0</v>
      </c>
      <c r="I18" s="404">
        <v>5000</v>
      </c>
      <c r="J18" s="404">
        <v>122</v>
      </c>
      <c r="K18" s="593">
        <f t="shared" si="0"/>
        <v>0</v>
      </c>
      <c r="L18" s="593">
        <f t="shared" si="1"/>
        <v>1.6661608497723822E-2</v>
      </c>
      <c r="M18" s="426">
        <f t="shared" si="2"/>
        <v>33.606630955993928</v>
      </c>
      <c r="N18" s="427">
        <f t="shared" si="3"/>
        <v>12.357158202518969</v>
      </c>
      <c r="O18" s="426">
        <v>16.767263414634147</v>
      </c>
      <c r="P18" s="426">
        <f t="shared" si="5"/>
        <v>3.0763993930197264</v>
      </c>
      <c r="Q18" s="426"/>
      <c r="R18" s="532">
        <f t="shared" si="6"/>
        <v>1.0147860087367618E-2</v>
      </c>
    </row>
    <row r="19" spans="1:18" s="6" customFormat="1" ht="15.75">
      <c r="A19" s="309">
        <v>14</v>
      </c>
      <c r="B19" s="305" t="s">
        <v>696</v>
      </c>
      <c r="C19" s="330">
        <v>5966.95</v>
      </c>
      <c r="D19" s="330"/>
      <c r="E19" s="330">
        <v>49.5</v>
      </c>
      <c r="F19" s="438">
        <f t="shared" si="4"/>
        <v>6016.45</v>
      </c>
      <c r="G19" s="404">
        <v>1100</v>
      </c>
      <c r="H19" s="404">
        <v>0</v>
      </c>
      <c r="I19" s="404">
        <v>5000</v>
      </c>
      <c r="J19" s="404">
        <v>148</v>
      </c>
      <c r="K19" s="593">
        <f t="shared" si="0"/>
        <v>0</v>
      </c>
      <c r="L19" s="593">
        <f t="shared" si="1"/>
        <v>2.0212443095599393E-2</v>
      </c>
      <c r="M19" s="426">
        <f t="shared" si="2"/>
        <v>40.768699848254933</v>
      </c>
      <c r="N19" s="427">
        <f t="shared" si="3"/>
        <v>14.990650934203339</v>
      </c>
      <c r="O19" s="426">
        <v>20.340614634146341</v>
      </c>
      <c r="P19" s="426">
        <f t="shared" si="5"/>
        <v>3.7320254931714718</v>
      </c>
      <c r="Q19" s="426"/>
      <c r="R19" s="532">
        <f t="shared" si="6"/>
        <v>1.3268952772777317E-2</v>
      </c>
    </row>
    <row r="20" spans="1:18" s="6" customFormat="1" ht="15.75">
      <c r="A20" s="309">
        <v>15</v>
      </c>
      <c r="B20" s="305" t="s">
        <v>697</v>
      </c>
      <c r="C20" s="330">
        <v>8566.1200000000008</v>
      </c>
      <c r="D20" s="330"/>
      <c r="E20" s="330"/>
      <c r="F20" s="438">
        <f t="shared" si="4"/>
        <v>8566.1200000000008</v>
      </c>
      <c r="G20" s="404">
        <v>1100</v>
      </c>
      <c r="H20" s="404">
        <v>0</v>
      </c>
      <c r="I20" s="404">
        <v>5000</v>
      </c>
      <c r="J20" s="404">
        <v>170</v>
      </c>
      <c r="K20" s="593">
        <f t="shared" si="0"/>
        <v>0</v>
      </c>
      <c r="L20" s="593">
        <f t="shared" si="1"/>
        <v>2.3216995447647951E-2</v>
      </c>
      <c r="M20" s="426">
        <f t="shared" si="2"/>
        <v>46.828911987860394</v>
      </c>
      <c r="N20" s="427">
        <f t="shared" si="3"/>
        <v>17.218990937936269</v>
      </c>
      <c r="O20" s="426">
        <v>23.36421951219512</v>
      </c>
      <c r="P20" s="426">
        <f t="shared" si="5"/>
        <v>4.2867860394537169</v>
      </c>
      <c r="Q20" s="426"/>
      <c r="R20" s="532">
        <f t="shared" si="6"/>
        <v>1.0704835850705511E-2</v>
      </c>
    </row>
    <row r="21" spans="1:18" s="6" customFormat="1" ht="15.75">
      <c r="A21" s="309">
        <v>16</v>
      </c>
      <c r="B21" s="305" t="s">
        <v>698</v>
      </c>
      <c r="C21" s="330">
        <v>5774.55</v>
      </c>
      <c r="D21" s="330">
        <v>201.5</v>
      </c>
      <c r="E21" s="330"/>
      <c r="F21" s="438">
        <f t="shared" si="4"/>
        <v>5976.05</v>
      </c>
      <c r="G21" s="404">
        <v>1100</v>
      </c>
      <c r="H21" s="404">
        <v>0</v>
      </c>
      <c r="I21" s="404">
        <v>5000</v>
      </c>
      <c r="J21" s="404">
        <v>250</v>
      </c>
      <c r="K21" s="593">
        <f t="shared" si="0"/>
        <v>0</v>
      </c>
      <c r="L21" s="593">
        <f t="shared" si="1"/>
        <v>3.4142640364188161E-2</v>
      </c>
      <c r="M21" s="426">
        <f t="shared" si="2"/>
        <v>68.866047040971168</v>
      </c>
      <c r="N21" s="427">
        <f t="shared" si="3"/>
        <v>25.322045496965099</v>
      </c>
      <c r="O21" s="426">
        <v>34.359146341463408</v>
      </c>
      <c r="P21" s="426">
        <f t="shared" si="5"/>
        <v>6.3040971168437014</v>
      </c>
      <c r="Q21" s="426"/>
      <c r="R21" s="532">
        <f t="shared" si="6"/>
        <v>2.2565295805129372E-2</v>
      </c>
    </row>
    <row r="22" spans="1:18" s="6" customFormat="1" ht="15.75">
      <c r="A22" s="309">
        <v>17</v>
      </c>
      <c r="B22" s="305" t="s">
        <v>699</v>
      </c>
      <c r="C22" s="330">
        <v>3226.62</v>
      </c>
      <c r="D22" s="330"/>
      <c r="E22" s="330"/>
      <c r="F22" s="438">
        <f t="shared" si="4"/>
        <v>3226.62</v>
      </c>
      <c r="G22" s="404">
        <v>1100</v>
      </c>
      <c r="H22" s="404">
        <v>0</v>
      </c>
      <c r="I22" s="404">
        <v>5000</v>
      </c>
      <c r="J22" s="404">
        <v>62</v>
      </c>
      <c r="K22" s="593">
        <f t="shared" si="0"/>
        <v>0</v>
      </c>
      <c r="L22" s="593">
        <f t="shared" si="1"/>
        <v>8.4673748103186643E-3</v>
      </c>
      <c r="M22" s="426">
        <f t="shared" si="2"/>
        <v>17.078779666160848</v>
      </c>
      <c r="N22" s="427">
        <f t="shared" si="3"/>
        <v>6.2798672832473441</v>
      </c>
      <c r="O22" s="426">
        <v>8.5210682926829264</v>
      </c>
      <c r="P22" s="426">
        <f t="shared" si="5"/>
        <v>1.5634160849772381</v>
      </c>
      <c r="Q22" s="426"/>
      <c r="R22" s="532">
        <f t="shared" si="6"/>
        <v>1.0364756719746472E-2</v>
      </c>
    </row>
    <row r="23" spans="1:18" s="6" customFormat="1" ht="15.75">
      <c r="A23" s="309">
        <v>18</v>
      </c>
      <c r="B23" s="305" t="s">
        <v>700</v>
      </c>
      <c r="C23" s="330">
        <v>3233.9</v>
      </c>
      <c r="D23" s="330"/>
      <c r="E23" s="330"/>
      <c r="F23" s="438">
        <f t="shared" si="4"/>
        <v>3233.9</v>
      </c>
      <c r="G23" s="404">
        <v>1100</v>
      </c>
      <c r="H23" s="404">
        <v>0</v>
      </c>
      <c r="I23" s="404">
        <v>5000</v>
      </c>
      <c r="J23" s="404">
        <v>62</v>
      </c>
      <c r="K23" s="593">
        <f t="shared" si="0"/>
        <v>0</v>
      </c>
      <c r="L23" s="593">
        <f t="shared" si="1"/>
        <v>8.4673748103186643E-3</v>
      </c>
      <c r="M23" s="426">
        <f t="shared" si="2"/>
        <v>17.078779666160848</v>
      </c>
      <c r="N23" s="427">
        <f t="shared" si="3"/>
        <v>6.2798672832473441</v>
      </c>
      <c r="O23" s="426">
        <v>8.5210682926829264</v>
      </c>
      <c r="P23" s="426">
        <f t="shared" si="5"/>
        <v>1.5634160849772381</v>
      </c>
      <c r="Q23" s="426"/>
      <c r="R23" s="532">
        <f t="shared" si="6"/>
        <v>1.0341424078378538E-2</v>
      </c>
    </row>
    <row r="24" spans="1:18" s="6" customFormat="1" ht="15.75">
      <c r="A24" s="309">
        <v>19</v>
      </c>
      <c r="B24" s="305" t="s">
        <v>701</v>
      </c>
      <c r="C24" s="330">
        <v>6095.4</v>
      </c>
      <c r="D24" s="330"/>
      <c r="E24" s="330"/>
      <c r="F24" s="438">
        <f t="shared" si="4"/>
        <v>6095.4</v>
      </c>
      <c r="G24" s="404">
        <v>1100</v>
      </c>
      <c r="H24" s="404">
        <v>0</v>
      </c>
      <c r="I24" s="404">
        <v>5000</v>
      </c>
      <c r="J24" s="404">
        <v>250</v>
      </c>
      <c r="K24" s="593">
        <f t="shared" si="0"/>
        <v>0</v>
      </c>
      <c r="L24" s="593">
        <f t="shared" si="1"/>
        <v>3.4142640364188161E-2</v>
      </c>
      <c r="M24" s="426">
        <f t="shared" si="2"/>
        <v>68.866047040971168</v>
      </c>
      <c r="N24" s="427">
        <f t="shared" si="3"/>
        <v>25.322045496965099</v>
      </c>
      <c r="O24" s="426">
        <v>34.359146341463408</v>
      </c>
      <c r="P24" s="426">
        <f t="shared" si="5"/>
        <v>6.3040971168437014</v>
      </c>
      <c r="Q24" s="426"/>
      <c r="R24" s="532">
        <f t="shared" si="6"/>
        <v>2.2123459657486532E-2</v>
      </c>
    </row>
    <row r="25" spans="1:18" s="6" customFormat="1" ht="15.75">
      <c r="A25" s="309">
        <v>20</v>
      </c>
      <c r="B25" s="305" t="s">
        <v>702</v>
      </c>
      <c r="C25" s="330">
        <v>6384.91</v>
      </c>
      <c r="D25" s="330"/>
      <c r="E25" s="330"/>
      <c r="F25" s="438">
        <f t="shared" si="4"/>
        <v>6384.91</v>
      </c>
      <c r="G25" s="404">
        <v>1100</v>
      </c>
      <c r="H25" s="404">
        <v>0</v>
      </c>
      <c r="I25" s="404">
        <v>5000</v>
      </c>
      <c r="J25" s="404">
        <v>148</v>
      </c>
      <c r="K25" s="593">
        <f t="shared" si="0"/>
        <v>0</v>
      </c>
      <c r="L25" s="593">
        <f t="shared" si="1"/>
        <v>2.0212443095599393E-2</v>
      </c>
      <c r="M25" s="426">
        <f t="shared" si="2"/>
        <v>40.768699848254933</v>
      </c>
      <c r="N25" s="427">
        <f t="shared" si="3"/>
        <v>14.990650934203339</v>
      </c>
      <c r="O25" s="426">
        <v>20.340614634146341</v>
      </c>
      <c r="P25" s="426">
        <f t="shared" si="5"/>
        <v>3.7320254931714718</v>
      </c>
      <c r="Q25" s="426"/>
      <c r="R25" s="532">
        <f t="shared" si="6"/>
        <v>1.2503228848922864E-2</v>
      </c>
    </row>
    <row r="26" spans="1:18" s="6" customFormat="1" ht="15.75">
      <c r="A26" s="309">
        <v>21</v>
      </c>
      <c r="B26" s="305" t="s">
        <v>703</v>
      </c>
      <c r="C26" s="330">
        <v>3929.49</v>
      </c>
      <c r="D26" s="330">
        <v>464.4</v>
      </c>
      <c r="E26" s="330"/>
      <c r="F26" s="438">
        <f t="shared" si="4"/>
        <v>4393.8899999999994</v>
      </c>
      <c r="G26" s="404">
        <v>1100</v>
      </c>
      <c r="H26" s="404">
        <v>0</v>
      </c>
      <c r="I26" s="404">
        <v>5000</v>
      </c>
      <c r="J26" s="404">
        <v>190</v>
      </c>
      <c r="K26" s="593">
        <f t="shared" si="0"/>
        <v>0</v>
      </c>
      <c r="L26" s="593">
        <f t="shared" si="1"/>
        <v>2.5948406676783001E-2</v>
      </c>
      <c r="M26" s="426">
        <f t="shared" si="2"/>
        <v>52.33819575113808</v>
      </c>
      <c r="N26" s="427">
        <f t="shared" si="3"/>
        <v>19.244754577693474</v>
      </c>
      <c r="O26" s="426">
        <v>26.112951219512194</v>
      </c>
      <c r="P26" s="426">
        <f t="shared" si="5"/>
        <v>4.7911138088012128</v>
      </c>
      <c r="Q26" s="426"/>
      <c r="R26" s="532">
        <f t="shared" si="6"/>
        <v>2.3324893285254066E-2</v>
      </c>
    </row>
    <row r="27" spans="1:18" s="6" customFormat="1" ht="15.75">
      <c r="A27" s="309">
        <v>22</v>
      </c>
      <c r="B27" s="305" t="s">
        <v>704</v>
      </c>
      <c r="C27" s="330">
        <v>7174.09</v>
      </c>
      <c r="D27" s="330"/>
      <c r="E27" s="330"/>
      <c r="F27" s="438">
        <f t="shared" si="4"/>
        <v>7174.09</v>
      </c>
      <c r="G27" s="404">
        <v>1100</v>
      </c>
      <c r="H27" s="404">
        <v>0</v>
      </c>
      <c r="I27" s="404">
        <v>5000</v>
      </c>
      <c r="J27" s="404">
        <v>306</v>
      </c>
      <c r="K27" s="593">
        <f t="shared" si="0"/>
        <v>0</v>
      </c>
      <c r="L27" s="593">
        <f t="shared" si="1"/>
        <v>4.179059180576631E-2</v>
      </c>
      <c r="M27" s="426">
        <f t="shared" si="2"/>
        <v>84.292041578148698</v>
      </c>
      <c r="N27" s="427">
        <f t="shared" si="3"/>
        <v>30.994183688285279</v>
      </c>
      <c r="O27" s="426">
        <v>42.055595121951214</v>
      </c>
      <c r="P27" s="426">
        <f t="shared" si="5"/>
        <v>7.7162148710166907</v>
      </c>
      <c r="Q27" s="426"/>
      <c r="R27" s="532">
        <f t="shared" si="6"/>
        <v>2.3007522244549748E-2</v>
      </c>
    </row>
    <row r="28" spans="1:18" s="6" customFormat="1" ht="15.75">
      <c r="A28" s="309">
        <v>23</v>
      </c>
      <c r="B28" s="305" t="s">
        <v>705</v>
      </c>
      <c r="C28" s="330">
        <v>3836.07</v>
      </c>
      <c r="D28" s="330"/>
      <c r="E28" s="330">
        <v>416</v>
      </c>
      <c r="F28" s="438">
        <f t="shared" si="4"/>
        <v>4252.07</v>
      </c>
      <c r="G28" s="404">
        <v>1100</v>
      </c>
      <c r="H28" s="404">
        <v>0</v>
      </c>
      <c r="I28" s="404">
        <v>5000</v>
      </c>
      <c r="J28" s="404">
        <v>190</v>
      </c>
      <c r="K28" s="593">
        <f t="shared" si="0"/>
        <v>0</v>
      </c>
      <c r="L28" s="593">
        <f t="shared" si="1"/>
        <v>2.5948406676783001E-2</v>
      </c>
      <c r="M28" s="426">
        <f t="shared" si="2"/>
        <v>52.33819575113808</v>
      </c>
      <c r="N28" s="427">
        <f t="shared" si="3"/>
        <v>19.244754577693474</v>
      </c>
      <c r="O28" s="426">
        <v>26.112951219512194</v>
      </c>
      <c r="P28" s="426">
        <f t="shared" si="5"/>
        <v>4.7911138088012128</v>
      </c>
      <c r="Q28" s="426"/>
      <c r="R28" s="532">
        <f t="shared" si="6"/>
        <v>2.4102852341834676E-2</v>
      </c>
    </row>
    <row r="29" spans="1:18" s="6" customFormat="1" ht="15.75">
      <c r="A29" s="309">
        <v>24</v>
      </c>
      <c r="B29" s="305" t="s">
        <v>706</v>
      </c>
      <c r="C29" s="330">
        <v>2413.89</v>
      </c>
      <c r="D29" s="330"/>
      <c r="E29" s="330"/>
      <c r="F29" s="438">
        <f t="shared" si="4"/>
        <v>2413.89</v>
      </c>
      <c r="G29" s="404">
        <v>1100</v>
      </c>
      <c r="H29" s="404">
        <v>0</v>
      </c>
      <c r="I29" s="404">
        <v>5000</v>
      </c>
      <c r="J29" s="404">
        <v>60</v>
      </c>
      <c r="K29" s="593">
        <f t="shared" si="0"/>
        <v>0</v>
      </c>
      <c r="L29" s="593">
        <f t="shared" si="1"/>
        <v>8.1942336874051593E-3</v>
      </c>
      <c r="M29" s="426">
        <f t="shared" si="2"/>
        <v>16.52785128983308</v>
      </c>
      <c r="N29" s="427">
        <f t="shared" si="3"/>
        <v>6.0772909192716238</v>
      </c>
      <c r="O29" s="426">
        <v>8.2461951219512191</v>
      </c>
      <c r="P29" s="426">
        <f t="shared" si="5"/>
        <v>1.5129833080424886</v>
      </c>
      <c r="Q29" s="426"/>
      <c r="R29" s="532">
        <f t="shared" si="6"/>
        <v>1.3407537476479214E-2</v>
      </c>
    </row>
    <row r="30" spans="1:18" s="6" customFormat="1" ht="15.75">
      <c r="A30" s="309">
        <v>25</v>
      </c>
      <c r="B30" s="305" t="s">
        <v>707</v>
      </c>
      <c r="C30" s="330">
        <v>6323.28</v>
      </c>
      <c r="D30" s="330"/>
      <c r="E30" s="330"/>
      <c r="F30" s="438">
        <f t="shared" si="4"/>
        <v>6323.28</v>
      </c>
      <c r="G30" s="404">
        <v>1100</v>
      </c>
      <c r="H30" s="404">
        <v>0</v>
      </c>
      <c r="I30" s="404">
        <v>5000</v>
      </c>
      <c r="J30" s="404">
        <v>148</v>
      </c>
      <c r="K30" s="593">
        <f t="shared" si="0"/>
        <v>0</v>
      </c>
      <c r="L30" s="593">
        <f t="shared" si="1"/>
        <v>2.0212443095599393E-2</v>
      </c>
      <c r="M30" s="426">
        <f t="shared" si="2"/>
        <v>40.768699848254933</v>
      </c>
      <c r="N30" s="427">
        <f t="shared" si="3"/>
        <v>14.990650934203339</v>
      </c>
      <c r="O30" s="426">
        <v>20.340614634146341</v>
      </c>
      <c r="P30" s="426">
        <f t="shared" si="5"/>
        <v>3.7320254931714718</v>
      </c>
      <c r="Q30" s="426"/>
      <c r="R30" s="532">
        <f t="shared" si="6"/>
        <v>1.262509186842526E-2</v>
      </c>
    </row>
    <row r="31" spans="1:18" s="6" customFormat="1" ht="15.75">
      <c r="A31" s="309">
        <v>26</v>
      </c>
      <c r="B31" s="305" t="s">
        <v>708</v>
      </c>
      <c r="C31" s="330">
        <v>4396.59</v>
      </c>
      <c r="D31" s="330"/>
      <c r="E31" s="330"/>
      <c r="F31" s="438">
        <f t="shared" si="4"/>
        <v>4396.59</v>
      </c>
      <c r="G31" s="404">
        <v>1100</v>
      </c>
      <c r="H31" s="404">
        <v>0</v>
      </c>
      <c r="I31" s="404">
        <v>5000</v>
      </c>
      <c r="J31" s="404">
        <v>74</v>
      </c>
      <c r="K31" s="593">
        <f t="shared" si="0"/>
        <v>0</v>
      </c>
      <c r="L31" s="593">
        <f t="shared" si="1"/>
        <v>1.0106221547799697E-2</v>
      </c>
      <c r="M31" s="426">
        <f t="shared" si="2"/>
        <v>20.384349924127466</v>
      </c>
      <c r="N31" s="427">
        <f t="shared" si="3"/>
        <v>7.4953254671016696</v>
      </c>
      <c r="O31" s="426">
        <v>10.170307317073171</v>
      </c>
      <c r="P31" s="426">
        <f t="shared" si="5"/>
        <v>1.8660127465857359</v>
      </c>
      <c r="Q31" s="426"/>
      <c r="R31" s="532">
        <f t="shared" si="6"/>
        <v>9.07885326011478E-3</v>
      </c>
    </row>
    <row r="32" spans="1:18" s="6" customFormat="1" ht="15.75">
      <c r="A32" s="309">
        <v>27</v>
      </c>
      <c r="B32" s="305" t="s">
        <v>709</v>
      </c>
      <c r="C32" s="330">
        <v>6702.46</v>
      </c>
      <c r="D32" s="330"/>
      <c r="E32" s="330"/>
      <c r="F32" s="438">
        <f t="shared" si="4"/>
        <v>6702.46</v>
      </c>
      <c r="G32" s="404">
        <v>1100</v>
      </c>
      <c r="H32" s="404">
        <v>0</v>
      </c>
      <c r="I32" s="404">
        <v>5000</v>
      </c>
      <c r="J32" s="404">
        <v>112</v>
      </c>
      <c r="K32" s="593">
        <f t="shared" si="0"/>
        <v>0</v>
      </c>
      <c r="L32" s="593">
        <f t="shared" si="1"/>
        <v>1.5295902883156296E-2</v>
      </c>
      <c r="M32" s="426">
        <f t="shared" si="2"/>
        <v>30.851989074355082</v>
      </c>
      <c r="N32" s="427">
        <f t="shared" si="3"/>
        <v>11.344276382640365</v>
      </c>
      <c r="O32" s="426">
        <v>15.39289756097561</v>
      </c>
      <c r="P32" s="426">
        <f t="shared" si="5"/>
        <v>2.8242355083459785</v>
      </c>
      <c r="Q32" s="426"/>
      <c r="R32" s="532">
        <f t="shared" si="6"/>
        <v>9.0136156763810666E-3</v>
      </c>
    </row>
    <row r="33" spans="1:25" s="6" customFormat="1" ht="15.75">
      <c r="A33" s="309">
        <v>28</v>
      </c>
      <c r="B33" s="305" t="s">
        <v>710</v>
      </c>
      <c r="C33" s="330">
        <v>6185.24</v>
      </c>
      <c r="D33" s="330"/>
      <c r="E33" s="330"/>
      <c r="F33" s="438">
        <f t="shared" si="4"/>
        <v>6185.24</v>
      </c>
      <c r="G33" s="404">
        <v>1100</v>
      </c>
      <c r="H33" s="404">
        <v>0</v>
      </c>
      <c r="I33" s="404">
        <v>5000</v>
      </c>
      <c r="J33" s="404">
        <v>112</v>
      </c>
      <c r="K33" s="593">
        <f t="shared" si="0"/>
        <v>0</v>
      </c>
      <c r="L33" s="593">
        <f t="shared" si="1"/>
        <v>1.5295902883156296E-2</v>
      </c>
      <c r="M33" s="426">
        <f t="shared" si="2"/>
        <v>30.851989074355082</v>
      </c>
      <c r="N33" s="427">
        <f t="shared" si="3"/>
        <v>11.344276382640365</v>
      </c>
      <c r="O33" s="426">
        <v>15.39289756097561</v>
      </c>
      <c r="P33" s="426">
        <f t="shared" si="5"/>
        <v>2.8242355083459785</v>
      </c>
      <c r="Q33" s="426"/>
      <c r="R33" s="532">
        <f t="shared" si="6"/>
        <v>9.767349128945205E-3</v>
      </c>
    </row>
    <row r="34" spans="1:25" s="6" customFormat="1" ht="15.75">
      <c r="A34" s="309">
        <v>29</v>
      </c>
      <c r="B34" s="305" t="s">
        <v>711</v>
      </c>
      <c r="C34" s="330">
        <v>6856.85</v>
      </c>
      <c r="D34" s="330"/>
      <c r="E34" s="330"/>
      <c r="F34" s="438">
        <f t="shared" si="4"/>
        <v>6856.85</v>
      </c>
      <c r="G34" s="404">
        <v>1100</v>
      </c>
      <c r="H34" s="404">
        <v>0</v>
      </c>
      <c r="I34" s="404">
        <v>5000</v>
      </c>
      <c r="J34" s="404">
        <v>112</v>
      </c>
      <c r="K34" s="593">
        <f t="shared" si="0"/>
        <v>0</v>
      </c>
      <c r="L34" s="593">
        <f t="shared" si="1"/>
        <v>1.5295902883156296E-2</v>
      </c>
      <c r="M34" s="426">
        <f t="shared" si="2"/>
        <v>30.851989074355082</v>
      </c>
      <c r="N34" s="427">
        <f t="shared" si="3"/>
        <v>11.344276382640365</v>
      </c>
      <c r="O34" s="426">
        <v>15.39289756097561</v>
      </c>
      <c r="P34" s="426">
        <f t="shared" si="5"/>
        <v>2.8242355083459785</v>
      </c>
      <c r="Q34" s="426"/>
      <c r="R34" s="532">
        <f t="shared" si="6"/>
        <v>8.8106635738447008E-3</v>
      </c>
    </row>
    <row r="35" spans="1:25" s="6" customFormat="1" ht="15.75">
      <c r="A35" s="309">
        <v>30</v>
      </c>
      <c r="B35" s="305" t="s">
        <v>712</v>
      </c>
      <c r="C35" s="330">
        <v>6358.97</v>
      </c>
      <c r="D35" s="330"/>
      <c r="E35" s="330"/>
      <c r="F35" s="438">
        <f t="shared" si="4"/>
        <v>6358.97</v>
      </c>
      <c r="G35" s="404">
        <v>1100</v>
      </c>
      <c r="H35" s="404">
        <v>0</v>
      </c>
      <c r="I35" s="404">
        <v>5000</v>
      </c>
      <c r="J35" s="404">
        <v>174</v>
      </c>
      <c r="K35" s="593">
        <f t="shared" si="0"/>
        <v>0</v>
      </c>
      <c r="L35" s="593">
        <f t="shared" si="1"/>
        <v>2.3763277693474961E-2</v>
      </c>
      <c r="M35" s="426">
        <f t="shared" si="2"/>
        <v>47.93076874051593</v>
      </c>
      <c r="N35" s="427">
        <f t="shared" si="3"/>
        <v>17.624143665887708</v>
      </c>
      <c r="O35" s="426">
        <v>23.913965853658535</v>
      </c>
      <c r="P35" s="426">
        <f t="shared" si="5"/>
        <v>4.3876515933232163</v>
      </c>
      <c r="Q35" s="426"/>
      <c r="R35" s="532">
        <f t="shared" si="6"/>
        <v>1.4759706344484308E-2</v>
      </c>
    </row>
    <row r="36" spans="1:25" s="6" customFormat="1" ht="15.75">
      <c r="A36" s="309">
        <v>31</v>
      </c>
      <c r="B36" s="305" t="s">
        <v>713</v>
      </c>
      <c r="C36" s="330">
        <v>4302.43</v>
      </c>
      <c r="D36" s="330"/>
      <c r="E36" s="330"/>
      <c r="F36" s="438">
        <f t="shared" si="4"/>
        <v>4302.43</v>
      </c>
      <c r="G36" s="404">
        <v>1100</v>
      </c>
      <c r="H36" s="404">
        <v>0</v>
      </c>
      <c r="I36" s="404">
        <v>5000</v>
      </c>
      <c r="J36" s="404">
        <v>114</v>
      </c>
      <c r="K36" s="593">
        <f t="shared" si="0"/>
        <v>0</v>
      </c>
      <c r="L36" s="593">
        <f t="shared" si="1"/>
        <v>1.5569044006069802E-2</v>
      </c>
      <c r="M36" s="426">
        <f t="shared" si="2"/>
        <v>31.40291745068285</v>
      </c>
      <c r="N36" s="427">
        <f t="shared" si="3"/>
        <v>11.546852746616084</v>
      </c>
      <c r="O36" s="426">
        <v>15.667770731707318</v>
      </c>
      <c r="P36" s="426">
        <f t="shared" si="5"/>
        <v>2.8746682852807282</v>
      </c>
      <c r="Q36" s="426"/>
      <c r="R36" s="532">
        <f t="shared" si="6"/>
        <v>1.4292436882014809E-2</v>
      </c>
    </row>
    <row r="37" spans="1:25" s="6" customFormat="1" ht="15.75">
      <c r="A37" s="309">
        <v>32</v>
      </c>
      <c r="B37" s="305" t="s">
        <v>714</v>
      </c>
      <c r="C37" s="330">
        <v>4355.7</v>
      </c>
      <c r="D37" s="330"/>
      <c r="E37" s="330"/>
      <c r="F37" s="438">
        <f t="shared" si="4"/>
        <v>4355.7</v>
      </c>
      <c r="G37" s="404">
        <v>1100</v>
      </c>
      <c r="H37" s="404">
        <v>0</v>
      </c>
      <c r="I37" s="404">
        <v>5000</v>
      </c>
      <c r="J37" s="404">
        <v>74</v>
      </c>
      <c r="K37" s="593">
        <f t="shared" si="0"/>
        <v>0</v>
      </c>
      <c r="L37" s="593">
        <f t="shared" si="1"/>
        <v>1.0106221547799697E-2</v>
      </c>
      <c r="M37" s="426">
        <f t="shared" si="2"/>
        <v>20.384349924127466</v>
      </c>
      <c r="N37" s="427">
        <f t="shared" si="3"/>
        <v>7.4953254671016696</v>
      </c>
      <c r="O37" s="426">
        <v>10.170307317073171</v>
      </c>
      <c r="P37" s="426">
        <f t="shared" si="5"/>
        <v>1.8660127465857359</v>
      </c>
      <c r="Q37" s="426"/>
      <c r="R37" s="532">
        <f t="shared" si="6"/>
        <v>9.1640828006722321E-3</v>
      </c>
    </row>
    <row r="38" spans="1:25" s="6" customFormat="1" ht="15.75">
      <c r="A38" s="309">
        <v>33</v>
      </c>
      <c r="B38" s="305" t="s">
        <v>715</v>
      </c>
      <c r="C38" s="330">
        <v>61.3</v>
      </c>
      <c r="D38" s="330"/>
      <c r="E38" s="330"/>
      <c r="F38" s="438">
        <f t="shared" si="4"/>
        <v>61.3</v>
      </c>
      <c r="G38" s="404">
        <v>1100</v>
      </c>
      <c r="H38" s="404">
        <v>3</v>
      </c>
      <c r="I38" s="404">
        <v>5000</v>
      </c>
      <c r="J38" s="404">
        <v>3</v>
      </c>
      <c r="K38" s="593">
        <f t="shared" si="0"/>
        <v>2.8301886792452833E-3</v>
      </c>
      <c r="L38" s="593">
        <f t="shared" si="1"/>
        <v>4.0971168437025794E-4</v>
      </c>
      <c r="M38" s="426">
        <f t="shared" si="2"/>
        <v>6.534911432416183</v>
      </c>
      <c r="N38" s="427">
        <f t="shared" si="3"/>
        <v>2.4028869336994307</v>
      </c>
      <c r="O38" s="426">
        <v>2.8930833410032215</v>
      </c>
      <c r="P38" s="426">
        <f t="shared" si="5"/>
        <v>7.8479354081369704E-2</v>
      </c>
      <c r="Q38" s="426"/>
      <c r="R38" s="532">
        <f t="shared" si="6"/>
        <v>0.19427995205873091</v>
      </c>
      <c r="S38" s="6">
        <v>2.8301886792452833E-3</v>
      </c>
      <c r="T38" s="6">
        <v>4.7038327526132404E-4</v>
      </c>
      <c r="U38" s="6">
        <v>5.786166682006443</v>
      </c>
      <c r="V38" s="6">
        <v>2.1275734889737694</v>
      </c>
      <c r="W38" s="6">
        <v>2.8930833410032215</v>
      </c>
      <c r="X38" s="6">
        <v>8.9681756623496145E-2</v>
      </c>
      <c r="Y38" s="6">
        <v>0.17775701906373459</v>
      </c>
    </row>
    <row r="39" spans="1:25" s="6" customFormat="1" ht="15.75">
      <c r="A39" s="309">
        <v>34</v>
      </c>
      <c r="B39" s="305" t="s">
        <v>716</v>
      </c>
      <c r="C39" s="330">
        <v>105.7</v>
      </c>
      <c r="D39" s="330"/>
      <c r="E39" s="330"/>
      <c r="F39" s="438">
        <f t="shared" si="4"/>
        <v>105.7</v>
      </c>
      <c r="G39" s="404">
        <v>1100</v>
      </c>
      <c r="H39" s="404">
        <v>4</v>
      </c>
      <c r="I39" s="404">
        <v>5000</v>
      </c>
      <c r="J39" s="404">
        <v>4</v>
      </c>
      <c r="K39" s="593">
        <v>3.7735849056603774E-3</v>
      </c>
      <c r="L39" s="593">
        <v>6.2717770034843206E-4</v>
      </c>
      <c r="M39" s="426">
        <f t="shared" si="2"/>
        <v>8.8763821839458288</v>
      </c>
      <c r="N39" s="427">
        <f t="shared" si="3"/>
        <v>3.2638457290368814</v>
      </c>
      <c r="O39" s="426">
        <v>3.8574444546709619</v>
      </c>
      <c r="P39" s="426">
        <f t="shared" si="5"/>
        <v>0.11957567549799486</v>
      </c>
      <c r="Q39" s="426"/>
      <c r="R39" s="532">
        <f t="shared" si="6"/>
        <v>0.15248106001089565</v>
      </c>
    </row>
    <row r="40" spans="1:25" s="6" customFormat="1" ht="15.75">
      <c r="A40" s="309">
        <v>35</v>
      </c>
      <c r="B40" s="305" t="s">
        <v>717</v>
      </c>
      <c r="C40" s="330">
        <v>124.1</v>
      </c>
      <c r="D40" s="330"/>
      <c r="E40" s="330"/>
      <c r="F40" s="438">
        <f t="shared" si="4"/>
        <v>124.1</v>
      </c>
      <c r="G40" s="404">
        <v>1100</v>
      </c>
      <c r="H40" s="404">
        <v>4</v>
      </c>
      <c r="I40" s="404">
        <v>5000</v>
      </c>
      <c r="J40" s="404">
        <v>4</v>
      </c>
      <c r="K40" s="593">
        <f t="shared" si="0"/>
        <v>3.7735849056603774E-3</v>
      </c>
      <c r="L40" s="593">
        <f t="shared" si="1"/>
        <v>5.4628224582701059E-4</v>
      </c>
      <c r="M40" s="426">
        <f t="shared" si="2"/>
        <v>8.7132152432215779</v>
      </c>
      <c r="N40" s="427">
        <f t="shared" si="3"/>
        <v>3.2038492449325746</v>
      </c>
      <c r="O40" s="426">
        <v>3.8574444546709619</v>
      </c>
      <c r="P40" s="426">
        <f t="shared" si="5"/>
        <v>0.10463913877515961</v>
      </c>
      <c r="Q40" s="426"/>
      <c r="R40" s="532">
        <f t="shared" si="6"/>
        <v>0.12795445674133984</v>
      </c>
    </row>
    <row r="41" spans="1:25" s="6" customFormat="1" ht="15.75">
      <c r="A41" s="309">
        <v>36</v>
      </c>
      <c r="B41" s="305" t="s">
        <v>718</v>
      </c>
      <c r="C41" s="330">
        <v>2349.19</v>
      </c>
      <c r="D41" s="330"/>
      <c r="E41" s="330"/>
      <c r="F41" s="438">
        <f t="shared" si="4"/>
        <v>2349.19</v>
      </c>
      <c r="G41" s="404">
        <v>1100</v>
      </c>
      <c r="H41" s="404">
        <v>0</v>
      </c>
      <c r="I41" s="404">
        <v>5000</v>
      </c>
      <c r="J41" s="404">
        <v>60</v>
      </c>
      <c r="K41" s="593">
        <f t="shared" si="0"/>
        <v>0</v>
      </c>
      <c r="L41" s="593">
        <f t="shared" si="1"/>
        <v>8.1942336874051593E-3</v>
      </c>
      <c r="M41" s="426">
        <f t="shared" si="2"/>
        <v>16.52785128983308</v>
      </c>
      <c r="N41" s="427">
        <f t="shared" si="3"/>
        <v>6.0772909192716238</v>
      </c>
      <c r="O41" s="426">
        <v>8.2461951219512191</v>
      </c>
      <c r="P41" s="426">
        <f t="shared" si="5"/>
        <v>1.5129833080424886</v>
      </c>
      <c r="Q41" s="426"/>
      <c r="R41" s="532">
        <f t="shared" si="6"/>
        <v>1.3776799934913059E-2</v>
      </c>
    </row>
    <row r="42" spans="1:25" s="6" customFormat="1" ht="15.75">
      <c r="A42" s="309">
        <v>37</v>
      </c>
      <c r="B42" s="305" t="s">
        <v>719</v>
      </c>
      <c r="C42" s="330">
        <v>3321.01</v>
      </c>
      <c r="D42" s="330"/>
      <c r="E42" s="330"/>
      <c r="F42" s="438">
        <f t="shared" si="4"/>
        <v>3321.01</v>
      </c>
      <c r="G42" s="404">
        <v>1100</v>
      </c>
      <c r="H42" s="404">
        <v>0</v>
      </c>
      <c r="I42" s="404">
        <v>5000</v>
      </c>
      <c r="J42" s="404">
        <v>60</v>
      </c>
      <c r="K42" s="593">
        <f t="shared" si="0"/>
        <v>0</v>
      </c>
      <c r="L42" s="593">
        <f t="shared" si="1"/>
        <v>8.1942336874051593E-3</v>
      </c>
      <c r="M42" s="426">
        <f t="shared" si="2"/>
        <v>16.52785128983308</v>
      </c>
      <c r="N42" s="427">
        <f t="shared" si="3"/>
        <v>6.0772909192716238</v>
      </c>
      <c r="O42" s="426">
        <v>8.2461951219512191</v>
      </c>
      <c r="P42" s="426">
        <f t="shared" si="5"/>
        <v>1.5129833080424886</v>
      </c>
      <c r="Q42" s="426"/>
      <c r="R42" s="532">
        <f t="shared" si="6"/>
        <v>9.7453246569864007E-3</v>
      </c>
    </row>
    <row r="43" spans="1:25" s="6" customFormat="1" ht="15.75">
      <c r="A43" s="309">
        <v>38</v>
      </c>
      <c r="B43" s="305" t="s">
        <v>720</v>
      </c>
      <c r="C43" s="330">
        <v>3969.9</v>
      </c>
      <c r="D43" s="330"/>
      <c r="E43" s="330"/>
      <c r="F43" s="438">
        <f t="shared" si="4"/>
        <v>3969.9</v>
      </c>
      <c r="G43" s="404">
        <v>1100</v>
      </c>
      <c r="H43" s="404">
        <v>0</v>
      </c>
      <c r="I43" s="404">
        <v>5000</v>
      </c>
      <c r="J43" s="404">
        <v>102</v>
      </c>
      <c r="K43" s="593">
        <f t="shared" si="0"/>
        <v>0</v>
      </c>
      <c r="L43" s="593">
        <f t="shared" si="1"/>
        <v>1.3930197268588769E-2</v>
      </c>
      <c r="M43" s="426">
        <f t="shared" si="2"/>
        <v>28.097347192716235</v>
      </c>
      <c r="N43" s="427">
        <f t="shared" si="3"/>
        <v>10.33139456276176</v>
      </c>
      <c r="O43" s="426">
        <v>14.018531707317072</v>
      </c>
      <c r="P43" s="426">
        <f t="shared" si="5"/>
        <v>2.5720716236722301</v>
      </c>
      <c r="Q43" s="426"/>
      <c r="R43" s="532">
        <f t="shared" si="6"/>
        <v>1.3859126196243557E-2</v>
      </c>
    </row>
    <row r="44" spans="1:25" s="6" customFormat="1" ht="15.75">
      <c r="A44" s="309">
        <v>39</v>
      </c>
      <c r="B44" s="305" t="s">
        <v>721</v>
      </c>
      <c r="C44" s="330">
        <v>6582.1</v>
      </c>
      <c r="D44" s="330"/>
      <c r="E44" s="330"/>
      <c r="F44" s="438">
        <f t="shared" si="4"/>
        <v>6582.1</v>
      </c>
      <c r="G44" s="404">
        <v>1100</v>
      </c>
      <c r="H44" s="404">
        <v>0</v>
      </c>
      <c r="I44" s="404">
        <v>5000</v>
      </c>
      <c r="J44" s="404">
        <v>152</v>
      </c>
      <c r="K44" s="593">
        <f t="shared" si="0"/>
        <v>0</v>
      </c>
      <c r="L44" s="593">
        <f t="shared" si="1"/>
        <v>2.0758725341426403E-2</v>
      </c>
      <c r="M44" s="426">
        <f t="shared" si="2"/>
        <v>41.870556600910469</v>
      </c>
      <c r="N44" s="427">
        <f t="shared" si="3"/>
        <v>15.39580366215478</v>
      </c>
      <c r="O44" s="426">
        <v>20.890360975609756</v>
      </c>
      <c r="P44" s="426">
        <f t="shared" si="5"/>
        <v>3.8328910470409707</v>
      </c>
      <c r="Q44" s="426"/>
      <c r="R44" s="532">
        <f t="shared" si="6"/>
        <v>1.2456451935661257E-2</v>
      </c>
    </row>
    <row r="45" spans="1:25" s="6" customFormat="1" ht="15.75">
      <c r="A45" s="309">
        <v>40</v>
      </c>
      <c r="B45" s="305" t="s">
        <v>722</v>
      </c>
      <c r="C45" s="330">
        <v>8461.27</v>
      </c>
      <c r="D45" s="330">
        <v>287.3</v>
      </c>
      <c r="E45" s="330"/>
      <c r="F45" s="438">
        <f t="shared" si="4"/>
        <v>8748.57</v>
      </c>
      <c r="G45" s="404">
        <v>1100</v>
      </c>
      <c r="H45" s="404">
        <v>0</v>
      </c>
      <c r="I45" s="404">
        <v>5000</v>
      </c>
      <c r="J45" s="404">
        <v>306</v>
      </c>
      <c r="K45" s="593">
        <f t="shared" si="0"/>
        <v>0</v>
      </c>
      <c r="L45" s="593">
        <f t="shared" si="1"/>
        <v>4.179059180576631E-2</v>
      </c>
      <c r="M45" s="426">
        <f t="shared" si="2"/>
        <v>84.292041578148698</v>
      </c>
      <c r="N45" s="427">
        <f t="shared" si="3"/>
        <v>30.994183688285279</v>
      </c>
      <c r="O45" s="426">
        <v>42.055595121951214</v>
      </c>
      <c r="P45" s="426">
        <f t="shared" si="5"/>
        <v>7.7162148710166907</v>
      </c>
      <c r="Q45" s="426"/>
      <c r="R45" s="532">
        <f t="shared" si="6"/>
        <v>1.8866858842005254E-2</v>
      </c>
    </row>
    <row r="46" spans="1:25" s="6" customFormat="1" ht="15.75">
      <c r="A46" s="309">
        <v>41</v>
      </c>
      <c r="B46" s="305" t="s">
        <v>723</v>
      </c>
      <c r="C46" s="330">
        <v>3715.24</v>
      </c>
      <c r="D46" s="330"/>
      <c r="E46" s="330">
        <v>109.3</v>
      </c>
      <c r="F46" s="438">
        <f t="shared" si="4"/>
        <v>3824.54</v>
      </c>
      <c r="G46" s="404">
        <v>1100</v>
      </c>
      <c r="H46" s="404">
        <v>0</v>
      </c>
      <c r="I46" s="404">
        <v>5000</v>
      </c>
      <c r="J46" s="404">
        <v>152</v>
      </c>
      <c r="K46" s="593">
        <f t="shared" si="0"/>
        <v>0</v>
      </c>
      <c r="L46" s="593">
        <f t="shared" si="1"/>
        <v>2.0758725341426403E-2</v>
      </c>
      <c r="M46" s="426">
        <f t="shared" si="2"/>
        <v>41.870556600910469</v>
      </c>
      <c r="N46" s="427">
        <f t="shared" si="3"/>
        <v>15.39580366215478</v>
      </c>
      <c r="O46" s="426">
        <v>20.890360975609756</v>
      </c>
      <c r="P46" s="426">
        <f t="shared" si="5"/>
        <v>3.8328910470409707</v>
      </c>
      <c r="Q46" s="426"/>
      <c r="R46" s="532">
        <f t="shared" si="6"/>
        <v>2.143777089158852E-2</v>
      </c>
    </row>
    <row r="47" spans="1:25" s="6" customFormat="1" ht="15.75">
      <c r="A47" s="309">
        <v>42</v>
      </c>
      <c r="B47" s="305" t="s">
        <v>724</v>
      </c>
      <c r="C47" s="330">
        <v>355.8</v>
      </c>
      <c r="D47" s="330"/>
      <c r="E47" s="330"/>
      <c r="F47" s="438">
        <f t="shared" si="4"/>
        <v>355.8</v>
      </c>
      <c r="G47" s="404">
        <v>1100</v>
      </c>
      <c r="H47" s="404">
        <v>16</v>
      </c>
      <c r="I47" s="404">
        <v>5000</v>
      </c>
      <c r="J47" s="404">
        <v>16</v>
      </c>
      <c r="K47" s="593">
        <f t="shared" si="0"/>
        <v>1.509433962264151E-2</v>
      </c>
      <c r="L47" s="593">
        <f t="shared" si="1"/>
        <v>2.1851289833080424E-3</v>
      </c>
      <c r="M47" s="426">
        <f t="shared" si="2"/>
        <v>34.852860972886312</v>
      </c>
      <c r="N47" s="427">
        <f t="shared" si="3"/>
        <v>12.815396979730298</v>
      </c>
      <c r="O47" s="426">
        <v>15.429777818683847</v>
      </c>
      <c r="P47" s="426">
        <f t="shared" si="5"/>
        <v>0.41855655510063844</v>
      </c>
      <c r="Q47" s="426"/>
      <c r="R47" s="532">
        <f t="shared" si="6"/>
        <v>0.178517685009559</v>
      </c>
    </row>
    <row r="48" spans="1:25" s="6" customFormat="1" ht="15.75">
      <c r="A48" s="309">
        <v>43</v>
      </c>
      <c r="B48" s="305" t="s">
        <v>725</v>
      </c>
      <c r="C48" s="330">
        <v>907.4</v>
      </c>
      <c r="D48" s="330"/>
      <c r="E48" s="330"/>
      <c r="F48" s="438">
        <f t="shared" si="4"/>
        <v>907.4</v>
      </c>
      <c r="G48" s="404">
        <v>1100</v>
      </c>
      <c r="H48" s="404">
        <v>16</v>
      </c>
      <c r="I48" s="404">
        <v>5000</v>
      </c>
      <c r="J48" s="404">
        <v>21</v>
      </c>
      <c r="K48" s="593">
        <f t="shared" si="0"/>
        <v>1.509433962264151E-2</v>
      </c>
      <c r="L48" s="593">
        <f t="shared" si="1"/>
        <v>2.8679817905918055E-3</v>
      </c>
      <c r="M48" s="426">
        <f t="shared" si="2"/>
        <v>36.230181913705728</v>
      </c>
      <c r="N48" s="427">
        <f t="shared" si="3"/>
        <v>13.321837889669597</v>
      </c>
      <c r="O48" s="426">
        <v>16.116960745513115</v>
      </c>
      <c r="P48" s="426">
        <f t="shared" si="5"/>
        <v>0.54463849743751247</v>
      </c>
      <c r="Q48" s="426"/>
      <c r="R48" s="532">
        <f t="shared" si="6"/>
        <v>7.2970706464983423E-2</v>
      </c>
    </row>
    <row r="49" spans="1:18" s="6" customFormat="1" ht="15.75">
      <c r="A49" s="309">
        <v>44</v>
      </c>
      <c r="B49" s="305" t="s">
        <v>726</v>
      </c>
      <c r="C49" s="330">
        <v>2273.6</v>
      </c>
      <c r="D49" s="330"/>
      <c r="E49" s="330"/>
      <c r="F49" s="438">
        <f t="shared" si="4"/>
        <v>2273.6</v>
      </c>
      <c r="G49" s="404">
        <v>1100</v>
      </c>
      <c r="H49" s="404">
        <v>40</v>
      </c>
      <c r="I49" s="404">
        <v>5000</v>
      </c>
      <c r="J49" s="404">
        <v>88</v>
      </c>
      <c r="K49" s="593">
        <f t="shared" si="0"/>
        <v>3.7735849056603772E-2</v>
      </c>
      <c r="L49" s="593">
        <f t="shared" si="1"/>
        <v>1.2018209408194234E-2</v>
      </c>
      <c r="M49" s="426">
        <f t="shared" si="2"/>
        <v>100.35443346408223</v>
      </c>
      <c r="N49" s="427">
        <f t="shared" si="3"/>
        <v>36.900325184743039</v>
      </c>
      <c r="O49" s="426">
        <v>45.171400644270591</v>
      </c>
      <c r="P49" s="426">
        <f t="shared" si="5"/>
        <v>2.256778034185587</v>
      </c>
      <c r="Q49" s="426"/>
      <c r="R49" s="532">
        <f t="shared" si="6"/>
        <v>8.122930037266074E-2</v>
      </c>
    </row>
    <row r="50" spans="1:18" s="6" customFormat="1" ht="15.75">
      <c r="A50" s="309">
        <v>45</v>
      </c>
      <c r="B50" s="305" t="s">
        <v>727</v>
      </c>
      <c r="C50" s="330">
        <v>154.1</v>
      </c>
      <c r="D50" s="330"/>
      <c r="E50" s="330"/>
      <c r="F50" s="438">
        <f t="shared" si="4"/>
        <v>154.1</v>
      </c>
      <c r="G50" s="404">
        <v>1100</v>
      </c>
      <c r="H50" s="404">
        <v>2</v>
      </c>
      <c r="I50" s="404">
        <v>5000</v>
      </c>
      <c r="J50" s="404">
        <v>2</v>
      </c>
      <c r="K50" s="593">
        <v>1.8867924528301887E-3</v>
      </c>
      <c r="L50" s="593">
        <v>3.1358885017421603E-4</v>
      </c>
      <c r="M50" s="426">
        <f t="shared" si="2"/>
        <v>4.4381910919729144</v>
      </c>
      <c r="N50" s="427">
        <f t="shared" si="3"/>
        <v>1.6319228645184407</v>
      </c>
      <c r="O50" s="426">
        <v>1.9287222273354809</v>
      </c>
      <c r="P50" s="426">
        <f t="shared" si="5"/>
        <v>5.978783774899743E-2</v>
      </c>
      <c r="Q50" s="426"/>
      <c r="R50" s="532">
        <f t="shared" si="6"/>
        <v>5.2294769770122221E-2</v>
      </c>
    </row>
    <row r="51" spans="1:18" s="6" customFormat="1" ht="15.75">
      <c r="A51" s="309">
        <v>46</v>
      </c>
      <c r="B51" s="305" t="s">
        <v>728</v>
      </c>
      <c r="C51" s="330">
        <v>93.9</v>
      </c>
      <c r="D51" s="330"/>
      <c r="E51" s="330"/>
      <c r="F51" s="438">
        <f t="shared" si="4"/>
        <v>93.9</v>
      </c>
      <c r="G51" s="404">
        <v>1100</v>
      </c>
      <c r="H51" s="404">
        <v>6</v>
      </c>
      <c r="I51" s="404">
        <v>5000</v>
      </c>
      <c r="J51" s="404">
        <v>5</v>
      </c>
      <c r="K51" s="593">
        <f t="shared" si="0"/>
        <v>5.6603773584905665E-3</v>
      </c>
      <c r="L51" s="593">
        <f t="shared" si="1"/>
        <v>6.8285280728376324E-4</v>
      </c>
      <c r="M51" s="426">
        <f t="shared" si="2"/>
        <v>12.794358676668482</v>
      </c>
      <c r="N51" s="427">
        <f t="shared" si="3"/>
        <v>4.7044856854110009</v>
      </c>
      <c r="O51" s="426">
        <v>5.6487300966405893</v>
      </c>
      <c r="P51" s="426">
        <f t="shared" si="5"/>
        <v>0.1317423196953646</v>
      </c>
      <c r="Q51" s="426"/>
      <c r="R51" s="532">
        <f t="shared" si="6"/>
        <v>0.24791604662849237</v>
      </c>
    </row>
    <row r="52" spans="1:18" s="6" customFormat="1" ht="15.75">
      <c r="A52" s="309">
        <v>47</v>
      </c>
      <c r="B52" s="305" t="s">
        <v>729</v>
      </c>
      <c r="C52" s="330">
        <v>296.10000000000002</v>
      </c>
      <c r="D52" s="330"/>
      <c r="E52" s="330"/>
      <c r="F52" s="438">
        <f t="shared" si="4"/>
        <v>296.10000000000002</v>
      </c>
      <c r="G52" s="404">
        <v>1100</v>
      </c>
      <c r="H52" s="404">
        <v>7</v>
      </c>
      <c r="I52" s="404">
        <v>5000</v>
      </c>
      <c r="J52" s="404">
        <v>7</v>
      </c>
      <c r="K52" s="593">
        <f t="shared" si="0"/>
        <v>6.6037735849056606E-3</v>
      </c>
      <c r="L52" s="593">
        <f t="shared" si="1"/>
        <v>9.5599393019726853E-4</v>
      </c>
      <c r="M52" s="426">
        <f t="shared" si="2"/>
        <v>15.24812667563776</v>
      </c>
      <c r="N52" s="427">
        <f t="shared" si="3"/>
        <v>5.6067361786320049</v>
      </c>
      <c r="O52" s="426">
        <v>6.7505277956741834</v>
      </c>
      <c r="P52" s="426">
        <f t="shared" si="5"/>
        <v>0.18311849285652931</v>
      </c>
      <c r="Q52" s="426"/>
      <c r="R52" s="532">
        <f t="shared" si="6"/>
        <v>9.3848392917259285E-2</v>
      </c>
    </row>
    <row r="53" spans="1:18" s="6" customFormat="1" ht="15.75">
      <c r="A53" s="309">
        <v>48</v>
      </c>
      <c r="B53" s="305" t="s">
        <v>647</v>
      </c>
      <c r="C53" s="330">
        <v>4177.21</v>
      </c>
      <c r="D53" s="330">
        <v>6.6</v>
      </c>
      <c r="E53" s="330"/>
      <c r="F53" s="438">
        <f t="shared" si="4"/>
        <v>4183.8100000000004</v>
      </c>
      <c r="G53" s="404">
        <v>1100</v>
      </c>
      <c r="H53" s="404">
        <v>0</v>
      </c>
      <c r="I53" s="404">
        <v>5000</v>
      </c>
      <c r="J53" s="404">
        <v>152</v>
      </c>
      <c r="K53" s="593">
        <f t="shared" si="0"/>
        <v>0</v>
      </c>
      <c r="L53" s="593">
        <f t="shared" si="1"/>
        <v>2.0758725341426403E-2</v>
      </c>
      <c r="M53" s="426">
        <f t="shared" si="2"/>
        <v>41.870556600910469</v>
      </c>
      <c r="N53" s="427">
        <f t="shared" si="3"/>
        <v>15.39580366215478</v>
      </c>
      <c r="O53" s="426">
        <v>20.890360975609756</v>
      </c>
      <c r="P53" s="426">
        <f t="shared" si="5"/>
        <v>3.8328910470409707</v>
      </c>
      <c r="Q53" s="426"/>
      <c r="R53" s="532">
        <f t="shared" si="6"/>
        <v>1.9596877555557245E-2</v>
      </c>
    </row>
    <row r="54" spans="1:18" s="6" customFormat="1" ht="15.75">
      <c r="A54" s="309">
        <v>49</v>
      </c>
      <c r="B54" s="305" t="s">
        <v>648</v>
      </c>
      <c r="C54" s="330">
        <v>4140.68</v>
      </c>
      <c r="D54" s="330"/>
      <c r="E54" s="330"/>
      <c r="F54" s="438">
        <f t="shared" si="4"/>
        <v>4140.68</v>
      </c>
      <c r="G54" s="404">
        <v>1100</v>
      </c>
      <c r="H54" s="404">
        <v>0</v>
      </c>
      <c r="I54" s="404">
        <v>5000</v>
      </c>
      <c r="J54" s="404">
        <v>170</v>
      </c>
      <c r="K54" s="593">
        <f t="shared" si="0"/>
        <v>0</v>
      </c>
      <c r="L54" s="593">
        <f t="shared" si="1"/>
        <v>2.3216995447647951E-2</v>
      </c>
      <c r="M54" s="426">
        <f t="shared" si="2"/>
        <v>46.828911987860394</v>
      </c>
      <c r="N54" s="427">
        <f t="shared" si="3"/>
        <v>17.218990937936269</v>
      </c>
      <c r="O54" s="426">
        <v>23.36421951219512</v>
      </c>
      <c r="P54" s="426">
        <f t="shared" si="5"/>
        <v>4.2867860394537169</v>
      </c>
      <c r="Q54" s="426"/>
      <c r="R54" s="532">
        <f t="shared" si="6"/>
        <v>2.2145857317504732E-2</v>
      </c>
    </row>
    <row r="55" spans="1:18" s="6" customFormat="1" ht="15.75">
      <c r="A55" s="309">
        <v>50</v>
      </c>
      <c r="B55" s="305" t="s">
        <v>1354</v>
      </c>
      <c r="C55" s="818">
        <v>7831.81</v>
      </c>
      <c r="D55" s="330"/>
      <c r="E55" s="330"/>
      <c r="F55" s="438">
        <f t="shared" si="4"/>
        <v>7831.81</v>
      </c>
      <c r="G55" s="404">
        <v>1100</v>
      </c>
      <c r="H55" s="404">
        <v>0</v>
      </c>
      <c r="I55" s="404">
        <v>5000</v>
      </c>
      <c r="J55" s="404">
        <v>288</v>
      </c>
      <c r="K55" s="593">
        <f t="shared" si="0"/>
        <v>0</v>
      </c>
      <c r="L55" s="593">
        <f t="shared" si="1"/>
        <v>3.9332321699544759E-2</v>
      </c>
      <c r="M55" s="426">
        <f t="shared" si="2"/>
        <v>79.33368619119878</v>
      </c>
      <c r="N55" s="427">
        <f t="shared" si="3"/>
        <v>29.170996412503793</v>
      </c>
      <c r="O55" s="426">
        <v>39.581736585365846</v>
      </c>
      <c r="P55" s="426">
        <f t="shared" si="5"/>
        <v>7.262319878603944</v>
      </c>
      <c r="Q55" s="426"/>
      <c r="R55" s="532">
        <f t="shared" si="6"/>
        <v>1.983561131688235E-2</v>
      </c>
    </row>
    <row r="56" spans="1:18" s="6" customFormat="1" ht="15.75">
      <c r="A56" s="309">
        <v>51</v>
      </c>
      <c r="B56" s="305" t="s">
        <v>1374</v>
      </c>
      <c r="C56" s="818">
        <v>996.1</v>
      </c>
      <c r="D56" s="330"/>
      <c r="E56" s="330"/>
      <c r="F56" s="438">
        <f t="shared" si="4"/>
        <v>996.1</v>
      </c>
      <c r="G56" s="404">
        <v>1100</v>
      </c>
      <c r="H56" s="404">
        <v>2</v>
      </c>
      <c r="I56" s="404">
        <v>5000</v>
      </c>
      <c r="J56" s="404">
        <v>2</v>
      </c>
      <c r="K56" s="593">
        <f t="shared" si="0"/>
        <v>1.8867924528301887E-3</v>
      </c>
      <c r="L56" s="593">
        <f t="shared" si="1"/>
        <v>2.7314112291350529E-4</v>
      </c>
      <c r="M56" s="426">
        <f t="shared" si="2"/>
        <v>4.356607621610789</v>
      </c>
      <c r="N56" s="427">
        <f t="shared" si="3"/>
        <v>1.6019246224662873</v>
      </c>
      <c r="O56" s="426">
        <v>1.9287222273354809</v>
      </c>
      <c r="P56" s="426">
        <f t="shared" si="5"/>
        <v>5.2319569387579805E-2</v>
      </c>
      <c r="Q56" s="426"/>
      <c r="R56" s="532">
        <f t="shared" si="6"/>
        <v>7.970659613291976E-3</v>
      </c>
    </row>
    <row r="57" spans="1:18" s="6" customFormat="1" ht="15.75">
      <c r="A57" s="309">
        <v>52</v>
      </c>
      <c r="B57" s="305" t="s">
        <v>1376</v>
      </c>
      <c r="C57" s="818">
        <v>533.79999999999995</v>
      </c>
      <c r="D57" s="330"/>
      <c r="E57" s="330"/>
      <c r="F57" s="438">
        <f t="shared" si="4"/>
        <v>533.79999999999995</v>
      </c>
      <c r="G57" s="404">
        <v>1100</v>
      </c>
      <c r="H57" s="404">
        <v>2</v>
      </c>
      <c r="I57" s="404">
        <v>5000</v>
      </c>
      <c r="J57" s="404">
        <v>4</v>
      </c>
      <c r="K57" s="593">
        <f t="shared" si="0"/>
        <v>1.8867924528301887E-3</v>
      </c>
      <c r="L57" s="593">
        <f t="shared" si="1"/>
        <v>5.4628224582701059E-4</v>
      </c>
      <c r="M57" s="426">
        <f t="shared" si="2"/>
        <v>4.9075359979385578</v>
      </c>
      <c r="N57" s="427">
        <f t="shared" si="3"/>
        <v>1.8045009864420078</v>
      </c>
      <c r="O57" s="426">
        <v>2.2035953980671881</v>
      </c>
      <c r="P57" s="426">
        <f t="shared" si="5"/>
        <v>0.10275234632232942</v>
      </c>
      <c r="Q57" s="426"/>
      <c r="R57" s="532">
        <f t="shared" si="6"/>
        <v>1.6894688513994165E-2</v>
      </c>
    </row>
    <row r="58" spans="1:18" s="6" customFormat="1" ht="15.75">
      <c r="A58" s="309">
        <v>53</v>
      </c>
      <c r="B58" s="305" t="s">
        <v>1375</v>
      </c>
      <c r="C58" s="818">
        <v>987.3</v>
      </c>
      <c r="D58" s="330"/>
      <c r="E58" s="330"/>
      <c r="F58" s="438">
        <f t="shared" si="4"/>
        <v>987.3</v>
      </c>
      <c r="G58" s="404">
        <v>1100</v>
      </c>
      <c r="H58" s="404">
        <v>2</v>
      </c>
      <c r="I58" s="404">
        <v>5000</v>
      </c>
      <c r="J58" s="404">
        <v>2</v>
      </c>
      <c r="K58" s="593">
        <f t="shared" si="0"/>
        <v>1.8867924528301887E-3</v>
      </c>
      <c r="L58" s="593">
        <f t="shared" si="1"/>
        <v>2.7314112291350529E-4</v>
      </c>
      <c r="M58" s="426">
        <f t="shared" si="2"/>
        <v>4.356607621610789</v>
      </c>
      <c r="N58" s="427">
        <f t="shared" si="3"/>
        <v>1.6019246224662873</v>
      </c>
      <c r="O58" s="426">
        <v>1.9287222273354809</v>
      </c>
      <c r="P58" s="426">
        <f t="shared" si="5"/>
        <v>5.2319569387579805E-2</v>
      </c>
      <c r="Q58" s="426"/>
      <c r="R58" s="532">
        <f t="shared" si="6"/>
        <v>8.0417036775044439E-3</v>
      </c>
    </row>
    <row r="59" spans="1:18" s="6" customFormat="1" ht="15.75">
      <c r="A59" s="309">
        <v>54</v>
      </c>
      <c r="B59" s="305" t="s">
        <v>1377</v>
      </c>
      <c r="C59" s="818">
        <v>442.6</v>
      </c>
      <c r="D59" s="330"/>
      <c r="E59" s="330"/>
      <c r="F59" s="438">
        <f t="shared" si="4"/>
        <v>442.6</v>
      </c>
      <c r="G59" s="404">
        <v>1100</v>
      </c>
      <c r="H59" s="404">
        <v>2</v>
      </c>
      <c r="I59" s="404">
        <v>5000</v>
      </c>
      <c r="J59" s="404">
        <v>2</v>
      </c>
      <c r="K59" s="593">
        <f t="shared" si="0"/>
        <v>1.8867924528301887E-3</v>
      </c>
      <c r="L59" s="593">
        <f t="shared" si="1"/>
        <v>2.7314112291350529E-4</v>
      </c>
      <c r="M59" s="426">
        <f t="shared" si="2"/>
        <v>4.356607621610789</v>
      </c>
      <c r="N59" s="427">
        <f t="shared" si="3"/>
        <v>1.6019246224662873</v>
      </c>
      <c r="O59" s="426">
        <v>1.9287222273354809</v>
      </c>
      <c r="P59" s="426">
        <f t="shared" si="5"/>
        <v>5.2319569387579805E-2</v>
      </c>
      <c r="Q59" s="426"/>
      <c r="R59" s="532">
        <f t="shared" si="6"/>
        <v>1.7938486309986752E-2</v>
      </c>
    </row>
    <row r="60" spans="1:18" s="6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437">
        <f t="shared" ref="F60:F66" si="7">C60+D60+E60</f>
        <v>7013.2</v>
      </c>
      <c r="G60" s="386">
        <v>1100</v>
      </c>
      <c r="H60" s="386">
        <v>0</v>
      </c>
      <c r="I60" s="386">
        <v>5000</v>
      </c>
      <c r="J60" s="977">
        <v>158</v>
      </c>
      <c r="K60" s="593">
        <f t="shared" si="0"/>
        <v>0</v>
      </c>
      <c r="L60" s="593">
        <v>2.702712476837554E-2</v>
      </c>
      <c r="M60" s="426">
        <f t="shared" si="2"/>
        <v>54.513980929061148</v>
      </c>
      <c r="N60" s="427">
        <f t="shared" si="3"/>
        <v>20.044790787615785</v>
      </c>
      <c r="O60" s="426">
        <v>23.69</v>
      </c>
      <c r="P60" s="426">
        <f t="shared" ref="P60:P70" si="8">K60+L60*184.64</f>
        <v>4.9902883172328591</v>
      </c>
      <c r="Q60" s="426"/>
      <c r="R60" s="532">
        <f t="shared" si="6"/>
        <v>1.472067815460985E-2</v>
      </c>
    </row>
    <row r="61" spans="1:18" s="6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437">
        <f t="shared" si="7"/>
        <v>8402.66</v>
      </c>
      <c r="G61" s="386">
        <v>1100</v>
      </c>
      <c r="H61" s="386">
        <v>0</v>
      </c>
      <c r="I61" s="386">
        <v>5000</v>
      </c>
      <c r="J61" s="386">
        <v>342</v>
      </c>
      <c r="K61" s="593">
        <f t="shared" si="0"/>
        <v>0</v>
      </c>
      <c r="L61" s="593">
        <f t="shared" si="1"/>
        <v>4.6707132018209405E-2</v>
      </c>
      <c r="M61" s="426">
        <f t="shared" si="2"/>
        <v>94.208752352048549</v>
      </c>
      <c r="N61" s="427">
        <f t="shared" si="3"/>
        <v>34.640558239848254</v>
      </c>
      <c r="O61" s="426">
        <v>47.00331219512195</v>
      </c>
      <c r="P61" s="426">
        <f t="shared" si="8"/>
        <v>8.624004855842184</v>
      </c>
      <c r="Q61" s="426"/>
      <c r="R61" s="532">
        <f t="shared" si="6"/>
        <v>2.1954551016328275E-2</v>
      </c>
    </row>
    <row r="62" spans="1:18" s="6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438">
        <f t="shared" si="7"/>
        <v>2601.63</v>
      </c>
      <c r="G62" s="330">
        <v>1100</v>
      </c>
      <c r="H62" s="330">
        <v>0</v>
      </c>
      <c r="I62" s="330">
        <v>5000</v>
      </c>
      <c r="J62" s="330">
        <v>108</v>
      </c>
      <c r="K62" s="593">
        <f t="shared" si="0"/>
        <v>0</v>
      </c>
      <c r="L62" s="593">
        <f t="shared" si="1"/>
        <v>1.4749620637329286E-2</v>
      </c>
      <c r="M62" s="426">
        <f t="shared" si="2"/>
        <v>29.750132321699542</v>
      </c>
      <c r="N62" s="427">
        <f t="shared" si="3"/>
        <v>10.939123654688922</v>
      </c>
      <c r="O62" s="426">
        <v>14.843151219512194</v>
      </c>
      <c r="P62" s="426">
        <f t="shared" si="8"/>
        <v>2.7233699544764791</v>
      </c>
      <c r="Q62" s="426"/>
      <c r="R62" s="532">
        <f t="shared" si="6"/>
        <v>2.2392030054380192E-2</v>
      </c>
    </row>
    <row r="63" spans="1:18" s="6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438">
        <f t="shared" si="7"/>
        <v>2594.2600000000002</v>
      </c>
      <c r="G63" s="330">
        <v>1100</v>
      </c>
      <c r="H63" s="330">
        <v>0</v>
      </c>
      <c r="I63" s="330">
        <v>5000</v>
      </c>
      <c r="J63" s="330">
        <v>72</v>
      </c>
      <c r="K63" s="593">
        <f t="shared" si="0"/>
        <v>0</v>
      </c>
      <c r="L63" s="593">
        <f t="shared" si="1"/>
        <v>9.8330804248861897E-3</v>
      </c>
      <c r="M63" s="426">
        <f t="shared" si="2"/>
        <v>19.833421547799695</v>
      </c>
      <c r="N63" s="427">
        <f t="shared" si="3"/>
        <v>7.2927491031259484</v>
      </c>
      <c r="O63" s="426">
        <v>9.8954341463414615</v>
      </c>
      <c r="P63" s="426">
        <f t="shared" si="8"/>
        <v>1.815579969650986</v>
      </c>
      <c r="Q63" s="426"/>
      <c r="R63" s="532">
        <f t="shared" si="6"/>
        <v>1.4970428857137716E-2</v>
      </c>
    </row>
    <row r="64" spans="1:18" s="6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438">
        <f t="shared" si="7"/>
        <v>2653.52</v>
      </c>
      <c r="G64" s="330">
        <v>1100</v>
      </c>
      <c r="H64" s="330">
        <v>0</v>
      </c>
      <c r="I64" s="330">
        <v>5000</v>
      </c>
      <c r="J64" s="330">
        <v>54</v>
      </c>
      <c r="K64" s="593">
        <f t="shared" si="0"/>
        <v>0</v>
      </c>
      <c r="L64" s="593">
        <f t="shared" si="1"/>
        <v>7.3748103186646432E-3</v>
      </c>
      <c r="M64" s="426">
        <f t="shared" si="2"/>
        <v>14.875066160849771</v>
      </c>
      <c r="N64" s="427">
        <f t="shared" si="3"/>
        <v>5.4695618273444611</v>
      </c>
      <c r="O64" s="426">
        <v>7.421575609756097</v>
      </c>
      <c r="P64" s="426">
        <f t="shared" si="8"/>
        <v>1.3616849772382396</v>
      </c>
      <c r="Q64" s="426"/>
      <c r="R64" s="532">
        <f t="shared" si="6"/>
        <v>1.0977075196414035E-2</v>
      </c>
    </row>
    <row r="65" spans="1:19" s="6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438">
        <f t="shared" si="7"/>
        <v>2150.9</v>
      </c>
      <c r="G65" s="330">
        <v>1100</v>
      </c>
      <c r="H65" s="330">
        <v>0</v>
      </c>
      <c r="I65" s="330">
        <v>5000</v>
      </c>
      <c r="J65" s="330">
        <v>54</v>
      </c>
      <c r="K65" s="593">
        <f t="shared" si="0"/>
        <v>0</v>
      </c>
      <c r="L65" s="593">
        <f t="shared" si="1"/>
        <v>7.3748103186646432E-3</v>
      </c>
      <c r="M65" s="426">
        <f t="shared" si="2"/>
        <v>14.875066160849771</v>
      </c>
      <c r="N65" s="427">
        <f t="shared" si="3"/>
        <v>5.4695618273444611</v>
      </c>
      <c r="O65" s="426">
        <v>7.421575609756097</v>
      </c>
      <c r="P65" s="426">
        <f t="shared" si="8"/>
        <v>1.3616849772382396</v>
      </c>
      <c r="Q65" s="426"/>
      <c r="R65" s="532">
        <f t="shared" si="6"/>
        <v>1.3542186329066237E-2</v>
      </c>
    </row>
    <row r="66" spans="1:19" s="6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437">
        <f t="shared" si="7"/>
        <v>3353.7</v>
      </c>
      <c r="G66" s="386">
        <v>1100</v>
      </c>
      <c r="H66" s="386">
        <v>0</v>
      </c>
      <c r="I66" s="386">
        <v>5000</v>
      </c>
      <c r="J66" s="386">
        <v>62</v>
      </c>
      <c r="K66" s="593">
        <f t="shared" si="0"/>
        <v>0</v>
      </c>
      <c r="L66" s="593">
        <f t="shared" si="1"/>
        <v>8.4673748103186643E-3</v>
      </c>
      <c r="M66" s="426">
        <f t="shared" si="2"/>
        <v>17.078779666160848</v>
      </c>
      <c r="N66" s="427">
        <f t="shared" si="3"/>
        <v>6.2798672832473441</v>
      </c>
      <c r="O66" s="426">
        <v>8.5210682926829264</v>
      </c>
      <c r="P66" s="426">
        <f t="shared" si="8"/>
        <v>1.5634160849772381</v>
      </c>
      <c r="Q66" s="426"/>
      <c r="R66" s="532">
        <f t="shared" si="6"/>
        <v>9.9720104144879855E-3</v>
      </c>
    </row>
    <row r="67" spans="1:19" s="6" customFormat="1" ht="15.75">
      <c r="A67" s="378"/>
      <c r="B67" s="541" t="s">
        <v>749</v>
      </c>
      <c r="C67" s="681">
        <f>SUM(C6:C66)</f>
        <v>249781.08</v>
      </c>
      <c r="D67" s="681">
        <f t="shared" ref="D67:J67" si="9">SUM(D6:D66)</f>
        <v>1319.2</v>
      </c>
      <c r="E67" s="681">
        <f t="shared" si="9"/>
        <v>1116.55</v>
      </c>
      <c r="F67" s="682">
        <f t="shared" si="9"/>
        <v>252216.83000000002</v>
      </c>
      <c r="G67" s="411">
        <v>1100</v>
      </c>
      <c r="H67" s="681">
        <f t="shared" si="9"/>
        <v>106</v>
      </c>
      <c r="I67" s="411">
        <v>5000</v>
      </c>
      <c r="J67" s="681">
        <f t="shared" si="9"/>
        <v>6590</v>
      </c>
      <c r="K67" s="593">
        <f>0.1/106*H67</f>
        <v>0.1</v>
      </c>
      <c r="L67" s="593">
        <f>0.9/6590*J67</f>
        <v>0.89999999999999991</v>
      </c>
      <c r="M67" s="426">
        <f>(K67+L67)*2017.01</f>
        <v>2017.0099999999998</v>
      </c>
      <c r="N67" s="429">
        <f t="shared" si="3"/>
        <v>741.65457700000002</v>
      </c>
      <c r="O67" s="426">
        <f>SUM(O6:O66)</f>
        <v>995.33611707317061</v>
      </c>
      <c r="P67" s="426">
        <f t="shared" si="8"/>
        <v>166.27599999999995</v>
      </c>
      <c r="Q67" s="927"/>
      <c r="R67" s="532">
        <f t="shared" si="6"/>
        <v>1.5543279542737772E-2</v>
      </c>
    </row>
    <row r="68" spans="1:19" s="384" customFormat="1" ht="21" thickBot="1">
      <c r="A68" s="577" t="s">
        <v>984</v>
      </c>
      <c r="B68" s="578"/>
      <c r="C68" s="578"/>
      <c r="D68" s="578"/>
      <c r="E68" s="578"/>
      <c r="F68" s="578"/>
      <c r="G68" s="578"/>
      <c r="H68" s="578"/>
      <c r="I68" s="578"/>
      <c r="J68" s="578"/>
      <c r="K68" s="578"/>
      <c r="L68" s="578"/>
      <c r="M68" s="426">
        <f>(K68+L68)*2077.52</f>
        <v>0</v>
      </c>
      <c r="N68" s="699"/>
      <c r="O68" s="426"/>
      <c r="P68" s="699">
        <f t="shared" si="8"/>
        <v>0</v>
      </c>
      <c r="Q68" s="699"/>
      <c r="R68" s="532" t="e">
        <f t="shared" si="6"/>
        <v>#DIV/0!</v>
      </c>
    </row>
    <row r="69" spans="1:19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439">
        <f t="shared" si="4"/>
        <v>6328.85</v>
      </c>
      <c r="G69" s="146">
        <v>1100</v>
      </c>
      <c r="H69" s="339"/>
      <c r="I69" s="330">
        <v>5000</v>
      </c>
      <c r="J69" s="141">
        <v>216</v>
      </c>
      <c r="K69" s="180">
        <f>1/106*H69</f>
        <v>0</v>
      </c>
      <c r="L69" s="180">
        <f t="shared" ref="L69:L89" si="10">1/3920*J69</f>
        <v>5.5102040816326539E-2</v>
      </c>
      <c r="M69" s="426">
        <f t="shared" ref="M69:M89" si="11">(K69+L69)*2269.13</f>
        <v>125.03369387755104</v>
      </c>
      <c r="N69" s="144">
        <f t="shared" si="3"/>
        <v>45.974889238775525</v>
      </c>
      <c r="O69" s="426">
        <v>49.254068678459944</v>
      </c>
      <c r="P69" s="426">
        <f t="shared" si="8"/>
        <v>10.174040816326531</v>
      </c>
      <c r="Q69" s="426"/>
      <c r="R69" s="532">
        <f t="shared" si="6"/>
        <v>3.6410515751062682E-2</v>
      </c>
      <c r="S69" s="6" t="s">
        <v>554</v>
      </c>
    </row>
    <row r="70" spans="1:19" s="6" customFormat="1" ht="15.75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258">
        <f t="shared" si="4"/>
        <v>7565.74</v>
      </c>
      <c r="G70" s="146">
        <v>1100</v>
      </c>
      <c r="H70" s="339"/>
      <c r="I70" s="146">
        <f>G70*H70/F70</f>
        <v>0</v>
      </c>
      <c r="J70" s="146">
        <v>330</v>
      </c>
      <c r="K70" s="180">
        <f>1/106*H70</f>
        <v>0</v>
      </c>
      <c r="L70" s="180">
        <f t="shared" si="10"/>
        <v>8.4183673469387765E-2</v>
      </c>
      <c r="M70" s="426">
        <f t="shared" si="11"/>
        <v>191.02369897959187</v>
      </c>
      <c r="N70" s="148">
        <f t="shared" si="3"/>
        <v>70.239414114795935</v>
      </c>
      <c r="O70" s="426">
        <v>75.249271592091574</v>
      </c>
      <c r="P70" s="426">
        <f t="shared" si="8"/>
        <v>15.543673469387755</v>
      </c>
      <c r="Q70" s="426"/>
      <c r="R70" s="532">
        <f t="shared" si="6"/>
        <v>4.6532931102029301E-2</v>
      </c>
    </row>
    <row r="71" spans="1:19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258">
        <f t="shared" si="4"/>
        <v>7217.2</v>
      </c>
      <c r="G71" s="146">
        <v>1100</v>
      </c>
      <c r="H71" s="339"/>
      <c r="I71" s="146">
        <v>5000</v>
      </c>
      <c r="J71" s="146">
        <v>240</v>
      </c>
      <c r="K71" s="180">
        <f>1/106*H71</f>
        <v>0</v>
      </c>
      <c r="L71" s="180">
        <f t="shared" si="10"/>
        <v>6.1224489795918373E-2</v>
      </c>
      <c r="M71" s="426">
        <f t="shared" si="11"/>
        <v>138.92632653061227</v>
      </c>
      <c r="N71" s="148">
        <f t="shared" si="3"/>
        <v>51.083210265306136</v>
      </c>
      <c r="O71" s="426">
        <v>54.726742976066596</v>
      </c>
      <c r="P71" s="426">
        <f t="shared" ref="P71:P87" si="12">K71+L71*184.64</f>
        <v>11.304489795918368</v>
      </c>
      <c r="Q71" s="426"/>
      <c r="R71" s="532">
        <f t="shared" ref="R71:R134" si="13">(P71+O71+N71+M71)/F71</f>
        <v>3.5476468653758156E-2</v>
      </c>
    </row>
    <row r="72" spans="1:19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258">
        <f t="shared" si="4"/>
        <v>6435.2</v>
      </c>
      <c r="G72" s="146">
        <v>1100</v>
      </c>
      <c r="H72" s="339"/>
      <c r="I72" s="146">
        <v>5000</v>
      </c>
      <c r="J72" s="146">
        <v>212</v>
      </c>
      <c r="K72" s="180">
        <f>1/106*H72</f>
        <v>0</v>
      </c>
      <c r="L72" s="180">
        <f t="shared" si="10"/>
        <v>5.4081632653061228E-2</v>
      </c>
      <c r="M72" s="426">
        <f t="shared" si="11"/>
        <v>122.71825510204083</v>
      </c>
      <c r="N72" s="148">
        <f t="shared" si="3"/>
        <v>45.123502401020417</v>
      </c>
      <c r="O72" s="426">
        <v>48.341956295525499</v>
      </c>
      <c r="P72" s="426">
        <f t="shared" si="12"/>
        <v>9.9856326530612236</v>
      </c>
      <c r="Q72" s="426"/>
      <c r="R72" s="532">
        <f t="shared" si="13"/>
        <v>3.514565925715564E-2</v>
      </c>
    </row>
    <row r="73" spans="1:19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258">
        <f t="shared" si="4"/>
        <v>8881.51</v>
      </c>
      <c r="G73" s="146">
        <v>1100</v>
      </c>
      <c r="H73" s="339"/>
      <c r="I73" s="146">
        <v>5000</v>
      </c>
      <c r="J73" s="146">
        <v>288</v>
      </c>
      <c r="K73" s="180">
        <f t="shared" ref="K73:K90" si="14">1/106*H73</f>
        <v>0</v>
      </c>
      <c r="L73" s="180">
        <f t="shared" si="10"/>
        <v>7.3469387755102047E-2</v>
      </c>
      <c r="M73" s="426">
        <f t="shared" si="11"/>
        <v>166.71159183673473</v>
      </c>
      <c r="N73" s="148">
        <f t="shared" si="3"/>
        <v>61.299852318367364</v>
      </c>
      <c r="O73" s="426">
        <v>65.672091571279921</v>
      </c>
      <c r="P73" s="426">
        <f t="shared" si="12"/>
        <v>13.565387755102041</v>
      </c>
      <c r="Q73" s="426"/>
      <c r="R73" s="532">
        <f t="shared" si="13"/>
        <v>3.4594221419723001E-2</v>
      </c>
    </row>
    <row r="74" spans="1:19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258">
        <f t="shared" si="4"/>
        <v>7938.92</v>
      </c>
      <c r="G74" s="146">
        <v>1100</v>
      </c>
      <c r="H74" s="339"/>
      <c r="I74" s="146">
        <v>5000</v>
      </c>
      <c r="J74" s="146">
        <v>426</v>
      </c>
      <c r="K74" s="180">
        <f t="shared" si="14"/>
        <v>0</v>
      </c>
      <c r="L74" s="180">
        <f t="shared" si="10"/>
        <v>0.10867346938775511</v>
      </c>
      <c r="M74" s="426">
        <f t="shared" si="11"/>
        <v>246.59422959183678</v>
      </c>
      <c r="N74" s="148">
        <f t="shared" si="3"/>
        <v>90.672698220918392</v>
      </c>
      <c r="O74" s="426">
        <v>97.139968782518224</v>
      </c>
      <c r="P74" s="426">
        <f t="shared" si="12"/>
        <v>20.065469387755101</v>
      </c>
      <c r="Q74" s="426"/>
      <c r="R74" s="532">
        <f t="shared" si="13"/>
        <v>5.7246119873109756E-2</v>
      </c>
    </row>
    <row r="75" spans="1:19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258">
        <f t="shared" si="4"/>
        <v>7102.99</v>
      </c>
      <c r="G75" s="146">
        <v>1100</v>
      </c>
      <c r="H75" s="819"/>
      <c r="I75" s="146">
        <v>5000</v>
      </c>
      <c r="J75" s="146">
        <v>216</v>
      </c>
      <c r="K75" s="180">
        <f t="shared" si="14"/>
        <v>0</v>
      </c>
      <c r="L75" s="180">
        <f t="shared" si="10"/>
        <v>5.5102040816326539E-2</v>
      </c>
      <c r="M75" s="426">
        <f t="shared" si="11"/>
        <v>125.03369387755104</v>
      </c>
      <c r="N75" s="148">
        <f t="shared" si="3"/>
        <v>45.974889238775525</v>
      </c>
      <c r="O75" s="426">
        <v>49.254068678459944</v>
      </c>
      <c r="P75" s="426">
        <f t="shared" si="12"/>
        <v>10.174040816326531</v>
      </c>
      <c r="Q75" s="426"/>
      <c r="R75" s="532">
        <f t="shared" si="13"/>
        <v>3.2442209915980881E-2</v>
      </c>
    </row>
    <row r="76" spans="1:19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258">
        <f t="shared" si="4"/>
        <v>2982.2</v>
      </c>
      <c r="G76" s="146">
        <v>1100</v>
      </c>
      <c r="H76" s="339"/>
      <c r="I76" s="146">
        <v>5000</v>
      </c>
      <c r="J76" s="146">
        <v>110</v>
      </c>
      <c r="K76" s="180">
        <f t="shared" si="14"/>
        <v>0</v>
      </c>
      <c r="L76" s="180">
        <f t="shared" si="10"/>
        <v>2.8061224489795922E-2</v>
      </c>
      <c r="M76" s="426">
        <f t="shared" si="11"/>
        <v>63.674566326530623</v>
      </c>
      <c r="N76" s="148">
        <f t="shared" si="3"/>
        <v>23.413138038265313</v>
      </c>
      <c r="O76" s="426">
        <v>25.083090530697191</v>
      </c>
      <c r="P76" s="426">
        <f t="shared" si="12"/>
        <v>5.1812244897959188</v>
      </c>
      <c r="Q76" s="426"/>
      <c r="R76" s="532">
        <f t="shared" si="13"/>
        <v>3.9350821335017459E-2</v>
      </c>
    </row>
    <row r="77" spans="1:19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258">
        <f t="shared" si="4"/>
        <v>2528.85</v>
      </c>
      <c r="G77" s="146">
        <v>1100</v>
      </c>
      <c r="H77" s="339"/>
      <c r="I77" s="146">
        <v>5000</v>
      </c>
      <c r="J77" s="146">
        <v>86</v>
      </c>
      <c r="K77" s="180">
        <f t="shared" si="14"/>
        <v>0</v>
      </c>
      <c r="L77" s="180">
        <f t="shared" si="10"/>
        <v>2.1938775510204084E-2</v>
      </c>
      <c r="M77" s="426">
        <f t="shared" si="11"/>
        <v>49.781933673469396</v>
      </c>
      <c r="N77" s="148">
        <f t="shared" si="3"/>
        <v>18.304817011734698</v>
      </c>
      <c r="O77" s="426">
        <v>19.610416233090533</v>
      </c>
      <c r="P77" s="426">
        <f t="shared" si="12"/>
        <v>4.0507755102040814</v>
      </c>
      <c r="Q77" s="426"/>
      <c r="R77" s="532">
        <f t="shared" si="13"/>
        <v>3.6280500001383519E-2</v>
      </c>
    </row>
    <row r="78" spans="1:19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258">
        <f t="shared" si="4"/>
        <v>4250.83</v>
      </c>
      <c r="G78" s="146">
        <v>1100</v>
      </c>
      <c r="H78" s="339"/>
      <c r="I78" s="146">
        <v>5000</v>
      </c>
      <c r="J78" s="146">
        <v>144</v>
      </c>
      <c r="K78" s="180">
        <f t="shared" si="14"/>
        <v>0</v>
      </c>
      <c r="L78" s="180">
        <f t="shared" si="10"/>
        <v>3.6734693877551024E-2</v>
      </c>
      <c r="M78" s="426">
        <f t="shared" si="11"/>
        <v>83.355795918367363</v>
      </c>
      <c r="N78" s="148">
        <f t="shared" si="3"/>
        <v>30.649926159183682</v>
      </c>
      <c r="O78" s="426">
        <v>32.836045785639961</v>
      </c>
      <c r="P78" s="426">
        <f t="shared" si="12"/>
        <v>6.7826938775510204</v>
      </c>
      <c r="Q78" s="426"/>
      <c r="R78" s="532">
        <f t="shared" si="13"/>
        <v>3.6139874269434914E-2</v>
      </c>
    </row>
    <row r="79" spans="1:19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258">
        <f t="shared" si="4"/>
        <v>2862.08</v>
      </c>
      <c r="G79" s="146">
        <v>1100</v>
      </c>
      <c r="H79" s="339"/>
      <c r="I79" s="146">
        <v>5000</v>
      </c>
      <c r="J79" s="146">
        <v>138</v>
      </c>
      <c r="K79" s="180">
        <f t="shared" si="14"/>
        <v>0</v>
      </c>
      <c r="L79" s="180">
        <f t="shared" si="10"/>
        <v>3.5204081632653067E-2</v>
      </c>
      <c r="M79" s="426">
        <f t="shared" si="11"/>
        <v>79.882637755102053</v>
      </c>
      <c r="N79" s="148">
        <f t="shared" si="3"/>
        <v>29.372845902551028</v>
      </c>
      <c r="O79" s="426">
        <v>31.467877211238296</v>
      </c>
      <c r="P79" s="426">
        <f t="shared" si="12"/>
        <v>6.5000816326530622</v>
      </c>
      <c r="Q79" s="426"/>
      <c r="R79" s="532">
        <f t="shared" si="13"/>
        <v>5.1439317734495345E-2</v>
      </c>
    </row>
    <row r="80" spans="1:19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258">
        <f t="shared" ref="F80:F145" si="15">C80+D80+E80</f>
        <v>6415.24</v>
      </c>
      <c r="G80" s="146">
        <v>1100</v>
      </c>
      <c r="H80" s="339"/>
      <c r="I80" s="146">
        <v>5000</v>
      </c>
      <c r="J80" s="146">
        <v>212</v>
      </c>
      <c r="K80" s="180">
        <f t="shared" si="14"/>
        <v>0</v>
      </c>
      <c r="L80" s="180">
        <f t="shared" si="10"/>
        <v>5.4081632653061228E-2</v>
      </c>
      <c r="M80" s="426">
        <f t="shared" si="11"/>
        <v>122.71825510204083</v>
      </c>
      <c r="N80" s="148">
        <f t="shared" ref="N80:N145" si="16">M80*0.3677</f>
        <v>45.123502401020417</v>
      </c>
      <c r="O80" s="426">
        <v>48.341956295525499</v>
      </c>
      <c r="P80" s="426">
        <f t="shared" si="12"/>
        <v>9.9856326530612236</v>
      </c>
      <c r="Q80" s="426"/>
      <c r="R80" s="532">
        <f t="shared" si="13"/>
        <v>3.5255009391955403E-2</v>
      </c>
    </row>
    <row r="81" spans="1:19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258">
        <f t="shared" si="15"/>
        <v>2523.4899999999998</v>
      </c>
      <c r="G81" s="146">
        <v>1100</v>
      </c>
      <c r="H81" s="339"/>
      <c r="I81" s="146">
        <v>5000</v>
      </c>
      <c r="J81" s="146">
        <v>80</v>
      </c>
      <c r="K81" s="180">
        <f t="shared" si="14"/>
        <v>0</v>
      </c>
      <c r="L81" s="180">
        <f t="shared" si="10"/>
        <v>2.0408163265306124E-2</v>
      </c>
      <c r="M81" s="426">
        <f t="shared" si="11"/>
        <v>46.308775510204086</v>
      </c>
      <c r="N81" s="148">
        <f t="shared" si="16"/>
        <v>17.027736755102044</v>
      </c>
      <c r="O81" s="426">
        <v>18.242247658688868</v>
      </c>
      <c r="P81" s="426">
        <f t="shared" si="12"/>
        <v>3.7681632653061223</v>
      </c>
      <c r="Q81" s="426"/>
      <c r="R81" s="532">
        <f t="shared" si="13"/>
        <v>3.3820987279244666E-2</v>
      </c>
    </row>
    <row r="82" spans="1:19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258">
        <f t="shared" si="15"/>
        <v>2727.04</v>
      </c>
      <c r="G82" s="146">
        <v>1100</v>
      </c>
      <c r="H82" s="339"/>
      <c r="I82" s="146">
        <v>5000</v>
      </c>
      <c r="J82" s="146">
        <v>150</v>
      </c>
      <c r="K82" s="180">
        <f t="shared" si="14"/>
        <v>0</v>
      </c>
      <c r="L82" s="180">
        <f t="shared" si="10"/>
        <v>3.826530612244898E-2</v>
      </c>
      <c r="M82" s="426">
        <f t="shared" si="11"/>
        <v>86.828954081632659</v>
      </c>
      <c r="N82" s="148">
        <f t="shared" si="16"/>
        <v>31.927006415816329</v>
      </c>
      <c r="O82" s="426">
        <v>34.204214360041625</v>
      </c>
      <c r="P82" s="426">
        <f t="shared" si="12"/>
        <v>7.0653061224489795</v>
      </c>
      <c r="Q82" s="426"/>
      <c r="R82" s="532">
        <f t="shared" si="13"/>
        <v>5.8681017139440413E-2</v>
      </c>
    </row>
    <row r="83" spans="1:19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258">
        <f t="shared" si="15"/>
        <v>11075.779999999999</v>
      </c>
      <c r="G83" s="146">
        <v>1100</v>
      </c>
      <c r="H83" s="339"/>
      <c r="I83" s="146">
        <v>5000</v>
      </c>
      <c r="J83" s="146">
        <v>358</v>
      </c>
      <c r="K83" s="180">
        <f t="shared" si="14"/>
        <v>0</v>
      </c>
      <c r="L83" s="180">
        <f t="shared" si="10"/>
        <v>9.1326530612244911E-2</v>
      </c>
      <c r="M83" s="426">
        <f t="shared" si="11"/>
        <v>207.2317704081633</v>
      </c>
      <c r="N83" s="148">
        <f t="shared" si="16"/>
        <v>76.199121979081653</v>
      </c>
      <c r="O83" s="426">
        <v>81.634058272632672</v>
      </c>
      <c r="P83" s="426">
        <f t="shared" si="12"/>
        <v>16.8625306122449</v>
      </c>
      <c r="Q83" s="426"/>
      <c r="R83" s="532">
        <f t="shared" si="13"/>
        <v>3.4483122748205773E-2</v>
      </c>
    </row>
    <row r="84" spans="1:19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258">
        <f t="shared" si="15"/>
        <v>6438.12</v>
      </c>
      <c r="G84" s="146">
        <v>1100</v>
      </c>
      <c r="H84" s="339"/>
      <c r="I84" s="146">
        <v>5000</v>
      </c>
      <c r="J84" s="146">
        <v>214</v>
      </c>
      <c r="K84" s="180">
        <f t="shared" si="14"/>
        <v>0</v>
      </c>
      <c r="L84" s="180">
        <f t="shared" si="10"/>
        <v>5.459183673469388E-2</v>
      </c>
      <c r="M84" s="426">
        <f t="shared" si="11"/>
        <v>123.87597448979594</v>
      </c>
      <c r="N84" s="148">
        <f t="shared" si="16"/>
        <v>45.549195819897967</v>
      </c>
      <c r="O84" s="426">
        <v>48.798012486992718</v>
      </c>
      <c r="P84" s="426">
        <f t="shared" si="12"/>
        <v>10.079836734693878</v>
      </c>
      <c r="Q84" s="426"/>
      <c r="R84" s="532">
        <f t="shared" si="13"/>
        <v>3.5461131437652685E-2</v>
      </c>
    </row>
    <row r="85" spans="1:19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258">
        <f t="shared" si="15"/>
        <v>6322.5</v>
      </c>
      <c r="G85" s="146">
        <v>1100</v>
      </c>
      <c r="H85" s="339"/>
      <c r="I85" s="146">
        <v>5000</v>
      </c>
      <c r="J85" s="146">
        <v>218</v>
      </c>
      <c r="K85" s="180">
        <f t="shared" si="14"/>
        <v>0</v>
      </c>
      <c r="L85" s="180">
        <f t="shared" si="10"/>
        <v>5.5612244897959191E-2</v>
      </c>
      <c r="M85" s="426">
        <f t="shared" si="11"/>
        <v>126.19141326530615</v>
      </c>
      <c r="N85" s="148">
        <f t="shared" si="16"/>
        <v>46.400582657653075</v>
      </c>
      <c r="O85" s="426">
        <v>49.710124869927157</v>
      </c>
      <c r="P85" s="426">
        <f t="shared" si="12"/>
        <v>10.268244897959184</v>
      </c>
      <c r="Q85" s="426"/>
      <c r="R85" s="532">
        <f t="shared" si="13"/>
        <v>3.678455764188937E-2</v>
      </c>
    </row>
    <row r="86" spans="1:19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258">
        <f t="shared" si="15"/>
        <v>3207.6099999999997</v>
      </c>
      <c r="G86" s="146">
        <v>1100</v>
      </c>
      <c r="H86" s="339"/>
      <c r="I86" s="146">
        <v>5000</v>
      </c>
      <c r="J86" s="146">
        <v>106</v>
      </c>
      <c r="K86" s="180">
        <f t="shared" si="14"/>
        <v>0</v>
      </c>
      <c r="L86" s="180">
        <f t="shared" si="10"/>
        <v>2.7040816326530614E-2</v>
      </c>
      <c r="M86" s="426">
        <f t="shared" si="11"/>
        <v>61.359127551020414</v>
      </c>
      <c r="N86" s="148">
        <f t="shared" si="16"/>
        <v>22.561751200510209</v>
      </c>
      <c r="O86" s="426">
        <v>24.170978147762749</v>
      </c>
      <c r="P86" s="426">
        <f t="shared" si="12"/>
        <v>4.9928163265306118</v>
      </c>
      <c r="Q86" s="426"/>
      <c r="R86" s="532">
        <f t="shared" si="13"/>
        <v>3.5255119302478793E-2</v>
      </c>
    </row>
    <row r="87" spans="1:19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258">
        <f t="shared" si="15"/>
        <v>2997.37</v>
      </c>
      <c r="G87" s="146">
        <v>1100</v>
      </c>
      <c r="H87" s="339"/>
      <c r="I87" s="146">
        <v>5000</v>
      </c>
      <c r="J87" s="146">
        <v>100</v>
      </c>
      <c r="K87" s="180">
        <f t="shared" si="14"/>
        <v>0</v>
      </c>
      <c r="L87" s="180">
        <f t="shared" si="10"/>
        <v>2.5510204081632654E-2</v>
      </c>
      <c r="M87" s="426">
        <f t="shared" si="11"/>
        <v>57.885969387755104</v>
      </c>
      <c r="N87" s="148">
        <f t="shared" si="16"/>
        <v>21.284670943877554</v>
      </c>
      <c r="O87" s="426">
        <v>22.802809573361085</v>
      </c>
      <c r="P87" s="426">
        <f t="shared" si="12"/>
        <v>4.7102040816326527</v>
      </c>
      <c r="Q87" s="426"/>
      <c r="R87" s="532">
        <f t="shared" si="13"/>
        <v>3.5592420684342076E-2</v>
      </c>
    </row>
    <row r="88" spans="1:19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258">
        <f t="shared" si="15"/>
        <v>6397.6</v>
      </c>
      <c r="G88" s="146">
        <v>1100</v>
      </c>
      <c r="H88" s="280"/>
      <c r="I88" s="146">
        <v>5000</v>
      </c>
      <c r="J88" s="142">
        <v>72</v>
      </c>
      <c r="K88" s="180">
        <f t="shared" si="14"/>
        <v>0</v>
      </c>
      <c r="L88" s="180">
        <f t="shared" si="10"/>
        <v>1.8367346938775512E-2</v>
      </c>
      <c r="M88" s="426">
        <f t="shared" si="11"/>
        <v>41.677897959183682</v>
      </c>
      <c r="N88" s="148">
        <f t="shared" si="16"/>
        <v>15.324963079591841</v>
      </c>
      <c r="O88" s="426">
        <v>24.170978147762749</v>
      </c>
      <c r="P88" s="144">
        <f t="shared" ref="P88:P135" si="17">K88+L88*184.64</f>
        <v>3.3913469387755102</v>
      </c>
      <c r="Q88" s="144"/>
      <c r="R88" s="532">
        <f t="shared" si="13"/>
        <v>1.3218267182273629E-2</v>
      </c>
    </row>
    <row r="89" spans="1:19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441">
        <f t="shared" si="15"/>
        <v>566.29999999999995</v>
      </c>
      <c r="G89" s="146">
        <v>1100</v>
      </c>
      <c r="H89" s="280"/>
      <c r="I89" s="146">
        <v>5000</v>
      </c>
      <c r="J89" s="246">
        <v>4</v>
      </c>
      <c r="K89" s="180">
        <f t="shared" si="14"/>
        <v>0</v>
      </c>
      <c r="L89" s="180">
        <f t="shared" si="10"/>
        <v>1.0204081632653062E-3</v>
      </c>
      <c r="M89" s="426">
        <f t="shared" si="11"/>
        <v>2.3154387755102044</v>
      </c>
      <c r="N89" s="148">
        <f t="shared" si="16"/>
        <v>0.85138683775510227</v>
      </c>
      <c r="O89" s="426">
        <v>0</v>
      </c>
      <c r="P89" s="144">
        <f t="shared" si="17"/>
        <v>0.18840816326530613</v>
      </c>
      <c r="Q89" s="144"/>
      <c r="R89" s="532">
        <f t="shared" si="13"/>
        <v>5.9248344985530872E-3</v>
      </c>
      <c r="S89" s="6">
        <v>2</v>
      </c>
    </row>
    <row r="90" spans="1:19" s="69" customFormat="1" ht="16.5" thickBot="1">
      <c r="A90" s="171"/>
      <c r="B90" s="171" t="s">
        <v>749</v>
      </c>
      <c r="C90" s="683">
        <f>SUM(C69:C89)</f>
        <v>112321.67</v>
      </c>
      <c r="D90" s="683">
        <f>SUM(D69:D88)</f>
        <v>0</v>
      </c>
      <c r="E90" s="683">
        <f>SUM(E69:E88)</f>
        <v>443.75</v>
      </c>
      <c r="F90" s="684">
        <f>SUM(F69:F89)</f>
        <v>112765.42</v>
      </c>
      <c r="G90" s="280">
        <v>1100</v>
      </c>
      <c r="H90" s="683">
        <f>SUM(H69:H88)</f>
        <v>0</v>
      </c>
      <c r="I90" s="280">
        <v>5000</v>
      </c>
      <c r="J90" s="683">
        <f>SUM(J69:J89)</f>
        <v>3920</v>
      </c>
      <c r="K90" s="180">
        <f t="shared" si="14"/>
        <v>0</v>
      </c>
      <c r="L90" s="180">
        <f>1/3920*J90</f>
        <v>1</v>
      </c>
      <c r="M90" s="426">
        <f>(K90+L90)*2269.13</f>
        <v>2269.13</v>
      </c>
      <c r="N90" s="150">
        <f t="shared" si="16"/>
        <v>834.35910100000012</v>
      </c>
      <c r="O90" s="426">
        <f>SUM(O68:O89)</f>
        <v>900.71097814776272</v>
      </c>
      <c r="P90" s="144">
        <f t="shared" si="17"/>
        <v>184.64</v>
      </c>
      <c r="Q90" s="929"/>
      <c r="R90" s="532">
        <f t="shared" si="13"/>
        <v>3.714649472460408E-2</v>
      </c>
    </row>
    <row r="91" spans="1:19" s="384" customFormat="1" ht="15.75" customHeight="1" thickBot="1">
      <c r="A91" s="137" t="s">
        <v>50</v>
      </c>
      <c r="B91" s="395"/>
      <c r="C91" s="395"/>
      <c r="D91" s="395"/>
      <c r="E91" s="395"/>
      <c r="F91" s="395"/>
      <c r="G91" s="395"/>
      <c r="H91" s="395"/>
      <c r="I91" s="395"/>
      <c r="J91" s="395"/>
      <c r="K91" s="598"/>
      <c r="L91" s="395"/>
      <c r="M91" s="426">
        <f>(K91+L91)*2077.52</f>
        <v>0</v>
      </c>
      <c r="N91" s="570"/>
      <c r="O91" s="426">
        <v>0</v>
      </c>
      <c r="P91" s="699">
        <f t="shared" si="17"/>
        <v>0</v>
      </c>
      <c r="Q91" s="933"/>
      <c r="R91" s="532" t="e">
        <f t="shared" si="13"/>
        <v>#DIV/0!</v>
      </c>
    </row>
    <row r="92" spans="1:19" s="6" customFormat="1" ht="15.75" customHeight="1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672">
        <f t="shared" si="15"/>
        <v>689.3</v>
      </c>
      <c r="G92" s="851">
        <v>1100</v>
      </c>
      <c r="H92" s="851">
        <v>20</v>
      </c>
      <c r="I92" s="851">
        <v>5000</v>
      </c>
      <c r="J92" s="851">
        <v>18</v>
      </c>
      <c r="K92" s="593">
        <f t="shared" ref="K92:K155" si="18">1/6503*H92</f>
        <v>3.0755036137167461E-3</v>
      </c>
      <c r="L92" s="536">
        <f t="shared" ref="L92:L155" si="19">1/7852*J92</f>
        <v>2.2924095771777891E-3</v>
      </c>
      <c r="M92" s="426">
        <f>(K92+L92)*2017.01</f>
        <v>10.827134585166185</v>
      </c>
      <c r="N92" s="217">
        <f t="shared" si="16"/>
        <v>3.9811373869656066</v>
      </c>
      <c r="O92" s="426">
        <v>4.7261850719035072</v>
      </c>
      <c r="P92" s="426">
        <f t="shared" si="17"/>
        <v>0.42634600794382366</v>
      </c>
      <c r="Q92" s="926">
        <f>P92*1.219</f>
        <v>0.51971578368352112</v>
      </c>
      <c r="R92" s="532">
        <f t="shared" si="13"/>
        <v>2.8958077835454989E-2</v>
      </c>
      <c r="S92" s="6" t="s">
        <v>14</v>
      </c>
    </row>
    <row r="93" spans="1:19" s="6" customFormat="1" ht="15.75" customHeight="1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673">
        <f t="shared" si="15"/>
        <v>356.29999999999995</v>
      </c>
      <c r="G93" s="419">
        <v>1100</v>
      </c>
      <c r="H93" s="419">
        <v>15</v>
      </c>
      <c r="I93" s="419">
        <v>5000</v>
      </c>
      <c r="J93" s="419">
        <v>13</v>
      </c>
      <c r="K93" s="593">
        <f t="shared" si="18"/>
        <v>2.3066277102875596E-3</v>
      </c>
      <c r="L93" s="536">
        <f t="shared" si="19"/>
        <v>1.6556291390728477E-3</v>
      </c>
      <c r="M93" s="426">
        <f t="shared" ref="M93:M156" si="20">(K93+L93)*2017.01</f>
        <v>7.9919116877284351</v>
      </c>
      <c r="N93" s="218">
        <f t="shared" si="16"/>
        <v>2.9386259275777458</v>
      </c>
      <c r="O93" s="426">
        <v>3.4881242971578046</v>
      </c>
      <c r="P93" s="426">
        <f t="shared" si="17"/>
        <v>0.30800199194869815</v>
      </c>
      <c r="Q93" s="926">
        <f t="shared" ref="Q93:Q156" si="21">P93*1.219</f>
        <v>0.3754544281854631</v>
      </c>
      <c r="R93" s="532">
        <f t="shared" si="13"/>
        <v>4.1332202931273328E-2</v>
      </c>
      <c r="S93" s="6" t="s">
        <v>15</v>
      </c>
    </row>
    <row r="94" spans="1:19" s="6" customFormat="1" ht="15.75" customHeight="1">
      <c r="A94" s="268">
        <v>3</v>
      </c>
      <c r="B94" s="176" t="s">
        <v>53</v>
      </c>
      <c r="C94" s="157">
        <v>425.13</v>
      </c>
      <c r="D94" s="255"/>
      <c r="E94" s="255"/>
      <c r="F94" s="673">
        <f t="shared" si="15"/>
        <v>425.13</v>
      </c>
      <c r="G94" s="419">
        <v>1100</v>
      </c>
      <c r="H94" s="419">
        <v>23</v>
      </c>
      <c r="I94" s="419">
        <v>5000</v>
      </c>
      <c r="J94" s="419">
        <v>20</v>
      </c>
      <c r="K94" s="593">
        <f t="shared" si="18"/>
        <v>3.5368291557742581E-3</v>
      </c>
      <c r="L94" s="536">
        <f t="shared" si="19"/>
        <v>2.5471217524197657E-3</v>
      </c>
      <c r="M94" s="426">
        <f t="shared" si="20"/>
        <v>12.271389821336427</v>
      </c>
      <c r="N94" s="218">
        <f t="shared" si="16"/>
        <v>4.5121900373054045</v>
      </c>
      <c r="O94" s="426">
        <v>5.3559925232112775</v>
      </c>
      <c r="P94" s="426">
        <f t="shared" si="17"/>
        <v>0.47383738952255972</v>
      </c>
      <c r="Q94" s="926">
        <f t="shared" si="21"/>
        <v>0.57760777782800032</v>
      </c>
      <c r="R94" s="532">
        <f t="shared" si="13"/>
        <v>5.3191752573038056E-2</v>
      </c>
    </row>
    <row r="95" spans="1:19" s="6" customFormat="1" ht="15.75" customHeight="1">
      <c r="A95" s="268">
        <v>4</v>
      </c>
      <c r="B95" s="176" t="s">
        <v>54</v>
      </c>
      <c r="C95" s="157">
        <v>690.66</v>
      </c>
      <c r="D95" s="255"/>
      <c r="E95" s="255"/>
      <c r="F95" s="673">
        <f t="shared" si="15"/>
        <v>690.66</v>
      </c>
      <c r="G95" s="419">
        <v>1100</v>
      </c>
      <c r="H95" s="419">
        <v>24</v>
      </c>
      <c r="I95" s="419">
        <v>5000</v>
      </c>
      <c r="J95" s="419">
        <v>18</v>
      </c>
      <c r="K95" s="593">
        <f t="shared" si="18"/>
        <v>3.6906043364600956E-3</v>
      </c>
      <c r="L95" s="536">
        <f t="shared" si="19"/>
        <v>2.2924095771777891E-3</v>
      </c>
      <c r="M95" s="426">
        <f t="shared" si="20"/>
        <v>12.067798893946749</v>
      </c>
      <c r="N95" s="218">
        <f t="shared" si="16"/>
        <v>4.4373296533042197</v>
      </c>
      <c r="O95" s="426">
        <v>5.264517637541462</v>
      </c>
      <c r="P95" s="426">
        <f t="shared" si="17"/>
        <v>0.426961108666567</v>
      </c>
      <c r="Q95" s="926">
        <f t="shared" si="21"/>
        <v>0.52046559146454519</v>
      </c>
      <c r="R95" s="532">
        <f t="shared" si="13"/>
        <v>3.2138255137779799E-2</v>
      </c>
    </row>
    <row r="96" spans="1:19" s="6" customFormat="1" ht="15.75" customHeight="1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673">
        <f t="shared" si="15"/>
        <v>618.05999999999995</v>
      </c>
      <c r="G96" s="419">
        <v>1100</v>
      </c>
      <c r="H96" s="419">
        <v>40</v>
      </c>
      <c r="I96" s="419">
        <v>5000</v>
      </c>
      <c r="J96" s="419">
        <v>32</v>
      </c>
      <c r="K96" s="593">
        <f t="shared" si="18"/>
        <v>6.1510072274334922E-3</v>
      </c>
      <c r="L96" s="536">
        <f t="shared" si="19"/>
        <v>4.0753948038716251E-3</v>
      </c>
      <c r="M96" s="426">
        <f t="shared" si="20"/>
        <v>20.626755161162734</v>
      </c>
      <c r="N96" s="218">
        <f t="shared" si="16"/>
        <v>7.584457872759538</v>
      </c>
      <c r="O96" s="426">
        <v>9.0002540896484078</v>
      </c>
      <c r="P96" s="426">
        <f t="shared" si="17"/>
        <v>0.75863190381429024</v>
      </c>
      <c r="Q96" s="926">
        <f t="shared" si="21"/>
        <v>0.92477229074961986</v>
      </c>
      <c r="R96" s="532">
        <f t="shared" si="13"/>
        <v>6.1434325190733864E-2</v>
      </c>
    </row>
    <row r="97" spans="1:18" s="6" customFormat="1" ht="15.75" customHeight="1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673">
        <f t="shared" si="15"/>
        <v>1327.4</v>
      </c>
      <c r="G97" s="419">
        <v>1100</v>
      </c>
      <c r="H97" s="419">
        <v>50</v>
      </c>
      <c r="I97" s="419">
        <v>5000</v>
      </c>
      <c r="J97" s="419">
        <v>44</v>
      </c>
      <c r="K97" s="593">
        <f t="shared" si="18"/>
        <v>7.6887590342918661E-3</v>
      </c>
      <c r="L97" s="536">
        <f t="shared" si="19"/>
        <v>5.6036678553234845E-3</v>
      </c>
      <c r="M97" s="426">
        <f t="shared" si="20"/>
        <v>26.810957960623057</v>
      </c>
      <c r="N97" s="218">
        <f t="shared" si="16"/>
        <v>9.858389242121099</v>
      </c>
      <c r="O97" s="426">
        <v>11.702433666219116</v>
      </c>
      <c r="P97" s="426">
        <f t="shared" si="17"/>
        <v>1.0423499918412198</v>
      </c>
      <c r="Q97" s="926">
        <f t="shared" si="21"/>
        <v>1.270624640054447</v>
      </c>
      <c r="R97" s="532">
        <f t="shared" si="13"/>
        <v>3.722625498026555E-2</v>
      </c>
    </row>
    <row r="98" spans="1:18" s="6" customFormat="1" ht="15.75" customHeight="1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673">
        <f t="shared" si="15"/>
        <v>1528.3</v>
      </c>
      <c r="G98" s="419">
        <v>1100</v>
      </c>
      <c r="H98" s="419">
        <v>59</v>
      </c>
      <c r="I98" s="419">
        <v>5000</v>
      </c>
      <c r="J98" s="419">
        <v>52</v>
      </c>
      <c r="K98" s="593">
        <f t="shared" si="18"/>
        <v>9.0727356604644021E-3</v>
      </c>
      <c r="L98" s="536">
        <f t="shared" si="19"/>
        <v>6.6225165562913907E-3</v>
      </c>
      <c r="M98" s="426">
        <f t="shared" si="20"/>
        <v>31.657480673718602</v>
      </c>
      <c r="N98" s="218">
        <f t="shared" si="16"/>
        <v>11.64045564372633</v>
      </c>
      <c r="O98" s="426">
        <v>13.817914047221731</v>
      </c>
      <c r="P98" s="426">
        <f t="shared" si="17"/>
        <v>1.2318541926141067</v>
      </c>
      <c r="Q98" s="926">
        <f t="shared" si="21"/>
        <v>1.5016302607965961</v>
      </c>
      <c r="R98" s="532">
        <f t="shared" si="13"/>
        <v>3.8178174806831625E-2</v>
      </c>
    </row>
    <row r="99" spans="1:18" s="6" customFormat="1" ht="15.75" customHeight="1">
      <c r="A99" s="275">
        <v>8</v>
      </c>
      <c r="B99" s="176" t="s">
        <v>58</v>
      </c>
      <c r="C99" s="157">
        <v>736.94</v>
      </c>
      <c r="D99" s="255"/>
      <c r="E99" s="255"/>
      <c r="F99" s="673">
        <f t="shared" si="15"/>
        <v>736.94</v>
      </c>
      <c r="G99" s="419">
        <v>1100</v>
      </c>
      <c r="H99" s="419">
        <v>39</v>
      </c>
      <c r="I99" s="419">
        <v>5000</v>
      </c>
      <c r="J99" s="419">
        <v>26</v>
      </c>
      <c r="K99" s="593">
        <f t="shared" si="18"/>
        <v>5.9972320467476551E-3</v>
      </c>
      <c r="L99" s="536">
        <f t="shared" si="19"/>
        <v>3.3112582781456954E-3</v>
      </c>
      <c r="M99" s="426">
        <f t="shared" si="20"/>
        <v>18.775318070213139</v>
      </c>
      <c r="N99" s="218">
        <f t="shared" si="16"/>
        <v>6.9036844544173714</v>
      </c>
      <c r="O99" s="426">
        <v>8.1874968670010073</v>
      </c>
      <c r="P99" s="426">
        <f t="shared" si="17"/>
        <v>0.61738796052356881</v>
      </c>
      <c r="Q99" s="926">
        <f t="shared" si="21"/>
        <v>0.75259592387823049</v>
      </c>
      <c r="R99" s="532">
        <f t="shared" si="13"/>
        <v>4.6793344576431029E-2</v>
      </c>
    </row>
    <row r="100" spans="1:18" s="6" customFormat="1" ht="15.75" customHeight="1">
      <c r="A100" s="268">
        <v>9</v>
      </c>
      <c r="B100" s="176" t="s">
        <v>59</v>
      </c>
      <c r="C100" s="157">
        <v>588.29</v>
      </c>
      <c r="D100" s="255"/>
      <c r="E100" s="255"/>
      <c r="F100" s="673">
        <f t="shared" si="15"/>
        <v>588.29</v>
      </c>
      <c r="G100" s="419">
        <v>1100</v>
      </c>
      <c r="H100" s="419">
        <v>32</v>
      </c>
      <c r="I100" s="419">
        <v>5000</v>
      </c>
      <c r="J100" s="419">
        <v>29</v>
      </c>
      <c r="K100" s="593">
        <f t="shared" si="18"/>
        <v>4.9208057819467941E-3</v>
      </c>
      <c r="L100" s="536">
        <f t="shared" si="19"/>
        <v>3.69332654100866E-3</v>
      </c>
      <c r="M100" s="426">
        <f t="shared" si="20"/>
        <v>17.374791036724382</v>
      </c>
      <c r="N100" s="218">
        <f t="shared" si="16"/>
        <v>6.3887106642035558</v>
      </c>
      <c r="O100" s="426">
        <v>7.584501917753542</v>
      </c>
      <c r="P100" s="426">
        <f t="shared" si="17"/>
        <v>0.68685661831378564</v>
      </c>
      <c r="Q100" s="926">
        <f t="shared" si="21"/>
        <v>0.83727821772450473</v>
      </c>
      <c r="R100" s="532">
        <f t="shared" si="13"/>
        <v>5.4454198162462844E-2</v>
      </c>
    </row>
    <row r="101" spans="1:18" s="6" customFormat="1" ht="15.75" customHeight="1">
      <c r="A101" s="268">
        <v>10</v>
      </c>
      <c r="B101" s="274" t="s">
        <v>60</v>
      </c>
      <c r="C101" s="157">
        <v>264.32</v>
      </c>
      <c r="D101" s="255"/>
      <c r="E101" s="255"/>
      <c r="F101" s="673">
        <f t="shared" si="15"/>
        <v>264.32</v>
      </c>
      <c r="G101" s="419">
        <v>1100</v>
      </c>
      <c r="H101" s="419">
        <v>14</v>
      </c>
      <c r="I101" s="419">
        <v>5000</v>
      </c>
      <c r="J101" s="419">
        <v>14</v>
      </c>
      <c r="K101" s="593">
        <f t="shared" si="18"/>
        <v>2.1528525296017225E-3</v>
      </c>
      <c r="L101" s="536">
        <f t="shared" si="19"/>
        <v>1.782985226693836E-3</v>
      </c>
      <c r="M101" s="426">
        <f t="shared" si="20"/>
        <v>7.9386241128257042</v>
      </c>
      <c r="N101" s="218">
        <f t="shared" si="16"/>
        <v>2.9190320862860117</v>
      </c>
      <c r="O101" s="426">
        <v>3.466570169287968</v>
      </c>
      <c r="P101" s="426">
        <f t="shared" si="17"/>
        <v>0.3313632447863516</v>
      </c>
      <c r="Q101" s="926">
        <f t="shared" si="21"/>
        <v>0.40393179539456264</v>
      </c>
      <c r="R101" s="532">
        <f t="shared" si="13"/>
        <v>5.5446389275068231E-2</v>
      </c>
    </row>
    <row r="102" spans="1:18" s="6" customFormat="1" ht="15.75" customHeight="1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673">
        <f t="shared" si="15"/>
        <v>202.70000000000002</v>
      </c>
      <c r="G102" s="419">
        <v>1100</v>
      </c>
      <c r="H102" s="419">
        <v>11</v>
      </c>
      <c r="I102" s="419">
        <v>5000</v>
      </c>
      <c r="J102" s="419">
        <v>11</v>
      </c>
      <c r="K102" s="593">
        <f t="shared" si="18"/>
        <v>1.6915269875442105E-3</v>
      </c>
      <c r="L102" s="536">
        <f t="shared" si="19"/>
        <v>1.4009169638308711E-3</v>
      </c>
      <c r="M102" s="426">
        <f t="shared" si="20"/>
        <v>6.2374903743630528</v>
      </c>
      <c r="N102" s="218">
        <f t="shared" si="16"/>
        <v>2.2935252106532946</v>
      </c>
      <c r="O102" s="426">
        <v>2.7237337044405461</v>
      </c>
      <c r="P102" s="426">
        <f t="shared" si="17"/>
        <v>0.26035683518927621</v>
      </c>
      <c r="Q102" s="926">
        <f t="shared" si="21"/>
        <v>0.31737498209572773</v>
      </c>
      <c r="R102" s="532">
        <f t="shared" si="13"/>
        <v>5.680861432977883E-2</v>
      </c>
    </row>
    <row r="103" spans="1:18" s="6" customFormat="1" ht="15.75" customHeight="1">
      <c r="A103" s="268">
        <v>12</v>
      </c>
      <c r="B103" s="176" t="s">
        <v>62</v>
      </c>
      <c r="C103" s="157">
        <v>366.9</v>
      </c>
      <c r="D103" s="255"/>
      <c r="E103" s="255"/>
      <c r="F103" s="673">
        <f t="shared" si="15"/>
        <v>366.9</v>
      </c>
      <c r="G103" s="419">
        <v>1100</v>
      </c>
      <c r="H103" s="419">
        <v>19</v>
      </c>
      <c r="I103" s="419">
        <v>5000</v>
      </c>
      <c r="J103" s="419">
        <v>19</v>
      </c>
      <c r="K103" s="593">
        <f t="shared" si="18"/>
        <v>2.921728433030909E-3</v>
      </c>
      <c r="L103" s="536">
        <f t="shared" si="19"/>
        <v>2.4197656647987776E-3</v>
      </c>
      <c r="M103" s="426">
        <f t="shared" si="20"/>
        <v>10.773847010263456</v>
      </c>
      <c r="N103" s="218">
        <f t="shared" si="16"/>
        <v>3.961543545673873</v>
      </c>
      <c r="O103" s="426">
        <v>4.7046309440336707</v>
      </c>
      <c r="P103" s="426">
        <f t="shared" si="17"/>
        <v>0.44970726078147716</v>
      </c>
      <c r="Q103" s="926">
        <f t="shared" si="21"/>
        <v>0.54819315089262066</v>
      </c>
      <c r="R103" s="532">
        <f t="shared" si="13"/>
        <v>5.4210217390985221E-2</v>
      </c>
    </row>
    <row r="104" spans="1:18" s="6" customFormat="1" ht="15.75" customHeight="1">
      <c r="A104" s="268">
        <v>13</v>
      </c>
      <c r="B104" s="176" t="s">
        <v>63</v>
      </c>
      <c r="C104" s="157">
        <v>580.66999999999996</v>
      </c>
      <c r="D104" s="255"/>
      <c r="E104" s="255"/>
      <c r="F104" s="673">
        <f t="shared" si="15"/>
        <v>580.66999999999996</v>
      </c>
      <c r="G104" s="419">
        <v>1100</v>
      </c>
      <c r="H104" s="419">
        <v>30</v>
      </c>
      <c r="I104" s="419">
        <v>5000</v>
      </c>
      <c r="J104" s="419">
        <v>31</v>
      </c>
      <c r="K104" s="593">
        <f t="shared" si="18"/>
        <v>4.6132554205751191E-3</v>
      </c>
      <c r="L104" s="536">
        <f t="shared" si="19"/>
        <v>3.948038716250637E-3</v>
      </c>
      <c r="M104" s="426">
        <f t="shared" si="20"/>
        <v>17.268215886918917</v>
      </c>
      <c r="N104" s="218">
        <f t="shared" si="16"/>
        <v>6.349522981620086</v>
      </c>
      <c r="O104" s="426">
        <v>7.541393662013868</v>
      </c>
      <c r="P104" s="426">
        <f t="shared" si="17"/>
        <v>0.73357912398909264</v>
      </c>
      <c r="Q104" s="926">
        <f t="shared" si="21"/>
        <v>0.89423295214270404</v>
      </c>
      <c r="R104" s="532">
        <f t="shared" si="13"/>
        <v>5.4923987212258191E-2</v>
      </c>
    </row>
    <row r="105" spans="1:18" s="6" customFormat="1" ht="15.75" customHeight="1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673">
        <f t="shared" si="15"/>
        <v>612.9</v>
      </c>
      <c r="G105" s="419">
        <v>1100</v>
      </c>
      <c r="H105" s="419">
        <v>32</v>
      </c>
      <c r="I105" s="419">
        <v>5000</v>
      </c>
      <c r="J105" s="419">
        <v>27</v>
      </c>
      <c r="K105" s="593">
        <f t="shared" si="18"/>
        <v>4.9208057819467941E-3</v>
      </c>
      <c r="L105" s="536">
        <f t="shared" si="19"/>
        <v>3.4386143657666839E-3</v>
      </c>
      <c r="M105" s="426">
        <f t="shared" si="20"/>
        <v>16.86103403213956</v>
      </c>
      <c r="N105" s="218">
        <f t="shared" si="16"/>
        <v>6.1998022136177164</v>
      </c>
      <c r="O105" s="426">
        <v>7.3584438906742387</v>
      </c>
      <c r="P105" s="426">
        <f t="shared" si="17"/>
        <v>0.63982656227710721</v>
      </c>
      <c r="Q105" s="926">
        <f t="shared" si="21"/>
        <v>0.77994857941579376</v>
      </c>
      <c r="R105" s="532">
        <f t="shared" si="13"/>
        <v>5.0675651327636843E-2</v>
      </c>
    </row>
    <row r="106" spans="1:18" s="6" customFormat="1" ht="15.75" customHeight="1">
      <c r="A106" s="275">
        <v>15</v>
      </c>
      <c r="B106" s="176" t="s">
        <v>67</v>
      </c>
      <c r="C106" s="157">
        <v>851.5</v>
      </c>
      <c r="D106" s="255"/>
      <c r="E106" s="255"/>
      <c r="F106" s="673">
        <f t="shared" si="15"/>
        <v>851.5</v>
      </c>
      <c r="G106" s="419">
        <v>1100</v>
      </c>
      <c r="H106" s="419">
        <v>35</v>
      </c>
      <c r="I106" s="419">
        <v>5000</v>
      </c>
      <c r="J106" s="419">
        <v>36</v>
      </c>
      <c r="K106" s="593">
        <f t="shared" si="18"/>
        <v>5.3821313240043061E-3</v>
      </c>
      <c r="L106" s="536">
        <f t="shared" si="19"/>
        <v>4.5848191543555782E-3</v>
      </c>
      <c r="M106" s="426">
        <f t="shared" si="20"/>
        <v>20.103438784356673</v>
      </c>
      <c r="N106" s="218">
        <f t="shared" si="16"/>
        <v>7.392034441007949</v>
      </c>
      <c r="O106" s="426">
        <v>8.7794544367595719</v>
      </c>
      <c r="P106" s="426">
        <f t="shared" si="17"/>
        <v>0.8519231399842182</v>
      </c>
      <c r="Q106" s="926">
        <f t="shared" si="21"/>
        <v>1.038494307640762</v>
      </c>
      <c r="R106" s="532">
        <f t="shared" si="13"/>
        <v>4.3601703819270005E-2</v>
      </c>
    </row>
    <row r="107" spans="1:18" s="6" customFormat="1" ht="15.75" customHeight="1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673">
        <f t="shared" si="15"/>
        <v>545.6</v>
      </c>
      <c r="G107" s="419">
        <v>1100</v>
      </c>
      <c r="H107" s="419">
        <v>21</v>
      </c>
      <c r="I107" s="419">
        <v>5000</v>
      </c>
      <c r="J107" s="419">
        <v>23</v>
      </c>
      <c r="K107" s="593">
        <f t="shared" si="18"/>
        <v>3.2292787944025836E-3</v>
      </c>
      <c r="L107" s="536">
        <f t="shared" si="19"/>
        <v>2.9291900152827307E-3</v>
      </c>
      <c r="M107" s="426">
        <f t="shared" si="20"/>
        <v>12.421693173823375</v>
      </c>
      <c r="N107" s="218">
        <f t="shared" si="16"/>
        <v>4.5674565800148548</v>
      </c>
      <c r="O107" s="426">
        <v>5.4259132810112547</v>
      </c>
      <c r="P107" s="426">
        <f t="shared" si="17"/>
        <v>0.54407492321620599</v>
      </c>
      <c r="Q107" s="926">
        <f t="shared" si="21"/>
        <v>0.66322733140055512</v>
      </c>
      <c r="R107" s="532">
        <f t="shared" si="13"/>
        <v>4.2080531448067608E-2</v>
      </c>
    </row>
    <row r="108" spans="1:18" s="6" customFormat="1" ht="15.75" customHeight="1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673">
        <f t="shared" si="15"/>
        <v>564.81000000000006</v>
      </c>
      <c r="G108" s="419">
        <v>1100</v>
      </c>
      <c r="H108" s="419">
        <v>21</v>
      </c>
      <c r="I108" s="419">
        <v>5000</v>
      </c>
      <c r="J108" s="419">
        <v>24</v>
      </c>
      <c r="K108" s="593">
        <f t="shared" si="18"/>
        <v>3.2292787944025836E-3</v>
      </c>
      <c r="L108" s="536">
        <f t="shared" si="19"/>
        <v>3.0565461029037188E-3</v>
      </c>
      <c r="M108" s="426">
        <f t="shared" si="20"/>
        <v>12.678571676115785</v>
      </c>
      <c r="N108" s="218">
        <f t="shared" si="16"/>
        <v>4.6619108053077749</v>
      </c>
      <c r="O108" s="426">
        <v>5.5389422945509068</v>
      </c>
      <c r="P108" s="426">
        <f t="shared" si="17"/>
        <v>0.56758995123454514</v>
      </c>
      <c r="Q108" s="926">
        <f t="shared" si="21"/>
        <v>0.6918921505549106</v>
      </c>
      <c r="R108" s="532">
        <f t="shared" si="13"/>
        <v>4.1513101268052993E-2</v>
      </c>
    </row>
    <row r="109" spans="1:18" s="6" customFormat="1" ht="15.75" customHeight="1">
      <c r="A109" s="268">
        <v>18</v>
      </c>
      <c r="B109" s="176" t="s">
        <v>70</v>
      </c>
      <c r="C109" s="157">
        <v>536.25</v>
      </c>
      <c r="D109" s="255"/>
      <c r="E109" s="255"/>
      <c r="F109" s="673">
        <f t="shared" si="15"/>
        <v>536.25</v>
      </c>
      <c r="G109" s="419">
        <v>1100</v>
      </c>
      <c r="H109" s="419">
        <v>12</v>
      </c>
      <c r="I109" s="419">
        <v>5000</v>
      </c>
      <c r="J109" s="419">
        <v>24</v>
      </c>
      <c r="K109" s="593">
        <f t="shared" si="18"/>
        <v>1.8453021682300478E-3</v>
      </c>
      <c r="L109" s="536">
        <f t="shared" si="19"/>
        <v>3.0565461029037188E-3</v>
      </c>
      <c r="M109" s="426">
        <f t="shared" si="20"/>
        <v>9.8870769813595185</v>
      </c>
      <c r="N109" s="218">
        <f t="shared" si="16"/>
        <v>3.6354782060458954</v>
      </c>
      <c r="O109" s="426">
        <v>4.3276940218655087</v>
      </c>
      <c r="P109" s="426">
        <f t="shared" si="17"/>
        <v>0.56620597460837263</v>
      </c>
      <c r="Q109" s="926">
        <f t="shared" si="21"/>
        <v>0.6902050830476063</v>
      </c>
      <c r="R109" s="532">
        <f t="shared" si="13"/>
        <v>3.4343039969938073E-2</v>
      </c>
    </row>
    <row r="110" spans="1:18" s="6" customFormat="1" ht="15.75" customHeight="1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673">
        <f t="shared" si="15"/>
        <v>603.17000000000007</v>
      </c>
      <c r="G110" s="419">
        <v>1100</v>
      </c>
      <c r="H110" s="419">
        <v>24</v>
      </c>
      <c r="I110" s="419">
        <v>5000</v>
      </c>
      <c r="J110" s="419">
        <v>24</v>
      </c>
      <c r="K110" s="593">
        <f t="shared" si="18"/>
        <v>3.6906043364600956E-3</v>
      </c>
      <c r="L110" s="536">
        <f t="shared" si="19"/>
        <v>3.0565461029037188E-3</v>
      </c>
      <c r="M110" s="426">
        <f t="shared" si="20"/>
        <v>13.609069907701208</v>
      </c>
      <c r="N110" s="218">
        <f t="shared" si="16"/>
        <v>5.0040550050617343</v>
      </c>
      <c r="O110" s="426">
        <v>5.9426917187793737</v>
      </c>
      <c r="P110" s="426">
        <f t="shared" si="17"/>
        <v>0.56805127677660261</v>
      </c>
      <c r="Q110" s="926">
        <f t="shared" si="21"/>
        <v>0.69245450639067863</v>
      </c>
      <c r="R110" s="532">
        <f t="shared" si="13"/>
        <v>4.1653046252829076E-2</v>
      </c>
    </row>
    <row r="111" spans="1:18" s="6" customFormat="1" ht="15.75" customHeight="1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673">
        <f t="shared" si="15"/>
        <v>226.9</v>
      </c>
      <c r="G111" s="419">
        <v>1100</v>
      </c>
      <c r="H111" s="419">
        <v>12</v>
      </c>
      <c r="I111" s="419">
        <v>5000</v>
      </c>
      <c r="J111" s="419">
        <v>8</v>
      </c>
      <c r="K111" s="593">
        <f t="shared" si="18"/>
        <v>1.8453021682300478E-3</v>
      </c>
      <c r="L111" s="536">
        <f t="shared" si="19"/>
        <v>1.0188487009679063E-3</v>
      </c>
      <c r="M111" s="426">
        <f t="shared" si="20"/>
        <v>5.7770209446809657</v>
      </c>
      <c r="N111" s="218">
        <f t="shared" si="16"/>
        <v>2.124210601359191</v>
      </c>
      <c r="O111" s="426">
        <v>2.5192298052310789</v>
      </c>
      <c r="P111" s="426">
        <f t="shared" si="17"/>
        <v>0.18996552631494423</v>
      </c>
      <c r="Q111" s="926">
        <f t="shared" si="21"/>
        <v>0.23156797657791703</v>
      </c>
      <c r="R111" s="532">
        <f t="shared" si="13"/>
        <v>4.6762568874333089E-2</v>
      </c>
    </row>
    <row r="112" spans="1:18" s="6" customFormat="1" ht="15.75" customHeight="1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673">
        <f t="shared" si="15"/>
        <v>385.59999999999997</v>
      </c>
      <c r="G112" s="419">
        <v>1100</v>
      </c>
      <c r="H112" s="419">
        <v>14</v>
      </c>
      <c r="I112" s="419">
        <v>5000</v>
      </c>
      <c r="J112" s="419">
        <v>14</v>
      </c>
      <c r="K112" s="593">
        <f t="shared" si="18"/>
        <v>2.1528525296017225E-3</v>
      </c>
      <c r="L112" s="536">
        <f t="shared" si="19"/>
        <v>1.782985226693836E-3</v>
      </c>
      <c r="M112" s="426">
        <f t="shared" si="20"/>
        <v>7.9386241128257042</v>
      </c>
      <c r="N112" s="218">
        <f t="shared" si="16"/>
        <v>2.9190320862860117</v>
      </c>
      <c r="O112" s="426">
        <v>3.466570169287968</v>
      </c>
      <c r="P112" s="426">
        <f t="shared" si="17"/>
        <v>0.3313632447863516</v>
      </c>
      <c r="Q112" s="926">
        <f t="shared" si="21"/>
        <v>0.40393179539456264</v>
      </c>
      <c r="R112" s="532">
        <f t="shared" si="13"/>
        <v>3.8007234474030177E-2</v>
      </c>
    </row>
    <row r="113" spans="1:18" s="6" customFormat="1" ht="15.75" customHeight="1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673">
        <f t="shared" si="15"/>
        <v>340.18</v>
      </c>
      <c r="G113" s="419">
        <v>1100</v>
      </c>
      <c r="H113" s="419">
        <v>9</v>
      </c>
      <c r="I113" s="419">
        <v>5000</v>
      </c>
      <c r="J113" s="419">
        <v>19</v>
      </c>
      <c r="K113" s="593">
        <f t="shared" si="18"/>
        <v>1.3839766261725358E-3</v>
      </c>
      <c r="L113" s="536">
        <f t="shared" si="19"/>
        <v>2.4197656647987776E-3</v>
      </c>
      <c r="M113" s="426">
        <f t="shared" si="20"/>
        <v>7.6721862383120492</v>
      </c>
      <c r="N113" s="218">
        <f t="shared" si="16"/>
        <v>2.8210628798273407</v>
      </c>
      <c r="O113" s="426">
        <v>3.3587995299387834</v>
      </c>
      <c r="P113" s="426">
        <f t="shared" si="17"/>
        <v>0.44816950897461877</v>
      </c>
      <c r="Q113" s="926">
        <f t="shared" si="21"/>
        <v>0.54631863144006032</v>
      </c>
      <c r="R113" s="532">
        <f t="shared" si="13"/>
        <v>4.203721017418071E-2</v>
      </c>
    </row>
    <row r="114" spans="1:18" s="6" customFormat="1" ht="15.75" customHeight="1">
      <c r="A114" s="268">
        <v>23</v>
      </c>
      <c r="B114" s="176" t="s">
        <v>75</v>
      </c>
      <c r="C114" s="157">
        <v>304.7</v>
      </c>
      <c r="D114" s="255"/>
      <c r="E114" s="255"/>
      <c r="F114" s="673">
        <f t="shared" si="15"/>
        <v>304.7</v>
      </c>
      <c r="G114" s="419">
        <v>1100</v>
      </c>
      <c r="H114" s="419">
        <v>14</v>
      </c>
      <c r="I114" s="419">
        <v>5000</v>
      </c>
      <c r="J114" s="419">
        <v>14</v>
      </c>
      <c r="K114" s="593">
        <f t="shared" si="18"/>
        <v>2.1528525296017225E-3</v>
      </c>
      <c r="L114" s="536">
        <f t="shared" si="19"/>
        <v>1.782985226693836E-3</v>
      </c>
      <c r="M114" s="426">
        <f t="shared" si="20"/>
        <v>7.9386241128257042</v>
      </c>
      <c r="N114" s="218">
        <f t="shared" si="16"/>
        <v>2.9190320862860117</v>
      </c>
      <c r="O114" s="426">
        <v>3.466570169287968</v>
      </c>
      <c r="P114" s="426">
        <f t="shared" si="17"/>
        <v>0.3313632447863516</v>
      </c>
      <c r="Q114" s="926">
        <f t="shared" si="21"/>
        <v>0.40393179539456264</v>
      </c>
      <c r="R114" s="532">
        <f t="shared" si="13"/>
        <v>4.8098423410521937E-2</v>
      </c>
    </row>
    <row r="115" spans="1:18" s="6" customFormat="1" ht="15.75" customHeight="1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673">
        <f t="shared" si="15"/>
        <v>979.97</v>
      </c>
      <c r="G115" s="419">
        <v>1100</v>
      </c>
      <c r="H115" s="419">
        <v>36</v>
      </c>
      <c r="I115" s="419">
        <v>5000</v>
      </c>
      <c r="J115" s="419">
        <v>34</v>
      </c>
      <c r="K115" s="593">
        <f t="shared" si="18"/>
        <v>5.5359065046901431E-3</v>
      </c>
      <c r="L115" s="536">
        <f t="shared" si="19"/>
        <v>4.3301069791136012E-3</v>
      </c>
      <c r="M115" s="426">
        <f t="shared" si="20"/>
        <v>19.899847856966989</v>
      </c>
      <c r="N115" s="218">
        <f t="shared" si="16"/>
        <v>7.3171740570067625</v>
      </c>
      <c r="O115" s="426">
        <v>8.6879795510897555</v>
      </c>
      <c r="P115" s="426">
        <f t="shared" si="17"/>
        <v>0.80504685912822538</v>
      </c>
      <c r="Q115" s="926">
        <f t="shared" si="21"/>
        <v>0.98135212127730675</v>
      </c>
      <c r="R115" s="532">
        <f t="shared" si="13"/>
        <v>3.7460379730187385E-2</v>
      </c>
    </row>
    <row r="116" spans="1:18" s="6" customFormat="1" ht="15.75" customHeight="1">
      <c r="A116" s="268">
        <v>25</v>
      </c>
      <c r="B116" s="176" t="s">
        <v>77</v>
      </c>
      <c r="C116" s="157">
        <v>1330.1</v>
      </c>
      <c r="D116" s="255"/>
      <c r="E116" s="255"/>
      <c r="F116" s="673">
        <f t="shared" si="15"/>
        <v>1330.1</v>
      </c>
      <c r="G116" s="419">
        <v>1100</v>
      </c>
      <c r="H116" s="419">
        <v>24</v>
      </c>
      <c r="I116" s="419">
        <v>5000</v>
      </c>
      <c r="J116" s="419">
        <v>70</v>
      </c>
      <c r="K116" s="593">
        <f t="shared" si="18"/>
        <v>3.6906043364600956E-3</v>
      </c>
      <c r="L116" s="536">
        <f t="shared" si="19"/>
        <v>8.9149261334691803E-3</v>
      </c>
      <c r="M116" s="426">
        <f t="shared" si="20"/>
        <v>25.425481013152048</v>
      </c>
      <c r="N116" s="218">
        <f t="shared" si="16"/>
        <v>9.3489493685360081</v>
      </c>
      <c r="O116" s="426">
        <v>11.142026341603357</v>
      </c>
      <c r="P116" s="426">
        <f t="shared" si="17"/>
        <v>1.6497425656202096</v>
      </c>
      <c r="Q116" s="926">
        <f t="shared" si="21"/>
        <v>2.0110361874910359</v>
      </c>
      <c r="R116" s="532">
        <f t="shared" si="13"/>
        <v>3.5761370790851531E-2</v>
      </c>
    </row>
    <row r="117" spans="1:18" s="6" customFormat="1" ht="15.75" customHeight="1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673">
        <f t="shared" si="15"/>
        <v>820.65</v>
      </c>
      <c r="G117" s="419">
        <v>1100</v>
      </c>
      <c r="H117" s="419">
        <v>73</v>
      </c>
      <c r="I117" s="419">
        <v>5000</v>
      </c>
      <c r="J117" s="419">
        <v>82</v>
      </c>
      <c r="K117" s="593">
        <f t="shared" si="18"/>
        <v>1.1225588190066124E-2</v>
      </c>
      <c r="L117" s="536">
        <f t="shared" si="19"/>
        <v>1.0443199184921039E-2</v>
      </c>
      <c r="M117" s="426">
        <f t="shared" si="20"/>
        <v>43.706160823222852</v>
      </c>
      <c r="N117" s="218">
        <f t="shared" si="16"/>
        <v>16.070755334699044</v>
      </c>
      <c r="O117" s="426">
        <v>19.092948433144127</v>
      </c>
      <c r="P117" s="426">
        <f t="shared" si="17"/>
        <v>1.9394578856938864</v>
      </c>
      <c r="Q117" s="926">
        <f t="shared" si="21"/>
        <v>2.3641991626608476</v>
      </c>
      <c r="R117" s="532">
        <f t="shared" si="13"/>
        <v>9.8469898832340114E-2</v>
      </c>
    </row>
    <row r="118" spans="1:18" s="6" customFormat="1" ht="15.75" customHeight="1">
      <c r="A118" s="268">
        <v>27</v>
      </c>
      <c r="B118" s="176" t="s">
        <v>79</v>
      </c>
      <c r="C118" s="157">
        <v>1286.57</v>
      </c>
      <c r="D118" s="255">
        <v>132.1</v>
      </c>
      <c r="E118" s="255">
        <v>45.2</v>
      </c>
      <c r="F118" s="673">
        <f t="shared" si="15"/>
        <v>1463.87</v>
      </c>
      <c r="G118" s="419">
        <v>1100</v>
      </c>
      <c r="H118" s="419">
        <v>29</v>
      </c>
      <c r="I118" s="419">
        <v>5000</v>
      </c>
      <c r="J118" s="419">
        <v>58</v>
      </c>
      <c r="K118" s="593">
        <f t="shared" si="18"/>
        <v>4.4594802398892821E-3</v>
      </c>
      <c r="L118" s="536">
        <f t="shared" si="19"/>
        <v>7.38665308201732E-3</v>
      </c>
      <c r="M118" s="426">
        <f t="shared" si="20"/>
        <v>23.893769371618834</v>
      </c>
      <c r="N118" s="218">
        <f t="shared" si="16"/>
        <v>8.7857389979442466</v>
      </c>
      <c r="O118" s="426">
        <v>10.458593886174979</v>
      </c>
      <c r="P118" s="426">
        <f t="shared" si="17"/>
        <v>1.3683311053035669</v>
      </c>
      <c r="Q118" s="926">
        <f t="shared" si="21"/>
        <v>1.6679956173650483</v>
      </c>
      <c r="R118" s="532">
        <f t="shared" si="13"/>
        <v>3.0403268979514324E-2</v>
      </c>
    </row>
    <row r="119" spans="1:18" s="6" customFormat="1" ht="15.75" customHeight="1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673">
        <f t="shared" si="15"/>
        <v>595.18000000000006</v>
      </c>
      <c r="G119" s="419">
        <v>1100</v>
      </c>
      <c r="H119" s="419">
        <v>25</v>
      </c>
      <c r="I119" s="419">
        <v>5000</v>
      </c>
      <c r="J119" s="419">
        <v>21</v>
      </c>
      <c r="K119" s="593">
        <f t="shared" si="18"/>
        <v>3.844379517145933E-3</v>
      </c>
      <c r="L119" s="536">
        <f t="shared" si="19"/>
        <v>2.6744778400407537E-3</v>
      </c>
      <c r="M119" s="426">
        <f t="shared" si="20"/>
        <v>13.148600478019119</v>
      </c>
      <c r="N119" s="218">
        <f t="shared" si="16"/>
        <v>4.8347403957676303</v>
      </c>
      <c r="O119" s="426">
        <v>5.738187819569907</v>
      </c>
      <c r="P119" s="426">
        <f t="shared" si="17"/>
        <v>0.49765996790227068</v>
      </c>
      <c r="Q119" s="926">
        <f t="shared" si="21"/>
        <v>0.60664750087286801</v>
      </c>
      <c r="R119" s="532">
        <f t="shared" si="13"/>
        <v>4.0692208510465615E-2</v>
      </c>
    </row>
    <row r="120" spans="1:18" s="6" customFormat="1" ht="15.75" customHeight="1">
      <c r="A120" s="275">
        <v>29</v>
      </c>
      <c r="B120" s="176" t="s">
        <v>81</v>
      </c>
      <c r="C120" s="157">
        <v>142</v>
      </c>
      <c r="D120" s="255"/>
      <c r="E120" s="255"/>
      <c r="F120" s="673">
        <f t="shared" si="15"/>
        <v>142</v>
      </c>
      <c r="G120" s="419">
        <v>1100</v>
      </c>
      <c r="H120" s="419">
        <v>8</v>
      </c>
      <c r="I120" s="419">
        <v>5000</v>
      </c>
      <c r="J120" s="419">
        <v>8</v>
      </c>
      <c r="K120" s="593">
        <f t="shared" si="18"/>
        <v>1.2302014454866985E-3</v>
      </c>
      <c r="L120" s="536">
        <f t="shared" si="19"/>
        <v>1.0188487009679063E-3</v>
      </c>
      <c r="M120" s="426">
        <f t="shared" si="20"/>
        <v>4.5363566359004022</v>
      </c>
      <c r="N120" s="218">
        <f t="shared" si="16"/>
        <v>1.6680183350205779</v>
      </c>
      <c r="O120" s="426">
        <v>1.9808972395931241</v>
      </c>
      <c r="P120" s="426">
        <f t="shared" si="17"/>
        <v>0.18935042559220089</v>
      </c>
      <c r="Q120" s="926">
        <f t="shared" si="21"/>
        <v>0.2308181687968929</v>
      </c>
      <c r="R120" s="532">
        <f t="shared" si="13"/>
        <v>5.8976215747227508E-2</v>
      </c>
    </row>
    <row r="121" spans="1:18" s="6" customFormat="1" ht="15.75" customHeight="1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673">
        <f t="shared" si="15"/>
        <v>576.93999999999994</v>
      </c>
      <c r="G121" s="419">
        <v>1100</v>
      </c>
      <c r="H121" s="419">
        <v>14</v>
      </c>
      <c r="I121" s="419">
        <v>5000</v>
      </c>
      <c r="J121" s="419">
        <v>8</v>
      </c>
      <c r="K121" s="593">
        <f t="shared" si="18"/>
        <v>2.1528525296017225E-3</v>
      </c>
      <c r="L121" s="536">
        <f t="shared" si="19"/>
        <v>1.0188487009679063E-3</v>
      </c>
      <c r="M121" s="426">
        <f t="shared" si="20"/>
        <v>6.3973530990712471</v>
      </c>
      <c r="N121" s="218">
        <f t="shared" si="16"/>
        <v>2.3523067345284976</v>
      </c>
      <c r="O121" s="426">
        <v>2.7883960880500567</v>
      </c>
      <c r="P121" s="426">
        <f t="shared" si="17"/>
        <v>0.19027307667631593</v>
      </c>
      <c r="Q121" s="926">
        <f t="shared" si="21"/>
        <v>0.23194288046842915</v>
      </c>
      <c r="R121" s="532">
        <f t="shared" si="13"/>
        <v>2.0328507294217972E-2</v>
      </c>
    </row>
    <row r="122" spans="1:18" s="6" customFormat="1" ht="15.75" customHeight="1">
      <c r="A122" s="268">
        <v>31</v>
      </c>
      <c r="B122" s="176" t="s">
        <v>83</v>
      </c>
      <c r="C122" s="157">
        <v>587.76</v>
      </c>
      <c r="D122" s="255"/>
      <c r="E122" s="255"/>
      <c r="F122" s="673">
        <f t="shared" si="15"/>
        <v>587.76</v>
      </c>
      <c r="G122" s="419">
        <v>1100</v>
      </c>
      <c r="H122" s="419">
        <v>23</v>
      </c>
      <c r="I122" s="419">
        <v>5000</v>
      </c>
      <c r="J122" s="419">
        <v>25</v>
      </c>
      <c r="K122" s="593">
        <f t="shared" si="18"/>
        <v>3.5368291557742581E-3</v>
      </c>
      <c r="L122" s="536">
        <f t="shared" si="19"/>
        <v>3.1839021905247069E-3</v>
      </c>
      <c r="M122" s="426">
        <f t="shared" si="20"/>
        <v>13.555782332798476</v>
      </c>
      <c r="N122" s="218">
        <f t="shared" si="16"/>
        <v>4.9844611637699998</v>
      </c>
      <c r="O122" s="426">
        <v>5.9211375909095363</v>
      </c>
      <c r="P122" s="426">
        <f t="shared" si="17"/>
        <v>0.59141252961425606</v>
      </c>
      <c r="Q122" s="926">
        <f t="shared" si="21"/>
        <v>0.72093187359977817</v>
      </c>
      <c r="R122" s="532">
        <f t="shared" si="13"/>
        <v>4.2624189494168151E-2</v>
      </c>
    </row>
    <row r="123" spans="1:18" s="6" customFormat="1" ht="15.75" customHeight="1">
      <c r="A123" s="268">
        <v>32</v>
      </c>
      <c r="B123" s="176" t="s">
        <v>84</v>
      </c>
      <c r="C123" s="157">
        <v>1869.7</v>
      </c>
      <c r="D123" s="255"/>
      <c r="E123" s="255">
        <v>22</v>
      </c>
      <c r="F123" s="673">
        <f t="shared" si="15"/>
        <v>1891.7</v>
      </c>
      <c r="G123" s="419">
        <v>1100</v>
      </c>
      <c r="H123" s="419">
        <v>38</v>
      </c>
      <c r="I123" s="419">
        <v>5000</v>
      </c>
      <c r="J123" s="419">
        <v>70</v>
      </c>
      <c r="K123" s="593">
        <f t="shared" si="18"/>
        <v>5.8434568660618181E-3</v>
      </c>
      <c r="L123" s="536">
        <f t="shared" si="19"/>
        <v>8.9149261334691803E-3</v>
      </c>
      <c r="M123" s="426">
        <f t="shared" si="20"/>
        <v>29.767806093884019</v>
      </c>
      <c r="N123" s="218">
        <f t="shared" si="16"/>
        <v>10.945622300721155</v>
      </c>
      <c r="O123" s="426">
        <v>13.0261903213362</v>
      </c>
      <c r="P123" s="426">
        <f t="shared" si="17"/>
        <v>1.6518954181498113</v>
      </c>
      <c r="Q123" s="926">
        <f t="shared" si="21"/>
        <v>2.01366051472462</v>
      </c>
      <c r="R123" s="532">
        <f t="shared" si="13"/>
        <v>2.9281341721251349E-2</v>
      </c>
    </row>
    <row r="124" spans="1:18" s="6" customFormat="1" ht="15.75" customHeight="1">
      <c r="A124" s="268">
        <v>33</v>
      </c>
      <c r="B124" s="176" t="s">
        <v>85</v>
      </c>
      <c r="C124" s="157">
        <v>262.7</v>
      </c>
      <c r="D124" s="255"/>
      <c r="E124" s="255"/>
      <c r="F124" s="673">
        <f t="shared" si="15"/>
        <v>262.7</v>
      </c>
      <c r="G124" s="419">
        <v>1100</v>
      </c>
      <c r="H124" s="419">
        <v>13</v>
      </c>
      <c r="I124" s="419">
        <v>5000</v>
      </c>
      <c r="J124" s="419">
        <v>13</v>
      </c>
      <c r="K124" s="593">
        <f t="shared" si="18"/>
        <v>1.999077348915885E-3</v>
      </c>
      <c r="L124" s="536">
        <f t="shared" si="19"/>
        <v>1.6556291390728477E-3</v>
      </c>
      <c r="M124" s="426">
        <f t="shared" si="20"/>
        <v>7.3715795333381537</v>
      </c>
      <c r="N124" s="218">
        <f t="shared" si="16"/>
        <v>2.7105297944084392</v>
      </c>
      <c r="O124" s="426">
        <v>3.2189580143388268</v>
      </c>
      <c r="P124" s="426">
        <f t="shared" si="17"/>
        <v>0.30769444158732651</v>
      </c>
      <c r="Q124" s="926">
        <f t="shared" si="21"/>
        <v>0.37507952429495106</v>
      </c>
      <c r="R124" s="532">
        <f t="shared" si="13"/>
        <v>5.1803432750943082E-2</v>
      </c>
    </row>
    <row r="125" spans="1:18" s="6" customFormat="1" ht="15.75" customHeight="1">
      <c r="A125" s="268">
        <v>34</v>
      </c>
      <c r="B125" s="176" t="s">
        <v>86</v>
      </c>
      <c r="C125" s="157">
        <v>1857.4</v>
      </c>
      <c r="D125" s="255"/>
      <c r="E125" s="255"/>
      <c r="F125" s="673">
        <f t="shared" si="15"/>
        <v>1857.4</v>
      </c>
      <c r="G125" s="419">
        <v>1100</v>
      </c>
      <c r="H125" s="419">
        <v>40</v>
      </c>
      <c r="I125" s="419">
        <v>5000</v>
      </c>
      <c r="J125" s="419">
        <v>80</v>
      </c>
      <c r="K125" s="593">
        <f t="shared" si="18"/>
        <v>6.1510072274334922E-3</v>
      </c>
      <c r="L125" s="536">
        <f t="shared" si="19"/>
        <v>1.0188487009679063E-2</v>
      </c>
      <c r="M125" s="426">
        <f t="shared" si="20"/>
        <v>32.956923271198391</v>
      </c>
      <c r="N125" s="218">
        <f t="shared" si="16"/>
        <v>12.118260686819649</v>
      </c>
      <c r="O125" s="426">
        <v>14.425646739551697</v>
      </c>
      <c r="P125" s="426">
        <f t="shared" si="17"/>
        <v>1.8873532486945754</v>
      </c>
      <c r="Q125" s="926">
        <f t="shared" si="21"/>
        <v>2.3006836101586878</v>
      </c>
      <c r="R125" s="532">
        <f t="shared" si="13"/>
        <v>3.3050599734179127E-2</v>
      </c>
    </row>
    <row r="126" spans="1:18" s="6" customFormat="1" ht="15.75" customHeight="1">
      <c r="A126" s="268">
        <v>35</v>
      </c>
      <c r="B126" s="176" t="s">
        <v>87</v>
      </c>
      <c r="C126" s="157">
        <v>2470.1999999999998</v>
      </c>
      <c r="D126" s="255"/>
      <c r="E126" s="255"/>
      <c r="F126" s="673">
        <f t="shared" si="15"/>
        <v>2470.1999999999998</v>
      </c>
      <c r="G126" s="419">
        <v>1100</v>
      </c>
      <c r="H126" s="419">
        <v>55</v>
      </c>
      <c r="I126" s="419">
        <v>5000</v>
      </c>
      <c r="J126" s="419">
        <v>100</v>
      </c>
      <c r="K126" s="593">
        <f t="shared" si="18"/>
        <v>8.4576349377210522E-3</v>
      </c>
      <c r="L126" s="536">
        <f t="shared" si="19"/>
        <v>1.2735608762098827E-2</v>
      </c>
      <c r="M126" s="426">
        <f t="shared" si="20"/>
        <v>42.746984474973694</v>
      </c>
      <c r="N126" s="218">
        <f t="shared" si="16"/>
        <v>15.718066191447829</v>
      </c>
      <c r="O126" s="426">
        <v>18.704974131487067</v>
      </c>
      <c r="P126" s="426">
        <f t="shared" si="17"/>
        <v>2.3599604367716482</v>
      </c>
      <c r="Q126" s="926">
        <f t="shared" si="21"/>
        <v>2.8767917724246392</v>
      </c>
      <c r="R126" s="532">
        <f t="shared" si="13"/>
        <v>3.2195767644190847E-2</v>
      </c>
    </row>
    <row r="127" spans="1:18" s="6" customFormat="1" ht="15.75" customHeight="1">
      <c r="A127" s="275">
        <v>36</v>
      </c>
      <c r="B127" s="176" t="s">
        <v>88</v>
      </c>
      <c r="C127" s="157">
        <v>121.8</v>
      </c>
      <c r="D127" s="255"/>
      <c r="E127" s="255"/>
      <c r="F127" s="673">
        <f t="shared" si="15"/>
        <v>121.8</v>
      </c>
      <c r="G127" s="419">
        <v>1100</v>
      </c>
      <c r="H127" s="419">
        <v>5</v>
      </c>
      <c r="I127" s="419">
        <v>5000</v>
      </c>
      <c r="J127" s="419">
        <v>2</v>
      </c>
      <c r="K127" s="593">
        <f t="shared" si="18"/>
        <v>7.6887590342918652E-4</v>
      </c>
      <c r="L127" s="536">
        <f t="shared" si="19"/>
        <v>2.5471217524197657E-4</v>
      </c>
      <c r="M127" s="426">
        <f t="shared" si="20"/>
        <v>2.0645873905605225</v>
      </c>
      <c r="N127" s="218">
        <f t="shared" si="16"/>
        <v>0.7591487835091042</v>
      </c>
      <c r="O127" s="426">
        <v>0.89897373412674719</v>
      </c>
      <c r="P127" s="426">
        <f t="shared" si="17"/>
        <v>4.7798931940107738E-2</v>
      </c>
      <c r="Q127" s="926">
        <f t="shared" si="21"/>
        <v>5.8266898034991334E-2</v>
      </c>
      <c r="R127" s="532">
        <f t="shared" si="13"/>
        <v>3.0956558621810196E-2</v>
      </c>
    </row>
    <row r="128" spans="1:18" s="6" customFormat="1" ht="15.75" customHeight="1">
      <c r="A128" s="268">
        <v>37</v>
      </c>
      <c r="B128" s="176" t="s">
        <v>89</v>
      </c>
      <c r="C128" s="157">
        <v>1831.3</v>
      </c>
      <c r="D128" s="255"/>
      <c r="E128" s="255"/>
      <c r="F128" s="673">
        <f t="shared" si="15"/>
        <v>1831.3</v>
      </c>
      <c r="G128" s="419">
        <v>1100</v>
      </c>
      <c r="H128" s="419">
        <v>38</v>
      </c>
      <c r="I128" s="419">
        <v>5000</v>
      </c>
      <c r="J128" s="419">
        <v>72</v>
      </c>
      <c r="K128" s="593">
        <f t="shared" si="18"/>
        <v>5.8434568660618181E-3</v>
      </c>
      <c r="L128" s="536">
        <f t="shared" si="19"/>
        <v>9.1696383087111564E-3</v>
      </c>
      <c r="M128" s="426">
        <f t="shared" si="20"/>
        <v>30.281563098468837</v>
      </c>
      <c r="N128" s="218">
        <f t="shared" si="16"/>
        <v>11.134530751306992</v>
      </c>
      <c r="O128" s="426">
        <v>13.252248348415504</v>
      </c>
      <c r="P128" s="426">
        <f t="shared" si="17"/>
        <v>1.6989254741864896</v>
      </c>
      <c r="Q128" s="926">
        <f t="shared" si="21"/>
        <v>2.070990153033331</v>
      </c>
      <c r="R128" s="532">
        <f t="shared" si="13"/>
        <v>3.0779920096312904E-2</v>
      </c>
    </row>
    <row r="129" spans="1:18" s="6" customFormat="1" ht="15.75" customHeight="1">
      <c r="A129" s="268">
        <v>38</v>
      </c>
      <c r="B129" s="176" t="s">
        <v>90</v>
      </c>
      <c r="C129" s="157">
        <v>1844.3</v>
      </c>
      <c r="D129" s="255"/>
      <c r="E129" s="255"/>
      <c r="F129" s="673">
        <f t="shared" si="15"/>
        <v>1844.3</v>
      </c>
      <c r="G129" s="419">
        <v>1100</v>
      </c>
      <c r="H129" s="419">
        <v>38</v>
      </c>
      <c r="I129" s="419">
        <v>5000</v>
      </c>
      <c r="J129" s="419">
        <v>70</v>
      </c>
      <c r="K129" s="593">
        <f t="shared" si="18"/>
        <v>5.8434568660618181E-3</v>
      </c>
      <c r="L129" s="536">
        <f t="shared" si="19"/>
        <v>8.9149261334691803E-3</v>
      </c>
      <c r="M129" s="426">
        <f t="shared" si="20"/>
        <v>29.767806093884019</v>
      </c>
      <c r="N129" s="218">
        <f t="shared" si="16"/>
        <v>10.945622300721155</v>
      </c>
      <c r="O129" s="426">
        <v>13.0261903213362</v>
      </c>
      <c r="P129" s="426">
        <f t="shared" si="17"/>
        <v>1.6518954181498113</v>
      </c>
      <c r="Q129" s="926">
        <f t="shared" si="21"/>
        <v>2.01366051472462</v>
      </c>
      <c r="R129" s="532">
        <f t="shared" si="13"/>
        <v>3.0033895859725199E-2</v>
      </c>
    </row>
    <row r="130" spans="1:18" s="6" customFormat="1" ht="15.75" customHeight="1">
      <c r="A130" s="268">
        <v>39</v>
      </c>
      <c r="B130" s="176" t="s">
        <v>91</v>
      </c>
      <c r="C130" s="157">
        <v>193.76</v>
      </c>
      <c r="D130" s="255"/>
      <c r="E130" s="255"/>
      <c r="F130" s="673">
        <f t="shared" si="15"/>
        <v>193.76</v>
      </c>
      <c r="G130" s="419">
        <v>1100</v>
      </c>
      <c r="H130" s="419">
        <v>6</v>
      </c>
      <c r="I130" s="419">
        <v>5000</v>
      </c>
      <c r="J130" s="419">
        <v>7</v>
      </c>
      <c r="K130" s="593">
        <f t="shared" si="18"/>
        <v>9.2265108411502389E-4</v>
      </c>
      <c r="L130" s="536">
        <f t="shared" si="19"/>
        <v>8.9149261334691798E-4</v>
      </c>
      <c r="M130" s="426">
        <f t="shared" si="20"/>
        <v>3.659145979217711</v>
      </c>
      <c r="N130" s="218">
        <f t="shared" si="16"/>
        <v>1.3454679765583524</v>
      </c>
      <c r="O130" s="426">
        <v>1.5987019432344951</v>
      </c>
      <c r="P130" s="426">
        <f t="shared" si="17"/>
        <v>0.16552784721248995</v>
      </c>
      <c r="Q130" s="926">
        <f t="shared" si="21"/>
        <v>0.20177844575202525</v>
      </c>
      <c r="R130" s="532">
        <f t="shared" si="13"/>
        <v>3.4934164668781215E-2</v>
      </c>
    </row>
    <row r="131" spans="1:18" s="6" customFormat="1" ht="15.75" customHeight="1">
      <c r="A131" s="268">
        <v>40</v>
      </c>
      <c r="B131" s="176" t="s">
        <v>92</v>
      </c>
      <c r="C131" s="157">
        <v>1841.4</v>
      </c>
      <c r="D131" s="255"/>
      <c r="E131" s="255"/>
      <c r="F131" s="673">
        <f t="shared" si="15"/>
        <v>1841.4</v>
      </c>
      <c r="G131" s="419">
        <v>1100</v>
      </c>
      <c r="H131" s="419">
        <v>40</v>
      </c>
      <c r="I131" s="419">
        <v>5000</v>
      </c>
      <c r="J131" s="419">
        <v>75</v>
      </c>
      <c r="K131" s="593">
        <f t="shared" si="18"/>
        <v>6.1510072274334922E-3</v>
      </c>
      <c r="L131" s="536">
        <f t="shared" si="19"/>
        <v>9.5517065715741215E-3</v>
      </c>
      <c r="M131" s="426">
        <f t="shared" si="20"/>
        <v>31.672530759736347</v>
      </c>
      <c r="N131" s="218">
        <f t="shared" si="16"/>
        <v>11.645989560355055</v>
      </c>
      <c r="O131" s="426">
        <v>13.860501671853434</v>
      </c>
      <c r="P131" s="426">
        <f t="shared" si="17"/>
        <v>1.7697781086028792</v>
      </c>
      <c r="Q131" s="926">
        <f t="shared" si="21"/>
        <v>2.15735951438691</v>
      </c>
      <c r="R131" s="532">
        <f t="shared" si="13"/>
        <v>3.201303361602461E-2</v>
      </c>
    </row>
    <row r="132" spans="1:18" s="6" customFormat="1" ht="15.75" customHeight="1">
      <c r="A132" s="268">
        <v>41</v>
      </c>
      <c r="B132" s="176" t="s">
        <v>93</v>
      </c>
      <c r="C132" s="157">
        <v>262.3</v>
      </c>
      <c r="D132" s="255"/>
      <c r="E132" s="255"/>
      <c r="F132" s="673">
        <f t="shared" si="15"/>
        <v>262.3</v>
      </c>
      <c r="G132" s="419">
        <v>1100</v>
      </c>
      <c r="H132" s="419">
        <v>11</v>
      </c>
      <c r="I132" s="419">
        <v>5000</v>
      </c>
      <c r="J132" s="419">
        <v>7</v>
      </c>
      <c r="K132" s="593">
        <f t="shared" si="18"/>
        <v>1.6915269875442105E-3</v>
      </c>
      <c r="L132" s="536">
        <f t="shared" si="19"/>
        <v>8.9149261334691798E-4</v>
      </c>
      <c r="M132" s="426">
        <f t="shared" si="20"/>
        <v>5.2099763651934143</v>
      </c>
      <c r="N132" s="218">
        <f t="shared" si="16"/>
        <v>1.9157083094816185</v>
      </c>
      <c r="O132" s="426">
        <v>2.271617650281939</v>
      </c>
      <c r="P132" s="426">
        <f t="shared" si="17"/>
        <v>0.16629672311591914</v>
      </c>
      <c r="Q132" s="926">
        <f t="shared" si="21"/>
        <v>0.20271570547830545</v>
      </c>
      <c r="R132" s="532">
        <f t="shared" si="13"/>
        <v>3.6460537735695353E-2</v>
      </c>
    </row>
    <row r="133" spans="1:18" s="6" customFormat="1" ht="15.75" customHeight="1">
      <c r="A133" s="268">
        <v>42</v>
      </c>
      <c r="B133" s="176" t="s">
        <v>94</v>
      </c>
      <c r="C133" s="157">
        <v>94.7</v>
      </c>
      <c r="D133" s="255"/>
      <c r="E133" s="255"/>
      <c r="F133" s="673">
        <f t="shared" si="15"/>
        <v>94.7</v>
      </c>
      <c r="G133" s="419">
        <v>1100</v>
      </c>
      <c r="H133" s="419">
        <v>3</v>
      </c>
      <c r="I133" s="419">
        <v>5000</v>
      </c>
      <c r="J133" s="419">
        <v>3</v>
      </c>
      <c r="K133" s="593">
        <f t="shared" si="18"/>
        <v>4.6132554205751195E-4</v>
      </c>
      <c r="L133" s="536">
        <f t="shared" si="19"/>
        <v>3.8206826286296485E-4</v>
      </c>
      <c r="M133" s="426">
        <f t="shared" si="20"/>
        <v>1.701133738462651</v>
      </c>
      <c r="N133" s="218">
        <f t="shared" si="16"/>
        <v>0.62550687563271679</v>
      </c>
      <c r="O133" s="426">
        <v>0.74283646484742172</v>
      </c>
      <c r="P133" s="426">
        <f t="shared" si="17"/>
        <v>7.1006409597075326E-2</v>
      </c>
      <c r="Q133" s="926">
        <f t="shared" si="21"/>
        <v>8.6556813298834828E-2</v>
      </c>
      <c r="R133" s="532">
        <f t="shared" si="13"/>
        <v>3.3162444440758866E-2</v>
      </c>
    </row>
    <row r="134" spans="1:18" s="6" customFormat="1" ht="15.75" customHeight="1">
      <c r="A134" s="275">
        <v>43</v>
      </c>
      <c r="B134" s="176" t="s">
        <v>95</v>
      </c>
      <c r="C134" s="157">
        <v>38</v>
      </c>
      <c r="D134" s="255"/>
      <c r="E134" s="255"/>
      <c r="F134" s="673">
        <f t="shared" si="15"/>
        <v>38</v>
      </c>
      <c r="G134" s="419">
        <v>1100</v>
      </c>
      <c r="H134" s="419">
        <v>2</v>
      </c>
      <c r="I134" s="419">
        <v>5000</v>
      </c>
      <c r="J134" s="419">
        <v>2</v>
      </c>
      <c r="K134" s="593">
        <f t="shared" si="18"/>
        <v>3.0755036137167463E-4</v>
      </c>
      <c r="L134" s="536">
        <f t="shared" si="19"/>
        <v>2.5471217524197657E-4</v>
      </c>
      <c r="M134" s="426">
        <f t="shared" si="20"/>
        <v>1.1340891589751005</v>
      </c>
      <c r="N134" s="218">
        <f t="shared" si="16"/>
        <v>0.41700458375514449</v>
      </c>
      <c r="O134" s="426">
        <v>0.49522430989828103</v>
      </c>
      <c r="P134" s="426">
        <f t="shared" si="17"/>
        <v>4.7337606398050222E-2</v>
      </c>
      <c r="Q134" s="926">
        <f t="shared" si="21"/>
        <v>5.7704542199223226E-2</v>
      </c>
      <c r="R134" s="532">
        <f t="shared" si="13"/>
        <v>5.5096201553330962E-2</v>
      </c>
    </row>
    <row r="135" spans="1:18" s="6" customFormat="1" ht="15.75" customHeight="1">
      <c r="A135" s="268">
        <v>44</v>
      </c>
      <c r="B135" s="176" t="s">
        <v>96</v>
      </c>
      <c r="C135" s="157">
        <v>1687.6</v>
      </c>
      <c r="D135" s="255">
        <v>124.8</v>
      </c>
      <c r="E135" s="255"/>
      <c r="F135" s="673">
        <f t="shared" si="15"/>
        <v>1812.3999999999999</v>
      </c>
      <c r="G135" s="419">
        <v>1100</v>
      </c>
      <c r="H135" s="419">
        <v>37</v>
      </c>
      <c r="I135" s="419">
        <v>5000</v>
      </c>
      <c r="J135" s="419">
        <v>74</v>
      </c>
      <c r="K135" s="593">
        <f t="shared" si="18"/>
        <v>5.689681685375981E-3</v>
      </c>
      <c r="L135" s="536">
        <f t="shared" si="19"/>
        <v>9.4243504839531325E-3</v>
      </c>
      <c r="M135" s="426">
        <f t="shared" si="20"/>
        <v>30.485154025858513</v>
      </c>
      <c r="N135" s="218">
        <f t="shared" si="16"/>
        <v>11.209391135308175</v>
      </c>
      <c r="O135" s="426">
        <v>13.343723234085317</v>
      </c>
      <c r="P135" s="426">
        <f t="shared" si="17"/>
        <v>1.7458017550424823</v>
      </c>
      <c r="Q135" s="926">
        <f t="shared" si="21"/>
        <v>2.1281323393967861</v>
      </c>
      <c r="R135" s="532">
        <f t="shared" ref="R135:R198" si="22">(P135+O135+N135+M135)/F135</f>
        <v>3.1330870751652223E-2</v>
      </c>
    </row>
    <row r="136" spans="1:18" s="6" customFormat="1" ht="15.75" customHeight="1">
      <c r="A136" s="268">
        <v>45</v>
      </c>
      <c r="B136" s="176" t="s">
        <v>97</v>
      </c>
      <c r="C136" s="157">
        <v>155.80000000000001</v>
      </c>
      <c r="D136" s="255"/>
      <c r="E136" s="255"/>
      <c r="F136" s="673">
        <f t="shared" si="15"/>
        <v>155.80000000000001</v>
      </c>
      <c r="G136" s="419">
        <v>1100</v>
      </c>
      <c r="H136" s="419">
        <v>7</v>
      </c>
      <c r="I136" s="419">
        <v>5000</v>
      </c>
      <c r="J136" s="419">
        <v>7</v>
      </c>
      <c r="K136" s="593">
        <f t="shared" si="18"/>
        <v>1.0764262648008613E-3</v>
      </c>
      <c r="L136" s="536">
        <f t="shared" si="19"/>
        <v>8.9149261334691798E-4</v>
      </c>
      <c r="M136" s="426">
        <f t="shared" si="20"/>
        <v>3.9693120564128521</v>
      </c>
      <c r="N136" s="218">
        <f t="shared" si="16"/>
        <v>1.4595160431430059</v>
      </c>
      <c r="O136" s="426">
        <v>1.733285084643984</v>
      </c>
      <c r="P136" s="426">
        <f t="shared" ref="P136:P199" si="23">K136+L136*184.64</f>
        <v>0.1656816223931758</v>
      </c>
      <c r="Q136" s="926">
        <f t="shared" si="21"/>
        <v>0.20196589769728132</v>
      </c>
      <c r="R136" s="532">
        <f t="shared" si="22"/>
        <v>4.7033342789428861E-2</v>
      </c>
    </row>
    <row r="137" spans="1:18" s="6" customFormat="1" ht="15.75" customHeight="1">
      <c r="A137" s="268">
        <v>46</v>
      </c>
      <c r="B137" s="176" t="s">
        <v>98</v>
      </c>
      <c r="C137" s="157">
        <v>378.1</v>
      </c>
      <c r="D137" s="255"/>
      <c r="E137" s="255"/>
      <c r="F137" s="673">
        <f t="shared" si="15"/>
        <v>378.1</v>
      </c>
      <c r="G137" s="419">
        <v>1100</v>
      </c>
      <c r="H137" s="419">
        <v>14</v>
      </c>
      <c r="I137" s="419">
        <v>5000</v>
      </c>
      <c r="J137" s="419">
        <v>13</v>
      </c>
      <c r="K137" s="593">
        <f t="shared" si="18"/>
        <v>2.1528525296017225E-3</v>
      </c>
      <c r="L137" s="536">
        <f t="shared" si="19"/>
        <v>1.6556291390728477E-3</v>
      </c>
      <c r="M137" s="426">
        <f t="shared" si="20"/>
        <v>7.6817456105332953</v>
      </c>
      <c r="N137" s="218">
        <f t="shared" si="16"/>
        <v>2.8245778609930929</v>
      </c>
      <c r="O137" s="426">
        <v>3.3535411557483159</v>
      </c>
      <c r="P137" s="426">
        <f t="shared" si="23"/>
        <v>0.30784821676801233</v>
      </c>
      <c r="Q137" s="926">
        <f t="shared" si="21"/>
        <v>0.37526697624020705</v>
      </c>
      <c r="R137" s="532">
        <f t="shared" si="22"/>
        <v>3.7470808897230139E-2</v>
      </c>
    </row>
    <row r="138" spans="1:18" s="6" customFormat="1" ht="15.75" customHeight="1">
      <c r="A138" s="268">
        <v>47</v>
      </c>
      <c r="B138" s="176" t="s">
        <v>99</v>
      </c>
      <c r="C138" s="157">
        <v>120.9</v>
      </c>
      <c r="D138" s="255"/>
      <c r="E138" s="255"/>
      <c r="F138" s="673">
        <f t="shared" si="15"/>
        <v>120.9</v>
      </c>
      <c r="G138" s="419">
        <v>1100</v>
      </c>
      <c r="H138" s="419">
        <v>1</v>
      </c>
      <c r="I138" s="419">
        <v>5000</v>
      </c>
      <c r="J138" s="419">
        <v>2</v>
      </c>
      <c r="K138" s="593">
        <f t="shared" si="18"/>
        <v>1.5377518068583732E-4</v>
      </c>
      <c r="L138" s="536">
        <f t="shared" si="19"/>
        <v>2.5471217524197657E-4</v>
      </c>
      <c r="M138" s="426">
        <f t="shared" si="20"/>
        <v>0.82392308177995988</v>
      </c>
      <c r="N138" s="218">
        <f t="shared" si="16"/>
        <v>0.30295651717049127</v>
      </c>
      <c r="O138" s="426">
        <v>0.36064116848879241</v>
      </c>
      <c r="P138" s="426">
        <f t="shared" si="23"/>
        <v>4.7183831217364386E-2</v>
      </c>
      <c r="Q138" s="926">
        <f t="shared" si="21"/>
        <v>5.7517090253967187E-2</v>
      </c>
      <c r="R138" s="532">
        <f t="shared" si="22"/>
        <v>1.2693999988888403E-2</v>
      </c>
    </row>
    <row r="139" spans="1:18" s="6" customFormat="1" ht="15.75" customHeight="1">
      <c r="A139" s="268">
        <v>48</v>
      </c>
      <c r="B139" s="176" t="s">
        <v>100</v>
      </c>
      <c r="C139" s="157">
        <v>2458.6999999999998</v>
      </c>
      <c r="D139" s="255"/>
      <c r="E139" s="255">
        <v>90.3</v>
      </c>
      <c r="F139" s="673">
        <f t="shared" si="15"/>
        <v>2549</v>
      </c>
      <c r="G139" s="419">
        <v>1100</v>
      </c>
      <c r="H139" s="419">
        <v>58</v>
      </c>
      <c r="I139" s="419">
        <v>5000</v>
      </c>
      <c r="J139" s="419">
        <v>116</v>
      </c>
      <c r="K139" s="593">
        <f t="shared" si="18"/>
        <v>8.9189604797785642E-3</v>
      </c>
      <c r="L139" s="536">
        <f t="shared" si="19"/>
        <v>1.477330616403464E-2</v>
      </c>
      <c r="M139" s="426">
        <f t="shared" si="20"/>
        <v>47.787538743237668</v>
      </c>
      <c r="N139" s="218">
        <f t="shared" si="16"/>
        <v>17.571477995888493</v>
      </c>
      <c r="O139" s="426">
        <v>20.917187772349958</v>
      </c>
      <c r="P139" s="426">
        <f t="shared" si="23"/>
        <v>2.7366622106071339</v>
      </c>
      <c r="Q139" s="926">
        <f t="shared" si="21"/>
        <v>3.3359912347300966</v>
      </c>
      <c r="R139" s="532">
        <f t="shared" si="22"/>
        <v>3.4920700950209202E-2</v>
      </c>
    </row>
    <row r="140" spans="1:18" s="6" customFormat="1" ht="15.75" customHeight="1">
      <c r="A140" s="268">
        <v>49</v>
      </c>
      <c r="B140" s="176" t="s">
        <v>101</v>
      </c>
      <c r="C140" s="157">
        <v>2593.29</v>
      </c>
      <c r="D140" s="255"/>
      <c r="E140" s="255"/>
      <c r="F140" s="673">
        <f t="shared" si="15"/>
        <v>2593.29</v>
      </c>
      <c r="G140" s="419">
        <v>1100</v>
      </c>
      <c r="H140" s="419">
        <v>60</v>
      </c>
      <c r="I140" s="419">
        <v>5000</v>
      </c>
      <c r="J140" s="419">
        <v>120</v>
      </c>
      <c r="K140" s="593">
        <f t="shared" si="18"/>
        <v>9.2265108411502383E-3</v>
      </c>
      <c r="L140" s="536">
        <f t="shared" si="19"/>
        <v>1.5282730514518594E-2</v>
      </c>
      <c r="M140" s="426">
        <f t="shared" si="20"/>
        <v>49.435384906797594</v>
      </c>
      <c r="N140" s="218">
        <f t="shared" si="16"/>
        <v>18.177391030229476</v>
      </c>
      <c r="O140" s="426">
        <v>21.638470109327542</v>
      </c>
      <c r="P140" s="426">
        <f t="shared" si="23"/>
        <v>2.8310298730418633</v>
      </c>
      <c r="Q140" s="926">
        <f t="shared" si="21"/>
        <v>3.4510254152380315</v>
      </c>
      <c r="R140" s="532">
        <f t="shared" si="22"/>
        <v>3.5507897658725592E-2</v>
      </c>
    </row>
    <row r="141" spans="1:18" s="6" customFormat="1" ht="15.75" customHeight="1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673">
        <f t="shared" si="15"/>
        <v>385.82</v>
      </c>
      <c r="G141" s="419">
        <v>1100</v>
      </c>
      <c r="H141" s="419">
        <v>19</v>
      </c>
      <c r="I141" s="419">
        <v>5000</v>
      </c>
      <c r="J141" s="419">
        <v>18</v>
      </c>
      <c r="K141" s="593">
        <f t="shared" si="18"/>
        <v>2.921728433030909E-3</v>
      </c>
      <c r="L141" s="536">
        <f t="shared" si="19"/>
        <v>2.2924095771777891E-3</v>
      </c>
      <c r="M141" s="426">
        <f t="shared" si="20"/>
        <v>10.516968507971047</v>
      </c>
      <c r="N141" s="218">
        <f t="shared" si="16"/>
        <v>3.8670893203809542</v>
      </c>
      <c r="O141" s="426">
        <v>4.5916019304940185</v>
      </c>
      <c r="P141" s="426">
        <f t="shared" si="23"/>
        <v>0.42619223276313783</v>
      </c>
      <c r="Q141" s="926">
        <f t="shared" si="21"/>
        <v>0.51952833173826507</v>
      </c>
      <c r="R141" s="532">
        <f t="shared" si="22"/>
        <v>5.0287315306643397E-2</v>
      </c>
    </row>
    <row r="142" spans="1:18" s="6" customFormat="1" ht="15.75" customHeight="1">
      <c r="A142" s="268">
        <v>51</v>
      </c>
      <c r="B142" s="176" t="s">
        <v>103</v>
      </c>
      <c r="C142" s="157">
        <v>1699.75</v>
      </c>
      <c r="D142" s="255"/>
      <c r="E142" s="255"/>
      <c r="F142" s="673">
        <f t="shared" si="15"/>
        <v>1699.75</v>
      </c>
      <c r="G142" s="419">
        <v>1100</v>
      </c>
      <c r="H142" s="419">
        <v>36</v>
      </c>
      <c r="I142" s="419">
        <v>5000</v>
      </c>
      <c r="J142" s="419">
        <v>72</v>
      </c>
      <c r="K142" s="593">
        <f t="shared" si="18"/>
        <v>5.5359065046901431E-3</v>
      </c>
      <c r="L142" s="536">
        <f t="shared" si="19"/>
        <v>9.1696383087111564E-3</v>
      </c>
      <c r="M142" s="426">
        <f t="shared" si="20"/>
        <v>29.661230944078554</v>
      </c>
      <c r="N142" s="218">
        <f t="shared" si="16"/>
        <v>10.906434618137686</v>
      </c>
      <c r="O142" s="426">
        <v>12.983082065596525</v>
      </c>
      <c r="P142" s="426">
        <f t="shared" si="23"/>
        <v>1.6986179238251178</v>
      </c>
      <c r="Q142" s="926">
        <f t="shared" si="21"/>
        <v>2.0706152491428189</v>
      </c>
      <c r="R142" s="532">
        <f t="shared" si="22"/>
        <v>3.250440685491271E-2</v>
      </c>
    </row>
    <row r="143" spans="1:18" s="6" customFormat="1" ht="15.75" customHeight="1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673">
        <f t="shared" si="15"/>
        <v>224.06</v>
      </c>
      <c r="G143" s="419">
        <v>1100</v>
      </c>
      <c r="H143" s="419">
        <v>6</v>
      </c>
      <c r="I143" s="419">
        <v>5000</v>
      </c>
      <c r="J143" s="419">
        <v>8</v>
      </c>
      <c r="K143" s="593">
        <f t="shared" si="18"/>
        <v>9.2265108411502389E-4</v>
      </c>
      <c r="L143" s="536">
        <f t="shared" si="19"/>
        <v>1.0188487009679063E-3</v>
      </c>
      <c r="M143" s="426">
        <f t="shared" si="20"/>
        <v>3.9160244815101213</v>
      </c>
      <c r="N143" s="218">
        <f t="shared" si="16"/>
        <v>1.4399222018512716</v>
      </c>
      <c r="O143" s="426">
        <v>1.711730956774147</v>
      </c>
      <c r="P143" s="426">
        <f t="shared" si="23"/>
        <v>0.18904287523082922</v>
      </c>
      <c r="Q143" s="926">
        <f t="shared" si="21"/>
        <v>0.23044326490638084</v>
      </c>
      <c r="R143" s="532">
        <f t="shared" si="22"/>
        <v>3.2387398533278447E-2</v>
      </c>
    </row>
    <row r="144" spans="1:18" s="6" customFormat="1" ht="15.75" customHeight="1">
      <c r="A144" s="268">
        <v>53</v>
      </c>
      <c r="B144" s="176" t="s">
        <v>105</v>
      </c>
      <c r="C144" s="157">
        <v>138.9</v>
      </c>
      <c r="D144" s="255"/>
      <c r="E144" s="255"/>
      <c r="F144" s="673">
        <f t="shared" si="15"/>
        <v>138.9</v>
      </c>
      <c r="G144" s="419">
        <v>1100</v>
      </c>
      <c r="H144" s="419">
        <v>9</v>
      </c>
      <c r="I144" s="419">
        <v>5000</v>
      </c>
      <c r="J144" s="419">
        <v>8</v>
      </c>
      <c r="K144" s="593">
        <f t="shared" si="18"/>
        <v>1.3839766261725358E-3</v>
      </c>
      <c r="L144" s="536">
        <f t="shared" si="19"/>
        <v>1.0188487009679063E-3</v>
      </c>
      <c r="M144" s="426">
        <f t="shared" si="20"/>
        <v>4.8465227130955437</v>
      </c>
      <c r="N144" s="218">
        <f t="shared" si="16"/>
        <v>1.7820664016052317</v>
      </c>
      <c r="O144" s="426">
        <v>2.1154803810026133</v>
      </c>
      <c r="P144" s="426">
        <f t="shared" si="23"/>
        <v>0.18950420077288674</v>
      </c>
      <c r="Q144" s="926">
        <f t="shared" si="21"/>
        <v>0.23100562074214895</v>
      </c>
      <c r="R144" s="532">
        <f t="shared" si="22"/>
        <v>6.4316585287806149E-2</v>
      </c>
    </row>
    <row r="145" spans="1:18" s="6" customFormat="1" ht="15.75" customHeight="1">
      <c r="A145" s="268">
        <v>54</v>
      </c>
      <c r="B145" s="176" t="s">
        <v>106</v>
      </c>
      <c r="C145" s="157">
        <v>8219.0300000000007</v>
      </c>
      <c r="D145" s="255">
        <v>69.3</v>
      </c>
      <c r="E145" s="255">
        <v>122.5</v>
      </c>
      <c r="F145" s="673">
        <f t="shared" si="15"/>
        <v>8410.83</v>
      </c>
      <c r="G145" s="419">
        <v>1100</v>
      </c>
      <c r="H145" s="419">
        <v>0</v>
      </c>
      <c r="I145" s="419">
        <v>5000</v>
      </c>
      <c r="J145" s="419">
        <v>354</v>
      </c>
      <c r="K145" s="593">
        <f t="shared" si="18"/>
        <v>0</v>
      </c>
      <c r="L145" s="536">
        <f t="shared" si="19"/>
        <v>4.5084055017829854E-2</v>
      </c>
      <c r="M145" s="426">
        <f t="shared" si="20"/>
        <v>90.934989811512992</v>
      </c>
      <c r="N145" s="218">
        <f t="shared" si="16"/>
        <v>33.436795753693332</v>
      </c>
      <c r="O145" s="426">
        <v>40.012270793036748</v>
      </c>
      <c r="P145" s="426">
        <f t="shared" si="23"/>
        <v>8.3243199184921028</v>
      </c>
      <c r="Q145" s="926">
        <f t="shared" si="21"/>
        <v>10.147345980641875</v>
      </c>
      <c r="R145" s="532">
        <f t="shared" si="22"/>
        <v>2.0534046732217294E-2</v>
      </c>
    </row>
    <row r="146" spans="1:18" s="6" customFormat="1" ht="15.75" customHeight="1">
      <c r="A146" s="268">
        <v>55</v>
      </c>
      <c r="B146" s="176" t="s">
        <v>1347</v>
      </c>
      <c r="C146" s="157">
        <v>953.56</v>
      </c>
      <c r="D146" s="255"/>
      <c r="E146" s="255"/>
      <c r="F146" s="673">
        <f t="shared" ref="F146:F208" si="24">C146+D146+E146</f>
        <v>953.56</v>
      </c>
      <c r="G146" s="419">
        <v>1100</v>
      </c>
      <c r="H146" s="852">
        <v>24</v>
      </c>
      <c r="I146" s="419">
        <v>5000</v>
      </c>
      <c r="J146" s="852">
        <v>35</v>
      </c>
      <c r="K146" s="593">
        <f t="shared" si="18"/>
        <v>3.6906043364600956E-3</v>
      </c>
      <c r="L146" s="536">
        <f t="shared" si="19"/>
        <v>4.4574630667345901E-3</v>
      </c>
      <c r="M146" s="426">
        <f t="shared" si="20"/>
        <v>16.434733432917714</v>
      </c>
      <c r="N146" s="218">
        <f t="shared" ref="N146:N208" si="25">M146*0.3677</f>
        <v>6.0430514832838433</v>
      </c>
      <c r="O146" s="426">
        <v>7.1860108677155434</v>
      </c>
      <c r="P146" s="426">
        <f t="shared" si="23"/>
        <v>0.82671658497833478</v>
      </c>
      <c r="Q146" s="926">
        <f t="shared" si="21"/>
        <v>1.0077675170885902</v>
      </c>
      <c r="R146" s="532">
        <f t="shared" si="22"/>
        <v>3.1975452377297119E-2</v>
      </c>
    </row>
    <row r="147" spans="1:18" s="6" customFormat="1" ht="15.75" customHeight="1">
      <c r="A147" s="268">
        <v>56</v>
      </c>
      <c r="B147" s="176" t="s">
        <v>1348</v>
      </c>
      <c r="C147" s="157">
        <v>1663</v>
      </c>
      <c r="D147" s="255"/>
      <c r="E147" s="255">
        <v>57.1</v>
      </c>
      <c r="F147" s="673">
        <f t="shared" si="24"/>
        <v>1720.1</v>
      </c>
      <c r="G147" s="419">
        <v>1100</v>
      </c>
      <c r="H147" s="852">
        <v>0</v>
      </c>
      <c r="I147" s="419">
        <v>5000</v>
      </c>
      <c r="J147" s="852">
        <v>53</v>
      </c>
      <c r="K147" s="593">
        <f t="shared" si="18"/>
        <v>0</v>
      </c>
      <c r="L147" s="536">
        <f t="shared" si="19"/>
        <v>6.7498726439123788E-3</v>
      </c>
      <c r="M147" s="426">
        <f t="shared" si="20"/>
        <v>13.614560621497708</v>
      </c>
      <c r="N147" s="218">
        <f t="shared" si="25"/>
        <v>5.0060739405247077</v>
      </c>
      <c r="O147" s="426">
        <v>5.9905377176015469</v>
      </c>
      <c r="P147" s="426">
        <f t="shared" si="23"/>
        <v>1.2462964849719815</v>
      </c>
      <c r="Q147" s="926">
        <f t="shared" si="21"/>
        <v>1.5192354151808456</v>
      </c>
      <c r="R147" s="532">
        <f t="shared" si="22"/>
        <v>1.5032538087666964E-2</v>
      </c>
    </row>
    <row r="148" spans="1:18" s="6" customFormat="1" ht="15.75" customHeight="1">
      <c r="A148" s="275">
        <v>57</v>
      </c>
      <c r="B148" s="176" t="s">
        <v>1350</v>
      </c>
      <c r="C148" s="157">
        <v>1033.02</v>
      </c>
      <c r="D148" s="255"/>
      <c r="E148" s="255"/>
      <c r="F148" s="673">
        <f t="shared" si="24"/>
        <v>1033.02</v>
      </c>
      <c r="G148" s="419">
        <v>1100</v>
      </c>
      <c r="H148" s="852">
        <v>20</v>
      </c>
      <c r="I148" s="419">
        <v>5000</v>
      </c>
      <c r="J148" s="852">
        <v>40</v>
      </c>
      <c r="K148" s="593">
        <f t="shared" si="18"/>
        <v>3.0755036137167461E-3</v>
      </c>
      <c r="L148" s="536">
        <f t="shared" si="19"/>
        <v>5.0942435048395313E-3</v>
      </c>
      <c r="M148" s="426">
        <f t="shared" si="20"/>
        <v>16.478461635599196</v>
      </c>
      <c r="N148" s="218">
        <f t="shared" si="25"/>
        <v>6.0591303434098247</v>
      </c>
      <c r="O148" s="426">
        <v>7.2128233697758484</v>
      </c>
      <c r="P148" s="426">
        <f t="shared" si="23"/>
        <v>0.94367662434728772</v>
      </c>
      <c r="Q148" s="926">
        <f t="shared" si="21"/>
        <v>1.1503418050793439</v>
      </c>
      <c r="R148" s="532">
        <f t="shared" si="22"/>
        <v>2.9712969713202218E-2</v>
      </c>
    </row>
    <row r="149" spans="1:18" s="6" customFormat="1" ht="15.75" customHeight="1">
      <c r="A149" s="268">
        <v>58</v>
      </c>
      <c r="B149" s="176" t="s">
        <v>1351</v>
      </c>
      <c r="C149" s="157">
        <v>220.38</v>
      </c>
      <c r="D149" s="255"/>
      <c r="E149" s="255"/>
      <c r="F149" s="673">
        <f t="shared" si="24"/>
        <v>220.38</v>
      </c>
      <c r="G149" s="419">
        <v>1100</v>
      </c>
      <c r="H149" s="852">
        <v>7</v>
      </c>
      <c r="I149" s="419">
        <v>5000</v>
      </c>
      <c r="J149" s="852">
        <v>5</v>
      </c>
      <c r="K149" s="593">
        <f t="shared" si="18"/>
        <v>1.0764262648008613E-3</v>
      </c>
      <c r="L149" s="536">
        <f t="shared" si="19"/>
        <v>6.3678043810494142E-4</v>
      </c>
      <c r="M149" s="426">
        <f t="shared" si="20"/>
        <v>3.4555550518280329</v>
      </c>
      <c r="N149" s="218">
        <f t="shared" si="25"/>
        <v>1.2706075925571678</v>
      </c>
      <c r="O149" s="426">
        <v>1.5072270575646802</v>
      </c>
      <c r="P149" s="426">
        <f t="shared" si="23"/>
        <v>0.11865156635649723</v>
      </c>
      <c r="Q149" s="926">
        <f t="shared" si="21"/>
        <v>0.14463625938857014</v>
      </c>
      <c r="R149" s="532">
        <f t="shared" si="22"/>
        <v>2.8823129450523542E-2</v>
      </c>
    </row>
    <row r="150" spans="1:18" s="6" customFormat="1" ht="15.75" customHeight="1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673">
        <f t="shared" si="24"/>
        <v>1973.5500000000002</v>
      </c>
      <c r="G150" s="419">
        <v>1100</v>
      </c>
      <c r="H150" s="419">
        <v>24</v>
      </c>
      <c r="I150" s="419">
        <v>5000</v>
      </c>
      <c r="J150" s="419">
        <v>72</v>
      </c>
      <c r="K150" s="593">
        <f t="shared" si="18"/>
        <v>3.6906043364600956E-3</v>
      </c>
      <c r="L150" s="536">
        <f t="shared" si="19"/>
        <v>9.1696383087111564E-3</v>
      </c>
      <c r="M150" s="426">
        <f t="shared" si="20"/>
        <v>25.939238017736869</v>
      </c>
      <c r="N150" s="218">
        <f t="shared" si="25"/>
        <v>9.5378578191218484</v>
      </c>
      <c r="O150" s="426">
        <v>11.368084368682663</v>
      </c>
      <c r="P150" s="426">
        <f t="shared" si="23"/>
        <v>1.6967726216568879</v>
      </c>
      <c r="Q150" s="926">
        <f t="shared" si="21"/>
        <v>2.0683658257997464</v>
      </c>
      <c r="R150" s="532">
        <f t="shared" si="22"/>
        <v>2.459626197826164E-2</v>
      </c>
    </row>
    <row r="151" spans="1:18" s="6" customFormat="1" ht="15.75" customHeight="1">
      <c r="A151" s="268">
        <v>60</v>
      </c>
      <c r="B151" s="176" t="s">
        <v>108</v>
      </c>
      <c r="C151" s="157">
        <v>1135.5999999999999</v>
      </c>
      <c r="D151" s="255">
        <v>154.9</v>
      </c>
      <c r="E151" s="255"/>
      <c r="F151" s="673">
        <f t="shared" si="24"/>
        <v>1290.5</v>
      </c>
      <c r="G151" s="419">
        <v>1100</v>
      </c>
      <c r="H151" s="419">
        <v>30</v>
      </c>
      <c r="I151" s="419">
        <v>5000</v>
      </c>
      <c r="J151" s="419">
        <v>60</v>
      </c>
      <c r="K151" s="593">
        <f t="shared" si="18"/>
        <v>4.6132554205751191E-3</v>
      </c>
      <c r="L151" s="536">
        <f t="shared" si="19"/>
        <v>7.641365257259297E-3</v>
      </c>
      <c r="M151" s="426">
        <f t="shared" si="20"/>
        <v>24.717692453398797</v>
      </c>
      <c r="N151" s="218">
        <f t="shared" si="25"/>
        <v>9.0886955151147379</v>
      </c>
      <c r="O151" s="426">
        <v>10.819235054663771</v>
      </c>
      <c r="P151" s="426">
        <f t="shared" si="23"/>
        <v>1.4155149365209316</v>
      </c>
      <c r="Q151" s="926">
        <f t="shared" si="21"/>
        <v>1.7255127076190158</v>
      </c>
      <c r="R151" s="532">
        <f t="shared" si="22"/>
        <v>3.567697633452014E-2</v>
      </c>
    </row>
    <row r="152" spans="1:18" s="6" customFormat="1" ht="15.75" customHeight="1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673">
        <f t="shared" si="24"/>
        <v>231.77</v>
      </c>
      <c r="G152" s="419">
        <v>1100</v>
      </c>
      <c r="H152" s="419">
        <v>9</v>
      </c>
      <c r="I152" s="419">
        <v>5000</v>
      </c>
      <c r="J152" s="419">
        <v>9</v>
      </c>
      <c r="K152" s="593">
        <f t="shared" si="18"/>
        <v>1.3839766261725358E-3</v>
      </c>
      <c r="L152" s="536">
        <f t="shared" si="19"/>
        <v>1.1462047885888945E-3</v>
      </c>
      <c r="M152" s="426">
        <f t="shared" si="20"/>
        <v>5.1034012153879527</v>
      </c>
      <c r="N152" s="218">
        <f t="shared" si="25"/>
        <v>1.8765206268981502</v>
      </c>
      <c r="O152" s="426">
        <v>2.2285093945422654</v>
      </c>
      <c r="P152" s="426">
        <f t="shared" si="23"/>
        <v>0.21301922879122601</v>
      </c>
      <c r="Q152" s="926">
        <f t="shared" si="21"/>
        <v>0.25967043989650451</v>
      </c>
      <c r="R152" s="532">
        <f t="shared" si="22"/>
        <v>4.0649999851661539E-2</v>
      </c>
    </row>
    <row r="153" spans="1:18" s="6" customFormat="1" ht="15.75" customHeight="1">
      <c r="A153" s="268">
        <v>62</v>
      </c>
      <c r="B153" s="176" t="s">
        <v>110</v>
      </c>
      <c r="C153" s="157">
        <v>1422.83</v>
      </c>
      <c r="D153" s="255"/>
      <c r="E153" s="255"/>
      <c r="F153" s="673">
        <f t="shared" si="24"/>
        <v>1422.83</v>
      </c>
      <c r="G153" s="419">
        <v>1100</v>
      </c>
      <c r="H153" s="419">
        <v>30</v>
      </c>
      <c r="I153" s="419">
        <v>5000</v>
      </c>
      <c r="J153" s="419">
        <v>60</v>
      </c>
      <c r="K153" s="593">
        <f t="shared" si="18"/>
        <v>4.6132554205751191E-3</v>
      </c>
      <c r="L153" s="536">
        <f t="shared" si="19"/>
        <v>7.641365257259297E-3</v>
      </c>
      <c r="M153" s="426">
        <f t="shared" si="20"/>
        <v>24.717692453398797</v>
      </c>
      <c r="N153" s="218">
        <f t="shared" si="25"/>
        <v>9.0886955151147379</v>
      </c>
      <c r="O153" s="426">
        <v>10.819235054663771</v>
      </c>
      <c r="P153" s="426">
        <f t="shared" si="23"/>
        <v>1.4155149365209316</v>
      </c>
      <c r="Q153" s="926">
        <f t="shared" si="21"/>
        <v>1.7255127076190158</v>
      </c>
      <c r="R153" s="532">
        <f t="shared" si="22"/>
        <v>3.2358846776985473E-2</v>
      </c>
    </row>
    <row r="154" spans="1:18" s="6" customFormat="1" ht="15.75" customHeight="1">
      <c r="A154" s="268">
        <v>63</v>
      </c>
      <c r="B154" s="176" t="s">
        <v>111</v>
      </c>
      <c r="C154" s="157">
        <v>377.6</v>
      </c>
      <c r="D154" s="255"/>
      <c r="E154" s="255"/>
      <c r="F154" s="673">
        <f t="shared" si="24"/>
        <v>377.6</v>
      </c>
      <c r="G154" s="419">
        <v>1100</v>
      </c>
      <c r="H154" s="419">
        <v>8</v>
      </c>
      <c r="I154" s="419">
        <v>5000</v>
      </c>
      <c r="J154" s="419">
        <v>21</v>
      </c>
      <c r="K154" s="593">
        <f t="shared" si="18"/>
        <v>1.2302014454866985E-3</v>
      </c>
      <c r="L154" s="536">
        <f t="shared" si="19"/>
        <v>2.6744778400407537E-3</v>
      </c>
      <c r="M154" s="426">
        <f t="shared" si="20"/>
        <v>7.8757771657017264</v>
      </c>
      <c r="N154" s="218">
        <f t="shared" si="25"/>
        <v>2.8959232638285251</v>
      </c>
      <c r="O154" s="426">
        <v>3.4502744156085989</v>
      </c>
      <c r="P154" s="426">
        <f t="shared" si="23"/>
        <v>0.49504578983061143</v>
      </c>
      <c r="Q154" s="926">
        <f t="shared" si="21"/>
        <v>0.60346081780351535</v>
      </c>
      <c r="R154" s="532">
        <f t="shared" si="22"/>
        <v>3.8975160579897937E-2</v>
      </c>
    </row>
    <row r="155" spans="1:18" s="6" customFormat="1" ht="15.75" customHeight="1">
      <c r="A155" s="275">
        <v>64</v>
      </c>
      <c r="B155" s="176" t="s">
        <v>112</v>
      </c>
      <c r="C155" s="157">
        <v>1527.61</v>
      </c>
      <c r="D155" s="255">
        <v>324.89999999999998</v>
      </c>
      <c r="E155" s="255"/>
      <c r="F155" s="673">
        <f t="shared" si="24"/>
        <v>1852.5099999999998</v>
      </c>
      <c r="G155" s="419">
        <v>1100</v>
      </c>
      <c r="H155" s="419">
        <v>36</v>
      </c>
      <c r="I155" s="419">
        <v>5000</v>
      </c>
      <c r="J155" s="419">
        <v>122</v>
      </c>
      <c r="K155" s="593">
        <f t="shared" si="18"/>
        <v>5.5359065046901431E-3</v>
      </c>
      <c r="L155" s="536">
        <f t="shared" si="19"/>
        <v>1.553744268976057E-2</v>
      </c>
      <c r="M155" s="426">
        <f t="shared" si="20"/>
        <v>42.505156058699036</v>
      </c>
      <c r="N155" s="218">
        <f t="shared" si="25"/>
        <v>15.629145882783638</v>
      </c>
      <c r="O155" s="426">
        <v>18.634532742579118</v>
      </c>
      <c r="P155" s="426">
        <f t="shared" si="23"/>
        <v>2.8743693247420814</v>
      </c>
      <c r="Q155" s="926">
        <f t="shared" si="21"/>
        <v>3.5038562068605974</v>
      </c>
      <c r="R155" s="532">
        <f t="shared" si="22"/>
        <v>4.2992050789903369E-2</v>
      </c>
    </row>
    <row r="156" spans="1:18" s="6" customFormat="1" ht="15.75" customHeight="1">
      <c r="A156" s="268">
        <v>65</v>
      </c>
      <c r="B156" s="176" t="s">
        <v>113</v>
      </c>
      <c r="C156" s="157">
        <v>2010.19</v>
      </c>
      <c r="D156" s="255"/>
      <c r="E156" s="255"/>
      <c r="F156" s="673">
        <f t="shared" si="24"/>
        <v>2010.19</v>
      </c>
      <c r="G156" s="419">
        <v>1100</v>
      </c>
      <c r="H156" s="419">
        <v>48</v>
      </c>
      <c r="I156" s="419">
        <v>5000</v>
      </c>
      <c r="J156" s="419">
        <v>114</v>
      </c>
      <c r="K156" s="593">
        <f t="shared" ref="K156:K219" si="26">1/6503*H156</f>
        <v>7.3812086729201911E-3</v>
      </c>
      <c r="L156" s="536">
        <f t="shared" ref="L156:L219" si="27">1/7852*J156</f>
        <v>1.4518593988792664E-2</v>
      </c>
      <c r="M156" s="426">
        <f t="shared" si="20"/>
        <v>44.172120966701442</v>
      </c>
      <c r="N156" s="218">
        <f t="shared" si="25"/>
        <v>16.242088879456123</v>
      </c>
      <c r="O156" s="426">
        <v>19.345298331175769</v>
      </c>
      <c r="P156" s="426">
        <f t="shared" si="23"/>
        <v>2.6880944027635976</v>
      </c>
      <c r="Q156" s="926">
        <f t="shared" si="21"/>
        <v>3.2767870769688257</v>
      </c>
      <c r="R156" s="532">
        <f t="shared" si="22"/>
        <v>4.1014830727491888E-2</v>
      </c>
    </row>
    <row r="157" spans="1:18" s="6" customFormat="1" ht="15.75" customHeight="1">
      <c r="A157" s="268">
        <v>66</v>
      </c>
      <c r="B157" s="176" t="s">
        <v>114</v>
      </c>
      <c r="C157" s="157">
        <v>1464.32</v>
      </c>
      <c r="D157" s="255"/>
      <c r="E157" s="255"/>
      <c r="F157" s="673">
        <f t="shared" si="24"/>
        <v>1464.32</v>
      </c>
      <c r="G157" s="419">
        <v>1100</v>
      </c>
      <c r="H157" s="419">
        <v>32</v>
      </c>
      <c r="I157" s="419">
        <v>5000</v>
      </c>
      <c r="J157" s="419">
        <v>58</v>
      </c>
      <c r="K157" s="593">
        <f t="shared" si="26"/>
        <v>4.9208057819467941E-3</v>
      </c>
      <c r="L157" s="536">
        <f t="shared" si="27"/>
        <v>7.38665308201732E-3</v>
      </c>
      <c r="M157" s="426">
        <f t="shared" ref="M157:M220" si="28">(K157+L157)*2017.01</f>
        <v>24.824267603204259</v>
      </c>
      <c r="N157" s="218">
        <f t="shared" si="25"/>
        <v>9.1278831976982069</v>
      </c>
      <c r="O157" s="426">
        <v>10.862343310403444</v>
      </c>
      <c r="P157" s="426">
        <f t="shared" si="23"/>
        <v>1.3687924308456245</v>
      </c>
      <c r="Q157" s="926">
        <f t="shared" ref="Q157:Q220" si="29">P157*1.219</f>
        <v>1.6685579732008164</v>
      </c>
      <c r="R157" s="532">
        <f t="shared" si="22"/>
        <v>3.1539066967706197E-2</v>
      </c>
    </row>
    <row r="158" spans="1:18" s="6" customFormat="1" ht="15.75" customHeight="1">
      <c r="A158" s="268">
        <v>67</v>
      </c>
      <c r="B158" s="176" t="s">
        <v>115</v>
      </c>
      <c r="C158" s="157">
        <v>152.11000000000001</v>
      </c>
      <c r="D158" s="255"/>
      <c r="E158" s="255"/>
      <c r="F158" s="673">
        <f t="shared" si="24"/>
        <v>152.11000000000001</v>
      </c>
      <c r="G158" s="419">
        <v>1100</v>
      </c>
      <c r="H158" s="419">
        <v>6</v>
      </c>
      <c r="I158" s="419">
        <v>5000</v>
      </c>
      <c r="J158" s="419">
        <v>8</v>
      </c>
      <c r="K158" s="593">
        <f t="shared" si="26"/>
        <v>9.2265108411502389E-4</v>
      </c>
      <c r="L158" s="536">
        <f t="shared" si="27"/>
        <v>1.0188487009679063E-3</v>
      </c>
      <c r="M158" s="426">
        <f t="shared" si="28"/>
        <v>3.9160244815101213</v>
      </c>
      <c r="N158" s="218">
        <f t="shared" si="25"/>
        <v>1.4399222018512716</v>
      </c>
      <c r="O158" s="426">
        <v>1.711730956774147</v>
      </c>
      <c r="P158" s="426">
        <f t="shared" si="23"/>
        <v>0.18904287523082922</v>
      </c>
      <c r="Q158" s="926">
        <f t="shared" si="29"/>
        <v>0.23044326490638084</v>
      </c>
      <c r="R158" s="532">
        <f t="shared" si="22"/>
        <v>4.7707057493697781E-2</v>
      </c>
    </row>
    <row r="159" spans="1:18" s="6" customFormat="1" ht="15.75" customHeight="1">
      <c r="A159" s="268">
        <v>68</v>
      </c>
      <c r="B159" s="176" t="s">
        <v>116</v>
      </c>
      <c r="C159" s="157">
        <v>2553.5700000000002</v>
      </c>
      <c r="D159" s="255"/>
      <c r="E159" s="255"/>
      <c r="F159" s="673">
        <f t="shared" si="24"/>
        <v>2553.5700000000002</v>
      </c>
      <c r="G159" s="419">
        <v>1100</v>
      </c>
      <c r="H159" s="419">
        <v>60</v>
      </c>
      <c r="I159" s="419">
        <v>5000</v>
      </c>
      <c r="J159" s="419">
        <v>120</v>
      </c>
      <c r="K159" s="593">
        <f t="shared" si="26"/>
        <v>9.2265108411502383E-3</v>
      </c>
      <c r="L159" s="536">
        <f t="shared" si="27"/>
        <v>1.5282730514518594E-2</v>
      </c>
      <c r="M159" s="426">
        <f t="shared" si="28"/>
        <v>49.435384906797594</v>
      </c>
      <c r="N159" s="218">
        <f t="shared" si="25"/>
        <v>18.177391030229476</v>
      </c>
      <c r="O159" s="426">
        <v>21.638470109327542</v>
      </c>
      <c r="P159" s="426">
        <f t="shared" si="23"/>
        <v>2.8310298730418633</v>
      </c>
      <c r="Q159" s="926">
        <f t="shared" si="29"/>
        <v>3.4510254152380315</v>
      </c>
      <c r="R159" s="532">
        <f t="shared" si="22"/>
        <v>3.6060212141980234E-2</v>
      </c>
    </row>
    <row r="160" spans="1:18" s="6" customFormat="1" ht="15.75" customHeight="1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673">
        <f t="shared" si="24"/>
        <v>101.99</v>
      </c>
      <c r="G160" s="419">
        <v>1100</v>
      </c>
      <c r="H160" s="419">
        <v>4</v>
      </c>
      <c r="I160" s="419">
        <v>5000</v>
      </c>
      <c r="J160" s="419">
        <v>9</v>
      </c>
      <c r="K160" s="593">
        <f t="shared" si="26"/>
        <v>6.1510072274334926E-4</v>
      </c>
      <c r="L160" s="536">
        <f t="shared" si="27"/>
        <v>1.1462047885888945E-3</v>
      </c>
      <c r="M160" s="426">
        <f t="shared" si="28"/>
        <v>3.5525708294122489</v>
      </c>
      <c r="N160" s="218">
        <f t="shared" si="25"/>
        <v>1.3062802939748841</v>
      </c>
      <c r="O160" s="426">
        <v>1.5555936874948215</v>
      </c>
      <c r="P160" s="426">
        <f t="shared" si="23"/>
        <v>0.21225035288779681</v>
      </c>
      <c r="Q160" s="926">
        <f t="shared" si="29"/>
        <v>0.25873318017022434</v>
      </c>
      <c r="R160" s="532">
        <f t="shared" si="22"/>
        <v>6.4973969641825197E-2</v>
      </c>
    </row>
    <row r="161" spans="1:18" s="6" customFormat="1" ht="15.75" customHeight="1">
      <c r="A161" s="268">
        <v>70</v>
      </c>
      <c r="B161" s="176" t="s">
        <v>118</v>
      </c>
      <c r="C161" s="157">
        <v>166.1</v>
      </c>
      <c r="D161" s="255"/>
      <c r="E161" s="255"/>
      <c r="F161" s="673">
        <f t="shared" si="24"/>
        <v>166.1</v>
      </c>
      <c r="G161" s="419">
        <v>1100</v>
      </c>
      <c r="H161" s="419">
        <v>4</v>
      </c>
      <c r="I161" s="419">
        <v>5000</v>
      </c>
      <c r="J161" s="419">
        <v>4</v>
      </c>
      <c r="K161" s="593">
        <f t="shared" si="26"/>
        <v>6.1510072274334926E-4</v>
      </c>
      <c r="L161" s="536">
        <f t="shared" si="27"/>
        <v>5.0942435048395313E-4</v>
      </c>
      <c r="M161" s="426">
        <f t="shared" si="28"/>
        <v>2.2681783179502011</v>
      </c>
      <c r="N161" s="218">
        <f t="shared" si="25"/>
        <v>0.83400916751028897</v>
      </c>
      <c r="O161" s="426">
        <v>0.99044861979656207</v>
      </c>
      <c r="P161" s="426">
        <f t="shared" si="23"/>
        <v>9.4675212796100444E-2</v>
      </c>
      <c r="Q161" s="926">
        <f t="shared" si="29"/>
        <v>0.11540908439844645</v>
      </c>
      <c r="R161" s="532">
        <f t="shared" si="22"/>
        <v>2.5209580481957573E-2</v>
      </c>
    </row>
    <row r="162" spans="1:18" s="6" customFormat="1" ht="15.75" customHeight="1">
      <c r="A162" s="275">
        <v>71</v>
      </c>
      <c r="B162" s="176" t="s">
        <v>119</v>
      </c>
      <c r="C162" s="157">
        <v>315.39999999999998</v>
      </c>
      <c r="D162" s="255"/>
      <c r="E162" s="255"/>
      <c r="F162" s="673">
        <f t="shared" si="24"/>
        <v>315.39999999999998</v>
      </c>
      <c r="G162" s="419">
        <v>1100</v>
      </c>
      <c r="H162" s="419">
        <v>8</v>
      </c>
      <c r="I162" s="419">
        <v>5000</v>
      </c>
      <c r="J162" s="419">
        <v>16</v>
      </c>
      <c r="K162" s="593">
        <f t="shared" si="26"/>
        <v>1.2302014454866985E-3</v>
      </c>
      <c r="L162" s="536">
        <f t="shared" si="27"/>
        <v>2.0376974019358125E-3</v>
      </c>
      <c r="M162" s="426">
        <f t="shared" si="28"/>
        <v>6.591384654239679</v>
      </c>
      <c r="N162" s="218">
        <f t="shared" si="25"/>
        <v>2.4236521373639301</v>
      </c>
      <c r="O162" s="426">
        <v>2.8851293479103393</v>
      </c>
      <c r="P162" s="426">
        <f t="shared" si="23"/>
        <v>0.37747064973891509</v>
      </c>
      <c r="Q162" s="926">
        <f t="shared" si="29"/>
        <v>0.4601367220317375</v>
      </c>
      <c r="R162" s="532">
        <f t="shared" si="22"/>
        <v>3.8927193371125123E-2</v>
      </c>
    </row>
    <row r="163" spans="1:18" s="6" customFormat="1" ht="15.75" customHeight="1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673">
        <f t="shared" si="24"/>
        <v>1497.91</v>
      </c>
      <c r="G163" s="419">
        <v>1100</v>
      </c>
      <c r="H163" s="419">
        <v>29</v>
      </c>
      <c r="I163" s="419">
        <v>5000</v>
      </c>
      <c r="J163" s="419">
        <v>58</v>
      </c>
      <c r="K163" s="593">
        <f t="shared" si="26"/>
        <v>4.4594802398892821E-3</v>
      </c>
      <c r="L163" s="536">
        <f t="shared" si="27"/>
        <v>7.38665308201732E-3</v>
      </c>
      <c r="M163" s="426">
        <f t="shared" si="28"/>
        <v>23.893769371618834</v>
      </c>
      <c r="N163" s="218">
        <f t="shared" si="25"/>
        <v>8.7857389979442466</v>
      </c>
      <c r="O163" s="426">
        <v>10.458593886174979</v>
      </c>
      <c r="P163" s="426">
        <f t="shared" si="23"/>
        <v>1.3683311053035669</v>
      </c>
      <c r="Q163" s="926">
        <f t="shared" si="29"/>
        <v>1.6679956173650483</v>
      </c>
      <c r="R163" s="532">
        <f t="shared" si="22"/>
        <v>2.9712354788366209E-2</v>
      </c>
    </row>
    <row r="164" spans="1:18" s="6" customFormat="1" ht="15.75" customHeight="1">
      <c r="A164" s="268">
        <v>73</v>
      </c>
      <c r="B164" s="176" t="s">
        <v>122</v>
      </c>
      <c r="C164" s="157">
        <v>165.93</v>
      </c>
      <c r="D164" s="255"/>
      <c r="E164" s="255"/>
      <c r="F164" s="673">
        <f t="shared" si="24"/>
        <v>165.93</v>
      </c>
      <c r="G164" s="419">
        <v>1100</v>
      </c>
      <c r="H164" s="419">
        <v>6</v>
      </c>
      <c r="I164" s="419">
        <v>5000</v>
      </c>
      <c r="J164" s="419">
        <v>6</v>
      </c>
      <c r="K164" s="593">
        <f t="shared" si="26"/>
        <v>9.2265108411502389E-4</v>
      </c>
      <c r="L164" s="536">
        <f t="shared" si="27"/>
        <v>7.641365257259297E-4</v>
      </c>
      <c r="M164" s="426">
        <f t="shared" si="28"/>
        <v>3.4022674769253021</v>
      </c>
      <c r="N164" s="218">
        <f t="shared" si="25"/>
        <v>1.2510137512654336</v>
      </c>
      <c r="O164" s="426">
        <v>1.4856729296948434</v>
      </c>
      <c r="P164" s="426">
        <f t="shared" si="23"/>
        <v>0.14201281919415065</v>
      </c>
      <c r="Q164" s="926">
        <f t="shared" si="29"/>
        <v>0.17311362659766966</v>
      </c>
      <c r="R164" s="532">
        <f t="shared" si="22"/>
        <v>3.7853112620259921E-2</v>
      </c>
    </row>
    <row r="165" spans="1:18" s="6" customFormat="1" ht="15.75" customHeight="1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673">
        <f t="shared" si="24"/>
        <v>977.29000000000008</v>
      </c>
      <c r="G165" s="419">
        <v>1100</v>
      </c>
      <c r="H165" s="419">
        <v>40</v>
      </c>
      <c r="I165" s="419">
        <v>5000</v>
      </c>
      <c r="J165" s="419">
        <v>29</v>
      </c>
      <c r="K165" s="593">
        <f t="shared" si="26"/>
        <v>6.1510072274334922E-3</v>
      </c>
      <c r="L165" s="536">
        <f t="shared" si="27"/>
        <v>3.69332654100866E-3</v>
      </c>
      <c r="M165" s="426">
        <f t="shared" si="28"/>
        <v>19.856119654285504</v>
      </c>
      <c r="N165" s="218">
        <f t="shared" si="25"/>
        <v>7.3010951968807802</v>
      </c>
      <c r="O165" s="426">
        <v>8.6611670490294514</v>
      </c>
      <c r="P165" s="426">
        <f t="shared" si="23"/>
        <v>0.68808681975927233</v>
      </c>
      <c r="Q165" s="926">
        <f t="shared" si="29"/>
        <v>0.83877783328655298</v>
      </c>
      <c r="R165" s="532">
        <f t="shared" si="22"/>
        <v>3.7354796140301245E-2</v>
      </c>
    </row>
    <row r="166" spans="1:18" s="6" customFormat="1" ht="15.75" customHeight="1">
      <c r="A166" s="268">
        <v>75</v>
      </c>
      <c r="B166" s="176" t="s">
        <v>124</v>
      </c>
      <c r="C166" s="157">
        <v>144.9</v>
      </c>
      <c r="D166" s="255"/>
      <c r="E166" s="255"/>
      <c r="F166" s="673">
        <f t="shared" si="24"/>
        <v>144.9</v>
      </c>
      <c r="G166" s="419">
        <v>1100</v>
      </c>
      <c r="H166" s="419">
        <v>6</v>
      </c>
      <c r="I166" s="419">
        <v>5000</v>
      </c>
      <c r="J166" s="419">
        <v>6</v>
      </c>
      <c r="K166" s="593">
        <f t="shared" si="26"/>
        <v>9.2265108411502389E-4</v>
      </c>
      <c r="L166" s="536">
        <f t="shared" si="27"/>
        <v>7.641365257259297E-4</v>
      </c>
      <c r="M166" s="426">
        <f t="shared" si="28"/>
        <v>3.4022674769253021</v>
      </c>
      <c r="N166" s="218">
        <f t="shared" si="25"/>
        <v>1.2510137512654336</v>
      </c>
      <c r="O166" s="426">
        <v>1.4856729296948434</v>
      </c>
      <c r="P166" s="426">
        <f t="shared" si="23"/>
        <v>0.14201281919415065</v>
      </c>
      <c r="Q166" s="926">
        <f t="shared" si="29"/>
        <v>0.17311362659766966</v>
      </c>
      <c r="R166" s="532">
        <f t="shared" si="22"/>
        <v>4.3346908054380462E-2</v>
      </c>
    </row>
    <row r="167" spans="1:18" s="6" customFormat="1" ht="15.75" customHeight="1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673">
        <f t="shared" si="24"/>
        <v>231.9</v>
      </c>
      <c r="G167" s="419">
        <v>1100</v>
      </c>
      <c r="H167" s="419">
        <v>8</v>
      </c>
      <c r="I167" s="419">
        <v>5000</v>
      </c>
      <c r="J167" s="419">
        <v>8</v>
      </c>
      <c r="K167" s="593">
        <f t="shared" si="26"/>
        <v>1.2302014454866985E-3</v>
      </c>
      <c r="L167" s="536">
        <f t="shared" si="27"/>
        <v>1.0188487009679063E-3</v>
      </c>
      <c r="M167" s="426">
        <f t="shared" si="28"/>
        <v>4.5363566359004022</v>
      </c>
      <c r="N167" s="218">
        <f t="shared" si="25"/>
        <v>1.6680183350205779</v>
      </c>
      <c r="O167" s="426">
        <v>1.9808972395931241</v>
      </c>
      <c r="P167" s="426">
        <f t="shared" si="23"/>
        <v>0.18935042559220089</v>
      </c>
      <c r="Q167" s="926">
        <f t="shared" si="29"/>
        <v>0.2308181687968929</v>
      </c>
      <c r="R167" s="532">
        <f t="shared" si="22"/>
        <v>3.6113077344141035E-2</v>
      </c>
    </row>
    <row r="168" spans="1:18" s="6" customFormat="1" ht="15.75" customHeight="1">
      <c r="A168" s="268">
        <v>77</v>
      </c>
      <c r="B168" s="274" t="s">
        <v>126</v>
      </c>
      <c r="C168" s="157">
        <v>3146.6</v>
      </c>
      <c r="D168" s="255"/>
      <c r="E168" s="255"/>
      <c r="F168" s="673">
        <f t="shared" si="24"/>
        <v>3146.6</v>
      </c>
      <c r="G168" s="419">
        <v>1100</v>
      </c>
      <c r="H168" s="419">
        <v>0</v>
      </c>
      <c r="I168" s="419">
        <v>5000</v>
      </c>
      <c r="J168" s="419">
        <v>104</v>
      </c>
      <c r="K168" s="593">
        <f t="shared" si="26"/>
        <v>0</v>
      </c>
      <c r="L168" s="536">
        <f t="shared" si="27"/>
        <v>1.3245033112582781E-2</v>
      </c>
      <c r="M168" s="426">
        <f t="shared" si="28"/>
        <v>26.715364238410597</v>
      </c>
      <c r="N168" s="218">
        <f t="shared" si="25"/>
        <v>9.8232394304635768</v>
      </c>
      <c r="O168" s="426">
        <v>11.755017408123791</v>
      </c>
      <c r="P168" s="426">
        <f t="shared" si="23"/>
        <v>2.4455629139072848</v>
      </c>
      <c r="Q168" s="926">
        <f t="shared" si="29"/>
        <v>2.9811411920529802</v>
      </c>
      <c r="R168" s="532">
        <f t="shared" si="22"/>
        <v>1.6125082308175571E-2</v>
      </c>
    </row>
    <row r="169" spans="1:18" s="6" customFormat="1" ht="15.75" customHeight="1">
      <c r="A169" s="275">
        <v>78</v>
      </c>
      <c r="B169" s="176" t="s">
        <v>127</v>
      </c>
      <c r="C169" s="157">
        <v>848.35</v>
      </c>
      <c r="D169" s="255"/>
      <c r="E169" s="255"/>
      <c r="F169" s="673">
        <f t="shared" si="24"/>
        <v>848.35</v>
      </c>
      <c r="G169" s="419">
        <v>1100</v>
      </c>
      <c r="H169" s="419">
        <v>48</v>
      </c>
      <c r="I169" s="419">
        <v>5000</v>
      </c>
      <c r="J169" s="419">
        <v>45</v>
      </c>
      <c r="K169" s="593">
        <f t="shared" si="26"/>
        <v>7.3812086729201911E-3</v>
      </c>
      <c r="L169" s="536">
        <f t="shared" si="27"/>
        <v>5.7310239429444725E-3</v>
      </c>
      <c r="M169" s="426">
        <f t="shared" si="28"/>
        <v>26.447504308525183</v>
      </c>
      <c r="N169" s="218">
        <f t="shared" si="25"/>
        <v>9.7247473342447108</v>
      </c>
      <c r="O169" s="426">
        <v>11.546296396939791</v>
      </c>
      <c r="P169" s="426">
        <f t="shared" si="23"/>
        <v>1.0655574694981875</v>
      </c>
      <c r="Q169" s="926">
        <f t="shared" si="29"/>
        <v>1.2989145553182906</v>
      </c>
      <c r="R169" s="532">
        <f t="shared" si="22"/>
        <v>5.7504692060125977E-2</v>
      </c>
    </row>
    <row r="170" spans="1:18" s="6" customFormat="1" ht="15.75" customHeight="1">
      <c r="A170" s="268">
        <v>79</v>
      </c>
      <c r="B170" s="176" t="s">
        <v>128</v>
      </c>
      <c r="C170" s="157">
        <v>885.4</v>
      </c>
      <c r="D170" s="255"/>
      <c r="E170" s="255"/>
      <c r="F170" s="673">
        <f t="shared" si="24"/>
        <v>885.4</v>
      </c>
      <c r="G170" s="419">
        <v>1100</v>
      </c>
      <c r="H170" s="419">
        <v>53</v>
      </c>
      <c r="I170" s="419">
        <v>5000</v>
      </c>
      <c r="J170" s="419">
        <v>45</v>
      </c>
      <c r="K170" s="593">
        <f t="shared" si="26"/>
        <v>8.1500845763493781E-3</v>
      </c>
      <c r="L170" s="536">
        <f t="shared" si="27"/>
        <v>5.7310239429444725E-3</v>
      </c>
      <c r="M170" s="426">
        <f t="shared" si="28"/>
        <v>27.99833469450089</v>
      </c>
      <c r="N170" s="218">
        <f t="shared" si="25"/>
        <v>10.294987667167979</v>
      </c>
      <c r="O170" s="426">
        <v>12.219212103987234</v>
      </c>
      <c r="P170" s="426">
        <f t="shared" si="23"/>
        <v>1.0663263454016167</v>
      </c>
      <c r="Q170" s="926">
        <f t="shared" si="29"/>
        <v>1.2998518150445708</v>
      </c>
      <c r="R170" s="532">
        <f t="shared" si="22"/>
        <v>5.8254868772371494E-2</v>
      </c>
    </row>
    <row r="171" spans="1:18" s="6" customFormat="1" ht="15.75" customHeight="1">
      <c r="A171" s="268">
        <v>80</v>
      </c>
      <c r="B171" s="176" t="s">
        <v>129</v>
      </c>
      <c r="C171" s="157">
        <v>877.79</v>
      </c>
      <c r="D171" s="255"/>
      <c r="E171" s="255"/>
      <c r="F171" s="673">
        <f t="shared" si="24"/>
        <v>877.79</v>
      </c>
      <c r="G171" s="419">
        <v>1100</v>
      </c>
      <c r="H171" s="419">
        <v>52</v>
      </c>
      <c r="I171" s="419">
        <v>5000</v>
      </c>
      <c r="J171" s="419">
        <v>31</v>
      </c>
      <c r="K171" s="593">
        <f t="shared" si="26"/>
        <v>7.9963093956635402E-3</v>
      </c>
      <c r="L171" s="536">
        <f t="shared" si="27"/>
        <v>3.948038716250637E-3</v>
      </c>
      <c r="M171" s="426">
        <f t="shared" si="28"/>
        <v>24.091869585212013</v>
      </c>
      <c r="N171" s="218">
        <f t="shared" si="25"/>
        <v>8.858580446482458</v>
      </c>
      <c r="O171" s="426">
        <v>10.502222773022618</v>
      </c>
      <c r="P171" s="426">
        <f t="shared" si="23"/>
        <v>0.73696217796418106</v>
      </c>
      <c r="Q171" s="926">
        <f t="shared" si="29"/>
        <v>0.89835689493833681</v>
      </c>
      <c r="R171" s="532">
        <f t="shared" si="22"/>
        <v>5.0341921168709225E-2</v>
      </c>
    </row>
    <row r="172" spans="1:18" s="6" customFormat="1" ht="15.75" customHeight="1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673">
        <f t="shared" si="24"/>
        <v>949.9</v>
      </c>
      <c r="G172" s="419">
        <v>1100</v>
      </c>
      <c r="H172" s="419">
        <v>40</v>
      </c>
      <c r="I172" s="419">
        <v>5000</v>
      </c>
      <c r="J172" s="419">
        <v>37</v>
      </c>
      <c r="K172" s="593">
        <f t="shared" si="26"/>
        <v>6.1510072274334922E-3</v>
      </c>
      <c r="L172" s="536">
        <f t="shared" si="27"/>
        <v>4.7121752419765663E-3</v>
      </c>
      <c r="M172" s="426">
        <f t="shared" si="28"/>
        <v>21.911147672624782</v>
      </c>
      <c r="N172" s="218">
        <f t="shared" si="25"/>
        <v>8.0567289992241324</v>
      </c>
      <c r="O172" s="426">
        <v>9.5653991573466666</v>
      </c>
      <c r="P172" s="426">
        <f t="shared" si="23"/>
        <v>0.87620704390598658</v>
      </c>
      <c r="Q172" s="926">
        <f t="shared" si="29"/>
        <v>1.0680963865213977</v>
      </c>
      <c r="R172" s="532">
        <f t="shared" si="22"/>
        <v>4.2540775737552973E-2</v>
      </c>
    </row>
    <row r="173" spans="1:18" s="6" customFormat="1" ht="15.75" customHeight="1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673">
        <f t="shared" si="24"/>
        <v>1056</v>
      </c>
      <c r="G173" s="419">
        <v>1100</v>
      </c>
      <c r="H173" s="419">
        <v>40</v>
      </c>
      <c r="I173" s="419">
        <v>5000</v>
      </c>
      <c r="J173" s="419">
        <v>30</v>
      </c>
      <c r="K173" s="593">
        <f t="shared" si="26"/>
        <v>6.1510072274334922E-3</v>
      </c>
      <c r="L173" s="536">
        <f t="shared" si="27"/>
        <v>3.8206826286296485E-3</v>
      </c>
      <c r="M173" s="426">
        <f t="shared" si="28"/>
        <v>20.112998156577916</v>
      </c>
      <c r="N173" s="218">
        <f t="shared" si="25"/>
        <v>7.3955494221737004</v>
      </c>
      <c r="O173" s="426">
        <v>8.7741960625691036</v>
      </c>
      <c r="P173" s="426">
        <f t="shared" si="23"/>
        <v>0.71160184777761171</v>
      </c>
      <c r="Q173" s="926">
        <f t="shared" si="29"/>
        <v>0.86744265244090868</v>
      </c>
      <c r="R173" s="532">
        <f t="shared" si="22"/>
        <v>3.503252413740373E-2</v>
      </c>
    </row>
    <row r="174" spans="1:18" s="6" customFormat="1" ht="15.75" customHeight="1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673">
        <f t="shared" si="24"/>
        <v>998.3</v>
      </c>
      <c r="G174" s="419">
        <v>1100</v>
      </c>
      <c r="H174" s="419">
        <v>46</v>
      </c>
      <c r="I174" s="419">
        <v>5000</v>
      </c>
      <c r="J174" s="419">
        <v>41</v>
      </c>
      <c r="K174" s="593">
        <f t="shared" si="26"/>
        <v>7.0736583115485162E-3</v>
      </c>
      <c r="L174" s="536">
        <f t="shared" si="27"/>
        <v>5.2215995924605194E-3</v>
      </c>
      <c r="M174" s="426">
        <f t="shared" si="28"/>
        <v>24.799658144965264</v>
      </c>
      <c r="N174" s="218">
        <f t="shared" si="25"/>
        <v>9.1188342999037282</v>
      </c>
      <c r="O174" s="426">
        <v>10.825014059962205</v>
      </c>
      <c r="P174" s="426">
        <f t="shared" si="23"/>
        <v>0.9711898070634587</v>
      </c>
      <c r="Q174" s="926">
        <f t="shared" si="29"/>
        <v>1.1838803748103561</v>
      </c>
      <c r="R174" s="532">
        <f t="shared" si="22"/>
        <v>4.5792543636075989E-2</v>
      </c>
    </row>
    <row r="175" spans="1:18" s="6" customFormat="1" ht="15.75" customHeight="1">
      <c r="A175" s="268">
        <v>84</v>
      </c>
      <c r="B175" s="176" t="s">
        <v>133</v>
      </c>
      <c r="C175" s="157">
        <v>304</v>
      </c>
      <c r="D175" s="255"/>
      <c r="E175" s="255"/>
      <c r="F175" s="673">
        <f t="shared" si="24"/>
        <v>304</v>
      </c>
      <c r="G175" s="419">
        <v>1100</v>
      </c>
      <c r="H175" s="419">
        <v>12</v>
      </c>
      <c r="I175" s="419">
        <v>5000</v>
      </c>
      <c r="J175" s="419">
        <v>10</v>
      </c>
      <c r="K175" s="593">
        <f t="shared" si="26"/>
        <v>1.8453021682300478E-3</v>
      </c>
      <c r="L175" s="536">
        <f t="shared" si="27"/>
        <v>1.2735608762098828E-3</v>
      </c>
      <c r="M175" s="426">
        <f t="shared" si="28"/>
        <v>6.2907779492657836</v>
      </c>
      <c r="N175" s="218">
        <f t="shared" si="25"/>
        <v>2.3131190519450286</v>
      </c>
      <c r="O175" s="426">
        <v>2.7452878323103831</v>
      </c>
      <c r="P175" s="426">
        <f t="shared" si="23"/>
        <v>0.23699558235162277</v>
      </c>
      <c r="Q175" s="926">
        <f t="shared" si="29"/>
        <v>0.28889761488662818</v>
      </c>
      <c r="R175" s="532">
        <f t="shared" si="22"/>
        <v>3.8112435578529003E-2</v>
      </c>
    </row>
    <row r="176" spans="1:18" s="6" customFormat="1" ht="15.75" customHeight="1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673">
        <f t="shared" si="24"/>
        <v>1347.46</v>
      </c>
      <c r="G176" s="419">
        <v>1100</v>
      </c>
      <c r="H176" s="419">
        <v>66</v>
      </c>
      <c r="I176" s="419">
        <v>5000</v>
      </c>
      <c r="J176" s="419">
        <v>53</v>
      </c>
      <c r="K176" s="593">
        <f t="shared" si="26"/>
        <v>1.0149161925265262E-2</v>
      </c>
      <c r="L176" s="536">
        <f t="shared" si="27"/>
        <v>6.7498726439123788E-3</v>
      </c>
      <c r="M176" s="426">
        <f t="shared" si="28"/>
        <v>34.085521716376995</v>
      </c>
      <c r="N176" s="218">
        <f t="shared" si="25"/>
        <v>12.533246335111823</v>
      </c>
      <c r="O176" s="426">
        <v>14.873025050627803</v>
      </c>
      <c r="P176" s="426">
        <f t="shared" si="23"/>
        <v>1.2564456468972467</v>
      </c>
      <c r="Q176" s="926">
        <f t="shared" si="29"/>
        <v>1.5316072435677439</v>
      </c>
      <c r="R176" s="532">
        <f t="shared" si="22"/>
        <v>4.6567793291833422E-2</v>
      </c>
    </row>
    <row r="177" spans="1:18" s="6" customFormat="1" ht="15.75" customHeight="1">
      <c r="A177" s="268">
        <v>86</v>
      </c>
      <c r="B177" s="176" t="s">
        <v>135</v>
      </c>
      <c r="C177" s="157">
        <v>930.9</v>
      </c>
      <c r="D177" s="255"/>
      <c r="E177" s="255"/>
      <c r="F177" s="673">
        <f t="shared" si="24"/>
        <v>930.9</v>
      </c>
      <c r="G177" s="419">
        <v>1100</v>
      </c>
      <c r="H177" s="419">
        <v>46</v>
      </c>
      <c r="I177" s="419">
        <v>5000</v>
      </c>
      <c r="J177" s="419">
        <v>38</v>
      </c>
      <c r="K177" s="593">
        <f t="shared" si="26"/>
        <v>7.0736583115485162E-3</v>
      </c>
      <c r="L177" s="536">
        <f t="shared" si="27"/>
        <v>4.8395313295975552E-3</v>
      </c>
      <c r="M177" s="426">
        <f t="shared" si="28"/>
        <v>24.029022638088037</v>
      </c>
      <c r="N177" s="218">
        <f t="shared" si="25"/>
        <v>8.8354716240249722</v>
      </c>
      <c r="O177" s="426">
        <v>10.485927019343251</v>
      </c>
      <c r="P177" s="426">
        <f t="shared" si="23"/>
        <v>0.90064472300844101</v>
      </c>
      <c r="Q177" s="926">
        <f t="shared" si="29"/>
        <v>1.0978859173472897</v>
      </c>
      <c r="R177" s="532">
        <f t="shared" si="22"/>
        <v>4.7535789026173281E-2</v>
      </c>
    </row>
    <row r="178" spans="1:18" s="6" customFormat="1" ht="15.75" customHeight="1">
      <c r="A178" s="268">
        <v>87</v>
      </c>
      <c r="B178" s="176" t="s">
        <v>136</v>
      </c>
      <c r="C178" s="157">
        <v>791.4</v>
      </c>
      <c r="D178" s="255"/>
      <c r="E178" s="255"/>
      <c r="F178" s="673">
        <f t="shared" si="24"/>
        <v>791.4</v>
      </c>
      <c r="G178" s="419">
        <v>1100</v>
      </c>
      <c r="H178" s="419">
        <v>44</v>
      </c>
      <c r="I178" s="419">
        <v>5000</v>
      </c>
      <c r="J178" s="419">
        <v>45</v>
      </c>
      <c r="K178" s="593">
        <f t="shared" si="26"/>
        <v>6.7661079501768421E-3</v>
      </c>
      <c r="L178" s="536">
        <f t="shared" si="27"/>
        <v>5.7310239429444725E-3</v>
      </c>
      <c r="M178" s="426">
        <f t="shared" si="28"/>
        <v>25.206839999744624</v>
      </c>
      <c r="N178" s="218">
        <f t="shared" si="25"/>
        <v>9.2685550679060995</v>
      </c>
      <c r="O178" s="426">
        <v>11.007963831301836</v>
      </c>
      <c r="P178" s="426">
        <f t="shared" si="23"/>
        <v>1.0649423687754442</v>
      </c>
      <c r="Q178" s="926">
        <f t="shared" si="29"/>
        <v>1.2981647475372666</v>
      </c>
      <c r="R178" s="532">
        <f t="shared" si="22"/>
        <v>5.8817666499529957E-2</v>
      </c>
    </row>
    <row r="179" spans="1:18" s="6" customFormat="1" ht="15.75" customHeight="1">
      <c r="A179" s="268">
        <v>88</v>
      </c>
      <c r="B179" s="176" t="s">
        <v>137</v>
      </c>
      <c r="C179" s="157">
        <v>574.42999999999995</v>
      </c>
      <c r="D179" s="255"/>
      <c r="E179" s="255"/>
      <c r="F179" s="673">
        <f t="shared" si="24"/>
        <v>574.42999999999995</v>
      </c>
      <c r="G179" s="419">
        <v>1100</v>
      </c>
      <c r="H179" s="419">
        <v>36</v>
      </c>
      <c r="I179" s="419">
        <v>5000</v>
      </c>
      <c r="J179" s="419">
        <v>31</v>
      </c>
      <c r="K179" s="593">
        <f t="shared" si="26"/>
        <v>5.5359065046901431E-3</v>
      </c>
      <c r="L179" s="536">
        <f t="shared" si="27"/>
        <v>3.948038716250637E-3</v>
      </c>
      <c r="M179" s="426">
        <f t="shared" si="28"/>
        <v>19.129212350089762</v>
      </c>
      <c r="N179" s="218">
        <f t="shared" si="25"/>
        <v>7.0338113811280065</v>
      </c>
      <c r="O179" s="426">
        <v>8.3488925104708009</v>
      </c>
      <c r="P179" s="426">
        <f t="shared" si="23"/>
        <v>0.73450177507320769</v>
      </c>
      <c r="Q179" s="926">
        <f t="shared" si="29"/>
        <v>0.8953576638142402</v>
      </c>
      <c r="R179" s="532">
        <f t="shared" si="22"/>
        <v>6.1358943677666179E-2</v>
      </c>
    </row>
    <row r="180" spans="1:18" s="6" customFormat="1" ht="15.75" customHeight="1">
      <c r="A180" s="268">
        <v>89</v>
      </c>
      <c r="B180" s="176" t="s">
        <v>138</v>
      </c>
      <c r="C180" s="157">
        <v>326.89999999999998</v>
      </c>
      <c r="D180" s="255"/>
      <c r="E180" s="255"/>
      <c r="F180" s="673">
        <f t="shared" si="24"/>
        <v>326.89999999999998</v>
      </c>
      <c r="G180" s="419">
        <v>1100</v>
      </c>
      <c r="H180" s="419">
        <v>12</v>
      </c>
      <c r="I180" s="419">
        <v>5000</v>
      </c>
      <c r="J180" s="419">
        <v>12</v>
      </c>
      <c r="K180" s="593">
        <f t="shared" si="26"/>
        <v>1.8453021682300478E-3</v>
      </c>
      <c r="L180" s="536">
        <f t="shared" si="27"/>
        <v>1.5282730514518594E-3</v>
      </c>
      <c r="M180" s="426">
        <f t="shared" si="28"/>
        <v>6.8045349538506041</v>
      </c>
      <c r="N180" s="218">
        <f t="shared" si="25"/>
        <v>2.5020275025308671</v>
      </c>
      <c r="O180" s="426">
        <v>2.9713458593896869</v>
      </c>
      <c r="P180" s="426">
        <f t="shared" si="23"/>
        <v>0.2840256383883013</v>
      </c>
      <c r="Q180" s="926">
        <f t="shared" si="29"/>
        <v>0.34622725319533931</v>
      </c>
      <c r="R180" s="532">
        <f t="shared" si="22"/>
        <v>3.8427451679900457E-2</v>
      </c>
    </row>
    <row r="181" spans="1:18" s="6" customFormat="1" ht="15.75" customHeight="1">
      <c r="A181" s="268">
        <v>90</v>
      </c>
      <c r="B181" s="176" t="s">
        <v>139</v>
      </c>
      <c r="C181" s="157">
        <v>323.60000000000002</v>
      </c>
      <c r="D181" s="255"/>
      <c r="E181" s="255"/>
      <c r="F181" s="673">
        <f t="shared" si="24"/>
        <v>323.60000000000002</v>
      </c>
      <c r="G181" s="419">
        <v>1100</v>
      </c>
      <c r="H181" s="419">
        <v>14</v>
      </c>
      <c r="I181" s="419">
        <v>5000</v>
      </c>
      <c r="J181" s="419">
        <v>13</v>
      </c>
      <c r="K181" s="593">
        <f t="shared" si="26"/>
        <v>2.1528525296017225E-3</v>
      </c>
      <c r="L181" s="536">
        <f t="shared" si="27"/>
        <v>1.6556291390728477E-3</v>
      </c>
      <c r="M181" s="426">
        <f t="shared" si="28"/>
        <v>7.6817456105332953</v>
      </c>
      <c r="N181" s="218">
        <f t="shared" si="25"/>
        <v>2.8245778609930929</v>
      </c>
      <c r="O181" s="426">
        <v>3.3535411557483159</v>
      </c>
      <c r="P181" s="426">
        <f t="shared" si="23"/>
        <v>0.30784821676801233</v>
      </c>
      <c r="Q181" s="926">
        <f t="shared" si="29"/>
        <v>0.37526697624020705</v>
      </c>
      <c r="R181" s="532">
        <f t="shared" si="22"/>
        <v>4.378156008665858E-2</v>
      </c>
    </row>
    <row r="182" spans="1:18" s="6" customFormat="1" ht="15.75" customHeight="1">
      <c r="A182" s="268">
        <v>91</v>
      </c>
      <c r="B182" s="176" t="s">
        <v>140</v>
      </c>
      <c r="C182" s="157">
        <v>483.2</v>
      </c>
      <c r="D182" s="255"/>
      <c r="E182" s="255"/>
      <c r="F182" s="673">
        <f t="shared" si="24"/>
        <v>483.2</v>
      </c>
      <c r="G182" s="419">
        <v>1100</v>
      </c>
      <c r="H182" s="419">
        <v>21</v>
      </c>
      <c r="I182" s="419">
        <v>5000</v>
      </c>
      <c r="J182" s="419">
        <v>15</v>
      </c>
      <c r="K182" s="593">
        <f t="shared" si="26"/>
        <v>3.2292787944025836E-3</v>
      </c>
      <c r="L182" s="536">
        <f t="shared" si="27"/>
        <v>1.9103413143148242E-3</v>
      </c>
      <c r="M182" s="426">
        <f t="shared" si="28"/>
        <v>10.366665155484098</v>
      </c>
      <c r="N182" s="218">
        <f t="shared" si="25"/>
        <v>3.811822777671503</v>
      </c>
      <c r="O182" s="426">
        <v>4.5216811726940405</v>
      </c>
      <c r="P182" s="426">
        <f t="shared" si="23"/>
        <v>0.35595469906949173</v>
      </c>
      <c r="Q182" s="926">
        <f t="shared" si="29"/>
        <v>0.43390877816571044</v>
      </c>
      <c r="R182" s="532">
        <f t="shared" si="22"/>
        <v>3.9437342311504829E-2</v>
      </c>
    </row>
    <row r="183" spans="1:18" s="6" customFormat="1" ht="15.75" customHeight="1">
      <c r="A183" s="275">
        <v>92</v>
      </c>
      <c r="B183" s="176" t="s">
        <v>141</v>
      </c>
      <c r="C183" s="157">
        <v>408.2</v>
      </c>
      <c r="D183" s="255"/>
      <c r="E183" s="255"/>
      <c r="F183" s="673">
        <f t="shared" si="24"/>
        <v>408.2</v>
      </c>
      <c r="G183" s="419">
        <v>1100</v>
      </c>
      <c r="H183" s="419">
        <v>18</v>
      </c>
      <c r="I183" s="419">
        <v>5000</v>
      </c>
      <c r="J183" s="419">
        <v>13</v>
      </c>
      <c r="K183" s="593">
        <f t="shared" si="26"/>
        <v>2.7679532523450716E-3</v>
      </c>
      <c r="L183" s="536">
        <f t="shared" si="27"/>
        <v>1.6556291390728477E-3</v>
      </c>
      <c r="M183" s="426">
        <f t="shared" si="28"/>
        <v>8.9224099193138571</v>
      </c>
      <c r="N183" s="218">
        <f t="shared" si="25"/>
        <v>3.2807701273317056</v>
      </c>
      <c r="O183" s="426">
        <v>3.8918737213862702</v>
      </c>
      <c r="P183" s="426">
        <f t="shared" si="23"/>
        <v>0.30846331749075567</v>
      </c>
      <c r="Q183" s="926">
        <f t="shared" si="29"/>
        <v>0.37601678402123118</v>
      </c>
      <c r="R183" s="532">
        <f t="shared" si="22"/>
        <v>4.0185000209511483E-2</v>
      </c>
    </row>
    <row r="184" spans="1:18" s="6" customFormat="1" ht="15.75" customHeight="1">
      <c r="A184" s="268">
        <v>93</v>
      </c>
      <c r="B184" s="176" t="s">
        <v>145</v>
      </c>
      <c r="C184" s="157">
        <v>482.97</v>
      </c>
      <c r="D184" s="255"/>
      <c r="E184" s="255"/>
      <c r="F184" s="673">
        <f t="shared" si="24"/>
        <v>482.97</v>
      </c>
      <c r="G184" s="419">
        <v>1100</v>
      </c>
      <c r="H184" s="419">
        <v>22</v>
      </c>
      <c r="I184" s="419">
        <v>5000</v>
      </c>
      <c r="J184" s="419">
        <v>16</v>
      </c>
      <c r="K184" s="593">
        <f t="shared" si="26"/>
        <v>3.383053975088421E-3</v>
      </c>
      <c r="L184" s="536">
        <f t="shared" si="27"/>
        <v>2.0376974019358125E-3</v>
      </c>
      <c r="M184" s="426">
        <f t="shared" si="28"/>
        <v>10.93370973497165</v>
      </c>
      <c r="N184" s="218">
        <f t="shared" si="25"/>
        <v>4.0203250695490764</v>
      </c>
      <c r="O184" s="426">
        <v>4.7692933276431813</v>
      </c>
      <c r="P184" s="426">
        <f t="shared" si="23"/>
        <v>0.37962350226851682</v>
      </c>
      <c r="Q184" s="926">
        <f t="shared" si="29"/>
        <v>0.46276104926532202</v>
      </c>
      <c r="R184" s="532">
        <f t="shared" si="22"/>
        <v>4.1623603193640238E-2</v>
      </c>
    </row>
    <row r="185" spans="1:18" s="6" customFormat="1" ht="15.75" customHeight="1">
      <c r="A185" s="268">
        <v>94</v>
      </c>
      <c r="B185" s="176" t="s">
        <v>146</v>
      </c>
      <c r="C185" s="157">
        <v>699.05</v>
      </c>
      <c r="D185" s="255"/>
      <c r="E185" s="255"/>
      <c r="F185" s="673">
        <f t="shared" si="24"/>
        <v>699.05</v>
      </c>
      <c r="G185" s="419">
        <v>1100</v>
      </c>
      <c r="H185" s="419">
        <v>28</v>
      </c>
      <c r="I185" s="419">
        <v>5000</v>
      </c>
      <c r="J185" s="419">
        <v>28</v>
      </c>
      <c r="K185" s="593">
        <f t="shared" si="26"/>
        <v>4.305705059203445E-3</v>
      </c>
      <c r="L185" s="536">
        <f t="shared" si="27"/>
        <v>3.5659704533876719E-3</v>
      </c>
      <c r="M185" s="426">
        <f t="shared" si="28"/>
        <v>15.877248225651408</v>
      </c>
      <c r="N185" s="218">
        <f t="shared" si="25"/>
        <v>5.8380641725720235</v>
      </c>
      <c r="O185" s="426">
        <v>6.933140338575936</v>
      </c>
      <c r="P185" s="426">
        <f t="shared" si="23"/>
        <v>0.66272648957270319</v>
      </c>
      <c r="Q185" s="926">
        <f t="shared" si="29"/>
        <v>0.80786359078912529</v>
      </c>
      <c r="R185" s="532">
        <f t="shared" si="22"/>
        <v>4.1930018205238638E-2</v>
      </c>
    </row>
    <row r="186" spans="1:18" s="6" customFormat="1" ht="15.75" customHeight="1">
      <c r="A186" s="268">
        <v>95</v>
      </c>
      <c r="B186" s="176" t="s">
        <v>147</v>
      </c>
      <c r="C186" s="157">
        <v>6095.81</v>
      </c>
      <c r="D186" s="255"/>
      <c r="E186" s="255"/>
      <c r="F186" s="673">
        <f t="shared" si="24"/>
        <v>6095.81</v>
      </c>
      <c r="G186" s="419">
        <v>1100</v>
      </c>
      <c r="H186" s="419">
        <v>0</v>
      </c>
      <c r="I186" s="419">
        <v>5000</v>
      </c>
      <c r="J186" s="419">
        <v>266</v>
      </c>
      <c r="K186" s="593">
        <f t="shared" si="26"/>
        <v>0</v>
      </c>
      <c r="L186" s="536">
        <f t="shared" si="27"/>
        <v>3.3876719307182883E-2</v>
      </c>
      <c r="M186" s="426">
        <f t="shared" si="28"/>
        <v>68.329681609780948</v>
      </c>
      <c r="N186" s="218">
        <f t="shared" si="25"/>
        <v>25.124823927916456</v>
      </c>
      <c r="O186" s="426">
        <v>30.065717601547387</v>
      </c>
      <c r="P186" s="426">
        <f t="shared" si="23"/>
        <v>6.2549974528782473</v>
      </c>
      <c r="Q186" s="926">
        <f t="shared" si="29"/>
        <v>7.6248418950585837</v>
      </c>
      <c r="R186" s="532">
        <f t="shared" si="22"/>
        <v>2.1289249598022746E-2</v>
      </c>
    </row>
    <row r="187" spans="1:18" s="6" customFormat="1" ht="15.75" customHeight="1">
      <c r="A187" s="268">
        <v>96</v>
      </c>
      <c r="B187" s="176" t="s">
        <v>148</v>
      </c>
      <c r="C187" s="157">
        <v>166.2</v>
      </c>
      <c r="D187" s="255"/>
      <c r="E187" s="255"/>
      <c r="F187" s="673">
        <f t="shared" si="24"/>
        <v>166.2</v>
      </c>
      <c r="G187" s="419">
        <v>1100</v>
      </c>
      <c r="H187" s="419">
        <v>10</v>
      </c>
      <c r="I187" s="419">
        <v>5000</v>
      </c>
      <c r="J187" s="419">
        <v>11</v>
      </c>
      <c r="K187" s="593">
        <f t="shared" si="26"/>
        <v>1.537751806858373E-3</v>
      </c>
      <c r="L187" s="536">
        <f t="shared" si="27"/>
        <v>1.4009169638308711E-3</v>
      </c>
      <c r="M187" s="426">
        <f t="shared" si="28"/>
        <v>5.927324297167913</v>
      </c>
      <c r="N187" s="218">
        <f t="shared" si="25"/>
        <v>2.1794771440686418</v>
      </c>
      <c r="O187" s="426">
        <v>2.5891505630310574</v>
      </c>
      <c r="P187" s="426">
        <f t="shared" si="23"/>
        <v>0.26020306000859039</v>
      </c>
      <c r="Q187" s="926">
        <f t="shared" si="29"/>
        <v>0.31718753015047169</v>
      </c>
      <c r="R187" s="532">
        <f t="shared" si="22"/>
        <v>6.5921510615380291E-2</v>
      </c>
    </row>
    <row r="188" spans="1:18" s="6" customFormat="1" ht="15.75" customHeight="1">
      <c r="A188" s="268">
        <v>97</v>
      </c>
      <c r="B188" s="176" t="s">
        <v>149</v>
      </c>
      <c r="C188" s="157">
        <v>273.2</v>
      </c>
      <c r="D188" s="255"/>
      <c r="E188" s="255"/>
      <c r="F188" s="673">
        <f t="shared" si="24"/>
        <v>273.2</v>
      </c>
      <c r="G188" s="419">
        <v>1100</v>
      </c>
      <c r="H188" s="419">
        <v>15</v>
      </c>
      <c r="I188" s="419">
        <v>5000</v>
      </c>
      <c r="J188" s="419">
        <v>16</v>
      </c>
      <c r="K188" s="593">
        <f t="shared" si="26"/>
        <v>2.3066277102875596E-3</v>
      </c>
      <c r="L188" s="536">
        <f t="shared" si="27"/>
        <v>2.0376974019358125E-3</v>
      </c>
      <c r="M188" s="426">
        <f t="shared" si="28"/>
        <v>8.7625471946056646</v>
      </c>
      <c r="N188" s="218">
        <f t="shared" si="25"/>
        <v>3.2219886034565031</v>
      </c>
      <c r="O188" s="426">
        <v>3.82721133777676</v>
      </c>
      <c r="P188" s="426">
        <f t="shared" si="23"/>
        <v>0.37854707600371595</v>
      </c>
      <c r="Q188" s="926">
        <f t="shared" si="29"/>
        <v>0.46144888564852976</v>
      </c>
      <c r="R188" s="532">
        <f t="shared" si="22"/>
        <v>5.9261691844226375E-2</v>
      </c>
    </row>
    <row r="189" spans="1:18" s="6" customFormat="1" ht="15.75" customHeight="1">
      <c r="A189" s="268">
        <v>98</v>
      </c>
      <c r="B189" s="176" t="s">
        <v>150</v>
      </c>
      <c r="C189" s="157">
        <v>4159.58</v>
      </c>
      <c r="D189" s="255"/>
      <c r="E189" s="255"/>
      <c r="F189" s="673">
        <f t="shared" si="24"/>
        <v>4159.58</v>
      </c>
      <c r="G189" s="419">
        <v>1100</v>
      </c>
      <c r="H189" s="419">
        <v>0</v>
      </c>
      <c r="I189" s="419">
        <v>5000</v>
      </c>
      <c r="J189" s="419">
        <v>212</v>
      </c>
      <c r="K189" s="593">
        <f t="shared" si="26"/>
        <v>0</v>
      </c>
      <c r="L189" s="536">
        <f t="shared" si="27"/>
        <v>2.6999490575649515E-2</v>
      </c>
      <c r="M189" s="426">
        <f t="shared" si="28"/>
        <v>54.45824248599083</v>
      </c>
      <c r="N189" s="218">
        <f t="shared" si="25"/>
        <v>20.024295762098831</v>
      </c>
      <c r="O189" s="426">
        <v>23.962150870406187</v>
      </c>
      <c r="P189" s="426">
        <f t="shared" si="23"/>
        <v>4.9851859398879261</v>
      </c>
      <c r="Q189" s="926">
        <f t="shared" si="29"/>
        <v>6.0769416607233824</v>
      </c>
      <c r="R189" s="532">
        <f t="shared" si="22"/>
        <v>2.4865461190404746E-2</v>
      </c>
    </row>
    <row r="190" spans="1:18" s="6" customFormat="1" ht="15.75" customHeight="1">
      <c r="A190" s="275">
        <v>99</v>
      </c>
      <c r="B190" s="176" t="s">
        <v>151</v>
      </c>
      <c r="C190" s="157">
        <v>2107.77</v>
      </c>
      <c r="D190" s="255"/>
      <c r="E190" s="255">
        <v>133</v>
      </c>
      <c r="F190" s="673">
        <f t="shared" si="24"/>
        <v>2240.77</v>
      </c>
      <c r="G190" s="419">
        <v>1100</v>
      </c>
      <c r="H190" s="419">
        <v>42</v>
      </c>
      <c r="I190" s="419">
        <v>5000</v>
      </c>
      <c r="J190" s="419">
        <v>90</v>
      </c>
      <c r="K190" s="593">
        <f t="shared" si="26"/>
        <v>6.4585575888051671E-3</v>
      </c>
      <c r="L190" s="536">
        <f t="shared" si="27"/>
        <v>1.1462047885888945E-2</v>
      </c>
      <c r="M190" s="426">
        <f t="shared" si="28"/>
        <v>36.146040448512771</v>
      </c>
      <c r="N190" s="218">
        <f t="shared" si="25"/>
        <v>13.290899072918148</v>
      </c>
      <c r="O190" s="426">
        <v>15.825103157767192</v>
      </c>
      <c r="P190" s="426">
        <f t="shared" si="23"/>
        <v>2.12281107923934</v>
      </c>
      <c r="Q190" s="926">
        <f t="shared" si="29"/>
        <v>2.5877067055927556</v>
      </c>
      <c r="R190" s="532">
        <f t="shared" si="22"/>
        <v>3.0072186685129423E-2</v>
      </c>
    </row>
    <row r="191" spans="1:18" s="6" customFormat="1" ht="15.75" customHeight="1">
      <c r="A191" s="268">
        <v>100</v>
      </c>
      <c r="B191" s="176" t="s">
        <v>152</v>
      </c>
      <c r="C191" s="157">
        <v>454.48</v>
      </c>
      <c r="D191" s="255"/>
      <c r="E191" s="255"/>
      <c r="F191" s="673">
        <f t="shared" si="24"/>
        <v>454.48</v>
      </c>
      <c r="G191" s="419">
        <v>1100</v>
      </c>
      <c r="H191" s="419">
        <v>17</v>
      </c>
      <c r="I191" s="419">
        <v>5000</v>
      </c>
      <c r="J191" s="419">
        <v>16</v>
      </c>
      <c r="K191" s="593">
        <f t="shared" si="26"/>
        <v>2.6141780716592345E-3</v>
      </c>
      <c r="L191" s="536">
        <f t="shared" si="27"/>
        <v>2.0376974019358125E-3</v>
      </c>
      <c r="M191" s="426">
        <f t="shared" si="28"/>
        <v>9.3828793489959441</v>
      </c>
      <c r="N191" s="218">
        <f t="shared" si="25"/>
        <v>3.4500847366258087</v>
      </c>
      <c r="O191" s="426">
        <v>4.096377620595737</v>
      </c>
      <c r="P191" s="426">
        <f t="shared" si="23"/>
        <v>0.37885462636508765</v>
      </c>
      <c r="Q191" s="926">
        <f t="shared" si="29"/>
        <v>0.46182378953904191</v>
      </c>
      <c r="R191" s="532">
        <f t="shared" si="22"/>
        <v>3.8083515957979611E-2</v>
      </c>
    </row>
    <row r="192" spans="1:18" s="6" customFormat="1" ht="15.75" customHeight="1">
      <c r="A192" s="268">
        <v>101</v>
      </c>
      <c r="B192" s="176" t="s">
        <v>153</v>
      </c>
      <c r="C192" s="157">
        <v>166.2</v>
      </c>
      <c r="D192" s="255"/>
      <c r="E192" s="255"/>
      <c r="F192" s="673">
        <f t="shared" si="24"/>
        <v>166.2</v>
      </c>
      <c r="G192" s="419">
        <v>1100</v>
      </c>
      <c r="H192" s="419">
        <v>3</v>
      </c>
      <c r="I192" s="419">
        <v>5000</v>
      </c>
      <c r="J192" s="419">
        <v>6</v>
      </c>
      <c r="K192" s="593">
        <f t="shared" si="26"/>
        <v>4.6132554205751195E-4</v>
      </c>
      <c r="L192" s="536">
        <f t="shared" si="27"/>
        <v>7.641365257259297E-4</v>
      </c>
      <c r="M192" s="426">
        <f t="shared" si="28"/>
        <v>2.4717692453398796</v>
      </c>
      <c r="N192" s="218">
        <f t="shared" si="25"/>
        <v>0.90886955151147386</v>
      </c>
      <c r="O192" s="426">
        <v>1.0819235054663772</v>
      </c>
      <c r="P192" s="426">
        <f t="shared" si="23"/>
        <v>0.14155149365209316</v>
      </c>
      <c r="Q192" s="926">
        <f t="shared" si="29"/>
        <v>0.17255127076190158</v>
      </c>
      <c r="R192" s="532">
        <f t="shared" si="22"/>
        <v>2.770224907322397E-2</v>
      </c>
    </row>
    <row r="193" spans="1:18" s="6" customFormat="1" ht="15.75" customHeight="1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673">
        <f t="shared" si="24"/>
        <v>338.6</v>
      </c>
      <c r="G193" s="419">
        <v>1100</v>
      </c>
      <c r="H193" s="419">
        <v>9</v>
      </c>
      <c r="I193" s="419">
        <v>5000</v>
      </c>
      <c r="J193" s="419">
        <v>6</v>
      </c>
      <c r="K193" s="593">
        <f t="shared" si="26"/>
        <v>1.3839766261725358E-3</v>
      </c>
      <c r="L193" s="536">
        <f t="shared" si="27"/>
        <v>7.641365257259297E-4</v>
      </c>
      <c r="M193" s="426">
        <f t="shared" si="28"/>
        <v>4.3327657085107232</v>
      </c>
      <c r="N193" s="218">
        <f t="shared" si="25"/>
        <v>1.5931579510193929</v>
      </c>
      <c r="O193" s="426">
        <v>1.8894223539233093</v>
      </c>
      <c r="P193" s="426">
        <f t="shared" si="23"/>
        <v>0.14247414473620817</v>
      </c>
      <c r="Q193" s="926">
        <f t="shared" si="29"/>
        <v>0.17367598243343776</v>
      </c>
      <c r="R193" s="532">
        <f t="shared" si="22"/>
        <v>2.3502126870022542E-2</v>
      </c>
    </row>
    <row r="194" spans="1:18" s="6" customFormat="1" ht="15.75" customHeight="1">
      <c r="A194" s="268">
        <v>103</v>
      </c>
      <c r="B194" s="176" t="s">
        <v>155</v>
      </c>
      <c r="C194" s="157">
        <v>453.7</v>
      </c>
      <c r="D194" s="255"/>
      <c r="E194" s="255"/>
      <c r="F194" s="673">
        <f t="shared" si="24"/>
        <v>453.7</v>
      </c>
      <c r="G194" s="419">
        <v>1100</v>
      </c>
      <c r="H194" s="419">
        <v>17</v>
      </c>
      <c r="I194" s="419">
        <v>5000</v>
      </c>
      <c r="J194" s="419">
        <v>18</v>
      </c>
      <c r="K194" s="593">
        <f t="shared" si="26"/>
        <v>2.6141780716592345E-3</v>
      </c>
      <c r="L194" s="536">
        <f t="shared" si="27"/>
        <v>2.2924095771777891E-3</v>
      </c>
      <c r="M194" s="426">
        <f t="shared" si="28"/>
        <v>9.8966363535807655</v>
      </c>
      <c r="N194" s="218">
        <f t="shared" si="25"/>
        <v>3.6389931872116477</v>
      </c>
      <c r="O194" s="426">
        <v>4.3224356476750412</v>
      </c>
      <c r="P194" s="426">
        <f t="shared" si="23"/>
        <v>0.42588468240176619</v>
      </c>
      <c r="Q194" s="926">
        <f t="shared" si="29"/>
        <v>0.51915342784775298</v>
      </c>
      <c r="R194" s="532">
        <f t="shared" si="22"/>
        <v>4.0299647059442854E-2</v>
      </c>
    </row>
    <row r="195" spans="1:18" s="6" customFormat="1" ht="15.75" customHeight="1">
      <c r="A195" s="268">
        <v>104</v>
      </c>
      <c r="B195" s="176" t="s">
        <v>156</v>
      </c>
      <c r="C195" s="157">
        <v>135</v>
      </c>
      <c r="D195" s="255"/>
      <c r="E195" s="255"/>
      <c r="F195" s="673">
        <f t="shared" si="24"/>
        <v>135</v>
      </c>
      <c r="G195" s="419">
        <v>1100</v>
      </c>
      <c r="H195" s="419">
        <v>4</v>
      </c>
      <c r="I195" s="419">
        <v>5000</v>
      </c>
      <c r="J195" s="419">
        <v>6</v>
      </c>
      <c r="K195" s="593">
        <f t="shared" si="26"/>
        <v>6.1510072274334926E-4</v>
      </c>
      <c r="L195" s="536">
        <f t="shared" si="27"/>
        <v>7.641365257259297E-4</v>
      </c>
      <c r="M195" s="426">
        <f t="shared" si="28"/>
        <v>2.7819353225350203</v>
      </c>
      <c r="N195" s="218">
        <f t="shared" si="25"/>
        <v>1.022917618096127</v>
      </c>
      <c r="O195" s="426">
        <v>1.2165066468758658</v>
      </c>
      <c r="P195" s="426">
        <f t="shared" si="23"/>
        <v>0.14170526883277898</v>
      </c>
      <c r="Q195" s="926">
        <f t="shared" si="29"/>
        <v>0.17273872270715759</v>
      </c>
      <c r="R195" s="532">
        <f t="shared" si="22"/>
        <v>3.824492486177624E-2</v>
      </c>
    </row>
    <row r="196" spans="1:18" s="6" customFormat="1" ht="15.75" customHeight="1">
      <c r="A196" s="268">
        <v>105</v>
      </c>
      <c r="B196" s="176" t="s">
        <v>157</v>
      </c>
      <c r="C196" s="157">
        <v>89.9</v>
      </c>
      <c r="D196" s="255"/>
      <c r="E196" s="255"/>
      <c r="F196" s="673">
        <f t="shared" si="24"/>
        <v>89.9</v>
      </c>
      <c r="G196" s="419">
        <v>1100</v>
      </c>
      <c r="H196" s="419">
        <v>6</v>
      </c>
      <c r="I196" s="419">
        <v>5000</v>
      </c>
      <c r="J196" s="419">
        <v>5</v>
      </c>
      <c r="K196" s="593">
        <f t="shared" si="26"/>
        <v>9.2265108411502389E-4</v>
      </c>
      <c r="L196" s="536">
        <f t="shared" si="27"/>
        <v>6.3678043810494142E-4</v>
      </c>
      <c r="M196" s="426">
        <f t="shared" si="28"/>
        <v>3.1453889746328918</v>
      </c>
      <c r="N196" s="218">
        <f t="shared" si="25"/>
        <v>1.1565595259725143</v>
      </c>
      <c r="O196" s="426">
        <v>1.3726439161551915</v>
      </c>
      <c r="P196" s="426">
        <f t="shared" si="23"/>
        <v>0.11849779117581138</v>
      </c>
      <c r="Q196" s="926">
        <f t="shared" si="29"/>
        <v>0.14444880744331409</v>
      </c>
      <c r="R196" s="532">
        <f t="shared" si="22"/>
        <v>6.443926816392001E-2</v>
      </c>
    </row>
    <row r="197" spans="1:18" s="6" customFormat="1" ht="15.75" customHeight="1">
      <c r="A197" s="275">
        <v>106</v>
      </c>
      <c r="B197" s="176" t="s">
        <v>158</v>
      </c>
      <c r="C197" s="157">
        <v>224.08</v>
      </c>
      <c r="D197" s="255"/>
      <c r="E197" s="255"/>
      <c r="F197" s="673">
        <f t="shared" si="24"/>
        <v>224.08</v>
      </c>
      <c r="G197" s="419">
        <v>1100</v>
      </c>
      <c r="H197" s="419">
        <v>9</v>
      </c>
      <c r="I197" s="419">
        <v>5000</v>
      </c>
      <c r="J197" s="419">
        <v>5</v>
      </c>
      <c r="K197" s="593">
        <f t="shared" si="26"/>
        <v>1.3839766261725358E-3</v>
      </c>
      <c r="L197" s="536">
        <f t="shared" si="27"/>
        <v>6.3678043810494142E-4</v>
      </c>
      <c r="M197" s="426">
        <f t="shared" si="28"/>
        <v>4.0758872062183142</v>
      </c>
      <c r="N197" s="218">
        <f t="shared" si="25"/>
        <v>1.4987037257264741</v>
      </c>
      <c r="O197" s="426">
        <v>1.7763933403836576</v>
      </c>
      <c r="P197" s="426">
        <f t="shared" si="23"/>
        <v>0.11895911671786891</v>
      </c>
      <c r="Q197" s="926">
        <f t="shared" si="29"/>
        <v>0.1450111632790822</v>
      </c>
      <c r="R197" s="532">
        <f t="shared" si="22"/>
        <v>3.3336055824019613E-2</v>
      </c>
    </row>
    <row r="198" spans="1:18" s="6" customFormat="1" ht="15.75" customHeight="1">
      <c r="A198" s="268">
        <v>107</v>
      </c>
      <c r="B198" s="176" t="s">
        <v>159</v>
      </c>
      <c r="C198" s="157">
        <v>653.71</v>
      </c>
      <c r="D198" s="255"/>
      <c r="E198" s="255"/>
      <c r="F198" s="673">
        <f t="shared" si="24"/>
        <v>653.71</v>
      </c>
      <c r="G198" s="419">
        <v>1100</v>
      </c>
      <c r="H198" s="419">
        <v>28</v>
      </c>
      <c r="I198" s="419">
        <v>5000</v>
      </c>
      <c r="J198" s="419">
        <v>24</v>
      </c>
      <c r="K198" s="593">
        <f t="shared" si="26"/>
        <v>4.305705059203445E-3</v>
      </c>
      <c r="L198" s="536">
        <f t="shared" si="27"/>
        <v>3.0565461029037188E-3</v>
      </c>
      <c r="M198" s="426">
        <f t="shared" si="28"/>
        <v>14.849734216481771</v>
      </c>
      <c r="N198" s="218">
        <f t="shared" si="25"/>
        <v>5.4602472714003474</v>
      </c>
      <c r="O198" s="426">
        <v>6.4810242844173285</v>
      </c>
      <c r="P198" s="426">
        <f t="shared" si="23"/>
        <v>0.56866637749934601</v>
      </c>
      <c r="Q198" s="926">
        <f t="shared" si="29"/>
        <v>0.69320431417170281</v>
      </c>
      <c r="R198" s="532">
        <f t="shared" si="22"/>
        <v>4.1852919719445617E-2</v>
      </c>
    </row>
    <row r="199" spans="1:18" s="6" customFormat="1" ht="15.75" customHeight="1">
      <c r="A199" s="268">
        <v>108</v>
      </c>
      <c r="B199" s="176" t="s">
        <v>160</v>
      </c>
      <c r="C199" s="157">
        <v>182.11</v>
      </c>
      <c r="D199" s="255"/>
      <c r="E199" s="255"/>
      <c r="F199" s="673">
        <f t="shared" si="24"/>
        <v>182.11</v>
      </c>
      <c r="G199" s="419">
        <v>1100</v>
      </c>
      <c r="H199" s="419">
        <v>10</v>
      </c>
      <c r="I199" s="419">
        <v>5000</v>
      </c>
      <c r="J199" s="419">
        <v>6</v>
      </c>
      <c r="K199" s="593">
        <f t="shared" si="26"/>
        <v>1.537751806858373E-3</v>
      </c>
      <c r="L199" s="536">
        <f t="shared" si="27"/>
        <v>7.641365257259297E-4</v>
      </c>
      <c r="M199" s="426">
        <f t="shared" si="28"/>
        <v>4.6429317857058647</v>
      </c>
      <c r="N199" s="218">
        <f t="shared" si="25"/>
        <v>1.7072060176040467</v>
      </c>
      <c r="O199" s="426">
        <v>2.0240054953327982</v>
      </c>
      <c r="P199" s="426">
        <f t="shared" si="23"/>
        <v>0.142627919916894</v>
      </c>
      <c r="Q199" s="926">
        <f t="shared" si="29"/>
        <v>0.17386343437869378</v>
      </c>
      <c r="R199" s="532">
        <f t="shared" ref="R199:R262" si="30">(P199+O199+N199+M199)/F199</f>
        <v>4.676718037757182E-2</v>
      </c>
    </row>
    <row r="200" spans="1:18" s="6" customFormat="1" ht="15.75" customHeight="1">
      <c r="A200" s="268">
        <v>109</v>
      </c>
      <c r="B200" s="176" t="s">
        <v>161</v>
      </c>
      <c r="C200" s="157">
        <v>2379.1</v>
      </c>
      <c r="D200" s="255"/>
      <c r="E200" s="255"/>
      <c r="F200" s="673">
        <f t="shared" si="24"/>
        <v>2379.1</v>
      </c>
      <c r="G200" s="419">
        <v>1100</v>
      </c>
      <c r="H200" s="419">
        <v>44</v>
      </c>
      <c r="I200" s="419">
        <v>5000</v>
      </c>
      <c r="J200" s="419">
        <v>75</v>
      </c>
      <c r="K200" s="593">
        <f t="shared" si="26"/>
        <v>6.7661079501768421E-3</v>
      </c>
      <c r="L200" s="536">
        <f t="shared" si="27"/>
        <v>9.5517065715741215E-3</v>
      </c>
      <c r="M200" s="426">
        <f t="shared" si="28"/>
        <v>32.913195068516906</v>
      </c>
      <c r="N200" s="218">
        <f t="shared" si="25"/>
        <v>12.102181826693668</v>
      </c>
      <c r="O200" s="426">
        <v>14.398834237491393</v>
      </c>
      <c r="P200" s="426">
        <f t="shared" ref="P200:P263" si="31">K200+L200*184.64</f>
        <v>1.7703932093256225</v>
      </c>
      <c r="Q200" s="926">
        <f t="shared" si="29"/>
        <v>2.1581093221679342</v>
      </c>
      <c r="R200" s="532">
        <f t="shared" si="30"/>
        <v>2.5717542071383125E-2</v>
      </c>
    </row>
    <row r="201" spans="1:18" s="6" customFormat="1" ht="15.75" customHeight="1">
      <c r="A201" s="268">
        <v>110</v>
      </c>
      <c r="B201" s="176" t="s">
        <v>162</v>
      </c>
      <c r="C201" s="157">
        <v>140.19999999999999</v>
      </c>
      <c r="D201" s="255"/>
      <c r="E201" s="255"/>
      <c r="F201" s="673">
        <f t="shared" si="24"/>
        <v>140.19999999999999</v>
      </c>
      <c r="G201" s="419">
        <v>1100</v>
      </c>
      <c r="H201" s="419">
        <v>5</v>
      </c>
      <c r="I201" s="419">
        <v>5000</v>
      </c>
      <c r="J201" s="419">
        <v>4</v>
      </c>
      <c r="K201" s="593">
        <f t="shared" si="26"/>
        <v>7.6887590342918652E-4</v>
      </c>
      <c r="L201" s="536">
        <f t="shared" si="27"/>
        <v>5.0942435048395313E-4</v>
      </c>
      <c r="M201" s="426">
        <f t="shared" si="28"/>
        <v>2.5783443951453417</v>
      </c>
      <c r="N201" s="218">
        <f t="shared" si="25"/>
        <v>0.94805723409494225</v>
      </c>
      <c r="O201" s="426">
        <v>1.125031761206051</v>
      </c>
      <c r="P201" s="426">
        <f t="shared" si="31"/>
        <v>9.482898797678628E-2</v>
      </c>
      <c r="Q201" s="926">
        <f t="shared" si="29"/>
        <v>0.11559653634370248</v>
      </c>
      <c r="R201" s="532">
        <f t="shared" si="30"/>
        <v>3.3853511971634248E-2</v>
      </c>
    </row>
    <row r="202" spans="1:18" s="6" customFormat="1" ht="15.75" customHeight="1">
      <c r="A202" s="268">
        <v>111</v>
      </c>
      <c r="B202" s="176" t="s">
        <v>163</v>
      </c>
      <c r="C202" s="157">
        <v>116.79</v>
      </c>
      <c r="D202" s="255"/>
      <c r="E202" s="255"/>
      <c r="F202" s="673">
        <f t="shared" si="24"/>
        <v>116.79</v>
      </c>
      <c r="G202" s="419">
        <v>1100</v>
      </c>
      <c r="H202" s="419">
        <v>7</v>
      </c>
      <c r="I202" s="419">
        <v>5000</v>
      </c>
      <c r="J202" s="419">
        <v>4</v>
      </c>
      <c r="K202" s="593">
        <f t="shared" si="26"/>
        <v>1.0764262648008613E-3</v>
      </c>
      <c r="L202" s="536">
        <f t="shared" si="27"/>
        <v>5.0942435048395313E-4</v>
      </c>
      <c r="M202" s="426">
        <f t="shared" si="28"/>
        <v>3.1986765495356235</v>
      </c>
      <c r="N202" s="218">
        <f t="shared" si="25"/>
        <v>1.1761533672642488</v>
      </c>
      <c r="O202" s="426">
        <v>1.3941980440250283</v>
      </c>
      <c r="P202" s="426">
        <f t="shared" si="31"/>
        <v>9.5136538338157967E-2</v>
      </c>
      <c r="Q202" s="926">
        <f t="shared" si="29"/>
        <v>0.11597144023421457</v>
      </c>
      <c r="R202" s="532">
        <f t="shared" si="30"/>
        <v>5.0211186738274322E-2</v>
      </c>
    </row>
    <row r="203" spans="1:18" s="6" customFormat="1" ht="15.75" customHeight="1">
      <c r="A203" s="268">
        <v>112</v>
      </c>
      <c r="B203" s="176" t="s">
        <v>164</v>
      </c>
      <c r="C203" s="157">
        <v>59.7</v>
      </c>
      <c r="D203" s="255"/>
      <c r="E203" s="255"/>
      <c r="F203" s="673">
        <f t="shared" si="24"/>
        <v>59.7</v>
      </c>
      <c r="G203" s="419">
        <v>1100</v>
      </c>
      <c r="H203" s="419">
        <v>2</v>
      </c>
      <c r="I203" s="419">
        <v>5000</v>
      </c>
      <c r="J203" s="419">
        <v>2</v>
      </c>
      <c r="K203" s="593">
        <f t="shared" si="26"/>
        <v>3.0755036137167463E-4</v>
      </c>
      <c r="L203" s="536">
        <f t="shared" si="27"/>
        <v>2.5471217524197657E-4</v>
      </c>
      <c r="M203" s="426">
        <f t="shared" si="28"/>
        <v>1.1340891589751005</v>
      </c>
      <c r="N203" s="218">
        <f t="shared" si="25"/>
        <v>0.41700458375514449</v>
      </c>
      <c r="O203" s="426">
        <v>0.49522430989828103</v>
      </c>
      <c r="P203" s="426">
        <f t="shared" si="31"/>
        <v>4.7337606398050222E-2</v>
      </c>
      <c r="Q203" s="926">
        <f t="shared" si="29"/>
        <v>5.7704542199223226E-2</v>
      </c>
      <c r="R203" s="532">
        <f t="shared" si="30"/>
        <v>3.5069609028920874E-2</v>
      </c>
    </row>
    <row r="204" spans="1:18" s="6" customFormat="1" ht="15.75" customHeight="1">
      <c r="A204" s="275">
        <v>113</v>
      </c>
      <c r="B204" s="176" t="s">
        <v>165</v>
      </c>
      <c r="C204" s="157">
        <v>137.5</v>
      </c>
      <c r="D204" s="255"/>
      <c r="E204" s="255"/>
      <c r="F204" s="673">
        <f t="shared" si="24"/>
        <v>137.5</v>
      </c>
      <c r="G204" s="419">
        <v>1100</v>
      </c>
      <c r="H204" s="419">
        <v>3</v>
      </c>
      <c r="I204" s="419">
        <v>5000</v>
      </c>
      <c r="J204" s="419">
        <v>3</v>
      </c>
      <c r="K204" s="593">
        <f t="shared" si="26"/>
        <v>4.6132554205751195E-4</v>
      </c>
      <c r="L204" s="536">
        <f t="shared" si="27"/>
        <v>3.8206826286296485E-4</v>
      </c>
      <c r="M204" s="426">
        <f t="shared" si="28"/>
        <v>1.701133738462651</v>
      </c>
      <c r="N204" s="218">
        <f t="shared" si="25"/>
        <v>0.62550687563271679</v>
      </c>
      <c r="O204" s="426">
        <v>0.74283646484742172</v>
      </c>
      <c r="P204" s="426">
        <f t="shared" si="31"/>
        <v>7.1006409597075326E-2</v>
      </c>
      <c r="Q204" s="926">
        <f t="shared" si="29"/>
        <v>8.6556813298834828E-2</v>
      </c>
      <c r="R204" s="532">
        <f t="shared" si="30"/>
        <v>2.2839879916653563E-2</v>
      </c>
    </row>
    <row r="205" spans="1:18" s="6" customFormat="1" ht="15.75" customHeight="1">
      <c r="A205" s="268">
        <v>114</v>
      </c>
      <c r="B205" s="176" t="s">
        <v>166</v>
      </c>
      <c r="C205" s="157">
        <v>1812.9</v>
      </c>
      <c r="D205" s="255">
        <v>95.4</v>
      </c>
      <c r="E205" s="255"/>
      <c r="F205" s="673">
        <f t="shared" si="24"/>
        <v>1908.3000000000002</v>
      </c>
      <c r="G205" s="419">
        <v>1100</v>
      </c>
      <c r="H205" s="419">
        <v>64</v>
      </c>
      <c r="I205" s="419">
        <v>5000</v>
      </c>
      <c r="J205" s="419">
        <v>88</v>
      </c>
      <c r="K205" s="593">
        <f t="shared" si="26"/>
        <v>9.8416115638935882E-3</v>
      </c>
      <c r="L205" s="536">
        <f t="shared" si="27"/>
        <v>1.1207335710646969E-2</v>
      </c>
      <c r="M205" s="426">
        <f t="shared" si="28"/>
        <v>42.455937142221046</v>
      </c>
      <c r="N205" s="218">
        <f t="shared" si="25"/>
        <v>15.61104808719468</v>
      </c>
      <c r="O205" s="426">
        <v>18.55987424169664</v>
      </c>
      <c r="P205" s="426">
        <f t="shared" si="31"/>
        <v>2.0791640771777495</v>
      </c>
      <c r="Q205" s="926">
        <f t="shared" si="29"/>
        <v>2.5345010100796768</v>
      </c>
      <c r="R205" s="532">
        <f t="shared" si="30"/>
        <v>4.1244051537122108E-2</v>
      </c>
    </row>
    <row r="206" spans="1:18" s="6" customFormat="1" ht="15.75" customHeight="1">
      <c r="A206" s="268">
        <v>115</v>
      </c>
      <c r="B206" s="176" t="s">
        <v>167</v>
      </c>
      <c r="C206" s="157">
        <v>140.4</v>
      </c>
      <c r="D206" s="255"/>
      <c r="E206" s="255"/>
      <c r="F206" s="673">
        <f t="shared" si="24"/>
        <v>140.4</v>
      </c>
      <c r="G206" s="419">
        <v>1100</v>
      </c>
      <c r="H206" s="419">
        <v>6</v>
      </c>
      <c r="I206" s="419">
        <v>5000</v>
      </c>
      <c r="J206" s="419">
        <v>6</v>
      </c>
      <c r="K206" s="593">
        <f t="shared" si="26"/>
        <v>9.2265108411502389E-4</v>
      </c>
      <c r="L206" s="536">
        <f t="shared" si="27"/>
        <v>7.641365257259297E-4</v>
      </c>
      <c r="M206" s="426">
        <f t="shared" si="28"/>
        <v>3.4022674769253021</v>
      </c>
      <c r="N206" s="218">
        <f t="shared" si="25"/>
        <v>1.2510137512654336</v>
      </c>
      <c r="O206" s="426">
        <v>1.4856729296948434</v>
      </c>
      <c r="P206" s="426">
        <f t="shared" si="31"/>
        <v>0.14201281919415065</v>
      </c>
      <c r="Q206" s="926">
        <f t="shared" si="29"/>
        <v>0.17311362659766966</v>
      </c>
      <c r="R206" s="532">
        <f t="shared" si="30"/>
        <v>4.4736232030482402E-2</v>
      </c>
    </row>
    <row r="207" spans="1:18" s="6" customFormat="1" ht="15.75" customHeight="1">
      <c r="A207" s="268">
        <v>116</v>
      </c>
      <c r="B207" s="176" t="s">
        <v>168</v>
      </c>
      <c r="C207" s="157">
        <v>290.7</v>
      </c>
      <c r="D207" s="255"/>
      <c r="E207" s="255"/>
      <c r="F207" s="673">
        <f t="shared" si="24"/>
        <v>290.7</v>
      </c>
      <c r="G207" s="419">
        <v>1100</v>
      </c>
      <c r="H207" s="419">
        <v>12</v>
      </c>
      <c r="I207" s="419">
        <v>5000</v>
      </c>
      <c r="J207" s="419">
        <v>24</v>
      </c>
      <c r="K207" s="593">
        <f t="shared" si="26"/>
        <v>1.8453021682300478E-3</v>
      </c>
      <c r="L207" s="536">
        <f t="shared" si="27"/>
        <v>3.0565461029037188E-3</v>
      </c>
      <c r="M207" s="426">
        <f t="shared" si="28"/>
        <v>9.8870769813595185</v>
      </c>
      <c r="N207" s="218">
        <f t="shared" si="25"/>
        <v>3.6354782060458954</v>
      </c>
      <c r="O207" s="426">
        <v>4.3276940218655087</v>
      </c>
      <c r="P207" s="426">
        <f t="shared" si="31"/>
        <v>0.56620597460837263</v>
      </c>
      <c r="Q207" s="926">
        <f t="shared" si="29"/>
        <v>0.6902050830476063</v>
      </c>
      <c r="R207" s="532">
        <f t="shared" si="30"/>
        <v>6.3352099015752644E-2</v>
      </c>
    </row>
    <row r="208" spans="1:18" s="6" customFormat="1" ht="15.75" customHeight="1">
      <c r="A208" s="268">
        <v>117</v>
      </c>
      <c r="B208" s="176" t="s">
        <v>169</v>
      </c>
      <c r="C208" s="157">
        <v>2427.7199999999998</v>
      </c>
      <c r="D208" s="255"/>
      <c r="E208" s="255"/>
      <c r="F208" s="673">
        <f t="shared" si="24"/>
        <v>2427.7199999999998</v>
      </c>
      <c r="G208" s="419">
        <v>1100</v>
      </c>
      <c r="H208" s="419">
        <v>0</v>
      </c>
      <c r="I208" s="419">
        <v>5000</v>
      </c>
      <c r="J208" s="419">
        <v>115</v>
      </c>
      <c r="K208" s="593">
        <f t="shared" si="26"/>
        <v>0</v>
      </c>
      <c r="L208" s="536">
        <f t="shared" si="27"/>
        <v>1.4645950076413653E-2</v>
      </c>
      <c r="M208" s="426">
        <f t="shared" si="28"/>
        <v>29.541027763627103</v>
      </c>
      <c r="N208" s="218">
        <f t="shared" si="25"/>
        <v>10.862235908685687</v>
      </c>
      <c r="O208" s="426">
        <v>12.998336557059961</v>
      </c>
      <c r="P208" s="426">
        <f t="shared" si="31"/>
        <v>2.7042282221090166</v>
      </c>
      <c r="Q208" s="926">
        <f t="shared" si="29"/>
        <v>3.2964542027508914</v>
      </c>
      <c r="R208" s="532">
        <f t="shared" si="30"/>
        <v>2.3110502220800494E-2</v>
      </c>
    </row>
    <row r="209" spans="1:18" s="6" customFormat="1" ht="15.75" customHeight="1">
      <c r="A209" s="268">
        <v>118</v>
      </c>
      <c r="B209" s="176" t="s">
        <v>170</v>
      </c>
      <c r="C209" s="157">
        <v>93</v>
      </c>
      <c r="D209" s="255"/>
      <c r="E209" s="255"/>
      <c r="F209" s="673">
        <f t="shared" ref="F209:F270" si="32">C209+D209+E209</f>
        <v>93</v>
      </c>
      <c r="G209" s="419">
        <v>1100</v>
      </c>
      <c r="H209" s="419">
        <v>5</v>
      </c>
      <c r="I209" s="419">
        <v>5000</v>
      </c>
      <c r="J209" s="419">
        <v>5</v>
      </c>
      <c r="K209" s="593">
        <f t="shared" si="26"/>
        <v>7.6887590342918652E-4</v>
      </c>
      <c r="L209" s="536">
        <f t="shared" si="27"/>
        <v>6.3678043810494142E-4</v>
      </c>
      <c r="M209" s="426">
        <f t="shared" si="28"/>
        <v>2.8352228974377516</v>
      </c>
      <c r="N209" s="218">
        <f t="shared" ref="N209:N270" si="33">M209*0.3677</f>
        <v>1.0425114593878613</v>
      </c>
      <c r="O209" s="426">
        <v>1.2380607747457026</v>
      </c>
      <c r="P209" s="426">
        <f t="shared" si="31"/>
        <v>0.11834401599512555</v>
      </c>
      <c r="Q209" s="926">
        <f t="shared" si="29"/>
        <v>0.14426135549805805</v>
      </c>
      <c r="R209" s="532">
        <f t="shared" si="30"/>
        <v>5.6281066102864957E-2</v>
      </c>
    </row>
    <row r="210" spans="1:18" s="6" customFormat="1" ht="15.75" customHeight="1">
      <c r="A210" s="268">
        <v>119</v>
      </c>
      <c r="B210" s="176" t="s">
        <v>171</v>
      </c>
      <c r="C210" s="157">
        <v>1387.9</v>
      </c>
      <c r="D210" s="255">
        <v>85.8</v>
      </c>
      <c r="E210" s="255"/>
      <c r="F210" s="673">
        <f t="shared" si="32"/>
        <v>1473.7</v>
      </c>
      <c r="G210" s="419">
        <v>1100</v>
      </c>
      <c r="H210" s="419">
        <v>30</v>
      </c>
      <c r="I210" s="419">
        <v>5000</v>
      </c>
      <c r="J210" s="419">
        <v>60</v>
      </c>
      <c r="K210" s="593">
        <f t="shared" si="26"/>
        <v>4.6132554205751191E-3</v>
      </c>
      <c r="L210" s="536">
        <f t="shared" si="27"/>
        <v>7.641365257259297E-3</v>
      </c>
      <c r="M210" s="426">
        <f t="shared" si="28"/>
        <v>24.717692453398797</v>
      </c>
      <c r="N210" s="218">
        <f t="shared" si="33"/>
        <v>9.0886955151147379</v>
      </c>
      <c r="O210" s="426">
        <v>10.819235054663771</v>
      </c>
      <c r="P210" s="426">
        <f t="shared" si="31"/>
        <v>1.4155149365209316</v>
      </c>
      <c r="Q210" s="926">
        <f t="shared" si="29"/>
        <v>1.7255127076190158</v>
      </c>
      <c r="R210" s="532">
        <f t="shared" si="30"/>
        <v>3.1241866024087833E-2</v>
      </c>
    </row>
    <row r="211" spans="1:18" s="6" customFormat="1" ht="15.75" customHeight="1">
      <c r="A211" s="275">
        <v>120</v>
      </c>
      <c r="B211" s="176" t="s">
        <v>172</v>
      </c>
      <c r="C211" s="157">
        <v>2507</v>
      </c>
      <c r="D211" s="255"/>
      <c r="E211" s="255"/>
      <c r="F211" s="673">
        <f t="shared" si="32"/>
        <v>2507</v>
      </c>
      <c r="G211" s="419">
        <v>1100</v>
      </c>
      <c r="H211" s="419">
        <v>60</v>
      </c>
      <c r="I211" s="419">
        <v>5000</v>
      </c>
      <c r="J211" s="419">
        <v>110</v>
      </c>
      <c r="K211" s="593">
        <f t="shared" si="26"/>
        <v>9.2265108411502383E-3</v>
      </c>
      <c r="L211" s="536">
        <f t="shared" si="27"/>
        <v>1.4009169638308712E-2</v>
      </c>
      <c r="M211" s="426">
        <f t="shared" si="28"/>
        <v>46.866599883873498</v>
      </c>
      <c r="N211" s="218">
        <f t="shared" si="33"/>
        <v>17.232848777300287</v>
      </c>
      <c r="O211" s="426">
        <v>20.508179973931025</v>
      </c>
      <c r="P211" s="426">
        <f t="shared" si="31"/>
        <v>2.5958795928584704</v>
      </c>
      <c r="Q211" s="926">
        <f t="shared" si="29"/>
        <v>3.1643772236944754</v>
      </c>
      <c r="R211" s="532">
        <f t="shared" si="30"/>
        <v>3.4784008068593254E-2</v>
      </c>
    </row>
    <row r="212" spans="1:18" s="6" customFormat="1" ht="15.75" customHeight="1">
      <c r="A212" s="268">
        <v>121</v>
      </c>
      <c r="B212" s="176" t="s">
        <v>173</v>
      </c>
      <c r="C212" s="157">
        <v>3505.3</v>
      </c>
      <c r="D212" s="255"/>
      <c r="E212" s="255"/>
      <c r="F212" s="673">
        <f t="shared" si="32"/>
        <v>3505.3</v>
      </c>
      <c r="G212" s="419">
        <v>1100</v>
      </c>
      <c r="H212" s="419">
        <v>86</v>
      </c>
      <c r="I212" s="419">
        <v>5000</v>
      </c>
      <c r="J212" s="419">
        <v>114</v>
      </c>
      <c r="K212" s="593">
        <f t="shared" si="26"/>
        <v>1.3224665538982008E-2</v>
      </c>
      <c r="L212" s="536">
        <f t="shared" si="27"/>
        <v>1.4518593988792664E-2</v>
      </c>
      <c r="M212" s="426">
        <f t="shared" si="28"/>
        <v>55.958431900116786</v>
      </c>
      <c r="N212" s="218">
        <f t="shared" si="33"/>
        <v>20.575915409672945</v>
      </c>
      <c r="O212" s="426">
        <v>24.459457704736341</v>
      </c>
      <c r="P212" s="426">
        <f t="shared" si="31"/>
        <v>2.693937859629659</v>
      </c>
      <c r="Q212" s="926">
        <f t="shared" si="29"/>
        <v>3.2839102508885545</v>
      </c>
      <c r="R212" s="532">
        <f t="shared" si="30"/>
        <v>2.9580276402634789E-2</v>
      </c>
    </row>
    <row r="213" spans="1:18" s="6" customFormat="1" ht="15.75" customHeight="1">
      <c r="A213" s="268">
        <v>122</v>
      </c>
      <c r="B213" s="176" t="s">
        <v>174</v>
      </c>
      <c r="C213" s="157">
        <v>191.78</v>
      </c>
      <c r="D213" s="255"/>
      <c r="E213" s="255"/>
      <c r="F213" s="673">
        <f t="shared" si="32"/>
        <v>191.78</v>
      </c>
      <c r="G213" s="419">
        <v>1100</v>
      </c>
      <c r="H213" s="419">
        <v>2</v>
      </c>
      <c r="I213" s="419">
        <v>5000</v>
      </c>
      <c r="J213" s="419">
        <v>8</v>
      </c>
      <c r="K213" s="593">
        <f t="shared" si="26"/>
        <v>3.0755036137167463E-4</v>
      </c>
      <c r="L213" s="536">
        <f t="shared" si="27"/>
        <v>1.0188487009679063E-3</v>
      </c>
      <c r="M213" s="426">
        <f t="shared" si="28"/>
        <v>2.6753601727295577</v>
      </c>
      <c r="N213" s="218">
        <f t="shared" si="33"/>
        <v>0.98372993551265842</v>
      </c>
      <c r="O213" s="426">
        <v>1.173398391136192</v>
      </c>
      <c r="P213" s="426">
        <f t="shared" si="31"/>
        <v>0.18842777450808587</v>
      </c>
      <c r="Q213" s="926">
        <f t="shared" si="29"/>
        <v>0.22969345712535669</v>
      </c>
      <c r="R213" s="532">
        <f t="shared" si="30"/>
        <v>2.6180604202140439E-2</v>
      </c>
    </row>
    <row r="214" spans="1:18" s="6" customFormat="1" ht="15.75" customHeight="1">
      <c r="A214" s="268">
        <v>123</v>
      </c>
      <c r="B214" s="176" t="s">
        <v>175</v>
      </c>
      <c r="C214" s="157">
        <v>3560.1</v>
      </c>
      <c r="D214" s="255"/>
      <c r="E214" s="255"/>
      <c r="F214" s="673">
        <f t="shared" si="32"/>
        <v>3560.1</v>
      </c>
      <c r="G214" s="419">
        <v>1100</v>
      </c>
      <c r="H214" s="419">
        <v>88</v>
      </c>
      <c r="I214" s="419">
        <v>5000</v>
      </c>
      <c r="J214" s="419">
        <v>120</v>
      </c>
      <c r="K214" s="593">
        <f t="shared" si="26"/>
        <v>1.3532215900353684E-2</v>
      </c>
      <c r="L214" s="536">
        <f t="shared" si="27"/>
        <v>1.5282730514518594E-2</v>
      </c>
      <c r="M214" s="426">
        <f t="shared" si="28"/>
        <v>58.120035068261529</v>
      </c>
      <c r="N214" s="218">
        <f t="shared" si="33"/>
        <v>21.370736894599766</v>
      </c>
      <c r="O214" s="426">
        <v>25.406798068793226</v>
      </c>
      <c r="P214" s="426">
        <f t="shared" si="31"/>
        <v>2.8353355781010667</v>
      </c>
      <c r="Q214" s="926">
        <f t="shared" si="29"/>
        <v>3.4562740697052008</v>
      </c>
      <c r="R214" s="532">
        <f t="shared" si="30"/>
        <v>3.0261202103804834E-2</v>
      </c>
    </row>
    <row r="215" spans="1:18" s="6" customFormat="1" ht="15.75" customHeight="1">
      <c r="A215" s="268">
        <v>124</v>
      </c>
      <c r="B215" s="176" t="s">
        <v>176</v>
      </c>
      <c r="C215" s="157">
        <v>291.19</v>
      </c>
      <c r="D215" s="255"/>
      <c r="E215" s="255"/>
      <c r="F215" s="673">
        <f t="shared" si="32"/>
        <v>291.19</v>
      </c>
      <c r="G215" s="419">
        <v>1100</v>
      </c>
      <c r="H215" s="419">
        <v>8</v>
      </c>
      <c r="I215" s="419">
        <v>5000</v>
      </c>
      <c r="J215" s="419">
        <v>12</v>
      </c>
      <c r="K215" s="593">
        <f t="shared" si="26"/>
        <v>1.2302014454866985E-3</v>
      </c>
      <c r="L215" s="536">
        <f t="shared" si="27"/>
        <v>1.5282730514518594E-3</v>
      </c>
      <c r="M215" s="426">
        <f t="shared" si="28"/>
        <v>5.5638706450700406</v>
      </c>
      <c r="N215" s="218">
        <f t="shared" si="33"/>
        <v>2.045835236192254</v>
      </c>
      <c r="O215" s="426">
        <v>2.4330132937517317</v>
      </c>
      <c r="P215" s="426">
        <f t="shared" si="31"/>
        <v>0.28341053766555796</v>
      </c>
      <c r="Q215" s="926">
        <f t="shared" si="29"/>
        <v>0.34547744541431519</v>
      </c>
      <c r="R215" s="532">
        <f t="shared" si="30"/>
        <v>3.5461828059616007E-2</v>
      </c>
    </row>
    <row r="216" spans="1:18" s="6" customFormat="1" ht="15.75" customHeight="1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673">
        <f t="shared" si="32"/>
        <v>173.45</v>
      </c>
      <c r="G216" s="419">
        <v>1100</v>
      </c>
      <c r="H216" s="419">
        <v>2</v>
      </c>
      <c r="I216" s="419">
        <v>5000</v>
      </c>
      <c r="J216" s="419">
        <v>5</v>
      </c>
      <c r="K216" s="593">
        <f t="shared" si="26"/>
        <v>3.0755036137167463E-4</v>
      </c>
      <c r="L216" s="536">
        <f t="shared" si="27"/>
        <v>6.3678043810494142E-4</v>
      </c>
      <c r="M216" s="426">
        <f t="shared" si="28"/>
        <v>1.9047246658523294</v>
      </c>
      <c r="N216" s="218">
        <f t="shared" si="33"/>
        <v>0.70036725963390156</v>
      </c>
      <c r="O216" s="426">
        <v>0.83431135051723659</v>
      </c>
      <c r="P216" s="426">
        <f t="shared" si="31"/>
        <v>0.11788269045306804</v>
      </c>
      <c r="Q216" s="926">
        <f t="shared" si="29"/>
        <v>0.14369899966228994</v>
      </c>
      <c r="R216" s="532">
        <f t="shared" si="30"/>
        <v>2.0508999518342667E-2</v>
      </c>
    </row>
    <row r="217" spans="1:18" s="6" customFormat="1" ht="15.75" customHeight="1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673">
        <f t="shared" si="32"/>
        <v>209.66</v>
      </c>
      <c r="G217" s="419">
        <v>1100</v>
      </c>
      <c r="H217" s="419">
        <v>2</v>
      </c>
      <c r="I217" s="419">
        <v>5000</v>
      </c>
      <c r="J217" s="419">
        <v>5</v>
      </c>
      <c r="K217" s="593">
        <f t="shared" si="26"/>
        <v>3.0755036137167463E-4</v>
      </c>
      <c r="L217" s="536">
        <f t="shared" si="27"/>
        <v>6.3678043810494142E-4</v>
      </c>
      <c r="M217" s="426">
        <f t="shared" si="28"/>
        <v>1.9047246658523294</v>
      </c>
      <c r="N217" s="218">
        <f t="shared" si="33"/>
        <v>0.70036725963390156</v>
      </c>
      <c r="O217" s="426">
        <v>0.83431135051723659</v>
      </c>
      <c r="P217" s="426">
        <f t="shared" si="31"/>
        <v>0.11788269045306804</v>
      </c>
      <c r="Q217" s="926">
        <f t="shared" si="29"/>
        <v>0.14369899966228994</v>
      </c>
      <c r="R217" s="532">
        <f t="shared" si="30"/>
        <v>1.6966927246287015E-2</v>
      </c>
    </row>
    <row r="218" spans="1:18" s="6" customFormat="1" ht="15.75" customHeight="1">
      <c r="A218" s="275">
        <v>127</v>
      </c>
      <c r="B218" s="176" t="s">
        <v>179</v>
      </c>
      <c r="C218" s="157">
        <v>408.46</v>
      </c>
      <c r="D218" s="255"/>
      <c r="E218" s="255"/>
      <c r="F218" s="673">
        <f t="shared" si="32"/>
        <v>408.46</v>
      </c>
      <c r="G218" s="419">
        <v>1100</v>
      </c>
      <c r="H218" s="419">
        <v>9</v>
      </c>
      <c r="I218" s="419">
        <v>5000</v>
      </c>
      <c r="J218" s="419">
        <v>37</v>
      </c>
      <c r="K218" s="593">
        <f t="shared" si="26"/>
        <v>1.3839766261725358E-3</v>
      </c>
      <c r="L218" s="536">
        <f t="shared" si="27"/>
        <v>4.7121752419765663E-3</v>
      </c>
      <c r="M218" s="426">
        <f t="shared" si="28"/>
        <v>12.295999279575421</v>
      </c>
      <c r="N218" s="218">
        <f t="shared" si="33"/>
        <v>4.5212389350998823</v>
      </c>
      <c r="O218" s="426">
        <v>5.3933217736525165</v>
      </c>
      <c r="P218" s="426">
        <f t="shared" si="31"/>
        <v>0.87144001330472565</v>
      </c>
      <c r="Q218" s="926">
        <f t="shared" si="29"/>
        <v>1.0622853762184605</v>
      </c>
      <c r="R218" s="532">
        <f t="shared" si="30"/>
        <v>5.6509817366774087E-2</v>
      </c>
    </row>
    <row r="219" spans="1:18" s="6" customFormat="1" ht="15.75" customHeight="1">
      <c r="A219" s="268">
        <v>128</v>
      </c>
      <c r="B219" s="176" t="s">
        <v>180</v>
      </c>
      <c r="C219" s="157">
        <v>67.3</v>
      </c>
      <c r="D219" s="255"/>
      <c r="E219" s="255"/>
      <c r="F219" s="673">
        <f t="shared" si="32"/>
        <v>67.3</v>
      </c>
      <c r="G219" s="419">
        <v>1100</v>
      </c>
      <c r="H219" s="419">
        <v>1</v>
      </c>
      <c r="I219" s="419">
        <v>5000</v>
      </c>
      <c r="J219" s="419">
        <v>2</v>
      </c>
      <c r="K219" s="593">
        <f t="shared" si="26"/>
        <v>1.5377518068583732E-4</v>
      </c>
      <c r="L219" s="536">
        <f t="shared" si="27"/>
        <v>2.5471217524197657E-4</v>
      </c>
      <c r="M219" s="426">
        <f t="shared" si="28"/>
        <v>0.82392308177995988</v>
      </c>
      <c r="N219" s="218">
        <f t="shared" si="33"/>
        <v>0.30295651717049127</v>
      </c>
      <c r="O219" s="426">
        <v>0.36064116848879241</v>
      </c>
      <c r="P219" s="426">
        <f t="shared" si="31"/>
        <v>4.7183831217364386E-2</v>
      </c>
      <c r="Q219" s="926">
        <f t="shared" si="29"/>
        <v>5.7517090253967187E-2</v>
      </c>
      <c r="R219" s="532">
        <f t="shared" si="30"/>
        <v>2.2803931629370104E-2</v>
      </c>
    </row>
    <row r="220" spans="1:18" s="6" customFormat="1" ht="15.75" customHeight="1">
      <c r="A220" s="268">
        <v>129</v>
      </c>
      <c r="B220" s="176" t="s">
        <v>181</v>
      </c>
      <c r="C220" s="157">
        <v>352.8</v>
      </c>
      <c r="D220" s="255"/>
      <c r="E220" s="255"/>
      <c r="F220" s="673">
        <f t="shared" si="32"/>
        <v>352.8</v>
      </c>
      <c r="G220" s="419">
        <v>1100</v>
      </c>
      <c r="H220" s="419">
        <v>12</v>
      </c>
      <c r="I220" s="419">
        <v>5000</v>
      </c>
      <c r="J220" s="419">
        <v>13</v>
      </c>
      <c r="K220" s="593">
        <f t="shared" ref="K220:K283" si="34">1/6503*H220</f>
        <v>1.8453021682300478E-3</v>
      </c>
      <c r="L220" s="536">
        <f t="shared" ref="L220:L283" si="35">1/7852*J220</f>
        <v>1.6556291390728477E-3</v>
      </c>
      <c r="M220" s="426">
        <f t="shared" si="28"/>
        <v>7.0614134561430131</v>
      </c>
      <c r="N220" s="218">
        <f t="shared" si="33"/>
        <v>2.5964817278237859</v>
      </c>
      <c r="O220" s="426">
        <v>3.0843748729293385</v>
      </c>
      <c r="P220" s="426">
        <f t="shared" si="31"/>
        <v>0.30754066640664063</v>
      </c>
      <c r="Q220" s="926">
        <f t="shared" si="29"/>
        <v>0.37489207234969496</v>
      </c>
      <c r="R220" s="532">
        <f t="shared" si="30"/>
        <v>3.6989259419792454E-2</v>
      </c>
    </row>
    <row r="221" spans="1:18" s="6" customFormat="1" ht="15.75" customHeight="1">
      <c r="A221" s="268">
        <v>130</v>
      </c>
      <c r="B221" s="176" t="s">
        <v>182</v>
      </c>
      <c r="C221" s="157">
        <v>111.58</v>
      </c>
      <c r="D221" s="255"/>
      <c r="E221" s="255"/>
      <c r="F221" s="673">
        <f t="shared" si="32"/>
        <v>111.58</v>
      </c>
      <c r="G221" s="419">
        <v>1100</v>
      </c>
      <c r="H221" s="419">
        <v>3</v>
      </c>
      <c r="I221" s="419">
        <v>5000</v>
      </c>
      <c r="J221" s="419">
        <v>13</v>
      </c>
      <c r="K221" s="593">
        <f t="shared" si="34"/>
        <v>4.6132554205751195E-4</v>
      </c>
      <c r="L221" s="536">
        <f t="shared" si="35"/>
        <v>1.6556291390728477E-3</v>
      </c>
      <c r="M221" s="426">
        <f t="shared" ref="M221:M284" si="36">(K221+L221)*2017.01</f>
        <v>4.2699187613867462</v>
      </c>
      <c r="N221" s="218">
        <f t="shared" si="33"/>
        <v>1.5700491285619067</v>
      </c>
      <c r="O221" s="426">
        <v>1.8731266002439402</v>
      </c>
      <c r="P221" s="426">
        <f t="shared" si="31"/>
        <v>0.30615668978046812</v>
      </c>
      <c r="Q221" s="926">
        <f t="shared" ref="Q221:Q284" si="37">P221*1.219</f>
        <v>0.37320500484239066</v>
      </c>
      <c r="R221" s="532">
        <f t="shared" si="30"/>
        <v>7.1869969349104335E-2</v>
      </c>
    </row>
    <row r="222" spans="1:18" s="6" customFormat="1" ht="15.75" customHeight="1">
      <c r="A222" s="268">
        <v>131</v>
      </c>
      <c r="B222" s="176" t="s">
        <v>183</v>
      </c>
      <c r="C222" s="157">
        <v>115.8</v>
      </c>
      <c r="D222" s="255"/>
      <c r="E222" s="255"/>
      <c r="F222" s="673">
        <f t="shared" si="32"/>
        <v>115.8</v>
      </c>
      <c r="G222" s="419">
        <v>1100</v>
      </c>
      <c r="H222" s="419">
        <v>4</v>
      </c>
      <c r="I222" s="419">
        <v>5000</v>
      </c>
      <c r="J222" s="419">
        <v>6</v>
      </c>
      <c r="K222" s="593">
        <f t="shared" si="34"/>
        <v>6.1510072274334926E-4</v>
      </c>
      <c r="L222" s="536">
        <f t="shared" si="35"/>
        <v>7.641365257259297E-4</v>
      </c>
      <c r="M222" s="426">
        <f t="shared" si="36"/>
        <v>2.7819353225350203</v>
      </c>
      <c r="N222" s="218">
        <f t="shared" si="33"/>
        <v>1.022917618096127</v>
      </c>
      <c r="O222" s="426">
        <v>1.2165066468758658</v>
      </c>
      <c r="P222" s="426">
        <f t="shared" si="31"/>
        <v>0.14170526883277898</v>
      </c>
      <c r="Q222" s="926">
        <f t="shared" si="37"/>
        <v>0.17273872270715759</v>
      </c>
      <c r="R222" s="532">
        <f t="shared" si="30"/>
        <v>4.4586052299998208E-2</v>
      </c>
    </row>
    <row r="223" spans="1:18" s="6" customFormat="1" ht="15.75" customHeight="1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673">
        <f t="shared" si="32"/>
        <v>141.30000000000001</v>
      </c>
      <c r="G223" s="419">
        <v>1100</v>
      </c>
      <c r="H223" s="419">
        <v>8</v>
      </c>
      <c r="I223" s="419">
        <v>5000</v>
      </c>
      <c r="J223" s="419">
        <v>12</v>
      </c>
      <c r="K223" s="593">
        <f t="shared" si="34"/>
        <v>1.2302014454866985E-3</v>
      </c>
      <c r="L223" s="536">
        <f t="shared" si="35"/>
        <v>1.5282730514518594E-3</v>
      </c>
      <c r="M223" s="426">
        <f t="shared" si="36"/>
        <v>5.5638706450700406</v>
      </c>
      <c r="N223" s="218">
        <f t="shared" si="33"/>
        <v>2.045835236192254</v>
      </c>
      <c r="O223" s="426">
        <v>2.4330132937517317</v>
      </c>
      <c r="P223" s="426">
        <f t="shared" si="31"/>
        <v>0.28341053766555796</v>
      </c>
      <c r="Q223" s="926">
        <f t="shared" si="37"/>
        <v>0.34547744541431519</v>
      </c>
      <c r="R223" s="532">
        <f t="shared" si="30"/>
        <v>7.3079474258171156E-2</v>
      </c>
    </row>
    <row r="224" spans="1:18" s="6" customFormat="1" ht="15.75" customHeight="1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673">
        <f t="shared" si="32"/>
        <v>161.1</v>
      </c>
      <c r="G224" s="419">
        <v>1100</v>
      </c>
      <c r="H224" s="419">
        <v>5</v>
      </c>
      <c r="I224" s="419">
        <v>5000</v>
      </c>
      <c r="J224" s="419">
        <v>3</v>
      </c>
      <c r="K224" s="593">
        <f t="shared" si="34"/>
        <v>7.6887590342918652E-4</v>
      </c>
      <c r="L224" s="536">
        <f t="shared" si="35"/>
        <v>3.8206826286296485E-4</v>
      </c>
      <c r="M224" s="426">
        <f t="shared" si="36"/>
        <v>2.3214658928529324</v>
      </c>
      <c r="N224" s="218">
        <f t="shared" si="33"/>
        <v>0.85360300880202333</v>
      </c>
      <c r="O224" s="426">
        <v>1.0120027476663991</v>
      </c>
      <c r="P224" s="426">
        <f t="shared" si="31"/>
        <v>7.1313959958446999E-2</v>
      </c>
      <c r="Q224" s="926">
        <f t="shared" si="37"/>
        <v>8.6931717189346891E-2</v>
      </c>
      <c r="R224" s="532">
        <f t="shared" si="30"/>
        <v>2.6433181932214788E-2</v>
      </c>
    </row>
    <row r="225" spans="1:18" s="6" customFormat="1" ht="15.75" customHeight="1">
      <c r="A225" s="275">
        <v>134</v>
      </c>
      <c r="B225" s="176" t="s">
        <v>186</v>
      </c>
      <c r="C225" s="157">
        <v>308.8</v>
      </c>
      <c r="D225" s="255"/>
      <c r="E225" s="255"/>
      <c r="F225" s="673">
        <f t="shared" si="32"/>
        <v>308.8</v>
      </c>
      <c r="G225" s="419">
        <v>1100</v>
      </c>
      <c r="H225" s="419">
        <v>11</v>
      </c>
      <c r="I225" s="419">
        <v>5000</v>
      </c>
      <c r="J225" s="419">
        <v>29</v>
      </c>
      <c r="K225" s="593">
        <f t="shared" si="34"/>
        <v>1.6915269875442105E-3</v>
      </c>
      <c r="L225" s="536">
        <f t="shared" si="35"/>
        <v>3.69332654100866E-3</v>
      </c>
      <c r="M225" s="426">
        <f t="shared" si="36"/>
        <v>10.861303415626425</v>
      </c>
      <c r="N225" s="218">
        <f t="shared" si="33"/>
        <v>3.9937012659258366</v>
      </c>
      <c r="O225" s="426">
        <v>4.7582559481542788</v>
      </c>
      <c r="P225" s="426">
        <f t="shared" si="31"/>
        <v>0.68362733951938304</v>
      </c>
      <c r="Q225" s="926">
        <f t="shared" si="37"/>
        <v>0.833341726874128</v>
      </c>
      <c r="R225" s="532">
        <f t="shared" si="30"/>
        <v>6.5728264149047672E-2</v>
      </c>
    </row>
    <row r="226" spans="1:18" s="6" customFormat="1" ht="15.75" customHeight="1">
      <c r="A226" s="268">
        <v>135</v>
      </c>
      <c r="B226" s="176" t="s">
        <v>187</v>
      </c>
      <c r="C226" s="157">
        <v>343.31</v>
      </c>
      <c r="D226" s="255"/>
      <c r="E226" s="255"/>
      <c r="F226" s="673">
        <f t="shared" si="32"/>
        <v>343.31</v>
      </c>
      <c r="G226" s="419">
        <v>1100</v>
      </c>
      <c r="H226" s="419">
        <v>5</v>
      </c>
      <c r="I226" s="419">
        <v>5000</v>
      </c>
      <c r="J226" s="419">
        <v>23</v>
      </c>
      <c r="K226" s="593">
        <f t="shared" si="34"/>
        <v>7.6887590342918652E-4</v>
      </c>
      <c r="L226" s="536">
        <f t="shared" si="35"/>
        <v>2.9291900152827307E-3</v>
      </c>
      <c r="M226" s="426">
        <f t="shared" si="36"/>
        <v>7.459035938701124</v>
      </c>
      <c r="N226" s="218">
        <f t="shared" si="33"/>
        <v>2.7426875146604037</v>
      </c>
      <c r="O226" s="426">
        <v>3.2725830184594358</v>
      </c>
      <c r="P226" s="426">
        <f t="shared" si="31"/>
        <v>0.54161452032523261</v>
      </c>
      <c r="Q226" s="926">
        <f t="shared" si="37"/>
        <v>0.66022810027645862</v>
      </c>
      <c r="R226" s="532">
        <f t="shared" si="30"/>
        <v>4.0825845422930281E-2</v>
      </c>
    </row>
    <row r="227" spans="1:18" s="6" customFormat="1" ht="15.75" customHeight="1">
      <c r="A227" s="268">
        <v>136</v>
      </c>
      <c r="B227" s="176" t="s">
        <v>188</v>
      </c>
      <c r="C227" s="157">
        <v>146.82</v>
      </c>
      <c r="D227" s="255"/>
      <c r="E227" s="255"/>
      <c r="F227" s="673">
        <f t="shared" si="32"/>
        <v>146.82</v>
      </c>
      <c r="G227" s="419">
        <v>1100</v>
      </c>
      <c r="H227" s="419">
        <v>5</v>
      </c>
      <c r="I227" s="419">
        <v>5000</v>
      </c>
      <c r="J227" s="419">
        <v>4</v>
      </c>
      <c r="K227" s="593">
        <f t="shared" si="34"/>
        <v>7.6887590342918652E-4</v>
      </c>
      <c r="L227" s="536">
        <f t="shared" si="35"/>
        <v>5.0942435048395313E-4</v>
      </c>
      <c r="M227" s="426">
        <f t="shared" si="36"/>
        <v>2.5783443951453417</v>
      </c>
      <c r="N227" s="218">
        <f t="shared" si="33"/>
        <v>0.94805723409494225</v>
      </c>
      <c r="O227" s="426">
        <v>1.125031761206051</v>
      </c>
      <c r="P227" s="426">
        <f t="shared" si="31"/>
        <v>9.482898797678628E-2</v>
      </c>
      <c r="Q227" s="926">
        <f t="shared" si="37"/>
        <v>0.11559653634370248</v>
      </c>
      <c r="R227" s="532">
        <f t="shared" si="30"/>
        <v>3.2327083356648419E-2</v>
      </c>
    </row>
    <row r="228" spans="1:18" s="6" customFormat="1" ht="15.75" customHeight="1">
      <c r="A228" s="268">
        <v>137</v>
      </c>
      <c r="B228" s="176" t="s">
        <v>189</v>
      </c>
      <c r="C228" s="157">
        <v>218.19</v>
      </c>
      <c r="D228" s="255"/>
      <c r="E228" s="255"/>
      <c r="F228" s="673">
        <f t="shared" si="32"/>
        <v>218.19</v>
      </c>
      <c r="G228" s="419">
        <v>1100</v>
      </c>
      <c r="H228" s="419">
        <v>2</v>
      </c>
      <c r="I228" s="419">
        <v>5000</v>
      </c>
      <c r="J228" s="419">
        <v>17</v>
      </c>
      <c r="K228" s="593">
        <f t="shared" si="34"/>
        <v>3.0755036137167463E-4</v>
      </c>
      <c r="L228" s="536">
        <f t="shared" si="35"/>
        <v>2.1650534895568006E-3</v>
      </c>
      <c r="M228" s="426">
        <f t="shared" si="36"/>
        <v>4.987266693361244</v>
      </c>
      <c r="N228" s="218">
        <f t="shared" si="33"/>
        <v>1.8338179631489295</v>
      </c>
      <c r="O228" s="426">
        <v>2.1906595129930584</v>
      </c>
      <c r="P228" s="426">
        <f t="shared" si="31"/>
        <v>0.40006302667313931</v>
      </c>
      <c r="Q228" s="926">
        <f t="shared" si="37"/>
        <v>0.48767682951455688</v>
      </c>
      <c r="R228" s="532">
        <f t="shared" si="30"/>
        <v>4.3135832055439624E-2</v>
      </c>
    </row>
    <row r="229" spans="1:18" s="6" customFormat="1" ht="15.75" customHeight="1">
      <c r="A229" s="268">
        <v>138</v>
      </c>
      <c r="B229" s="176" t="s">
        <v>190</v>
      </c>
      <c r="C229" s="157">
        <v>109.6</v>
      </c>
      <c r="D229" s="255"/>
      <c r="E229" s="255"/>
      <c r="F229" s="673">
        <f t="shared" si="32"/>
        <v>109.6</v>
      </c>
      <c r="G229" s="419">
        <v>1100</v>
      </c>
      <c r="H229" s="419">
        <v>5</v>
      </c>
      <c r="I229" s="419">
        <v>5000</v>
      </c>
      <c r="J229" s="419">
        <v>6</v>
      </c>
      <c r="K229" s="593">
        <f t="shared" si="34"/>
        <v>7.6887590342918652E-4</v>
      </c>
      <c r="L229" s="536">
        <f t="shared" si="35"/>
        <v>7.641365257259297E-4</v>
      </c>
      <c r="M229" s="426">
        <f t="shared" si="36"/>
        <v>3.092101399730161</v>
      </c>
      <c r="N229" s="218">
        <f t="shared" si="33"/>
        <v>1.1369656846807803</v>
      </c>
      <c r="O229" s="426">
        <v>1.3510897882853545</v>
      </c>
      <c r="P229" s="426">
        <f t="shared" si="31"/>
        <v>0.14185904401346483</v>
      </c>
      <c r="Q229" s="926">
        <f t="shared" si="37"/>
        <v>0.17292617465241364</v>
      </c>
      <c r="R229" s="532">
        <f t="shared" si="30"/>
        <v>5.2208174422534323E-2</v>
      </c>
    </row>
    <row r="230" spans="1:18" s="6" customFormat="1" ht="15.75" customHeight="1">
      <c r="A230" s="268">
        <v>139</v>
      </c>
      <c r="B230" s="176" t="s">
        <v>191</v>
      </c>
      <c r="C230" s="157">
        <v>41.4</v>
      </c>
      <c r="D230" s="255"/>
      <c r="E230" s="255"/>
      <c r="F230" s="673">
        <f t="shared" si="32"/>
        <v>41.4</v>
      </c>
      <c r="G230" s="419">
        <v>1100</v>
      </c>
      <c r="H230" s="419">
        <v>1</v>
      </c>
      <c r="I230" s="419">
        <v>5000</v>
      </c>
      <c r="J230" s="419">
        <v>1</v>
      </c>
      <c r="K230" s="593">
        <f t="shared" si="34"/>
        <v>1.5377518068583732E-4</v>
      </c>
      <c r="L230" s="536">
        <f t="shared" si="35"/>
        <v>1.2735608762098828E-4</v>
      </c>
      <c r="M230" s="426">
        <f t="shared" si="36"/>
        <v>0.56704457948755027</v>
      </c>
      <c r="N230" s="218">
        <f t="shared" si="33"/>
        <v>0.20850229187757224</v>
      </c>
      <c r="O230" s="426">
        <v>0.24761215494914052</v>
      </c>
      <c r="P230" s="426">
        <f t="shared" si="31"/>
        <v>2.3668803199025111E-2</v>
      </c>
      <c r="Q230" s="926">
        <f t="shared" si="37"/>
        <v>2.8852271099611613E-2</v>
      </c>
      <c r="R230" s="532">
        <f t="shared" si="30"/>
        <v>2.5285696365055271E-2</v>
      </c>
    </row>
    <row r="231" spans="1:18" s="6" customFormat="1" ht="15.75" customHeight="1">
      <c r="A231" s="268">
        <v>140</v>
      </c>
      <c r="B231" s="176" t="s">
        <v>192</v>
      </c>
      <c r="C231" s="157">
        <v>143.4</v>
      </c>
      <c r="D231" s="255"/>
      <c r="E231" s="255"/>
      <c r="F231" s="673">
        <f t="shared" si="32"/>
        <v>143.4</v>
      </c>
      <c r="G231" s="419">
        <v>1100</v>
      </c>
      <c r="H231" s="419">
        <v>4</v>
      </c>
      <c r="I231" s="419">
        <v>5000</v>
      </c>
      <c r="J231" s="419">
        <v>4</v>
      </c>
      <c r="K231" s="593">
        <f t="shared" si="34"/>
        <v>6.1510072274334926E-4</v>
      </c>
      <c r="L231" s="536">
        <f t="shared" si="35"/>
        <v>5.0942435048395313E-4</v>
      </c>
      <c r="M231" s="426">
        <f t="shared" si="36"/>
        <v>2.2681783179502011</v>
      </c>
      <c r="N231" s="218">
        <f t="shared" si="33"/>
        <v>0.83400916751028897</v>
      </c>
      <c r="O231" s="426">
        <v>0.99044861979656207</v>
      </c>
      <c r="P231" s="426">
        <f t="shared" si="31"/>
        <v>9.4675212796100444E-2</v>
      </c>
      <c r="Q231" s="926">
        <f t="shared" si="37"/>
        <v>0.11540908439844645</v>
      </c>
      <c r="R231" s="532">
        <f t="shared" si="30"/>
        <v>2.9200218396465499E-2</v>
      </c>
    </row>
    <row r="232" spans="1:18" s="6" customFormat="1" ht="15.75" customHeight="1">
      <c r="A232" s="275">
        <v>141</v>
      </c>
      <c r="B232" s="274" t="s">
        <v>193</v>
      </c>
      <c r="C232" s="157">
        <v>473.2</v>
      </c>
      <c r="D232" s="255"/>
      <c r="E232" s="255"/>
      <c r="F232" s="673">
        <f t="shared" si="32"/>
        <v>473.2</v>
      </c>
      <c r="G232" s="419">
        <v>1100</v>
      </c>
      <c r="H232" s="419">
        <v>5</v>
      </c>
      <c r="I232" s="419">
        <v>5000</v>
      </c>
      <c r="J232" s="419">
        <v>9</v>
      </c>
      <c r="K232" s="593">
        <f t="shared" si="34"/>
        <v>7.6887590342918652E-4</v>
      </c>
      <c r="L232" s="536">
        <f t="shared" si="35"/>
        <v>1.1462047885888945E-3</v>
      </c>
      <c r="M232" s="426">
        <f t="shared" si="36"/>
        <v>3.8627369066073896</v>
      </c>
      <c r="N232" s="218">
        <f t="shared" si="33"/>
        <v>1.4203283605595372</v>
      </c>
      <c r="O232" s="426">
        <v>1.6901768289043102</v>
      </c>
      <c r="P232" s="426">
        <f t="shared" si="31"/>
        <v>0.21240412806848266</v>
      </c>
      <c r="Q232" s="926">
        <f t="shared" si="37"/>
        <v>0.25892063211548039</v>
      </c>
      <c r="R232" s="532">
        <f t="shared" si="30"/>
        <v>1.5185220253887828E-2</v>
      </c>
    </row>
    <row r="233" spans="1:18" s="6" customFormat="1" ht="15.75" customHeight="1">
      <c r="A233" s="268">
        <v>142</v>
      </c>
      <c r="B233" s="176" t="s">
        <v>194</v>
      </c>
      <c r="C233" s="157">
        <v>306.10000000000002</v>
      </c>
      <c r="D233" s="255"/>
      <c r="E233" s="255"/>
      <c r="F233" s="673">
        <f t="shared" si="32"/>
        <v>306.10000000000002</v>
      </c>
      <c r="G233" s="419">
        <v>1100</v>
      </c>
      <c r="H233" s="419">
        <v>8</v>
      </c>
      <c r="I233" s="419">
        <v>5000</v>
      </c>
      <c r="J233" s="419">
        <v>12</v>
      </c>
      <c r="K233" s="593">
        <f t="shared" si="34"/>
        <v>1.2302014454866985E-3</v>
      </c>
      <c r="L233" s="536">
        <f t="shared" si="35"/>
        <v>1.5282730514518594E-3</v>
      </c>
      <c r="M233" s="426">
        <f t="shared" si="36"/>
        <v>5.5638706450700406</v>
      </c>
      <c r="N233" s="218">
        <f t="shared" si="33"/>
        <v>2.045835236192254</v>
      </c>
      <c r="O233" s="426">
        <v>2.4330132937517317</v>
      </c>
      <c r="P233" s="426">
        <f t="shared" si="31"/>
        <v>0.28341053766555796</v>
      </c>
      <c r="Q233" s="926">
        <f t="shared" si="37"/>
        <v>0.34547744541431519</v>
      </c>
      <c r="R233" s="532">
        <f t="shared" si="30"/>
        <v>3.3734497591243334E-2</v>
      </c>
    </row>
    <row r="234" spans="1:18" s="6" customFormat="1" ht="15.75" customHeight="1">
      <c r="A234" s="268">
        <v>143</v>
      </c>
      <c r="B234" s="176" t="s">
        <v>195</v>
      </c>
      <c r="C234" s="157">
        <v>239.7</v>
      </c>
      <c r="D234" s="255"/>
      <c r="E234" s="255"/>
      <c r="F234" s="673">
        <f t="shared" si="32"/>
        <v>239.7</v>
      </c>
      <c r="G234" s="419">
        <v>1100</v>
      </c>
      <c r="H234" s="419">
        <v>9</v>
      </c>
      <c r="I234" s="419">
        <v>5000</v>
      </c>
      <c r="J234" s="419">
        <v>29</v>
      </c>
      <c r="K234" s="593">
        <f t="shared" si="34"/>
        <v>1.3839766261725358E-3</v>
      </c>
      <c r="L234" s="536">
        <f t="shared" si="35"/>
        <v>3.69332654100866E-3</v>
      </c>
      <c r="M234" s="426">
        <f t="shared" si="36"/>
        <v>10.240971261236144</v>
      </c>
      <c r="N234" s="218">
        <f t="shared" si="33"/>
        <v>3.7656051327565305</v>
      </c>
      <c r="O234" s="426">
        <v>4.4890896653353023</v>
      </c>
      <c r="P234" s="426">
        <f t="shared" si="31"/>
        <v>0.68331978915801139</v>
      </c>
      <c r="Q234" s="926">
        <f t="shared" si="37"/>
        <v>0.83296682298361591</v>
      </c>
      <c r="R234" s="532">
        <f t="shared" si="30"/>
        <v>8.0012456606115931E-2</v>
      </c>
    </row>
    <row r="235" spans="1:18" s="6" customFormat="1" ht="15.75" customHeight="1">
      <c r="A235" s="268">
        <v>144</v>
      </c>
      <c r="B235" s="176" t="s">
        <v>196</v>
      </c>
      <c r="C235" s="157">
        <v>193.7</v>
      </c>
      <c r="D235" s="255"/>
      <c r="E235" s="255"/>
      <c r="F235" s="673">
        <f t="shared" si="32"/>
        <v>193.7</v>
      </c>
      <c r="G235" s="419">
        <v>1100</v>
      </c>
      <c r="H235" s="419">
        <v>5</v>
      </c>
      <c r="I235" s="419">
        <v>5000</v>
      </c>
      <c r="J235" s="419">
        <v>10</v>
      </c>
      <c r="K235" s="593">
        <f t="shared" si="34"/>
        <v>7.6887590342918652E-4</v>
      </c>
      <c r="L235" s="536">
        <f t="shared" si="35"/>
        <v>1.2735608762098828E-3</v>
      </c>
      <c r="M235" s="426">
        <f t="shared" si="36"/>
        <v>4.1196154088997989</v>
      </c>
      <c r="N235" s="218">
        <f t="shared" si="33"/>
        <v>1.5147825858524562</v>
      </c>
      <c r="O235" s="426">
        <v>1.8032058424439621</v>
      </c>
      <c r="P235" s="426">
        <f t="shared" si="31"/>
        <v>0.23591915608682193</v>
      </c>
      <c r="Q235" s="926">
        <f t="shared" si="37"/>
        <v>0.28758545126983598</v>
      </c>
      <c r="R235" s="532">
        <f t="shared" si="30"/>
        <v>3.9615503321027569E-2</v>
      </c>
    </row>
    <row r="236" spans="1:18" s="6" customFormat="1" ht="15.75" customHeight="1">
      <c r="A236" s="268">
        <v>145</v>
      </c>
      <c r="B236" s="176" t="s">
        <v>197</v>
      </c>
      <c r="C236" s="157">
        <v>83.9</v>
      </c>
      <c r="D236" s="255"/>
      <c r="E236" s="255"/>
      <c r="F236" s="673">
        <f t="shared" si="32"/>
        <v>83.9</v>
      </c>
      <c r="G236" s="419">
        <v>1100</v>
      </c>
      <c r="H236" s="419">
        <v>5</v>
      </c>
      <c r="I236" s="419">
        <v>5000</v>
      </c>
      <c r="J236" s="419">
        <v>6</v>
      </c>
      <c r="K236" s="593">
        <f t="shared" si="34"/>
        <v>7.6887590342918652E-4</v>
      </c>
      <c r="L236" s="536">
        <f t="shared" si="35"/>
        <v>7.641365257259297E-4</v>
      </c>
      <c r="M236" s="426">
        <f t="shared" si="36"/>
        <v>3.092101399730161</v>
      </c>
      <c r="N236" s="218">
        <f t="shared" si="33"/>
        <v>1.1369656846807803</v>
      </c>
      <c r="O236" s="426">
        <v>1.3510897882853545</v>
      </c>
      <c r="P236" s="426">
        <f t="shared" si="31"/>
        <v>0.14185904401346483</v>
      </c>
      <c r="Q236" s="926">
        <f t="shared" si="37"/>
        <v>0.17292617465241364</v>
      </c>
      <c r="R236" s="532">
        <f t="shared" si="30"/>
        <v>6.8200428089508477E-2</v>
      </c>
    </row>
    <row r="237" spans="1:18" s="6" customFormat="1" ht="15.75" customHeight="1">
      <c r="A237" s="268">
        <v>146</v>
      </c>
      <c r="B237" s="176" t="s">
        <v>198</v>
      </c>
      <c r="C237" s="157">
        <v>2111.66</v>
      </c>
      <c r="D237" s="255"/>
      <c r="E237" s="255"/>
      <c r="F237" s="673">
        <f t="shared" si="32"/>
        <v>2111.66</v>
      </c>
      <c r="G237" s="419">
        <v>1100</v>
      </c>
      <c r="H237" s="419">
        <v>52</v>
      </c>
      <c r="I237" s="419">
        <v>5000</v>
      </c>
      <c r="J237" s="419">
        <v>61</v>
      </c>
      <c r="K237" s="593">
        <f t="shared" si="34"/>
        <v>7.9963093956635402E-3</v>
      </c>
      <c r="L237" s="536">
        <f t="shared" si="35"/>
        <v>7.7687213448802851E-3</v>
      </c>
      <c r="M237" s="426">
        <f t="shared" si="36"/>
        <v>31.798224653984303</v>
      </c>
      <c r="N237" s="218">
        <f t="shared" si="33"/>
        <v>11.692207205270028</v>
      </c>
      <c r="O237" s="426">
        <v>13.893093179212173</v>
      </c>
      <c r="P237" s="426">
        <f t="shared" si="31"/>
        <v>1.4424130185143593</v>
      </c>
      <c r="Q237" s="926">
        <f t="shared" si="37"/>
        <v>1.7583014695690042</v>
      </c>
      <c r="R237" s="532">
        <f t="shared" si="30"/>
        <v>2.7857675031482749E-2</v>
      </c>
    </row>
    <row r="238" spans="1:18" s="6" customFormat="1" ht="15.75" customHeight="1">
      <c r="A238" s="268">
        <v>147</v>
      </c>
      <c r="B238" s="176" t="s">
        <v>199</v>
      </c>
      <c r="C238" s="157">
        <v>424.8</v>
      </c>
      <c r="D238" s="255"/>
      <c r="E238" s="255"/>
      <c r="F238" s="673">
        <f t="shared" si="32"/>
        <v>424.8</v>
      </c>
      <c r="G238" s="419">
        <v>1100</v>
      </c>
      <c r="H238" s="419">
        <v>15</v>
      </c>
      <c r="I238" s="419">
        <v>5000</v>
      </c>
      <c r="J238" s="419">
        <v>17</v>
      </c>
      <c r="K238" s="593">
        <f t="shared" si="34"/>
        <v>2.3066277102875596E-3</v>
      </c>
      <c r="L238" s="536">
        <f t="shared" si="35"/>
        <v>2.1650534895568006E-3</v>
      </c>
      <c r="M238" s="426">
        <f t="shared" si="36"/>
        <v>9.0194256968980717</v>
      </c>
      <c r="N238" s="218">
        <f t="shared" si="33"/>
        <v>3.3164428287494214</v>
      </c>
      <c r="O238" s="426">
        <v>3.9402403513164117</v>
      </c>
      <c r="P238" s="426">
        <f t="shared" si="31"/>
        <v>0.40206210402205517</v>
      </c>
      <c r="Q238" s="926">
        <f t="shared" si="37"/>
        <v>0.4901137048028853</v>
      </c>
      <c r="R238" s="532">
        <f t="shared" si="30"/>
        <v>3.9261231122848309E-2</v>
      </c>
    </row>
    <row r="239" spans="1:18" s="6" customFormat="1" ht="15.75" customHeight="1">
      <c r="A239" s="275">
        <v>148</v>
      </c>
      <c r="B239" s="176" t="s">
        <v>200</v>
      </c>
      <c r="C239" s="157">
        <v>105.5</v>
      </c>
      <c r="D239" s="255"/>
      <c r="E239" s="255"/>
      <c r="F239" s="673">
        <f t="shared" si="32"/>
        <v>105.5</v>
      </c>
      <c r="G239" s="419">
        <v>1100</v>
      </c>
      <c r="H239" s="419">
        <v>2</v>
      </c>
      <c r="I239" s="419">
        <v>5000</v>
      </c>
      <c r="J239" s="419">
        <v>2</v>
      </c>
      <c r="K239" s="593">
        <f t="shared" si="34"/>
        <v>3.0755036137167463E-4</v>
      </c>
      <c r="L239" s="536">
        <f t="shared" si="35"/>
        <v>2.5471217524197657E-4</v>
      </c>
      <c r="M239" s="426">
        <f t="shared" si="36"/>
        <v>1.1340891589751005</v>
      </c>
      <c r="N239" s="218">
        <f t="shared" si="33"/>
        <v>0.41700458375514449</v>
      </c>
      <c r="O239" s="426">
        <v>0.49522430989828103</v>
      </c>
      <c r="P239" s="426">
        <f t="shared" si="31"/>
        <v>4.7337606398050222E-2</v>
      </c>
      <c r="Q239" s="926">
        <f t="shared" si="37"/>
        <v>5.7704542199223226E-2</v>
      </c>
      <c r="R239" s="532">
        <f t="shared" si="30"/>
        <v>1.9845077336744801E-2</v>
      </c>
    </row>
    <row r="240" spans="1:18" s="6" customFormat="1" ht="15.75" customHeight="1">
      <c r="A240" s="268">
        <v>149</v>
      </c>
      <c r="B240" s="176" t="s">
        <v>201</v>
      </c>
      <c r="C240" s="157">
        <v>158.6</v>
      </c>
      <c r="D240" s="255"/>
      <c r="E240" s="255"/>
      <c r="F240" s="673">
        <f t="shared" si="32"/>
        <v>158.6</v>
      </c>
      <c r="G240" s="419">
        <v>1100</v>
      </c>
      <c r="H240" s="419">
        <v>5</v>
      </c>
      <c r="I240" s="419">
        <v>5000</v>
      </c>
      <c r="J240" s="419">
        <v>8</v>
      </c>
      <c r="K240" s="593">
        <f t="shared" si="34"/>
        <v>7.6887590342918652E-4</v>
      </c>
      <c r="L240" s="536">
        <f t="shared" si="35"/>
        <v>1.0188487009679063E-3</v>
      </c>
      <c r="M240" s="426">
        <f t="shared" si="36"/>
        <v>3.6058584043149802</v>
      </c>
      <c r="N240" s="218">
        <f t="shared" si="33"/>
        <v>1.3258741352666183</v>
      </c>
      <c r="O240" s="426">
        <v>1.5771478153646583</v>
      </c>
      <c r="P240" s="426">
        <f t="shared" si="31"/>
        <v>0.18888910005014339</v>
      </c>
      <c r="Q240" s="926">
        <f t="shared" si="37"/>
        <v>0.23025581296112482</v>
      </c>
      <c r="R240" s="532">
        <f t="shared" si="30"/>
        <v>4.2230576639321567E-2</v>
      </c>
    </row>
    <row r="241" spans="1:18" s="6" customFormat="1" ht="15.75" customHeight="1">
      <c r="A241" s="268">
        <v>150</v>
      </c>
      <c r="B241" s="176" t="s">
        <v>202</v>
      </c>
      <c r="C241" s="157">
        <v>84.9</v>
      </c>
      <c r="D241" s="255"/>
      <c r="E241" s="255"/>
      <c r="F241" s="673">
        <f t="shared" si="32"/>
        <v>84.9</v>
      </c>
      <c r="G241" s="419">
        <v>1100</v>
      </c>
      <c r="H241" s="419">
        <v>3</v>
      </c>
      <c r="I241" s="419">
        <v>5000</v>
      </c>
      <c r="J241" s="419">
        <v>2</v>
      </c>
      <c r="K241" s="593">
        <f t="shared" si="34"/>
        <v>4.6132554205751195E-4</v>
      </c>
      <c r="L241" s="536">
        <f t="shared" si="35"/>
        <v>2.5471217524197657E-4</v>
      </c>
      <c r="M241" s="426">
        <f t="shared" si="36"/>
        <v>1.4442552361702414</v>
      </c>
      <c r="N241" s="218">
        <f t="shared" si="33"/>
        <v>0.53105265033979776</v>
      </c>
      <c r="O241" s="426">
        <v>0.62980745130776972</v>
      </c>
      <c r="P241" s="426">
        <f t="shared" si="31"/>
        <v>4.7491381578736058E-2</v>
      </c>
      <c r="Q241" s="926">
        <f t="shared" si="37"/>
        <v>5.7891994144479257E-2</v>
      </c>
      <c r="R241" s="532">
        <f t="shared" si="30"/>
        <v>3.1243895399252583E-2</v>
      </c>
    </row>
    <row r="242" spans="1:18" s="6" customFormat="1" ht="15.75" customHeight="1">
      <c r="A242" s="268">
        <v>151</v>
      </c>
      <c r="B242" s="176" t="s">
        <v>203</v>
      </c>
      <c r="C242" s="157">
        <v>191.6</v>
      </c>
      <c r="D242" s="255"/>
      <c r="E242" s="255"/>
      <c r="F242" s="673">
        <f t="shared" si="32"/>
        <v>191.6</v>
      </c>
      <c r="G242" s="419">
        <v>1100</v>
      </c>
      <c r="H242" s="419">
        <v>4</v>
      </c>
      <c r="I242" s="419">
        <v>5000</v>
      </c>
      <c r="J242" s="419">
        <v>2</v>
      </c>
      <c r="K242" s="593">
        <f t="shared" si="34"/>
        <v>6.1510072274334926E-4</v>
      </c>
      <c r="L242" s="536">
        <f t="shared" si="35"/>
        <v>2.5471217524197657E-4</v>
      </c>
      <c r="M242" s="426">
        <f t="shared" si="36"/>
        <v>1.7544213133653821</v>
      </c>
      <c r="N242" s="218">
        <f t="shared" si="33"/>
        <v>0.64510071692445103</v>
      </c>
      <c r="O242" s="426">
        <v>0.76439059271725851</v>
      </c>
      <c r="P242" s="426">
        <f t="shared" si="31"/>
        <v>4.7645156759421901E-2</v>
      </c>
      <c r="Q242" s="926">
        <f t="shared" si="37"/>
        <v>5.8079446089735302E-2</v>
      </c>
      <c r="R242" s="532">
        <f t="shared" si="30"/>
        <v>1.6761783819240678E-2</v>
      </c>
    </row>
    <row r="243" spans="1:18" s="6" customFormat="1" ht="15.75" customHeight="1">
      <c r="A243" s="268">
        <v>152</v>
      </c>
      <c r="B243" s="176" t="s">
        <v>204</v>
      </c>
      <c r="C243" s="157">
        <v>220.11</v>
      </c>
      <c r="D243" s="255"/>
      <c r="E243" s="255"/>
      <c r="F243" s="673">
        <f t="shared" si="32"/>
        <v>220.11</v>
      </c>
      <c r="G243" s="419">
        <v>1100</v>
      </c>
      <c r="H243" s="419">
        <v>6</v>
      </c>
      <c r="I243" s="419">
        <v>5000</v>
      </c>
      <c r="J243" s="419">
        <v>1</v>
      </c>
      <c r="K243" s="593">
        <f t="shared" si="34"/>
        <v>9.2265108411502389E-4</v>
      </c>
      <c r="L243" s="536">
        <f t="shared" si="35"/>
        <v>1.2735608762098828E-4</v>
      </c>
      <c r="M243" s="426">
        <f t="shared" si="36"/>
        <v>2.1178749654632538</v>
      </c>
      <c r="N243" s="218">
        <f t="shared" si="33"/>
        <v>0.77874262480083845</v>
      </c>
      <c r="O243" s="426">
        <v>0.92052786199658421</v>
      </c>
      <c r="P243" s="426">
        <f t="shared" si="31"/>
        <v>2.4437679102454299E-2</v>
      </c>
      <c r="Q243" s="926">
        <f t="shared" si="37"/>
        <v>2.9789530825891794E-2</v>
      </c>
      <c r="R243" s="532">
        <f t="shared" si="30"/>
        <v>1.7453014998696701E-2</v>
      </c>
    </row>
    <row r="244" spans="1:18" s="6" customFormat="1" ht="15.75" customHeight="1">
      <c r="A244" s="268">
        <v>153</v>
      </c>
      <c r="B244" s="176" t="s">
        <v>205</v>
      </c>
      <c r="C244" s="157">
        <v>154.1</v>
      </c>
      <c r="D244" s="255"/>
      <c r="E244" s="255"/>
      <c r="F244" s="673">
        <f t="shared" si="32"/>
        <v>154.1</v>
      </c>
      <c r="G244" s="419">
        <v>1100</v>
      </c>
      <c r="H244" s="419">
        <v>1</v>
      </c>
      <c r="I244" s="419">
        <v>5000</v>
      </c>
      <c r="J244" s="419">
        <v>1</v>
      </c>
      <c r="K244" s="593">
        <f t="shared" si="34"/>
        <v>1.5377518068583732E-4</v>
      </c>
      <c r="L244" s="536">
        <f t="shared" si="35"/>
        <v>1.2735608762098828E-4</v>
      </c>
      <c r="M244" s="426">
        <f t="shared" si="36"/>
        <v>0.56704457948755027</v>
      </c>
      <c r="N244" s="218">
        <f t="shared" si="33"/>
        <v>0.20850229187757224</v>
      </c>
      <c r="O244" s="426">
        <v>0.24761215494914052</v>
      </c>
      <c r="P244" s="426">
        <f t="shared" si="31"/>
        <v>2.3668803199025111E-2</v>
      </c>
      <c r="Q244" s="926">
        <f t="shared" si="37"/>
        <v>2.8852271099611613E-2</v>
      </c>
      <c r="R244" s="532">
        <f t="shared" si="30"/>
        <v>6.7931721577760432E-3</v>
      </c>
    </row>
    <row r="245" spans="1:18" s="6" customFormat="1" ht="15.75" customHeight="1">
      <c r="A245" s="268">
        <v>154</v>
      </c>
      <c r="B245" s="176" t="s">
        <v>206</v>
      </c>
      <c r="C245" s="157">
        <v>219.1</v>
      </c>
      <c r="D245" s="255"/>
      <c r="E245" s="255"/>
      <c r="F245" s="673">
        <f t="shared" si="32"/>
        <v>219.1</v>
      </c>
      <c r="G245" s="419">
        <v>1100</v>
      </c>
      <c r="H245" s="419">
        <v>5</v>
      </c>
      <c r="I245" s="419">
        <v>5000</v>
      </c>
      <c r="J245" s="419">
        <v>1</v>
      </c>
      <c r="K245" s="593">
        <f t="shared" si="34"/>
        <v>7.6887590342918652E-4</v>
      </c>
      <c r="L245" s="536">
        <f t="shared" si="35"/>
        <v>1.2735608762098828E-4</v>
      </c>
      <c r="M245" s="426">
        <f t="shared" si="36"/>
        <v>1.8077088882681132</v>
      </c>
      <c r="N245" s="218">
        <f t="shared" si="33"/>
        <v>0.66469455821618528</v>
      </c>
      <c r="O245" s="426">
        <v>0.78594472058709541</v>
      </c>
      <c r="P245" s="426">
        <f>K245+L245*284.64</f>
        <v>3.7019512683867294E-2</v>
      </c>
      <c r="Q245" s="926">
        <f t="shared" si="37"/>
        <v>4.5126785961634233E-2</v>
      </c>
      <c r="R245" s="532">
        <f t="shared" si="30"/>
        <v>1.5040473207463538E-2</v>
      </c>
    </row>
    <row r="246" spans="1:18" s="6" customFormat="1" ht="15.75" customHeight="1">
      <c r="A246" s="275">
        <v>155</v>
      </c>
      <c r="B246" s="176" t="s">
        <v>207</v>
      </c>
      <c r="C246" s="157">
        <v>255.8</v>
      </c>
      <c r="D246" s="255"/>
      <c r="E246" s="255"/>
      <c r="F246" s="673">
        <f t="shared" si="32"/>
        <v>255.8</v>
      </c>
      <c r="G246" s="419">
        <v>1100</v>
      </c>
      <c r="H246" s="419">
        <v>3</v>
      </c>
      <c r="I246" s="419">
        <v>5000</v>
      </c>
      <c r="J246" s="419">
        <v>4</v>
      </c>
      <c r="K246" s="593">
        <f t="shared" si="34"/>
        <v>4.6132554205751195E-4</v>
      </c>
      <c r="L246" s="536">
        <f t="shared" si="35"/>
        <v>5.0942435048395313E-4</v>
      </c>
      <c r="M246" s="426">
        <f t="shared" si="36"/>
        <v>1.9580122407550606</v>
      </c>
      <c r="N246" s="218">
        <f t="shared" si="33"/>
        <v>0.71996110092563581</v>
      </c>
      <c r="O246" s="426">
        <v>0.8558654783870735</v>
      </c>
      <c r="P246" s="426">
        <f t="shared" si="31"/>
        <v>9.4521437615414608E-2</v>
      </c>
      <c r="Q246" s="926">
        <f t="shared" si="37"/>
        <v>0.11522163245319042</v>
      </c>
      <c r="R246" s="532">
        <f t="shared" si="30"/>
        <v>1.4184363790786492E-2</v>
      </c>
    </row>
    <row r="247" spans="1:18" s="6" customFormat="1" ht="15.75" customHeight="1">
      <c r="A247" s="268">
        <v>156</v>
      </c>
      <c r="B247" s="176" t="s">
        <v>208</v>
      </c>
      <c r="C247" s="157">
        <v>58.3</v>
      </c>
      <c r="D247" s="255"/>
      <c r="E247" s="255"/>
      <c r="F247" s="673">
        <f t="shared" si="32"/>
        <v>58.3</v>
      </c>
      <c r="G247" s="419">
        <v>1100</v>
      </c>
      <c r="H247" s="419">
        <v>2</v>
      </c>
      <c r="I247" s="419">
        <v>5000</v>
      </c>
      <c r="J247" s="419">
        <v>8</v>
      </c>
      <c r="K247" s="593">
        <f t="shared" si="34"/>
        <v>3.0755036137167463E-4</v>
      </c>
      <c r="L247" s="536">
        <f t="shared" si="35"/>
        <v>1.0188487009679063E-3</v>
      </c>
      <c r="M247" s="426">
        <f t="shared" si="36"/>
        <v>2.6753601727295577</v>
      </c>
      <c r="N247" s="218">
        <f t="shared" si="33"/>
        <v>0.98372993551265842</v>
      </c>
      <c r="O247" s="426">
        <v>1.173398391136192</v>
      </c>
      <c r="P247" s="426">
        <f t="shared" si="31"/>
        <v>0.18842777450808587</v>
      </c>
      <c r="Q247" s="926">
        <f t="shared" si="37"/>
        <v>0.22969345712535669</v>
      </c>
      <c r="R247" s="532">
        <f t="shared" si="30"/>
        <v>8.6122063016920991E-2</v>
      </c>
    </row>
    <row r="248" spans="1:18" s="6" customFormat="1" ht="15.75" customHeight="1">
      <c r="A248" s="268">
        <v>157</v>
      </c>
      <c r="B248" s="176" t="s">
        <v>209</v>
      </c>
      <c r="C248" s="157">
        <v>47.2</v>
      </c>
      <c r="D248" s="255"/>
      <c r="E248" s="255"/>
      <c r="F248" s="673">
        <f t="shared" si="32"/>
        <v>47.2</v>
      </c>
      <c r="G248" s="419">
        <v>1100</v>
      </c>
      <c r="H248" s="419">
        <v>2</v>
      </c>
      <c r="I248" s="419">
        <v>5000</v>
      </c>
      <c r="J248" s="419">
        <v>6</v>
      </c>
      <c r="K248" s="593">
        <f t="shared" si="34"/>
        <v>3.0755036137167463E-4</v>
      </c>
      <c r="L248" s="536">
        <f t="shared" si="35"/>
        <v>7.641365257259297E-4</v>
      </c>
      <c r="M248" s="426">
        <f t="shared" si="36"/>
        <v>2.1616031681447385</v>
      </c>
      <c r="N248" s="218">
        <f t="shared" si="33"/>
        <v>0.79482148492682037</v>
      </c>
      <c r="O248" s="426">
        <v>0.94734036405688848</v>
      </c>
      <c r="P248" s="426">
        <f t="shared" si="31"/>
        <v>0.14139771847140731</v>
      </c>
      <c r="Q248" s="926">
        <f t="shared" si="37"/>
        <v>0.17236381881664553</v>
      </c>
      <c r="R248" s="532">
        <f t="shared" si="30"/>
        <v>8.5702600330505377E-2</v>
      </c>
    </row>
    <row r="249" spans="1:18" s="6" customFormat="1" ht="15.75" customHeight="1">
      <c r="A249" s="268">
        <v>158</v>
      </c>
      <c r="B249" s="176" t="s">
        <v>210</v>
      </c>
      <c r="C249" s="157">
        <v>101.5</v>
      </c>
      <c r="D249" s="255"/>
      <c r="E249" s="255"/>
      <c r="F249" s="673">
        <f t="shared" si="32"/>
        <v>101.5</v>
      </c>
      <c r="G249" s="419">
        <v>1100</v>
      </c>
      <c r="H249" s="419">
        <v>2</v>
      </c>
      <c r="I249" s="419">
        <v>5000</v>
      </c>
      <c r="J249" s="419">
        <v>8</v>
      </c>
      <c r="K249" s="593">
        <f t="shared" si="34"/>
        <v>3.0755036137167463E-4</v>
      </c>
      <c r="L249" s="536">
        <f t="shared" si="35"/>
        <v>1.0188487009679063E-3</v>
      </c>
      <c r="M249" s="426">
        <f t="shared" si="36"/>
        <v>2.6753601727295577</v>
      </c>
      <c r="N249" s="218">
        <f t="shared" si="33"/>
        <v>0.98372993551265842</v>
      </c>
      <c r="O249" s="426">
        <v>1.173398391136192</v>
      </c>
      <c r="P249" s="426">
        <f t="shared" si="31"/>
        <v>0.18842777450808587</v>
      </c>
      <c r="Q249" s="926">
        <f t="shared" si="37"/>
        <v>0.22969345712535669</v>
      </c>
      <c r="R249" s="532">
        <f t="shared" si="30"/>
        <v>4.9467155407748709E-2</v>
      </c>
    </row>
    <row r="250" spans="1:18" s="6" customFormat="1" ht="15.75" customHeight="1">
      <c r="A250" s="268">
        <v>159</v>
      </c>
      <c r="B250" s="176" t="s">
        <v>211</v>
      </c>
      <c r="C250" s="157">
        <v>57.8</v>
      </c>
      <c r="D250" s="255"/>
      <c r="E250" s="255"/>
      <c r="F250" s="673">
        <f t="shared" si="32"/>
        <v>57.8</v>
      </c>
      <c r="G250" s="419">
        <v>1100</v>
      </c>
      <c r="H250" s="419">
        <v>3</v>
      </c>
      <c r="I250" s="419">
        <v>5000</v>
      </c>
      <c r="J250" s="419">
        <v>8</v>
      </c>
      <c r="K250" s="593">
        <f t="shared" si="34"/>
        <v>4.6132554205751195E-4</v>
      </c>
      <c r="L250" s="536">
        <f t="shared" si="35"/>
        <v>1.0188487009679063E-3</v>
      </c>
      <c r="M250" s="426">
        <f t="shared" si="36"/>
        <v>2.9855262499246988</v>
      </c>
      <c r="N250" s="218">
        <f t="shared" si="33"/>
        <v>1.0977780020973118</v>
      </c>
      <c r="O250" s="426">
        <v>1.3079815325456809</v>
      </c>
      <c r="P250" s="426">
        <f t="shared" si="31"/>
        <v>0.18858154968877172</v>
      </c>
      <c r="Q250" s="926">
        <f t="shared" si="37"/>
        <v>0.22988090907061273</v>
      </c>
      <c r="R250" s="532">
        <f t="shared" si="30"/>
        <v>9.6537497132464775E-2</v>
      </c>
    </row>
    <row r="251" spans="1:18" s="6" customFormat="1" ht="15.75" customHeight="1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673">
        <f t="shared" si="32"/>
        <v>670.84999999999991</v>
      </c>
      <c r="G251" s="419">
        <v>1100</v>
      </c>
      <c r="H251" s="419">
        <v>25</v>
      </c>
      <c r="I251" s="419">
        <v>5000</v>
      </c>
      <c r="J251" s="419">
        <v>11</v>
      </c>
      <c r="K251" s="593">
        <f t="shared" si="34"/>
        <v>3.844379517145933E-3</v>
      </c>
      <c r="L251" s="536">
        <f t="shared" si="35"/>
        <v>1.4009169638308711E-3</v>
      </c>
      <c r="M251" s="426">
        <f t="shared" si="36"/>
        <v>10.579815455095025</v>
      </c>
      <c r="N251" s="218">
        <f t="shared" si="33"/>
        <v>3.8901981428384409</v>
      </c>
      <c r="O251" s="426">
        <v>4.6078976841733876</v>
      </c>
      <c r="P251" s="426">
        <f t="shared" si="31"/>
        <v>0.26250968771887795</v>
      </c>
      <c r="Q251" s="926">
        <f t="shared" si="37"/>
        <v>0.31999930932931225</v>
      </c>
      <c r="R251" s="532">
        <f t="shared" si="30"/>
        <v>2.8829724930797843E-2</v>
      </c>
    </row>
    <row r="252" spans="1:18" s="6" customFormat="1" ht="15.75" customHeight="1">
      <c r="A252" s="268">
        <v>161</v>
      </c>
      <c r="B252" s="122" t="s">
        <v>1204</v>
      </c>
      <c r="C252" s="55">
        <v>648.9</v>
      </c>
      <c r="D252" s="256"/>
      <c r="E252" s="256"/>
      <c r="F252" s="673">
        <f t="shared" si="32"/>
        <v>648.9</v>
      </c>
      <c r="G252" s="419">
        <v>1100</v>
      </c>
      <c r="H252" s="419">
        <v>26</v>
      </c>
      <c r="I252" s="419">
        <v>5000</v>
      </c>
      <c r="J252" s="419">
        <v>9</v>
      </c>
      <c r="K252" s="593">
        <f t="shared" si="34"/>
        <v>3.9981546978317701E-3</v>
      </c>
      <c r="L252" s="536">
        <f t="shared" si="35"/>
        <v>1.1462047885888945E-3</v>
      </c>
      <c r="M252" s="426">
        <f t="shared" si="36"/>
        <v>10.376224527705345</v>
      </c>
      <c r="N252" s="218">
        <f t="shared" si="33"/>
        <v>3.8153377588372557</v>
      </c>
      <c r="O252" s="426">
        <v>4.516422798503573</v>
      </c>
      <c r="P252" s="426">
        <f t="shared" si="31"/>
        <v>0.21563340686288524</v>
      </c>
      <c r="Q252" s="926">
        <f t="shared" si="37"/>
        <v>0.26285712296585712</v>
      </c>
      <c r="R252" s="532">
        <f t="shared" si="30"/>
        <v>2.9162611329802836E-2</v>
      </c>
    </row>
    <row r="253" spans="1:18" s="6" customFormat="1" ht="15.75" customHeight="1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673">
        <f t="shared" si="32"/>
        <v>753.1</v>
      </c>
      <c r="G253" s="419">
        <v>1100</v>
      </c>
      <c r="H253" s="419">
        <v>15</v>
      </c>
      <c r="I253" s="419">
        <v>5000</v>
      </c>
      <c r="J253" s="419">
        <v>9</v>
      </c>
      <c r="K253" s="593">
        <f t="shared" si="34"/>
        <v>2.3066277102875596E-3</v>
      </c>
      <c r="L253" s="536">
        <f t="shared" si="35"/>
        <v>1.1462047885888945E-3</v>
      </c>
      <c r="M253" s="426">
        <f t="shared" si="36"/>
        <v>6.9643976785587975</v>
      </c>
      <c r="N253" s="218">
        <f t="shared" si="33"/>
        <v>2.5608090264060701</v>
      </c>
      <c r="O253" s="426">
        <v>3.0360082429991975</v>
      </c>
      <c r="P253" s="426">
        <f t="shared" si="31"/>
        <v>0.21394187987534102</v>
      </c>
      <c r="Q253" s="926">
        <f t="shared" si="37"/>
        <v>0.26079515156804073</v>
      </c>
      <c r="R253" s="532">
        <f t="shared" si="30"/>
        <v>1.6963426939104246E-2</v>
      </c>
    </row>
    <row r="254" spans="1:18" s="6" customFormat="1" ht="15.75" customHeight="1">
      <c r="A254" s="268">
        <v>163</v>
      </c>
      <c r="B254" s="122" t="s">
        <v>1206</v>
      </c>
      <c r="C254" s="55">
        <v>276.60000000000002</v>
      </c>
      <c r="D254" s="256"/>
      <c r="E254" s="256"/>
      <c r="F254" s="673">
        <f t="shared" si="32"/>
        <v>276.60000000000002</v>
      </c>
      <c r="G254" s="419">
        <v>1100</v>
      </c>
      <c r="H254" s="419">
        <v>8</v>
      </c>
      <c r="I254" s="419">
        <v>5000</v>
      </c>
      <c r="J254" s="419">
        <v>3</v>
      </c>
      <c r="K254" s="593">
        <f t="shared" si="34"/>
        <v>1.2302014454866985E-3</v>
      </c>
      <c r="L254" s="536">
        <f t="shared" si="35"/>
        <v>3.8206826286296485E-4</v>
      </c>
      <c r="M254" s="426">
        <f t="shared" si="36"/>
        <v>3.2519641244383544</v>
      </c>
      <c r="N254" s="218">
        <f t="shared" si="33"/>
        <v>1.195747208555983</v>
      </c>
      <c r="O254" s="426">
        <v>1.4157521718948651</v>
      </c>
      <c r="P254" s="426">
        <f t="shared" si="31"/>
        <v>7.1775285500504521E-2</v>
      </c>
      <c r="Q254" s="926">
        <f t="shared" si="37"/>
        <v>8.7494073025115013E-2</v>
      </c>
      <c r="R254" s="532">
        <f t="shared" si="30"/>
        <v>2.1457840890779852E-2</v>
      </c>
    </row>
    <row r="255" spans="1:18" s="6" customFormat="1" ht="15.75" customHeight="1">
      <c r="A255" s="268">
        <v>164</v>
      </c>
      <c r="B255" s="122" t="s">
        <v>1207</v>
      </c>
      <c r="C255" s="55">
        <v>238.8</v>
      </c>
      <c r="D255" s="256"/>
      <c r="E255" s="256"/>
      <c r="F255" s="673">
        <f t="shared" si="32"/>
        <v>238.8</v>
      </c>
      <c r="G255" s="419">
        <v>1100</v>
      </c>
      <c r="H255" s="419">
        <v>8</v>
      </c>
      <c r="I255" s="419">
        <v>5000</v>
      </c>
      <c r="J255" s="419">
        <v>3</v>
      </c>
      <c r="K255" s="593">
        <f t="shared" si="34"/>
        <v>1.2302014454866985E-3</v>
      </c>
      <c r="L255" s="536">
        <f t="shared" si="35"/>
        <v>3.8206826286296485E-4</v>
      </c>
      <c r="M255" s="426">
        <f t="shared" si="36"/>
        <v>3.2519641244383544</v>
      </c>
      <c r="N255" s="218">
        <f t="shared" si="33"/>
        <v>1.195747208555983</v>
      </c>
      <c r="O255" s="426">
        <v>1.4157521718948651</v>
      </c>
      <c r="P255" s="426">
        <f t="shared" si="31"/>
        <v>7.1775285500504521E-2</v>
      </c>
      <c r="Q255" s="926">
        <f t="shared" si="37"/>
        <v>8.7494073025115013E-2</v>
      </c>
      <c r="R255" s="532">
        <f t="shared" si="30"/>
        <v>2.4854433795601788E-2</v>
      </c>
    </row>
    <row r="256" spans="1:18" s="6" customFormat="1" ht="15.75" customHeight="1">
      <c r="A256" s="268">
        <v>165</v>
      </c>
      <c r="B256" s="122" t="s">
        <v>1208</v>
      </c>
      <c r="C256" s="55">
        <v>754.13</v>
      </c>
      <c r="D256" s="256"/>
      <c r="E256" s="256"/>
      <c r="F256" s="673">
        <f t="shared" si="32"/>
        <v>754.13</v>
      </c>
      <c r="G256" s="419">
        <v>1100</v>
      </c>
      <c r="H256" s="419">
        <v>29</v>
      </c>
      <c r="I256" s="419">
        <v>5000</v>
      </c>
      <c r="J256" s="419">
        <v>9</v>
      </c>
      <c r="K256" s="593">
        <f t="shared" si="34"/>
        <v>4.4594802398892821E-3</v>
      </c>
      <c r="L256" s="536">
        <f t="shared" si="35"/>
        <v>1.1462047885888945E-3</v>
      </c>
      <c r="M256" s="426">
        <f t="shared" si="36"/>
        <v>11.306722759290766</v>
      </c>
      <c r="N256" s="218">
        <f t="shared" si="33"/>
        <v>4.1574819585912151</v>
      </c>
      <c r="O256" s="426">
        <v>4.920172222732039</v>
      </c>
      <c r="P256" s="426">
        <f t="shared" si="31"/>
        <v>0.21609473240494276</v>
      </c>
      <c r="Q256" s="926">
        <f t="shared" si="37"/>
        <v>0.26341947880162525</v>
      </c>
      <c r="R256" s="532">
        <f t="shared" si="30"/>
        <v>2.7316870662908208E-2</v>
      </c>
    </row>
    <row r="257" spans="1:18" s="6" customFormat="1" ht="15.75" customHeight="1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673">
        <f t="shared" si="32"/>
        <v>911.08</v>
      </c>
      <c r="G257" s="419">
        <v>1100</v>
      </c>
      <c r="H257" s="419">
        <v>30</v>
      </c>
      <c r="I257" s="419">
        <v>5000</v>
      </c>
      <c r="J257" s="419">
        <v>10</v>
      </c>
      <c r="K257" s="593">
        <f t="shared" si="34"/>
        <v>4.6132554205751191E-3</v>
      </c>
      <c r="L257" s="536">
        <f t="shared" si="35"/>
        <v>1.2735608762098828E-3</v>
      </c>
      <c r="M257" s="426">
        <f t="shared" si="36"/>
        <v>11.873767338778318</v>
      </c>
      <c r="N257" s="218">
        <f t="shared" si="33"/>
        <v>4.365984250468788</v>
      </c>
      <c r="O257" s="426">
        <v>5.1677843776811807</v>
      </c>
      <c r="P257" s="426">
        <f t="shared" si="31"/>
        <v>0.23976353560396785</v>
      </c>
      <c r="Q257" s="926">
        <f t="shared" si="37"/>
        <v>0.29227174990123683</v>
      </c>
      <c r="R257" s="532">
        <f t="shared" si="30"/>
        <v>2.376004247983959E-2</v>
      </c>
    </row>
    <row r="258" spans="1:18" s="6" customFormat="1" ht="15.75" customHeight="1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673">
        <f t="shared" si="32"/>
        <v>707.90000000000009</v>
      </c>
      <c r="G258" s="419">
        <v>1100</v>
      </c>
      <c r="H258" s="419">
        <v>9</v>
      </c>
      <c r="I258" s="419">
        <v>5000</v>
      </c>
      <c r="J258" s="419">
        <v>19</v>
      </c>
      <c r="K258" s="593">
        <f t="shared" si="34"/>
        <v>1.3839766261725358E-3</v>
      </c>
      <c r="L258" s="536">
        <f t="shared" si="35"/>
        <v>2.4197656647987776E-3</v>
      </c>
      <c r="M258" s="426">
        <f t="shared" si="36"/>
        <v>7.6721862383120492</v>
      </c>
      <c r="N258" s="218">
        <f t="shared" si="33"/>
        <v>2.8210628798273407</v>
      </c>
      <c r="O258" s="426">
        <v>3.3587995299387834</v>
      </c>
      <c r="P258" s="426">
        <f t="shared" si="31"/>
        <v>0.44816950897461877</v>
      </c>
      <c r="Q258" s="926">
        <f t="shared" si="37"/>
        <v>0.54631863144006032</v>
      </c>
      <c r="R258" s="532">
        <f t="shared" si="30"/>
        <v>2.0200901479097037E-2</v>
      </c>
    </row>
    <row r="259" spans="1:18" s="6" customFormat="1" ht="15.75" customHeight="1">
      <c r="A259" s="268">
        <v>168</v>
      </c>
      <c r="B259" s="273" t="s">
        <v>1211</v>
      </c>
      <c r="C259" s="55">
        <v>814.34</v>
      </c>
      <c r="D259" s="256"/>
      <c r="E259" s="256"/>
      <c r="F259" s="673">
        <f t="shared" si="32"/>
        <v>814.34</v>
      </c>
      <c r="G259" s="419">
        <v>1100</v>
      </c>
      <c r="H259" s="419">
        <v>25</v>
      </c>
      <c r="I259" s="419">
        <v>5000</v>
      </c>
      <c r="J259" s="419">
        <v>6</v>
      </c>
      <c r="K259" s="593">
        <f t="shared" si="34"/>
        <v>3.844379517145933E-3</v>
      </c>
      <c r="L259" s="536">
        <f t="shared" si="35"/>
        <v>7.641365257259297E-4</v>
      </c>
      <c r="M259" s="426">
        <f t="shared" si="36"/>
        <v>9.2954229436329747</v>
      </c>
      <c r="N259" s="218">
        <f t="shared" si="33"/>
        <v>3.4179270163738451</v>
      </c>
      <c r="O259" s="426">
        <v>4.0427526164751288</v>
      </c>
      <c r="P259" s="426">
        <f t="shared" si="31"/>
        <v>0.14493454762718158</v>
      </c>
      <c r="Q259" s="926">
        <f t="shared" si="37"/>
        <v>0.17667521355753435</v>
      </c>
      <c r="R259" s="532">
        <f t="shared" si="30"/>
        <v>2.0754276007698417E-2</v>
      </c>
    </row>
    <row r="260" spans="1:18" s="6" customFormat="1" ht="15.75" customHeight="1">
      <c r="A260" s="275">
        <v>169</v>
      </c>
      <c r="B260" s="273" t="s">
        <v>1212</v>
      </c>
      <c r="C260" s="55">
        <v>562.29999999999995</v>
      </c>
      <c r="D260" s="256"/>
      <c r="E260" s="256"/>
      <c r="F260" s="673">
        <f t="shared" si="32"/>
        <v>562.29999999999995</v>
      </c>
      <c r="G260" s="419">
        <v>1100</v>
      </c>
      <c r="H260" s="419">
        <v>14</v>
      </c>
      <c r="I260" s="419">
        <v>5000</v>
      </c>
      <c r="J260" s="419">
        <v>10</v>
      </c>
      <c r="K260" s="593">
        <f t="shared" si="34"/>
        <v>2.1528525296017225E-3</v>
      </c>
      <c r="L260" s="536">
        <f t="shared" si="35"/>
        <v>1.2735608762098828E-3</v>
      </c>
      <c r="M260" s="426">
        <f t="shared" si="36"/>
        <v>6.9111101036560658</v>
      </c>
      <c r="N260" s="218">
        <f t="shared" si="33"/>
        <v>2.5412151851143356</v>
      </c>
      <c r="O260" s="426">
        <v>3.0144541151293605</v>
      </c>
      <c r="P260" s="426">
        <f t="shared" si="31"/>
        <v>0.23730313271299447</v>
      </c>
      <c r="Q260" s="926">
        <f t="shared" si="37"/>
        <v>0.28927251877714028</v>
      </c>
      <c r="R260" s="532">
        <f t="shared" si="30"/>
        <v>2.2593068711742409E-2</v>
      </c>
    </row>
    <row r="261" spans="1:18" s="6" customFormat="1" ht="15.75" customHeight="1">
      <c r="A261" s="268">
        <v>170</v>
      </c>
      <c r="B261" s="122" t="s">
        <v>1213</v>
      </c>
      <c r="C261" s="55">
        <v>410.5</v>
      </c>
      <c r="D261" s="256"/>
      <c r="E261" s="256"/>
      <c r="F261" s="673">
        <f t="shared" si="32"/>
        <v>410.5</v>
      </c>
      <c r="G261" s="419">
        <v>1100</v>
      </c>
      <c r="H261" s="419">
        <v>20</v>
      </c>
      <c r="I261" s="419">
        <v>5000</v>
      </c>
      <c r="J261" s="419">
        <v>14</v>
      </c>
      <c r="K261" s="593">
        <f t="shared" si="34"/>
        <v>3.0755036137167461E-3</v>
      </c>
      <c r="L261" s="536">
        <f t="shared" si="35"/>
        <v>1.782985226693836E-3</v>
      </c>
      <c r="M261" s="426">
        <f t="shared" si="36"/>
        <v>9.7996205759965491</v>
      </c>
      <c r="N261" s="218">
        <f t="shared" si="33"/>
        <v>3.6033204857939314</v>
      </c>
      <c r="O261" s="426">
        <v>4.2740690177448997</v>
      </c>
      <c r="P261" s="426">
        <f t="shared" si="31"/>
        <v>0.33228589587046659</v>
      </c>
      <c r="Q261" s="926">
        <f t="shared" si="37"/>
        <v>0.4050565070660988</v>
      </c>
      <c r="R261" s="532">
        <f t="shared" si="30"/>
        <v>4.3871610171512421E-2</v>
      </c>
    </row>
    <row r="262" spans="1:18" s="6" customFormat="1" ht="15.75" customHeight="1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673">
        <f t="shared" si="32"/>
        <v>523.27</v>
      </c>
      <c r="G262" s="419">
        <v>1100</v>
      </c>
      <c r="H262" s="419">
        <v>20</v>
      </c>
      <c r="I262" s="419">
        <v>5000</v>
      </c>
      <c r="J262" s="419">
        <v>12</v>
      </c>
      <c r="K262" s="593">
        <f t="shared" si="34"/>
        <v>3.0755036137167461E-3</v>
      </c>
      <c r="L262" s="536">
        <f t="shared" si="35"/>
        <v>1.5282730514518594E-3</v>
      </c>
      <c r="M262" s="426">
        <f t="shared" si="36"/>
        <v>9.2858635714117295</v>
      </c>
      <c r="N262" s="218">
        <f t="shared" si="33"/>
        <v>3.4144120352080933</v>
      </c>
      <c r="O262" s="426">
        <v>4.0480109906655963</v>
      </c>
      <c r="P262" s="426">
        <f t="shared" si="31"/>
        <v>0.28525583983378799</v>
      </c>
      <c r="Q262" s="926">
        <f t="shared" si="37"/>
        <v>0.34772686875738756</v>
      </c>
      <c r="R262" s="532">
        <f t="shared" si="30"/>
        <v>3.2552109689298468E-2</v>
      </c>
    </row>
    <row r="263" spans="1:18" s="6" customFormat="1" ht="15.75" customHeight="1">
      <c r="A263" s="268">
        <v>172</v>
      </c>
      <c r="B263" s="273" t="s">
        <v>1215</v>
      </c>
      <c r="C263" s="55">
        <v>684.1</v>
      </c>
      <c r="D263" s="256"/>
      <c r="E263" s="256"/>
      <c r="F263" s="673">
        <f t="shared" si="32"/>
        <v>684.1</v>
      </c>
      <c r="G263" s="419">
        <v>1100</v>
      </c>
      <c r="H263" s="419">
        <v>30</v>
      </c>
      <c r="I263" s="419">
        <v>5000</v>
      </c>
      <c r="J263" s="419">
        <v>17</v>
      </c>
      <c r="K263" s="593">
        <f t="shared" si="34"/>
        <v>4.6132554205751191E-3</v>
      </c>
      <c r="L263" s="536">
        <f t="shared" si="35"/>
        <v>2.1650534895568006E-3</v>
      </c>
      <c r="M263" s="426">
        <f t="shared" si="36"/>
        <v>13.671916854825183</v>
      </c>
      <c r="N263" s="218">
        <f t="shared" si="33"/>
        <v>5.0271638275192201</v>
      </c>
      <c r="O263" s="426">
        <v>5.9589874724587428</v>
      </c>
      <c r="P263" s="426">
        <f t="shared" si="31"/>
        <v>0.40436873173234272</v>
      </c>
      <c r="Q263" s="926">
        <f t="shared" si="37"/>
        <v>0.49292548398172581</v>
      </c>
      <c r="R263" s="532">
        <f t="shared" ref="R263:R326" si="38">(P263+O263+N263+M263)/F263</f>
        <v>3.6635633513427107E-2</v>
      </c>
    </row>
    <row r="264" spans="1:18" s="6" customFormat="1" ht="15.75" customHeight="1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673">
        <f t="shared" si="32"/>
        <v>659.08</v>
      </c>
      <c r="G264" s="419">
        <v>1100</v>
      </c>
      <c r="H264" s="419">
        <v>26</v>
      </c>
      <c r="I264" s="419">
        <v>5000</v>
      </c>
      <c r="J264" s="419">
        <v>17</v>
      </c>
      <c r="K264" s="593">
        <f t="shared" si="34"/>
        <v>3.9981546978317701E-3</v>
      </c>
      <c r="L264" s="536">
        <f t="shared" si="35"/>
        <v>2.1650534895568006E-3</v>
      </c>
      <c r="M264" s="426">
        <f t="shared" si="36"/>
        <v>12.431252546044622</v>
      </c>
      <c r="N264" s="218">
        <f t="shared" si="33"/>
        <v>4.5709715611806079</v>
      </c>
      <c r="O264" s="426">
        <v>5.4206549068207872</v>
      </c>
      <c r="P264" s="426">
        <f t="shared" ref="P264:P327" si="39">K264+L264*184.64</f>
        <v>0.40375363100959938</v>
      </c>
      <c r="Q264" s="926">
        <f t="shared" si="37"/>
        <v>0.49217567620070168</v>
      </c>
      <c r="R264" s="532">
        <f t="shared" si="38"/>
        <v>3.4634084853212989E-2</v>
      </c>
    </row>
    <row r="265" spans="1:18" s="6" customFormat="1" ht="15.75" customHeight="1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673">
        <f t="shared" si="32"/>
        <v>466.5</v>
      </c>
      <c r="G265" s="419">
        <v>1100</v>
      </c>
      <c r="H265" s="419">
        <v>29</v>
      </c>
      <c r="I265" s="419">
        <v>5000</v>
      </c>
      <c r="J265" s="419">
        <v>14</v>
      </c>
      <c r="K265" s="593">
        <f t="shared" si="34"/>
        <v>4.4594802398892821E-3</v>
      </c>
      <c r="L265" s="536">
        <f t="shared" si="35"/>
        <v>1.782985226693836E-3</v>
      </c>
      <c r="M265" s="426">
        <f t="shared" si="36"/>
        <v>12.591115270752816</v>
      </c>
      <c r="N265" s="218">
        <f t="shared" si="33"/>
        <v>4.6297530850558104</v>
      </c>
      <c r="O265" s="426">
        <v>5.4853172904302978</v>
      </c>
      <c r="P265" s="426">
        <f t="shared" si="39"/>
        <v>0.33366987249663915</v>
      </c>
      <c r="Q265" s="926">
        <f t="shared" si="37"/>
        <v>0.40674357457340315</v>
      </c>
      <c r="R265" s="532">
        <f t="shared" si="38"/>
        <v>4.9388757810794347E-2</v>
      </c>
    </row>
    <row r="266" spans="1:18" s="6" customFormat="1" ht="15.75" customHeight="1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673">
        <f t="shared" si="32"/>
        <v>412.04</v>
      </c>
      <c r="G266" s="419">
        <v>1100</v>
      </c>
      <c r="H266" s="419">
        <v>12</v>
      </c>
      <c r="I266" s="419">
        <v>5000</v>
      </c>
      <c r="J266" s="419">
        <v>10</v>
      </c>
      <c r="K266" s="593">
        <f t="shared" si="34"/>
        <v>1.8453021682300478E-3</v>
      </c>
      <c r="L266" s="536">
        <f t="shared" si="35"/>
        <v>1.2735608762098828E-3</v>
      </c>
      <c r="M266" s="426">
        <f t="shared" si="36"/>
        <v>6.2907779492657836</v>
      </c>
      <c r="N266" s="218">
        <f t="shared" si="33"/>
        <v>2.3131190519450286</v>
      </c>
      <c r="O266" s="426">
        <v>2.7452878323103831</v>
      </c>
      <c r="P266" s="426">
        <f t="shared" si="39"/>
        <v>0.23699558235162277</v>
      </c>
      <c r="Q266" s="926">
        <f t="shared" si="37"/>
        <v>0.28889761488662818</v>
      </c>
      <c r="R266" s="532">
        <f t="shared" si="38"/>
        <v>2.8119067119388452E-2</v>
      </c>
    </row>
    <row r="267" spans="1:18" s="6" customFormat="1" ht="15.75" customHeight="1">
      <c r="A267" s="275">
        <v>176</v>
      </c>
      <c r="B267" s="122" t="s">
        <v>1219</v>
      </c>
      <c r="C267" s="55">
        <v>303.5</v>
      </c>
      <c r="D267" s="256"/>
      <c r="E267" s="256"/>
      <c r="F267" s="673">
        <f t="shared" si="32"/>
        <v>303.5</v>
      </c>
      <c r="G267" s="419">
        <v>1100</v>
      </c>
      <c r="H267" s="419">
        <v>25</v>
      </c>
      <c r="I267" s="419">
        <v>5000</v>
      </c>
      <c r="J267" s="419">
        <v>18</v>
      </c>
      <c r="K267" s="593">
        <f t="shared" si="34"/>
        <v>3.844379517145933E-3</v>
      </c>
      <c r="L267" s="536">
        <f t="shared" si="35"/>
        <v>2.2924095771777891E-3</v>
      </c>
      <c r="M267" s="426">
        <f t="shared" si="36"/>
        <v>12.377964971141891</v>
      </c>
      <c r="N267" s="218">
        <f t="shared" si="33"/>
        <v>4.5513777198888734</v>
      </c>
      <c r="O267" s="426">
        <v>5.3991007789509506</v>
      </c>
      <c r="P267" s="426">
        <f t="shared" si="39"/>
        <v>0.42711488384725288</v>
      </c>
      <c r="Q267" s="926">
        <f t="shared" si="37"/>
        <v>0.52065304340980134</v>
      </c>
      <c r="R267" s="532">
        <f t="shared" si="38"/>
        <v>7.4977128019205821E-2</v>
      </c>
    </row>
    <row r="268" spans="1:18" s="6" customFormat="1" ht="15.75" customHeight="1">
      <c r="A268" s="268">
        <v>177</v>
      </c>
      <c r="B268" s="122" t="s">
        <v>1220</v>
      </c>
      <c r="C268" s="55">
        <v>654.13</v>
      </c>
      <c r="D268" s="256"/>
      <c r="E268" s="256"/>
      <c r="F268" s="673">
        <f t="shared" si="32"/>
        <v>654.13</v>
      </c>
      <c r="G268" s="419">
        <v>1100</v>
      </c>
      <c r="H268" s="419">
        <v>10</v>
      </c>
      <c r="I268" s="419">
        <v>5000</v>
      </c>
      <c r="J268" s="419">
        <v>5</v>
      </c>
      <c r="K268" s="593">
        <f t="shared" si="34"/>
        <v>1.537751806858373E-3</v>
      </c>
      <c r="L268" s="536">
        <f t="shared" si="35"/>
        <v>6.3678043810494142E-4</v>
      </c>
      <c r="M268" s="426">
        <f t="shared" si="36"/>
        <v>4.386053283413454</v>
      </c>
      <c r="N268" s="218">
        <f t="shared" si="33"/>
        <v>1.6127517923111272</v>
      </c>
      <c r="O268" s="426">
        <v>1.9109764817931461</v>
      </c>
      <c r="P268" s="426">
        <f t="shared" si="39"/>
        <v>0.11911289189855474</v>
      </c>
      <c r="Q268" s="926">
        <f t="shared" si="37"/>
        <v>0.14519861522433825</v>
      </c>
      <c r="R268" s="532">
        <f t="shared" si="38"/>
        <v>1.2274157200275604E-2</v>
      </c>
    </row>
    <row r="269" spans="1:18" s="6" customFormat="1" ht="15.75" customHeight="1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673">
        <f t="shared" si="32"/>
        <v>642.62</v>
      </c>
      <c r="G269" s="419">
        <v>1100</v>
      </c>
      <c r="H269" s="419">
        <v>24</v>
      </c>
      <c r="I269" s="419">
        <v>5000</v>
      </c>
      <c r="J269" s="419">
        <v>14</v>
      </c>
      <c r="K269" s="593">
        <f t="shared" si="34"/>
        <v>3.6906043364600956E-3</v>
      </c>
      <c r="L269" s="536">
        <f t="shared" si="35"/>
        <v>1.782985226693836E-3</v>
      </c>
      <c r="M269" s="426">
        <f t="shared" si="36"/>
        <v>11.040284884777112</v>
      </c>
      <c r="N269" s="218">
        <f t="shared" si="33"/>
        <v>4.0595127521325445</v>
      </c>
      <c r="O269" s="426">
        <v>4.8124015833828544</v>
      </c>
      <c r="P269" s="426">
        <f t="shared" si="39"/>
        <v>0.33290099659320993</v>
      </c>
      <c r="Q269" s="926">
        <f t="shared" si="37"/>
        <v>0.40580631484712293</v>
      </c>
      <c r="R269" s="532">
        <f t="shared" si="38"/>
        <v>3.1503999590560085E-2</v>
      </c>
    </row>
    <row r="270" spans="1:18" s="6" customFormat="1" ht="15.75" customHeight="1">
      <c r="A270" s="268">
        <v>179</v>
      </c>
      <c r="B270" s="122" t="s">
        <v>1222</v>
      </c>
      <c r="C270" s="55">
        <v>278.7</v>
      </c>
      <c r="D270" s="256"/>
      <c r="E270" s="256"/>
      <c r="F270" s="673">
        <f t="shared" si="32"/>
        <v>278.7</v>
      </c>
      <c r="G270" s="419">
        <v>1100</v>
      </c>
      <c r="H270" s="419">
        <v>11</v>
      </c>
      <c r="I270" s="419">
        <v>5000</v>
      </c>
      <c r="J270" s="419">
        <v>9</v>
      </c>
      <c r="K270" s="593">
        <f t="shared" si="34"/>
        <v>1.6915269875442105E-3</v>
      </c>
      <c r="L270" s="536">
        <f t="shared" si="35"/>
        <v>1.1462047885888945E-3</v>
      </c>
      <c r="M270" s="426">
        <f t="shared" si="36"/>
        <v>5.7237333697782349</v>
      </c>
      <c r="N270" s="218">
        <f t="shared" si="33"/>
        <v>2.104616760067457</v>
      </c>
      <c r="O270" s="426">
        <v>2.4976756773612423</v>
      </c>
      <c r="P270" s="426">
        <f t="shared" si="39"/>
        <v>0.21332677915259768</v>
      </c>
      <c r="Q270" s="926">
        <f t="shared" si="37"/>
        <v>0.2600453437870166</v>
      </c>
      <c r="R270" s="532">
        <f t="shared" si="38"/>
        <v>3.7816119793180954E-2</v>
      </c>
    </row>
    <row r="271" spans="1:18" s="6" customFormat="1" ht="15.75" customHeight="1">
      <c r="A271" s="268">
        <v>180</v>
      </c>
      <c r="B271" s="122" t="s">
        <v>1223</v>
      </c>
      <c r="C271" s="55">
        <v>3583.55</v>
      </c>
      <c r="D271" s="256"/>
      <c r="E271" s="256"/>
      <c r="F271" s="673">
        <f t="shared" ref="F271:F334" si="40">C271+D271+E271</f>
        <v>3583.55</v>
      </c>
      <c r="G271" s="419">
        <v>1100</v>
      </c>
      <c r="H271" s="419"/>
      <c r="I271" s="419">
        <v>5000</v>
      </c>
      <c r="J271" s="419">
        <v>160</v>
      </c>
      <c r="K271" s="593">
        <f t="shared" si="34"/>
        <v>0</v>
      </c>
      <c r="L271" s="536">
        <f t="shared" si="35"/>
        <v>2.0376974019358125E-2</v>
      </c>
      <c r="M271" s="426">
        <f t="shared" si="36"/>
        <v>41.10056036678553</v>
      </c>
      <c r="N271" s="218">
        <f t="shared" ref="N271:N334" si="41">M271*0.3677</f>
        <v>15.11267604686704</v>
      </c>
      <c r="O271" s="426">
        <v>18.084642166344292</v>
      </c>
      <c r="P271" s="426">
        <f t="shared" si="39"/>
        <v>3.7624044829342838</v>
      </c>
      <c r="Q271" s="926">
        <f t="shared" si="37"/>
        <v>4.586371064696892</v>
      </c>
      <c r="R271" s="532">
        <f t="shared" si="38"/>
        <v>2.1782947932338363E-2</v>
      </c>
    </row>
    <row r="272" spans="1:18" s="6" customFormat="1" ht="15.75" customHeight="1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673">
        <f t="shared" si="40"/>
        <v>513.5</v>
      </c>
      <c r="G272" s="419">
        <v>1100</v>
      </c>
      <c r="H272" s="419">
        <v>27</v>
      </c>
      <c r="I272" s="419">
        <v>5000</v>
      </c>
      <c r="J272" s="419">
        <v>14</v>
      </c>
      <c r="K272" s="593">
        <f t="shared" si="34"/>
        <v>4.1519298785176071E-3</v>
      </c>
      <c r="L272" s="536">
        <f t="shared" si="35"/>
        <v>1.782985226693836E-3</v>
      </c>
      <c r="M272" s="426">
        <f t="shared" si="36"/>
        <v>11.970783116362531</v>
      </c>
      <c r="N272" s="218">
        <f t="shared" si="41"/>
        <v>4.401656951886503</v>
      </c>
      <c r="O272" s="426">
        <v>5.2161510076113213</v>
      </c>
      <c r="P272" s="426">
        <f t="shared" si="39"/>
        <v>0.33336232213526745</v>
      </c>
      <c r="Q272" s="926">
        <f t="shared" si="37"/>
        <v>0.40636867068289106</v>
      </c>
      <c r="R272" s="532">
        <f t="shared" si="38"/>
        <v>4.2691243228813285E-2</v>
      </c>
    </row>
    <row r="273" spans="1:18" s="6" customFormat="1" ht="15.75" customHeight="1">
      <c r="A273" s="268">
        <v>182</v>
      </c>
      <c r="B273" s="122" t="s">
        <v>1225</v>
      </c>
      <c r="C273" s="55">
        <v>420.4</v>
      </c>
      <c r="D273" s="256"/>
      <c r="E273" s="256"/>
      <c r="F273" s="673">
        <f t="shared" si="40"/>
        <v>420.4</v>
      </c>
      <c r="G273" s="419">
        <v>1100</v>
      </c>
      <c r="H273" s="419">
        <v>19</v>
      </c>
      <c r="I273" s="419">
        <v>5000</v>
      </c>
      <c r="J273" s="419">
        <v>9</v>
      </c>
      <c r="K273" s="593">
        <f t="shared" si="34"/>
        <v>2.921728433030909E-3</v>
      </c>
      <c r="L273" s="536">
        <f t="shared" si="35"/>
        <v>1.1462047885888945E-3</v>
      </c>
      <c r="M273" s="426">
        <f t="shared" si="36"/>
        <v>8.2050619873393593</v>
      </c>
      <c r="N273" s="218">
        <f t="shared" si="41"/>
        <v>3.0170012927446828</v>
      </c>
      <c r="O273" s="426">
        <v>3.5743408086371518</v>
      </c>
      <c r="P273" s="426">
        <f t="shared" si="39"/>
        <v>0.21455698059808437</v>
      </c>
      <c r="Q273" s="926">
        <f t="shared" si="37"/>
        <v>0.26154495934906485</v>
      </c>
      <c r="R273" s="532">
        <f t="shared" si="38"/>
        <v>3.5706377424641486E-2</v>
      </c>
    </row>
    <row r="274" spans="1:18" s="6" customFormat="1" ht="15.75" customHeight="1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673">
        <f t="shared" si="40"/>
        <v>344.2</v>
      </c>
      <c r="G274" s="419">
        <v>1100</v>
      </c>
      <c r="H274" s="419">
        <v>15</v>
      </c>
      <c r="I274" s="419">
        <v>5000</v>
      </c>
      <c r="J274" s="419">
        <v>12</v>
      </c>
      <c r="K274" s="593">
        <f t="shared" si="34"/>
        <v>2.3066277102875596E-3</v>
      </c>
      <c r="L274" s="536">
        <f t="shared" si="35"/>
        <v>1.5282730514518594E-3</v>
      </c>
      <c r="M274" s="426">
        <f t="shared" si="36"/>
        <v>7.7350331854360252</v>
      </c>
      <c r="N274" s="218">
        <f t="shared" si="41"/>
        <v>2.8441717022848265</v>
      </c>
      <c r="O274" s="426">
        <v>3.3750952836181529</v>
      </c>
      <c r="P274" s="426">
        <f t="shared" si="39"/>
        <v>0.28448696393035883</v>
      </c>
      <c r="Q274" s="926">
        <f t="shared" si="37"/>
        <v>0.34678960903110745</v>
      </c>
      <c r="R274" s="532">
        <f t="shared" si="38"/>
        <v>4.1367772037389207E-2</v>
      </c>
    </row>
    <row r="275" spans="1:18" s="6" customFormat="1" ht="15.75" customHeight="1">
      <c r="A275" s="268">
        <v>184</v>
      </c>
      <c r="B275" s="122" t="s">
        <v>1227</v>
      </c>
      <c r="C275" s="55">
        <v>349.5</v>
      </c>
      <c r="D275" s="256"/>
      <c r="E275" s="256"/>
      <c r="F275" s="673">
        <f t="shared" si="40"/>
        <v>349.5</v>
      </c>
      <c r="G275" s="419">
        <v>1100</v>
      </c>
      <c r="H275" s="419">
        <v>19</v>
      </c>
      <c r="I275" s="419">
        <v>5000</v>
      </c>
      <c r="J275" s="419">
        <v>7</v>
      </c>
      <c r="K275" s="593">
        <f t="shared" si="34"/>
        <v>2.921728433030909E-3</v>
      </c>
      <c r="L275" s="536">
        <f t="shared" si="35"/>
        <v>8.9149261334691798E-4</v>
      </c>
      <c r="M275" s="426">
        <f t="shared" si="36"/>
        <v>7.6913049827545414</v>
      </c>
      <c r="N275" s="218">
        <f t="shared" si="41"/>
        <v>2.8280928421588452</v>
      </c>
      <c r="O275" s="426">
        <v>3.3482827815578484</v>
      </c>
      <c r="P275" s="426">
        <f t="shared" si="39"/>
        <v>0.16752692456140583</v>
      </c>
      <c r="Q275" s="926">
        <f t="shared" si="37"/>
        <v>0.20421532104035373</v>
      </c>
      <c r="R275" s="532">
        <f t="shared" si="38"/>
        <v>4.015796146218209E-2</v>
      </c>
    </row>
    <row r="276" spans="1:18" s="6" customFormat="1" ht="15.75" customHeight="1">
      <c r="A276" s="268">
        <v>185</v>
      </c>
      <c r="B276" s="122" t="s">
        <v>1228</v>
      </c>
      <c r="C276" s="55">
        <v>350</v>
      </c>
      <c r="D276" s="256">
        <v>24.5</v>
      </c>
      <c r="E276" s="256">
        <v>63.2</v>
      </c>
      <c r="F276" s="673">
        <f t="shared" si="40"/>
        <v>437.7</v>
      </c>
      <c r="G276" s="419">
        <v>1100</v>
      </c>
      <c r="H276" s="419">
        <v>16</v>
      </c>
      <c r="I276" s="419">
        <v>5000</v>
      </c>
      <c r="J276" s="419">
        <v>10</v>
      </c>
      <c r="K276" s="593">
        <f t="shared" si="34"/>
        <v>2.460402890973397E-3</v>
      </c>
      <c r="L276" s="536">
        <f t="shared" si="35"/>
        <v>1.2735608762098828E-3</v>
      </c>
      <c r="M276" s="426">
        <f t="shared" si="36"/>
        <v>7.5314422580463471</v>
      </c>
      <c r="N276" s="218">
        <f t="shared" si="41"/>
        <v>2.7693113182836422</v>
      </c>
      <c r="O276" s="426">
        <v>3.2836203979483378</v>
      </c>
      <c r="P276" s="426">
        <f t="shared" si="39"/>
        <v>0.23761068307436614</v>
      </c>
      <c r="Q276" s="926">
        <f t="shared" si="37"/>
        <v>0.28964742266765237</v>
      </c>
      <c r="R276" s="532">
        <f t="shared" si="38"/>
        <v>3.1578671823972344E-2</v>
      </c>
    </row>
    <row r="277" spans="1:18" s="6" customFormat="1" ht="15.75" customHeight="1">
      <c r="A277" s="268">
        <v>186</v>
      </c>
      <c r="B277" s="273" t="s">
        <v>1229</v>
      </c>
      <c r="C277" s="55">
        <v>483.54</v>
      </c>
      <c r="D277" s="256">
        <v>72.2</v>
      </c>
      <c r="E277" s="256"/>
      <c r="F277" s="673">
        <f t="shared" si="40"/>
        <v>555.74</v>
      </c>
      <c r="G277" s="419">
        <v>1100</v>
      </c>
      <c r="H277" s="419">
        <v>17</v>
      </c>
      <c r="I277" s="419">
        <v>5000</v>
      </c>
      <c r="J277" s="419">
        <v>18</v>
      </c>
      <c r="K277" s="593">
        <f t="shared" si="34"/>
        <v>2.6141780716592345E-3</v>
      </c>
      <c r="L277" s="536">
        <f t="shared" si="35"/>
        <v>2.2924095771777891E-3</v>
      </c>
      <c r="M277" s="426">
        <f t="shared" si="36"/>
        <v>9.8966363535807655</v>
      </c>
      <c r="N277" s="218">
        <f t="shared" si="41"/>
        <v>3.6389931872116477</v>
      </c>
      <c r="O277" s="426">
        <v>4.3224356476750412</v>
      </c>
      <c r="P277" s="426">
        <f t="shared" si="39"/>
        <v>0.42588468240176619</v>
      </c>
      <c r="Q277" s="926">
        <f t="shared" si="37"/>
        <v>0.51915342784775298</v>
      </c>
      <c r="R277" s="532">
        <f t="shared" si="38"/>
        <v>3.2900186905511969E-2</v>
      </c>
    </row>
    <row r="278" spans="1:18" s="6" customFormat="1" ht="15.75" customHeight="1">
      <c r="A278" s="268">
        <v>187</v>
      </c>
      <c r="B278" s="122" t="s">
        <v>1230</v>
      </c>
      <c r="C278" s="55">
        <v>381.8</v>
      </c>
      <c r="D278" s="256"/>
      <c r="E278" s="256">
        <v>14.8</v>
      </c>
      <c r="F278" s="673">
        <f t="shared" si="40"/>
        <v>396.6</v>
      </c>
      <c r="G278" s="419">
        <v>1100</v>
      </c>
      <c r="H278" s="419">
        <v>19</v>
      </c>
      <c r="I278" s="419">
        <v>5000</v>
      </c>
      <c r="J278" s="419">
        <v>8</v>
      </c>
      <c r="K278" s="593">
        <f t="shared" si="34"/>
        <v>2.921728433030909E-3</v>
      </c>
      <c r="L278" s="536">
        <f t="shared" si="35"/>
        <v>1.0188487009679063E-3</v>
      </c>
      <c r="M278" s="426">
        <f t="shared" si="36"/>
        <v>7.9481834850469504</v>
      </c>
      <c r="N278" s="218">
        <f t="shared" si="41"/>
        <v>2.922547067451764</v>
      </c>
      <c r="O278" s="426">
        <v>3.4613117950975001</v>
      </c>
      <c r="P278" s="426">
        <f t="shared" si="39"/>
        <v>0.1910419525797451</v>
      </c>
      <c r="Q278" s="926">
        <f t="shared" si="37"/>
        <v>0.23288014019470929</v>
      </c>
      <c r="R278" s="532">
        <f t="shared" si="38"/>
        <v>3.661897201254654E-2</v>
      </c>
    </row>
    <row r="279" spans="1:18" s="6" customFormat="1" ht="15.75" customHeight="1">
      <c r="A279" s="268">
        <v>188</v>
      </c>
      <c r="B279" s="122" t="s">
        <v>1231</v>
      </c>
      <c r="C279" s="55">
        <v>1654.3</v>
      </c>
      <c r="D279" s="256">
        <v>62.7</v>
      </c>
      <c r="E279" s="256">
        <v>61.9</v>
      </c>
      <c r="F279" s="673">
        <f t="shared" si="40"/>
        <v>1778.9</v>
      </c>
      <c r="G279" s="419">
        <v>1100</v>
      </c>
      <c r="H279" s="419">
        <v>29</v>
      </c>
      <c r="I279" s="419">
        <v>5000</v>
      </c>
      <c r="J279" s="419">
        <v>19</v>
      </c>
      <c r="K279" s="593">
        <f t="shared" si="34"/>
        <v>4.4594802398892821E-3</v>
      </c>
      <c r="L279" s="536">
        <f t="shared" si="35"/>
        <v>2.4197656647987776E-3</v>
      </c>
      <c r="M279" s="426">
        <f t="shared" si="36"/>
        <v>13.875507782214862</v>
      </c>
      <c r="N279" s="218">
        <f t="shared" si="41"/>
        <v>5.1020242115204049</v>
      </c>
      <c r="O279" s="426">
        <v>6.0504623581285575</v>
      </c>
      <c r="P279" s="426">
        <f t="shared" si="39"/>
        <v>0.45124501258833555</v>
      </c>
      <c r="Q279" s="926">
        <f t="shared" si="37"/>
        <v>0.55006767034518111</v>
      </c>
      <c r="R279" s="532">
        <f t="shared" si="38"/>
        <v>1.4323030729356435E-2</v>
      </c>
    </row>
    <row r="280" spans="1:18" s="6" customFormat="1" ht="15.75" customHeight="1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673">
        <f t="shared" si="40"/>
        <v>731.78</v>
      </c>
      <c r="G280" s="419">
        <v>1100</v>
      </c>
      <c r="H280" s="419">
        <v>20</v>
      </c>
      <c r="I280" s="419">
        <v>5000</v>
      </c>
      <c r="J280" s="419">
        <v>9</v>
      </c>
      <c r="K280" s="593">
        <f t="shared" si="34"/>
        <v>3.0755036137167461E-3</v>
      </c>
      <c r="L280" s="536">
        <f t="shared" si="35"/>
        <v>1.1462047885888945E-3</v>
      </c>
      <c r="M280" s="426">
        <f t="shared" si="36"/>
        <v>8.5152280645344991</v>
      </c>
      <c r="N280" s="218">
        <f t="shared" si="41"/>
        <v>3.1310493593293356</v>
      </c>
      <c r="O280" s="426">
        <v>3.7089239500466404</v>
      </c>
      <c r="P280" s="426">
        <f t="shared" si="39"/>
        <v>0.21471075577877022</v>
      </c>
      <c r="Q280" s="926">
        <f t="shared" si="37"/>
        <v>0.2617324112943209</v>
      </c>
      <c r="R280" s="532">
        <f t="shared" si="38"/>
        <v>2.1276766418444407E-2</v>
      </c>
    </row>
    <row r="281" spans="1:18" s="6" customFormat="1" ht="15.75" customHeight="1">
      <c r="A281" s="275">
        <v>190</v>
      </c>
      <c r="B281" s="122" t="s">
        <v>1233</v>
      </c>
      <c r="C281" s="55">
        <v>185.4</v>
      </c>
      <c r="D281" s="256"/>
      <c r="E281" s="256"/>
      <c r="F281" s="673">
        <f t="shared" si="40"/>
        <v>185.4</v>
      </c>
      <c r="G281" s="419">
        <v>1100</v>
      </c>
      <c r="H281" s="419">
        <v>5</v>
      </c>
      <c r="I281" s="419">
        <v>5000</v>
      </c>
      <c r="J281" s="419">
        <v>5</v>
      </c>
      <c r="K281" s="593">
        <f t="shared" si="34"/>
        <v>7.6887590342918652E-4</v>
      </c>
      <c r="L281" s="536">
        <f t="shared" si="35"/>
        <v>6.3678043810494142E-4</v>
      </c>
      <c r="M281" s="426">
        <f t="shared" si="36"/>
        <v>2.8352228974377516</v>
      </c>
      <c r="N281" s="218">
        <f t="shared" si="41"/>
        <v>1.0425114593878613</v>
      </c>
      <c r="O281" s="426">
        <v>1.2380607747457026</v>
      </c>
      <c r="P281" s="426">
        <f t="shared" si="39"/>
        <v>0.11834401599512555</v>
      </c>
      <c r="Q281" s="926">
        <f t="shared" si="37"/>
        <v>0.14426135549805805</v>
      </c>
      <c r="R281" s="532">
        <f t="shared" si="38"/>
        <v>2.8231602737683065E-2</v>
      </c>
    </row>
    <row r="282" spans="1:18" s="6" customFormat="1" ht="15.75" customHeight="1">
      <c r="A282" s="268">
        <v>191</v>
      </c>
      <c r="B282" s="122" t="s">
        <v>1234</v>
      </c>
      <c r="C282" s="55">
        <v>478.6</v>
      </c>
      <c r="D282" s="256"/>
      <c r="E282" s="256"/>
      <c r="F282" s="673">
        <f t="shared" si="40"/>
        <v>478.6</v>
      </c>
      <c r="G282" s="419">
        <v>1100</v>
      </c>
      <c r="H282" s="419">
        <v>12</v>
      </c>
      <c r="I282" s="419">
        <v>5000</v>
      </c>
      <c r="J282" s="419">
        <v>5</v>
      </c>
      <c r="K282" s="593">
        <f t="shared" si="34"/>
        <v>1.8453021682300478E-3</v>
      </c>
      <c r="L282" s="536">
        <f t="shared" si="35"/>
        <v>6.3678043810494142E-4</v>
      </c>
      <c r="M282" s="426">
        <f t="shared" si="36"/>
        <v>5.0063854378037362</v>
      </c>
      <c r="N282" s="218">
        <f t="shared" si="41"/>
        <v>1.840847925480434</v>
      </c>
      <c r="O282" s="426">
        <v>2.1801427646121239</v>
      </c>
      <c r="P282" s="426">
        <f t="shared" si="39"/>
        <v>0.11942044225992642</v>
      </c>
      <c r="Q282" s="926">
        <f t="shared" si="37"/>
        <v>0.14557351911485031</v>
      </c>
      <c r="R282" s="532">
        <f t="shared" si="38"/>
        <v>1.9111568261922729E-2</v>
      </c>
    </row>
    <row r="283" spans="1:18" s="6" customFormat="1" ht="15.75" customHeight="1">
      <c r="A283" s="268">
        <v>192</v>
      </c>
      <c r="B283" s="122" t="s">
        <v>1235</v>
      </c>
      <c r="C283" s="55">
        <v>496.38</v>
      </c>
      <c r="D283" s="256"/>
      <c r="E283" s="256"/>
      <c r="F283" s="673">
        <f t="shared" si="40"/>
        <v>496.38</v>
      </c>
      <c r="G283" s="419">
        <v>1100</v>
      </c>
      <c r="H283" s="419">
        <v>12</v>
      </c>
      <c r="I283" s="419">
        <v>5000</v>
      </c>
      <c r="J283" s="419">
        <v>8</v>
      </c>
      <c r="K283" s="593">
        <f t="shared" si="34"/>
        <v>1.8453021682300478E-3</v>
      </c>
      <c r="L283" s="536">
        <f t="shared" si="35"/>
        <v>1.0188487009679063E-3</v>
      </c>
      <c r="M283" s="426">
        <f t="shared" si="36"/>
        <v>5.7770209446809657</v>
      </c>
      <c r="N283" s="218">
        <f t="shared" si="41"/>
        <v>2.124210601359191</v>
      </c>
      <c r="O283" s="426">
        <v>2.5192298052310789</v>
      </c>
      <c r="P283" s="426">
        <f t="shared" si="39"/>
        <v>0.18996552631494423</v>
      </c>
      <c r="Q283" s="926">
        <f t="shared" si="37"/>
        <v>0.23156797657791703</v>
      </c>
      <c r="R283" s="532">
        <f t="shared" si="38"/>
        <v>2.1375613194701999E-2</v>
      </c>
    </row>
    <row r="284" spans="1:18" s="6" customFormat="1" ht="15.75" customHeight="1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673">
        <f t="shared" si="40"/>
        <v>260.8</v>
      </c>
      <c r="G284" s="419">
        <v>1100</v>
      </c>
      <c r="H284" s="419">
        <v>8</v>
      </c>
      <c r="I284" s="419">
        <v>5000</v>
      </c>
      <c r="J284" s="419">
        <v>7</v>
      </c>
      <c r="K284" s="593">
        <f t="shared" ref="K284:K347" si="42">1/6503*H284</f>
        <v>1.2302014454866985E-3</v>
      </c>
      <c r="L284" s="536">
        <f t="shared" ref="L284:L347" si="43">1/7852*J284</f>
        <v>8.9149261334691798E-4</v>
      </c>
      <c r="M284" s="426">
        <f t="shared" si="36"/>
        <v>4.2794781336079923</v>
      </c>
      <c r="N284" s="218">
        <f t="shared" si="41"/>
        <v>1.5735641097276589</v>
      </c>
      <c r="O284" s="426">
        <v>1.8678682260534725</v>
      </c>
      <c r="P284" s="426">
        <f t="shared" si="39"/>
        <v>0.16583539757386162</v>
      </c>
      <c r="Q284" s="926">
        <f t="shared" si="37"/>
        <v>0.20215334964253734</v>
      </c>
      <c r="R284" s="532">
        <f t="shared" si="38"/>
        <v>3.0240589980686291E-2</v>
      </c>
    </row>
    <row r="285" spans="1:18" s="6" customFormat="1" ht="15.75" customHeight="1">
      <c r="A285" s="268">
        <v>194</v>
      </c>
      <c r="B285" s="122" t="s">
        <v>1237</v>
      </c>
      <c r="C285" s="55">
        <v>282.8</v>
      </c>
      <c r="D285" s="256"/>
      <c r="E285" s="256"/>
      <c r="F285" s="673">
        <f t="shared" si="40"/>
        <v>282.8</v>
      </c>
      <c r="G285" s="419">
        <v>1100</v>
      </c>
      <c r="H285" s="419">
        <v>16</v>
      </c>
      <c r="I285" s="419">
        <v>5000</v>
      </c>
      <c r="J285" s="419">
        <v>8</v>
      </c>
      <c r="K285" s="593">
        <f t="shared" si="42"/>
        <v>2.460402890973397E-3</v>
      </c>
      <c r="L285" s="536">
        <f t="shared" si="43"/>
        <v>1.0188487009679063E-3</v>
      </c>
      <c r="M285" s="426">
        <f t="shared" ref="M285:M348" si="44">(K285+L285)*2017.01</f>
        <v>7.0176852534615284</v>
      </c>
      <c r="N285" s="218">
        <f t="shared" si="41"/>
        <v>2.5804028676978041</v>
      </c>
      <c r="O285" s="426">
        <v>3.057562370869034</v>
      </c>
      <c r="P285" s="426">
        <f t="shared" si="39"/>
        <v>0.19058062703768761</v>
      </c>
      <c r="Q285" s="926">
        <f t="shared" ref="Q285:Q348" si="45">P285*1.219</f>
        <v>0.23231778435894121</v>
      </c>
      <c r="R285" s="532">
        <f t="shared" si="38"/>
        <v>4.5425145399809241E-2</v>
      </c>
    </row>
    <row r="286" spans="1:18" s="6" customFormat="1" ht="15.75" customHeight="1">
      <c r="A286" s="268">
        <v>195</v>
      </c>
      <c r="B286" s="122" t="s">
        <v>1238</v>
      </c>
      <c r="C286" s="55">
        <v>227.3</v>
      </c>
      <c r="D286" s="256"/>
      <c r="E286" s="256"/>
      <c r="F286" s="673">
        <f t="shared" si="40"/>
        <v>227.3</v>
      </c>
      <c r="G286" s="419">
        <v>1100</v>
      </c>
      <c r="H286" s="419">
        <v>11</v>
      </c>
      <c r="I286" s="419">
        <v>5000</v>
      </c>
      <c r="J286" s="419">
        <v>7</v>
      </c>
      <c r="K286" s="593">
        <f t="shared" si="42"/>
        <v>1.6915269875442105E-3</v>
      </c>
      <c r="L286" s="536">
        <f t="shared" si="43"/>
        <v>8.9149261334691798E-4</v>
      </c>
      <c r="M286" s="426">
        <f t="shared" si="44"/>
        <v>5.2099763651934143</v>
      </c>
      <c r="N286" s="218">
        <f t="shared" si="41"/>
        <v>1.9157083094816185</v>
      </c>
      <c r="O286" s="426">
        <v>2.271617650281939</v>
      </c>
      <c r="P286" s="426">
        <f t="shared" si="39"/>
        <v>0.16629672311591914</v>
      </c>
      <c r="Q286" s="926">
        <f t="shared" si="45"/>
        <v>0.20271570547830545</v>
      </c>
      <c r="R286" s="532">
        <f t="shared" si="38"/>
        <v>4.2074786837100267E-2</v>
      </c>
    </row>
    <row r="287" spans="1:18" s="6" customFormat="1" ht="15.75" customHeight="1">
      <c r="A287" s="268">
        <v>196</v>
      </c>
      <c r="B287" s="122" t="s">
        <v>1239</v>
      </c>
      <c r="C287" s="55">
        <v>7849.73</v>
      </c>
      <c r="D287" s="256"/>
      <c r="E287" s="256"/>
      <c r="F287" s="673">
        <f t="shared" si="40"/>
        <v>7849.73</v>
      </c>
      <c r="G287" s="419">
        <v>1100</v>
      </c>
      <c r="H287" s="419">
        <v>290</v>
      </c>
      <c r="I287" s="419">
        <v>5000</v>
      </c>
      <c r="J287" s="419">
        <v>100</v>
      </c>
      <c r="K287" s="593">
        <f t="shared" si="42"/>
        <v>4.4594802398892824E-2</v>
      </c>
      <c r="L287" s="536">
        <f t="shared" si="43"/>
        <v>1.2735608762098827E-2</v>
      </c>
      <c r="M287" s="426">
        <f t="shared" si="44"/>
        <v>115.63601261583176</v>
      </c>
      <c r="N287" s="218">
        <f t="shared" si="41"/>
        <v>42.519361838841341</v>
      </c>
      <c r="O287" s="426">
        <v>50.33201236271691</v>
      </c>
      <c r="P287" s="426">
        <f t="shared" si="39"/>
        <v>2.3960976042328199</v>
      </c>
      <c r="Q287" s="926">
        <f t="shared" si="45"/>
        <v>2.9208429795598079</v>
      </c>
      <c r="R287" s="532">
        <f t="shared" si="38"/>
        <v>2.68650621641283E-2</v>
      </c>
    </row>
    <row r="288" spans="1:18" s="6" customFormat="1" ht="15.75" customHeight="1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673">
        <f t="shared" si="40"/>
        <v>454.20000000000005</v>
      </c>
      <c r="G288" s="419">
        <v>1100</v>
      </c>
      <c r="H288" s="419">
        <v>25</v>
      </c>
      <c r="I288" s="419">
        <v>5000</v>
      </c>
      <c r="J288" s="419">
        <v>11</v>
      </c>
      <c r="K288" s="593">
        <f t="shared" si="42"/>
        <v>3.844379517145933E-3</v>
      </c>
      <c r="L288" s="536">
        <f t="shared" si="43"/>
        <v>1.4009169638308711E-3</v>
      </c>
      <c r="M288" s="426">
        <f t="shared" si="44"/>
        <v>10.579815455095025</v>
      </c>
      <c r="N288" s="218">
        <f t="shared" si="41"/>
        <v>3.8901981428384409</v>
      </c>
      <c r="O288" s="426">
        <v>4.6078976841733876</v>
      </c>
      <c r="P288" s="426">
        <f t="shared" si="39"/>
        <v>0.26250968771887795</v>
      </c>
      <c r="Q288" s="926">
        <f t="shared" si="45"/>
        <v>0.31999930932931225</v>
      </c>
      <c r="R288" s="532">
        <f t="shared" si="38"/>
        <v>4.2581287912430044E-2</v>
      </c>
    </row>
    <row r="289" spans="1:18" s="6" customFormat="1" ht="15.75" customHeight="1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673">
        <f t="shared" si="40"/>
        <v>493.90000000000003</v>
      </c>
      <c r="G289" s="419">
        <v>1100</v>
      </c>
      <c r="H289" s="419">
        <v>24</v>
      </c>
      <c r="I289" s="419">
        <v>5000</v>
      </c>
      <c r="J289" s="419">
        <v>15</v>
      </c>
      <c r="K289" s="593">
        <f t="shared" si="42"/>
        <v>3.6906043364600956E-3</v>
      </c>
      <c r="L289" s="536">
        <f t="shared" si="43"/>
        <v>1.9103413143148242E-3</v>
      </c>
      <c r="M289" s="426">
        <f t="shared" si="44"/>
        <v>11.297163387069521</v>
      </c>
      <c r="N289" s="218">
        <f t="shared" si="41"/>
        <v>4.1539669774254628</v>
      </c>
      <c r="O289" s="426">
        <v>4.9254305969225065</v>
      </c>
      <c r="P289" s="426">
        <f t="shared" si="39"/>
        <v>0.3564160246115492</v>
      </c>
      <c r="Q289" s="926">
        <f t="shared" si="45"/>
        <v>0.43447113400147852</v>
      </c>
      <c r="R289" s="532">
        <f t="shared" si="38"/>
        <v>4.1978086628931037E-2</v>
      </c>
    </row>
    <row r="290" spans="1:18" s="6" customFormat="1" ht="15.75" customHeight="1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673">
        <f t="shared" si="40"/>
        <v>698.82</v>
      </c>
      <c r="G290" s="419">
        <v>1100</v>
      </c>
      <c r="H290" s="419">
        <v>27</v>
      </c>
      <c r="I290" s="419">
        <v>5000</v>
      </c>
      <c r="J290" s="419">
        <v>11</v>
      </c>
      <c r="K290" s="593">
        <f t="shared" si="42"/>
        <v>4.1519298785176071E-3</v>
      </c>
      <c r="L290" s="536">
        <f t="shared" si="43"/>
        <v>1.4009169638308711E-3</v>
      </c>
      <c r="M290" s="426">
        <f t="shared" si="44"/>
        <v>11.200147609485304</v>
      </c>
      <c r="N290" s="218">
        <f t="shared" si="41"/>
        <v>4.118294276007747</v>
      </c>
      <c r="O290" s="426">
        <v>4.8770639669923659</v>
      </c>
      <c r="P290" s="426">
        <f t="shared" si="39"/>
        <v>0.26281723808024959</v>
      </c>
      <c r="Q290" s="926">
        <f t="shared" si="45"/>
        <v>0.32037421321982429</v>
      </c>
      <c r="R290" s="532">
        <f t="shared" si="38"/>
        <v>2.9275526016092363E-2</v>
      </c>
    </row>
    <row r="291" spans="1:18" s="6" customFormat="1" ht="15.75" customHeight="1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673">
        <f t="shared" si="40"/>
        <v>559.52</v>
      </c>
      <c r="G291" s="419">
        <v>1100</v>
      </c>
      <c r="H291" s="419">
        <v>25</v>
      </c>
      <c r="I291" s="419">
        <v>5000</v>
      </c>
      <c r="J291" s="419">
        <v>10</v>
      </c>
      <c r="K291" s="593">
        <f t="shared" si="42"/>
        <v>3.844379517145933E-3</v>
      </c>
      <c r="L291" s="536">
        <f t="shared" si="43"/>
        <v>1.2735608762098828E-3</v>
      </c>
      <c r="M291" s="426">
        <f t="shared" si="44"/>
        <v>10.322936952802616</v>
      </c>
      <c r="N291" s="218">
        <f t="shared" si="41"/>
        <v>3.7957439175455221</v>
      </c>
      <c r="O291" s="426">
        <v>4.4948686706337364</v>
      </c>
      <c r="P291" s="426">
        <f t="shared" si="39"/>
        <v>0.23899465970053868</v>
      </c>
      <c r="Q291" s="926">
        <f t="shared" si="45"/>
        <v>0.29133449017495666</v>
      </c>
      <c r="R291" s="532">
        <f t="shared" si="38"/>
        <v>3.3694138191096679E-2</v>
      </c>
    </row>
    <row r="292" spans="1:18" s="6" customFormat="1" ht="15.75" customHeight="1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673">
        <f t="shared" si="40"/>
        <v>958</v>
      </c>
      <c r="G292" s="419">
        <v>1100</v>
      </c>
      <c r="H292" s="419">
        <v>26</v>
      </c>
      <c r="I292" s="419">
        <v>5000</v>
      </c>
      <c r="J292" s="419">
        <v>12</v>
      </c>
      <c r="K292" s="593">
        <f t="shared" si="42"/>
        <v>3.9981546978317701E-3</v>
      </c>
      <c r="L292" s="536">
        <f t="shared" si="43"/>
        <v>1.5282730514518594E-3</v>
      </c>
      <c r="M292" s="426">
        <f t="shared" si="44"/>
        <v>11.146860034582573</v>
      </c>
      <c r="N292" s="218">
        <f t="shared" si="41"/>
        <v>4.0987004347160125</v>
      </c>
      <c r="O292" s="426">
        <v>4.8555098391225284</v>
      </c>
      <c r="P292" s="426">
        <f t="shared" si="39"/>
        <v>0.28617849091790304</v>
      </c>
      <c r="Q292" s="926">
        <f t="shared" si="45"/>
        <v>0.34885158042892384</v>
      </c>
      <c r="R292" s="532">
        <f t="shared" si="38"/>
        <v>2.1281053026449916E-2</v>
      </c>
    </row>
    <row r="293" spans="1:18" s="6" customFormat="1" ht="15.75" customHeight="1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673">
        <f t="shared" si="40"/>
        <v>700</v>
      </c>
      <c r="G293" s="419">
        <v>1100</v>
      </c>
      <c r="H293" s="419">
        <v>50</v>
      </c>
      <c r="I293" s="419">
        <v>5000</v>
      </c>
      <c r="J293" s="419">
        <v>14</v>
      </c>
      <c r="K293" s="593">
        <f t="shared" si="42"/>
        <v>7.6887590342918661E-3</v>
      </c>
      <c r="L293" s="536">
        <f t="shared" si="43"/>
        <v>1.782985226693836E-3</v>
      </c>
      <c r="M293" s="426">
        <f t="shared" si="44"/>
        <v>19.104602891850771</v>
      </c>
      <c r="N293" s="218">
        <f t="shared" si="41"/>
        <v>7.0247624833335287</v>
      </c>
      <c r="O293" s="426">
        <v>8.3115632600295601</v>
      </c>
      <c r="P293" s="426">
        <f t="shared" si="39"/>
        <v>0.33689915129104175</v>
      </c>
      <c r="Q293" s="926">
        <f t="shared" si="45"/>
        <v>0.41068006542377994</v>
      </c>
      <c r="R293" s="532">
        <f t="shared" si="38"/>
        <v>4.9682611123578427E-2</v>
      </c>
    </row>
    <row r="294" spans="1:18" s="6" customFormat="1" ht="15.75" customHeight="1">
      <c r="A294" s="268">
        <v>203</v>
      </c>
      <c r="B294" s="122" t="s">
        <v>1246</v>
      </c>
      <c r="C294" s="55">
        <v>209.86</v>
      </c>
      <c r="D294" s="256"/>
      <c r="E294" s="256"/>
      <c r="F294" s="673">
        <f t="shared" si="40"/>
        <v>209.86</v>
      </c>
      <c r="G294" s="419">
        <v>1100</v>
      </c>
      <c r="H294" s="419">
        <v>10</v>
      </c>
      <c r="I294" s="419">
        <v>5000</v>
      </c>
      <c r="J294" s="419">
        <v>5</v>
      </c>
      <c r="K294" s="593">
        <f t="shared" si="42"/>
        <v>1.537751806858373E-3</v>
      </c>
      <c r="L294" s="536">
        <f t="shared" si="43"/>
        <v>6.3678043810494142E-4</v>
      </c>
      <c r="M294" s="426">
        <f t="shared" si="44"/>
        <v>4.386053283413454</v>
      </c>
      <c r="N294" s="218">
        <f t="shared" si="41"/>
        <v>1.6127517923111272</v>
      </c>
      <c r="O294" s="426">
        <v>1.9109764817931461</v>
      </c>
      <c r="P294" s="426">
        <f t="shared" si="39"/>
        <v>0.11911289189855474</v>
      </c>
      <c r="Q294" s="926">
        <f t="shared" si="45"/>
        <v>0.14519861522433825</v>
      </c>
      <c r="R294" s="532">
        <f t="shared" si="38"/>
        <v>3.8258336269018776E-2</v>
      </c>
    </row>
    <row r="295" spans="1:18" s="6" customFormat="1" ht="15.75" customHeight="1">
      <c r="A295" s="275">
        <v>204</v>
      </c>
      <c r="B295" s="122" t="s">
        <v>1247</v>
      </c>
      <c r="C295" s="55">
        <v>577.53</v>
      </c>
      <c r="D295" s="256"/>
      <c r="E295" s="256"/>
      <c r="F295" s="673">
        <f t="shared" si="40"/>
        <v>577.53</v>
      </c>
      <c r="G295" s="419">
        <v>1100</v>
      </c>
      <c r="H295" s="419">
        <v>27</v>
      </c>
      <c r="I295" s="419">
        <v>5000</v>
      </c>
      <c r="J295" s="419">
        <v>15</v>
      </c>
      <c r="K295" s="593">
        <f t="shared" si="42"/>
        <v>4.1519298785176071E-3</v>
      </c>
      <c r="L295" s="536">
        <f t="shared" si="43"/>
        <v>1.9103413143148242E-3</v>
      </c>
      <c r="M295" s="426">
        <f t="shared" si="44"/>
        <v>12.227661618654944</v>
      </c>
      <c r="N295" s="218">
        <f t="shared" si="41"/>
        <v>4.4961111771794231</v>
      </c>
      <c r="O295" s="426">
        <v>5.3291800211509726</v>
      </c>
      <c r="P295" s="426">
        <f t="shared" si="39"/>
        <v>0.35687735015360672</v>
      </c>
      <c r="Q295" s="926">
        <f t="shared" si="45"/>
        <v>0.4350334898372466</v>
      </c>
      <c r="R295" s="532">
        <f t="shared" si="38"/>
        <v>3.8802884988033429E-2</v>
      </c>
    </row>
    <row r="296" spans="1:18" s="6" customFormat="1" ht="15.75" customHeight="1">
      <c r="A296" s="268">
        <v>205</v>
      </c>
      <c r="B296" s="122" t="s">
        <v>1248</v>
      </c>
      <c r="C296" s="55">
        <v>265.16000000000003</v>
      </c>
      <c r="D296" s="256"/>
      <c r="E296" s="256"/>
      <c r="F296" s="673">
        <f t="shared" si="40"/>
        <v>265.16000000000003</v>
      </c>
      <c r="G296" s="419">
        <v>1100</v>
      </c>
      <c r="H296" s="419">
        <v>12</v>
      </c>
      <c r="I296" s="419">
        <v>5000</v>
      </c>
      <c r="J296" s="419">
        <v>10</v>
      </c>
      <c r="K296" s="593">
        <f t="shared" si="42"/>
        <v>1.8453021682300478E-3</v>
      </c>
      <c r="L296" s="536">
        <f t="shared" si="43"/>
        <v>1.2735608762098828E-3</v>
      </c>
      <c r="M296" s="426">
        <f t="shared" si="44"/>
        <v>6.2907779492657836</v>
      </c>
      <c r="N296" s="218">
        <f t="shared" si="41"/>
        <v>2.3131190519450286</v>
      </c>
      <c r="O296" s="426">
        <v>2.7452878323103831</v>
      </c>
      <c r="P296" s="426">
        <f t="shared" si="39"/>
        <v>0.23699558235162277</v>
      </c>
      <c r="Q296" s="926">
        <f t="shared" si="45"/>
        <v>0.28889761488662818</v>
      </c>
      <c r="R296" s="532">
        <f t="shared" si="38"/>
        <v>4.369505361243331E-2</v>
      </c>
    </row>
    <row r="297" spans="1:18" s="6" customFormat="1" ht="15.75" customHeight="1">
      <c r="A297" s="268">
        <v>206</v>
      </c>
      <c r="B297" s="122" t="s">
        <v>1249</v>
      </c>
      <c r="C297" s="55">
        <v>134.88</v>
      </c>
      <c r="D297" s="256"/>
      <c r="E297" s="256"/>
      <c r="F297" s="673">
        <f t="shared" si="40"/>
        <v>134.88</v>
      </c>
      <c r="G297" s="419">
        <v>1100</v>
      </c>
      <c r="H297" s="419">
        <v>6</v>
      </c>
      <c r="I297" s="419">
        <v>5000</v>
      </c>
      <c r="J297" s="419">
        <v>5</v>
      </c>
      <c r="K297" s="593">
        <f t="shared" si="42"/>
        <v>9.2265108411502389E-4</v>
      </c>
      <c r="L297" s="536">
        <f t="shared" si="43"/>
        <v>6.3678043810494142E-4</v>
      </c>
      <c r="M297" s="426">
        <f t="shared" si="44"/>
        <v>3.1453889746328918</v>
      </c>
      <c r="N297" s="218">
        <f t="shared" si="41"/>
        <v>1.1565595259725143</v>
      </c>
      <c r="O297" s="426">
        <v>1.3726439161551915</v>
      </c>
      <c r="P297" s="426">
        <f t="shared" si="39"/>
        <v>0.11849779117581138</v>
      </c>
      <c r="Q297" s="926">
        <f t="shared" si="45"/>
        <v>0.14444880744331409</v>
      </c>
      <c r="R297" s="532">
        <f t="shared" si="38"/>
        <v>4.2949957057654281E-2</v>
      </c>
    </row>
    <row r="298" spans="1:18" s="6" customFormat="1" ht="15.75" customHeight="1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673">
        <f t="shared" si="40"/>
        <v>427.34000000000003</v>
      </c>
      <c r="G298" s="419">
        <v>1100</v>
      </c>
      <c r="H298" s="419">
        <v>9</v>
      </c>
      <c r="I298" s="419">
        <v>5000</v>
      </c>
      <c r="J298" s="419">
        <v>4</v>
      </c>
      <c r="K298" s="593">
        <f t="shared" si="42"/>
        <v>1.3839766261725358E-3</v>
      </c>
      <c r="L298" s="536">
        <f t="shared" si="43"/>
        <v>5.0942435048395313E-4</v>
      </c>
      <c r="M298" s="426">
        <f t="shared" si="44"/>
        <v>3.8190087039259049</v>
      </c>
      <c r="N298" s="218">
        <f t="shared" si="41"/>
        <v>1.4042495004335553</v>
      </c>
      <c r="O298" s="426">
        <v>1.6633643268440059</v>
      </c>
      <c r="P298" s="426">
        <f t="shared" si="39"/>
        <v>9.5444088699529639E-2</v>
      </c>
      <c r="Q298" s="926">
        <f t="shared" si="45"/>
        <v>0.11634634412472664</v>
      </c>
      <c r="R298" s="532">
        <f t="shared" si="38"/>
        <v>1.6338434548375989E-2</v>
      </c>
    </row>
    <row r="299" spans="1:18" s="6" customFormat="1" ht="15.75" customHeight="1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673">
        <f t="shared" si="40"/>
        <v>603</v>
      </c>
      <c r="G299" s="419">
        <v>1100</v>
      </c>
      <c r="H299" s="419">
        <v>19</v>
      </c>
      <c r="I299" s="419">
        <v>5000</v>
      </c>
      <c r="J299" s="419">
        <v>7</v>
      </c>
      <c r="K299" s="593">
        <f t="shared" si="42"/>
        <v>2.921728433030909E-3</v>
      </c>
      <c r="L299" s="536">
        <f t="shared" si="43"/>
        <v>8.9149261334691798E-4</v>
      </c>
      <c r="M299" s="426">
        <f t="shared" si="44"/>
        <v>7.6913049827545414</v>
      </c>
      <c r="N299" s="218">
        <f t="shared" si="41"/>
        <v>2.8280928421588452</v>
      </c>
      <c r="O299" s="426">
        <v>3.3482827815578484</v>
      </c>
      <c r="P299" s="426">
        <f t="shared" si="39"/>
        <v>0.16752692456140583</v>
      </c>
      <c r="Q299" s="926">
        <f t="shared" si="45"/>
        <v>0.20421532104035373</v>
      </c>
      <c r="R299" s="532">
        <f t="shared" si="38"/>
        <v>2.3275634379821955E-2</v>
      </c>
    </row>
    <row r="300" spans="1:18" s="6" customFormat="1" ht="15.75" customHeight="1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673">
        <f t="shared" si="40"/>
        <v>375.70000000000005</v>
      </c>
      <c r="G300" s="419">
        <v>1100</v>
      </c>
      <c r="H300" s="419">
        <v>23</v>
      </c>
      <c r="I300" s="419">
        <v>5000</v>
      </c>
      <c r="J300" s="419">
        <v>13</v>
      </c>
      <c r="K300" s="593">
        <f t="shared" si="42"/>
        <v>3.5368291557742581E-3</v>
      </c>
      <c r="L300" s="536">
        <f t="shared" si="43"/>
        <v>1.6556291390728477E-3</v>
      </c>
      <c r="M300" s="426">
        <f t="shared" si="44"/>
        <v>10.47324030528956</v>
      </c>
      <c r="N300" s="218">
        <f t="shared" si="41"/>
        <v>3.8510104602549715</v>
      </c>
      <c r="O300" s="426">
        <v>4.5647894284337145</v>
      </c>
      <c r="P300" s="426">
        <f t="shared" si="39"/>
        <v>0.30923219339418484</v>
      </c>
      <c r="Q300" s="926">
        <f t="shared" si="45"/>
        <v>0.37695404374751135</v>
      </c>
      <c r="R300" s="532">
        <f t="shared" si="38"/>
        <v>5.1100006354464808E-2</v>
      </c>
    </row>
    <row r="301" spans="1:18" s="6" customFormat="1" ht="15.75" customHeight="1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673">
        <f t="shared" si="40"/>
        <v>607.62</v>
      </c>
      <c r="G301" s="419">
        <v>1100</v>
      </c>
      <c r="H301" s="419">
        <v>25</v>
      </c>
      <c r="I301" s="419">
        <v>5000</v>
      </c>
      <c r="J301" s="419">
        <v>17</v>
      </c>
      <c r="K301" s="593">
        <f t="shared" si="42"/>
        <v>3.844379517145933E-3</v>
      </c>
      <c r="L301" s="536">
        <f t="shared" si="43"/>
        <v>2.1650534895568006E-3</v>
      </c>
      <c r="M301" s="426">
        <f t="shared" si="44"/>
        <v>12.12108646884948</v>
      </c>
      <c r="N301" s="218">
        <f t="shared" si="41"/>
        <v>4.4569234945959542</v>
      </c>
      <c r="O301" s="426">
        <v>5.2860717654112985</v>
      </c>
      <c r="P301" s="426">
        <f t="shared" si="39"/>
        <v>0.40359985582891356</v>
      </c>
      <c r="Q301" s="926">
        <f t="shared" si="45"/>
        <v>0.49198822425544564</v>
      </c>
      <c r="R301" s="532">
        <f t="shared" si="38"/>
        <v>3.6647380903666184E-2</v>
      </c>
    </row>
    <row r="302" spans="1:18" s="6" customFormat="1" ht="15.75" customHeight="1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673">
        <f t="shared" si="40"/>
        <v>400.32000000000005</v>
      </c>
      <c r="G302" s="419">
        <v>1100</v>
      </c>
      <c r="H302" s="419">
        <v>16</v>
      </c>
      <c r="I302" s="419">
        <v>5000</v>
      </c>
      <c r="J302" s="419">
        <v>17</v>
      </c>
      <c r="K302" s="593">
        <f t="shared" si="42"/>
        <v>2.460402890973397E-3</v>
      </c>
      <c r="L302" s="536">
        <f t="shared" si="43"/>
        <v>2.1650534895568006E-3</v>
      </c>
      <c r="M302" s="426">
        <f t="shared" si="44"/>
        <v>9.3295917740932133</v>
      </c>
      <c r="N302" s="218">
        <f t="shared" si="41"/>
        <v>3.4304908953340747</v>
      </c>
      <c r="O302" s="426">
        <v>4.0748234927259004</v>
      </c>
      <c r="P302" s="426">
        <f t="shared" si="39"/>
        <v>0.40221587920274099</v>
      </c>
      <c r="Q302" s="926">
        <f t="shared" si="45"/>
        <v>0.49030115674814129</v>
      </c>
      <c r="R302" s="532">
        <f t="shared" si="38"/>
        <v>4.3058358416656499E-2</v>
      </c>
    </row>
    <row r="303" spans="1:18" s="6" customFormat="1" ht="15.75" customHeight="1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673">
        <f t="shared" si="40"/>
        <v>311.52000000000004</v>
      </c>
      <c r="G303" s="419">
        <v>1100</v>
      </c>
      <c r="H303" s="419">
        <v>16</v>
      </c>
      <c r="I303" s="419">
        <v>5000</v>
      </c>
      <c r="J303" s="419">
        <v>9</v>
      </c>
      <c r="K303" s="593">
        <f t="shared" si="42"/>
        <v>2.460402890973397E-3</v>
      </c>
      <c r="L303" s="536">
        <f t="shared" si="43"/>
        <v>1.1462047885888945E-3</v>
      </c>
      <c r="M303" s="426">
        <f t="shared" si="44"/>
        <v>7.2745637557539373</v>
      </c>
      <c r="N303" s="218">
        <f t="shared" si="41"/>
        <v>2.6748570929907229</v>
      </c>
      <c r="O303" s="426">
        <v>3.1705913844086862</v>
      </c>
      <c r="P303" s="426">
        <f t="shared" si="39"/>
        <v>0.21409565505602687</v>
      </c>
      <c r="Q303" s="926">
        <f t="shared" si="45"/>
        <v>0.26098260351329677</v>
      </c>
      <c r="R303" s="532">
        <f t="shared" si="38"/>
        <v>4.2803376631386017E-2</v>
      </c>
    </row>
    <row r="304" spans="1:18" s="6" customFormat="1" ht="15.75" customHeight="1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673">
        <f t="shared" si="40"/>
        <v>451.70000000000005</v>
      </c>
      <c r="G304" s="419">
        <v>1100</v>
      </c>
      <c r="H304" s="419">
        <v>24</v>
      </c>
      <c r="I304" s="419">
        <v>5000</v>
      </c>
      <c r="J304" s="419">
        <v>6</v>
      </c>
      <c r="K304" s="593">
        <f t="shared" si="42"/>
        <v>3.6906043364600956E-3</v>
      </c>
      <c r="L304" s="536">
        <f t="shared" si="43"/>
        <v>7.641365257259297E-4</v>
      </c>
      <c r="M304" s="426">
        <f t="shared" si="44"/>
        <v>8.9852568664378349</v>
      </c>
      <c r="N304" s="218">
        <f t="shared" si="41"/>
        <v>3.3038789497891923</v>
      </c>
      <c r="O304" s="426">
        <v>3.9081694750656402</v>
      </c>
      <c r="P304" s="426">
        <f t="shared" si="39"/>
        <v>0.14478077244649573</v>
      </c>
      <c r="Q304" s="926">
        <f t="shared" si="45"/>
        <v>0.1764877616122783</v>
      </c>
      <c r="R304" s="532">
        <f t="shared" si="38"/>
        <v>3.6179070320432064E-2</v>
      </c>
    </row>
    <row r="305" spans="1:18" s="6" customFormat="1" ht="15.75" customHeight="1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673">
        <f t="shared" si="40"/>
        <v>529.70000000000005</v>
      </c>
      <c r="G305" s="419">
        <v>1100</v>
      </c>
      <c r="H305" s="419">
        <v>27</v>
      </c>
      <c r="I305" s="419">
        <v>5000</v>
      </c>
      <c r="J305" s="419">
        <v>23</v>
      </c>
      <c r="K305" s="593">
        <f t="shared" si="42"/>
        <v>4.1519298785176071E-3</v>
      </c>
      <c r="L305" s="536">
        <f t="shared" si="43"/>
        <v>2.9291900152827307E-3</v>
      </c>
      <c r="M305" s="426">
        <f t="shared" si="44"/>
        <v>14.282689636994219</v>
      </c>
      <c r="N305" s="218">
        <f t="shared" si="41"/>
        <v>5.2517449795227744</v>
      </c>
      <c r="O305" s="426">
        <v>6.2334121294681877</v>
      </c>
      <c r="P305" s="426">
        <f t="shared" si="39"/>
        <v>0.54499757430032103</v>
      </c>
      <c r="Q305" s="926">
        <f t="shared" si="45"/>
        <v>0.66435204307209139</v>
      </c>
      <c r="R305" s="532">
        <f t="shared" si="38"/>
        <v>4.9674993997140829E-2</v>
      </c>
    </row>
    <row r="306" spans="1:18" s="6" customFormat="1" ht="15.75" customHeight="1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673">
        <f t="shared" si="40"/>
        <v>306.10000000000002</v>
      </c>
      <c r="G306" s="419">
        <v>1100</v>
      </c>
      <c r="H306" s="419">
        <v>16</v>
      </c>
      <c r="I306" s="419">
        <v>5000</v>
      </c>
      <c r="J306" s="419">
        <v>9</v>
      </c>
      <c r="K306" s="593">
        <f t="shared" si="42"/>
        <v>2.460402890973397E-3</v>
      </c>
      <c r="L306" s="536">
        <f t="shared" si="43"/>
        <v>1.1462047885888945E-3</v>
      </c>
      <c r="M306" s="426">
        <f t="shared" si="44"/>
        <v>7.2745637557539373</v>
      </c>
      <c r="N306" s="218">
        <f t="shared" si="41"/>
        <v>2.6748570929907229</v>
      </c>
      <c r="O306" s="426">
        <v>3.1705913844086862</v>
      </c>
      <c r="P306" s="426">
        <f t="shared" si="39"/>
        <v>0.21409565505602687</v>
      </c>
      <c r="Q306" s="926">
        <f t="shared" si="45"/>
        <v>0.26098260351329677</v>
      </c>
      <c r="R306" s="532">
        <f t="shared" si="38"/>
        <v>4.3561280262036504E-2</v>
      </c>
    </row>
    <row r="307" spans="1:18" s="6" customFormat="1" ht="15.75" customHeight="1">
      <c r="A307" s="268">
        <v>216</v>
      </c>
      <c r="B307" s="122" t="s">
        <v>1259</v>
      </c>
      <c r="C307" s="55">
        <v>551.6</v>
      </c>
      <c r="D307" s="256"/>
      <c r="E307" s="256"/>
      <c r="F307" s="673">
        <f t="shared" si="40"/>
        <v>551.6</v>
      </c>
      <c r="G307" s="419">
        <v>1100</v>
      </c>
      <c r="H307" s="419">
        <v>17</v>
      </c>
      <c r="I307" s="419">
        <v>5000</v>
      </c>
      <c r="J307" s="419">
        <v>10</v>
      </c>
      <c r="K307" s="593">
        <f t="shared" si="42"/>
        <v>2.6141780716592345E-3</v>
      </c>
      <c r="L307" s="536">
        <f t="shared" si="43"/>
        <v>1.2735608762098828E-3</v>
      </c>
      <c r="M307" s="426">
        <f t="shared" si="44"/>
        <v>7.8416083352414887</v>
      </c>
      <c r="N307" s="218">
        <f t="shared" si="41"/>
        <v>2.8833593848682955</v>
      </c>
      <c r="O307" s="426">
        <v>3.4182035393578261</v>
      </c>
      <c r="P307" s="426">
        <f t="shared" si="39"/>
        <v>0.23776445825505196</v>
      </c>
      <c r="Q307" s="926">
        <f t="shared" si="45"/>
        <v>0.28983487461290836</v>
      </c>
      <c r="R307" s="532">
        <f t="shared" si="38"/>
        <v>2.6071312033579881E-2</v>
      </c>
    </row>
    <row r="308" spans="1:18" s="6" customFormat="1" ht="15.75" customHeight="1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673">
        <f t="shared" si="40"/>
        <v>329.2</v>
      </c>
      <c r="G308" s="419">
        <v>1100</v>
      </c>
      <c r="H308" s="419">
        <v>15</v>
      </c>
      <c r="I308" s="419">
        <v>5000</v>
      </c>
      <c r="J308" s="419">
        <v>12</v>
      </c>
      <c r="K308" s="593">
        <f t="shared" si="42"/>
        <v>2.3066277102875596E-3</v>
      </c>
      <c r="L308" s="536">
        <f t="shared" si="43"/>
        <v>1.5282730514518594E-3</v>
      </c>
      <c r="M308" s="426">
        <f t="shared" si="44"/>
        <v>7.7350331854360252</v>
      </c>
      <c r="N308" s="218">
        <f t="shared" si="41"/>
        <v>2.8441717022848265</v>
      </c>
      <c r="O308" s="426">
        <v>3.3750952836181529</v>
      </c>
      <c r="P308" s="426">
        <f t="shared" si="39"/>
        <v>0.28448696393035883</v>
      </c>
      <c r="Q308" s="926">
        <f t="shared" si="45"/>
        <v>0.34678960903110745</v>
      </c>
      <c r="R308" s="532">
        <f t="shared" si="38"/>
        <v>4.3252694821595883E-2</v>
      </c>
    </row>
    <row r="309" spans="1:18" s="6" customFormat="1" ht="15.75" customHeight="1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673">
        <f t="shared" si="40"/>
        <v>631.40000000000009</v>
      </c>
      <c r="G309" s="419">
        <v>1100</v>
      </c>
      <c r="H309" s="419">
        <v>32</v>
      </c>
      <c r="I309" s="419">
        <v>5000</v>
      </c>
      <c r="J309" s="419">
        <v>16</v>
      </c>
      <c r="K309" s="593">
        <f t="shared" si="42"/>
        <v>4.9208057819467941E-3</v>
      </c>
      <c r="L309" s="536">
        <f t="shared" si="43"/>
        <v>2.0376974019358125E-3</v>
      </c>
      <c r="M309" s="426">
        <f t="shared" si="44"/>
        <v>14.035370506923057</v>
      </c>
      <c r="N309" s="218">
        <f t="shared" si="41"/>
        <v>5.1608057353956083</v>
      </c>
      <c r="O309" s="426">
        <v>6.1151247417380681</v>
      </c>
      <c r="P309" s="426">
        <f t="shared" si="39"/>
        <v>0.38116125407537521</v>
      </c>
      <c r="Q309" s="926">
        <f t="shared" si="45"/>
        <v>0.46463556871788242</v>
      </c>
      <c r="R309" s="532">
        <f t="shared" si="38"/>
        <v>4.0691261067678342E-2</v>
      </c>
    </row>
    <row r="310" spans="1:18" s="6" customFormat="1" ht="15.75" customHeight="1">
      <c r="A310" s="268">
        <v>219</v>
      </c>
      <c r="B310" s="122" t="s">
        <v>1262</v>
      </c>
      <c r="C310" s="55">
        <v>373.3</v>
      </c>
      <c r="D310" s="256"/>
      <c r="E310" s="256"/>
      <c r="F310" s="673">
        <f t="shared" si="40"/>
        <v>373.3</v>
      </c>
      <c r="G310" s="419">
        <v>1100</v>
      </c>
      <c r="H310" s="419">
        <v>16</v>
      </c>
      <c r="I310" s="419">
        <v>5000</v>
      </c>
      <c r="J310" s="419">
        <v>16</v>
      </c>
      <c r="K310" s="593">
        <f t="shared" si="42"/>
        <v>2.460402890973397E-3</v>
      </c>
      <c r="L310" s="536">
        <f t="shared" si="43"/>
        <v>2.0376974019358125E-3</v>
      </c>
      <c r="M310" s="426">
        <f t="shared" si="44"/>
        <v>9.0727132718008043</v>
      </c>
      <c r="N310" s="218">
        <f t="shared" si="41"/>
        <v>3.3360366700411559</v>
      </c>
      <c r="O310" s="426">
        <v>3.9617944791862483</v>
      </c>
      <c r="P310" s="426">
        <f t="shared" si="39"/>
        <v>0.37870085118440178</v>
      </c>
      <c r="Q310" s="926">
        <f t="shared" si="45"/>
        <v>0.46163633759378581</v>
      </c>
      <c r="R310" s="532">
        <f t="shared" si="38"/>
        <v>4.4868055912704555E-2</v>
      </c>
    </row>
    <row r="311" spans="1:18" s="6" customFormat="1" ht="15.75" customHeight="1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673">
        <f t="shared" si="40"/>
        <v>918.4</v>
      </c>
      <c r="G311" s="419">
        <v>1100</v>
      </c>
      <c r="H311" s="419">
        <v>29</v>
      </c>
      <c r="I311" s="419">
        <v>5000</v>
      </c>
      <c r="J311" s="419">
        <v>16</v>
      </c>
      <c r="K311" s="593">
        <f t="shared" si="42"/>
        <v>4.4594802398892821E-3</v>
      </c>
      <c r="L311" s="536">
        <f t="shared" si="43"/>
        <v>2.0376974019358125E-3</v>
      </c>
      <c r="M311" s="426">
        <f t="shared" si="44"/>
        <v>13.104872275337634</v>
      </c>
      <c r="N311" s="218">
        <f t="shared" si="41"/>
        <v>4.818661535641648</v>
      </c>
      <c r="O311" s="426">
        <v>5.711375317509602</v>
      </c>
      <c r="P311" s="426">
        <f t="shared" si="39"/>
        <v>0.38069992853331769</v>
      </c>
      <c r="Q311" s="926">
        <f t="shared" si="45"/>
        <v>0.46407321288211428</v>
      </c>
      <c r="R311" s="532">
        <f t="shared" si="38"/>
        <v>2.6149400105642644E-2</v>
      </c>
    </row>
    <row r="312" spans="1:18" s="6" customFormat="1" ht="15.75" customHeight="1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673">
        <f t="shared" si="40"/>
        <v>778.80000000000007</v>
      </c>
      <c r="G312" s="419">
        <v>1100</v>
      </c>
      <c r="H312" s="419">
        <v>18</v>
      </c>
      <c r="I312" s="419">
        <v>5000</v>
      </c>
      <c r="J312" s="419">
        <v>23</v>
      </c>
      <c r="K312" s="593">
        <f t="shared" si="42"/>
        <v>2.7679532523450716E-3</v>
      </c>
      <c r="L312" s="536">
        <f t="shared" si="43"/>
        <v>2.9291900152827307E-3</v>
      </c>
      <c r="M312" s="426">
        <f t="shared" si="44"/>
        <v>11.491194942237952</v>
      </c>
      <c r="N312" s="218">
        <f t="shared" si="41"/>
        <v>4.2253123802608954</v>
      </c>
      <c r="O312" s="426">
        <v>5.0221638567827886</v>
      </c>
      <c r="P312" s="426">
        <f t="shared" si="39"/>
        <v>0.54361359767414841</v>
      </c>
      <c r="Q312" s="926">
        <f t="shared" si="45"/>
        <v>0.66266497556478698</v>
      </c>
      <c r="R312" s="532">
        <f t="shared" si="38"/>
        <v>2.7327022055669982E-2</v>
      </c>
    </row>
    <row r="313" spans="1:18" s="6" customFormat="1" ht="15.75" customHeight="1">
      <c r="A313" s="268">
        <v>222</v>
      </c>
      <c r="B313" s="122" t="s">
        <v>1265</v>
      </c>
      <c r="C313" s="55">
        <v>806.91</v>
      </c>
      <c r="D313" s="256"/>
      <c r="E313" s="256"/>
      <c r="F313" s="673">
        <f t="shared" si="40"/>
        <v>806.91</v>
      </c>
      <c r="G313" s="419">
        <v>1100</v>
      </c>
      <c r="H313" s="419">
        <v>31</v>
      </c>
      <c r="I313" s="419">
        <v>5000</v>
      </c>
      <c r="J313" s="419">
        <v>24</v>
      </c>
      <c r="K313" s="593">
        <f t="shared" si="42"/>
        <v>4.767030601260957E-3</v>
      </c>
      <c r="L313" s="536">
        <f t="shared" si="43"/>
        <v>3.0565461029037188E-3</v>
      </c>
      <c r="M313" s="426">
        <f t="shared" si="44"/>
        <v>15.780232448067194</v>
      </c>
      <c r="N313" s="218">
        <f t="shared" si="41"/>
        <v>5.8023914711543076</v>
      </c>
      <c r="O313" s="426">
        <v>6.8847737086457945</v>
      </c>
      <c r="P313" s="426">
        <f t="shared" si="39"/>
        <v>0.56912770304140348</v>
      </c>
      <c r="Q313" s="926">
        <f t="shared" si="45"/>
        <v>0.69376667000747083</v>
      </c>
      <c r="R313" s="532">
        <f t="shared" si="38"/>
        <v>3.5984837628618684E-2</v>
      </c>
    </row>
    <row r="314" spans="1:18" s="6" customFormat="1" ht="15.75" customHeight="1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673">
        <f t="shared" si="40"/>
        <v>805</v>
      </c>
      <c r="G314" s="419">
        <v>1100</v>
      </c>
      <c r="H314" s="419">
        <v>24</v>
      </c>
      <c r="I314" s="419">
        <v>5000</v>
      </c>
      <c r="J314" s="419">
        <v>10</v>
      </c>
      <c r="K314" s="593">
        <f t="shared" si="42"/>
        <v>3.6906043364600956E-3</v>
      </c>
      <c r="L314" s="536">
        <f t="shared" si="43"/>
        <v>1.2735608762098828E-3</v>
      </c>
      <c r="M314" s="426">
        <f t="shared" si="44"/>
        <v>10.012770875607472</v>
      </c>
      <c r="N314" s="218">
        <f t="shared" si="41"/>
        <v>3.6816958509608679</v>
      </c>
      <c r="O314" s="426">
        <v>4.3602855292242477</v>
      </c>
      <c r="P314" s="426">
        <f t="shared" si="39"/>
        <v>0.23884088451985283</v>
      </c>
      <c r="Q314" s="926">
        <f t="shared" si="45"/>
        <v>0.29114703822970062</v>
      </c>
      <c r="R314" s="532">
        <f t="shared" si="38"/>
        <v>2.272496042274837E-2</v>
      </c>
    </row>
    <row r="315" spans="1:18" s="6" customFormat="1" ht="15.75" customHeight="1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673">
        <f t="shared" si="40"/>
        <v>491.9</v>
      </c>
      <c r="G315" s="419">
        <v>1100</v>
      </c>
      <c r="H315" s="419">
        <v>31</v>
      </c>
      <c r="I315" s="419">
        <v>5000</v>
      </c>
      <c r="J315" s="419">
        <v>23</v>
      </c>
      <c r="K315" s="593">
        <f t="shared" si="42"/>
        <v>4.767030601260957E-3</v>
      </c>
      <c r="L315" s="536">
        <f t="shared" si="43"/>
        <v>2.9291900152827307E-3</v>
      </c>
      <c r="M315" s="426">
        <f t="shared" si="44"/>
        <v>15.523353945774783</v>
      </c>
      <c r="N315" s="218">
        <f t="shared" si="41"/>
        <v>5.7079372458613884</v>
      </c>
      <c r="O315" s="426">
        <v>6.7717446951061433</v>
      </c>
      <c r="P315" s="426">
        <f t="shared" si="39"/>
        <v>0.54561267502306432</v>
      </c>
      <c r="Q315" s="926">
        <f t="shared" si="45"/>
        <v>0.66510185085311546</v>
      </c>
      <c r="R315" s="532">
        <f t="shared" si="38"/>
        <v>5.8037504699665336E-2</v>
      </c>
    </row>
    <row r="316" spans="1:18" s="6" customFormat="1" ht="15.75" customHeight="1">
      <c r="A316" s="275">
        <v>225</v>
      </c>
      <c r="B316" s="122" t="s">
        <v>1268</v>
      </c>
      <c r="C316" s="55">
        <v>640.20000000000005</v>
      </c>
      <c r="D316" s="256"/>
      <c r="E316" s="256"/>
      <c r="F316" s="673">
        <f t="shared" si="40"/>
        <v>640.20000000000005</v>
      </c>
      <c r="G316" s="419">
        <v>1100</v>
      </c>
      <c r="H316" s="419">
        <v>17</v>
      </c>
      <c r="I316" s="419">
        <v>5000</v>
      </c>
      <c r="J316" s="419">
        <v>9</v>
      </c>
      <c r="K316" s="593">
        <f t="shared" si="42"/>
        <v>2.6141780716592345E-3</v>
      </c>
      <c r="L316" s="536">
        <f t="shared" si="43"/>
        <v>1.1462047885888945E-3</v>
      </c>
      <c r="M316" s="426">
        <f t="shared" si="44"/>
        <v>7.5847298329490789</v>
      </c>
      <c r="N316" s="218">
        <f t="shared" si="41"/>
        <v>2.7889051595753767</v>
      </c>
      <c r="O316" s="426">
        <v>3.3051745258181744</v>
      </c>
      <c r="P316" s="426">
        <f t="shared" si="39"/>
        <v>0.2142494302367127</v>
      </c>
      <c r="Q316" s="926">
        <f t="shared" si="45"/>
        <v>0.26117005545855282</v>
      </c>
      <c r="R316" s="532">
        <f t="shared" si="38"/>
        <v>2.1701123006215777E-2</v>
      </c>
    </row>
    <row r="317" spans="1:18" s="6" customFormat="1" ht="15.75" customHeight="1">
      <c r="A317" s="268">
        <v>226</v>
      </c>
      <c r="B317" s="122" t="s">
        <v>1269</v>
      </c>
      <c r="C317" s="55">
        <v>537.94000000000005</v>
      </c>
      <c r="D317" s="256"/>
      <c r="E317" s="256"/>
      <c r="F317" s="673">
        <f t="shared" si="40"/>
        <v>537.94000000000005</v>
      </c>
      <c r="G317" s="419">
        <v>1100</v>
      </c>
      <c r="H317" s="419">
        <v>26</v>
      </c>
      <c r="I317" s="419">
        <v>5000</v>
      </c>
      <c r="J317" s="419">
        <v>21</v>
      </c>
      <c r="K317" s="593">
        <f t="shared" si="42"/>
        <v>3.9981546978317701E-3</v>
      </c>
      <c r="L317" s="536">
        <f t="shared" si="43"/>
        <v>2.6744778400407537E-3</v>
      </c>
      <c r="M317" s="426">
        <f t="shared" si="44"/>
        <v>13.458766555214259</v>
      </c>
      <c r="N317" s="218">
        <f t="shared" si="41"/>
        <v>4.9487884623522831</v>
      </c>
      <c r="O317" s="426">
        <v>5.8727709609793957</v>
      </c>
      <c r="P317" s="426">
        <f t="shared" si="39"/>
        <v>0.49781374308295651</v>
      </c>
      <c r="Q317" s="926">
        <f t="shared" si="45"/>
        <v>0.60683495281812405</v>
      </c>
      <c r="R317" s="532">
        <f t="shared" si="38"/>
        <v>4.6061158719613512E-2</v>
      </c>
    </row>
    <row r="318" spans="1:18" s="6" customFormat="1" ht="15.75" customHeight="1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673">
        <f t="shared" si="40"/>
        <v>929.9</v>
      </c>
      <c r="G318" s="419">
        <v>1100</v>
      </c>
      <c r="H318" s="419">
        <v>36</v>
      </c>
      <c r="I318" s="419">
        <v>5000</v>
      </c>
      <c r="J318" s="419">
        <v>21</v>
      </c>
      <c r="K318" s="593">
        <f t="shared" si="42"/>
        <v>5.5359065046901431E-3</v>
      </c>
      <c r="L318" s="536">
        <f t="shared" si="43"/>
        <v>2.6744778400407537E-3</v>
      </c>
      <c r="M318" s="426">
        <f t="shared" si="44"/>
        <v>16.560427327165669</v>
      </c>
      <c r="N318" s="218">
        <f t="shared" si="41"/>
        <v>6.0892691281988167</v>
      </c>
      <c r="O318" s="426">
        <v>7.2186023750742825</v>
      </c>
      <c r="P318" s="426">
        <f t="shared" si="39"/>
        <v>0.4993514948898149</v>
      </c>
      <c r="Q318" s="926">
        <f t="shared" si="45"/>
        <v>0.60870947227068439</v>
      </c>
      <c r="R318" s="532">
        <f t="shared" si="38"/>
        <v>3.2656898941099674E-2</v>
      </c>
    </row>
    <row r="319" spans="1:18" s="6" customFormat="1" ht="15.75" customHeight="1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673">
        <f t="shared" si="40"/>
        <v>1417.36</v>
      </c>
      <c r="G319" s="419">
        <v>1100</v>
      </c>
      <c r="H319" s="419">
        <v>69</v>
      </c>
      <c r="I319" s="419">
        <v>5000</v>
      </c>
      <c r="J319" s="419">
        <v>26</v>
      </c>
      <c r="K319" s="593">
        <f t="shared" si="42"/>
        <v>1.0610487467322774E-2</v>
      </c>
      <c r="L319" s="536">
        <f t="shared" si="43"/>
        <v>3.3112582781456954E-3</v>
      </c>
      <c r="M319" s="426">
        <f t="shared" si="44"/>
        <v>28.080300386067357</v>
      </c>
      <c r="N319" s="218">
        <f t="shared" si="41"/>
        <v>10.325126451956969</v>
      </c>
      <c r="O319" s="426">
        <v>12.22499110928567</v>
      </c>
      <c r="P319" s="426">
        <f t="shared" si="39"/>
        <v>0.62200121594414393</v>
      </c>
      <c r="Q319" s="926">
        <f t="shared" si="45"/>
        <v>0.75821948223591151</v>
      </c>
      <c r="R319" s="532">
        <f t="shared" si="38"/>
        <v>3.6160480868130992E-2</v>
      </c>
    </row>
    <row r="320" spans="1:18" s="6" customFormat="1" ht="15.75" customHeight="1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673">
        <f t="shared" si="40"/>
        <v>785.9799999999999</v>
      </c>
      <c r="G320" s="419">
        <v>1100</v>
      </c>
      <c r="H320" s="419">
        <v>32</v>
      </c>
      <c r="I320" s="419">
        <v>5000</v>
      </c>
      <c r="J320" s="419">
        <v>20</v>
      </c>
      <c r="K320" s="593">
        <f t="shared" si="42"/>
        <v>4.9208057819467941E-3</v>
      </c>
      <c r="L320" s="536">
        <f t="shared" si="43"/>
        <v>2.5471217524197657E-3</v>
      </c>
      <c r="M320" s="426">
        <f t="shared" si="44"/>
        <v>15.062884516092694</v>
      </c>
      <c r="N320" s="218">
        <f t="shared" si="41"/>
        <v>5.5386226365672844</v>
      </c>
      <c r="O320" s="426">
        <v>6.5672407958966756</v>
      </c>
      <c r="P320" s="426">
        <f t="shared" si="39"/>
        <v>0.47522136614873228</v>
      </c>
      <c r="Q320" s="926">
        <f t="shared" si="45"/>
        <v>0.57929484533530473</v>
      </c>
      <c r="R320" s="532">
        <f t="shared" si="38"/>
        <v>3.5171339365766802E-2</v>
      </c>
    </row>
    <row r="321" spans="1:18" s="6" customFormat="1" ht="15.75" customHeight="1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673">
        <f t="shared" si="40"/>
        <v>485.67999999999995</v>
      </c>
      <c r="G321" s="419">
        <v>1100</v>
      </c>
      <c r="H321" s="419">
        <v>34</v>
      </c>
      <c r="I321" s="419">
        <v>5000</v>
      </c>
      <c r="J321" s="419">
        <v>32</v>
      </c>
      <c r="K321" s="593">
        <f t="shared" si="42"/>
        <v>5.228356143318469E-3</v>
      </c>
      <c r="L321" s="536">
        <f t="shared" si="43"/>
        <v>4.0753948038716251E-3</v>
      </c>
      <c r="M321" s="426">
        <f t="shared" si="44"/>
        <v>18.765758697991888</v>
      </c>
      <c r="N321" s="218">
        <f t="shared" si="41"/>
        <v>6.9001694732516174</v>
      </c>
      <c r="O321" s="426">
        <v>8.1927552411914739</v>
      </c>
      <c r="P321" s="426">
        <f t="shared" si="39"/>
        <v>0.75770925273017531</v>
      </c>
      <c r="Q321" s="926">
        <f t="shared" si="45"/>
        <v>0.92364757907808381</v>
      </c>
      <c r="R321" s="532">
        <f t="shared" si="38"/>
        <v>7.1274074833563572E-2</v>
      </c>
    </row>
    <row r="322" spans="1:18" s="6" customFormat="1" ht="15.75" customHeight="1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673">
        <f t="shared" si="40"/>
        <v>461.17</v>
      </c>
      <c r="G322" s="419">
        <v>1100</v>
      </c>
      <c r="H322" s="419">
        <v>32</v>
      </c>
      <c r="I322" s="419">
        <v>5000</v>
      </c>
      <c r="J322" s="419">
        <v>28</v>
      </c>
      <c r="K322" s="593">
        <f t="shared" si="42"/>
        <v>4.9208057819467941E-3</v>
      </c>
      <c r="L322" s="536">
        <f t="shared" si="43"/>
        <v>3.5659704533876719E-3</v>
      </c>
      <c r="M322" s="426">
        <f t="shared" si="44"/>
        <v>17.117912534431969</v>
      </c>
      <c r="N322" s="218">
        <f t="shared" si="41"/>
        <v>6.2942564389106357</v>
      </c>
      <c r="O322" s="426">
        <v>7.4714729042138899</v>
      </c>
      <c r="P322" s="426">
        <f t="shared" si="39"/>
        <v>0.66334159029544648</v>
      </c>
      <c r="Q322" s="926">
        <f t="shared" si="45"/>
        <v>0.80861339857014936</v>
      </c>
      <c r="R322" s="532">
        <f t="shared" si="38"/>
        <v>6.8406408629902077E-2</v>
      </c>
    </row>
    <row r="323" spans="1:18" s="6" customFormat="1" ht="15.75" customHeight="1">
      <c r="A323" s="275">
        <v>232</v>
      </c>
      <c r="B323" s="122" t="s">
        <v>1275</v>
      </c>
      <c r="C323" s="55">
        <v>305.37</v>
      </c>
      <c r="D323" s="256"/>
      <c r="E323" s="256"/>
      <c r="F323" s="673">
        <f t="shared" si="40"/>
        <v>305.37</v>
      </c>
      <c r="G323" s="419">
        <v>1100</v>
      </c>
      <c r="H323" s="419">
        <v>13</v>
      </c>
      <c r="I323" s="419">
        <v>5000</v>
      </c>
      <c r="J323" s="419">
        <v>11</v>
      </c>
      <c r="K323" s="593">
        <f t="shared" si="42"/>
        <v>1.999077348915885E-3</v>
      </c>
      <c r="L323" s="536">
        <f t="shared" si="43"/>
        <v>1.4009169638308711E-3</v>
      </c>
      <c r="M323" s="426">
        <f t="shared" si="44"/>
        <v>6.857822528753335</v>
      </c>
      <c r="N323" s="218">
        <f t="shared" si="41"/>
        <v>2.5216213438226016</v>
      </c>
      <c r="O323" s="426">
        <v>2.9928999872595234</v>
      </c>
      <c r="P323" s="426">
        <f t="shared" si="39"/>
        <v>0.26066438555064791</v>
      </c>
      <c r="Q323" s="926">
        <f t="shared" si="45"/>
        <v>0.31774988598623982</v>
      </c>
      <c r="R323" s="532">
        <f t="shared" si="38"/>
        <v>4.1369513198369547E-2</v>
      </c>
    </row>
    <row r="324" spans="1:18" s="6" customFormat="1" ht="15.75" customHeight="1">
      <c r="A324" s="268">
        <v>233</v>
      </c>
      <c r="B324" s="122" t="s">
        <v>1276</v>
      </c>
      <c r="C324" s="55">
        <v>170.8</v>
      </c>
      <c r="D324" s="256"/>
      <c r="E324" s="256"/>
      <c r="F324" s="673">
        <f t="shared" si="40"/>
        <v>170.8</v>
      </c>
      <c r="G324" s="419">
        <v>1100</v>
      </c>
      <c r="H324" s="419">
        <v>7</v>
      </c>
      <c r="I324" s="419">
        <v>5000</v>
      </c>
      <c r="J324" s="419">
        <v>7</v>
      </c>
      <c r="K324" s="593">
        <f t="shared" si="42"/>
        <v>1.0764262648008613E-3</v>
      </c>
      <c r="L324" s="536">
        <f t="shared" si="43"/>
        <v>8.9149261334691798E-4</v>
      </c>
      <c r="M324" s="426">
        <f t="shared" si="44"/>
        <v>3.9693120564128521</v>
      </c>
      <c r="N324" s="218">
        <f t="shared" si="41"/>
        <v>1.4595160431430059</v>
      </c>
      <c r="O324" s="426">
        <v>1.733285084643984</v>
      </c>
      <c r="P324" s="426">
        <f t="shared" si="39"/>
        <v>0.1656816223931758</v>
      </c>
      <c r="Q324" s="926">
        <f t="shared" si="45"/>
        <v>0.20196589769728132</v>
      </c>
      <c r="R324" s="532">
        <f t="shared" si="38"/>
        <v>4.290277989808558E-2</v>
      </c>
    </row>
    <row r="325" spans="1:18" s="6" customFormat="1" ht="15.75" customHeight="1">
      <c r="A325" s="268">
        <v>234</v>
      </c>
      <c r="B325" s="122" t="s">
        <v>1277</v>
      </c>
      <c r="C325" s="55">
        <v>678.2</v>
      </c>
      <c r="D325" s="256"/>
      <c r="E325" s="256"/>
      <c r="F325" s="673">
        <f t="shared" si="40"/>
        <v>678.2</v>
      </c>
      <c r="G325" s="419">
        <v>1100</v>
      </c>
      <c r="H325" s="419">
        <v>26</v>
      </c>
      <c r="I325" s="419">
        <v>5000</v>
      </c>
      <c r="J325" s="419">
        <v>27</v>
      </c>
      <c r="K325" s="593">
        <f t="shared" si="42"/>
        <v>3.9981546978317701E-3</v>
      </c>
      <c r="L325" s="536">
        <f t="shared" si="43"/>
        <v>3.4386143657666839E-3</v>
      </c>
      <c r="M325" s="426">
        <f t="shared" si="44"/>
        <v>15.000037568968718</v>
      </c>
      <c r="N325" s="218">
        <f t="shared" si="41"/>
        <v>5.5155138141097977</v>
      </c>
      <c r="O325" s="426">
        <v>6.5509450422173057</v>
      </c>
      <c r="P325" s="426">
        <f t="shared" si="39"/>
        <v>0.63890391119299228</v>
      </c>
      <c r="Q325" s="926">
        <f t="shared" si="45"/>
        <v>0.7788238677442576</v>
      </c>
      <c r="R325" s="532">
        <f t="shared" si="38"/>
        <v>4.0851371773059295E-2</v>
      </c>
    </row>
    <row r="326" spans="1:18" s="6" customFormat="1" ht="15.75" customHeight="1">
      <c r="A326" s="268">
        <v>235</v>
      </c>
      <c r="B326" s="122" t="s">
        <v>1278</v>
      </c>
      <c r="C326" s="55">
        <v>2613.27</v>
      </c>
      <c r="D326" s="256"/>
      <c r="E326" s="256"/>
      <c r="F326" s="673">
        <f t="shared" si="40"/>
        <v>2613.27</v>
      </c>
      <c r="G326" s="419">
        <v>1100</v>
      </c>
      <c r="H326" s="419">
        <v>102</v>
      </c>
      <c r="I326" s="419">
        <v>5000</v>
      </c>
      <c r="J326" s="419">
        <v>50</v>
      </c>
      <c r="K326" s="593">
        <f t="shared" si="42"/>
        <v>1.5685068429955405E-2</v>
      </c>
      <c r="L326" s="536">
        <f t="shared" si="43"/>
        <v>6.3678043810494137E-3</v>
      </c>
      <c r="M326" s="426">
        <f t="shared" si="44"/>
        <v>44.480864988524829</v>
      </c>
      <c r="N326" s="218">
        <f t="shared" si="41"/>
        <v>16.355614056280579</v>
      </c>
      <c r="O326" s="426">
        <v>19.378931100750439</v>
      </c>
      <c r="P326" s="426">
        <f t="shared" si="39"/>
        <v>1.191436469346919</v>
      </c>
      <c r="Q326" s="926">
        <f t="shared" si="45"/>
        <v>1.4523610561338944</v>
      </c>
      <c r="R326" s="532">
        <f t="shared" si="38"/>
        <v>3.1151334004868522E-2</v>
      </c>
    </row>
    <row r="327" spans="1:18" s="6" customFormat="1" ht="15.75" customHeight="1">
      <c r="A327" s="268">
        <v>236</v>
      </c>
      <c r="B327" s="122" t="s">
        <v>1279</v>
      </c>
      <c r="C327" s="55">
        <v>2055.4499999999998</v>
      </c>
      <c r="D327" s="256"/>
      <c r="E327" s="256"/>
      <c r="F327" s="673">
        <f t="shared" si="40"/>
        <v>2055.4499999999998</v>
      </c>
      <c r="G327" s="419">
        <v>1100</v>
      </c>
      <c r="H327" s="419">
        <v>48</v>
      </c>
      <c r="I327" s="419">
        <v>5000</v>
      </c>
      <c r="J327" s="419">
        <v>96</v>
      </c>
      <c r="K327" s="593">
        <f t="shared" si="42"/>
        <v>7.3812086729201911E-3</v>
      </c>
      <c r="L327" s="536">
        <f t="shared" si="43"/>
        <v>1.2226184411614875E-2</v>
      </c>
      <c r="M327" s="426">
        <f t="shared" si="44"/>
        <v>39.548307925438074</v>
      </c>
      <c r="N327" s="218">
        <f t="shared" si="41"/>
        <v>14.541912824183582</v>
      </c>
      <c r="O327" s="426">
        <v>17.310776087462035</v>
      </c>
      <c r="P327" s="426">
        <f t="shared" si="39"/>
        <v>2.2648238984334905</v>
      </c>
      <c r="Q327" s="926">
        <f t="shared" si="45"/>
        <v>2.7608203321904252</v>
      </c>
      <c r="R327" s="532">
        <f t="shared" ref="R327:R390" si="46">(P327+O327+N327+M327)/F327</f>
        <v>3.5839266698541525E-2</v>
      </c>
    </row>
    <row r="328" spans="1:18" s="6" customFormat="1" ht="15.75" customHeight="1">
      <c r="A328" s="268">
        <v>237</v>
      </c>
      <c r="B328" s="122" t="s">
        <v>1280</v>
      </c>
      <c r="C328" s="55">
        <v>3486.96</v>
      </c>
      <c r="D328" s="256"/>
      <c r="E328" s="256"/>
      <c r="F328" s="673">
        <f t="shared" si="40"/>
        <v>3486.96</v>
      </c>
      <c r="G328" s="419">
        <v>1100</v>
      </c>
      <c r="H328" s="419">
        <v>72</v>
      </c>
      <c r="I328" s="419">
        <v>5000</v>
      </c>
      <c r="J328" s="419">
        <v>230</v>
      </c>
      <c r="K328" s="593">
        <f t="shared" si="42"/>
        <v>1.1071813009380286E-2</v>
      </c>
      <c r="L328" s="536">
        <f t="shared" si="43"/>
        <v>2.9291900152827306E-2</v>
      </c>
      <c r="M328" s="426">
        <f t="shared" si="44"/>
        <v>81.414013085304333</v>
      </c>
      <c r="N328" s="218">
        <f t="shared" si="41"/>
        <v>29.935932611466406</v>
      </c>
      <c r="O328" s="426">
        <v>35.686659295603114</v>
      </c>
      <c r="P328" s="426">
        <f t="shared" ref="P328:P379" si="47">K328+L328*184.64</f>
        <v>5.4195282572274133</v>
      </c>
      <c r="Q328" s="926">
        <f t="shared" si="45"/>
        <v>6.6064049455602172</v>
      </c>
      <c r="R328" s="532">
        <f t="shared" si="46"/>
        <v>4.3721790112189775E-2</v>
      </c>
    </row>
    <row r="329" spans="1:18" s="6" customFormat="1" ht="15.75" customHeight="1">
      <c r="A329" s="268">
        <v>238</v>
      </c>
      <c r="B329" s="122" t="s">
        <v>1281</v>
      </c>
      <c r="C329" s="55">
        <v>394.94</v>
      </c>
      <c r="D329" s="256"/>
      <c r="E329" s="256"/>
      <c r="F329" s="673">
        <f t="shared" si="40"/>
        <v>394.94</v>
      </c>
      <c r="G329" s="419">
        <v>1100</v>
      </c>
      <c r="H329" s="419">
        <v>25</v>
      </c>
      <c r="I329" s="419">
        <v>5000</v>
      </c>
      <c r="J329" s="419">
        <v>10</v>
      </c>
      <c r="K329" s="593">
        <f t="shared" si="42"/>
        <v>3.844379517145933E-3</v>
      </c>
      <c r="L329" s="536">
        <f t="shared" si="43"/>
        <v>1.2735608762098828E-3</v>
      </c>
      <c r="M329" s="426">
        <f t="shared" si="44"/>
        <v>10.322936952802616</v>
      </c>
      <c r="N329" s="218">
        <f t="shared" si="41"/>
        <v>3.7957439175455221</v>
      </c>
      <c r="O329" s="426">
        <v>4.4948686706337364</v>
      </c>
      <c r="P329" s="426">
        <f t="shared" si="47"/>
        <v>0.23899465970053868</v>
      </c>
      <c r="Q329" s="926">
        <f t="shared" si="45"/>
        <v>0.29133449017495666</v>
      </c>
      <c r="R329" s="532">
        <f t="shared" si="46"/>
        <v>4.7735210919842036E-2</v>
      </c>
    </row>
    <row r="330" spans="1:18" s="6" customFormat="1" ht="15.75" customHeight="1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673">
        <f t="shared" si="40"/>
        <v>351.67</v>
      </c>
      <c r="G330" s="419">
        <v>1100</v>
      </c>
      <c r="H330" s="419">
        <v>25</v>
      </c>
      <c r="I330" s="419">
        <v>5000</v>
      </c>
      <c r="J330" s="419">
        <v>7</v>
      </c>
      <c r="K330" s="593">
        <f t="shared" si="42"/>
        <v>3.844379517145933E-3</v>
      </c>
      <c r="L330" s="536">
        <f t="shared" si="43"/>
        <v>8.9149261334691798E-4</v>
      </c>
      <c r="M330" s="426">
        <f t="shared" si="44"/>
        <v>9.5523014459253854</v>
      </c>
      <c r="N330" s="218">
        <f t="shared" si="41"/>
        <v>3.5123812416667644</v>
      </c>
      <c r="O330" s="426">
        <v>4.1557816300147801</v>
      </c>
      <c r="P330" s="426">
        <f t="shared" si="47"/>
        <v>0.16844957564552088</v>
      </c>
      <c r="Q330" s="926">
        <f t="shared" si="45"/>
        <v>0.20534003271188997</v>
      </c>
      <c r="R330" s="532">
        <f t="shared" si="46"/>
        <v>4.9446679822710067E-2</v>
      </c>
    </row>
    <row r="331" spans="1:18" s="6" customFormat="1" ht="15.75" customHeight="1">
      <c r="A331" s="268">
        <v>240</v>
      </c>
      <c r="B331" s="122" t="s">
        <v>1283</v>
      </c>
      <c r="C331" s="55">
        <v>615.6</v>
      </c>
      <c r="D331" s="256"/>
      <c r="E331" s="256"/>
      <c r="F331" s="673">
        <f t="shared" si="40"/>
        <v>615.6</v>
      </c>
      <c r="G331" s="419">
        <v>1100</v>
      </c>
      <c r="H331" s="419">
        <v>14</v>
      </c>
      <c r="I331" s="419">
        <v>5000</v>
      </c>
      <c r="J331" s="419">
        <v>21</v>
      </c>
      <c r="K331" s="593">
        <f t="shared" si="42"/>
        <v>2.1528525296017225E-3</v>
      </c>
      <c r="L331" s="536">
        <f t="shared" si="43"/>
        <v>2.6744778400407537E-3</v>
      </c>
      <c r="M331" s="426">
        <f t="shared" si="44"/>
        <v>9.7367736288725695</v>
      </c>
      <c r="N331" s="218">
        <f t="shared" si="41"/>
        <v>3.5802116633364442</v>
      </c>
      <c r="O331" s="426">
        <v>4.2577732640655306</v>
      </c>
      <c r="P331" s="426">
        <f t="shared" si="47"/>
        <v>0.49596844091472647</v>
      </c>
      <c r="Q331" s="926">
        <f t="shared" si="45"/>
        <v>0.60458552947505162</v>
      </c>
      <c r="R331" s="532">
        <f t="shared" si="46"/>
        <v>2.9354657240398419E-2</v>
      </c>
    </row>
    <row r="332" spans="1:18" s="6" customFormat="1" ht="15.75" customHeight="1">
      <c r="A332" s="268">
        <v>241</v>
      </c>
      <c r="B332" s="122" t="s">
        <v>1284</v>
      </c>
      <c r="C332" s="55">
        <v>571.49</v>
      </c>
      <c r="D332" s="256"/>
      <c r="E332" s="256"/>
      <c r="F332" s="673">
        <f t="shared" si="40"/>
        <v>571.49</v>
      </c>
      <c r="G332" s="419">
        <v>1100</v>
      </c>
      <c r="H332" s="419">
        <v>34</v>
      </c>
      <c r="I332" s="419">
        <v>5000</v>
      </c>
      <c r="J332" s="419">
        <v>30</v>
      </c>
      <c r="K332" s="593">
        <f t="shared" si="42"/>
        <v>5.228356143318469E-3</v>
      </c>
      <c r="L332" s="536">
        <f t="shared" si="43"/>
        <v>3.8206826286296485E-3</v>
      </c>
      <c r="M332" s="426">
        <f t="shared" si="44"/>
        <v>18.25200169340707</v>
      </c>
      <c r="N332" s="218">
        <f t="shared" si="41"/>
        <v>6.7112610226657798</v>
      </c>
      <c r="O332" s="426">
        <v>7.9666972141121706</v>
      </c>
      <c r="P332" s="426">
        <f t="shared" si="47"/>
        <v>0.71067919669349677</v>
      </c>
      <c r="Q332" s="926">
        <f t="shared" si="45"/>
        <v>0.86631794076937263</v>
      </c>
      <c r="R332" s="532">
        <f t="shared" si="46"/>
        <v>5.8864790507057896E-2</v>
      </c>
    </row>
    <row r="333" spans="1:18" s="6" customFormat="1" ht="15.75" customHeight="1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673">
        <f t="shared" si="40"/>
        <v>339.26</v>
      </c>
      <c r="G333" s="419">
        <v>1100</v>
      </c>
      <c r="H333" s="419">
        <v>24</v>
      </c>
      <c r="I333" s="419">
        <v>5000</v>
      </c>
      <c r="J333" s="419">
        <v>20</v>
      </c>
      <c r="K333" s="593">
        <f t="shared" si="42"/>
        <v>3.6906043364600956E-3</v>
      </c>
      <c r="L333" s="536">
        <f t="shared" si="43"/>
        <v>2.5471217524197657E-3</v>
      </c>
      <c r="M333" s="426">
        <f t="shared" si="44"/>
        <v>12.581555898531567</v>
      </c>
      <c r="N333" s="218">
        <f t="shared" si="41"/>
        <v>4.6262381038900573</v>
      </c>
      <c r="O333" s="426">
        <v>5.4905756646207662</v>
      </c>
      <c r="P333" s="426">
        <f t="shared" si="47"/>
        <v>0.47399116470324554</v>
      </c>
      <c r="Q333" s="926">
        <f t="shared" si="45"/>
        <v>0.57779522977325637</v>
      </c>
      <c r="R333" s="532">
        <f t="shared" si="46"/>
        <v>6.8302661179465998E-2</v>
      </c>
    </row>
    <row r="334" spans="1:18" s="6" customFormat="1" ht="15.75" customHeight="1">
      <c r="A334" s="268">
        <v>243</v>
      </c>
      <c r="B334" s="122" t="s">
        <v>1286</v>
      </c>
      <c r="C334" s="55">
        <v>364.76</v>
      </c>
      <c r="D334" s="256"/>
      <c r="E334" s="256"/>
      <c r="F334" s="673">
        <f t="shared" si="40"/>
        <v>364.76</v>
      </c>
      <c r="G334" s="419">
        <v>1100</v>
      </c>
      <c r="H334" s="419">
        <v>24</v>
      </c>
      <c r="I334" s="419">
        <v>5000</v>
      </c>
      <c r="J334" s="419">
        <v>23</v>
      </c>
      <c r="K334" s="593">
        <f t="shared" si="42"/>
        <v>3.6906043364600956E-3</v>
      </c>
      <c r="L334" s="536">
        <f t="shared" si="43"/>
        <v>2.9291900152827307E-3</v>
      </c>
      <c r="M334" s="426">
        <f t="shared" si="44"/>
        <v>13.352191405408798</v>
      </c>
      <c r="N334" s="218">
        <f t="shared" si="41"/>
        <v>4.909600779768815</v>
      </c>
      <c r="O334" s="426">
        <v>5.8296627052397216</v>
      </c>
      <c r="P334" s="426">
        <f t="shared" si="47"/>
        <v>0.54453624875826345</v>
      </c>
      <c r="Q334" s="926">
        <f t="shared" si="45"/>
        <v>0.66378968723632314</v>
      </c>
      <c r="R334" s="532">
        <f t="shared" si="46"/>
        <v>6.7540276179338735E-2</v>
      </c>
    </row>
    <row r="335" spans="1:18" s="6" customFormat="1" ht="15.75" customHeight="1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673">
        <f t="shared" ref="F335:F379" si="48">C335+D335+E335</f>
        <v>329.3</v>
      </c>
      <c r="G335" s="419">
        <v>1100</v>
      </c>
      <c r="H335" s="419">
        <v>13</v>
      </c>
      <c r="I335" s="419">
        <v>5000</v>
      </c>
      <c r="J335" s="419">
        <v>8</v>
      </c>
      <c r="K335" s="593">
        <f t="shared" si="42"/>
        <v>1.999077348915885E-3</v>
      </c>
      <c r="L335" s="536">
        <f t="shared" si="43"/>
        <v>1.0188487009679063E-3</v>
      </c>
      <c r="M335" s="426">
        <f t="shared" si="44"/>
        <v>6.0871870218761055</v>
      </c>
      <c r="N335" s="218">
        <f t="shared" ref="N335:N383" si="49">M335*0.3677</f>
        <v>2.2382586679438443</v>
      </c>
      <c r="O335" s="426">
        <v>2.6538129466405675</v>
      </c>
      <c r="P335" s="426">
        <f t="shared" si="47"/>
        <v>0.19011930149563008</v>
      </c>
      <c r="Q335" s="926">
        <f t="shared" si="45"/>
        <v>0.23175542852317307</v>
      </c>
      <c r="R335" s="532">
        <f t="shared" si="46"/>
        <v>3.3918548247665187E-2</v>
      </c>
    </row>
    <row r="336" spans="1:18" s="6" customFormat="1" ht="15.75" customHeight="1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673">
        <f t="shared" si="48"/>
        <v>445.65</v>
      </c>
      <c r="G336" s="419">
        <v>1100</v>
      </c>
      <c r="H336" s="419">
        <v>20</v>
      </c>
      <c r="I336" s="419">
        <v>5000</v>
      </c>
      <c r="J336" s="419">
        <v>9</v>
      </c>
      <c r="K336" s="593">
        <f t="shared" si="42"/>
        <v>3.0755036137167461E-3</v>
      </c>
      <c r="L336" s="536">
        <f t="shared" si="43"/>
        <v>1.1462047885888945E-3</v>
      </c>
      <c r="M336" s="426">
        <f t="shared" si="44"/>
        <v>8.5152280645344991</v>
      </c>
      <c r="N336" s="218">
        <f t="shared" si="49"/>
        <v>3.1310493593293356</v>
      </c>
      <c r="O336" s="426">
        <v>3.7089239500466404</v>
      </c>
      <c r="P336" s="426">
        <f t="shared" si="47"/>
        <v>0.21471075577877022</v>
      </c>
      <c r="Q336" s="926">
        <f t="shared" si="45"/>
        <v>0.2617324112943209</v>
      </c>
      <c r="R336" s="532">
        <f t="shared" si="46"/>
        <v>3.4937534230201385E-2</v>
      </c>
    </row>
    <row r="337" spans="1:18" s="6" customFormat="1" ht="15.75" customHeight="1">
      <c r="A337" s="275">
        <v>246</v>
      </c>
      <c r="B337" s="122" t="s">
        <v>1289</v>
      </c>
      <c r="C337" s="55">
        <v>515.54999999999995</v>
      </c>
      <c r="D337" s="256"/>
      <c r="E337" s="256"/>
      <c r="F337" s="673">
        <f t="shared" si="48"/>
        <v>515.54999999999995</v>
      </c>
      <c r="G337" s="419">
        <v>1100</v>
      </c>
      <c r="H337" s="419">
        <v>34</v>
      </c>
      <c r="I337" s="419">
        <v>5000</v>
      </c>
      <c r="J337" s="419">
        <v>15</v>
      </c>
      <c r="K337" s="593">
        <f t="shared" si="42"/>
        <v>5.228356143318469E-3</v>
      </c>
      <c r="L337" s="536">
        <f t="shared" si="43"/>
        <v>1.9103413143148242E-3</v>
      </c>
      <c r="M337" s="426">
        <f t="shared" si="44"/>
        <v>14.398824159020929</v>
      </c>
      <c r="N337" s="218">
        <f t="shared" si="49"/>
        <v>5.2944476432719965</v>
      </c>
      <c r="O337" s="426">
        <v>6.2712620110173933</v>
      </c>
      <c r="P337" s="426">
        <f t="shared" si="47"/>
        <v>0.35795377641840759</v>
      </c>
      <c r="Q337" s="926">
        <f t="shared" si="45"/>
        <v>0.43634565345403886</v>
      </c>
      <c r="R337" s="532">
        <f t="shared" si="46"/>
        <v>5.1057099388475857E-2</v>
      </c>
    </row>
    <row r="338" spans="1:18" s="6" customFormat="1" ht="15.75" customHeight="1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673">
        <f t="shared" si="48"/>
        <v>969.83999999999992</v>
      </c>
      <c r="G338" s="419">
        <v>1100</v>
      </c>
      <c r="H338" s="419">
        <v>36</v>
      </c>
      <c r="I338" s="419">
        <v>5000</v>
      </c>
      <c r="J338" s="419">
        <v>20</v>
      </c>
      <c r="K338" s="593">
        <f t="shared" si="42"/>
        <v>5.5359065046901431E-3</v>
      </c>
      <c r="L338" s="536">
        <f t="shared" si="43"/>
        <v>2.5471217524197657E-3</v>
      </c>
      <c r="M338" s="426">
        <f t="shared" si="44"/>
        <v>16.303548824873257</v>
      </c>
      <c r="N338" s="218">
        <f t="shared" si="49"/>
        <v>5.9948149029058966</v>
      </c>
      <c r="O338" s="426">
        <v>7.1055733615346304</v>
      </c>
      <c r="P338" s="426">
        <f t="shared" si="47"/>
        <v>0.47583646687147563</v>
      </c>
      <c r="Q338" s="926">
        <f t="shared" si="45"/>
        <v>0.5800446531163288</v>
      </c>
      <c r="R338" s="532">
        <f t="shared" si="46"/>
        <v>3.0808972156422979E-2</v>
      </c>
    </row>
    <row r="339" spans="1:18" s="6" customFormat="1" ht="15.75" customHeight="1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673">
        <f t="shared" si="48"/>
        <v>505.24</v>
      </c>
      <c r="G339" s="419">
        <v>1100</v>
      </c>
      <c r="H339" s="419">
        <v>21</v>
      </c>
      <c r="I339" s="419">
        <v>5000</v>
      </c>
      <c r="J339" s="419">
        <v>9</v>
      </c>
      <c r="K339" s="593">
        <f t="shared" si="42"/>
        <v>3.2292787944025836E-3</v>
      </c>
      <c r="L339" s="536">
        <f t="shared" si="43"/>
        <v>1.1462047885888945E-3</v>
      </c>
      <c r="M339" s="426">
        <f t="shared" si="44"/>
        <v>8.8253941417296424</v>
      </c>
      <c r="N339" s="218">
        <f t="shared" si="49"/>
        <v>3.2450974259139898</v>
      </c>
      <c r="O339" s="426">
        <v>3.8435070914561291</v>
      </c>
      <c r="P339" s="426">
        <f t="shared" si="47"/>
        <v>0.21486453095945604</v>
      </c>
      <c r="Q339" s="926">
        <f t="shared" si="45"/>
        <v>0.26191986323957694</v>
      </c>
      <c r="R339" s="532">
        <f t="shared" si="46"/>
        <v>3.1923171542354557E-2</v>
      </c>
    </row>
    <row r="340" spans="1:18" s="6" customFormat="1" ht="15.75" customHeight="1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673">
        <f t="shared" si="48"/>
        <v>497.67999999999995</v>
      </c>
      <c r="G340" s="419">
        <v>1100</v>
      </c>
      <c r="H340" s="419">
        <v>15</v>
      </c>
      <c r="I340" s="419">
        <v>5000</v>
      </c>
      <c r="J340" s="419">
        <v>12</v>
      </c>
      <c r="K340" s="593">
        <f t="shared" si="42"/>
        <v>2.3066277102875596E-3</v>
      </c>
      <c r="L340" s="536">
        <f t="shared" si="43"/>
        <v>1.5282730514518594E-3</v>
      </c>
      <c r="M340" s="426">
        <f t="shared" si="44"/>
        <v>7.7350331854360252</v>
      </c>
      <c r="N340" s="218">
        <f t="shared" si="49"/>
        <v>2.8441717022848265</v>
      </c>
      <c r="O340" s="426">
        <v>3.3750952836181529</v>
      </c>
      <c r="P340" s="426">
        <f t="shared" si="47"/>
        <v>0.28448696393035883</v>
      </c>
      <c r="Q340" s="926">
        <f t="shared" si="45"/>
        <v>0.34678960903110745</v>
      </c>
      <c r="R340" s="532">
        <f t="shared" si="46"/>
        <v>2.8610326184032642E-2</v>
      </c>
    </row>
    <row r="341" spans="1:18" s="6" customFormat="1" ht="15.75" customHeight="1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673">
        <f t="shared" si="48"/>
        <v>244.79999999999998</v>
      </c>
      <c r="G341" s="419">
        <v>1100</v>
      </c>
      <c r="H341" s="419">
        <v>14</v>
      </c>
      <c r="I341" s="419">
        <v>5000</v>
      </c>
      <c r="J341" s="419">
        <v>9</v>
      </c>
      <c r="K341" s="593">
        <f t="shared" si="42"/>
        <v>2.1528525296017225E-3</v>
      </c>
      <c r="L341" s="536">
        <f t="shared" si="43"/>
        <v>1.1462047885888945E-3</v>
      </c>
      <c r="M341" s="426">
        <f t="shared" si="44"/>
        <v>6.6542316013636569</v>
      </c>
      <c r="N341" s="218">
        <f t="shared" si="49"/>
        <v>2.4467609598214168</v>
      </c>
      <c r="O341" s="426">
        <v>2.9014251015897088</v>
      </c>
      <c r="P341" s="426">
        <f t="shared" si="47"/>
        <v>0.2137881046946552</v>
      </c>
      <c r="Q341" s="926">
        <f t="shared" si="45"/>
        <v>0.26060769962278468</v>
      </c>
      <c r="R341" s="532">
        <f t="shared" si="46"/>
        <v>4.9902801337701953E-2</v>
      </c>
    </row>
    <row r="342" spans="1:18" s="6" customFormat="1" ht="15.75" customHeight="1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673">
        <f t="shared" si="48"/>
        <v>607.48</v>
      </c>
      <c r="G342" s="419">
        <v>1100</v>
      </c>
      <c r="H342" s="419">
        <v>38</v>
      </c>
      <c r="I342" s="419">
        <v>5000</v>
      </c>
      <c r="J342" s="419">
        <v>22</v>
      </c>
      <c r="K342" s="593">
        <f t="shared" si="42"/>
        <v>5.8434568660618181E-3</v>
      </c>
      <c r="L342" s="536">
        <f t="shared" si="43"/>
        <v>2.8018339276617422E-3</v>
      </c>
      <c r="M342" s="426">
        <f t="shared" si="44"/>
        <v>17.437637983848358</v>
      </c>
      <c r="N342" s="218">
        <f t="shared" si="49"/>
        <v>6.4118194866610416</v>
      </c>
      <c r="O342" s="426">
        <v>7.600797671432912</v>
      </c>
      <c r="P342" s="426">
        <f t="shared" si="47"/>
        <v>0.52317407326952581</v>
      </c>
      <c r="Q342" s="926">
        <f t="shared" si="45"/>
        <v>0.63774919531555196</v>
      </c>
      <c r="R342" s="532">
        <f t="shared" si="46"/>
        <v>5.2632891972100866E-2</v>
      </c>
    </row>
    <row r="343" spans="1:18" s="6" customFormat="1" ht="15.75" customHeight="1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673">
        <f t="shared" si="48"/>
        <v>480.34999999999997</v>
      </c>
      <c r="G343" s="419">
        <v>1100</v>
      </c>
      <c r="H343" s="419">
        <v>21</v>
      </c>
      <c r="I343" s="419">
        <v>5000</v>
      </c>
      <c r="J343" s="419">
        <v>10</v>
      </c>
      <c r="K343" s="593">
        <f t="shared" si="42"/>
        <v>3.2292787944025836E-3</v>
      </c>
      <c r="L343" s="536">
        <f t="shared" si="43"/>
        <v>1.2735608762098828E-3</v>
      </c>
      <c r="M343" s="426">
        <f t="shared" si="44"/>
        <v>9.0822726440220514</v>
      </c>
      <c r="N343" s="218">
        <f t="shared" si="49"/>
        <v>3.3395516512069086</v>
      </c>
      <c r="O343" s="426">
        <v>3.9565361049957808</v>
      </c>
      <c r="P343" s="426">
        <f t="shared" si="47"/>
        <v>0.23837955897779531</v>
      </c>
      <c r="Q343" s="926">
        <f t="shared" si="45"/>
        <v>0.29058468239393248</v>
      </c>
      <c r="R343" s="532">
        <f t="shared" si="46"/>
        <v>3.4592984197361377E-2</v>
      </c>
    </row>
    <row r="344" spans="1:18" s="6" customFormat="1" ht="15.75" customHeight="1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673">
        <f t="shared" si="48"/>
        <v>1165.33</v>
      </c>
      <c r="G344" s="419">
        <v>1100</v>
      </c>
      <c r="H344" s="419">
        <v>34</v>
      </c>
      <c r="I344" s="419">
        <v>5000</v>
      </c>
      <c r="J344" s="419">
        <v>17</v>
      </c>
      <c r="K344" s="593">
        <f t="shared" si="42"/>
        <v>5.228356143318469E-3</v>
      </c>
      <c r="L344" s="536">
        <f t="shared" si="43"/>
        <v>2.1650534895568006E-3</v>
      </c>
      <c r="M344" s="426">
        <f t="shared" si="44"/>
        <v>14.912581163605747</v>
      </c>
      <c r="N344" s="218">
        <f t="shared" si="49"/>
        <v>5.4833560938578332</v>
      </c>
      <c r="O344" s="426">
        <v>6.4973200380966967</v>
      </c>
      <c r="P344" s="426">
        <f t="shared" si="47"/>
        <v>0.40498383245508607</v>
      </c>
      <c r="Q344" s="926">
        <f t="shared" si="45"/>
        <v>0.49367529176274993</v>
      </c>
      <c r="R344" s="532">
        <f t="shared" si="46"/>
        <v>2.3425331131967222E-2</v>
      </c>
    </row>
    <row r="345" spans="1:18" s="6" customFormat="1" ht="15.75" customHeight="1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673">
        <f t="shared" si="48"/>
        <v>1416.02</v>
      </c>
      <c r="G345" s="419">
        <v>1100</v>
      </c>
      <c r="H345" s="419">
        <v>45</v>
      </c>
      <c r="I345" s="419">
        <v>5000</v>
      </c>
      <c r="J345" s="419">
        <v>20</v>
      </c>
      <c r="K345" s="593">
        <f t="shared" si="42"/>
        <v>6.9198831308626791E-3</v>
      </c>
      <c r="L345" s="536">
        <f t="shared" si="43"/>
        <v>2.5471217524197657E-3</v>
      </c>
      <c r="M345" s="426">
        <f t="shared" si="44"/>
        <v>19.095043519629524</v>
      </c>
      <c r="N345" s="218">
        <f t="shared" si="49"/>
        <v>7.0212475021677765</v>
      </c>
      <c r="O345" s="426">
        <v>8.3168216342200285</v>
      </c>
      <c r="P345" s="426">
        <f t="shared" si="47"/>
        <v>0.47722044349764814</v>
      </c>
      <c r="Q345" s="926">
        <f t="shared" si="45"/>
        <v>0.5817317206236331</v>
      </c>
      <c r="R345" s="532">
        <f t="shared" si="46"/>
        <v>2.4653841823925497E-2</v>
      </c>
    </row>
    <row r="346" spans="1:18" s="6" customFormat="1" ht="15.75" customHeight="1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673">
        <f t="shared" si="48"/>
        <v>1501.81</v>
      </c>
      <c r="G346" s="419">
        <v>1100</v>
      </c>
      <c r="H346" s="419">
        <v>29</v>
      </c>
      <c r="I346" s="419">
        <v>5000</v>
      </c>
      <c r="J346" s="419">
        <v>22</v>
      </c>
      <c r="K346" s="593">
        <f t="shared" si="42"/>
        <v>4.4594802398892821E-3</v>
      </c>
      <c r="L346" s="536">
        <f t="shared" si="43"/>
        <v>2.8018339276617422E-3</v>
      </c>
      <c r="M346" s="426">
        <f t="shared" si="44"/>
        <v>14.646143289092093</v>
      </c>
      <c r="N346" s="218">
        <f t="shared" si="49"/>
        <v>5.3853868873991626</v>
      </c>
      <c r="O346" s="426">
        <v>6.3895493987475129</v>
      </c>
      <c r="P346" s="426">
        <f t="shared" si="47"/>
        <v>0.5217900966433533</v>
      </c>
      <c r="Q346" s="926">
        <f t="shared" si="45"/>
        <v>0.63606212780824767</v>
      </c>
      <c r="R346" s="532">
        <f t="shared" si="46"/>
        <v>1.7940265194586615E-2</v>
      </c>
    </row>
    <row r="347" spans="1:18" s="6" customFormat="1" ht="15.75" customHeight="1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673">
        <f t="shared" si="48"/>
        <v>970</v>
      </c>
      <c r="G347" s="419">
        <v>1100</v>
      </c>
      <c r="H347" s="419">
        <v>12</v>
      </c>
      <c r="I347" s="419">
        <v>5000</v>
      </c>
      <c r="J347" s="419">
        <v>9</v>
      </c>
      <c r="K347" s="593">
        <f t="shared" si="42"/>
        <v>1.8453021682300478E-3</v>
      </c>
      <c r="L347" s="536">
        <f t="shared" si="43"/>
        <v>1.1462047885888945E-3</v>
      </c>
      <c r="M347" s="426">
        <f t="shared" si="44"/>
        <v>6.0338994469733747</v>
      </c>
      <c r="N347" s="218">
        <f t="shared" si="49"/>
        <v>2.2186648266521098</v>
      </c>
      <c r="O347" s="426">
        <v>2.632258818770731</v>
      </c>
      <c r="P347" s="426">
        <f t="shared" si="47"/>
        <v>0.2134805543332835</v>
      </c>
      <c r="Q347" s="926">
        <f t="shared" si="45"/>
        <v>0.26023279573227259</v>
      </c>
      <c r="R347" s="532">
        <f t="shared" si="46"/>
        <v>1.1441550151267525E-2</v>
      </c>
    </row>
    <row r="348" spans="1:18" s="6" customFormat="1" ht="15.75" customHeight="1">
      <c r="A348" s="268">
        <v>257</v>
      </c>
      <c r="B348" s="122" t="s">
        <v>1300</v>
      </c>
      <c r="C348" s="55">
        <v>2158</v>
      </c>
      <c r="D348" s="256"/>
      <c r="E348" s="256"/>
      <c r="F348" s="673">
        <f t="shared" si="48"/>
        <v>2158</v>
      </c>
      <c r="G348" s="419">
        <v>1100</v>
      </c>
      <c r="H348" s="419">
        <v>42</v>
      </c>
      <c r="I348" s="419">
        <v>5000</v>
      </c>
      <c r="J348" s="419">
        <v>29</v>
      </c>
      <c r="K348" s="593">
        <f t="shared" ref="K348:K383" si="50">1/6503*H348</f>
        <v>6.4585575888051671E-3</v>
      </c>
      <c r="L348" s="536">
        <f t="shared" ref="L348:L383" si="51">1/7852*J348</f>
        <v>3.69332654100866E-3</v>
      </c>
      <c r="M348" s="426">
        <f t="shared" si="44"/>
        <v>20.476451808675787</v>
      </c>
      <c r="N348" s="218">
        <f t="shared" si="49"/>
        <v>7.5291913300500877</v>
      </c>
      <c r="O348" s="426">
        <v>8.9303333318484288</v>
      </c>
      <c r="P348" s="426">
        <f t="shared" si="47"/>
        <v>0.68839437012064408</v>
      </c>
      <c r="Q348" s="926">
        <f t="shared" si="45"/>
        <v>0.83915273717706518</v>
      </c>
      <c r="R348" s="532">
        <f t="shared" si="46"/>
        <v>1.7434833568440663E-2</v>
      </c>
    </row>
    <row r="349" spans="1:18" s="6" customFormat="1" ht="15.75" customHeight="1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673">
        <f t="shared" si="48"/>
        <v>729.1</v>
      </c>
      <c r="G349" s="419">
        <v>1100</v>
      </c>
      <c r="H349" s="419">
        <v>12</v>
      </c>
      <c r="I349" s="419">
        <v>5000</v>
      </c>
      <c r="J349" s="419">
        <v>6</v>
      </c>
      <c r="K349" s="593">
        <f t="shared" si="50"/>
        <v>1.8453021682300478E-3</v>
      </c>
      <c r="L349" s="536">
        <f t="shared" si="51"/>
        <v>7.641365257259297E-4</v>
      </c>
      <c r="M349" s="426">
        <f t="shared" ref="M349:M383" si="52">(K349+L349)*2017.01</f>
        <v>5.2632639400961461</v>
      </c>
      <c r="N349" s="218">
        <f t="shared" si="49"/>
        <v>1.935302150773353</v>
      </c>
      <c r="O349" s="426">
        <v>2.2931717781517755</v>
      </c>
      <c r="P349" s="426">
        <f t="shared" si="47"/>
        <v>0.14293547027826567</v>
      </c>
      <c r="Q349" s="926">
        <f t="shared" ref="Q349:Q412" si="53">P349*1.219</f>
        <v>0.17423833826920587</v>
      </c>
      <c r="R349" s="532">
        <f t="shared" si="46"/>
        <v>1.3214474474419886E-2</v>
      </c>
    </row>
    <row r="350" spans="1:18" s="6" customFormat="1" ht="15.75" customHeight="1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673">
        <f t="shared" si="48"/>
        <v>1052.04</v>
      </c>
      <c r="G350" s="419">
        <v>1100</v>
      </c>
      <c r="H350" s="419">
        <v>30</v>
      </c>
      <c r="I350" s="419">
        <v>5000</v>
      </c>
      <c r="J350" s="419">
        <v>16</v>
      </c>
      <c r="K350" s="593">
        <f t="shared" si="50"/>
        <v>4.6132554205751191E-3</v>
      </c>
      <c r="L350" s="536">
        <f t="shared" si="51"/>
        <v>2.0376974019358125E-3</v>
      </c>
      <c r="M350" s="426">
        <f t="shared" si="52"/>
        <v>13.415038352532774</v>
      </c>
      <c r="N350" s="218">
        <f t="shared" si="49"/>
        <v>4.9327096022263008</v>
      </c>
      <c r="O350" s="426">
        <v>5.8459584589190907</v>
      </c>
      <c r="P350" s="426">
        <f t="shared" si="47"/>
        <v>0.38085370371400351</v>
      </c>
      <c r="Q350" s="926">
        <f t="shared" si="53"/>
        <v>0.46426066482737033</v>
      </c>
      <c r="R350" s="532">
        <f t="shared" si="46"/>
        <v>2.3358959846956549E-2</v>
      </c>
    </row>
    <row r="351" spans="1:18" s="6" customFormat="1" ht="15.75" customHeight="1">
      <c r="A351" s="275">
        <v>260</v>
      </c>
      <c r="B351" s="122" t="s">
        <v>1303</v>
      </c>
      <c r="C351" s="55">
        <v>608.6</v>
      </c>
      <c r="D351" s="256"/>
      <c r="E351" s="256"/>
      <c r="F351" s="673">
        <f t="shared" si="48"/>
        <v>608.6</v>
      </c>
      <c r="G351" s="419">
        <v>1100</v>
      </c>
      <c r="H351" s="419">
        <v>29</v>
      </c>
      <c r="I351" s="419">
        <v>5000</v>
      </c>
      <c r="J351" s="419">
        <v>21</v>
      </c>
      <c r="K351" s="593">
        <f t="shared" si="50"/>
        <v>4.4594802398892821E-3</v>
      </c>
      <c r="L351" s="536">
        <f t="shared" si="51"/>
        <v>2.6744778400407537E-3</v>
      </c>
      <c r="M351" s="426">
        <f t="shared" si="52"/>
        <v>14.389264786799682</v>
      </c>
      <c r="N351" s="218">
        <f t="shared" si="49"/>
        <v>5.2909326621062434</v>
      </c>
      <c r="O351" s="426">
        <v>6.2765203852078608</v>
      </c>
      <c r="P351" s="426">
        <f t="shared" si="47"/>
        <v>0.49827506862501403</v>
      </c>
      <c r="Q351" s="926">
        <f t="shared" si="53"/>
        <v>0.60739730865389219</v>
      </c>
      <c r="R351" s="532">
        <f t="shared" si="46"/>
        <v>4.3468604835259286E-2</v>
      </c>
    </row>
    <row r="352" spans="1:18" s="6" customFormat="1" ht="15.75" customHeight="1">
      <c r="A352" s="268">
        <v>261</v>
      </c>
      <c r="B352" s="122" t="s">
        <v>1304</v>
      </c>
      <c r="C352" s="55">
        <v>415.8</v>
      </c>
      <c r="D352" s="256"/>
      <c r="E352" s="256"/>
      <c r="F352" s="673">
        <f t="shared" si="48"/>
        <v>415.8</v>
      </c>
      <c r="G352" s="419">
        <v>1100</v>
      </c>
      <c r="H352" s="419">
        <v>20</v>
      </c>
      <c r="I352" s="419">
        <v>5000</v>
      </c>
      <c r="J352" s="419">
        <v>16</v>
      </c>
      <c r="K352" s="593">
        <f t="shared" si="50"/>
        <v>3.0755036137167461E-3</v>
      </c>
      <c r="L352" s="536">
        <f t="shared" si="51"/>
        <v>2.0376974019358125E-3</v>
      </c>
      <c r="M352" s="426">
        <f t="shared" si="52"/>
        <v>10.313377580581367</v>
      </c>
      <c r="N352" s="218">
        <f t="shared" si="49"/>
        <v>3.792228936379769</v>
      </c>
      <c r="O352" s="426">
        <v>4.5001270448242039</v>
      </c>
      <c r="P352" s="426">
        <f t="shared" si="47"/>
        <v>0.37931595190714512</v>
      </c>
      <c r="Q352" s="926">
        <f t="shared" si="53"/>
        <v>0.46238614537480993</v>
      </c>
      <c r="R352" s="532">
        <f t="shared" si="46"/>
        <v>4.565908973952016E-2</v>
      </c>
    </row>
    <row r="353" spans="1:18" s="6" customFormat="1" ht="15.75" customHeight="1">
      <c r="A353" s="268">
        <v>262</v>
      </c>
      <c r="B353" s="122" t="s">
        <v>1305</v>
      </c>
      <c r="C353" s="55">
        <v>460.4</v>
      </c>
      <c r="D353" s="256"/>
      <c r="E353" s="256"/>
      <c r="F353" s="673">
        <f t="shared" si="48"/>
        <v>460.4</v>
      </c>
      <c r="G353" s="419">
        <v>1100</v>
      </c>
      <c r="H353" s="419">
        <v>20</v>
      </c>
      <c r="I353" s="419">
        <v>5000</v>
      </c>
      <c r="J353" s="419">
        <v>10</v>
      </c>
      <c r="K353" s="593">
        <f t="shared" si="50"/>
        <v>3.0755036137167461E-3</v>
      </c>
      <c r="L353" s="536">
        <f t="shared" si="51"/>
        <v>1.2735608762098828E-3</v>
      </c>
      <c r="M353" s="426">
        <f t="shared" si="52"/>
        <v>8.772106566826908</v>
      </c>
      <c r="N353" s="218">
        <f t="shared" si="49"/>
        <v>3.2255035846222544</v>
      </c>
      <c r="O353" s="426">
        <v>3.8219529635862921</v>
      </c>
      <c r="P353" s="426">
        <f t="shared" si="47"/>
        <v>0.23822578379710949</v>
      </c>
      <c r="Q353" s="926">
        <f t="shared" si="53"/>
        <v>0.29039723044867649</v>
      </c>
      <c r="R353" s="532">
        <f t="shared" si="46"/>
        <v>3.4877908120835278E-2</v>
      </c>
    </row>
    <row r="354" spans="1:18" s="6" customFormat="1" ht="15.75" customHeight="1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673">
        <f t="shared" si="48"/>
        <v>573</v>
      </c>
      <c r="G354" s="419">
        <v>1100</v>
      </c>
      <c r="H354" s="419">
        <v>20</v>
      </c>
      <c r="I354" s="419">
        <v>5000</v>
      </c>
      <c r="J354" s="419">
        <v>15</v>
      </c>
      <c r="K354" s="593">
        <f t="shared" si="50"/>
        <v>3.0755036137167461E-3</v>
      </c>
      <c r="L354" s="536">
        <f t="shared" si="51"/>
        <v>1.9103413143148242E-3</v>
      </c>
      <c r="M354" s="426">
        <f t="shared" si="52"/>
        <v>10.056499078288958</v>
      </c>
      <c r="N354" s="218">
        <f t="shared" si="49"/>
        <v>3.6977747110868502</v>
      </c>
      <c r="O354" s="426">
        <v>4.3870980312845518</v>
      </c>
      <c r="P354" s="426">
        <f t="shared" si="47"/>
        <v>0.35580092388880585</v>
      </c>
      <c r="Q354" s="926">
        <f t="shared" si="53"/>
        <v>0.43372132622045434</v>
      </c>
      <c r="R354" s="532">
        <f t="shared" si="46"/>
        <v>3.2281278786298724E-2</v>
      </c>
    </row>
    <row r="355" spans="1:18" s="6" customFormat="1" ht="15.75" customHeight="1">
      <c r="A355" s="268">
        <v>264</v>
      </c>
      <c r="B355" s="122" t="s">
        <v>1307</v>
      </c>
      <c r="C355" s="55">
        <v>791.22</v>
      </c>
      <c r="D355" s="256"/>
      <c r="E355" s="256"/>
      <c r="F355" s="673">
        <f t="shared" si="48"/>
        <v>791.22</v>
      </c>
      <c r="G355" s="419">
        <v>1100</v>
      </c>
      <c r="H355" s="419">
        <v>25</v>
      </c>
      <c r="I355" s="419">
        <v>5000</v>
      </c>
      <c r="J355" s="419">
        <v>10</v>
      </c>
      <c r="K355" s="593">
        <f t="shared" si="50"/>
        <v>3.844379517145933E-3</v>
      </c>
      <c r="L355" s="536">
        <f t="shared" si="51"/>
        <v>1.2735608762098828E-3</v>
      </c>
      <c r="M355" s="426">
        <f t="shared" si="52"/>
        <v>10.322936952802616</v>
      </c>
      <c r="N355" s="218">
        <f t="shared" si="49"/>
        <v>3.7957439175455221</v>
      </c>
      <c r="O355" s="426">
        <v>4.4948686706337364</v>
      </c>
      <c r="P355" s="426">
        <f t="shared" si="47"/>
        <v>0.23899465970053868</v>
      </c>
      <c r="Q355" s="926">
        <f t="shared" si="53"/>
        <v>0.29133449017495666</v>
      </c>
      <c r="R355" s="532">
        <f t="shared" si="46"/>
        <v>2.3827183590761625E-2</v>
      </c>
    </row>
    <row r="356" spans="1:18" s="6" customFormat="1" ht="15.75" customHeight="1">
      <c r="A356" s="268">
        <v>265</v>
      </c>
      <c r="B356" s="122" t="s">
        <v>1308</v>
      </c>
      <c r="C356" s="55">
        <v>765.5</v>
      </c>
      <c r="D356" s="256"/>
      <c r="E356" s="256"/>
      <c r="F356" s="673">
        <f t="shared" si="48"/>
        <v>765.5</v>
      </c>
      <c r="G356" s="419">
        <v>1100</v>
      </c>
      <c r="H356" s="419">
        <v>23</v>
      </c>
      <c r="I356" s="419">
        <v>5000</v>
      </c>
      <c r="J356" s="419">
        <v>14</v>
      </c>
      <c r="K356" s="593">
        <f t="shared" si="50"/>
        <v>3.5368291557742581E-3</v>
      </c>
      <c r="L356" s="536">
        <f t="shared" si="51"/>
        <v>1.782985226693836E-3</v>
      </c>
      <c r="M356" s="426">
        <f t="shared" si="52"/>
        <v>10.730118807581972</v>
      </c>
      <c r="N356" s="218">
        <f t="shared" si="49"/>
        <v>3.9454646855478912</v>
      </c>
      <c r="O356" s="426">
        <v>4.6778184419733666</v>
      </c>
      <c r="P356" s="426">
        <f t="shared" si="47"/>
        <v>0.33274722141252411</v>
      </c>
      <c r="Q356" s="926">
        <f t="shared" si="53"/>
        <v>0.40561886290186694</v>
      </c>
      <c r="R356" s="532">
        <f t="shared" si="46"/>
        <v>2.5716719995448403E-2</v>
      </c>
    </row>
    <row r="357" spans="1:18" s="6" customFormat="1" ht="15.75" customHeight="1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673">
        <f t="shared" si="48"/>
        <v>806.19999999999993</v>
      </c>
      <c r="G357" s="419">
        <v>1100</v>
      </c>
      <c r="H357" s="419">
        <v>30</v>
      </c>
      <c r="I357" s="419">
        <v>5000</v>
      </c>
      <c r="J357" s="419">
        <v>11</v>
      </c>
      <c r="K357" s="593">
        <f t="shared" si="50"/>
        <v>4.6132554205751191E-3</v>
      </c>
      <c r="L357" s="536">
        <f t="shared" si="51"/>
        <v>1.4009169638308711E-3</v>
      </c>
      <c r="M357" s="426">
        <f t="shared" si="52"/>
        <v>12.130645841070727</v>
      </c>
      <c r="N357" s="218">
        <f t="shared" si="49"/>
        <v>4.4604384757617064</v>
      </c>
      <c r="O357" s="426">
        <v>5.2808133912208319</v>
      </c>
      <c r="P357" s="426">
        <f t="shared" si="47"/>
        <v>0.26327856362230712</v>
      </c>
      <c r="Q357" s="926">
        <f t="shared" si="53"/>
        <v>0.32093656905559237</v>
      </c>
      <c r="R357" s="532">
        <f t="shared" si="46"/>
        <v>2.7456184906568561E-2</v>
      </c>
    </row>
    <row r="358" spans="1:18" s="6" customFormat="1" ht="15.75" customHeight="1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673">
        <f t="shared" si="48"/>
        <v>753</v>
      </c>
      <c r="G358" s="419">
        <v>1100</v>
      </c>
      <c r="H358" s="419">
        <v>30</v>
      </c>
      <c r="I358" s="419">
        <v>5000</v>
      </c>
      <c r="J358" s="419">
        <v>11</v>
      </c>
      <c r="K358" s="593">
        <f t="shared" si="50"/>
        <v>4.6132554205751191E-3</v>
      </c>
      <c r="L358" s="536">
        <f t="shared" si="51"/>
        <v>1.4009169638308711E-3</v>
      </c>
      <c r="M358" s="426">
        <f t="shared" si="52"/>
        <v>12.130645841070727</v>
      </c>
      <c r="N358" s="218">
        <f t="shared" si="49"/>
        <v>4.4604384757617064</v>
      </c>
      <c r="O358" s="426">
        <v>5.2808133912208319</v>
      </c>
      <c r="P358" s="426">
        <f t="shared" si="47"/>
        <v>0.26327856362230712</v>
      </c>
      <c r="Q358" s="926">
        <f t="shared" si="53"/>
        <v>0.32093656905559237</v>
      </c>
      <c r="R358" s="532">
        <f t="shared" si="46"/>
        <v>2.9395984424535952E-2</v>
      </c>
    </row>
    <row r="359" spans="1:18" s="6" customFormat="1" ht="15.75" customHeight="1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673">
        <f t="shared" si="48"/>
        <v>612.20000000000005</v>
      </c>
      <c r="G359" s="419">
        <v>1100</v>
      </c>
      <c r="H359" s="419">
        <v>25</v>
      </c>
      <c r="I359" s="419">
        <v>5000</v>
      </c>
      <c r="J359" s="419">
        <v>11</v>
      </c>
      <c r="K359" s="593">
        <f t="shared" si="50"/>
        <v>3.844379517145933E-3</v>
      </c>
      <c r="L359" s="536">
        <f t="shared" si="51"/>
        <v>1.4009169638308711E-3</v>
      </c>
      <c r="M359" s="426">
        <f t="shared" si="52"/>
        <v>10.579815455095025</v>
      </c>
      <c r="N359" s="218">
        <f t="shared" si="49"/>
        <v>3.8901981428384409</v>
      </c>
      <c r="O359" s="426">
        <v>4.6078976841733876</v>
      </c>
      <c r="P359" s="426">
        <f t="shared" si="47"/>
        <v>0.26250968771887795</v>
      </c>
      <c r="Q359" s="926">
        <f t="shared" si="53"/>
        <v>0.31999930932931225</v>
      </c>
      <c r="R359" s="532">
        <f t="shared" si="46"/>
        <v>3.1591670973253397E-2</v>
      </c>
    </row>
    <row r="360" spans="1:18" s="6" customFormat="1" ht="15.75" customHeight="1">
      <c r="A360" s="268">
        <v>269</v>
      </c>
      <c r="B360" s="122" t="s">
        <v>1312</v>
      </c>
      <c r="C360" s="55">
        <v>611.79999999999995</v>
      </c>
      <c r="D360" s="256"/>
      <c r="E360" s="256"/>
      <c r="F360" s="673">
        <f t="shared" si="48"/>
        <v>611.79999999999995</v>
      </c>
      <c r="G360" s="419">
        <v>1100</v>
      </c>
      <c r="H360" s="419">
        <v>25</v>
      </c>
      <c r="I360" s="419">
        <v>5000</v>
      </c>
      <c r="J360" s="419">
        <v>11</v>
      </c>
      <c r="K360" s="593">
        <f t="shared" si="50"/>
        <v>3.844379517145933E-3</v>
      </c>
      <c r="L360" s="536">
        <f t="shared" si="51"/>
        <v>1.4009169638308711E-3</v>
      </c>
      <c r="M360" s="426">
        <f t="shared" si="52"/>
        <v>10.579815455095025</v>
      </c>
      <c r="N360" s="218">
        <f t="shared" si="49"/>
        <v>3.8901981428384409</v>
      </c>
      <c r="O360" s="426">
        <v>4.6078976841733876</v>
      </c>
      <c r="P360" s="426">
        <f t="shared" si="47"/>
        <v>0.26250968771887795</v>
      </c>
      <c r="Q360" s="926">
        <f t="shared" si="53"/>
        <v>0.31999930932931225</v>
      </c>
      <c r="R360" s="532">
        <f t="shared" si="46"/>
        <v>3.161232587418393E-2</v>
      </c>
    </row>
    <row r="361" spans="1:18" s="6" customFormat="1" ht="15.75" customHeight="1">
      <c r="A361" s="268">
        <v>270</v>
      </c>
      <c r="B361" s="122" t="s">
        <v>1313</v>
      </c>
      <c r="C361" s="55">
        <v>510.4</v>
      </c>
      <c r="D361" s="256"/>
      <c r="E361" s="256"/>
      <c r="F361" s="673">
        <f t="shared" si="48"/>
        <v>510.4</v>
      </c>
      <c r="G361" s="419">
        <v>1100</v>
      </c>
      <c r="H361" s="419">
        <v>32</v>
      </c>
      <c r="I361" s="419">
        <v>5000</v>
      </c>
      <c r="J361" s="419">
        <v>10</v>
      </c>
      <c r="K361" s="593">
        <f t="shared" si="50"/>
        <v>4.9208057819467941E-3</v>
      </c>
      <c r="L361" s="536">
        <f t="shared" si="51"/>
        <v>1.2735608762098828E-3</v>
      </c>
      <c r="M361" s="426">
        <f t="shared" si="52"/>
        <v>12.494099493168598</v>
      </c>
      <c r="N361" s="218">
        <f t="shared" si="49"/>
        <v>4.5940803836380937</v>
      </c>
      <c r="O361" s="426">
        <v>5.4369506605001572</v>
      </c>
      <c r="P361" s="426">
        <f t="shared" si="47"/>
        <v>0.24007108596533952</v>
      </c>
      <c r="Q361" s="926">
        <f t="shared" si="53"/>
        <v>0.29264665379174887</v>
      </c>
      <c r="R361" s="532">
        <f t="shared" si="46"/>
        <v>4.4602667757194729E-2</v>
      </c>
    </row>
    <row r="362" spans="1:18" s="6" customFormat="1" ht="15.75" customHeight="1">
      <c r="A362" s="268">
        <v>271</v>
      </c>
      <c r="B362" s="122" t="s">
        <v>1314</v>
      </c>
      <c r="C362" s="55">
        <v>564</v>
      </c>
      <c r="D362" s="256">
        <v>87.5</v>
      </c>
      <c r="E362" s="256"/>
      <c r="F362" s="673">
        <f t="shared" si="48"/>
        <v>651.5</v>
      </c>
      <c r="G362" s="419">
        <v>1100</v>
      </c>
      <c r="H362" s="419">
        <v>23</v>
      </c>
      <c r="I362" s="419">
        <v>5000</v>
      </c>
      <c r="J362" s="419">
        <v>9</v>
      </c>
      <c r="K362" s="593">
        <f t="shared" si="50"/>
        <v>3.5368291557742581E-3</v>
      </c>
      <c r="L362" s="536">
        <f t="shared" si="51"/>
        <v>1.1462047885888945E-3</v>
      </c>
      <c r="M362" s="426">
        <f t="shared" si="52"/>
        <v>9.445726296119922</v>
      </c>
      <c r="N362" s="218">
        <f t="shared" si="49"/>
        <v>3.4731935590832954</v>
      </c>
      <c r="O362" s="426">
        <v>4.1126733742751078</v>
      </c>
      <c r="P362" s="426">
        <f t="shared" si="47"/>
        <v>0.21517208132082771</v>
      </c>
      <c r="Q362" s="926">
        <f t="shared" si="53"/>
        <v>0.26229476713008898</v>
      </c>
      <c r="R362" s="532">
        <f t="shared" si="46"/>
        <v>2.6472394951341752E-2</v>
      </c>
    </row>
    <row r="363" spans="1:18" s="6" customFormat="1" ht="15.75" customHeight="1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673">
        <f t="shared" si="48"/>
        <v>789.90000000000009</v>
      </c>
      <c r="G363" s="419">
        <v>1100</v>
      </c>
      <c r="H363" s="419">
        <v>25</v>
      </c>
      <c r="I363" s="419">
        <v>5000</v>
      </c>
      <c r="J363" s="419">
        <v>10</v>
      </c>
      <c r="K363" s="593">
        <f t="shared" si="50"/>
        <v>3.844379517145933E-3</v>
      </c>
      <c r="L363" s="536">
        <f t="shared" si="51"/>
        <v>1.2735608762098828E-3</v>
      </c>
      <c r="M363" s="426">
        <f t="shared" si="52"/>
        <v>10.322936952802616</v>
      </c>
      <c r="N363" s="218">
        <f t="shared" si="49"/>
        <v>3.7957439175455221</v>
      </c>
      <c r="O363" s="426">
        <v>4.4948686706337364</v>
      </c>
      <c r="P363" s="426">
        <f t="shared" si="47"/>
        <v>0.23899465970053868</v>
      </c>
      <c r="Q363" s="926">
        <f t="shared" si="53"/>
        <v>0.29133449017495666</v>
      </c>
      <c r="R363" s="532">
        <f t="shared" si="46"/>
        <v>2.3867001140248652E-2</v>
      </c>
    </row>
    <row r="364" spans="1:18" s="6" customFormat="1" ht="15.75" customHeight="1">
      <c r="A364" s="268">
        <v>273</v>
      </c>
      <c r="B364" s="122" t="s">
        <v>1316</v>
      </c>
      <c r="C364" s="55">
        <v>770.6</v>
      </c>
      <c r="D364" s="256"/>
      <c r="E364" s="256"/>
      <c r="F364" s="673">
        <f t="shared" si="48"/>
        <v>770.6</v>
      </c>
      <c r="G364" s="419">
        <v>1100</v>
      </c>
      <c r="H364" s="419">
        <v>30</v>
      </c>
      <c r="I364" s="419">
        <v>5000</v>
      </c>
      <c r="J364" s="419">
        <v>14</v>
      </c>
      <c r="K364" s="593">
        <f t="shared" si="50"/>
        <v>4.6132554205751191E-3</v>
      </c>
      <c r="L364" s="536">
        <f t="shared" si="51"/>
        <v>1.782985226693836E-3</v>
      </c>
      <c r="M364" s="426">
        <f t="shared" si="52"/>
        <v>12.901281347947954</v>
      </c>
      <c r="N364" s="218">
        <f t="shared" si="49"/>
        <v>4.7438011516404632</v>
      </c>
      <c r="O364" s="426">
        <v>5.6199004318397874</v>
      </c>
      <c r="P364" s="426">
        <f t="shared" si="47"/>
        <v>0.33382364767732498</v>
      </c>
      <c r="Q364" s="926">
        <f t="shared" si="53"/>
        <v>0.4069310265186592</v>
      </c>
      <c r="R364" s="532">
        <f t="shared" si="46"/>
        <v>3.0623937943298114E-2</v>
      </c>
    </row>
    <row r="365" spans="1:18" s="6" customFormat="1" ht="15.75" customHeight="1">
      <c r="A365" s="275">
        <v>274</v>
      </c>
      <c r="B365" s="122" t="s">
        <v>1317</v>
      </c>
      <c r="C365" s="55">
        <v>958.2</v>
      </c>
      <c r="D365" s="256"/>
      <c r="E365" s="256"/>
      <c r="F365" s="673">
        <f t="shared" si="48"/>
        <v>958.2</v>
      </c>
      <c r="G365" s="419">
        <v>1100</v>
      </c>
      <c r="H365" s="419">
        <v>33</v>
      </c>
      <c r="I365" s="419">
        <v>5000</v>
      </c>
      <c r="J365" s="419">
        <v>25</v>
      </c>
      <c r="K365" s="593">
        <f t="shared" si="50"/>
        <v>5.0745809626326311E-3</v>
      </c>
      <c r="L365" s="536">
        <f t="shared" si="51"/>
        <v>3.1839021905247069E-3</v>
      </c>
      <c r="M365" s="426">
        <f t="shared" si="52"/>
        <v>16.657443104749881</v>
      </c>
      <c r="N365" s="218">
        <f t="shared" si="49"/>
        <v>6.1249418296165317</v>
      </c>
      <c r="O365" s="426">
        <v>7.2669690050044231</v>
      </c>
      <c r="P365" s="426">
        <f t="shared" si="47"/>
        <v>0.59295028142111439</v>
      </c>
      <c r="Q365" s="926">
        <f t="shared" si="53"/>
        <v>0.72280639305233851</v>
      </c>
      <c r="R365" s="532">
        <f t="shared" si="46"/>
        <v>3.1979027573358326E-2</v>
      </c>
    </row>
    <row r="366" spans="1:18" s="6" customFormat="1" ht="15.75" customHeight="1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673">
        <f t="shared" si="48"/>
        <v>1194.4199999999998</v>
      </c>
      <c r="G366" s="419">
        <v>1100</v>
      </c>
      <c r="H366" s="419">
        <v>32</v>
      </c>
      <c r="I366" s="419">
        <v>5000</v>
      </c>
      <c r="J366" s="419">
        <v>20</v>
      </c>
      <c r="K366" s="593">
        <f t="shared" si="50"/>
        <v>4.9208057819467941E-3</v>
      </c>
      <c r="L366" s="536">
        <f t="shared" si="51"/>
        <v>2.5471217524197657E-3</v>
      </c>
      <c r="M366" s="426">
        <f t="shared" si="52"/>
        <v>15.062884516092694</v>
      </c>
      <c r="N366" s="218">
        <f t="shared" si="49"/>
        <v>5.5386226365672844</v>
      </c>
      <c r="O366" s="426">
        <v>6.5672407958966756</v>
      </c>
      <c r="P366" s="426">
        <f t="shared" si="47"/>
        <v>0.47522136614873228</v>
      </c>
      <c r="Q366" s="926">
        <f t="shared" si="53"/>
        <v>0.57929484533530473</v>
      </c>
      <c r="R366" s="532">
        <f t="shared" si="46"/>
        <v>2.3144261913485533E-2</v>
      </c>
    </row>
    <row r="367" spans="1:18" s="6" customFormat="1" ht="15.75" customHeight="1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673">
        <f t="shared" si="48"/>
        <v>437.85999999999996</v>
      </c>
      <c r="G367" s="419">
        <v>1100</v>
      </c>
      <c r="H367" s="419">
        <v>16</v>
      </c>
      <c r="I367" s="419">
        <v>5000</v>
      </c>
      <c r="J367" s="419">
        <v>7</v>
      </c>
      <c r="K367" s="593">
        <f t="shared" si="50"/>
        <v>2.460402890973397E-3</v>
      </c>
      <c r="L367" s="536">
        <f t="shared" si="51"/>
        <v>8.9149261334691798E-4</v>
      </c>
      <c r="M367" s="426">
        <f t="shared" si="52"/>
        <v>6.7608067511691194</v>
      </c>
      <c r="N367" s="218">
        <f t="shared" si="49"/>
        <v>2.4859486424048853</v>
      </c>
      <c r="O367" s="426">
        <v>2.9445333573293824</v>
      </c>
      <c r="P367" s="426">
        <f t="shared" si="47"/>
        <v>0.16706559901934834</v>
      </c>
      <c r="Q367" s="926">
        <f t="shared" si="53"/>
        <v>0.20365296520458565</v>
      </c>
      <c r="R367" s="532">
        <f t="shared" si="46"/>
        <v>2.8224442401504443E-2</v>
      </c>
    </row>
    <row r="368" spans="1:18" s="6" customFormat="1" ht="15.75" customHeight="1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673">
        <f t="shared" si="48"/>
        <v>712.5</v>
      </c>
      <c r="G368" s="419">
        <v>1100</v>
      </c>
      <c r="H368" s="419">
        <v>26</v>
      </c>
      <c r="I368" s="419">
        <v>5000</v>
      </c>
      <c r="J368" s="419">
        <v>9</v>
      </c>
      <c r="K368" s="593">
        <f t="shared" si="50"/>
        <v>3.9981546978317701E-3</v>
      </c>
      <c r="L368" s="536">
        <f t="shared" si="51"/>
        <v>1.1462047885888945E-3</v>
      </c>
      <c r="M368" s="426">
        <f t="shared" si="52"/>
        <v>10.376224527705345</v>
      </c>
      <c r="N368" s="218">
        <f t="shared" si="49"/>
        <v>3.8153377588372557</v>
      </c>
      <c r="O368" s="426">
        <v>4.516422798503573</v>
      </c>
      <c r="P368" s="426">
        <f t="shared" si="47"/>
        <v>0.21563340686288524</v>
      </c>
      <c r="Q368" s="926">
        <f t="shared" si="53"/>
        <v>0.26285712296585712</v>
      </c>
      <c r="R368" s="532">
        <f t="shared" si="46"/>
        <v>2.6559464550047804E-2</v>
      </c>
    </row>
    <row r="369" spans="1:18" s="6" customFormat="1" ht="15.75" customHeight="1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673">
        <f t="shared" si="48"/>
        <v>1035.06</v>
      </c>
      <c r="G369" s="419">
        <v>1100</v>
      </c>
      <c r="H369" s="419">
        <v>25</v>
      </c>
      <c r="I369" s="419">
        <v>5000</v>
      </c>
      <c r="J369" s="419">
        <v>12</v>
      </c>
      <c r="K369" s="593">
        <f t="shared" si="50"/>
        <v>3.844379517145933E-3</v>
      </c>
      <c r="L369" s="536">
        <f t="shared" si="51"/>
        <v>1.5282730514518594E-3</v>
      </c>
      <c r="M369" s="426">
        <f t="shared" si="52"/>
        <v>10.836693957387434</v>
      </c>
      <c r="N369" s="218">
        <f t="shared" si="49"/>
        <v>3.9846523681313597</v>
      </c>
      <c r="O369" s="426">
        <v>4.7209266977130397</v>
      </c>
      <c r="P369" s="426">
        <f t="shared" si="47"/>
        <v>0.28602471573721722</v>
      </c>
      <c r="Q369" s="926">
        <f t="shared" si="53"/>
        <v>0.34866412848366779</v>
      </c>
      <c r="R369" s="532">
        <f t="shared" si="46"/>
        <v>1.9156665061898875E-2</v>
      </c>
    </row>
    <row r="370" spans="1:18" s="6" customFormat="1" ht="15.75" customHeight="1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673">
        <f t="shared" si="48"/>
        <v>684.4</v>
      </c>
      <c r="G370" s="419">
        <v>1100</v>
      </c>
      <c r="H370" s="419">
        <v>22</v>
      </c>
      <c r="I370" s="419">
        <v>5000</v>
      </c>
      <c r="J370" s="419">
        <v>20</v>
      </c>
      <c r="K370" s="593">
        <f t="shared" si="50"/>
        <v>3.383053975088421E-3</v>
      </c>
      <c r="L370" s="536">
        <f t="shared" si="51"/>
        <v>2.5471217524197657E-3</v>
      </c>
      <c r="M370" s="426">
        <f t="shared" si="52"/>
        <v>11.961223744141288</v>
      </c>
      <c r="N370" s="218">
        <f t="shared" si="49"/>
        <v>4.3981419707207516</v>
      </c>
      <c r="O370" s="426">
        <v>5.2214093818017879</v>
      </c>
      <c r="P370" s="426">
        <f t="shared" si="47"/>
        <v>0.47368361434187389</v>
      </c>
      <c r="Q370" s="926">
        <f t="shared" si="53"/>
        <v>0.57742032588274428</v>
      </c>
      <c r="R370" s="532">
        <f t="shared" si="46"/>
        <v>3.2224515942439656E-2</v>
      </c>
    </row>
    <row r="371" spans="1:18" s="6" customFormat="1" ht="15.75" customHeight="1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673">
        <f t="shared" si="48"/>
        <v>858.85</v>
      </c>
      <c r="G371" s="419">
        <v>1100</v>
      </c>
      <c r="H371" s="419">
        <v>19</v>
      </c>
      <c r="I371" s="419">
        <v>5000</v>
      </c>
      <c r="J371" s="419">
        <v>12</v>
      </c>
      <c r="K371" s="593">
        <f t="shared" si="50"/>
        <v>2.921728433030909E-3</v>
      </c>
      <c r="L371" s="536">
        <f t="shared" si="51"/>
        <v>1.5282730514518594E-3</v>
      </c>
      <c r="M371" s="426">
        <f t="shared" si="52"/>
        <v>8.9756974942165879</v>
      </c>
      <c r="N371" s="218">
        <f t="shared" si="49"/>
        <v>3.3003639686234396</v>
      </c>
      <c r="O371" s="426">
        <v>3.9134278492561081</v>
      </c>
      <c r="P371" s="426">
        <f t="shared" si="47"/>
        <v>0.28510206465310217</v>
      </c>
      <c r="Q371" s="926">
        <f t="shared" si="53"/>
        <v>0.34753941681213157</v>
      </c>
      <c r="R371" s="532">
        <f t="shared" si="46"/>
        <v>1.9182152153169048E-2</v>
      </c>
    </row>
    <row r="372" spans="1:18" s="6" customFormat="1" ht="15.75" customHeight="1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673">
        <f t="shared" si="48"/>
        <v>827.7</v>
      </c>
      <c r="G372" s="419">
        <v>1100</v>
      </c>
      <c r="H372" s="419">
        <v>22</v>
      </c>
      <c r="I372" s="419">
        <v>5000</v>
      </c>
      <c r="J372" s="419">
        <v>10</v>
      </c>
      <c r="K372" s="593">
        <f t="shared" si="50"/>
        <v>3.383053975088421E-3</v>
      </c>
      <c r="L372" s="536">
        <f t="shared" si="51"/>
        <v>1.2735608762098828E-3</v>
      </c>
      <c r="M372" s="426">
        <f t="shared" si="52"/>
        <v>9.3924387212171929</v>
      </c>
      <c r="N372" s="218">
        <f t="shared" si="49"/>
        <v>3.4535997177915623</v>
      </c>
      <c r="O372" s="426">
        <v>4.0911192464052704</v>
      </c>
      <c r="P372" s="426">
        <f t="shared" si="47"/>
        <v>0.23853333415848116</v>
      </c>
      <c r="Q372" s="926">
        <f t="shared" si="53"/>
        <v>0.29077213433918853</v>
      </c>
      <c r="R372" s="532">
        <f t="shared" si="46"/>
        <v>2.075110670481153E-2</v>
      </c>
    </row>
    <row r="373" spans="1:18" s="6" customFormat="1" ht="15.75" customHeight="1">
      <c r="A373" s="268">
        <v>282</v>
      </c>
      <c r="B373" s="273" t="s">
        <v>1325</v>
      </c>
      <c r="C373" s="55">
        <v>837.19</v>
      </c>
      <c r="D373" s="256"/>
      <c r="E373" s="256"/>
      <c r="F373" s="673">
        <f t="shared" si="48"/>
        <v>837.19</v>
      </c>
      <c r="G373" s="419">
        <v>1100</v>
      </c>
      <c r="H373" s="419">
        <v>19</v>
      </c>
      <c r="I373" s="419">
        <v>5000</v>
      </c>
      <c r="J373" s="419">
        <v>9</v>
      </c>
      <c r="K373" s="593">
        <f t="shared" si="50"/>
        <v>2.921728433030909E-3</v>
      </c>
      <c r="L373" s="536">
        <f t="shared" si="51"/>
        <v>1.1462047885888945E-3</v>
      </c>
      <c r="M373" s="426">
        <f t="shared" si="52"/>
        <v>8.2050619873393593</v>
      </c>
      <c r="N373" s="218">
        <f t="shared" si="49"/>
        <v>3.0170012927446828</v>
      </c>
      <c r="O373" s="426">
        <v>3.5743408086371518</v>
      </c>
      <c r="P373" s="426">
        <f t="shared" si="47"/>
        <v>0.21455698059808437</v>
      </c>
      <c r="Q373" s="926">
        <f t="shared" si="53"/>
        <v>0.26154495934906485</v>
      </c>
      <c r="R373" s="532">
        <f t="shared" si="46"/>
        <v>1.7930172445107178E-2</v>
      </c>
    </row>
    <row r="374" spans="1:18" s="6" customFormat="1" ht="15.75" customHeight="1">
      <c r="A374" s="268">
        <v>283</v>
      </c>
      <c r="B374" s="122" t="s">
        <v>1326</v>
      </c>
      <c r="C374" s="55">
        <v>325.10000000000002</v>
      </c>
      <c r="D374" s="256"/>
      <c r="E374" s="256"/>
      <c r="F374" s="673">
        <f t="shared" si="48"/>
        <v>325.10000000000002</v>
      </c>
      <c r="G374" s="419">
        <v>1100</v>
      </c>
      <c r="H374" s="419">
        <v>26</v>
      </c>
      <c r="I374" s="419">
        <v>5000</v>
      </c>
      <c r="J374" s="419">
        <v>6</v>
      </c>
      <c r="K374" s="593">
        <f t="shared" si="50"/>
        <v>3.9981546978317701E-3</v>
      </c>
      <c r="L374" s="536">
        <f t="shared" si="51"/>
        <v>7.641365257259297E-4</v>
      </c>
      <c r="M374" s="426">
        <f t="shared" si="52"/>
        <v>9.6055890208281163</v>
      </c>
      <c r="N374" s="218">
        <f t="shared" si="49"/>
        <v>3.5319750829584988</v>
      </c>
      <c r="O374" s="426">
        <v>4.1773357578846175</v>
      </c>
      <c r="P374" s="426">
        <f t="shared" si="47"/>
        <v>0.1450883228078674</v>
      </c>
      <c r="Q374" s="926">
        <f t="shared" si="53"/>
        <v>0.17686266550279037</v>
      </c>
      <c r="R374" s="532">
        <f t="shared" si="46"/>
        <v>5.3706515485940021E-2</v>
      </c>
    </row>
    <row r="375" spans="1:18" s="6" customFormat="1" ht="15.75" customHeight="1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673">
        <f t="shared" si="48"/>
        <v>513</v>
      </c>
      <c r="G375" s="419">
        <v>1100</v>
      </c>
      <c r="H375" s="419">
        <v>23</v>
      </c>
      <c r="I375" s="419">
        <v>5000</v>
      </c>
      <c r="J375" s="419">
        <v>10</v>
      </c>
      <c r="K375" s="593">
        <f t="shared" si="50"/>
        <v>3.5368291557742581E-3</v>
      </c>
      <c r="L375" s="536">
        <f t="shared" si="51"/>
        <v>1.2735608762098828E-3</v>
      </c>
      <c r="M375" s="426">
        <f t="shared" si="52"/>
        <v>9.7026047984123309</v>
      </c>
      <c r="N375" s="218">
        <f t="shared" si="49"/>
        <v>3.5676477843762142</v>
      </c>
      <c r="O375" s="426">
        <v>4.225702387814759</v>
      </c>
      <c r="P375" s="426">
        <f t="shared" si="47"/>
        <v>0.23868710933916698</v>
      </c>
      <c r="Q375" s="926">
        <f t="shared" si="53"/>
        <v>0.29095958628444457</v>
      </c>
      <c r="R375" s="532">
        <f t="shared" si="46"/>
        <v>3.4570452397548676E-2</v>
      </c>
    </row>
    <row r="376" spans="1:18" s="6" customFormat="1" ht="15.75" customHeight="1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673">
        <f t="shared" si="48"/>
        <v>1023.42</v>
      </c>
      <c r="G376" s="419">
        <v>1100</v>
      </c>
      <c r="H376" s="419">
        <v>29</v>
      </c>
      <c r="I376" s="419">
        <v>5000</v>
      </c>
      <c r="J376" s="419">
        <v>9</v>
      </c>
      <c r="K376" s="593">
        <f t="shared" si="50"/>
        <v>4.4594802398892821E-3</v>
      </c>
      <c r="L376" s="536">
        <f t="shared" si="51"/>
        <v>1.1462047885888945E-3</v>
      </c>
      <c r="M376" s="426">
        <f t="shared" si="52"/>
        <v>11.306722759290766</v>
      </c>
      <c r="N376" s="218">
        <f t="shared" si="49"/>
        <v>4.1574819585912151</v>
      </c>
      <c r="O376" s="426">
        <v>4.920172222732039</v>
      </c>
      <c r="P376" s="426">
        <f t="shared" si="47"/>
        <v>0.21609473240494276</v>
      </c>
      <c r="Q376" s="926">
        <f t="shared" si="53"/>
        <v>0.26341947880162525</v>
      </c>
      <c r="R376" s="532">
        <f t="shared" si="46"/>
        <v>2.0129049337533921E-2</v>
      </c>
    </row>
    <row r="377" spans="1:18" s="6" customFormat="1" ht="15.75" customHeight="1">
      <c r="A377" s="268">
        <v>286</v>
      </c>
      <c r="B377" s="122" t="s">
        <v>1355</v>
      </c>
      <c r="C377" s="535">
        <v>74.599999999999994</v>
      </c>
      <c r="D377" s="413"/>
      <c r="E377" s="413"/>
      <c r="F377" s="685">
        <f t="shared" si="48"/>
        <v>74.599999999999994</v>
      </c>
      <c r="G377" s="419">
        <v>1100</v>
      </c>
      <c r="H377" s="419">
        <v>2</v>
      </c>
      <c r="I377" s="419">
        <v>5000</v>
      </c>
      <c r="J377" s="419">
        <v>2</v>
      </c>
      <c r="K377" s="593">
        <f t="shared" si="50"/>
        <v>3.0755036137167463E-4</v>
      </c>
      <c r="L377" s="536">
        <f t="shared" si="51"/>
        <v>2.5471217524197657E-4</v>
      </c>
      <c r="M377" s="426">
        <f t="shared" si="52"/>
        <v>1.1340891589751005</v>
      </c>
      <c r="N377" s="428">
        <f t="shared" si="49"/>
        <v>0.41700458375514449</v>
      </c>
      <c r="O377" s="426">
        <v>0.49522430989828103</v>
      </c>
      <c r="P377" s="426">
        <f>K377+L377*1084.64</f>
        <v>0.27657856411582921</v>
      </c>
      <c r="Q377" s="926">
        <f t="shared" si="53"/>
        <v>0.33714926965719583</v>
      </c>
      <c r="R377" s="532">
        <f t="shared" si="46"/>
        <v>3.1138024353141492E-2</v>
      </c>
    </row>
    <row r="378" spans="1:18" s="6" customFormat="1" ht="15.75" customHeight="1">
      <c r="A378" s="268">
        <v>287</v>
      </c>
      <c r="B378" s="122" t="s">
        <v>1356</v>
      </c>
      <c r="C378" s="535">
        <v>539</v>
      </c>
      <c r="D378" s="413"/>
      <c r="E378" s="413">
        <v>38.799999999999997</v>
      </c>
      <c r="F378" s="685">
        <f t="shared" si="48"/>
        <v>577.79999999999995</v>
      </c>
      <c r="G378" s="419">
        <v>1100</v>
      </c>
      <c r="H378" s="419">
        <v>26</v>
      </c>
      <c r="I378" s="419">
        <v>5000</v>
      </c>
      <c r="J378" s="419">
        <v>16</v>
      </c>
      <c r="K378" s="593">
        <f t="shared" si="50"/>
        <v>3.9981546978317701E-3</v>
      </c>
      <c r="L378" s="536">
        <f t="shared" si="51"/>
        <v>2.0376974019358125E-3</v>
      </c>
      <c r="M378" s="426">
        <f t="shared" si="52"/>
        <v>12.174374043752211</v>
      </c>
      <c r="N378" s="428">
        <f t="shared" si="49"/>
        <v>4.4765173358876886</v>
      </c>
      <c r="O378" s="426">
        <v>5.3076258932811351</v>
      </c>
      <c r="P378" s="426">
        <f t="shared" si="47"/>
        <v>0.38023860299126017</v>
      </c>
      <c r="Q378" s="926">
        <f t="shared" si="53"/>
        <v>0.46351085704634615</v>
      </c>
      <c r="R378" s="532">
        <f t="shared" si="46"/>
        <v>3.8661744333527683E-2</v>
      </c>
    </row>
    <row r="379" spans="1:18" s="6" customFormat="1" ht="15.75" customHeight="1">
      <c r="A379" s="275">
        <v>288</v>
      </c>
      <c r="B379" s="122" t="s">
        <v>1357</v>
      </c>
      <c r="C379" s="535">
        <v>379.4</v>
      </c>
      <c r="D379" s="413"/>
      <c r="E379" s="413"/>
      <c r="F379" s="685">
        <f t="shared" si="48"/>
        <v>379.4</v>
      </c>
      <c r="G379" s="419">
        <v>1100</v>
      </c>
      <c r="H379" s="419">
        <v>16</v>
      </c>
      <c r="I379" s="419">
        <v>5000</v>
      </c>
      <c r="J379" s="419">
        <v>12</v>
      </c>
      <c r="K379" s="593">
        <f t="shared" si="50"/>
        <v>2.460402890973397E-3</v>
      </c>
      <c r="L379" s="536">
        <f t="shared" si="51"/>
        <v>1.5282730514518594E-3</v>
      </c>
      <c r="M379" s="426">
        <f t="shared" si="52"/>
        <v>8.0451992626311668</v>
      </c>
      <c r="N379" s="428">
        <f t="shared" si="49"/>
        <v>2.9582197688694802</v>
      </c>
      <c r="O379" s="426">
        <v>3.5096784250276416</v>
      </c>
      <c r="P379" s="426">
        <f t="shared" si="47"/>
        <v>0.28464073911104465</v>
      </c>
      <c r="Q379" s="926">
        <f t="shared" si="53"/>
        <v>0.34697706097636344</v>
      </c>
      <c r="R379" s="532">
        <f t="shared" si="46"/>
        <v>3.9002999988506412E-2</v>
      </c>
    </row>
    <row r="380" spans="1:18" s="6" customFormat="1" ht="15.75" customHeight="1">
      <c r="A380" s="268">
        <v>289</v>
      </c>
      <c r="B380" s="291" t="s">
        <v>1395</v>
      </c>
      <c r="C380" s="538">
        <f>1893+1096.4</f>
        <v>2989.4</v>
      </c>
      <c r="D380" s="157"/>
      <c r="E380" s="157"/>
      <c r="F380" s="686">
        <f>C380+D380+E380</f>
        <v>2989.4</v>
      </c>
      <c r="G380" s="419">
        <v>1100</v>
      </c>
      <c r="H380" s="853">
        <f>0+8</f>
        <v>8</v>
      </c>
      <c r="I380" s="419">
        <v>5000</v>
      </c>
      <c r="J380" s="853">
        <f>60+23</f>
        <v>83</v>
      </c>
      <c r="K380" s="593">
        <f t="shared" si="50"/>
        <v>1.2302014454866985E-3</v>
      </c>
      <c r="L380" s="536">
        <f t="shared" si="51"/>
        <v>1.0570555272542028E-2</v>
      </c>
      <c r="M380" s="426">
        <f t="shared" si="52"/>
        <v>23.802244307831121</v>
      </c>
      <c r="N380" s="218">
        <f t="shared" si="49"/>
        <v>8.7520852319895042</v>
      </c>
      <c r="O380" s="426">
        <v>10.458073255067012</v>
      </c>
      <c r="P380" s="144">
        <f t="shared" ref="P380:P390" si="54">K380+L380*184.64</f>
        <v>1.9529775269676466</v>
      </c>
      <c r="Q380" s="926">
        <f t="shared" si="53"/>
        <v>2.3806796053735613</v>
      </c>
      <c r="R380" s="532">
        <f t="shared" si="46"/>
        <v>1.5041607119105934E-2</v>
      </c>
    </row>
    <row r="381" spans="1:18" s="6" customFormat="1" ht="15.75" customHeight="1">
      <c r="A381" s="268">
        <v>290</v>
      </c>
      <c r="B381" s="292" t="s">
        <v>1396</v>
      </c>
      <c r="C381" s="539">
        <v>527.29999999999995</v>
      </c>
      <c r="D381" s="535"/>
      <c r="E381" s="535"/>
      <c r="F381" s="687">
        <f>C381+D381+E381</f>
        <v>527.29999999999995</v>
      </c>
      <c r="G381" s="419">
        <v>1100</v>
      </c>
      <c r="H381" s="688">
        <v>23</v>
      </c>
      <c r="I381" s="419">
        <v>5000</v>
      </c>
      <c r="J381" s="688">
        <v>36</v>
      </c>
      <c r="K381" s="593">
        <f t="shared" si="50"/>
        <v>3.5368291557742581E-3</v>
      </c>
      <c r="L381" s="536">
        <f t="shared" si="51"/>
        <v>4.5848191543555782E-3</v>
      </c>
      <c r="M381" s="426">
        <f t="shared" si="52"/>
        <v>16.381445858014981</v>
      </c>
      <c r="N381" s="428">
        <f t="shared" si="49"/>
        <v>6.0234576419921089</v>
      </c>
      <c r="O381" s="426">
        <v>7.1644567398457069</v>
      </c>
      <c r="P381" s="426">
        <f t="shared" si="54"/>
        <v>0.85007783781598811</v>
      </c>
      <c r="Q381" s="926">
        <f t="shared" si="53"/>
        <v>1.0362448842976897</v>
      </c>
      <c r="R381" s="532">
        <f t="shared" si="46"/>
        <v>5.7689053816933032E-2</v>
      </c>
    </row>
    <row r="382" spans="1:18" s="6" customFormat="1" ht="15.75" customHeight="1">
      <c r="A382" s="268">
        <v>291</v>
      </c>
      <c r="B382" s="301" t="s">
        <v>1400</v>
      </c>
      <c r="C382" s="538">
        <v>2299.1999999999998</v>
      </c>
      <c r="D382" s="553"/>
      <c r="E382" s="553"/>
      <c r="F382" s="686">
        <f>C382+D382+E382</f>
        <v>2299.1999999999998</v>
      </c>
      <c r="G382" s="419">
        <v>1100</v>
      </c>
      <c r="H382" s="854">
        <v>0</v>
      </c>
      <c r="I382" s="419">
        <v>5000</v>
      </c>
      <c r="J382" s="853">
        <v>8</v>
      </c>
      <c r="K382" s="593">
        <f t="shared" si="50"/>
        <v>0</v>
      </c>
      <c r="L382" s="536">
        <f t="shared" si="51"/>
        <v>1.0188487009679063E-3</v>
      </c>
      <c r="M382" s="426">
        <f t="shared" si="52"/>
        <v>2.0550280183392764</v>
      </c>
      <c r="N382" s="218">
        <f t="shared" si="49"/>
        <v>0.75563380234335198</v>
      </c>
      <c r="O382" s="426">
        <v>0.90423210831721468</v>
      </c>
      <c r="P382" s="144">
        <f t="shared" si="54"/>
        <v>0.1881202241467142</v>
      </c>
      <c r="Q382" s="926">
        <f t="shared" si="53"/>
        <v>0.22931855323484462</v>
      </c>
      <c r="R382" s="532">
        <f t="shared" si="46"/>
        <v>1.6975531285432141E-3</v>
      </c>
    </row>
    <row r="383" spans="1:18" s="6" customFormat="1" ht="15.75" customHeight="1">
      <c r="A383" s="268">
        <v>292</v>
      </c>
      <c r="B383" s="302" t="s">
        <v>1401</v>
      </c>
      <c r="C383" s="539">
        <v>292.60000000000002</v>
      </c>
      <c r="D383" s="554"/>
      <c r="E383" s="554"/>
      <c r="F383" s="687">
        <f>C383+D383+E383</f>
        <v>292.60000000000002</v>
      </c>
      <c r="G383" s="419">
        <v>1100</v>
      </c>
      <c r="H383" s="688">
        <v>3</v>
      </c>
      <c r="I383" s="419">
        <v>5000</v>
      </c>
      <c r="J383" s="688">
        <v>3</v>
      </c>
      <c r="K383" s="593">
        <f t="shared" si="50"/>
        <v>4.6132554205751195E-4</v>
      </c>
      <c r="L383" s="536">
        <f t="shared" si="51"/>
        <v>3.8206826286296485E-4</v>
      </c>
      <c r="M383" s="426">
        <f t="shared" si="52"/>
        <v>1.701133738462651</v>
      </c>
      <c r="N383" s="428">
        <f t="shared" si="49"/>
        <v>0.62550687563271679</v>
      </c>
      <c r="O383" s="426">
        <v>0.74283646484742172</v>
      </c>
      <c r="P383" s="426">
        <f t="shared" si="54"/>
        <v>7.1006409597075326E-2</v>
      </c>
      <c r="Q383" s="926">
        <f t="shared" si="53"/>
        <v>8.6556813298834828E-2</v>
      </c>
      <c r="R383" s="532">
        <f t="shared" si="46"/>
        <v>1.0733026276622913E-2</v>
      </c>
    </row>
    <row r="384" spans="1:18" s="69" customFormat="1" ht="15.75" customHeight="1" thickBot="1">
      <c r="A384" s="543"/>
      <c r="B384" s="541" t="s">
        <v>244</v>
      </c>
      <c r="C384" s="541">
        <f>SUM(C92:C383)</f>
        <v>223930.76000000007</v>
      </c>
      <c r="D384" s="541">
        <f>SUM(D92:D383)</f>
        <v>4473.8499999999995</v>
      </c>
      <c r="E384" s="541">
        <f>SUM(E92:E383)</f>
        <v>3784.1</v>
      </c>
      <c r="F384" s="689">
        <f>C384+D384+E384</f>
        <v>232188.71000000008</v>
      </c>
      <c r="G384" s="411">
        <v>1100</v>
      </c>
      <c r="H384" s="411">
        <f>SUM(H92:H379)</f>
        <v>6503</v>
      </c>
      <c r="I384" s="411">
        <v>5000</v>
      </c>
      <c r="J384" s="411">
        <f>SUM(J92:J381)</f>
        <v>7852</v>
      </c>
      <c r="K384" s="593">
        <f>1/6503*H384</f>
        <v>1</v>
      </c>
      <c r="L384" s="536">
        <f>1/7852*J384</f>
        <v>1</v>
      </c>
      <c r="M384" s="426">
        <f>(K384+L384)*2017.01</f>
        <v>4034.02</v>
      </c>
      <c r="N384" s="429">
        <f t="shared" ref="N384:N400" si="55">M384*0.3677</f>
        <v>1483.309154</v>
      </c>
      <c r="O384" s="426">
        <f>SUM(O91:O383)</f>
        <v>1768.5171288561085</v>
      </c>
      <c r="P384" s="426">
        <f t="shared" si="54"/>
        <v>185.64</v>
      </c>
      <c r="Q384" s="926">
        <f t="shared" si="53"/>
        <v>226.29516000000001</v>
      </c>
      <c r="R384" s="532">
        <f t="shared" si="46"/>
        <v>3.2178508088770152E-2</v>
      </c>
    </row>
    <row r="385" spans="1:18" s="209" customFormat="1" ht="16.5" thickBot="1">
      <c r="A385" s="595" t="s">
        <v>668</v>
      </c>
      <c r="B385" s="436"/>
      <c r="C385" s="436"/>
      <c r="D385" s="436"/>
      <c r="E385" s="436"/>
      <c r="F385" s="436"/>
      <c r="G385" s="436"/>
      <c r="H385" s="436"/>
      <c r="I385" s="436"/>
      <c r="J385" s="436"/>
      <c r="K385" s="596"/>
      <c r="L385" s="698"/>
      <c r="M385" s="426">
        <f>(K385+L385)*2077.52</f>
        <v>0</v>
      </c>
      <c r="N385" s="566"/>
      <c r="O385" s="426">
        <v>0</v>
      </c>
      <c r="P385" s="508">
        <f t="shared" si="54"/>
        <v>0</v>
      </c>
      <c r="Q385" s="926">
        <f t="shared" si="53"/>
        <v>0</v>
      </c>
      <c r="R385" s="532" t="e">
        <f t="shared" si="46"/>
        <v>#DIV/0!</v>
      </c>
    </row>
    <row r="386" spans="1:18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339">
        <f t="shared" ref="F386:F449" si="56">C386+D386+E386</f>
        <v>4235</v>
      </c>
      <c r="G386" s="405">
        <v>1100</v>
      </c>
      <c r="H386" s="405"/>
      <c r="I386" s="405">
        <v>5000</v>
      </c>
      <c r="J386" s="405">
        <v>130</v>
      </c>
      <c r="K386" s="180">
        <f t="shared" ref="K386:K449" si="57">1/8344*H386</f>
        <v>0</v>
      </c>
      <c r="L386" s="180">
        <f t="shared" ref="L386:L449" si="58">1/14170*J386</f>
        <v>9.1743119266055051E-3</v>
      </c>
      <c r="M386" s="426">
        <f t="shared" ref="M386:M449" si="59">(K386+L386)*2269.13</f>
        <v>20.81770642201835</v>
      </c>
      <c r="N386" s="144">
        <f t="shared" si="55"/>
        <v>7.654670651376148</v>
      </c>
      <c r="O386" s="426">
        <v>8.1022610921501705</v>
      </c>
      <c r="P386" s="426">
        <f t="shared" si="54"/>
        <v>1.6939449541284404</v>
      </c>
      <c r="Q386" s="926">
        <f t="shared" si="53"/>
        <v>2.0649188990825689</v>
      </c>
      <c r="R386" s="532">
        <f t="shared" si="46"/>
        <v>9.0362651994505567E-3</v>
      </c>
    </row>
    <row r="387" spans="1:18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339">
        <f t="shared" si="56"/>
        <v>12601</v>
      </c>
      <c r="G387" s="404">
        <v>1100</v>
      </c>
      <c r="H387" s="404"/>
      <c r="I387" s="404">
        <v>5000</v>
      </c>
      <c r="J387" s="404">
        <v>254</v>
      </c>
      <c r="K387" s="180">
        <f t="shared" si="57"/>
        <v>0</v>
      </c>
      <c r="L387" s="180">
        <f t="shared" si="58"/>
        <v>1.7925194071983064E-2</v>
      </c>
      <c r="M387" s="426">
        <f t="shared" si="59"/>
        <v>40.674595624558933</v>
      </c>
      <c r="N387" s="148">
        <f t="shared" si="55"/>
        <v>14.956048811150321</v>
      </c>
      <c r="O387" s="426">
        <v>15.830571672354948</v>
      </c>
      <c r="P387" s="426">
        <f t="shared" si="54"/>
        <v>3.3097078334509527</v>
      </c>
      <c r="Q387" s="926">
        <f t="shared" si="53"/>
        <v>4.0345338489767117</v>
      </c>
      <c r="R387" s="532">
        <f t="shared" si="46"/>
        <v>5.9337293819153357E-3</v>
      </c>
    </row>
    <row r="388" spans="1:18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339">
        <f t="shared" si="56"/>
        <v>12482</v>
      </c>
      <c r="G388" s="404">
        <v>1100</v>
      </c>
      <c r="H388" s="404"/>
      <c r="I388" s="404">
        <v>5000</v>
      </c>
      <c r="J388" s="404">
        <v>254</v>
      </c>
      <c r="K388" s="180">
        <f t="shared" si="57"/>
        <v>0</v>
      </c>
      <c r="L388" s="180">
        <f t="shared" si="58"/>
        <v>1.7925194071983064E-2</v>
      </c>
      <c r="M388" s="426">
        <f t="shared" si="59"/>
        <v>40.674595624558933</v>
      </c>
      <c r="N388" s="148">
        <f t="shared" si="55"/>
        <v>14.956048811150321</v>
      </c>
      <c r="O388" s="426">
        <v>15.830571672354948</v>
      </c>
      <c r="P388" s="426">
        <f t="shared" si="54"/>
        <v>3.3097078334509527</v>
      </c>
      <c r="Q388" s="926">
        <f t="shared" si="53"/>
        <v>4.0345338489767117</v>
      </c>
      <c r="R388" s="532">
        <f t="shared" si="46"/>
        <v>5.9902999472452451E-3</v>
      </c>
    </row>
    <row r="389" spans="1:18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339">
        <f t="shared" si="56"/>
        <v>6092</v>
      </c>
      <c r="G389" s="404">
        <v>1100</v>
      </c>
      <c r="H389" s="404"/>
      <c r="I389" s="404">
        <v>5000</v>
      </c>
      <c r="J389" s="404">
        <v>114</v>
      </c>
      <c r="K389" s="180">
        <f t="shared" si="57"/>
        <v>0</v>
      </c>
      <c r="L389" s="180">
        <f t="shared" si="58"/>
        <v>8.0451658433309814E-3</v>
      </c>
      <c r="M389" s="426">
        <f t="shared" si="59"/>
        <v>18.255527170077631</v>
      </c>
      <c r="N389" s="148">
        <f t="shared" si="55"/>
        <v>6.7125573404375452</v>
      </c>
      <c r="O389" s="426">
        <v>7.1050597269624562</v>
      </c>
      <c r="P389" s="426">
        <f t="shared" si="54"/>
        <v>1.4854594213126322</v>
      </c>
      <c r="Q389" s="926">
        <f t="shared" si="53"/>
        <v>1.8107750345800988</v>
      </c>
      <c r="R389" s="532">
        <f t="shared" si="46"/>
        <v>5.5086348750476464E-3</v>
      </c>
    </row>
    <row r="390" spans="1:18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339">
        <f t="shared" si="56"/>
        <v>12853.2</v>
      </c>
      <c r="G390" s="404">
        <v>1100</v>
      </c>
      <c r="H390" s="404"/>
      <c r="I390" s="404">
        <v>5000</v>
      </c>
      <c r="J390" s="404">
        <v>254</v>
      </c>
      <c r="K390" s="180">
        <f t="shared" si="57"/>
        <v>0</v>
      </c>
      <c r="L390" s="180">
        <f t="shared" si="58"/>
        <v>1.7925194071983064E-2</v>
      </c>
      <c r="M390" s="426">
        <f t="shared" si="59"/>
        <v>40.674595624558933</v>
      </c>
      <c r="N390" s="148">
        <f t="shared" si="55"/>
        <v>14.956048811150321</v>
      </c>
      <c r="O390" s="426">
        <v>15.830571672354948</v>
      </c>
      <c r="P390" s="426">
        <f t="shared" si="54"/>
        <v>3.3097078334509527</v>
      </c>
      <c r="Q390" s="926">
        <f t="shared" si="53"/>
        <v>4.0345338489767117</v>
      </c>
      <c r="R390" s="532">
        <f t="shared" si="46"/>
        <v>5.8173002786477412E-3</v>
      </c>
    </row>
    <row r="391" spans="1:18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339">
        <f t="shared" si="56"/>
        <v>6317.1</v>
      </c>
      <c r="G391" s="404">
        <v>1100</v>
      </c>
      <c r="H391" s="404"/>
      <c r="I391" s="404">
        <v>5000</v>
      </c>
      <c r="J391" s="404">
        <v>124</v>
      </c>
      <c r="K391" s="180">
        <f t="shared" si="57"/>
        <v>0</v>
      </c>
      <c r="L391" s="180">
        <f t="shared" si="58"/>
        <v>8.7508821453775587E-3</v>
      </c>
      <c r="M391" s="426">
        <f t="shared" si="59"/>
        <v>19.856889202540582</v>
      </c>
      <c r="N391" s="148">
        <f t="shared" si="55"/>
        <v>7.3013781597741723</v>
      </c>
      <c r="O391" s="426">
        <v>7.728310580204778</v>
      </c>
      <c r="P391" s="426">
        <f t="shared" ref="P391:P454" si="60">K391+L391*184.64</f>
        <v>1.6157628793225123</v>
      </c>
      <c r="Q391" s="926">
        <f t="shared" si="53"/>
        <v>1.9696149498941427</v>
      </c>
      <c r="R391" s="532">
        <f t="shared" ref="R391:R454" si="61">(P391+O391+N391+M391)/F391</f>
        <v>5.7783382915961501E-3</v>
      </c>
    </row>
    <row r="392" spans="1:18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339">
        <f t="shared" si="56"/>
        <v>6243.1</v>
      </c>
      <c r="G392" s="404">
        <v>1100</v>
      </c>
      <c r="H392" s="404"/>
      <c r="I392" s="404">
        <v>5000</v>
      </c>
      <c r="J392" s="404">
        <v>124</v>
      </c>
      <c r="K392" s="180">
        <f t="shared" si="57"/>
        <v>0</v>
      </c>
      <c r="L392" s="180">
        <f t="shared" si="58"/>
        <v>8.7508821453775587E-3</v>
      </c>
      <c r="M392" s="426">
        <f t="shared" si="59"/>
        <v>19.856889202540582</v>
      </c>
      <c r="N392" s="148">
        <f t="shared" si="55"/>
        <v>7.3013781597741723</v>
      </c>
      <c r="O392" s="426">
        <v>7.728310580204778</v>
      </c>
      <c r="P392" s="426">
        <f t="shared" si="60"/>
        <v>1.6157628793225123</v>
      </c>
      <c r="Q392" s="926">
        <f t="shared" si="53"/>
        <v>1.9696149498941427</v>
      </c>
      <c r="R392" s="532">
        <f t="shared" si="61"/>
        <v>5.846829431186756E-3</v>
      </c>
    </row>
    <row r="393" spans="1:18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339">
        <f t="shared" si="56"/>
        <v>3918</v>
      </c>
      <c r="G393" s="404">
        <v>1100</v>
      </c>
      <c r="H393" s="404"/>
      <c r="I393" s="404">
        <v>5000</v>
      </c>
      <c r="J393" s="404">
        <v>120</v>
      </c>
      <c r="K393" s="180">
        <f t="shared" si="57"/>
        <v>0</v>
      </c>
      <c r="L393" s="180">
        <f t="shared" si="58"/>
        <v>8.4685956245589278E-3</v>
      </c>
      <c r="M393" s="426">
        <f t="shared" si="59"/>
        <v>19.216344389555402</v>
      </c>
      <c r="N393" s="148">
        <f t="shared" si="55"/>
        <v>7.0658498320395218</v>
      </c>
      <c r="O393" s="426">
        <v>7.4790102389078497</v>
      </c>
      <c r="P393" s="426">
        <f t="shared" si="60"/>
        <v>1.5636414961185603</v>
      </c>
      <c r="Q393" s="926">
        <f t="shared" si="53"/>
        <v>1.906078983768525</v>
      </c>
      <c r="R393" s="532">
        <f t="shared" si="61"/>
        <v>9.0160403156256588E-3</v>
      </c>
    </row>
    <row r="394" spans="1:18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339">
        <f t="shared" si="56"/>
        <v>4332</v>
      </c>
      <c r="G394" s="404">
        <v>1100</v>
      </c>
      <c r="H394" s="404"/>
      <c r="I394" s="404">
        <v>5000</v>
      </c>
      <c r="J394" s="404">
        <v>120</v>
      </c>
      <c r="K394" s="180">
        <f t="shared" si="57"/>
        <v>0</v>
      </c>
      <c r="L394" s="180">
        <f t="shared" si="58"/>
        <v>8.4685956245589278E-3</v>
      </c>
      <c r="M394" s="426">
        <f t="shared" si="59"/>
        <v>19.216344389555402</v>
      </c>
      <c r="N394" s="148">
        <f t="shared" si="55"/>
        <v>7.0658498320395218</v>
      </c>
      <c r="O394" s="426">
        <v>7.4790102389078497</v>
      </c>
      <c r="P394" s="426">
        <f t="shared" si="60"/>
        <v>1.5636414961185603</v>
      </c>
      <c r="Q394" s="926">
        <f t="shared" si="53"/>
        <v>1.906078983768525</v>
      </c>
      <c r="R394" s="532">
        <f t="shared" si="61"/>
        <v>8.1543965735506301E-3</v>
      </c>
    </row>
    <row r="395" spans="1:18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339">
        <f t="shared" si="56"/>
        <v>3911</v>
      </c>
      <c r="G395" s="404">
        <v>1100</v>
      </c>
      <c r="H395" s="404"/>
      <c r="I395" s="404">
        <v>5000</v>
      </c>
      <c r="J395" s="404">
        <v>120</v>
      </c>
      <c r="K395" s="180">
        <f t="shared" si="57"/>
        <v>0</v>
      </c>
      <c r="L395" s="180">
        <f t="shared" si="58"/>
        <v>8.4685956245589278E-3</v>
      </c>
      <c r="M395" s="426">
        <f t="shared" si="59"/>
        <v>19.216344389555402</v>
      </c>
      <c r="N395" s="148">
        <f t="shared" si="55"/>
        <v>7.0658498320395218</v>
      </c>
      <c r="O395" s="426">
        <v>7.4790102389078497</v>
      </c>
      <c r="P395" s="426">
        <f t="shared" si="60"/>
        <v>1.5636414961185603</v>
      </c>
      <c r="Q395" s="926">
        <f t="shared" si="53"/>
        <v>1.906078983768525</v>
      </c>
      <c r="R395" s="532">
        <f t="shared" si="61"/>
        <v>9.0321774371315087E-3</v>
      </c>
    </row>
    <row r="396" spans="1:18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339">
        <f t="shared" si="56"/>
        <v>3338</v>
      </c>
      <c r="G396" s="404">
        <v>1100</v>
      </c>
      <c r="H396" s="404"/>
      <c r="I396" s="404">
        <v>5000</v>
      </c>
      <c r="J396" s="404">
        <v>210</v>
      </c>
      <c r="K396" s="180">
        <f t="shared" si="57"/>
        <v>0</v>
      </c>
      <c r="L396" s="180">
        <f t="shared" si="58"/>
        <v>1.4820042342978124E-2</v>
      </c>
      <c r="M396" s="426">
        <f t="shared" si="59"/>
        <v>33.628602681721951</v>
      </c>
      <c r="N396" s="148">
        <f t="shared" si="55"/>
        <v>12.365237206069162</v>
      </c>
      <c r="O396" s="426">
        <v>13.088267918088736</v>
      </c>
      <c r="P396" s="426">
        <f t="shared" si="60"/>
        <v>2.7363726182074806</v>
      </c>
      <c r="Q396" s="926">
        <f t="shared" si="53"/>
        <v>3.3356382215949192</v>
      </c>
      <c r="R396" s="532">
        <f t="shared" si="61"/>
        <v>1.8519616663896742E-2</v>
      </c>
    </row>
    <row r="397" spans="1:18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339">
        <f t="shared" si="56"/>
        <v>3353</v>
      </c>
      <c r="G397" s="404">
        <v>1100</v>
      </c>
      <c r="H397" s="404"/>
      <c r="I397" s="404">
        <v>5000</v>
      </c>
      <c r="J397" s="404">
        <v>210</v>
      </c>
      <c r="K397" s="180">
        <f t="shared" si="57"/>
        <v>0</v>
      </c>
      <c r="L397" s="180">
        <f t="shared" si="58"/>
        <v>1.4820042342978124E-2</v>
      </c>
      <c r="M397" s="426">
        <f t="shared" si="59"/>
        <v>33.628602681721951</v>
      </c>
      <c r="N397" s="148">
        <f t="shared" si="55"/>
        <v>12.365237206069162</v>
      </c>
      <c r="O397" s="426">
        <v>13.088267918088736</v>
      </c>
      <c r="P397" s="426">
        <f t="shared" si="60"/>
        <v>2.7363726182074806</v>
      </c>
      <c r="Q397" s="926">
        <f t="shared" si="53"/>
        <v>3.3356382215949192</v>
      </c>
      <c r="R397" s="532">
        <f t="shared" si="61"/>
        <v>1.8436767200741822E-2</v>
      </c>
    </row>
    <row r="398" spans="1:18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339">
        <f t="shared" si="56"/>
        <v>4050</v>
      </c>
      <c r="G398" s="404">
        <v>1100</v>
      </c>
      <c r="H398" s="404"/>
      <c r="I398" s="404">
        <v>5000</v>
      </c>
      <c r="J398" s="404">
        <v>160</v>
      </c>
      <c r="K398" s="180">
        <f t="shared" si="57"/>
        <v>0</v>
      </c>
      <c r="L398" s="180">
        <f t="shared" si="58"/>
        <v>1.1291460832745237E-2</v>
      </c>
      <c r="M398" s="426">
        <f t="shared" si="59"/>
        <v>25.621792519407201</v>
      </c>
      <c r="N398" s="148">
        <f t="shared" si="55"/>
        <v>9.4211331093860284</v>
      </c>
      <c r="O398" s="426">
        <v>9.9720136518771323</v>
      </c>
      <c r="P398" s="426">
        <f t="shared" si="60"/>
        <v>2.0848553281580804</v>
      </c>
      <c r="Q398" s="926">
        <f t="shared" si="53"/>
        <v>2.5414386450247002</v>
      </c>
      <c r="R398" s="532">
        <f t="shared" si="61"/>
        <v>1.1629578915760108E-2</v>
      </c>
    </row>
    <row r="399" spans="1:18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339">
        <f t="shared" si="56"/>
        <v>4035</v>
      </c>
      <c r="G399" s="404">
        <v>1100</v>
      </c>
      <c r="H399" s="404"/>
      <c r="I399" s="404">
        <v>5000</v>
      </c>
      <c r="J399" s="404">
        <v>160</v>
      </c>
      <c r="K399" s="180">
        <f t="shared" si="57"/>
        <v>0</v>
      </c>
      <c r="L399" s="180">
        <f t="shared" si="58"/>
        <v>1.1291460832745237E-2</v>
      </c>
      <c r="M399" s="426">
        <f t="shared" si="59"/>
        <v>25.621792519407201</v>
      </c>
      <c r="N399" s="148">
        <f t="shared" si="55"/>
        <v>9.4211331093860284</v>
      </c>
      <c r="O399" s="426">
        <v>9.9720136518771323</v>
      </c>
      <c r="P399" s="426">
        <f t="shared" si="60"/>
        <v>2.0848553281580804</v>
      </c>
      <c r="Q399" s="926">
        <f t="shared" si="53"/>
        <v>2.5414386450247002</v>
      </c>
      <c r="R399" s="532">
        <f t="shared" si="61"/>
        <v>1.1672811551134681E-2</v>
      </c>
    </row>
    <row r="400" spans="1:18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339">
        <f t="shared" si="56"/>
        <v>4018</v>
      </c>
      <c r="G400" s="404">
        <v>1100</v>
      </c>
      <c r="H400" s="404"/>
      <c r="I400" s="404">
        <v>5000</v>
      </c>
      <c r="J400" s="404">
        <v>160</v>
      </c>
      <c r="K400" s="180">
        <f t="shared" si="57"/>
        <v>0</v>
      </c>
      <c r="L400" s="180">
        <f t="shared" si="58"/>
        <v>1.1291460832745237E-2</v>
      </c>
      <c r="M400" s="426">
        <f t="shared" si="59"/>
        <v>25.621792519407201</v>
      </c>
      <c r="N400" s="148">
        <f t="shared" si="55"/>
        <v>9.4211331093860284</v>
      </c>
      <c r="O400" s="426">
        <v>9.9720136518771323</v>
      </c>
      <c r="P400" s="426">
        <f t="shared" si="60"/>
        <v>2.0848553281580804</v>
      </c>
      <c r="Q400" s="926">
        <f t="shared" si="53"/>
        <v>2.5414386450247002</v>
      </c>
      <c r="R400" s="532">
        <f t="shared" si="61"/>
        <v>1.1722198757797023E-2</v>
      </c>
    </row>
    <row r="401" spans="1:18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339">
        <f t="shared" si="56"/>
        <v>4031</v>
      </c>
      <c r="G401" s="404">
        <v>1100</v>
      </c>
      <c r="H401" s="404"/>
      <c r="I401" s="404">
        <v>5000</v>
      </c>
      <c r="J401" s="404">
        <v>160</v>
      </c>
      <c r="K401" s="180">
        <f t="shared" si="57"/>
        <v>0</v>
      </c>
      <c r="L401" s="180">
        <f t="shared" si="58"/>
        <v>1.1291460832745237E-2</v>
      </c>
      <c r="M401" s="426">
        <f t="shared" si="59"/>
        <v>25.621792519407201</v>
      </c>
      <c r="N401" s="148">
        <f t="shared" ref="N401:N464" si="62">M401*0.3677</f>
        <v>9.4211331093860284</v>
      </c>
      <c r="O401" s="426">
        <v>9.9720136518771323</v>
      </c>
      <c r="P401" s="426">
        <f t="shared" si="60"/>
        <v>2.0848553281580804</v>
      </c>
      <c r="Q401" s="926">
        <f t="shared" si="53"/>
        <v>2.5414386450247002</v>
      </c>
      <c r="R401" s="532">
        <f t="shared" si="61"/>
        <v>1.1684394594102813E-2</v>
      </c>
    </row>
    <row r="402" spans="1:18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339">
        <f t="shared" si="56"/>
        <v>4302</v>
      </c>
      <c r="G402" s="404">
        <v>1100</v>
      </c>
      <c r="H402" s="404"/>
      <c r="I402" s="404">
        <v>5000</v>
      </c>
      <c r="J402" s="404">
        <v>119</v>
      </c>
      <c r="K402" s="180">
        <f t="shared" si="57"/>
        <v>0</v>
      </c>
      <c r="L402" s="180">
        <f t="shared" si="58"/>
        <v>8.39802399435427E-3</v>
      </c>
      <c r="M402" s="426">
        <f t="shared" si="59"/>
        <v>19.056208186309107</v>
      </c>
      <c r="N402" s="148">
        <f t="shared" si="62"/>
        <v>7.0069677501058587</v>
      </c>
      <c r="O402" s="426">
        <v>7.416685153583618</v>
      </c>
      <c r="P402" s="426">
        <f t="shared" si="60"/>
        <v>1.5506111503175724</v>
      </c>
      <c r="Q402" s="926">
        <f t="shared" si="53"/>
        <v>1.8901949922371208</v>
      </c>
      <c r="R402" s="532">
        <f t="shared" si="61"/>
        <v>8.1428340865448996E-3</v>
      </c>
    </row>
    <row r="403" spans="1:18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339">
        <f t="shared" si="56"/>
        <v>4275</v>
      </c>
      <c r="G403" s="404">
        <v>1100</v>
      </c>
      <c r="H403" s="404"/>
      <c r="I403" s="404">
        <v>5000</v>
      </c>
      <c r="J403" s="404">
        <v>119</v>
      </c>
      <c r="K403" s="180">
        <f t="shared" si="57"/>
        <v>0</v>
      </c>
      <c r="L403" s="180">
        <f t="shared" si="58"/>
        <v>8.39802399435427E-3</v>
      </c>
      <c r="M403" s="426">
        <f t="shared" si="59"/>
        <v>19.056208186309107</v>
      </c>
      <c r="N403" s="148">
        <f t="shared" si="62"/>
        <v>7.0069677501058587</v>
      </c>
      <c r="O403" s="426">
        <v>7.416685153583618</v>
      </c>
      <c r="P403" s="426">
        <f t="shared" si="60"/>
        <v>1.5506111503175724</v>
      </c>
      <c r="Q403" s="926">
        <f t="shared" si="53"/>
        <v>1.8901949922371208</v>
      </c>
      <c r="R403" s="532">
        <f t="shared" si="61"/>
        <v>8.194262512354656E-3</v>
      </c>
    </row>
    <row r="404" spans="1:18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339">
        <f t="shared" si="56"/>
        <v>4125</v>
      </c>
      <c r="G404" s="404">
        <v>1100</v>
      </c>
      <c r="H404" s="404"/>
      <c r="I404" s="404">
        <v>5000</v>
      </c>
      <c r="J404" s="404">
        <v>170</v>
      </c>
      <c r="K404" s="180">
        <f t="shared" si="57"/>
        <v>0</v>
      </c>
      <c r="L404" s="180">
        <f t="shared" si="58"/>
        <v>1.1997177134791814E-2</v>
      </c>
      <c r="M404" s="426">
        <f t="shared" si="59"/>
        <v>27.223154551870152</v>
      </c>
      <c r="N404" s="148">
        <f t="shared" si="62"/>
        <v>10.009953928722656</v>
      </c>
      <c r="O404" s="426">
        <v>10.595264505119452</v>
      </c>
      <c r="P404" s="426">
        <f t="shared" si="60"/>
        <v>2.2151587861679602</v>
      </c>
      <c r="Q404" s="926">
        <f t="shared" si="53"/>
        <v>2.7002785603387438</v>
      </c>
      <c r="R404" s="532">
        <f t="shared" si="61"/>
        <v>1.2131765278031567E-2</v>
      </c>
    </row>
    <row r="405" spans="1:18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339">
        <f t="shared" si="56"/>
        <v>3975</v>
      </c>
      <c r="G405" s="404">
        <v>1100</v>
      </c>
      <c r="H405" s="404"/>
      <c r="I405" s="404">
        <v>5000</v>
      </c>
      <c r="J405" s="404">
        <v>160</v>
      </c>
      <c r="K405" s="180">
        <f t="shared" si="57"/>
        <v>0</v>
      </c>
      <c r="L405" s="180">
        <f t="shared" si="58"/>
        <v>1.1291460832745237E-2</v>
      </c>
      <c r="M405" s="426">
        <f t="shared" si="59"/>
        <v>25.621792519407201</v>
      </c>
      <c r="N405" s="148">
        <f t="shared" si="62"/>
        <v>9.4211331093860284</v>
      </c>
      <c r="O405" s="426">
        <v>9.9720136518771323</v>
      </c>
      <c r="P405" s="426">
        <f t="shared" si="60"/>
        <v>2.0848553281580804</v>
      </c>
      <c r="Q405" s="926">
        <f t="shared" si="53"/>
        <v>2.5414386450247002</v>
      </c>
      <c r="R405" s="532">
        <f t="shared" si="61"/>
        <v>1.1849004933038601E-2</v>
      </c>
    </row>
    <row r="406" spans="1:18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339">
        <f t="shared" si="56"/>
        <v>3357</v>
      </c>
      <c r="G406" s="404">
        <v>1100</v>
      </c>
      <c r="H406" s="404"/>
      <c r="I406" s="404">
        <v>5000</v>
      </c>
      <c r="J406" s="404">
        <v>220</v>
      </c>
      <c r="K406" s="180">
        <f t="shared" si="57"/>
        <v>0</v>
      </c>
      <c r="L406" s="180">
        <f t="shared" si="58"/>
        <v>1.5525758645024701E-2</v>
      </c>
      <c r="M406" s="426">
        <f t="shared" si="59"/>
        <v>35.229964714184902</v>
      </c>
      <c r="N406" s="148">
        <f t="shared" si="62"/>
        <v>12.954058025405789</v>
      </c>
      <c r="O406" s="426">
        <v>13.711518771331056</v>
      </c>
      <c r="P406" s="426">
        <f t="shared" si="60"/>
        <v>2.8666760762173604</v>
      </c>
      <c r="Q406" s="926">
        <f t="shared" si="53"/>
        <v>3.4944781369089628</v>
      </c>
      <c r="R406" s="532">
        <f t="shared" si="61"/>
        <v>1.9291694246988116E-2</v>
      </c>
    </row>
    <row r="407" spans="1:18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339">
        <f t="shared" si="56"/>
        <v>6146</v>
      </c>
      <c r="G407" s="404">
        <v>1100</v>
      </c>
      <c r="H407" s="404"/>
      <c r="I407" s="404">
        <v>5000</v>
      </c>
      <c r="J407" s="404">
        <v>210</v>
      </c>
      <c r="K407" s="180">
        <f t="shared" si="57"/>
        <v>0</v>
      </c>
      <c r="L407" s="180">
        <f t="shared" si="58"/>
        <v>1.4820042342978124E-2</v>
      </c>
      <c r="M407" s="426">
        <f t="shared" si="59"/>
        <v>33.628602681721951</v>
      </c>
      <c r="N407" s="148">
        <f t="shared" si="62"/>
        <v>12.365237206069162</v>
      </c>
      <c r="O407" s="426">
        <v>13.088267918088736</v>
      </c>
      <c r="P407" s="426">
        <f t="shared" si="60"/>
        <v>2.7363726182074806</v>
      </c>
      <c r="Q407" s="926">
        <f t="shared" si="53"/>
        <v>3.3356382215949192</v>
      </c>
      <c r="R407" s="532">
        <f t="shared" si="61"/>
        <v>1.0058327436395596E-2</v>
      </c>
    </row>
    <row r="408" spans="1:18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339">
        <f t="shared" si="56"/>
        <v>983</v>
      </c>
      <c r="G408" s="404">
        <v>1100</v>
      </c>
      <c r="H408" s="404"/>
      <c r="I408" s="404">
        <v>5000</v>
      </c>
      <c r="J408" s="404">
        <v>22</v>
      </c>
      <c r="K408" s="180">
        <f t="shared" si="57"/>
        <v>0</v>
      </c>
      <c r="L408" s="180">
        <f t="shared" si="58"/>
        <v>1.5525758645024701E-3</v>
      </c>
      <c r="M408" s="426">
        <f t="shared" si="59"/>
        <v>3.52299647141849</v>
      </c>
      <c r="N408" s="148">
        <f t="shared" si="62"/>
        <v>1.2954058025405788</v>
      </c>
      <c r="O408" s="426">
        <v>1.3711518771331057</v>
      </c>
      <c r="P408" s="426">
        <f t="shared" si="60"/>
        <v>0.28666760762173604</v>
      </c>
      <c r="Q408" s="926">
        <f t="shared" si="53"/>
        <v>0.34944781369089628</v>
      </c>
      <c r="R408" s="532">
        <f t="shared" si="61"/>
        <v>6.5882215246326654E-3</v>
      </c>
    </row>
    <row r="409" spans="1:18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339">
        <f t="shared" si="56"/>
        <v>3815</v>
      </c>
      <c r="G409" s="404">
        <v>1100</v>
      </c>
      <c r="H409" s="404"/>
      <c r="I409" s="404">
        <v>5000</v>
      </c>
      <c r="J409" s="404">
        <v>139</v>
      </c>
      <c r="K409" s="180">
        <f t="shared" si="57"/>
        <v>0</v>
      </c>
      <c r="L409" s="180">
        <f t="shared" si="58"/>
        <v>9.8094565984474247E-3</v>
      </c>
      <c r="M409" s="426">
        <f t="shared" si="59"/>
        <v>22.258932251235006</v>
      </c>
      <c r="N409" s="148">
        <f t="shared" si="62"/>
        <v>8.184609388779112</v>
      </c>
      <c r="O409" s="426">
        <v>8.6631868600682598</v>
      </c>
      <c r="P409" s="426">
        <f t="shared" si="60"/>
        <v>1.8112180663373323</v>
      </c>
      <c r="Q409" s="926">
        <f t="shared" si="53"/>
        <v>2.2078748228652083</v>
      </c>
      <c r="R409" s="532">
        <f t="shared" si="61"/>
        <v>1.0725543005614605E-2</v>
      </c>
    </row>
    <row r="410" spans="1:18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339">
        <f t="shared" si="56"/>
        <v>4215</v>
      </c>
      <c r="G410" s="404">
        <v>1100</v>
      </c>
      <c r="H410" s="404"/>
      <c r="I410" s="404">
        <v>5000</v>
      </c>
      <c r="J410" s="404">
        <v>171</v>
      </c>
      <c r="K410" s="180">
        <f t="shared" si="57"/>
        <v>0</v>
      </c>
      <c r="L410" s="180">
        <f t="shared" si="58"/>
        <v>1.2067748764996472E-2</v>
      </c>
      <c r="M410" s="426">
        <f t="shared" si="59"/>
        <v>27.383290755116445</v>
      </c>
      <c r="N410" s="148">
        <f t="shared" si="62"/>
        <v>10.068836010656318</v>
      </c>
      <c r="O410" s="426">
        <v>10.657589590443685</v>
      </c>
      <c r="P410" s="426">
        <f t="shared" si="60"/>
        <v>2.2281891319689486</v>
      </c>
      <c r="Q410" s="926">
        <f t="shared" si="53"/>
        <v>2.7161625518701484</v>
      </c>
      <c r="R410" s="532">
        <f t="shared" si="61"/>
        <v>1.1942563579640663E-2</v>
      </c>
    </row>
    <row r="411" spans="1:18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339">
        <f t="shared" si="56"/>
        <v>12662</v>
      </c>
      <c r="G411" s="404">
        <v>1100</v>
      </c>
      <c r="H411" s="404"/>
      <c r="I411" s="404">
        <v>5000</v>
      </c>
      <c r="J411" s="404">
        <v>269</v>
      </c>
      <c r="K411" s="180">
        <f t="shared" si="57"/>
        <v>0</v>
      </c>
      <c r="L411" s="180">
        <f t="shared" si="58"/>
        <v>1.898376852505293E-2</v>
      </c>
      <c r="M411" s="426">
        <f t="shared" si="59"/>
        <v>43.076638673253356</v>
      </c>
      <c r="N411" s="148">
        <f t="shared" si="62"/>
        <v>15.839280040155261</v>
      </c>
      <c r="O411" s="426">
        <v>16.765447952218427</v>
      </c>
      <c r="P411" s="426">
        <f t="shared" si="60"/>
        <v>3.5051630204657727</v>
      </c>
      <c r="Q411" s="926">
        <f t="shared" si="53"/>
        <v>4.2727937219477772</v>
      </c>
      <c r="R411" s="532">
        <f t="shared" si="61"/>
        <v>6.2538721912883295E-3</v>
      </c>
    </row>
    <row r="412" spans="1:18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339">
        <f t="shared" si="56"/>
        <v>3976</v>
      </c>
      <c r="G412" s="404">
        <v>1100</v>
      </c>
      <c r="H412" s="404"/>
      <c r="I412" s="404">
        <v>5000</v>
      </c>
      <c r="J412" s="404">
        <v>108</v>
      </c>
      <c r="K412" s="180">
        <f t="shared" si="57"/>
        <v>0</v>
      </c>
      <c r="L412" s="180">
        <f t="shared" si="58"/>
        <v>7.621736062103035E-3</v>
      </c>
      <c r="M412" s="426">
        <f t="shared" si="59"/>
        <v>17.294709950599859</v>
      </c>
      <c r="N412" s="148">
        <f t="shared" si="62"/>
        <v>6.3592648488355685</v>
      </c>
      <c r="O412" s="426">
        <v>6.7311092150170646</v>
      </c>
      <c r="P412" s="426">
        <f t="shared" si="60"/>
        <v>1.4072773465067043</v>
      </c>
      <c r="Q412" s="926">
        <f t="shared" si="53"/>
        <v>1.7154710853916726</v>
      </c>
      <c r="R412" s="532">
        <f t="shared" si="61"/>
        <v>7.9960667406839027E-3</v>
      </c>
    </row>
    <row r="413" spans="1:18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339">
        <f t="shared" si="56"/>
        <v>12839</v>
      </c>
      <c r="G413" s="404">
        <v>1100</v>
      </c>
      <c r="H413" s="404"/>
      <c r="I413" s="404">
        <v>5000</v>
      </c>
      <c r="J413" s="404">
        <v>138</v>
      </c>
      <c r="K413" s="180">
        <f t="shared" si="57"/>
        <v>0</v>
      </c>
      <c r="L413" s="180">
        <f t="shared" si="58"/>
        <v>9.7388849682427669E-3</v>
      </c>
      <c r="M413" s="426">
        <f t="shared" si="59"/>
        <v>22.09879604798871</v>
      </c>
      <c r="N413" s="148">
        <f t="shared" si="62"/>
        <v>8.1257273068454499</v>
      </c>
      <c r="O413" s="426">
        <v>8.6008617747440272</v>
      </c>
      <c r="P413" s="426">
        <f t="shared" si="60"/>
        <v>1.7981877205363443</v>
      </c>
      <c r="Q413" s="926">
        <f t="shared" ref="Q413:Q476" si="63">P413*1.219</f>
        <v>2.1919908313338041</v>
      </c>
      <c r="R413" s="532">
        <f t="shared" si="61"/>
        <v>3.1640760845949474E-3</v>
      </c>
    </row>
    <row r="414" spans="1:18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339">
        <f t="shared" si="56"/>
        <v>10313</v>
      </c>
      <c r="G414" s="404">
        <v>1100</v>
      </c>
      <c r="H414" s="404"/>
      <c r="I414" s="404">
        <v>5000</v>
      </c>
      <c r="J414" s="404">
        <v>120</v>
      </c>
      <c r="K414" s="180">
        <f t="shared" si="57"/>
        <v>0</v>
      </c>
      <c r="L414" s="180">
        <f t="shared" si="58"/>
        <v>8.4685956245589278E-3</v>
      </c>
      <c r="M414" s="426">
        <f t="shared" si="59"/>
        <v>19.216344389555402</v>
      </c>
      <c r="N414" s="148">
        <f t="shared" si="62"/>
        <v>7.0658498320395218</v>
      </c>
      <c r="O414" s="426">
        <v>7.4790102389078497</v>
      </c>
      <c r="P414" s="426">
        <f t="shared" si="60"/>
        <v>1.5636414961185603</v>
      </c>
      <c r="Q414" s="926">
        <f t="shared" si="63"/>
        <v>1.906078983768525</v>
      </c>
      <c r="R414" s="532">
        <f t="shared" si="61"/>
        <v>3.4252735340464784E-3</v>
      </c>
    </row>
    <row r="415" spans="1:18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339">
        <f t="shared" si="56"/>
        <v>6385</v>
      </c>
      <c r="G415" s="404">
        <v>1100</v>
      </c>
      <c r="H415" s="404"/>
      <c r="I415" s="404">
        <v>5000</v>
      </c>
      <c r="J415" s="404">
        <v>101</v>
      </c>
      <c r="K415" s="180">
        <f t="shared" si="57"/>
        <v>0</v>
      </c>
      <c r="L415" s="180">
        <f t="shared" si="58"/>
        <v>7.1277346506704309E-3</v>
      </c>
      <c r="M415" s="426">
        <f t="shared" si="59"/>
        <v>16.173756527875796</v>
      </c>
      <c r="N415" s="148">
        <f t="shared" si="62"/>
        <v>5.9470902752999306</v>
      </c>
      <c r="O415" s="426">
        <v>6.2948336177474395</v>
      </c>
      <c r="P415" s="426">
        <f t="shared" si="60"/>
        <v>1.3160649258997883</v>
      </c>
      <c r="Q415" s="926">
        <f t="shared" si="63"/>
        <v>1.604283144671842</v>
      </c>
      <c r="R415" s="532">
        <f t="shared" si="61"/>
        <v>4.6564988796903607E-3</v>
      </c>
    </row>
    <row r="416" spans="1:18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339">
        <f t="shared" si="56"/>
        <v>3041.2</v>
      </c>
      <c r="G416" s="404">
        <v>1100</v>
      </c>
      <c r="H416" s="404"/>
      <c r="I416" s="404">
        <v>5000</v>
      </c>
      <c r="J416" s="404">
        <v>108</v>
      </c>
      <c r="K416" s="180">
        <f t="shared" si="57"/>
        <v>0</v>
      </c>
      <c r="L416" s="180">
        <f t="shared" si="58"/>
        <v>7.621736062103035E-3</v>
      </c>
      <c r="M416" s="426">
        <f t="shared" si="59"/>
        <v>17.294709950599859</v>
      </c>
      <c r="N416" s="148">
        <f t="shared" si="62"/>
        <v>6.3592648488355685</v>
      </c>
      <c r="O416" s="426">
        <v>6.7311092150170646</v>
      </c>
      <c r="P416" s="426">
        <f t="shared" si="60"/>
        <v>1.4072773465067043</v>
      </c>
      <c r="Q416" s="926">
        <f t="shared" si="63"/>
        <v>1.7154710853916726</v>
      </c>
      <c r="R416" s="532">
        <f t="shared" si="61"/>
        <v>1.045388707120847E-2</v>
      </c>
    </row>
    <row r="417" spans="1:18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339">
        <f t="shared" si="56"/>
        <v>3886</v>
      </c>
      <c r="G417" s="404">
        <v>1100</v>
      </c>
      <c r="H417" s="404"/>
      <c r="I417" s="404">
        <v>5000</v>
      </c>
      <c r="J417" s="404">
        <v>48</v>
      </c>
      <c r="K417" s="180">
        <f t="shared" si="57"/>
        <v>0</v>
      </c>
      <c r="L417" s="180">
        <f t="shared" si="58"/>
        <v>3.3874382498235711E-3</v>
      </c>
      <c r="M417" s="426">
        <f t="shared" si="59"/>
        <v>7.6865377558221599</v>
      </c>
      <c r="N417" s="148">
        <f t="shared" si="62"/>
        <v>2.8263399328158085</v>
      </c>
      <c r="O417" s="426">
        <v>2.9916040955631393</v>
      </c>
      <c r="P417" s="426">
        <f t="shared" si="60"/>
        <v>0.62545659844742407</v>
      </c>
      <c r="Q417" s="926">
        <f t="shared" si="63"/>
        <v>0.76243159350740997</v>
      </c>
      <c r="R417" s="532">
        <f t="shared" si="61"/>
        <v>3.6361138401051294E-3</v>
      </c>
    </row>
    <row r="418" spans="1:18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339">
        <f t="shared" si="56"/>
        <v>4071</v>
      </c>
      <c r="G418" s="404">
        <v>1100</v>
      </c>
      <c r="H418" s="404"/>
      <c r="I418" s="404">
        <v>5000</v>
      </c>
      <c r="J418" s="404">
        <v>144</v>
      </c>
      <c r="K418" s="180">
        <f t="shared" si="57"/>
        <v>0</v>
      </c>
      <c r="L418" s="180">
        <f t="shared" si="58"/>
        <v>1.0162314749470713E-2</v>
      </c>
      <c r="M418" s="426">
        <f t="shared" si="59"/>
        <v>23.059613267466482</v>
      </c>
      <c r="N418" s="148">
        <f t="shared" si="62"/>
        <v>8.4790197984474265</v>
      </c>
      <c r="O418" s="426">
        <v>8.9748122866894189</v>
      </c>
      <c r="P418" s="426">
        <f t="shared" si="60"/>
        <v>1.8763697953422724</v>
      </c>
      <c r="Q418" s="926">
        <f t="shared" si="63"/>
        <v>2.2872947805222301</v>
      </c>
      <c r="R418" s="532">
        <f t="shared" si="61"/>
        <v>1.0412629611384328E-2</v>
      </c>
    </row>
    <row r="419" spans="1:18" s="6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339">
        <f t="shared" si="56"/>
        <v>352.6</v>
      </c>
      <c r="G419" s="404">
        <v>1100</v>
      </c>
      <c r="H419" s="404">
        <v>8</v>
      </c>
      <c r="I419" s="404">
        <v>5000</v>
      </c>
      <c r="J419" s="404">
        <v>2</v>
      </c>
      <c r="K419" s="180">
        <f t="shared" si="57"/>
        <v>9.5877277085330771E-4</v>
      </c>
      <c r="L419" s="180">
        <f t="shared" si="58"/>
        <v>1.4114326040931546E-4</v>
      </c>
      <c r="M419" s="426">
        <f t="shared" si="59"/>
        <v>2.4958524640189563</v>
      </c>
      <c r="N419" s="148">
        <f t="shared" si="62"/>
        <v>0.91772495101977036</v>
      </c>
      <c r="O419" s="426">
        <v>0.96344442902166982</v>
      </c>
      <c r="P419" s="426">
        <f t="shared" si="60"/>
        <v>2.7019464372829313E-2</v>
      </c>
      <c r="Q419" s="926">
        <f t="shared" si="63"/>
        <v>3.2936727070478934E-2</v>
      </c>
      <c r="R419" s="532">
        <f t="shared" si="61"/>
        <v>1.2490190891756171E-2</v>
      </c>
    </row>
    <row r="420" spans="1:18" s="6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339">
        <f t="shared" si="56"/>
        <v>656.95</v>
      </c>
      <c r="G420" s="404">
        <v>1100</v>
      </c>
      <c r="H420" s="404">
        <v>7</v>
      </c>
      <c r="I420" s="404">
        <v>5000</v>
      </c>
      <c r="J420" s="404">
        <v>2</v>
      </c>
      <c r="K420" s="180">
        <f t="shared" si="57"/>
        <v>8.3892617449664428E-4</v>
      </c>
      <c r="L420" s="180">
        <f t="shared" si="58"/>
        <v>1.4114326040931546E-4</v>
      </c>
      <c r="M420" s="426">
        <f t="shared" si="59"/>
        <v>2.2239049568281608</v>
      </c>
      <c r="N420" s="148">
        <f t="shared" si="62"/>
        <v>0.81772985262571474</v>
      </c>
      <c r="O420" s="426">
        <v>0.85859514672501913</v>
      </c>
      <c r="P420" s="426">
        <f t="shared" si="60"/>
        <v>2.6899617776472647E-2</v>
      </c>
      <c r="Q420" s="926">
        <f t="shared" si="63"/>
        <v>3.279063406952016E-2</v>
      </c>
      <c r="R420" s="532">
        <f t="shared" si="61"/>
        <v>5.9778211035168083E-3</v>
      </c>
    </row>
    <row r="421" spans="1:18" s="6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339">
        <f t="shared" si="56"/>
        <v>485.16</v>
      </c>
      <c r="G421" s="404">
        <v>1100</v>
      </c>
      <c r="H421" s="404">
        <v>26</v>
      </c>
      <c r="I421" s="404">
        <v>5000</v>
      </c>
      <c r="J421" s="404">
        <v>4</v>
      </c>
      <c r="K421" s="180">
        <f t="shared" si="57"/>
        <v>3.11601150527325E-3</v>
      </c>
      <c r="L421" s="180">
        <f t="shared" si="58"/>
        <v>2.8228652081863093E-4</v>
      </c>
      <c r="M421" s="426">
        <f t="shared" si="59"/>
        <v>7.7111799999458706</v>
      </c>
      <c r="N421" s="148">
        <f t="shared" si="62"/>
        <v>2.8354008859800968</v>
      </c>
      <c r="O421" s="426">
        <v>2.9753816810098468</v>
      </c>
      <c r="P421" s="426">
        <f t="shared" si="60"/>
        <v>5.5237394709225257E-2</v>
      </c>
      <c r="Q421" s="926">
        <f t="shared" si="63"/>
        <v>6.7334384150545587E-2</v>
      </c>
      <c r="R421" s="532">
        <f t="shared" si="61"/>
        <v>2.798499456188688E-2</v>
      </c>
    </row>
    <row r="422" spans="1:18" s="6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339">
        <f t="shared" si="56"/>
        <v>286.92</v>
      </c>
      <c r="G422" s="404">
        <v>1100</v>
      </c>
      <c r="H422" s="404">
        <v>12</v>
      </c>
      <c r="I422" s="404">
        <v>5000</v>
      </c>
      <c r="J422" s="404">
        <v>6</v>
      </c>
      <c r="K422" s="180">
        <f t="shared" si="57"/>
        <v>1.4381591562799617E-3</v>
      </c>
      <c r="L422" s="180">
        <f t="shared" si="58"/>
        <v>4.2342978122794639E-4</v>
      </c>
      <c r="M422" s="426">
        <f t="shared" si="59"/>
        <v>4.2241873057673196</v>
      </c>
      <c r="N422" s="148">
        <f t="shared" si="62"/>
        <v>1.5532336723306435</v>
      </c>
      <c r="O422" s="426">
        <v>1.6321418995052011</v>
      </c>
      <c r="P422" s="426">
        <f t="shared" si="60"/>
        <v>7.9620233962207965E-2</v>
      </c>
      <c r="Q422" s="926">
        <f t="shared" si="63"/>
        <v>9.7057065199931514E-2</v>
      </c>
      <c r="R422" s="532">
        <f t="shared" si="61"/>
        <v>2.6101990490608431E-2</v>
      </c>
    </row>
    <row r="423" spans="1:18" s="6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339">
        <f t="shared" si="56"/>
        <v>226.94</v>
      </c>
      <c r="G423" s="404">
        <v>1100</v>
      </c>
      <c r="H423" s="404">
        <v>9</v>
      </c>
      <c r="I423" s="404">
        <v>5000</v>
      </c>
      <c r="J423" s="404">
        <v>8</v>
      </c>
      <c r="K423" s="180">
        <f t="shared" si="57"/>
        <v>1.0786193672099713E-3</v>
      </c>
      <c r="L423" s="180">
        <f t="shared" si="58"/>
        <v>5.6457304163726185E-4</v>
      </c>
      <c r="M423" s="426">
        <f t="shared" si="59"/>
        <v>3.7286171906875221</v>
      </c>
      <c r="N423" s="148">
        <f t="shared" si="62"/>
        <v>1.3710125410158021</v>
      </c>
      <c r="O423" s="426">
        <v>1.4422442232637129</v>
      </c>
      <c r="P423" s="426">
        <f t="shared" si="60"/>
        <v>0.10532138577511399</v>
      </c>
      <c r="Q423" s="926">
        <f t="shared" si="63"/>
        <v>0.12838676925986398</v>
      </c>
      <c r="R423" s="532">
        <f t="shared" si="61"/>
        <v>2.9290540851071432E-2</v>
      </c>
    </row>
    <row r="424" spans="1:18" s="6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339">
        <f t="shared" si="56"/>
        <v>307.14999999999998</v>
      </c>
      <c r="G424" s="404">
        <v>1100</v>
      </c>
      <c r="H424" s="404">
        <v>13</v>
      </c>
      <c r="I424" s="404">
        <v>5000</v>
      </c>
      <c r="J424" s="404">
        <v>13</v>
      </c>
      <c r="K424" s="180">
        <f t="shared" si="57"/>
        <v>1.558005752636625E-3</v>
      </c>
      <c r="L424" s="180">
        <f t="shared" si="58"/>
        <v>9.1743119266055051E-4</v>
      </c>
      <c r="M424" s="426">
        <f t="shared" si="59"/>
        <v>5.6170882356821803</v>
      </c>
      <c r="N424" s="148">
        <f t="shared" si="62"/>
        <v>2.0654033442603379</v>
      </c>
      <c r="O424" s="426">
        <v>2.1732667790714761</v>
      </c>
      <c r="P424" s="426">
        <f t="shared" si="60"/>
        <v>0.17095250116548066</v>
      </c>
      <c r="Q424" s="926">
        <f t="shared" si="63"/>
        <v>0.20839109892072094</v>
      </c>
      <c r="R424" s="532">
        <f t="shared" si="61"/>
        <v>3.2644345955329564E-2</v>
      </c>
    </row>
    <row r="425" spans="1:18" s="6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339">
        <f t="shared" si="56"/>
        <v>329.65</v>
      </c>
      <c r="G425" s="404">
        <v>1100</v>
      </c>
      <c r="H425" s="404">
        <v>12</v>
      </c>
      <c r="I425" s="404">
        <v>5000</v>
      </c>
      <c r="J425" s="404">
        <v>11</v>
      </c>
      <c r="K425" s="180">
        <f t="shared" si="57"/>
        <v>1.4381591562799617E-3</v>
      </c>
      <c r="L425" s="180">
        <f t="shared" si="58"/>
        <v>7.7628793225123505E-4</v>
      </c>
      <c r="M425" s="426">
        <f t="shared" si="59"/>
        <v>5.0248683219987944</v>
      </c>
      <c r="N425" s="148">
        <f t="shared" si="62"/>
        <v>1.8476440819989568</v>
      </c>
      <c r="O425" s="426">
        <v>1.9437673261263615</v>
      </c>
      <c r="P425" s="426">
        <f t="shared" si="60"/>
        <v>0.14477196296714798</v>
      </c>
      <c r="Q425" s="926">
        <f t="shared" si="63"/>
        <v>0.17647702285695341</v>
      </c>
      <c r="R425" s="532">
        <f t="shared" si="61"/>
        <v>2.7183533120252575E-2</v>
      </c>
    </row>
    <row r="426" spans="1:18" s="6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339">
        <f t="shared" si="56"/>
        <v>255.16</v>
      </c>
      <c r="G426" s="404">
        <v>1100</v>
      </c>
      <c r="H426" s="404">
        <v>10</v>
      </c>
      <c r="I426" s="404">
        <v>5000</v>
      </c>
      <c r="J426" s="404">
        <v>11</v>
      </c>
      <c r="K426" s="180">
        <f t="shared" si="57"/>
        <v>1.1984659635666346E-3</v>
      </c>
      <c r="L426" s="180">
        <f t="shared" si="58"/>
        <v>7.7628793225123505E-4</v>
      </c>
      <c r="M426" s="426">
        <f t="shared" si="59"/>
        <v>4.4809733076172025</v>
      </c>
      <c r="N426" s="148">
        <f t="shared" si="62"/>
        <v>1.6476538852108455</v>
      </c>
      <c r="O426" s="426">
        <v>1.7340687615330599</v>
      </c>
      <c r="P426" s="426">
        <f t="shared" si="60"/>
        <v>0.14453226977443465</v>
      </c>
      <c r="Q426" s="926">
        <f t="shared" si="63"/>
        <v>0.17618483685503586</v>
      </c>
      <c r="R426" s="532">
        <f t="shared" si="61"/>
        <v>3.1381204828874201E-2</v>
      </c>
    </row>
    <row r="427" spans="1:18" s="6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339">
        <f t="shared" si="56"/>
        <v>509.32</v>
      </c>
      <c r="G427" s="404">
        <v>1100</v>
      </c>
      <c r="H427" s="404">
        <v>18</v>
      </c>
      <c r="I427" s="404">
        <v>5000</v>
      </c>
      <c r="J427" s="404">
        <v>16</v>
      </c>
      <c r="K427" s="180">
        <f t="shared" si="57"/>
        <v>2.1572387344199425E-3</v>
      </c>
      <c r="L427" s="180">
        <f t="shared" si="58"/>
        <v>1.1291460832745237E-3</v>
      </c>
      <c r="M427" s="426">
        <f t="shared" si="59"/>
        <v>7.4572343813750441</v>
      </c>
      <c r="N427" s="148">
        <f t="shared" si="62"/>
        <v>2.7420250820316041</v>
      </c>
      <c r="O427" s="426">
        <v>2.8844884465274259</v>
      </c>
      <c r="P427" s="426">
        <f t="shared" si="60"/>
        <v>0.21064277155022798</v>
      </c>
      <c r="Q427" s="926">
        <f t="shared" si="63"/>
        <v>0.25677353851972795</v>
      </c>
      <c r="R427" s="532">
        <f t="shared" si="61"/>
        <v>2.6102235689712365E-2</v>
      </c>
    </row>
    <row r="428" spans="1:18" s="6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339">
        <f t="shared" si="56"/>
        <v>509.19</v>
      </c>
      <c r="G428" s="404">
        <v>1100</v>
      </c>
      <c r="H428" s="404">
        <v>21</v>
      </c>
      <c r="I428" s="404">
        <v>5000</v>
      </c>
      <c r="J428" s="404">
        <v>12</v>
      </c>
      <c r="K428" s="180">
        <f t="shared" si="57"/>
        <v>2.5167785234899327E-3</v>
      </c>
      <c r="L428" s="180">
        <f t="shared" si="58"/>
        <v>8.4685956245589278E-4</v>
      </c>
      <c r="M428" s="426">
        <f t="shared" si="59"/>
        <v>7.6325320899622513</v>
      </c>
      <c r="N428" s="148">
        <f t="shared" si="62"/>
        <v>2.8064820494791198</v>
      </c>
      <c r="O428" s="426">
        <v>2.9497359521204496</v>
      </c>
      <c r="P428" s="426">
        <f t="shared" si="60"/>
        <v>0.15888092813534596</v>
      </c>
      <c r="Q428" s="926">
        <f t="shared" si="63"/>
        <v>0.19367585139698673</v>
      </c>
      <c r="R428" s="532">
        <f t="shared" si="61"/>
        <v>2.6606239359958303E-2</v>
      </c>
    </row>
    <row r="429" spans="1:18" s="6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339">
        <f t="shared" si="56"/>
        <v>291.43</v>
      </c>
      <c r="G429" s="404">
        <v>1100</v>
      </c>
      <c r="H429" s="404">
        <v>16</v>
      </c>
      <c r="I429" s="404">
        <v>5000</v>
      </c>
      <c r="J429" s="404">
        <v>6</v>
      </c>
      <c r="K429" s="180">
        <f t="shared" si="57"/>
        <v>1.9175455417066154E-3</v>
      </c>
      <c r="L429" s="180">
        <f t="shared" si="58"/>
        <v>4.2342978122794639E-4</v>
      </c>
      <c r="M429" s="426">
        <f t="shared" si="59"/>
        <v>5.3119773345305026</v>
      </c>
      <c r="N429" s="148">
        <f t="shared" si="62"/>
        <v>1.953214065906866</v>
      </c>
      <c r="O429" s="426">
        <v>2.051539028691804</v>
      </c>
      <c r="P429" s="426">
        <f t="shared" si="60"/>
        <v>8.0099620347634626E-2</v>
      </c>
      <c r="Q429" s="926">
        <f t="shared" si="63"/>
        <v>9.7641437203766612E-2</v>
      </c>
      <c r="R429" s="532">
        <f t="shared" si="61"/>
        <v>3.2243866621407567E-2</v>
      </c>
    </row>
    <row r="430" spans="1:18" s="6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339">
        <f t="shared" si="56"/>
        <v>449.48</v>
      </c>
      <c r="G430" s="404">
        <v>1100</v>
      </c>
      <c r="H430" s="404">
        <v>21</v>
      </c>
      <c r="I430" s="404">
        <v>5000</v>
      </c>
      <c r="J430" s="404">
        <v>9</v>
      </c>
      <c r="K430" s="180">
        <f t="shared" si="57"/>
        <v>2.5167785234899327E-3</v>
      </c>
      <c r="L430" s="180">
        <f t="shared" si="58"/>
        <v>6.3514467184191958E-4</v>
      </c>
      <c r="M430" s="426">
        <f t="shared" si="59"/>
        <v>7.1521234802233664</v>
      </c>
      <c r="N430" s="148">
        <f t="shared" si="62"/>
        <v>2.629835803678132</v>
      </c>
      <c r="O430" s="426">
        <v>2.7627606961477538</v>
      </c>
      <c r="P430" s="426">
        <f t="shared" si="60"/>
        <v>0.11978989073238196</v>
      </c>
      <c r="Q430" s="926">
        <f t="shared" si="63"/>
        <v>0.14602387680277362</v>
      </c>
      <c r="R430" s="532">
        <f t="shared" si="61"/>
        <v>2.8175914102477606E-2</v>
      </c>
    </row>
    <row r="431" spans="1:18" s="6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339">
        <f t="shared" si="56"/>
        <v>467.46</v>
      </c>
      <c r="G431" s="404">
        <v>1100</v>
      </c>
      <c r="H431" s="404">
        <v>15</v>
      </c>
      <c r="I431" s="404">
        <v>5000</v>
      </c>
      <c r="J431" s="404">
        <v>10</v>
      </c>
      <c r="K431" s="180">
        <f t="shared" si="57"/>
        <v>1.7976989453499519E-3</v>
      </c>
      <c r="L431" s="180">
        <f t="shared" si="58"/>
        <v>7.0571630204657732E-4</v>
      </c>
      <c r="M431" s="426">
        <f t="shared" si="59"/>
        <v>5.6805746403248865</v>
      </c>
      <c r="N431" s="148">
        <f t="shared" si="62"/>
        <v>2.0887472952474608</v>
      </c>
      <c r="O431" s="426">
        <v>2.1959900876920817</v>
      </c>
      <c r="P431" s="426">
        <f t="shared" si="60"/>
        <v>0.13210115695522998</v>
      </c>
      <c r="Q431" s="926">
        <f t="shared" si="63"/>
        <v>0.16103131032842535</v>
      </c>
      <c r="R431" s="532">
        <f t="shared" si="61"/>
        <v>2.1600592949599238E-2</v>
      </c>
    </row>
    <row r="432" spans="1:18" s="6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339">
        <f t="shared" si="56"/>
        <v>558.4</v>
      </c>
      <c r="G432" s="404">
        <v>1100</v>
      </c>
      <c r="H432" s="404">
        <v>11</v>
      </c>
      <c r="I432" s="404">
        <v>5000</v>
      </c>
      <c r="J432" s="404">
        <v>17</v>
      </c>
      <c r="K432" s="180">
        <f t="shared" si="57"/>
        <v>1.3183125599232981E-3</v>
      </c>
      <c r="L432" s="180">
        <f t="shared" si="58"/>
        <v>1.1997177134791814E-3</v>
      </c>
      <c r="M432" s="426">
        <f t="shared" si="59"/>
        <v>5.7137380342857691</v>
      </c>
      <c r="N432" s="148">
        <f t="shared" si="62"/>
        <v>2.1009414752068776</v>
      </c>
      <c r="O432" s="426">
        <v>2.2128685557751031</v>
      </c>
      <c r="P432" s="426">
        <f t="shared" si="60"/>
        <v>0.22283419117671932</v>
      </c>
      <c r="Q432" s="926">
        <f t="shared" si="63"/>
        <v>0.27163487904442085</v>
      </c>
      <c r="R432" s="532">
        <f t="shared" si="61"/>
        <v>1.835670174864697E-2</v>
      </c>
    </row>
    <row r="433" spans="1:19" s="6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339">
        <f t="shared" si="56"/>
        <v>331.42</v>
      </c>
      <c r="G433" s="404">
        <v>1100</v>
      </c>
      <c r="H433" s="404">
        <v>10</v>
      </c>
      <c r="I433" s="404">
        <v>5000</v>
      </c>
      <c r="J433" s="404">
        <v>9</v>
      </c>
      <c r="K433" s="180">
        <f t="shared" si="57"/>
        <v>1.1984659635666346E-3</v>
      </c>
      <c r="L433" s="180">
        <f t="shared" si="58"/>
        <v>6.3514467184191958E-4</v>
      </c>
      <c r="M433" s="426">
        <f t="shared" si="59"/>
        <v>4.1607009011246125</v>
      </c>
      <c r="N433" s="148">
        <f t="shared" si="62"/>
        <v>1.5298897213435201</v>
      </c>
      <c r="O433" s="426">
        <v>1.6094185908845957</v>
      </c>
      <c r="P433" s="426">
        <f t="shared" si="60"/>
        <v>0.11847157817245867</v>
      </c>
      <c r="Q433" s="926">
        <f t="shared" si="63"/>
        <v>0.14441685379222713</v>
      </c>
      <c r="R433" s="532">
        <f t="shared" si="61"/>
        <v>2.238392611044954E-2</v>
      </c>
    </row>
    <row r="434" spans="1:19" s="6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339">
        <f t="shared" si="56"/>
        <v>154.9</v>
      </c>
      <c r="G434" s="404">
        <v>1100</v>
      </c>
      <c r="H434" s="404">
        <v>6</v>
      </c>
      <c r="I434" s="404">
        <v>5000</v>
      </c>
      <c r="J434" s="404">
        <v>2</v>
      </c>
      <c r="K434" s="180">
        <f t="shared" si="57"/>
        <v>7.1907957813998084E-4</v>
      </c>
      <c r="L434" s="180">
        <f t="shared" si="58"/>
        <v>1.4114326040931546E-4</v>
      </c>
      <c r="M434" s="426">
        <f t="shared" si="59"/>
        <v>1.9519574496373648</v>
      </c>
      <c r="N434" s="148">
        <f t="shared" si="62"/>
        <v>0.71773475423165911</v>
      </c>
      <c r="O434" s="426">
        <v>0.75374586442836844</v>
      </c>
      <c r="P434" s="426">
        <f t="shared" si="60"/>
        <v>2.6779771180115985E-2</v>
      </c>
      <c r="Q434" s="926">
        <f t="shared" si="63"/>
        <v>3.2644541068561392E-2</v>
      </c>
      <c r="R434" s="532">
        <f t="shared" si="61"/>
        <v>2.2273840151565579E-2</v>
      </c>
    </row>
    <row r="435" spans="1:19" s="6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339">
        <f t="shared" si="56"/>
        <v>119.9</v>
      </c>
      <c r="G435" s="404">
        <v>1100</v>
      </c>
      <c r="H435" s="404">
        <v>6</v>
      </c>
      <c r="I435" s="404">
        <v>5000</v>
      </c>
      <c r="J435" s="404">
        <v>2</v>
      </c>
      <c r="K435" s="180">
        <f t="shared" si="57"/>
        <v>7.1907957813998084E-4</v>
      </c>
      <c r="L435" s="180">
        <f t="shared" si="58"/>
        <v>1.4114326040931546E-4</v>
      </c>
      <c r="M435" s="426">
        <f t="shared" si="59"/>
        <v>1.9519574496373648</v>
      </c>
      <c r="N435" s="148">
        <f t="shared" si="62"/>
        <v>0.71773475423165911</v>
      </c>
      <c r="O435" s="426">
        <v>0.75374586442836844</v>
      </c>
      <c r="P435" s="426">
        <f t="shared" si="60"/>
        <v>2.6779771180115985E-2</v>
      </c>
      <c r="Q435" s="926">
        <f t="shared" si="63"/>
        <v>3.2644541068561392E-2</v>
      </c>
      <c r="R435" s="532">
        <f t="shared" si="61"/>
        <v>2.87757951582778E-2</v>
      </c>
    </row>
    <row r="436" spans="1:19" s="6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339">
        <f t="shared" si="56"/>
        <v>300.3</v>
      </c>
      <c r="G436" s="404">
        <v>1100</v>
      </c>
      <c r="H436" s="404">
        <v>19</v>
      </c>
      <c r="I436" s="404">
        <v>5000</v>
      </c>
      <c r="J436" s="404">
        <v>18</v>
      </c>
      <c r="K436" s="180">
        <f t="shared" si="57"/>
        <v>2.2770853307766056E-3</v>
      </c>
      <c r="L436" s="180">
        <f t="shared" si="58"/>
        <v>1.2702893436838392E-3</v>
      </c>
      <c r="M436" s="426">
        <f t="shared" si="59"/>
        <v>8.04945429505843</v>
      </c>
      <c r="N436" s="148">
        <f t="shared" si="62"/>
        <v>2.9597843442929848</v>
      </c>
      <c r="O436" s="426">
        <v>3.1139878994725407</v>
      </c>
      <c r="P436" s="426">
        <f t="shared" si="60"/>
        <v>0.23682330974856067</v>
      </c>
      <c r="Q436" s="926">
        <f t="shared" si="63"/>
        <v>0.28868761458349546</v>
      </c>
      <c r="R436" s="532">
        <f t="shared" si="61"/>
        <v>4.7819013814760288E-2</v>
      </c>
    </row>
    <row r="437" spans="1:19" s="6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339">
        <f t="shared" si="56"/>
        <v>226.84</v>
      </c>
      <c r="G437" s="404">
        <v>1100</v>
      </c>
      <c r="H437" s="404">
        <v>9</v>
      </c>
      <c r="I437" s="404">
        <v>5000</v>
      </c>
      <c r="J437" s="404">
        <v>9</v>
      </c>
      <c r="K437" s="180">
        <f t="shared" si="57"/>
        <v>1.0786193672099713E-3</v>
      </c>
      <c r="L437" s="180">
        <f t="shared" si="58"/>
        <v>6.3514467184191958E-4</v>
      </c>
      <c r="M437" s="426">
        <f t="shared" si="59"/>
        <v>3.8887533939338175</v>
      </c>
      <c r="N437" s="148">
        <f t="shared" si="62"/>
        <v>1.4298946229494647</v>
      </c>
      <c r="O437" s="426">
        <v>1.504569308587945</v>
      </c>
      <c r="P437" s="426">
        <f t="shared" si="60"/>
        <v>0.118351731576102</v>
      </c>
      <c r="Q437" s="926">
        <f t="shared" si="63"/>
        <v>0.14427076079126835</v>
      </c>
      <c r="R437" s="532">
        <f t="shared" si="61"/>
        <v>3.0601168475786145E-2</v>
      </c>
    </row>
    <row r="438" spans="1:19" s="69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339">
        <f t="shared" si="56"/>
        <v>216.3</v>
      </c>
      <c r="G438" s="404">
        <v>1100</v>
      </c>
      <c r="H438" s="404">
        <v>8</v>
      </c>
      <c r="I438" s="404">
        <v>5000</v>
      </c>
      <c r="J438" s="404">
        <v>8</v>
      </c>
      <c r="K438" s="180">
        <f t="shared" si="57"/>
        <v>9.5877277085330771E-4</v>
      </c>
      <c r="L438" s="180">
        <f t="shared" si="58"/>
        <v>5.6457304163726185E-4</v>
      </c>
      <c r="M438" s="426">
        <f t="shared" si="59"/>
        <v>3.4566696834967261</v>
      </c>
      <c r="N438" s="148">
        <f t="shared" si="62"/>
        <v>1.2710174426217462</v>
      </c>
      <c r="O438" s="426">
        <v>1.3373949409670622</v>
      </c>
      <c r="P438" s="426">
        <f t="shared" si="60"/>
        <v>0.10520153917875733</v>
      </c>
      <c r="Q438" s="926">
        <f t="shared" si="63"/>
        <v>0.1282406762589052</v>
      </c>
      <c r="R438" s="532">
        <f t="shared" si="61"/>
        <v>2.852650765725516E-2</v>
      </c>
      <c r="S438" s="6"/>
    </row>
    <row r="439" spans="1:19" s="6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339">
        <f t="shared" si="56"/>
        <v>307.64999999999998</v>
      </c>
      <c r="G439" s="404">
        <v>1100</v>
      </c>
      <c r="H439" s="404">
        <v>11</v>
      </c>
      <c r="I439" s="404">
        <v>5000</v>
      </c>
      <c r="J439" s="404">
        <v>8</v>
      </c>
      <c r="K439" s="180">
        <f t="shared" si="57"/>
        <v>1.3183125599232981E-3</v>
      </c>
      <c r="L439" s="180">
        <f t="shared" si="58"/>
        <v>5.6457304163726185E-4</v>
      </c>
      <c r="M439" s="426">
        <f t="shared" si="59"/>
        <v>4.2725122050691136</v>
      </c>
      <c r="N439" s="148">
        <f t="shared" si="62"/>
        <v>1.5710027378039131</v>
      </c>
      <c r="O439" s="426">
        <v>1.6519427878570143</v>
      </c>
      <c r="P439" s="426">
        <f t="shared" si="60"/>
        <v>0.10556107896782732</v>
      </c>
      <c r="Q439" s="926">
        <f t="shared" si="63"/>
        <v>0.12867895526178152</v>
      </c>
      <c r="R439" s="532">
        <f t="shared" si="61"/>
        <v>2.4706708303909863E-2</v>
      </c>
    </row>
    <row r="440" spans="1:19" s="6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339">
        <f t="shared" si="56"/>
        <v>350.66</v>
      </c>
      <c r="G440" s="404">
        <v>1100</v>
      </c>
      <c r="H440" s="404">
        <v>10</v>
      </c>
      <c r="I440" s="404">
        <v>5000</v>
      </c>
      <c r="J440" s="404">
        <v>7</v>
      </c>
      <c r="K440" s="180">
        <f t="shared" si="57"/>
        <v>1.1984659635666346E-3</v>
      </c>
      <c r="L440" s="180">
        <f t="shared" si="58"/>
        <v>4.9400141143260412E-4</v>
      </c>
      <c r="M440" s="426">
        <f t="shared" si="59"/>
        <v>3.8404284946320226</v>
      </c>
      <c r="N440" s="148">
        <f t="shared" si="62"/>
        <v>1.4121255574761948</v>
      </c>
      <c r="O440" s="426">
        <v>1.4847684202361315</v>
      </c>
      <c r="P440" s="426">
        <f t="shared" si="60"/>
        <v>9.2410886570482659E-2</v>
      </c>
      <c r="Q440" s="926">
        <f t="shared" si="63"/>
        <v>0.11264887072941837</v>
      </c>
      <c r="R440" s="532">
        <f t="shared" si="61"/>
        <v>1.9476796209761109E-2</v>
      </c>
    </row>
    <row r="441" spans="1:19" s="6" customFormat="1" ht="15.75">
      <c r="A441" s="448">
        <v>56</v>
      </c>
      <c r="B441" s="111" t="s">
        <v>782</v>
      </c>
      <c r="C441" s="330">
        <v>485.8</v>
      </c>
      <c r="D441" s="330"/>
      <c r="E441" s="330"/>
      <c r="F441" s="339">
        <f t="shared" si="56"/>
        <v>485.8</v>
      </c>
      <c r="G441" s="404">
        <v>1100</v>
      </c>
      <c r="H441" s="404">
        <v>21</v>
      </c>
      <c r="I441" s="404">
        <v>5000</v>
      </c>
      <c r="J441" s="404">
        <v>17</v>
      </c>
      <c r="K441" s="180">
        <f t="shared" si="57"/>
        <v>2.5167785234899327E-3</v>
      </c>
      <c r="L441" s="180">
        <f t="shared" si="58"/>
        <v>1.1997177134791814E-3</v>
      </c>
      <c r="M441" s="426">
        <f t="shared" si="59"/>
        <v>8.4332131061937261</v>
      </c>
      <c r="N441" s="148">
        <f t="shared" si="62"/>
        <v>3.1008924591474334</v>
      </c>
      <c r="O441" s="426">
        <v>3.2613613787416105</v>
      </c>
      <c r="P441" s="426">
        <f t="shared" si="60"/>
        <v>0.22403265714028597</v>
      </c>
      <c r="Q441" s="926">
        <f t="shared" si="63"/>
        <v>0.2730958090540086</v>
      </c>
      <c r="R441" s="532">
        <f t="shared" si="61"/>
        <v>3.0917043230183319E-2</v>
      </c>
    </row>
    <row r="442" spans="1:19" s="6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339">
        <f t="shared" si="56"/>
        <v>402.96</v>
      </c>
      <c r="G442" s="404">
        <v>1100</v>
      </c>
      <c r="H442" s="404">
        <v>12</v>
      </c>
      <c r="I442" s="404">
        <v>5000</v>
      </c>
      <c r="J442" s="404">
        <v>11</v>
      </c>
      <c r="K442" s="180">
        <f t="shared" si="57"/>
        <v>1.4381591562799617E-3</v>
      </c>
      <c r="L442" s="180">
        <f t="shared" si="58"/>
        <v>7.7628793225123505E-4</v>
      </c>
      <c r="M442" s="426">
        <f t="shared" si="59"/>
        <v>5.0248683219987944</v>
      </c>
      <c r="N442" s="148">
        <f t="shared" si="62"/>
        <v>1.8476440819989568</v>
      </c>
      <c r="O442" s="426">
        <v>1.9437673261263615</v>
      </c>
      <c r="P442" s="426">
        <f t="shared" si="60"/>
        <v>0.14477196296714798</v>
      </c>
      <c r="Q442" s="926">
        <f t="shared" si="63"/>
        <v>0.17647702285695341</v>
      </c>
      <c r="R442" s="532">
        <f t="shared" si="61"/>
        <v>2.223806753298407E-2</v>
      </c>
    </row>
    <row r="443" spans="1:19" s="6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339">
        <f t="shared" si="56"/>
        <v>526.67999999999995</v>
      </c>
      <c r="G443" s="404">
        <v>1100</v>
      </c>
      <c r="H443" s="404">
        <v>24</v>
      </c>
      <c r="I443" s="404">
        <v>5000</v>
      </c>
      <c r="J443" s="404">
        <v>13</v>
      </c>
      <c r="K443" s="180">
        <f t="shared" si="57"/>
        <v>2.8763183125599234E-3</v>
      </c>
      <c r="L443" s="180">
        <f t="shared" si="58"/>
        <v>9.1743119266055051E-4</v>
      </c>
      <c r="M443" s="426">
        <f t="shared" si="59"/>
        <v>8.608510814780935</v>
      </c>
      <c r="N443" s="148">
        <f t="shared" si="62"/>
        <v>3.16534942659495</v>
      </c>
      <c r="O443" s="426">
        <v>3.3266088843346342</v>
      </c>
      <c r="P443" s="426">
        <f t="shared" si="60"/>
        <v>0.17227081372540395</v>
      </c>
      <c r="Q443" s="926">
        <f t="shared" si="63"/>
        <v>0.20999812193126743</v>
      </c>
      <c r="R443" s="532">
        <f t="shared" si="61"/>
        <v>2.8998139172620802E-2</v>
      </c>
    </row>
    <row r="444" spans="1:19" s="6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339">
        <f t="shared" si="56"/>
        <v>198.5</v>
      </c>
      <c r="G444" s="404">
        <v>1100</v>
      </c>
      <c r="H444" s="404">
        <v>4</v>
      </c>
      <c r="I444" s="404">
        <v>5000</v>
      </c>
      <c r="J444" s="404">
        <v>2</v>
      </c>
      <c r="K444" s="180">
        <f t="shared" si="57"/>
        <v>4.7938638542665386E-4</v>
      </c>
      <c r="L444" s="180">
        <f t="shared" si="58"/>
        <v>1.4114326040931546E-4</v>
      </c>
      <c r="M444" s="426">
        <f t="shared" si="59"/>
        <v>1.4080624352557731</v>
      </c>
      <c r="N444" s="148">
        <f t="shared" si="62"/>
        <v>0.51774455744354786</v>
      </c>
      <c r="O444" s="426">
        <v>0.54404729983506694</v>
      </c>
      <c r="P444" s="426">
        <f t="shared" si="60"/>
        <v>2.6540077987402658E-2</v>
      </c>
      <c r="Q444" s="926">
        <f t="shared" si="63"/>
        <v>3.2352355066643843E-2</v>
      </c>
      <c r="R444" s="532">
        <f t="shared" si="61"/>
        <v>1.2576294058044285E-2</v>
      </c>
    </row>
    <row r="445" spans="1:19" s="6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339">
        <f t="shared" si="56"/>
        <v>879.8</v>
      </c>
      <c r="G445" s="404">
        <v>1100</v>
      </c>
      <c r="H445" s="404">
        <v>26</v>
      </c>
      <c r="I445" s="404">
        <v>5000</v>
      </c>
      <c r="J445" s="404">
        <v>24</v>
      </c>
      <c r="K445" s="180">
        <f t="shared" si="57"/>
        <v>3.11601150527325E-3</v>
      </c>
      <c r="L445" s="180">
        <f t="shared" si="58"/>
        <v>1.6937191249117856E-3</v>
      </c>
      <c r="M445" s="426">
        <f t="shared" si="59"/>
        <v>10.913904064871771</v>
      </c>
      <c r="N445" s="148">
        <f t="shared" si="62"/>
        <v>4.0130425246533505</v>
      </c>
      <c r="O445" s="426">
        <v>4.2218833874944881</v>
      </c>
      <c r="P445" s="426">
        <f t="shared" si="60"/>
        <v>0.31584431072898528</v>
      </c>
      <c r="Q445" s="926">
        <f t="shared" si="63"/>
        <v>0.38501421477863307</v>
      </c>
      <c r="R445" s="532">
        <f t="shared" si="61"/>
        <v>2.2123976230675829E-2</v>
      </c>
    </row>
    <row r="446" spans="1:19" s="6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339">
        <f t="shared" si="56"/>
        <v>1786.8</v>
      </c>
      <c r="G446" s="404">
        <v>1100</v>
      </c>
      <c r="H446" s="404">
        <v>59</v>
      </c>
      <c r="I446" s="404">
        <v>5000</v>
      </c>
      <c r="J446" s="404">
        <v>34</v>
      </c>
      <c r="K446" s="180">
        <f t="shared" si="57"/>
        <v>7.070949185043144E-3</v>
      </c>
      <c r="L446" s="180">
        <f t="shared" si="58"/>
        <v>2.3994354269583629E-3</v>
      </c>
      <c r="M446" s="426">
        <f t="shared" si="59"/>
        <v>21.489533834630979</v>
      </c>
      <c r="N446" s="148">
        <f t="shared" si="62"/>
        <v>7.9017015909938113</v>
      </c>
      <c r="O446" s="426">
        <v>8.3051605565262818</v>
      </c>
      <c r="P446" s="426">
        <f t="shared" si="60"/>
        <v>0.4501027064186352</v>
      </c>
      <c r="Q446" s="926">
        <f t="shared" si="63"/>
        <v>0.54867519912431639</v>
      </c>
      <c r="R446" s="532">
        <f t="shared" si="61"/>
        <v>2.1349059037704114E-2</v>
      </c>
    </row>
    <row r="447" spans="1:19" s="6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339">
        <f t="shared" si="56"/>
        <v>776.28</v>
      </c>
      <c r="G447" s="404">
        <v>1100</v>
      </c>
      <c r="H447" s="404">
        <v>18</v>
      </c>
      <c r="I447" s="404">
        <v>5000</v>
      </c>
      <c r="J447" s="404">
        <v>11</v>
      </c>
      <c r="K447" s="180">
        <f t="shared" si="57"/>
        <v>2.1572387344199425E-3</v>
      </c>
      <c r="L447" s="180">
        <f t="shared" si="58"/>
        <v>7.7628793225123505E-4</v>
      </c>
      <c r="M447" s="426">
        <f t="shared" si="59"/>
        <v>6.6565533651435693</v>
      </c>
      <c r="N447" s="148">
        <f t="shared" si="62"/>
        <v>2.4476146723632906</v>
      </c>
      <c r="O447" s="426">
        <v>2.5728630199062659</v>
      </c>
      <c r="P447" s="426">
        <f t="shared" si="60"/>
        <v>0.14549104254528797</v>
      </c>
      <c r="Q447" s="926">
        <f t="shared" si="63"/>
        <v>0.17735358086270606</v>
      </c>
      <c r="R447" s="532">
        <f t="shared" si="61"/>
        <v>1.5229713634202112E-2</v>
      </c>
    </row>
    <row r="448" spans="1:19" s="6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339">
        <f t="shared" si="56"/>
        <v>475.29</v>
      </c>
      <c r="G448" s="404">
        <v>1100</v>
      </c>
      <c r="H448" s="404">
        <v>13</v>
      </c>
      <c r="I448" s="404">
        <v>5000</v>
      </c>
      <c r="J448" s="404">
        <v>19</v>
      </c>
      <c r="K448" s="180">
        <f t="shared" si="57"/>
        <v>1.558005752636625E-3</v>
      </c>
      <c r="L448" s="180">
        <f t="shared" si="58"/>
        <v>1.3408609738884969E-3</v>
      </c>
      <c r="M448" s="426">
        <f t="shared" si="59"/>
        <v>6.577905455159951</v>
      </c>
      <c r="N448" s="148">
        <f t="shared" si="62"/>
        <v>2.4186958358623141</v>
      </c>
      <c r="O448" s="426">
        <v>2.5472172910168687</v>
      </c>
      <c r="P448" s="426">
        <f t="shared" si="60"/>
        <v>0.24913457597140867</v>
      </c>
      <c r="Q448" s="926">
        <f t="shared" si="63"/>
        <v>0.30369504810914721</v>
      </c>
      <c r="R448" s="532">
        <f t="shared" si="61"/>
        <v>2.4812121353301232E-2</v>
      </c>
    </row>
    <row r="449" spans="1:19" s="6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339">
        <f t="shared" si="56"/>
        <v>487.96</v>
      </c>
      <c r="G449" s="404">
        <v>1100</v>
      </c>
      <c r="H449" s="404">
        <v>15</v>
      </c>
      <c r="I449" s="404">
        <v>5000</v>
      </c>
      <c r="J449" s="404">
        <v>16</v>
      </c>
      <c r="K449" s="180">
        <f t="shared" si="57"/>
        <v>1.7976989453499519E-3</v>
      </c>
      <c r="L449" s="180">
        <f t="shared" si="58"/>
        <v>1.1291460832745237E-3</v>
      </c>
      <c r="M449" s="426">
        <f t="shared" si="59"/>
        <v>6.6413918598026562</v>
      </c>
      <c r="N449" s="148">
        <f t="shared" si="62"/>
        <v>2.442039786849437</v>
      </c>
      <c r="O449" s="426">
        <v>2.5699405996374738</v>
      </c>
      <c r="P449" s="426">
        <f t="shared" si="60"/>
        <v>0.21028323176115798</v>
      </c>
      <c r="Q449" s="926">
        <f t="shared" si="63"/>
        <v>0.2563352595168516</v>
      </c>
      <c r="R449" s="532">
        <f t="shared" si="61"/>
        <v>2.4312762271601614E-2</v>
      </c>
    </row>
    <row r="450" spans="1:19" s="6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339">
        <f t="shared" ref="F450:F512" si="64">C450+D450+E450</f>
        <v>1058.94</v>
      </c>
      <c r="G450" s="404">
        <v>1100</v>
      </c>
      <c r="H450" s="404">
        <v>34</v>
      </c>
      <c r="I450" s="404">
        <v>5000</v>
      </c>
      <c r="J450" s="404">
        <v>14</v>
      </c>
      <c r="K450" s="180">
        <f t="shared" ref="K450:K513" si="65">1/8344*H450</f>
        <v>4.0747842761265579E-3</v>
      </c>
      <c r="L450" s="180">
        <f t="shared" ref="L450:L513" si="66">1/14170*J450</f>
        <v>9.8800282286520824E-4</v>
      </c>
      <c r="M450" s="426">
        <f t="shared" ref="M450:M513" si="67">(K450+L450)*2269.13</f>
        <v>11.488122089935187</v>
      </c>
      <c r="N450" s="148">
        <f t="shared" si="62"/>
        <v>4.2241824924691684</v>
      </c>
      <c r="O450" s="426">
        <v>4.4374267926253737</v>
      </c>
      <c r="P450" s="426">
        <f t="shared" si="60"/>
        <v>0.1864996254899586</v>
      </c>
      <c r="Q450" s="926">
        <f t="shared" si="63"/>
        <v>0.22734304347225956</v>
      </c>
      <c r="R450" s="532">
        <f t="shared" si="61"/>
        <v>1.9204327913309241E-2</v>
      </c>
    </row>
    <row r="451" spans="1:19" s="6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339">
        <f t="shared" si="64"/>
        <v>435.39</v>
      </c>
      <c r="G451" s="404">
        <v>1100</v>
      </c>
      <c r="H451" s="404">
        <v>15</v>
      </c>
      <c r="I451" s="404">
        <v>5000</v>
      </c>
      <c r="J451" s="404">
        <v>7</v>
      </c>
      <c r="K451" s="180">
        <f t="shared" si="65"/>
        <v>1.7976989453499519E-3</v>
      </c>
      <c r="L451" s="180">
        <f t="shared" si="66"/>
        <v>4.9400141143260412E-4</v>
      </c>
      <c r="M451" s="426">
        <f t="shared" si="67"/>
        <v>5.2001660305860016</v>
      </c>
      <c r="N451" s="148">
        <f t="shared" si="62"/>
        <v>1.912101049446473</v>
      </c>
      <c r="O451" s="426">
        <v>2.0090148317193854</v>
      </c>
      <c r="P451" s="426">
        <f t="shared" si="60"/>
        <v>9.3010119552265971E-2</v>
      </c>
      <c r="Q451" s="926">
        <f t="shared" si="63"/>
        <v>0.11337933573421223</v>
      </c>
      <c r="R451" s="532">
        <f t="shared" si="61"/>
        <v>2.1163306532773207E-2</v>
      </c>
    </row>
    <row r="452" spans="1:19" s="6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339">
        <f t="shared" si="64"/>
        <v>539.61</v>
      </c>
      <c r="G452" s="404">
        <v>1100</v>
      </c>
      <c r="H452" s="404">
        <v>17</v>
      </c>
      <c r="I452" s="404">
        <v>5000</v>
      </c>
      <c r="J452" s="404">
        <v>12</v>
      </c>
      <c r="K452" s="180">
        <f t="shared" si="65"/>
        <v>2.037392138063279E-3</v>
      </c>
      <c r="L452" s="180">
        <f t="shared" si="66"/>
        <v>8.4685956245589278E-4</v>
      </c>
      <c r="M452" s="426">
        <f t="shared" si="67"/>
        <v>6.5447420611990683</v>
      </c>
      <c r="N452" s="148">
        <f t="shared" si="62"/>
        <v>2.4065016559028978</v>
      </c>
      <c r="O452" s="426">
        <v>2.5303388229338468</v>
      </c>
      <c r="P452" s="426">
        <f t="shared" si="60"/>
        <v>0.1584015417499193</v>
      </c>
      <c r="Q452" s="926">
        <f t="shared" si="63"/>
        <v>0.19309147939315163</v>
      </c>
      <c r="R452" s="532">
        <f t="shared" si="61"/>
        <v>2.1571105208920759E-2</v>
      </c>
    </row>
    <row r="453" spans="1:19" s="6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339">
        <f t="shared" si="64"/>
        <v>466.35</v>
      </c>
      <c r="G453" s="404">
        <v>1100</v>
      </c>
      <c r="H453" s="404">
        <v>21</v>
      </c>
      <c r="I453" s="404">
        <v>5000</v>
      </c>
      <c r="J453" s="404">
        <v>7</v>
      </c>
      <c r="K453" s="180">
        <f t="shared" si="65"/>
        <v>2.5167785234899327E-3</v>
      </c>
      <c r="L453" s="180">
        <f t="shared" si="66"/>
        <v>4.9400141143260412E-4</v>
      </c>
      <c r="M453" s="426">
        <f t="shared" si="67"/>
        <v>6.8318510737307765</v>
      </c>
      <c r="N453" s="148">
        <f t="shared" si="62"/>
        <v>2.5120716398108067</v>
      </c>
      <c r="O453" s="426">
        <v>2.6381105254992896</v>
      </c>
      <c r="P453" s="426">
        <f t="shared" si="60"/>
        <v>9.3729199130405949E-2</v>
      </c>
      <c r="Q453" s="926">
        <f t="shared" si="63"/>
        <v>0.11425589373996486</v>
      </c>
      <c r="R453" s="532">
        <f t="shared" si="61"/>
        <v>2.5894204863667367E-2</v>
      </c>
    </row>
    <row r="454" spans="1:19" s="6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339">
        <f t="shared" si="64"/>
        <v>270.3</v>
      </c>
      <c r="G454" s="404">
        <v>1100</v>
      </c>
      <c r="H454" s="404">
        <v>7</v>
      </c>
      <c r="I454" s="404">
        <v>5000</v>
      </c>
      <c r="J454" s="404">
        <v>4</v>
      </c>
      <c r="K454" s="180">
        <f t="shared" si="65"/>
        <v>8.3892617449664428E-4</v>
      </c>
      <c r="L454" s="180">
        <f t="shared" si="66"/>
        <v>2.8228652081863093E-4</v>
      </c>
      <c r="M454" s="426">
        <f t="shared" si="67"/>
        <v>2.5441773633207507</v>
      </c>
      <c r="N454" s="148">
        <f t="shared" si="62"/>
        <v>0.93549401649304009</v>
      </c>
      <c r="O454" s="426">
        <v>0.98324531737348331</v>
      </c>
      <c r="P454" s="426">
        <f t="shared" si="60"/>
        <v>5.2960309378448651E-2</v>
      </c>
      <c r="Q454" s="926">
        <f t="shared" si="63"/>
        <v>6.455861713232891E-2</v>
      </c>
      <c r="R454" s="532">
        <f t="shared" si="61"/>
        <v>1.670690716450508E-2</v>
      </c>
    </row>
    <row r="455" spans="1:19" s="6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339">
        <f t="shared" si="64"/>
        <v>1056.99</v>
      </c>
      <c r="G455" s="404">
        <v>1100</v>
      </c>
      <c r="H455" s="404">
        <v>22</v>
      </c>
      <c r="I455" s="404">
        <v>5000</v>
      </c>
      <c r="J455" s="404">
        <v>22</v>
      </c>
      <c r="K455" s="180">
        <f t="shared" si="65"/>
        <v>2.6366251198465963E-3</v>
      </c>
      <c r="L455" s="180">
        <f t="shared" si="66"/>
        <v>1.5525758645024701E-3</v>
      </c>
      <c r="M455" s="426">
        <f t="shared" si="67"/>
        <v>9.5058416296159969</v>
      </c>
      <c r="N455" s="148">
        <f t="shared" si="62"/>
        <v>3.4952979672098023</v>
      </c>
      <c r="O455" s="426">
        <v>3.6778360876594216</v>
      </c>
      <c r="P455" s="426">
        <f t="shared" ref="P455:P518" si="68">K455+L455*184.64</f>
        <v>0.28930423274158262</v>
      </c>
      <c r="Q455" s="926">
        <f t="shared" si="63"/>
        <v>0.35266185971198927</v>
      </c>
      <c r="R455" s="532">
        <f t="shared" ref="R455:R518" si="69">(P455+O455+N455+M455)/F455</f>
        <v>1.6053396831783463E-2</v>
      </c>
    </row>
    <row r="456" spans="1:19" s="6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339">
        <f t="shared" si="64"/>
        <v>353.79999999999995</v>
      </c>
      <c r="G456" s="404">
        <v>1100</v>
      </c>
      <c r="H456" s="404">
        <v>12</v>
      </c>
      <c r="I456" s="404">
        <v>5000</v>
      </c>
      <c r="J456" s="404">
        <v>5</v>
      </c>
      <c r="K456" s="180">
        <f t="shared" si="65"/>
        <v>1.4381591562799617E-3</v>
      </c>
      <c r="L456" s="180">
        <f t="shared" si="66"/>
        <v>3.5285815102328866E-4</v>
      </c>
      <c r="M456" s="426">
        <f t="shared" si="67"/>
        <v>4.0640511025210246</v>
      </c>
      <c r="N456" s="148">
        <f t="shared" si="62"/>
        <v>1.4943515903969808</v>
      </c>
      <c r="O456" s="426">
        <v>1.569816814180969</v>
      </c>
      <c r="P456" s="426">
        <f t="shared" si="68"/>
        <v>6.6589888161219968E-2</v>
      </c>
      <c r="Q456" s="926">
        <f t="shared" si="63"/>
        <v>8.1173073668527149E-2</v>
      </c>
      <c r="R456" s="532">
        <f t="shared" si="69"/>
        <v>2.033580948349405E-2</v>
      </c>
    </row>
    <row r="457" spans="1:19" s="6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339">
        <f t="shared" si="64"/>
        <v>239.3</v>
      </c>
      <c r="G457" s="404">
        <v>1100</v>
      </c>
      <c r="H457" s="404">
        <v>11</v>
      </c>
      <c r="I457" s="404">
        <v>5000</v>
      </c>
      <c r="J457" s="404">
        <v>7</v>
      </c>
      <c r="K457" s="180">
        <f t="shared" si="65"/>
        <v>1.3183125599232981E-3</v>
      </c>
      <c r="L457" s="180">
        <f t="shared" si="66"/>
        <v>4.9400141143260412E-4</v>
      </c>
      <c r="M457" s="426">
        <f t="shared" si="67"/>
        <v>4.1123760018228186</v>
      </c>
      <c r="N457" s="148">
        <f t="shared" si="62"/>
        <v>1.5121206558702505</v>
      </c>
      <c r="O457" s="426">
        <v>1.5896177025327825</v>
      </c>
      <c r="P457" s="426">
        <f t="shared" si="68"/>
        <v>9.2530733166839324E-2</v>
      </c>
      <c r="Q457" s="926">
        <f t="shared" si="63"/>
        <v>0.11279496373037715</v>
      </c>
      <c r="R457" s="532">
        <f t="shared" si="69"/>
        <v>3.0533410335949394E-2</v>
      </c>
    </row>
    <row r="458" spans="1:19" s="6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339">
        <f t="shared" si="64"/>
        <v>144.6</v>
      </c>
      <c r="G458" s="404">
        <v>1100</v>
      </c>
      <c r="H458" s="404">
        <v>5</v>
      </c>
      <c r="I458" s="404">
        <v>5000</v>
      </c>
      <c r="J458" s="404">
        <v>3</v>
      </c>
      <c r="K458" s="180">
        <f t="shared" si="65"/>
        <v>5.9923298178331729E-4</v>
      </c>
      <c r="L458" s="180">
        <f t="shared" si="66"/>
        <v>2.1171489061397319E-4</v>
      </c>
      <c r="M458" s="426">
        <f t="shared" si="67"/>
        <v>1.8401461456928638</v>
      </c>
      <c r="N458" s="148">
        <f t="shared" si="62"/>
        <v>0.67662173777126611</v>
      </c>
      <c r="O458" s="426">
        <v>0.99571033443832968</v>
      </c>
      <c r="P458" s="426">
        <f>K458+L458*384.64</f>
        <v>8.2033248507541956E-2</v>
      </c>
      <c r="Q458" s="926">
        <f t="shared" si="63"/>
        <v>9.999852993069365E-2</v>
      </c>
      <c r="R458" s="532">
        <f t="shared" si="69"/>
        <v>2.4858308896334728E-2</v>
      </c>
    </row>
    <row r="459" spans="1:19" s="69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339">
        <f t="shared" si="64"/>
        <v>375.5</v>
      </c>
      <c r="G459" s="404">
        <v>1100</v>
      </c>
      <c r="H459" s="404">
        <v>14</v>
      </c>
      <c r="I459" s="404">
        <v>5000</v>
      </c>
      <c r="J459" s="404">
        <v>7</v>
      </c>
      <c r="K459" s="180">
        <f t="shared" si="65"/>
        <v>1.6778523489932886E-3</v>
      </c>
      <c r="L459" s="180">
        <f t="shared" si="66"/>
        <v>4.9400141143260412E-4</v>
      </c>
      <c r="M459" s="426">
        <f t="shared" si="67"/>
        <v>4.9282185233952065</v>
      </c>
      <c r="N459" s="148">
        <f t="shared" si="62"/>
        <v>1.8121059510524176</v>
      </c>
      <c r="O459" s="426">
        <v>1.9041655494227345</v>
      </c>
      <c r="P459" s="426">
        <f t="shared" si="68"/>
        <v>9.2890272955909306E-2</v>
      </c>
      <c r="Q459" s="926">
        <f t="shared" si="63"/>
        <v>0.11323324273325346</v>
      </c>
      <c r="R459" s="532">
        <f t="shared" si="69"/>
        <v>2.3268655916980741E-2</v>
      </c>
      <c r="S459" s="6"/>
    </row>
    <row r="460" spans="1:19" s="6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339">
        <f t="shared" si="64"/>
        <v>993.91</v>
      </c>
      <c r="G460" s="404">
        <v>1100</v>
      </c>
      <c r="H460" s="404">
        <v>23</v>
      </c>
      <c r="I460" s="404">
        <v>5000</v>
      </c>
      <c r="J460" s="404">
        <v>21</v>
      </c>
      <c r="K460" s="180">
        <f t="shared" si="65"/>
        <v>2.7564717162032598E-3</v>
      </c>
      <c r="L460" s="180">
        <f t="shared" si="66"/>
        <v>1.4820042342978124E-3</v>
      </c>
      <c r="M460" s="426">
        <f t="shared" si="67"/>
        <v>9.6176529335604979</v>
      </c>
      <c r="N460" s="148">
        <f t="shared" si="62"/>
        <v>3.5364109836701951</v>
      </c>
      <c r="O460" s="426">
        <v>3.7203602846318398</v>
      </c>
      <c r="P460" s="426">
        <f t="shared" si="68"/>
        <v>0.27639373353695129</v>
      </c>
      <c r="Q460" s="926">
        <f t="shared" si="63"/>
        <v>0.33692396118154366</v>
      </c>
      <c r="R460" s="532">
        <f t="shared" si="69"/>
        <v>1.7255906405408424E-2</v>
      </c>
    </row>
    <row r="461" spans="1:19" s="6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339">
        <f t="shared" si="64"/>
        <v>716.19999999999993</v>
      </c>
      <c r="G461" s="404">
        <v>1100</v>
      </c>
      <c r="H461" s="404">
        <v>24</v>
      </c>
      <c r="I461" s="404">
        <v>5000</v>
      </c>
      <c r="J461" s="404">
        <v>11</v>
      </c>
      <c r="K461" s="180">
        <f t="shared" si="65"/>
        <v>2.8763183125599234E-3</v>
      </c>
      <c r="L461" s="180">
        <f t="shared" si="66"/>
        <v>7.7628793225123505E-4</v>
      </c>
      <c r="M461" s="426">
        <f t="shared" si="67"/>
        <v>8.2882384082883451</v>
      </c>
      <c r="N461" s="148">
        <f t="shared" si="62"/>
        <v>3.0475852627276248</v>
      </c>
      <c r="O461" s="426">
        <v>3.20195871368617</v>
      </c>
      <c r="P461" s="426">
        <f t="shared" si="68"/>
        <v>0.14621012212342793</v>
      </c>
      <c r="Q461" s="926">
        <f t="shared" si="63"/>
        <v>0.17823013886845865</v>
      </c>
      <c r="R461" s="532">
        <f t="shared" si="69"/>
        <v>2.050264242784916E-2</v>
      </c>
    </row>
    <row r="462" spans="1:19" s="6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339">
        <f t="shared" si="64"/>
        <v>472.2</v>
      </c>
      <c r="G462" s="404">
        <v>1100</v>
      </c>
      <c r="H462" s="404">
        <v>24</v>
      </c>
      <c r="I462" s="404">
        <v>5000</v>
      </c>
      <c r="J462" s="404">
        <v>8</v>
      </c>
      <c r="K462" s="180">
        <f t="shared" si="65"/>
        <v>2.8763183125599234E-3</v>
      </c>
      <c r="L462" s="180">
        <f t="shared" si="66"/>
        <v>5.6457304163726185E-4</v>
      </c>
      <c r="M462" s="426">
        <f t="shared" si="67"/>
        <v>7.8078297985494594</v>
      </c>
      <c r="N462" s="148">
        <f t="shared" si="62"/>
        <v>2.8709390169266364</v>
      </c>
      <c r="O462" s="426">
        <v>3.0149834577134738</v>
      </c>
      <c r="P462" s="426">
        <f t="shared" si="68"/>
        <v>0.10711908472046394</v>
      </c>
      <c r="Q462" s="926">
        <f t="shared" si="63"/>
        <v>0.13057816427424557</v>
      </c>
      <c r="R462" s="532">
        <f t="shared" si="69"/>
        <v>2.9226750016751447E-2</v>
      </c>
    </row>
    <row r="463" spans="1:19" s="6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339">
        <f t="shared" si="64"/>
        <v>337.29999999999995</v>
      </c>
      <c r="G463" s="404">
        <v>1100</v>
      </c>
      <c r="H463" s="404">
        <v>11</v>
      </c>
      <c r="I463" s="404">
        <v>5000</v>
      </c>
      <c r="J463" s="404">
        <v>8</v>
      </c>
      <c r="K463" s="180">
        <f t="shared" si="65"/>
        <v>1.3183125599232981E-3</v>
      </c>
      <c r="L463" s="180">
        <f t="shared" si="66"/>
        <v>5.6457304163726185E-4</v>
      </c>
      <c r="M463" s="426">
        <f t="shared" si="67"/>
        <v>4.2725122050691136</v>
      </c>
      <c r="N463" s="148">
        <f t="shared" si="62"/>
        <v>1.5710027378039131</v>
      </c>
      <c r="O463" s="426">
        <v>1.6519427878570143</v>
      </c>
      <c r="P463" s="426">
        <f t="shared" si="68"/>
        <v>0.10556107896782732</v>
      </c>
      <c r="Q463" s="926">
        <f t="shared" si="63"/>
        <v>0.12867895526178152</v>
      </c>
      <c r="R463" s="532">
        <f t="shared" si="69"/>
        <v>2.2534891223533561E-2</v>
      </c>
    </row>
    <row r="464" spans="1:19" s="6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339">
        <f t="shared" si="64"/>
        <v>395.5</v>
      </c>
      <c r="G464" s="404">
        <v>1100</v>
      </c>
      <c r="H464" s="404">
        <v>11</v>
      </c>
      <c r="I464" s="404">
        <v>5000</v>
      </c>
      <c r="J464" s="404">
        <v>9</v>
      </c>
      <c r="K464" s="180">
        <f t="shared" si="65"/>
        <v>1.3183125599232981E-3</v>
      </c>
      <c r="L464" s="180">
        <f t="shared" si="66"/>
        <v>6.3514467184191958E-4</v>
      </c>
      <c r="M464" s="426">
        <f t="shared" si="67"/>
        <v>4.4326484083154085</v>
      </c>
      <c r="N464" s="148">
        <f t="shared" si="62"/>
        <v>1.6298848197375759</v>
      </c>
      <c r="O464" s="426">
        <v>1.7142678731812464</v>
      </c>
      <c r="P464" s="426">
        <f t="shared" si="68"/>
        <v>0.11859142476881533</v>
      </c>
      <c r="Q464" s="926">
        <f t="shared" si="63"/>
        <v>0.1445629467931859</v>
      </c>
      <c r="R464" s="532">
        <f t="shared" si="69"/>
        <v>1.9963065805317436E-2</v>
      </c>
    </row>
    <row r="465" spans="1:18" s="6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339">
        <f t="shared" si="64"/>
        <v>464.09999999999997</v>
      </c>
      <c r="G465" s="404">
        <v>1100</v>
      </c>
      <c r="H465" s="404">
        <v>12</v>
      </c>
      <c r="I465" s="404">
        <v>5000</v>
      </c>
      <c r="J465" s="404">
        <v>10</v>
      </c>
      <c r="K465" s="180">
        <f t="shared" si="65"/>
        <v>1.4381591562799617E-3</v>
      </c>
      <c r="L465" s="180">
        <f t="shared" si="66"/>
        <v>7.0571630204657732E-4</v>
      </c>
      <c r="M465" s="426">
        <f t="shared" si="67"/>
        <v>4.8647321187524994</v>
      </c>
      <c r="N465" s="148">
        <f t="shared" ref="N465:N526" si="70">M465*0.3677</f>
        <v>1.7887620000652942</v>
      </c>
      <c r="O465" s="426">
        <v>1.8814422408021294</v>
      </c>
      <c r="P465" s="426">
        <f t="shared" si="68"/>
        <v>0.13174161716615998</v>
      </c>
      <c r="Q465" s="926">
        <f t="shared" si="63"/>
        <v>0.16059303132554903</v>
      </c>
      <c r="R465" s="532">
        <f t="shared" si="69"/>
        <v>1.8674160691200353E-2</v>
      </c>
    </row>
    <row r="466" spans="1:18" s="6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339">
        <f t="shared" si="64"/>
        <v>350.27000000000004</v>
      </c>
      <c r="G466" s="404">
        <v>1100</v>
      </c>
      <c r="H466" s="404">
        <v>11</v>
      </c>
      <c r="I466" s="404">
        <v>5000</v>
      </c>
      <c r="J466" s="404">
        <v>15</v>
      </c>
      <c r="K466" s="180">
        <f t="shared" si="65"/>
        <v>1.3183125599232981E-3</v>
      </c>
      <c r="L466" s="180">
        <f t="shared" si="66"/>
        <v>1.058574453069866E-3</v>
      </c>
      <c r="M466" s="426">
        <f t="shared" si="67"/>
        <v>5.3934656277931783</v>
      </c>
      <c r="N466" s="148">
        <f t="shared" si="70"/>
        <v>1.9831773113395519</v>
      </c>
      <c r="O466" s="426">
        <v>2.0882183851266389</v>
      </c>
      <c r="P466" s="426">
        <f t="shared" si="68"/>
        <v>0.19677349957474333</v>
      </c>
      <c r="Q466" s="926">
        <f t="shared" si="63"/>
        <v>0.23986689598161212</v>
      </c>
      <c r="R466" s="532">
        <f t="shared" si="69"/>
        <v>2.7583392308316763E-2</v>
      </c>
    </row>
    <row r="467" spans="1:18" s="6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339">
        <f t="shared" si="64"/>
        <v>396.61</v>
      </c>
      <c r="G467" s="404">
        <v>1100</v>
      </c>
      <c r="H467" s="404">
        <v>10</v>
      </c>
      <c r="I467" s="404">
        <v>5000</v>
      </c>
      <c r="J467" s="404">
        <v>8</v>
      </c>
      <c r="K467" s="180">
        <f t="shared" si="65"/>
        <v>1.1984659635666346E-3</v>
      </c>
      <c r="L467" s="180">
        <f t="shared" si="66"/>
        <v>5.6457304163726185E-4</v>
      </c>
      <c r="M467" s="426">
        <f t="shared" si="67"/>
        <v>4.0005646978783176</v>
      </c>
      <c r="N467" s="148">
        <f t="shared" si="70"/>
        <v>1.4710076394098575</v>
      </c>
      <c r="O467" s="426">
        <v>1.5470935055603636</v>
      </c>
      <c r="P467" s="426">
        <f t="shared" si="68"/>
        <v>0.10544123237147066</v>
      </c>
      <c r="Q467" s="926">
        <f t="shared" si="63"/>
        <v>0.12853286226082275</v>
      </c>
      <c r="R467" s="532">
        <f t="shared" si="69"/>
        <v>1.7962499874486296E-2</v>
      </c>
    </row>
    <row r="468" spans="1:18" s="6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339">
        <f t="shared" si="64"/>
        <v>380.01000000000005</v>
      </c>
      <c r="G468" s="404">
        <v>1100</v>
      </c>
      <c r="H468" s="404">
        <v>15</v>
      </c>
      <c r="I468" s="404">
        <v>5000</v>
      </c>
      <c r="J468" s="404">
        <v>8</v>
      </c>
      <c r="K468" s="180">
        <f t="shared" si="65"/>
        <v>1.7976989453499519E-3</v>
      </c>
      <c r="L468" s="180">
        <f t="shared" si="66"/>
        <v>5.6457304163726185E-4</v>
      </c>
      <c r="M468" s="426">
        <f t="shared" si="67"/>
        <v>5.3603022338322965</v>
      </c>
      <c r="N468" s="148">
        <f t="shared" si="70"/>
        <v>1.9709831313801356</v>
      </c>
      <c r="O468" s="426">
        <v>2.0713399170436171</v>
      </c>
      <c r="P468" s="426">
        <f t="shared" si="68"/>
        <v>0.10604046535325397</v>
      </c>
      <c r="Q468" s="926">
        <f t="shared" si="63"/>
        <v>0.1292633272656166</v>
      </c>
      <c r="R468" s="532">
        <f t="shared" si="69"/>
        <v>2.5022146121442334E-2</v>
      </c>
    </row>
    <row r="469" spans="1:18" s="6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339">
        <f t="shared" si="64"/>
        <v>501.9</v>
      </c>
      <c r="G469" s="404">
        <v>1100</v>
      </c>
      <c r="H469" s="404">
        <v>16</v>
      </c>
      <c r="I469" s="404">
        <v>5000</v>
      </c>
      <c r="J469" s="404">
        <v>12</v>
      </c>
      <c r="K469" s="180">
        <f t="shared" si="65"/>
        <v>1.9175455417066154E-3</v>
      </c>
      <c r="L469" s="180">
        <f t="shared" si="66"/>
        <v>8.4685956245589278E-4</v>
      </c>
      <c r="M469" s="426">
        <f t="shared" si="67"/>
        <v>6.2727945540082723</v>
      </c>
      <c r="N469" s="148">
        <f t="shared" si="70"/>
        <v>2.3065065575088419</v>
      </c>
      <c r="O469" s="426">
        <v>2.4254895406371961</v>
      </c>
      <c r="P469" s="426">
        <f t="shared" si="68"/>
        <v>0.15828169515356263</v>
      </c>
      <c r="Q469" s="926">
        <f t="shared" si="63"/>
        <v>0.19294538639219286</v>
      </c>
      <c r="R469" s="532">
        <f t="shared" si="69"/>
        <v>2.2241626513863071E-2</v>
      </c>
    </row>
    <row r="470" spans="1:18" s="6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339">
        <f t="shared" si="64"/>
        <v>406.9</v>
      </c>
      <c r="G470" s="404">
        <v>1100</v>
      </c>
      <c r="H470" s="404">
        <v>13</v>
      </c>
      <c r="I470" s="404">
        <v>5000</v>
      </c>
      <c r="J470" s="404">
        <v>10</v>
      </c>
      <c r="K470" s="180">
        <f t="shared" si="65"/>
        <v>1.558005752636625E-3</v>
      </c>
      <c r="L470" s="180">
        <f t="shared" si="66"/>
        <v>7.0571630204657732E-4</v>
      </c>
      <c r="M470" s="426">
        <f t="shared" si="67"/>
        <v>5.1366796259432954</v>
      </c>
      <c r="N470" s="148">
        <f t="shared" si="70"/>
        <v>1.8887570984593498</v>
      </c>
      <c r="O470" s="426">
        <v>1.9862915230987801</v>
      </c>
      <c r="P470" s="426">
        <f t="shared" si="68"/>
        <v>0.13186146376251665</v>
      </c>
      <c r="Q470" s="926">
        <f t="shared" si="63"/>
        <v>0.1607391243265078</v>
      </c>
      <c r="R470" s="532">
        <f t="shared" si="69"/>
        <v>2.2471343601041884E-2</v>
      </c>
    </row>
    <row r="471" spans="1:18" s="6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339">
        <f t="shared" si="64"/>
        <v>583.66999999999996</v>
      </c>
      <c r="G471" s="404">
        <v>1100</v>
      </c>
      <c r="H471" s="404">
        <v>22</v>
      </c>
      <c r="I471" s="404">
        <v>5000</v>
      </c>
      <c r="J471" s="404">
        <v>11</v>
      </c>
      <c r="K471" s="180">
        <f t="shared" si="65"/>
        <v>2.6366251198465963E-3</v>
      </c>
      <c r="L471" s="180">
        <f t="shared" si="66"/>
        <v>7.7628793225123505E-4</v>
      </c>
      <c r="M471" s="426">
        <f t="shared" si="67"/>
        <v>7.7443433939067523</v>
      </c>
      <c r="N471" s="148">
        <f t="shared" si="70"/>
        <v>2.8475950659395131</v>
      </c>
      <c r="O471" s="426">
        <v>2.9922601490928686</v>
      </c>
      <c r="P471" s="426">
        <f t="shared" si="68"/>
        <v>0.14597042893071463</v>
      </c>
      <c r="Q471" s="926">
        <f t="shared" si="63"/>
        <v>0.17793795286654115</v>
      </c>
      <c r="R471" s="532">
        <f t="shared" si="69"/>
        <v>2.3523856010879179E-2</v>
      </c>
    </row>
    <row r="472" spans="1:18" s="6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339">
        <f t="shared" si="64"/>
        <v>634.80999999999995</v>
      </c>
      <c r="G472" s="404">
        <v>1100</v>
      </c>
      <c r="H472" s="404">
        <v>27</v>
      </c>
      <c r="I472" s="404">
        <v>5000</v>
      </c>
      <c r="J472" s="404">
        <v>18</v>
      </c>
      <c r="K472" s="180">
        <f t="shared" si="65"/>
        <v>3.2358581016299136E-3</v>
      </c>
      <c r="L472" s="180">
        <f t="shared" si="66"/>
        <v>1.2702893436838392E-3</v>
      </c>
      <c r="M472" s="426">
        <f t="shared" si="67"/>
        <v>10.225034352584798</v>
      </c>
      <c r="N472" s="148">
        <f t="shared" si="70"/>
        <v>3.7597451314454302</v>
      </c>
      <c r="O472" s="426">
        <v>3.9527821578457467</v>
      </c>
      <c r="P472" s="426">
        <f t="shared" si="68"/>
        <v>0.23778208251941396</v>
      </c>
      <c r="Q472" s="926">
        <f t="shared" si="63"/>
        <v>0.28985635859116565</v>
      </c>
      <c r="R472" s="532">
        <f t="shared" si="69"/>
        <v>2.8631155344741564E-2</v>
      </c>
    </row>
    <row r="473" spans="1:18" s="6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339">
        <f t="shared" si="64"/>
        <v>312.74</v>
      </c>
      <c r="G473" s="404">
        <v>1100</v>
      </c>
      <c r="H473" s="404">
        <v>12</v>
      </c>
      <c r="I473" s="404">
        <v>5000</v>
      </c>
      <c r="J473" s="404">
        <v>14</v>
      </c>
      <c r="K473" s="180">
        <f t="shared" si="65"/>
        <v>1.4381591562799617E-3</v>
      </c>
      <c r="L473" s="180">
        <f t="shared" si="66"/>
        <v>9.8800282286520824E-4</v>
      </c>
      <c r="M473" s="426">
        <f t="shared" si="67"/>
        <v>5.5052769317376793</v>
      </c>
      <c r="N473" s="148">
        <f t="shared" si="70"/>
        <v>2.0242903277999447</v>
      </c>
      <c r="O473" s="426">
        <v>2.1307425820990575</v>
      </c>
      <c r="P473" s="426">
        <f t="shared" si="68"/>
        <v>0.183863000370112</v>
      </c>
      <c r="Q473" s="926">
        <f t="shared" si="63"/>
        <v>0.22412899745116655</v>
      </c>
      <c r="R473" s="532">
        <f t="shared" si="69"/>
        <v>3.1477178621240623E-2</v>
      </c>
    </row>
    <row r="474" spans="1:18" s="6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339">
        <f t="shared" si="64"/>
        <v>359.3</v>
      </c>
      <c r="G474" s="404">
        <v>1100</v>
      </c>
      <c r="H474" s="404">
        <v>10</v>
      </c>
      <c r="I474" s="404">
        <v>5000</v>
      </c>
      <c r="J474" s="404">
        <v>4</v>
      </c>
      <c r="K474" s="180">
        <f t="shared" si="65"/>
        <v>1.1984659635666346E-3</v>
      </c>
      <c r="L474" s="180">
        <f t="shared" si="66"/>
        <v>2.8228652081863093E-4</v>
      </c>
      <c r="M474" s="426">
        <f t="shared" si="67"/>
        <v>3.3600198848931377</v>
      </c>
      <c r="N474" s="148">
        <f t="shared" si="70"/>
        <v>1.2354793116752067</v>
      </c>
      <c r="O474" s="426">
        <v>1.2977931642634355</v>
      </c>
      <c r="P474" s="426">
        <f t="shared" si="68"/>
        <v>5.331984916751864E-2</v>
      </c>
      <c r="Q474" s="926">
        <f t="shared" si="63"/>
        <v>6.499689613520522E-2</v>
      </c>
      <c r="R474" s="532">
        <f t="shared" si="69"/>
        <v>1.6550548872806287E-2</v>
      </c>
    </row>
    <row r="475" spans="1:18" s="6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339">
        <f t="shared" si="64"/>
        <v>417.17</v>
      </c>
      <c r="G475" s="404">
        <v>1100</v>
      </c>
      <c r="H475" s="404">
        <v>16</v>
      </c>
      <c r="I475" s="404">
        <v>5000</v>
      </c>
      <c r="J475" s="404">
        <v>3</v>
      </c>
      <c r="K475" s="180">
        <f t="shared" si="65"/>
        <v>1.9175455417066154E-3</v>
      </c>
      <c r="L475" s="180">
        <f t="shared" si="66"/>
        <v>2.1171489061397319E-4</v>
      </c>
      <c r="M475" s="426">
        <f t="shared" si="67"/>
        <v>4.8315687247916177</v>
      </c>
      <c r="N475" s="148">
        <f t="shared" si="70"/>
        <v>1.7765678201058779</v>
      </c>
      <c r="O475" s="426">
        <v>1.8645637727191076</v>
      </c>
      <c r="P475" s="426">
        <f t="shared" si="68"/>
        <v>4.1008582944670621E-2</v>
      </c>
      <c r="Q475" s="926">
        <f t="shared" si="63"/>
        <v>4.9989462609553489E-2</v>
      </c>
      <c r="R475" s="532">
        <f t="shared" si="69"/>
        <v>2.0408248197524445E-2</v>
      </c>
    </row>
    <row r="476" spans="1:18" s="6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339">
        <f t="shared" si="64"/>
        <v>249.3</v>
      </c>
      <c r="G476" s="404">
        <v>1100</v>
      </c>
      <c r="H476" s="404">
        <v>4</v>
      </c>
      <c r="I476" s="404">
        <v>5000</v>
      </c>
      <c r="J476" s="404">
        <v>3</v>
      </c>
      <c r="K476" s="180">
        <f t="shared" si="65"/>
        <v>4.7938638542665386E-4</v>
      </c>
      <c r="L476" s="180">
        <f t="shared" si="66"/>
        <v>2.1171489061397319E-4</v>
      </c>
      <c r="M476" s="426">
        <f t="shared" si="67"/>
        <v>1.5681986385020681</v>
      </c>
      <c r="N476" s="148">
        <f t="shared" si="70"/>
        <v>0.57662663937721048</v>
      </c>
      <c r="O476" s="426">
        <v>0.60637238515929903</v>
      </c>
      <c r="P476" s="426">
        <f t="shared" si="68"/>
        <v>3.9570423788390659E-2</v>
      </c>
      <c r="Q476" s="926">
        <f t="shared" si="63"/>
        <v>4.8236346598048215E-2</v>
      </c>
      <c r="R476" s="532">
        <f t="shared" si="69"/>
        <v>1.1194416714107374E-2</v>
      </c>
    </row>
    <row r="477" spans="1:18" s="6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339">
        <f t="shared" si="64"/>
        <v>534.94000000000005</v>
      </c>
      <c r="G477" s="404">
        <v>1100</v>
      </c>
      <c r="H477" s="404">
        <v>21</v>
      </c>
      <c r="I477" s="404">
        <v>5000</v>
      </c>
      <c r="J477" s="404">
        <v>8</v>
      </c>
      <c r="K477" s="180">
        <f t="shared" si="65"/>
        <v>2.5167785234899327E-3</v>
      </c>
      <c r="L477" s="180">
        <f t="shared" si="66"/>
        <v>5.6457304163726185E-4</v>
      </c>
      <c r="M477" s="426">
        <f t="shared" si="67"/>
        <v>6.9919872769770715</v>
      </c>
      <c r="N477" s="148">
        <f t="shared" si="70"/>
        <v>2.5709537217444693</v>
      </c>
      <c r="O477" s="426">
        <v>2.7004356108235217</v>
      </c>
      <c r="P477" s="426">
        <f t="shared" si="68"/>
        <v>0.10675954493139395</v>
      </c>
      <c r="Q477" s="926">
        <f t="shared" ref="Q477:Q540" si="71">P477*1.219</f>
        <v>0.13013988527136922</v>
      </c>
      <c r="R477" s="532">
        <f t="shared" si="69"/>
        <v>2.3124343205736073E-2</v>
      </c>
    </row>
    <row r="478" spans="1:18" s="6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339">
        <f t="shared" si="64"/>
        <v>382.94</v>
      </c>
      <c r="G478" s="404">
        <v>1100</v>
      </c>
      <c r="H478" s="404">
        <v>13</v>
      </c>
      <c r="I478" s="404">
        <v>5000</v>
      </c>
      <c r="J478" s="404">
        <v>5</v>
      </c>
      <c r="K478" s="180">
        <f t="shared" si="65"/>
        <v>1.558005752636625E-3</v>
      </c>
      <c r="L478" s="180">
        <f t="shared" si="66"/>
        <v>3.5285815102328866E-4</v>
      </c>
      <c r="M478" s="426">
        <f t="shared" si="67"/>
        <v>4.3359986097118197</v>
      </c>
      <c r="N478" s="148">
        <f t="shared" si="70"/>
        <v>1.5943466887910362</v>
      </c>
      <c r="O478" s="426">
        <v>1.6746660964776197</v>
      </c>
      <c r="P478" s="426">
        <f t="shared" si="68"/>
        <v>6.6709734757576633E-2</v>
      </c>
      <c r="Q478" s="926">
        <f t="shared" si="71"/>
        <v>8.1319166669485923E-2</v>
      </c>
      <c r="R478" s="532">
        <f t="shared" si="69"/>
        <v>2.0033741917109864E-2</v>
      </c>
    </row>
    <row r="479" spans="1:18" s="6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339">
        <f t="shared" si="64"/>
        <v>367.5</v>
      </c>
      <c r="G479" s="404">
        <v>1100</v>
      </c>
      <c r="H479" s="404">
        <v>18</v>
      </c>
      <c r="I479" s="404">
        <v>5000</v>
      </c>
      <c r="J479" s="404">
        <v>8</v>
      </c>
      <c r="K479" s="180">
        <f t="shared" si="65"/>
        <v>2.1572387344199425E-3</v>
      </c>
      <c r="L479" s="180">
        <f t="shared" si="66"/>
        <v>5.6457304163726185E-4</v>
      </c>
      <c r="M479" s="426">
        <f t="shared" si="67"/>
        <v>6.1761447554046844</v>
      </c>
      <c r="N479" s="148">
        <f t="shared" si="70"/>
        <v>2.2709684265623027</v>
      </c>
      <c r="O479" s="426">
        <v>2.3858877639335696</v>
      </c>
      <c r="P479" s="426">
        <f t="shared" si="68"/>
        <v>0.10640000514232396</v>
      </c>
      <c r="Q479" s="926">
        <f t="shared" si="71"/>
        <v>0.12970160626849292</v>
      </c>
      <c r="R479" s="532">
        <f t="shared" si="69"/>
        <v>2.9767077417803756E-2</v>
      </c>
    </row>
    <row r="480" spans="1:18" s="6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339">
        <f t="shared" si="64"/>
        <v>131.4</v>
      </c>
      <c r="G480" s="404">
        <v>1100</v>
      </c>
      <c r="H480" s="404">
        <v>5</v>
      </c>
      <c r="I480" s="404">
        <v>5000</v>
      </c>
      <c r="J480" s="404">
        <v>6</v>
      </c>
      <c r="K480" s="180">
        <f t="shared" si="65"/>
        <v>5.9923298178331729E-4</v>
      </c>
      <c r="L480" s="180">
        <f t="shared" si="66"/>
        <v>4.2342978122794639E-4</v>
      </c>
      <c r="M480" s="426">
        <f t="shared" si="67"/>
        <v>2.3205547554317487</v>
      </c>
      <c r="N480" s="148">
        <f t="shared" si="70"/>
        <v>0.85326798357225409</v>
      </c>
      <c r="O480" s="426">
        <v>0.89819692342864599</v>
      </c>
      <c r="P480" s="426">
        <f t="shared" si="68"/>
        <v>7.8781307787711322E-2</v>
      </c>
      <c r="Q480" s="926">
        <f t="shared" si="71"/>
        <v>9.6034414193220105E-2</v>
      </c>
      <c r="R480" s="532">
        <f t="shared" si="69"/>
        <v>3.1589048479607001E-2</v>
      </c>
    </row>
    <row r="481" spans="1:18" s="6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339">
        <f t="shared" si="64"/>
        <v>471.36</v>
      </c>
      <c r="G481" s="404">
        <v>1100</v>
      </c>
      <c r="H481" s="404">
        <v>18</v>
      </c>
      <c r="I481" s="404">
        <v>5000</v>
      </c>
      <c r="J481" s="404">
        <v>4</v>
      </c>
      <c r="K481" s="180">
        <f t="shared" si="65"/>
        <v>2.1572387344199425E-3</v>
      </c>
      <c r="L481" s="180">
        <f t="shared" si="66"/>
        <v>2.8228652081863093E-4</v>
      </c>
      <c r="M481" s="426">
        <f t="shared" si="67"/>
        <v>5.5355999424195046</v>
      </c>
      <c r="N481" s="148">
        <f t="shared" si="70"/>
        <v>2.0354400988276522</v>
      </c>
      <c r="O481" s="426">
        <v>2.1365874226366413</v>
      </c>
      <c r="P481" s="426">
        <f t="shared" si="68"/>
        <v>5.4278621938371949E-2</v>
      </c>
      <c r="Q481" s="926">
        <f t="shared" si="71"/>
        <v>6.6165640142875404E-2</v>
      </c>
      <c r="R481" s="532">
        <f t="shared" si="69"/>
        <v>2.0710085891510032E-2</v>
      </c>
    </row>
    <row r="482" spans="1:18" s="6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339">
        <f t="shared" si="64"/>
        <v>530.79999999999995</v>
      </c>
      <c r="G482" s="404">
        <v>1100</v>
      </c>
      <c r="H482" s="404">
        <v>19</v>
      </c>
      <c r="I482" s="404">
        <v>5000</v>
      </c>
      <c r="J482" s="404">
        <v>7</v>
      </c>
      <c r="K482" s="180">
        <f t="shared" si="65"/>
        <v>2.2770853307766056E-3</v>
      </c>
      <c r="L482" s="180">
        <f t="shared" si="66"/>
        <v>4.9400141143260412E-4</v>
      </c>
      <c r="M482" s="426">
        <f t="shared" si="67"/>
        <v>6.2879560593491846</v>
      </c>
      <c r="N482" s="148">
        <f t="shared" si="70"/>
        <v>2.3120814430226955</v>
      </c>
      <c r="O482" s="426">
        <v>2.4284119609059882</v>
      </c>
      <c r="P482" s="426">
        <f t="shared" si="68"/>
        <v>9.3489505937692619E-2</v>
      </c>
      <c r="Q482" s="926">
        <f t="shared" si="71"/>
        <v>0.11396370773804732</v>
      </c>
      <c r="R482" s="532">
        <f t="shared" si="69"/>
        <v>2.0953163091966018E-2</v>
      </c>
    </row>
    <row r="483" spans="1:18" s="6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339">
        <f t="shared" si="64"/>
        <v>330.15</v>
      </c>
      <c r="G483" s="404">
        <v>1100</v>
      </c>
      <c r="H483" s="404">
        <v>15</v>
      </c>
      <c r="I483" s="404">
        <v>5000</v>
      </c>
      <c r="J483" s="404">
        <v>3</v>
      </c>
      <c r="K483" s="180">
        <f t="shared" si="65"/>
        <v>1.7976989453499519E-3</v>
      </c>
      <c r="L483" s="180">
        <f t="shared" si="66"/>
        <v>2.1171489061397319E-4</v>
      </c>
      <c r="M483" s="426">
        <f t="shared" si="67"/>
        <v>4.5596212176008217</v>
      </c>
      <c r="N483" s="148">
        <f t="shared" si="70"/>
        <v>1.6765727217118223</v>
      </c>
      <c r="O483" s="426">
        <v>1.7597144904224569</v>
      </c>
      <c r="P483" s="426">
        <f t="shared" si="68"/>
        <v>4.0888736348313956E-2</v>
      </c>
      <c r="Q483" s="926">
        <f t="shared" si="71"/>
        <v>4.9843369608594715E-2</v>
      </c>
      <c r="R483" s="532">
        <f t="shared" si="69"/>
        <v>2.4342865867282792E-2</v>
      </c>
    </row>
    <row r="484" spans="1:18" s="6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339">
        <f t="shared" si="64"/>
        <v>242.1</v>
      </c>
      <c r="G484" s="404">
        <v>1100</v>
      </c>
      <c r="H484" s="404">
        <v>2</v>
      </c>
      <c r="I484" s="404">
        <v>5000</v>
      </c>
      <c r="J484" s="404">
        <v>2</v>
      </c>
      <c r="K484" s="180">
        <f t="shared" si="65"/>
        <v>2.3969319271332693E-4</v>
      </c>
      <c r="L484" s="180">
        <f t="shared" si="66"/>
        <v>1.4114326040931546E-4</v>
      </c>
      <c r="M484" s="426">
        <f t="shared" si="67"/>
        <v>0.86416742087418152</v>
      </c>
      <c r="N484" s="148">
        <f t="shared" si="70"/>
        <v>0.31775436065543655</v>
      </c>
      <c r="O484" s="426">
        <v>0.33434873524176556</v>
      </c>
      <c r="P484" s="426">
        <f t="shared" si="68"/>
        <v>2.6300384794689331E-2</v>
      </c>
      <c r="Q484" s="926">
        <f t="shared" si="71"/>
        <v>3.20601690647263E-2</v>
      </c>
      <c r="R484" s="532">
        <f t="shared" si="69"/>
        <v>6.3716270200994338E-3</v>
      </c>
    </row>
    <row r="485" spans="1:18" s="6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339">
        <f t="shared" si="64"/>
        <v>528.74</v>
      </c>
      <c r="G485" s="404">
        <v>1100</v>
      </c>
      <c r="H485" s="404">
        <v>20</v>
      </c>
      <c r="I485" s="404">
        <v>5000</v>
      </c>
      <c r="J485" s="404">
        <v>5</v>
      </c>
      <c r="K485" s="180">
        <f t="shared" si="65"/>
        <v>2.3969319271332692E-3</v>
      </c>
      <c r="L485" s="180">
        <f t="shared" si="66"/>
        <v>3.5285815102328866E-4</v>
      </c>
      <c r="M485" s="426">
        <f t="shared" si="67"/>
        <v>6.2396311600473906</v>
      </c>
      <c r="N485" s="148">
        <f t="shared" si="70"/>
        <v>2.2943123775494256</v>
      </c>
      <c r="O485" s="426">
        <v>2.4086110725541747</v>
      </c>
      <c r="P485" s="426">
        <f t="shared" si="68"/>
        <v>6.7548660932073276E-2</v>
      </c>
      <c r="Q485" s="926">
        <f t="shared" si="71"/>
        <v>8.2341817676197332E-2</v>
      </c>
      <c r="R485" s="532">
        <f t="shared" si="69"/>
        <v>2.082328416817919E-2</v>
      </c>
    </row>
    <row r="486" spans="1:18" s="6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339">
        <f t="shared" si="64"/>
        <v>140.6</v>
      </c>
      <c r="G486" s="404">
        <v>1100</v>
      </c>
      <c r="H486" s="404">
        <v>14</v>
      </c>
      <c r="I486" s="404">
        <v>5000</v>
      </c>
      <c r="J486" s="404">
        <v>4</v>
      </c>
      <c r="K486" s="180">
        <f t="shared" si="65"/>
        <v>1.6778523489932886E-3</v>
      </c>
      <c r="L486" s="180">
        <f t="shared" si="66"/>
        <v>2.8228652081863093E-4</v>
      </c>
      <c r="M486" s="426">
        <f t="shared" si="67"/>
        <v>4.4478099136563216</v>
      </c>
      <c r="N486" s="148">
        <f t="shared" si="70"/>
        <v>1.6354597052514295</v>
      </c>
      <c r="O486" s="426">
        <v>1.7171902934500383</v>
      </c>
      <c r="P486" s="426">
        <f t="shared" si="68"/>
        <v>5.3799235552945295E-2</v>
      </c>
      <c r="Q486" s="926">
        <f t="shared" si="71"/>
        <v>6.5581268139040319E-2</v>
      </c>
      <c r="R486" s="532">
        <f t="shared" si="69"/>
        <v>5.5862440596804661E-2</v>
      </c>
    </row>
    <row r="487" spans="1:18" s="6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339">
        <f t="shared" si="64"/>
        <v>183.6</v>
      </c>
      <c r="G487" s="404">
        <v>1100</v>
      </c>
      <c r="H487" s="404">
        <v>10</v>
      </c>
      <c r="I487" s="404">
        <v>5000</v>
      </c>
      <c r="J487" s="404">
        <v>8</v>
      </c>
      <c r="K487" s="180">
        <f t="shared" si="65"/>
        <v>1.1984659635666346E-3</v>
      </c>
      <c r="L487" s="180">
        <f t="shared" si="66"/>
        <v>5.6457304163726185E-4</v>
      </c>
      <c r="M487" s="426">
        <f t="shared" si="67"/>
        <v>4.0005646978783176</v>
      </c>
      <c r="N487" s="148">
        <f t="shared" si="70"/>
        <v>1.4710076394098575</v>
      </c>
      <c r="O487" s="426">
        <v>1.5470935055603636</v>
      </c>
      <c r="P487" s="426">
        <f t="shared" si="68"/>
        <v>0.10544123237147066</v>
      </c>
      <c r="Q487" s="926">
        <f t="shared" si="71"/>
        <v>0.12853286226082275</v>
      </c>
      <c r="R487" s="532">
        <f t="shared" si="69"/>
        <v>3.8802326117756046E-2</v>
      </c>
    </row>
    <row r="488" spans="1:18" s="6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339">
        <f t="shared" si="64"/>
        <v>384.7</v>
      </c>
      <c r="G488" s="404">
        <v>1100</v>
      </c>
      <c r="H488" s="404">
        <v>17</v>
      </c>
      <c r="I488" s="404">
        <v>5000</v>
      </c>
      <c r="J488" s="404">
        <v>8</v>
      </c>
      <c r="K488" s="180">
        <f t="shared" si="65"/>
        <v>2.037392138063279E-3</v>
      </c>
      <c r="L488" s="180">
        <f t="shared" si="66"/>
        <v>5.6457304163726185E-4</v>
      </c>
      <c r="M488" s="426">
        <f t="shared" si="67"/>
        <v>5.9041972482138885</v>
      </c>
      <c r="N488" s="148">
        <f t="shared" si="70"/>
        <v>2.1709733281682468</v>
      </c>
      <c r="O488" s="426">
        <v>2.2810384816369189</v>
      </c>
      <c r="P488" s="426">
        <f t="shared" si="68"/>
        <v>0.1062801585459673</v>
      </c>
      <c r="Q488" s="926">
        <f t="shared" si="71"/>
        <v>0.12955551326753414</v>
      </c>
      <c r="R488" s="532">
        <f t="shared" si="69"/>
        <v>2.7196488735547236E-2</v>
      </c>
    </row>
    <row r="489" spans="1:18" s="6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339">
        <f>C489+E489</f>
        <v>1900.8700000000001</v>
      </c>
      <c r="G489" s="404">
        <v>1100</v>
      </c>
      <c r="H489" s="404">
        <v>62</v>
      </c>
      <c r="I489" s="404">
        <v>5000</v>
      </c>
      <c r="J489" s="404">
        <v>34</v>
      </c>
      <c r="K489" s="180">
        <f t="shared" si="65"/>
        <v>7.4304889741131346E-3</v>
      </c>
      <c r="L489" s="180">
        <f t="shared" si="66"/>
        <v>2.3994354269583629E-3</v>
      </c>
      <c r="M489" s="426">
        <f t="shared" si="67"/>
        <v>22.305376356203368</v>
      </c>
      <c r="N489" s="148">
        <f t="shared" si="70"/>
        <v>8.2016868861759793</v>
      </c>
      <c r="O489" s="426">
        <v>8.6197084034162348</v>
      </c>
      <c r="P489" s="426">
        <f t="shared" si="68"/>
        <v>0.4504622462077052</v>
      </c>
      <c r="Q489" s="926">
        <f t="shared" si="71"/>
        <v>0.54911347812719269</v>
      </c>
      <c r="R489" s="532">
        <f t="shared" si="69"/>
        <v>2.0820589462721428E-2</v>
      </c>
    </row>
    <row r="490" spans="1:18" s="6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339">
        <f>C490+D490+E490</f>
        <v>362.4</v>
      </c>
      <c r="G490" s="404">
        <v>1100</v>
      </c>
      <c r="H490" s="404">
        <v>13</v>
      </c>
      <c r="I490" s="404">
        <v>5000</v>
      </c>
      <c r="J490" s="404">
        <v>10</v>
      </c>
      <c r="K490" s="180">
        <f t="shared" si="65"/>
        <v>1.558005752636625E-3</v>
      </c>
      <c r="L490" s="180">
        <f t="shared" si="66"/>
        <v>7.0571630204657732E-4</v>
      </c>
      <c r="M490" s="426">
        <f t="shared" si="67"/>
        <v>5.1366796259432954</v>
      </c>
      <c r="N490" s="148">
        <f t="shared" si="70"/>
        <v>1.8887570984593498</v>
      </c>
      <c r="O490" s="426">
        <v>1.9862915230987801</v>
      </c>
      <c r="P490" s="426">
        <f t="shared" si="68"/>
        <v>0.13186146376251665</v>
      </c>
      <c r="Q490" s="926">
        <f t="shared" si="71"/>
        <v>0.1607391243265078</v>
      </c>
      <c r="R490" s="532">
        <f t="shared" si="69"/>
        <v>2.5230655936158784E-2</v>
      </c>
    </row>
    <row r="491" spans="1:18" s="6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339">
        <f t="shared" si="64"/>
        <v>196.1</v>
      </c>
      <c r="G491" s="404">
        <v>1100</v>
      </c>
      <c r="H491" s="404">
        <v>6</v>
      </c>
      <c r="I491" s="404">
        <v>5000</v>
      </c>
      <c r="J491" s="404">
        <v>2</v>
      </c>
      <c r="K491" s="180">
        <f t="shared" si="65"/>
        <v>7.1907957813998084E-4</v>
      </c>
      <c r="L491" s="180">
        <f t="shared" si="66"/>
        <v>1.4114326040931546E-4</v>
      </c>
      <c r="M491" s="426">
        <f t="shared" si="67"/>
        <v>1.9519574496373648</v>
      </c>
      <c r="N491" s="148">
        <f t="shared" si="70"/>
        <v>0.71773475423165911</v>
      </c>
      <c r="O491" s="426">
        <v>0.75374586442836844</v>
      </c>
      <c r="P491" s="426">
        <f t="shared" si="68"/>
        <v>2.6779771180115985E-2</v>
      </c>
      <c r="Q491" s="926">
        <f t="shared" si="71"/>
        <v>3.2644541068561392E-2</v>
      </c>
      <c r="R491" s="532">
        <f t="shared" si="69"/>
        <v>1.7594175622016872E-2</v>
      </c>
    </row>
    <row r="492" spans="1:18" s="6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339">
        <f t="shared" si="64"/>
        <v>98.48</v>
      </c>
      <c r="G492" s="404">
        <v>1100</v>
      </c>
      <c r="H492" s="404">
        <v>2</v>
      </c>
      <c r="I492" s="404">
        <v>5000</v>
      </c>
      <c r="J492" s="404">
        <v>2</v>
      </c>
      <c r="K492" s="180">
        <f t="shared" si="65"/>
        <v>2.3969319271332693E-4</v>
      </c>
      <c r="L492" s="180">
        <f t="shared" si="66"/>
        <v>1.4114326040931546E-4</v>
      </c>
      <c r="M492" s="426">
        <f t="shared" si="67"/>
        <v>0.86416742087418152</v>
      </c>
      <c r="N492" s="148">
        <f t="shared" si="70"/>
        <v>0.31775436065543655</v>
      </c>
      <c r="O492" s="426">
        <v>0.33434873524176556</v>
      </c>
      <c r="P492" s="426">
        <f t="shared" si="68"/>
        <v>2.6300384794689331E-2</v>
      </c>
      <c r="Q492" s="926">
        <f t="shared" si="71"/>
        <v>3.20601690647263E-2</v>
      </c>
      <c r="R492" s="532">
        <f t="shared" si="69"/>
        <v>1.5663798756763533E-2</v>
      </c>
    </row>
    <row r="493" spans="1:18" s="6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339">
        <f t="shared" si="64"/>
        <v>2328.6</v>
      </c>
      <c r="G493" s="404">
        <v>1100</v>
      </c>
      <c r="H493" s="404">
        <v>72</v>
      </c>
      <c r="I493" s="404">
        <v>5000</v>
      </c>
      <c r="J493" s="404">
        <v>68</v>
      </c>
      <c r="K493" s="180">
        <f t="shared" si="65"/>
        <v>8.6289549376797701E-3</v>
      </c>
      <c r="L493" s="180">
        <f t="shared" si="66"/>
        <v>4.7988708539167257E-3</v>
      </c>
      <c r="M493" s="426">
        <f t="shared" si="67"/>
        <v>30.469482338485356</v>
      </c>
      <c r="N493" s="148">
        <f t="shared" si="70"/>
        <v>11.203628655861067</v>
      </c>
      <c r="O493" s="426">
        <v>11.787254127406632</v>
      </c>
      <c r="P493" s="426">
        <f t="shared" si="68"/>
        <v>0.89469246940486391</v>
      </c>
      <c r="Q493" s="926">
        <f t="shared" si="71"/>
        <v>1.0906301202045292</v>
      </c>
      <c r="R493" s="532">
        <f t="shared" si="69"/>
        <v>2.3342376359683035E-2</v>
      </c>
    </row>
    <row r="494" spans="1:18" s="6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339">
        <f t="shared" si="64"/>
        <v>479.01</v>
      </c>
      <c r="G494" s="404">
        <v>1100</v>
      </c>
      <c r="H494" s="404">
        <v>15</v>
      </c>
      <c r="I494" s="404">
        <v>5000</v>
      </c>
      <c r="J494" s="404">
        <v>4</v>
      </c>
      <c r="K494" s="180">
        <f t="shared" si="65"/>
        <v>1.7976989453499519E-3</v>
      </c>
      <c r="L494" s="180">
        <f t="shared" si="66"/>
        <v>2.8228652081863093E-4</v>
      </c>
      <c r="M494" s="426">
        <f t="shared" si="67"/>
        <v>4.7197574208471167</v>
      </c>
      <c r="N494" s="148">
        <f t="shared" si="70"/>
        <v>1.7354548036454849</v>
      </c>
      <c r="O494" s="426">
        <v>1.822039575746689</v>
      </c>
      <c r="P494" s="426">
        <f t="shared" si="68"/>
        <v>5.391908214930196E-2</v>
      </c>
      <c r="Q494" s="926">
        <f t="shared" si="71"/>
        <v>6.5727361139999094E-2</v>
      </c>
      <c r="R494" s="532">
        <f t="shared" si="69"/>
        <v>1.7392477990832326E-2</v>
      </c>
    </row>
    <row r="495" spans="1:18" s="6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339">
        <f t="shared" si="64"/>
        <v>479.14</v>
      </c>
      <c r="G495" s="404">
        <v>1100</v>
      </c>
      <c r="H495" s="404">
        <v>16</v>
      </c>
      <c r="I495" s="404">
        <v>5000</v>
      </c>
      <c r="J495" s="404">
        <v>4</v>
      </c>
      <c r="K495" s="180">
        <f t="shared" si="65"/>
        <v>1.9175455417066154E-3</v>
      </c>
      <c r="L495" s="180">
        <f t="shared" si="66"/>
        <v>2.8228652081863093E-4</v>
      </c>
      <c r="M495" s="426">
        <f t="shared" si="67"/>
        <v>4.9917049280379127</v>
      </c>
      <c r="N495" s="148">
        <f t="shared" si="70"/>
        <v>1.8354499020395407</v>
      </c>
      <c r="O495" s="426">
        <v>1.9268888580433396</v>
      </c>
      <c r="P495" s="426">
        <f t="shared" si="68"/>
        <v>5.4038928745658625E-2</v>
      </c>
      <c r="Q495" s="926">
        <f t="shared" si="71"/>
        <v>6.5873454140957868E-2</v>
      </c>
      <c r="R495" s="532">
        <f t="shared" si="69"/>
        <v>1.8383108521238995E-2</v>
      </c>
    </row>
    <row r="496" spans="1:18" s="6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339">
        <f t="shared" si="64"/>
        <v>1158.5899999999999</v>
      </c>
      <c r="G496" s="404">
        <v>1100</v>
      </c>
      <c r="H496" s="404">
        <v>27</v>
      </c>
      <c r="I496" s="404">
        <v>5000</v>
      </c>
      <c r="J496" s="404">
        <v>25</v>
      </c>
      <c r="K496" s="180">
        <f t="shared" si="65"/>
        <v>3.2358581016299136E-3</v>
      </c>
      <c r="L496" s="180">
        <f t="shared" si="66"/>
        <v>1.7642907551164433E-3</v>
      </c>
      <c r="M496" s="426">
        <f t="shared" si="67"/>
        <v>11.345987775308862</v>
      </c>
      <c r="N496" s="148">
        <f t="shared" si="70"/>
        <v>4.171919704981069</v>
      </c>
      <c r="O496" s="426">
        <v>4.3890577551153713</v>
      </c>
      <c r="P496" s="426">
        <f t="shared" si="68"/>
        <v>0.32899450312633</v>
      </c>
      <c r="Q496" s="926">
        <f t="shared" si="71"/>
        <v>0.40104429931099628</v>
      </c>
      <c r="R496" s="532">
        <f t="shared" si="69"/>
        <v>1.7466023130297721E-2</v>
      </c>
    </row>
    <row r="497" spans="1:18" s="6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339">
        <f t="shared" si="64"/>
        <v>368.99</v>
      </c>
      <c r="G497" s="404">
        <v>1100</v>
      </c>
      <c r="H497" s="404">
        <v>13</v>
      </c>
      <c r="I497" s="404">
        <v>5000</v>
      </c>
      <c r="J497" s="404">
        <v>10</v>
      </c>
      <c r="K497" s="180">
        <f t="shared" si="65"/>
        <v>1.558005752636625E-3</v>
      </c>
      <c r="L497" s="180">
        <f t="shared" si="66"/>
        <v>7.0571630204657732E-4</v>
      </c>
      <c r="M497" s="426">
        <f t="shared" si="67"/>
        <v>5.1366796259432954</v>
      </c>
      <c r="N497" s="148">
        <f t="shared" si="70"/>
        <v>1.8887570984593498</v>
      </c>
      <c r="O497" s="426">
        <v>1.9862915230987801</v>
      </c>
      <c r="P497" s="426">
        <f t="shared" si="68"/>
        <v>0.13186146376251665</v>
      </c>
      <c r="Q497" s="926">
        <f t="shared" si="71"/>
        <v>0.1607391243265078</v>
      </c>
      <c r="R497" s="532">
        <f t="shared" si="69"/>
        <v>2.4780047457285948E-2</v>
      </c>
    </row>
    <row r="498" spans="1:18" s="6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339">
        <f t="shared" si="64"/>
        <v>346.24</v>
      </c>
      <c r="G498" s="404">
        <v>1100</v>
      </c>
      <c r="H498" s="404">
        <v>10</v>
      </c>
      <c r="I498" s="404">
        <v>5000</v>
      </c>
      <c r="J498" s="404">
        <v>9</v>
      </c>
      <c r="K498" s="180">
        <f t="shared" si="65"/>
        <v>1.1984659635666346E-3</v>
      </c>
      <c r="L498" s="180">
        <f t="shared" si="66"/>
        <v>6.3514467184191958E-4</v>
      </c>
      <c r="M498" s="426">
        <f t="shared" si="67"/>
        <v>4.1607009011246125</v>
      </c>
      <c r="N498" s="148">
        <f t="shared" si="70"/>
        <v>1.5298897213435201</v>
      </c>
      <c r="O498" s="426">
        <v>1.6094185908845957</v>
      </c>
      <c r="P498" s="426">
        <f t="shared" si="68"/>
        <v>0.11847157817245867</v>
      </c>
      <c r="Q498" s="926">
        <f t="shared" si="71"/>
        <v>0.14441685379222713</v>
      </c>
      <c r="R498" s="532">
        <f t="shared" si="69"/>
        <v>2.1425834079035314E-2</v>
      </c>
    </row>
    <row r="499" spans="1:18" s="6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339">
        <f t="shared" si="64"/>
        <v>151.5</v>
      </c>
      <c r="G499" s="404">
        <v>1100</v>
      </c>
      <c r="H499" s="404">
        <v>6</v>
      </c>
      <c r="I499" s="404">
        <v>5000</v>
      </c>
      <c r="J499" s="404">
        <v>2</v>
      </c>
      <c r="K499" s="180">
        <f t="shared" si="65"/>
        <v>7.1907957813998084E-4</v>
      </c>
      <c r="L499" s="180">
        <f t="shared" si="66"/>
        <v>1.4114326040931546E-4</v>
      </c>
      <c r="M499" s="426">
        <f t="shared" si="67"/>
        <v>1.9519574496373648</v>
      </c>
      <c r="N499" s="148">
        <f t="shared" si="70"/>
        <v>0.71773475423165911</v>
      </c>
      <c r="O499" s="426">
        <v>0.75374586442836844</v>
      </c>
      <c r="P499" s="426">
        <f t="shared" si="68"/>
        <v>2.6779771180115985E-2</v>
      </c>
      <c r="Q499" s="926">
        <f t="shared" si="71"/>
        <v>3.2644541068561392E-2</v>
      </c>
      <c r="R499" s="532">
        <f t="shared" si="69"/>
        <v>2.2773715112062762E-2</v>
      </c>
    </row>
    <row r="500" spans="1:18" s="6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339">
        <f t="shared" si="64"/>
        <v>123.6</v>
      </c>
      <c r="G500" s="404">
        <v>1100</v>
      </c>
      <c r="H500" s="404">
        <v>5</v>
      </c>
      <c r="I500" s="404">
        <v>5000</v>
      </c>
      <c r="J500" s="404">
        <v>1</v>
      </c>
      <c r="K500" s="180">
        <f t="shared" si="65"/>
        <v>5.9923298178331729E-4</v>
      </c>
      <c r="L500" s="180">
        <f t="shared" si="66"/>
        <v>7.0571630204657732E-5</v>
      </c>
      <c r="M500" s="426">
        <f t="shared" si="67"/>
        <v>1.5198737392002739</v>
      </c>
      <c r="N500" s="148">
        <f t="shared" si="70"/>
        <v>0.55885757390394075</v>
      </c>
      <c r="O500" s="426">
        <v>0.58657149680748566</v>
      </c>
      <c r="P500" s="426">
        <f t="shared" si="68"/>
        <v>1.362957878277132E-2</v>
      </c>
      <c r="Q500" s="926">
        <f t="shared" si="71"/>
        <v>1.6614456536198242E-2</v>
      </c>
      <c r="R500" s="532">
        <f t="shared" si="69"/>
        <v>2.1674210264518382E-2</v>
      </c>
    </row>
    <row r="501" spans="1:18" s="6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339">
        <f t="shared" si="64"/>
        <v>624.51</v>
      </c>
      <c r="G501" s="404">
        <v>1100</v>
      </c>
      <c r="H501" s="404">
        <v>22</v>
      </c>
      <c r="I501" s="404">
        <v>5000</v>
      </c>
      <c r="J501" s="404">
        <v>19</v>
      </c>
      <c r="K501" s="180">
        <f t="shared" si="65"/>
        <v>2.6366251198465963E-3</v>
      </c>
      <c r="L501" s="180">
        <f t="shared" si="66"/>
        <v>1.3408609738884969E-3</v>
      </c>
      <c r="M501" s="426">
        <f t="shared" si="67"/>
        <v>9.0254330198771129</v>
      </c>
      <c r="N501" s="148">
        <f t="shared" si="70"/>
        <v>3.3186517214088145</v>
      </c>
      <c r="O501" s="426">
        <v>3.4908608316867245</v>
      </c>
      <c r="P501" s="426">
        <f t="shared" si="68"/>
        <v>0.25021319533861863</v>
      </c>
      <c r="Q501" s="926">
        <f t="shared" si="71"/>
        <v>0.30500988511777616</v>
      </c>
      <c r="R501" s="532">
        <f t="shared" si="69"/>
        <v>2.5756447083811741E-2</v>
      </c>
    </row>
    <row r="502" spans="1:18" s="6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339">
        <f t="shared" si="64"/>
        <v>202.5</v>
      </c>
      <c r="G502" s="404">
        <v>1100</v>
      </c>
      <c r="H502" s="404">
        <v>3</v>
      </c>
      <c r="I502" s="404">
        <v>5000</v>
      </c>
      <c r="J502" s="404">
        <v>2</v>
      </c>
      <c r="K502" s="180">
        <f t="shared" si="65"/>
        <v>3.5953978906999042E-4</v>
      </c>
      <c r="L502" s="180">
        <f t="shared" si="66"/>
        <v>1.4114326040931546E-4</v>
      </c>
      <c r="M502" s="426">
        <f t="shared" si="67"/>
        <v>1.1361149280649774</v>
      </c>
      <c r="N502" s="148">
        <f t="shared" si="70"/>
        <v>0.41774945904949223</v>
      </c>
      <c r="O502" s="426">
        <v>0.43919801753841625</v>
      </c>
      <c r="P502" s="426">
        <f t="shared" si="68"/>
        <v>2.6420231391045993E-2</v>
      </c>
      <c r="Q502" s="926">
        <f t="shared" si="71"/>
        <v>3.2206262065685068E-2</v>
      </c>
      <c r="R502" s="532">
        <f t="shared" si="69"/>
        <v>9.9727537582416387E-3</v>
      </c>
    </row>
    <row r="503" spans="1:18" s="6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339">
        <f t="shared" si="64"/>
        <v>132.5</v>
      </c>
      <c r="G503" s="404">
        <v>1100</v>
      </c>
      <c r="H503" s="404">
        <v>3</v>
      </c>
      <c r="I503" s="404">
        <v>5000</v>
      </c>
      <c r="J503" s="404">
        <v>1</v>
      </c>
      <c r="K503" s="180">
        <f t="shared" si="65"/>
        <v>3.5953978906999042E-4</v>
      </c>
      <c r="L503" s="180">
        <f t="shared" si="66"/>
        <v>7.0571630204657732E-5</v>
      </c>
      <c r="M503" s="426">
        <f t="shared" si="67"/>
        <v>0.97597872481868242</v>
      </c>
      <c r="N503" s="148">
        <f t="shared" si="70"/>
        <v>0.35886737711582956</v>
      </c>
      <c r="O503" s="426">
        <v>0.37687293221418422</v>
      </c>
      <c r="P503" s="426">
        <f t="shared" si="68"/>
        <v>1.3389885590057993E-2</v>
      </c>
      <c r="Q503" s="926">
        <f t="shared" si="71"/>
        <v>1.6322270534280696E-2</v>
      </c>
      <c r="R503" s="532">
        <f t="shared" si="69"/>
        <v>1.3019689960292484E-2</v>
      </c>
    </row>
    <row r="504" spans="1:18" s="6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339">
        <f t="shared" si="64"/>
        <v>156.1</v>
      </c>
      <c r="G504" s="404">
        <v>1100</v>
      </c>
      <c r="H504" s="404">
        <v>4</v>
      </c>
      <c r="I504" s="404">
        <v>5000</v>
      </c>
      <c r="J504" s="404">
        <v>2</v>
      </c>
      <c r="K504" s="180">
        <f t="shared" si="65"/>
        <v>4.7938638542665386E-4</v>
      </c>
      <c r="L504" s="180">
        <f t="shared" si="66"/>
        <v>1.4114326040931546E-4</v>
      </c>
      <c r="M504" s="426">
        <f t="shared" si="67"/>
        <v>1.4080624352557731</v>
      </c>
      <c r="N504" s="148">
        <f t="shared" si="70"/>
        <v>0.51774455744354786</v>
      </c>
      <c r="O504" s="426">
        <v>0.54404729983506694</v>
      </c>
      <c r="P504" s="426">
        <f t="shared" si="68"/>
        <v>2.6540077987402658E-2</v>
      </c>
      <c r="Q504" s="926">
        <f t="shared" si="71"/>
        <v>3.2352355066643843E-2</v>
      </c>
      <c r="R504" s="532">
        <f t="shared" si="69"/>
        <v>1.599227655683402E-2</v>
      </c>
    </row>
    <row r="505" spans="1:18" s="6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339">
        <f t="shared" si="64"/>
        <v>138</v>
      </c>
      <c r="G505" s="404">
        <v>1100</v>
      </c>
      <c r="H505" s="404">
        <v>3</v>
      </c>
      <c r="I505" s="404">
        <v>5000</v>
      </c>
      <c r="J505" s="404">
        <v>3</v>
      </c>
      <c r="K505" s="180">
        <f t="shared" si="65"/>
        <v>3.5953978906999042E-4</v>
      </c>
      <c r="L505" s="180">
        <f t="shared" si="66"/>
        <v>2.1171489061397319E-4</v>
      </c>
      <c r="M505" s="426">
        <f t="shared" si="67"/>
        <v>1.2962511313112723</v>
      </c>
      <c r="N505" s="148">
        <f t="shared" si="70"/>
        <v>0.47663154098315486</v>
      </c>
      <c r="O505" s="426">
        <v>0.50152310286264834</v>
      </c>
      <c r="P505" s="426">
        <f t="shared" si="68"/>
        <v>3.9450577192033993E-2</v>
      </c>
      <c r="Q505" s="926">
        <f t="shared" si="71"/>
        <v>4.809025359708944E-2</v>
      </c>
      <c r="R505" s="532">
        <f t="shared" si="69"/>
        <v>1.6767075017022532E-2</v>
      </c>
    </row>
    <row r="506" spans="1:18" s="6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339">
        <f t="shared" si="64"/>
        <v>137.69999999999999</v>
      </c>
      <c r="G506" s="404">
        <v>1100</v>
      </c>
      <c r="H506" s="404">
        <v>8</v>
      </c>
      <c r="I506" s="404">
        <v>5000</v>
      </c>
      <c r="J506" s="404">
        <v>1</v>
      </c>
      <c r="K506" s="180">
        <f t="shared" si="65"/>
        <v>9.5877277085330771E-4</v>
      </c>
      <c r="L506" s="180">
        <f t="shared" si="66"/>
        <v>7.0571630204657732E-5</v>
      </c>
      <c r="M506" s="426">
        <f t="shared" si="67"/>
        <v>2.3357162607726614</v>
      </c>
      <c r="N506" s="148">
        <f t="shared" si="70"/>
        <v>0.85884286908610763</v>
      </c>
      <c r="O506" s="426">
        <v>0.90111934369743785</v>
      </c>
      <c r="P506" s="426">
        <f t="shared" si="68"/>
        <v>1.398911857184131E-2</v>
      </c>
      <c r="Q506" s="926">
        <f t="shared" si="71"/>
        <v>1.7052735539074559E-2</v>
      </c>
      <c r="R506" s="532">
        <f t="shared" si="69"/>
        <v>2.984508055285438E-2</v>
      </c>
    </row>
    <row r="507" spans="1:18" s="6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339">
        <f t="shared" si="64"/>
        <v>184.88</v>
      </c>
      <c r="G507" s="404">
        <v>1100</v>
      </c>
      <c r="H507" s="404">
        <v>8</v>
      </c>
      <c r="I507" s="404">
        <v>5000</v>
      </c>
      <c r="J507" s="404">
        <v>6</v>
      </c>
      <c r="K507" s="180">
        <f t="shared" si="65"/>
        <v>9.5877277085330771E-4</v>
      </c>
      <c r="L507" s="180">
        <f t="shared" si="66"/>
        <v>4.2342978122794639E-4</v>
      </c>
      <c r="M507" s="426">
        <f t="shared" si="67"/>
        <v>3.1363972770041362</v>
      </c>
      <c r="N507" s="148">
        <f t="shared" si="70"/>
        <v>1.153253278754421</v>
      </c>
      <c r="O507" s="426">
        <v>1.2127447703185981</v>
      </c>
      <c r="P507" s="426">
        <f t="shared" si="68"/>
        <v>7.9140847576781317E-2</v>
      </c>
      <c r="Q507" s="926">
        <f t="shared" si="71"/>
        <v>9.6472693196096429E-2</v>
      </c>
      <c r="R507" s="532">
        <f t="shared" si="69"/>
        <v>3.0190048537721427E-2</v>
      </c>
    </row>
    <row r="508" spans="1:18" s="6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339">
        <f t="shared" si="64"/>
        <v>657.19</v>
      </c>
      <c r="G508" s="404">
        <v>1100</v>
      </c>
      <c r="H508" s="404">
        <v>25</v>
      </c>
      <c r="I508" s="404">
        <v>5000</v>
      </c>
      <c r="J508" s="404">
        <v>13</v>
      </c>
      <c r="K508" s="180">
        <f t="shared" si="65"/>
        <v>2.9961649089165865E-3</v>
      </c>
      <c r="L508" s="180">
        <f t="shared" si="66"/>
        <v>9.1743119266055051E-4</v>
      </c>
      <c r="M508" s="426">
        <f t="shared" si="67"/>
        <v>8.8804583219717301</v>
      </c>
      <c r="N508" s="148">
        <f t="shared" si="70"/>
        <v>3.2653445249890054</v>
      </c>
      <c r="O508" s="426">
        <v>3.4314581666312844</v>
      </c>
      <c r="P508" s="426">
        <f t="shared" si="68"/>
        <v>0.17239066032176062</v>
      </c>
      <c r="Q508" s="926">
        <f t="shared" si="71"/>
        <v>0.21014421493222621</v>
      </c>
      <c r="R508" s="532">
        <f t="shared" si="69"/>
        <v>2.3965142004464125E-2</v>
      </c>
    </row>
    <row r="509" spans="1:18" s="6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339">
        <f t="shared" si="64"/>
        <v>815.3</v>
      </c>
      <c r="G509" s="404">
        <v>1100</v>
      </c>
      <c r="H509" s="404">
        <v>39</v>
      </c>
      <c r="I509" s="404">
        <v>5000</v>
      </c>
      <c r="J509" s="404">
        <v>3</v>
      </c>
      <c r="K509" s="180">
        <f t="shared" si="65"/>
        <v>4.6740172579098748E-3</v>
      </c>
      <c r="L509" s="180">
        <f t="shared" si="66"/>
        <v>2.1171489061397319E-4</v>
      </c>
      <c r="M509" s="426">
        <f t="shared" si="67"/>
        <v>11.086361390179921</v>
      </c>
      <c r="N509" s="148">
        <f t="shared" si="70"/>
        <v>4.0764550831691571</v>
      </c>
      <c r="O509" s="426">
        <v>4.2760972655420737</v>
      </c>
      <c r="P509" s="426">
        <f t="shared" si="68"/>
        <v>4.3765054660873881E-2</v>
      </c>
      <c r="Q509" s="926">
        <f t="shared" si="71"/>
        <v>5.3349601631605265E-2</v>
      </c>
      <c r="R509" s="532">
        <f t="shared" si="69"/>
        <v>2.3896331158533089E-2</v>
      </c>
    </row>
    <row r="510" spans="1:18" s="6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339">
        <f t="shared" si="64"/>
        <v>800.4</v>
      </c>
      <c r="G510" s="404">
        <v>1100</v>
      </c>
      <c r="H510" s="404">
        <v>46</v>
      </c>
      <c r="I510" s="404">
        <v>5000</v>
      </c>
      <c r="J510" s="404">
        <v>27</v>
      </c>
      <c r="K510" s="180">
        <f t="shared" si="65"/>
        <v>5.5129434324065196E-3</v>
      </c>
      <c r="L510" s="180">
        <f t="shared" si="66"/>
        <v>1.9054340155257588E-3</v>
      </c>
      <c r="M510" s="426">
        <f t="shared" si="67"/>
        <v>16.833262818426572</v>
      </c>
      <c r="N510" s="148">
        <f t="shared" si="70"/>
        <v>6.1895907383354514</v>
      </c>
      <c r="O510" s="426">
        <v>6.5058442894001987</v>
      </c>
      <c r="P510" s="426">
        <f t="shared" si="68"/>
        <v>0.35733228005908257</v>
      </c>
      <c r="Q510" s="926">
        <f t="shared" si="71"/>
        <v>0.43558804939202167</v>
      </c>
      <c r="R510" s="532">
        <f t="shared" si="69"/>
        <v>3.7338868223664799E-2</v>
      </c>
    </row>
    <row r="511" spans="1:18" s="6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339">
        <f t="shared" si="64"/>
        <v>285.10000000000002</v>
      </c>
      <c r="G511" s="404">
        <v>1100</v>
      </c>
      <c r="H511" s="404">
        <v>4</v>
      </c>
      <c r="I511" s="404">
        <v>5000</v>
      </c>
      <c r="J511" s="404">
        <v>4</v>
      </c>
      <c r="K511" s="180">
        <f t="shared" si="65"/>
        <v>4.7938638542665386E-4</v>
      </c>
      <c r="L511" s="180">
        <f t="shared" si="66"/>
        <v>2.8228652081863093E-4</v>
      </c>
      <c r="M511" s="426">
        <f t="shared" si="67"/>
        <v>1.728334841748363</v>
      </c>
      <c r="N511" s="148">
        <f t="shared" si="70"/>
        <v>0.6355087213108731</v>
      </c>
      <c r="O511" s="426">
        <v>0.66869747048353112</v>
      </c>
      <c r="P511" s="426">
        <f t="shared" si="68"/>
        <v>5.2600769589378663E-2</v>
      </c>
      <c r="Q511" s="926">
        <f t="shared" si="71"/>
        <v>6.41203381294526E-2</v>
      </c>
      <c r="R511" s="532">
        <f t="shared" si="69"/>
        <v>1.0821262024314786E-2</v>
      </c>
    </row>
    <row r="512" spans="1:18" s="6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339">
        <f t="shared" si="64"/>
        <v>415.84</v>
      </c>
      <c r="G512" s="404">
        <v>1100</v>
      </c>
      <c r="H512" s="404">
        <v>11</v>
      </c>
      <c r="I512" s="404">
        <v>5000</v>
      </c>
      <c r="J512" s="404">
        <v>8</v>
      </c>
      <c r="K512" s="180">
        <f t="shared" si="65"/>
        <v>1.3183125599232981E-3</v>
      </c>
      <c r="L512" s="180">
        <f t="shared" si="66"/>
        <v>5.6457304163726185E-4</v>
      </c>
      <c r="M512" s="426">
        <f t="shared" si="67"/>
        <v>4.2725122050691136</v>
      </c>
      <c r="N512" s="148">
        <f t="shared" si="70"/>
        <v>1.5710027378039131</v>
      </c>
      <c r="O512" s="426">
        <v>1.6519427878570143</v>
      </c>
      <c r="P512" s="426">
        <f t="shared" si="68"/>
        <v>0.10556107896782732</v>
      </c>
      <c r="Q512" s="926">
        <f t="shared" si="71"/>
        <v>0.12867895526178152</v>
      </c>
      <c r="R512" s="532">
        <f t="shared" si="69"/>
        <v>1.8278710104121462E-2</v>
      </c>
    </row>
    <row r="513" spans="1:18" s="6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339">
        <f t="shared" ref="F513:F535" si="72">C513+D513+E513</f>
        <v>516.34</v>
      </c>
      <c r="G513" s="404">
        <v>1100</v>
      </c>
      <c r="H513" s="404">
        <v>11</v>
      </c>
      <c r="I513" s="404">
        <v>5000</v>
      </c>
      <c r="J513" s="404">
        <v>9</v>
      </c>
      <c r="K513" s="180">
        <f t="shared" si="65"/>
        <v>1.3183125599232981E-3</v>
      </c>
      <c r="L513" s="180">
        <f t="shared" si="66"/>
        <v>6.3514467184191958E-4</v>
      </c>
      <c r="M513" s="426">
        <f t="shared" si="67"/>
        <v>4.4326484083154085</v>
      </c>
      <c r="N513" s="148">
        <f t="shared" si="70"/>
        <v>1.6298848197375759</v>
      </c>
      <c r="O513" s="426">
        <v>1.7142678731812464</v>
      </c>
      <c r="P513" s="426">
        <f t="shared" si="68"/>
        <v>0.11859142476881533</v>
      </c>
      <c r="Q513" s="926">
        <f t="shared" si="71"/>
        <v>0.1445629467931859</v>
      </c>
      <c r="R513" s="532">
        <f t="shared" si="69"/>
        <v>1.5291072793126711E-2</v>
      </c>
    </row>
    <row r="514" spans="1:18" s="6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339">
        <f t="shared" si="72"/>
        <v>605.14</v>
      </c>
      <c r="G514" s="404">
        <v>1100</v>
      </c>
      <c r="H514" s="404">
        <v>20</v>
      </c>
      <c r="I514" s="404">
        <v>5000</v>
      </c>
      <c r="J514" s="404">
        <v>11</v>
      </c>
      <c r="K514" s="180">
        <f t="shared" ref="K514:K534" si="73">1/8344*H514</f>
        <v>2.3969319271332692E-3</v>
      </c>
      <c r="L514" s="180">
        <f t="shared" ref="L514:L534" si="74">1/14170*J514</f>
        <v>7.7628793225123505E-4</v>
      </c>
      <c r="M514" s="426">
        <f t="shared" ref="M514:M534" si="75">(K514+L514)*2269.13</f>
        <v>7.2004483795251604</v>
      </c>
      <c r="N514" s="148">
        <f t="shared" si="70"/>
        <v>2.6476048691514018</v>
      </c>
      <c r="O514" s="426">
        <v>2.7825615844995673</v>
      </c>
      <c r="P514" s="426">
        <f t="shared" si="68"/>
        <v>0.1457307357380013</v>
      </c>
      <c r="Q514" s="926">
        <f t="shared" si="71"/>
        <v>0.17764576686462361</v>
      </c>
      <c r="R514" s="532">
        <f t="shared" si="69"/>
        <v>2.1113040897832124E-2</v>
      </c>
    </row>
    <row r="515" spans="1:18" s="6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339">
        <f t="shared" si="72"/>
        <v>476.1</v>
      </c>
      <c r="G515" s="404">
        <v>1100</v>
      </c>
      <c r="H515" s="404">
        <v>22</v>
      </c>
      <c r="I515" s="404">
        <v>5000</v>
      </c>
      <c r="J515" s="404">
        <v>10</v>
      </c>
      <c r="K515" s="180">
        <f t="shared" si="73"/>
        <v>2.6366251198465963E-3</v>
      </c>
      <c r="L515" s="180">
        <f t="shared" si="74"/>
        <v>7.0571630204657732E-4</v>
      </c>
      <c r="M515" s="426">
        <f t="shared" si="75"/>
        <v>7.5842071906604573</v>
      </c>
      <c r="N515" s="148">
        <f t="shared" si="70"/>
        <v>2.7887129840058504</v>
      </c>
      <c r="O515" s="426">
        <v>2.9299350637686365</v>
      </c>
      <c r="P515" s="426">
        <f t="shared" si="68"/>
        <v>0.13294008312972663</v>
      </c>
      <c r="Q515" s="926">
        <f t="shared" si="71"/>
        <v>0.16205396133513678</v>
      </c>
      <c r="R515" s="532">
        <f t="shared" si="69"/>
        <v>2.8220532076380318E-2</v>
      </c>
    </row>
    <row r="516" spans="1:18" s="6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339">
        <f t="shared" si="72"/>
        <v>417.52</v>
      </c>
      <c r="G516" s="404">
        <v>1100</v>
      </c>
      <c r="H516" s="404">
        <v>9</v>
      </c>
      <c r="I516" s="404">
        <v>5000</v>
      </c>
      <c r="J516" s="404">
        <v>8</v>
      </c>
      <c r="K516" s="180">
        <f t="shared" si="73"/>
        <v>1.0786193672099713E-3</v>
      </c>
      <c r="L516" s="180">
        <f t="shared" si="74"/>
        <v>5.6457304163726185E-4</v>
      </c>
      <c r="M516" s="426">
        <f t="shared" si="75"/>
        <v>3.7286171906875221</v>
      </c>
      <c r="N516" s="148">
        <f t="shared" si="70"/>
        <v>1.3710125410158021</v>
      </c>
      <c r="O516" s="426">
        <v>1.4422442232637129</v>
      </c>
      <c r="P516" s="426">
        <f t="shared" si="68"/>
        <v>0.10532138577511399</v>
      </c>
      <c r="Q516" s="926">
        <f t="shared" si="71"/>
        <v>0.12838676925986398</v>
      </c>
      <c r="R516" s="532">
        <f t="shared" si="69"/>
        <v>1.5920663299344107E-2</v>
      </c>
    </row>
    <row r="517" spans="1:18" s="6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339">
        <f t="shared" si="72"/>
        <v>273.56</v>
      </c>
      <c r="G517" s="404">
        <v>1100</v>
      </c>
      <c r="H517" s="404">
        <v>12</v>
      </c>
      <c r="I517" s="404">
        <v>5000</v>
      </c>
      <c r="J517" s="404">
        <v>6</v>
      </c>
      <c r="K517" s="180">
        <f t="shared" si="73"/>
        <v>1.4381591562799617E-3</v>
      </c>
      <c r="L517" s="180">
        <f t="shared" si="74"/>
        <v>4.2342978122794639E-4</v>
      </c>
      <c r="M517" s="426">
        <f t="shared" si="75"/>
        <v>4.2241873057673196</v>
      </c>
      <c r="N517" s="148">
        <f t="shared" si="70"/>
        <v>1.5532336723306435</v>
      </c>
      <c r="O517" s="426">
        <v>1.6321418995052011</v>
      </c>
      <c r="P517" s="426">
        <f t="shared" si="68"/>
        <v>7.9620233962207965E-2</v>
      </c>
      <c r="Q517" s="926">
        <f t="shared" si="71"/>
        <v>9.7057065199931514E-2</v>
      </c>
      <c r="R517" s="532">
        <f t="shared" si="69"/>
        <v>2.7376747739309006E-2</v>
      </c>
    </row>
    <row r="518" spans="1:18" s="6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339">
        <f t="shared" si="72"/>
        <v>645.95000000000005</v>
      </c>
      <c r="G518" s="404">
        <v>1100</v>
      </c>
      <c r="H518" s="404">
        <v>20</v>
      </c>
      <c r="I518" s="404">
        <v>5000</v>
      </c>
      <c r="J518" s="404">
        <v>40</v>
      </c>
      <c r="K518" s="180">
        <f t="shared" si="73"/>
        <v>2.3969319271332692E-3</v>
      </c>
      <c r="L518" s="180">
        <f t="shared" si="74"/>
        <v>2.8228652081863093E-3</v>
      </c>
      <c r="M518" s="426">
        <f t="shared" si="75"/>
        <v>11.844398273667716</v>
      </c>
      <c r="N518" s="148">
        <f t="shared" si="70"/>
        <v>4.3551852452276192</v>
      </c>
      <c r="O518" s="426">
        <v>4.5899890589022974</v>
      </c>
      <c r="P518" s="426">
        <f t="shared" si="68"/>
        <v>0.5236107639666534</v>
      </c>
      <c r="Q518" s="926">
        <f t="shared" si="71"/>
        <v>0.63828152127535054</v>
      </c>
      <c r="R518" s="532">
        <f t="shared" si="69"/>
        <v>3.2995097672829606E-2</v>
      </c>
    </row>
    <row r="519" spans="1:18" s="6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339">
        <f t="shared" si="72"/>
        <v>867.68</v>
      </c>
      <c r="G519" s="404">
        <v>1100</v>
      </c>
      <c r="H519" s="404">
        <v>35</v>
      </c>
      <c r="I519" s="404">
        <v>5000</v>
      </c>
      <c r="J519" s="404">
        <v>37</v>
      </c>
      <c r="K519" s="180">
        <f t="shared" si="73"/>
        <v>4.1946308724832215E-3</v>
      </c>
      <c r="L519" s="180">
        <f t="shared" si="74"/>
        <v>2.6111503175723361E-3</v>
      </c>
      <c r="M519" s="426">
        <f t="shared" si="75"/>
        <v>15.443202271790769</v>
      </c>
      <c r="N519" s="148">
        <f t="shared" si="70"/>
        <v>5.6784654753374664</v>
      </c>
      <c r="O519" s="426">
        <v>5.9757530373793619</v>
      </c>
      <c r="P519" s="426">
        <f t="shared" ref="P519:P533" si="76">K519+L519*184.64</f>
        <v>0.48631742550903934</v>
      </c>
      <c r="Q519" s="926">
        <f t="shared" si="71"/>
        <v>0.59282094169551902</v>
      </c>
      <c r="R519" s="532">
        <f t="shared" ref="R519:R582" si="77">(P519+O519+N519+M519)/F519</f>
        <v>3.1790220138780002E-2</v>
      </c>
    </row>
    <row r="520" spans="1:18" s="6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339">
        <f t="shared" si="72"/>
        <v>556.85</v>
      </c>
      <c r="G520" s="404">
        <v>1100</v>
      </c>
      <c r="H520" s="404">
        <v>18</v>
      </c>
      <c r="I520" s="404">
        <v>5000</v>
      </c>
      <c r="J520" s="404">
        <v>12</v>
      </c>
      <c r="K520" s="180">
        <f t="shared" si="73"/>
        <v>2.1572387344199425E-3</v>
      </c>
      <c r="L520" s="180">
        <f t="shared" si="74"/>
        <v>8.4685956245589278E-4</v>
      </c>
      <c r="M520" s="426">
        <f t="shared" si="75"/>
        <v>6.8166895683898643</v>
      </c>
      <c r="N520" s="148">
        <f t="shared" si="70"/>
        <v>2.5064967542969532</v>
      </c>
      <c r="O520" s="426">
        <v>2.635188105230498</v>
      </c>
      <c r="P520" s="426">
        <f t="shared" si="76"/>
        <v>0.15852138834627597</v>
      </c>
      <c r="Q520" s="926">
        <f t="shared" si="71"/>
        <v>0.19323757239411041</v>
      </c>
      <c r="R520" s="532">
        <f t="shared" si="77"/>
        <v>2.1759712339523375E-2</v>
      </c>
    </row>
    <row r="521" spans="1:18" s="6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339">
        <f t="shared" si="72"/>
        <v>335.18</v>
      </c>
      <c r="G521" s="404">
        <v>1100</v>
      </c>
      <c r="H521" s="404">
        <v>11</v>
      </c>
      <c r="I521" s="404">
        <v>5000</v>
      </c>
      <c r="J521" s="404">
        <v>12</v>
      </c>
      <c r="K521" s="180">
        <f t="shared" si="73"/>
        <v>1.3183125599232981E-3</v>
      </c>
      <c r="L521" s="180">
        <f t="shared" si="74"/>
        <v>8.4685956245589278E-4</v>
      </c>
      <c r="M521" s="426">
        <f t="shared" si="75"/>
        <v>4.9130570180542934</v>
      </c>
      <c r="N521" s="148">
        <f t="shared" si="70"/>
        <v>1.8065310655385638</v>
      </c>
      <c r="O521" s="426">
        <v>1.9012431291539427</v>
      </c>
      <c r="P521" s="426">
        <f t="shared" si="76"/>
        <v>0.15768246217177931</v>
      </c>
      <c r="Q521" s="926">
        <f t="shared" si="71"/>
        <v>0.19221492138739898</v>
      </c>
      <c r="R521" s="532">
        <f t="shared" si="77"/>
        <v>2.6190445954169635E-2</v>
      </c>
    </row>
    <row r="522" spans="1:18" s="6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339">
        <f t="shared" si="72"/>
        <v>274.58999999999997</v>
      </c>
      <c r="G522" s="404">
        <v>1100</v>
      </c>
      <c r="H522" s="404">
        <v>10</v>
      </c>
      <c r="I522" s="404">
        <v>5000</v>
      </c>
      <c r="J522" s="404">
        <v>12</v>
      </c>
      <c r="K522" s="180">
        <f t="shared" si="73"/>
        <v>1.1984659635666346E-3</v>
      </c>
      <c r="L522" s="180">
        <f t="shared" si="74"/>
        <v>8.4685956245589278E-4</v>
      </c>
      <c r="M522" s="426">
        <f t="shared" si="75"/>
        <v>4.6411095108634974</v>
      </c>
      <c r="N522" s="148">
        <f t="shared" si="70"/>
        <v>1.7065359671445082</v>
      </c>
      <c r="O522" s="426">
        <v>1.796393846857292</v>
      </c>
      <c r="P522" s="426">
        <f t="shared" si="76"/>
        <v>0.15756261557542264</v>
      </c>
      <c r="Q522" s="926">
        <f t="shared" si="71"/>
        <v>0.19206882838644021</v>
      </c>
      <c r="R522" s="532">
        <f t="shared" si="77"/>
        <v>3.0232717653376748E-2</v>
      </c>
    </row>
    <row r="523" spans="1:18" s="6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339">
        <f t="shared" si="72"/>
        <v>345.54</v>
      </c>
      <c r="G523" s="404">
        <v>1100</v>
      </c>
      <c r="H523" s="404">
        <v>13</v>
      </c>
      <c r="I523" s="404">
        <v>5000</v>
      </c>
      <c r="J523" s="404">
        <v>10</v>
      </c>
      <c r="K523" s="180">
        <f t="shared" si="73"/>
        <v>1.558005752636625E-3</v>
      </c>
      <c r="L523" s="180">
        <f t="shared" si="74"/>
        <v>7.0571630204657732E-4</v>
      </c>
      <c r="M523" s="426">
        <f t="shared" si="75"/>
        <v>5.1366796259432954</v>
      </c>
      <c r="N523" s="148">
        <f t="shared" si="70"/>
        <v>1.8887570984593498</v>
      </c>
      <c r="O523" s="426">
        <v>1.9862915230987801</v>
      </c>
      <c r="P523" s="426">
        <f t="shared" si="76"/>
        <v>0.13186146376251665</v>
      </c>
      <c r="Q523" s="926">
        <f t="shared" si="71"/>
        <v>0.1607391243265078</v>
      </c>
      <c r="R523" s="532">
        <f t="shared" si="77"/>
        <v>2.6461740207396948E-2</v>
      </c>
    </row>
    <row r="524" spans="1:18" s="6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339">
        <f t="shared" si="72"/>
        <v>212.4</v>
      </c>
      <c r="G524" s="404">
        <v>1100</v>
      </c>
      <c r="H524" s="404">
        <v>12</v>
      </c>
      <c r="I524" s="404">
        <v>5000</v>
      </c>
      <c r="J524" s="404">
        <v>4</v>
      </c>
      <c r="K524" s="180">
        <f t="shared" si="73"/>
        <v>1.4381591562799617E-3</v>
      </c>
      <c r="L524" s="180">
        <f t="shared" si="74"/>
        <v>2.8228652081863093E-4</v>
      </c>
      <c r="M524" s="426">
        <f t="shared" si="75"/>
        <v>3.9039148992747297</v>
      </c>
      <c r="N524" s="148">
        <f t="shared" si="70"/>
        <v>1.4354695084633182</v>
      </c>
      <c r="O524" s="426">
        <v>1.5074917288567369</v>
      </c>
      <c r="P524" s="426">
        <f t="shared" si="76"/>
        <v>5.3559542360231971E-2</v>
      </c>
      <c r="Q524" s="926">
        <f t="shared" si="71"/>
        <v>6.5289082137122784E-2</v>
      </c>
      <c r="R524" s="532">
        <f t="shared" si="77"/>
        <v>3.2487926925400264E-2</v>
      </c>
    </row>
    <row r="525" spans="1:18" s="6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339">
        <f t="shared" si="72"/>
        <v>257.2</v>
      </c>
      <c r="G525" s="404">
        <v>1100</v>
      </c>
      <c r="H525" s="404">
        <v>9</v>
      </c>
      <c r="I525" s="404">
        <v>5000</v>
      </c>
      <c r="J525" s="404">
        <v>11</v>
      </c>
      <c r="K525" s="180">
        <f t="shared" si="73"/>
        <v>1.0786193672099713E-3</v>
      </c>
      <c r="L525" s="180">
        <f t="shared" si="74"/>
        <v>7.7628793225123505E-4</v>
      </c>
      <c r="M525" s="426">
        <f t="shared" si="75"/>
        <v>4.2090258004264074</v>
      </c>
      <c r="N525" s="148">
        <f t="shared" si="70"/>
        <v>1.5476587868167901</v>
      </c>
      <c r="O525" s="426">
        <v>1.6292194792364092</v>
      </c>
      <c r="P525" s="426">
        <f t="shared" si="76"/>
        <v>0.14441242317807798</v>
      </c>
      <c r="Q525" s="926">
        <f t="shared" si="71"/>
        <v>0.17603874385407708</v>
      </c>
      <c r="R525" s="532">
        <f t="shared" si="77"/>
        <v>2.9278057891359583E-2</v>
      </c>
    </row>
    <row r="526" spans="1:18" s="6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339">
        <f t="shared" si="72"/>
        <v>406.14</v>
      </c>
      <c r="G526" s="404">
        <v>1100</v>
      </c>
      <c r="H526" s="404">
        <v>13</v>
      </c>
      <c r="I526" s="404">
        <v>5000</v>
      </c>
      <c r="J526" s="404">
        <v>18</v>
      </c>
      <c r="K526" s="180">
        <f t="shared" si="73"/>
        <v>1.558005752636625E-3</v>
      </c>
      <c r="L526" s="180">
        <f t="shared" si="74"/>
        <v>1.2702893436838392E-3</v>
      </c>
      <c r="M526" s="426">
        <f t="shared" si="75"/>
        <v>6.417769251913656</v>
      </c>
      <c r="N526" s="148">
        <f t="shared" si="70"/>
        <v>2.3598137539286514</v>
      </c>
      <c r="O526" s="426">
        <v>2.4848922056926366</v>
      </c>
      <c r="P526" s="426">
        <f t="shared" si="76"/>
        <v>0.23610423017042068</v>
      </c>
      <c r="Q526" s="926">
        <f t="shared" si="71"/>
        <v>0.28781105657774281</v>
      </c>
      <c r="R526" s="532">
        <f t="shared" si="77"/>
        <v>2.8311861529781272E-2</v>
      </c>
    </row>
    <row r="527" spans="1:18" s="6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339">
        <f t="shared" si="72"/>
        <v>253.51</v>
      </c>
      <c r="G527" s="404">
        <v>1100</v>
      </c>
      <c r="H527" s="404">
        <v>10</v>
      </c>
      <c r="I527" s="404">
        <v>5000</v>
      </c>
      <c r="J527" s="404">
        <v>12</v>
      </c>
      <c r="K527" s="180">
        <f t="shared" si="73"/>
        <v>1.1984659635666346E-3</v>
      </c>
      <c r="L527" s="180">
        <f t="shared" si="74"/>
        <v>8.4685956245589278E-4</v>
      </c>
      <c r="M527" s="426">
        <f t="shared" si="75"/>
        <v>4.6411095108634974</v>
      </c>
      <c r="N527" s="148">
        <f t="shared" ref="N527:N534" si="78">M527*0.3677</f>
        <v>1.7065359671445082</v>
      </c>
      <c r="O527" s="426">
        <v>1.796393846857292</v>
      </c>
      <c r="P527" s="426">
        <f t="shared" si="76"/>
        <v>0.15756261557542264</v>
      </c>
      <c r="Q527" s="926">
        <f t="shared" si="71"/>
        <v>0.19206882838644021</v>
      </c>
      <c r="R527" s="532">
        <f t="shared" si="77"/>
        <v>3.2746644867818711E-2</v>
      </c>
    </row>
    <row r="528" spans="1:18" s="6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339">
        <f t="shared" si="72"/>
        <v>354.64</v>
      </c>
      <c r="G528" s="404">
        <v>1100</v>
      </c>
      <c r="H528" s="404">
        <v>9</v>
      </c>
      <c r="I528" s="404">
        <v>5000</v>
      </c>
      <c r="J528" s="404">
        <v>9</v>
      </c>
      <c r="K528" s="180">
        <f t="shared" si="73"/>
        <v>1.0786193672099713E-3</v>
      </c>
      <c r="L528" s="180">
        <f t="shared" si="74"/>
        <v>6.3514467184191958E-4</v>
      </c>
      <c r="M528" s="426">
        <f t="shared" si="75"/>
        <v>3.8887533939338175</v>
      </c>
      <c r="N528" s="148">
        <f t="shared" si="78"/>
        <v>1.4298946229494647</v>
      </c>
      <c r="O528" s="426">
        <v>1.504569308587945</v>
      </c>
      <c r="P528" s="426">
        <f t="shared" si="76"/>
        <v>0.118351731576102</v>
      </c>
      <c r="Q528" s="926">
        <f t="shared" si="71"/>
        <v>0.14427076079126835</v>
      </c>
      <c r="R528" s="532">
        <f t="shared" si="77"/>
        <v>1.9573564902569729E-2</v>
      </c>
    </row>
    <row r="529" spans="1:18" s="6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339">
        <f t="shared" si="72"/>
        <v>286.98</v>
      </c>
      <c r="G529" s="404">
        <v>1100</v>
      </c>
      <c r="H529" s="404">
        <v>8</v>
      </c>
      <c r="I529" s="404">
        <v>5000</v>
      </c>
      <c r="J529" s="404">
        <v>11</v>
      </c>
      <c r="K529" s="180">
        <f t="shared" si="73"/>
        <v>9.5877277085330771E-4</v>
      </c>
      <c r="L529" s="180">
        <f t="shared" si="74"/>
        <v>7.7628793225123505E-4</v>
      </c>
      <c r="M529" s="426">
        <f t="shared" si="75"/>
        <v>3.9370782932356114</v>
      </c>
      <c r="N529" s="148">
        <f t="shared" si="78"/>
        <v>1.4476636884227345</v>
      </c>
      <c r="O529" s="426">
        <v>1.5243701969397585</v>
      </c>
      <c r="P529" s="426">
        <f t="shared" si="76"/>
        <v>0.14429257658172132</v>
      </c>
      <c r="Q529" s="926">
        <f t="shared" si="71"/>
        <v>0.17589265085311831</v>
      </c>
      <c r="R529" s="532">
        <f t="shared" si="77"/>
        <v>2.457803594389792E-2</v>
      </c>
    </row>
    <row r="530" spans="1:18" s="6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339">
        <f t="shared" si="72"/>
        <v>128.9</v>
      </c>
      <c r="G530" s="404">
        <v>1100</v>
      </c>
      <c r="H530" s="404">
        <v>2</v>
      </c>
      <c r="I530" s="404">
        <v>5000</v>
      </c>
      <c r="J530" s="404">
        <v>3</v>
      </c>
      <c r="K530" s="180">
        <f t="shared" si="73"/>
        <v>2.3969319271332693E-4</v>
      </c>
      <c r="L530" s="180">
        <f t="shared" si="74"/>
        <v>2.1171489061397319E-4</v>
      </c>
      <c r="M530" s="426">
        <f t="shared" si="75"/>
        <v>1.0243036241204766</v>
      </c>
      <c r="N530" s="148">
        <f t="shared" si="78"/>
        <v>0.37663644258909929</v>
      </c>
      <c r="O530" s="426">
        <v>0.39667382056599765</v>
      </c>
      <c r="P530" s="426">
        <f t="shared" si="76"/>
        <v>3.9330730595677328E-2</v>
      </c>
      <c r="Q530" s="926">
        <f t="shared" si="71"/>
        <v>4.7944160596130665E-2</v>
      </c>
      <c r="R530" s="532">
        <f t="shared" si="77"/>
        <v>1.4250927989691629E-2</v>
      </c>
    </row>
    <row r="531" spans="1:18" s="6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339">
        <f t="shared" si="72"/>
        <v>2048.73</v>
      </c>
      <c r="G531" s="404">
        <v>1100</v>
      </c>
      <c r="H531" s="404">
        <v>48</v>
      </c>
      <c r="I531" s="404">
        <v>5000</v>
      </c>
      <c r="J531" s="404">
        <v>43</v>
      </c>
      <c r="K531" s="180">
        <f t="shared" si="73"/>
        <v>5.7526366251198467E-3</v>
      </c>
      <c r="L531" s="180">
        <f t="shared" si="74"/>
        <v>3.0345800988002825E-3</v>
      </c>
      <c r="M531" s="426">
        <f t="shared" si="75"/>
        <v>19.939337084748885</v>
      </c>
      <c r="N531" s="148">
        <f t="shared" si="78"/>
        <v>7.3316942460621659</v>
      </c>
      <c r="O531" s="426">
        <v>7.7127442191812134</v>
      </c>
      <c r="P531" s="426">
        <f t="shared" si="76"/>
        <v>0.56605750606760397</v>
      </c>
      <c r="Q531" s="926">
        <f t="shared" si="71"/>
        <v>0.69002409989640923</v>
      </c>
      <c r="R531" s="532">
        <f t="shared" si="77"/>
        <v>1.7352131835849462E-2</v>
      </c>
    </row>
    <row r="532" spans="1:18" s="6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339">
        <f t="shared" si="72"/>
        <v>2056.27</v>
      </c>
      <c r="G532" s="404">
        <v>1100</v>
      </c>
      <c r="H532" s="404">
        <v>62</v>
      </c>
      <c r="I532" s="404">
        <v>5000</v>
      </c>
      <c r="J532" s="404">
        <v>60</v>
      </c>
      <c r="K532" s="180">
        <f t="shared" si="73"/>
        <v>7.4304889741131346E-3</v>
      </c>
      <c r="L532" s="180">
        <f t="shared" si="74"/>
        <v>4.2342978122794639E-3</v>
      </c>
      <c r="M532" s="426">
        <f t="shared" si="75"/>
        <v>26.468917640607039</v>
      </c>
      <c r="N532" s="148">
        <f t="shared" si="78"/>
        <v>9.7326210164512084</v>
      </c>
      <c r="O532" s="426">
        <v>10.240160621846268</v>
      </c>
      <c r="P532" s="426">
        <f t="shared" si="76"/>
        <v>0.78925123703339328</v>
      </c>
      <c r="Q532" s="926">
        <f t="shared" si="71"/>
        <v>0.96209725794370649</v>
      </c>
      <c r="R532" s="532">
        <f t="shared" si="77"/>
        <v>2.2969235808496892E-2</v>
      </c>
    </row>
    <row r="533" spans="1:18" s="6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339">
        <f t="shared" si="72"/>
        <v>75.900000000000006</v>
      </c>
      <c r="G533" s="404">
        <v>1100</v>
      </c>
      <c r="H533" s="404">
        <v>3</v>
      </c>
      <c r="I533" s="404">
        <v>5000</v>
      </c>
      <c r="J533" s="404">
        <v>2</v>
      </c>
      <c r="K533" s="180">
        <f t="shared" si="73"/>
        <v>3.5953978906999042E-4</v>
      </c>
      <c r="L533" s="180">
        <f t="shared" si="74"/>
        <v>1.4114326040931546E-4</v>
      </c>
      <c r="M533" s="426">
        <f t="shared" si="75"/>
        <v>1.1361149280649774</v>
      </c>
      <c r="N533" s="148">
        <f t="shared" si="78"/>
        <v>0.41774945904949223</v>
      </c>
      <c r="O533" s="426">
        <v>0.43919801753841625</v>
      </c>
      <c r="P533" s="426">
        <f t="shared" si="76"/>
        <v>2.6420231391045993E-2</v>
      </c>
      <c r="Q533" s="926">
        <f t="shared" si="71"/>
        <v>3.2206262065685068E-2</v>
      </c>
      <c r="R533" s="532">
        <f t="shared" si="77"/>
        <v>2.6607149354992511E-2</v>
      </c>
    </row>
    <row r="534" spans="1:18" s="6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339">
        <f t="shared" si="72"/>
        <v>903</v>
      </c>
      <c r="G534" s="146">
        <v>1100</v>
      </c>
      <c r="H534" s="280">
        <v>0</v>
      </c>
      <c r="I534" s="146">
        <v>5000</v>
      </c>
      <c r="J534" s="280">
        <v>12</v>
      </c>
      <c r="K534" s="180">
        <f t="shared" si="73"/>
        <v>0</v>
      </c>
      <c r="L534" s="180">
        <f t="shared" si="74"/>
        <v>8.4685956245589278E-4</v>
      </c>
      <c r="M534" s="426">
        <f t="shared" si="75"/>
        <v>1.92163443895554</v>
      </c>
      <c r="N534" s="150">
        <f t="shared" si="78"/>
        <v>0.70658498320395213</v>
      </c>
      <c r="O534" s="426">
        <v>0.74790102389078483</v>
      </c>
      <c r="P534" s="144">
        <f>K534+L534*184.64*1.08</f>
        <v>0.1688732815808045</v>
      </c>
      <c r="Q534" s="926">
        <f t="shared" si="71"/>
        <v>0.20585653024700071</v>
      </c>
      <c r="R534" s="532">
        <f t="shared" si="77"/>
        <v>3.9257959331462696E-3</v>
      </c>
    </row>
    <row r="535" spans="1:18" s="69" customFormat="1" ht="16.5" thickBot="1">
      <c r="A535" s="171"/>
      <c r="B535" s="171" t="s">
        <v>244</v>
      </c>
      <c r="C535" s="61">
        <f>SUM(C386:C534)</f>
        <v>241054.44000000006</v>
      </c>
      <c r="D535" s="61">
        <f>SUM(D386:D534)</f>
        <v>668.30000000000007</v>
      </c>
      <c r="E535" s="61">
        <f>SUM(E386:E534)</f>
        <v>2149.8700000000003</v>
      </c>
      <c r="F535" s="339">
        <f t="shared" si="72"/>
        <v>243872.61000000004</v>
      </c>
      <c r="G535" s="280">
        <v>1100</v>
      </c>
      <c r="H535" s="280">
        <f>SUM(H384:H534)</f>
        <v>8344</v>
      </c>
      <c r="I535" s="280">
        <v>5000</v>
      </c>
      <c r="J535" s="280">
        <f>SUM(J384:J534)</f>
        <v>14170</v>
      </c>
      <c r="K535" s="180">
        <f>1/8344*H535</f>
        <v>1</v>
      </c>
      <c r="L535" s="180">
        <f>1/14170*J535</f>
        <v>1</v>
      </c>
      <c r="M535" s="426">
        <f>(K535+L535)*2269.13</f>
        <v>4538.26</v>
      </c>
      <c r="N535" s="150">
        <f t="shared" ref="N535:N581" si="79">M535*0.3677</f>
        <v>1668.7182020000002</v>
      </c>
      <c r="O535" s="426">
        <f>SUM(O385:O534)</f>
        <v>587.08190645361503</v>
      </c>
      <c r="P535" s="144">
        <f>K535+L535*184.64*1.08</f>
        <v>200.41120000000001</v>
      </c>
      <c r="Q535" s="926">
        <f t="shared" si="71"/>
        <v>244.30125280000001</v>
      </c>
      <c r="R535" s="532">
        <f t="shared" si="77"/>
        <v>2.8680840002711313E-2</v>
      </c>
    </row>
    <row r="536" spans="1:18" s="209" customFormat="1" ht="16.5" thickBot="1">
      <c r="A536" s="696" t="s">
        <v>245</v>
      </c>
      <c r="B536" s="138"/>
      <c r="C536" s="138"/>
      <c r="D536" s="138"/>
      <c r="E536" s="138"/>
      <c r="F536" s="138"/>
      <c r="G536" s="138"/>
      <c r="H536" s="138"/>
      <c r="I536" s="138"/>
      <c r="J536" s="138"/>
      <c r="K536" s="140"/>
      <c r="L536" s="138"/>
      <c r="M536" s="426"/>
      <c r="N536" s="139"/>
      <c r="O536" s="426">
        <v>0</v>
      </c>
      <c r="P536" s="697">
        <f>K536+L536*184.64</f>
        <v>0</v>
      </c>
      <c r="Q536" s="926">
        <f t="shared" si="71"/>
        <v>0</v>
      </c>
      <c r="R536" s="532" t="e">
        <f t="shared" si="77"/>
        <v>#DIV/0!</v>
      </c>
    </row>
    <row r="537" spans="1:18" s="6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437">
        <f t="shared" ref="F537:F581" si="80">C537+D537+E537</f>
        <v>4713.8</v>
      </c>
      <c r="G537" s="405">
        <v>1100</v>
      </c>
      <c r="H537" s="405">
        <v>0</v>
      </c>
      <c r="I537" s="405">
        <v>5000</v>
      </c>
      <c r="J537" s="405">
        <v>342</v>
      </c>
      <c r="K537" s="701">
        <f t="shared" ref="K537:K600" si="81">1/2353*H537</f>
        <v>0</v>
      </c>
      <c r="L537" s="702">
        <f t="shared" ref="L537:L600" si="82">1/8056*J537</f>
        <v>4.2452830188679243E-2</v>
      </c>
      <c r="M537" s="426">
        <f t="shared" ref="M537:M600" si="83">(K537+L537)*2017.01</f>
        <v>85.627783018867916</v>
      </c>
      <c r="N537" s="426">
        <f t="shared" si="79"/>
        <v>31.485335816037736</v>
      </c>
      <c r="O537" s="426">
        <v>37.082716476991592</v>
      </c>
      <c r="P537" s="426">
        <f t="shared" ref="P537:P600" si="84">K537+L537*184.64</f>
        <v>7.8384905660377351</v>
      </c>
      <c r="Q537" s="926">
        <f t="shared" si="71"/>
        <v>9.5551200000000005</v>
      </c>
      <c r="R537" s="532">
        <f t="shared" si="77"/>
        <v>3.4374459221421141E-2</v>
      </c>
    </row>
    <row r="538" spans="1:18" s="6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438">
        <f t="shared" si="80"/>
        <v>14312.59</v>
      </c>
      <c r="G538" s="404">
        <v>1100</v>
      </c>
      <c r="H538" s="404">
        <v>0</v>
      </c>
      <c r="I538" s="404">
        <v>5000</v>
      </c>
      <c r="J538" s="404">
        <v>504</v>
      </c>
      <c r="K538" s="701">
        <f t="shared" si="81"/>
        <v>0</v>
      </c>
      <c r="L538" s="702">
        <f t="shared" si="82"/>
        <v>6.256206554121152E-2</v>
      </c>
      <c r="M538" s="426">
        <f t="shared" si="83"/>
        <v>126.18831181727904</v>
      </c>
      <c r="N538" s="427">
        <f t="shared" si="79"/>
        <v>46.399442255213508</v>
      </c>
      <c r="O538" s="426">
        <v>54.648213755566559</v>
      </c>
      <c r="P538" s="426">
        <f t="shared" si="84"/>
        <v>11.551459781529294</v>
      </c>
      <c r="Q538" s="926">
        <f t="shared" si="71"/>
        <v>14.081229473684211</v>
      </c>
      <c r="R538" s="532">
        <f t="shared" si="77"/>
        <v>1.6683732826105437E-2</v>
      </c>
    </row>
    <row r="539" spans="1:18" s="6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438">
        <f t="shared" si="80"/>
        <v>4226.7</v>
      </c>
      <c r="G539" s="404">
        <v>1100</v>
      </c>
      <c r="H539" s="404">
        <v>0</v>
      </c>
      <c r="I539" s="404">
        <v>5000</v>
      </c>
      <c r="J539" s="404">
        <v>168</v>
      </c>
      <c r="K539" s="701">
        <f t="shared" si="81"/>
        <v>0</v>
      </c>
      <c r="L539" s="702">
        <f t="shared" si="82"/>
        <v>2.0854021847070504E-2</v>
      </c>
      <c r="M539" s="426">
        <f t="shared" si="83"/>
        <v>42.062770605759681</v>
      </c>
      <c r="N539" s="427">
        <f t="shared" si="79"/>
        <v>15.466480751737835</v>
      </c>
      <c r="O539" s="426">
        <v>18.216071251855517</v>
      </c>
      <c r="P539" s="426">
        <f t="shared" si="84"/>
        <v>3.8504865938430974</v>
      </c>
      <c r="Q539" s="926">
        <f t="shared" si="71"/>
        <v>4.693743157894736</v>
      </c>
      <c r="R539" s="532">
        <f t="shared" si="77"/>
        <v>1.8831667542810262E-2</v>
      </c>
    </row>
    <row r="540" spans="1:18" s="6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438">
        <f t="shared" si="80"/>
        <v>4136.82</v>
      </c>
      <c r="G540" s="404">
        <v>1100</v>
      </c>
      <c r="H540" s="404">
        <v>0</v>
      </c>
      <c r="I540" s="404">
        <v>5000</v>
      </c>
      <c r="J540" s="404">
        <v>168</v>
      </c>
      <c r="K540" s="701">
        <f t="shared" si="81"/>
        <v>0</v>
      </c>
      <c r="L540" s="702">
        <f t="shared" si="82"/>
        <v>2.0854021847070504E-2</v>
      </c>
      <c r="M540" s="426">
        <f t="shared" si="83"/>
        <v>42.062770605759681</v>
      </c>
      <c r="N540" s="427">
        <f t="shared" si="79"/>
        <v>15.466480751737835</v>
      </c>
      <c r="O540" s="426">
        <v>18.216071251855517</v>
      </c>
      <c r="P540" s="426">
        <f t="shared" si="84"/>
        <v>3.8504865938430974</v>
      </c>
      <c r="Q540" s="926">
        <f t="shared" si="71"/>
        <v>4.693743157894736</v>
      </c>
      <c r="R540" s="532">
        <f t="shared" si="77"/>
        <v>1.9240820050956078E-2</v>
      </c>
    </row>
    <row r="541" spans="1:18" s="6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438">
        <f t="shared" si="80"/>
        <v>7984.78</v>
      </c>
      <c r="G541" s="404">
        <v>1100</v>
      </c>
      <c r="H541" s="404">
        <v>0</v>
      </c>
      <c r="I541" s="404">
        <v>5000</v>
      </c>
      <c r="J541" s="404">
        <v>288</v>
      </c>
      <c r="K541" s="701">
        <f t="shared" si="81"/>
        <v>0</v>
      </c>
      <c r="L541" s="702">
        <f t="shared" si="82"/>
        <v>3.574975173783515E-2</v>
      </c>
      <c r="M541" s="426">
        <f t="shared" si="83"/>
        <v>72.107606752730874</v>
      </c>
      <c r="N541" s="427">
        <f t="shared" si="79"/>
        <v>26.513967002979143</v>
      </c>
      <c r="O541" s="426">
        <v>31.227550717466602</v>
      </c>
      <c r="P541" s="426">
        <f t="shared" si="84"/>
        <v>6.6008341608738821</v>
      </c>
      <c r="Q541" s="926">
        <f t="shared" ref="Q541:Q604" si="85">P541*1.219</f>
        <v>8.0464168421052626</v>
      </c>
      <c r="R541" s="532">
        <f t="shared" si="77"/>
        <v>1.7088756187903804E-2</v>
      </c>
    </row>
    <row r="542" spans="1:18" s="6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438">
        <f t="shared" si="80"/>
        <v>4209.92</v>
      </c>
      <c r="G542" s="404">
        <v>1100</v>
      </c>
      <c r="H542" s="404">
        <v>0</v>
      </c>
      <c r="I542" s="404">
        <v>5000</v>
      </c>
      <c r="J542" s="404">
        <v>168</v>
      </c>
      <c r="K542" s="701">
        <f t="shared" si="81"/>
        <v>0</v>
      </c>
      <c r="L542" s="702">
        <f t="shared" si="82"/>
        <v>2.0854021847070504E-2</v>
      </c>
      <c r="M542" s="426">
        <f t="shared" si="83"/>
        <v>42.062770605759681</v>
      </c>
      <c r="N542" s="427">
        <f t="shared" si="79"/>
        <v>15.466480751737835</v>
      </c>
      <c r="O542" s="426">
        <v>18.216071251855517</v>
      </c>
      <c r="P542" s="426">
        <f t="shared" si="84"/>
        <v>3.8504865938430974</v>
      </c>
      <c r="Q542" s="926">
        <f t="shared" si="85"/>
        <v>4.693743157894736</v>
      </c>
      <c r="R542" s="532">
        <f t="shared" si="77"/>
        <v>1.8906727254483724E-2</v>
      </c>
    </row>
    <row r="543" spans="1:18" s="6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438">
        <f t="shared" si="80"/>
        <v>8071.9</v>
      </c>
      <c r="G543" s="404">
        <v>1100</v>
      </c>
      <c r="H543" s="404">
        <v>0</v>
      </c>
      <c r="I543" s="404">
        <v>5000</v>
      </c>
      <c r="J543" s="404">
        <v>288</v>
      </c>
      <c r="K543" s="701">
        <f t="shared" si="81"/>
        <v>0</v>
      </c>
      <c r="L543" s="702">
        <f t="shared" si="82"/>
        <v>3.574975173783515E-2</v>
      </c>
      <c r="M543" s="426">
        <f t="shared" si="83"/>
        <v>72.107606752730874</v>
      </c>
      <c r="N543" s="427">
        <f t="shared" si="79"/>
        <v>26.513967002979143</v>
      </c>
      <c r="O543" s="426">
        <v>31.227550717466602</v>
      </c>
      <c r="P543" s="426">
        <f t="shared" si="84"/>
        <v>6.6008341608738821</v>
      </c>
      <c r="Q543" s="926">
        <f t="shared" si="85"/>
        <v>8.0464168421052626</v>
      </c>
      <c r="R543" s="532">
        <f t="shared" si="77"/>
        <v>1.6904317277722781E-2</v>
      </c>
    </row>
    <row r="544" spans="1:18" s="6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438">
        <f t="shared" si="80"/>
        <v>4461.2</v>
      </c>
      <c r="G544" s="404">
        <v>1100</v>
      </c>
      <c r="H544" s="404">
        <v>0</v>
      </c>
      <c r="I544" s="404">
        <v>5000</v>
      </c>
      <c r="J544" s="404">
        <v>342</v>
      </c>
      <c r="K544" s="701">
        <f t="shared" si="81"/>
        <v>0</v>
      </c>
      <c r="L544" s="702">
        <f t="shared" si="82"/>
        <v>4.2452830188679243E-2</v>
      </c>
      <c r="M544" s="426">
        <f t="shared" si="83"/>
        <v>85.627783018867916</v>
      </c>
      <c r="N544" s="427">
        <f t="shared" si="79"/>
        <v>31.485335816037736</v>
      </c>
      <c r="O544" s="426">
        <v>37.082716476991592</v>
      </c>
      <c r="P544" s="426">
        <f t="shared" si="84"/>
        <v>7.8384905660377351</v>
      </c>
      <c r="Q544" s="926">
        <f t="shared" si="85"/>
        <v>9.5551200000000005</v>
      </c>
      <c r="R544" s="532">
        <f t="shared" si="77"/>
        <v>3.6320793929421454E-2</v>
      </c>
    </row>
    <row r="545" spans="1:18" s="6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438">
        <f t="shared" si="80"/>
        <v>10161.57</v>
      </c>
      <c r="G545" s="404">
        <v>1100</v>
      </c>
      <c r="H545" s="404">
        <v>0</v>
      </c>
      <c r="I545" s="404">
        <v>5000</v>
      </c>
      <c r="J545" s="404">
        <v>360</v>
      </c>
      <c r="K545" s="701">
        <f t="shared" si="81"/>
        <v>0</v>
      </c>
      <c r="L545" s="702">
        <f t="shared" si="82"/>
        <v>4.4687189672293938E-2</v>
      </c>
      <c r="M545" s="426">
        <f t="shared" si="83"/>
        <v>90.134508440913592</v>
      </c>
      <c r="N545" s="427">
        <f t="shared" si="79"/>
        <v>33.142458753723929</v>
      </c>
      <c r="O545" s="426">
        <v>39.034438396833252</v>
      </c>
      <c r="P545" s="426">
        <f t="shared" si="84"/>
        <v>8.2510427010923522</v>
      </c>
      <c r="Q545" s="926">
        <f t="shared" si="85"/>
        <v>10.058021052631577</v>
      </c>
      <c r="R545" s="532">
        <f t="shared" si="77"/>
        <v>1.6785048795861578E-2</v>
      </c>
    </row>
    <row r="546" spans="1:18" s="6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438">
        <f t="shared" si="80"/>
        <v>7889.76</v>
      </c>
      <c r="G546" s="404">
        <v>1100</v>
      </c>
      <c r="H546" s="404">
        <v>0</v>
      </c>
      <c r="I546" s="404">
        <v>5000</v>
      </c>
      <c r="J546" s="404">
        <v>288</v>
      </c>
      <c r="K546" s="701">
        <f t="shared" si="81"/>
        <v>0</v>
      </c>
      <c r="L546" s="702">
        <f t="shared" si="82"/>
        <v>3.574975173783515E-2</v>
      </c>
      <c r="M546" s="426">
        <f t="shared" si="83"/>
        <v>72.107606752730874</v>
      </c>
      <c r="N546" s="427">
        <f t="shared" si="79"/>
        <v>26.513967002979143</v>
      </c>
      <c r="O546" s="426">
        <v>31.227550717466602</v>
      </c>
      <c r="P546" s="426">
        <f t="shared" si="84"/>
        <v>6.6008341608738821</v>
      </c>
      <c r="Q546" s="926">
        <f t="shared" si="85"/>
        <v>8.0464168421052626</v>
      </c>
      <c r="R546" s="532">
        <f t="shared" si="77"/>
        <v>1.7294563920074946E-2</v>
      </c>
    </row>
    <row r="547" spans="1:18" s="6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438">
        <f t="shared" si="80"/>
        <v>7084.55</v>
      </c>
      <c r="G547" s="404">
        <v>1100</v>
      </c>
      <c r="H547" s="404">
        <v>0</v>
      </c>
      <c r="I547" s="404">
        <v>5000</v>
      </c>
      <c r="J547" s="404">
        <v>232</v>
      </c>
      <c r="K547" s="701">
        <f t="shared" si="81"/>
        <v>0</v>
      </c>
      <c r="L547" s="702">
        <f t="shared" si="82"/>
        <v>2.8798411122144985E-2</v>
      </c>
      <c r="M547" s="426">
        <f t="shared" si="83"/>
        <v>58.086683217477656</v>
      </c>
      <c r="N547" s="427">
        <f t="shared" si="79"/>
        <v>21.358473419066534</v>
      </c>
      <c r="O547" s="426">
        <v>25.155526966848093</v>
      </c>
      <c r="P547" s="426">
        <f t="shared" si="84"/>
        <v>5.3173386295928493</v>
      </c>
      <c r="Q547" s="926">
        <f t="shared" si="85"/>
        <v>6.481835789473684</v>
      </c>
      <c r="R547" s="532">
        <f t="shared" si="77"/>
        <v>1.5515173473683598E-2</v>
      </c>
    </row>
    <row r="548" spans="1:18" s="6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438">
        <f t="shared" si="80"/>
        <v>4792.88</v>
      </c>
      <c r="G548" s="404">
        <v>1100</v>
      </c>
      <c r="H548" s="404">
        <v>0</v>
      </c>
      <c r="I548" s="404">
        <v>5000</v>
      </c>
      <c r="J548" s="404">
        <v>160</v>
      </c>
      <c r="K548" s="701">
        <f t="shared" si="81"/>
        <v>0</v>
      </c>
      <c r="L548" s="702">
        <f t="shared" si="82"/>
        <v>1.9860973187686197E-2</v>
      </c>
      <c r="M548" s="426">
        <f t="shared" si="83"/>
        <v>40.059781529294938</v>
      </c>
      <c r="N548" s="427">
        <f t="shared" si="79"/>
        <v>14.72998166832175</v>
      </c>
      <c r="O548" s="426">
        <v>17.348639287481447</v>
      </c>
      <c r="P548" s="426">
        <f t="shared" si="84"/>
        <v>3.6671300893743792</v>
      </c>
      <c r="Q548" s="926">
        <f t="shared" si="85"/>
        <v>4.4702315789473683</v>
      </c>
      <c r="R548" s="532">
        <f t="shared" si="77"/>
        <v>1.5816280101832825E-2</v>
      </c>
    </row>
    <row r="549" spans="1:18" s="6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438">
        <f t="shared" si="80"/>
        <v>4816.47</v>
      </c>
      <c r="G549" s="404">
        <v>1100</v>
      </c>
      <c r="H549" s="404">
        <v>0</v>
      </c>
      <c r="I549" s="404">
        <v>5000</v>
      </c>
      <c r="J549" s="404">
        <v>160</v>
      </c>
      <c r="K549" s="701">
        <f t="shared" si="81"/>
        <v>0</v>
      </c>
      <c r="L549" s="702">
        <f t="shared" si="82"/>
        <v>1.9860973187686197E-2</v>
      </c>
      <c r="M549" s="426">
        <f t="shared" si="83"/>
        <v>40.059781529294938</v>
      </c>
      <c r="N549" s="427">
        <f t="shared" si="79"/>
        <v>14.72998166832175</v>
      </c>
      <c r="O549" s="426">
        <v>17.348639287481447</v>
      </c>
      <c r="P549" s="426">
        <f t="shared" si="84"/>
        <v>3.6671300893743792</v>
      </c>
      <c r="Q549" s="926">
        <f t="shared" si="85"/>
        <v>4.4702315789473683</v>
      </c>
      <c r="R549" s="532">
        <f t="shared" si="77"/>
        <v>1.5738815475747285E-2</v>
      </c>
    </row>
    <row r="550" spans="1:18" s="6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438">
        <f t="shared" si="80"/>
        <v>5818.22</v>
      </c>
      <c r="G550" s="404">
        <v>1100</v>
      </c>
      <c r="H550" s="404">
        <v>0</v>
      </c>
      <c r="I550" s="404">
        <v>5000</v>
      </c>
      <c r="J550" s="404">
        <v>238</v>
      </c>
      <c r="K550" s="701">
        <f t="shared" si="81"/>
        <v>0</v>
      </c>
      <c r="L550" s="702">
        <f t="shared" si="82"/>
        <v>2.9543197616683215E-2</v>
      </c>
      <c r="M550" s="426">
        <f t="shared" si="83"/>
        <v>59.58892502482621</v>
      </c>
      <c r="N550" s="427">
        <f t="shared" si="79"/>
        <v>21.9108477316286</v>
      </c>
      <c r="O550" s="426">
        <v>25.806100940128651</v>
      </c>
      <c r="P550" s="426">
        <f t="shared" si="84"/>
        <v>5.4548560079443886</v>
      </c>
      <c r="Q550" s="926">
        <f t="shared" si="85"/>
        <v>6.6494694736842099</v>
      </c>
      <c r="R550" s="532">
        <f t="shared" si="77"/>
        <v>1.9380623232625759E-2</v>
      </c>
    </row>
    <row r="551" spans="1:18" s="6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438">
        <f t="shared" si="80"/>
        <v>16414.989999999998</v>
      </c>
      <c r="G551" s="404">
        <v>1100</v>
      </c>
      <c r="H551" s="404">
        <v>0</v>
      </c>
      <c r="I551" s="404">
        <v>5000</v>
      </c>
      <c r="J551" s="404">
        <v>512</v>
      </c>
      <c r="K551" s="701">
        <f t="shared" si="81"/>
        <v>0</v>
      </c>
      <c r="L551" s="702">
        <f t="shared" si="82"/>
        <v>6.3555114200595828E-2</v>
      </c>
      <c r="M551" s="426">
        <f t="shared" si="83"/>
        <v>128.1913008937438</v>
      </c>
      <c r="N551" s="427">
        <f t="shared" si="79"/>
        <v>47.1359413386296</v>
      </c>
      <c r="O551" s="426">
        <v>55.515645719940629</v>
      </c>
      <c r="P551" s="426">
        <f t="shared" si="84"/>
        <v>11.734816285998013</v>
      </c>
      <c r="Q551" s="926">
        <f t="shared" si="85"/>
        <v>14.304741052631579</v>
      </c>
      <c r="R551" s="532">
        <f t="shared" si="77"/>
        <v>1.4777816144774506E-2</v>
      </c>
    </row>
    <row r="552" spans="1:18" s="6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438">
        <f t="shared" si="80"/>
        <v>14876.619999999999</v>
      </c>
      <c r="G552" s="404">
        <v>1100</v>
      </c>
      <c r="H552" s="404">
        <v>0</v>
      </c>
      <c r="I552" s="404">
        <v>5000</v>
      </c>
      <c r="J552" s="404">
        <v>512</v>
      </c>
      <c r="K552" s="701">
        <f t="shared" si="81"/>
        <v>0</v>
      </c>
      <c r="L552" s="702">
        <f t="shared" si="82"/>
        <v>6.3555114200595828E-2</v>
      </c>
      <c r="M552" s="426">
        <f t="shared" si="83"/>
        <v>128.1913008937438</v>
      </c>
      <c r="N552" s="427">
        <f t="shared" si="79"/>
        <v>47.1359413386296</v>
      </c>
      <c r="O552" s="426">
        <v>66.618774863928749</v>
      </c>
      <c r="P552" s="426">
        <f t="shared" si="84"/>
        <v>11.734816285998013</v>
      </c>
      <c r="Q552" s="926">
        <f t="shared" si="85"/>
        <v>14.304741052631579</v>
      </c>
      <c r="R552" s="532">
        <f t="shared" si="77"/>
        <v>1.705231654652066E-2</v>
      </c>
    </row>
    <row r="553" spans="1:18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438">
        <f t="shared" si="80"/>
        <v>351.06</v>
      </c>
      <c r="G553" s="404">
        <v>1100</v>
      </c>
      <c r="H553" s="404">
        <v>16</v>
      </c>
      <c r="I553" s="404">
        <v>5000</v>
      </c>
      <c r="J553" s="404">
        <v>12</v>
      </c>
      <c r="K553" s="701">
        <f t="shared" si="81"/>
        <v>6.7998300042498936E-3</v>
      </c>
      <c r="L553" s="702">
        <f t="shared" si="82"/>
        <v>1.4895729890764646E-3</v>
      </c>
      <c r="M553" s="426">
        <f t="shared" si="83"/>
        <v>16.719808731569199</v>
      </c>
      <c r="N553" s="427">
        <f t="shared" si="79"/>
        <v>6.1478736705979946</v>
      </c>
      <c r="O553" s="426">
        <v>8.535918770850536</v>
      </c>
      <c r="P553" s="426">
        <f t="shared" si="84"/>
        <v>0.28183458670732831</v>
      </c>
      <c r="Q553" s="926">
        <f t="shared" si="85"/>
        <v>0.34355636119623323</v>
      </c>
      <c r="R553" s="532">
        <f t="shared" si="77"/>
        <v>9.0256468295234593E-2</v>
      </c>
    </row>
    <row r="554" spans="1:18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438">
        <f t="shared" si="80"/>
        <v>377.1</v>
      </c>
      <c r="G554" s="404">
        <v>1100</v>
      </c>
      <c r="H554" s="404">
        <v>24</v>
      </c>
      <c r="I554" s="404">
        <v>5000</v>
      </c>
      <c r="J554" s="404">
        <v>24</v>
      </c>
      <c r="K554" s="701">
        <f t="shared" si="81"/>
        <v>1.0199745006374841E-2</v>
      </c>
      <c r="L554" s="702">
        <f t="shared" si="82"/>
        <v>2.9791459781529292E-3</v>
      </c>
      <c r="M554" s="426">
        <f t="shared" si="83"/>
        <v>26.581954904702357</v>
      </c>
      <c r="N554" s="427">
        <f t="shared" si="79"/>
        <v>9.774184818459057</v>
      </c>
      <c r="O554" s="426">
        <v>13.584566924212469</v>
      </c>
      <c r="P554" s="426">
        <f t="shared" si="84"/>
        <v>0.56026925841253172</v>
      </c>
      <c r="Q554" s="926">
        <f t="shared" si="85"/>
        <v>0.68296822600487617</v>
      </c>
      <c r="R554" s="532">
        <f t="shared" si="77"/>
        <v>0.13391932088514033</v>
      </c>
    </row>
    <row r="555" spans="1:18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438">
        <f t="shared" si="80"/>
        <v>82.9</v>
      </c>
      <c r="G555" s="404">
        <v>1100</v>
      </c>
      <c r="H555" s="404">
        <v>4</v>
      </c>
      <c r="I555" s="404">
        <v>5000</v>
      </c>
      <c r="J555" s="404">
        <v>4</v>
      </c>
      <c r="K555" s="701">
        <f t="shared" si="81"/>
        <v>1.6999575010624734E-3</v>
      </c>
      <c r="L555" s="702">
        <f t="shared" si="82"/>
        <v>4.965243296921549E-4</v>
      </c>
      <c r="M555" s="426">
        <f t="shared" si="83"/>
        <v>4.4303258174503934</v>
      </c>
      <c r="N555" s="427">
        <f t="shared" si="79"/>
        <v>1.6290308030765097</v>
      </c>
      <c r="O555" s="426">
        <v>2.2640944873687445</v>
      </c>
      <c r="P555" s="426">
        <f t="shared" si="84"/>
        <v>9.3378209735421949E-2</v>
      </c>
      <c r="Q555" s="926">
        <f t="shared" si="85"/>
        <v>0.11382803766747937</v>
      </c>
      <c r="R555" s="532">
        <f t="shared" si="77"/>
        <v>0.10152990732968721</v>
      </c>
    </row>
    <row r="556" spans="1:18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438">
        <f t="shared" si="80"/>
        <v>56.1</v>
      </c>
      <c r="G556" s="404">
        <v>1100</v>
      </c>
      <c r="H556" s="404">
        <v>2</v>
      </c>
      <c r="I556" s="404">
        <v>5000</v>
      </c>
      <c r="J556" s="404">
        <v>2</v>
      </c>
      <c r="K556" s="701">
        <f t="shared" si="81"/>
        <v>8.499787505312367E-4</v>
      </c>
      <c r="L556" s="702">
        <f t="shared" si="82"/>
        <v>2.4826216484607745E-4</v>
      </c>
      <c r="M556" s="426">
        <f t="shared" si="83"/>
        <v>2.2151629087251967</v>
      </c>
      <c r="N556" s="427">
        <f t="shared" si="79"/>
        <v>0.81451540153825486</v>
      </c>
      <c r="O556" s="426">
        <v>1.1320472436843723</v>
      </c>
      <c r="P556" s="426">
        <f t="shared" si="84"/>
        <v>4.6689104867710975E-2</v>
      </c>
      <c r="Q556" s="926">
        <f t="shared" si="85"/>
        <v>5.6914018833739685E-2</v>
      </c>
      <c r="R556" s="532">
        <f t="shared" si="77"/>
        <v>7.5016304078708282E-2</v>
      </c>
    </row>
    <row r="557" spans="1:18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438">
        <f t="shared" si="80"/>
        <v>87</v>
      </c>
      <c r="G557" s="404">
        <v>1100</v>
      </c>
      <c r="H557" s="404">
        <v>4</v>
      </c>
      <c r="I557" s="404">
        <v>5000</v>
      </c>
      <c r="J557" s="404">
        <v>3</v>
      </c>
      <c r="K557" s="701">
        <f t="shared" si="81"/>
        <v>1.6999575010624734E-3</v>
      </c>
      <c r="L557" s="702">
        <f t="shared" si="82"/>
        <v>3.7239324726911615E-4</v>
      </c>
      <c r="M557" s="426">
        <f t="shared" si="83"/>
        <v>4.1799521828922996</v>
      </c>
      <c r="N557" s="427">
        <f t="shared" si="79"/>
        <v>1.5369684176494987</v>
      </c>
      <c r="O557" s="426">
        <v>2.133979692712634</v>
      </c>
      <c r="P557" s="426">
        <f t="shared" si="84"/>
        <v>7.0458646676832076E-2</v>
      </c>
      <c r="Q557" s="926">
        <f t="shared" si="85"/>
        <v>8.5889090299058307E-2</v>
      </c>
      <c r="R557" s="532">
        <f t="shared" si="77"/>
        <v>9.1050102757830625E-2</v>
      </c>
    </row>
    <row r="558" spans="1:18" s="6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438">
        <f t="shared" si="80"/>
        <v>4409.5</v>
      </c>
      <c r="G558" s="404">
        <v>1100</v>
      </c>
      <c r="H558" s="404">
        <v>0</v>
      </c>
      <c r="I558" s="404">
        <v>5000</v>
      </c>
      <c r="J558" s="404">
        <v>342</v>
      </c>
      <c r="K558" s="701">
        <f t="shared" si="81"/>
        <v>0</v>
      </c>
      <c r="L558" s="702">
        <f t="shared" si="82"/>
        <v>4.2452830188679243E-2</v>
      </c>
      <c r="M558" s="426">
        <f t="shared" si="83"/>
        <v>85.627783018867916</v>
      </c>
      <c r="N558" s="427">
        <f t="shared" si="79"/>
        <v>31.485335816037736</v>
      </c>
      <c r="O558" s="426">
        <v>44.499259772389912</v>
      </c>
      <c r="P558" s="426">
        <f t="shared" si="84"/>
        <v>7.8384905660377351</v>
      </c>
      <c r="Q558" s="926">
        <f t="shared" si="85"/>
        <v>9.5551200000000005</v>
      </c>
      <c r="R558" s="532">
        <f t="shared" si="77"/>
        <v>3.8428590355671463E-2</v>
      </c>
    </row>
    <row r="559" spans="1:18" s="6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438">
        <f t="shared" si="80"/>
        <v>354.7</v>
      </c>
      <c r="G559" s="404">
        <v>1100</v>
      </c>
      <c r="H559" s="404">
        <v>16</v>
      </c>
      <c r="I559" s="404">
        <v>5000</v>
      </c>
      <c r="J559" s="404">
        <v>16</v>
      </c>
      <c r="K559" s="701">
        <f t="shared" si="81"/>
        <v>6.7998300042498936E-3</v>
      </c>
      <c r="L559" s="702">
        <f t="shared" si="82"/>
        <v>1.9860973187686196E-3</v>
      </c>
      <c r="M559" s="426">
        <f t="shared" si="83"/>
        <v>17.721303269801574</v>
      </c>
      <c r="N559" s="427">
        <f t="shared" si="79"/>
        <v>6.5161232123060389</v>
      </c>
      <c r="O559" s="426">
        <v>9.0563779494749781</v>
      </c>
      <c r="P559" s="426">
        <f t="shared" si="84"/>
        <v>0.3735128389416878</v>
      </c>
      <c r="Q559" s="926">
        <f t="shared" si="85"/>
        <v>0.45531215066991748</v>
      </c>
      <c r="R559" s="532">
        <f t="shared" si="77"/>
        <v>9.4917725600575931E-2</v>
      </c>
    </row>
    <row r="560" spans="1:18" s="6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438">
        <f t="shared" si="80"/>
        <v>352.4</v>
      </c>
      <c r="G560" s="404">
        <v>1100</v>
      </c>
      <c r="H560" s="404">
        <v>16</v>
      </c>
      <c r="I560" s="404">
        <v>5000</v>
      </c>
      <c r="J560" s="404">
        <v>16</v>
      </c>
      <c r="K560" s="701">
        <f t="shared" si="81"/>
        <v>6.7998300042498936E-3</v>
      </c>
      <c r="L560" s="702">
        <f t="shared" si="82"/>
        <v>1.9860973187686196E-3</v>
      </c>
      <c r="M560" s="426">
        <f t="shared" si="83"/>
        <v>17.721303269801574</v>
      </c>
      <c r="N560" s="427">
        <f t="shared" si="79"/>
        <v>6.5161232123060389</v>
      </c>
      <c r="O560" s="426">
        <v>9.0563779494749781</v>
      </c>
      <c r="P560" s="426">
        <f t="shared" si="84"/>
        <v>0.3735128389416878</v>
      </c>
      <c r="Q560" s="926">
        <f t="shared" si="85"/>
        <v>0.45531215066991748</v>
      </c>
      <c r="R560" s="532">
        <f t="shared" si="77"/>
        <v>9.5537222674586503E-2</v>
      </c>
    </row>
    <row r="561" spans="1:18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438">
        <f t="shared" si="80"/>
        <v>216.7</v>
      </c>
      <c r="G561" s="404">
        <v>1100</v>
      </c>
      <c r="H561" s="404">
        <v>10</v>
      </c>
      <c r="I561" s="404">
        <v>5000</v>
      </c>
      <c r="J561" s="404">
        <v>10</v>
      </c>
      <c r="K561" s="701">
        <f t="shared" si="81"/>
        <v>4.2498937526561833E-3</v>
      </c>
      <c r="L561" s="702">
        <f t="shared" si="82"/>
        <v>1.2413108242303873E-3</v>
      </c>
      <c r="M561" s="426">
        <f t="shared" si="83"/>
        <v>11.075814543625983</v>
      </c>
      <c r="N561" s="427">
        <f t="shared" si="79"/>
        <v>4.0725770076912742</v>
      </c>
      <c r="O561" s="426">
        <v>5.6602362184218622</v>
      </c>
      <c r="P561" s="426">
        <f t="shared" si="84"/>
        <v>0.23344552433855489</v>
      </c>
      <c r="Q561" s="926">
        <f t="shared" si="85"/>
        <v>0.28457009416869844</v>
      </c>
      <c r="R561" s="532">
        <f t="shared" si="77"/>
        <v>9.7102322538429514E-2</v>
      </c>
    </row>
    <row r="562" spans="1:18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438">
        <f t="shared" si="80"/>
        <v>42.7</v>
      </c>
      <c r="G562" s="404">
        <v>1100</v>
      </c>
      <c r="H562" s="404">
        <v>1</v>
      </c>
      <c r="I562" s="404">
        <v>5000</v>
      </c>
      <c r="J562" s="404">
        <v>1</v>
      </c>
      <c r="K562" s="701">
        <f t="shared" si="81"/>
        <v>4.2498937526561835E-4</v>
      </c>
      <c r="L562" s="702">
        <f t="shared" si="82"/>
        <v>1.2413108242303873E-4</v>
      </c>
      <c r="M562" s="426">
        <f t="shared" si="83"/>
        <v>1.1075814543625984</v>
      </c>
      <c r="N562" s="427">
        <f t="shared" si="79"/>
        <v>0.40725770076912743</v>
      </c>
      <c r="O562" s="426">
        <v>0.56602362184218613</v>
      </c>
      <c r="P562" s="426">
        <f t="shared" si="84"/>
        <v>2.3344552433855487E-2</v>
      </c>
      <c r="Q562" s="926">
        <f t="shared" si="85"/>
        <v>2.8457009416869843E-2</v>
      </c>
      <c r="R562" s="532">
        <f t="shared" si="77"/>
        <v>4.9278860173484013E-2</v>
      </c>
    </row>
    <row r="563" spans="1:18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438">
        <f t="shared" si="80"/>
        <v>79.7</v>
      </c>
      <c r="G563" s="404">
        <v>1100</v>
      </c>
      <c r="H563" s="404">
        <v>1</v>
      </c>
      <c r="I563" s="404">
        <v>5000</v>
      </c>
      <c r="J563" s="404">
        <v>1</v>
      </c>
      <c r="K563" s="701">
        <f t="shared" si="81"/>
        <v>4.2498937526561835E-4</v>
      </c>
      <c r="L563" s="702">
        <f t="shared" si="82"/>
        <v>1.2413108242303873E-4</v>
      </c>
      <c r="M563" s="426">
        <f t="shared" si="83"/>
        <v>1.1075814543625984</v>
      </c>
      <c r="N563" s="427">
        <f t="shared" si="79"/>
        <v>0.40725770076912743</v>
      </c>
      <c r="O563" s="426">
        <v>0.56602362184218613</v>
      </c>
      <c r="P563" s="426">
        <f t="shared" si="84"/>
        <v>2.3344552433855487E-2</v>
      </c>
      <c r="Q563" s="926">
        <f t="shared" si="85"/>
        <v>2.8457009416869843E-2</v>
      </c>
      <c r="R563" s="532">
        <f t="shared" si="77"/>
        <v>2.6401597608629451E-2</v>
      </c>
    </row>
    <row r="564" spans="1:18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438">
        <f t="shared" si="80"/>
        <v>23.5</v>
      </c>
      <c r="G564" s="404">
        <v>1100</v>
      </c>
      <c r="H564" s="404">
        <v>1</v>
      </c>
      <c r="I564" s="404">
        <v>5000</v>
      </c>
      <c r="J564" s="404">
        <v>2</v>
      </c>
      <c r="K564" s="701">
        <f t="shared" si="81"/>
        <v>4.2498937526561835E-4</v>
      </c>
      <c r="L564" s="702">
        <f t="shared" si="82"/>
        <v>2.4826216484607745E-4</v>
      </c>
      <c r="M564" s="426">
        <f t="shared" si="83"/>
        <v>1.3579550889206915</v>
      </c>
      <c r="N564" s="427">
        <f t="shared" si="79"/>
        <v>0.49932008619613832</v>
      </c>
      <c r="O564" s="426">
        <v>0.696138416498297</v>
      </c>
      <c r="P564" s="426">
        <f t="shared" si="84"/>
        <v>4.6264115492445357E-2</v>
      </c>
      <c r="Q564" s="926">
        <f t="shared" si="85"/>
        <v>5.6395956785290892E-2</v>
      </c>
      <c r="R564" s="532">
        <f t="shared" si="77"/>
        <v>0.11062458328117329</v>
      </c>
    </row>
    <row r="565" spans="1:18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438">
        <f t="shared" si="80"/>
        <v>29</v>
      </c>
      <c r="G565" s="404">
        <v>1100</v>
      </c>
      <c r="H565" s="404">
        <v>1</v>
      </c>
      <c r="I565" s="404">
        <v>5000</v>
      </c>
      <c r="J565" s="404">
        <v>2</v>
      </c>
      <c r="K565" s="701">
        <f t="shared" si="81"/>
        <v>4.2498937526561835E-4</v>
      </c>
      <c r="L565" s="702">
        <f t="shared" si="82"/>
        <v>2.4826216484607745E-4</v>
      </c>
      <c r="M565" s="426">
        <f t="shared" si="83"/>
        <v>1.3579550889206915</v>
      </c>
      <c r="N565" s="427">
        <f t="shared" si="79"/>
        <v>0.49932008619613832</v>
      </c>
      <c r="O565" s="426">
        <v>0.696138416498297</v>
      </c>
      <c r="P565" s="426">
        <f t="shared" si="84"/>
        <v>4.6264115492445357E-2</v>
      </c>
      <c r="Q565" s="926">
        <f t="shared" si="85"/>
        <v>5.6395956785290892E-2</v>
      </c>
      <c r="R565" s="532">
        <f t="shared" si="77"/>
        <v>8.964405886577835E-2</v>
      </c>
    </row>
    <row r="566" spans="1:18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438">
        <f t="shared" si="80"/>
        <v>84.7</v>
      </c>
      <c r="G566" s="404">
        <v>1100</v>
      </c>
      <c r="H566" s="404">
        <v>4</v>
      </c>
      <c r="I566" s="404">
        <v>5000</v>
      </c>
      <c r="J566" s="404">
        <v>2</v>
      </c>
      <c r="K566" s="701">
        <f t="shared" si="81"/>
        <v>1.6999575010624734E-3</v>
      </c>
      <c r="L566" s="702">
        <f t="shared" si="82"/>
        <v>2.4826216484607745E-4</v>
      </c>
      <c r="M566" s="426">
        <f t="shared" si="83"/>
        <v>3.9295785483342063</v>
      </c>
      <c r="N566" s="427">
        <f t="shared" si="79"/>
        <v>1.4449060322224878</v>
      </c>
      <c r="O566" s="426">
        <v>2.003864898056523</v>
      </c>
      <c r="P566" s="426">
        <f t="shared" si="84"/>
        <v>4.753908361824221E-2</v>
      </c>
      <c r="Q566" s="926">
        <f t="shared" si="85"/>
        <v>5.7950142930637258E-2</v>
      </c>
      <c r="R566" s="532">
        <f t="shared" si="77"/>
        <v>8.7672828361646499E-2</v>
      </c>
    </row>
    <row r="567" spans="1:18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438">
        <f t="shared" si="80"/>
        <v>177.23</v>
      </c>
      <c r="G567" s="404">
        <v>1100</v>
      </c>
      <c r="H567" s="404">
        <v>7</v>
      </c>
      <c r="I567" s="404">
        <v>5000</v>
      </c>
      <c r="J567" s="404">
        <v>5</v>
      </c>
      <c r="K567" s="701">
        <f t="shared" si="81"/>
        <v>2.9749256268593286E-3</v>
      </c>
      <c r="L567" s="702">
        <f t="shared" si="82"/>
        <v>6.2065541211519366E-4</v>
      </c>
      <c r="M567" s="426">
        <f t="shared" si="83"/>
        <v>7.2523229114220005</v>
      </c>
      <c r="N567" s="427">
        <f t="shared" si="79"/>
        <v>2.6666791345298697</v>
      </c>
      <c r="O567" s="426">
        <v>3.7019357635830814</v>
      </c>
      <c r="P567" s="426">
        <f t="shared" si="84"/>
        <v>0.11757274091980868</v>
      </c>
      <c r="Q567" s="926">
        <f t="shared" si="85"/>
        <v>0.14332117118124679</v>
      </c>
      <c r="R567" s="532">
        <f t="shared" si="77"/>
        <v>7.7517974104016035E-2</v>
      </c>
    </row>
    <row r="568" spans="1:18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438">
        <f t="shared" si="80"/>
        <v>108.36</v>
      </c>
      <c r="G568" s="404">
        <v>1100</v>
      </c>
      <c r="H568" s="404">
        <v>0</v>
      </c>
      <c r="I568" s="404">
        <v>5000</v>
      </c>
      <c r="J568" s="404">
        <v>0</v>
      </c>
      <c r="K568" s="701">
        <f t="shared" si="81"/>
        <v>0</v>
      </c>
      <c r="L568" s="702">
        <f t="shared" si="82"/>
        <v>0</v>
      </c>
      <c r="M568" s="426">
        <f t="shared" si="83"/>
        <v>0</v>
      </c>
      <c r="N568" s="427">
        <f t="shared" si="79"/>
        <v>0</v>
      </c>
      <c r="O568" s="426">
        <v>0</v>
      </c>
      <c r="P568" s="426">
        <f t="shared" si="84"/>
        <v>0</v>
      </c>
      <c r="Q568" s="926">
        <f t="shared" si="85"/>
        <v>0</v>
      </c>
      <c r="R568" s="532">
        <f t="shared" si="77"/>
        <v>0</v>
      </c>
    </row>
    <row r="569" spans="1:18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438">
        <f t="shared" si="80"/>
        <v>76.2</v>
      </c>
      <c r="G569" s="404">
        <v>1100</v>
      </c>
      <c r="H569" s="404">
        <v>1</v>
      </c>
      <c r="I569" s="404">
        <v>5000</v>
      </c>
      <c r="J569" s="404">
        <v>1</v>
      </c>
      <c r="K569" s="701">
        <f t="shared" si="81"/>
        <v>4.2498937526561835E-4</v>
      </c>
      <c r="L569" s="702">
        <f t="shared" si="82"/>
        <v>1.2413108242303873E-4</v>
      </c>
      <c r="M569" s="426">
        <f t="shared" si="83"/>
        <v>1.1075814543625984</v>
      </c>
      <c r="N569" s="427">
        <f t="shared" si="79"/>
        <v>0.40725770076912743</v>
      </c>
      <c r="O569" s="426">
        <v>0.56602362184218613</v>
      </c>
      <c r="P569" s="426">
        <f t="shared" si="84"/>
        <v>2.3344552433855487E-2</v>
      </c>
      <c r="Q569" s="926">
        <f t="shared" si="85"/>
        <v>2.8457009416869843E-2</v>
      </c>
      <c r="R569" s="532">
        <f t="shared" si="77"/>
        <v>2.7614269414800097E-2</v>
      </c>
    </row>
    <row r="570" spans="1:18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438">
        <f t="shared" si="80"/>
        <v>98.5</v>
      </c>
      <c r="G570" s="404">
        <v>1100</v>
      </c>
      <c r="H570" s="404">
        <v>2</v>
      </c>
      <c r="I570" s="404">
        <v>5000</v>
      </c>
      <c r="J570" s="404">
        <v>2</v>
      </c>
      <c r="K570" s="701">
        <f t="shared" si="81"/>
        <v>8.499787505312367E-4</v>
      </c>
      <c r="L570" s="702">
        <f t="shared" si="82"/>
        <v>2.4826216484607745E-4</v>
      </c>
      <c r="M570" s="426">
        <f t="shared" si="83"/>
        <v>2.2151629087251967</v>
      </c>
      <c r="N570" s="427">
        <f t="shared" si="79"/>
        <v>0.81451540153825486</v>
      </c>
      <c r="O570" s="426">
        <v>1.1320472436843723</v>
      </c>
      <c r="P570" s="426">
        <f t="shared" si="84"/>
        <v>4.6689104867710975E-2</v>
      </c>
      <c r="Q570" s="926">
        <f t="shared" si="85"/>
        <v>5.6914018833739685E-2</v>
      </c>
      <c r="R570" s="532">
        <f t="shared" si="77"/>
        <v>4.2725021916908981E-2</v>
      </c>
    </row>
    <row r="571" spans="1:18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438">
        <f t="shared" si="80"/>
        <v>93.4</v>
      </c>
      <c r="G571" s="404">
        <v>1100</v>
      </c>
      <c r="H571" s="404">
        <v>2</v>
      </c>
      <c r="I571" s="404">
        <v>5000</v>
      </c>
      <c r="J571" s="404">
        <v>2</v>
      </c>
      <c r="K571" s="701">
        <f t="shared" si="81"/>
        <v>8.499787505312367E-4</v>
      </c>
      <c r="L571" s="702">
        <f t="shared" si="82"/>
        <v>2.4826216484607745E-4</v>
      </c>
      <c r="M571" s="426">
        <f t="shared" si="83"/>
        <v>2.2151629087251967</v>
      </c>
      <c r="N571" s="427">
        <f t="shared" si="79"/>
        <v>0.81451540153825486</v>
      </c>
      <c r="O571" s="426">
        <v>1.1320472436843723</v>
      </c>
      <c r="P571" s="426">
        <f t="shared" si="84"/>
        <v>4.6689104867710975E-2</v>
      </c>
      <c r="Q571" s="926">
        <f t="shared" si="85"/>
        <v>5.6914018833739685E-2</v>
      </c>
      <c r="R571" s="532">
        <f t="shared" si="77"/>
        <v>4.5057972792457546E-2</v>
      </c>
    </row>
    <row r="572" spans="1:18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438">
        <f t="shared" si="80"/>
        <v>92.7</v>
      </c>
      <c r="G572" s="404">
        <v>1100</v>
      </c>
      <c r="H572" s="404">
        <v>2</v>
      </c>
      <c r="I572" s="404">
        <v>5000</v>
      </c>
      <c r="J572" s="404">
        <v>2</v>
      </c>
      <c r="K572" s="701">
        <f t="shared" si="81"/>
        <v>8.499787505312367E-4</v>
      </c>
      <c r="L572" s="702">
        <f t="shared" si="82"/>
        <v>2.4826216484607745E-4</v>
      </c>
      <c r="M572" s="426">
        <f t="shared" si="83"/>
        <v>2.2151629087251967</v>
      </c>
      <c r="N572" s="427">
        <f t="shared" si="79"/>
        <v>0.81451540153825486</v>
      </c>
      <c r="O572" s="426">
        <v>1.1320472436843723</v>
      </c>
      <c r="P572" s="426">
        <f t="shared" si="84"/>
        <v>4.6689104867710975E-2</v>
      </c>
      <c r="Q572" s="926">
        <f t="shared" si="85"/>
        <v>5.6914018833739685E-2</v>
      </c>
      <c r="R572" s="532">
        <f t="shared" si="77"/>
        <v>4.5398216384202099E-2</v>
      </c>
    </row>
    <row r="573" spans="1:18" s="6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438">
        <f t="shared" si="80"/>
        <v>346.6</v>
      </c>
      <c r="G573" s="404">
        <v>1100</v>
      </c>
      <c r="H573" s="404">
        <v>16</v>
      </c>
      <c r="I573" s="404">
        <v>5000</v>
      </c>
      <c r="J573" s="404">
        <v>16</v>
      </c>
      <c r="K573" s="701">
        <f t="shared" si="81"/>
        <v>6.7998300042498936E-3</v>
      </c>
      <c r="L573" s="702">
        <f t="shared" si="82"/>
        <v>1.9860973187686196E-3</v>
      </c>
      <c r="M573" s="426">
        <f t="shared" si="83"/>
        <v>17.721303269801574</v>
      </c>
      <c r="N573" s="427">
        <f t="shared" si="79"/>
        <v>6.5161232123060389</v>
      </c>
      <c r="O573" s="426">
        <v>9.0563779494749781</v>
      </c>
      <c r="P573" s="426">
        <f t="shared" si="84"/>
        <v>0.3735128389416878</v>
      </c>
      <c r="Q573" s="926">
        <f t="shared" si="85"/>
        <v>0.45531215066991748</v>
      </c>
      <c r="R573" s="532">
        <f t="shared" si="77"/>
        <v>9.7135941346001953E-2</v>
      </c>
    </row>
    <row r="574" spans="1:18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438">
        <f t="shared" si="80"/>
        <v>195</v>
      </c>
      <c r="G574" s="404">
        <v>1100</v>
      </c>
      <c r="H574" s="404">
        <v>5</v>
      </c>
      <c r="I574" s="404">
        <v>5000</v>
      </c>
      <c r="J574" s="404">
        <v>4</v>
      </c>
      <c r="K574" s="701">
        <f t="shared" si="81"/>
        <v>2.1249468763280916E-3</v>
      </c>
      <c r="L574" s="702">
        <f t="shared" si="82"/>
        <v>4.965243296921549E-4</v>
      </c>
      <c r="M574" s="426">
        <f t="shared" si="83"/>
        <v>5.2875336372548976</v>
      </c>
      <c r="N574" s="427">
        <f t="shared" si="79"/>
        <v>1.944226118418626</v>
      </c>
      <c r="O574" s="426">
        <v>2.7000033145548206</v>
      </c>
      <c r="P574" s="426">
        <f t="shared" si="84"/>
        <v>9.3803199110687574E-2</v>
      </c>
      <c r="Q574" s="926">
        <f t="shared" si="85"/>
        <v>0.11434609971592816</v>
      </c>
      <c r="R574" s="532">
        <f t="shared" si="77"/>
        <v>5.1413160355584783E-2</v>
      </c>
    </row>
    <row r="575" spans="1:18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438">
        <f t="shared" si="80"/>
        <v>68.099999999999994</v>
      </c>
      <c r="G575" s="404">
        <v>1100</v>
      </c>
      <c r="H575" s="404">
        <v>2</v>
      </c>
      <c r="I575" s="404">
        <v>5000</v>
      </c>
      <c r="J575" s="404">
        <v>1</v>
      </c>
      <c r="K575" s="701">
        <f t="shared" si="81"/>
        <v>8.499787505312367E-4</v>
      </c>
      <c r="L575" s="702">
        <f t="shared" si="82"/>
        <v>1.2413108242303873E-4</v>
      </c>
      <c r="M575" s="426">
        <f t="shared" si="83"/>
        <v>1.9647892741671031</v>
      </c>
      <c r="N575" s="427">
        <f t="shared" si="79"/>
        <v>0.72245301611124391</v>
      </c>
      <c r="O575" s="426">
        <v>1.0019324490282615</v>
      </c>
      <c r="P575" s="426">
        <f t="shared" si="84"/>
        <v>2.3769541809121105E-2</v>
      </c>
      <c r="Q575" s="926">
        <f t="shared" si="85"/>
        <v>2.8975071465318629E-2</v>
      </c>
      <c r="R575" s="532">
        <f t="shared" si="77"/>
        <v>5.4521942453975479E-2</v>
      </c>
    </row>
    <row r="576" spans="1:18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438">
        <f t="shared" si="80"/>
        <v>293.2</v>
      </c>
      <c r="G576" s="404">
        <v>1100</v>
      </c>
      <c r="H576" s="404">
        <v>8</v>
      </c>
      <c r="I576" s="404">
        <v>5000</v>
      </c>
      <c r="J576" s="404">
        <v>5</v>
      </c>
      <c r="K576" s="701">
        <f t="shared" si="81"/>
        <v>3.3999150021249468E-3</v>
      </c>
      <c r="L576" s="702">
        <f t="shared" si="82"/>
        <v>6.2065541211519366E-4</v>
      </c>
      <c r="M576" s="426">
        <f t="shared" si="83"/>
        <v>8.1095307312265064</v>
      </c>
      <c r="N576" s="427">
        <f t="shared" si="79"/>
        <v>2.9818744498719867</v>
      </c>
      <c r="O576" s="426">
        <v>4.1378445907691574</v>
      </c>
      <c r="P576" s="426">
        <f t="shared" si="84"/>
        <v>0.11799773029507429</v>
      </c>
      <c r="Q576" s="926">
        <f t="shared" si="85"/>
        <v>0.14383923322969558</v>
      </c>
      <c r="R576" s="532">
        <f t="shared" si="77"/>
        <v>5.2343954645848317E-2</v>
      </c>
    </row>
    <row r="577" spans="1:18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438">
        <f t="shared" si="80"/>
        <v>95.9</v>
      </c>
      <c r="G577" s="404">
        <v>1100</v>
      </c>
      <c r="H577" s="404">
        <v>4</v>
      </c>
      <c r="I577" s="404">
        <v>5000</v>
      </c>
      <c r="J577" s="404">
        <v>4</v>
      </c>
      <c r="K577" s="701">
        <f t="shared" si="81"/>
        <v>1.6999575010624734E-3</v>
      </c>
      <c r="L577" s="702">
        <f t="shared" si="82"/>
        <v>4.965243296921549E-4</v>
      </c>
      <c r="M577" s="426">
        <f t="shared" si="83"/>
        <v>4.4303258174503934</v>
      </c>
      <c r="N577" s="427">
        <f t="shared" si="79"/>
        <v>1.6290308030765097</v>
      </c>
      <c r="O577" s="426">
        <v>2.2640944873687445</v>
      </c>
      <c r="P577" s="426">
        <f t="shared" si="84"/>
        <v>9.3378209735421949E-2</v>
      </c>
      <c r="Q577" s="926">
        <f t="shared" si="85"/>
        <v>0.11382803766747937</v>
      </c>
      <c r="R577" s="532">
        <f t="shared" si="77"/>
        <v>8.7766729068102914E-2</v>
      </c>
    </row>
    <row r="578" spans="1:18" s="6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438">
        <f t="shared" si="80"/>
        <v>4501</v>
      </c>
      <c r="G578" s="404">
        <v>1100</v>
      </c>
      <c r="H578" s="404">
        <v>0</v>
      </c>
      <c r="I578" s="404">
        <v>5000</v>
      </c>
      <c r="J578" s="404">
        <v>160</v>
      </c>
      <c r="K578" s="701">
        <f t="shared" si="81"/>
        <v>0</v>
      </c>
      <c r="L578" s="702">
        <f t="shared" si="82"/>
        <v>1.9860973187686197E-2</v>
      </c>
      <c r="M578" s="426">
        <f t="shared" si="83"/>
        <v>40.059781529294938</v>
      </c>
      <c r="N578" s="427">
        <f t="shared" si="79"/>
        <v>14.72998166832175</v>
      </c>
      <c r="O578" s="426">
        <v>20.818367144977735</v>
      </c>
      <c r="P578" s="426">
        <f t="shared" si="84"/>
        <v>3.6671300893743792</v>
      </c>
      <c r="Q578" s="926">
        <f t="shared" si="85"/>
        <v>4.4702315789473683</v>
      </c>
      <c r="R578" s="532">
        <f t="shared" si="77"/>
        <v>1.7612810582530284E-2</v>
      </c>
    </row>
    <row r="579" spans="1:18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438">
        <f t="shared" si="80"/>
        <v>195.86</v>
      </c>
      <c r="G579" s="404">
        <v>1100</v>
      </c>
      <c r="H579" s="404">
        <v>3</v>
      </c>
      <c r="I579" s="404">
        <v>5000</v>
      </c>
      <c r="J579" s="404">
        <v>3</v>
      </c>
      <c r="K579" s="701">
        <f t="shared" si="81"/>
        <v>1.2749681257968552E-3</v>
      </c>
      <c r="L579" s="702">
        <f t="shared" si="82"/>
        <v>3.7239324726911615E-4</v>
      </c>
      <c r="M579" s="426">
        <f t="shared" si="83"/>
        <v>3.3227443630877946</v>
      </c>
      <c r="N579" s="427">
        <f t="shared" si="79"/>
        <v>1.2217731023073821</v>
      </c>
      <c r="O579" s="426">
        <v>1.6980708655265586</v>
      </c>
      <c r="P579" s="426">
        <f t="shared" si="84"/>
        <v>7.0033657301566465E-2</v>
      </c>
      <c r="Q579" s="926">
        <f t="shared" si="85"/>
        <v>8.5371028250609521E-2</v>
      </c>
      <c r="R579" s="532">
        <f t="shared" si="77"/>
        <v>3.2230276668147158E-2</v>
      </c>
    </row>
    <row r="580" spans="1:18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438">
        <f t="shared" si="80"/>
        <v>148</v>
      </c>
      <c r="G580" s="404">
        <v>1100</v>
      </c>
      <c r="H580" s="404">
        <v>4</v>
      </c>
      <c r="I580" s="404">
        <v>5000</v>
      </c>
      <c r="J580" s="404">
        <v>4</v>
      </c>
      <c r="K580" s="701">
        <f t="shared" si="81"/>
        <v>1.6999575010624734E-3</v>
      </c>
      <c r="L580" s="702">
        <f t="shared" si="82"/>
        <v>4.965243296921549E-4</v>
      </c>
      <c r="M580" s="426">
        <f t="shared" si="83"/>
        <v>4.4303258174503934</v>
      </c>
      <c r="N580" s="427">
        <f t="shared" si="79"/>
        <v>1.6290308030765097</v>
      </c>
      <c r="O580" s="426">
        <v>2.2640944873687445</v>
      </c>
      <c r="P580" s="426">
        <f t="shared" si="84"/>
        <v>9.3378209735421949E-2</v>
      </c>
      <c r="Q580" s="926">
        <f t="shared" si="85"/>
        <v>0.11382803766747937</v>
      </c>
      <c r="R580" s="532">
        <f t="shared" si="77"/>
        <v>5.6870468362372091E-2</v>
      </c>
    </row>
    <row r="581" spans="1:18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438">
        <f t="shared" si="80"/>
        <v>74.95</v>
      </c>
      <c r="G581" s="404">
        <v>1100</v>
      </c>
      <c r="H581" s="404">
        <v>4</v>
      </c>
      <c r="I581" s="404">
        <v>5000</v>
      </c>
      <c r="J581" s="404">
        <v>4</v>
      </c>
      <c r="K581" s="701">
        <f t="shared" si="81"/>
        <v>1.6999575010624734E-3</v>
      </c>
      <c r="L581" s="702">
        <f t="shared" si="82"/>
        <v>4.965243296921549E-4</v>
      </c>
      <c r="M581" s="426">
        <f t="shared" si="83"/>
        <v>4.4303258174503934</v>
      </c>
      <c r="N581" s="427">
        <f t="shared" si="79"/>
        <v>1.6290308030765097</v>
      </c>
      <c r="O581" s="426">
        <v>2.2640944873687445</v>
      </c>
      <c r="P581" s="426">
        <f t="shared" si="84"/>
        <v>9.3378209735421949E-2</v>
      </c>
      <c r="Q581" s="926">
        <f t="shared" si="85"/>
        <v>0.11382803766747937</v>
      </c>
      <c r="R581" s="532">
        <f t="shared" si="77"/>
        <v>0.11229925707312968</v>
      </c>
    </row>
    <row r="582" spans="1:18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438">
        <f t="shared" ref="F582:F638" si="86">C582+D582+E582</f>
        <v>87.3</v>
      </c>
      <c r="G582" s="404">
        <v>1100</v>
      </c>
      <c r="H582" s="404">
        <v>2</v>
      </c>
      <c r="I582" s="404">
        <v>5000</v>
      </c>
      <c r="J582" s="404">
        <v>2</v>
      </c>
      <c r="K582" s="701">
        <f t="shared" si="81"/>
        <v>8.499787505312367E-4</v>
      </c>
      <c r="L582" s="702">
        <f t="shared" si="82"/>
        <v>2.4826216484607745E-4</v>
      </c>
      <c r="M582" s="426">
        <f t="shared" si="83"/>
        <v>2.2151629087251967</v>
      </c>
      <c r="N582" s="427">
        <f t="shared" ref="N582:N638" si="87">M582*0.3677</f>
        <v>0.81451540153825486</v>
      </c>
      <c r="O582" s="426">
        <v>1.1320472436843723</v>
      </c>
      <c r="P582" s="426">
        <f t="shared" si="84"/>
        <v>4.6689104867710975E-2</v>
      </c>
      <c r="Q582" s="926">
        <f t="shared" si="85"/>
        <v>5.6914018833739685E-2</v>
      </c>
      <c r="R582" s="532">
        <f t="shared" si="77"/>
        <v>4.8206353480132129E-2</v>
      </c>
    </row>
    <row r="583" spans="1:18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438">
        <f t="shared" si="86"/>
        <v>92.6</v>
      </c>
      <c r="G583" s="404">
        <v>1100</v>
      </c>
      <c r="H583" s="404">
        <v>4</v>
      </c>
      <c r="I583" s="404">
        <v>5000</v>
      </c>
      <c r="J583" s="404">
        <v>4</v>
      </c>
      <c r="K583" s="701">
        <f t="shared" si="81"/>
        <v>1.6999575010624734E-3</v>
      </c>
      <c r="L583" s="702">
        <f t="shared" si="82"/>
        <v>4.965243296921549E-4</v>
      </c>
      <c r="M583" s="426">
        <f t="shared" si="83"/>
        <v>4.4303258174503934</v>
      </c>
      <c r="N583" s="427">
        <f t="shared" si="87"/>
        <v>1.6290308030765097</v>
      </c>
      <c r="O583" s="426">
        <v>2.2640944873687445</v>
      </c>
      <c r="P583" s="426">
        <f t="shared" si="84"/>
        <v>9.3378209735421949E-2</v>
      </c>
      <c r="Q583" s="926">
        <f t="shared" si="85"/>
        <v>0.11382803766747937</v>
      </c>
      <c r="R583" s="532">
        <f t="shared" ref="R583:R646" si="88">(P583+O583+N583+M583)/F583</f>
        <v>9.0894485071609826E-2</v>
      </c>
    </row>
    <row r="584" spans="1:18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438">
        <f t="shared" si="86"/>
        <v>110.7</v>
      </c>
      <c r="G584" s="404">
        <v>1100</v>
      </c>
      <c r="H584" s="404">
        <v>1</v>
      </c>
      <c r="I584" s="404">
        <v>5000</v>
      </c>
      <c r="J584" s="404">
        <v>1</v>
      </c>
      <c r="K584" s="701">
        <f t="shared" si="81"/>
        <v>4.2498937526561835E-4</v>
      </c>
      <c r="L584" s="702">
        <f t="shared" si="82"/>
        <v>1.2413108242303873E-4</v>
      </c>
      <c r="M584" s="426">
        <f t="shared" si="83"/>
        <v>1.1075814543625984</v>
      </c>
      <c r="N584" s="427">
        <f t="shared" si="87"/>
        <v>0.40725770076912743</v>
      </c>
      <c r="O584" s="426">
        <v>0.56602362184218613</v>
      </c>
      <c r="P584" s="426">
        <f t="shared" si="84"/>
        <v>2.3344552433855487E-2</v>
      </c>
      <c r="Q584" s="926">
        <f t="shared" si="85"/>
        <v>2.8457009416869843E-2</v>
      </c>
      <c r="R584" s="532">
        <f t="shared" si="88"/>
        <v>1.9008196290946407E-2</v>
      </c>
    </row>
    <row r="585" spans="1:18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438">
        <f t="shared" si="86"/>
        <v>78.7</v>
      </c>
      <c r="G585" s="404">
        <v>1100</v>
      </c>
      <c r="H585" s="404">
        <v>3</v>
      </c>
      <c r="I585" s="404">
        <v>5000</v>
      </c>
      <c r="J585" s="404">
        <v>2</v>
      </c>
      <c r="K585" s="701">
        <f t="shared" si="81"/>
        <v>1.2749681257968552E-3</v>
      </c>
      <c r="L585" s="702">
        <f t="shared" si="82"/>
        <v>2.4826216484607745E-4</v>
      </c>
      <c r="M585" s="426">
        <f t="shared" si="83"/>
        <v>3.0723707285297017</v>
      </c>
      <c r="N585" s="427">
        <f t="shared" si="87"/>
        <v>1.1297107168803715</v>
      </c>
      <c r="O585" s="426">
        <v>1.5679560708704479</v>
      </c>
      <c r="P585" s="426">
        <f t="shared" si="84"/>
        <v>4.7114094242976592E-2</v>
      </c>
      <c r="Q585" s="926">
        <f t="shared" si="85"/>
        <v>5.7432080882188472E-2</v>
      </c>
      <c r="R585" s="532">
        <f t="shared" si="88"/>
        <v>7.3915522370057149E-2</v>
      </c>
    </row>
    <row r="586" spans="1:18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438">
        <f t="shared" si="86"/>
        <v>114</v>
      </c>
      <c r="G586" s="404">
        <v>1100</v>
      </c>
      <c r="H586" s="404">
        <v>3</v>
      </c>
      <c r="I586" s="404">
        <v>5000</v>
      </c>
      <c r="J586" s="404">
        <v>3</v>
      </c>
      <c r="K586" s="701">
        <f t="shared" si="81"/>
        <v>1.2749681257968552E-3</v>
      </c>
      <c r="L586" s="702">
        <f t="shared" si="82"/>
        <v>3.7239324726911615E-4</v>
      </c>
      <c r="M586" s="426">
        <f t="shared" si="83"/>
        <v>3.3227443630877946</v>
      </c>
      <c r="N586" s="427">
        <f t="shared" si="87"/>
        <v>1.2217731023073821</v>
      </c>
      <c r="O586" s="426">
        <v>1.6980708655265586</v>
      </c>
      <c r="P586" s="426">
        <f t="shared" si="84"/>
        <v>7.0033657301566465E-2</v>
      </c>
      <c r="Q586" s="926">
        <f t="shared" si="85"/>
        <v>8.5371028250609521E-2</v>
      </c>
      <c r="R586" s="532">
        <f t="shared" si="88"/>
        <v>5.5373877089678093E-2</v>
      </c>
    </row>
    <row r="587" spans="1:18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438">
        <f t="shared" si="86"/>
        <v>25.1</v>
      </c>
      <c r="G587" s="404">
        <v>1100</v>
      </c>
      <c r="H587" s="404">
        <v>1</v>
      </c>
      <c r="I587" s="404">
        <v>5000</v>
      </c>
      <c r="J587" s="404">
        <v>1</v>
      </c>
      <c r="K587" s="701">
        <f t="shared" si="81"/>
        <v>4.2498937526561835E-4</v>
      </c>
      <c r="L587" s="702">
        <f t="shared" si="82"/>
        <v>1.2413108242303873E-4</v>
      </c>
      <c r="M587" s="426">
        <f t="shared" si="83"/>
        <v>1.1075814543625984</v>
      </c>
      <c r="N587" s="427">
        <f t="shared" si="87"/>
        <v>0.40725770076912743</v>
      </c>
      <c r="O587" s="426">
        <v>0.56602362184218613</v>
      </c>
      <c r="P587" s="426">
        <f t="shared" si="84"/>
        <v>2.3344552433855487E-2</v>
      </c>
      <c r="Q587" s="926">
        <f t="shared" si="85"/>
        <v>2.8457009416869843E-2</v>
      </c>
      <c r="R587" s="532">
        <f t="shared" si="88"/>
        <v>8.3832961330986749E-2</v>
      </c>
    </row>
    <row r="588" spans="1:18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438">
        <f t="shared" si="86"/>
        <v>66.599999999999994</v>
      </c>
      <c r="G588" s="404">
        <v>1100</v>
      </c>
      <c r="H588" s="404">
        <v>1</v>
      </c>
      <c r="I588" s="404">
        <v>5000</v>
      </c>
      <c r="J588" s="404">
        <v>1</v>
      </c>
      <c r="K588" s="701">
        <f t="shared" si="81"/>
        <v>4.2498937526561835E-4</v>
      </c>
      <c r="L588" s="702">
        <f t="shared" si="82"/>
        <v>1.2413108242303873E-4</v>
      </c>
      <c r="M588" s="426">
        <f t="shared" si="83"/>
        <v>1.1075814543625984</v>
      </c>
      <c r="N588" s="427">
        <f t="shared" si="87"/>
        <v>0.40725770076912743</v>
      </c>
      <c r="O588" s="426">
        <v>0.56602362184218613</v>
      </c>
      <c r="P588" s="426">
        <f t="shared" si="84"/>
        <v>2.3344552433855487E-2</v>
      </c>
      <c r="Q588" s="926">
        <f t="shared" si="85"/>
        <v>2.8457009416869843E-2</v>
      </c>
      <c r="R588" s="532">
        <f t="shared" si="88"/>
        <v>3.1594704645762278E-2</v>
      </c>
    </row>
    <row r="589" spans="1:18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438">
        <f t="shared" si="86"/>
        <v>156.4</v>
      </c>
      <c r="G589" s="404">
        <v>1100</v>
      </c>
      <c r="H589" s="404">
        <v>4</v>
      </c>
      <c r="I589" s="404">
        <v>5000</v>
      </c>
      <c r="J589" s="404">
        <v>4</v>
      </c>
      <c r="K589" s="701">
        <f t="shared" si="81"/>
        <v>1.6999575010624734E-3</v>
      </c>
      <c r="L589" s="702">
        <f t="shared" si="82"/>
        <v>4.965243296921549E-4</v>
      </c>
      <c r="M589" s="426">
        <f t="shared" si="83"/>
        <v>4.4303258174503934</v>
      </c>
      <c r="N589" s="427">
        <f t="shared" si="87"/>
        <v>1.6290308030765097</v>
      </c>
      <c r="O589" s="426">
        <v>2.2640944873687445</v>
      </c>
      <c r="P589" s="426">
        <f t="shared" si="84"/>
        <v>9.3378209735421949E-2</v>
      </c>
      <c r="Q589" s="926">
        <f t="shared" si="85"/>
        <v>0.11382803766747937</v>
      </c>
      <c r="R589" s="532">
        <f t="shared" si="88"/>
        <v>5.3816044230377683E-2</v>
      </c>
    </row>
    <row r="590" spans="1:18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438">
        <f t="shared" si="86"/>
        <v>72.7</v>
      </c>
      <c r="G590" s="404">
        <v>1100</v>
      </c>
      <c r="H590" s="404">
        <v>3</v>
      </c>
      <c r="I590" s="404">
        <v>5000</v>
      </c>
      <c r="J590" s="404">
        <v>2</v>
      </c>
      <c r="K590" s="701">
        <f t="shared" si="81"/>
        <v>1.2749681257968552E-3</v>
      </c>
      <c r="L590" s="702">
        <f t="shared" si="82"/>
        <v>2.4826216484607745E-4</v>
      </c>
      <c r="M590" s="426">
        <f t="shared" si="83"/>
        <v>3.0723707285297017</v>
      </c>
      <c r="N590" s="427">
        <f t="shared" si="87"/>
        <v>1.1297107168803715</v>
      </c>
      <c r="O590" s="426">
        <v>1.5679560708704479</v>
      </c>
      <c r="P590" s="426">
        <f t="shared" si="84"/>
        <v>4.7114094242976592E-2</v>
      </c>
      <c r="Q590" s="926">
        <f t="shared" si="85"/>
        <v>5.7432080882188472E-2</v>
      </c>
      <c r="R590" s="532">
        <f t="shared" si="88"/>
        <v>8.0015840584917425E-2</v>
      </c>
    </row>
    <row r="591" spans="1:18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438">
        <f t="shared" si="86"/>
        <v>59.6</v>
      </c>
      <c r="G591" s="404">
        <v>1100</v>
      </c>
      <c r="H591" s="404">
        <v>1</v>
      </c>
      <c r="I591" s="404">
        <v>5000</v>
      </c>
      <c r="J591" s="404">
        <v>1</v>
      </c>
      <c r="K591" s="701">
        <f t="shared" si="81"/>
        <v>4.2498937526561835E-4</v>
      </c>
      <c r="L591" s="702">
        <f t="shared" si="82"/>
        <v>1.2413108242303873E-4</v>
      </c>
      <c r="M591" s="426">
        <f t="shared" si="83"/>
        <v>1.1075814543625984</v>
      </c>
      <c r="N591" s="427">
        <f t="shared" si="87"/>
        <v>0.40725770076912743</v>
      </c>
      <c r="O591" s="426">
        <v>0.56602362184218613</v>
      </c>
      <c r="P591" s="426">
        <f t="shared" si="84"/>
        <v>2.3344552433855487E-2</v>
      </c>
      <c r="Q591" s="926">
        <f t="shared" si="85"/>
        <v>2.8457009416869843E-2</v>
      </c>
      <c r="R591" s="532">
        <f t="shared" si="88"/>
        <v>3.530549210415717E-2</v>
      </c>
    </row>
    <row r="592" spans="1:18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438">
        <f t="shared" si="86"/>
        <v>176</v>
      </c>
      <c r="G592" s="404">
        <v>1100</v>
      </c>
      <c r="H592" s="404">
        <v>14</v>
      </c>
      <c r="I592" s="404">
        <v>5000</v>
      </c>
      <c r="J592" s="404">
        <v>10</v>
      </c>
      <c r="K592" s="701">
        <f t="shared" si="81"/>
        <v>5.9498512537186571E-3</v>
      </c>
      <c r="L592" s="702">
        <f t="shared" si="82"/>
        <v>1.2413108242303873E-3</v>
      </c>
      <c r="M592" s="426">
        <f t="shared" si="83"/>
        <v>14.504645822844001</v>
      </c>
      <c r="N592" s="427">
        <f t="shared" si="87"/>
        <v>5.3333582690597394</v>
      </c>
      <c r="O592" s="426">
        <v>7.4038715271661628</v>
      </c>
      <c r="P592" s="426">
        <f t="shared" si="84"/>
        <v>0.23514548183961737</v>
      </c>
      <c r="Q592" s="926">
        <f t="shared" si="85"/>
        <v>0.28664234236249359</v>
      </c>
      <c r="R592" s="532">
        <f t="shared" si="88"/>
        <v>0.15611943807334955</v>
      </c>
    </row>
    <row r="593" spans="1:18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438">
        <f t="shared" si="86"/>
        <v>149</v>
      </c>
      <c r="G593" s="404">
        <v>1100</v>
      </c>
      <c r="H593" s="404">
        <v>6</v>
      </c>
      <c r="I593" s="404">
        <v>5000</v>
      </c>
      <c r="J593" s="404">
        <v>6</v>
      </c>
      <c r="K593" s="701">
        <f t="shared" si="81"/>
        <v>2.5499362515937103E-3</v>
      </c>
      <c r="L593" s="702">
        <f t="shared" si="82"/>
        <v>7.447864945382323E-4</v>
      </c>
      <c r="M593" s="426">
        <f t="shared" si="83"/>
        <v>6.6454887261755893</v>
      </c>
      <c r="N593" s="427">
        <f t="shared" si="87"/>
        <v>2.4435462046147642</v>
      </c>
      <c r="O593" s="426">
        <v>3.3961417310531172</v>
      </c>
      <c r="P593" s="426">
        <f t="shared" si="84"/>
        <v>0.14006731460313293</v>
      </c>
      <c r="Q593" s="926">
        <f t="shared" si="85"/>
        <v>0.17074205650121904</v>
      </c>
      <c r="R593" s="532">
        <f t="shared" si="88"/>
        <v>8.4733181049977208E-2</v>
      </c>
    </row>
    <row r="594" spans="1:18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438">
        <f t="shared" si="86"/>
        <v>224.8</v>
      </c>
      <c r="G594" s="404">
        <v>1100</v>
      </c>
      <c r="H594" s="404">
        <v>9</v>
      </c>
      <c r="I594" s="404">
        <v>5000</v>
      </c>
      <c r="J594" s="404">
        <v>9</v>
      </c>
      <c r="K594" s="701">
        <f t="shared" si="81"/>
        <v>3.824904377390565E-3</v>
      </c>
      <c r="L594" s="702">
        <f t="shared" si="82"/>
        <v>1.1171797418073484E-3</v>
      </c>
      <c r="M594" s="426">
        <f t="shared" si="83"/>
        <v>9.9682330892633821</v>
      </c>
      <c r="N594" s="427">
        <f t="shared" si="87"/>
        <v>3.6653193069221457</v>
      </c>
      <c r="O594" s="426">
        <v>5.0942125965796761</v>
      </c>
      <c r="P594" s="426">
        <f t="shared" si="84"/>
        <v>0.21010097190469937</v>
      </c>
      <c r="Q594" s="926">
        <f t="shared" si="85"/>
        <v>0.25611308475182853</v>
      </c>
      <c r="R594" s="532">
        <f t="shared" si="88"/>
        <v>8.4243175999421271E-2</v>
      </c>
    </row>
    <row r="595" spans="1:18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438">
        <f t="shared" si="86"/>
        <v>243.4</v>
      </c>
      <c r="G595" s="404">
        <v>1100</v>
      </c>
      <c r="H595" s="404">
        <v>8</v>
      </c>
      <c r="I595" s="404">
        <v>5000</v>
      </c>
      <c r="J595" s="404">
        <v>8</v>
      </c>
      <c r="K595" s="701">
        <f t="shared" si="81"/>
        <v>3.3999150021249468E-3</v>
      </c>
      <c r="L595" s="702">
        <f t="shared" si="82"/>
        <v>9.930486593843098E-4</v>
      </c>
      <c r="M595" s="426">
        <f t="shared" si="83"/>
        <v>8.8606516349007869</v>
      </c>
      <c r="N595" s="427">
        <f t="shared" si="87"/>
        <v>3.2580616061530194</v>
      </c>
      <c r="O595" s="426">
        <v>4.528188974737489</v>
      </c>
      <c r="P595" s="426">
        <f t="shared" si="84"/>
        <v>0.1867564194708439</v>
      </c>
      <c r="Q595" s="926">
        <f t="shared" si="85"/>
        <v>0.22765607533495874</v>
      </c>
      <c r="R595" s="532">
        <f t="shared" si="88"/>
        <v>6.9160470974782826E-2</v>
      </c>
    </row>
    <row r="596" spans="1:18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438">
        <f t="shared" si="86"/>
        <v>169.9</v>
      </c>
      <c r="G596" s="404">
        <v>1100</v>
      </c>
      <c r="H596" s="404">
        <v>6</v>
      </c>
      <c r="I596" s="404">
        <v>5000</v>
      </c>
      <c r="J596" s="404">
        <v>6</v>
      </c>
      <c r="K596" s="701">
        <f t="shared" si="81"/>
        <v>2.5499362515937103E-3</v>
      </c>
      <c r="L596" s="702">
        <f t="shared" si="82"/>
        <v>7.447864945382323E-4</v>
      </c>
      <c r="M596" s="426">
        <f t="shared" si="83"/>
        <v>6.6454887261755893</v>
      </c>
      <c r="N596" s="427">
        <f t="shared" si="87"/>
        <v>2.4435462046147642</v>
      </c>
      <c r="O596" s="426">
        <v>3.3961417310531172</v>
      </c>
      <c r="P596" s="426">
        <f t="shared" si="84"/>
        <v>0.14006731460313293</v>
      </c>
      <c r="Q596" s="926">
        <f t="shared" si="85"/>
        <v>0.17074205650121904</v>
      </c>
      <c r="R596" s="532">
        <f t="shared" si="88"/>
        <v>7.430985271598943E-2</v>
      </c>
    </row>
    <row r="597" spans="1:18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438">
        <f t="shared" si="86"/>
        <v>377.1</v>
      </c>
      <c r="G597" s="404">
        <v>1100</v>
      </c>
      <c r="H597" s="404">
        <v>16</v>
      </c>
      <c r="I597" s="404">
        <v>5000</v>
      </c>
      <c r="J597" s="404">
        <v>16</v>
      </c>
      <c r="K597" s="701">
        <f t="shared" si="81"/>
        <v>6.7998300042498936E-3</v>
      </c>
      <c r="L597" s="702">
        <f t="shared" si="82"/>
        <v>1.9860973187686196E-3</v>
      </c>
      <c r="M597" s="426">
        <f t="shared" si="83"/>
        <v>17.721303269801574</v>
      </c>
      <c r="N597" s="427">
        <f t="shared" si="87"/>
        <v>6.5161232123060389</v>
      </c>
      <c r="O597" s="426">
        <v>9.0563779494749781</v>
      </c>
      <c r="P597" s="426">
        <f t="shared" si="84"/>
        <v>0.3735128389416878</v>
      </c>
      <c r="Q597" s="926">
        <f t="shared" si="85"/>
        <v>0.45531215066991748</v>
      </c>
      <c r="R597" s="532">
        <f t="shared" si="88"/>
        <v>8.9279547256760211E-2</v>
      </c>
    </row>
    <row r="598" spans="1:18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438">
        <f t="shared" si="86"/>
        <v>87.1</v>
      </c>
      <c r="G598" s="404">
        <v>1100</v>
      </c>
      <c r="H598" s="404">
        <v>3</v>
      </c>
      <c r="I598" s="404">
        <v>5000</v>
      </c>
      <c r="J598" s="404">
        <v>1</v>
      </c>
      <c r="K598" s="701">
        <f t="shared" si="81"/>
        <v>1.2749681257968552E-3</v>
      </c>
      <c r="L598" s="702">
        <f t="shared" si="82"/>
        <v>1.2413108242303873E-4</v>
      </c>
      <c r="M598" s="426">
        <f t="shared" si="83"/>
        <v>2.8219970939716079</v>
      </c>
      <c r="N598" s="427">
        <f t="shared" si="87"/>
        <v>1.0376483314533602</v>
      </c>
      <c r="O598" s="426">
        <v>1.4378412762143371</v>
      </c>
      <c r="P598" s="426">
        <f t="shared" si="84"/>
        <v>2.4194531184386726E-2</v>
      </c>
      <c r="Q598" s="926">
        <f t="shared" si="85"/>
        <v>2.9493133513767422E-2</v>
      </c>
      <c r="R598" s="532">
        <f t="shared" si="88"/>
        <v>6.1098521616804728E-2</v>
      </c>
    </row>
    <row r="599" spans="1:18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438">
        <f t="shared" si="86"/>
        <v>348.2</v>
      </c>
      <c r="G599" s="404">
        <v>1100</v>
      </c>
      <c r="H599" s="404">
        <v>16</v>
      </c>
      <c r="I599" s="404">
        <v>5000</v>
      </c>
      <c r="J599" s="404">
        <v>16</v>
      </c>
      <c r="K599" s="701">
        <f t="shared" si="81"/>
        <v>6.7998300042498936E-3</v>
      </c>
      <c r="L599" s="702">
        <f t="shared" si="82"/>
        <v>1.9860973187686196E-3</v>
      </c>
      <c r="M599" s="426">
        <f t="shared" si="83"/>
        <v>17.721303269801574</v>
      </c>
      <c r="N599" s="427">
        <f t="shared" si="87"/>
        <v>6.5161232123060389</v>
      </c>
      <c r="O599" s="426">
        <v>9.0563779494749781</v>
      </c>
      <c r="P599" s="426">
        <f t="shared" si="84"/>
        <v>0.3735128389416878</v>
      </c>
      <c r="Q599" s="926">
        <f t="shared" si="85"/>
        <v>0.45531215066991748</v>
      </c>
      <c r="R599" s="532">
        <f t="shared" si="88"/>
        <v>9.6689595837232287E-2</v>
      </c>
    </row>
    <row r="600" spans="1:18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438">
        <f t="shared" si="86"/>
        <v>227.7</v>
      </c>
      <c r="G600" s="404">
        <v>1100</v>
      </c>
      <c r="H600" s="404">
        <v>14</v>
      </c>
      <c r="I600" s="404">
        <v>5000</v>
      </c>
      <c r="J600" s="404">
        <v>14</v>
      </c>
      <c r="K600" s="701">
        <f t="shared" si="81"/>
        <v>5.9498512537186571E-3</v>
      </c>
      <c r="L600" s="702">
        <f t="shared" si="82"/>
        <v>1.7378351539225421E-3</v>
      </c>
      <c r="M600" s="426">
        <f t="shared" si="83"/>
        <v>15.506140361076376</v>
      </c>
      <c r="N600" s="427">
        <f t="shared" si="87"/>
        <v>5.7016078107677837</v>
      </c>
      <c r="O600" s="426">
        <v>7.9243307057906067</v>
      </c>
      <c r="P600" s="426">
        <f t="shared" si="84"/>
        <v>0.3268237340739768</v>
      </c>
      <c r="Q600" s="926">
        <f t="shared" si="85"/>
        <v>0.39839813183617773</v>
      </c>
      <c r="R600" s="532">
        <f t="shared" si="88"/>
        <v>0.12937594471545344</v>
      </c>
    </row>
    <row r="601" spans="1:18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438">
        <f t="shared" si="86"/>
        <v>409.2</v>
      </c>
      <c r="G601" s="404">
        <v>1100</v>
      </c>
      <c r="H601" s="404">
        <v>16</v>
      </c>
      <c r="I601" s="404">
        <v>5000</v>
      </c>
      <c r="J601" s="404">
        <v>16</v>
      </c>
      <c r="K601" s="701">
        <f t="shared" ref="K601:K664" si="89">1/2353*H601</f>
        <v>6.7998300042498936E-3</v>
      </c>
      <c r="L601" s="702">
        <f t="shared" ref="L601:L664" si="90">1/8056*J601</f>
        <v>1.9860973187686196E-3</v>
      </c>
      <c r="M601" s="426">
        <f t="shared" ref="M601:M664" si="91">(K601+L601)*2017.01</f>
        <v>17.721303269801574</v>
      </c>
      <c r="N601" s="427">
        <f t="shared" si="87"/>
        <v>6.5161232123060389</v>
      </c>
      <c r="O601" s="426">
        <v>9.0563779494749781</v>
      </c>
      <c r="P601" s="426">
        <f t="shared" ref="P601:P664" si="92">K601+L601*184.64</f>
        <v>0.3735128389416878</v>
      </c>
      <c r="Q601" s="926">
        <f t="shared" si="85"/>
        <v>0.45531215066991748</v>
      </c>
      <c r="R601" s="532">
        <f t="shared" si="88"/>
        <v>8.227594640890587E-2</v>
      </c>
    </row>
    <row r="602" spans="1:18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438">
        <f t="shared" si="86"/>
        <v>177.6</v>
      </c>
      <c r="G602" s="404">
        <v>1100</v>
      </c>
      <c r="H602" s="404">
        <v>4</v>
      </c>
      <c r="I602" s="404">
        <v>5000</v>
      </c>
      <c r="J602" s="404">
        <v>5</v>
      </c>
      <c r="K602" s="701">
        <f t="shared" si="89"/>
        <v>1.6999575010624734E-3</v>
      </c>
      <c r="L602" s="702">
        <f t="shared" si="90"/>
        <v>6.2065541211519366E-4</v>
      </c>
      <c r="M602" s="426">
        <f t="shared" si="91"/>
        <v>4.6806994520084855</v>
      </c>
      <c r="N602" s="427">
        <f t="shared" si="87"/>
        <v>1.7210931885035203</v>
      </c>
      <c r="O602" s="426">
        <v>2.3942092820248555</v>
      </c>
      <c r="P602" s="426">
        <f t="shared" si="92"/>
        <v>0.11629777279401182</v>
      </c>
      <c r="Q602" s="926">
        <f t="shared" si="85"/>
        <v>0.14176698503590043</v>
      </c>
      <c r="R602" s="532">
        <f t="shared" si="88"/>
        <v>5.0181867653890051E-2</v>
      </c>
    </row>
    <row r="603" spans="1:18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438">
        <f t="shared" si="86"/>
        <v>383.9</v>
      </c>
      <c r="G603" s="404">
        <v>1100</v>
      </c>
      <c r="H603" s="404">
        <v>16</v>
      </c>
      <c r="I603" s="404">
        <v>5000</v>
      </c>
      <c r="J603" s="404">
        <v>16</v>
      </c>
      <c r="K603" s="701">
        <f t="shared" si="89"/>
        <v>6.7998300042498936E-3</v>
      </c>
      <c r="L603" s="702">
        <f t="shared" si="90"/>
        <v>1.9860973187686196E-3</v>
      </c>
      <c r="M603" s="426">
        <f t="shared" si="91"/>
        <v>17.721303269801574</v>
      </c>
      <c r="N603" s="427">
        <f t="shared" si="87"/>
        <v>6.5161232123060389</v>
      </c>
      <c r="O603" s="426">
        <v>9.0563779494749781</v>
      </c>
      <c r="P603" s="426">
        <f t="shared" si="92"/>
        <v>0.3735128389416878</v>
      </c>
      <c r="Q603" s="926">
        <f t="shared" si="85"/>
        <v>0.45531215066991748</v>
      </c>
      <c r="R603" s="532">
        <f t="shared" si="88"/>
        <v>8.7698143450180469E-2</v>
      </c>
    </row>
    <row r="604" spans="1:18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438">
        <f t="shared" si="86"/>
        <v>123.2</v>
      </c>
      <c r="G604" s="404">
        <v>1100</v>
      </c>
      <c r="H604" s="404">
        <v>5</v>
      </c>
      <c r="I604" s="404">
        <v>5000</v>
      </c>
      <c r="J604" s="404">
        <v>5</v>
      </c>
      <c r="K604" s="701">
        <f t="shared" si="89"/>
        <v>2.1249468763280916E-3</v>
      </c>
      <c r="L604" s="702">
        <f t="shared" si="90"/>
        <v>6.2065541211519366E-4</v>
      </c>
      <c r="M604" s="426">
        <f t="shared" si="91"/>
        <v>5.5379072718129914</v>
      </c>
      <c r="N604" s="427">
        <f t="shared" si="87"/>
        <v>2.0362885038456371</v>
      </c>
      <c r="O604" s="426">
        <v>2.8301181092109311</v>
      </c>
      <c r="P604" s="426">
        <f t="shared" si="92"/>
        <v>0.11672276216927745</v>
      </c>
      <c r="Q604" s="926">
        <f t="shared" si="85"/>
        <v>0.14228504708434922</v>
      </c>
      <c r="R604" s="532">
        <f t="shared" si="88"/>
        <v>8.5398024732458097E-2</v>
      </c>
    </row>
    <row r="605" spans="1:18" s="6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438">
        <f t="shared" si="86"/>
        <v>423.7</v>
      </c>
      <c r="G605" s="404">
        <v>1100</v>
      </c>
      <c r="H605" s="404">
        <v>16</v>
      </c>
      <c r="I605" s="404">
        <v>5000</v>
      </c>
      <c r="J605" s="404">
        <v>16</v>
      </c>
      <c r="K605" s="701">
        <f t="shared" si="89"/>
        <v>6.7998300042498936E-3</v>
      </c>
      <c r="L605" s="702">
        <f t="shared" si="90"/>
        <v>1.9860973187686196E-3</v>
      </c>
      <c r="M605" s="426">
        <f t="shared" si="91"/>
        <v>17.721303269801574</v>
      </c>
      <c r="N605" s="427">
        <f t="shared" si="87"/>
        <v>6.5161232123060389</v>
      </c>
      <c r="O605" s="426">
        <v>9.0563779494749781</v>
      </c>
      <c r="P605" s="426">
        <f t="shared" si="92"/>
        <v>0.3735128389416878</v>
      </c>
      <c r="Q605" s="926">
        <f t="shared" ref="Q605:Q668" si="93">P605*1.219</f>
        <v>0.45531215066991748</v>
      </c>
      <c r="R605" s="532">
        <f t="shared" si="88"/>
        <v>7.9460272056937176E-2</v>
      </c>
    </row>
    <row r="606" spans="1:18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438">
        <f t="shared" si="86"/>
        <v>138.80000000000001</v>
      </c>
      <c r="G606" s="404">
        <v>1100</v>
      </c>
      <c r="H606" s="404">
        <v>13</v>
      </c>
      <c r="I606" s="404">
        <v>5000</v>
      </c>
      <c r="J606" s="404">
        <v>10</v>
      </c>
      <c r="K606" s="701">
        <f t="shared" si="89"/>
        <v>5.5248618784530384E-3</v>
      </c>
      <c r="L606" s="702">
        <f t="shared" si="90"/>
        <v>1.2413108242303873E-3</v>
      </c>
      <c r="M606" s="426">
        <f t="shared" si="91"/>
        <v>13.647438003039497</v>
      </c>
      <c r="N606" s="427">
        <f t="shared" si="87"/>
        <v>5.0181629537176233</v>
      </c>
      <c r="O606" s="426">
        <v>6.9679626999800872</v>
      </c>
      <c r="P606" s="426">
        <f t="shared" si="92"/>
        <v>0.23472049246435173</v>
      </c>
      <c r="Q606" s="926">
        <f t="shared" si="93"/>
        <v>0.2861242803140448</v>
      </c>
      <c r="R606" s="532">
        <f t="shared" si="88"/>
        <v>0.18637092326514088</v>
      </c>
    </row>
    <row r="607" spans="1:18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438">
        <f t="shared" si="86"/>
        <v>341.6</v>
      </c>
      <c r="G607" s="404">
        <v>1100</v>
      </c>
      <c r="H607" s="404">
        <v>3</v>
      </c>
      <c r="I607" s="404">
        <v>5000</v>
      </c>
      <c r="J607" s="404">
        <v>4</v>
      </c>
      <c r="K607" s="701">
        <f t="shared" si="89"/>
        <v>1.2749681257968552E-3</v>
      </c>
      <c r="L607" s="702">
        <f t="shared" si="90"/>
        <v>4.965243296921549E-4</v>
      </c>
      <c r="M607" s="426">
        <f t="shared" si="91"/>
        <v>3.5731179976458884</v>
      </c>
      <c r="N607" s="427">
        <f t="shared" si="87"/>
        <v>1.3138354877343932</v>
      </c>
      <c r="O607" s="426">
        <v>1.8281856601826694</v>
      </c>
      <c r="P607" s="426">
        <f t="shared" si="92"/>
        <v>9.2953220360156338E-2</v>
      </c>
      <c r="Q607" s="926">
        <f t="shared" si="93"/>
        <v>0.11330997561903058</v>
      </c>
      <c r="R607" s="532">
        <f t="shared" si="88"/>
        <v>1.9930012780805348E-2</v>
      </c>
    </row>
    <row r="608" spans="1:18" s="6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438">
        <f t="shared" si="86"/>
        <v>353.3</v>
      </c>
      <c r="G608" s="404">
        <v>1100</v>
      </c>
      <c r="H608" s="404">
        <v>16</v>
      </c>
      <c r="I608" s="404">
        <v>5000</v>
      </c>
      <c r="J608" s="404">
        <v>16</v>
      </c>
      <c r="K608" s="701">
        <f t="shared" si="89"/>
        <v>6.7998300042498936E-3</v>
      </c>
      <c r="L608" s="702">
        <f t="shared" si="90"/>
        <v>1.9860973187686196E-3</v>
      </c>
      <c r="M608" s="426">
        <f t="shared" si="91"/>
        <v>17.721303269801574</v>
      </c>
      <c r="N608" s="427">
        <f t="shared" si="87"/>
        <v>6.5161232123060389</v>
      </c>
      <c r="O608" s="426">
        <v>9.0563779494749781</v>
      </c>
      <c r="P608" s="426">
        <f t="shared" si="92"/>
        <v>0.3735128389416878</v>
      </c>
      <c r="Q608" s="926">
        <f t="shared" si="93"/>
        <v>0.45531215066991748</v>
      </c>
      <c r="R608" s="532">
        <f t="shared" si="88"/>
        <v>9.5293850185463561E-2</v>
      </c>
    </row>
    <row r="609" spans="1:18" s="6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438">
        <f t="shared" si="86"/>
        <v>354.5</v>
      </c>
      <c r="G609" s="404">
        <v>1100</v>
      </c>
      <c r="H609" s="404">
        <v>16</v>
      </c>
      <c r="I609" s="404">
        <v>5000</v>
      </c>
      <c r="J609" s="404">
        <v>16</v>
      </c>
      <c r="K609" s="701">
        <f t="shared" si="89"/>
        <v>6.7998300042498936E-3</v>
      </c>
      <c r="L609" s="702">
        <f t="shared" si="90"/>
        <v>1.9860973187686196E-3</v>
      </c>
      <c r="M609" s="426">
        <f t="shared" si="91"/>
        <v>17.721303269801574</v>
      </c>
      <c r="N609" s="427">
        <f t="shared" si="87"/>
        <v>6.5161232123060389</v>
      </c>
      <c r="O609" s="426">
        <v>9.0563779494749781</v>
      </c>
      <c r="P609" s="426">
        <f t="shared" si="92"/>
        <v>0.3735128389416878</v>
      </c>
      <c r="Q609" s="926">
        <f t="shared" si="93"/>
        <v>0.45531215066991748</v>
      </c>
      <c r="R609" s="532">
        <f t="shared" si="88"/>
        <v>9.497127579837597E-2</v>
      </c>
    </row>
    <row r="610" spans="1:18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438">
        <f t="shared" si="86"/>
        <v>404.4</v>
      </c>
      <c r="G610" s="404">
        <v>1100</v>
      </c>
      <c r="H610" s="404">
        <v>16</v>
      </c>
      <c r="I610" s="404">
        <v>5000</v>
      </c>
      <c r="J610" s="404">
        <v>16</v>
      </c>
      <c r="K610" s="701">
        <f t="shared" si="89"/>
        <v>6.7998300042498936E-3</v>
      </c>
      <c r="L610" s="702">
        <f t="shared" si="90"/>
        <v>1.9860973187686196E-3</v>
      </c>
      <c r="M610" s="426">
        <f t="shared" si="91"/>
        <v>17.721303269801574</v>
      </c>
      <c r="N610" s="427">
        <f t="shared" si="87"/>
        <v>6.5161232123060389</v>
      </c>
      <c r="O610" s="426">
        <v>9.0563779494749781</v>
      </c>
      <c r="P610" s="426">
        <f t="shared" si="92"/>
        <v>0.3735128389416878</v>
      </c>
      <c r="Q610" s="926">
        <f t="shared" si="93"/>
        <v>0.45531215066991748</v>
      </c>
      <c r="R610" s="532">
        <f t="shared" si="88"/>
        <v>8.3252515505747485E-2</v>
      </c>
    </row>
    <row r="611" spans="1:18" s="6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438">
        <f t="shared" si="86"/>
        <v>348.3</v>
      </c>
      <c r="G611" s="404">
        <v>1100</v>
      </c>
      <c r="H611" s="404">
        <v>16</v>
      </c>
      <c r="I611" s="404">
        <v>5000</v>
      </c>
      <c r="J611" s="404">
        <v>16</v>
      </c>
      <c r="K611" s="701">
        <f t="shared" si="89"/>
        <v>6.7998300042498936E-3</v>
      </c>
      <c r="L611" s="702">
        <f t="shared" si="90"/>
        <v>1.9860973187686196E-3</v>
      </c>
      <c r="M611" s="426">
        <f t="shared" si="91"/>
        <v>17.721303269801574</v>
      </c>
      <c r="N611" s="427">
        <f t="shared" si="87"/>
        <v>6.5161232123060389</v>
      </c>
      <c r="O611" s="426">
        <v>9.0563779494749781</v>
      </c>
      <c r="P611" s="426">
        <f t="shared" si="92"/>
        <v>0.3735128389416878</v>
      </c>
      <c r="Q611" s="926">
        <f t="shared" si="93"/>
        <v>0.45531215066991748</v>
      </c>
      <c r="R611" s="532">
        <f t="shared" si="88"/>
        <v>9.6661835402022042E-2</v>
      </c>
    </row>
    <row r="612" spans="1:18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438">
        <f t="shared" si="86"/>
        <v>73.400000000000006</v>
      </c>
      <c r="G612" s="404">
        <v>1100</v>
      </c>
      <c r="H612" s="404">
        <v>4</v>
      </c>
      <c r="I612" s="404">
        <v>5000</v>
      </c>
      <c r="J612" s="404">
        <v>4</v>
      </c>
      <c r="K612" s="701">
        <f t="shared" si="89"/>
        <v>1.6999575010624734E-3</v>
      </c>
      <c r="L612" s="702">
        <f t="shared" si="90"/>
        <v>4.965243296921549E-4</v>
      </c>
      <c r="M612" s="426">
        <f t="shared" si="91"/>
        <v>4.4303258174503934</v>
      </c>
      <c r="N612" s="427">
        <f t="shared" si="87"/>
        <v>1.6290308030765097</v>
      </c>
      <c r="O612" s="426">
        <v>2.2640944873687445</v>
      </c>
      <c r="P612" s="426">
        <f t="shared" si="92"/>
        <v>9.3378209735421949E-2</v>
      </c>
      <c r="Q612" s="926">
        <f t="shared" si="93"/>
        <v>0.11382803766747937</v>
      </c>
      <c r="R612" s="532">
        <f t="shared" si="88"/>
        <v>0.11467069915028705</v>
      </c>
    </row>
    <row r="613" spans="1:18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438">
        <f t="shared" si="86"/>
        <v>117.2</v>
      </c>
      <c r="G613" s="404">
        <v>1100</v>
      </c>
      <c r="H613" s="404">
        <v>4</v>
      </c>
      <c r="I613" s="404">
        <v>5000</v>
      </c>
      <c r="J613" s="404">
        <v>4</v>
      </c>
      <c r="K613" s="701">
        <f t="shared" si="89"/>
        <v>1.6999575010624734E-3</v>
      </c>
      <c r="L613" s="702">
        <f t="shared" si="90"/>
        <v>4.965243296921549E-4</v>
      </c>
      <c r="M613" s="426">
        <f t="shared" si="91"/>
        <v>4.4303258174503934</v>
      </c>
      <c r="N613" s="427">
        <f t="shared" si="87"/>
        <v>1.6290308030765097</v>
      </c>
      <c r="O613" s="426">
        <v>2.2640944873687445</v>
      </c>
      <c r="P613" s="426">
        <f t="shared" si="92"/>
        <v>9.3378209735421949E-2</v>
      </c>
      <c r="Q613" s="926">
        <f t="shared" si="93"/>
        <v>0.11382803766747937</v>
      </c>
      <c r="R613" s="532">
        <f t="shared" si="88"/>
        <v>7.1815949809138815E-2</v>
      </c>
    </row>
    <row r="614" spans="1:18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438">
        <f t="shared" si="86"/>
        <v>65.900000000000006</v>
      </c>
      <c r="G614" s="404">
        <v>1100</v>
      </c>
      <c r="H614" s="404">
        <v>2</v>
      </c>
      <c r="I614" s="404">
        <v>5000</v>
      </c>
      <c r="J614" s="404">
        <v>2</v>
      </c>
      <c r="K614" s="701">
        <f t="shared" si="89"/>
        <v>8.499787505312367E-4</v>
      </c>
      <c r="L614" s="702">
        <f t="shared" si="90"/>
        <v>2.4826216484607745E-4</v>
      </c>
      <c r="M614" s="426">
        <f t="shared" si="91"/>
        <v>2.2151629087251967</v>
      </c>
      <c r="N614" s="427">
        <f t="shared" si="87"/>
        <v>0.81451540153825486</v>
      </c>
      <c r="O614" s="426">
        <v>1.1320472436843723</v>
      </c>
      <c r="P614" s="426">
        <f t="shared" si="92"/>
        <v>4.6689104867710975E-2</v>
      </c>
      <c r="Q614" s="926">
        <f t="shared" si="93"/>
        <v>5.6914018833739685E-2</v>
      </c>
      <c r="R614" s="532">
        <f t="shared" si="88"/>
        <v>6.3860616977473972E-2</v>
      </c>
    </row>
    <row r="615" spans="1:18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438">
        <f t="shared" si="86"/>
        <v>212.3</v>
      </c>
      <c r="G615" s="404">
        <v>1100</v>
      </c>
      <c r="H615" s="404">
        <v>6</v>
      </c>
      <c r="I615" s="404">
        <v>5000</v>
      </c>
      <c r="J615" s="404">
        <v>6</v>
      </c>
      <c r="K615" s="701">
        <f t="shared" si="89"/>
        <v>2.5499362515937103E-3</v>
      </c>
      <c r="L615" s="702">
        <f t="shared" si="90"/>
        <v>7.447864945382323E-4</v>
      </c>
      <c r="M615" s="426">
        <f t="shared" si="91"/>
        <v>6.6454887261755893</v>
      </c>
      <c r="N615" s="427">
        <f t="shared" si="87"/>
        <v>2.4435462046147642</v>
      </c>
      <c r="O615" s="426">
        <v>3.3961417310531172</v>
      </c>
      <c r="P615" s="426">
        <f t="shared" si="92"/>
        <v>0.14006731460313293</v>
      </c>
      <c r="Q615" s="926">
        <f t="shared" si="93"/>
        <v>0.17074205650121904</v>
      </c>
      <c r="R615" s="532">
        <f t="shared" si="88"/>
        <v>5.946888354426097E-2</v>
      </c>
    </row>
    <row r="616" spans="1:18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438">
        <f t="shared" si="86"/>
        <v>200.1</v>
      </c>
      <c r="G616" s="404">
        <v>1100</v>
      </c>
      <c r="H616" s="404">
        <v>6</v>
      </c>
      <c r="I616" s="404">
        <v>5000</v>
      </c>
      <c r="J616" s="404">
        <v>6</v>
      </c>
      <c r="K616" s="701">
        <f t="shared" si="89"/>
        <v>2.5499362515937103E-3</v>
      </c>
      <c r="L616" s="702">
        <f t="shared" si="90"/>
        <v>7.447864945382323E-4</v>
      </c>
      <c r="M616" s="426">
        <f t="shared" si="91"/>
        <v>6.6454887261755893</v>
      </c>
      <c r="N616" s="427">
        <f t="shared" si="87"/>
        <v>2.4435462046147642</v>
      </c>
      <c r="O616" s="426">
        <v>3.3961417310531172</v>
      </c>
      <c r="P616" s="426">
        <f t="shared" si="92"/>
        <v>0.14006731460313293</v>
      </c>
      <c r="Q616" s="926">
        <f t="shared" si="93"/>
        <v>0.17074205650121904</v>
      </c>
      <c r="R616" s="532">
        <f t="shared" si="88"/>
        <v>6.3094672545960045E-2</v>
      </c>
    </row>
    <row r="617" spans="1:18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438">
        <f t="shared" si="86"/>
        <v>79.099999999999994</v>
      </c>
      <c r="G617" s="404">
        <v>1100</v>
      </c>
      <c r="H617" s="404">
        <v>2</v>
      </c>
      <c r="I617" s="404">
        <v>5000</v>
      </c>
      <c r="J617" s="404">
        <v>2</v>
      </c>
      <c r="K617" s="701">
        <f t="shared" si="89"/>
        <v>8.499787505312367E-4</v>
      </c>
      <c r="L617" s="702">
        <f t="shared" si="90"/>
        <v>2.4826216484607745E-4</v>
      </c>
      <c r="M617" s="426">
        <f t="shared" si="91"/>
        <v>2.2151629087251967</v>
      </c>
      <c r="N617" s="427">
        <f t="shared" si="87"/>
        <v>0.81451540153825486</v>
      </c>
      <c r="O617" s="426">
        <v>1.1320472436843723</v>
      </c>
      <c r="P617" s="426">
        <f t="shared" si="92"/>
        <v>4.6689104867710975E-2</v>
      </c>
      <c r="Q617" s="926">
        <f t="shared" si="93"/>
        <v>5.6914018833739685E-2</v>
      </c>
      <c r="R617" s="532">
        <f t="shared" si="88"/>
        <v>5.3203725143053542E-2</v>
      </c>
    </row>
    <row r="618" spans="1:18" s="6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438">
        <f t="shared" si="86"/>
        <v>3257.2000000000003</v>
      </c>
      <c r="G618" s="404">
        <v>1100</v>
      </c>
      <c r="H618" s="404">
        <v>0</v>
      </c>
      <c r="I618" s="404">
        <v>5000</v>
      </c>
      <c r="J618" s="404">
        <v>88</v>
      </c>
      <c r="K618" s="701">
        <f t="shared" si="89"/>
        <v>0</v>
      </c>
      <c r="L618" s="702">
        <f t="shared" si="90"/>
        <v>1.0923535253227408E-2</v>
      </c>
      <c r="M618" s="426">
        <f t="shared" si="91"/>
        <v>22.032879841112212</v>
      </c>
      <c r="N618" s="427">
        <f t="shared" si="87"/>
        <v>8.101489917576961</v>
      </c>
      <c r="O618" s="426">
        <v>11.450101929737754</v>
      </c>
      <c r="P618" s="426">
        <f t="shared" si="92"/>
        <v>2.0169215491559083</v>
      </c>
      <c r="Q618" s="926">
        <f t="shared" si="93"/>
        <v>2.4586273684210522</v>
      </c>
      <c r="R618" s="532">
        <f t="shared" si="88"/>
        <v>1.3386157815787433E-2</v>
      </c>
    </row>
    <row r="619" spans="1:18" s="6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438">
        <f t="shared" si="86"/>
        <v>4789.17</v>
      </c>
      <c r="G619" s="404">
        <v>1100</v>
      </c>
      <c r="H619" s="404">
        <v>0</v>
      </c>
      <c r="I619" s="404">
        <v>5000</v>
      </c>
      <c r="J619" s="404">
        <v>160</v>
      </c>
      <c r="K619" s="701">
        <f t="shared" si="89"/>
        <v>0</v>
      </c>
      <c r="L619" s="702">
        <f t="shared" si="90"/>
        <v>1.9860973187686197E-2</v>
      </c>
      <c r="M619" s="426">
        <f t="shared" si="91"/>
        <v>40.059781529294938</v>
      </c>
      <c r="N619" s="427">
        <f t="shared" si="87"/>
        <v>14.72998166832175</v>
      </c>
      <c r="O619" s="426">
        <v>20.818367144977735</v>
      </c>
      <c r="P619" s="426">
        <f t="shared" si="92"/>
        <v>3.6671300893743792</v>
      </c>
      <c r="Q619" s="926">
        <f t="shared" si="93"/>
        <v>4.4702315789473683</v>
      </c>
      <c r="R619" s="532">
        <f t="shared" si="88"/>
        <v>1.6553027023882803E-2</v>
      </c>
    </row>
    <row r="620" spans="1:18" s="6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438">
        <f t="shared" si="86"/>
        <v>6316.36</v>
      </c>
      <c r="G620" s="404">
        <v>1100</v>
      </c>
      <c r="H620" s="404">
        <v>0</v>
      </c>
      <c r="I620" s="404">
        <v>5000</v>
      </c>
      <c r="J620" s="404">
        <v>246</v>
      </c>
      <c r="K620" s="701">
        <f t="shared" si="89"/>
        <v>0</v>
      </c>
      <c r="L620" s="702">
        <f t="shared" si="90"/>
        <v>3.0536246276067526E-2</v>
      </c>
      <c r="M620" s="426">
        <f t="shared" si="91"/>
        <v>61.591914101290961</v>
      </c>
      <c r="N620" s="427">
        <f t="shared" si="87"/>
        <v>22.647346815044688</v>
      </c>
      <c r="O620" s="426">
        <v>32.008239485403266</v>
      </c>
      <c r="P620" s="426">
        <f t="shared" si="92"/>
        <v>5.6382125124131077</v>
      </c>
      <c r="Q620" s="926">
        <f t="shared" si="93"/>
        <v>6.8729810526315784</v>
      </c>
      <c r="R620" s="532">
        <f t="shared" si="88"/>
        <v>1.9296828064605566E-2</v>
      </c>
    </row>
    <row r="621" spans="1:18" s="6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438">
        <f t="shared" si="86"/>
        <v>4812.1099999999997</v>
      </c>
      <c r="G621" s="404">
        <v>1100</v>
      </c>
      <c r="H621" s="404">
        <v>0</v>
      </c>
      <c r="I621" s="404">
        <v>5000</v>
      </c>
      <c r="J621" s="404">
        <v>160</v>
      </c>
      <c r="K621" s="701">
        <f t="shared" si="89"/>
        <v>0</v>
      </c>
      <c r="L621" s="702">
        <f t="shared" si="90"/>
        <v>1.9860973187686197E-2</v>
      </c>
      <c r="M621" s="426">
        <f t="shared" si="91"/>
        <v>40.059781529294938</v>
      </c>
      <c r="N621" s="427">
        <f t="shared" si="87"/>
        <v>14.72998166832175</v>
      </c>
      <c r="O621" s="426">
        <v>20.818367144977735</v>
      </c>
      <c r="P621" s="426">
        <f t="shared" si="92"/>
        <v>3.6671300893743792</v>
      </c>
      <c r="Q621" s="926">
        <f t="shared" si="93"/>
        <v>4.4702315789473683</v>
      </c>
      <c r="R621" s="532">
        <f t="shared" si="88"/>
        <v>1.6474116433740877E-2</v>
      </c>
    </row>
    <row r="622" spans="1:18" s="6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438">
        <f t="shared" si="86"/>
        <v>11145.01</v>
      </c>
      <c r="G622" s="404">
        <v>1100</v>
      </c>
      <c r="H622" s="404">
        <v>0</v>
      </c>
      <c r="I622" s="404">
        <v>5000</v>
      </c>
      <c r="J622" s="404">
        <v>464</v>
      </c>
      <c r="K622" s="701">
        <f t="shared" si="89"/>
        <v>0</v>
      </c>
      <c r="L622" s="702">
        <f t="shared" si="90"/>
        <v>5.7596822244289969E-2</v>
      </c>
      <c r="M622" s="426">
        <f t="shared" si="91"/>
        <v>116.17336643495531</v>
      </c>
      <c r="N622" s="427">
        <f t="shared" si="87"/>
        <v>42.716946838133069</v>
      </c>
      <c r="O622" s="426">
        <v>60.373264720435422</v>
      </c>
      <c r="P622" s="426">
        <f t="shared" si="92"/>
        <v>10.634677259185699</v>
      </c>
      <c r="Q622" s="926">
        <f t="shared" si="93"/>
        <v>12.963671578947368</v>
      </c>
      <c r="R622" s="532">
        <f t="shared" si="88"/>
        <v>2.0627909284308358E-2</v>
      </c>
    </row>
    <row r="623" spans="1:18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438">
        <f t="shared" si="86"/>
        <v>74.5</v>
      </c>
      <c r="G623" s="404">
        <v>1100</v>
      </c>
      <c r="H623" s="404">
        <v>3</v>
      </c>
      <c r="I623" s="404">
        <v>5000</v>
      </c>
      <c r="J623" s="404">
        <v>2</v>
      </c>
      <c r="K623" s="701">
        <f t="shared" si="89"/>
        <v>1.2749681257968552E-3</v>
      </c>
      <c r="L623" s="702">
        <f t="shared" si="90"/>
        <v>2.4826216484607745E-4</v>
      </c>
      <c r="M623" s="426">
        <f t="shared" si="91"/>
        <v>3.0723707285297017</v>
      </c>
      <c r="N623" s="427">
        <f t="shared" si="87"/>
        <v>1.1297107168803715</v>
      </c>
      <c r="O623" s="426">
        <v>1.5679560708704479</v>
      </c>
      <c r="P623" s="426">
        <f t="shared" si="92"/>
        <v>4.7114094242976592E-2</v>
      </c>
      <c r="Q623" s="926">
        <f t="shared" si="93"/>
        <v>5.7432080882188472E-2</v>
      </c>
      <c r="R623" s="532">
        <f t="shared" si="88"/>
        <v>7.8082571953335539E-2</v>
      </c>
    </row>
    <row r="624" spans="1:18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438">
        <f t="shared" si="86"/>
        <v>227.9</v>
      </c>
      <c r="G624" s="404">
        <v>1100</v>
      </c>
      <c r="H624" s="404">
        <v>13</v>
      </c>
      <c r="I624" s="404">
        <v>5000</v>
      </c>
      <c r="J624" s="404">
        <v>6</v>
      </c>
      <c r="K624" s="701">
        <f t="shared" si="89"/>
        <v>5.5248618784530384E-3</v>
      </c>
      <c r="L624" s="702">
        <f t="shared" si="90"/>
        <v>7.447864945382323E-4</v>
      </c>
      <c r="M624" s="426">
        <f t="shared" si="91"/>
        <v>12.645943464807123</v>
      </c>
      <c r="N624" s="427">
        <f t="shared" si="87"/>
        <v>4.64991341200958</v>
      </c>
      <c r="O624" s="426">
        <v>6.4475035213556451</v>
      </c>
      <c r="P624" s="426">
        <f t="shared" si="92"/>
        <v>0.14304224022999223</v>
      </c>
      <c r="Q624" s="926">
        <f t="shared" si="93"/>
        <v>0.17436849084036055</v>
      </c>
      <c r="R624" s="532">
        <f t="shared" si="88"/>
        <v>0.10481089354279219</v>
      </c>
    </row>
    <row r="625" spans="1:18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438">
        <f t="shared" si="86"/>
        <v>374.6</v>
      </c>
      <c r="G625" s="404">
        <v>1100</v>
      </c>
      <c r="H625" s="404">
        <v>16</v>
      </c>
      <c r="I625" s="404">
        <v>5000</v>
      </c>
      <c r="J625" s="404">
        <v>16</v>
      </c>
      <c r="K625" s="701">
        <f t="shared" si="89"/>
        <v>6.7998300042498936E-3</v>
      </c>
      <c r="L625" s="702">
        <f t="shared" si="90"/>
        <v>1.9860973187686196E-3</v>
      </c>
      <c r="M625" s="426">
        <f t="shared" si="91"/>
        <v>17.721303269801574</v>
      </c>
      <c r="N625" s="427">
        <f t="shared" si="87"/>
        <v>6.5161232123060389</v>
      </c>
      <c r="O625" s="426">
        <v>9.0563779494749781</v>
      </c>
      <c r="P625" s="426">
        <f t="shared" si="92"/>
        <v>0.3735128389416878</v>
      </c>
      <c r="Q625" s="926">
        <f t="shared" si="93"/>
        <v>0.45531215066991748</v>
      </c>
      <c r="R625" s="532">
        <f t="shared" si="88"/>
        <v>8.987537979317746E-2</v>
      </c>
    </row>
    <row r="626" spans="1:18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438">
        <f t="shared" si="86"/>
        <v>738.4</v>
      </c>
      <c r="G626" s="404">
        <v>1100</v>
      </c>
      <c r="H626" s="404">
        <v>20</v>
      </c>
      <c r="I626" s="404">
        <v>5000</v>
      </c>
      <c r="J626" s="404">
        <v>0</v>
      </c>
      <c r="K626" s="701">
        <f t="shared" si="89"/>
        <v>8.4997875053123666E-3</v>
      </c>
      <c r="L626" s="702">
        <f t="shared" si="90"/>
        <v>0</v>
      </c>
      <c r="M626" s="426">
        <f t="shared" si="91"/>
        <v>17.144156396090096</v>
      </c>
      <c r="N626" s="427">
        <f t="shared" si="87"/>
        <v>6.3039063068423289</v>
      </c>
      <c r="O626" s="426">
        <v>8.7181765437215084</v>
      </c>
      <c r="P626" s="426">
        <f t="shared" si="92"/>
        <v>8.4997875053123666E-3</v>
      </c>
      <c r="Q626" s="926">
        <f t="shared" si="93"/>
        <v>1.0361240968975775E-2</v>
      </c>
      <c r="R626" s="532">
        <f t="shared" si="88"/>
        <v>4.3573590241277417E-2</v>
      </c>
    </row>
    <row r="627" spans="1:18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438">
        <f t="shared" si="86"/>
        <v>442.3</v>
      </c>
      <c r="G627" s="404">
        <v>1100</v>
      </c>
      <c r="H627" s="404">
        <v>9</v>
      </c>
      <c r="I627" s="404">
        <v>5000</v>
      </c>
      <c r="J627" s="404">
        <v>0</v>
      </c>
      <c r="K627" s="701">
        <f t="shared" si="89"/>
        <v>3.824904377390565E-3</v>
      </c>
      <c r="L627" s="702">
        <f t="shared" si="90"/>
        <v>0</v>
      </c>
      <c r="M627" s="426">
        <f t="shared" si="91"/>
        <v>7.7148703782405432</v>
      </c>
      <c r="N627" s="427">
        <f t="shared" si="87"/>
        <v>2.8367578380790479</v>
      </c>
      <c r="O627" s="426">
        <v>3.9231794446746782</v>
      </c>
      <c r="P627" s="426">
        <f t="shared" si="92"/>
        <v>3.824904377390565E-3</v>
      </c>
      <c r="Q627" s="926">
        <f t="shared" si="93"/>
        <v>4.6625584360390987E-3</v>
      </c>
      <c r="R627" s="532">
        <f t="shared" si="88"/>
        <v>3.2734869015084017E-2</v>
      </c>
    </row>
    <row r="628" spans="1:18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438">
        <f t="shared" si="86"/>
        <v>1043.4000000000001</v>
      </c>
      <c r="G628" s="404">
        <v>1100</v>
      </c>
      <c r="H628" s="404">
        <v>18</v>
      </c>
      <c r="I628" s="404">
        <v>5000</v>
      </c>
      <c r="J628" s="404">
        <v>0</v>
      </c>
      <c r="K628" s="701">
        <f t="shared" si="89"/>
        <v>7.6498087547811301E-3</v>
      </c>
      <c r="L628" s="702">
        <f t="shared" si="90"/>
        <v>0</v>
      </c>
      <c r="M628" s="426">
        <f t="shared" si="91"/>
        <v>15.429740756481086</v>
      </c>
      <c r="N628" s="427">
        <f t="shared" si="87"/>
        <v>5.6735156761580958</v>
      </c>
      <c r="O628" s="426">
        <v>7.8463588893493563</v>
      </c>
      <c r="P628" s="426">
        <f t="shared" si="92"/>
        <v>7.6498087547811301E-3</v>
      </c>
      <c r="Q628" s="926">
        <f t="shared" si="93"/>
        <v>9.3251168720781975E-3</v>
      </c>
      <c r="R628" s="532">
        <f t="shared" si="88"/>
        <v>2.7752793876503083E-2</v>
      </c>
    </row>
    <row r="629" spans="1:18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438">
        <f t="shared" si="86"/>
        <v>473.6</v>
      </c>
      <c r="G629" s="404">
        <v>1100</v>
      </c>
      <c r="H629" s="404">
        <v>14</v>
      </c>
      <c r="I629" s="404">
        <v>5000</v>
      </c>
      <c r="J629" s="404">
        <v>0</v>
      </c>
      <c r="K629" s="701">
        <f t="shared" si="89"/>
        <v>5.9498512537186571E-3</v>
      </c>
      <c r="L629" s="702">
        <f t="shared" si="90"/>
        <v>0</v>
      </c>
      <c r="M629" s="426">
        <f t="shared" si="91"/>
        <v>12.000909477263068</v>
      </c>
      <c r="N629" s="427">
        <f t="shared" si="87"/>
        <v>4.4127344147896306</v>
      </c>
      <c r="O629" s="426">
        <v>6.1027235806050557</v>
      </c>
      <c r="P629" s="426">
        <f t="shared" si="92"/>
        <v>5.9498512537186571E-3</v>
      </c>
      <c r="Q629" s="926">
        <f t="shared" si="93"/>
        <v>7.2528686782830434E-3</v>
      </c>
      <c r="R629" s="532">
        <f t="shared" si="88"/>
        <v>4.7555568673799557E-2</v>
      </c>
    </row>
    <row r="630" spans="1:18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438">
        <f t="shared" si="86"/>
        <v>345.2</v>
      </c>
      <c r="G630" s="404">
        <v>1100</v>
      </c>
      <c r="H630" s="404">
        <v>11</v>
      </c>
      <c r="I630" s="404">
        <v>5000</v>
      </c>
      <c r="J630" s="404">
        <v>0</v>
      </c>
      <c r="K630" s="701">
        <f t="shared" si="89"/>
        <v>4.674883127921802E-3</v>
      </c>
      <c r="L630" s="702">
        <f t="shared" si="90"/>
        <v>0</v>
      </c>
      <c r="M630" s="426">
        <f t="shared" si="91"/>
        <v>9.4292860178495541</v>
      </c>
      <c r="N630" s="427">
        <f t="shared" si="87"/>
        <v>3.4671484687632814</v>
      </c>
      <c r="O630" s="426">
        <v>4.7949970990468289</v>
      </c>
      <c r="P630" s="426">
        <f t="shared" si="92"/>
        <v>4.674883127921802E-3</v>
      </c>
      <c r="Q630" s="926">
        <f t="shared" si="93"/>
        <v>5.6986825329366766E-3</v>
      </c>
      <c r="R630" s="532">
        <f t="shared" si="88"/>
        <v>5.1263344347588599E-2</v>
      </c>
    </row>
    <row r="631" spans="1:18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438">
        <f t="shared" si="86"/>
        <v>864.9</v>
      </c>
      <c r="G631" s="404">
        <v>1100</v>
      </c>
      <c r="H631" s="404">
        <v>20</v>
      </c>
      <c r="I631" s="404">
        <v>5000</v>
      </c>
      <c r="J631" s="404">
        <v>0</v>
      </c>
      <c r="K631" s="701">
        <f t="shared" si="89"/>
        <v>8.4997875053123666E-3</v>
      </c>
      <c r="L631" s="702">
        <f t="shared" si="90"/>
        <v>0</v>
      </c>
      <c r="M631" s="426">
        <f t="shared" si="91"/>
        <v>17.144156396090096</v>
      </c>
      <c r="N631" s="427">
        <f t="shared" si="87"/>
        <v>6.3039063068423289</v>
      </c>
      <c r="O631" s="426">
        <v>8.7181765437215084</v>
      </c>
      <c r="P631" s="426">
        <f t="shared" si="92"/>
        <v>8.4997875053123666E-3</v>
      </c>
      <c r="Q631" s="926">
        <f t="shared" si="93"/>
        <v>1.0361240968975775E-2</v>
      </c>
      <c r="R631" s="532">
        <f t="shared" si="88"/>
        <v>3.7200530736685451E-2</v>
      </c>
    </row>
    <row r="632" spans="1:18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438">
        <f t="shared" si="86"/>
        <v>1116.9000000000001</v>
      </c>
      <c r="G632" s="404">
        <v>1100</v>
      </c>
      <c r="H632" s="404">
        <v>35</v>
      </c>
      <c r="I632" s="404">
        <v>5000</v>
      </c>
      <c r="J632" s="404">
        <v>0</v>
      </c>
      <c r="K632" s="701">
        <f t="shared" si="89"/>
        <v>1.4874628134296642E-2</v>
      </c>
      <c r="L632" s="702">
        <f t="shared" si="90"/>
        <v>0</v>
      </c>
      <c r="M632" s="426">
        <f t="shared" si="91"/>
        <v>30.002273693157669</v>
      </c>
      <c r="N632" s="427">
        <f t="shared" si="87"/>
        <v>11.031836036974076</v>
      </c>
      <c r="O632" s="426">
        <v>15.256808951512639</v>
      </c>
      <c r="P632" s="426">
        <f t="shared" si="92"/>
        <v>1.4874628134296642E-2</v>
      </c>
      <c r="Q632" s="926">
        <f t="shared" si="93"/>
        <v>1.8132171695707609E-2</v>
      </c>
      <c r="R632" s="532">
        <f t="shared" si="88"/>
        <v>5.041256451766378E-2</v>
      </c>
    </row>
    <row r="633" spans="1:18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438">
        <f t="shared" si="86"/>
        <v>506.2</v>
      </c>
      <c r="G633" s="404">
        <v>1100</v>
      </c>
      <c r="H633" s="404">
        <v>17</v>
      </c>
      <c r="I633" s="404">
        <v>5000</v>
      </c>
      <c r="J633" s="404">
        <v>0</v>
      </c>
      <c r="K633" s="701">
        <f t="shared" si="89"/>
        <v>7.2248193795155123E-3</v>
      </c>
      <c r="L633" s="702">
        <f t="shared" si="90"/>
        <v>0</v>
      </c>
      <c r="M633" s="426">
        <f t="shared" si="91"/>
        <v>14.572532936676584</v>
      </c>
      <c r="N633" s="427">
        <f t="shared" si="87"/>
        <v>5.3583203608159806</v>
      </c>
      <c r="O633" s="426">
        <v>7.4104500621632816</v>
      </c>
      <c r="P633" s="426">
        <f t="shared" si="92"/>
        <v>7.2248193795155123E-3</v>
      </c>
      <c r="Q633" s="926">
        <f t="shared" si="93"/>
        <v>8.8070548236294094E-3</v>
      </c>
      <c r="R633" s="532">
        <f t="shared" si="88"/>
        <v>5.4027120069212495E-2</v>
      </c>
    </row>
    <row r="634" spans="1:18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438">
        <f t="shared" si="86"/>
        <v>369.5</v>
      </c>
      <c r="G634" s="404">
        <v>1100</v>
      </c>
      <c r="H634" s="404">
        <v>14</v>
      </c>
      <c r="I634" s="404">
        <v>5000</v>
      </c>
      <c r="J634" s="404">
        <v>0</v>
      </c>
      <c r="K634" s="701">
        <f t="shared" si="89"/>
        <v>5.9498512537186571E-3</v>
      </c>
      <c r="L634" s="702">
        <f t="shared" si="90"/>
        <v>0</v>
      </c>
      <c r="M634" s="426">
        <f t="shared" si="91"/>
        <v>12.000909477263068</v>
      </c>
      <c r="N634" s="427">
        <f t="shared" si="87"/>
        <v>4.4127344147896306</v>
      </c>
      <c r="O634" s="426">
        <v>6.1027235806050557</v>
      </c>
      <c r="P634" s="426">
        <f t="shared" si="92"/>
        <v>5.9498512537186571E-3</v>
      </c>
      <c r="Q634" s="926">
        <f t="shared" si="93"/>
        <v>7.2528686782830434E-3</v>
      </c>
      <c r="R634" s="532">
        <f t="shared" si="88"/>
        <v>6.0953497493671106E-2</v>
      </c>
    </row>
    <row r="635" spans="1:18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438">
        <f t="shared" si="86"/>
        <v>510.1</v>
      </c>
      <c r="G635" s="404">
        <v>1100</v>
      </c>
      <c r="H635" s="404">
        <v>18</v>
      </c>
      <c r="I635" s="404">
        <v>5000</v>
      </c>
      <c r="J635" s="404">
        <v>0</v>
      </c>
      <c r="K635" s="701">
        <f t="shared" si="89"/>
        <v>7.6498087547811301E-3</v>
      </c>
      <c r="L635" s="702">
        <f t="shared" si="90"/>
        <v>0</v>
      </c>
      <c r="M635" s="426">
        <f t="shared" si="91"/>
        <v>15.429740756481086</v>
      </c>
      <c r="N635" s="427">
        <f t="shared" si="87"/>
        <v>5.6735156761580958</v>
      </c>
      <c r="O635" s="426">
        <v>7.8463588893493563</v>
      </c>
      <c r="P635" s="426">
        <f t="shared" si="92"/>
        <v>7.6498087547811301E-3</v>
      </c>
      <c r="Q635" s="926">
        <f t="shared" si="93"/>
        <v>9.3251168720781975E-3</v>
      </c>
      <c r="R635" s="532">
        <f t="shared" si="88"/>
        <v>5.6767820291596389E-2</v>
      </c>
    </row>
    <row r="636" spans="1:18" s="6" customFormat="1" ht="15.75">
      <c r="A636" s="275">
        <v>100</v>
      </c>
      <c r="B636" s="125" t="s">
        <v>1112</v>
      </c>
      <c r="C636" s="790">
        <v>312</v>
      </c>
      <c r="D636" s="790"/>
      <c r="E636" s="790"/>
      <c r="F636" s="438">
        <f t="shared" si="86"/>
        <v>312</v>
      </c>
      <c r="G636" s="404">
        <v>1100</v>
      </c>
      <c r="H636" s="404">
        <v>10</v>
      </c>
      <c r="I636" s="404">
        <v>5000</v>
      </c>
      <c r="J636" s="404">
        <v>0</v>
      </c>
      <c r="K636" s="701">
        <f t="shared" si="89"/>
        <v>4.2498937526561833E-3</v>
      </c>
      <c r="L636" s="702">
        <f t="shared" si="90"/>
        <v>0</v>
      </c>
      <c r="M636" s="426">
        <f t="shared" si="91"/>
        <v>8.5720781980450482</v>
      </c>
      <c r="N636" s="427">
        <f t="shared" si="87"/>
        <v>3.1519531534211644</v>
      </c>
      <c r="O636" s="426">
        <v>4.3590882718607542</v>
      </c>
      <c r="P636" s="426">
        <f t="shared" si="92"/>
        <v>4.2498937526561833E-3</v>
      </c>
      <c r="Q636" s="926">
        <f t="shared" si="93"/>
        <v>5.1806204844878877E-3</v>
      </c>
      <c r="R636" s="532">
        <f t="shared" si="88"/>
        <v>5.156208178551161E-2</v>
      </c>
    </row>
    <row r="637" spans="1:18" s="6" customFormat="1" ht="15.75">
      <c r="A637" s="275">
        <v>101</v>
      </c>
      <c r="B637" s="125" t="s">
        <v>1113</v>
      </c>
      <c r="C637" s="790">
        <v>488.2</v>
      </c>
      <c r="D637" s="790"/>
      <c r="E637" s="790"/>
      <c r="F637" s="438">
        <f t="shared" si="86"/>
        <v>488.2</v>
      </c>
      <c r="G637" s="404">
        <v>1100</v>
      </c>
      <c r="H637" s="404">
        <v>11</v>
      </c>
      <c r="I637" s="404">
        <v>5000</v>
      </c>
      <c r="J637" s="404">
        <v>0</v>
      </c>
      <c r="K637" s="701">
        <f t="shared" si="89"/>
        <v>4.674883127921802E-3</v>
      </c>
      <c r="L637" s="702">
        <f t="shared" si="90"/>
        <v>0</v>
      </c>
      <c r="M637" s="426">
        <f t="shared" si="91"/>
        <v>9.4292860178495541</v>
      </c>
      <c r="N637" s="427">
        <f t="shared" si="87"/>
        <v>3.4671484687632814</v>
      </c>
      <c r="O637" s="426">
        <v>4.7949970990468289</v>
      </c>
      <c r="P637" s="426">
        <f t="shared" si="92"/>
        <v>4.674883127921802E-3</v>
      </c>
      <c r="Q637" s="926">
        <f t="shared" si="93"/>
        <v>5.6986825329366766E-3</v>
      </c>
      <c r="R637" s="532">
        <f t="shared" si="88"/>
        <v>3.6247657658311318E-2</v>
      </c>
    </row>
    <row r="638" spans="1:18" s="6" customFormat="1" ht="15.75">
      <c r="A638" s="275">
        <v>102</v>
      </c>
      <c r="B638" s="125" t="s">
        <v>1114</v>
      </c>
      <c r="C638" s="790">
        <v>223.7</v>
      </c>
      <c r="D638" s="790"/>
      <c r="E638" s="790"/>
      <c r="F638" s="438">
        <f t="shared" si="86"/>
        <v>223.7</v>
      </c>
      <c r="G638" s="404">
        <v>1100</v>
      </c>
      <c r="H638" s="404">
        <v>15</v>
      </c>
      <c r="I638" s="404">
        <v>5000</v>
      </c>
      <c r="J638" s="404">
        <v>0</v>
      </c>
      <c r="K638" s="701">
        <f t="shared" si="89"/>
        <v>6.3748406289842749E-3</v>
      </c>
      <c r="L638" s="702">
        <f t="shared" si="90"/>
        <v>0</v>
      </c>
      <c r="M638" s="426">
        <f t="shared" si="91"/>
        <v>12.858117297067572</v>
      </c>
      <c r="N638" s="427">
        <f t="shared" si="87"/>
        <v>4.7279297301317467</v>
      </c>
      <c r="O638" s="426">
        <v>6.5386324077911304</v>
      </c>
      <c r="P638" s="426">
        <f t="shared" si="92"/>
        <v>6.3748406289842749E-3</v>
      </c>
      <c r="Q638" s="926">
        <f t="shared" si="93"/>
        <v>7.7709307267318315E-3</v>
      </c>
      <c r="R638" s="532">
        <f t="shared" si="88"/>
        <v>0.10787239282798138</v>
      </c>
    </row>
    <row r="639" spans="1:18" s="6" customFormat="1" ht="15.75">
      <c r="A639" s="275">
        <v>103</v>
      </c>
      <c r="B639" s="125" t="s">
        <v>1115</v>
      </c>
      <c r="C639" s="790">
        <v>388.5</v>
      </c>
      <c r="D639" s="790"/>
      <c r="E639" s="790"/>
      <c r="F639" s="438">
        <f t="shared" ref="F639:F697" si="94">C639+D639+E639</f>
        <v>388.5</v>
      </c>
      <c r="G639" s="404">
        <v>1100</v>
      </c>
      <c r="H639" s="404">
        <v>10</v>
      </c>
      <c r="I639" s="404">
        <v>5000</v>
      </c>
      <c r="J639" s="404">
        <v>0</v>
      </c>
      <c r="K639" s="701">
        <f t="shared" si="89"/>
        <v>4.2498937526561833E-3</v>
      </c>
      <c r="L639" s="702">
        <f t="shared" si="90"/>
        <v>0</v>
      </c>
      <c r="M639" s="426">
        <f t="shared" si="91"/>
        <v>8.5720781980450482</v>
      </c>
      <c r="N639" s="427">
        <f t="shared" ref="N639:N697" si="95">M639*0.3677</f>
        <v>3.1519531534211644</v>
      </c>
      <c r="O639" s="426">
        <v>4.3590882718607542</v>
      </c>
      <c r="P639" s="426">
        <f t="shared" si="92"/>
        <v>4.2498937526561833E-3</v>
      </c>
      <c r="Q639" s="926">
        <f t="shared" si="93"/>
        <v>5.1806204844878877E-3</v>
      </c>
      <c r="R639" s="532">
        <f t="shared" si="88"/>
        <v>4.1408930545893494E-2</v>
      </c>
    </row>
    <row r="640" spans="1:18" s="6" customFormat="1" ht="15.75">
      <c r="A640" s="275">
        <v>104</v>
      </c>
      <c r="B640" s="125" t="s">
        <v>1116</v>
      </c>
      <c r="C640" s="790">
        <v>528.32000000000005</v>
      </c>
      <c r="D640" s="790"/>
      <c r="E640" s="790"/>
      <c r="F640" s="438">
        <f t="shared" si="94"/>
        <v>528.32000000000005</v>
      </c>
      <c r="G640" s="404">
        <v>1100</v>
      </c>
      <c r="H640" s="404">
        <v>17</v>
      </c>
      <c r="I640" s="404">
        <v>5000</v>
      </c>
      <c r="J640" s="404">
        <v>0</v>
      </c>
      <c r="K640" s="701">
        <f t="shared" si="89"/>
        <v>7.2248193795155123E-3</v>
      </c>
      <c r="L640" s="702">
        <f t="shared" si="90"/>
        <v>0</v>
      </c>
      <c r="M640" s="426">
        <f t="shared" si="91"/>
        <v>14.572532936676584</v>
      </c>
      <c r="N640" s="427">
        <f t="shared" si="95"/>
        <v>5.3583203608159806</v>
      </c>
      <c r="O640" s="426">
        <v>7.4104500621632816</v>
      </c>
      <c r="P640" s="426">
        <f t="shared" si="92"/>
        <v>7.2248193795155123E-3</v>
      </c>
      <c r="Q640" s="926">
        <f t="shared" si="93"/>
        <v>8.8070548236294094E-3</v>
      </c>
      <c r="R640" s="532">
        <f t="shared" si="88"/>
        <v>5.1765082107501817E-2</v>
      </c>
    </row>
    <row r="641" spans="1:18" s="6" customFormat="1" ht="15.75">
      <c r="A641" s="275">
        <v>105</v>
      </c>
      <c r="B641" s="125" t="s">
        <v>1117</v>
      </c>
      <c r="C641" s="790">
        <v>262.17</v>
      </c>
      <c r="D641" s="790"/>
      <c r="E641" s="790"/>
      <c r="F641" s="438">
        <f t="shared" si="94"/>
        <v>262.17</v>
      </c>
      <c r="G641" s="404">
        <v>1100</v>
      </c>
      <c r="H641" s="404">
        <v>6</v>
      </c>
      <c r="I641" s="404">
        <v>5000</v>
      </c>
      <c r="J641" s="404">
        <v>0</v>
      </c>
      <c r="K641" s="701">
        <f t="shared" si="89"/>
        <v>2.5499362515937103E-3</v>
      </c>
      <c r="L641" s="702">
        <f t="shared" si="90"/>
        <v>0</v>
      </c>
      <c r="M641" s="426">
        <f t="shared" si="91"/>
        <v>5.14324691882703</v>
      </c>
      <c r="N641" s="427">
        <f t="shared" si="95"/>
        <v>1.891171892052699</v>
      </c>
      <c r="O641" s="426">
        <v>2.6154529631164523</v>
      </c>
      <c r="P641" s="426">
        <f t="shared" si="92"/>
        <v>2.5499362515937103E-3</v>
      </c>
      <c r="Q641" s="926">
        <f t="shared" si="93"/>
        <v>3.1083722906927332E-3</v>
      </c>
      <c r="R641" s="532">
        <f t="shared" si="88"/>
        <v>3.68174150751336E-2</v>
      </c>
    </row>
    <row r="642" spans="1:18" s="6" customFormat="1" ht="15.75">
      <c r="A642" s="275">
        <v>106</v>
      </c>
      <c r="B642" s="125" t="s">
        <v>1118</v>
      </c>
      <c r="C642" s="790">
        <v>513.29999999999995</v>
      </c>
      <c r="D642" s="790"/>
      <c r="E642" s="790"/>
      <c r="F642" s="438">
        <f t="shared" si="94"/>
        <v>513.29999999999995</v>
      </c>
      <c r="G642" s="404">
        <v>1100</v>
      </c>
      <c r="H642" s="404">
        <v>18</v>
      </c>
      <c r="I642" s="404">
        <v>5000</v>
      </c>
      <c r="J642" s="404">
        <v>0</v>
      </c>
      <c r="K642" s="701">
        <f t="shared" si="89"/>
        <v>7.6498087547811301E-3</v>
      </c>
      <c r="L642" s="702">
        <f t="shared" si="90"/>
        <v>0</v>
      </c>
      <c r="M642" s="426">
        <f t="shared" si="91"/>
        <v>15.429740756481086</v>
      </c>
      <c r="N642" s="427">
        <f t="shared" si="95"/>
        <v>5.6735156761580958</v>
      </c>
      <c r="O642" s="426">
        <v>7.8463588893493563</v>
      </c>
      <c r="P642" s="426">
        <f t="shared" si="92"/>
        <v>7.6498087547811301E-3</v>
      </c>
      <c r="Q642" s="926">
        <f t="shared" si="93"/>
        <v>9.3251168720781975E-3</v>
      </c>
      <c r="R642" s="532">
        <f t="shared" si="88"/>
        <v>5.6413919989759052E-2</v>
      </c>
    </row>
    <row r="643" spans="1:18" s="6" customFormat="1" ht="15.75">
      <c r="A643" s="275">
        <v>107</v>
      </c>
      <c r="B643" s="125" t="s">
        <v>1119</v>
      </c>
      <c r="C643" s="790">
        <v>577.70000000000005</v>
      </c>
      <c r="D643" s="790"/>
      <c r="E643" s="790"/>
      <c r="F643" s="438">
        <f t="shared" si="94"/>
        <v>577.70000000000005</v>
      </c>
      <c r="G643" s="404">
        <v>1100</v>
      </c>
      <c r="H643" s="404">
        <v>13</v>
      </c>
      <c r="I643" s="404">
        <v>5000</v>
      </c>
      <c r="J643" s="404">
        <v>0</v>
      </c>
      <c r="K643" s="701">
        <f t="shared" si="89"/>
        <v>5.5248618784530384E-3</v>
      </c>
      <c r="L643" s="702">
        <f t="shared" si="90"/>
        <v>0</v>
      </c>
      <c r="M643" s="426">
        <f t="shared" si="91"/>
        <v>11.143701657458562</v>
      </c>
      <c r="N643" s="427">
        <f t="shared" si="95"/>
        <v>4.0975390994475136</v>
      </c>
      <c r="O643" s="426">
        <v>5.6668147534189792</v>
      </c>
      <c r="P643" s="426">
        <f t="shared" si="92"/>
        <v>5.5248618784530384E-3</v>
      </c>
      <c r="Q643" s="926">
        <f t="shared" si="93"/>
        <v>6.7348066298342545E-3</v>
      </c>
      <c r="R643" s="532">
        <f t="shared" si="88"/>
        <v>3.6201454686175361E-2</v>
      </c>
    </row>
    <row r="644" spans="1:18" s="6" customFormat="1" ht="15.75">
      <c r="A644" s="275">
        <v>108</v>
      </c>
      <c r="B644" s="125" t="s">
        <v>1120</v>
      </c>
      <c r="C644" s="790">
        <v>432.4</v>
      </c>
      <c r="D644" s="790"/>
      <c r="E644" s="790"/>
      <c r="F644" s="438">
        <f t="shared" si="94"/>
        <v>432.4</v>
      </c>
      <c r="G644" s="404">
        <v>1100</v>
      </c>
      <c r="H644" s="404">
        <v>16</v>
      </c>
      <c r="I644" s="404">
        <v>5000</v>
      </c>
      <c r="J644" s="404">
        <v>0</v>
      </c>
      <c r="K644" s="701">
        <f t="shared" si="89"/>
        <v>6.7998300042498936E-3</v>
      </c>
      <c r="L644" s="702">
        <f t="shared" si="90"/>
        <v>0</v>
      </c>
      <c r="M644" s="426">
        <f t="shared" si="91"/>
        <v>13.715325116872078</v>
      </c>
      <c r="N644" s="427">
        <f t="shared" si="95"/>
        <v>5.0431250454738636</v>
      </c>
      <c r="O644" s="426">
        <v>6.974541234977206</v>
      </c>
      <c r="P644" s="426">
        <f t="shared" si="92"/>
        <v>6.7998300042498936E-3</v>
      </c>
      <c r="Q644" s="926">
        <f t="shared" si="93"/>
        <v>8.2889927751806213E-3</v>
      </c>
      <c r="R644" s="532">
        <f t="shared" si="88"/>
        <v>5.9527731793079089E-2</v>
      </c>
    </row>
    <row r="645" spans="1:18" s="6" customFormat="1" ht="15.75">
      <c r="A645" s="275">
        <v>109</v>
      </c>
      <c r="B645" s="125" t="s">
        <v>1121</v>
      </c>
      <c r="C645" s="790">
        <v>488.9</v>
      </c>
      <c r="D645" s="790"/>
      <c r="E645" s="790"/>
      <c r="F645" s="438">
        <f t="shared" si="94"/>
        <v>488.9</v>
      </c>
      <c r="G645" s="404">
        <v>1100</v>
      </c>
      <c r="H645" s="404">
        <v>10</v>
      </c>
      <c r="I645" s="404">
        <v>5000</v>
      </c>
      <c r="J645" s="404">
        <v>0</v>
      </c>
      <c r="K645" s="701">
        <f t="shared" si="89"/>
        <v>4.2498937526561833E-3</v>
      </c>
      <c r="L645" s="702">
        <f t="shared" si="90"/>
        <v>0</v>
      </c>
      <c r="M645" s="426">
        <f t="shared" si="91"/>
        <v>8.5720781980450482</v>
      </c>
      <c r="N645" s="427">
        <f t="shared" si="95"/>
        <v>3.1519531534211644</v>
      </c>
      <c r="O645" s="426">
        <v>4.3590882718607542</v>
      </c>
      <c r="P645" s="426">
        <f t="shared" si="92"/>
        <v>4.2498937526561833E-3</v>
      </c>
      <c r="Q645" s="926">
        <f t="shared" si="93"/>
        <v>5.1806204844878877E-3</v>
      </c>
      <c r="R645" s="532">
        <f t="shared" si="88"/>
        <v>3.2905235256861572E-2</v>
      </c>
    </row>
    <row r="646" spans="1:18" s="6" customFormat="1" ht="15.75">
      <c r="A646" s="275">
        <v>110</v>
      </c>
      <c r="B646" s="125" t="s">
        <v>1122</v>
      </c>
      <c r="C646" s="790">
        <v>540.1</v>
      </c>
      <c r="D646" s="790"/>
      <c r="E646" s="790"/>
      <c r="F646" s="438">
        <f t="shared" si="94"/>
        <v>540.1</v>
      </c>
      <c r="G646" s="404">
        <v>1100</v>
      </c>
      <c r="H646" s="404">
        <v>12</v>
      </c>
      <c r="I646" s="404">
        <v>5000</v>
      </c>
      <c r="J646" s="404">
        <v>0</v>
      </c>
      <c r="K646" s="701">
        <f t="shared" si="89"/>
        <v>5.0998725031874206E-3</v>
      </c>
      <c r="L646" s="702">
        <f t="shared" si="90"/>
        <v>0</v>
      </c>
      <c r="M646" s="426">
        <f t="shared" si="91"/>
        <v>10.28649383765406</v>
      </c>
      <c r="N646" s="427">
        <f t="shared" si="95"/>
        <v>3.782343784105398</v>
      </c>
      <c r="O646" s="426">
        <v>5.2309059262329045</v>
      </c>
      <c r="P646" s="426">
        <f t="shared" si="92"/>
        <v>5.0998725031874206E-3</v>
      </c>
      <c r="Q646" s="926">
        <f t="shared" si="93"/>
        <v>6.2167445813854664E-3</v>
      </c>
      <c r="R646" s="532">
        <f t="shared" si="88"/>
        <v>3.5743090947038605E-2</v>
      </c>
    </row>
    <row r="647" spans="1:18" s="6" customFormat="1" ht="15.75">
      <c r="A647" s="275">
        <v>111</v>
      </c>
      <c r="B647" s="125" t="s">
        <v>1123</v>
      </c>
      <c r="C647" s="790">
        <v>236.8</v>
      </c>
      <c r="D647" s="790"/>
      <c r="E647" s="790"/>
      <c r="F647" s="438">
        <f t="shared" si="94"/>
        <v>236.8</v>
      </c>
      <c r="G647" s="404">
        <v>1100</v>
      </c>
      <c r="H647" s="404">
        <v>4</v>
      </c>
      <c r="I647" s="404">
        <v>5000</v>
      </c>
      <c r="J647" s="404">
        <v>0</v>
      </c>
      <c r="K647" s="701">
        <f t="shared" si="89"/>
        <v>1.6999575010624734E-3</v>
      </c>
      <c r="L647" s="702">
        <f t="shared" si="90"/>
        <v>0</v>
      </c>
      <c r="M647" s="426">
        <f t="shared" si="91"/>
        <v>3.4288312792180196</v>
      </c>
      <c r="N647" s="427">
        <f t="shared" si="95"/>
        <v>1.2607812613684659</v>
      </c>
      <c r="O647" s="426">
        <v>1.7436353087443015</v>
      </c>
      <c r="P647" s="426">
        <f t="shared" si="92"/>
        <v>1.6999575010624734E-3</v>
      </c>
      <c r="Q647" s="926">
        <f t="shared" si="93"/>
        <v>2.0722481937951553E-3</v>
      </c>
      <c r="R647" s="532">
        <f t="shared" ref="R647:R710" si="96">(P647+O647+N647+M647)/F647</f>
        <v>2.7174610670742606E-2</v>
      </c>
    </row>
    <row r="648" spans="1:18" s="6" customFormat="1" ht="15.75">
      <c r="A648" s="275">
        <v>112</v>
      </c>
      <c r="B648" s="125" t="s">
        <v>1124</v>
      </c>
      <c r="C648" s="790">
        <v>375.5</v>
      </c>
      <c r="D648" s="790"/>
      <c r="E648" s="790"/>
      <c r="F648" s="438">
        <f t="shared" si="94"/>
        <v>375.5</v>
      </c>
      <c r="G648" s="404">
        <v>1100</v>
      </c>
      <c r="H648" s="404">
        <v>44</v>
      </c>
      <c r="I648" s="404">
        <v>5000</v>
      </c>
      <c r="J648" s="404">
        <v>0</v>
      </c>
      <c r="K648" s="701">
        <f t="shared" si="89"/>
        <v>1.8699532511687208E-2</v>
      </c>
      <c r="L648" s="702">
        <f t="shared" si="90"/>
        <v>0</v>
      </c>
      <c r="M648" s="426">
        <f t="shared" si="91"/>
        <v>37.717144071398216</v>
      </c>
      <c r="N648" s="427">
        <f t="shared" si="95"/>
        <v>13.868593875053126</v>
      </c>
      <c r="O648" s="426">
        <v>19.179988396187316</v>
      </c>
      <c r="P648" s="426">
        <f t="shared" si="92"/>
        <v>1.8699532511687208E-2</v>
      </c>
      <c r="Q648" s="926">
        <f t="shared" si="93"/>
        <v>2.2794730131746706E-2</v>
      </c>
      <c r="R648" s="532">
        <f t="shared" si="96"/>
        <v>0.18850712616551354</v>
      </c>
    </row>
    <row r="649" spans="1:18" s="6" customFormat="1" ht="15.75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438">
        <f t="shared" si="94"/>
        <v>618.54</v>
      </c>
      <c r="G649" s="404">
        <v>1100</v>
      </c>
      <c r="H649" s="404">
        <v>14</v>
      </c>
      <c r="I649" s="404">
        <v>5000</v>
      </c>
      <c r="J649" s="404">
        <v>0</v>
      </c>
      <c r="K649" s="701">
        <f t="shared" si="89"/>
        <v>5.9498512537186571E-3</v>
      </c>
      <c r="L649" s="702">
        <f t="shared" si="90"/>
        <v>0</v>
      </c>
      <c r="M649" s="426">
        <f t="shared" si="91"/>
        <v>12.000909477263068</v>
      </c>
      <c r="N649" s="427">
        <f t="shared" si="95"/>
        <v>4.4127344147896306</v>
      </c>
      <c r="O649" s="426">
        <v>6.1027235806050557</v>
      </c>
      <c r="P649" s="426">
        <f t="shared" si="92"/>
        <v>5.9498512537186571E-3</v>
      </c>
      <c r="Q649" s="926">
        <f t="shared" si="93"/>
        <v>7.2528686782830434E-3</v>
      </c>
      <c r="R649" s="532">
        <f t="shared" si="96"/>
        <v>3.6412062799352468E-2</v>
      </c>
    </row>
    <row r="650" spans="1:18" s="6" customFormat="1" ht="15.75">
      <c r="A650" s="275">
        <v>114</v>
      </c>
      <c r="B650" s="125" t="s">
        <v>1126</v>
      </c>
      <c r="C650" s="790">
        <v>473.5</v>
      </c>
      <c r="D650" s="790"/>
      <c r="E650" s="790"/>
      <c r="F650" s="438">
        <f t="shared" si="94"/>
        <v>473.5</v>
      </c>
      <c r="G650" s="404">
        <v>1100</v>
      </c>
      <c r="H650" s="404">
        <v>11</v>
      </c>
      <c r="I650" s="404">
        <v>5000</v>
      </c>
      <c r="J650" s="404">
        <v>0</v>
      </c>
      <c r="K650" s="701">
        <f t="shared" si="89"/>
        <v>4.674883127921802E-3</v>
      </c>
      <c r="L650" s="702">
        <f t="shared" si="90"/>
        <v>0</v>
      </c>
      <c r="M650" s="426">
        <f t="shared" si="91"/>
        <v>9.4292860178495541</v>
      </c>
      <c r="N650" s="427">
        <f t="shared" si="95"/>
        <v>3.4671484687632814</v>
      </c>
      <c r="O650" s="426">
        <v>4.7949970990468289</v>
      </c>
      <c r="P650" s="426">
        <f t="shared" si="92"/>
        <v>4.674883127921802E-3</v>
      </c>
      <c r="Q650" s="926">
        <f t="shared" si="93"/>
        <v>5.6986825329366766E-3</v>
      </c>
      <c r="R650" s="532">
        <f t="shared" si="96"/>
        <v>3.7372980926689725E-2</v>
      </c>
    </row>
    <row r="651" spans="1:18" s="6" customFormat="1" ht="15.75">
      <c r="A651" s="275">
        <v>115</v>
      </c>
      <c r="B651" s="125" t="s">
        <v>1127</v>
      </c>
      <c r="C651" s="790">
        <v>281.8</v>
      </c>
      <c r="D651" s="790"/>
      <c r="E651" s="790"/>
      <c r="F651" s="438">
        <f t="shared" si="94"/>
        <v>281.8</v>
      </c>
      <c r="G651" s="404">
        <v>1100</v>
      </c>
      <c r="H651" s="404">
        <v>3</v>
      </c>
      <c r="I651" s="404">
        <v>5000</v>
      </c>
      <c r="J651" s="404">
        <v>0</v>
      </c>
      <c r="K651" s="701">
        <f t="shared" si="89"/>
        <v>1.2749681257968552E-3</v>
      </c>
      <c r="L651" s="702">
        <f t="shared" si="90"/>
        <v>0</v>
      </c>
      <c r="M651" s="426">
        <f t="shared" si="91"/>
        <v>2.571623459413515</v>
      </c>
      <c r="N651" s="427">
        <f t="shared" si="95"/>
        <v>0.94558594602634949</v>
      </c>
      <c r="O651" s="426">
        <v>1.3077264815582261</v>
      </c>
      <c r="P651" s="426">
        <f t="shared" si="92"/>
        <v>1.2749681257968552E-3</v>
      </c>
      <c r="Q651" s="926">
        <f t="shared" si="93"/>
        <v>1.5541861453463666E-3</v>
      </c>
      <c r="R651" s="532">
        <f t="shared" si="96"/>
        <v>1.7126369251681647E-2</v>
      </c>
    </row>
    <row r="652" spans="1:18" s="6" customFormat="1" ht="15.75">
      <c r="A652" s="275">
        <v>116</v>
      </c>
      <c r="B652" s="125" t="s">
        <v>1128</v>
      </c>
      <c r="C652" s="790">
        <v>295.89999999999998</v>
      </c>
      <c r="D652" s="790"/>
      <c r="E652" s="790"/>
      <c r="F652" s="438">
        <f t="shared" si="94"/>
        <v>295.89999999999998</v>
      </c>
      <c r="G652" s="404">
        <v>1100</v>
      </c>
      <c r="H652" s="404">
        <v>13</v>
      </c>
      <c r="I652" s="404">
        <v>5000</v>
      </c>
      <c r="J652" s="404">
        <v>0</v>
      </c>
      <c r="K652" s="701">
        <f t="shared" si="89"/>
        <v>5.5248618784530384E-3</v>
      </c>
      <c r="L652" s="702">
        <f t="shared" si="90"/>
        <v>0</v>
      </c>
      <c r="M652" s="426">
        <f t="shared" si="91"/>
        <v>11.143701657458562</v>
      </c>
      <c r="N652" s="427">
        <f t="shared" si="95"/>
        <v>4.0975390994475136</v>
      </c>
      <c r="O652" s="426">
        <v>5.6668147534189792</v>
      </c>
      <c r="P652" s="426">
        <f t="shared" si="92"/>
        <v>5.5248618784530384E-3</v>
      </c>
      <c r="Q652" s="926">
        <f t="shared" si="93"/>
        <v>6.7348066298342545E-3</v>
      </c>
      <c r="R652" s="532">
        <f t="shared" si="96"/>
        <v>7.0677865401160903E-2</v>
      </c>
    </row>
    <row r="653" spans="1:18" s="6" customFormat="1" ht="15.75">
      <c r="A653" s="275">
        <v>117</v>
      </c>
      <c r="B653" s="125" t="s">
        <v>1129</v>
      </c>
      <c r="C653" s="790">
        <v>346.1</v>
      </c>
      <c r="D653" s="790"/>
      <c r="E653" s="790"/>
      <c r="F653" s="438">
        <f t="shared" si="94"/>
        <v>346.1</v>
      </c>
      <c r="G653" s="404">
        <v>1100</v>
      </c>
      <c r="H653" s="404">
        <v>10</v>
      </c>
      <c r="I653" s="404">
        <v>5000</v>
      </c>
      <c r="J653" s="404">
        <v>0</v>
      </c>
      <c r="K653" s="701">
        <f t="shared" si="89"/>
        <v>4.2498937526561833E-3</v>
      </c>
      <c r="L653" s="702">
        <f t="shared" si="90"/>
        <v>0</v>
      </c>
      <c r="M653" s="426">
        <f t="shared" si="91"/>
        <v>8.5720781980450482</v>
      </c>
      <c r="N653" s="427">
        <f t="shared" si="95"/>
        <v>3.1519531534211644</v>
      </c>
      <c r="O653" s="426">
        <v>4.3590882718607542</v>
      </c>
      <c r="P653" s="426">
        <f t="shared" si="92"/>
        <v>4.2498937526561833E-3</v>
      </c>
      <c r="Q653" s="926">
        <f t="shared" si="93"/>
        <v>5.1806204844878877E-3</v>
      </c>
      <c r="R653" s="532">
        <f t="shared" si="96"/>
        <v>4.6481853559894891E-2</v>
      </c>
    </row>
    <row r="654" spans="1:18" s="6" customFormat="1" ht="15.75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438">
        <f t="shared" si="94"/>
        <v>665.4</v>
      </c>
      <c r="G654" s="404">
        <v>1100</v>
      </c>
      <c r="H654" s="404">
        <v>20</v>
      </c>
      <c r="I654" s="404">
        <v>5000</v>
      </c>
      <c r="J654" s="404">
        <v>0</v>
      </c>
      <c r="K654" s="701">
        <f t="shared" si="89"/>
        <v>8.4997875053123666E-3</v>
      </c>
      <c r="L654" s="702">
        <f t="shared" si="90"/>
        <v>0</v>
      </c>
      <c r="M654" s="426">
        <f t="shared" si="91"/>
        <v>17.144156396090096</v>
      </c>
      <c r="N654" s="427">
        <f t="shared" si="95"/>
        <v>6.3039063068423289</v>
      </c>
      <c r="O654" s="426">
        <v>8.7181765437215084</v>
      </c>
      <c r="P654" s="426">
        <f t="shared" si="92"/>
        <v>8.4997875053123666E-3</v>
      </c>
      <c r="Q654" s="926">
        <f t="shared" si="93"/>
        <v>1.0361240968975775E-2</v>
      </c>
      <c r="R654" s="532">
        <f t="shared" si="96"/>
        <v>4.8353981115358047E-2</v>
      </c>
    </row>
    <row r="655" spans="1:18" s="6" customFormat="1" ht="15.75">
      <c r="A655" s="275">
        <v>119</v>
      </c>
      <c r="B655" s="125" t="s">
        <v>1131</v>
      </c>
      <c r="C655" s="790">
        <v>415.51</v>
      </c>
      <c r="D655" s="790"/>
      <c r="E655" s="790"/>
      <c r="F655" s="438">
        <f t="shared" si="94"/>
        <v>415.51</v>
      </c>
      <c r="G655" s="404">
        <v>1100</v>
      </c>
      <c r="H655" s="404">
        <v>14</v>
      </c>
      <c r="I655" s="404">
        <v>5000</v>
      </c>
      <c r="J655" s="404">
        <v>0</v>
      </c>
      <c r="K655" s="701">
        <f t="shared" si="89"/>
        <v>5.9498512537186571E-3</v>
      </c>
      <c r="L655" s="702">
        <f t="shared" si="90"/>
        <v>0</v>
      </c>
      <c r="M655" s="426">
        <f t="shared" si="91"/>
        <v>12.000909477263068</v>
      </c>
      <c r="N655" s="427">
        <f t="shared" si="95"/>
        <v>4.4127344147896306</v>
      </c>
      <c r="O655" s="426">
        <v>6.1027235806050557</v>
      </c>
      <c r="P655" s="426">
        <f t="shared" si="92"/>
        <v>5.9498512537186571E-3</v>
      </c>
      <c r="Q655" s="926">
        <f t="shared" si="93"/>
        <v>7.2528686782830434E-3</v>
      </c>
      <c r="R655" s="532">
        <f t="shared" si="96"/>
        <v>5.4204031970136637E-2</v>
      </c>
    </row>
    <row r="656" spans="1:18" s="6" customFormat="1" ht="15.75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438">
        <f t="shared" si="94"/>
        <v>1654.8</v>
      </c>
      <c r="G656" s="404">
        <v>1100</v>
      </c>
      <c r="H656" s="404">
        <v>11</v>
      </c>
      <c r="I656" s="404">
        <v>5000</v>
      </c>
      <c r="J656" s="404">
        <v>0</v>
      </c>
      <c r="K656" s="701">
        <f t="shared" si="89"/>
        <v>4.674883127921802E-3</v>
      </c>
      <c r="L656" s="702">
        <f t="shared" si="90"/>
        <v>0</v>
      </c>
      <c r="M656" s="426">
        <f t="shared" si="91"/>
        <v>9.4292860178495541</v>
      </c>
      <c r="N656" s="427">
        <f t="shared" si="95"/>
        <v>3.4671484687632814</v>
      </c>
      <c r="O656" s="426">
        <v>4.7949970990468289</v>
      </c>
      <c r="P656" s="426">
        <f t="shared" si="92"/>
        <v>4.674883127921802E-3</v>
      </c>
      <c r="Q656" s="926">
        <f t="shared" si="93"/>
        <v>5.6986825329366766E-3</v>
      </c>
      <c r="R656" s="532">
        <f t="shared" si="96"/>
        <v>1.0693803764072748E-2</v>
      </c>
    </row>
    <row r="657" spans="1:18" s="6" customFormat="1" ht="15.75">
      <c r="A657" s="275">
        <v>121</v>
      </c>
      <c r="B657" s="125" t="s">
        <v>1133</v>
      </c>
      <c r="C657" s="790">
        <v>3220.9</v>
      </c>
      <c r="D657" s="790"/>
      <c r="E657" s="790"/>
      <c r="F657" s="438">
        <f t="shared" si="94"/>
        <v>3220.9</v>
      </c>
      <c r="G657" s="404">
        <v>1100</v>
      </c>
      <c r="H657" s="404"/>
      <c r="I657" s="404">
        <v>5000</v>
      </c>
      <c r="J657" s="404">
        <v>200</v>
      </c>
      <c r="K657" s="701">
        <f t="shared" si="89"/>
        <v>0</v>
      </c>
      <c r="L657" s="702">
        <f t="shared" si="90"/>
        <v>2.4826216484607744E-2</v>
      </c>
      <c r="M657" s="426">
        <f t="shared" si="91"/>
        <v>50.074726911618669</v>
      </c>
      <c r="N657" s="427">
        <f t="shared" si="95"/>
        <v>18.412477085402188</v>
      </c>
      <c r="O657" s="426">
        <v>26.022958931222167</v>
      </c>
      <c r="P657" s="426">
        <f t="shared" si="92"/>
        <v>4.5839126117179738</v>
      </c>
      <c r="Q657" s="926">
        <f t="shared" si="93"/>
        <v>5.5877894736842109</v>
      </c>
      <c r="R657" s="532">
        <f t="shared" si="96"/>
        <v>3.0765958440175416E-2</v>
      </c>
    </row>
    <row r="658" spans="1:18" s="6" customFormat="1" ht="15.75">
      <c r="A658" s="275">
        <v>122</v>
      </c>
      <c r="B658" s="125" t="s">
        <v>1134</v>
      </c>
      <c r="C658" s="790">
        <v>3593.47</v>
      </c>
      <c r="D658" s="790"/>
      <c r="E658" s="790"/>
      <c r="F658" s="438">
        <f t="shared" si="94"/>
        <v>3593.47</v>
      </c>
      <c r="G658" s="404">
        <v>1100</v>
      </c>
      <c r="H658" s="404"/>
      <c r="I658" s="404">
        <v>5000</v>
      </c>
      <c r="J658" s="404">
        <v>200</v>
      </c>
      <c r="K658" s="701">
        <f t="shared" si="89"/>
        <v>0</v>
      </c>
      <c r="L658" s="702">
        <f t="shared" si="90"/>
        <v>2.4826216484607744E-2</v>
      </c>
      <c r="M658" s="426">
        <f t="shared" si="91"/>
        <v>50.074726911618669</v>
      </c>
      <c r="N658" s="427">
        <f t="shared" si="95"/>
        <v>18.412477085402188</v>
      </c>
      <c r="O658" s="426">
        <v>26.022958931222167</v>
      </c>
      <c r="P658" s="426">
        <f t="shared" si="92"/>
        <v>4.5839126117179738</v>
      </c>
      <c r="Q658" s="926">
        <f t="shared" si="93"/>
        <v>5.5877894736842109</v>
      </c>
      <c r="R658" s="532">
        <f t="shared" si="96"/>
        <v>2.7576152170453908E-2</v>
      </c>
    </row>
    <row r="659" spans="1:18" s="6" customFormat="1" ht="15.75">
      <c r="A659" s="275">
        <v>123</v>
      </c>
      <c r="B659" s="125" t="s">
        <v>1135</v>
      </c>
      <c r="C659" s="790">
        <v>5258.9</v>
      </c>
      <c r="D659" s="790"/>
      <c r="E659" s="790"/>
      <c r="F659" s="438">
        <f t="shared" si="94"/>
        <v>5258.9</v>
      </c>
      <c r="G659" s="404">
        <v>1100</v>
      </c>
      <c r="H659" s="404"/>
      <c r="I659" s="404">
        <v>5000</v>
      </c>
      <c r="J659" s="404">
        <v>238</v>
      </c>
      <c r="K659" s="701">
        <f t="shared" si="89"/>
        <v>0</v>
      </c>
      <c r="L659" s="702">
        <f t="shared" si="90"/>
        <v>2.9543197616683215E-2</v>
      </c>
      <c r="M659" s="426">
        <f t="shared" si="91"/>
        <v>59.58892502482621</v>
      </c>
      <c r="N659" s="427">
        <f t="shared" si="95"/>
        <v>21.9108477316286</v>
      </c>
      <c r="O659" s="426">
        <v>30.967321128154381</v>
      </c>
      <c r="P659" s="426">
        <f t="shared" si="92"/>
        <v>5.4548560079443886</v>
      </c>
      <c r="Q659" s="926">
        <f t="shared" si="93"/>
        <v>6.6494694736842099</v>
      </c>
      <c r="R659" s="532">
        <f t="shared" si="96"/>
        <v>2.2423310938134135E-2</v>
      </c>
    </row>
    <row r="660" spans="1:18" s="6" customFormat="1" ht="15.75">
      <c r="A660" s="275">
        <v>124</v>
      </c>
      <c r="B660" s="125" t="s">
        <v>1136</v>
      </c>
      <c r="C660" s="790">
        <v>3743.95</v>
      </c>
      <c r="D660" s="790"/>
      <c r="E660" s="790"/>
      <c r="F660" s="438">
        <f t="shared" si="94"/>
        <v>3743.95</v>
      </c>
      <c r="G660" s="404">
        <v>1100</v>
      </c>
      <c r="H660" s="404"/>
      <c r="I660" s="404">
        <v>5000</v>
      </c>
      <c r="J660" s="404">
        <v>238</v>
      </c>
      <c r="K660" s="701">
        <f t="shared" si="89"/>
        <v>0</v>
      </c>
      <c r="L660" s="702">
        <f t="shared" si="90"/>
        <v>2.9543197616683215E-2</v>
      </c>
      <c r="M660" s="426">
        <f t="shared" si="91"/>
        <v>59.58892502482621</v>
      </c>
      <c r="N660" s="427">
        <f t="shared" si="95"/>
        <v>21.9108477316286</v>
      </c>
      <c r="O660" s="426">
        <v>30.967321128154381</v>
      </c>
      <c r="P660" s="426">
        <f t="shared" si="92"/>
        <v>5.4548560079443886</v>
      </c>
      <c r="Q660" s="926">
        <f t="shared" si="93"/>
        <v>6.6494694736842099</v>
      </c>
      <c r="R660" s="532">
        <f t="shared" si="96"/>
        <v>3.1496667928939646E-2</v>
      </c>
    </row>
    <row r="661" spans="1:18" s="6" customFormat="1" ht="15.75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438">
        <f t="shared" si="94"/>
        <v>3185.57</v>
      </c>
      <c r="G661" s="404">
        <v>1100</v>
      </c>
      <c r="H661" s="404"/>
      <c r="I661" s="404">
        <v>5000</v>
      </c>
      <c r="J661" s="404">
        <v>150</v>
      </c>
      <c r="K661" s="701">
        <f t="shared" si="89"/>
        <v>0</v>
      </c>
      <c r="L661" s="702">
        <f t="shared" si="90"/>
        <v>1.8619662363455809E-2</v>
      </c>
      <c r="M661" s="426">
        <f t="shared" si="91"/>
        <v>37.556045183714005</v>
      </c>
      <c r="N661" s="427">
        <f t="shared" si="95"/>
        <v>13.809357814051641</v>
      </c>
      <c r="O661" s="426">
        <v>19.51721919841663</v>
      </c>
      <c r="P661" s="426">
        <f t="shared" si="92"/>
        <v>3.4379344587884804</v>
      </c>
      <c r="Q661" s="926">
        <f t="shared" si="93"/>
        <v>4.1908421052631581</v>
      </c>
      <c r="R661" s="532">
        <f t="shared" si="96"/>
        <v>2.3330379384214051E-2</v>
      </c>
    </row>
    <row r="662" spans="1:18" s="6" customFormat="1" ht="15.75">
      <c r="A662" s="275">
        <v>126</v>
      </c>
      <c r="B662" s="125" t="s">
        <v>1138</v>
      </c>
      <c r="C662" s="790">
        <v>272.89999999999998</v>
      </c>
      <c r="D662" s="790"/>
      <c r="E662" s="790"/>
      <c r="F662" s="438">
        <f t="shared" si="94"/>
        <v>272.89999999999998</v>
      </c>
      <c r="G662" s="404">
        <v>1100</v>
      </c>
      <c r="H662" s="404">
        <v>16</v>
      </c>
      <c r="I662" s="404">
        <v>5000</v>
      </c>
      <c r="J662" s="404">
        <v>0</v>
      </c>
      <c r="K662" s="701">
        <f t="shared" si="89"/>
        <v>6.7998300042498936E-3</v>
      </c>
      <c r="L662" s="702">
        <f t="shared" si="90"/>
        <v>0</v>
      </c>
      <c r="M662" s="426">
        <f t="shared" si="91"/>
        <v>13.715325116872078</v>
      </c>
      <c r="N662" s="427">
        <f t="shared" si="95"/>
        <v>5.0431250454738636</v>
      </c>
      <c r="O662" s="426">
        <v>6.974541234977206</v>
      </c>
      <c r="P662" s="426">
        <f t="shared" si="92"/>
        <v>6.7998300042498936E-3</v>
      </c>
      <c r="Q662" s="926">
        <f t="shared" si="93"/>
        <v>8.2889927751806213E-3</v>
      </c>
      <c r="R662" s="532">
        <f t="shared" si="96"/>
        <v>9.4319498817615977E-2</v>
      </c>
    </row>
    <row r="663" spans="1:18" s="6" customFormat="1" ht="15.75">
      <c r="A663" s="275">
        <v>127</v>
      </c>
      <c r="B663" s="125" t="s">
        <v>1139</v>
      </c>
      <c r="C663" s="790">
        <v>604.1</v>
      </c>
      <c r="D663" s="790"/>
      <c r="E663" s="790"/>
      <c r="F663" s="438">
        <f t="shared" si="94"/>
        <v>604.1</v>
      </c>
      <c r="G663" s="404">
        <v>1100</v>
      </c>
      <c r="H663" s="404">
        <v>20</v>
      </c>
      <c r="I663" s="404">
        <v>5000</v>
      </c>
      <c r="J663" s="404">
        <v>0</v>
      </c>
      <c r="K663" s="701">
        <f t="shared" si="89"/>
        <v>8.4997875053123666E-3</v>
      </c>
      <c r="L663" s="702">
        <f t="shared" si="90"/>
        <v>0</v>
      </c>
      <c r="M663" s="426">
        <f t="shared" si="91"/>
        <v>17.144156396090096</v>
      </c>
      <c r="N663" s="427">
        <f t="shared" si="95"/>
        <v>6.3039063068423289</v>
      </c>
      <c r="O663" s="426">
        <v>8.7181765437215084</v>
      </c>
      <c r="P663" s="426">
        <f t="shared" si="92"/>
        <v>8.4997875053123666E-3</v>
      </c>
      <c r="Q663" s="926">
        <f t="shared" si="93"/>
        <v>1.0361240968975775E-2</v>
      </c>
      <c r="R663" s="532">
        <f t="shared" si="96"/>
        <v>5.3260617503988153E-2</v>
      </c>
    </row>
    <row r="664" spans="1:18" s="6" customFormat="1" ht="15.75">
      <c r="A664" s="275">
        <v>128</v>
      </c>
      <c r="B664" s="125" t="s">
        <v>1140</v>
      </c>
      <c r="C664" s="790">
        <v>464.8</v>
      </c>
      <c r="D664" s="790"/>
      <c r="E664" s="790"/>
      <c r="F664" s="438">
        <f t="shared" si="94"/>
        <v>464.8</v>
      </c>
      <c r="G664" s="404">
        <v>1100</v>
      </c>
      <c r="H664" s="404">
        <v>15</v>
      </c>
      <c r="I664" s="404">
        <v>5000</v>
      </c>
      <c r="J664" s="404">
        <v>0</v>
      </c>
      <c r="K664" s="701">
        <f t="shared" si="89"/>
        <v>6.3748406289842749E-3</v>
      </c>
      <c r="L664" s="702">
        <f t="shared" si="90"/>
        <v>0</v>
      </c>
      <c r="M664" s="426">
        <f t="shared" si="91"/>
        <v>12.858117297067572</v>
      </c>
      <c r="N664" s="427">
        <f t="shared" si="95"/>
        <v>4.7279297301317467</v>
      </c>
      <c r="O664" s="426">
        <v>6.5386324077911304</v>
      </c>
      <c r="P664" s="426">
        <f t="shared" si="92"/>
        <v>6.3748406289842749E-3</v>
      </c>
      <c r="Q664" s="926">
        <f t="shared" si="93"/>
        <v>7.7709307267318315E-3</v>
      </c>
      <c r="R664" s="532">
        <f t="shared" si="96"/>
        <v>5.1917070300386045E-2</v>
      </c>
    </row>
    <row r="665" spans="1:18" s="6" customFormat="1" ht="15.75">
      <c r="A665" s="275">
        <v>129</v>
      </c>
      <c r="B665" s="125" t="s">
        <v>1381</v>
      </c>
      <c r="C665" s="790">
        <v>83.39</v>
      </c>
      <c r="D665" s="790"/>
      <c r="E665" s="790"/>
      <c r="F665" s="438">
        <f t="shared" si="94"/>
        <v>83.39</v>
      </c>
      <c r="G665" s="404">
        <v>1100</v>
      </c>
      <c r="H665" s="404"/>
      <c r="I665" s="404">
        <v>5000</v>
      </c>
      <c r="J665" s="404">
        <v>0</v>
      </c>
      <c r="K665" s="701">
        <f t="shared" ref="K665:K728" si="97">1/2353*H665</f>
        <v>0</v>
      </c>
      <c r="L665" s="702">
        <f t="shared" ref="L665:L728" si="98">1/8056*J665</f>
        <v>0</v>
      </c>
      <c r="M665" s="426">
        <f t="shared" ref="M665:M728" si="99">(K665+L665)*2017.01</f>
        <v>0</v>
      </c>
      <c r="N665" s="427">
        <f t="shared" si="95"/>
        <v>0</v>
      </c>
      <c r="O665" s="426">
        <v>0</v>
      </c>
      <c r="P665" s="426">
        <f t="shared" ref="P665:P728" si="100">K665+L665*184.64</f>
        <v>0</v>
      </c>
      <c r="Q665" s="926">
        <f t="shared" si="93"/>
        <v>0</v>
      </c>
      <c r="R665" s="532">
        <f t="shared" si="96"/>
        <v>0</v>
      </c>
    </row>
    <row r="666" spans="1:18" s="6" customFormat="1" ht="15.75">
      <c r="A666" s="275">
        <v>130</v>
      </c>
      <c r="B666" s="125" t="s">
        <v>1141</v>
      </c>
      <c r="C666" s="790">
        <v>489.6</v>
      </c>
      <c r="D666" s="790"/>
      <c r="E666" s="790"/>
      <c r="F666" s="438">
        <f t="shared" si="94"/>
        <v>489.6</v>
      </c>
      <c r="G666" s="404">
        <v>1100</v>
      </c>
      <c r="H666" s="404">
        <v>20</v>
      </c>
      <c r="I666" s="404">
        <v>5000</v>
      </c>
      <c r="J666" s="404">
        <v>0</v>
      </c>
      <c r="K666" s="701">
        <f t="shared" si="97"/>
        <v>8.4997875053123666E-3</v>
      </c>
      <c r="L666" s="702">
        <f t="shared" si="98"/>
        <v>0</v>
      </c>
      <c r="M666" s="426">
        <f t="shared" si="99"/>
        <v>17.144156396090096</v>
      </c>
      <c r="N666" s="427">
        <f t="shared" si="95"/>
        <v>6.3039063068423289</v>
      </c>
      <c r="O666" s="426">
        <v>8.7181765437215084</v>
      </c>
      <c r="P666" s="426">
        <f t="shared" si="100"/>
        <v>8.4997875053123666E-3</v>
      </c>
      <c r="Q666" s="926">
        <f t="shared" si="93"/>
        <v>1.0361240968975775E-2</v>
      </c>
      <c r="R666" s="532">
        <f t="shared" si="96"/>
        <v>6.5716378746240284E-2</v>
      </c>
    </row>
    <row r="667" spans="1:18" s="6" customFormat="1" ht="15.75">
      <c r="A667" s="275">
        <v>131</v>
      </c>
      <c r="B667" s="125" t="s">
        <v>1142</v>
      </c>
      <c r="C667" s="790">
        <v>127.92</v>
      </c>
      <c r="D667" s="790"/>
      <c r="E667" s="790"/>
      <c r="F667" s="438">
        <f t="shared" si="94"/>
        <v>127.92</v>
      </c>
      <c r="G667" s="404">
        <v>1100</v>
      </c>
      <c r="H667" s="404">
        <v>6</v>
      </c>
      <c r="I667" s="404">
        <v>5000</v>
      </c>
      <c r="J667" s="404">
        <v>0</v>
      </c>
      <c r="K667" s="701">
        <f t="shared" si="97"/>
        <v>2.5499362515937103E-3</v>
      </c>
      <c r="L667" s="702">
        <f t="shared" si="98"/>
        <v>0</v>
      </c>
      <c r="M667" s="426">
        <f t="shared" si="99"/>
        <v>5.14324691882703</v>
      </c>
      <c r="N667" s="427">
        <f t="shared" si="95"/>
        <v>1.891171892052699</v>
      </c>
      <c r="O667" s="426">
        <v>2.6154529631164523</v>
      </c>
      <c r="P667" s="426">
        <f t="shared" si="100"/>
        <v>2.5499362515937103E-3</v>
      </c>
      <c r="Q667" s="926">
        <f t="shared" si="93"/>
        <v>3.1083722906927332E-3</v>
      </c>
      <c r="R667" s="532">
        <f t="shared" si="96"/>
        <v>7.545670505196822E-2</v>
      </c>
    </row>
    <row r="668" spans="1:18" s="6" customFormat="1" ht="15.75">
      <c r="A668" s="275">
        <v>132</v>
      </c>
      <c r="B668" s="125" t="s">
        <v>1143</v>
      </c>
      <c r="C668" s="790">
        <v>129.1</v>
      </c>
      <c r="D668" s="790"/>
      <c r="E668" s="790"/>
      <c r="F668" s="438">
        <f t="shared" si="94"/>
        <v>129.1</v>
      </c>
      <c r="G668" s="404">
        <v>1100</v>
      </c>
      <c r="H668" s="404">
        <v>12</v>
      </c>
      <c r="I668" s="404">
        <v>5000</v>
      </c>
      <c r="J668" s="404">
        <v>0</v>
      </c>
      <c r="K668" s="701">
        <f t="shared" si="97"/>
        <v>5.0998725031874206E-3</v>
      </c>
      <c r="L668" s="702">
        <f t="shared" si="98"/>
        <v>0</v>
      </c>
      <c r="M668" s="426">
        <f t="shared" si="99"/>
        <v>10.28649383765406</v>
      </c>
      <c r="N668" s="427">
        <f t="shared" si="95"/>
        <v>3.782343784105398</v>
      </c>
      <c r="O668" s="426">
        <v>5.2309059262329045</v>
      </c>
      <c r="P668" s="426">
        <f t="shared" si="100"/>
        <v>5.0998725031874206E-3</v>
      </c>
      <c r="Q668" s="926">
        <f t="shared" si="93"/>
        <v>6.2167445813854664E-3</v>
      </c>
      <c r="R668" s="532">
        <f t="shared" si="96"/>
        <v>0.14953403114249073</v>
      </c>
    </row>
    <row r="669" spans="1:18" s="6" customFormat="1" ht="15.75">
      <c r="A669" s="275">
        <v>133</v>
      </c>
      <c r="B669" s="125" t="s">
        <v>1144</v>
      </c>
      <c r="C669" s="790">
        <v>136.4</v>
      </c>
      <c r="D669" s="790"/>
      <c r="E669" s="790"/>
      <c r="F669" s="438">
        <f t="shared" si="94"/>
        <v>136.4</v>
      </c>
      <c r="G669" s="404">
        <v>1100</v>
      </c>
      <c r="H669" s="404">
        <v>8</v>
      </c>
      <c r="I669" s="404">
        <v>5000</v>
      </c>
      <c r="J669" s="404">
        <v>0</v>
      </c>
      <c r="K669" s="701">
        <f t="shared" si="97"/>
        <v>3.3999150021249468E-3</v>
      </c>
      <c r="L669" s="702">
        <f t="shared" si="98"/>
        <v>0</v>
      </c>
      <c r="M669" s="426">
        <f t="shared" si="99"/>
        <v>6.8576625584360391</v>
      </c>
      <c r="N669" s="427">
        <f t="shared" si="95"/>
        <v>2.5215625227369318</v>
      </c>
      <c r="O669" s="426">
        <v>3.487270617488603</v>
      </c>
      <c r="P669" s="426">
        <f t="shared" si="100"/>
        <v>3.3999150021249468E-3</v>
      </c>
      <c r="Q669" s="926">
        <f t="shared" ref="Q669:Q732" si="101">P669*1.219</f>
        <v>4.1444963875903107E-3</v>
      </c>
      <c r="R669" s="532">
        <f t="shared" si="96"/>
        <v>9.4354073413956741E-2</v>
      </c>
    </row>
    <row r="670" spans="1:18" s="6" customFormat="1" ht="15.75">
      <c r="A670" s="275">
        <v>134</v>
      </c>
      <c r="B670" s="125" t="s">
        <v>1145</v>
      </c>
      <c r="C670" s="790">
        <v>68.2</v>
      </c>
      <c r="D670" s="790"/>
      <c r="E670" s="790"/>
      <c r="F670" s="438">
        <f t="shared" si="94"/>
        <v>68.2</v>
      </c>
      <c r="G670" s="404">
        <v>1100</v>
      </c>
      <c r="H670" s="404">
        <v>4</v>
      </c>
      <c r="I670" s="404">
        <v>5000</v>
      </c>
      <c r="J670" s="404">
        <v>0</v>
      </c>
      <c r="K670" s="701">
        <f t="shared" si="97"/>
        <v>1.6999575010624734E-3</v>
      </c>
      <c r="L670" s="702">
        <f t="shared" si="98"/>
        <v>0</v>
      </c>
      <c r="M670" s="426">
        <f t="shared" si="99"/>
        <v>3.4288312792180196</v>
      </c>
      <c r="N670" s="427">
        <f t="shared" si="95"/>
        <v>1.2607812613684659</v>
      </c>
      <c r="O670" s="426">
        <v>1.7436353087443015</v>
      </c>
      <c r="P670" s="426">
        <f t="shared" si="100"/>
        <v>1.6999575010624734E-3</v>
      </c>
      <c r="Q670" s="926">
        <f t="shared" si="101"/>
        <v>2.0722481937951553E-3</v>
      </c>
      <c r="R670" s="532">
        <f t="shared" si="96"/>
        <v>9.4354073413956741E-2</v>
      </c>
    </row>
    <row r="671" spans="1:18" s="6" customFormat="1" ht="15.75">
      <c r="A671" s="275">
        <v>135</v>
      </c>
      <c r="B671" s="125" t="s">
        <v>1146</v>
      </c>
      <c r="C671" s="790">
        <v>117.1</v>
      </c>
      <c r="D671" s="790"/>
      <c r="E671" s="790"/>
      <c r="F671" s="438">
        <f t="shared" si="94"/>
        <v>117.1</v>
      </c>
      <c r="G671" s="404">
        <v>1100</v>
      </c>
      <c r="H671" s="404">
        <v>8</v>
      </c>
      <c r="I671" s="404">
        <v>5000</v>
      </c>
      <c r="J671" s="404">
        <v>0</v>
      </c>
      <c r="K671" s="701">
        <f t="shared" si="97"/>
        <v>3.3999150021249468E-3</v>
      </c>
      <c r="L671" s="702">
        <f t="shared" si="98"/>
        <v>0</v>
      </c>
      <c r="M671" s="426">
        <f t="shared" si="99"/>
        <v>6.8576625584360391</v>
      </c>
      <c r="N671" s="427">
        <f t="shared" si="95"/>
        <v>2.5215625227369318</v>
      </c>
      <c r="O671" s="426">
        <v>3.487270617488603</v>
      </c>
      <c r="P671" s="426">
        <f t="shared" si="100"/>
        <v>3.3999150021249468E-3</v>
      </c>
      <c r="Q671" s="926">
        <f t="shared" si="101"/>
        <v>4.1444963875903107E-3</v>
      </c>
      <c r="R671" s="532">
        <f t="shared" si="96"/>
        <v>0.10990517176484799</v>
      </c>
    </row>
    <row r="672" spans="1:18" s="6" customFormat="1" ht="15.75">
      <c r="A672" s="275">
        <v>136</v>
      </c>
      <c r="B672" s="125" t="s">
        <v>1147</v>
      </c>
      <c r="C672" s="790">
        <v>291.16000000000003</v>
      </c>
      <c r="D672" s="790"/>
      <c r="E672" s="790"/>
      <c r="F672" s="438">
        <f t="shared" si="94"/>
        <v>291.16000000000003</v>
      </c>
      <c r="G672" s="404">
        <v>1100</v>
      </c>
      <c r="H672" s="404">
        <v>18</v>
      </c>
      <c r="I672" s="404">
        <v>5000</v>
      </c>
      <c r="J672" s="404">
        <v>0</v>
      </c>
      <c r="K672" s="701">
        <f t="shared" si="97"/>
        <v>7.6498087547811301E-3</v>
      </c>
      <c r="L672" s="702">
        <f t="shared" si="98"/>
        <v>0</v>
      </c>
      <c r="M672" s="426">
        <f t="shared" si="99"/>
        <v>15.429740756481086</v>
      </c>
      <c r="N672" s="427">
        <f t="shared" si="95"/>
        <v>5.6735156761580958</v>
      </c>
      <c r="O672" s="426">
        <v>7.8463588893493563</v>
      </c>
      <c r="P672" s="426">
        <f t="shared" si="100"/>
        <v>7.6498087547811301E-3</v>
      </c>
      <c r="Q672" s="926">
        <f t="shared" si="101"/>
        <v>9.3251168720781975E-3</v>
      </c>
      <c r="R672" s="532">
        <f t="shared" si="96"/>
        <v>9.9454819105451703E-2</v>
      </c>
    </row>
    <row r="673" spans="1:18" s="6" customFormat="1" ht="15.75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438">
        <f t="shared" si="94"/>
        <v>455.20000000000005</v>
      </c>
      <c r="G673" s="404">
        <v>1100</v>
      </c>
      <c r="H673" s="404">
        <v>10</v>
      </c>
      <c r="I673" s="404">
        <v>5000</v>
      </c>
      <c r="J673" s="404">
        <v>0</v>
      </c>
      <c r="K673" s="701">
        <f t="shared" si="97"/>
        <v>4.2498937526561833E-3</v>
      </c>
      <c r="L673" s="702">
        <f t="shared" si="98"/>
        <v>0</v>
      </c>
      <c r="M673" s="426">
        <f t="shared" si="99"/>
        <v>8.5720781980450482</v>
      </c>
      <c r="N673" s="427">
        <f t="shared" si="95"/>
        <v>3.1519531534211644</v>
      </c>
      <c r="O673" s="426">
        <v>4.3590882718607542</v>
      </c>
      <c r="P673" s="426">
        <f t="shared" si="100"/>
        <v>4.2498937526561833E-3</v>
      </c>
      <c r="Q673" s="926">
        <f t="shared" si="101"/>
        <v>5.1806204844878877E-3</v>
      </c>
      <c r="R673" s="532">
        <f t="shared" si="96"/>
        <v>3.5341321434709187E-2</v>
      </c>
    </row>
    <row r="674" spans="1:18" s="6" customFormat="1" ht="15.75">
      <c r="A674" s="275">
        <v>138</v>
      </c>
      <c r="B674" s="125" t="s">
        <v>1149</v>
      </c>
      <c r="C674" s="790">
        <v>120</v>
      </c>
      <c r="D674" s="790"/>
      <c r="E674" s="790"/>
      <c r="F674" s="438">
        <f t="shared" si="94"/>
        <v>120</v>
      </c>
      <c r="G674" s="404">
        <v>1100</v>
      </c>
      <c r="H674" s="404">
        <v>12</v>
      </c>
      <c r="I674" s="404">
        <v>5000</v>
      </c>
      <c r="J674" s="404">
        <v>0</v>
      </c>
      <c r="K674" s="701">
        <f t="shared" si="97"/>
        <v>5.0998725031874206E-3</v>
      </c>
      <c r="L674" s="702">
        <f t="shared" si="98"/>
        <v>0</v>
      </c>
      <c r="M674" s="426">
        <f t="shared" si="99"/>
        <v>10.28649383765406</v>
      </c>
      <c r="N674" s="427">
        <f t="shared" si="95"/>
        <v>3.782343784105398</v>
      </c>
      <c r="O674" s="426">
        <v>5.2309059262329045</v>
      </c>
      <c r="P674" s="426">
        <f t="shared" si="100"/>
        <v>5.0998725031874206E-3</v>
      </c>
      <c r="Q674" s="926">
        <f t="shared" si="101"/>
        <v>6.2167445813854664E-3</v>
      </c>
      <c r="R674" s="532">
        <f t="shared" si="96"/>
        <v>0.16087369517079625</v>
      </c>
    </row>
    <row r="675" spans="1:18" s="6" customFormat="1" ht="15.75">
      <c r="A675" s="275">
        <v>139</v>
      </c>
      <c r="B675" s="125" t="s">
        <v>1150</v>
      </c>
      <c r="C675" s="790">
        <v>390.8</v>
      </c>
      <c r="D675" s="790"/>
      <c r="E675" s="790"/>
      <c r="F675" s="438">
        <f t="shared" si="94"/>
        <v>390.8</v>
      </c>
      <c r="G675" s="404">
        <v>1100</v>
      </c>
      <c r="H675" s="404">
        <v>20</v>
      </c>
      <c r="I675" s="404">
        <v>5000</v>
      </c>
      <c r="J675" s="404">
        <v>0</v>
      </c>
      <c r="K675" s="701">
        <f t="shared" si="97"/>
        <v>8.4997875053123666E-3</v>
      </c>
      <c r="L675" s="702">
        <f t="shared" si="98"/>
        <v>0</v>
      </c>
      <c r="M675" s="426">
        <f t="shared" si="99"/>
        <v>17.144156396090096</v>
      </c>
      <c r="N675" s="427">
        <f t="shared" si="95"/>
        <v>6.3039063068423289</v>
      </c>
      <c r="O675" s="426">
        <v>8.7181765437215084</v>
      </c>
      <c r="P675" s="426">
        <f t="shared" si="100"/>
        <v>8.4997875053123666E-3</v>
      </c>
      <c r="Q675" s="926">
        <f t="shared" si="101"/>
        <v>1.0361240968975775E-2</v>
      </c>
      <c r="R675" s="532">
        <f t="shared" si="96"/>
        <v>8.2330447886794375E-2</v>
      </c>
    </row>
    <row r="676" spans="1:18" s="6" customFormat="1" ht="15.75">
      <c r="A676" s="275">
        <v>140</v>
      </c>
      <c r="B676" s="125" t="s">
        <v>1151</v>
      </c>
      <c r="C676" s="790">
        <v>105.1</v>
      </c>
      <c r="D676" s="790"/>
      <c r="E676" s="790"/>
      <c r="F676" s="438">
        <f t="shared" si="94"/>
        <v>105.1</v>
      </c>
      <c r="G676" s="404">
        <v>1100</v>
      </c>
      <c r="H676" s="404">
        <v>12</v>
      </c>
      <c r="I676" s="404">
        <v>5000</v>
      </c>
      <c r="J676" s="404">
        <v>0</v>
      </c>
      <c r="K676" s="701">
        <f t="shared" si="97"/>
        <v>5.0998725031874206E-3</v>
      </c>
      <c r="L676" s="702">
        <f t="shared" si="98"/>
        <v>0</v>
      </c>
      <c r="M676" s="426">
        <f t="shared" si="99"/>
        <v>10.28649383765406</v>
      </c>
      <c r="N676" s="427">
        <f t="shared" si="95"/>
        <v>3.782343784105398</v>
      </c>
      <c r="O676" s="426">
        <v>5.2309059262329045</v>
      </c>
      <c r="P676" s="426">
        <f t="shared" si="100"/>
        <v>5.0998725031874206E-3</v>
      </c>
      <c r="Q676" s="926">
        <f t="shared" si="101"/>
        <v>6.2167445813854664E-3</v>
      </c>
      <c r="R676" s="532">
        <f t="shared" si="96"/>
        <v>0.18368071760699858</v>
      </c>
    </row>
    <row r="677" spans="1:18" s="6" customFormat="1" ht="15.75">
      <c r="A677" s="275">
        <v>141</v>
      </c>
      <c r="B677" s="125" t="s">
        <v>1152</v>
      </c>
      <c r="C677" s="790">
        <v>168.5</v>
      </c>
      <c r="D677" s="790"/>
      <c r="E677" s="790"/>
      <c r="F677" s="438">
        <f t="shared" si="94"/>
        <v>168.5</v>
      </c>
      <c r="G677" s="404">
        <v>1100</v>
      </c>
      <c r="H677" s="404">
        <v>8</v>
      </c>
      <c r="I677" s="404">
        <v>5000</v>
      </c>
      <c r="J677" s="404">
        <v>0</v>
      </c>
      <c r="K677" s="701">
        <f t="shared" si="97"/>
        <v>3.3999150021249468E-3</v>
      </c>
      <c r="L677" s="702">
        <f t="shared" si="98"/>
        <v>0</v>
      </c>
      <c r="M677" s="426">
        <f t="shared" si="99"/>
        <v>6.8576625584360391</v>
      </c>
      <c r="N677" s="427">
        <f t="shared" si="95"/>
        <v>2.5215625227369318</v>
      </c>
      <c r="O677" s="426">
        <v>3.487270617488603</v>
      </c>
      <c r="P677" s="426">
        <f t="shared" si="100"/>
        <v>3.3999150021249468E-3</v>
      </c>
      <c r="Q677" s="926">
        <f t="shared" si="101"/>
        <v>4.1444963875903107E-3</v>
      </c>
      <c r="R677" s="532">
        <f t="shared" si="96"/>
        <v>7.6379202454977438E-2</v>
      </c>
    </row>
    <row r="678" spans="1:18" s="6" customFormat="1" ht="15.75">
      <c r="A678" s="275">
        <v>142</v>
      </c>
      <c r="B678" s="125" t="s">
        <v>1153</v>
      </c>
      <c r="C678" s="790">
        <v>73.3</v>
      </c>
      <c r="D678" s="790"/>
      <c r="E678" s="790"/>
      <c r="F678" s="438">
        <f t="shared" si="94"/>
        <v>73.3</v>
      </c>
      <c r="G678" s="404">
        <v>1100</v>
      </c>
      <c r="H678" s="404">
        <v>6</v>
      </c>
      <c r="I678" s="404">
        <v>5000</v>
      </c>
      <c r="J678" s="404">
        <v>0</v>
      </c>
      <c r="K678" s="701">
        <f t="shared" si="97"/>
        <v>2.5499362515937103E-3</v>
      </c>
      <c r="L678" s="702">
        <f t="shared" si="98"/>
        <v>0</v>
      </c>
      <c r="M678" s="426">
        <f t="shared" si="99"/>
        <v>5.14324691882703</v>
      </c>
      <c r="N678" s="427">
        <f t="shared" si="95"/>
        <v>1.891171892052699</v>
      </c>
      <c r="O678" s="426">
        <v>2.6154529631164523</v>
      </c>
      <c r="P678" s="426">
        <f t="shared" si="100"/>
        <v>2.5499362515937103E-3</v>
      </c>
      <c r="Q678" s="926">
        <f t="shared" si="101"/>
        <v>3.1083722906927332E-3</v>
      </c>
      <c r="R678" s="532">
        <f t="shared" si="96"/>
        <v>0.13168378868005151</v>
      </c>
    </row>
    <row r="679" spans="1:18" s="6" customFormat="1" ht="15.75">
      <c r="A679" s="275">
        <v>143</v>
      </c>
      <c r="B679" s="125" t="s">
        <v>1154</v>
      </c>
      <c r="C679" s="790">
        <v>87.3</v>
      </c>
      <c r="D679" s="790"/>
      <c r="E679" s="790"/>
      <c r="F679" s="438">
        <f t="shared" si="94"/>
        <v>87.3</v>
      </c>
      <c r="G679" s="404">
        <v>1100</v>
      </c>
      <c r="H679" s="404">
        <v>2</v>
      </c>
      <c r="I679" s="404">
        <v>5000</v>
      </c>
      <c r="J679" s="404">
        <v>0</v>
      </c>
      <c r="K679" s="701">
        <f t="shared" si="97"/>
        <v>8.499787505312367E-4</v>
      </c>
      <c r="L679" s="702">
        <f t="shared" si="98"/>
        <v>0</v>
      </c>
      <c r="M679" s="426">
        <f t="shared" si="99"/>
        <v>1.7144156396090098</v>
      </c>
      <c r="N679" s="427">
        <f t="shared" si="95"/>
        <v>0.63039063068423296</v>
      </c>
      <c r="O679" s="426">
        <v>0.87181765437215075</v>
      </c>
      <c r="P679" s="426">
        <f t="shared" si="100"/>
        <v>8.499787505312367E-4</v>
      </c>
      <c r="Q679" s="926">
        <f t="shared" si="101"/>
        <v>1.0361240968975777E-3</v>
      </c>
      <c r="R679" s="532">
        <f t="shared" si="96"/>
        <v>3.6855371173149194E-2</v>
      </c>
    </row>
    <row r="680" spans="1:18" s="6" customFormat="1" ht="15.75">
      <c r="A680" s="275">
        <v>144</v>
      </c>
      <c r="B680" s="125" t="s">
        <v>1155</v>
      </c>
      <c r="C680" s="790">
        <v>227.3</v>
      </c>
      <c r="D680" s="790"/>
      <c r="E680" s="790"/>
      <c r="F680" s="438">
        <f t="shared" si="94"/>
        <v>227.3</v>
      </c>
      <c r="G680" s="404">
        <v>1100</v>
      </c>
      <c r="H680" s="404">
        <v>12</v>
      </c>
      <c r="I680" s="404">
        <v>5000</v>
      </c>
      <c r="J680" s="404">
        <v>0</v>
      </c>
      <c r="K680" s="701">
        <f t="shared" si="97"/>
        <v>5.0998725031874206E-3</v>
      </c>
      <c r="L680" s="702">
        <f t="shared" si="98"/>
        <v>0</v>
      </c>
      <c r="M680" s="426">
        <f t="shared" si="99"/>
        <v>10.28649383765406</v>
      </c>
      <c r="N680" s="427">
        <f t="shared" si="95"/>
        <v>3.782343784105398</v>
      </c>
      <c r="O680" s="426">
        <v>5.2309059262329045</v>
      </c>
      <c r="P680" s="426">
        <f t="shared" si="100"/>
        <v>5.0998725031874206E-3</v>
      </c>
      <c r="Q680" s="926">
        <f t="shared" si="101"/>
        <v>6.2167445813854664E-3</v>
      </c>
      <c r="R680" s="532">
        <f t="shared" si="96"/>
        <v>8.4931119315862516E-2</v>
      </c>
    </row>
    <row r="681" spans="1:18" s="6" customFormat="1" ht="15.75">
      <c r="A681" s="275">
        <v>145</v>
      </c>
      <c r="B681" s="125" t="s">
        <v>1156</v>
      </c>
      <c r="C681" s="790">
        <v>53.5</v>
      </c>
      <c r="D681" s="790"/>
      <c r="E681" s="790"/>
      <c r="F681" s="438">
        <f t="shared" si="94"/>
        <v>53.5</v>
      </c>
      <c r="G681" s="404">
        <v>1100</v>
      </c>
      <c r="H681" s="404">
        <v>4</v>
      </c>
      <c r="I681" s="404">
        <v>5000</v>
      </c>
      <c r="J681" s="404">
        <v>0</v>
      </c>
      <c r="K681" s="701">
        <f t="shared" si="97"/>
        <v>1.6999575010624734E-3</v>
      </c>
      <c r="L681" s="702">
        <f t="shared" si="98"/>
        <v>0</v>
      </c>
      <c r="M681" s="426">
        <f t="shared" si="99"/>
        <v>3.4288312792180196</v>
      </c>
      <c r="N681" s="427">
        <f t="shared" si="95"/>
        <v>1.2607812613684659</v>
      </c>
      <c r="O681" s="426">
        <v>1.7436353087443015</v>
      </c>
      <c r="P681" s="426">
        <f t="shared" si="100"/>
        <v>1.6999575010624734E-3</v>
      </c>
      <c r="Q681" s="926">
        <f t="shared" si="101"/>
        <v>2.0722481937951553E-3</v>
      </c>
      <c r="R681" s="532">
        <f t="shared" si="96"/>
        <v>0.12027939825853924</v>
      </c>
    </row>
    <row r="682" spans="1:18" s="6" customFormat="1" ht="15.75">
      <c r="A682" s="275">
        <v>146</v>
      </c>
      <c r="B682" s="125" t="s">
        <v>1157</v>
      </c>
      <c r="C682" s="790">
        <v>1851.82</v>
      </c>
      <c r="D682" s="790"/>
      <c r="E682" s="790"/>
      <c r="F682" s="438">
        <f t="shared" si="94"/>
        <v>1851.82</v>
      </c>
      <c r="G682" s="404">
        <v>1100</v>
      </c>
      <c r="H682" s="404">
        <v>72</v>
      </c>
      <c r="I682" s="404">
        <v>5000</v>
      </c>
      <c r="J682" s="404">
        <v>0</v>
      </c>
      <c r="K682" s="701">
        <f t="shared" si="97"/>
        <v>3.059923501912452E-2</v>
      </c>
      <c r="L682" s="702">
        <f t="shared" si="98"/>
        <v>0</v>
      </c>
      <c r="M682" s="426">
        <f t="shared" si="99"/>
        <v>61.718963025924346</v>
      </c>
      <c r="N682" s="427">
        <f t="shared" si="95"/>
        <v>22.694062704632383</v>
      </c>
      <c r="O682" s="426">
        <v>31.385435557397425</v>
      </c>
      <c r="P682" s="426">
        <f t="shared" si="100"/>
        <v>3.059923501912452E-2</v>
      </c>
      <c r="Q682" s="926">
        <f t="shared" si="101"/>
        <v>3.730046748831279E-2</v>
      </c>
      <c r="R682" s="532">
        <f t="shared" si="96"/>
        <v>6.2548768521224138E-2</v>
      </c>
    </row>
    <row r="683" spans="1:18" s="6" customFormat="1" ht="15.75">
      <c r="A683" s="275">
        <v>147</v>
      </c>
      <c r="B683" s="125" t="s">
        <v>1158</v>
      </c>
      <c r="C683" s="790">
        <v>933.25</v>
      </c>
      <c r="D683" s="790"/>
      <c r="E683" s="790"/>
      <c r="F683" s="438">
        <f t="shared" si="94"/>
        <v>933.25</v>
      </c>
      <c r="G683" s="404">
        <v>1100</v>
      </c>
      <c r="H683" s="404">
        <v>46</v>
      </c>
      <c r="I683" s="404">
        <v>5000</v>
      </c>
      <c r="J683" s="404">
        <v>0</v>
      </c>
      <c r="K683" s="701">
        <f t="shared" si="97"/>
        <v>1.9549511262218443E-2</v>
      </c>
      <c r="L683" s="702">
        <f t="shared" si="98"/>
        <v>0</v>
      </c>
      <c r="M683" s="426">
        <f t="shared" si="99"/>
        <v>39.431559711007225</v>
      </c>
      <c r="N683" s="427">
        <f t="shared" si="95"/>
        <v>14.498984505737358</v>
      </c>
      <c r="O683" s="426">
        <v>20.051806050559467</v>
      </c>
      <c r="P683" s="426">
        <f t="shared" si="100"/>
        <v>1.9549511262218443E-2</v>
      </c>
      <c r="Q683" s="926">
        <f t="shared" si="101"/>
        <v>2.3830854228644283E-2</v>
      </c>
      <c r="R683" s="532">
        <f t="shared" si="96"/>
        <v>7.9294829658254781E-2</v>
      </c>
    </row>
    <row r="684" spans="1:18" s="6" customFormat="1" ht="15.75">
      <c r="A684" s="275">
        <v>148</v>
      </c>
      <c r="B684" s="125" t="s">
        <v>1159</v>
      </c>
      <c r="C684" s="790">
        <v>1158.5</v>
      </c>
      <c r="D684" s="790"/>
      <c r="E684" s="790"/>
      <c r="F684" s="438">
        <f t="shared" si="94"/>
        <v>1158.5</v>
      </c>
      <c r="G684" s="404">
        <v>1100</v>
      </c>
      <c r="H684" s="404">
        <v>48</v>
      </c>
      <c r="I684" s="404">
        <v>5000</v>
      </c>
      <c r="J684" s="404">
        <v>0</v>
      </c>
      <c r="K684" s="701">
        <f t="shared" si="97"/>
        <v>2.0399490012749683E-2</v>
      </c>
      <c r="L684" s="702">
        <f t="shared" si="98"/>
        <v>0</v>
      </c>
      <c r="M684" s="426">
        <f t="shared" si="99"/>
        <v>41.14597535061624</v>
      </c>
      <c r="N684" s="427">
        <f t="shared" si="95"/>
        <v>15.129375136421592</v>
      </c>
      <c r="O684" s="426">
        <v>20.923623704931618</v>
      </c>
      <c r="P684" s="426">
        <f t="shared" si="100"/>
        <v>2.0399490012749683E-2</v>
      </c>
      <c r="Q684" s="926">
        <f t="shared" si="101"/>
        <v>2.4866978325541866E-2</v>
      </c>
      <c r="R684" s="532">
        <f t="shared" si="96"/>
        <v>6.6654616902876315E-2</v>
      </c>
    </row>
    <row r="685" spans="1:18" s="6" customFormat="1" ht="15.75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438">
        <f t="shared" si="94"/>
        <v>3775.6499999999996</v>
      </c>
      <c r="G685" s="404">
        <v>1100</v>
      </c>
      <c r="H685" s="404">
        <v>144</v>
      </c>
      <c r="I685" s="404">
        <v>5000</v>
      </c>
      <c r="J685" s="404">
        <v>0</v>
      </c>
      <c r="K685" s="701">
        <f t="shared" si="97"/>
        <v>6.1198470038249041E-2</v>
      </c>
      <c r="L685" s="702">
        <f t="shared" si="98"/>
        <v>0</v>
      </c>
      <c r="M685" s="426">
        <f t="shared" si="99"/>
        <v>123.43792605184869</v>
      </c>
      <c r="N685" s="427">
        <f t="shared" si="95"/>
        <v>45.388125409264767</v>
      </c>
      <c r="O685" s="426">
        <v>62.770871114794851</v>
      </c>
      <c r="P685" s="426">
        <f t="shared" si="100"/>
        <v>6.1198470038249041E-2</v>
      </c>
      <c r="Q685" s="926">
        <f t="shared" si="101"/>
        <v>7.460093497662558E-2</v>
      </c>
      <c r="R685" s="532">
        <f t="shared" si="96"/>
        <v>6.1355825101888833E-2</v>
      </c>
    </row>
    <row r="686" spans="1:18" s="6" customFormat="1" ht="15.75">
      <c r="A686" s="275">
        <v>150</v>
      </c>
      <c r="B686" s="125" t="s">
        <v>1161</v>
      </c>
      <c r="C686" s="790">
        <v>79.3</v>
      </c>
      <c r="D686" s="790"/>
      <c r="E686" s="790"/>
      <c r="F686" s="438">
        <f t="shared" si="94"/>
        <v>79.3</v>
      </c>
      <c r="G686" s="404">
        <v>1100</v>
      </c>
      <c r="H686" s="404">
        <v>9</v>
      </c>
      <c r="I686" s="404">
        <v>5000</v>
      </c>
      <c r="J686" s="404">
        <v>0</v>
      </c>
      <c r="K686" s="701">
        <f t="shared" si="97"/>
        <v>3.824904377390565E-3</v>
      </c>
      <c r="L686" s="702">
        <f t="shared" si="98"/>
        <v>0</v>
      </c>
      <c r="M686" s="426">
        <f t="shared" si="99"/>
        <v>7.7148703782405432</v>
      </c>
      <c r="N686" s="427">
        <f t="shared" si="95"/>
        <v>2.8367578380790479</v>
      </c>
      <c r="O686" s="426">
        <v>3.9231794446746782</v>
      </c>
      <c r="P686" s="426">
        <f t="shared" si="100"/>
        <v>3.824904377390565E-3</v>
      </c>
      <c r="Q686" s="926">
        <f t="shared" si="101"/>
        <v>4.6625584360390987E-3</v>
      </c>
      <c r="R686" s="532">
        <f t="shared" si="96"/>
        <v>0.18258048632246734</v>
      </c>
    </row>
    <row r="687" spans="1:18" s="6" customFormat="1" ht="15.75">
      <c r="A687" s="275">
        <v>151</v>
      </c>
      <c r="B687" s="125" t="s">
        <v>1162</v>
      </c>
      <c r="C687" s="790">
        <v>377.9</v>
      </c>
      <c r="D687" s="790"/>
      <c r="E687" s="790"/>
      <c r="F687" s="438">
        <f t="shared" si="94"/>
        <v>377.9</v>
      </c>
      <c r="G687" s="404">
        <v>1100</v>
      </c>
      <c r="H687" s="404">
        <v>4</v>
      </c>
      <c r="I687" s="404">
        <v>5000</v>
      </c>
      <c r="J687" s="404">
        <v>0</v>
      </c>
      <c r="K687" s="701">
        <f t="shared" si="97"/>
        <v>1.6999575010624734E-3</v>
      </c>
      <c r="L687" s="702">
        <f t="shared" si="98"/>
        <v>0</v>
      </c>
      <c r="M687" s="426">
        <f t="shared" si="99"/>
        <v>3.4288312792180196</v>
      </c>
      <c r="N687" s="427">
        <f t="shared" si="95"/>
        <v>1.2607812613684659</v>
      </c>
      <c r="O687" s="426">
        <v>1.7436353087443015</v>
      </c>
      <c r="P687" s="426">
        <f t="shared" si="100"/>
        <v>1.6999575010624734E-3</v>
      </c>
      <c r="Q687" s="926">
        <f t="shared" si="101"/>
        <v>2.0722481937951553E-3</v>
      </c>
      <c r="R687" s="532">
        <f t="shared" si="96"/>
        <v>1.7028176255178221E-2</v>
      </c>
    </row>
    <row r="688" spans="1:18" s="6" customFormat="1" ht="15.75">
      <c r="A688" s="275">
        <v>152</v>
      </c>
      <c r="B688" s="125" t="s">
        <v>1163</v>
      </c>
      <c r="C688" s="790">
        <v>86.1</v>
      </c>
      <c r="D688" s="790"/>
      <c r="E688" s="790"/>
      <c r="F688" s="438">
        <f t="shared" si="94"/>
        <v>86.1</v>
      </c>
      <c r="G688" s="404">
        <v>1100</v>
      </c>
      <c r="H688" s="404">
        <v>8</v>
      </c>
      <c r="I688" s="404">
        <v>5000</v>
      </c>
      <c r="J688" s="404">
        <v>0</v>
      </c>
      <c r="K688" s="701">
        <f t="shared" si="97"/>
        <v>3.3999150021249468E-3</v>
      </c>
      <c r="L688" s="702">
        <f t="shared" si="98"/>
        <v>0</v>
      </c>
      <c r="M688" s="426">
        <f t="shared" si="99"/>
        <v>6.8576625584360391</v>
      </c>
      <c r="N688" s="427">
        <f t="shared" si="95"/>
        <v>2.5215625227369318</v>
      </c>
      <c r="O688" s="426">
        <v>3.487270617488603</v>
      </c>
      <c r="P688" s="426">
        <f t="shared" si="100"/>
        <v>3.3999150021249468E-3</v>
      </c>
      <c r="Q688" s="926">
        <f t="shared" si="101"/>
        <v>4.1444963875903107E-3</v>
      </c>
      <c r="R688" s="532">
        <f t="shared" si="96"/>
        <v>0.149476139531518</v>
      </c>
    </row>
    <row r="689" spans="1:18" s="6" customFormat="1" ht="15.75">
      <c r="A689" s="275">
        <v>153</v>
      </c>
      <c r="B689" s="125" t="s">
        <v>1164</v>
      </c>
      <c r="C689" s="790">
        <v>59.7</v>
      </c>
      <c r="D689" s="790"/>
      <c r="E689" s="790"/>
      <c r="F689" s="438">
        <f t="shared" si="94"/>
        <v>59.7</v>
      </c>
      <c r="G689" s="404">
        <v>1100</v>
      </c>
      <c r="H689" s="404">
        <v>8</v>
      </c>
      <c r="I689" s="404">
        <v>5000</v>
      </c>
      <c r="J689" s="404">
        <v>0</v>
      </c>
      <c r="K689" s="701">
        <f t="shared" si="97"/>
        <v>3.3999150021249468E-3</v>
      </c>
      <c r="L689" s="702">
        <f t="shared" si="98"/>
        <v>0</v>
      </c>
      <c r="M689" s="426">
        <f t="shared" si="99"/>
        <v>6.8576625584360391</v>
      </c>
      <c r="N689" s="427">
        <f t="shared" si="95"/>
        <v>2.5215625227369318</v>
      </c>
      <c r="O689" s="426">
        <v>3.487270617488603</v>
      </c>
      <c r="P689" s="426">
        <f t="shared" si="100"/>
        <v>3.3999150021249468E-3</v>
      </c>
      <c r="Q689" s="926">
        <f t="shared" si="101"/>
        <v>4.1444963875903107E-3</v>
      </c>
      <c r="R689" s="532">
        <f t="shared" si="96"/>
        <v>0.21557614093239025</v>
      </c>
    </row>
    <row r="690" spans="1:18" s="6" customFormat="1" ht="15.75">
      <c r="A690" s="275">
        <v>154</v>
      </c>
      <c r="B690" s="125" t="s">
        <v>1165</v>
      </c>
      <c r="C690" s="790">
        <v>66.099999999999994</v>
      </c>
      <c r="D690" s="790"/>
      <c r="E690" s="790"/>
      <c r="F690" s="438">
        <f t="shared" si="94"/>
        <v>66.099999999999994</v>
      </c>
      <c r="G690" s="404">
        <v>1100</v>
      </c>
      <c r="H690" s="404">
        <v>8</v>
      </c>
      <c r="I690" s="404">
        <v>5000</v>
      </c>
      <c r="J690" s="404">
        <v>0</v>
      </c>
      <c r="K690" s="701">
        <f t="shared" si="97"/>
        <v>3.3999150021249468E-3</v>
      </c>
      <c r="L690" s="702">
        <f t="shared" si="98"/>
        <v>0</v>
      </c>
      <c r="M690" s="426">
        <f t="shared" si="99"/>
        <v>6.8576625584360391</v>
      </c>
      <c r="N690" s="427">
        <f t="shared" si="95"/>
        <v>2.5215625227369318</v>
      </c>
      <c r="O690" s="426">
        <v>3.487270617488603</v>
      </c>
      <c r="P690" s="426">
        <f t="shared" si="100"/>
        <v>3.3999150021249468E-3</v>
      </c>
      <c r="Q690" s="926">
        <f t="shared" si="101"/>
        <v>4.1444963875903107E-3</v>
      </c>
      <c r="R690" s="532">
        <f t="shared" si="96"/>
        <v>0.19470341321730258</v>
      </c>
    </row>
    <row r="691" spans="1:18" s="6" customFormat="1" ht="15.75">
      <c r="A691" s="275">
        <v>155</v>
      </c>
      <c r="B691" s="125" t="s">
        <v>1166</v>
      </c>
      <c r="C691" s="790">
        <v>111.6</v>
      </c>
      <c r="D691" s="790"/>
      <c r="E691" s="790"/>
      <c r="F691" s="438">
        <f t="shared" si="94"/>
        <v>111.6</v>
      </c>
      <c r="G691" s="404">
        <v>1100</v>
      </c>
      <c r="H691" s="404">
        <v>8</v>
      </c>
      <c r="I691" s="404">
        <v>5000</v>
      </c>
      <c r="J691" s="404">
        <v>0</v>
      </c>
      <c r="K691" s="701">
        <f t="shared" si="97"/>
        <v>3.3999150021249468E-3</v>
      </c>
      <c r="L691" s="702">
        <f t="shared" si="98"/>
        <v>0</v>
      </c>
      <c r="M691" s="426">
        <f t="shared" si="99"/>
        <v>6.8576625584360391</v>
      </c>
      <c r="N691" s="427">
        <f t="shared" si="95"/>
        <v>2.5215625227369318</v>
      </c>
      <c r="O691" s="426">
        <v>3.487270617488603</v>
      </c>
      <c r="P691" s="426">
        <f t="shared" si="100"/>
        <v>3.3999150021249468E-3</v>
      </c>
      <c r="Q691" s="926">
        <f t="shared" si="101"/>
        <v>4.1444963875903107E-3</v>
      </c>
      <c r="R691" s="532">
        <f t="shared" si="96"/>
        <v>0.11532164528372491</v>
      </c>
    </row>
    <row r="692" spans="1:18" s="6" customFormat="1" ht="15.75">
      <c r="A692" s="275">
        <v>156</v>
      </c>
      <c r="B692" s="125" t="s">
        <v>1167</v>
      </c>
      <c r="C692" s="790">
        <v>119.2</v>
      </c>
      <c r="D692" s="790"/>
      <c r="E692" s="790"/>
      <c r="F692" s="438">
        <f t="shared" si="94"/>
        <v>119.2</v>
      </c>
      <c r="G692" s="404">
        <v>1100</v>
      </c>
      <c r="H692" s="404">
        <v>10</v>
      </c>
      <c r="I692" s="404">
        <v>5000</v>
      </c>
      <c r="J692" s="404">
        <v>0</v>
      </c>
      <c r="K692" s="701">
        <f t="shared" si="97"/>
        <v>4.2498937526561833E-3</v>
      </c>
      <c r="L692" s="702">
        <f t="shared" si="98"/>
        <v>0</v>
      </c>
      <c r="M692" s="426">
        <f t="shared" si="99"/>
        <v>8.5720781980450482</v>
      </c>
      <c r="N692" s="427">
        <f t="shared" si="95"/>
        <v>3.1519531534211644</v>
      </c>
      <c r="O692" s="426">
        <v>4.3590882718607542</v>
      </c>
      <c r="P692" s="426">
        <f t="shared" si="100"/>
        <v>4.2498937526561833E-3</v>
      </c>
      <c r="Q692" s="926">
        <f t="shared" si="101"/>
        <v>5.1806204844878877E-3</v>
      </c>
      <c r="R692" s="532">
        <f t="shared" si="96"/>
        <v>0.13496115366677536</v>
      </c>
    </row>
    <row r="693" spans="1:18" s="6" customFormat="1" ht="15.75">
      <c r="A693" s="275">
        <v>157</v>
      </c>
      <c r="B693" s="125" t="s">
        <v>1168</v>
      </c>
      <c r="C693" s="790">
        <v>139.6</v>
      </c>
      <c r="D693" s="790"/>
      <c r="E693" s="790"/>
      <c r="F693" s="438">
        <f t="shared" si="94"/>
        <v>139.6</v>
      </c>
      <c r="G693" s="404">
        <v>1100</v>
      </c>
      <c r="H693" s="404">
        <v>4</v>
      </c>
      <c r="I693" s="404">
        <v>5000</v>
      </c>
      <c r="J693" s="404">
        <v>0</v>
      </c>
      <c r="K693" s="701">
        <f t="shared" si="97"/>
        <v>1.6999575010624734E-3</v>
      </c>
      <c r="L693" s="702">
        <f t="shared" si="98"/>
        <v>0</v>
      </c>
      <c r="M693" s="426">
        <f t="shared" si="99"/>
        <v>3.4288312792180196</v>
      </c>
      <c r="N693" s="427">
        <f t="shared" si="95"/>
        <v>1.2607812613684659</v>
      </c>
      <c r="O693" s="426">
        <v>1.7436353087443015</v>
      </c>
      <c r="P693" s="426">
        <f t="shared" si="100"/>
        <v>1.6999575010624734E-3</v>
      </c>
      <c r="Q693" s="926">
        <f t="shared" si="101"/>
        <v>2.0722481937951553E-3</v>
      </c>
      <c r="R693" s="532">
        <f t="shared" si="96"/>
        <v>4.6095614662119269E-2</v>
      </c>
    </row>
    <row r="694" spans="1:18" s="6" customFormat="1" ht="15.75">
      <c r="A694" s="275">
        <v>158</v>
      </c>
      <c r="B694" s="125" t="s">
        <v>1169</v>
      </c>
      <c r="C694" s="790">
        <v>66.5</v>
      </c>
      <c r="D694" s="790"/>
      <c r="E694" s="790"/>
      <c r="F694" s="438">
        <f t="shared" si="94"/>
        <v>66.5</v>
      </c>
      <c r="G694" s="404">
        <v>1100</v>
      </c>
      <c r="H694" s="404">
        <v>8</v>
      </c>
      <c r="I694" s="404">
        <v>5000</v>
      </c>
      <c r="J694" s="404">
        <v>0</v>
      </c>
      <c r="K694" s="701">
        <f t="shared" si="97"/>
        <v>3.3999150021249468E-3</v>
      </c>
      <c r="L694" s="702">
        <f t="shared" si="98"/>
        <v>0</v>
      </c>
      <c r="M694" s="426">
        <f t="shared" si="99"/>
        <v>6.8576625584360391</v>
      </c>
      <c r="N694" s="427">
        <f t="shared" si="95"/>
        <v>2.5215625227369318</v>
      </c>
      <c r="O694" s="426">
        <v>3.487270617488603</v>
      </c>
      <c r="P694" s="426">
        <f t="shared" si="100"/>
        <v>3.3999150021249468E-3</v>
      </c>
      <c r="Q694" s="926">
        <f t="shared" si="101"/>
        <v>4.1444963875903107E-3</v>
      </c>
      <c r="R694" s="532">
        <f t="shared" si="96"/>
        <v>0.1935322648671233</v>
      </c>
    </row>
    <row r="695" spans="1:18" s="6" customFormat="1" ht="15.75">
      <c r="A695" s="275">
        <v>159</v>
      </c>
      <c r="B695" s="125" t="s">
        <v>1170</v>
      </c>
      <c r="C695" s="790">
        <v>67</v>
      </c>
      <c r="D695" s="790"/>
      <c r="E695" s="790"/>
      <c r="F695" s="438">
        <f t="shared" si="94"/>
        <v>67</v>
      </c>
      <c r="G695" s="404">
        <v>1100</v>
      </c>
      <c r="H695" s="404">
        <v>7</v>
      </c>
      <c r="I695" s="404">
        <v>5000</v>
      </c>
      <c r="J695" s="404">
        <v>0</v>
      </c>
      <c r="K695" s="701">
        <f t="shared" si="97"/>
        <v>2.9749256268593286E-3</v>
      </c>
      <c r="L695" s="702">
        <f t="shared" si="98"/>
        <v>0</v>
      </c>
      <c r="M695" s="426">
        <f t="shared" si="99"/>
        <v>6.0004547386315341</v>
      </c>
      <c r="N695" s="427">
        <f t="shared" si="95"/>
        <v>2.2063672073948153</v>
      </c>
      <c r="O695" s="426">
        <v>3.0513617903025279</v>
      </c>
      <c r="P695" s="426">
        <f t="shared" si="100"/>
        <v>2.9749256268593286E-3</v>
      </c>
      <c r="Q695" s="926">
        <f t="shared" si="101"/>
        <v>3.6264343391415217E-3</v>
      </c>
      <c r="R695" s="532">
        <f t="shared" si="96"/>
        <v>0.16807699495456324</v>
      </c>
    </row>
    <row r="696" spans="1:18" s="6" customFormat="1" ht="15.75">
      <c r="A696" s="275">
        <v>160</v>
      </c>
      <c r="B696" s="125" t="s">
        <v>1171</v>
      </c>
      <c r="C696" s="790">
        <v>212.2</v>
      </c>
      <c r="D696" s="790"/>
      <c r="E696" s="790"/>
      <c r="F696" s="438">
        <f t="shared" si="94"/>
        <v>212.2</v>
      </c>
      <c r="G696" s="404">
        <v>1100</v>
      </c>
      <c r="H696" s="404">
        <v>19</v>
      </c>
      <c r="I696" s="404">
        <v>5000</v>
      </c>
      <c r="J696" s="404">
        <v>0</v>
      </c>
      <c r="K696" s="701">
        <f t="shared" si="97"/>
        <v>8.0747981300467488E-3</v>
      </c>
      <c r="L696" s="702">
        <f t="shared" si="98"/>
        <v>0</v>
      </c>
      <c r="M696" s="426">
        <f t="shared" si="99"/>
        <v>16.286948576285592</v>
      </c>
      <c r="N696" s="427">
        <f t="shared" si="95"/>
        <v>5.9887109915002128</v>
      </c>
      <c r="O696" s="426">
        <v>8.2822677165354328</v>
      </c>
      <c r="P696" s="426">
        <f t="shared" si="100"/>
        <v>8.0747981300467488E-3</v>
      </c>
      <c r="Q696" s="926">
        <f t="shared" si="101"/>
        <v>9.8431789205269873E-3</v>
      </c>
      <c r="R696" s="532">
        <f t="shared" si="96"/>
        <v>0.14404336513879024</v>
      </c>
    </row>
    <row r="697" spans="1:18" s="6" customFormat="1" ht="15.75">
      <c r="A697" s="275">
        <v>161</v>
      </c>
      <c r="B697" s="125" t="s">
        <v>1172</v>
      </c>
      <c r="C697" s="790">
        <v>41.6</v>
      </c>
      <c r="D697" s="790"/>
      <c r="E697" s="790"/>
      <c r="F697" s="438">
        <f t="shared" si="94"/>
        <v>41.6</v>
      </c>
      <c r="G697" s="404">
        <v>1100</v>
      </c>
      <c r="H697" s="404">
        <v>4</v>
      </c>
      <c r="I697" s="404">
        <v>5000</v>
      </c>
      <c r="J697" s="404">
        <v>0</v>
      </c>
      <c r="K697" s="701">
        <f t="shared" si="97"/>
        <v>1.6999575010624734E-3</v>
      </c>
      <c r="L697" s="702">
        <f t="shared" si="98"/>
        <v>0</v>
      </c>
      <c r="M697" s="426">
        <f t="shared" si="99"/>
        <v>3.4288312792180196</v>
      </c>
      <c r="N697" s="427">
        <f t="shared" si="95"/>
        <v>1.2607812613684659</v>
      </c>
      <c r="O697" s="426">
        <v>1.7436353087443015</v>
      </c>
      <c r="P697" s="426">
        <f t="shared" si="100"/>
        <v>1.6999575010624734E-3</v>
      </c>
      <c r="Q697" s="926">
        <f t="shared" si="101"/>
        <v>2.0722481937951553E-3</v>
      </c>
      <c r="R697" s="532">
        <f t="shared" si="96"/>
        <v>0.15468624535653483</v>
      </c>
    </row>
    <row r="698" spans="1:18" s="6" customFormat="1" ht="15.75">
      <c r="A698" s="275">
        <v>162</v>
      </c>
      <c r="B698" s="125" t="s">
        <v>1173</v>
      </c>
      <c r="C698" s="790">
        <v>466.8</v>
      </c>
      <c r="D698" s="790"/>
      <c r="E698" s="790"/>
      <c r="F698" s="438">
        <f t="shared" ref="F698:F746" si="102">C698+D698+E698</f>
        <v>466.8</v>
      </c>
      <c r="G698" s="404">
        <v>1100</v>
      </c>
      <c r="H698" s="404">
        <v>20</v>
      </c>
      <c r="I698" s="404">
        <v>5000</v>
      </c>
      <c r="J698" s="404">
        <v>0</v>
      </c>
      <c r="K698" s="701">
        <f t="shared" si="97"/>
        <v>8.4997875053123666E-3</v>
      </c>
      <c r="L698" s="702">
        <f t="shared" si="98"/>
        <v>0</v>
      </c>
      <c r="M698" s="426">
        <f t="shared" si="99"/>
        <v>17.144156396090096</v>
      </c>
      <c r="N698" s="427">
        <f t="shared" ref="N698:N746" si="103">M698*0.3677</f>
        <v>6.3039063068423289</v>
      </c>
      <c r="O698" s="426">
        <v>8.7181765437215084</v>
      </c>
      <c r="P698" s="426">
        <f t="shared" si="100"/>
        <v>8.4997875053123666E-3</v>
      </c>
      <c r="Q698" s="926">
        <f t="shared" si="101"/>
        <v>1.0361240968975775E-2</v>
      </c>
      <c r="R698" s="532">
        <f t="shared" si="96"/>
        <v>6.8926176165722455E-2</v>
      </c>
    </row>
    <row r="699" spans="1:18" s="6" customFormat="1" ht="15.75">
      <c r="A699" s="275">
        <v>163</v>
      </c>
      <c r="B699" s="125" t="s">
        <v>1174</v>
      </c>
      <c r="C699" s="790">
        <v>681.36</v>
      </c>
      <c r="D699" s="790"/>
      <c r="E699" s="790"/>
      <c r="F699" s="438">
        <f t="shared" si="102"/>
        <v>681.36</v>
      </c>
      <c r="G699" s="404">
        <v>1100</v>
      </c>
      <c r="H699" s="404">
        <v>21</v>
      </c>
      <c r="I699" s="404">
        <v>5000</v>
      </c>
      <c r="J699" s="404">
        <v>0</v>
      </c>
      <c r="K699" s="701">
        <f t="shared" si="97"/>
        <v>8.9247768805779861E-3</v>
      </c>
      <c r="L699" s="702">
        <f t="shared" si="98"/>
        <v>0</v>
      </c>
      <c r="M699" s="426">
        <f t="shared" si="99"/>
        <v>18.001364215894604</v>
      </c>
      <c r="N699" s="427">
        <f t="shared" si="103"/>
        <v>6.6191016221844468</v>
      </c>
      <c r="O699" s="426">
        <v>9.1540853709075822</v>
      </c>
      <c r="P699" s="426">
        <f t="shared" si="100"/>
        <v>8.9247768805779861E-3</v>
      </c>
      <c r="Q699" s="926">
        <f t="shared" si="101"/>
        <v>1.0879303017424565E-2</v>
      </c>
      <c r="R699" s="532">
        <f t="shared" si="96"/>
        <v>4.9582417497163335E-2</v>
      </c>
    </row>
    <row r="700" spans="1:18" s="6" customFormat="1" ht="15.75">
      <c r="A700" s="275">
        <v>164</v>
      </c>
      <c r="B700" s="125" t="s">
        <v>1175</v>
      </c>
      <c r="C700" s="790">
        <v>58.2</v>
      </c>
      <c r="D700" s="790"/>
      <c r="E700" s="790"/>
      <c r="F700" s="438">
        <f t="shared" si="102"/>
        <v>58.2</v>
      </c>
      <c r="G700" s="404">
        <v>1100</v>
      </c>
      <c r="H700" s="404">
        <v>8</v>
      </c>
      <c r="I700" s="404">
        <v>5000</v>
      </c>
      <c r="J700" s="404">
        <v>0</v>
      </c>
      <c r="K700" s="701">
        <f t="shared" si="97"/>
        <v>3.3999150021249468E-3</v>
      </c>
      <c r="L700" s="702">
        <f t="shared" si="98"/>
        <v>0</v>
      </c>
      <c r="M700" s="426">
        <f t="shared" si="99"/>
        <v>6.8576625584360391</v>
      </c>
      <c r="N700" s="427">
        <f t="shared" si="103"/>
        <v>2.5215625227369318</v>
      </c>
      <c r="O700" s="426">
        <v>3.487270617488603</v>
      </c>
      <c r="P700" s="426">
        <f t="shared" si="100"/>
        <v>3.3999150021249468E-3</v>
      </c>
      <c r="Q700" s="926">
        <f t="shared" si="101"/>
        <v>4.1444963875903107E-3</v>
      </c>
      <c r="R700" s="532">
        <f t="shared" si="96"/>
        <v>0.22113222703889515</v>
      </c>
    </row>
    <row r="701" spans="1:18" s="6" customFormat="1" ht="15.75">
      <c r="A701" s="275">
        <v>165</v>
      </c>
      <c r="B701" s="125" t="s">
        <v>1176</v>
      </c>
      <c r="C701" s="790">
        <v>504.2</v>
      </c>
      <c r="D701" s="790"/>
      <c r="E701" s="790"/>
      <c r="F701" s="438">
        <f t="shared" si="102"/>
        <v>504.2</v>
      </c>
      <c r="G701" s="404">
        <v>1100</v>
      </c>
      <c r="H701" s="404">
        <v>19</v>
      </c>
      <c r="I701" s="404">
        <v>5000</v>
      </c>
      <c r="J701" s="404">
        <v>0</v>
      </c>
      <c r="K701" s="701">
        <f t="shared" si="97"/>
        <v>8.0747981300467488E-3</v>
      </c>
      <c r="L701" s="702">
        <f t="shared" si="98"/>
        <v>0</v>
      </c>
      <c r="M701" s="426">
        <f t="shared" si="99"/>
        <v>16.286948576285592</v>
      </c>
      <c r="N701" s="427">
        <f t="shared" si="103"/>
        <v>5.9887109915002128</v>
      </c>
      <c r="O701" s="426">
        <v>8.2822677165354328</v>
      </c>
      <c r="P701" s="426">
        <f t="shared" si="100"/>
        <v>8.0747981300467488E-3</v>
      </c>
      <c r="Q701" s="926">
        <f t="shared" si="101"/>
        <v>9.8431789205269873E-3</v>
      </c>
      <c r="R701" s="532">
        <f t="shared" si="96"/>
        <v>6.0622772872771291E-2</v>
      </c>
    </row>
    <row r="702" spans="1:18" s="6" customFormat="1" ht="15.75">
      <c r="A702" s="275">
        <v>166</v>
      </c>
      <c r="B702" s="125" t="s">
        <v>1177</v>
      </c>
      <c r="C702" s="790">
        <v>166.6</v>
      </c>
      <c r="D702" s="790"/>
      <c r="E702" s="790"/>
      <c r="F702" s="438">
        <f t="shared" si="102"/>
        <v>166.6</v>
      </c>
      <c r="G702" s="404">
        <v>1100</v>
      </c>
      <c r="H702" s="404">
        <v>12</v>
      </c>
      <c r="I702" s="404">
        <v>5000</v>
      </c>
      <c r="J702" s="404">
        <v>0</v>
      </c>
      <c r="K702" s="701">
        <f t="shared" si="97"/>
        <v>5.0998725031874206E-3</v>
      </c>
      <c r="L702" s="702">
        <f t="shared" si="98"/>
        <v>0</v>
      </c>
      <c r="M702" s="426">
        <f t="shared" si="99"/>
        <v>10.28649383765406</v>
      </c>
      <c r="N702" s="427">
        <f t="shared" si="103"/>
        <v>3.782343784105398</v>
      </c>
      <c r="O702" s="426">
        <v>5.2309059262329045</v>
      </c>
      <c r="P702" s="426">
        <f t="shared" si="100"/>
        <v>5.0998725031874206E-3</v>
      </c>
      <c r="Q702" s="926">
        <f t="shared" si="101"/>
        <v>6.2167445813854664E-3</v>
      </c>
      <c r="R702" s="532">
        <f t="shared" si="96"/>
        <v>0.11587541068724821</v>
      </c>
    </row>
    <row r="703" spans="1:18" s="6" customFormat="1" ht="15.75">
      <c r="A703" s="275">
        <v>167</v>
      </c>
      <c r="B703" s="125" t="s">
        <v>1178</v>
      </c>
      <c r="C703" s="790">
        <v>37.799999999999997</v>
      </c>
      <c r="D703" s="790"/>
      <c r="E703" s="790"/>
      <c r="F703" s="438">
        <f t="shared" si="102"/>
        <v>37.799999999999997</v>
      </c>
      <c r="G703" s="404">
        <v>1100</v>
      </c>
      <c r="H703" s="404">
        <v>4</v>
      </c>
      <c r="I703" s="404">
        <v>5000</v>
      </c>
      <c r="J703" s="404">
        <v>0</v>
      </c>
      <c r="K703" s="701">
        <f t="shared" si="97"/>
        <v>1.6999575010624734E-3</v>
      </c>
      <c r="L703" s="702">
        <f t="shared" si="98"/>
        <v>0</v>
      </c>
      <c r="M703" s="426">
        <f t="shared" si="99"/>
        <v>3.4288312792180196</v>
      </c>
      <c r="N703" s="427">
        <f t="shared" si="103"/>
        <v>1.2607812613684659</v>
      </c>
      <c r="O703" s="426">
        <v>1.7436353087443015</v>
      </c>
      <c r="P703" s="426">
        <f t="shared" si="100"/>
        <v>1.6999575010624734E-3</v>
      </c>
      <c r="Q703" s="926">
        <f t="shared" si="101"/>
        <v>2.0722481937951553E-3</v>
      </c>
      <c r="R703" s="532">
        <f t="shared" si="96"/>
        <v>0.17023671446645106</v>
      </c>
    </row>
    <row r="704" spans="1:18" s="6" customFormat="1" ht="15.75">
      <c r="A704" s="275">
        <v>168</v>
      </c>
      <c r="B704" s="125" t="s">
        <v>1179</v>
      </c>
      <c r="C704" s="790">
        <v>55.5</v>
      </c>
      <c r="D704" s="790"/>
      <c r="E704" s="790"/>
      <c r="F704" s="438">
        <f t="shared" si="102"/>
        <v>55.5</v>
      </c>
      <c r="G704" s="404">
        <v>1100</v>
      </c>
      <c r="H704" s="404">
        <v>8</v>
      </c>
      <c r="I704" s="404">
        <v>5000</v>
      </c>
      <c r="J704" s="404">
        <v>0</v>
      </c>
      <c r="K704" s="701">
        <f t="shared" si="97"/>
        <v>3.3999150021249468E-3</v>
      </c>
      <c r="L704" s="702">
        <f t="shared" si="98"/>
        <v>0</v>
      </c>
      <c r="M704" s="426">
        <f t="shared" si="99"/>
        <v>6.8576625584360391</v>
      </c>
      <c r="N704" s="427">
        <f t="shared" si="103"/>
        <v>2.5215625227369318</v>
      </c>
      <c r="O704" s="426">
        <v>3.487270617488603</v>
      </c>
      <c r="P704" s="426">
        <f t="shared" si="100"/>
        <v>3.3999150021249468E-3</v>
      </c>
      <c r="Q704" s="926">
        <f t="shared" si="101"/>
        <v>4.1444963875903107E-3</v>
      </c>
      <c r="R704" s="532">
        <f t="shared" si="96"/>
        <v>0.23189001105700358</v>
      </c>
    </row>
    <row r="705" spans="1:18" s="6" customFormat="1" ht="15.75">
      <c r="A705" s="275">
        <v>169</v>
      </c>
      <c r="B705" s="125" t="s">
        <v>1180</v>
      </c>
      <c r="C705" s="790">
        <v>146.19999999999999</v>
      </c>
      <c r="D705" s="790"/>
      <c r="E705" s="790"/>
      <c r="F705" s="438">
        <f t="shared" si="102"/>
        <v>146.19999999999999</v>
      </c>
      <c r="G705" s="404">
        <v>1100</v>
      </c>
      <c r="H705" s="404">
        <v>12</v>
      </c>
      <c r="I705" s="404">
        <v>5000</v>
      </c>
      <c r="J705" s="404">
        <v>0</v>
      </c>
      <c r="K705" s="701">
        <f t="shared" si="97"/>
        <v>5.0998725031874206E-3</v>
      </c>
      <c r="L705" s="702">
        <f t="shared" si="98"/>
        <v>0</v>
      </c>
      <c r="M705" s="426">
        <f t="shared" si="99"/>
        <v>10.28649383765406</v>
      </c>
      <c r="N705" s="427">
        <f t="shared" si="103"/>
        <v>3.782343784105398</v>
      </c>
      <c r="O705" s="426">
        <v>5.2309059262329045</v>
      </c>
      <c r="P705" s="426">
        <f t="shared" si="100"/>
        <v>5.0998725031874206E-3</v>
      </c>
      <c r="Q705" s="926">
        <f t="shared" si="101"/>
        <v>6.2167445813854664E-3</v>
      </c>
      <c r="R705" s="532">
        <f t="shared" si="96"/>
        <v>0.13204407264360843</v>
      </c>
    </row>
    <row r="706" spans="1:18" s="6" customFormat="1" ht="15.75">
      <c r="A706" s="275">
        <v>170</v>
      </c>
      <c r="B706" s="125" t="s">
        <v>1181</v>
      </c>
      <c r="C706" s="790">
        <v>47.9</v>
      </c>
      <c r="D706" s="790"/>
      <c r="E706" s="790"/>
      <c r="F706" s="438">
        <f t="shared" si="102"/>
        <v>47.9</v>
      </c>
      <c r="G706" s="404">
        <v>1100</v>
      </c>
      <c r="H706" s="404">
        <v>6</v>
      </c>
      <c r="I706" s="404">
        <v>5000</v>
      </c>
      <c r="J706" s="404">
        <v>0</v>
      </c>
      <c r="K706" s="701">
        <f t="shared" si="97"/>
        <v>2.5499362515937103E-3</v>
      </c>
      <c r="L706" s="702">
        <f t="shared" si="98"/>
        <v>0</v>
      </c>
      <c r="M706" s="426">
        <f t="shared" si="99"/>
        <v>5.14324691882703</v>
      </c>
      <c r="N706" s="427">
        <f t="shared" si="103"/>
        <v>1.891171892052699</v>
      </c>
      <c r="O706" s="426">
        <v>2.6154529631164523</v>
      </c>
      <c r="P706" s="426">
        <f t="shared" si="100"/>
        <v>2.5499362515937103E-3</v>
      </c>
      <c r="Q706" s="926">
        <f t="shared" si="101"/>
        <v>3.1083722906927332E-3</v>
      </c>
      <c r="R706" s="532">
        <f t="shared" si="96"/>
        <v>0.2015119354957782</v>
      </c>
    </row>
    <row r="707" spans="1:18" s="6" customFormat="1" ht="15.75">
      <c r="A707" s="275">
        <v>171</v>
      </c>
      <c r="B707" s="125" t="s">
        <v>1182</v>
      </c>
      <c r="C707" s="790">
        <v>72.400000000000006</v>
      </c>
      <c r="D707" s="790"/>
      <c r="E707" s="790"/>
      <c r="F707" s="438">
        <f t="shared" si="102"/>
        <v>72.400000000000006</v>
      </c>
      <c r="G707" s="404">
        <v>1100</v>
      </c>
      <c r="H707" s="404">
        <v>8</v>
      </c>
      <c r="I707" s="404">
        <v>5000</v>
      </c>
      <c r="J707" s="404">
        <v>0</v>
      </c>
      <c r="K707" s="701">
        <f t="shared" si="97"/>
        <v>3.3999150021249468E-3</v>
      </c>
      <c r="L707" s="702">
        <f t="shared" si="98"/>
        <v>0</v>
      </c>
      <c r="M707" s="426">
        <f t="shared" si="99"/>
        <v>6.8576625584360391</v>
      </c>
      <c r="N707" s="427">
        <f t="shared" si="103"/>
        <v>2.5215625227369318</v>
      </c>
      <c r="O707" s="426">
        <v>3.487270617488603</v>
      </c>
      <c r="P707" s="426">
        <f t="shared" si="100"/>
        <v>3.3999150021249468E-3</v>
      </c>
      <c r="Q707" s="926">
        <f t="shared" si="101"/>
        <v>4.1444963875903107E-3</v>
      </c>
      <c r="R707" s="532">
        <f t="shared" si="96"/>
        <v>0.17776098913900135</v>
      </c>
    </row>
    <row r="708" spans="1:18" s="6" customFormat="1" ht="15.75">
      <c r="A708" s="275">
        <v>172</v>
      </c>
      <c r="B708" s="125" t="s">
        <v>1183</v>
      </c>
      <c r="C708" s="790">
        <v>73</v>
      </c>
      <c r="D708" s="790"/>
      <c r="E708" s="790"/>
      <c r="F708" s="438">
        <f t="shared" si="102"/>
        <v>73</v>
      </c>
      <c r="G708" s="404">
        <v>1100</v>
      </c>
      <c r="H708" s="404">
        <v>7</v>
      </c>
      <c r="I708" s="404">
        <v>5000</v>
      </c>
      <c r="J708" s="404">
        <v>0</v>
      </c>
      <c r="K708" s="701">
        <f t="shared" si="97"/>
        <v>2.9749256268593286E-3</v>
      </c>
      <c r="L708" s="702">
        <f t="shared" si="98"/>
        <v>0</v>
      </c>
      <c r="M708" s="426">
        <f t="shared" si="99"/>
        <v>6.0004547386315341</v>
      </c>
      <c r="N708" s="427">
        <f t="shared" si="103"/>
        <v>2.2063672073948153</v>
      </c>
      <c r="O708" s="426">
        <v>4.0684823870700368</v>
      </c>
      <c r="P708" s="426">
        <f t="shared" si="100"/>
        <v>2.9749256268593286E-3</v>
      </c>
      <c r="Q708" s="926">
        <f t="shared" si="101"/>
        <v>3.6264343391415217E-3</v>
      </c>
      <c r="R708" s="532">
        <f t="shared" si="96"/>
        <v>0.16819560628388006</v>
      </c>
    </row>
    <row r="709" spans="1:18" s="6" customFormat="1" ht="15.75">
      <c r="A709" s="275">
        <v>173</v>
      </c>
      <c r="B709" s="125" t="s">
        <v>1184</v>
      </c>
      <c r="C709" s="790">
        <v>110</v>
      </c>
      <c r="D709" s="790"/>
      <c r="E709" s="790"/>
      <c r="F709" s="438">
        <f t="shared" si="102"/>
        <v>110</v>
      </c>
      <c r="G709" s="404">
        <v>1100</v>
      </c>
      <c r="H709" s="404">
        <v>6</v>
      </c>
      <c r="I709" s="404">
        <v>5000</v>
      </c>
      <c r="J709" s="404">
        <v>0</v>
      </c>
      <c r="K709" s="701">
        <f t="shared" si="97"/>
        <v>2.5499362515937103E-3</v>
      </c>
      <c r="L709" s="702">
        <f t="shared" si="98"/>
        <v>0</v>
      </c>
      <c r="M709" s="426">
        <f t="shared" si="99"/>
        <v>5.14324691882703</v>
      </c>
      <c r="N709" s="427">
        <f t="shared" si="103"/>
        <v>1.891171892052699</v>
      </c>
      <c r="O709" s="426">
        <v>2.6154529631164523</v>
      </c>
      <c r="P709" s="426">
        <f t="shared" si="100"/>
        <v>2.5499362515937103E-3</v>
      </c>
      <c r="Q709" s="926">
        <f t="shared" si="101"/>
        <v>3.1083722906927332E-3</v>
      </c>
      <c r="R709" s="532">
        <f t="shared" si="96"/>
        <v>8.7749288274979784E-2</v>
      </c>
    </row>
    <row r="710" spans="1:18" s="6" customFormat="1" ht="15.75">
      <c r="A710" s="275">
        <v>174</v>
      </c>
      <c r="B710" s="125" t="s">
        <v>1185</v>
      </c>
      <c r="C710" s="790">
        <v>382</v>
      </c>
      <c r="D710" s="790"/>
      <c r="E710" s="790"/>
      <c r="F710" s="438">
        <f t="shared" si="102"/>
        <v>382</v>
      </c>
      <c r="G710" s="404">
        <v>1100</v>
      </c>
      <c r="H710" s="404">
        <v>10</v>
      </c>
      <c r="I710" s="404">
        <v>5000</v>
      </c>
      <c r="J710" s="404">
        <v>0</v>
      </c>
      <c r="K710" s="701">
        <f t="shared" si="97"/>
        <v>4.2498937526561833E-3</v>
      </c>
      <c r="L710" s="702">
        <f t="shared" si="98"/>
        <v>0</v>
      </c>
      <c r="M710" s="426">
        <f t="shared" si="99"/>
        <v>8.5720781980450482</v>
      </c>
      <c r="N710" s="427">
        <f t="shared" si="103"/>
        <v>3.1519531534211644</v>
      </c>
      <c r="O710" s="426">
        <v>4.3590882718607542</v>
      </c>
      <c r="P710" s="426">
        <f t="shared" si="100"/>
        <v>4.2498937526561833E-3</v>
      </c>
      <c r="Q710" s="926">
        <f t="shared" si="101"/>
        <v>5.1806204844878877E-3</v>
      </c>
      <c r="R710" s="532">
        <f t="shared" si="96"/>
        <v>4.2113532767224141E-2</v>
      </c>
    </row>
    <row r="711" spans="1:18" s="6" customFormat="1" ht="15.75">
      <c r="A711" s="275">
        <v>175</v>
      </c>
      <c r="B711" s="125" t="s">
        <v>1186</v>
      </c>
      <c r="C711" s="790">
        <v>226.9</v>
      </c>
      <c r="D711" s="790"/>
      <c r="E711" s="790"/>
      <c r="F711" s="438">
        <f t="shared" si="102"/>
        <v>226.9</v>
      </c>
      <c r="G711" s="404">
        <v>1100</v>
      </c>
      <c r="H711" s="404">
        <v>9</v>
      </c>
      <c r="I711" s="404">
        <v>5000</v>
      </c>
      <c r="J711" s="404">
        <v>0</v>
      </c>
      <c r="K711" s="701">
        <f t="shared" si="97"/>
        <v>3.824904377390565E-3</v>
      </c>
      <c r="L711" s="702">
        <f t="shared" si="98"/>
        <v>0</v>
      </c>
      <c r="M711" s="426">
        <f t="shared" si="99"/>
        <v>7.7148703782405432</v>
      </c>
      <c r="N711" s="427">
        <f t="shared" si="103"/>
        <v>2.8367578380790479</v>
      </c>
      <c r="O711" s="426">
        <v>3.9231794446746782</v>
      </c>
      <c r="P711" s="426">
        <f t="shared" si="100"/>
        <v>3.824904377390565E-3</v>
      </c>
      <c r="Q711" s="926">
        <f t="shared" si="101"/>
        <v>4.6625584360390987E-3</v>
      </c>
      <c r="R711" s="532">
        <f t="shared" ref="R711:R774" si="104">(P711+O711+N711+M711)/F711</f>
        <v>6.3810632725304808E-2</v>
      </c>
    </row>
    <row r="712" spans="1:18" s="6" customFormat="1" ht="15.75">
      <c r="A712" s="275">
        <v>176</v>
      </c>
      <c r="B712" s="125" t="s">
        <v>1187</v>
      </c>
      <c r="C712" s="790">
        <v>142.6</v>
      </c>
      <c r="D712" s="790"/>
      <c r="E712" s="790"/>
      <c r="F712" s="438">
        <f t="shared" si="102"/>
        <v>142.6</v>
      </c>
      <c r="G712" s="404">
        <v>1100</v>
      </c>
      <c r="H712" s="404">
        <v>10</v>
      </c>
      <c r="I712" s="404">
        <v>5000</v>
      </c>
      <c r="J712" s="404">
        <v>0</v>
      </c>
      <c r="K712" s="701">
        <f t="shared" si="97"/>
        <v>4.2498937526561833E-3</v>
      </c>
      <c r="L712" s="702">
        <f t="shared" si="98"/>
        <v>0</v>
      </c>
      <c r="M712" s="426">
        <f t="shared" si="99"/>
        <v>8.5720781980450482</v>
      </c>
      <c r="N712" s="427">
        <f t="shared" si="103"/>
        <v>3.1519531534211644</v>
      </c>
      <c r="O712" s="426">
        <v>4.3590882718607542</v>
      </c>
      <c r="P712" s="426">
        <f t="shared" si="100"/>
        <v>4.2498937526561833E-3</v>
      </c>
      <c r="Q712" s="926">
        <f t="shared" si="101"/>
        <v>5.1806204844878877E-3</v>
      </c>
      <c r="R712" s="532">
        <f t="shared" si="104"/>
        <v>0.11281465299494826</v>
      </c>
    </row>
    <row r="713" spans="1:18" s="6" customFormat="1" ht="15.75">
      <c r="A713" s="275">
        <v>177</v>
      </c>
      <c r="B713" s="125" t="s">
        <v>1188</v>
      </c>
      <c r="C713" s="790">
        <v>428.31</v>
      </c>
      <c r="D713" s="790"/>
      <c r="E713" s="790"/>
      <c r="F713" s="438">
        <f t="shared" si="102"/>
        <v>428.31</v>
      </c>
      <c r="G713" s="404">
        <v>1100</v>
      </c>
      <c r="H713" s="404">
        <v>48</v>
      </c>
      <c r="I713" s="404">
        <v>5000</v>
      </c>
      <c r="J713" s="404">
        <v>0</v>
      </c>
      <c r="K713" s="701">
        <f t="shared" si="97"/>
        <v>2.0399490012749683E-2</v>
      </c>
      <c r="L713" s="702">
        <f t="shared" si="98"/>
        <v>0</v>
      </c>
      <c r="M713" s="426">
        <f t="shared" si="99"/>
        <v>41.14597535061624</v>
      </c>
      <c r="N713" s="427">
        <f t="shared" si="103"/>
        <v>15.129375136421592</v>
      </c>
      <c r="O713" s="426">
        <v>20.923623704931618</v>
      </c>
      <c r="P713" s="426">
        <f t="shared" si="100"/>
        <v>2.0399490012749683E-2</v>
      </c>
      <c r="Q713" s="926">
        <f t="shared" si="101"/>
        <v>2.4866978325541866E-2</v>
      </c>
      <c r="R713" s="532">
        <f t="shared" si="104"/>
        <v>0.18028851458518877</v>
      </c>
    </row>
    <row r="714" spans="1:18" s="6" customFormat="1" ht="15.75">
      <c r="A714" s="275">
        <v>178</v>
      </c>
      <c r="B714" s="125" t="s">
        <v>1189</v>
      </c>
      <c r="C714" s="790">
        <v>744.3</v>
      </c>
      <c r="D714" s="790"/>
      <c r="E714" s="790"/>
      <c r="F714" s="438">
        <f t="shared" si="102"/>
        <v>744.3</v>
      </c>
      <c r="G714" s="404">
        <v>1100</v>
      </c>
      <c r="H714" s="404">
        <v>46</v>
      </c>
      <c r="I714" s="404">
        <v>5000</v>
      </c>
      <c r="J714" s="404">
        <v>0</v>
      </c>
      <c r="K714" s="701">
        <f t="shared" si="97"/>
        <v>1.9549511262218443E-2</v>
      </c>
      <c r="L714" s="702">
        <f t="shared" si="98"/>
        <v>0</v>
      </c>
      <c r="M714" s="426">
        <f t="shared" si="99"/>
        <v>39.431559711007225</v>
      </c>
      <c r="N714" s="427">
        <f t="shared" si="103"/>
        <v>14.498984505737358</v>
      </c>
      <c r="O714" s="426">
        <v>20.051806050559467</v>
      </c>
      <c r="P714" s="426">
        <f t="shared" si="100"/>
        <v>1.9549511262218443E-2</v>
      </c>
      <c r="Q714" s="926">
        <f t="shared" si="101"/>
        <v>2.3830854228644283E-2</v>
      </c>
      <c r="R714" s="532">
        <f t="shared" si="104"/>
        <v>9.9424828400599588E-2</v>
      </c>
    </row>
    <row r="715" spans="1:18" s="6" customFormat="1" ht="15.75">
      <c r="A715" s="275">
        <v>179</v>
      </c>
      <c r="B715" s="125" t="s">
        <v>1190</v>
      </c>
      <c r="C715" s="790">
        <v>1084.5899999999999</v>
      </c>
      <c r="D715" s="790"/>
      <c r="E715" s="790"/>
      <c r="F715" s="438">
        <f t="shared" si="102"/>
        <v>1084.5899999999999</v>
      </c>
      <c r="G715" s="404">
        <v>1100</v>
      </c>
      <c r="H715" s="404">
        <v>48</v>
      </c>
      <c r="I715" s="404">
        <v>5000</v>
      </c>
      <c r="J715" s="404">
        <v>0</v>
      </c>
      <c r="K715" s="701">
        <f t="shared" si="97"/>
        <v>2.0399490012749683E-2</v>
      </c>
      <c r="L715" s="702">
        <f t="shared" si="98"/>
        <v>0</v>
      </c>
      <c r="M715" s="426">
        <f t="shared" si="99"/>
        <v>41.14597535061624</v>
      </c>
      <c r="N715" s="427">
        <f t="shared" si="103"/>
        <v>15.129375136421592</v>
      </c>
      <c r="O715" s="426">
        <v>20.923623704931618</v>
      </c>
      <c r="P715" s="426">
        <f t="shared" si="100"/>
        <v>2.0399490012749683E-2</v>
      </c>
      <c r="Q715" s="926">
        <f t="shared" si="101"/>
        <v>2.4866978325541866E-2</v>
      </c>
      <c r="R715" s="532">
        <f t="shared" si="104"/>
        <v>7.119683353339254E-2</v>
      </c>
    </row>
    <row r="716" spans="1:18" s="6" customFormat="1" ht="15.75">
      <c r="A716" s="275">
        <v>180</v>
      </c>
      <c r="B716" s="125" t="s">
        <v>1191</v>
      </c>
      <c r="C716" s="790">
        <v>1069.71</v>
      </c>
      <c r="D716" s="790"/>
      <c r="E716" s="790"/>
      <c r="F716" s="438">
        <f t="shared" si="102"/>
        <v>1069.71</v>
      </c>
      <c r="G716" s="404">
        <v>1100</v>
      </c>
      <c r="H716" s="404">
        <v>48</v>
      </c>
      <c r="I716" s="404">
        <v>5000</v>
      </c>
      <c r="J716" s="404">
        <v>0</v>
      </c>
      <c r="K716" s="701">
        <f t="shared" si="97"/>
        <v>2.0399490012749683E-2</v>
      </c>
      <c r="L716" s="702">
        <f t="shared" si="98"/>
        <v>0</v>
      </c>
      <c r="M716" s="426">
        <f t="shared" si="99"/>
        <v>41.14597535061624</v>
      </c>
      <c r="N716" s="427">
        <f t="shared" si="103"/>
        <v>15.129375136421592</v>
      </c>
      <c r="O716" s="426">
        <v>20.923623704931618</v>
      </c>
      <c r="P716" s="426">
        <f t="shared" si="100"/>
        <v>2.0399490012749683E-2</v>
      </c>
      <c r="Q716" s="926">
        <f t="shared" si="101"/>
        <v>2.4866978325541866E-2</v>
      </c>
      <c r="R716" s="532">
        <f t="shared" si="104"/>
        <v>7.2187203711269604E-2</v>
      </c>
    </row>
    <row r="717" spans="1:18" s="6" customFormat="1" ht="15.75">
      <c r="A717" s="275">
        <v>181</v>
      </c>
      <c r="B717" s="125" t="s">
        <v>1192</v>
      </c>
      <c r="C717" s="790">
        <v>196.8</v>
      </c>
      <c r="D717" s="790"/>
      <c r="E717" s="790"/>
      <c r="F717" s="438">
        <f t="shared" si="102"/>
        <v>196.8</v>
      </c>
      <c r="G717" s="404">
        <v>1100</v>
      </c>
      <c r="H717" s="404">
        <v>8</v>
      </c>
      <c r="I717" s="404">
        <v>5000</v>
      </c>
      <c r="J717" s="404">
        <v>0</v>
      </c>
      <c r="K717" s="701">
        <f t="shared" si="97"/>
        <v>3.3999150021249468E-3</v>
      </c>
      <c r="L717" s="702">
        <f t="shared" si="98"/>
        <v>0</v>
      </c>
      <c r="M717" s="426">
        <f t="shared" si="99"/>
        <v>6.8576625584360391</v>
      </c>
      <c r="N717" s="427">
        <f t="shared" si="103"/>
        <v>2.5215625227369318</v>
      </c>
      <c r="O717" s="426">
        <v>3.487270617488603</v>
      </c>
      <c r="P717" s="426">
        <f t="shared" si="100"/>
        <v>3.3999150021249468E-3</v>
      </c>
      <c r="Q717" s="926">
        <f t="shared" si="101"/>
        <v>4.1444963875903107E-3</v>
      </c>
      <c r="R717" s="532">
        <f t="shared" si="104"/>
        <v>6.5395811045039123E-2</v>
      </c>
    </row>
    <row r="718" spans="1:18" s="6" customFormat="1" ht="15.75">
      <c r="A718" s="275">
        <v>182</v>
      </c>
      <c r="B718" s="125" t="s">
        <v>1193</v>
      </c>
      <c r="C718" s="790">
        <v>625.9</v>
      </c>
      <c r="D718" s="790"/>
      <c r="E718" s="790"/>
      <c r="F718" s="438">
        <f t="shared" si="102"/>
        <v>625.9</v>
      </c>
      <c r="G718" s="404">
        <v>1100</v>
      </c>
      <c r="H718" s="404">
        <v>6</v>
      </c>
      <c r="I718" s="404">
        <v>5000</v>
      </c>
      <c r="J718" s="404">
        <v>0</v>
      </c>
      <c r="K718" s="701">
        <f t="shared" si="97"/>
        <v>2.5499362515937103E-3</v>
      </c>
      <c r="L718" s="702">
        <f t="shared" si="98"/>
        <v>0</v>
      </c>
      <c r="M718" s="426">
        <f t="shared" si="99"/>
        <v>5.14324691882703</v>
      </c>
      <c r="N718" s="427">
        <f t="shared" si="103"/>
        <v>1.891171892052699</v>
      </c>
      <c r="O718" s="426">
        <v>2.6154529631164523</v>
      </c>
      <c r="P718" s="426">
        <f t="shared" si="100"/>
        <v>2.5499362515937103E-3</v>
      </c>
      <c r="Q718" s="926">
        <f t="shared" si="101"/>
        <v>3.1083722906927332E-3</v>
      </c>
      <c r="R718" s="532">
        <f t="shared" si="104"/>
        <v>1.5421667535145832E-2</v>
      </c>
    </row>
    <row r="719" spans="1:18" s="6" customFormat="1" ht="15.75">
      <c r="A719" s="275">
        <v>183</v>
      </c>
      <c r="B719" s="125" t="s">
        <v>1194</v>
      </c>
      <c r="C719" s="790">
        <v>127.5</v>
      </c>
      <c r="D719" s="790"/>
      <c r="E719" s="790"/>
      <c r="F719" s="438">
        <f t="shared" si="102"/>
        <v>127.5</v>
      </c>
      <c r="G719" s="404">
        <v>1100</v>
      </c>
      <c r="H719" s="404">
        <v>10</v>
      </c>
      <c r="I719" s="404">
        <v>5000</v>
      </c>
      <c r="J719" s="404">
        <v>3</v>
      </c>
      <c r="K719" s="701">
        <f t="shared" si="97"/>
        <v>4.2498937526561833E-3</v>
      </c>
      <c r="L719" s="702">
        <f t="shared" si="98"/>
        <v>3.7239324726911615E-4</v>
      </c>
      <c r="M719" s="426">
        <f t="shared" si="99"/>
        <v>9.3231991017193288</v>
      </c>
      <c r="N719" s="427">
        <f t="shared" si="103"/>
        <v>3.4281403097021976</v>
      </c>
      <c r="O719" s="426">
        <v>4.7494326558290867</v>
      </c>
      <c r="P719" s="426">
        <f t="shared" si="100"/>
        <v>7.3008582928425783E-2</v>
      </c>
      <c r="Q719" s="926">
        <f t="shared" si="101"/>
        <v>8.8997462589751039E-2</v>
      </c>
      <c r="R719" s="532">
        <f t="shared" si="104"/>
        <v>0.13783357372689442</v>
      </c>
    </row>
    <row r="720" spans="1:18" s="6" customFormat="1" ht="15.75">
      <c r="A720" s="275">
        <v>184</v>
      </c>
      <c r="B720" s="125" t="s">
        <v>1195</v>
      </c>
      <c r="C720" s="790">
        <v>561.25</v>
      </c>
      <c r="D720" s="790"/>
      <c r="E720" s="790"/>
      <c r="F720" s="438">
        <f t="shared" si="102"/>
        <v>561.25</v>
      </c>
      <c r="G720" s="404">
        <v>1100</v>
      </c>
      <c r="H720" s="404">
        <v>30</v>
      </c>
      <c r="I720" s="404">
        <v>5000</v>
      </c>
      <c r="J720" s="404">
        <v>6</v>
      </c>
      <c r="K720" s="701">
        <f t="shared" si="97"/>
        <v>1.274968125796855E-2</v>
      </c>
      <c r="L720" s="702">
        <f t="shared" si="98"/>
        <v>7.447864945382323E-4</v>
      </c>
      <c r="M720" s="426">
        <f t="shared" si="99"/>
        <v>27.218476401483706</v>
      </c>
      <c r="N720" s="427">
        <f t="shared" si="103"/>
        <v>10.008233772825559</v>
      </c>
      <c r="O720" s="426">
        <v>13.857953583518926</v>
      </c>
      <c r="P720" s="426">
        <f t="shared" si="100"/>
        <v>0.15026705960950776</v>
      </c>
      <c r="Q720" s="926">
        <f t="shared" si="101"/>
        <v>0.18317554566398997</v>
      </c>
      <c r="R720" s="532">
        <f t="shared" si="104"/>
        <v>9.1287181857350019E-2</v>
      </c>
    </row>
    <row r="721" spans="1:18" s="6" customFormat="1" ht="15.75">
      <c r="A721" s="275">
        <v>185</v>
      </c>
      <c r="B721" s="125" t="s">
        <v>1196</v>
      </c>
      <c r="C721" s="790">
        <v>122.9</v>
      </c>
      <c r="D721" s="790"/>
      <c r="E721" s="790"/>
      <c r="F721" s="438">
        <f t="shared" si="102"/>
        <v>122.9</v>
      </c>
      <c r="G721" s="404">
        <v>1100</v>
      </c>
      <c r="H721" s="404">
        <v>5</v>
      </c>
      <c r="I721" s="404">
        <v>5000</v>
      </c>
      <c r="J721" s="404">
        <v>2</v>
      </c>
      <c r="K721" s="701">
        <f t="shared" si="97"/>
        <v>2.1249468763280916E-3</v>
      </c>
      <c r="L721" s="702">
        <f t="shared" si="98"/>
        <v>2.4826216484607745E-4</v>
      </c>
      <c r="M721" s="426">
        <f t="shared" si="99"/>
        <v>4.7867863681387108</v>
      </c>
      <c r="N721" s="427">
        <f t="shared" si="103"/>
        <v>1.7601013475646041</v>
      </c>
      <c r="O721" s="426">
        <v>2.4397737252425986</v>
      </c>
      <c r="P721" s="426">
        <f t="shared" si="100"/>
        <v>4.7964072993507828E-2</v>
      </c>
      <c r="Q721" s="926">
        <f t="shared" si="101"/>
        <v>5.8468204979086044E-2</v>
      </c>
      <c r="R721" s="532">
        <f t="shared" si="104"/>
        <v>7.3512005809108383E-2</v>
      </c>
    </row>
    <row r="722" spans="1:18" s="6" customFormat="1" ht="15.75">
      <c r="A722" s="275">
        <v>186</v>
      </c>
      <c r="B722" s="125" t="s">
        <v>1197</v>
      </c>
      <c r="C722" s="790">
        <v>82.5</v>
      </c>
      <c r="D722" s="790"/>
      <c r="E722" s="790"/>
      <c r="F722" s="438">
        <f t="shared" si="102"/>
        <v>82.5</v>
      </c>
      <c r="G722" s="404">
        <v>1100</v>
      </c>
      <c r="H722" s="404">
        <v>1</v>
      </c>
      <c r="I722" s="404">
        <v>5000</v>
      </c>
      <c r="J722" s="404">
        <v>1</v>
      </c>
      <c r="K722" s="701">
        <f t="shared" si="97"/>
        <v>4.2498937526561835E-4</v>
      </c>
      <c r="L722" s="702">
        <f t="shared" si="98"/>
        <v>1.2413108242303873E-4</v>
      </c>
      <c r="M722" s="426">
        <f t="shared" si="99"/>
        <v>1.1075814543625984</v>
      </c>
      <c r="N722" s="427">
        <f t="shared" si="103"/>
        <v>0.40725770076912743</v>
      </c>
      <c r="O722" s="426">
        <v>0.66036089214921712</v>
      </c>
      <c r="P722" s="426">
        <f t="shared" si="100"/>
        <v>2.3344552433855487E-2</v>
      </c>
      <c r="Q722" s="926">
        <f t="shared" si="101"/>
        <v>2.8457009416869843E-2</v>
      </c>
      <c r="R722" s="532">
        <f t="shared" si="104"/>
        <v>2.6649025451088465E-2</v>
      </c>
    </row>
    <row r="723" spans="1:18" s="6" customFormat="1" ht="15.75">
      <c r="A723" s="275">
        <v>187</v>
      </c>
      <c r="B723" s="125" t="s">
        <v>1198</v>
      </c>
      <c r="C723" s="790">
        <v>118.7</v>
      </c>
      <c r="D723" s="790"/>
      <c r="E723" s="790"/>
      <c r="F723" s="438">
        <f t="shared" si="102"/>
        <v>118.7</v>
      </c>
      <c r="G723" s="404">
        <v>1100</v>
      </c>
      <c r="H723" s="404">
        <v>7</v>
      </c>
      <c r="I723" s="404">
        <v>5000</v>
      </c>
      <c r="J723" s="404">
        <v>3</v>
      </c>
      <c r="K723" s="701">
        <f t="shared" si="97"/>
        <v>2.9749256268593286E-3</v>
      </c>
      <c r="L723" s="702">
        <f t="shared" si="98"/>
        <v>3.7239324726911615E-4</v>
      </c>
      <c r="M723" s="426">
        <f t="shared" si="99"/>
        <v>6.7515756423058146</v>
      </c>
      <c r="N723" s="427">
        <f t="shared" si="103"/>
        <v>2.482554363675848</v>
      </c>
      <c r="O723" s="426">
        <v>3.4417061742708603</v>
      </c>
      <c r="P723" s="426">
        <f t="shared" si="100"/>
        <v>7.1733614802628937E-2</v>
      </c>
      <c r="Q723" s="926">
        <f t="shared" si="101"/>
        <v>8.744327644440468E-2</v>
      </c>
      <c r="R723" s="532">
        <f t="shared" si="104"/>
        <v>0.10739317434755816</v>
      </c>
    </row>
    <row r="724" spans="1:18" s="6" customFormat="1" ht="15.75">
      <c r="A724" s="275">
        <v>188</v>
      </c>
      <c r="B724" s="125" t="s">
        <v>1199</v>
      </c>
      <c r="C724" s="790">
        <v>113.8</v>
      </c>
      <c r="D724" s="790"/>
      <c r="E724" s="790"/>
      <c r="F724" s="438">
        <f t="shared" si="102"/>
        <v>113.8</v>
      </c>
      <c r="G724" s="404">
        <v>1100</v>
      </c>
      <c r="H724" s="404">
        <v>7</v>
      </c>
      <c r="I724" s="404">
        <v>5000</v>
      </c>
      <c r="J724" s="404">
        <v>3</v>
      </c>
      <c r="K724" s="701">
        <f t="shared" si="97"/>
        <v>2.9749256268593286E-3</v>
      </c>
      <c r="L724" s="702">
        <f t="shared" si="98"/>
        <v>3.7239324726911615E-4</v>
      </c>
      <c r="M724" s="426">
        <f t="shared" si="99"/>
        <v>6.7515756423058146</v>
      </c>
      <c r="N724" s="427">
        <f t="shared" si="103"/>
        <v>2.482554363675848</v>
      </c>
      <c r="O724" s="426">
        <v>3.4417061742708603</v>
      </c>
      <c r="P724" s="426">
        <f t="shared" si="100"/>
        <v>7.1733614802628937E-2</v>
      </c>
      <c r="Q724" s="926">
        <f t="shared" si="101"/>
        <v>8.744327644440468E-2</v>
      </c>
      <c r="R724" s="532">
        <f t="shared" si="104"/>
        <v>0.11201730927113492</v>
      </c>
    </row>
    <row r="725" spans="1:18" s="6" customFormat="1" ht="15.75">
      <c r="A725" s="275">
        <v>189</v>
      </c>
      <c r="B725" s="125" t="s">
        <v>1200</v>
      </c>
      <c r="C725" s="790">
        <v>294</v>
      </c>
      <c r="D725" s="790"/>
      <c r="E725" s="790"/>
      <c r="F725" s="438">
        <f t="shared" si="102"/>
        <v>294</v>
      </c>
      <c r="G725" s="404">
        <v>1100</v>
      </c>
      <c r="H725" s="404">
        <v>2</v>
      </c>
      <c r="I725" s="404">
        <v>5000</v>
      </c>
      <c r="J725" s="404">
        <v>2</v>
      </c>
      <c r="K725" s="701">
        <f t="shared" si="97"/>
        <v>8.499787505312367E-4</v>
      </c>
      <c r="L725" s="702">
        <f t="shared" si="98"/>
        <v>2.4826216484607745E-4</v>
      </c>
      <c r="M725" s="426">
        <f t="shared" si="99"/>
        <v>2.2151629087251967</v>
      </c>
      <c r="N725" s="427">
        <f t="shared" si="103"/>
        <v>0.81451540153825486</v>
      </c>
      <c r="O725" s="426">
        <v>1.1320472436843723</v>
      </c>
      <c r="P725" s="426">
        <f t="shared" si="100"/>
        <v>4.6689104867710975E-2</v>
      </c>
      <c r="Q725" s="926">
        <f t="shared" si="101"/>
        <v>5.6914018833739685E-2</v>
      </c>
      <c r="R725" s="532">
        <f t="shared" si="104"/>
        <v>1.4314335574202499E-2</v>
      </c>
    </row>
    <row r="726" spans="1:18" s="6" customFormat="1" ht="15.75">
      <c r="A726" s="275">
        <v>190</v>
      </c>
      <c r="B726" s="125" t="s">
        <v>1201</v>
      </c>
      <c r="C726" s="790">
        <v>38.6</v>
      </c>
      <c r="D726" s="790"/>
      <c r="E726" s="790"/>
      <c r="F726" s="438">
        <f t="shared" si="102"/>
        <v>38.6</v>
      </c>
      <c r="G726" s="404">
        <v>1100</v>
      </c>
      <c r="H726" s="404">
        <v>4</v>
      </c>
      <c r="I726" s="404">
        <v>5000</v>
      </c>
      <c r="J726" s="404">
        <v>2</v>
      </c>
      <c r="K726" s="701">
        <f t="shared" si="97"/>
        <v>1.6999575010624734E-3</v>
      </c>
      <c r="L726" s="702">
        <f t="shared" si="98"/>
        <v>2.4826216484607745E-4</v>
      </c>
      <c r="M726" s="426">
        <f t="shared" si="99"/>
        <v>3.9295785483342063</v>
      </c>
      <c r="N726" s="427">
        <f t="shared" si="103"/>
        <v>1.4449060322224878</v>
      </c>
      <c r="O726" s="426">
        <v>2.003864898056523</v>
      </c>
      <c r="P726" s="426">
        <f t="shared" si="100"/>
        <v>4.753908361824221E-2</v>
      </c>
      <c r="Q726" s="926">
        <f t="shared" si="101"/>
        <v>5.7950142930637258E-2</v>
      </c>
      <c r="R726" s="532">
        <f t="shared" si="104"/>
        <v>0.19238053270029687</v>
      </c>
    </row>
    <row r="727" spans="1:18" s="6" customFormat="1" ht="15.75">
      <c r="A727" s="275">
        <v>191</v>
      </c>
      <c r="B727" s="125" t="s">
        <v>1202</v>
      </c>
      <c r="C727" s="790">
        <v>295.8</v>
      </c>
      <c r="D727" s="790"/>
      <c r="E727" s="790"/>
      <c r="F727" s="438">
        <f t="shared" si="102"/>
        <v>295.8</v>
      </c>
      <c r="G727" s="404">
        <v>1100</v>
      </c>
      <c r="H727" s="404">
        <v>13</v>
      </c>
      <c r="I727" s="404">
        <v>5000</v>
      </c>
      <c r="J727" s="404">
        <v>5</v>
      </c>
      <c r="K727" s="701">
        <f t="shared" si="97"/>
        <v>5.5248618784530384E-3</v>
      </c>
      <c r="L727" s="702">
        <f t="shared" si="98"/>
        <v>6.2065541211519366E-4</v>
      </c>
      <c r="M727" s="426">
        <f t="shared" si="99"/>
        <v>12.39556983024903</v>
      </c>
      <c r="N727" s="427">
        <f t="shared" si="103"/>
        <v>4.5578510265825685</v>
      </c>
      <c r="O727" s="426">
        <v>6.3173887266995337</v>
      </c>
      <c r="P727" s="426">
        <f t="shared" si="100"/>
        <v>0.12012267717140239</v>
      </c>
      <c r="Q727" s="926">
        <f t="shared" si="101"/>
        <v>0.14642954347193951</v>
      </c>
      <c r="R727" s="532">
        <f t="shared" si="104"/>
        <v>7.9076850103794907E-2</v>
      </c>
    </row>
    <row r="728" spans="1:18" s="6" customFormat="1" ht="15.75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438">
        <f t="shared" si="102"/>
        <v>2954.3</v>
      </c>
      <c r="G728" s="404">
        <v>1100</v>
      </c>
      <c r="H728" s="404">
        <v>20</v>
      </c>
      <c r="I728" s="404">
        <v>5000</v>
      </c>
      <c r="J728" s="404">
        <v>40</v>
      </c>
      <c r="K728" s="701">
        <f t="shared" si="97"/>
        <v>8.4997875053123666E-3</v>
      </c>
      <c r="L728" s="702">
        <f t="shared" si="98"/>
        <v>4.9652432969215492E-3</v>
      </c>
      <c r="M728" s="426">
        <f t="shared" si="99"/>
        <v>27.159101778413831</v>
      </c>
      <c r="N728" s="427">
        <f t="shared" si="103"/>
        <v>9.986401723922766</v>
      </c>
      <c r="O728" s="426">
        <v>13.92276832996594</v>
      </c>
      <c r="P728" s="426">
        <f t="shared" si="100"/>
        <v>0.92528230984890714</v>
      </c>
      <c r="Q728" s="926">
        <f t="shared" si="101"/>
        <v>1.1279191357058178</v>
      </c>
      <c r="R728" s="532">
        <f t="shared" si="104"/>
        <v>1.7599280419101457E-2</v>
      </c>
    </row>
    <row r="729" spans="1:18" s="6" customFormat="1" ht="15.75">
      <c r="A729" s="275">
        <v>193</v>
      </c>
      <c r="B729" s="125" t="s">
        <v>771</v>
      </c>
      <c r="C729" s="790">
        <v>601.58000000000004</v>
      </c>
      <c r="D729" s="790"/>
      <c r="E729" s="790"/>
      <c r="F729" s="438">
        <f t="shared" si="102"/>
        <v>601.58000000000004</v>
      </c>
      <c r="G729" s="404">
        <v>1100</v>
      </c>
      <c r="H729" s="404">
        <v>25</v>
      </c>
      <c r="I729" s="404">
        <v>5000</v>
      </c>
      <c r="J729" s="404">
        <v>20</v>
      </c>
      <c r="K729" s="701">
        <f t="shared" ref="K729:K746" si="105">1/2353*H729</f>
        <v>1.0624734381640459E-2</v>
      </c>
      <c r="L729" s="702">
        <f t="shared" ref="L729:L746" si="106">1/8056*J729</f>
        <v>2.4826216484607746E-3</v>
      </c>
      <c r="M729" s="426">
        <f t="shared" ref="M729:M746" si="107">(K729+L729)*2017.01</f>
        <v>26.43766818627449</v>
      </c>
      <c r="N729" s="427">
        <f t="shared" si="103"/>
        <v>9.7211305920931306</v>
      </c>
      <c r="O729" s="426">
        <v>13.500016572774102</v>
      </c>
      <c r="P729" s="426">
        <f t="shared" ref="P729:P744" si="108">K729+L729*184.64</f>
        <v>0.46901599555343787</v>
      </c>
      <c r="Q729" s="926">
        <f t="shared" si="101"/>
        <v>0.57173049857964076</v>
      </c>
      <c r="R729" s="532">
        <f t="shared" si="104"/>
        <v>8.3326957921964095E-2</v>
      </c>
    </row>
    <row r="730" spans="1:18" s="6" customFormat="1" ht="15.75">
      <c r="A730" s="275">
        <v>194</v>
      </c>
      <c r="B730" s="125" t="s">
        <v>772</v>
      </c>
      <c r="C730" s="790">
        <v>392.31</v>
      </c>
      <c r="D730" s="790"/>
      <c r="E730" s="790"/>
      <c r="F730" s="438">
        <f t="shared" si="102"/>
        <v>392.31</v>
      </c>
      <c r="G730" s="404">
        <v>1100</v>
      </c>
      <c r="H730" s="404">
        <v>15</v>
      </c>
      <c r="I730" s="404">
        <v>5000</v>
      </c>
      <c r="J730" s="404">
        <v>18</v>
      </c>
      <c r="K730" s="701">
        <f t="shared" si="105"/>
        <v>6.3748406289842749E-3</v>
      </c>
      <c r="L730" s="702">
        <f t="shared" si="106"/>
        <v>2.2343594836146969E-3</v>
      </c>
      <c r="M730" s="426">
        <f t="shared" si="107"/>
        <v>17.364842719113255</v>
      </c>
      <c r="N730" s="427">
        <f t="shared" si="103"/>
        <v>6.3850526678179449</v>
      </c>
      <c r="O730" s="426">
        <v>8.8806987116011253</v>
      </c>
      <c r="P730" s="426">
        <f t="shared" si="108"/>
        <v>0.41892697568360193</v>
      </c>
      <c r="Q730" s="926">
        <f t="shared" si="101"/>
        <v>0.51067198335831077</v>
      </c>
      <c r="R730" s="532">
        <f t="shared" si="104"/>
        <v>8.4243381698697287E-2</v>
      </c>
    </row>
    <row r="731" spans="1:18" s="6" customFormat="1" ht="15.75">
      <c r="A731" s="275">
        <v>195</v>
      </c>
      <c r="B731" s="125" t="s">
        <v>773</v>
      </c>
      <c r="C731" s="790">
        <v>600.88</v>
      </c>
      <c r="D731" s="790"/>
      <c r="E731" s="790"/>
      <c r="F731" s="438">
        <f t="shared" si="102"/>
        <v>600.88</v>
      </c>
      <c r="G731" s="404">
        <v>1100</v>
      </c>
      <c r="H731" s="404">
        <v>30</v>
      </c>
      <c r="I731" s="404">
        <v>5000</v>
      </c>
      <c r="J731" s="404">
        <v>16</v>
      </c>
      <c r="K731" s="701">
        <f t="shared" si="105"/>
        <v>1.274968125796855E-2</v>
      </c>
      <c r="L731" s="702">
        <f t="shared" si="106"/>
        <v>1.9860973187686196E-3</v>
      </c>
      <c r="M731" s="426">
        <f t="shared" si="107"/>
        <v>29.722212747064638</v>
      </c>
      <c r="N731" s="427">
        <f t="shared" si="103"/>
        <v>10.928857627095669</v>
      </c>
      <c r="O731" s="426">
        <v>15.159101530080033</v>
      </c>
      <c r="P731" s="426">
        <f t="shared" si="108"/>
        <v>0.37946269019540646</v>
      </c>
      <c r="Q731" s="926">
        <f t="shared" si="101"/>
        <v>0.46256501934820049</v>
      </c>
      <c r="R731" s="532">
        <f t="shared" si="104"/>
        <v>9.3512239705824368E-2</v>
      </c>
    </row>
    <row r="732" spans="1:18" s="6" customFormat="1" ht="15.75">
      <c r="A732" s="275">
        <v>196</v>
      </c>
      <c r="B732" s="125" t="s">
        <v>774</v>
      </c>
      <c r="C732" s="790">
        <v>307.3</v>
      </c>
      <c r="D732" s="790"/>
      <c r="E732" s="790"/>
      <c r="F732" s="438">
        <f t="shared" si="102"/>
        <v>307.3</v>
      </c>
      <c r="G732" s="404">
        <v>1100</v>
      </c>
      <c r="H732" s="404">
        <v>10</v>
      </c>
      <c r="I732" s="404">
        <v>5000</v>
      </c>
      <c r="J732" s="404">
        <v>4</v>
      </c>
      <c r="K732" s="701">
        <f t="shared" si="105"/>
        <v>4.2498937526561833E-3</v>
      </c>
      <c r="L732" s="702">
        <f t="shared" si="106"/>
        <v>4.965243296921549E-4</v>
      </c>
      <c r="M732" s="426">
        <f t="shared" si="107"/>
        <v>9.5735727362774217</v>
      </c>
      <c r="N732" s="427">
        <f t="shared" si="103"/>
        <v>3.5202026951292082</v>
      </c>
      <c r="O732" s="426">
        <v>4.8795474504851972</v>
      </c>
      <c r="P732" s="426">
        <f t="shared" si="108"/>
        <v>9.5928145987015656E-2</v>
      </c>
      <c r="Q732" s="926">
        <f t="shared" si="101"/>
        <v>0.11693640995817209</v>
      </c>
      <c r="R732" s="532">
        <f t="shared" si="104"/>
        <v>5.8800035886361346E-2</v>
      </c>
    </row>
    <row r="733" spans="1:18" s="6" customFormat="1" ht="15.75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438">
        <f t="shared" si="102"/>
        <v>800.1</v>
      </c>
      <c r="G733" s="404">
        <v>1100</v>
      </c>
      <c r="H733" s="404">
        <v>25</v>
      </c>
      <c r="I733" s="404">
        <v>5000</v>
      </c>
      <c r="J733" s="404">
        <v>20</v>
      </c>
      <c r="K733" s="701">
        <f t="shared" si="105"/>
        <v>1.0624734381640459E-2</v>
      </c>
      <c r="L733" s="702">
        <f t="shared" si="106"/>
        <v>2.4826216484607746E-3</v>
      </c>
      <c r="M733" s="426">
        <f t="shared" si="107"/>
        <v>26.43766818627449</v>
      </c>
      <c r="N733" s="427">
        <f t="shared" si="103"/>
        <v>9.7211305920931306</v>
      </c>
      <c r="O733" s="426">
        <v>13.500016572774102</v>
      </c>
      <c r="P733" s="426">
        <f t="shared" si="108"/>
        <v>0.46901599555343787</v>
      </c>
      <c r="Q733" s="926">
        <f t="shared" ref="Q733:Q747" si="109">P733*1.219</f>
        <v>0.57173049857964076</v>
      </c>
      <c r="R733" s="532">
        <f t="shared" si="104"/>
        <v>6.2651957688657861E-2</v>
      </c>
    </row>
    <row r="734" spans="1:18" s="6" customFormat="1" ht="15.75">
      <c r="A734" s="275">
        <v>198</v>
      </c>
      <c r="B734" s="125" t="s">
        <v>776</v>
      </c>
      <c r="C734" s="790">
        <v>325.2</v>
      </c>
      <c r="D734" s="790"/>
      <c r="E734" s="790"/>
      <c r="F734" s="438">
        <f t="shared" si="102"/>
        <v>325.2</v>
      </c>
      <c r="G734" s="404">
        <v>1100</v>
      </c>
      <c r="H734" s="404">
        <v>16</v>
      </c>
      <c r="I734" s="404">
        <v>5000</v>
      </c>
      <c r="J734" s="404">
        <v>8</v>
      </c>
      <c r="K734" s="701">
        <f t="shared" si="105"/>
        <v>6.7998300042498936E-3</v>
      </c>
      <c r="L734" s="702">
        <f t="shared" si="106"/>
        <v>9.930486593843098E-4</v>
      </c>
      <c r="M734" s="426">
        <f t="shared" si="107"/>
        <v>15.718314193336825</v>
      </c>
      <c r="N734" s="427">
        <f t="shared" si="103"/>
        <v>5.7796241288899513</v>
      </c>
      <c r="O734" s="426">
        <v>8.0154595922260921</v>
      </c>
      <c r="P734" s="426">
        <f t="shared" si="108"/>
        <v>0.19015633447296884</v>
      </c>
      <c r="Q734" s="926">
        <f t="shared" si="109"/>
        <v>0.23180057172254903</v>
      </c>
      <c r="R734" s="532">
        <f t="shared" si="104"/>
        <v>9.1339342708874047E-2</v>
      </c>
    </row>
    <row r="735" spans="1:18" s="6" customFormat="1" ht="15.75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438">
        <f t="shared" si="102"/>
        <v>420.25</v>
      </c>
      <c r="G735" s="404">
        <v>1100</v>
      </c>
      <c r="H735" s="404">
        <v>15</v>
      </c>
      <c r="I735" s="404">
        <v>5000</v>
      </c>
      <c r="J735" s="404">
        <v>8</v>
      </c>
      <c r="K735" s="701">
        <f t="shared" si="105"/>
        <v>6.3748406289842749E-3</v>
      </c>
      <c r="L735" s="702">
        <f t="shared" si="106"/>
        <v>9.930486593843098E-4</v>
      </c>
      <c r="M735" s="426">
        <f t="shared" si="107"/>
        <v>14.861106373532319</v>
      </c>
      <c r="N735" s="427">
        <f t="shared" si="103"/>
        <v>5.4644288135478343</v>
      </c>
      <c r="O735" s="426">
        <v>7.5795507650400165</v>
      </c>
      <c r="P735" s="426">
        <f t="shared" si="108"/>
        <v>0.18973134509770323</v>
      </c>
      <c r="Q735" s="926">
        <f t="shared" si="109"/>
        <v>0.23128250967410025</v>
      </c>
      <c r="R735" s="532">
        <f t="shared" si="104"/>
        <v>6.6852628904742112E-2</v>
      </c>
    </row>
    <row r="736" spans="1:18" s="6" customFormat="1" ht="15.75">
      <c r="A736" s="275">
        <v>200</v>
      </c>
      <c r="B736" s="125" t="s">
        <v>778</v>
      </c>
      <c r="C736" s="790">
        <v>468.48</v>
      </c>
      <c r="D736" s="790"/>
      <c r="E736" s="790"/>
      <c r="F736" s="438">
        <f t="shared" si="102"/>
        <v>468.48</v>
      </c>
      <c r="G736" s="404">
        <v>1100</v>
      </c>
      <c r="H736" s="404">
        <v>18</v>
      </c>
      <c r="I736" s="404">
        <v>5000</v>
      </c>
      <c r="J736" s="404">
        <v>8</v>
      </c>
      <c r="K736" s="701">
        <f t="shared" si="105"/>
        <v>7.6498087547811301E-3</v>
      </c>
      <c r="L736" s="702">
        <f t="shared" si="106"/>
        <v>9.930486593843098E-4</v>
      </c>
      <c r="M736" s="426">
        <f t="shared" si="107"/>
        <v>17.432729832945835</v>
      </c>
      <c r="N736" s="427">
        <f t="shared" si="103"/>
        <v>6.4100147595741843</v>
      </c>
      <c r="O736" s="426">
        <v>8.8872772465982433</v>
      </c>
      <c r="P736" s="426">
        <f t="shared" si="108"/>
        <v>0.19100631322350009</v>
      </c>
      <c r="Q736" s="926">
        <f t="shared" si="109"/>
        <v>0.23283669581944663</v>
      </c>
      <c r="R736" s="532">
        <f t="shared" si="104"/>
        <v>7.027200339895355E-2</v>
      </c>
    </row>
    <row r="737" spans="1:18" s="6" customFormat="1" ht="15.75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438">
        <f t="shared" si="102"/>
        <v>1026.08</v>
      </c>
      <c r="G737" s="404">
        <v>1100</v>
      </c>
      <c r="H737" s="404">
        <v>32</v>
      </c>
      <c r="I737" s="404">
        <v>5000</v>
      </c>
      <c r="J737" s="404">
        <v>4</v>
      </c>
      <c r="K737" s="701">
        <f t="shared" si="105"/>
        <v>1.3599660008499787E-2</v>
      </c>
      <c r="L737" s="702">
        <f t="shared" si="106"/>
        <v>4.965243296921549E-4</v>
      </c>
      <c r="M737" s="426">
        <f t="shared" si="107"/>
        <v>28.432144771976532</v>
      </c>
      <c r="N737" s="427">
        <f t="shared" si="103"/>
        <v>10.454499632655772</v>
      </c>
      <c r="O737" s="426">
        <v>14.469541648578856</v>
      </c>
      <c r="P737" s="426">
        <f t="shared" si="108"/>
        <v>0.10527791224285926</v>
      </c>
      <c r="Q737" s="926">
        <f t="shared" si="109"/>
        <v>0.12833377502404544</v>
      </c>
      <c r="R737" s="532">
        <f t="shared" si="104"/>
        <v>5.2102627441772589E-2</v>
      </c>
    </row>
    <row r="738" spans="1:18" s="6" customFormat="1" ht="15.75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438">
        <f t="shared" si="102"/>
        <v>1242.02</v>
      </c>
      <c r="G738" s="404">
        <v>1100</v>
      </c>
      <c r="H738" s="404">
        <v>55</v>
      </c>
      <c r="I738" s="404">
        <v>5000</v>
      </c>
      <c r="J738" s="404">
        <v>11</v>
      </c>
      <c r="K738" s="701">
        <f t="shared" si="105"/>
        <v>2.3374415639609011E-2</v>
      </c>
      <c r="L738" s="702">
        <f t="shared" si="106"/>
        <v>1.365441906653426E-3</v>
      </c>
      <c r="M738" s="426">
        <f t="shared" si="107"/>
        <v>49.900540069386793</v>
      </c>
      <c r="N738" s="427">
        <f t="shared" si="103"/>
        <v>18.348428583513524</v>
      </c>
      <c r="O738" s="426">
        <v>25.406248236451365</v>
      </c>
      <c r="P738" s="426">
        <f t="shared" si="108"/>
        <v>0.27548960928409755</v>
      </c>
      <c r="Q738" s="926">
        <f t="shared" si="109"/>
        <v>0.33582183371731494</v>
      </c>
      <c r="R738" s="532">
        <f t="shared" si="104"/>
        <v>7.5627370331102381E-2</v>
      </c>
    </row>
    <row r="739" spans="1:18" s="6" customFormat="1" ht="15.75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438">
        <f t="shared" si="102"/>
        <v>827.02</v>
      </c>
      <c r="G739" s="404">
        <v>1100</v>
      </c>
      <c r="H739" s="404">
        <v>23</v>
      </c>
      <c r="I739" s="404">
        <v>5000</v>
      </c>
      <c r="J739" s="404">
        <v>8</v>
      </c>
      <c r="K739" s="701">
        <f t="shared" si="105"/>
        <v>9.7747556311092217E-3</v>
      </c>
      <c r="L739" s="702">
        <f t="shared" si="106"/>
        <v>9.930486593843098E-4</v>
      </c>
      <c r="M739" s="426">
        <f t="shared" si="107"/>
        <v>21.718768931968356</v>
      </c>
      <c r="N739" s="427">
        <f t="shared" si="103"/>
        <v>7.9859913362847648</v>
      </c>
      <c r="O739" s="426">
        <v>11.066821382528619</v>
      </c>
      <c r="P739" s="426">
        <f t="shared" si="108"/>
        <v>0.19313126009982817</v>
      </c>
      <c r="Q739" s="926">
        <f t="shared" si="109"/>
        <v>0.23542700606169056</v>
      </c>
      <c r="R739" s="532">
        <f t="shared" si="104"/>
        <v>4.9532916871274667E-2</v>
      </c>
    </row>
    <row r="740" spans="1:18" s="6" customFormat="1" ht="15.75">
      <c r="A740" s="275">
        <v>204</v>
      </c>
      <c r="B740" s="125" t="s">
        <v>859</v>
      </c>
      <c r="C740" s="790">
        <v>487.41</v>
      </c>
      <c r="D740" s="790"/>
      <c r="E740" s="790"/>
      <c r="F740" s="438">
        <f t="shared" si="102"/>
        <v>487.41</v>
      </c>
      <c r="G740" s="404">
        <v>1100</v>
      </c>
      <c r="H740" s="404">
        <v>19</v>
      </c>
      <c r="I740" s="404">
        <v>5000</v>
      </c>
      <c r="J740" s="404">
        <v>11</v>
      </c>
      <c r="K740" s="701">
        <f t="shared" si="105"/>
        <v>8.0747981300467488E-3</v>
      </c>
      <c r="L740" s="702">
        <f t="shared" si="106"/>
        <v>1.365441906653426E-3</v>
      </c>
      <c r="M740" s="426">
        <f t="shared" si="107"/>
        <v>19.04105855642462</v>
      </c>
      <c r="N740" s="427">
        <f t="shared" si="103"/>
        <v>7.0013972311973331</v>
      </c>
      <c r="O740" s="426">
        <v>9.7135304577526522</v>
      </c>
      <c r="P740" s="426">
        <f t="shared" si="108"/>
        <v>0.26018999177453528</v>
      </c>
      <c r="Q740" s="926">
        <f t="shared" si="109"/>
        <v>0.31717159997315852</v>
      </c>
      <c r="R740" s="532">
        <f t="shared" si="104"/>
        <v>7.3892977651564676E-2</v>
      </c>
    </row>
    <row r="741" spans="1:18" s="6" customFormat="1" ht="15.75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438">
        <f t="shared" si="102"/>
        <v>685</v>
      </c>
      <c r="G741" s="404">
        <v>1100</v>
      </c>
      <c r="H741" s="404">
        <v>16</v>
      </c>
      <c r="I741" s="404">
        <v>5000</v>
      </c>
      <c r="J741" s="404">
        <v>3</v>
      </c>
      <c r="K741" s="701">
        <f t="shared" si="105"/>
        <v>6.7998300042498936E-3</v>
      </c>
      <c r="L741" s="702">
        <f t="shared" si="106"/>
        <v>3.7239324726911615E-4</v>
      </c>
      <c r="M741" s="426">
        <f t="shared" si="107"/>
        <v>14.466446020546357</v>
      </c>
      <c r="N741" s="427">
        <f t="shared" si="103"/>
        <v>5.3193122017548955</v>
      </c>
      <c r="O741" s="426">
        <v>7.3648856189455385</v>
      </c>
      <c r="P741" s="426">
        <f t="shared" si="108"/>
        <v>7.5558519180019504E-2</v>
      </c>
      <c r="Q741" s="926">
        <f t="shared" si="109"/>
        <v>9.2105834880443785E-2</v>
      </c>
      <c r="R741" s="532">
        <f t="shared" si="104"/>
        <v>3.9746280818141327E-2</v>
      </c>
    </row>
    <row r="742" spans="1:18" s="6" customFormat="1" ht="15.75">
      <c r="A742" s="275">
        <v>206</v>
      </c>
      <c r="B742" s="125" t="s">
        <v>861</v>
      </c>
      <c r="C742" s="790">
        <v>636.55999999999995</v>
      </c>
      <c r="D742" s="790"/>
      <c r="E742" s="790"/>
      <c r="F742" s="438">
        <f t="shared" si="102"/>
        <v>636.55999999999995</v>
      </c>
      <c r="G742" s="404">
        <v>1100</v>
      </c>
      <c r="H742" s="404">
        <v>15</v>
      </c>
      <c r="I742" s="404">
        <v>5000</v>
      </c>
      <c r="J742" s="404">
        <v>8</v>
      </c>
      <c r="K742" s="701">
        <f t="shared" si="105"/>
        <v>6.3748406289842749E-3</v>
      </c>
      <c r="L742" s="702">
        <f t="shared" si="106"/>
        <v>9.930486593843098E-4</v>
      </c>
      <c r="M742" s="426">
        <f t="shared" si="107"/>
        <v>14.861106373532319</v>
      </c>
      <c r="N742" s="427">
        <f t="shared" si="103"/>
        <v>5.4644288135478343</v>
      </c>
      <c r="O742" s="426">
        <v>7.5795507650400165</v>
      </c>
      <c r="P742" s="426">
        <f t="shared" si="108"/>
        <v>0.18973134509770323</v>
      </c>
      <c r="Q742" s="926">
        <f t="shared" si="109"/>
        <v>0.23128250967410025</v>
      </c>
      <c r="R742" s="532">
        <f t="shared" si="104"/>
        <v>4.413537969275147E-2</v>
      </c>
    </row>
    <row r="743" spans="1:18" s="6" customFormat="1" ht="15.75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438">
        <f t="shared" si="102"/>
        <v>505.1</v>
      </c>
      <c r="G743" s="404">
        <v>1100</v>
      </c>
      <c r="H743" s="404">
        <v>11</v>
      </c>
      <c r="I743" s="404">
        <v>5000</v>
      </c>
      <c r="J743" s="404">
        <v>9</v>
      </c>
      <c r="K743" s="701">
        <f t="shared" si="105"/>
        <v>4.674883127921802E-3</v>
      </c>
      <c r="L743" s="702">
        <f t="shared" si="106"/>
        <v>1.1171797418073484E-3</v>
      </c>
      <c r="M743" s="426">
        <f t="shared" si="107"/>
        <v>11.682648728872394</v>
      </c>
      <c r="N743" s="427">
        <f t="shared" si="103"/>
        <v>4.2957099376063796</v>
      </c>
      <c r="O743" s="426">
        <v>5.9660302509518264</v>
      </c>
      <c r="P743" s="426">
        <f t="shared" si="108"/>
        <v>0.21095095065523062</v>
      </c>
      <c r="Q743" s="926">
        <f t="shared" si="109"/>
        <v>0.25714920884872616</v>
      </c>
      <c r="R743" s="532">
        <f t="shared" si="104"/>
        <v>4.3863274337924828E-2</v>
      </c>
    </row>
    <row r="744" spans="1:18" s="6" customFormat="1" ht="15.75">
      <c r="A744" s="275">
        <v>208</v>
      </c>
      <c r="B744" s="126" t="s">
        <v>863</v>
      </c>
      <c r="C744" s="791">
        <v>536.88</v>
      </c>
      <c r="D744" s="790"/>
      <c r="E744" s="790"/>
      <c r="F744" s="438">
        <f t="shared" si="102"/>
        <v>536.88</v>
      </c>
      <c r="G744" s="404">
        <v>1100</v>
      </c>
      <c r="H744" s="404">
        <v>9</v>
      </c>
      <c r="I744" s="404">
        <v>5000</v>
      </c>
      <c r="J744" s="404">
        <v>9</v>
      </c>
      <c r="K744" s="701">
        <f t="shared" si="105"/>
        <v>3.824904377390565E-3</v>
      </c>
      <c r="L744" s="702">
        <f t="shared" si="106"/>
        <v>1.1171797418073484E-3</v>
      </c>
      <c r="M744" s="426">
        <f t="shared" si="107"/>
        <v>9.9682330892633821</v>
      </c>
      <c r="N744" s="427">
        <f t="shared" si="103"/>
        <v>3.6653193069221457</v>
      </c>
      <c r="O744" s="426">
        <v>5.0942125965796761</v>
      </c>
      <c r="P744" s="426">
        <f t="shared" si="108"/>
        <v>0.21010097190469937</v>
      </c>
      <c r="Q744" s="926">
        <f t="shared" si="109"/>
        <v>0.25611308475182853</v>
      </c>
      <c r="R744" s="532">
        <f t="shared" si="104"/>
        <v>3.5273927068748892E-2</v>
      </c>
    </row>
    <row r="745" spans="1:18" s="6" customFormat="1" ht="15.75">
      <c r="A745" s="275">
        <v>209</v>
      </c>
      <c r="B745" s="337" t="s">
        <v>1349</v>
      </c>
      <c r="C745" s="146"/>
      <c r="D745" s="146">
        <v>132.6</v>
      </c>
      <c r="E745" s="146"/>
      <c r="F745" s="258">
        <f t="shared" si="102"/>
        <v>132.6</v>
      </c>
      <c r="G745" s="404">
        <v>1100</v>
      </c>
      <c r="H745" s="160">
        <v>0</v>
      </c>
      <c r="I745" s="404">
        <v>5000</v>
      </c>
      <c r="J745" s="160">
        <v>0</v>
      </c>
      <c r="K745" s="701">
        <f t="shared" si="105"/>
        <v>0</v>
      </c>
      <c r="L745" s="702">
        <f t="shared" si="106"/>
        <v>0</v>
      </c>
      <c r="M745" s="426">
        <f t="shared" si="107"/>
        <v>0</v>
      </c>
      <c r="N745" s="148">
        <f t="shared" si="103"/>
        <v>0</v>
      </c>
      <c r="O745" s="426">
        <v>0</v>
      </c>
      <c r="P745" s="426">
        <f>K745+L745*184.64*1.08</f>
        <v>0</v>
      </c>
      <c r="Q745" s="926">
        <f t="shared" si="109"/>
        <v>0</v>
      </c>
      <c r="R745" s="532">
        <f t="shared" si="104"/>
        <v>0</v>
      </c>
    </row>
    <row r="746" spans="1:18" s="6" customFormat="1" ht="15.75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102"/>
        <v>380.2</v>
      </c>
      <c r="G746" s="411">
        <v>1100</v>
      </c>
      <c r="H746" s="160">
        <v>10</v>
      </c>
      <c r="I746" s="411">
        <v>5000</v>
      </c>
      <c r="J746" s="160">
        <v>9</v>
      </c>
      <c r="K746" s="701">
        <f t="shared" si="105"/>
        <v>4.2498937526561833E-3</v>
      </c>
      <c r="L746" s="702">
        <f t="shared" si="106"/>
        <v>1.1171797418073484E-3</v>
      </c>
      <c r="M746" s="426">
        <f t="shared" si="107"/>
        <v>10.825440909067888</v>
      </c>
      <c r="N746" s="150">
        <f t="shared" si="103"/>
        <v>3.9805146222642627</v>
      </c>
      <c r="O746" s="426">
        <v>0</v>
      </c>
      <c r="P746" s="426">
        <f>K746+L746*184.64*1.08</f>
        <v>0.22702804668214974</v>
      </c>
      <c r="Q746" s="926">
        <f t="shared" si="109"/>
        <v>0.27674718890554056</v>
      </c>
      <c r="R746" s="532">
        <f t="shared" si="104"/>
        <v>3.9539672745960812E-2</v>
      </c>
    </row>
    <row r="747" spans="1:18" s="69" customFormat="1" ht="16.5" thickBot="1">
      <c r="A747" s="700">
        <v>1</v>
      </c>
      <c r="B747" s="541" t="s">
        <v>681</v>
      </c>
      <c r="C747" s="541">
        <f>SUM(C537:C745)</f>
        <v>241028.47000000006</v>
      </c>
      <c r="D747" s="541">
        <f>SUM(D537:D745)</f>
        <v>1953.5199999999998</v>
      </c>
      <c r="E747" s="541">
        <f>SUM(E537:E745)</f>
        <v>3342.3999999999992</v>
      </c>
      <c r="F747" s="541">
        <f>C747+D747+E747</f>
        <v>246324.39000000004</v>
      </c>
      <c r="G747" s="541">
        <v>1100</v>
      </c>
      <c r="H747" s="541">
        <f>SUM(H537:H746)</f>
        <v>2353</v>
      </c>
      <c r="I747" s="541">
        <v>5000</v>
      </c>
      <c r="J747" s="541">
        <f>SUM(J537:J746)</f>
        <v>8056</v>
      </c>
      <c r="K747" s="701">
        <f>1/2353*H747</f>
        <v>1</v>
      </c>
      <c r="L747" s="702">
        <f>1/8056*J747</f>
        <v>1</v>
      </c>
      <c r="M747" s="426">
        <f>(K747+L747)*2017.01</f>
        <v>4034.02</v>
      </c>
      <c r="N747" s="703">
        <f>M747*0.3677</f>
        <v>1483.309154</v>
      </c>
      <c r="O747" s="426">
        <f>SUM(O536:O745)</f>
        <v>1978.0088919185266</v>
      </c>
      <c r="P747" s="426">
        <f>K747+L747*184.64*1.08</f>
        <v>200.41120000000001</v>
      </c>
      <c r="Q747" s="926">
        <f t="shared" si="109"/>
        <v>244.30125280000001</v>
      </c>
      <c r="R747" s="532">
        <f t="shared" si="104"/>
        <v>3.1242335547521403E-2</v>
      </c>
    </row>
    <row r="748" spans="1:18" s="209" customFormat="1" ht="16.5" thickBot="1">
      <c r="A748" s="595" t="s">
        <v>593</v>
      </c>
      <c r="B748" s="436"/>
      <c r="C748" s="436"/>
      <c r="D748" s="436"/>
      <c r="E748" s="436"/>
      <c r="F748" s="436"/>
      <c r="G748" s="436"/>
      <c r="H748" s="436"/>
      <c r="I748" s="436"/>
      <c r="J748" s="436"/>
      <c r="K748" s="596"/>
      <c r="L748" s="436"/>
      <c r="M748" s="426">
        <f>(K748+L748)*2077.52</f>
        <v>0</v>
      </c>
      <c r="N748" s="566"/>
      <c r="O748" s="426">
        <v>0</v>
      </c>
      <c r="P748" s="508">
        <f>K748+L748*184.64</f>
        <v>0</v>
      </c>
      <c r="Q748" s="931"/>
      <c r="R748" s="532" t="e">
        <f t="shared" si="104"/>
        <v>#DIV/0!</v>
      </c>
    </row>
    <row r="749" spans="1:18" s="6" customFormat="1" ht="15.75">
      <c r="A749" s="386">
        <v>1</v>
      </c>
      <c r="B749" s="386" t="s">
        <v>336</v>
      </c>
      <c r="C749" s="8">
        <v>4275.08</v>
      </c>
      <c r="D749" s="142"/>
      <c r="E749" s="142"/>
      <c r="F749" s="439">
        <f t="shared" ref="F749:F811" si="110">C749+D749+E749</f>
        <v>4275.08</v>
      </c>
      <c r="G749" s="405">
        <v>1100</v>
      </c>
      <c r="H749" s="405"/>
      <c r="I749" s="405">
        <v>5000</v>
      </c>
      <c r="J749" s="405">
        <v>144</v>
      </c>
      <c r="K749" s="180">
        <f t="shared" ref="K749:K812" si="111">0.5/1003*H749</f>
        <v>0</v>
      </c>
      <c r="L749" s="290">
        <f t="shared" ref="L749:L812" si="112">1.5/10607*J749</f>
        <v>2.0363910625058924E-2</v>
      </c>
      <c r="M749" s="426">
        <f t="shared" ref="M749:M812" si="113">(K749+L749)*2017.01</f>
        <v>41.074211369850097</v>
      </c>
      <c r="N749" s="144">
        <f t="shared" ref="N749:N811" si="114">M749*0.3677</f>
        <v>15.102987520693882</v>
      </c>
      <c r="O749" s="426">
        <v>17.844735155513664</v>
      </c>
      <c r="P749" s="426">
        <f>K749*184.64</f>
        <v>0</v>
      </c>
      <c r="Q749" s="426"/>
      <c r="R749" s="532">
        <f t="shared" si="104"/>
        <v>1.7314748272794347E-2</v>
      </c>
    </row>
    <row r="750" spans="1:18" s="6" customFormat="1" ht="15.75">
      <c r="A750" s="55">
        <v>2</v>
      </c>
      <c r="B750" s="55" t="s">
        <v>337</v>
      </c>
      <c r="C750" s="8">
        <v>4574.41</v>
      </c>
      <c r="D750" s="55"/>
      <c r="E750" s="55"/>
      <c r="F750" s="258">
        <f t="shared" si="110"/>
        <v>4574.41</v>
      </c>
      <c r="G750" s="404">
        <v>1100</v>
      </c>
      <c r="H750" s="404"/>
      <c r="I750" s="404">
        <v>5000</v>
      </c>
      <c r="J750" s="404">
        <v>150</v>
      </c>
      <c r="K750" s="180">
        <f t="shared" si="111"/>
        <v>0</v>
      </c>
      <c r="L750" s="290">
        <f t="shared" si="112"/>
        <v>2.1212406901103046E-2</v>
      </c>
      <c r="M750" s="426">
        <f t="shared" si="113"/>
        <v>42.785636843593856</v>
      </c>
      <c r="N750" s="148">
        <f t="shared" si="114"/>
        <v>15.732278667389462</v>
      </c>
      <c r="O750" s="426">
        <v>18.588265786993404</v>
      </c>
      <c r="P750" s="427">
        <f t="shared" ref="P750:P813" si="115">K750*184.64</f>
        <v>0</v>
      </c>
      <c r="Q750" s="427"/>
      <c r="R750" s="532">
        <f t="shared" si="104"/>
        <v>1.6855983896934625E-2</v>
      </c>
    </row>
    <row r="751" spans="1:18" s="6" customFormat="1" ht="15.75">
      <c r="A751" s="55">
        <v>3</v>
      </c>
      <c r="B751" s="55" t="s">
        <v>338</v>
      </c>
      <c r="C751" s="8">
        <v>8527.85</v>
      </c>
      <c r="D751" s="55"/>
      <c r="E751" s="55"/>
      <c r="F751" s="258">
        <f t="shared" si="110"/>
        <v>8527.85</v>
      </c>
      <c r="G751" s="404">
        <v>1100</v>
      </c>
      <c r="H751" s="404"/>
      <c r="I751" s="404">
        <v>5000</v>
      </c>
      <c r="J751" s="404">
        <v>288</v>
      </c>
      <c r="K751" s="180">
        <f t="shared" si="111"/>
        <v>0</v>
      </c>
      <c r="L751" s="290">
        <f t="shared" si="112"/>
        <v>4.0727821250117847E-2</v>
      </c>
      <c r="M751" s="426">
        <f t="shared" si="113"/>
        <v>82.148422739700194</v>
      </c>
      <c r="N751" s="148">
        <f t="shared" si="114"/>
        <v>30.205975041387763</v>
      </c>
      <c r="O751" s="426">
        <v>35.689470311027328</v>
      </c>
      <c r="P751" s="427">
        <f t="shared" si="115"/>
        <v>0</v>
      </c>
      <c r="Q751" s="427"/>
      <c r="R751" s="532">
        <f t="shared" si="104"/>
        <v>1.7360045977839116E-2</v>
      </c>
    </row>
    <row r="752" spans="1:18" s="6" customFormat="1" ht="15.75">
      <c r="A752" s="55">
        <v>4</v>
      </c>
      <c r="B752" s="55" t="s">
        <v>339</v>
      </c>
      <c r="C752" s="8">
        <v>5131.3999999999996</v>
      </c>
      <c r="D752" s="55"/>
      <c r="E752" s="55"/>
      <c r="F752" s="258">
        <f t="shared" si="110"/>
        <v>5131.3999999999996</v>
      </c>
      <c r="G752" s="404">
        <v>1100</v>
      </c>
      <c r="H752" s="404"/>
      <c r="I752" s="404">
        <v>5000</v>
      </c>
      <c r="J752" s="404">
        <v>180</v>
      </c>
      <c r="K752" s="180">
        <f t="shared" si="111"/>
        <v>0</v>
      </c>
      <c r="L752" s="290">
        <f t="shared" si="112"/>
        <v>2.5454888281323654E-2</v>
      </c>
      <c r="M752" s="426">
        <f t="shared" si="113"/>
        <v>51.342764212312623</v>
      </c>
      <c r="N752" s="148">
        <f t="shared" si="114"/>
        <v>18.878734400867351</v>
      </c>
      <c r="O752" s="426">
        <v>22.305918944392079</v>
      </c>
      <c r="P752" s="427">
        <f t="shared" si="115"/>
        <v>0</v>
      </c>
      <c r="Q752" s="427"/>
      <c r="R752" s="532">
        <f t="shared" si="104"/>
        <v>1.8031612728996387E-2</v>
      </c>
    </row>
    <row r="753" spans="1:18" s="6" customFormat="1" ht="15.75">
      <c r="A753" s="55">
        <v>5</v>
      </c>
      <c r="B753" s="55" t="s">
        <v>340</v>
      </c>
      <c r="C753" s="8">
        <v>4290.1499999999996</v>
      </c>
      <c r="D753" s="55"/>
      <c r="E753" s="55"/>
      <c r="F753" s="258">
        <f t="shared" si="110"/>
        <v>4290.1499999999996</v>
      </c>
      <c r="G753" s="404">
        <v>1100</v>
      </c>
      <c r="H753" s="404"/>
      <c r="I753" s="404">
        <v>5000</v>
      </c>
      <c r="J753" s="404">
        <v>144</v>
      </c>
      <c r="K753" s="180">
        <f t="shared" si="111"/>
        <v>0</v>
      </c>
      <c r="L753" s="290">
        <f t="shared" si="112"/>
        <v>2.0363910625058924E-2</v>
      </c>
      <c r="M753" s="426">
        <f t="shared" si="113"/>
        <v>41.074211369850097</v>
      </c>
      <c r="N753" s="148">
        <f t="shared" si="114"/>
        <v>15.102987520693882</v>
      </c>
      <c r="O753" s="426">
        <v>17.844735155513664</v>
      </c>
      <c r="P753" s="427">
        <f t="shared" si="115"/>
        <v>0</v>
      </c>
      <c r="Q753" s="427"/>
      <c r="R753" s="532">
        <f t="shared" si="104"/>
        <v>1.7253926796512397E-2</v>
      </c>
    </row>
    <row r="754" spans="1:18" s="6" customFormat="1" ht="15.75">
      <c r="A754" s="55">
        <v>6</v>
      </c>
      <c r="B754" s="55" t="s">
        <v>341</v>
      </c>
      <c r="C754" s="8">
        <v>5185.3900000000003</v>
      </c>
      <c r="D754" s="55"/>
      <c r="E754" s="55"/>
      <c r="F754" s="258">
        <f t="shared" si="110"/>
        <v>5185.3900000000003</v>
      </c>
      <c r="G754" s="404">
        <v>1100</v>
      </c>
      <c r="H754" s="404"/>
      <c r="I754" s="404">
        <v>5000</v>
      </c>
      <c r="J754" s="404">
        <v>180</v>
      </c>
      <c r="K754" s="180">
        <f t="shared" si="111"/>
        <v>0</v>
      </c>
      <c r="L754" s="290">
        <f t="shared" si="112"/>
        <v>2.5454888281323654E-2</v>
      </c>
      <c r="M754" s="426">
        <f t="shared" si="113"/>
        <v>51.342764212312623</v>
      </c>
      <c r="N754" s="148">
        <f t="shared" si="114"/>
        <v>18.878734400867351</v>
      </c>
      <c r="O754" s="426">
        <v>22.305918944392079</v>
      </c>
      <c r="P754" s="427">
        <f t="shared" si="115"/>
        <v>0</v>
      </c>
      <c r="Q754" s="427"/>
      <c r="R754" s="532">
        <f t="shared" si="104"/>
        <v>1.7843868553295325E-2</v>
      </c>
    </row>
    <row r="755" spans="1:18" s="6" customFormat="1" ht="15.75">
      <c r="A755" s="55">
        <v>7</v>
      </c>
      <c r="B755" s="55" t="s">
        <v>342</v>
      </c>
      <c r="C755" s="8">
        <v>4246.38</v>
      </c>
      <c r="D755" s="55"/>
      <c r="E755" s="55"/>
      <c r="F755" s="258">
        <f t="shared" si="110"/>
        <v>4246.38</v>
      </c>
      <c r="G755" s="404">
        <v>1100</v>
      </c>
      <c r="H755" s="404"/>
      <c r="I755" s="404">
        <v>5000</v>
      </c>
      <c r="J755" s="404">
        <v>144</v>
      </c>
      <c r="K755" s="180">
        <f t="shared" si="111"/>
        <v>0</v>
      </c>
      <c r="L755" s="290">
        <f t="shared" si="112"/>
        <v>2.0363910625058924E-2</v>
      </c>
      <c r="M755" s="426">
        <f t="shared" si="113"/>
        <v>41.074211369850097</v>
      </c>
      <c r="N755" s="148">
        <f t="shared" si="114"/>
        <v>15.102987520693882</v>
      </c>
      <c r="O755" s="426">
        <v>17.844735155513664</v>
      </c>
      <c r="P755" s="427">
        <f t="shared" si="115"/>
        <v>0</v>
      </c>
      <c r="Q755" s="427"/>
      <c r="R755" s="532">
        <f t="shared" si="104"/>
        <v>1.7431773427262199E-2</v>
      </c>
    </row>
    <row r="756" spans="1:18" s="6" customFormat="1" ht="15.75">
      <c r="A756" s="55">
        <v>8</v>
      </c>
      <c r="B756" s="55" t="s">
        <v>343</v>
      </c>
      <c r="C756" s="8">
        <v>4446.42</v>
      </c>
      <c r="D756" s="55"/>
      <c r="E756" s="55"/>
      <c r="F756" s="258">
        <f t="shared" si="110"/>
        <v>4446.42</v>
      </c>
      <c r="G756" s="404">
        <v>1100</v>
      </c>
      <c r="H756" s="404"/>
      <c r="I756" s="404">
        <v>5000</v>
      </c>
      <c r="J756" s="404">
        <v>160</v>
      </c>
      <c r="K756" s="180">
        <f t="shared" si="111"/>
        <v>0</v>
      </c>
      <c r="L756" s="290">
        <f t="shared" si="112"/>
        <v>2.2626567361176582E-2</v>
      </c>
      <c r="M756" s="426">
        <f t="shared" si="113"/>
        <v>45.638012633166774</v>
      </c>
      <c r="N756" s="148">
        <f t="shared" si="114"/>
        <v>16.781097245215424</v>
      </c>
      <c r="O756" s="426">
        <v>19.827483506126296</v>
      </c>
      <c r="P756" s="427">
        <f t="shared" si="115"/>
        <v>0</v>
      </c>
      <c r="Q756" s="427"/>
      <c r="R756" s="532">
        <f t="shared" si="104"/>
        <v>1.8497261478787087E-2</v>
      </c>
    </row>
    <row r="757" spans="1:18" s="6" customFormat="1" ht="15.75">
      <c r="A757" s="55">
        <v>9</v>
      </c>
      <c r="B757" s="55" t="s">
        <v>344</v>
      </c>
      <c r="C757" s="8">
        <v>2920.24</v>
      </c>
      <c r="D757" s="55"/>
      <c r="E757" s="55"/>
      <c r="F757" s="258">
        <f t="shared" si="110"/>
        <v>2920.24</v>
      </c>
      <c r="G757" s="404">
        <v>1100</v>
      </c>
      <c r="H757" s="404"/>
      <c r="I757" s="404">
        <v>5000</v>
      </c>
      <c r="J757" s="404">
        <v>120</v>
      </c>
      <c r="K757" s="180">
        <f t="shared" si="111"/>
        <v>0</v>
      </c>
      <c r="L757" s="290">
        <f t="shared" si="112"/>
        <v>1.6969925520882438E-2</v>
      </c>
      <c r="M757" s="426">
        <f t="shared" si="113"/>
        <v>34.228509474875089</v>
      </c>
      <c r="N757" s="148">
        <f t="shared" si="114"/>
        <v>12.585822933911571</v>
      </c>
      <c r="O757" s="426">
        <v>14.870612629594721</v>
      </c>
      <c r="P757" s="427">
        <f t="shared" si="115"/>
        <v>0</v>
      </c>
      <c r="Q757" s="427"/>
      <c r="R757" s="532">
        <f t="shared" si="104"/>
        <v>2.1123245020402907E-2</v>
      </c>
    </row>
    <row r="758" spans="1:18" s="6" customFormat="1" ht="15.75">
      <c r="A758" s="55">
        <v>10</v>
      </c>
      <c r="B758" s="55" t="s">
        <v>345</v>
      </c>
      <c r="C758" s="8">
        <v>4278.99</v>
      </c>
      <c r="D758" s="55"/>
      <c r="E758" s="55"/>
      <c r="F758" s="258">
        <f t="shared" si="110"/>
        <v>4278.99</v>
      </c>
      <c r="G758" s="404">
        <v>1100</v>
      </c>
      <c r="H758" s="404"/>
      <c r="I758" s="404">
        <v>5000</v>
      </c>
      <c r="J758" s="404">
        <v>144</v>
      </c>
      <c r="K758" s="180">
        <f t="shared" si="111"/>
        <v>0</v>
      </c>
      <c r="L758" s="290">
        <f t="shared" si="112"/>
        <v>2.0363910625058924E-2</v>
      </c>
      <c r="M758" s="426">
        <f t="shared" si="113"/>
        <v>41.074211369850097</v>
      </c>
      <c r="N758" s="148">
        <f t="shared" si="114"/>
        <v>15.102987520693882</v>
      </c>
      <c r="O758" s="426">
        <v>17.844735155513664</v>
      </c>
      <c r="P758" s="427">
        <f t="shared" si="115"/>
        <v>0</v>
      </c>
      <c r="Q758" s="427"/>
      <c r="R758" s="532">
        <f t="shared" si="104"/>
        <v>1.729892662662396E-2</v>
      </c>
    </row>
    <row r="759" spans="1:18" s="6" customFormat="1" ht="15.75">
      <c r="A759" s="55">
        <v>11</v>
      </c>
      <c r="B759" s="55" t="s">
        <v>346</v>
      </c>
      <c r="C759" s="8">
        <v>8595.7800000000007</v>
      </c>
      <c r="D759" s="55"/>
      <c r="E759" s="55"/>
      <c r="F759" s="258">
        <f t="shared" si="110"/>
        <v>8595.7800000000007</v>
      </c>
      <c r="G759" s="404">
        <v>1100</v>
      </c>
      <c r="H759" s="404"/>
      <c r="I759" s="404">
        <v>5000</v>
      </c>
      <c r="J759" s="404">
        <v>288</v>
      </c>
      <c r="K759" s="180">
        <f t="shared" si="111"/>
        <v>0</v>
      </c>
      <c r="L759" s="290">
        <f t="shared" si="112"/>
        <v>4.0727821250117847E-2</v>
      </c>
      <c r="M759" s="426">
        <f t="shared" si="113"/>
        <v>82.148422739700194</v>
      </c>
      <c r="N759" s="148">
        <f t="shared" si="114"/>
        <v>30.205975041387763</v>
      </c>
      <c r="O759" s="426">
        <v>35.689470311027328</v>
      </c>
      <c r="P759" s="427">
        <f t="shared" si="115"/>
        <v>0</v>
      </c>
      <c r="Q759" s="427"/>
      <c r="R759" s="532">
        <f t="shared" si="104"/>
        <v>1.722285448116579E-2</v>
      </c>
    </row>
    <row r="760" spans="1:18" s="6" customFormat="1" ht="15.75">
      <c r="A760" s="55">
        <v>12</v>
      </c>
      <c r="B760" s="55" t="s">
        <v>347</v>
      </c>
      <c r="C760" s="8">
        <v>4516.6000000000004</v>
      </c>
      <c r="D760" s="55"/>
      <c r="E760" s="55"/>
      <c r="F760" s="258">
        <f t="shared" si="110"/>
        <v>4516.6000000000004</v>
      </c>
      <c r="G760" s="404">
        <v>1100</v>
      </c>
      <c r="H760" s="404"/>
      <c r="I760" s="404">
        <v>5000</v>
      </c>
      <c r="J760" s="404">
        <v>144</v>
      </c>
      <c r="K760" s="180">
        <f t="shared" si="111"/>
        <v>0</v>
      </c>
      <c r="L760" s="290">
        <f t="shared" si="112"/>
        <v>2.0363910625058924E-2</v>
      </c>
      <c r="M760" s="426">
        <f t="shared" si="113"/>
        <v>41.074211369850097</v>
      </c>
      <c r="N760" s="148">
        <f t="shared" si="114"/>
        <v>15.102987520693882</v>
      </c>
      <c r="O760" s="426">
        <v>17.844735155513664</v>
      </c>
      <c r="P760" s="427">
        <f t="shared" si="115"/>
        <v>0</v>
      </c>
      <c r="Q760" s="427"/>
      <c r="R760" s="532">
        <f t="shared" si="104"/>
        <v>1.6388861986019937E-2</v>
      </c>
    </row>
    <row r="761" spans="1:18" s="6" customFormat="1" ht="15.75">
      <c r="A761" s="55">
        <v>13</v>
      </c>
      <c r="B761" s="55" t="s">
        <v>348</v>
      </c>
      <c r="C761" s="8">
        <v>5874.29</v>
      </c>
      <c r="D761" s="55"/>
      <c r="E761" s="55"/>
      <c r="F761" s="258">
        <f t="shared" si="110"/>
        <v>5874.29</v>
      </c>
      <c r="G761" s="404">
        <v>1100</v>
      </c>
      <c r="H761" s="404"/>
      <c r="I761" s="404">
        <v>5000</v>
      </c>
      <c r="J761" s="404">
        <v>357</v>
      </c>
      <c r="K761" s="180">
        <f t="shared" si="111"/>
        <v>0</v>
      </c>
      <c r="L761" s="290">
        <f t="shared" si="112"/>
        <v>5.0485528424625246E-2</v>
      </c>
      <c r="M761" s="426">
        <f t="shared" si="113"/>
        <v>101.82981568775337</v>
      </c>
      <c r="N761" s="148">
        <f t="shared" si="114"/>
        <v>37.442823228386914</v>
      </c>
      <c r="O761" s="426">
        <v>44.240072573044294</v>
      </c>
      <c r="P761" s="427">
        <f t="shared" si="115"/>
        <v>0</v>
      </c>
      <c r="Q761" s="427"/>
      <c r="R761" s="532">
        <f t="shared" si="104"/>
        <v>3.123998159593493E-2</v>
      </c>
    </row>
    <row r="762" spans="1:18" s="6" customFormat="1" ht="15.75">
      <c r="A762" s="55">
        <v>14</v>
      </c>
      <c r="B762" s="55" t="s">
        <v>349</v>
      </c>
      <c r="C762" s="8">
        <v>5810.95</v>
      </c>
      <c r="D762" s="55"/>
      <c r="E762" s="55"/>
      <c r="F762" s="258">
        <f t="shared" si="110"/>
        <v>5810.95</v>
      </c>
      <c r="G762" s="404">
        <v>1100</v>
      </c>
      <c r="H762" s="404"/>
      <c r="I762" s="404">
        <v>5000</v>
      </c>
      <c r="J762" s="404">
        <v>357</v>
      </c>
      <c r="K762" s="180">
        <f t="shared" si="111"/>
        <v>0</v>
      </c>
      <c r="L762" s="290">
        <f t="shared" si="112"/>
        <v>5.0485528424625246E-2</v>
      </c>
      <c r="M762" s="426">
        <f t="shared" si="113"/>
        <v>101.82981568775337</v>
      </c>
      <c r="N762" s="148">
        <f t="shared" si="114"/>
        <v>37.442823228386914</v>
      </c>
      <c r="O762" s="426">
        <v>44.240072573044294</v>
      </c>
      <c r="P762" s="427">
        <f t="shared" si="115"/>
        <v>0</v>
      </c>
      <c r="Q762" s="427"/>
      <c r="R762" s="532">
        <f t="shared" si="104"/>
        <v>3.1580500862885517E-2</v>
      </c>
    </row>
    <row r="763" spans="1:18" s="6" customFormat="1" ht="15.75">
      <c r="A763" s="55">
        <v>15</v>
      </c>
      <c r="B763" s="55" t="s">
        <v>350</v>
      </c>
      <c r="C763" s="8">
        <v>4315.22</v>
      </c>
      <c r="D763" s="55"/>
      <c r="E763" s="55">
        <v>220.4</v>
      </c>
      <c r="F763" s="258">
        <f t="shared" si="110"/>
        <v>4535.62</v>
      </c>
      <c r="G763" s="404">
        <v>1100</v>
      </c>
      <c r="H763" s="404"/>
      <c r="I763" s="404">
        <v>5000</v>
      </c>
      <c r="J763" s="404">
        <v>192</v>
      </c>
      <c r="K763" s="180">
        <f t="shared" si="111"/>
        <v>0</v>
      </c>
      <c r="L763" s="290">
        <f t="shared" si="112"/>
        <v>2.7151880833411898E-2</v>
      </c>
      <c r="M763" s="426">
        <f t="shared" si="113"/>
        <v>54.765615159800134</v>
      </c>
      <c r="N763" s="148">
        <f t="shared" si="114"/>
        <v>20.137316694258512</v>
      </c>
      <c r="O763" s="426">
        <v>23.792980207351555</v>
      </c>
      <c r="P763" s="427">
        <f t="shared" si="115"/>
        <v>0</v>
      </c>
      <c r="Q763" s="427"/>
      <c r="R763" s="532">
        <f t="shared" si="104"/>
        <v>2.1760180981080911E-2</v>
      </c>
    </row>
    <row r="764" spans="1:18" s="6" customFormat="1" ht="15.75">
      <c r="A764" s="55">
        <v>16</v>
      </c>
      <c r="B764" s="55" t="s">
        <v>351</v>
      </c>
      <c r="C764" s="8">
        <v>6019.4</v>
      </c>
      <c r="D764" s="55"/>
      <c r="E764" s="55">
        <v>951.1</v>
      </c>
      <c r="F764" s="258">
        <f t="shared" si="110"/>
        <v>6970.5</v>
      </c>
      <c r="G764" s="404">
        <v>1100</v>
      </c>
      <c r="H764" s="404"/>
      <c r="I764" s="404">
        <v>5000</v>
      </c>
      <c r="J764" s="404">
        <v>381</v>
      </c>
      <c r="K764" s="180">
        <f t="shared" si="111"/>
        <v>0</v>
      </c>
      <c r="L764" s="290">
        <f t="shared" si="112"/>
        <v>5.3879513528801735E-2</v>
      </c>
      <c r="M764" s="426">
        <f t="shared" si="113"/>
        <v>108.67551758272839</v>
      </c>
      <c r="N764" s="148">
        <f t="shared" si="114"/>
        <v>39.959987815169235</v>
      </c>
      <c r="O764" s="426">
        <v>47.214195098963245</v>
      </c>
      <c r="P764" s="427">
        <f t="shared" si="115"/>
        <v>0</v>
      </c>
      <c r="Q764" s="427"/>
      <c r="R764" s="532">
        <f t="shared" si="104"/>
        <v>2.8096937163311221E-2</v>
      </c>
    </row>
    <row r="765" spans="1:18" s="6" customFormat="1" ht="15.75">
      <c r="A765" s="55">
        <v>17</v>
      </c>
      <c r="B765" s="55" t="s">
        <v>352</v>
      </c>
      <c r="C765" s="8">
        <v>7260.15</v>
      </c>
      <c r="D765" s="55"/>
      <c r="E765" s="55">
        <v>68.5</v>
      </c>
      <c r="F765" s="258">
        <f t="shared" si="110"/>
        <v>7328.65</v>
      </c>
      <c r="G765" s="404">
        <v>1100</v>
      </c>
      <c r="H765" s="404"/>
      <c r="I765" s="404">
        <v>5000</v>
      </c>
      <c r="J765" s="404">
        <v>240</v>
      </c>
      <c r="K765" s="180">
        <f t="shared" si="111"/>
        <v>0</v>
      </c>
      <c r="L765" s="290">
        <f t="shared" si="112"/>
        <v>3.3939851041764876E-2</v>
      </c>
      <c r="M765" s="426">
        <f t="shared" si="113"/>
        <v>68.457018949750179</v>
      </c>
      <c r="N765" s="148">
        <f t="shared" si="114"/>
        <v>25.171645867823141</v>
      </c>
      <c r="O765" s="426">
        <v>29.741225259189441</v>
      </c>
      <c r="P765" s="427">
        <f t="shared" si="115"/>
        <v>0</v>
      </c>
      <c r="Q765" s="427"/>
      <c r="R765" s="532">
        <f t="shared" si="104"/>
        <v>1.6833917580558869E-2</v>
      </c>
    </row>
    <row r="766" spans="1:18" s="6" customFormat="1" ht="15.75">
      <c r="A766" s="55">
        <v>18</v>
      </c>
      <c r="B766" s="55" t="s">
        <v>353</v>
      </c>
      <c r="C766" s="8">
        <v>6364.4</v>
      </c>
      <c r="D766" s="55"/>
      <c r="E766" s="55">
        <v>171.2</v>
      </c>
      <c r="F766" s="258">
        <f t="shared" si="110"/>
        <v>6535.5999999999995</v>
      </c>
      <c r="G766" s="404">
        <v>1100</v>
      </c>
      <c r="H766" s="404"/>
      <c r="I766" s="404">
        <v>5000</v>
      </c>
      <c r="J766" s="404">
        <v>214</v>
      </c>
      <c r="K766" s="180">
        <f t="shared" si="111"/>
        <v>0</v>
      </c>
      <c r="L766" s="290">
        <f t="shared" si="112"/>
        <v>3.0263033845573679E-2</v>
      </c>
      <c r="M766" s="426">
        <f t="shared" si="113"/>
        <v>61.040841896860563</v>
      </c>
      <c r="N766" s="148">
        <f t="shared" si="114"/>
        <v>22.444717565475631</v>
      </c>
      <c r="O766" s="426">
        <v>26.519259189443918</v>
      </c>
      <c r="P766" s="427">
        <f t="shared" si="115"/>
        <v>0</v>
      </c>
      <c r="Q766" s="427"/>
      <c r="R766" s="532">
        <f t="shared" si="104"/>
        <v>1.6831632696581816E-2</v>
      </c>
    </row>
    <row r="767" spans="1:18" s="6" customFormat="1" ht="15.75">
      <c r="A767" s="55">
        <v>19</v>
      </c>
      <c r="B767" s="55" t="s">
        <v>354</v>
      </c>
      <c r="C767" s="8">
        <v>11062.33</v>
      </c>
      <c r="D767" s="55"/>
      <c r="E767" s="55"/>
      <c r="F767" s="258">
        <f t="shared" si="110"/>
        <v>11062.33</v>
      </c>
      <c r="G767" s="404">
        <v>1100</v>
      </c>
      <c r="H767" s="404"/>
      <c r="I767" s="404">
        <v>5000</v>
      </c>
      <c r="J767" s="404">
        <v>432</v>
      </c>
      <c r="K767" s="180">
        <f t="shared" si="111"/>
        <v>0</v>
      </c>
      <c r="L767" s="290">
        <f t="shared" si="112"/>
        <v>6.1091731875176775E-2</v>
      </c>
      <c r="M767" s="426">
        <f t="shared" si="113"/>
        <v>123.2226341095503</v>
      </c>
      <c r="N767" s="148">
        <f t="shared" si="114"/>
        <v>45.308962562081646</v>
      </c>
      <c r="O767" s="426">
        <v>53.534205466541003</v>
      </c>
      <c r="P767" s="427">
        <f t="shared" si="115"/>
        <v>0</v>
      </c>
      <c r="Q767" s="427"/>
      <c r="R767" s="532">
        <f t="shared" si="104"/>
        <v>2.0074053308676648E-2</v>
      </c>
    </row>
    <row r="768" spans="1:18" s="6" customFormat="1" ht="15.75">
      <c r="A768" s="55">
        <v>20</v>
      </c>
      <c r="B768" s="55" t="s">
        <v>355</v>
      </c>
      <c r="C768" s="8">
        <v>8492.94</v>
      </c>
      <c r="D768" s="55"/>
      <c r="E768" s="55"/>
      <c r="F768" s="258">
        <f t="shared" si="110"/>
        <v>8492.94</v>
      </c>
      <c r="G768" s="404">
        <v>1100</v>
      </c>
      <c r="H768" s="404"/>
      <c r="I768" s="404">
        <v>5000</v>
      </c>
      <c r="J768" s="404">
        <v>288</v>
      </c>
      <c r="K768" s="180">
        <f t="shared" si="111"/>
        <v>0</v>
      </c>
      <c r="L768" s="290">
        <f t="shared" si="112"/>
        <v>4.0727821250117847E-2</v>
      </c>
      <c r="M768" s="426">
        <f t="shared" si="113"/>
        <v>82.148422739700194</v>
      </c>
      <c r="N768" s="148">
        <f t="shared" si="114"/>
        <v>30.205975041387763</v>
      </c>
      <c r="O768" s="426">
        <v>35.689470311027328</v>
      </c>
      <c r="P768" s="427">
        <f t="shared" si="115"/>
        <v>0</v>
      </c>
      <c r="Q768" s="427"/>
      <c r="R768" s="532">
        <f t="shared" si="104"/>
        <v>1.7431403976963841E-2</v>
      </c>
    </row>
    <row r="769" spans="1:18" s="6" customFormat="1" ht="15.75">
      <c r="A769" s="55">
        <v>21</v>
      </c>
      <c r="B769" s="55" t="s">
        <v>365</v>
      </c>
      <c r="C769" s="8">
        <v>3876.37</v>
      </c>
      <c r="D769" s="55"/>
      <c r="E769" s="55"/>
      <c r="F769" s="258">
        <f t="shared" si="110"/>
        <v>3876.37</v>
      </c>
      <c r="G769" s="404">
        <v>1100</v>
      </c>
      <c r="H769" s="404"/>
      <c r="I769" s="404">
        <v>5000</v>
      </c>
      <c r="J769" s="404">
        <v>270</v>
      </c>
      <c r="K769" s="180">
        <f t="shared" si="111"/>
        <v>0</v>
      </c>
      <c r="L769" s="290">
        <f t="shared" si="112"/>
        <v>3.8182332421985481E-2</v>
      </c>
      <c r="M769" s="426">
        <f t="shared" si="113"/>
        <v>77.014146318468931</v>
      </c>
      <c r="N769" s="148">
        <f t="shared" si="114"/>
        <v>28.318101601301027</v>
      </c>
      <c r="O769" s="426">
        <v>33.458878416588128</v>
      </c>
      <c r="P769" s="427">
        <f t="shared" si="115"/>
        <v>0</v>
      </c>
      <c r="Q769" s="427"/>
      <c r="R769" s="532">
        <f t="shared" si="104"/>
        <v>3.5804406270907606E-2</v>
      </c>
    </row>
    <row r="770" spans="1:18" s="6" customFormat="1" ht="15.75">
      <c r="A770" s="55">
        <v>22</v>
      </c>
      <c r="B770" s="55" t="s">
        <v>366</v>
      </c>
      <c r="C770" s="8">
        <v>5649.66</v>
      </c>
      <c r="D770" s="55"/>
      <c r="E770" s="55">
        <v>46.1</v>
      </c>
      <c r="F770" s="258">
        <f t="shared" si="110"/>
        <v>5695.76</v>
      </c>
      <c r="G770" s="404">
        <v>1100</v>
      </c>
      <c r="H770" s="404"/>
      <c r="I770" s="404">
        <v>5000</v>
      </c>
      <c r="J770" s="404">
        <v>351</v>
      </c>
      <c r="K770" s="180">
        <f t="shared" si="111"/>
        <v>0</v>
      </c>
      <c r="L770" s="290">
        <f t="shared" si="112"/>
        <v>4.9637032148581124E-2</v>
      </c>
      <c r="M770" s="426">
        <f t="shared" si="113"/>
        <v>100.11839021400961</v>
      </c>
      <c r="N770" s="148">
        <f t="shared" si="114"/>
        <v>36.813532081691335</v>
      </c>
      <c r="O770" s="426">
        <v>43.496541941564566</v>
      </c>
      <c r="P770" s="427">
        <f t="shared" si="115"/>
        <v>0</v>
      </c>
      <c r="Q770" s="427"/>
      <c r="R770" s="532">
        <f t="shared" si="104"/>
        <v>3.1677680280992444E-2</v>
      </c>
    </row>
    <row r="771" spans="1:18" s="6" customFormat="1" ht="15.75">
      <c r="A771" s="55">
        <v>23</v>
      </c>
      <c r="B771" s="55" t="s">
        <v>367</v>
      </c>
      <c r="C771" s="8">
        <v>5815.2</v>
      </c>
      <c r="D771" s="55"/>
      <c r="E771" s="55"/>
      <c r="F771" s="258">
        <f t="shared" si="110"/>
        <v>5815.2</v>
      </c>
      <c r="G771" s="404">
        <v>1100</v>
      </c>
      <c r="H771" s="404"/>
      <c r="I771" s="404">
        <v>5000</v>
      </c>
      <c r="J771" s="404">
        <v>357</v>
      </c>
      <c r="K771" s="180">
        <f t="shared" si="111"/>
        <v>0</v>
      </c>
      <c r="L771" s="290">
        <f t="shared" si="112"/>
        <v>5.0485528424625246E-2</v>
      </c>
      <c r="M771" s="426">
        <f t="shared" si="113"/>
        <v>101.82981568775337</v>
      </c>
      <c r="N771" s="148">
        <f t="shared" si="114"/>
        <v>37.442823228386914</v>
      </c>
      <c r="O771" s="426">
        <v>44.240072573044294</v>
      </c>
      <c r="P771" s="427">
        <f t="shared" si="115"/>
        <v>0</v>
      </c>
      <c r="Q771" s="427"/>
      <c r="R771" s="532">
        <f t="shared" si="104"/>
        <v>3.1557420465192013E-2</v>
      </c>
    </row>
    <row r="772" spans="1:18" s="6" customFormat="1" ht="15.75">
      <c r="A772" s="55">
        <v>24</v>
      </c>
      <c r="B772" s="55" t="s">
        <v>368</v>
      </c>
      <c r="C772" s="8">
        <v>5690.31</v>
      </c>
      <c r="D772" s="55"/>
      <c r="E772" s="55"/>
      <c r="F772" s="258">
        <f t="shared" si="110"/>
        <v>5690.31</v>
      </c>
      <c r="G772" s="404">
        <v>1100</v>
      </c>
      <c r="H772" s="404"/>
      <c r="I772" s="404">
        <v>5000</v>
      </c>
      <c r="J772" s="404">
        <v>357</v>
      </c>
      <c r="K772" s="180">
        <f t="shared" si="111"/>
        <v>0</v>
      </c>
      <c r="L772" s="290">
        <f t="shared" si="112"/>
        <v>5.0485528424625246E-2</v>
      </c>
      <c r="M772" s="426">
        <f t="shared" si="113"/>
        <v>101.82981568775337</v>
      </c>
      <c r="N772" s="148">
        <f t="shared" si="114"/>
        <v>37.442823228386914</v>
      </c>
      <c r="O772" s="426">
        <v>44.240072573044294</v>
      </c>
      <c r="P772" s="427">
        <f t="shared" si="115"/>
        <v>0</v>
      </c>
      <c r="Q772" s="427"/>
      <c r="R772" s="532">
        <f t="shared" si="104"/>
        <v>3.2250037605892228E-2</v>
      </c>
    </row>
    <row r="773" spans="1:18" s="6" customFormat="1" ht="15.75">
      <c r="A773" s="55">
        <v>25</v>
      </c>
      <c r="B773" s="55" t="s">
        <v>369</v>
      </c>
      <c r="C773" s="8">
        <v>3955.02</v>
      </c>
      <c r="D773" s="55"/>
      <c r="E773" s="55"/>
      <c r="F773" s="258">
        <f t="shared" si="110"/>
        <v>3955.02</v>
      </c>
      <c r="G773" s="404">
        <v>1100</v>
      </c>
      <c r="H773" s="404"/>
      <c r="I773" s="404">
        <v>5000</v>
      </c>
      <c r="J773" s="404">
        <v>270</v>
      </c>
      <c r="K773" s="180">
        <f t="shared" si="111"/>
        <v>0</v>
      </c>
      <c r="L773" s="290">
        <f t="shared" si="112"/>
        <v>3.8182332421985481E-2</v>
      </c>
      <c r="M773" s="426">
        <f t="shared" si="113"/>
        <v>77.014146318468931</v>
      </c>
      <c r="N773" s="148">
        <f t="shared" si="114"/>
        <v>28.318101601301027</v>
      </c>
      <c r="O773" s="426">
        <v>33.458878416588128</v>
      </c>
      <c r="P773" s="427">
        <f t="shared" si="115"/>
        <v>0</v>
      </c>
      <c r="Q773" s="427"/>
      <c r="R773" s="532">
        <f t="shared" si="104"/>
        <v>3.5092395572300039E-2</v>
      </c>
    </row>
    <row r="774" spans="1:18" s="6" customFormat="1" ht="15.75">
      <c r="A774" s="55">
        <v>26</v>
      </c>
      <c r="B774" s="55" t="s">
        <v>370</v>
      </c>
      <c r="C774" s="8">
        <v>3905.27</v>
      </c>
      <c r="D774" s="55"/>
      <c r="E774" s="55"/>
      <c r="F774" s="258">
        <f t="shared" si="110"/>
        <v>3905.27</v>
      </c>
      <c r="G774" s="404">
        <v>1100</v>
      </c>
      <c r="H774" s="404"/>
      <c r="I774" s="404">
        <v>5000</v>
      </c>
      <c r="J774" s="404">
        <v>270</v>
      </c>
      <c r="K774" s="180">
        <f t="shared" si="111"/>
        <v>0</v>
      </c>
      <c r="L774" s="290">
        <f t="shared" si="112"/>
        <v>3.8182332421985481E-2</v>
      </c>
      <c r="M774" s="426">
        <f t="shared" si="113"/>
        <v>77.014146318468931</v>
      </c>
      <c r="N774" s="148">
        <f t="shared" si="114"/>
        <v>28.318101601301027</v>
      </c>
      <c r="O774" s="426">
        <v>33.458878416588128</v>
      </c>
      <c r="P774" s="427">
        <f t="shared" si="115"/>
        <v>0</v>
      </c>
      <c r="Q774" s="427"/>
      <c r="R774" s="532">
        <f t="shared" si="104"/>
        <v>3.5539444477938303E-2</v>
      </c>
    </row>
    <row r="775" spans="1:18" s="6" customFormat="1" ht="15.75">
      <c r="A775" s="55">
        <v>27</v>
      </c>
      <c r="B775" s="55" t="s">
        <v>371</v>
      </c>
      <c r="C775" s="8">
        <v>4170.17</v>
      </c>
      <c r="D775" s="55"/>
      <c r="E775" s="55">
        <v>689.1</v>
      </c>
      <c r="F775" s="258">
        <f t="shared" si="110"/>
        <v>4859.2700000000004</v>
      </c>
      <c r="G775" s="404">
        <v>1100</v>
      </c>
      <c r="H775" s="404"/>
      <c r="I775" s="404">
        <v>5000</v>
      </c>
      <c r="J775" s="404">
        <v>144</v>
      </c>
      <c r="K775" s="180">
        <f t="shared" si="111"/>
        <v>0</v>
      </c>
      <c r="L775" s="290">
        <f t="shared" si="112"/>
        <v>2.0363910625058924E-2</v>
      </c>
      <c r="M775" s="426">
        <f t="shared" si="113"/>
        <v>41.074211369850097</v>
      </c>
      <c r="N775" s="148">
        <f t="shared" si="114"/>
        <v>15.102987520693882</v>
      </c>
      <c r="O775" s="426">
        <v>17.844735155513664</v>
      </c>
      <c r="P775" s="427">
        <f t="shared" si="115"/>
        <v>0</v>
      </c>
      <c r="Q775" s="427"/>
      <c r="R775" s="532">
        <f t="shared" ref="R775:R838" si="116">(P775+O775+N775+M775)/F775</f>
        <v>1.5233138731961313E-2</v>
      </c>
    </row>
    <row r="776" spans="1:18" s="6" customFormat="1" ht="15.75">
      <c r="A776" s="55">
        <v>28</v>
      </c>
      <c r="B776" s="55" t="s">
        <v>372</v>
      </c>
      <c r="C776" s="8">
        <v>4268.12</v>
      </c>
      <c r="D776" s="55">
        <v>216.9</v>
      </c>
      <c r="E776" s="55">
        <v>468.4</v>
      </c>
      <c r="F776" s="258">
        <f t="shared" si="110"/>
        <v>4953.4199999999992</v>
      </c>
      <c r="G776" s="404">
        <v>1100</v>
      </c>
      <c r="H776" s="404"/>
      <c r="I776" s="404">
        <v>5000</v>
      </c>
      <c r="J776" s="404">
        <v>144</v>
      </c>
      <c r="K776" s="180">
        <f t="shared" si="111"/>
        <v>0</v>
      </c>
      <c r="L776" s="290">
        <f t="shared" si="112"/>
        <v>2.0363910625058924E-2</v>
      </c>
      <c r="M776" s="426">
        <f t="shared" si="113"/>
        <v>41.074211369850097</v>
      </c>
      <c r="N776" s="148">
        <f t="shared" si="114"/>
        <v>15.102987520693882</v>
      </c>
      <c r="O776" s="426">
        <v>17.844735155513664</v>
      </c>
      <c r="P776" s="427">
        <f t="shared" si="115"/>
        <v>0</v>
      </c>
      <c r="Q776" s="427"/>
      <c r="R776" s="532">
        <f t="shared" si="116"/>
        <v>1.494360139985256E-2</v>
      </c>
    </row>
    <row r="777" spans="1:18" s="6" customFormat="1" ht="15.75">
      <c r="A777" s="55">
        <v>29</v>
      </c>
      <c r="B777" s="55" t="s">
        <v>373</v>
      </c>
      <c r="C777" s="8">
        <v>10932.24</v>
      </c>
      <c r="D777" s="55"/>
      <c r="E777" s="55"/>
      <c r="F777" s="258">
        <f t="shared" si="110"/>
        <v>10932.24</v>
      </c>
      <c r="G777" s="404">
        <v>1100</v>
      </c>
      <c r="H777" s="404"/>
      <c r="I777" s="404">
        <v>5000</v>
      </c>
      <c r="J777" s="404">
        <v>432</v>
      </c>
      <c r="K777" s="180">
        <f t="shared" si="111"/>
        <v>0</v>
      </c>
      <c r="L777" s="290">
        <f t="shared" si="112"/>
        <v>6.1091731875176775E-2</v>
      </c>
      <c r="M777" s="426">
        <f t="shared" si="113"/>
        <v>123.2226341095503</v>
      </c>
      <c r="N777" s="148">
        <f t="shared" si="114"/>
        <v>45.308962562081646</v>
      </c>
      <c r="O777" s="426">
        <v>53.534205466541003</v>
      </c>
      <c r="P777" s="427">
        <f t="shared" si="115"/>
        <v>0</v>
      </c>
      <c r="Q777" s="427"/>
      <c r="R777" s="532">
        <f t="shared" si="116"/>
        <v>2.0312927829810996E-2</v>
      </c>
    </row>
    <row r="778" spans="1:18" s="6" customFormat="1" ht="15.75">
      <c r="A778" s="55">
        <v>30</v>
      </c>
      <c r="B778" s="55" t="s">
        <v>374</v>
      </c>
      <c r="C778" s="8">
        <v>4713.08</v>
      </c>
      <c r="D778" s="55"/>
      <c r="E778" s="55"/>
      <c r="F778" s="258">
        <f t="shared" si="110"/>
        <v>4713.08</v>
      </c>
      <c r="G778" s="404">
        <v>1100</v>
      </c>
      <c r="H778" s="404"/>
      <c r="I778" s="404">
        <v>5000</v>
      </c>
      <c r="J778" s="404">
        <v>160</v>
      </c>
      <c r="K778" s="180">
        <f t="shared" si="111"/>
        <v>0</v>
      </c>
      <c r="L778" s="290">
        <f t="shared" si="112"/>
        <v>2.2626567361176582E-2</v>
      </c>
      <c r="M778" s="426">
        <f t="shared" si="113"/>
        <v>45.638012633166774</v>
      </c>
      <c r="N778" s="148">
        <f t="shared" si="114"/>
        <v>16.781097245215424</v>
      </c>
      <c r="O778" s="426">
        <v>19.827483506126296</v>
      </c>
      <c r="P778" s="427">
        <f t="shared" si="115"/>
        <v>0</v>
      </c>
      <c r="Q778" s="427"/>
      <c r="R778" s="532">
        <f t="shared" si="116"/>
        <v>1.7450710232906824E-2</v>
      </c>
    </row>
    <row r="779" spans="1:18" s="6" customFormat="1" ht="15.75">
      <c r="A779" s="55">
        <v>31</v>
      </c>
      <c r="B779" s="55" t="s">
        <v>375</v>
      </c>
      <c r="C779" s="8">
        <v>4688.58</v>
      </c>
      <c r="D779" s="55"/>
      <c r="E779" s="55"/>
      <c r="F779" s="258">
        <f t="shared" si="110"/>
        <v>4688.58</v>
      </c>
      <c r="G779" s="404">
        <v>1100</v>
      </c>
      <c r="H779" s="404"/>
      <c r="I779" s="404">
        <v>5000</v>
      </c>
      <c r="J779" s="404">
        <v>160</v>
      </c>
      <c r="K779" s="180">
        <f t="shared" si="111"/>
        <v>0</v>
      </c>
      <c r="L779" s="290">
        <f t="shared" si="112"/>
        <v>2.2626567361176582E-2</v>
      </c>
      <c r="M779" s="426">
        <f t="shared" si="113"/>
        <v>45.638012633166774</v>
      </c>
      <c r="N779" s="148">
        <f t="shared" si="114"/>
        <v>16.781097245215424</v>
      </c>
      <c r="O779" s="426">
        <v>19.827483506126296</v>
      </c>
      <c r="P779" s="427">
        <f t="shared" si="115"/>
        <v>0</v>
      </c>
      <c r="Q779" s="427"/>
      <c r="R779" s="532">
        <f t="shared" si="116"/>
        <v>1.7541898268667377E-2</v>
      </c>
    </row>
    <row r="780" spans="1:18" s="6" customFormat="1" ht="15.75">
      <c r="A780" s="55">
        <v>32</v>
      </c>
      <c r="B780" s="55" t="s">
        <v>376</v>
      </c>
      <c r="C780" s="8">
        <v>2330.62</v>
      </c>
      <c r="D780" s="55"/>
      <c r="E780" s="55"/>
      <c r="F780" s="258">
        <f t="shared" si="110"/>
        <v>2330.62</v>
      </c>
      <c r="G780" s="404">
        <v>1100</v>
      </c>
      <c r="H780" s="404"/>
      <c r="I780" s="404">
        <v>5000</v>
      </c>
      <c r="J780" s="404">
        <v>80</v>
      </c>
      <c r="K780" s="180">
        <f t="shared" si="111"/>
        <v>0</v>
      </c>
      <c r="L780" s="290">
        <f t="shared" si="112"/>
        <v>1.1313283680588291E-2</v>
      </c>
      <c r="M780" s="426">
        <f t="shared" si="113"/>
        <v>22.819006316583387</v>
      </c>
      <c r="N780" s="148">
        <f t="shared" si="114"/>
        <v>8.3905486226077119</v>
      </c>
      <c r="O780" s="426">
        <v>9.9137417530631478</v>
      </c>
      <c r="P780" s="427">
        <f t="shared" si="115"/>
        <v>0</v>
      </c>
      <c r="Q780" s="427"/>
      <c r="R780" s="532">
        <f t="shared" si="116"/>
        <v>1.7644788379167022E-2</v>
      </c>
    </row>
    <row r="781" spans="1:18" s="6" customFormat="1" ht="15.75">
      <c r="A781" s="55">
        <v>33</v>
      </c>
      <c r="B781" s="55" t="s">
        <v>377</v>
      </c>
      <c r="C781" s="8">
        <v>2305.7800000000002</v>
      </c>
      <c r="D781" s="55"/>
      <c r="E781" s="55"/>
      <c r="F781" s="258">
        <f t="shared" si="110"/>
        <v>2305.7800000000002</v>
      </c>
      <c r="G781" s="404">
        <v>1100</v>
      </c>
      <c r="H781" s="404"/>
      <c r="I781" s="404">
        <v>5000</v>
      </c>
      <c r="J781" s="404">
        <v>80</v>
      </c>
      <c r="K781" s="180">
        <f t="shared" si="111"/>
        <v>0</v>
      </c>
      <c r="L781" s="290">
        <f t="shared" si="112"/>
        <v>1.1313283680588291E-2</v>
      </c>
      <c r="M781" s="426">
        <f t="shared" si="113"/>
        <v>22.819006316583387</v>
      </c>
      <c r="N781" s="148">
        <f t="shared" si="114"/>
        <v>8.3905486226077119</v>
      </c>
      <c r="O781" s="426">
        <v>9.9137417530631478</v>
      </c>
      <c r="P781" s="427">
        <f t="shared" si="115"/>
        <v>0</v>
      </c>
      <c r="Q781" s="427"/>
      <c r="R781" s="532">
        <f t="shared" si="116"/>
        <v>1.7834874399228998E-2</v>
      </c>
    </row>
    <row r="782" spans="1:18" s="6" customFormat="1" ht="15.75">
      <c r="A782" s="55">
        <v>34</v>
      </c>
      <c r="B782" s="55" t="s">
        <v>378</v>
      </c>
      <c r="C782" s="8">
        <v>2216.46</v>
      </c>
      <c r="D782" s="55"/>
      <c r="E782" s="55"/>
      <c r="F782" s="258">
        <f t="shared" si="110"/>
        <v>2216.46</v>
      </c>
      <c r="G782" s="404">
        <v>1100</v>
      </c>
      <c r="H782" s="404"/>
      <c r="I782" s="404">
        <v>5000</v>
      </c>
      <c r="J782" s="404">
        <v>80</v>
      </c>
      <c r="K782" s="180">
        <f t="shared" si="111"/>
        <v>0</v>
      </c>
      <c r="L782" s="290">
        <f t="shared" si="112"/>
        <v>1.1313283680588291E-2</v>
      </c>
      <c r="M782" s="426">
        <f t="shared" si="113"/>
        <v>22.819006316583387</v>
      </c>
      <c r="N782" s="148">
        <f t="shared" si="114"/>
        <v>8.3905486226077119</v>
      </c>
      <c r="O782" s="426">
        <v>9.9137417530631478</v>
      </c>
      <c r="P782" s="427">
        <f t="shared" si="115"/>
        <v>0</v>
      </c>
      <c r="Q782" s="427"/>
      <c r="R782" s="532">
        <f t="shared" si="116"/>
        <v>1.8553592978106638E-2</v>
      </c>
    </row>
    <row r="783" spans="1:18" s="6" customFormat="1" ht="15.75">
      <c r="A783" s="55">
        <v>35</v>
      </c>
      <c r="B783" s="55" t="s">
        <v>379</v>
      </c>
      <c r="C783" s="8">
        <v>5733.87</v>
      </c>
      <c r="D783" s="55"/>
      <c r="E783" s="55">
        <v>119.9</v>
      </c>
      <c r="F783" s="258">
        <f t="shared" si="110"/>
        <v>5853.7699999999995</v>
      </c>
      <c r="G783" s="404">
        <v>1100</v>
      </c>
      <c r="H783" s="404"/>
      <c r="I783" s="404">
        <v>5000</v>
      </c>
      <c r="J783" s="404">
        <v>375</v>
      </c>
      <c r="K783" s="180">
        <f t="shared" si="111"/>
        <v>0</v>
      </c>
      <c r="L783" s="290">
        <f t="shared" si="112"/>
        <v>5.3031017252757613E-2</v>
      </c>
      <c r="M783" s="426">
        <f t="shared" si="113"/>
        <v>106.96409210898463</v>
      </c>
      <c r="N783" s="148">
        <f t="shared" si="114"/>
        <v>39.330696668473649</v>
      </c>
      <c r="O783" s="426">
        <v>46.470664467483509</v>
      </c>
      <c r="P783" s="427">
        <f t="shared" si="115"/>
        <v>0</v>
      </c>
      <c r="Q783" s="427"/>
      <c r="R783" s="532">
        <f t="shared" si="116"/>
        <v>3.2930137884635342E-2</v>
      </c>
    </row>
    <row r="784" spans="1:18" s="6" customFormat="1" ht="15.75">
      <c r="A784" s="55">
        <v>36</v>
      </c>
      <c r="B784" s="55" t="s">
        <v>380</v>
      </c>
      <c r="C784" s="8">
        <v>4616.67</v>
      </c>
      <c r="D784" s="55"/>
      <c r="E784" s="55">
        <v>516.1</v>
      </c>
      <c r="F784" s="258">
        <f t="shared" si="110"/>
        <v>5132.7700000000004</v>
      </c>
      <c r="G784" s="404">
        <v>1100</v>
      </c>
      <c r="H784" s="404"/>
      <c r="I784" s="404">
        <v>5000</v>
      </c>
      <c r="J784" s="404">
        <v>172</v>
      </c>
      <c r="K784" s="180">
        <f t="shared" si="111"/>
        <v>0</v>
      </c>
      <c r="L784" s="290">
        <f t="shared" si="112"/>
        <v>2.4323559913264826E-2</v>
      </c>
      <c r="M784" s="426">
        <f t="shared" si="113"/>
        <v>49.060863580654285</v>
      </c>
      <c r="N784" s="148">
        <f t="shared" si="114"/>
        <v>18.039679538606581</v>
      </c>
      <c r="O784" s="426">
        <v>21.314544769085767</v>
      </c>
      <c r="P784" s="427">
        <f t="shared" si="115"/>
        <v>0</v>
      </c>
      <c r="Q784" s="427"/>
      <c r="R784" s="532">
        <f t="shared" si="116"/>
        <v>1.7225608762587576E-2</v>
      </c>
    </row>
    <row r="785" spans="1:18" s="6" customFormat="1" ht="15.75">
      <c r="A785" s="55">
        <v>37</v>
      </c>
      <c r="B785" s="55" t="s">
        <v>381</v>
      </c>
      <c r="C785" s="8">
        <v>4459.21</v>
      </c>
      <c r="D785" s="55"/>
      <c r="E785" s="55">
        <v>199.1</v>
      </c>
      <c r="F785" s="258">
        <f t="shared" si="110"/>
        <v>4658.3100000000004</v>
      </c>
      <c r="G785" s="404">
        <v>1100</v>
      </c>
      <c r="H785" s="404"/>
      <c r="I785" s="404">
        <v>5000</v>
      </c>
      <c r="J785" s="404">
        <v>192</v>
      </c>
      <c r="K785" s="180">
        <f t="shared" si="111"/>
        <v>0</v>
      </c>
      <c r="L785" s="290">
        <f t="shared" si="112"/>
        <v>2.7151880833411898E-2</v>
      </c>
      <c r="M785" s="426">
        <f t="shared" si="113"/>
        <v>54.765615159800134</v>
      </c>
      <c r="N785" s="148">
        <f t="shared" si="114"/>
        <v>20.137316694258512</v>
      </c>
      <c r="O785" s="426">
        <v>23.792980207351555</v>
      </c>
      <c r="P785" s="427">
        <f t="shared" si="115"/>
        <v>0</v>
      </c>
      <c r="Q785" s="427"/>
      <c r="R785" s="532">
        <f t="shared" si="116"/>
        <v>2.1187063991320927E-2</v>
      </c>
    </row>
    <row r="786" spans="1:18" s="6" customFormat="1" ht="15.75">
      <c r="A786" s="55">
        <v>38</v>
      </c>
      <c r="B786" s="55" t="s">
        <v>382</v>
      </c>
      <c r="C786" s="8">
        <v>4519.6099999999997</v>
      </c>
      <c r="D786" s="55"/>
      <c r="E786" s="55"/>
      <c r="F786" s="258">
        <f t="shared" si="110"/>
        <v>4519.6099999999997</v>
      </c>
      <c r="G786" s="404">
        <v>1100</v>
      </c>
      <c r="H786" s="404"/>
      <c r="I786" s="404">
        <v>5000</v>
      </c>
      <c r="J786" s="404">
        <v>160</v>
      </c>
      <c r="K786" s="180">
        <f t="shared" si="111"/>
        <v>0</v>
      </c>
      <c r="L786" s="290">
        <f t="shared" si="112"/>
        <v>2.2626567361176582E-2</v>
      </c>
      <c r="M786" s="426">
        <f t="shared" si="113"/>
        <v>45.638012633166774</v>
      </c>
      <c r="N786" s="148">
        <f t="shared" si="114"/>
        <v>16.781097245215424</v>
      </c>
      <c r="O786" s="426">
        <v>19.827483506126296</v>
      </c>
      <c r="P786" s="427">
        <f t="shared" si="115"/>
        <v>0</v>
      </c>
      <c r="Q786" s="427"/>
      <c r="R786" s="532">
        <f t="shared" si="116"/>
        <v>1.8197719136055654E-2</v>
      </c>
    </row>
    <row r="787" spans="1:18" s="6" customFormat="1" ht="15.75">
      <c r="A787" s="55">
        <v>39</v>
      </c>
      <c r="B787" s="55" t="s">
        <v>383</v>
      </c>
      <c r="C787" s="8">
        <v>7164.75</v>
      </c>
      <c r="D787" s="55"/>
      <c r="E787" s="55"/>
      <c r="F787" s="258">
        <f t="shared" si="110"/>
        <v>7164.75</v>
      </c>
      <c r="G787" s="404">
        <v>1100</v>
      </c>
      <c r="H787" s="404"/>
      <c r="I787" s="404">
        <v>5000</v>
      </c>
      <c r="J787" s="404">
        <v>240</v>
      </c>
      <c r="K787" s="180">
        <f t="shared" si="111"/>
        <v>0</v>
      </c>
      <c r="L787" s="290">
        <f t="shared" si="112"/>
        <v>3.3939851041764876E-2</v>
      </c>
      <c r="M787" s="426">
        <f t="shared" si="113"/>
        <v>68.457018949750179</v>
      </c>
      <c r="N787" s="148">
        <f t="shared" si="114"/>
        <v>25.171645867823141</v>
      </c>
      <c r="O787" s="426">
        <v>29.741225259189441</v>
      </c>
      <c r="P787" s="427">
        <f t="shared" si="115"/>
        <v>0</v>
      </c>
      <c r="Q787" s="427"/>
      <c r="R787" s="532">
        <f t="shared" si="116"/>
        <v>1.7219008350153567E-2</v>
      </c>
    </row>
    <row r="788" spans="1:18" s="6" customFormat="1" ht="15.75">
      <c r="A788" s="55">
        <v>40</v>
      </c>
      <c r="B788" s="55" t="s">
        <v>384</v>
      </c>
      <c r="C788" s="8">
        <v>4422.5</v>
      </c>
      <c r="D788" s="55"/>
      <c r="E788" s="55"/>
      <c r="F788" s="258">
        <f t="shared" si="110"/>
        <v>4422.5</v>
      </c>
      <c r="G788" s="404">
        <v>1100</v>
      </c>
      <c r="H788" s="404"/>
      <c r="I788" s="404">
        <v>5000</v>
      </c>
      <c r="J788" s="404">
        <v>160</v>
      </c>
      <c r="K788" s="180">
        <f t="shared" si="111"/>
        <v>0</v>
      </c>
      <c r="L788" s="290">
        <f t="shared" si="112"/>
        <v>2.2626567361176582E-2</v>
      </c>
      <c r="M788" s="426">
        <f t="shared" si="113"/>
        <v>45.638012633166774</v>
      </c>
      <c r="N788" s="148">
        <f t="shared" si="114"/>
        <v>16.781097245215424</v>
      </c>
      <c r="O788" s="426">
        <v>19.827483506126296</v>
      </c>
      <c r="P788" s="427">
        <f t="shared" si="115"/>
        <v>0</v>
      </c>
      <c r="Q788" s="427"/>
      <c r="R788" s="532">
        <f t="shared" si="116"/>
        <v>1.8597307718373882E-2</v>
      </c>
    </row>
    <row r="789" spans="1:18" s="6" customFormat="1" ht="15.75">
      <c r="A789" s="55">
        <v>41</v>
      </c>
      <c r="B789" s="55" t="s">
        <v>385</v>
      </c>
      <c r="C789" s="8">
        <v>9048.7900000000009</v>
      </c>
      <c r="D789" s="55"/>
      <c r="E789" s="55"/>
      <c r="F789" s="258">
        <f t="shared" si="110"/>
        <v>9048.7900000000009</v>
      </c>
      <c r="G789" s="404">
        <v>1100</v>
      </c>
      <c r="H789" s="404"/>
      <c r="I789" s="404">
        <v>5000</v>
      </c>
      <c r="J789" s="404">
        <v>320</v>
      </c>
      <c r="K789" s="180">
        <f t="shared" si="111"/>
        <v>0</v>
      </c>
      <c r="L789" s="290">
        <f t="shared" si="112"/>
        <v>4.5253134722353164E-2</v>
      </c>
      <c r="M789" s="426">
        <f t="shared" si="113"/>
        <v>91.276025266333548</v>
      </c>
      <c r="N789" s="148">
        <f t="shared" si="114"/>
        <v>33.562194490430848</v>
      </c>
      <c r="O789" s="426">
        <v>39.654967012252591</v>
      </c>
      <c r="P789" s="427">
        <f t="shared" si="115"/>
        <v>0</v>
      </c>
      <c r="Q789" s="427"/>
      <c r="R789" s="532">
        <f t="shared" si="116"/>
        <v>1.8178473228908722E-2</v>
      </c>
    </row>
    <row r="790" spans="1:18" s="6" customFormat="1" ht="15.75">
      <c r="A790" s="55">
        <v>42</v>
      </c>
      <c r="B790" s="55" t="s">
        <v>386</v>
      </c>
      <c r="C790" s="32">
        <v>4583.33</v>
      </c>
      <c r="D790" s="55"/>
      <c r="E790" s="55"/>
      <c r="F790" s="258">
        <f t="shared" si="110"/>
        <v>4583.33</v>
      </c>
      <c r="G790" s="404">
        <v>1100</v>
      </c>
      <c r="H790" s="404"/>
      <c r="I790" s="404">
        <v>5000</v>
      </c>
      <c r="J790" s="404">
        <v>160</v>
      </c>
      <c r="K790" s="180">
        <f t="shared" si="111"/>
        <v>0</v>
      </c>
      <c r="L790" s="290">
        <f t="shared" si="112"/>
        <v>2.2626567361176582E-2</v>
      </c>
      <c r="M790" s="426">
        <f t="shared" si="113"/>
        <v>45.638012633166774</v>
      </c>
      <c r="N790" s="148">
        <f t="shared" si="114"/>
        <v>16.781097245215424</v>
      </c>
      <c r="O790" s="426">
        <v>19.827483506126296</v>
      </c>
      <c r="P790" s="427">
        <f t="shared" si="115"/>
        <v>0</v>
      </c>
      <c r="Q790" s="427"/>
      <c r="R790" s="532">
        <f t="shared" si="116"/>
        <v>1.794472433460137E-2</v>
      </c>
    </row>
    <row r="791" spans="1:18" s="6" customFormat="1" ht="15.75">
      <c r="A791" s="55">
        <v>43</v>
      </c>
      <c r="B791" s="55" t="s">
        <v>387</v>
      </c>
      <c r="C791" s="32">
        <v>2091.96</v>
      </c>
      <c r="D791" s="55"/>
      <c r="E791" s="55">
        <v>121.7</v>
      </c>
      <c r="F791" s="258">
        <f t="shared" si="110"/>
        <v>2213.66</v>
      </c>
      <c r="G791" s="404">
        <v>1100</v>
      </c>
      <c r="H791" s="404"/>
      <c r="I791" s="404">
        <v>5000</v>
      </c>
      <c r="J791" s="404">
        <v>72</v>
      </c>
      <c r="K791" s="180">
        <f t="shared" si="111"/>
        <v>0</v>
      </c>
      <c r="L791" s="290">
        <f t="shared" si="112"/>
        <v>1.0181955312529462E-2</v>
      </c>
      <c r="M791" s="426">
        <f t="shared" si="113"/>
        <v>20.537105684925049</v>
      </c>
      <c r="N791" s="148">
        <f t="shared" si="114"/>
        <v>7.5514937603469408</v>
      </c>
      <c r="O791" s="426">
        <v>8.9223675777568321</v>
      </c>
      <c r="P791" s="427">
        <f t="shared" si="115"/>
        <v>0</v>
      </c>
      <c r="Q791" s="427"/>
      <c r="R791" s="532">
        <f t="shared" si="116"/>
        <v>1.6719354834540456E-2</v>
      </c>
    </row>
    <row r="792" spans="1:18" s="6" customFormat="1" ht="15.75">
      <c r="A792" s="55">
        <v>44</v>
      </c>
      <c r="B792" s="55" t="s">
        <v>388</v>
      </c>
      <c r="C792" s="32">
        <v>41.2</v>
      </c>
      <c r="D792" s="55"/>
      <c r="E792" s="55"/>
      <c r="F792" s="258">
        <f t="shared" si="110"/>
        <v>41.2</v>
      </c>
      <c r="G792" s="404">
        <v>1100</v>
      </c>
      <c r="H792" s="404">
        <v>5</v>
      </c>
      <c r="I792" s="404">
        <v>5000</v>
      </c>
      <c r="J792" s="404">
        <v>1</v>
      </c>
      <c r="K792" s="180">
        <f t="shared" si="111"/>
        <v>2.4925224327018939E-3</v>
      </c>
      <c r="L792" s="290">
        <f t="shared" si="112"/>
        <v>1.4141604600735364E-4</v>
      </c>
      <c r="M792" s="426">
        <f t="shared" si="113"/>
        <v>5.3126802509413391</v>
      </c>
      <c r="N792" s="148">
        <f t="shared" si="114"/>
        <v>1.9534725282711305</v>
      </c>
      <c r="O792" s="426">
        <v>2.287149807451295</v>
      </c>
      <c r="P792" s="427">
        <f t="shared" si="115"/>
        <v>0.46021934197407766</v>
      </c>
      <c r="Q792" s="427"/>
      <c r="R792" s="532">
        <f t="shared" si="116"/>
        <v>0.2430466487533457</v>
      </c>
    </row>
    <row r="793" spans="1:18" s="6" customFormat="1" ht="15.75">
      <c r="A793" s="55">
        <v>45</v>
      </c>
      <c r="B793" s="55" t="s">
        <v>389</v>
      </c>
      <c r="C793" s="32">
        <v>21</v>
      </c>
      <c r="D793" s="55"/>
      <c r="E793" s="55"/>
      <c r="F793" s="258">
        <f t="shared" si="110"/>
        <v>21</v>
      </c>
      <c r="G793" s="404">
        <v>1100</v>
      </c>
      <c r="H793" s="404">
        <v>1</v>
      </c>
      <c r="I793" s="404">
        <v>5000</v>
      </c>
      <c r="J793" s="404">
        <v>1</v>
      </c>
      <c r="K793" s="180">
        <f t="shared" si="111"/>
        <v>4.9850448654037882E-4</v>
      </c>
      <c r="L793" s="290">
        <f t="shared" si="112"/>
        <v>1.4141604600735364E-4</v>
      </c>
      <c r="M793" s="426">
        <f t="shared" si="113"/>
        <v>1.2907261133541019</v>
      </c>
      <c r="N793" s="148">
        <f t="shared" si="114"/>
        <v>0.47459999188030333</v>
      </c>
      <c r="O793" s="426">
        <v>0.55656737902089048</v>
      </c>
      <c r="P793" s="427">
        <f t="shared" si="115"/>
        <v>9.2043868394815542E-2</v>
      </c>
      <c r="Q793" s="427"/>
      <c r="R793" s="532">
        <f t="shared" si="116"/>
        <v>0.11494939774524339</v>
      </c>
    </row>
    <row r="794" spans="1:18" s="6" customFormat="1" ht="15.75">
      <c r="A794" s="55">
        <v>46</v>
      </c>
      <c r="B794" s="55" t="s">
        <v>390</v>
      </c>
      <c r="C794" s="32">
        <v>113.2</v>
      </c>
      <c r="D794" s="55"/>
      <c r="E794" s="55"/>
      <c r="F794" s="258">
        <f t="shared" si="110"/>
        <v>113.2</v>
      </c>
      <c r="G794" s="404">
        <v>1100</v>
      </c>
      <c r="H794" s="404">
        <v>3</v>
      </c>
      <c r="I794" s="404">
        <v>5000</v>
      </c>
      <c r="J794" s="404">
        <v>3</v>
      </c>
      <c r="K794" s="180">
        <f t="shared" si="111"/>
        <v>1.4955134596211365E-3</v>
      </c>
      <c r="L794" s="290">
        <f t="shared" si="112"/>
        <v>4.2424813802206091E-4</v>
      </c>
      <c r="M794" s="426">
        <f t="shared" si="113"/>
        <v>3.8721783400623053</v>
      </c>
      <c r="N794" s="148">
        <f t="shared" si="114"/>
        <v>1.4237999756409099</v>
      </c>
      <c r="O794" s="426">
        <v>1.6697021370626712</v>
      </c>
      <c r="P794" s="427">
        <f t="shared" si="115"/>
        <v>0.27613160518444663</v>
      </c>
      <c r="Q794" s="427"/>
      <c r="R794" s="532">
        <f t="shared" si="116"/>
        <v>6.3973604752211422E-2</v>
      </c>
    </row>
    <row r="795" spans="1:18" s="6" customFormat="1" ht="15.75">
      <c r="A795" s="55">
        <v>47</v>
      </c>
      <c r="B795" s="55" t="s">
        <v>391</v>
      </c>
      <c r="C795" s="32">
        <v>149.19999999999999</v>
      </c>
      <c r="D795" s="55"/>
      <c r="E795" s="55"/>
      <c r="F795" s="258">
        <f t="shared" si="110"/>
        <v>149.19999999999999</v>
      </c>
      <c r="G795" s="404">
        <v>1100</v>
      </c>
      <c r="H795" s="404">
        <v>3</v>
      </c>
      <c r="I795" s="404">
        <v>5000</v>
      </c>
      <c r="J795" s="404">
        <v>2</v>
      </c>
      <c r="K795" s="180">
        <f t="shared" si="111"/>
        <v>1.4955134596211365E-3</v>
      </c>
      <c r="L795" s="290">
        <f t="shared" si="112"/>
        <v>2.8283209201470727E-4</v>
      </c>
      <c r="M795" s="426">
        <f t="shared" si="113"/>
        <v>3.586940761105013</v>
      </c>
      <c r="N795" s="148">
        <f t="shared" si="114"/>
        <v>1.3189181178583134</v>
      </c>
      <c r="O795" s="426">
        <v>1.545780365149382</v>
      </c>
      <c r="P795" s="427">
        <f t="shared" si="115"/>
        <v>0.27613160518444663</v>
      </c>
      <c r="Q795" s="427"/>
      <c r="R795" s="532">
        <f t="shared" si="116"/>
        <v>4.5092297917541255E-2</v>
      </c>
    </row>
    <row r="796" spans="1:18" s="6" customFormat="1" ht="15.75">
      <c r="A796" s="55">
        <v>49</v>
      </c>
      <c r="B796" s="55" t="s">
        <v>808</v>
      </c>
      <c r="C796" s="32">
        <v>613.9</v>
      </c>
      <c r="D796" s="55"/>
      <c r="E796" s="55">
        <v>71.099999999999994</v>
      </c>
      <c r="F796" s="258">
        <f t="shared" si="110"/>
        <v>685</v>
      </c>
      <c r="G796" s="146">
        <v>1100</v>
      </c>
      <c r="H796" s="146">
        <v>14</v>
      </c>
      <c r="I796" s="146">
        <v>5000</v>
      </c>
      <c r="J796" s="146">
        <v>12</v>
      </c>
      <c r="K796" s="180">
        <f t="shared" si="111"/>
        <v>6.979062811565304E-3</v>
      </c>
      <c r="L796" s="290">
        <f t="shared" si="112"/>
        <v>1.6969925520882436E-3</v>
      </c>
      <c r="M796" s="426">
        <f t="shared" si="113"/>
        <v>17.49969042904284</v>
      </c>
      <c r="N796" s="148">
        <f t="shared" si="114"/>
        <v>6.4346361707590525</v>
      </c>
      <c r="O796" s="426">
        <v>7.5440997624658879</v>
      </c>
      <c r="P796" s="427">
        <f t="shared" si="115"/>
        <v>1.2886141575274177</v>
      </c>
      <c r="Q796" s="427"/>
      <c r="R796" s="532">
        <f t="shared" si="116"/>
        <v>4.7835095649336058E-2</v>
      </c>
    </row>
    <row r="797" spans="1:18" s="6" customFormat="1" ht="15.75">
      <c r="A797" s="55">
        <v>50</v>
      </c>
      <c r="B797" s="55" t="s">
        <v>809</v>
      </c>
      <c r="C797" s="32">
        <v>451.16</v>
      </c>
      <c r="D797" s="55"/>
      <c r="E797" s="55">
        <v>29.4</v>
      </c>
      <c r="F797" s="258">
        <f t="shared" si="110"/>
        <v>480.56</v>
      </c>
      <c r="G797" s="146">
        <v>1100</v>
      </c>
      <c r="H797" s="146">
        <v>13</v>
      </c>
      <c r="I797" s="146">
        <v>5000</v>
      </c>
      <c r="J797" s="146">
        <v>10</v>
      </c>
      <c r="K797" s="180">
        <f t="shared" si="111"/>
        <v>6.4805583250249245E-3</v>
      </c>
      <c r="L797" s="290">
        <f t="shared" si="112"/>
        <v>1.4141604600735364E-3</v>
      </c>
      <c r="M797" s="426">
        <f t="shared" si="113"/>
        <v>15.923726736731446</v>
      </c>
      <c r="N797" s="148">
        <f t="shared" si="114"/>
        <v>5.855154321096153</v>
      </c>
      <c r="O797" s="426">
        <v>6.8636106115317084</v>
      </c>
      <c r="P797" s="427">
        <f t="shared" si="115"/>
        <v>1.196570289132602</v>
      </c>
      <c r="Q797" s="427"/>
      <c r="R797" s="532">
        <f t="shared" si="116"/>
        <v>6.209227143018959E-2</v>
      </c>
    </row>
    <row r="798" spans="1:18" s="6" customFormat="1" ht="15.75">
      <c r="A798" s="55">
        <v>51</v>
      </c>
      <c r="B798" s="55" t="s">
        <v>810</v>
      </c>
      <c r="C798" s="32">
        <v>514.09</v>
      </c>
      <c r="D798" s="55"/>
      <c r="E798" s="55"/>
      <c r="F798" s="258">
        <f t="shared" si="110"/>
        <v>514.09</v>
      </c>
      <c r="G798" s="146">
        <v>1100</v>
      </c>
      <c r="H798" s="146">
        <v>15</v>
      </c>
      <c r="I798" s="146">
        <v>5000</v>
      </c>
      <c r="J798" s="146">
        <v>9</v>
      </c>
      <c r="K798" s="180">
        <f t="shared" si="111"/>
        <v>7.4775672981056826E-3</v>
      </c>
      <c r="L798" s="290">
        <f t="shared" si="112"/>
        <v>1.2727444140661827E-3</v>
      </c>
      <c r="M798" s="426">
        <f t="shared" si="113"/>
        <v>17.649466226567775</v>
      </c>
      <c r="N798" s="148">
        <f t="shared" si="114"/>
        <v>6.489708731508971</v>
      </c>
      <c r="O798" s="426">
        <v>7.6049800538336205</v>
      </c>
      <c r="P798" s="427">
        <f t="shared" si="115"/>
        <v>1.3806580259222332</v>
      </c>
      <c r="Q798" s="427"/>
      <c r="R798" s="532">
        <f t="shared" si="116"/>
        <v>6.4433879355429186E-2</v>
      </c>
    </row>
    <row r="799" spans="1:18" s="6" customFormat="1" ht="15.75">
      <c r="A799" s="55">
        <v>52</v>
      </c>
      <c r="B799" s="55" t="s">
        <v>811</v>
      </c>
      <c r="C799" s="32">
        <v>522.29999999999995</v>
      </c>
      <c r="D799" s="55"/>
      <c r="E799" s="55">
        <v>27.8</v>
      </c>
      <c r="F799" s="258">
        <f t="shared" si="110"/>
        <v>550.09999999999991</v>
      </c>
      <c r="G799" s="146">
        <v>1100</v>
      </c>
      <c r="H799" s="146">
        <v>16</v>
      </c>
      <c r="I799" s="146">
        <v>5000</v>
      </c>
      <c r="J799" s="146">
        <v>14</v>
      </c>
      <c r="K799" s="180">
        <f t="shared" si="111"/>
        <v>7.9760717846460612E-3</v>
      </c>
      <c r="L799" s="290">
        <f t="shared" si="112"/>
        <v>1.9798246441029509E-3</v>
      </c>
      <c r="M799" s="426">
        <f t="shared" si="113"/>
        <v>20.081142655751044</v>
      </c>
      <c r="N799" s="148">
        <f t="shared" si="114"/>
        <v>7.3838361545196598</v>
      </c>
      <c r="O799" s="426">
        <v>8.6572345205076697</v>
      </c>
      <c r="P799" s="427">
        <f t="shared" si="115"/>
        <v>1.4727018943170487</v>
      </c>
      <c r="Q799" s="427"/>
      <c r="R799" s="532">
        <f t="shared" si="116"/>
        <v>6.8341965506445057E-2</v>
      </c>
    </row>
    <row r="800" spans="1:18" s="6" customFormat="1" ht="15.75">
      <c r="A800" s="55">
        <v>53</v>
      </c>
      <c r="B800" s="55" t="s">
        <v>812</v>
      </c>
      <c r="C800" s="32">
        <v>1211.25</v>
      </c>
      <c r="D800" s="55"/>
      <c r="E800" s="55"/>
      <c r="F800" s="258">
        <f t="shared" si="110"/>
        <v>1211.25</v>
      </c>
      <c r="G800" s="146">
        <v>1100</v>
      </c>
      <c r="H800" s="146">
        <v>44</v>
      </c>
      <c r="I800" s="146">
        <v>5000</v>
      </c>
      <c r="J800" s="146">
        <v>40</v>
      </c>
      <c r="K800" s="180">
        <f t="shared" si="111"/>
        <v>2.1934197407776669E-2</v>
      </c>
      <c r="L800" s="290">
        <f t="shared" si="112"/>
        <v>5.6566418402941455E-3</v>
      </c>
      <c r="M800" s="426">
        <f t="shared" si="113"/>
        <v>55.65099867175131</v>
      </c>
      <c r="N800" s="148">
        <f t="shared" si="114"/>
        <v>20.462872211602956</v>
      </c>
      <c r="O800" s="426">
        <v>23.993277589266025</v>
      </c>
      <c r="P800" s="427">
        <f t="shared" si="115"/>
        <v>4.0499302093718841</v>
      </c>
      <c r="Q800" s="427"/>
      <c r="R800" s="532">
        <f t="shared" si="116"/>
        <v>8.5991396228682904E-2</v>
      </c>
    </row>
    <row r="801" spans="1:18" s="6" customFormat="1" ht="15.75">
      <c r="A801" s="55">
        <v>54</v>
      </c>
      <c r="B801" s="55" t="s">
        <v>813</v>
      </c>
      <c r="C801" s="32">
        <v>306.17</v>
      </c>
      <c r="D801" s="55"/>
      <c r="E801" s="55">
        <v>31.2</v>
      </c>
      <c r="F801" s="258">
        <f t="shared" si="110"/>
        <v>337.37</v>
      </c>
      <c r="G801" s="146">
        <v>1100</v>
      </c>
      <c r="H801" s="146">
        <v>11</v>
      </c>
      <c r="I801" s="146">
        <v>5000</v>
      </c>
      <c r="J801" s="146">
        <v>10</v>
      </c>
      <c r="K801" s="180">
        <f t="shared" si="111"/>
        <v>5.4835493519441673E-3</v>
      </c>
      <c r="L801" s="290">
        <f t="shared" si="112"/>
        <v>1.4141604600735364E-3</v>
      </c>
      <c r="M801" s="426">
        <f t="shared" si="113"/>
        <v>13.912749667937828</v>
      </c>
      <c r="N801" s="148">
        <f t="shared" si="114"/>
        <v>5.1157180529007391</v>
      </c>
      <c r="O801" s="426">
        <v>5.9983193973165063</v>
      </c>
      <c r="P801" s="427">
        <f t="shared" si="115"/>
        <v>1.012482552342971</v>
      </c>
      <c r="Q801" s="427"/>
      <c r="R801" s="532">
        <f t="shared" si="116"/>
        <v>7.7183121411204439E-2</v>
      </c>
    </row>
    <row r="802" spans="1:18" s="6" customFormat="1" ht="15.75">
      <c r="A802" s="55">
        <v>55</v>
      </c>
      <c r="B802" s="55" t="s">
        <v>814</v>
      </c>
      <c r="C802" s="32">
        <v>209.58</v>
      </c>
      <c r="D802" s="55"/>
      <c r="E802" s="55">
        <v>29.1</v>
      </c>
      <c r="F802" s="258">
        <f t="shared" si="110"/>
        <v>238.68</v>
      </c>
      <c r="G802" s="146">
        <v>1100</v>
      </c>
      <c r="H802" s="146">
        <v>10</v>
      </c>
      <c r="I802" s="146">
        <v>5000</v>
      </c>
      <c r="J802" s="146">
        <v>7</v>
      </c>
      <c r="K802" s="180">
        <f t="shared" si="111"/>
        <v>4.9850448654037878E-3</v>
      </c>
      <c r="L802" s="290">
        <f t="shared" si="112"/>
        <v>9.8991232205147546E-4</v>
      </c>
      <c r="M802" s="426">
        <f t="shared" si="113"/>
        <v>12.051548396669141</v>
      </c>
      <c r="N802" s="148">
        <f t="shared" si="114"/>
        <v>4.4313543454552429</v>
      </c>
      <c r="O802" s="426">
        <v>5.1939084744690378</v>
      </c>
      <c r="P802" s="427">
        <f t="shared" si="115"/>
        <v>0.92043868394815531</v>
      </c>
      <c r="Q802" s="427"/>
      <c r="R802" s="532">
        <f t="shared" si="116"/>
        <v>9.4675925509223963E-2</v>
      </c>
    </row>
    <row r="803" spans="1:18" s="6" customFormat="1" ht="15.75">
      <c r="A803" s="55">
        <v>56</v>
      </c>
      <c r="B803" s="55" t="s">
        <v>815</v>
      </c>
      <c r="C803" s="32">
        <v>468.77</v>
      </c>
      <c r="D803" s="55"/>
      <c r="E803" s="55">
        <v>272.5</v>
      </c>
      <c r="F803" s="258">
        <f t="shared" si="110"/>
        <v>741.27</v>
      </c>
      <c r="G803" s="146">
        <v>1100</v>
      </c>
      <c r="H803" s="146">
        <v>17</v>
      </c>
      <c r="I803" s="146">
        <v>5000</v>
      </c>
      <c r="J803" s="146">
        <v>10</v>
      </c>
      <c r="K803" s="180">
        <f t="shared" si="111"/>
        <v>8.4745762711864406E-3</v>
      </c>
      <c r="L803" s="290">
        <f t="shared" si="112"/>
        <v>1.4141604600735364E-3</v>
      </c>
      <c r="M803" s="426">
        <f t="shared" si="113"/>
        <v>19.945680874318686</v>
      </c>
      <c r="N803" s="148">
        <f t="shared" si="114"/>
        <v>7.3340268574869816</v>
      </c>
      <c r="O803" s="426">
        <v>8.5941930399621125</v>
      </c>
      <c r="P803" s="427">
        <f t="shared" si="115"/>
        <v>1.5647457627118644</v>
      </c>
      <c r="Q803" s="427"/>
      <c r="R803" s="532">
        <f t="shared" si="116"/>
        <v>5.0506086222941234E-2</v>
      </c>
    </row>
    <row r="804" spans="1:18" s="6" customFormat="1" ht="15.75">
      <c r="A804" s="55">
        <v>57</v>
      </c>
      <c r="B804" s="55" t="s">
        <v>816</v>
      </c>
      <c r="C804" s="32">
        <v>599.20000000000005</v>
      </c>
      <c r="D804" s="55"/>
      <c r="E804" s="55">
        <v>134.4</v>
      </c>
      <c r="F804" s="258">
        <f t="shared" si="110"/>
        <v>733.6</v>
      </c>
      <c r="G804" s="146">
        <v>1100</v>
      </c>
      <c r="H804" s="146">
        <v>26</v>
      </c>
      <c r="I804" s="146">
        <v>5000</v>
      </c>
      <c r="J804" s="146">
        <v>18</v>
      </c>
      <c r="K804" s="180">
        <f t="shared" si="111"/>
        <v>1.2961116650049849E-2</v>
      </c>
      <c r="L804" s="290">
        <f t="shared" si="112"/>
        <v>2.5454888281323655E-3</v>
      </c>
      <c r="M804" s="426">
        <f t="shared" si="113"/>
        <v>31.276978315548309</v>
      </c>
      <c r="N804" s="148">
        <f t="shared" si="114"/>
        <v>11.500544926627114</v>
      </c>
      <c r="O804" s="426">
        <v>13.479377679236837</v>
      </c>
      <c r="P804" s="427">
        <f t="shared" si="115"/>
        <v>2.393140578265204</v>
      </c>
      <c r="Q804" s="427"/>
      <c r="R804" s="532">
        <f t="shared" si="116"/>
        <v>7.9948257224205913E-2</v>
      </c>
    </row>
    <row r="805" spans="1:18" s="6" customFormat="1" ht="15.75">
      <c r="A805" s="55">
        <v>58</v>
      </c>
      <c r="B805" s="55" t="s">
        <v>817</v>
      </c>
      <c r="C805" s="32">
        <v>220.5</v>
      </c>
      <c r="D805" s="55"/>
      <c r="E805" s="55"/>
      <c r="F805" s="258">
        <f t="shared" si="110"/>
        <v>220.5</v>
      </c>
      <c r="G805" s="146">
        <v>1100</v>
      </c>
      <c r="H805" s="146">
        <v>11</v>
      </c>
      <c r="I805" s="146">
        <v>5000</v>
      </c>
      <c r="J805" s="146">
        <v>9</v>
      </c>
      <c r="K805" s="180">
        <f t="shared" si="111"/>
        <v>5.4835493519441673E-3</v>
      </c>
      <c r="L805" s="290">
        <f t="shared" si="112"/>
        <v>1.2727444140661827E-3</v>
      </c>
      <c r="M805" s="426">
        <f t="shared" si="113"/>
        <v>13.627512088980536</v>
      </c>
      <c r="N805" s="148">
        <f t="shared" si="114"/>
        <v>5.0108361951181433</v>
      </c>
      <c r="O805" s="426">
        <v>5.8743976254032164</v>
      </c>
      <c r="P805" s="427">
        <f t="shared" si="115"/>
        <v>1.012482552342971</v>
      </c>
      <c r="Q805" s="427"/>
      <c r="R805" s="532">
        <f t="shared" si="116"/>
        <v>0.11576067329634861</v>
      </c>
    </row>
    <row r="806" spans="1:18" s="6" customFormat="1" ht="15.75">
      <c r="A806" s="55">
        <v>59</v>
      </c>
      <c r="B806" s="55" t="s">
        <v>818</v>
      </c>
      <c r="C806" s="32">
        <v>330.61</v>
      </c>
      <c r="D806" s="55"/>
      <c r="E806" s="55"/>
      <c r="F806" s="258">
        <f t="shared" si="110"/>
        <v>330.61</v>
      </c>
      <c r="G806" s="146">
        <v>1100</v>
      </c>
      <c r="H806" s="146">
        <v>15</v>
      </c>
      <c r="I806" s="146">
        <v>5000</v>
      </c>
      <c r="J806" s="146">
        <v>9</v>
      </c>
      <c r="K806" s="180">
        <f t="shared" si="111"/>
        <v>7.4775672981056826E-3</v>
      </c>
      <c r="L806" s="290">
        <f t="shared" si="112"/>
        <v>1.2727444140661827E-3</v>
      </c>
      <c r="M806" s="426">
        <f t="shared" si="113"/>
        <v>17.649466226567775</v>
      </c>
      <c r="N806" s="148">
        <f t="shared" si="114"/>
        <v>6.489708731508971</v>
      </c>
      <c r="O806" s="426">
        <v>7.6049800538336205</v>
      </c>
      <c r="P806" s="427">
        <f t="shared" si="115"/>
        <v>1.3806580259222332</v>
      </c>
      <c r="Q806" s="427"/>
      <c r="R806" s="532">
        <f t="shared" si="116"/>
        <v>0.10019301605466439</v>
      </c>
    </row>
    <row r="807" spans="1:18" s="6" customFormat="1" ht="15.75">
      <c r="A807" s="55">
        <v>60</v>
      </c>
      <c r="B807" s="55" t="s">
        <v>819</v>
      </c>
      <c r="C807" s="32">
        <v>949</v>
      </c>
      <c r="D807" s="55"/>
      <c r="E807" s="55">
        <v>88.5</v>
      </c>
      <c r="F807" s="258">
        <f t="shared" si="110"/>
        <v>1037.5</v>
      </c>
      <c r="G807" s="146">
        <v>1100</v>
      </c>
      <c r="H807" s="146">
        <v>62</v>
      </c>
      <c r="I807" s="146">
        <v>5000</v>
      </c>
      <c r="J807" s="146">
        <v>40</v>
      </c>
      <c r="K807" s="180">
        <f t="shared" si="111"/>
        <v>3.0907278165503486E-2</v>
      </c>
      <c r="L807" s="290">
        <f t="shared" si="112"/>
        <v>5.6566418402941455E-3</v>
      </c>
      <c r="M807" s="426">
        <f t="shared" si="113"/>
        <v>73.749792290893879</v>
      </c>
      <c r="N807" s="148">
        <f t="shared" si="114"/>
        <v>27.117798625361683</v>
      </c>
      <c r="O807" s="426">
        <v>31.780898517202846</v>
      </c>
      <c r="P807" s="427">
        <f t="shared" si="115"/>
        <v>5.7067198404785628</v>
      </c>
      <c r="Q807" s="427"/>
      <c r="R807" s="532">
        <f t="shared" si="116"/>
        <v>0.13335441857728864</v>
      </c>
    </row>
    <row r="808" spans="1:18" s="6" customFormat="1" ht="15.75">
      <c r="A808" s="55">
        <v>61</v>
      </c>
      <c r="B808" s="55" t="s">
        <v>820</v>
      </c>
      <c r="C808" s="8">
        <v>211.8</v>
      </c>
      <c r="D808" s="55"/>
      <c r="E808" s="55">
        <v>18.3</v>
      </c>
      <c r="F808" s="258">
        <f t="shared" si="110"/>
        <v>230.10000000000002</v>
      </c>
      <c r="G808" s="146">
        <v>1100</v>
      </c>
      <c r="H808" s="146">
        <v>9</v>
      </c>
      <c r="I808" s="146">
        <v>5000</v>
      </c>
      <c r="J808" s="146">
        <v>4</v>
      </c>
      <c r="K808" s="180">
        <f t="shared" si="111"/>
        <v>4.4865403788634092E-3</v>
      </c>
      <c r="L808" s="290">
        <f t="shared" si="112"/>
        <v>5.6566418402941455E-4</v>
      </c>
      <c r="M808" s="426">
        <f t="shared" si="113"/>
        <v>10.190347125400454</v>
      </c>
      <c r="N808" s="148">
        <f t="shared" si="114"/>
        <v>3.7469906380097471</v>
      </c>
      <c r="O808" s="426">
        <v>4.3894975516215675</v>
      </c>
      <c r="P808" s="427">
        <f t="shared" si="115"/>
        <v>0.82839481555333982</v>
      </c>
      <c r="Q808" s="427"/>
      <c r="R808" s="532">
        <f t="shared" si="116"/>
        <v>8.3247414735267741E-2</v>
      </c>
    </row>
    <row r="809" spans="1:18" s="6" customFormat="1" ht="15.75">
      <c r="A809" s="55">
        <v>62</v>
      </c>
      <c r="B809" s="55" t="s">
        <v>821</v>
      </c>
      <c r="C809" s="8">
        <v>1331.77</v>
      </c>
      <c r="D809" s="55"/>
      <c r="E809" s="55"/>
      <c r="F809" s="258">
        <f t="shared" si="110"/>
        <v>1331.77</v>
      </c>
      <c r="G809" s="146">
        <v>1100</v>
      </c>
      <c r="H809" s="146">
        <v>75</v>
      </c>
      <c r="I809" s="146">
        <v>5000</v>
      </c>
      <c r="J809" s="146">
        <v>32</v>
      </c>
      <c r="K809" s="180">
        <f t="shared" si="111"/>
        <v>3.738783649052841E-2</v>
      </c>
      <c r="L809" s="290">
        <f t="shared" si="112"/>
        <v>4.5253134722353164E-3</v>
      </c>
      <c r="M809" s="426">
        <f t="shared" si="113"/>
        <v>84.539242606394069</v>
      </c>
      <c r="N809" s="148">
        <f t="shared" si="114"/>
        <v>31.085079506371102</v>
      </c>
      <c r="O809" s="426">
        <v>36.41391723429534</v>
      </c>
      <c r="P809" s="427">
        <f t="shared" si="115"/>
        <v>6.9032901296111655</v>
      </c>
      <c r="Q809" s="427"/>
      <c r="R809" s="532">
        <f t="shared" si="116"/>
        <v>0.11934608038675724</v>
      </c>
    </row>
    <row r="810" spans="1:18" s="6" customFormat="1" ht="15.75">
      <c r="A810" s="55">
        <v>63</v>
      </c>
      <c r="B810" s="55" t="s">
        <v>822</v>
      </c>
      <c r="C810" s="8">
        <v>483.9</v>
      </c>
      <c r="D810" s="55"/>
      <c r="E810" s="55"/>
      <c r="F810" s="258">
        <f t="shared" si="110"/>
        <v>483.9</v>
      </c>
      <c r="G810" s="146">
        <v>1100</v>
      </c>
      <c r="H810" s="146">
        <v>13</v>
      </c>
      <c r="I810" s="146">
        <v>5000</v>
      </c>
      <c r="J810" s="146">
        <v>8</v>
      </c>
      <c r="K810" s="180">
        <f t="shared" si="111"/>
        <v>6.4805583250249245E-3</v>
      </c>
      <c r="L810" s="290">
        <f t="shared" si="112"/>
        <v>1.1313283680588291E-3</v>
      </c>
      <c r="M810" s="426">
        <f t="shared" si="113"/>
        <v>15.353251578816861</v>
      </c>
      <c r="N810" s="148">
        <f t="shared" si="114"/>
        <v>5.6453906055309604</v>
      </c>
      <c r="O810" s="426">
        <v>6.6157670677051295</v>
      </c>
      <c r="P810" s="427">
        <f t="shared" si="115"/>
        <v>1.196570289132602</v>
      </c>
      <c r="Q810" s="427"/>
      <c r="R810" s="532">
        <f t="shared" si="116"/>
        <v>5.9539118704661199E-2</v>
      </c>
    </row>
    <row r="811" spans="1:18" s="6" customFormat="1" ht="15.75">
      <c r="A811" s="55">
        <v>64</v>
      </c>
      <c r="B811" s="55" t="s">
        <v>823</v>
      </c>
      <c r="C811" s="8">
        <v>665.8</v>
      </c>
      <c r="D811" s="55"/>
      <c r="E811" s="55"/>
      <c r="F811" s="258">
        <f t="shared" si="110"/>
        <v>665.8</v>
      </c>
      <c r="G811" s="146">
        <v>1100</v>
      </c>
      <c r="H811" s="146">
        <v>35</v>
      </c>
      <c r="I811" s="146">
        <v>5000</v>
      </c>
      <c r="J811" s="146">
        <v>19</v>
      </c>
      <c r="K811" s="180">
        <f t="shared" si="111"/>
        <v>1.7447657028913259E-2</v>
      </c>
      <c r="L811" s="290">
        <f t="shared" si="112"/>
        <v>2.6869048741397193E-3</v>
      </c>
      <c r="M811" s="426">
        <f t="shared" si="113"/>
        <v>40.61161270407689</v>
      </c>
      <c r="N811" s="148">
        <f t="shared" si="114"/>
        <v>14.932889991289073</v>
      </c>
      <c r="O811" s="426">
        <v>17.497109915118539</v>
      </c>
      <c r="P811" s="427">
        <f t="shared" si="115"/>
        <v>3.2215353938185438</v>
      </c>
      <c r="Q811" s="427"/>
      <c r="R811" s="532">
        <f t="shared" si="116"/>
        <v>0.11454362872379552</v>
      </c>
    </row>
    <row r="812" spans="1:18" s="6" customFormat="1" ht="15.75">
      <c r="A812" s="55">
        <v>65</v>
      </c>
      <c r="B812" s="55" t="s">
        <v>824</v>
      </c>
      <c r="C812" s="8">
        <v>59.2</v>
      </c>
      <c r="D812" s="55"/>
      <c r="E812" s="55"/>
      <c r="F812" s="258">
        <f t="shared" ref="F812:F871" si="117">C812+D812+E812</f>
        <v>59.2</v>
      </c>
      <c r="G812" s="146">
        <v>1100</v>
      </c>
      <c r="H812" s="146">
        <v>1</v>
      </c>
      <c r="I812" s="146">
        <v>5000</v>
      </c>
      <c r="J812" s="146">
        <v>1</v>
      </c>
      <c r="K812" s="180">
        <f t="shared" si="111"/>
        <v>4.9850448654037882E-4</v>
      </c>
      <c r="L812" s="290">
        <f t="shared" si="112"/>
        <v>1.4141604600735364E-4</v>
      </c>
      <c r="M812" s="426">
        <f t="shared" si="113"/>
        <v>1.2907261133541019</v>
      </c>
      <c r="N812" s="148">
        <f t="shared" ref="N812:N871" si="118">M812*0.3677</f>
        <v>0.47459999188030333</v>
      </c>
      <c r="O812" s="426">
        <v>0.55656737902089048</v>
      </c>
      <c r="P812" s="427">
        <f t="shared" si="115"/>
        <v>9.2043868394815542E-2</v>
      </c>
      <c r="Q812" s="427"/>
      <c r="R812" s="532">
        <f t="shared" si="116"/>
        <v>4.0775968794765388E-2</v>
      </c>
    </row>
    <row r="813" spans="1:18" s="6" customFormat="1" ht="15.75">
      <c r="A813" s="55">
        <v>66</v>
      </c>
      <c r="B813" s="55" t="s">
        <v>825</v>
      </c>
      <c r="C813" s="8">
        <v>363.78</v>
      </c>
      <c r="D813" s="55"/>
      <c r="E813" s="55">
        <v>58</v>
      </c>
      <c r="F813" s="258">
        <f t="shared" si="117"/>
        <v>421.78</v>
      </c>
      <c r="G813" s="146">
        <v>1100</v>
      </c>
      <c r="H813" s="146">
        <v>18</v>
      </c>
      <c r="I813" s="146">
        <v>5000</v>
      </c>
      <c r="J813" s="146">
        <v>18</v>
      </c>
      <c r="K813" s="180">
        <f t="shared" ref="K813:K876" si="119">0.5/1003*H813</f>
        <v>8.9730807577268184E-3</v>
      </c>
      <c r="L813" s="290">
        <f t="shared" ref="L813:L876" si="120">1.5/10607*J813</f>
        <v>2.5454888281323655E-3</v>
      </c>
      <c r="M813" s="426">
        <f t="shared" ref="M813:M876" si="121">(K813+L813)*2017.01</f>
        <v>23.233070040373832</v>
      </c>
      <c r="N813" s="148">
        <f t="shared" si="118"/>
        <v>8.5427998538454588</v>
      </c>
      <c r="O813" s="426">
        <v>10.018212822376029</v>
      </c>
      <c r="P813" s="427">
        <f t="shared" si="115"/>
        <v>1.6567896311066796</v>
      </c>
      <c r="Q813" s="427"/>
      <c r="R813" s="532">
        <f t="shared" si="116"/>
        <v>0.10301785847527622</v>
      </c>
    </row>
    <row r="814" spans="1:18" s="6" customFormat="1" ht="15.75">
      <c r="A814" s="55">
        <v>67</v>
      </c>
      <c r="B814" s="55" t="s">
        <v>826</v>
      </c>
      <c r="C814" s="8">
        <v>185.8</v>
      </c>
      <c r="D814" s="55"/>
      <c r="E814" s="55">
        <v>26.8</v>
      </c>
      <c r="F814" s="258">
        <f t="shared" si="117"/>
        <v>212.60000000000002</v>
      </c>
      <c r="G814" s="146">
        <v>1100</v>
      </c>
      <c r="H814" s="146">
        <v>8</v>
      </c>
      <c r="I814" s="146">
        <v>5000</v>
      </c>
      <c r="J814" s="146">
        <v>6</v>
      </c>
      <c r="K814" s="180">
        <f t="shared" si="119"/>
        <v>3.9880358923230306E-3</v>
      </c>
      <c r="L814" s="290">
        <f t="shared" si="120"/>
        <v>8.4849627604412182E-4</v>
      </c>
      <c r="M814" s="426">
        <f t="shared" si="121"/>
        <v>9.7553337489182308</v>
      </c>
      <c r="N814" s="148">
        <f t="shared" si="118"/>
        <v>3.5870362194772336</v>
      </c>
      <c r="O814" s="426">
        <v>4.204695488340545</v>
      </c>
      <c r="P814" s="427">
        <f t="shared" ref="P814:P874" si="122">K814*184.64</f>
        <v>0.73635094715852434</v>
      </c>
      <c r="Q814" s="427"/>
      <c r="R814" s="532">
        <f t="shared" si="116"/>
        <v>8.5999136424715586E-2</v>
      </c>
    </row>
    <row r="815" spans="1:18" s="6" customFormat="1" ht="15.75">
      <c r="A815" s="55">
        <v>68</v>
      </c>
      <c r="B815" s="55" t="s">
        <v>827</v>
      </c>
      <c r="C815" s="8">
        <v>205.2</v>
      </c>
      <c r="D815" s="55"/>
      <c r="E815" s="55"/>
      <c r="F815" s="258">
        <f t="shared" si="117"/>
        <v>205.2</v>
      </c>
      <c r="G815" s="146">
        <v>1100</v>
      </c>
      <c r="H815" s="146">
        <v>11</v>
      </c>
      <c r="I815" s="146">
        <v>5000</v>
      </c>
      <c r="J815" s="146">
        <v>5</v>
      </c>
      <c r="K815" s="180">
        <f t="shared" si="119"/>
        <v>5.4835493519441673E-3</v>
      </c>
      <c r="L815" s="290">
        <f t="shared" si="120"/>
        <v>7.0708023003676818E-4</v>
      </c>
      <c r="M815" s="426">
        <f t="shared" si="121"/>
        <v>12.486561773151367</v>
      </c>
      <c r="N815" s="148">
        <f t="shared" si="118"/>
        <v>4.5913087639877581</v>
      </c>
      <c r="O815" s="426">
        <v>5.3787105377500595</v>
      </c>
      <c r="P815" s="427">
        <f t="shared" si="122"/>
        <v>1.012482552342971</v>
      </c>
      <c r="Q815" s="427"/>
      <c r="R815" s="532">
        <f t="shared" si="116"/>
        <v>0.11437165510347054</v>
      </c>
    </row>
    <row r="816" spans="1:18" s="6" customFormat="1" ht="15.75">
      <c r="A816" s="55">
        <v>69</v>
      </c>
      <c r="B816" s="55" t="s">
        <v>828</v>
      </c>
      <c r="C816" s="8">
        <v>177.45</v>
      </c>
      <c r="D816" s="55"/>
      <c r="E816" s="55"/>
      <c r="F816" s="258">
        <f t="shared" si="117"/>
        <v>177.45</v>
      </c>
      <c r="G816" s="146">
        <v>1100</v>
      </c>
      <c r="H816" s="146">
        <v>13</v>
      </c>
      <c r="I816" s="146">
        <v>5000</v>
      </c>
      <c r="J816" s="146">
        <v>9</v>
      </c>
      <c r="K816" s="180">
        <f t="shared" si="119"/>
        <v>6.4805583250249245E-3</v>
      </c>
      <c r="L816" s="290">
        <f t="shared" si="120"/>
        <v>1.2727444140661827E-3</v>
      </c>
      <c r="M816" s="426">
        <f t="shared" si="121"/>
        <v>15.638489157774154</v>
      </c>
      <c r="N816" s="148">
        <f t="shared" si="118"/>
        <v>5.7502724633135571</v>
      </c>
      <c r="O816" s="426">
        <v>6.7396888396184185</v>
      </c>
      <c r="P816" s="427">
        <f t="shared" si="122"/>
        <v>1.196570289132602</v>
      </c>
      <c r="Q816" s="427"/>
      <c r="R816" s="532">
        <f t="shared" si="116"/>
        <v>0.16525793603741185</v>
      </c>
    </row>
    <row r="817" spans="1:18" s="6" customFormat="1" ht="15.75">
      <c r="A817" s="55">
        <v>70</v>
      </c>
      <c r="B817" s="55" t="s">
        <v>829</v>
      </c>
      <c r="C817" s="8">
        <v>200</v>
      </c>
      <c r="D817" s="55"/>
      <c r="E817" s="55"/>
      <c r="F817" s="258">
        <f t="shared" si="117"/>
        <v>200</v>
      </c>
      <c r="G817" s="146">
        <v>1100</v>
      </c>
      <c r="H817" s="146">
        <v>9</v>
      </c>
      <c r="I817" s="146">
        <v>5000</v>
      </c>
      <c r="J817" s="146">
        <v>4</v>
      </c>
      <c r="K817" s="180">
        <f t="shared" si="119"/>
        <v>4.4865403788634092E-3</v>
      </c>
      <c r="L817" s="290">
        <f t="shared" si="120"/>
        <v>5.6566418402941455E-4</v>
      </c>
      <c r="M817" s="426">
        <f t="shared" si="121"/>
        <v>10.190347125400454</v>
      </c>
      <c r="N817" s="148">
        <f t="shared" si="118"/>
        <v>3.7469906380097471</v>
      </c>
      <c r="O817" s="426">
        <v>4.3894975516215675</v>
      </c>
      <c r="P817" s="427">
        <f t="shared" si="122"/>
        <v>0.82839481555333982</v>
      </c>
      <c r="Q817" s="427"/>
      <c r="R817" s="532">
        <f t="shared" si="116"/>
        <v>9.5776150652925551E-2</v>
      </c>
    </row>
    <row r="818" spans="1:18" s="6" customFormat="1" ht="15.75">
      <c r="A818" s="55">
        <v>71</v>
      </c>
      <c r="B818" s="55" t="s">
        <v>830</v>
      </c>
      <c r="C818" s="8">
        <v>401.38</v>
      </c>
      <c r="D818" s="55"/>
      <c r="E818" s="55">
        <v>140.80000000000001</v>
      </c>
      <c r="F818" s="258">
        <f t="shared" si="117"/>
        <v>542.18000000000006</v>
      </c>
      <c r="G818" s="146">
        <v>1100</v>
      </c>
      <c r="H818" s="146">
        <v>12</v>
      </c>
      <c r="I818" s="146">
        <v>5000</v>
      </c>
      <c r="J818" s="146">
        <v>5</v>
      </c>
      <c r="K818" s="180">
        <f t="shared" si="119"/>
        <v>5.9820538384845459E-3</v>
      </c>
      <c r="L818" s="290">
        <f t="shared" si="120"/>
        <v>7.0708023003676818E-4</v>
      </c>
      <c r="M818" s="426">
        <f t="shared" si="121"/>
        <v>13.492050307548174</v>
      </c>
      <c r="N818" s="148">
        <f t="shared" si="118"/>
        <v>4.9610268980854642</v>
      </c>
      <c r="O818" s="426">
        <v>5.8113561448576601</v>
      </c>
      <c r="P818" s="427">
        <f t="shared" si="122"/>
        <v>1.1045264207377865</v>
      </c>
      <c r="Q818" s="427"/>
      <c r="R818" s="532">
        <f t="shared" si="116"/>
        <v>4.6790659506490619E-2</v>
      </c>
    </row>
    <row r="819" spans="1:18" s="6" customFormat="1" ht="15.75">
      <c r="A819" s="55">
        <v>72</v>
      </c>
      <c r="B819" s="55" t="s">
        <v>831</v>
      </c>
      <c r="C819" s="8">
        <v>204.3</v>
      </c>
      <c r="D819" s="55"/>
      <c r="E819" s="55"/>
      <c r="F819" s="258">
        <f t="shared" si="117"/>
        <v>204.3</v>
      </c>
      <c r="G819" s="146">
        <v>1100</v>
      </c>
      <c r="H819" s="146">
        <v>5</v>
      </c>
      <c r="I819" s="146">
        <v>5000</v>
      </c>
      <c r="J819" s="146">
        <v>5</v>
      </c>
      <c r="K819" s="180">
        <f t="shared" si="119"/>
        <v>2.4925224327018939E-3</v>
      </c>
      <c r="L819" s="290">
        <f t="shared" si="120"/>
        <v>7.0708023003676818E-4</v>
      </c>
      <c r="M819" s="426">
        <f t="shared" si="121"/>
        <v>6.4536305667705083</v>
      </c>
      <c r="N819" s="148">
        <f t="shared" si="118"/>
        <v>2.3729999594015161</v>
      </c>
      <c r="O819" s="426">
        <v>2.7828368951044524</v>
      </c>
      <c r="P819" s="427">
        <f t="shared" si="122"/>
        <v>0.46021934197407766</v>
      </c>
      <c r="Q819" s="427"/>
      <c r="R819" s="532">
        <f t="shared" si="116"/>
        <v>5.9078251410918034E-2</v>
      </c>
    </row>
    <row r="820" spans="1:18" s="6" customFormat="1" ht="15.75">
      <c r="A820" s="55">
        <v>73</v>
      </c>
      <c r="B820" s="55" t="s">
        <v>832</v>
      </c>
      <c r="C820" s="8">
        <v>306.39999999999998</v>
      </c>
      <c r="D820" s="55"/>
      <c r="E820" s="55"/>
      <c r="F820" s="258">
        <f t="shared" si="117"/>
        <v>306.39999999999998</v>
      </c>
      <c r="G820" s="146">
        <v>1100</v>
      </c>
      <c r="H820" s="146">
        <v>6</v>
      </c>
      <c r="I820" s="146">
        <v>5000</v>
      </c>
      <c r="J820" s="146">
        <v>10</v>
      </c>
      <c r="K820" s="180">
        <f t="shared" si="119"/>
        <v>2.9910269192422729E-3</v>
      </c>
      <c r="L820" s="290">
        <f t="shared" si="120"/>
        <v>1.4141604600735364E-3</v>
      </c>
      <c r="M820" s="426">
        <f t="shared" si="121"/>
        <v>8.8853069959537798</v>
      </c>
      <c r="N820" s="148">
        <f t="shared" si="118"/>
        <v>3.2671273824122049</v>
      </c>
      <c r="O820" s="426">
        <v>3.8350913617784999</v>
      </c>
      <c r="P820" s="427">
        <f t="shared" si="122"/>
        <v>0.55226321036889325</v>
      </c>
      <c r="Q820" s="427"/>
      <c r="R820" s="532">
        <f t="shared" si="116"/>
        <v>5.3981034433790397E-2</v>
      </c>
    </row>
    <row r="821" spans="1:18" s="6" customFormat="1" ht="15.75">
      <c r="A821" s="55">
        <v>74</v>
      </c>
      <c r="B821" s="55" t="s">
        <v>878</v>
      </c>
      <c r="C821" s="8">
        <v>301.42</v>
      </c>
      <c r="D821" s="55"/>
      <c r="E821" s="55"/>
      <c r="F821" s="258">
        <f t="shared" si="117"/>
        <v>301.42</v>
      </c>
      <c r="G821" s="146">
        <v>1100</v>
      </c>
      <c r="H821" s="146">
        <v>16</v>
      </c>
      <c r="I821" s="146">
        <v>5000</v>
      </c>
      <c r="J821" s="146">
        <v>10</v>
      </c>
      <c r="K821" s="180">
        <f t="shared" si="119"/>
        <v>7.9760717846460612E-3</v>
      </c>
      <c r="L821" s="290">
        <f t="shared" si="120"/>
        <v>1.4141604600735364E-3</v>
      </c>
      <c r="M821" s="426">
        <f t="shared" si="121"/>
        <v>18.940192339921875</v>
      </c>
      <c r="N821" s="148">
        <f t="shared" si="118"/>
        <v>6.9643087233892738</v>
      </c>
      <c r="O821" s="426">
        <v>8.1615474328545119</v>
      </c>
      <c r="P821" s="427">
        <f t="shared" si="122"/>
        <v>1.4727018943170487</v>
      </c>
      <c r="Q821" s="427"/>
      <c r="R821" s="532">
        <f t="shared" si="116"/>
        <v>0.11790442037848418</v>
      </c>
    </row>
    <row r="822" spans="1:18" s="6" customFormat="1" ht="15.75">
      <c r="A822" s="55">
        <v>75</v>
      </c>
      <c r="B822" s="55" t="s">
        <v>879</v>
      </c>
      <c r="C822" s="8">
        <v>394.72</v>
      </c>
      <c r="D822" s="55"/>
      <c r="E822" s="55"/>
      <c r="F822" s="258">
        <f t="shared" si="117"/>
        <v>394.72</v>
      </c>
      <c r="G822" s="146">
        <v>1100</v>
      </c>
      <c r="H822" s="146">
        <v>7</v>
      </c>
      <c r="I822" s="146">
        <v>5000</v>
      </c>
      <c r="J822" s="146">
        <v>9</v>
      </c>
      <c r="K822" s="180">
        <f t="shared" si="119"/>
        <v>3.489531405782652E-3</v>
      </c>
      <c r="L822" s="290">
        <f t="shared" si="120"/>
        <v>1.2727444140661827E-3</v>
      </c>
      <c r="M822" s="426">
        <f t="shared" si="121"/>
        <v>9.6055579513932976</v>
      </c>
      <c r="N822" s="148">
        <f t="shared" si="118"/>
        <v>3.531963658727316</v>
      </c>
      <c r="O822" s="426">
        <v>4.1438151969728123</v>
      </c>
      <c r="P822" s="427">
        <f t="shared" si="122"/>
        <v>0.64430707876370885</v>
      </c>
      <c r="Q822" s="427"/>
      <c r="R822" s="532">
        <f t="shared" si="116"/>
        <v>4.5413568823107854E-2</v>
      </c>
    </row>
    <row r="823" spans="1:18" s="6" customFormat="1" ht="15.75">
      <c r="A823" s="55">
        <v>76</v>
      </c>
      <c r="B823" s="55" t="s">
        <v>880</v>
      </c>
      <c r="C823" s="8">
        <v>680.89</v>
      </c>
      <c r="D823" s="55"/>
      <c r="E823" s="55"/>
      <c r="F823" s="258">
        <f t="shared" si="117"/>
        <v>680.89</v>
      </c>
      <c r="G823" s="146">
        <v>1100</v>
      </c>
      <c r="H823" s="146">
        <v>10</v>
      </c>
      <c r="I823" s="146">
        <v>5000</v>
      </c>
      <c r="J823" s="146">
        <v>12</v>
      </c>
      <c r="K823" s="180">
        <f t="shared" si="119"/>
        <v>4.9850448654037878E-3</v>
      </c>
      <c r="L823" s="290">
        <f t="shared" si="120"/>
        <v>1.6969925520882436E-3</v>
      </c>
      <c r="M823" s="426">
        <f t="shared" si="121"/>
        <v>13.477736291455603</v>
      </c>
      <c r="N823" s="148">
        <f t="shared" si="118"/>
        <v>4.9557636343682256</v>
      </c>
      <c r="O823" s="426">
        <v>5.8135173340354838</v>
      </c>
      <c r="P823" s="427">
        <f t="shared" si="122"/>
        <v>0.92043868394815531</v>
      </c>
      <c r="Q823" s="427"/>
      <c r="R823" s="532">
        <f t="shared" si="116"/>
        <v>3.6962587119516326E-2</v>
      </c>
    </row>
    <row r="824" spans="1:18" s="6" customFormat="1" ht="15.75">
      <c r="A824" s="55">
        <v>77</v>
      </c>
      <c r="B824" s="55" t="s">
        <v>881</v>
      </c>
      <c r="C824" s="8">
        <v>581.98</v>
      </c>
      <c r="D824" s="55"/>
      <c r="E824" s="55"/>
      <c r="F824" s="258">
        <f t="shared" si="117"/>
        <v>581.98</v>
      </c>
      <c r="G824" s="146">
        <v>1100</v>
      </c>
      <c r="H824" s="146">
        <v>12</v>
      </c>
      <c r="I824" s="146">
        <v>5000</v>
      </c>
      <c r="J824" s="146">
        <v>14</v>
      </c>
      <c r="K824" s="180">
        <f t="shared" si="119"/>
        <v>5.9820538384845459E-3</v>
      </c>
      <c r="L824" s="290">
        <f t="shared" si="120"/>
        <v>1.9798246441029509E-3</v>
      </c>
      <c r="M824" s="426">
        <f t="shared" si="121"/>
        <v>16.059188518163808</v>
      </c>
      <c r="N824" s="148">
        <f t="shared" si="118"/>
        <v>5.9049636181288321</v>
      </c>
      <c r="O824" s="426">
        <v>6.9266520920772647</v>
      </c>
      <c r="P824" s="427">
        <f t="shared" si="122"/>
        <v>1.1045264207377865</v>
      </c>
      <c r="Q824" s="427"/>
      <c r="R824" s="532">
        <f t="shared" si="116"/>
        <v>5.154013995172977E-2</v>
      </c>
    </row>
    <row r="825" spans="1:18" s="6" customFormat="1" ht="15.75">
      <c r="A825" s="55">
        <v>78</v>
      </c>
      <c r="B825" s="55" t="s">
        <v>882</v>
      </c>
      <c r="C825" s="8">
        <v>260.39999999999998</v>
      </c>
      <c r="D825" s="55"/>
      <c r="E825" s="55"/>
      <c r="F825" s="258">
        <f t="shared" si="117"/>
        <v>260.39999999999998</v>
      </c>
      <c r="G825" s="146">
        <v>1100</v>
      </c>
      <c r="H825" s="146">
        <v>12</v>
      </c>
      <c r="I825" s="146">
        <v>5000</v>
      </c>
      <c r="J825" s="146">
        <v>6</v>
      </c>
      <c r="K825" s="180">
        <f t="shared" si="119"/>
        <v>5.9820538384845459E-3</v>
      </c>
      <c r="L825" s="290">
        <f t="shared" si="120"/>
        <v>8.4849627604412182E-4</v>
      </c>
      <c r="M825" s="426">
        <f t="shared" si="121"/>
        <v>13.777287886505468</v>
      </c>
      <c r="N825" s="148">
        <f t="shared" si="118"/>
        <v>5.0659087558680609</v>
      </c>
      <c r="O825" s="426">
        <v>5.9352779167709491</v>
      </c>
      <c r="P825" s="427">
        <f t="shared" si="122"/>
        <v>1.1045264207377865</v>
      </c>
      <c r="Q825" s="427"/>
      <c r="R825" s="532">
        <f t="shared" si="116"/>
        <v>9.9397085176199176E-2</v>
      </c>
    </row>
    <row r="826" spans="1:18" s="6" customFormat="1" ht="15.75">
      <c r="A826" s="55">
        <v>79</v>
      </c>
      <c r="B826" s="55" t="s">
        <v>883</v>
      </c>
      <c r="C826" s="8">
        <v>135.71</v>
      </c>
      <c r="D826" s="55"/>
      <c r="E826" s="55"/>
      <c r="F826" s="258">
        <f t="shared" si="117"/>
        <v>135.71</v>
      </c>
      <c r="G826" s="146">
        <v>1100</v>
      </c>
      <c r="H826" s="146">
        <v>5</v>
      </c>
      <c r="I826" s="146">
        <v>5000</v>
      </c>
      <c r="J826" s="146">
        <v>4</v>
      </c>
      <c r="K826" s="180">
        <f t="shared" si="119"/>
        <v>2.4925224327018939E-3</v>
      </c>
      <c r="L826" s="290">
        <f t="shared" si="120"/>
        <v>5.6566418402941455E-4</v>
      </c>
      <c r="M826" s="426">
        <f t="shared" si="121"/>
        <v>6.168392987813216</v>
      </c>
      <c r="N826" s="148">
        <f t="shared" si="118"/>
        <v>2.2681181016189198</v>
      </c>
      <c r="O826" s="426">
        <v>2.6589151231911634</v>
      </c>
      <c r="P826" s="427">
        <f t="shared" si="122"/>
        <v>0.46021934197407766</v>
      </c>
      <c r="Q826" s="427"/>
      <c r="R826" s="532">
        <f t="shared" si="116"/>
        <v>8.5149550914430591E-2</v>
      </c>
    </row>
    <row r="827" spans="1:18" s="6" customFormat="1" ht="15.75">
      <c r="A827" s="55">
        <v>80</v>
      </c>
      <c r="B827" s="55" t="s">
        <v>884</v>
      </c>
      <c r="C827" s="8">
        <v>201.8</v>
      </c>
      <c r="D827" s="55"/>
      <c r="E827" s="55"/>
      <c r="F827" s="258">
        <f t="shared" si="117"/>
        <v>201.8</v>
      </c>
      <c r="G827" s="146">
        <v>1100</v>
      </c>
      <c r="H827" s="146">
        <v>5</v>
      </c>
      <c r="I827" s="146">
        <v>5000</v>
      </c>
      <c r="J827" s="146">
        <v>4</v>
      </c>
      <c r="K827" s="180">
        <f t="shared" si="119"/>
        <v>2.4925224327018939E-3</v>
      </c>
      <c r="L827" s="290">
        <f t="shared" si="120"/>
        <v>5.6566418402941455E-4</v>
      </c>
      <c r="M827" s="426">
        <f t="shared" si="121"/>
        <v>6.168392987813216</v>
      </c>
      <c r="N827" s="148">
        <f t="shared" si="118"/>
        <v>2.2681181016189198</v>
      </c>
      <c r="O827" s="426">
        <v>2.6589151231911634</v>
      </c>
      <c r="P827" s="427">
        <f t="shared" si="122"/>
        <v>0.46021934197407766</v>
      </c>
      <c r="Q827" s="427"/>
      <c r="R827" s="532">
        <f t="shared" si="116"/>
        <v>5.72628620148532E-2</v>
      </c>
    </row>
    <row r="828" spans="1:18" s="6" customFormat="1" ht="15.75">
      <c r="A828" s="55">
        <v>81</v>
      </c>
      <c r="B828" s="55" t="s">
        <v>885</v>
      </c>
      <c r="C828" s="8">
        <v>1437.1</v>
      </c>
      <c r="D828" s="55"/>
      <c r="E828" s="55"/>
      <c r="F828" s="258">
        <f t="shared" si="117"/>
        <v>1437.1</v>
      </c>
      <c r="G828" s="146">
        <v>1100</v>
      </c>
      <c r="H828" s="146"/>
      <c r="I828" s="146">
        <v>5000</v>
      </c>
      <c r="J828" s="146">
        <v>15</v>
      </c>
      <c r="K828" s="180">
        <f t="shared" si="119"/>
        <v>0</v>
      </c>
      <c r="L828" s="290">
        <f t="shared" si="120"/>
        <v>2.1212406901103048E-3</v>
      </c>
      <c r="M828" s="426">
        <f t="shared" si="121"/>
        <v>4.2785636843593862</v>
      </c>
      <c r="N828" s="148">
        <f t="shared" si="118"/>
        <v>1.5732278667389463</v>
      </c>
      <c r="O828" s="426">
        <v>1.8588265786993401</v>
      </c>
      <c r="P828" s="427">
        <f t="shared" si="122"/>
        <v>0</v>
      </c>
      <c r="Q828" s="427"/>
      <c r="R828" s="532">
        <f t="shared" si="116"/>
        <v>5.3654012454231945E-3</v>
      </c>
    </row>
    <row r="829" spans="1:18" s="6" customFormat="1" ht="15.75">
      <c r="A829" s="55">
        <v>82</v>
      </c>
      <c r="B829" s="55" t="s">
        <v>886</v>
      </c>
      <c r="C829" s="8">
        <v>197.86</v>
      </c>
      <c r="D829" s="55"/>
      <c r="E829" s="55">
        <v>16</v>
      </c>
      <c r="F829" s="258">
        <f t="shared" si="117"/>
        <v>213.86</v>
      </c>
      <c r="G829" s="146">
        <v>1100</v>
      </c>
      <c r="H829" s="146">
        <v>7</v>
      </c>
      <c r="I829" s="146">
        <v>5000</v>
      </c>
      <c r="J829" s="146">
        <v>6</v>
      </c>
      <c r="K829" s="180">
        <f t="shared" si="119"/>
        <v>3.489531405782652E-3</v>
      </c>
      <c r="L829" s="290">
        <f t="shared" si="120"/>
        <v>8.4849627604412182E-4</v>
      </c>
      <c r="M829" s="426">
        <f t="shared" si="121"/>
        <v>8.7498452145214198</v>
      </c>
      <c r="N829" s="148">
        <f t="shared" si="118"/>
        <v>3.2173180853795262</v>
      </c>
      <c r="O829" s="426">
        <v>3.7720498812329439</v>
      </c>
      <c r="P829" s="427">
        <f t="shared" si="122"/>
        <v>0.64430707876370885</v>
      </c>
      <c r="Q829" s="427"/>
      <c r="R829" s="532">
        <f t="shared" si="116"/>
        <v>7.6608623678563553E-2</v>
      </c>
    </row>
    <row r="830" spans="1:18" s="6" customFormat="1" ht="15.75">
      <c r="A830" s="55">
        <v>83</v>
      </c>
      <c r="B830" s="55" t="s">
        <v>887</v>
      </c>
      <c r="C830" s="8">
        <v>397.89</v>
      </c>
      <c r="D830" s="55"/>
      <c r="E830" s="55"/>
      <c r="F830" s="258">
        <f t="shared" si="117"/>
        <v>397.89</v>
      </c>
      <c r="G830" s="146">
        <v>1100</v>
      </c>
      <c r="H830" s="146">
        <v>17</v>
      </c>
      <c r="I830" s="146">
        <v>5000</v>
      </c>
      <c r="J830" s="146">
        <v>15</v>
      </c>
      <c r="K830" s="180">
        <f t="shared" si="119"/>
        <v>8.4745762711864406E-3</v>
      </c>
      <c r="L830" s="290">
        <f t="shared" si="120"/>
        <v>2.1212406901103048E-3</v>
      </c>
      <c r="M830" s="426">
        <f t="shared" si="121"/>
        <v>21.371868769105145</v>
      </c>
      <c r="N830" s="148">
        <f t="shared" si="118"/>
        <v>7.8584361463999626</v>
      </c>
      <c r="O830" s="426">
        <v>9.2138018995285602</v>
      </c>
      <c r="P830" s="427">
        <f t="shared" si="122"/>
        <v>1.5647457627118644</v>
      </c>
      <c r="Q830" s="427"/>
      <c r="R830" s="532">
        <f t="shared" si="116"/>
        <v>0.10055254612517411</v>
      </c>
    </row>
    <row r="831" spans="1:18" s="6" customFormat="1" ht="15.75">
      <c r="A831" s="55">
        <v>84</v>
      </c>
      <c r="B831" s="55" t="s">
        <v>888</v>
      </c>
      <c r="C831" s="8">
        <v>352.17</v>
      </c>
      <c r="D831" s="55"/>
      <c r="E831" s="55"/>
      <c r="F831" s="258">
        <f t="shared" si="117"/>
        <v>352.17</v>
      </c>
      <c r="G831" s="146">
        <v>1100</v>
      </c>
      <c r="H831" s="146">
        <v>9</v>
      </c>
      <c r="I831" s="146">
        <v>5000</v>
      </c>
      <c r="J831" s="146">
        <v>7</v>
      </c>
      <c r="K831" s="180">
        <f t="shared" si="119"/>
        <v>4.4865403788634092E-3</v>
      </c>
      <c r="L831" s="290">
        <f t="shared" si="120"/>
        <v>9.8991232205147546E-4</v>
      </c>
      <c r="M831" s="426">
        <f t="shared" si="121"/>
        <v>11.046059862272331</v>
      </c>
      <c r="N831" s="148">
        <f t="shared" si="118"/>
        <v>4.0616362113575368</v>
      </c>
      <c r="O831" s="426">
        <v>4.7612628673614363</v>
      </c>
      <c r="P831" s="427">
        <f t="shared" si="122"/>
        <v>0.82839481555333982</v>
      </c>
      <c r="Q831" s="427"/>
      <c r="R831" s="532">
        <f t="shared" si="116"/>
        <v>5.8770916763337712E-2</v>
      </c>
    </row>
    <row r="832" spans="1:18" s="6" customFormat="1" ht="15.75">
      <c r="A832" s="55">
        <v>85</v>
      </c>
      <c r="B832" s="55" t="s">
        <v>889</v>
      </c>
      <c r="C832" s="8">
        <v>653.07000000000005</v>
      </c>
      <c r="D832" s="55"/>
      <c r="E832" s="55"/>
      <c r="F832" s="258">
        <f t="shared" si="117"/>
        <v>653.07000000000005</v>
      </c>
      <c r="G832" s="146">
        <v>1100</v>
      </c>
      <c r="H832" s="146">
        <v>16</v>
      </c>
      <c r="I832" s="146">
        <v>5000</v>
      </c>
      <c r="J832" s="146">
        <v>14</v>
      </c>
      <c r="K832" s="180">
        <f t="shared" si="119"/>
        <v>7.9760717846460612E-3</v>
      </c>
      <c r="L832" s="290">
        <f t="shared" si="120"/>
        <v>1.9798246441029509E-3</v>
      </c>
      <c r="M832" s="426">
        <f t="shared" si="121"/>
        <v>20.081142655751044</v>
      </c>
      <c r="N832" s="148">
        <f t="shared" si="118"/>
        <v>7.3838361545196598</v>
      </c>
      <c r="O832" s="426">
        <v>8.6572345205076697</v>
      </c>
      <c r="P832" s="427">
        <f t="shared" si="122"/>
        <v>1.4727018943170487</v>
      </c>
      <c r="Q832" s="427"/>
      <c r="R832" s="532">
        <f t="shared" si="116"/>
        <v>5.7566440389384625E-2</v>
      </c>
    </row>
    <row r="833" spans="1:18" s="6" customFormat="1" ht="15.75">
      <c r="A833" s="55">
        <v>87</v>
      </c>
      <c r="B833" s="55" t="s">
        <v>916</v>
      </c>
      <c r="C833" s="8">
        <v>786.94</v>
      </c>
      <c r="D833" s="55"/>
      <c r="E833" s="55"/>
      <c r="F833" s="258">
        <f t="shared" si="117"/>
        <v>786.94</v>
      </c>
      <c r="G833" s="146">
        <v>1100</v>
      </c>
      <c r="H833" s="146">
        <v>26</v>
      </c>
      <c r="I833" s="146">
        <v>5000</v>
      </c>
      <c r="J833" s="146">
        <v>23</v>
      </c>
      <c r="K833" s="180">
        <f t="shared" si="119"/>
        <v>1.2961116650049849E-2</v>
      </c>
      <c r="L833" s="290">
        <f t="shared" si="120"/>
        <v>3.2525690581691339E-3</v>
      </c>
      <c r="M833" s="426">
        <f t="shared" si="121"/>
        <v>32.703166210334771</v>
      </c>
      <c r="N833" s="148">
        <f t="shared" si="118"/>
        <v>12.024954215540097</v>
      </c>
      <c r="O833" s="426">
        <v>14.098986538803285</v>
      </c>
      <c r="P833" s="427">
        <f t="shared" si="122"/>
        <v>2.393140578265204</v>
      </c>
      <c r="Q833" s="427"/>
      <c r="R833" s="532">
        <f t="shared" si="116"/>
        <v>7.7795317994946697E-2</v>
      </c>
    </row>
    <row r="834" spans="1:18" s="6" customFormat="1" ht="15.75">
      <c r="A834" s="55">
        <v>89</v>
      </c>
      <c r="B834" s="55" t="s">
        <v>918</v>
      </c>
      <c r="C834" s="8">
        <v>3273.28</v>
      </c>
      <c r="D834" s="55"/>
      <c r="E834" s="55">
        <v>69.5</v>
      </c>
      <c r="F834" s="258">
        <f t="shared" si="117"/>
        <v>3342.78</v>
      </c>
      <c r="G834" s="146">
        <v>1100</v>
      </c>
      <c r="H834" s="146"/>
      <c r="I834" s="146">
        <v>5000</v>
      </c>
      <c r="J834" s="146">
        <v>30</v>
      </c>
      <c r="K834" s="180">
        <f t="shared" si="119"/>
        <v>0</v>
      </c>
      <c r="L834" s="290">
        <f t="shared" si="120"/>
        <v>4.2424813802206095E-3</v>
      </c>
      <c r="M834" s="426">
        <f t="shared" si="121"/>
        <v>8.5571273687187723</v>
      </c>
      <c r="N834" s="148">
        <f t="shared" si="118"/>
        <v>3.1464557334778926</v>
      </c>
      <c r="O834" s="426">
        <v>3.7176531573986802</v>
      </c>
      <c r="P834" s="427">
        <f t="shared" si="122"/>
        <v>0</v>
      </c>
      <c r="Q834" s="427"/>
      <c r="R834" s="532">
        <f t="shared" si="116"/>
        <v>4.6132967947622467E-3</v>
      </c>
    </row>
    <row r="835" spans="1:18" s="6" customFormat="1" ht="15.75">
      <c r="A835" s="55">
        <v>90</v>
      </c>
      <c r="B835" s="55" t="s">
        <v>921</v>
      </c>
      <c r="C835" s="8">
        <v>139.80000000000001</v>
      </c>
      <c r="D835" s="55"/>
      <c r="E835" s="55"/>
      <c r="F835" s="258">
        <f t="shared" si="117"/>
        <v>139.80000000000001</v>
      </c>
      <c r="G835" s="146">
        <v>1100</v>
      </c>
      <c r="H835" s="146">
        <v>1</v>
      </c>
      <c r="I835" s="146">
        <v>5000</v>
      </c>
      <c r="J835" s="146">
        <v>1</v>
      </c>
      <c r="K835" s="180">
        <f t="shared" si="119"/>
        <v>4.9850448654037882E-4</v>
      </c>
      <c r="L835" s="290">
        <f t="shared" si="120"/>
        <v>1.4141604600735364E-4</v>
      </c>
      <c r="M835" s="426">
        <f t="shared" si="121"/>
        <v>1.2907261133541019</v>
      </c>
      <c r="N835" s="148">
        <f t="shared" si="118"/>
        <v>0.47459999188030333</v>
      </c>
      <c r="O835" s="426">
        <v>0.55656737902089048</v>
      </c>
      <c r="P835" s="427">
        <f t="shared" si="122"/>
        <v>9.2043868394815542E-2</v>
      </c>
      <c r="Q835" s="427"/>
      <c r="R835" s="532">
        <f t="shared" si="116"/>
        <v>1.7267076914521538E-2</v>
      </c>
    </row>
    <row r="836" spans="1:18" s="6" customFormat="1" ht="15.75">
      <c r="A836" s="55">
        <v>91</v>
      </c>
      <c r="B836" s="55" t="s">
        <v>922</v>
      </c>
      <c r="C836" s="8">
        <v>2876.7</v>
      </c>
      <c r="D836" s="55"/>
      <c r="E836" s="55">
        <v>258.60000000000002</v>
      </c>
      <c r="F836" s="258">
        <f t="shared" si="117"/>
        <v>3135.2999999999997</v>
      </c>
      <c r="G836" s="146">
        <v>1100</v>
      </c>
      <c r="H836" s="146">
        <v>50</v>
      </c>
      <c r="I836" s="146">
        <v>5000</v>
      </c>
      <c r="J836" s="146">
        <v>50</v>
      </c>
      <c r="K836" s="180">
        <f t="shared" si="119"/>
        <v>2.4925224327018942E-2</v>
      </c>
      <c r="L836" s="290">
        <f t="shared" si="120"/>
        <v>7.0708023003676814E-3</v>
      </c>
      <c r="M836" s="426">
        <f t="shared" si="121"/>
        <v>64.536305667705093</v>
      </c>
      <c r="N836" s="148">
        <f t="shared" si="118"/>
        <v>23.729999594015165</v>
      </c>
      <c r="O836" s="426">
        <v>27.828368951044521</v>
      </c>
      <c r="P836" s="427">
        <f t="shared" si="122"/>
        <v>4.602193419740777</v>
      </c>
      <c r="Q836" s="427"/>
      <c r="R836" s="532">
        <f t="shared" si="116"/>
        <v>3.8496114449177291E-2</v>
      </c>
    </row>
    <row r="837" spans="1:18" s="6" customFormat="1" ht="15.75">
      <c r="A837" s="55">
        <v>92</v>
      </c>
      <c r="B837" s="55" t="s">
        <v>923</v>
      </c>
      <c r="C837" s="8">
        <v>230.5</v>
      </c>
      <c r="D837" s="55"/>
      <c r="E837" s="55"/>
      <c r="F837" s="258">
        <f t="shared" si="117"/>
        <v>230.5</v>
      </c>
      <c r="G837" s="146">
        <v>1100</v>
      </c>
      <c r="H837" s="146">
        <v>12</v>
      </c>
      <c r="I837" s="146">
        <v>5000</v>
      </c>
      <c r="J837" s="146">
        <v>8</v>
      </c>
      <c r="K837" s="180">
        <f t="shared" si="119"/>
        <v>5.9820538384845459E-3</v>
      </c>
      <c r="L837" s="290">
        <f t="shared" si="120"/>
        <v>1.1313283680588291E-3</v>
      </c>
      <c r="M837" s="426">
        <f t="shared" si="121"/>
        <v>14.347763044420052</v>
      </c>
      <c r="N837" s="148">
        <f t="shared" si="118"/>
        <v>5.2756724714332535</v>
      </c>
      <c r="O837" s="426">
        <v>6.183121460597528</v>
      </c>
      <c r="P837" s="427">
        <f t="shared" si="122"/>
        <v>1.1045264207377865</v>
      </c>
      <c r="Q837" s="427"/>
      <c r="R837" s="532">
        <f t="shared" si="116"/>
        <v>0.11675090410927817</v>
      </c>
    </row>
    <row r="838" spans="1:18" s="6" customFormat="1" ht="15.75">
      <c r="A838" s="55">
        <v>93</v>
      </c>
      <c r="B838" s="55" t="s">
        <v>924</v>
      </c>
      <c r="C838" s="8">
        <v>65.900000000000006</v>
      </c>
      <c r="D838" s="55"/>
      <c r="E838" s="55"/>
      <c r="F838" s="258">
        <f t="shared" si="117"/>
        <v>65.900000000000006</v>
      </c>
      <c r="G838" s="146">
        <v>1100</v>
      </c>
      <c r="H838" s="146">
        <v>2</v>
      </c>
      <c r="I838" s="146">
        <v>5000</v>
      </c>
      <c r="J838" s="146">
        <v>2</v>
      </c>
      <c r="K838" s="180">
        <f t="shared" si="119"/>
        <v>9.9700897308075765E-4</v>
      </c>
      <c r="L838" s="290">
        <f t="shared" si="120"/>
        <v>2.8283209201470727E-4</v>
      </c>
      <c r="M838" s="426">
        <f t="shared" si="121"/>
        <v>2.5814522267082038</v>
      </c>
      <c r="N838" s="148">
        <f t="shared" si="118"/>
        <v>0.94919998376060666</v>
      </c>
      <c r="O838" s="426">
        <v>1.113134758041781</v>
      </c>
      <c r="P838" s="427">
        <f t="shared" si="122"/>
        <v>0.18408773678963108</v>
      </c>
      <c r="Q838" s="427"/>
      <c r="R838" s="532">
        <f t="shared" si="116"/>
        <v>7.3260617682856174E-2</v>
      </c>
    </row>
    <row r="839" spans="1:18" s="6" customFormat="1" ht="15.75">
      <c r="A839" s="55">
        <v>94</v>
      </c>
      <c r="B839" s="55" t="s">
        <v>16</v>
      </c>
      <c r="C839" s="8">
        <v>75.900000000000006</v>
      </c>
      <c r="D839" s="55"/>
      <c r="E839" s="55"/>
      <c r="F839" s="258">
        <f t="shared" si="117"/>
        <v>75.900000000000006</v>
      </c>
      <c r="G839" s="146">
        <v>1100</v>
      </c>
      <c r="H839" s="146">
        <v>4</v>
      </c>
      <c r="I839" s="146">
        <v>5000</v>
      </c>
      <c r="J839" s="146">
        <v>3</v>
      </c>
      <c r="K839" s="180">
        <f t="shared" si="119"/>
        <v>1.9940179461615153E-3</v>
      </c>
      <c r="L839" s="290">
        <f t="shared" si="120"/>
        <v>4.2424813802206091E-4</v>
      </c>
      <c r="M839" s="426">
        <f t="shared" si="121"/>
        <v>4.8776668744591154</v>
      </c>
      <c r="N839" s="148">
        <f t="shared" si="118"/>
        <v>1.7935181097386168</v>
      </c>
      <c r="O839" s="426">
        <v>2.1023477441702725</v>
      </c>
      <c r="P839" s="427">
        <f t="shared" si="122"/>
        <v>0.36817547357926217</v>
      </c>
      <c r="Q839" s="427"/>
      <c r="R839" s="532">
        <f t="shared" ref="R839:R902" si="123">(P839+O839+N839+M839)/F839</f>
        <v>0.12044411333263856</v>
      </c>
    </row>
    <row r="840" spans="1:18" s="6" customFormat="1" ht="15.75">
      <c r="A840" s="55">
        <v>95</v>
      </c>
      <c r="B840" s="55" t="s">
        <v>17</v>
      </c>
      <c r="C840" s="8">
        <v>115.8</v>
      </c>
      <c r="D840" s="55"/>
      <c r="E840" s="55"/>
      <c r="F840" s="258">
        <f t="shared" si="117"/>
        <v>115.8</v>
      </c>
      <c r="G840" s="146">
        <v>1100</v>
      </c>
      <c r="H840" s="146">
        <v>5</v>
      </c>
      <c r="I840" s="146">
        <v>5000</v>
      </c>
      <c r="J840" s="146">
        <v>5</v>
      </c>
      <c r="K840" s="180">
        <f t="shared" si="119"/>
        <v>2.4925224327018939E-3</v>
      </c>
      <c r="L840" s="290">
        <f t="shared" si="120"/>
        <v>7.0708023003676818E-4</v>
      </c>
      <c r="M840" s="426">
        <f t="shared" si="121"/>
        <v>6.4536305667705083</v>
      </c>
      <c r="N840" s="148">
        <f t="shared" si="118"/>
        <v>2.3729999594015161</v>
      </c>
      <c r="O840" s="426">
        <v>2.7828368951044524</v>
      </c>
      <c r="P840" s="427">
        <f t="shared" si="122"/>
        <v>0.46021934197407766</v>
      </c>
      <c r="Q840" s="427"/>
      <c r="R840" s="532">
        <f t="shared" si="123"/>
        <v>0.10422872852547975</v>
      </c>
    </row>
    <row r="841" spans="1:18" s="6" customFormat="1" ht="15.75">
      <c r="A841" s="55">
        <v>96</v>
      </c>
      <c r="B841" s="55" t="s">
        <v>18</v>
      </c>
      <c r="C841" s="8">
        <v>43.6</v>
      </c>
      <c r="D841" s="55"/>
      <c r="E841" s="55"/>
      <c r="F841" s="258">
        <f t="shared" si="117"/>
        <v>43.6</v>
      </c>
      <c r="G841" s="146">
        <v>1100</v>
      </c>
      <c r="H841" s="146">
        <v>4</v>
      </c>
      <c r="I841" s="146">
        <v>5000</v>
      </c>
      <c r="J841" s="146">
        <v>2</v>
      </c>
      <c r="K841" s="180">
        <f t="shared" si="119"/>
        <v>1.9940179461615153E-3</v>
      </c>
      <c r="L841" s="290">
        <f t="shared" si="120"/>
        <v>2.8283209201470727E-4</v>
      </c>
      <c r="M841" s="426">
        <f t="shared" si="121"/>
        <v>4.5924292955018222</v>
      </c>
      <c r="N841" s="148">
        <f t="shared" si="118"/>
        <v>1.6886362519560201</v>
      </c>
      <c r="O841" s="426">
        <v>1.978425972256983</v>
      </c>
      <c r="P841" s="427">
        <f t="shared" si="122"/>
        <v>0.36817547357926217</v>
      </c>
      <c r="Q841" s="427"/>
      <c r="R841" s="532">
        <f t="shared" si="123"/>
        <v>0.19788227048839652</v>
      </c>
    </row>
    <row r="842" spans="1:18" s="6" customFormat="1" ht="15.75">
      <c r="A842" s="55">
        <v>97</v>
      </c>
      <c r="B842" s="55" t="s">
        <v>19</v>
      </c>
      <c r="C842" s="8">
        <v>229.9</v>
      </c>
      <c r="D842" s="55"/>
      <c r="E842" s="55"/>
      <c r="F842" s="258">
        <f t="shared" si="117"/>
        <v>229.9</v>
      </c>
      <c r="G842" s="146">
        <v>1100</v>
      </c>
      <c r="H842" s="146">
        <v>9</v>
      </c>
      <c r="I842" s="146">
        <v>5000</v>
      </c>
      <c r="J842" s="146">
        <v>5</v>
      </c>
      <c r="K842" s="180">
        <f t="shared" si="119"/>
        <v>4.4865403788634092E-3</v>
      </c>
      <c r="L842" s="290">
        <f t="shared" si="120"/>
        <v>7.0708023003676818E-4</v>
      </c>
      <c r="M842" s="426">
        <f t="shared" si="121"/>
        <v>10.475584704357747</v>
      </c>
      <c r="N842" s="148">
        <f t="shared" si="118"/>
        <v>3.8518724957923438</v>
      </c>
      <c r="O842" s="426">
        <v>4.5134193235348574</v>
      </c>
      <c r="P842" s="427">
        <f t="shared" si="122"/>
        <v>0.82839481555333982</v>
      </c>
      <c r="Q842" s="427"/>
      <c r="R842" s="532">
        <f t="shared" si="123"/>
        <v>8.5555769200688497E-2</v>
      </c>
    </row>
    <row r="843" spans="1:18" s="6" customFormat="1" ht="15.75">
      <c r="A843" s="55">
        <v>98</v>
      </c>
      <c r="B843" s="55" t="s">
        <v>20</v>
      </c>
      <c r="C843" s="8">
        <v>274.3</v>
      </c>
      <c r="D843" s="55"/>
      <c r="E843" s="55"/>
      <c r="F843" s="258">
        <f t="shared" si="117"/>
        <v>274.3</v>
      </c>
      <c r="G843" s="146">
        <v>1100</v>
      </c>
      <c r="H843" s="146">
        <v>8</v>
      </c>
      <c r="I843" s="146">
        <v>5000</v>
      </c>
      <c r="J843" s="146">
        <v>8</v>
      </c>
      <c r="K843" s="180">
        <f t="shared" si="119"/>
        <v>3.9880358923230306E-3</v>
      </c>
      <c r="L843" s="290">
        <f t="shared" si="120"/>
        <v>1.1313283680588291E-3</v>
      </c>
      <c r="M843" s="426">
        <f t="shared" si="121"/>
        <v>10.325808906832815</v>
      </c>
      <c r="N843" s="148">
        <f t="shared" si="118"/>
        <v>3.7967999350424266</v>
      </c>
      <c r="O843" s="426">
        <v>4.4525390321671239</v>
      </c>
      <c r="P843" s="427">
        <f t="shared" si="122"/>
        <v>0.73635094715852434</v>
      </c>
      <c r="Q843" s="427"/>
      <c r="R843" s="532">
        <f t="shared" si="123"/>
        <v>7.0402839304414461E-2</v>
      </c>
    </row>
    <row r="844" spans="1:18" s="6" customFormat="1" ht="15.75">
      <c r="A844" s="55">
        <v>99</v>
      </c>
      <c r="B844" s="55" t="s">
        <v>21</v>
      </c>
      <c r="C844" s="8">
        <v>282</v>
      </c>
      <c r="D844" s="55"/>
      <c r="E844" s="55"/>
      <c r="F844" s="258">
        <f t="shared" si="117"/>
        <v>282</v>
      </c>
      <c r="G844" s="146">
        <v>1100</v>
      </c>
      <c r="H844" s="146">
        <v>9</v>
      </c>
      <c r="I844" s="146">
        <v>5000</v>
      </c>
      <c r="J844" s="146">
        <v>9</v>
      </c>
      <c r="K844" s="180">
        <f t="shared" si="119"/>
        <v>4.4865403788634092E-3</v>
      </c>
      <c r="L844" s="290">
        <f t="shared" si="120"/>
        <v>1.2727444140661827E-3</v>
      </c>
      <c r="M844" s="426">
        <f t="shared" si="121"/>
        <v>11.616535020186916</v>
      </c>
      <c r="N844" s="148">
        <f t="shared" si="118"/>
        <v>4.2713999269227294</v>
      </c>
      <c r="O844" s="426">
        <v>5.0091064111880144</v>
      </c>
      <c r="P844" s="427">
        <f t="shared" si="122"/>
        <v>0.82839481555333982</v>
      </c>
      <c r="Q844" s="427"/>
      <c r="R844" s="532">
        <f t="shared" si="123"/>
        <v>7.7040553807982276E-2</v>
      </c>
    </row>
    <row r="845" spans="1:18" s="6" customFormat="1" ht="15.75">
      <c r="A845" s="55">
        <v>100</v>
      </c>
      <c r="B845" s="55" t="s">
        <v>22</v>
      </c>
      <c r="C845" s="8">
        <v>181.2</v>
      </c>
      <c r="D845" s="55"/>
      <c r="E845" s="55"/>
      <c r="F845" s="258">
        <f t="shared" si="117"/>
        <v>181.2</v>
      </c>
      <c r="G845" s="146">
        <v>1100</v>
      </c>
      <c r="H845" s="146">
        <v>8</v>
      </c>
      <c r="I845" s="146">
        <v>5000</v>
      </c>
      <c r="J845" s="146">
        <v>8</v>
      </c>
      <c r="K845" s="180">
        <f t="shared" si="119"/>
        <v>3.9880358923230306E-3</v>
      </c>
      <c r="L845" s="290">
        <f t="shared" si="120"/>
        <v>1.1313283680588291E-3</v>
      </c>
      <c r="M845" s="426">
        <f t="shared" si="121"/>
        <v>10.325808906832815</v>
      </c>
      <c r="N845" s="148">
        <f t="shared" si="118"/>
        <v>3.7967999350424266</v>
      </c>
      <c r="O845" s="426">
        <v>4.4525390321671239</v>
      </c>
      <c r="P845" s="427">
        <f t="shared" si="122"/>
        <v>0.73635094715852434</v>
      </c>
      <c r="Q845" s="427"/>
      <c r="R845" s="532">
        <f t="shared" si="123"/>
        <v>0.10657560055850381</v>
      </c>
    </row>
    <row r="846" spans="1:18" s="6" customFormat="1" ht="15.75">
      <c r="A846" s="55">
        <v>101</v>
      </c>
      <c r="B846" s="55" t="s">
        <v>23</v>
      </c>
      <c r="C846" s="8">
        <v>171</v>
      </c>
      <c r="D846" s="55"/>
      <c r="E846" s="55"/>
      <c r="F846" s="258">
        <f t="shared" si="117"/>
        <v>171</v>
      </c>
      <c r="G846" s="146">
        <v>1100</v>
      </c>
      <c r="H846" s="146">
        <v>8</v>
      </c>
      <c r="I846" s="146">
        <v>5000</v>
      </c>
      <c r="J846" s="146">
        <v>8</v>
      </c>
      <c r="K846" s="180">
        <f t="shared" si="119"/>
        <v>3.9880358923230306E-3</v>
      </c>
      <c r="L846" s="290">
        <f t="shared" si="120"/>
        <v>1.1313283680588291E-3</v>
      </c>
      <c r="M846" s="426">
        <f t="shared" si="121"/>
        <v>10.325808906832815</v>
      </c>
      <c r="N846" s="148">
        <f t="shared" si="118"/>
        <v>3.7967999350424266</v>
      </c>
      <c r="O846" s="426">
        <v>4.4525390321671239</v>
      </c>
      <c r="P846" s="427">
        <f t="shared" si="122"/>
        <v>0.73635094715852434</v>
      </c>
      <c r="Q846" s="427"/>
      <c r="R846" s="532">
        <f t="shared" si="123"/>
        <v>0.11293274164444965</v>
      </c>
    </row>
    <row r="847" spans="1:18" s="6" customFormat="1" ht="15.75">
      <c r="A847" s="55">
        <v>102</v>
      </c>
      <c r="B847" s="55" t="s">
        <v>24</v>
      </c>
      <c r="C847" s="8">
        <v>160.5</v>
      </c>
      <c r="D847" s="55"/>
      <c r="E847" s="55"/>
      <c r="F847" s="258">
        <f t="shared" si="117"/>
        <v>160.5</v>
      </c>
      <c r="G847" s="146">
        <v>1100</v>
      </c>
      <c r="H847" s="146">
        <v>6</v>
      </c>
      <c r="I847" s="146">
        <v>5000</v>
      </c>
      <c r="J847" s="146">
        <v>6</v>
      </c>
      <c r="K847" s="180">
        <f t="shared" si="119"/>
        <v>2.9910269192422729E-3</v>
      </c>
      <c r="L847" s="290">
        <f t="shared" si="120"/>
        <v>8.4849627604412182E-4</v>
      </c>
      <c r="M847" s="426">
        <f t="shared" si="121"/>
        <v>7.7443566801246106</v>
      </c>
      <c r="N847" s="148">
        <f t="shared" si="118"/>
        <v>2.8475999512818198</v>
      </c>
      <c r="O847" s="426">
        <v>3.3394042741253425</v>
      </c>
      <c r="P847" s="427">
        <f t="shared" si="122"/>
        <v>0.55226321036889325</v>
      </c>
      <c r="Q847" s="427"/>
      <c r="R847" s="532">
        <f t="shared" si="123"/>
        <v>9.0240648697200415E-2</v>
      </c>
    </row>
    <row r="848" spans="1:18" s="6" customFormat="1" ht="15.75">
      <c r="A848" s="55">
        <v>103</v>
      </c>
      <c r="B848" s="55" t="s">
        <v>25</v>
      </c>
      <c r="C848" s="8">
        <v>165.6</v>
      </c>
      <c r="D848" s="55"/>
      <c r="E848" s="55"/>
      <c r="F848" s="258">
        <f t="shared" si="117"/>
        <v>165.6</v>
      </c>
      <c r="G848" s="146">
        <v>1100</v>
      </c>
      <c r="H848" s="146">
        <v>7</v>
      </c>
      <c r="I848" s="146">
        <v>5000</v>
      </c>
      <c r="J848" s="146">
        <v>7</v>
      </c>
      <c r="K848" s="180">
        <f t="shared" si="119"/>
        <v>3.489531405782652E-3</v>
      </c>
      <c r="L848" s="290">
        <f t="shared" si="120"/>
        <v>9.8991232205147546E-4</v>
      </c>
      <c r="M848" s="426">
        <f t="shared" si="121"/>
        <v>9.035082793478713</v>
      </c>
      <c r="N848" s="148">
        <f t="shared" si="118"/>
        <v>3.322199943162123</v>
      </c>
      <c r="O848" s="426">
        <v>3.8959716531462338</v>
      </c>
      <c r="P848" s="427">
        <f t="shared" si="122"/>
        <v>0.64430707876370885</v>
      </c>
      <c r="Q848" s="427"/>
      <c r="R848" s="532">
        <f t="shared" si="123"/>
        <v>0.10203841466516173</v>
      </c>
    </row>
    <row r="849" spans="1:18" s="6" customFormat="1" ht="15.75">
      <c r="A849" s="55">
        <v>104</v>
      </c>
      <c r="B849" s="55" t="s">
        <v>26</v>
      </c>
      <c r="C849" s="8">
        <v>158.6</v>
      </c>
      <c r="D849" s="55"/>
      <c r="E849" s="55"/>
      <c r="F849" s="258">
        <f t="shared" si="117"/>
        <v>158.6</v>
      </c>
      <c r="G849" s="146">
        <v>1100</v>
      </c>
      <c r="H849" s="146">
        <v>6</v>
      </c>
      <c r="I849" s="146">
        <v>5000</v>
      </c>
      <c r="J849" s="146">
        <v>6</v>
      </c>
      <c r="K849" s="180">
        <f t="shared" si="119"/>
        <v>2.9910269192422729E-3</v>
      </c>
      <c r="L849" s="290">
        <f t="shared" si="120"/>
        <v>8.4849627604412182E-4</v>
      </c>
      <c r="M849" s="426">
        <f t="shared" si="121"/>
        <v>7.7443566801246106</v>
      </c>
      <c r="N849" s="148">
        <f t="shared" si="118"/>
        <v>2.8475999512818198</v>
      </c>
      <c r="O849" s="426">
        <v>3.3394042741253425</v>
      </c>
      <c r="P849" s="427">
        <f t="shared" si="122"/>
        <v>0.55226321036889325</v>
      </c>
      <c r="Q849" s="427"/>
      <c r="R849" s="532">
        <f t="shared" si="123"/>
        <v>9.1321715737078604E-2</v>
      </c>
    </row>
    <row r="850" spans="1:18" s="6" customFormat="1" ht="15.75">
      <c r="A850" s="55">
        <v>105</v>
      </c>
      <c r="B850" s="55" t="s">
        <v>27</v>
      </c>
      <c r="C850" s="8">
        <v>414.61</v>
      </c>
      <c r="D850" s="55"/>
      <c r="E850" s="55"/>
      <c r="F850" s="258">
        <f t="shared" si="117"/>
        <v>414.61</v>
      </c>
      <c r="G850" s="146">
        <v>1100</v>
      </c>
      <c r="H850" s="146">
        <v>24</v>
      </c>
      <c r="I850" s="146">
        <v>5000</v>
      </c>
      <c r="J850" s="146">
        <v>7</v>
      </c>
      <c r="K850" s="180">
        <f t="shared" si="119"/>
        <v>1.1964107676969092E-2</v>
      </c>
      <c r="L850" s="290">
        <f t="shared" si="120"/>
        <v>9.8991232205147546E-4</v>
      </c>
      <c r="M850" s="426">
        <f t="shared" si="121"/>
        <v>26.128387878224473</v>
      </c>
      <c r="N850" s="148">
        <f t="shared" si="118"/>
        <v>9.607408222823139</v>
      </c>
      <c r="O850" s="426">
        <v>11.250946973975452</v>
      </c>
      <c r="P850" s="427">
        <f t="shared" si="122"/>
        <v>2.209052841475573</v>
      </c>
      <c r="Q850" s="427"/>
      <c r="R850" s="532">
        <f t="shared" si="123"/>
        <v>0.11865559421263028</v>
      </c>
    </row>
    <row r="851" spans="1:18" s="6" customFormat="1" ht="15.75">
      <c r="A851" s="55">
        <v>106</v>
      </c>
      <c r="B851" s="55" t="s">
        <v>28</v>
      </c>
      <c r="C851" s="8">
        <v>148.1</v>
      </c>
      <c r="D851" s="55"/>
      <c r="E851" s="55"/>
      <c r="F851" s="258">
        <f t="shared" si="117"/>
        <v>148.1</v>
      </c>
      <c r="G851" s="146">
        <v>1100</v>
      </c>
      <c r="H851" s="146">
        <v>8</v>
      </c>
      <c r="I851" s="146">
        <v>5000</v>
      </c>
      <c r="J851" s="146">
        <v>6</v>
      </c>
      <c r="K851" s="180">
        <f t="shared" si="119"/>
        <v>3.9880358923230306E-3</v>
      </c>
      <c r="L851" s="290">
        <f t="shared" si="120"/>
        <v>8.4849627604412182E-4</v>
      </c>
      <c r="M851" s="426">
        <f t="shared" si="121"/>
        <v>9.7553337489182308</v>
      </c>
      <c r="N851" s="148">
        <f t="shared" si="118"/>
        <v>3.5870362194772336</v>
      </c>
      <c r="O851" s="426">
        <v>4.204695488340545</v>
      </c>
      <c r="P851" s="427">
        <f t="shared" si="122"/>
        <v>0.73635094715852434</v>
      </c>
      <c r="Q851" s="427"/>
      <c r="R851" s="532">
        <f t="shared" si="123"/>
        <v>0.12345318301076662</v>
      </c>
    </row>
    <row r="852" spans="1:18" s="6" customFormat="1" ht="15.75">
      <c r="A852" s="55">
        <v>107</v>
      </c>
      <c r="B852" s="55" t="s">
        <v>29</v>
      </c>
      <c r="C852" s="8">
        <v>27.8</v>
      </c>
      <c r="D852" s="55"/>
      <c r="E852" s="55"/>
      <c r="F852" s="258">
        <f t="shared" si="117"/>
        <v>27.8</v>
      </c>
      <c r="G852" s="146">
        <v>1100</v>
      </c>
      <c r="H852" s="146">
        <v>2</v>
      </c>
      <c r="I852" s="146">
        <v>5000</v>
      </c>
      <c r="J852" s="146">
        <v>2</v>
      </c>
      <c r="K852" s="180">
        <f t="shared" si="119"/>
        <v>9.9700897308075765E-4</v>
      </c>
      <c r="L852" s="290">
        <f t="shared" si="120"/>
        <v>2.8283209201470727E-4</v>
      </c>
      <c r="M852" s="426">
        <f t="shared" si="121"/>
        <v>2.5814522267082038</v>
      </c>
      <c r="N852" s="148">
        <f t="shared" si="118"/>
        <v>0.94919998376060666</v>
      </c>
      <c r="O852" s="426">
        <v>1.113134758041781</v>
      </c>
      <c r="P852" s="427">
        <f t="shared" si="122"/>
        <v>0.18408773678963108</v>
      </c>
      <c r="Q852" s="427"/>
      <c r="R852" s="532">
        <f t="shared" si="123"/>
        <v>0.17366455774461231</v>
      </c>
    </row>
    <row r="853" spans="1:18" s="6" customFormat="1" ht="15.75">
      <c r="A853" s="55">
        <v>108</v>
      </c>
      <c r="B853" s="55" t="s">
        <v>30</v>
      </c>
      <c r="C853" s="8">
        <v>140.9</v>
      </c>
      <c r="D853" s="55"/>
      <c r="E853" s="55"/>
      <c r="F853" s="258">
        <f t="shared" si="117"/>
        <v>140.9</v>
      </c>
      <c r="G853" s="146">
        <v>1100</v>
      </c>
      <c r="H853" s="146">
        <v>6</v>
      </c>
      <c r="I853" s="146">
        <v>5000</v>
      </c>
      <c r="J853" s="146">
        <v>8</v>
      </c>
      <c r="K853" s="180">
        <f t="shared" si="119"/>
        <v>2.9910269192422729E-3</v>
      </c>
      <c r="L853" s="290">
        <f t="shared" si="120"/>
        <v>1.1313283680588291E-3</v>
      </c>
      <c r="M853" s="426">
        <f t="shared" si="121"/>
        <v>8.314831838039197</v>
      </c>
      <c r="N853" s="148">
        <f t="shared" si="118"/>
        <v>3.0573636668470128</v>
      </c>
      <c r="O853" s="426">
        <v>3.5872478179519214</v>
      </c>
      <c r="P853" s="427">
        <f t="shared" si="122"/>
        <v>0.55226321036889325</v>
      </c>
      <c r="Q853" s="427"/>
      <c r="R853" s="532">
        <f t="shared" si="123"/>
        <v>0.11009018121509599</v>
      </c>
    </row>
    <row r="854" spans="1:18" s="6" customFormat="1" ht="15.75">
      <c r="A854" s="55">
        <v>109</v>
      </c>
      <c r="B854" s="55" t="s">
        <v>31</v>
      </c>
      <c r="C854" s="8">
        <v>66.599999999999994</v>
      </c>
      <c r="D854" s="55"/>
      <c r="E854" s="55"/>
      <c r="F854" s="258">
        <f t="shared" si="117"/>
        <v>66.599999999999994</v>
      </c>
      <c r="G854" s="146">
        <v>1100</v>
      </c>
      <c r="H854" s="146">
        <v>3</v>
      </c>
      <c r="I854" s="146">
        <v>5000</v>
      </c>
      <c r="J854" s="146">
        <v>7</v>
      </c>
      <c r="K854" s="180">
        <f t="shared" si="119"/>
        <v>1.4955134596211365E-3</v>
      </c>
      <c r="L854" s="290">
        <f t="shared" si="120"/>
        <v>9.8991232205147546E-4</v>
      </c>
      <c r="M854" s="426">
        <f t="shared" si="121"/>
        <v>5.0131286558914754</v>
      </c>
      <c r="N854" s="148">
        <f t="shared" si="118"/>
        <v>1.8433274067712957</v>
      </c>
      <c r="O854" s="426">
        <v>2.1653892247158288</v>
      </c>
      <c r="P854" s="427">
        <f t="shared" si="122"/>
        <v>0.27613160518444663</v>
      </c>
      <c r="Q854" s="427"/>
      <c r="R854" s="532">
        <f t="shared" si="123"/>
        <v>0.1396092626510968</v>
      </c>
    </row>
    <row r="855" spans="1:18" s="6" customFormat="1" ht="15.75">
      <c r="A855" s="55">
        <v>110</v>
      </c>
      <c r="B855" s="55" t="s">
        <v>32</v>
      </c>
      <c r="C855" s="8">
        <v>97.5</v>
      </c>
      <c r="D855" s="55"/>
      <c r="E855" s="55"/>
      <c r="F855" s="258">
        <f t="shared" si="117"/>
        <v>97.5</v>
      </c>
      <c r="G855" s="146">
        <v>1100</v>
      </c>
      <c r="H855" s="146">
        <v>8</v>
      </c>
      <c r="I855" s="146">
        <v>5000</v>
      </c>
      <c r="J855" s="146">
        <v>8</v>
      </c>
      <c r="K855" s="180">
        <f t="shared" si="119"/>
        <v>3.9880358923230306E-3</v>
      </c>
      <c r="L855" s="290">
        <f t="shared" si="120"/>
        <v>1.1313283680588291E-3</v>
      </c>
      <c r="M855" s="426">
        <f t="shared" si="121"/>
        <v>10.325808906832815</v>
      </c>
      <c r="N855" s="148">
        <f t="shared" si="118"/>
        <v>3.7967999350424266</v>
      </c>
      <c r="O855" s="426">
        <v>4.4525390321671239</v>
      </c>
      <c r="P855" s="427">
        <f t="shared" si="122"/>
        <v>0.73635094715852434</v>
      </c>
      <c r="Q855" s="427"/>
      <c r="R855" s="532">
        <f t="shared" si="123"/>
        <v>0.19806665457641937</v>
      </c>
    </row>
    <row r="856" spans="1:18" s="6" customFormat="1" ht="15.75">
      <c r="A856" s="55">
        <v>111</v>
      </c>
      <c r="B856" s="55" t="s">
        <v>33</v>
      </c>
      <c r="C856" s="8">
        <v>522.6</v>
      </c>
      <c r="D856" s="55"/>
      <c r="E856" s="55"/>
      <c r="F856" s="258">
        <f t="shared" si="117"/>
        <v>522.6</v>
      </c>
      <c r="G856" s="146">
        <v>1100</v>
      </c>
      <c r="H856" s="146">
        <v>16</v>
      </c>
      <c r="I856" s="146">
        <v>5000</v>
      </c>
      <c r="J856" s="146">
        <v>16</v>
      </c>
      <c r="K856" s="180">
        <f t="shared" si="119"/>
        <v>7.9760717846460612E-3</v>
      </c>
      <c r="L856" s="290">
        <f t="shared" si="120"/>
        <v>2.2626567361176582E-3</v>
      </c>
      <c r="M856" s="426">
        <f t="shared" si="121"/>
        <v>20.651617813665631</v>
      </c>
      <c r="N856" s="148">
        <f t="shared" si="118"/>
        <v>7.5935998700848533</v>
      </c>
      <c r="O856" s="426">
        <v>8.9050780643342478</v>
      </c>
      <c r="P856" s="427">
        <f t="shared" si="122"/>
        <v>1.4727018943170487</v>
      </c>
      <c r="Q856" s="427"/>
      <c r="R856" s="532">
        <f t="shared" si="123"/>
        <v>7.3905468125529616E-2</v>
      </c>
    </row>
    <row r="857" spans="1:18" s="6" customFormat="1" ht="15.75">
      <c r="A857" s="55">
        <v>112</v>
      </c>
      <c r="B857" s="55" t="s">
        <v>34</v>
      </c>
      <c r="C857" s="8">
        <v>71.8</v>
      </c>
      <c r="D857" s="55"/>
      <c r="E857" s="55"/>
      <c r="F857" s="258">
        <f t="shared" si="117"/>
        <v>71.8</v>
      </c>
      <c r="G857" s="146">
        <v>1100</v>
      </c>
      <c r="H857" s="146">
        <v>6</v>
      </c>
      <c r="I857" s="146">
        <v>5000</v>
      </c>
      <c r="J857" s="146">
        <v>2</v>
      </c>
      <c r="K857" s="180">
        <f t="shared" si="119"/>
        <v>2.9910269192422729E-3</v>
      </c>
      <c r="L857" s="290">
        <f t="shared" si="120"/>
        <v>2.8283209201470727E-4</v>
      </c>
      <c r="M857" s="426">
        <f t="shared" si="121"/>
        <v>6.6034063642954415</v>
      </c>
      <c r="N857" s="148">
        <f t="shared" si="118"/>
        <v>2.4280725201514342</v>
      </c>
      <c r="O857" s="426">
        <v>2.8437171864721851</v>
      </c>
      <c r="P857" s="427">
        <f t="shared" si="122"/>
        <v>0.55226321036889325</v>
      </c>
      <c r="Q857" s="427"/>
      <c r="R857" s="532">
        <f t="shared" si="123"/>
        <v>0.17308439110428905</v>
      </c>
    </row>
    <row r="858" spans="1:18" s="6" customFormat="1" ht="15.75">
      <c r="A858" s="55">
        <v>113</v>
      </c>
      <c r="B858" s="55" t="s">
        <v>35</v>
      </c>
      <c r="C858" s="8">
        <v>199</v>
      </c>
      <c r="D858" s="55"/>
      <c r="E858" s="55"/>
      <c r="F858" s="258">
        <f t="shared" si="117"/>
        <v>199</v>
      </c>
      <c r="G858" s="146">
        <v>1100</v>
      </c>
      <c r="H858" s="146">
        <v>10</v>
      </c>
      <c r="I858" s="146">
        <v>5000</v>
      </c>
      <c r="J858" s="146">
        <v>7</v>
      </c>
      <c r="K858" s="180">
        <f t="shared" si="119"/>
        <v>4.9850448654037878E-3</v>
      </c>
      <c r="L858" s="290">
        <f t="shared" si="120"/>
        <v>9.8991232205147546E-4</v>
      </c>
      <c r="M858" s="426">
        <f t="shared" si="121"/>
        <v>12.051548396669141</v>
      </c>
      <c r="N858" s="148">
        <f t="shared" si="118"/>
        <v>4.4313543454552429</v>
      </c>
      <c r="O858" s="426">
        <v>5.1939084744690378</v>
      </c>
      <c r="P858" s="427">
        <f t="shared" si="122"/>
        <v>0.92043868394815531</v>
      </c>
      <c r="Q858" s="427"/>
      <c r="R858" s="532">
        <f t="shared" si="123"/>
        <v>0.11355401960071144</v>
      </c>
    </row>
    <row r="859" spans="1:18" s="6" customFormat="1" ht="15.75">
      <c r="A859" s="55">
        <v>114</v>
      </c>
      <c r="B859" s="55" t="s">
        <v>36</v>
      </c>
      <c r="C859" s="8">
        <v>128.5</v>
      </c>
      <c r="D859" s="55"/>
      <c r="E859" s="55"/>
      <c r="F859" s="258">
        <f t="shared" si="117"/>
        <v>128.5</v>
      </c>
      <c r="G859" s="146">
        <v>1100</v>
      </c>
      <c r="H859" s="146">
        <v>6</v>
      </c>
      <c r="I859" s="146">
        <v>5000</v>
      </c>
      <c r="J859" s="146">
        <v>2</v>
      </c>
      <c r="K859" s="180">
        <f t="shared" si="119"/>
        <v>2.9910269192422729E-3</v>
      </c>
      <c r="L859" s="290">
        <f t="shared" si="120"/>
        <v>2.8283209201470727E-4</v>
      </c>
      <c r="M859" s="426">
        <f t="shared" si="121"/>
        <v>6.6034063642954415</v>
      </c>
      <c r="N859" s="148">
        <f t="shared" si="118"/>
        <v>2.4280725201514342</v>
      </c>
      <c r="O859" s="426">
        <v>2.8437171864721851</v>
      </c>
      <c r="P859" s="427">
        <f t="shared" si="122"/>
        <v>0.55226321036889325</v>
      </c>
      <c r="Q859" s="427"/>
      <c r="R859" s="532">
        <f t="shared" si="123"/>
        <v>9.6711745379672795E-2</v>
      </c>
    </row>
    <row r="860" spans="1:18" s="6" customFormat="1" ht="15.75">
      <c r="A860" s="55">
        <v>115</v>
      </c>
      <c r="B860" s="55" t="s">
        <v>37</v>
      </c>
      <c r="C860" s="8">
        <v>43.4</v>
      </c>
      <c r="D860" s="55"/>
      <c r="E860" s="55"/>
      <c r="F860" s="258">
        <f t="shared" si="117"/>
        <v>43.4</v>
      </c>
      <c r="G860" s="146">
        <v>1100</v>
      </c>
      <c r="H860" s="146">
        <v>4</v>
      </c>
      <c r="I860" s="146">
        <v>5000</v>
      </c>
      <c r="J860" s="146">
        <v>4</v>
      </c>
      <c r="K860" s="180">
        <f t="shared" si="119"/>
        <v>1.9940179461615153E-3</v>
      </c>
      <c r="L860" s="290">
        <f t="shared" si="120"/>
        <v>5.6566418402941455E-4</v>
      </c>
      <c r="M860" s="426">
        <f t="shared" si="121"/>
        <v>5.1629044534164077</v>
      </c>
      <c r="N860" s="148">
        <f t="shared" si="118"/>
        <v>1.8983999675212133</v>
      </c>
      <c r="O860" s="426">
        <v>2.2262695160835619</v>
      </c>
      <c r="P860" s="427">
        <f t="shared" si="122"/>
        <v>0.36817547357926217</v>
      </c>
      <c r="Q860" s="427"/>
      <c r="R860" s="532">
        <f t="shared" si="123"/>
        <v>0.2224827053133743</v>
      </c>
    </row>
    <row r="861" spans="1:18" s="6" customFormat="1" ht="15.75">
      <c r="A861" s="55">
        <v>116</v>
      </c>
      <c r="B861" s="55" t="s">
        <v>38</v>
      </c>
      <c r="C861" s="8">
        <v>35.4</v>
      </c>
      <c r="D861" s="55"/>
      <c r="E861" s="55"/>
      <c r="F861" s="258">
        <f t="shared" si="117"/>
        <v>35.4</v>
      </c>
      <c r="G861" s="146">
        <v>1100</v>
      </c>
      <c r="H861" s="146">
        <v>1</v>
      </c>
      <c r="I861" s="146">
        <v>5000</v>
      </c>
      <c r="J861" s="146">
        <v>1</v>
      </c>
      <c r="K861" s="180">
        <f t="shared" si="119"/>
        <v>4.9850448654037882E-4</v>
      </c>
      <c r="L861" s="290">
        <f t="shared" si="120"/>
        <v>1.4141604600735364E-4</v>
      </c>
      <c r="M861" s="426">
        <f t="shared" si="121"/>
        <v>1.2907261133541019</v>
      </c>
      <c r="N861" s="148">
        <f t="shared" si="118"/>
        <v>0.47459999188030333</v>
      </c>
      <c r="O861" s="426">
        <v>0.55656737902089048</v>
      </c>
      <c r="P861" s="427">
        <f t="shared" si="122"/>
        <v>9.2043868394815542E-2</v>
      </c>
      <c r="Q861" s="427"/>
      <c r="R861" s="532">
        <f t="shared" si="123"/>
        <v>6.8190320696330825E-2</v>
      </c>
    </row>
    <row r="862" spans="1:18" s="6" customFormat="1" ht="15.75">
      <c r="A862" s="55">
        <v>117</v>
      </c>
      <c r="B862" s="55" t="s">
        <v>39</v>
      </c>
      <c r="C862" s="8">
        <v>407.14</v>
      </c>
      <c r="D862" s="55"/>
      <c r="E862" s="55"/>
      <c r="F862" s="258">
        <f t="shared" si="117"/>
        <v>407.14</v>
      </c>
      <c r="G862" s="146">
        <v>1100</v>
      </c>
      <c r="H862" s="146">
        <v>8</v>
      </c>
      <c r="I862" s="146">
        <v>5000</v>
      </c>
      <c r="J862" s="146">
        <v>8</v>
      </c>
      <c r="K862" s="180">
        <f t="shared" si="119"/>
        <v>3.9880358923230306E-3</v>
      </c>
      <c r="L862" s="290">
        <f t="shared" si="120"/>
        <v>1.1313283680588291E-3</v>
      </c>
      <c r="M862" s="426">
        <f t="shared" si="121"/>
        <v>10.325808906832815</v>
      </c>
      <c r="N862" s="148">
        <f t="shared" si="118"/>
        <v>3.7967999350424266</v>
      </c>
      <c r="O862" s="426">
        <v>4.4525390321671239</v>
      </c>
      <c r="P862" s="427">
        <f t="shared" si="122"/>
        <v>0.73635094715852434</v>
      </c>
      <c r="Q862" s="427"/>
      <c r="R862" s="532">
        <f t="shared" si="123"/>
        <v>4.7432084347401114E-2</v>
      </c>
    </row>
    <row r="863" spans="1:18" s="6" customFormat="1" ht="15.75">
      <c r="A863" s="55">
        <v>118</v>
      </c>
      <c r="B863" s="55" t="s">
        <v>40</v>
      </c>
      <c r="C863" s="8">
        <v>207.4</v>
      </c>
      <c r="D863" s="55"/>
      <c r="E863" s="55"/>
      <c r="F863" s="258">
        <f t="shared" si="117"/>
        <v>207.4</v>
      </c>
      <c r="G863" s="146">
        <v>1100</v>
      </c>
      <c r="H863" s="146">
        <v>24</v>
      </c>
      <c r="I863" s="146">
        <v>5000</v>
      </c>
      <c r="J863" s="146">
        <v>16</v>
      </c>
      <c r="K863" s="180">
        <f t="shared" si="119"/>
        <v>1.1964107676969092E-2</v>
      </c>
      <c r="L863" s="290">
        <f t="shared" si="120"/>
        <v>2.2626567361176582E-3</v>
      </c>
      <c r="M863" s="426">
        <f t="shared" si="121"/>
        <v>28.695526088840104</v>
      </c>
      <c r="N863" s="148">
        <f t="shared" si="118"/>
        <v>10.551344942866507</v>
      </c>
      <c r="O863" s="426">
        <v>12.366242921195056</v>
      </c>
      <c r="P863" s="427">
        <f t="shared" si="122"/>
        <v>2.209052841475573</v>
      </c>
      <c r="Q863" s="427"/>
      <c r="R863" s="532">
        <f t="shared" si="123"/>
        <v>0.25950900093720941</v>
      </c>
    </row>
    <row r="864" spans="1:18" s="6" customFormat="1" ht="15.75">
      <c r="A864" s="55">
        <v>119</v>
      </c>
      <c r="B864" s="55" t="s">
        <v>41</v>
      </c>
      <c r="C864" s="8">
        <v>388.5</v>
      </c>
      <c r="D864" s="55"/>
      <c r="E864" s="55">
        <v>230.8</v>
      </c>
      <c r="F864" s="258">
        <f t="shared" si="117"/>
        <v>619.29999999999995</v>
      </c>
      <c r="G864" s="146">
        <v>1100</v>
      </c>
      <c r="H864" s="146">
        <v>22</v>
      </c>
      <c r="I864" s="146">
        <v>5000</v>
      </c>
      <c r="J864" s="146">
        <v>12</v>
      </c>
      <c r="K864" s="180">
        <f t="shared" si="119"/>
        <v>1.0967098703888335E-2</v>
      </c>
      <c r="L864" s="290">
        <f t="shared" si="120"/>
        <v>1.6969925520882436E-3</v>
      </c>
      <c r="M864" s="426">
        <f t="shared" si="121"/>
        <v>25.54359870421732</v>
      </c>
      <c r="N864" s="148">
        <f t="shared" si="118"/>
        <v>9.3923812435407097</v>
      </c>
      <c r="O864" s="426">
        <v>11.005264619326697</v>
      </c>
      <c r="P864" s="427">
        <f t="shared" si="122"/>
        <v>2.024965104685942</v>
      </c>
      <c r="Q864" s="427"/>
      <c r="R864" s="532">
        <f t="shared" si="123"/>
        <v>7.7452300454982526E-2</v>
      </c>
    </row>
    <row r="865" spans="1:18" s="6" customFormat="1" ht="15.75">
      <c r="A865" s="55">
        <v>120</v>
      </c>
      <c r="B865" s="55" t="s">
        <v>42</v>
      </c>
      <c r="C865" s="8">
        <v>326.7</v>
      </c>
      <c r="D865" s="55"/>
      <c r="E865" s="55"/>
      <c r="F865" s="258">
        <f t="shared" si="117"/>
        <v>326.7</v>
      </c>
      <c r="G865" s="146">
        <v>1100</v>
      </c>
      <c r="H865" s="146">
        <v>18</v>
      </c>
      <c r="I865" s="146">
        <v>5000</v>
      </c>
      <c r="J865" s="146">
        <v>18</v>
      </c>
      <c r="K865" s="180">
        <f t="shared" si="119"/>
        <v>8.9730807577268184E-3</v>
      </c>
      <c r="L865" s="290">
        <f t="shared" si="120"/>
        <v>2.5454888281323655E-3</v>
      </c>
      <c r="M865" s="426">
        <f t="shared" si="121"/>
        <v>23.233070040373832</v>
      </c>
      <c r="N865" s="148">
        <f t="shared" si="118"/>
        <v>8.5427998538454588</v>
      </c>
      <c r="O865" s="426">
        <v>10.018212822376029</v>
      </c>
      <c r="P865" s="427">
        <f t="shared" si="122"/>
        <v>1.6567896311066796</v>
      </c>
      <c r="Q865" s="427"/>
      <c r="R865" s="532">
        <f t="shared" si="123"/>
        <v>0.13299930317631467</v>
      </c>
    </row>
    <row r="866" spans="1:18" s="6" customFormat="1" ht="15.75">
      <c r="A866" s="55">
        <v>121</v>
      </c>
      <c r="B866" s="55" t="s">
        <v>43</v>
      </c>
      <c r="C866" s="8">
        <v>485.4</v>
      </c>
      <c r="D866" s="55"/>
      <c r="E866" s="55"/>
      <c r="F866" s="258">
        <f t="shared" si="117"/>
        <v>485.4</v>
      </c>
      <c r="G866" s="146">
        <v>1100</v>
      </c>
      <c r="H866" s="146">
        <v>24</v>
      </c>
      <c r="I866" s="146">
        <v>5000</v>
      </c>
      <c r="J866" s="146">
        <v>12</v>
      </c>
      <c r="K866" s="180">
        <f t="shared" si="119"/>
        <v>1.1964107676969092E-2</v>
      </c>
      <c r="L866" s="290">
        <f t="shared" si="120"/>
        <v>1.6969925520882436E-3</v>
      </c>
      <c r="M866" s="426">
        <f t="shared" si="121"/>
        <v>27.554575773010935</v>
      </c>
      <c r="N866" s="148">
        <f t="shared" si="118"/>
        <v>10.131817511736122</v>
      </c>
      <c r="O866" s="426">
        <v>11.870555833541898</v>
      </c>
      <c r="P866" s="427">
        <f t="shared" si="122"/>
        <v>2.209052841475573</v>
      </c>
      <c r="Q866" s="427"/>
      <c r="R866" s="532">
        <f t="shared" si="123"/>
        <v>0.10664606913836944</v>
      </c>
    </row>
    <row r="867" spans="1:18" s="6" customFormat="1" ht="15.75">
      <c r="A867" s="55">
        <v>122</v>
      </c>
      <c r="B867" s="55" t="s">
        <v>44</v>
      </c>
      <c r="C867" s="8">
        <v>133.6</v>
      </c>
      <c r="D867" s="55"/>
      <c r="E867" s="55"/>
      <c r="F867" s="258">
        <f t="shared" si="117"/>
        <v>133.6</v>
      </c>
      <c r="G867" s="146">
        <v>1100</v>
      </c>
      <c r="H867" s="146">
        <v>3</v>
      </c>
      <c r="I867" s="146">
        <v>5000</v>
      </c>
      <c r="J867" s="146">
        <v>2</v>
      </c>
      <c r="K867" s="180">
        <f t="shared" si="119"/>
        <v>1.4955134596211365E-3</v>
      </c>
      <c r="L867" s="290">
        <f t="shared" si="120"/>
        <v>2.8283209201470727E-4</v>
      </c>
      <c r="M867" s="426">
        <f t="shared" si="121"/>
        <v>3.586940761105013</v>
      </c>
      <c r="N867" s="148">
        <f t="shared" si="118"/>
        <v>1.3189181178583134</v>
      </c>
      <c r="O867" s="426">
        <v>1.545780365149382</v>
      </c>
      <c r="P867" s="427">
        <f t="shared" si="122"/>
        <v>0.27613160518444663</v>
      </c>
      <c r="Q867" s="427"/>
      <c r="R867" s="532">
        <f t="shared" si="123"/>
        <v>5.0357566237254153E-2</v>
      </c>
    </row>
    <row r="868" spans="1:18" s="6" customFormat="1" ht="15.75">
      <c r="A868" s="55">
        <v>123</v>
      </c>
      <c r="B868" s="55" t="s">
        <v>45</v>
      </c>
      <c r="C868" s="8">
        <v>562.28</v>
      </c>
      <c r="D868" s="55"/>
      <c r="E868" s="55"/>
      <c r="F868" s="258">
        <f t="shared" si="117"/>
        <v>562.28</v>
      </c>
      <c r="G868" s="146">
        <v>1100</v>
      </c>
      <c r="H868" s="146">
        <v>16</v>
      </c>
      <c r="I868" s="146">
        <v>5000</v>
      </c>
      <c r="J868" s="146">
        <v>2</v>
      </c>
      <c r="K868" s="180">
        <f t="shared" si="119"/>
        <v>7.9760717846460612E-3</v>
      </c>
      <c r="L868" s="290">
        <f t="shared" si="120"/>
        <v>2.8283209201470727E-4</v>
      </c>
      <c r="M868" s="426">
        <f t="shared" si="121"/>
        <v>16.658291708263537</v>
      </c>
      <c r="N868" s="148">
        <f t="shared" si="118"/>
        <v>6.1252538611285026</v>
      </c>
      <c r="O868" s="426">
        <v>7.1701732575481962</v>
      </c>
      <c r="P868" s="427">
        <f t="shared" si="122"/>
        <v>1.4727018943170487</v>
      </c>
      <c r="Q868" s="427"/>
      <c r="R868" s="532">
        <f t="shared" si="123"/>
        <v>5.5891052004797048E-2</v>
      </c>
    </row>
    <row r="869" spans="1:18" s="6" customFormat="1" ht="15.75">
      <c r="A869" s="55">
        <v>124</v>
      </c>
      <c r="B869" s="55" t="s">
        <v>46</v>
      </c>
      <c r="C869" s="8">
        <v>156.78</v>
      </c>
      <c r="D869" s="55"/>
      <c r="E869" s="55"/>
      <c r="F869" s="258">
        <f t="shared" si="117"/>
        <v>156.78</v>
      </c>
      <c r="G869" s="146">
        <v>1100</v>
      </c>
      <c r="H869" s="146">
        <v>10</v>
      </c>
      <c r="I869" s="146">
        <v>5000</v>
      </c>
      <c r="J869" s="146">
        <v>6</v>
      </c>
      <c r="K869" s="180">
        <f t="shared" si="119"/>
        <v>4.9850448654037878E-3</v>
      </c>
      <c r="L869" s="290">
        <f t="shared" si="120"/>
        <v>8.4849627604412182E-4</v>
      </c>
      <c r="M869" s="426">
        <f t="shared" si="121"/>
        <v>11.766310817711849</v>
      </c>
      <c r="N869" s="148">
        <f t="shared" si="118"/>
        <v>4.326472487672647</v>
      </c>
      <c r="O869" s="426">
        <v>5.0699867025557479</v>
      </c>
      <c r="P869" s="427">
        <f t="shared" si="122"/>
        <v>0.92043868394815531</v>
      </c>
      <c r="Q869" s="427"/>
      <c r="R869" s="532">
        <f t="shared" si="123"/>
        <v>0.14085475629473404</v>
      </c>
    </row>
    <row r="870" spans="1:18" s="6" customFormat="1" ht="15.75">
      <c r="A870" s="55">
        <v>125</v>
      </c>
      <c r="B870" s="55" t="s">
        <v>47</v>
      </c>
      <c r="C870" s="8">
        <v>169.82</v>
      </c>
      <c r="D870" s="55"/>
      <c r="E870" s="55"/>
      <c r="F870" s="258">
        <f t="shared" si="117"/>
        <v>169.82</v>
      </c>
      <c r="G870" s="146">
        <v>1100</v>
      </c>
      <c r="H870" s="146">
        <v>10</v>
      </c>
      <c r="I870" s="146">
        <v>5000</v>
      </c>
      <c r="J870" s="146">
        <v>6</v>
      </c>
      <c r="K870" s="180">
        <f t="shared" si="119"/>
        <v>4.9850448654037878E-3</v>
      </c>
      <c r="L870" s="290">
        <f t="shared" si="120"/>
        <v>8.4849627604412182E-4</v>
      </c>
      <c r="M870" s="426">
        <f t="shared" si="121"/>
        <v>11.766310817711849</v>
      </c>
      <c r="N870" s="148">
        <f t="shared" si="118"/>
        <v>4.326472487672647</v>
      </c>
      <c r="O870" s="426">
        <v>5.0699867025557479</v>
      </c>
      <c r="P870" s="427">
        <f t="shared" si="122"/>
        <v>0.92043868394815531</v>
      </c>
      <c r="Q870" s="427"/>
      <c r="R870" s="532">
        <f t="shared" si="123"/>
        <v>0.13003891586319868</v>
      </c>
    </row>
    <row r="871" spans="1:18" s="6" customFormat="1" ht="15.75">
      <c r="A871" s="55">
        <v>126</v>
      </c>
      <c r="B871" s="55" t="s">
        <v>48</v>
      </c>
      <c r="C871" s="8">
        <v>263.20999999999998</v>
      </c>
      <c r="D871" s="55"/>
      <c r="E871" s="55"/>
      <c r="F871" s="258">
        <f t="shared" si="117"/>
        <v>263.20999999999998</v>
      </c>
      <c r="G871" s="146">
        <v>1100</v>
      </c>
      <c r="H871" s="146">
        <v>10</v>
      </c>
      <c r="I871" s="146">
        <v>5000</v>
      </c>
      <c r="J871" s="146">
        <v>8</v>
      </c>
      <c r="K871" s="180">
        <f t="shared" si="119"/>
        <v>4.9850448654037878E-3</v>
      </c>
      <c r="L871" s="290">
        <f t="shared" si="120"/>
        <v>1.1313283680588291E-3</v>
      </c>
      <c r="M871" s="426">
        <f t="shared" si="121"/>
        <v>12.336785975626432</v>
      </c>
      <c r="N871" s="148">
        <f t="shared" si="118"/>
        <v>4.5362362032378396</v>
      </c>
      <c r="O871" s="426">
        <v>5.3178302463823268</v>
      </c>
      <c r="P871" s="427">
        <f t="shared" si="122"/>
        <v>0.92043868394815531</v>
      </c>
      <c r="Q871" s="427"/>
      <c r="R871" s="532">
        <f t="shared" si="123"/>
        <v>8.7805520721837144E-2</v>
      </c>
    </row>
    <row r="872" spans="1:18" s="6" customFormat="1" ht="15.75">
      <c r="A872" s="55">
        <v>127</v>
      </c>
      <c r="B872" s="55" t="s">
        <v>49</v>
      </c>
      <c r="C872" s="32">
        <v>83.5</v>
      </c>
      <c r="D872" s="55"/>
      <c r="E872" s="55"/>
      <c r="F872" s="258">
        <f t="shared" ref="F872:F879" si="124">C872+D872+E872</f>
        <v>83.5</v>
      </c>
      <c r="G872" s="146">
        <v>1100</v>
      </c>
      <c r="H872" s="146">
        <v>2</v>
      </c>
      <c r="I872" s="146">
        <v>5000</v>
      </c>
      <c r="J872" s="146">
        <v>2</v>
      </c>
      <c r="K872" s="180">
        <f t="shared" si="119"/>
        <v>9.9700897308075765E-4</v>
      </c>
      <c r="L872" s="290">
        <f t="shared" si="120"/>
        <v>2.8283209201470727E-4</v>
      </c>
      <c r="M872" s="426">
        <f t="shared" si="121"/>
        <v>2.5814522267082038</v>
      </c>
      <c r="N872" s="148">
        <f t="shared" ref="N872:N879" si="125">M872*0.3677</f>
        <v>0.94919998376060666</v>
      </c>
      <c r="O872" s="426">
        <v>1.113134758041781</v>
      </c>
      <c r="P872" s="427">
        <f t="shared" si="122"/>
        <v>0.18408773678963108</v>
      </c>
      <c r="Q872" s="427"/>
      <c r="R872" s="532">
        <f t="shared" si="123"/>
        <v>5.7818858746110445E-2</v>
      </c>
    </row>
    <row r="873" spans="1:18" s="6" customFormat="1" ht="15.75">
      <c r="A873" s="55">
        <v>128</v>
      </c>
      <c r="B873" s="146" t="s">
        <v>1372</v>
      </c>
      <c r="C873" s="196">
        <v>1770.4</v>
      </c>
      <c r="D873" s="55"/>
      <c r="E873" s="55"/>
      <c r="F873" s="258">
        <f t="shared" si="124"/>
        <v>1770.4</v>
      </c>
      <c r="G873" s="146">
        <v>1100</v>
      </c>
      <c r="H873" s="146"/>
      <c r="I873" s="146">
        <v>5000</v>
      </c>
      <c r="J873" s="8">
        <v>130</v>
      </c>
      <c r="K873" s="180">
        <f t="shared" si="119"/>
        <v>0</v>
      </c>
      <c r="L873" s="290">
        <f t="shared" si="120"/>
        <v>1.8384085980955974E-2</v>
      </c>
      <c r="M873" s="426">
        <f t="shared" si="121"/>
        <v>37.080885264448007</v>
      </c>
      <c r="N873" s="148">
        <f t="shared" si="125"/>
        <v>13.634641511737533</v>
      </c>
      <c r="O873" s="426">
        <v>16.109830348727616</v>
      </c>
      <c r="P873" s="427">
        <f t="shared" si="122"/>
        <v>0</v>
      </c>
      <c r="Q873" s="427"/>
      <c r="R873" s="532">
        <f t="shared" si="123"/>
        <v>3.7745908904718226E-2</v>
      </c>
    </row>
    <row r="874" spans="1:18" s="6" customFormat="1" ht="15.75">
      <c r="A874" s="55">
        <v>129</v>
      </c>
      <c r="B874" s="146" t="s">
        <v>1373</v>
      </c>
      <c r="C874" s="196">
        <v>4227</v>
      </c>
      <c r="D874" s="55"/>
      <c r="E874" s="55">
        <v>534.20000000000005</v>
      </c>
      <c r="F874" s="258">
        <f t="shared" si="124"/>
        <v>4761.2</v>
      </c>
      <c r="G874" s="146">
        <v>1100</v>
      </c>
      <c r="H874" s="146"/>
      <c r="I874" s="146">
        <v>5000</v>
      </c>
      <c r="J874" s="8">
        <v>144</v>
      </c>
      <c r="K874" s="180">
        <f t="shared" si="119"/>
        <v>0</v>
      </c>
      <c r="L874" s="290">
        <f t="shared" si="120"/>
        <v>2.0363910625058924E-2</v>
      </c>
      <c r="M874" s="426">
        <f t="shared" si="121"/>
        <v>41.074211369850097</v>
      </c>
      <c r="N874" s="148">
        <f t="shared" si="125"/>
        <v>15.102987520693882</v>
      </c>
      <c r="O874" s="426">
        <v>17.844735155513664</v>
      </c>
      <c r="P874" s="427">
        <f t="shared" si="122"/>
        <v>0</v>
      </c>
      <c r="Q874" s="427"/>
      <c r="R874" s="532">
        <f t="shared" si="123"/>
        <v>1.5546907091921712E-2</v>
      </c>
    </row>
    <row r="875" spans="1:18" s="6" customFormat="1" ht="15.75">
      <c r="A875" s="55">
        <v>130</v>
      </c>
      <c r="B875" s="195" t="s">
        <v>1382</v>
      </c>
      <c r="C875" s="550">
        <v>725.2</v>
      </c>
      <c r="D875" s="533"/>
      <c r="E875" s="533"/>
      <c r="F875" s="438">
        <f t="shared" si="124"/>
        <v>725.2</v>
      </c>
      <c r="G875" s="404">
        <v>1100</v>
      </c>
      <c r="H875" s="8">
        <v>3</v>
      </c>
      <c r="I875" s="146">
        <v>5000</v>
      </c>
      <c r="J875" s="8">
        <v>17</v>
      </c>
      <c r="K875" s="180">
        <f t="shared" si="119"/>
        <v>1.4955134596211365E-3</v>
      </c>
      <c r="L875" s="290">
        <f t="shared" si="120"/>
        <v>2.4040727821250116E-3</v>
      </c>
      <c r="M875" s="426">
        <f t="shared" si="121"/>
        <v>7.8655044454643983</v>
      </c>
      <c r="N875" s="148">
        <f t="shared" si="125"/>
        <v>2.8921459845972595</v>
      </c>
      <c r="O875" s="426">
        <v>3.4046069438487225</v>
      </c>
      <c r="P875" s="427">
        <f>K875*184.64</f>
        <v>0.27613160518444663</v>
      </c>
      <c r="Q875" s="427"/>
      <c r="R875" s="532">
        <f t="shared" si="123"/>
        <v>1.9909526998200259E-2</v>
      </c>
    </row>
    <row r="876" spans="1:18" s="6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438">
        <f t="shared" si="124"/>
        <v>2911.81</v>
      </c>
      <c r="G876" s="404">
        <v>1100</v>
      </c>
      <c r="H876" s="815"/>
      <c r="I876" s="404">
        <v>5000</v>
      </c>
      <c r="J876" s="404">
        <v>120</v>
      </c>
      <c r="K876" s="180">
        <f t="shared" si="119"/>
        <v>0</v>
      </c>
      <c r="L876" s="290">
        <f t="shared" si="120"/>
        <v>1.6969925520882438E-2</v>
      </c>
      <c r="M876" s="426">
        <f t="shared" si="121"/>
        <v>34.228509474875089</v>
      </c>
      <c r="N876" s="148">
        <f t="shared" si="125"/>
        <v>12.585822933911571</v>
      </c>
      <c r="O876" s="426">
        <v>16.109830348727616</v>
      </c>
      <c r="P876" s="144">
        <f>K876+L876*184.64</f>
        <v>3.1333270481757332</v>
      </c>
      <c r="Q876" s="144"/>
      <c r="R876" s="532">
        <f t="shared" si="123"/>
        <v>2.2686057746106377E-2</v>
      </c>
    </row>
    <row r="877" spans="1:18" s="6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438">
        <f t="shared" si="124"/>
        <v>2933</v>
      </c>
      <c r="G877" s="404">
        <v>1100</v>
      </c>
      <c r="H877" s="815"/>
      <c r="I877" s="404">
        <v>5000</v>
      </c>
      <c r="J877" s="404">
        <v>120</v>
      </c>
      <c r="K877" s="180">
        <f>0.5/1003*H877</f>
        <v>0</v>
      </c>
      <c r="L877" s="290">
        <f>1.5/10607*J877</f>
        <v>1.6969925520882438E-2</v>
      </c>
      <c r="M877" s="426">
        <f>(K877+L877)*2017.01</f>
        <v>34.228509474875089</v>
      </c>
      <c r="N877" s="148">
        <f t="shared" si="125"/>
        <v>12.585822933911571</v>
      </c>
      <c r="O877" s="426">
        <v>17.844735155513664</v>
      </c>
      <c r="P877" s="144">
        <f>K877+L877*184.64</f>
        <v>3.1333270481757332</v>
      </c>
      <c r="Q877" s="144"/>
      <c r="R877" s="532">
        <f t="shared" si="123"/>
        <v>2.3113670171318126E-2</v>
      </c>
    </row>
    <row r="878" spans="1:18" s="6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438">
        <f t="shared" si="124"/>
        <v>3120.67</v>
      </c>
      <c r="G878" s="404">
        <v>1100</v>
      </c>
      <c r="H878" s="815"/>
      <c r="I878" s="404">
        <v>5000</v>
      </c>
      <c r="J878" s="8">
        <v>130</v>
      </c>
      <c r="K878" s="180">
        <f>0.5/1003*H878</f>
        <v>0</v>
      </c>
      <c r="L878" s="290">
        <f>1.5/10607*J878</f>
        <v>1.8384085980955974E-2</v>
      </c>
      <c r="M878" s="426">
        <f>(K878+L878)*2017.01</f>
        <v>37.080885264448007</v>
      </c>
      <c r="N878" s="148">
        <f t="shared" si="125"/>
        <v>13.634641511737533</v>
      </c>
      <c r="O878" s="426">
        <v>3.4046069438487225</v>
      </c>
      <c r="P878" s="144">
        <f>K878+L878*184.64</f>
        <v>3.3944376355237109</v>
      </c>
      <c r="Q878" s="144"/>
      <c r="R878" s="532">
        <f t="shared" si="123"/>
        <v>1.8430199718508518E-2</v>
      </c>
    </row>
    <row r="879" spans="1:18" s="69" customFormat="1" ht="16.5" thickBot="1">
      <c r="A879" s="171"/>
      <c r="B879" s="171" t="s">
        <v>681</v>
      </c>
      <c r="C879" s="171">
        <f>SUM(C749:C875)</f>
        <v>265493.51999999984</v>
      </c>
      <c r="D879" s="171">
        <f>SUM(D749:D875)</f>
        <v>216.9</v>
      </c>
      <c r="E879" s="171">
        <f>SUM(E749:E875)</f>
        <v>5608.6</v>
      </c>
      <c r="F879" s="441">
        <f t="shared" si="124"/>
        <v>271319.01999999984</v>
      </c>
      <c r="G879" s="280">
        <v>1100</v>
      </c>
      <c r="H879" s="280">
        <f>SUM(H749:H872)</f>
        <v>1003</v>
      </c>
      <c r="I879" s="280">
        <v>5000</v>
      </c>
      <c r="J879" s="280">
        <f>SUM(J749:J874)</f>
        <v>10607</v>
      </c>
      <c r="K879" s="180">
        <f>0.5/1003*H879</f>
        <v>0.49999999999999994</v>
      </c>
      <c r="L879" s="290">
        <f>1.5/10607*J879</f>
        <v>1.5</v>
      </c>
      <c r="M879" s="426">
        <f>(K879+L879)*2017.01</f>
        <v>4034.02</v>
      </c>
      <c r="N879" s="150">
        <f t="shared" si="125"/>
        <v>1483.309154</v>
      </c>
      <c r="O879" s="426">
        <f>SUM(O748:O875)</f>
        <v>1751.786385557032</v>
      </c>
      <c r="P879" s="144">
        <f>K879+L879*184.64</f>
        <v>277.45999999999998</v>
      </c>
      <c r="Q879" s="929"/>
      <c r="R879" s="532">
        <f t="shared" si="123"/>
        <v>2.7814399224783563E-2</v>
      </c>
    </row>
    <row r="880" spans="1:18" s="209" customFormat="1" ht="16.5" thickBot="1">
      <c r="A880" s="696" t="s">
        <v>392</v>
      </c>
      <c r="B880" s="138"/>
      <c r="C880" s="138"/>
      <c r="D880" s="138"/>
      <c r="E880" s="138"/>
      <c r="F880" s="138"/>
      <c r="G880" s="138"/>
      <c r="H880" s="138"/>
      <c r="I880" s="138"/>
      <c r="J880" s="138"/>
      <c r="K880" s="140"/>
      <c r="L880" s="138"/>
      <c r="M880" s="426">
        <f>(K880+L880)*2077.52</f>
        <v>0</v>
      </c>
      <c r="N880" s="139"/>
      <c r="O880" s="426">
        <v>0</v>
      </c>
      <c r="P880" s="697">
        <f>K880+L880*184.64</f>
        <v>0</v>
      </c>
      <c r="Q880" s="934"/>
      <c r="R880" s="532" t="e">
        <f t="shared" si="123"/>
        <v>#DIV/0!</v>
      </c>
    </row>
    <row r="881" spans="1:18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437">
        <f t="shared" ref="F881:F943" si="126">C881+D881+E881</f>
        <v>4265.91</v>
      </c>
      <c r="G881" s="405">
        <v>1100</v>
      </c>
      <c r="H881" s="405">
        <v>0</v>
      </c>
      <c r="I881" s="405">
        <v>5000</v>
      </c>
      <c r="J881" s="405">
        <v>168</v>
      </c>
      <c r="K881" s="707">
        <f t="shared" ref="K881:K944" si="127">0.5/2564*H881</f>
        <v>0</v>
      </c>
      <c r="L881" s="708">
        <f t="shared" ref="L881:L944" si="128">1.5/9744*J881</f>
        <v>2.5862068965517241E-2</v>
      </c>
      <c r="M881" s="426">
        <f t="shared" ref="M881:M944" si="129">(K881+L881)*2017.07</f>
        <v>52.16560344827586</v>
      </c>
      <c r="N881" s="426">
        <f t="shared" ref="N881:N943" si="130">M881*0.3677</f>
        <v>19.181292387931034</v>
      </c>
      <c r="O881" s="426">
        <v>22.606496776174392</v>
      </c>
      <c r="P881" s="426">
        <f>(K881+L881)*184.64</f>
        <v>4.7751724137931033</v>
      </c>
      <c r="Q881" s="426">
        <f>P881*1.219</f>
        <v>5.820935172413793</v>
      </c>
      <c r="R881" s="532">
        <f t="shared" si="123"/>
        <v>2.3143611802915298E-2</v>
      </c>
    </row>
    <row r="882" spans="1:18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438">
        <f t="shared" si="126"/>
        <v>9865.73</v>
      </c>
      <c r="G882" s="404">
        <v>1100</v>
      </c>
      <c r="H882" s="404">
        <v>0</v>
      </c>
      <c r="I882" s="404">
        <v>5000</v>
      </c>
      <c r="J882" s="404">
        <v>360</v>
      </c>
      <c r="K882" s="707">
        <f t="shared" si="127"/>
        <v>0</v>
      </c>
      <c r="L882" s="708">
        <f t="shared" si="128"/>
        <v>5.5418719211822662E-2</v>
      </c>
      <c r="M882" s="426">
        <f t="shared" si="129"/>
        <v>111.78343596059113</v>
      </c>
      <c r="N882" s="427">
        <f t="shared" si="130"/>
        <v>41.102769402709363</v>
      </c>
      <c r="O882" s="426">
        <v>48.442493091802277</v>
      </c>
      <c r="P882" s="426">
        <f t="shared" ref="P882:P945" si="131">(K882+L882)*184.64</f>
        <v>10.232512315270936</v>
      </c>
      <c r="Q882" s="426">
        <f t="shared" ref="Q882:Q945" si="132">P882*1.219</f>
        <v>12.473432512315272</v>
      </c>
      <c r="R882" s="532">
        <f t="shared" si="123"/>
        <v>2.1444050340965515E-2</v>
      </c>
    </row>
    <row r="883" spans="1:18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438">
        <f t="shared" si="126"/>
        <v>4252.49</v>
      </c>
      <c r="G883" s="404">
        <v>1100</v>
      </c>
      <c r="H883" s="404">
        <v>0</v>
      </c>
      <c r="I883" s="404">
        <v>5000</v>
      </c>
      <c r="J883" s="404">
        <v>168</v>
      </c>
      <c r="K883" s="707">
        <f t="shared" si="127"/>
        <v>0</v>
      </c>
      <c r="L883" s="708">
        <f t="shared" si="128"/>
        <v>2.5862068965517241E-2</v>
      </c>
      <c r="M883" s="426">
        <f t="shared" si="129"/>
        <v>52.16560344827586</v>
      </c>
      <c r="N883" s="427">
        <f t="shared" si="130"/>
        <v>19.181292387931034</v>
      </c>
      <c r="O883" s="426">
        <v>22.606496776174392</v>
      </c>
      <c r="P883" s="426">
        <f t="shared" si="131"/>
        <v>4.7751724137931033</v>
      </c>
      <c r="Q883" s="426">
        <f t="shared" si="132"/>
        <v>5.820935172413793</v>
      </c>
      <c r="R883" s="532">
        <f t="shared" si="123"/>
        <v>2.3216648369819657E-2</v>
      </c>
    </row>
    <row r="884" spans="1:18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438">
        <f t="shared" si="126"/>
        <v>5951.3</v>
      </c>
      <c r="G884" s="404">
        <v>1100</v>
      </c>
      <c r="H884" s="404">
        <v>0</v>
      </c>
      <c r="I884" s="404">
        <v>5000</v>
      </c>
      <c r="J884" s="404">
        <v>217</v>
      </c>
      <c r="K884" s="707">
        <f t="shared" si="127"/>
        <v>0</v>
      </c>
      <c r="L884" s="708">
        <f t="shared" si="128"/>
        <v>3.3405172413793101E-2</v>
      </c>
      <c r="M884" s="426">
        <f t="shared" si="129"/>
        <v>67.380571120689652</v>
      </c>
      <c r="N884" s="427">
        <f t="shared" si="130"/>
        <v>24.775836001077586</v>
      </c>
      <c r="O884" s="426">
        <v>29.200058335891924</v>
      </c>
      <c r="P884" s="426">
        <f t="shared" si="131"/>
        <v>6.1679310344827574</v>
      </c>
      <c r="Q884" s="426">
        <f t="shared" si="132"/>
        <v>7.5187079310344815</v>
      </c>
      <c r="R884" s="532">
        <f t="shared" si="123"/>
        <v>2.1427989933651793E-2</v>
      </c>
    </row>
    <row r="885" spans="1:18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438">
        <f t="shared" si="126"/>
        <v>4295.57</v>
      </c>
      <c r="G885" s="404">
        <v>1100</v>
      </c>
      <c r="H885" s="404">
        <v>0</v>
      </c>
      <c r="I885" s="404">
        <v>5000</v>
      </c>
      <c r="J885" s="404">
        <v>168</v>
      </c>
      <c r="K885" s="707">
        <f t="shared" si="127"/>
        <v>0</v>
      </c>
      <c r="L885" s="708">
        <f t="shared" si="128"/>
        <v>2.5862068965517241E-2</v>
      </c>
      <c r="M885" s="426">
        <f t="shared" si="129"/>
        <v>52.16560344827586</v>
      </c>
      <c r="N885" s="427">
        <f t="shared" si="130"/>
        <v>19.181292387931034</v>
      </c>
      <c r="O885" s="426">
        <v>22.606496776174392</v>
      </c>
      <c r="P885" s="426">
        <f t="shared" si="131"/>
        <v>4.7751724137931033</v>
      </c>
      <c r="Q885" s="426">
        <f t="shared" si="132"/>
        <v>5.820935172413793</v>
      </c>
      <c r="R885" s="532">
        <f t="shared" si="123"/>
        <v>2.2983810070881024E-2</v>
      </c>
    </row>
    <row r="886" spans="1:18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438">
        <f t="shared" si="126"/>
        <v>7972.34</v>
      </c>
      <c r="G886" s="404">
        <v>1100</v>
      </c>
      <c r="H886" s="404">
        <v>0</v>
      </c>
      <c r="I886" s="404">
        <v>5000</v>
      </c>
      <c r="J886" s="404">
        <v>288</v>
      </c>
      <c r="K886" s="707">
        <f t="shared" si="127"/>
        <v>0</v>
      </c>
      <c r="L886" s="708">
        <f t="shared" si="128"/>
        <v>4.4334975369458129E-2</v>
      </c>
      <c r="M886" s="426">
        <f t="shared" si="129"/>
        <v>89.426748768472905</v>
      </c>
      <c r="N886" s="427">
        <f t="shared" si="130"/>
        <v>32.882215522167492</v>
      </c>
      <c r="O886" s="426">
        <v>38.753994473441821</v>
      </c>
      <c r="P886" s="426">
        <f t="shared" si="131"/>
        <v>8.186009852216749</v>
      </c>
      <c r="Q886" s="426">
        <f t="shared" si="132"/>
        <v>9.9787460098522178</v>
      </c>
      <c r="R886" s="532">
        <f t="shared" si="123"/>
        <v>2.1229522149870547E-2</v>
      </c>
    </row>
    <row r="887" spans="1:18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438">
        <f t="shared" si="126"/>
        <v>3946.89</v>
      </c>
      <c r="G887" s="404">
        <v>1100</v>
      </c>
      <c r="H887" s="404">
        <v>0</v>
      </c>
      <c r="I887" s="404">
        <v>5000</v>
      </c>
      <c r="J887" s="404">
        <v>145</v>
      </c>
      <c r="K887" s="707">
        <f t="shared" si="127"/>
        <v>0</v>
      </c>
      <c r="L887" s="708">
        <f t="shared" si="128"/>
        <v>2.2321428571428572E-2</v>
      </c>
      <c r="M887" s="426">
        <f t="shared" si="129"/>
        <v>45.023883928571429</v>
      </c>
      <c r="N887" s="427">
        <f t="shared" si="130"/>
        <v>16.555282120535715</v>
      </c>
      <c r="O887" s="426">
        <v>19.511559717531469</v>
      </c>
      <c r="P887" s="426">
        <f t="shared" si="131"/>
        <v>4.121428571428571</v>
      </c>
      <c r="Q887" s="426">
        <f t="shared" si="132"/>
        <v>5.0240214285714284</v>
      </c>
      <c r="R887" s="532">
        <f t="shared" si="123"/>
        <v>2.1589695770104361E-2</v>
      </c>
    </row>
    <row r="888" spans="1:18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438">
        <f t="shared" si="126"/>
        <v>8036.22</v>
      </c>
      <c r="G888" s="404">
        <v>1100</v>
      </c>
      <c r="H888" s="404">
        <v>0</v>
      </c>
      <c r="I888" s="404">
        <v>5000</v>
      </c>
      <c r="J888" s="404">
        <v>288</v>
      </c>
      <c r="K888" s="707">
        <f t="shared" si="127"/>
        <v>0</v>
      </c>
      <c r="L888" s="708">
        <f t="shared" si="128"/>
        <v>4.4334975369458129E-2</v>
      </c>
      <c r="M888" s="426">
        <f t="shared" si="129"/>
        <v>89.426748768472905</v>
      </c>
      <c r="N888" s="427">
        <f t="shared" si="130"/>
        <v>32.882215522167492</v>
      </c>
      <c r="O888" s="426">
        <v>38.753994473441821</v>
      </c>
      <c r="P888" s="426">
        <f t="shared" si="131"/>
        <v>8.186009852216749</v>
      </c>
      <c r="Q888" s="426">
        <f t="shared" si="132"/>
        <v>9.9787460098522178</v>
      </c>
      <c r="R888" s="532">
        <f t="shared" si="123"/>
        <v>2.1060768447889549E-2</v>
      </c>
    </row>
    <row r="889" spans="1:18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438">
        <f t="shared" si="126"/>
        <v>3993.05</v>
      </c>
      <c r="G889" s="404">
        <v>1100</v>
      </c>
      <c r="H889" s="404">
        <v>0</v>
      </c>
      <c r="I889" s="404">
        <v>5000</v>
      </c>
      <c r="J889" s="404">
        <v>144</v>
      </c>
      <c r="K889" s="707">
        <f t="shared" si="127"/>
        <v>0</v>
      </c>
      <c r="L889" s="708">
        <f t="shared" si="128"/>
        <v>2.2167487684729065E-2</v>
      </c>
      <c r="M889" s="426">
        <f t="shared" si="129"/>
        <v>44.713374384236452</v>
      </c>
      <c r="N889" s="427">
        <f t="shared" si="130"/>
        <v>16.441107761083746</v>
      </c>
      <c r="O889" s="426">
        <v>19.376997236720911</v>
      </c>
      <c r="P889" s="426">
        <f t="shared" si="131"/>
        <v>4.0930049261083745</v>
      </c>
      <c r="Q889" s="426">
        <f t="shared" si="132"/>
        <v>4.9893730049261089</v>
      </c>
      <c r="R889" s="532">
        <f t="shared" si="123"/>
        <v>2.1192943816919264E-2</v>
      </c>
    </row>
    <row r="890" spans="1:18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438">
        <f t="shared" si="126"/>
        <v>8196.09</v>
      </c>
      <c r="G890" s="404">
        <v>1100</v>
      </c>
      <c r="H890" s="404">
        <v>0</v>
      </c>
      <c r="I890" s="404">
        <v>5000</v>
      </c>
      <c r="J890" s="404">
        <v>288</v>
      </c>
      <c r="K890" s="707">
        <f t="shared" si="127"/>
        <v>0</v>
      </c>
      <c r="L890" s="708">
        <f t="shared" si="128"/>
        <v>4.4334975369458129E-2</v>
      </c>
      <c r="M890" s="426">
        <f t="shared" si="129"/>
        <v>89.426748768472905</v>
      </c>
      <c r="N890" s="427">
        <f t="shared" si="130"/>
        <v>32.882215522167492</v>
      </c>
      <c r="O890" s="426">
        <v>38.753994473441821</v>
      </c>
      <c r="P890" s="426">
        <f t="shared" si="131"/>
        <v>8.186009852216749</v>
      </c>
      <c r="Q890" s="426">
        <f t="shared" si="132"/>
        <v>9.9787460098522178</v>
      </c>
      <c r="R890" s="532">
        <f t="shared" si="123"/>
        <v>2.0649964631464388E-2</v>
      </c>
    </row>
    <row r="891" spans="1:18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438">
        <f t="shared" si="126"/>
        <v>3935.64</v>
      </c>
      <c r="G891" s="404">
        <v>1100</v>
      </c>
      <c r="H891" s="404">
        <v>0</v>
      </c>
      <c r="I891" s="404">
        <v>5000</v>
      </c>
      <c r="J891" s="404">
        <v>144</v>
      </c>
      <c r="K891" s="707">
        <f t="shared" si="127"/>
        <v>0</v>
      </c>
      <c r="L891" s="708">
        <f t="shared" si="128"/>
        <v>2.2167487684729065E-2</v>
      </c>
      <c r="M891" s="426">
        <f t="shared" si="129"/>
        <v>44.713374384236452</v>
      </c>
      <c r="N891" s="427">
        <f t="shared" si="130"/>
        <v>16.441107761083746</v>
      </c>
      <c r="O891" s="426">
        <v>19.376997236720911</v>
      </c>
      <c r="P891" s="426">
        <f t="shared" si="131"/>
        <v>4.0930049261083745</v>
      </c>
      <c r="Q891" s="426">
        <f t="shared" si="132"/>
        <v>4.9893730049261089</v>
      </c>
      <c r="R891" s="532">
        <f t="shared" si="123"/>
        <v>2.1502089700315447E-2</v>
      </c>
    </row>
    <row r="892" spans="1:18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438">
        <f t="shared" si="126"/>
        <v>4128.3999999999996</v>
      </c>
      <c r="G892" s="404">
        <v>1100</v>
      </c>
      <c r="H892" s="404">
        <v>0</v>
      </c>
      <c r="I892" s="404">
        <v>5000</v>
      </c>
      <c r="J892" s="404">
        <v>147</v>
      </c>
      <c r="K892" s="707">
        <f t="shared" si="127"/>
        <v>0</v>
      </c>
      <c r="L892" s="708">
        <f t="shared" si="128"/>
        <v>2.2629310344827586E-2</v>
      </c>
      <c r="M892" s="426">
        <f t="shared" si="129"/>
        <v>45.644903017241376</v>
      </c>
      <c r="N892" s="427">
        <f t="shared" si="130"/>
        <v>16.783630839439656</v>
      </c>
      <c r="O892" s="426">
        <v>19.780684679152596</v>
      </c>
      <c r="P892" s="426">
        <f t="shared" si="131"/>
        <v>4.1782758620689648</v>
      </c>
      <c r="Q892" s="426">
        <f t="shared" si="132"/>
        <v>5.0933182758620683</v>
      </c>
      <c r="R892" s="532">
        <f t="shared" si="123"/>
        <v>2.092517546698542E-2</v>
      </c>
    </row>
    <row r="893" spans="1:18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438">
        <f t="shared" si="126"/>
        <v>18171.13</v>
      </c>
      <c r="G893" s="404">
        <v>1100</v>
      </c>
      <c r="H893" s="404">
        <v>0</v>
      </c>
      <c r="I893" s="404">
        <v>5000</v>
      </c>
      <c r="J893" s="404">
        <v>658</v>
      </c>
      <c r="K893" s="707">
        <f t="shared" si="127"/>
        <v>0</v>
      </c>
      <c r="L893" s="708">
        <f t="shared" si="128"/>
        <v>0.10129310344827586</v>
      </c>
      <c r="M893" s="426">
        <f t="shared" si="129"/>
        <v>204.31528017241376</v>
      </c>
      <c r="N893" s="427">
        <f t="shared" si="130"/>
        <v>75.126728519396551</v>
      </c>
      <c r="O893" s="426">
        <v>88.54211237334971</v>
      </c>
      <c r="P893" s="426">
        <f t="shared" si="131"/>
        <v>18.702758620689654</v>
      </c>
      <c r="Q893" s="426">
        <f t="shared" si="132"/>
        <v>22.79866275862069</v>
      </c>
      <c r="R893" s="532">
        <f t="shared" si="123"/>
        <v>2.1280288000022546E-2</v>
      </c>
    </row>
    <row r="894" spans="1:18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438">
        <f t="shared" si="126"/>
        <v>3212.3</v>
      </c>
      <c r="G894" s="404">
        <v>1100</v>
      </c>
      <c r="H894" s="404">
        <v>0</v>
      </c>
      <c r="I894" s="404">
        <v>5000</v>
      </c>
      <c r="J894" s="404">
        <v>110</v>
      </c>
      <c r="K894" s="707">
        <f t="shared" si="127"/>
        <v>0</v>
      </c>
      <c r="L894" s="708">
        <f t="shared" si="128"/>
        <v>1.6933497536945813E-2</v>
      </c>
      <c r="M894" s="426">
        <f t="shared" si="129"/>
        <v>34.156049876847291</v>
      </c>
      <c r="N894" s="427">
        <f t="shared" si="130"/>
        <v>12.55917953971675</v>
      </c>
      <c r="O894" s="426">
        <v>14.801872889161805</v>
      </c>
      <c r="P894" s="426">
        <f t="shared" si="131"/>
        <v>3.1266009852216747</v>
      </c>
      <c r="Q894" s="426">
        <f t="shared" si="132"/>
        <v>3.8113266009852218</v>
      </c>
      <c r="R894" s="532">
        <f t="shared" si="123"/>
        <v>2.0123806397580397E-2</v>
      </c>
    </row>
    <row r="895" spans="1:18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438">
        <f t="shared" si="126"/>
        <v>4181.6099999999997</v>
      </c>
      <c r="G895" s="404">
        <v>1100</v>
      </c>
      <c r="H895" s="404">
        <v>0</v>
      </c>
      <c r="I895" s="404">
        <v>5000</v>
      </c>
      <c r="J895" s="404">
        <v>330</v>
      </c>
      <c r="K895" s="707">
        <f t="shared" si="127"/>
        <v>0</v>
      </c>
      <c r="L895" s="708">
        <f t="shared" si="128"/>
        <v>5.0800492610837439E-2</v>
      </c>
      <c r="M895" s="426">
        <f t="shared" si="129"/>
        <v>102.46814963054187</v>
      </c>
      <c r="N895" s="427">
        <f t="shared" si="130"/>
        <v>37.677538619150248</v>
      </c>
      <c r="O895" s="426">
        <v>44.40561866748542</v>
      </c>
      <c r="P895" s="426">
        <f t="shared" si="131"/>
        <v>9.3798029556650242</v>
      </c>
      <c r="Q895" s="426">
        <f t="shared" si="132"/>
        <v>11.433979802955665</v>
      </c>
      <c r="R895" s="532">
        <f t="shared" si="123"/>
        <v>4.6377139396749714E-2</v>
      </c>
    </row>
    <row r="896" spans="1:18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438">
        <f t="shared" si="126"/>
        <v>6299.01</v>
      </c>
      <c r="G896" s="404">
        <v>1100</v>
      </c>
      <c r="H896" s="404">
        <v>0</v>
      </c>
      <c r="I896" s="404">
        <v>5000</v>
      </c>
      <c r="J896" s="404">
        <v>200</v>
      </c>
      <c r="K896" s="707">
        <f t="shared" si="127"/>
        <v>0</v>
      </c>
      <c r="L896" s="708">
        <f t="shared" si="128"/>
        <v>3.0788177339901478E-2</v>
      </c>
      <c r="M896" s="426">
        <f t="shared" si="129"/>
        <v>62.101908866995075</v>
      </c>
      <c r="N896" s="427">
        <f t="shared" si="130"/>
        <v>22.834871890394091</v>
      </c>
      <c r="O896" s="426">
        <v>26.912496162112372</v>
      </c>
      <c r="P896" s="426">
        <f t="shared" si="131"/>
        <v>5.6847290640394084</v>
      </c>
      <c r="Q896" s="426">
        <f t="shared" si="132"/>
        <v>6.9296847290640393</v>
      </c>
      <c r="R896" s="532">
        <f t="shared" si="123"/>
        <v>1.8659123573949069E-2</v>
      </c>
    </row>
    <row r="897" spans="1:18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438">
        <f t="shared" si="126"/>
        <v>147.65</v>
      </c>
      <c r="G897" s="404">
        <v>1100</v>
      </c>
      <c r="H897" s="404">
        <v>8</v>
      </c>
      <c r="I897" s="404">
        <v>5000</v>
      </c>
      <c r="J897" s="404">
        <v>8</v>
      </c>
      <c r="K897" s="707">
        <f t="shared" si="127"/>
        <v>1.5600624024960999E-3</v>
      </c>
      <c r="L897" s="708">
        <f t="shared" si="128"/>
        <v>1.2315270935960591E-3</v>
      </c>
      <c r="M897" s="426">
        <f t="shared" si="129"/>
        <v>5.6308314248826115</v>
      </c>
      <c r="N897" s="427">
        <f t="shared" si="130"/>
        <v>2.0704567149293363</v>
      </c>
      <c r="O897" s="426">
        <v>2.4229514593877211</v>
      </c>
      <c r="P897" s="426">
        <f t="shared" si="131"/>
        <v>0.51543908455845622</v>
      </c>
      <c r="Q897" s="426">
        <f t="shared" si="132"/>
        <v>0.62832024407675813</v>
      </c>
      <c r="R897" s="532">
        <f t="shared" si="123"/>
        <v>7.2060133313634422E-2</v>
      </c>
    </row>
    <row r="898" spans="1:18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438">
        <f t="shared" si="126"/>
        <v>4248.3</v>
      </c>
      <c r="G898" s="404">
        <v>1100</v>
      </c>
      <c r="H898" s="404">
        <v>0</v>
      </c>
      <c r="I898" s="404">
        <v>5000</v>
      </c>
      <c r="J898" s="404">
        <v>344</v>
      </c>
      <c r="K898" s="707">
        <f t="shared" si="127"/>
        <v>0</v>
      </c>
      <c r="L898" s="708">
        <f t="shared" si="128"/>
        <v>5.295566502463054E-2</v>
      </c>
      <c r="M898" s="426">
        <f t="shared" si="129"/>
        <v>106.81528325123152</v>
      </c>
      <c r="N898" s="427">
        <f t="shared" si="130"/>
        <v>39.275979651477833</v>
      </c>
      <c r="O898" s="426">
        <v>46.28949339883328</v>
      </c>
      <c r="P898" s="426">
        <f t="shared" si="131"/>
        <v>9.777733990147782</v>
      </c>
      <c r="Q898" s="426">
        <f t="shared" si="132"/>
        <v>11.919057733990147</v>
      </c>
      <c r="R898" s="532">
        <f t="shared" si="123"/>
        <v>4.7585737893202085E-2</v>
      </c>
    </row>
    <row r="899" spans="1:18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438">
        <f t="shared" si="126"/>
        <v>4085.47</v>
      </c>
      <c r="G899" s="404">
        <v>1100</v>
      </c>
      <c r="H899" s="404">
        <v>0</v>
      </c>
      <c r="I899" s="404">
        <v>5000</v>
      </c>
      <c r="J899" s="404">
        <v>216</v>
      </c>
      <c r="K899" s="707">
        <f t="shared" si="127"/>
        <v>0</v>
      </c>
      <c r="L899" s="708">
        <f t="shared" si="128"/>
        <v>3.3251231527093597E-2</v>
      </c>
      <c r="M899" s="426">
        <f t="shared" si="129"/>
        <v>67.070061576354675</v>
      </c>
      <c r="N899" s="427">
        <f t="shared" si="130"/>
        <v>24.661661641625617</v>
      </c>
      <c r="O899" s="426">
        <v>29.065495855081362</v>
      </c>
      <c r="P899" s="426">
        <f t="shared" si="131"/>
        <v>6.1395073891625609</v>
      </c>
      <c r="Q899" s="426">
        <f t="shared" si="132"/>
        <v>7.484059507389162</v>
      </c>
      <c r="R899" s="532">
        <f t="shared" si="123"/>
        <v>3.1070287252684323E-2</v>
      </c>
    </row>
    <row r="900" spans="1:18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438">
        <f t="shared" si="126"/>
        <v>4100.95</v>
      </c>
      <c r="G900" s="404">
        <v>1100</v>
      </c>
      <c r="H900" s="404">
        <v>0</v>
      </c>
      <c r="I900" s="404">
        <v>5000</v>
      </c>
      <c r="J900" s="404">
        <v>114</v>
      </c>
      <c r="K900" s="707">
        <f t="shared" si="127"/>
        <v>0</v>
      </c>
      <c r="L900" s="708">
        <f t="shared" si="128"/>
        <v>1.7549261083743842E-2</v>
      </c>
      <c r="M900" s="426">
        <f t="shared" si="129"/>
        <v>35.398088054187191</v>
      </c>
      <c r="N900" s="427">
        <f t="shared" si="130"/>
        <v>13.015876977524631</v>
      </c>
      <c r="O900" s="426">
        <v>15.340122812404053</v>
      </c>
      <c r="P900" s="426">
        <f t="shared" si="131"/>
        <v>3.2402955665024629</v>
      </c>
      <c r="Q900" s="426">
        <f t="shared" si="132"/>
        <v>3.9499202955665025</v>
      </c>
      <c r="R900" s="532">
        <f t="shared" si="123"/>
        <v>1.6336308272624233E-2</v>
      </c>
    </row>
    <row r="901" spans="1:18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438">
        <f t="shared" si="126"/>
        <v>7076.23</v>
      </c>
      <c r="G901" s="404">
        <v>1100</v>
      </c>
      <c r="H901" s="404">
        <v>0</v>
      </c>
      <c r="I901" s="404">
        <v>5000</v>
      </c>
      <c r="J901" s="404">
        <v>240</v>
      </c>
      <c r="K901" s="707">
        <f t="shared" si="127"/>
        <v>0</v>
      </c>
      <c r="L901" s="708">
        <f t="shared" si="128"/>
        <v>3.6945812807881777E-2</v>
      </c>
      <c r="M901" s="426">
        <f t="shared" si="129"/>
        <v>74.52229064039409</v>
      </c>
      <c r="N901" s="427">
        <f t="shared" si="130"/>
        <v>27.401846268472909</v>
      </c>
      <c r="O901" s="426">
        <v>32.294995394534851</v>
      </c>
      <c r="P901" s="426">
        <f t="shared" si="131"/>
        <v>6.8216748768472906</v>
      </c>
      <c r="Q901" s="426">
        <f t="shared" si="132"/>
        <v>8.3156216748768479</v>
      </c>
      <c r="R901" s="532">
        <f t="shared" si="123"/>
        <v>1.9931631275445987E-2</v>
      </c>
    </row>
    <row r="902" spans="1:18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438">
        <f t="shared" si="126"/>
        <v>4062.74</v>
      </c>
      <c r="G902" s="404">
        <v>1100</v>
      </c>
      <c r="H902" s="404">
        <v>0</v>
      </c>
      <c r="I902" s="404">
        <v>5000</v>
      </c>
      <c r="J902" s="404">
        <v>216</v>
      </c>
      <c r="K902" s="707">
        <f t="shared" si="127"/>
        <v>0</v>
      </c>
      <c r="L902" s="708">
        <f t="shared" si="128"/>
        <v>3.3251231527093597E-2</v>
      </c>
      <c r="M902" s="426">
        <f t="shared" si="129"/>
        <v>67.070061576354675</v>
      </c>
      <c r="N902" s="427">
        <f t="shared" si="130"/>
        <v>24.661661641625617</v>
      </c>
      <c r="O902" s="426">
        <v>29.065495855081362</v>
      </c>
      <c r="P902" s="426">
        <f t="shared" si="131"/>
        <v>6.1395073891625609</v>
      </c>
      <c r="Q902" s="426">
        <f t="shared" si="132"/>
        <v>7.484059507389162</v>
      </c>
      <c r="R902" s="532">
        <f t="shared" si="123"/>
        <v>3.1244117630521328E-2</v>
      </c>
    </row>
    <row r="903" spans="1:18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438">
        <f t="shared" si="126"/>
        <v>6379.08</v>
      </c>
      <c r="G903" s="404">
        <v>1100</v>
      </c>
      <c r="H903" s="404">
        <v>0</v>
      </c>
      <c r="I903" s="404">
        <v>5000</v>
      </c>
      <c r="J903" s="404">
        <v>216</v>
      </c>
      <c r="K903" s="707">
        <f t="shared" si="127"/>
        <v>0</v>
      </c>
      <c r="L903" s="708">
        <f t="shared" si="128"/>
        <v>3.3251231527093597E-2</v>
      </c>
      <c r="M903" s="426">
        <f t="shared" si="129"/>
        <v>67.070061576354675</v>
      </c>
      <c r="N903" s="427">
        <f t="shared" si="130"/>
        <v>24.661661641625617</v>
      </c>
      <c r="O903" s="426">
        <v>29.065495855081362</v>
      </c>
      <c r="P903" s="426">
        <f t="shared" si="131"/>
        <v>6.1395073891625609</v>
      </c>
      <c r="Q903" s="426">
        <f t="shared" si="132"/>
        <v>7.484059507389162</v>
      </c>
      <c r="R903" s="532">
        <f t="shared" ref="R903:R966" si="133">(P903+O903+N903+M903)/F903</f>
        <v>1.9898908065461511E-2</v>
      </c>
    </row>
    <row r="904" spans="1:18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438">
        <f t="shared" si="126"/>
        <v>6509.3399999999992</v>
      </c>
      <c r="G904" s="404">
        <v>1100</v>
      </c>
      <c r="H904" s="404">
        <v>0</v>
      </c>
      <c r="I904" s="404">
        <v>5000</v>
      </c>
      <c r="J904" s="404">
        <v>215</v>
      </c>
      <c r="K904" s="707">
        <f t="shared" si="127"/>
        <v>0</v>
      </c>
      <c r="L904" s="708">
        <f t="shared" si="128"/>
        <v>3.3097290640394086E-2</v>
      </c>
      <c r="M904" s="426">
        <f t="shared" si="129"/>
        <v>66.759552032019698</v>
      </c>
      <c r="N904" s="427">
        <f t="shared" si="130"/>
        <v>24.547487282173645</v>
      </c>
      <c r="O904" s="426">
        <v>28.930933374270804</v>
      </c>
      <c r="P904" s="426">
        <f t="shared" si="131"/>
        <v>6.1110837438423635</v>
      </c>
      <c r="Q904" s="426">
        <f t="shared" si="132"/>
        <v>7.4494110837438416</v>
      </c>
      <c r="R904" s="532">
        <f t="shared" si="133"/>
        <v>1.9410425086461382E-2</v>
      </c>
    </row>
    <row r="905" spans="1:18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438">
        <f t="shared" si="126"/>
        <v>4249.6000000000004</v>
      </c>
      <c r="G905" s="404">
        <v>1100</v>
      </c>
      <c r="H905" s="404">
        <v>0</v>
      </c>
      <c r="I905" s="404">
        <v>5000</v>
      </c>
      <c r="J905" s="404">
        <v>342</v>
      </c>
      <c r="K905" s="707">
        <f t="shared" si="127"/>
        <v>0</v>
      </c>
      <c r="L905" s="708">
        <f t="shared" si="128"/>
        <v>5.2647783251231525E-2</v>
      </c>
      <c r="M905" s="426">
        <f t="shared" si="129"/>
        <v>106.19426416256157</v>
      </c>
      <c r="N905" s="427">
        <f t="shared" si="130"/>
        <v>39.047630932573888</v>
      </c>
      <c r="O905" s="426">
        <v>46.020368437212163</v>
      </c>
      <c r="P905" s="426">
        <f t="shared" si="131"/>
        <v>9.7208866995073873</v>
      </c>
      <c r="Q905" s="426">
        <f t="shared" si="132"/>
        <v>11.849760886699507</v>
      </c>
      <c r="R905" s="532">
        <f t="shared" si="133"/>
        <v>4.7294604252601416E-2</v>
      </c>
    </row>
    <row r="906" spans="1:18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438">
        <f t="shared" si="126"/>
        <v>2807.52</v>
      </c>
      <c r="G906" s="404">
        <v>1100</v>
      </c>
      <c r="H906" s="404">
        <v>0</v>
      </c>
      <c r="I906" s="404">
        <v>5000</v>
      </c>
      <c r="J906" s="404">
        <v>180</v>
      </c>
      <c r="K906" s="707">
        <f t="shared" si="127"/>
        <v>0</v>
      </c>
      <c r="L906" s="708">
        <f t="shared" si="128"/>
        <v>2.7709359605911331E-2</v>
      </c>
      <c r="M906" s="426">
        <f t="shared" si="129"/>
        <v>55.891717980295567</v>
      </c>
      <c r="N906" s="427">
        <f t="shared" si="130"/>
        <v>20.551384701354682</v>
      </c>
      <c r="O906" s="426">
        <v>24.221246545901138</v>
      </c>
      <c r="P906" s="426">
        <f t="shared" si="131"/>
        <v>5.1162561576354681</v>
      </c>
      <c r="Q906" s="426">
        <f t="shared" si="132"/>
        <v>6.2367162561576359</v>
      </c>
      <c r="R906" s="532">
        <f t="shared" si="133"/>
        <v>3.7677596378721027E-2</v>
      </c>
    </row>
    <row r="907" spans="1:18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438">
        <f t="shared" si="126"/>
        <v>4226.7</v>
      </c>
      <c r="G907" s="404">
        <v>1100</v>
      </c>
      <c r="H907" s="404">
        <v>0</v>
      </c>
      <c r="I907" s="404">
        <v>5000</v>
      </c>
      <c r="J907" s="404">
        <v>140</v>
      </c>
      <c r="K907" s="707">
        <f t="shared" si="127"/>
        <v>0</v>
      </c>
      <c r="L907" s="708">
        <f t="shared" si="128"/>
        <v>2.1551724137931036E-2</v>
      </c>
      <c r="M907" s="426">
        <f t="shared" si="129"/>
        <v>43.471336206896552</v>
      </c>
      <c r="N907" s="427">
        <f t="shared" si="130"/>
        <v>15.984410323275863</v>
      </c>
      <c r="O907" s="426">
        <v>18.838747313478663</v>
      </c>
      <c r="P907" s="426">
        <f t="shared" si="131"/>
        <v>3.9793103448275864</v>
      </c>
      <c r="Q907" s="426">
        <f t="shared" si="132"/>
        <v>4.8507793103448282</v>
      </c>
      <c r="R907" s="532">
        <f t="shared" si="133"/>
        <v>1.9465257574107143E-2</v>
      </c>
    </row>
    <row r="908" spans="1:18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438">
        <f t="shared" si="126"/>
        <v>4709.3599999999997</v>
      </c>
      <c r="G908" s="404">
        <v>1100</v>
      </c>
      <c r="H908" s="404">
        <v>0</v>
      </c>
      <c r="I908" s="404">
        <v>5000</v>
      </c>
      <c r="J908" s="404">
        <v>216</v>
      </c>
      <c r="K908" s="707">
        <f t="shared" si="127"/>
        <v>0</v>
      </c>
      <c r="L908" s="708">
        <f t="shared" si="128"/>
        <v>3.3251231527093597E-2</v>
      </c>
      <c r="M908" s="426">
        <f t="shared" si="129"/>
        <v>67.070061576354675</v>
      </c>
      <c r="N908" s="427">
        <f t="shared" si="130"/>
        <v>24.661661641625617</v>
      </c>
      <c r="O908" s="426">
        <v>29.065495855081362</v>
      </c>
      <c r="P908" s="426">
        <f t="shared" si="131"/>
        <v>6.1395073891625609</v>
      </c>
      <c r="Q908" s="426">
        <f t="shared" si="132"/>
        <v>7.484059507389162</v>
      </c>
      <c r="R908" s="532">
        <f t="shared" si="133"/>
        <v>2.6954135267260142E-2</v>
      </c>
    </row>
    <row r="909" spans="1:18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438">
        <v>5649.9</v>
      </c>
      <c r="G909" s="404">
        <v>1100</v>
      </c>
      <c r="H909" s="404">
        <v>0</v>
      </c>
      <c r="I909" s="404">
        <v>5000</v>
      </c>
      <c r="J909" s="404">
        <v>216</v>
      </c>
      <c r="K909" s="707">
        <f t="shared" si="127"/>
        <v>0</v>
      </c>
      <c r="L909" s="708">
        <f t="shared" si="128"/>
        <v>3.3251231527093597E-2</v>
      </c>
      <c r="M909" s="426">
        <f t="shared" si="129"/>
        <v>67.070061576354675</v>
      </c>
      <c r="N909" s="427">
        <f t="shared" si="130"/>
        <v>24.661661641625617</v>
      </c>
      <c r="O909" s="426">
        <v>29.065495855081362</v>
      </c>
      <c r="P909" s="426">
        <f t="shared" si="131"/>
        <v>6.1395073891625609</v>
      </c>
      <c r="Q909" s="426">
        <f t="shared" si="132"/>
        <v>7.484059507389162</v>
      </c>
      <c r="R909" s="532">
        <f t="shared" si="133"/>
        <v>2.2467074897294506E-2</v>
      </c>
    </row>
    <row r="910" spans="1:18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438">
        <f t="shared" si="126"/>
        <v>3555.12</v>
      </c>
      <c r="G910" s="404">
        <v>1100</v>
      </c>
      <c r="H910" s="404">
        <v>0</v>
      </c>
      <c r="I910" s="404">
        <v>5000</v>
      </c>
      <c r="J910" s="404">
        <v>144</v>
      </c>
      <c r="K910" s="707">
        <f t="shared" si="127"/>
        <v>0</v>
      </c>
      <c r="L910" s="708">
        <f t="shared" si="128"/>
        <v>2.2167487684729065E-2</v>
      </c>
      <c r="M910" s="426">
        <f t="shared" si="129"/>
        <v>44.713374384236452</v>
      </c>
      <c r="N910" s="427">
        <f t="shared" si="130"/>
        <v>16.441107761083746</v>
      </c>
      <c r="O910" s="426">
        <v>19.376997236720911</v>
      </c>
      <c r="P910" s="426">
        <f t="shared" si="131"/>
        <v>4.0930049261083745</v>
      </c>
      <c r="Q910" s="426">
        <f t="shared" si="132"/>
        <v>4.9893730049261089</v>
      </c>
      <c r="R910" s="532">
        <f t="shared" si="133"/>
        <v>2.3803552146805025E-2</v>
      </c>
    </row>
    <row r="911" spans="1:18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438">
        <f t="shared" si="126"/>
        <v>342.6</v>
      </c>
      <c r="G911" s="404">
        <v>1100</v>
      </c>
      <c r="H911" s="404">
        <v>16</v>
      </c>
      <c r="I911" s="404">
        <v>5000</v>
      </c>
      <c r="J911" s="404">
        <v>7</v>
      </c>
      <c r="K911" s="707">
        <f t="shared" si="127"/>
        <v>3.1201248049921998E-3</v>
      </c>
      <c r="L911" s="708">
        <f t="shared" si="128"/>
        <v>1.0775862068965517E-3</v>
      </c>
      <c r="M911" s="426">
        <f t="shared" si="129"/>
        <v>8.4670769507504442</v>
      </c>
      <c r="N911" s="427">
        <f t="shared" si="130"/>
        <v>3.1133441947909386</v>
      </c>
      <c r="O911" s="426">
        <v>3.6348405914803847</v>
      </c>
      <c r="P911" s="426">
        <f t="shared" si="131"/>
        <v>0.77506536123513914</v>
      </c>
      <c r="Q911" s="426">
        <f t="shared" si="132"/>
        <v>0.94480467534563473</v>
      </c>
      <c r="R911" s="532">
        <f t="shared" si="133"/>
        <v>4.6673459130930836E-2</v>
      </c>
    </row>
    <row r="912" spans="1:18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438">
        <f t="shared" si="126"/>
        <v>361.6</v>
      </c>
      <c r="G912" s="404">
        <v>1100</v>
      </c>
      <c r="H912" s="404">
        <v>17</v>
      </c>
      <c r="I912" s="404">
        <v>5000</v>
      </c>
      <c r="J912" s="404">
        <v>10</v>
      </c>
      <c r="K912" s="707">
        <f t="shared" si="127"/>
        <v>3.3151326053042123E-3</v>
      </c>
      <c r="L912" s="708">
        <f t="shared" si="128"/>
        <v>1.539408866995074E-3</v>
      </c>
      <c r="M912" s="426">
        <f t="shared" si="129"/>
        <v>9.7919499675307211</v>
      </c>
      <c r="N912" s="427">
        <f t="shared" si="130"/>
        <v>3.6005000030610463</v>
      </c>
      <c r="O912" s="426">
        <v>4.2068344855249737</v>
      </c>
      <c r="P912" s="426">
        <f t="shared" si="131"/>
        <v>0.89634253744534009</v>
      </c>
      <c r="Q912" s="426">
        <f t="shared" si="132"/>
        <v>1.0926415531458697</v>
      </c>
      <c r="R912" s="532">
        <f t="shared" si="133"/>
        <v>5.1149410933523459E-2</v>
      </c>
    </row>
    <row r="913" spans="1:18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438">
        <f t="shared" si="126"/>
        <v>7926.65</v>
      </c>
      <c r="G913" s="404">
        <v>1100</v>
      </c>
      <c r="H913" s="404">
        <v>0</v>
      </c>
      <c r="I913" s="404">
        <v>5000</v>
      </c>
      <c r="J913" s="404">
        <v>222</v>
      </c>
      <c r="K913" s="707">
        <f t="shared" si="127"/>
        <v>0</v>
      </c>
      <c r="L913" s="708">
        <f t="shared" si="128"/>
        <v>3.417487684729064E-2</v>
      </c>
      <c r="M913" s="426">
        <f t="shared" si="129"/>
        <v>68.933118842364536</v>
      </c>
      <c r="N913" s="427">
        <f t="shared" si="130"/>
        <v>25.346707798337441</v>
      </c>
      <c r="O913" s="426">
        <v>29.872870739944737</v>
      </c>
      <c r="P913" s="426">
        <f t="shared" si="131"/>
        <v>6.3100492610837433</v>
      </c>
      <c r="Q913" s="426">
        <f t="shared" si="132"/>
        <v>7.6919500492610835</v>
      </c>
      <c r="R913" s="532">
        <f t="shared" si="133"/>
        <v>1.6458749489599071E-2</v>
      </c>
    </row>
    <row r="914" spans="1:18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438">
        <f t="shared" si="126"/>
        <v>4021.5</v>
      </c>
      <c r="G914" s="404">
        <v>1100</v>
      </c>
      <c r="H914" s="404">
        <v>0</v>
      </c>
      <c r="I914" s="404">
        <v>5000</v>
      </c>
      <c r="J914" s="404">
        <v>216</v>
      </c>
      <c r="K914" s="707">
        <f t="shared" si="127"/>
        <v>0</v>
      </c>
      <c r="L914" s="708">
        <f t="shared" si="128"/>
        <v>3.3251231527093597E-2</v>
      </c>
      <c r="M914" s="426">
        <f t="shared" si="129"/>
        <v>67.070061576354675</v>
      </c>
      <c r="N914" s="427">
        <f t="shared" si="130"/>
        <v>24.661661641625617</v>
      </c>
      <c r="O914" s="426">
        <v>29.065495855081362</v>
      </c>
      <c r="P914" s="426">
        <f t="shared" si="131"/>
        <v>6.1395073891625609</v>
      </c>
      <c r="Q914" s="426">
        <f t="shared" si="132"/>
        <v>7.484059507389162</v>
      </c>
      <c r="R914" s="532">
        <f t="shared" si="133"/>
        <v>3.1564522308149746E-2</v>
      </c>
    </row>
    <row r="915" spans="1:18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438">
        <f t="shared" si="126"/>
        <v>4138.7700000000004</v>
      </c>
      <c r="G915" s="404">
        <v>1100</v>
      </c>
      <c r="H915" s="404">
        <v>0</v>
      </c>
      <c r="I915" s="404">
        <v>5000</v>
      </c>
      <c r="J915" s="404">
        <v>216</v>
      </c>
      <c r="K915" s="707">
        <f t="shared" si="127"/>
        <v>0</v>
      </c>
      <c r="L915" s="708">
        <f t="shared" si="128"/>
        <v>3.3251231527093597E-2</v>
      </c>
      <c r="M915" s="426">
        <f t="shared" si="129"/>
        <v>67.070061576354675</v>
      </c>
      <c r="N915" s="427">
        <f t="shared" si="130"/>
        <v>24.661661641625617</v>
      </c>
      <c r="O915" s="426">
        <v>29.065495855081362</v>
      </c>
      <c r="P915" s="426">
        <f t="shared" si="131"/>
        <v>6.1395073891625609</v>
      </c>
      <c r="Q915" s="426">
        <f t="shared" si="132"/>
        <v>7.484059507389162</v>
      </c>
      <c r="R915" s="532">
        <f t="shared" si="133"/>
        <v>3.067015718733445E-2</v>
      </c>
    </row>
    <row r="916" spans="1:18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438">
        <f t="shared" si="126"/>
        <v>361.5</v>
      </c>
      <c r="G916" s="404">
        <v>1100</v>
      </c>
      <c r="H916" s="404">
        <v>16</v>
      </c>
      <c r="I916" s="404">
        <v>5000</v>
      </c>
      <c r="J916" s="404">
        <v>5</v>
      </c>
      <c r="K916" s="707">
        <f t="shared" si="127"/>
        <v>3.1201248049921998E-3</v>
      </c>
      <c r="L916" s="708">
        <f t="shared" si="128"/>
        <v>7.6970443349753698E-4</v>
      </c>
      <c r="M916" s="426">
        <f t="shared" si="129"/>
        <v>7.8460578620804933</v>
      </c>
      <c r="N916" s="427">
        <f t="shared" si="130"/>
        <v>2.8849954758869978</v>
      </c>
      <c r="O916" s="426">
        <v>3.365715629859261</v>
      </c>
      <c r="P916" s="426">
        <f t="shared" si="131"/>
        <v>0.71821807059474496</v>
      </c>
      <c r="Q916" s="426">
        <f t="shared" si="132"/>
        <v>0.87550782805499416</v>
      </c>
      <c r="R916" s="532">
        <f t="shared" si="133"/>
        <v>4.0981983508773155E-2</v>
      </c>
    </row>
    <row r="917" spans="1:18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438">
        <f t="shared" si="126"/>
        <v>5864.56</v>
      </c>
      <c r="G917" s="404">
        <v>1100</v>
      </c>
      <c r="H917" s="404">
        <v>0</v>
      </c>
      <c r="I917" s="404">
        <v>5000</v>
      </c>
      <c r="J917" s="404">
        <v>198</v>
      </c>
      <c r="K917" s="707">
        <f t="shared" si="127"/>
        <v>0</v>
      </c>
      <c r="L917" s="708">
        <f t="shared" si="128"/>
        <v>3.0480295566502464E-2</v>
      </c>
      <c r="M917" s="426">
        <f t="shared" si="129"/>
        <v>61.480889778325121</v>
      </c>
      <c r="N917" s="427">
        <f t="shared" si="130"/>
        <v>22.606523171490149</v>
      </c>
      <c r="O917" s="426">
        <v>26.643371200491249</v>
      </c>
      <c r="P917" s="426">
        <f t="shared" si="131"/>
        <v>5.6278817733990145</v>
      </c>
      <c r="Q917" s="426">
        <f t="shared" si="132"/>
        <v>6.8603878817733994</v>
      </c>
      <c r="R917" s="532">
        <f t="shared" si="133"/>
        <v>1.9840988228222667E-2</v>
      </c>
    </row>
    <row r="918" spans="1:18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438">
        <f t="shared" si="126"/>
        <v>135.35</v>
      </c>
      <c r="G918" s="404">
        <v>1100</v>
      </c>
      <c r="H918" s="404">
        <v>0</v>
      </c>
      <c r="I918" s="404">
        <v>5000</v>
      </c>
      <c r="J918" s="404">
        <v>4</v>
      </c>
      <c r="K918" s="707">
        <f t="shared" si="127"/>
        <v>0</v>
      </c>
      <c r="L918" s="708">
        <f t="shared" si="128"/>
        <v>6.1576354679802956E-4</v>
      </c>
      <c r="M918" s="426">
        <f t="shared" si="129"/>
        <v>1.2420381773399014</v>
      </c>
      <c r="N918" s="427">
        <f t="shared" si="130"/>
        <v>0.4566974378078818</v>
      </c>
      <c r="O918" s="426">
        <v>0.53824992324224752</v>
      </c>
      <c r="P918" s="426">
        <f t="shared" si="131"/>
        <v>0.11369458128078817</v>
      </c>
      <c r="Q918" s="426">
        <f t="shared" si="132"/>
        <v>0.13859369458128079</v>
      </c>
      <c r="R918" s="532">
        <f t="shared" si="133"/>
        <v>1.7367418689847203E-2</v>
      </c>
    </row>
    <row r="919" spans="1:18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438">
        <f t="shared" si="126"/>
        <v>37.4</v>
      </c>
      <c r="G919" s="404">
        <v>1100</v>
      </c>
      <c r="H919" s="404">
        <v>0</v>
      </c>
      <c r="I919" s="404">
        <v>5000</v>
      </c>
      <c r="J919" s="404">
        <v>2</v>
      </c>
      <c r="K919" s="707">
        <f t="shared" si="127"/>
        <v>0</v>
      </c>
      <c r="L919" s="708">
        <f t="shared" si="128"/>
        <v>3.0788177339901478E-4</v>
      </c>
      <c r="M919" s="426">
        <f t="shared" si="129"/>
        <v>0.6210190886699507</v>
      </c>
      <c r="N919" s="427">
        <f t="shared" si="130"/>
        <v>0.2283487189039409</v>
      </c>
      <c r="O919" s="426">
        <v>0.26912496162112376</v>
      </c>
      <c r="P919" s="426">
        <f t="shared" si="131"/>
        <v>5.6847290640394087E-2</v>
      </c>
      <c r="Q919" s="426">
        <f t="shared" si="132"/>
        <v>6.9296847290640395E-2</v>
      </c>
      <c r="R919" s="532">
        <f t="shared" si="133"/>
        <v>3.1426204808433403E-2</v>
      </c>
    </row>
    <row r="920" spans="1:18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438">
        <f t="shared" si="126"/>
        <v>236.9</v>
      </c>
      <c r="G920" s="404">
        <v>1100</v>
      </c>
      <c r="H920" s="404">
        <v>10</v>
      </c>
      <c r="I920" s="404">
        <v>5000</v>
      </c>
      <c r="J920" s="404">
        <v>13</v>
      </c>
      <c r="K920" s="707">
        <f t="shared" si="127"/>
        <v>1.9500780031201249E-3</v>
      </c>
      <c r="L920" s="708">
        <f t="shared" si="128"/>
        <v>2.0012315270935962E-3</v>
      </c>
      <c r="M920" s="426">
        <f t="shared" si="129"/>
        <v>7.9700679141081903</v>
      </c>
      <c r="N920" s="427">
        <f t="shared" si="130"/>
        <v>2.930593972017582</v>
      </c>
      <c r="O920" s="426">
        <v>3.4323767666663363</v>
      </c>
      <c r="P920" s="426">
        <f t="shared" si="131"/>
        <v>0.72956979165866143</v>
      </c>
      <c r="Q920" s="426">
        <f t="shared" si="132"/>
        <v>0.88934557603190834</v>
      </c>
      <c r="R920" s="532">
        <f t="shared" si="133"/>
        <v>6.3582137798441407E-2</v>
      </c>
    </row>
    <row r="921" spans="1:18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438">
        <f t="shared" si="126"/>
        <v>362.6</v>
      </c>
      <c r="G921" s="404">
        <v>1100</v>
      </c>
      <c r="H921" s="404">
        <v>15</v>
      </c>
      <c r="I921" s="404">
        <v>5000</v>
      </c>
      <c r="J921" s="404">
        <v>18</v>
      </c>
      <c r="K921" s="707">
        <f t="shared" si="127"/>
        <v>2.9251170046801873E-3</v>
      </c>
      <c r="L921" s="708">
        <f t="shared" si="128"/>
        <v>2.7709359605911331E-3</v>
      </c>
      <c r="M921" s="426">
        <f t="shared" si="129"/>
        <v>11.489337554659821</v>
      </c>
      <c r="N921" s="427">
        <f t="shared" si="130"/>
        <v>4.2246294188484166</v>
      </c>
      <c r="O921" s="426">
        <v>4.9467214287836621</v>
      </c>
      <c r="P921" s="426">
        <f t="shared" si="131"/>
        <v>1.0517192195076965</v>
      </c>
      <c r="Q921" s="426">
        <f t="shared" si="132"/>
        <v>1.2820457285798821</v>
      </c>
      <c r="R921" s="532">
        <f t="shared" si="133"/>
        <v>5.9879778328184217E-2</v>
      </c>
    </row>
    <row r="922" spans="1:18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438">
        <f t="shared" si="126"/>
        <v>494.9</v>
      </c>
      <c r="G922" s="404">
        <v>1100</v>
      </c>
      <c r="H922" s="404">
        <v>28</v>
      </c>
      <c r="I922" s="404">
        <v>5000</v>
      </c>
      <c r="J922" s="404">
        <v>29</v>
      </c>
      <c r="K922" s="707">
        <f t="shared" si="127"/>
        <v>5.4602184087363496E-3</v>
      </c>
      <c r="L922" s="708">
        <f t="shared" si="128"/>
        <v>4.464285714285714E-3</v>
      </c>
      <c r="M922" s="426">
        <f t="shared" si="129"/>
        <v>20.018419531424115</v>
      </c>
      <c r="N922" s="427">
        <f t="shared" si="130"/>
        <v>7.360772861704648</v>
      </c>
      <c r="O922" s="426">
        <v>8.6148925886675851</v>
      </c>
      <c r="P922" s="426">
        <f t="shared" si="131"/>
        <v>1.8324604412747938</v>
      </c>
      <c r="Q922" s="426">
        <f t="shared" si="132"/>
        <v>2.2337692779139737</v>
      </c>
      <c r="R922" s="532">
        <f t="shared" si="133"/>
        <v>7.6432704431341966E-2</v>
      </c>
    </row>
    <row r="923" spans="1:18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438">
        <f t="shared" si="126"/>
        <v>277.2</v>
      </c>
      <c r="G923" s="404">
        <v>1100</v>
      </c>
      <c r="H923" s="404">
        <v>14</v>
      </c>
      <c r="I923" s="404">
        <v>5000</v>
      </c>
      <c r="J923" s="404">
        <v>15</v>
      </c>
      <c r="K923" s="707">
        <f t="shared" si="127"/>
        <v>2.7301092043681748E-3</v>
      </c>
      <c r="L923" s="708">
        <f t="shared" si="128"/>
        <v>2.3091133004926111E-3</v>
      </c>
      <c r="M923" s="426">
        <f t="shared" si="129"/>
        <v>10.164464537879546</v>
      </c>
      <c r="N923" s="427">
        <f t="shared" si="130"/>
        <v>3.7374736105783093</v>
      </c>
      <c r="O923" s="426">
        <v>4.3747275347390726</v>
      </c>
      <c r="P923" s="426">
        <f t="shared" si="131"/>
        <v>0.93044204329749547</v>
      </c>
      <c r="Q923" s="426">
        <f t="shared" si="132"/>
        <v>1.1342088507796471</v>
      </c>
      <c r="R923" s="532">
        <f t="shared" si="133"/>
        <v>6.9289710413039052E-2</v>
      </c>
    </row>
    <row r="924" spans="1:18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438">
        <f t="shared" si="126"/>
        <v>7127.52</v>
      </c>
      <c r="G924" s="404">
        <v>1100</v>
      </c>
      <c r="H924" s="404">
        <v>0</v>
      </c>
      <c r="I924" s="404">
        <v>5000</v>
      </c>
      <c r="J924" s="404">
        <v>240</v>
      </c>
      <c r="K924" s="707">
        <f t="shared" si="127"/>
        <v>0</v>
      </c>
      <c r="L924" s="708">
        <f t="shared" si="128"/>
        <v>3.6945812807881777E-2</v>
      </c>
      <c r="M924" s="426">
        <f t="shared" si="129"/>
        <v>74.52229064039409</v>
      </c>
      <c r="N924" s="427">
        <f t="shared" si="130"/>
        <v>27.401846268472909</v>
      </c>
      <c r="O924" s="426">
        <v>32.294995394534851</v>
      </c>
      <c r="P924" s="426">
        <f t="shared" si="131"/>
        <v>6.8216748768472906</v>
      </c>
      <c r="Q924" s="426">
        <f t="shared" si="132"/>
        <v>8.3156216748768479</v>
      </c>
      <c r="R924" s="532">
        <f t="shared" si="133"/>
        <v>1.9788202233069728E-2</v>
      </c>
    </row>
    <row r="925" spans="1:18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438">
        <f t="shared" si="126"/>
        <v>52.9</v>
      </c>
      <c r="G925" s="404">
        <v>1100</v>
      </c>
      <c r="H925" s="404">
        <v>2</v>
      </c>
      <c r="I925" s="404">
        <v>5000</v>
      </c>
      <c r="J925" s="404">
        <v>1</v>
      </c>
      <c r="K925" s="707">
        <f t="shared" si="127"/>
        <v>3.9001560062402497E-4</v>
      </c>
      <c r="L925" s="708">
        <f t="shared" si="128"/>
        <v>1.5394088669950739E-4</v>
      </c>
      <c r="M925" s="426">
        <f t="shared" si="129"/>
        <v>1.0971983118856774</v>
      </c>
      <c r="N925" s="427">
        <f t="shared" si="130"/>
        <v>0.4034398192803636</v>
      </c>
      <c r="O925" s="426">
        <v>0.47117538403636833</v>
      </c>
      <c r="P925" s="426">
        <f t="shared" si="131"/>
        <v>0.10043612581941701</v>
      </c>
      <c r="Q925" s="426">
        <f t="shared" si="132"/>
        <v>0.12243163737386933</v>
      </c>
      <c r="R925" s="532">
        <f t="shared" si="133"/>
        <v>3.9172961077917318E-2</v>
      </c>
    </row>
    <row r="926" spans="1:18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438">
        <f t="shared" si="126"/>
        <v>119.9</v>
      </c>
      <c r="G926" s="404">
        <v>1100</v>
      </c>
      <c r="H926" s="404">
        <v>6</v>
      </c>
      <c r="I926" s="404">
        <v>5000</v>
      </c>
      <c r="J926" s="404">
        <v>4</v>
      </c>
      <c r="K926" s="707">
        <f t="shared" si="127"/>
        <v>1.1700468018720749E-3</v>
      </c>
      <c r="L926" s="708">
        <f t="shared" si="128"/>
        <v>6.1576354679802956E-4</v>
      </c>
      <c r="M926" s="426">
        <f t="shared" si="129"/>
        <v>3.6021044799920077</v>
      </c>
      <c r="N926" s="427">
        <f t="shared" si="130"/>
        <v>1.3244938172930614</v>
      </c>
      <c r="O926" s="426">
        <v>1.5480886329196666</v>
      </c>
      <c r="P926" s="426">
        <f t="shared" si="131"/>
        <v>0.3297320227784481</v>
      </c>
      <c r="Q926" s="426">
        <f t="shared" si="132"/>
        <v>0.40194333576692826</v>
      </c>
      <c r="R926" s="532">
        <f t="shared" si="133"/>
        <v>5.6750783594521965E-2</v>
      </c>
    </row>
    <row r="927" spans="1:18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438">
        <f t="shared" si="126"/>
        <v>75.3</v>
      </c>
      <c r="G927" s="404">
        <v>1100</v>
      </c>
      <c r="H927" s="404">
        <v>3</v>
      </c>
      <c r="I927" s="404">
        <v>5000</v>
      </c>
      <c r="J927" s="404">
        <v>2</v>
      </c>
      <c r="K927" s="707">
        <f t="shared" si="127"/>
        <v>5.8502340093603746E-4</v>
      </c>
      <c r="L927" s="708">
        <f t="shared" si="128"/>
        <v>3.0788177339901478E-4</v>
      </c>
      <c r="M927" s="426">
        <f t="shared" si="129"/>
        <v>1.8010522399960038</v>
      </c>
      <c r="N927" s="427">
        <f t="shared" si="130"/>
        <v>0.66224690864653069</v>
      </c>
      <c r="O927" s="426">
        <v>0.77404431645983329</v>
      </c>
      <c r="P927" s="426">
        <f t="shared" si="131"/>
        <v>0.16486601138922405</v>
      </c>
      <c r="Q927" s="426">
        <f t="shared" si="132"/>
        <v>0.20097166788346413</v>
      </c>
      <c r="R927" s="532">
        <f t="shared" si="133"/>
        <v>4.518206476084452E-2</v>
      </c>
    </row>
    <row r="928" spans="1:18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438">
        <f t="shared" si="126"/>
        <v>120.8</v>
      </c>
      <c r="G928" s="404">
        <v>1100</v>
      </c>
      <c r="H928" s="404">
        <v>5</v>
      </c>
      <c r="I928" s="404">
        <v>5000</v>
      </c>
      <c r="J928" s="404">
        <v>6</v>
      </c>
      <c r="K928" s="707">
        <f t="shared" si="127"/>
        <v>9.7503900156006244E-4</v>
      </c>
      <c r="L928" s="708">
        <f t="shared" si="128"/>
        <v>9.2364532019704429E-4</v>
      </c>
      <c r="M928" s="426">
        <f t="shared" si="129"/>
        <v>3.8297791848866072</v>
      </c>
      <c r="N928" s="427">
        <f t="shared" si="130"/>
        <v>1.4082098062828055</v>
      </c>
      <c r="O928" s="426">
        <v>1.6489071429278874</v>
      </c>
      <c r="P928" s="426">
        <f t="shared" si="131"/>
        <v>0.35057307316923214</v>
      </c>
      <c r="Q928" s="426">
        <f t="shared" si="132"/>
        <v>0.42734857619329403</v>
      </c>
      <c r="R928" s="532">
        <f t="shared" si="133"/>
        <v>5.9912824563464667E-2</v>
      </c>
    </row>
    <row r="929" spans="1:18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438">
        <f t="shared" si="126"/>
        <v>429.7</v>
      </c>
      <c r="G929" s="404">
        <v>1100</v>
      </c>
      <c r="H929" s="404">
        <v>17</v>
      </c>
      <c r="I929" s="404">
        <v>5000</v>
      </c>
      <c r="J929" s="404">
        <v>15</v>
      </c>
      <c r="K929" s="707">
        <f t="shared" si="127"/>
        <v>3.3151326053042123E-3</v>
      </c>
      <c r="L929" s="708">
        <f t="shared" si="128"/>
        <v>2.3091133004926111E-3</v>
      </c>
      <c r="M929" s="426">
        <f t="shared" si="129"/>
        <v>11.344497689205598</v>
      </c>
      <c r="N929" s="427">
        <f t="shared" si="130"/>
        <v>4.171371800320899</v>
      </c>
      <c r="O929" s="426">
        <v>4.8796468895777831</v>
      </c>
      <c r="P929" s="426">
        <f t="shared" si="131"/>
        <v>1.0384607640463253</v>
      </c>
      <c r="Q929" s="426">
        <f t="shared" si="132"/>
        <v>1.2658836713724706</v>
      </c>
      <c r="R929" s="532">
        <f t="shared" si="133"/>
        <v>4.9881259351060289E-2</v>
      </c>
    </row>
    <row r="930" spans="1:18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438">
        <f t="shared" si="126"/>
        <v>249.1</v>
      </c>
      <c r="G930" s="404">
        <v>1100</v>
      </c>
      <c r="H930" s="404">
        <v>14</v>
      </c>
      <c r="I930" s="404">
        <v>5000</v>
      </c>
      <c r="J930" s="404">
        <v>11</v>
      </c>
      <c r="K930" s="707">
        <f t="shared" si="127"/>
        <v>2.7301092043681748E-3</v>
      </c>
      <c r="L930" s="708">
        <f t="shared" si="128"/>
        <v>1.6933497536945814E-3</v>
      </c>
      <c r="M930" s="426">
        <f t="shared" si="129"/>
        <v>8.9224263605396423</v>
      </c>
      <c r="N930" s="427">
        <f t="shared" si="130"/>
        <v>3.2807761727704268</v>
      </c>
      <c r="O930" s="426">
        <v>3.8364776114968264</v>
      </c>
      <c r="P930" s="426">
        <f t="shared" si="131"/>
        <v>0.81674746201670712</v>
      </c>
      <c r="Q930" s="426">
        <f t="shared" si="132"/>
        <v>0.99561515619836605</v>
      </c>
      <c r="R930" s="532">
        <f t="shared" si="133"/>
        <v>6.76693199792196E-2</v>
      </c>
    </row>
    <row r="931" spans="1:18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438">
        <f t="shared" si="126"/>
        <v>103</v>
      </c>
      <c r="G931" s="404">
        <v>1100</v>
      </c>
      <c r="H931" s="404">
        <v>0</v>
      </c>
      <c r="I931" s="404">
        <v>5000</v>
      </c>
      <c r="J931" s="404">
        <v>3</v>
      </c>
      <c r="K931" s="707">
        <f t="shared" si="127"/>
        <v>0</v>
      </c>
      <c r="L931" s="708">
        <f t="shared" si="128"/>
        <v>4.6182266009852215E-4</v>
      </c>
      <c r="M931" s="426">
        <f t="shared" si="129"/>
        <v>0.93152863300492605</v>
      </c>
      <c r="N931" s="427">
        <f t="shared" si="130"/>
        <v>0.34252307835591134</v>
      </c>
      <c r="O931" s="426">
        <v>0.40368744243168558</v>
      </c>
      <c r="P931" s="426">
        <f>(K931+L931)*184.64</f>
        <v>8.5270935960591127E-2</v>
      </c>
      <c r="Q931" s="426">
        <f t="shared" si="132"/>
        <v>0.10394527093596059</v>
      </c>
      <c r="R931" s="532">
        <f t="shared" si="133"/>
        <v>1.7116602813137032E-2</v>
      </c>
    </row>
    <row r="932" spans="1:18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438">
        <f t="shared" si="126"/>
        <v>176.5</v>
      </c>
      <c r="G932" s="404">
        <v>1100</v>
      </c>
      <c r="H932" s="404">
        <v>5</v>
      </c>
      <c r="I932" s="404">
        <v>5000</v>
      </c>
      <c r="J932" s="404">
        <v>6</v>
      </c>
      <c r="K932" s="707">
        <f t="shared" si="127"/>
        <v>9.7503900156006244E-4</v>
      </c>
      <c r="L932" s="708">
        <f t="shared" si="128"/>
        <v>9.2364532019704429E-4</v>
      </c>
      <c r="M932" s="426">
        <f t="shared" si="129"/>
        <v>3.8297791848866072</v>
      </c>
      <c r="N932" s="427">
        <f t="shared" si="130"/>
        <v>1.4082098062828055</v>
      </c>
      <c r="O932" s="426">
        <v>1.6489071429278874</v>
      </c>
      <c r="P932" s="426">
        <f t="shared" si="131"/>
        <v>0.35057307316923214</v>
      </c>
      <c r="Q932" s="426">
        <f t="shared" si="132"/>
        <v>0.42734857619329403</v>
      </c>
      <c r="R932" s="532">
        <f t="shared" si="133"/>
        <v>4.1005491259300461E-2</v>
      </c>
    </row>
    <row r="933" spans="1:18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438">
        <f t="shared" si="126"/>
        <v>109.5</v>
      </c>
      <c r="G933" s="404">
        <v>1100</v>
      </c>
      <c r="H933" s="404">
        <v>1</v>
      </c>
      <c r="I933" s="404">
        <v>5000</v>
      </c>
      <c r="J933" s="404">
        <v>4</v>
      </c>
      <c r="K933" s="707">
        <f t="shared" si="127"/>
        <v>1.9500780031201249E-4</v>
      </c>
      <c r="L933" s="708">
        <f t="shared" si="128"/>
        <v>6.1576354679802956E-4</v>
      </c>
      <c r="M933" s="426">
        <f t="shared" si="129"/>
        <v>1.6353825611152524</v>
      </c>
      <c r="N933" s="427">
        <f t="shared" si="130"/>
        <v>0.60133016772207837</v>
      </c>
      <c r="O933" s="426">
        <v>0.70655637485515066</v>
      </c>
      <c r="P933" s="426">
        <f t="shared" si="131"/>
        <v>0.14970082153039815</v>
      </c>
      <c r="Q933" s="426">
        <f t="shared" si="132"/>
        <v>0.18248530144555536</v>
      </c>
      <c r="R933" s="532">
        <f t="shared" si="133"/>
        <v>2.8246300686966937E-2</v>
      </c>
    </row>
    <row r="934" spans="1:18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438">
        <f t="shared" si="126"/>
        <v>111.4</v>
      </c>
      <c r="G934" s="404">
        <v>1100</v>
      </c>
      <c r="H934" s="404">
        <v>1</v>
      </c>
      <c r="I934" s="404">
        <v>5000</v>
      </c>
      <c r="J934" s="404">
        <v>6</v>
      </c>
      <c r="K934" s="707">
        <f t="shared" si="127"/>
        <v>1.9500780031201249E-4</v>
      </c>
      <c r="L934" s="708">
        <f t="shared" si="128"/>
        <v>9.2364532019704429E-4</v>
      </c>
      <c r="M934" s="426">
        <f t="shared" si="129"/>
        <v>2.2564016497852033</v>
      </c>
      <c r="N934" s="427">
        <f t="shared" si="130"/>
        <v>0.8296788866260193</v>
      </c>
      <c r="O934" s="426">
        <v>0.97568133647627442</v>
      </c>
      <c r="P934" s="426">
        <f t="shared" si="131"/>
        <v>0.20654811217079222</v>
      </c>
      <c r="Q934" s="426">
        <f t="shared" si="132"/>
        <v>0.25178214873619575</v>
      </c>
      <c r="R934" s="532">
        <f t="shared" si="133"/>
        <v>3.8315170422426298E-2</v>
      </c>
    </row>
    <row r="935" spans="1:18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438">
        <f t="shared" si="126"/>
        <v>92.9</v>
      </c>
      <c r="G935" s="404">
        <v>1100</v>
      </c>
      <c r="H935" s="404">
        <v>0</v>
      </c>
      <c r="I935" s="404">
        <v>5000</v>
      </c>
      <c r="J935" s="404">
        <v>3</v>
      </c>
      <c r="K935" s="707">
        <f t="shared" si="127"/>
        <v>0</v>
      </c>
      <c r="L935" s="708">
        <f t="shared" si="128"/>
        <v>4.6182266009852215E-4</v>
      </c>
      <c r="M935" s="426">
        <f t="shared" si="129"/>
        <v>0.93152863300492605</v>
      </c>
      <c r="N935" s="427">
        <f t="shared" si="130"/>
        <v>0.34252307835591134</v>
      </c>
      <c r="O935" s="426">
        <v>0.40368744243168558</v>
      </c>
      <c r="P935" s="426">
        <f t="shared" si="131"/>
        <v>8.5270935960591127E-2</v>
      </c>
      <c r="Q935" s="426">
        <f t="shared" si="132"/>
        <v>0.10394527093596059</v>
      </c>
      <c r="R935" s="532">
        <f t="shared" si="133"/>
        <v>1.8977503657191756E-2</v>
      </c>
    </row>
    <row r="936" spans="1:18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438">
        <f t="shared" si="126"/>
        <v>101.8</v>
      </c>
      <c r="G936" s="404">
        <v>1100</v>
      </c>
      <c r="H936" s="404">
        <v>2</v>
      </c>
      <c r="I936" s="404">
        <v>5000</v>
      </c>
      <c r="J936" s="404">
        <v>4</v>
      </c>
      <c r="K936" s="707">
        <f t="shared" si="127"/>
        <v>3.9001560062402497E-4</v>
      </c>
      <c r="L936" s="708">
        <f t="shared" si="128"/>
        <v>6.1576354679802956E-4</v>
      </c>
      <c r="M936" s="426">
        <f t="shared" si="129"/>
        <v>2.0287269448906038</v>
      </c>
      <c r="N936" s="427">
        <f t="shared" si="130"/>
        <v>0.7459628976362751</v>
      </c>
      <c r="O936" s="426">
        <v>0.8748628264680538</v>
      </c>
      <c r="P936" s="426">
        <f t="shared" si="131"/>
        <v>0.18570706178000815</v>
      </c>
      <c r="Q936" s="426">
        <f t="shared" si="132"/>
        <v>0.22637690830982996</v>
      </c>
      <c r="R936" s="532">
        <f t="shared" si="133"/>
        <v>3.7674457080303939E-2</v>
      </c>
    </row>
    <row r="937" spans="1:18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438">
        <f t="shared" si="126"/>
        <v>202</v>
      </c>
      <c r="G937" s="404">
        <v>1100</v>
      </c>
      <c r="H937" s="404">
        <v>0</v>
      </c>
      <c r="I937" s="404">
        <v>5000</v>
      </c>
      <c r="J937" s="404">
        <v>8</v>
      </c>
      <c r="K937" s="707">
        <f t="shared" si="127"/>
        <v>0</v>
      </c>
      <c r="L937" s="708">
        <f t="shared" si="128"/>
        <v>1.2315270935960591E-3</v>
      </c>
      <c r="M937" s="426">
        <f t="shared" si="129"/>
        <v>2.4840763546798028</v>
      </c>
      <c r="N937" s="427">
        <f t="shared" si="130"/>
        <v>0.9133948756157636</v>
      </c>
      <c r="O937" s="426">
        <v>1.076499846484495</v>
      </c>
      <c r="P937" s="426">
        <f t="shared" si="131"/>
        <v>0.22738916256157635</v>
      </c>
      <c r="Q937" s="426">
        <f t="shared" si="132"/>
        <v>0.27718738916256158</v>
      </c>
      <c r="R937" s="532">
        <f t="shared" si="133"/>
        <v>2.3274060590800186E-2</v>
      </c>
    </row>
    <row r="938" spans="1:18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438">
        <f t="shared" si="126"/>
        <v>214.1</v>
      </c>
      <c r="G938" s="404">
        <v>1100</v>
      </c>
      <c r="H938" s="404">
        <v>5</v>
      </c>
      <c r="I938" s="404">
        <v>5000</v>
      </c>
      <c r="J938" s="404">
        <v>10</v>
      </c>
      <c r="K938" s="707">
        <f t="shared" si="127"/>
        <v>9.7503900156006244E-4</v>
      </c>
      <c r="L938" s="708">
        <f t="shared" si="128"/>
        <v>1.539408866995074E-3</v>
      </c>
      <c r="M938" s="426">
        <f t="shared" si="129"/>
        <v>5.0718173622265086</v>
      </c>
      <c r="N938" s="427">
        <f t="shared" si="130"/>
        <v>1.8649072440906873</v>
      </c>
      <c r="O938" s="426">
        <v>2.1871570661701347</v>
      </c>
      <c r="P938" s="426">
        <f t="shared" si="131"/>
        <v>0.46426765445002033</v>
      </c>
      <c r="Q938" s="426">
        <f t="shared" si="132"/>
        <v>0.56594227077457482</v>
      </c>
      <c r="R938" s="532">
        <f t="shared" si="133"/>
        <v>4.4783509233710189E-2</v>
      </c>
    </row>
    <row r="939" spans="1:18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438">
        <f t="shared" si="126"/>
        <v>161.19999999999999</v>
      </c>
      <c r="G939" s="404">
        <v>1100</v>
      </c>
      <c r="H939" s="404">
        <v>4</v>
      </c>
      <c r="I939" s="404">
        <v>5000</v>
      </c>
      <c r="J939" s="404">
        <v>10</v>
      </c>
      <c r="K939" s="707">
        <f t="shared" si="127"/>
        <v>7.8003120124804995E-4</v>
      </c>
      <c r="L939" s="708">
        <f t="shared" si="128"/>
        <v>1.539408866995074E-3</v>
      </c>
      <c r="M939" s="426">
        <f t="shared" si="129"/>
        <v>4.6784729784511576</v>
      </c>
      <c r="N939" s="427">
        <f t="shared" si="130"/>
        <v>1.7202745141764908</v>
      </c>
      <c r="O939" s="426">
        <v>2.0188506145572318</v>
      </c>
      <c r="P939" s="426">
        <f t="shared" si="131"/>
        <v>0.42826141420041031</v>
      </c>
      <c r="Q939" s="426">
        <f t="shared" si="132"/>
        <v>0.52205066391030019</v>
      </c>
      <c r="R939" s="532">
        <f t="shared" si="133"/>
        <v>5.4875059065665574E-2</v>
      </c>
    </row>
    <row r="940" spans="1:18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438">
        <f t="shared" si="126"/>
        <v>134.9</v>
      </c>
      <c r="G940" s="404">
        <v>1100</v>
      </c>
      <c r="H940" s="404">
        <v>8</v>
      </c>
      <c r="I940" s="404">
        <v>5000</v>
      </c>
      <c r="J940" s="404">
        <v>8</v>
      </c>
      <c r="K940" s="707">
        <f t="shared" si="127"/>
        <v>1.5600624024960999E-3</v>
      </c>
      <c r="L940" s="708">
        <f t="shared" si="128"/>
        <v>1.2315270935960591E-3</v>
      </c>
      <c r="M940" s="426">
        <f t="shared" si="129"/>
        <v>5.6308314248826115</v>
      </c>
      <c r="N940" s="427">
        <f t="shared" si="130"/>
        <v>2.0704567149293363</v>
      </c>
      <c r="O940" s="426">
        <v>2.4229514593877211</v>
      </c>
      <c r="P940" s="426">
        <f t="shared" si="131"/>
        <v>0.51543908455845622</v>
      </c>
      <c r="Q940" s="426">
        <f t="shared" si="132"/>
        <v>0.62832024407675813</v>
      </c>
      <c r="R940" s="532">
        <f t="shared" si="133"/>
        <v>7.8870857551950502E-2</v>
      </c>
    </row>
    <row r="941" spans="1:18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438">
        <f t="shared" si="126"/>
        <v>80.599999999999994</v>
      </c>
      <c r="G941" s="404">
        <v>1100</v>
      </c>
      <c r="H941" s="404">
        <v>4</v>
      </c>
      <c r="I941" s="404">
        <v>5000</v>
      </c>
      <c r="J941" s="404">
        <v>3</v>
      </c>
      <c r="K941" s="707">
        <f t="shared" si="127"/>
        <v>7.8003120124804995E-4</v>
      </c>
      <c r="L941" s="708">
        <f t="shared" si="128"/>
        <v>4.6182266009852215E-4</v>
      </c>
      <c r="M941" s="426">
        <f t="shared" si="129"/>
        <v>2.5049061681063298</v>
      </c>
      <c r="N941" s="427">
        <f t="shared" si="130"/>
        <v>0.92105399801269749</v>
      </c>
      <c r="O941" s="426">
        <v>1.0769132488832984</v>
      </c>
      <c r="P941" s="426">
        <f t="shared" si="131"/>
        <v>0.22929589695903105</v>
      </c>
      <c r="Q941" s="426">
        <f t="shared" si="132"/>
        <v>0.27951169839305889</v>
      </c>
      <c r="R941" s="532">
        <f t="shared" si="133"/>
        <v>5.8711778064036692E-2</v>
      </c>
    </row>
    <row r="942" spans="1:18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438">
        <f t="shared" si="126"/>
        <v>249.4</v>
      </c>
      <c r="G942" s="404">
        <v>1100</v>
      </c>
      <c r="H942" s="404">
        <v>10</v>
      </c>
      <c r="I942" s="404">
        <v>5000</v>
      </c>
      <c r="J942" s="404">
        <v>12</v>
      </c>
      <c r="K942" s="707">
        <f t="shared" si="127"/>
        <v>1.9500780031201249E-3</v>
      </c>
      <c r="L942" s="708">
        <f t="shared" si="128"/>
        <v>1.8472906403940886E-3</v>
      </c>
      <c r="M942" s="426">
        <f t="shared" si="129"/>
        <v>7.6595583697732144</v>
      </c>
      <c r="N942" s="427">
        <f t="shared" si="130"/>
        <v>2.8164196125656109</v>
      </c>
      <c r="O942" s="426">
        <v>3.2978142858557749</v>
      </c>
      <c r="P942" s="426">
        <f t="shared" si="131"/>
        <v>0.70114614633846428</v>
      </c>
      <c r="Q942" s="426">
        <f t="shared" si="132"/>
        <v>0.85469715238658805</v>
      </c>
      <c r="R942" s="532">
        <f t="shared" si="133"/>
        <v>5.803904737182463E-2</v>
      </c>
    </row>
    <row r="943" spans="1:18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438">
        <f t="shared" si="126"/>
        <v>110.5</v>
      </c>
      <c r="G943" s="404">
        <v>1100</v>
      </c>
      <c r="H943" s="404">
        <v>2</v>
      </c>
      <c r="I943" s="404">
        <v>5000</v>
      </c>
      <c r="J943" s="404">
        <v>2</v>
      </c>
      <c r="K943" s="707">
        <f t="shared" si="127"/>
        <v>3.9001560062402497E-4</v>
      </c>
      <c r="L943" s="708">
        <f t="shared" si="128"/>
        <v>3.0788177339901478E-4</v>
      </c>
      <c r="M943" s="426">
        <f t="shared" si="129"/>
        <v>1.4077078562206529</v>
      </c>
      <c r="N943" s="427">
        <f t="shared" si="130"/>
        <v>0.51761417873233406</v>
      </c>
      <c r="O943" s="426">
        <v>0.60573786484693026</v>
      </c>
      <c r="P943" s="426">
        <f t="shared" si="131"/>
        <v>0.12885977113961405</v>
      </c>
      <c r="Q943" s="426">
        <f t="shared" si="132"/>
        <v>0.15708006101918953</v>
      </c>
      <c r="R943" s="532">
        <f t="shared" si="133"/>
        <v>2.4071671230222001E-2</v>
      </c>
    </row>
    <row r="944" spans="1:18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438">
        <f t="shared" ref="F944:F1002" si="134">C944+D944+E944</f>
        <v>168.5</v>
      </c>
      <c r="G944" s="404">
        <v>1100</v>
      </c>
      <c r="H944" s="404">
        <v>8</v>
      </c>
      <c r="I944" s="404">
        <v>5000</v>
      </c>
      <c r="J944" s="691">
        <v>8</v>
      </c>
      <c r="K944" s="707">
        <f t="shared" si="127"/>
        <v>1.5600624024960999E-3</v>
      </c>
      <c r="L944" s="708">
        <f t="shared" si="128"/>
        <v>1.2315270935960591E-3</v>
      </c>
      <c r="M944" s="426">
        <f t="shared" si="129"/>
        <v>5.6308314248826115</v>
      </c>
      <c r="N944" s="427">
        <f t="shared" ref="N944:N1002" si="135">M944*0.3677</f>
        <v>2.0704567149293363</v>
      </c>
      <c r="O944" s="426">
        <v>2.4229514593877211</v>
      </c>
      <c r="P944" s="426">
        <f t="shared" si="131"/>
        <v>0.51543908455845622</v>
      </c>
      <c r="Q944" s="426">
        <f t="shared" si="132"/>
        <v>0.62832024407675813</v>
      </c>
      <c r="R944" s="532">
        <f t="shared" si="133"/>
        <v>6.3143493672155035E-2</v>
      </c>
    </row>
    <row r="945" spans="1:18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438">
        <f t="shared" si="134"/>
        <v>130</v>
      </c>
      <c r="G945" s="404">
        <v>1100</v>
      </c>
      <c r="H945" s="404">
        <v>8</v>
      </c>
      <c r="I945" s="404">
        <v>5000</v>
      </c>
      <c r="J945" s="404">
        <v>12</v>
      </c>
      <c r="K945" s="707">
        <f t="shared" ref="K945:K1008" si="136">0.5/2564*H945</f>
        <v>1.5600624024960999E-3</v>
      </c>
      <c r="L945" s="708">
        <f t="shared" ref="L945:L1008" si="137">1.5/9744*J945</f>
        <v>1.8472906403940886E-3</v>
      </c>
      <c r="M945" s="426">
        <f t="shared" ref="M945:M1008" si="138">(K945+L945)*2017.07</f>
        <v>6.8728696022225124</v>
      </c>
      <c r="N945" s="427">
        <f t="shared" si="135"/>
        <v>2.5271541527372179</v>
      </c>
      <c r="O945" s="426">
        <v>2.9612013826299681</v>
      </c>
      <c r="P945" s="426">
        <f t="shared" si="131"/>
        <v>0.62913366583924435</v>
      </c>
      <c r="Q945" s="426">
        <f t="shared" si="132"/>
        <v>0.76691393865803892</v>
      </c>
      <c r="R945" s="532">
        <f t="shared" si="133"/>
        <v>9.9925836949453409E-2</v>
      </c>
    </row>
    <row r="946" spans="1:18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438">
        <f t="shared" si="134"/>
        <v>175.8</v>
      </c>
      <c r="G946" s="404">
        <v>1100</v>
      </c>
      <c r="H946" s="404">
        <v>8</v>
      </c>
      <c r="I946" s="404">
        <v>5000</v>
      </c>
      <c r="J946" s="404">
        <v>8</v>
      </c>
      <c r="K946" s="707">
        <f t="shared" si="136"/>
        <v>1.5600624024960999E-3</v>
      </c>
      <c r="L946" s="708">
        <f t="shared" si="137"/>
        <v>1.2315270935960591E-3</v>
      </c>
      <c r="M946" s="426">
        <f t="shared" si="138"/>
        <v>5.6308314248826115</v>
      </c>
      <c r="N946" s="427">
        <f t="shared" si="135"/>
        <v>2.0704567149293363</v>
      </c>
      <c r="O946" s="426">
        <v>2.4229514593877211</v>
      </c>
      <c r="P946" s="426">
        <f t="shared" ref="P946:P1009" si="139">(K946+L946)*184.64</f>
        <v>0.51543908455845622</v>
      </c>
      <c r="Q946" s="426">
        <f t="shared" ref="Q946:Q1009" si="140">P946*1.219</f>
        <v>0.62832024407675813</v>
      </c>
      <c r="R946" s="532">
        <f t="shared" si="133"/>
        <v>6.052149421932948E-2</v>
      </c>
    </row>
    <row r="947" spans="1:18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438">
        <f t="shared" si="134"/>
        <v>129.80000000000001</v>
      </c>
      <c r="G947" s="404">
        <v>1100</v>
      </c>
      <c r="H947" s="404">
        <v>8</v>
      </c>
      <c r="I947" s="404">
        <v>5000</v>
      </c>
      <c r="J947" s="404">
        <v>8</v>
      </c>
      <c r="K947" s="707">
        <f t="shared" si="136"/>
        <v>1.5600624024960999E-3</v>
      </c>
      <c r="L947" s="708">
        <f t="shared" si="137"/>
        <v>1.2315270935960591E-3</v>
      </c>
      <c r="M947" s="426">
        <f t="shared" si="138"/>
        <v>5.6308314248826115</v>
      </c>
      <c r="N947" s="427">
        <f t="shared" si="135"/>
        <v>2.0704567149293363</v>
      </c>
      <c r="O947" s="426">
        <v>2.4229514593877211</v>
      </c>
      <c r="P947" s="426">
        <f t="shared" si="139"/>
        <v>0.51543908455845622</v>
      </c>
      <c r="Q947" s="426">
        <f t="shared" si="140"/>
        <v>0.62832024407675813</v>
      </c>
      <c r="R947" s="532">
        <f t="shared" si="133"/>
        <v>8.1969789551295247E-2</v>
      </c>
    </row>
    <row r="948" spans="1:18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438">
        <f t="shared" si="134"/>
        <v>152.30000000000001</v>
      </c>
      <c r="G948" s="404">
        <v>1100</v>
      </c>
      <c r="H948" s="404">
        <v>0</v>
      </c>
      <c r="I948" s="404">
        <v>5000</v>
      </c>
      <c r="J948" s="404">
        <v>2</v>
      </c>
      <c r="K948" s="707">
        <f t="shared" si="136"/>
        <v>0</v>
      </c>
      <c r="L948" s="708">
        <f t="shared" si="137"/>
        <v>3.0788177339901478E-4</v>
      </c>
      <c r="M948" s="426">
        <f t="shared" si="138"/>
        <v>0.6210190886699507</v>
      </c>
      <c r="N948" s="427">
        <f t="shared" si="135"/>
        <v>0.2283487189039409</v>
      </c>
      <c r="O948" s="426">
        <v>0.26912496162112376</v>
      </c>
      <c r="P948" s="426">
        <f t="shared" si="139"/>
        <v>5.6847290640394087E-2</v>
      </c>
      <c r="Q948" s="426">
        <f t="shared" si="140"/>
        <v>6.9296847290640395E-2</v>
      </c>
      <c r="R948" s="532">
        <f t="shared" si="133"/>
        <v>7.7172689417952019E-3</v>
      </c>
    </row>
    <row r="949" spans="1:18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438">
        <f t="shared" si="134"/>
        <v>239.4</v>
      </c>
      <c r="G949" s="404">
        <v>1100</v>
      </c>
      <c r="H949" s="404">
        <v>6</v>
      </c>
      <c r="I949" s="404">
        <v>5000</v>
      </c>
      <c r="J949" s="404">
        <v>3</v>
      </c>
      <c r="K949" s="707">
        <f t="shared" si="136"/>
        <v>1.1700468018720749E-3</v>
      </c>
      <c r="L949" s="708">
        <f t="shared" si="137"/>
        <v>4.6182266009852215E-4</v>
      </c>
      <c r="M949" s="426">
        <f t="shared" si="138"/>
        <v>3.2915949356570318</v>
      </c>
      <c r="N949" s="427">
        <f t="shared" si="135"/>
        <v>1.2103194578410907</v>
      </c>
      <c r="O949" s="426">
        <v>1.4135261521091049</v>
      </c>
      <c r="P949" s="426">
        <f t="shared" si="139"/>
        <v>0.30130837745825101</v>
      </c>
      <c r="Q949" s="426">
        <f t="shared" si="140"/>
        <v>0.36729491212160803</v>
      </c>
      <c r="R949" s="532">
        <f t="shared" si="133"/>
        <v>2.5968040614308598E-2</v>
      </c>
    </row>
    <row r="950" spans="1:18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438">
        <f t="shared" si="134"/>
        <v>84.2</v>
      </c>
      <c r="G950" s="404">
        <v>1100</v>
      </c>
      <c r="H950" s="404">
        <v>1</v>
      </c>
      <c r="I950" s="404">
        <v>5000</v>
      </c>
      <c r="J950" s="404">
        <v>3</v>
      </c>
      <c r="K950" s="707">
        <f t="shared" si="136"/>
        <v>1.9500780031201249E-4</v>
      </c>
      <c r="L950" s="708">
        <f t="shared" si="137"/>
        <v>4.6182266009852215E-4</v>
      </c>
      <c r="M950" s="426">
        <f t="shared" si="138"/>
        <v>1.3248730167802771</v>
      </c>
      <c r="N950" s="427">
        <f t="shared" si="135"/>
        <v>0.48715580827010796</v>
      </c>
      <c r="O950" s="426">
        <v>0.57199389404458878</v>
      </c>
      <c r="P950" s="426">
        <f t="shared" si="139"/>
        <v>0.12127717621020111</v>
      </c>
      <c r="Q950" s="426">
        <f t="shared" si="140"/>
        <v>0.14783687780023516</v>
      </c>
      <c r="R950" s="532">
        <f t="shared" si="133"/>
        <v>2.9754155526189725E-2</v>
      </c>
    </row>
    <row r="951" spans="1:18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438">
        <f t="shared" si="134"/>
        <v>193.9</v>
      </c>
      <c r="G951" s="404">
        <v>1100</v>
      </c>
      <c r="H951" s="404">
        <v>11</v>
      </c>
      <c r="I951" s="404">
        <v>5000</v>
      </c>
      <c r="J951" s="404">
        <v>11</v>
      </c>
      <c r="K951" s="707">
        <f t="shared" si="136"/>
        <v>2.1450858034321374E-3</v>
      </c>
      <c r="L951" s="708">
        <f t="shared" si="137"/>
        <v>1.6933497536945814E-3</v>
      </c>
      <c r="M951" s="426">
        <f t="shared" si="138"/>
        <v>7.7423932092135903</v>
      </c>
      <c r="N951" s="427">
        <f t="shared" si="135"/>
        <v>2.8468779830278375</v>
      </c>
      <c r="O951" s="426">
        <v>3.3315582566581159</v>
      </c>
      <c r="P951" s="426">
        <f t="shared" si="139"/>
        <v>0.70872874126787733</v>
      </c>
      <c r="Q951" s="426">
        <f t="shared" si="140"/>
        <v>0.86394033560554251</v>
      </c>
      <c r="R951" s="532">
        <f t="shared" si="133"/>
        <v>7.5448984993127494E-2</v>
      </c>
    </row>
    <row r="952" spans="1:18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438">
        <f t="shared" si="134"/>
        <v>252.4</v>
      </c>
      <c r="G952" s="404">
        <v>1100</v>
      </c>
      <c r="H952" s="691">
        <v>0</v>
      </c>
      <c r="I952" s="404">
        <v>5000</v>
      </c>
      <c r="J952" s="404">
        <v>8</v>
      </c>
      <c r="K952" s="707">
        <f t="shared" si="136"/>
        <v>0</v>
      </c>
      <c r="L952" s="708">
        <f t="shared" si="137"/>
        <v>1.2315270935960591E-3</v>
      </c>
      <c r="M952" s="426">
        <f t="shared" si="138"/>
        <v>2.4840763546798028</v>
      </c>
      <c r="N952" s="427">
        <f t="shared" si="135"/>
        <v>0.9133948756157636</v>
      </c>
      <c r="O952" s="426">
        <v>1.076499846484495</v>
      </c>
      <c r="P952" s="426">
        <f t="shared" si="139"/>
        <v>0.22738916256157635</v>
      </c>
      <c r="Q952" s="426">
        <f t="shared" si="140"/>
        <v>0.27718738916256158</v>
      </c>
      <c r="R952" s="532">
        <f t="shared" si="133"/>
        <v>1.8626625353968453E-2</v>
      </c>
    </row>
    <row r="953" spans="1:18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438">
        <f t="shared" si="134"/>
        <v>79</v>
      </c>
      <c r="G953" s="404">
        <v>1100</v>
      </c>
      <c r="H953" s="404">
        <v>3</v>
      </c>
      <c r="I953" s="404">
        <v>5000</v>
      </c>
      <c r="J953" s="404">
        <v>3</v>
      </c>
      <c r="K953" s="707">
        <f t="shared" si="136"/>
        <v>5.8502340093603746E-4</v>
      </c>
      <c r="L953" s="708">
        <f t="shared" si="137"/>
        <v>4.6182266009852215E-4</v>
      </c>
      <c r="M953" s="426">
        <f t="shared" si="138"/>
        <v>2.1115617843309789</v>
      </c>
      <c r="N953" s="427">
        <f t="shared" si="135"/>
        <v>0.77642126809850098</v>
      </c>
      <c r="O953" s="426">
        <v>0.90860679727039528</v>
      </c>
      <c r="P953" s="426">
        <f t="shared" si="139"/>
        <v>0.19328965670942105</v>
      </c>
      <c r="Q953" s="426">
        <f t="shared" si="140"/>
        <v>0.23562009152878427</v>
      </c>
      <c r="R953" s="532">
        <f t="shared" si="133"/>
        <v>5.0504803878598681E-2</v>
      </c>
    </row>
    <row r="954" spans="1:18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438">
        <f t="shared" si="134"/>
        <v>549.69000000000005</v>
      </c>
      <c r="G954" s="404">
        <v>1100</v>
      </c>
      <c r="H954" s="404">
        <v>20</v>
      </c>
      <c r="I954" s="404">
        <v>5000</v>
      </c>
      <c r="J954" s="404">
        <v>12</v>
      </c>
      <c r="K954" s="707">
        <f t="shared" si="136"/>
        <v>3.9001560062402497E-3</v>
      </c>
      <c r="L954" s="708">
        <f t="shared" si="137"/>
        <v>1.8472906403940886E-3</v>
      </c>
      <c r="M954" s="426">
        <f t="shared" si="138"/>
        <v>11.593002207526723</v>
      </c>
      <c r="N954" s="427">
        <f t="shared" si="135"/>
        <v>4.262746911707576</v>
      </c>
      <c r="O954" s="426">
        <v>4.9808788019848063</v>
      </c>
      <c r="P954" s="426">
        <f t="shared" si="139"/>
        <v>1.0612085488345642</v>
      </c>
      <c r="Q954" s="426">
        <f t="shared" si="140"/>
        <v>1.2936132210293338</v>
      </c>
      <c r="R954" s="532">
        <f t="shared" si="133"/>
        <v>3.9836701540966121E-2</v>
      </c>
    </row>
    <row r="955" spans="1:18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438">
        <f t="shared" si="134"/>
        <v>192.1</v>
      </c>
      <c r="G955" s="404">
        <v>1100</v>
      </c>
      <c r="H955" s="404">
        <v>4</v>
      </c>
      <c r="I955" s="404">
        <v>5000</v>
      </c>
      <c r="J955" s="404">
        <v>4</v>
      </c>
      <c r="K955" s="707">
        <f t="shared" si="136"/>
        <v>7.8003120124804995E-4</v>
      </c>
      <c r="L955" s="708">
        <f t="shared" si="137"/>
        <v>6.1576354679802956E-4</v>
      </c>
      <c r="M955" s="426">
        <f t="shared" si="138"/>
        <v>2.8154157124413057</v>
      </c>
      <c r="N955" s="427">
        <f t="shared" si="135"/>
        <v>1.0352283574646681</v>
      </c>
      <c r="O955" s="426">
        <v>1.2114757296938605</v>
      </c>
      <c r="P955" s="426">
        <f t="shared" si="139"/>
        <v>0.25771954227922811</v>
      </c>
      <c r="Q955" s="426">
        <f t="shared" si="140"/>
        <v>0.31416012203837906</v>
      </c>
      <c r="R955" s="532">
        <f t="shared" si="133"/>
        <v>2.7693073096715575E-2</v>
      </c>
    </row>
    <row r="956" spans="1:18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438">
        <f t="shared" si="134"/>
        <v>166.8</v>
      </c>
      <c r="G956" s="404">
        <v>1100</v>
      </c>
      <c r="H956" s="404">
        <v>9</v>
      </c>
      <c r="I956" s="404">
        <v>5000</v>
      </c>
      <c r="J956" s="404">
        <v>5</v>
      </c>
      <c r="K956" s="707">
        <f t="shared" si="136"/>
        <v>1.7550702028081124E-3</v>
      </c>
      <c r="L956" s="708">
        <f t="shared" si="137"/>
        <v>7.6970443349753698E-4</v>
      </c>
      <c r="M956" s="426">
        <f t="shared" si="138"/>
        <v>5.0926471756530356</v>
      </c>
      <c r="N956" s="427">
        <f t="shared" si="135"/>
        <v>1.8725663664876213</v>
      </c>
      <c r="O956" s="426">
        <v>2.1875704685689383</v>
      </c>
      <c r="P956" s="426">
        <f t="shared" si="139"/>
        <v>0.46617438884747503</v>
      </c>
      <c r="Q956" s="426">
        <f t="shared" si="140"/>
        <v>0.56826658000507213</v>
      </c>
      <c r="R956" s="532">
        <f t="shared" si="133"/>
        <v>5.7667616304298973E-2</v>
      </c>
    </row>
    <row r="957" spans="1:18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438">
        <f t="shared" si="134"/>
        <v>119.9</v>
      </c>
      <c r="G957" s="404">
        <v>1100</v>
      </c>
      <c r="H957" s="404">
        <v>8</v>
      </c>
      <c r="I957" s="404">
        <v>5000</v>
      </c>
      <c r="J957" s="404">
        <v>6</v>
      </c>
      <c r="K957" s="707">
        <f t="shared" si="136"/>
        <v>1.5600624024960999E-3</v>
      </c>
      <c r="L957" s="708">
        <f t="shared" si="137"/>
        <v>9.2364532019704429E-4</v>
      </c>
      <c r="M957" s="426">
        <f t="shared" si="138"/>
        <v>5.0098123362126596</v>
      </c>
      <c r="N957" s="427">
        <f t="shared" si="135"/>
        <v>1.842107996025395</v>
      </c>
      <c r="O957" s="426">
        <v>2.1538264977665968</v>
      </c>
      <c r="P957" s="426">
        <f t="shared" si="139"/>
        <v>0.4585917939180621</v>
      </c>
      <c r="Q957" s="426">
        <f t="shared" si="140"/>
        <v>0.55902339678611779</v>
      </c>
      <c r="R957" s="532">
        <f t="shared" si="133"/>
        <v>7.8935267922624799E-2</v>
      </c>
    </row>
    <row r="958" spans="1:18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438">
        <f t="shared" si="134"/>
        <v>188.7</v>
      </c>
      <c r="G958" s="404">
        <v>1100</v>
      </c>
      <c r="H958" s="404">
        <v>8</v>
      </c>
      <c r="I958" s="404">
        <v>5000</v>
      </c>
      <c r="J958" s="404">
        <v>8</v>
      </c>
      <c r="K958" s="707">
        <f t="shared" si="136"/>
        <v>1.5600624024960999E-3</v>
      </c>
      <c r="L958" s="708">
        <f t="shared" si="137"/>
        <v>1.2315270935960591E-3</v>
      </c>
      <c r="M958" s="426">
        <f t="shared" si="138"/>
        <v>5.6308314248826115</v>
      </c>
      <c r="N958" s="427">
        <f t="shared" si="135"/>
        <v>2.0704567149293363</v>
      </c>
      <c r="O958" s="426">
        <v>2.4229514593877211</v>
      </c>
      <c r="P958" s="426">
        <f t="shared" si="139"/>
        <v>0.51543908455845622</v>
      </c>
      <c r="Q958" s="426">
        <f t="shared" si="140"/>
        <v>0.62832024407675813</v>
      </c>
      <c r="R958" s="532">
        <f t="shared" si="133"/>
        <v>5.6384094773492974E-2</v>
      </c>
    </row>
    <row r="959" spans="1:18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438">
        <f t="shared" si="134"/>
        <v>4734.5</v>
      </c>
      <c r="G959" s="404">
        <v>1100</v>
      </c>
      <c r="H959" s="691">
        <v>0</v>
      </c>
      <c r="I959" s="404">
        <v>5000</v>
      </c>
      <c r="J959" s="404">
        <v>160</v>
      </c>
      <c r="K959" s="707">
        <f t="shared" si="136"/>
        <v>0</v>
      </c>
      <c r="L959" s="708">
        <f t="shared" si="137"/>
        <v>2.4630541871921183E-2</v>
      </c>
      <c r="M959" s="426">
        <f t="shared" si="138"/>
        <v>49.68152709359606</v>
      </c>
      <c r="N959" s="427">
        <f t="shared" si="135"/>
        <v>18.267897512315272</v>
      </c>
      <c r="O959" s="426">
        <v>21.529996929689901</v>
      </c>
      <c r="P959" s="426">
        <f t="shared" si="139"/>
        <v>4.547783251231527</v>
      </c>
      <c r="Q959" s="426">
        <f t="shared" si="140"/>
        <v>5.5437477832512316</v>
      </c>
      <c r="R959" s="532">
        <f t="shared" si="133"/>
        <v>1.9860007347519856E-2</v>
      </c>
    </row>
    <row r="960" spans="1:18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438">
        <f t="shared" si="134"/>
        <v>66.3</v>
      </c>
      <c r="G960" s="404">
        <v>1100</v>
      </c>
      <c r="H960" s="404">
        <v>2</v>
      </c>
      <c r="I960" s="404">
        <v>5000</v>
      </c>
      <c r="J960" s="404">
        <v>3</v>
      </c>
      <c r="K960" s="707">
        <f t="shared" si="136"/>
        <v>3.9001560062402497E-4</v>
      </c>
      <c r="L960" s="708">
        <f t="shared" si="137"/>
        <v>4.6182266009852215E-4</v>
      </c>
      <c r="M960" s="426">
        <f t="shared" si="138"/>
        <v>1.7182174005556281</v>
      </c>
      <c r="N960" s="427">
        <f t="shared" si="135"/>
        <v>0.63178853818430447</v>
      </c>
      <c r="O960" s="426">
        <v>0.74030034565749203</v>
      </c>
      <c r="P960" s="426">
        <f t="shared" si="139"/>
        <v>0.15728341645981109</v>
      </c>
      <c r="Q960" s="426">
        <f t="shared" si="140"/>
        <v>0.19172848466450973</v>
      </c>
      <c r="R960" s="532">
        <f t="shared" si="133"/>
        <v>4.8983253406594811E-2</v>
      </c>
    </row>
    <row r="961" spans="1:18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438">
        <f t="shared" si="134"/>
        <v>19.8</v>
      </c>
      <c r="G961" s="404">
        <v>1100</v>
      </c>
      <c r="H961" s="404">
        <v>2</v>
      </c>
      <c r="I961" s="404">
        <v>5000</v>
      </c>
      <c r="J961" s="404">
        <v>2</v>
      </c>
      <c r="K961" s="707">
        <f t="shared" si="136"/>
        <v>3.9001560062402497E-4</v>
      </c>
      <c r="L961" s="708">
        <f t="shared" si="137"/>
        <v>3.0788177339901478E-4</v>
      </c>
      <c r="M961" s="426">
        <f t="shared" si="138"/>
        <v>1.4077078562206529</v>
      </c>
      <c r="N961" s="427">
        <f t="shared" si="135"/>
        <v>0.51761417873233406</v>
      </c>
      <c r="O961" s="426">
        <v>0.60573786484693026</v>
      </c>
      <c r="P961" s="426">
        <f t="shared" si="139"/>
        <v>0.12885977113961405</v>
      </c>
      <c r="Q961" s="426">
        <f t="shared" si="140"/>
        <v>0.15708006101918953</v>
      </c>
      <c r="R961" s="532">
        <f t="shared" si="133"/>
        <v>0.13433937732017834</v>
      </c>
    </row>
    <row r="962" spans="1:18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438">
        <f t="shared" si="134"/>
        <v>61.2</v>
      </c>
      <c r="G962" s="404">
        <v>1100</v>
      </c>
      <c r="H962" s="691">
        <v>0</v>
      </c>
      <c r="I962" s="404">
        <v>5000</v>
      </c>
      <c r="J962" s="404">
        <v>2</v>
      </c>
      <c r="K962" s="707">
        <f t="shared" si="136"/>
        <v>0</v>
      </c>
      <c r="L962" s="708">
        <f t="shared" si="137"/>
        <v>3.0788177339901478E-4</v>
      </c>
      <c r="M962" s="426">
        <f t="shared" si="138"/>
        <v>0.6210190886699507</v>
      </c>
      <c r="N962" s="427">
        <f t="shared" si="135"/>
        <v>0.2283487189039409</v>
      </c>
      <c r="O962" s="426">
        <v>0.26912496162112376</v>
      </c>
      <c r="P962" s="426">
        <f t="shared" si="139"/>
        <v>5.6847290640394087E-2</v>
      </c>
      <c r="Q962" s="426">
        <f t="shared" si="140"/>
        <v>6.9296847290640395E-2</v>
      </c>
      <c r="R962" s="532">
        <f t="shared" si="133"/>
        <v>1.9204902938487079E-2</v>
      </c>
    </row>
    <row r="963" spans="1:18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438">
        <f t="shared" si="134"/>
        <v>47.1</v>
      </c>
      <c r="G963" s="404">
        <v>1100</v>
      </c>
      <c r="H963" s="404">
        <v>2</v>
      </c>
      <c r="I963" s="404">
        <v>5000</v>
      </c>
      <c r="J963" s="404">
        <v>1</v>
      </c>
      <c r="K963" s="707">
        <f t="shared" si="136"/>
        <v>3.9001560062402497E-4</v>
      </c>
      <c r="L963" s="708">
        <f t="shared" si="137"/>
        <v>1.5394088669950739E-4</v>
      </c>
      <c r="M963" s="426">
        <f t="shared" si="138"/>
        <v>1.0971983118856774</v>
      </c>
      <c r="N963" s="427">
        <f t="shared" si="135"/>
        <v>0.4034398192803636</v>
      </c>
      <c r="O963" s="426">
        <v>0.47117538403636833</v>
      </c>
      <c r="P963" s="426">
        <f t="shared" si="139"/>
        <v>0.10043612581941701</v>
      </c>
      <c r="Q963" s="426">
        <f t="shared" si="140"/>
        <v>0.12243163737386933</v>
      </c>
      <c r="R963" s="532">
        <f t="shared" si="133"/>
        <v>4.3996807665006923E-2</v>
      </c>
    </row>
    <row r="964" spans="1:18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438">
        <f t="shared" si="134"/>
        <v>282.8</v>
      </c>
      <c r="G964" s="404">
        <v>1100</v>
      </c>
      <c r="H964" s="404">
        <v>14</v>
      </c>
      <c r="I964" s="404">
        <v>5000</v>
      </c>
      <c r="J964" s="404">
        <v>0</v>
      </c>
      <c r="K964" s="707">
        <f t="shared" si="136"/>
        <v>2.7301092043681748E-3</v>
      </c>
      <c r="L964" s="708">
        <f t="shared" si="137"/>
        <v>0</v>
      </c>
      <c r="M964" s="426">
        <f t="shared" si="138"/>
        <v>5.5068213728549145</v>
      </c>
      <c r="N964" s="427">
        <f t="shared" si="135"/>
        <v>2.0248582187987521</v>
      </c>
      <c r="O964" s="426">
        <v>2.3562903225806453</v>
      </c>
      <c r="P964" s="426">
        <f t="shared" si="139"/>
        <v>0.50408736349453975</v>
      </c>
      <c r="Q964" s="426">
        <f t="shared" si="140"/>
        <v>0.61448249609984396</v>
      </c>
      <c r="R964" s="532">
        <f t="shared" si="133"/>
        <v>3.6747020076834697E-2</v>
      </c>
    </row>
    <row r="965" spans="1:18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438">
        <f t="shared" si="134"/>
        <v>46.6</v>
      </c>
      <c r="G965" s="404">
        <v>1100</v>
      </c>
      <c r="H965" s="404">
        <v>1</v>
      </c>
      <c r="I965" s="404">
        <v>5000</v>
      </c>
      <c r="J965" s="404">
        <v>1</v>
      </c>
      <c r="K965" s="707">
        <f t="shared" si="136"/>
        <v>1.9500780031201249E-4</v>
      </c>
      <c r="L965" s="708">
        <f t="shared" si="137"/>
        <v>1.5394088669950739E-4</v>
      </c>
      <c r="M965" s="426">
        <f t="shared" si="138"/>
        <v>0.70385392811032643</v>
      </c>
      <c r="N965" s="427">
        <f t="shared" si="135"/>
        <v>0.25880708936616703</v>
      </c>
      <c r="O965" s="426">
        <v>0.30286893242346513</v>
      </c>
      <c r="P965" s="426">
        <f t="shared" si="139"/>
        <v>6.4429885569807027E-2</v>
      </c>
      <c r="Q965" s="426">
        <f t="shared" si="140"/>
        <v>7.8540030509594766E-2</v>
      </c>
      <c r="R965" s="532">
        <f t="shared" si="133"/>
        <v>2.8539910632398399E-2</v>
      </c>
    </row>
    <row r="966" spans="1:18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438">
        <f t="shared" si="134"/>
        <v>3266.45</v>
      </c>
      <c r="G966" s="404">
        <v>1100</v>
      </c>
      <c r="H966" s="404">
        <v>0</v>
      </c>
      <c r="I966" s="404">
        <v>5000</v>
      </c>
      <c r="J966" s="404">
        <v>120</v>
      </c>
      <c r="K966" s="707">
        <f t="shared" si="136"/>
        <v>0</v>
      </c>
      <c r="L966" s="708">
        <f t="shared" si="137"/>
        <v>1.8472906403940888E-2</v>
      </c>
      <c r="M966" s="426">
        <f t="shared" si="138"/>
        <v>37.261145320197045</v>
      </c>
      <c r="N966" s="427">
        <f t="shared" si="135"/>
        <v>13.700923134236454</v>
      </c>
      <c r="O966" s="426">
        <v>16.147497697267426</v>
      </c>
      <c r="P966" s="426">
        <f t="shared" si="139"/>
        <v>3.4108374384236453</v>
      </c>
      <c r="Q966" s="426">
        <f t="shared" si="140"/>
        <v>4.1578108374384239</v>
      </c>
      <c r="R966" s="532">
        <f t="shared" si="133"/>
        <v>2.1589310594108152E-2</v>
      </c>
    </row>
    <row r="967" spans="1:18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438">
        <f t="shared" si="134"/>
        <v>3257.47</v>
      </c>
      <c r="G967" s="404">
        <v>1100</v>
      </c>
      <c r="H967" s="404">
        <v>0</v>
      </c>
      <c r="I967" s="404">
        <v>5000</v>
      </c>
      <c r="J967" s="404">
        <v>120</v>
      </c>
      <c r="K967" s="707">
        <f t="shared" si="136"/>
        <v>0</v>
      </c>
      <c r="L967" s="708">
        <f t="shared" si="137"/>
        <v>1.8472906403940888E-2</v>
      </c>
      <c r="M967" s="426">
        <f t="shared" si="138"/>
        <v>37.261145320197045</v>
      </c>
      <c r="N967" s="427">
        <f t="shared" si="135"/>
        <v>13.700923134236454</v>
      </c>
      <c r="O967" s="426">
        <v>16.147497697267426</v>
      </c>
      <c r="P967" s="426">
        <f t="shared" si="139"/>
        <v>3.4108374384236453</v>
      </c>
      <c r="Q967" s="426">
        <f t="shared" si="140"/>
        <v>4.1578108374384239</v>
      </c>
      <c r="R967" s="532">
        <f t="shared" ref="R967:R1030" si="141">(P967+O967+N967+M967)/F967</f>
        <v>2.1648826724459343E-2</v>
      </c>
    </row>
    <row r="968" spans="1:18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438">
        <f t="shared" si="134"/>
        <v>24.3</v>
      </c>
      <c r="G968" s="404">
        <v>1100</v>
      </c>
      <c r="H968" s="404">
        <v>2</v>
      </c>
      <c r="I968" s="404">
        <v>5000</v>
      </c>
      <c r="J968" s="404">
        <v>1</v>
      </c>
      <c r="K968" s="707">
        <f t="shared" si="136"/>
        <v>3.9001560062402497E-4</v>
      </c>
      <c r="L968" s="708">
        <f t="shared" si="137"/>
        <v>1.5394088669950739E-4</v>
      </c>
      <c r="M968" s="426">
        <f t="shared" si="138"/>
        <v>1.0971983118856774</v>
      </c>
      <c r="N968" s="427">
        <f t="shared" si="135"/>
        <v>0.4034398192803636</v>
      </c>
      <c r="O968" s="426">
        <v>0.47117538403636833</v>
      </c>
      <c r="P968" s="426">
        <f t="shared" si="139"/>
        <v>0.10043612581941701</v>
      </c>
      <c r="Q968" s="426">
        <f t="shared" si="140"/>
        <v>0.12243163737386933</v>
      </c>
      <c r="R968" s="532">
        <f t="shared" si="141"/>
        <v>8.5277763005013413E-2</v>
      </c>
    </row>
    <row r="969" spans="1:18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438">
        <f t="shared" si="134"/>
        <v>4572.4000000000005</v>
      </c>
      <c r="G969" s="404">
        <v>1100</v>
      </c>
      <c r="H969" s="404">
        <v>0</v>
      </c>
      <c r="I969" s="404">
        <v>5000</v>
      </c>
      <c r="J969" s="404">
        <v>126</v>
      </c>
      <c r="K969" s="707">
        <f t="shared" si="136"/>
        <v>0</v>
      </c>
      <c r="L969" s="708">
        <f t="shared" si="137"/>
        <v>1.9396551724137932E-2</v>
      </c>
      <c r="M969" s="426">
        <f t="shared" si="138"/>
        <v>39.124202586206899</v>
      </c>
      <c r="N969" s="427">
        <f t="shared" si="135"/>
        <v>14.385969290948278</v>
      </c>
      <c r="O969" s="426">
        <v>16.954872582130797</v>
      </c>
      <c r="P969" s="426">
        <f>(K969+L969)*84.64</f>
        <v>1.6417241379310346</v>
      </c>
      <c r="Q969" s="426">
        <f t="shared" si="140"/>
        <v>2.0012617241379314</v>
      </c>
      <c r="R969" s="532">
        <f t="shared" si="141"/>
        <v>1.5770004504683976E-2</v>
      </c>
    </row>
    <row r="970" spans="1:18" s="6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258">
        <f t="shared" si="134"/>
        <v>140.30000000000001</v>
      </c>
      <c r="G970" s="146">
        <v>1100</v>
      </c>
      <c r="H970" s="247">
        <v>12</v>
      </c>
      <c r="I970" s="146">
        <v>5000</v>
      </c>
      <c r="J970" s="146">
        <v>0</v>
      </c>
      <c r="K970" s="707">
        <f t="shared" si="136"/>
        <v>2.3400936037441498E-3</v>
      </c>
      <c r="L970" s="708">
        <f t="shared" si="137"/>
        <v>0</v>
      </c>
      <c r="M970" s="426">
        <f t="shared" si="138"/>
        <v>4.7201326053042125</v>
      </c>
      <c r="N970" s="148">
        <f t="shared" si="135"/>
        <v>1.735592758970359</v>
      </c>
      <c r="O970" s="426">
        <v>2.0196774193548386</v>
      </c>
      <c r="P970" s="426">
        <f>(K970+L970)*84.64</f>
        <v>0.19806552262090485</v>
      </c>
      <c r="Q970" s="426">
        <f t="shared" si="140"/>
        <v>0.24144187207488302</v>
      </c>
      <c r="R970" s="532">
        <f t="shared" si="141"/>
        <v>6.1820871748042155E-2</v>
      </c>
    </row>
    <row r="971" spans="1:18" s="6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438">
        <f t="shared" si="134"/>
        <v>427.4</v>
      </c>
      <c r="G971" s="404">
        <v>1100</v>
      </c>
      <c r="H971" s="404">
        <v>38</v>
      </c>
      <c r="I971" s="404">
        <v>5000</v>
      </c>
      <c r="J971" s="404">
        <v>15</v>
      </c>
      <c r="K971" s="707">
        <f t="shared" si="136"/>
        <v>7.4102964118564745E-3</v>
      </c>
      <c r="L971" s="708">
        <f t="shared" si="137"/>
        <v>2.3091133004926111E-3</v>
      </c>
      <c r="M971" s="426">
        <f t="shared" si="138"/>
        <v>19.604729748487969</v>
      </c>
      <c r="N971" s="427">
        <f t="shared" si="135"/>
        <v>7.2086591285190265</v>
      </c>
      <c r="O971" s="426">
        <v>8.4140823734487515</v>
      </c>
      <c r="P971" s="426">
        <f t="shared" si="139"/>
        <v>1.794591809288135</v>
      </c>
      <c r="Q971" s="426">
        <f t="shared" si="140"/>
        <v>2.1876074155222369</v>
      </c>
      <c r="R971" s="532">
        <f t="shared" si="141"/>
        <v>8.6621579456583733E-2</v>
      </c>
    </row>
    <row r="972" spans="1:18" s="6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438">
        <f t="shared" si="134"/>
        <v>954</v>
      </c>
      <c r="G972" s="404">
        <v>1100</v>
      </c>
      <c r="H972" s="404">
        <v>34</v>
      </c>
      <c r="I972" s="404">
        <v>5000</v>
      </c>
      <c r="J972" s="404">
        <v>44</v>
      </c>
      <c r="K972" s="707">
        <f t="shared" si="136"/>
        <v>6.6302652106084246E-3</v>
      </c>
      <c r="L972" s="708">
        <f t="shared" si="137"/>
        <v>6.7733990147783255E-3</v>
      </c>
      <c r="M972" s="426">
        <f t="shared" si="138"/>
        <v>27.03612899910085</v>
      </c>
      <c r="N972" s="427">
        <f t="shared" si="135"/>
        <v>9.9411846329693834</v>
      </c>
      <c r="O972" s="426">
        <v>11.643168510503431</v>
      </c>
      <c r="P972" s="426">
        <f t="shared" si="139"/>
        <v>2.4748525625754092</v>
      </c>
      <c r="Q972" s="426">
        <f t="shared" si="140"/>
        <v>3.016845273779424</v>
      </c>
      <c r="R972" s="532">
        <f t="shared" si="141"/>
        <v>5.3559051053615379E-2</v>
      </c>
    </row>
    <row r="973" spans="1:18" s="6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438">
        <f t="shared" si="134"/>
        <v>202.5</v>
      </c>
      <c r="G973" s="404">
        <v>1100</v>
      </c>
      <c r="H973" s="404">
        <v>4</v>
      </c>
      <c r="I973" s="404">
        <v>5000</v>
      </c>
      <c r="J973" s="404">
        <v>2</v>
      </c>
      <c r="K973" s="707">
        <f t="shared" si="136"/>
        <v>7.8003120124804995E-4</v>
      </c>
      <c r="L973" s="708">
        <f t="shared" si="137"/>
        <v>3.0788177339901478E-4</v>
      </c>
      <c r="M973" s="426">
        <f t="shared" si="138"/>
        <v>2.1943966237713548</v>
      </c>
      <c r="N973" s="427">
        <f t="shared" si="135"/>
        <v>0.8068796385607272</v>
      </c>
      <c r="O973" s="426">
        <v>0.94235076807273666</v>
      </c>
      <c r="P973" s="426">
        <f t="shared" si="139"/>
        <v>0.20087225163883402</v>
      </c>
      <c r="Q973" s="426">
        <f t="shared" si="140"/>
        <v>0.24486327474773867</v>
      </c>
      <c r="R973" s="532">
        <f t="shared" si="141"/>
        <v>2.0466663121203221E-2</v>
      </c>
    </row>
    <row r="974" spans="1:18" s="6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438">
        <f t="shared" si="134"/>
        <v>308.2</v>
      </c>
      <c r="G974" s="404">
        <v>1100</v>
      </c>
      <c r="H974" s="404">
        <v>12</v>
      </c>
      <c r="I974" s="404">
        <v>5000</v>
      </c>
      <c r="J974" s="404">
        <v>4</v>
      </c>
      <c r="K974" s="707">
        <f t="shared" si="136"/>
        <v>2.3400936037441498E-3</v>
      </c>
      <c r="L974" s="708">
        <f t="shared" si="137"/>
        <v>6.1576354679802956E-4</v>
      </c>
      <c r="M974" s="426">
        <f t="shared" si="138"/>
        <v>5.9621707826441135</v>
      </c>
      <c r="N974" s="427">
        <f t="shared" si="135"/>
        <v>2.1922901967782407</v>
      </c>
      <c r="O974" s="426">
        <v>2.5579273425970861</v>
      </c>
      <c r="P974" s="426">
        <f t="shared" si="139"/>
        <v>0.54576946427610795</v>
      </c>
      <c r="Q974" s="426">
        <f t="shared" si="140"/>
        <v>0.66529297695257561</v>
      </c>
      <c r="R974" s="532">
        <f t="shared" si="141"/>
        <v>3.6528740383827217E-2</v>
      </c>
    </row>
    <row r="975" spans="1:18" s="6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438">
        <f t="shared" si="134"/>
        <v>44.1</v>
      </c>
      <c r="G975" s="404">
        <v>1100</v>
      </c>
      <c r="H975" s="404">
        <v>6</v>
      </c>
      <c r="I975" s="404">
        <v>5000</v>
      </c>
      <c r="J975" s="404">
        <v>2</v>
      </c>
      <c r="K975" s="707">
        <f t="shared" si="136"/>
        <v>1.1700468018720749E-3</v>
      </c>
      <c r="L975" s="708">
        <f t="shared" si="137"/>
        <v>3.0788177339901478E-4</v>
      </c>
      <c r="M975" s="426">
        <f t="shared" si="138"/>
        <v>2.9810853913220567</v>
      </c>
      <c r="N975" s="427">
        <f t="shared" si="135"/>
        <v>1.0961450983891203</v>
      </c>
      <c r="O975" s="426">
        <v>1.278963671298543</v>
      </c>
      <c r="P975" s="426">
        <f t="shared" si="139"/>
        <v>0.27288473213805398</v>
      </c>
      <c r="Q975" s="426">
        <f t="shared" si="140"/>
        <v>0.3326464884762878</v>
      </c>
      <c r="R975" s="532">
        <f t="shared" si="141"/>
        <v>0.12764351231627605</v>
      </c>
    </row>
    <row r="976" spans="1:18" s="6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438">
        <f t="shared" si="134"/>
        <v>236.79</v>
      </c>
      <c r="G976" s="404">
        <v>1100</v>
      </c>
      <c r="H976" s="404">
        <v>3</v>
      </c>
      <c r="I976" s="404">
        <v>5000</v>
      </c>
      <c r="J976" s="404">
        <v>2</v>
      </c>
      <c r="K976" s="707">
        <f t="shared" si="136"/>
        <v>5.8502340093603746E-4</v>
      </c>
      <c r="L976" s="708">
        <f t="shared" si="137"/>
        <v>3.0788177339901478E-4</v>
      </c>
      <c r="M976" s="426">
        <f t="shared" si="138"/>
        <v>1.8010522399960038</v>
      </c>
      <c r="N976" s="427">
        <f t="shared" si="135"/>
        <v>0.66224690864653069</v>
      </c>
      <c r="O976" s="426">
        <v>0.77404431645983329</v>
      </c>
      <c r="P976" s="426">
        <f t="shared" si="139"/>
        <v>0.16486601138922405</v>
      </c>
      <c r="Q976" s="426">
        <f t="shared" si="140"/>
        <v>0.20097166788346413</v>
      </c>
      <c r="R976" s="532">
        <f t="shared" si="141"/>
        <v>1.4368045426291618E-2</v>
      </c>
    </row>
    <row r="977" spans="1:18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438">
        <f t="shared" si="134"/>
        <v>571.4</v>
      </c>
      <c r="G977" s="404">
        <v>1100</v>
      </c>
      <c r="H977" s="404">
        <v>7</v>
      </c>
      <c r="I977" s="404">
        <v>5000</v>
      </c>
      <c r="J977" s="404">
        <v>5</v>
      </c>
      <c r="K977" s="707">
        <f t="shared" si="136"/>
        <v>1.3650546021840874E-3</v>
      </c>
      <c r="L977" s="708">
        <f t="shared" si="137"/>
        <v>7.6970443349753698E-4</v>
      </c>
      <c r="M977" s="426">
        <f t="shared" si="138"/>
        <v>4.3059584081023337</v>
      </c>
      <c r="N977" s="427">
        <f t="shared" si="135"/>
        <v>1.5833009066592283</v>
      </c>
      <c r="O977" s="426">
        <v>1.8509575653431318</v>
      </c>
      <c r="P977" s="426">
        <f t="shared" si="139"/>
        <v>0.3941619083482551</v>
      </c>
      <c r="Q977" s="426">
        <f t="shared" si="140"/>
        <v>0.48048336627652299</v>
      </c>
      <c r="R977" s="532">
        <f t="shared" si="141"/>
        <v>1.4235874673526338E-2</v>
      </c>
    </row>
    <row r="978" spans="1:18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438">
        <f t="shared" si="134"/>
        <v>654.29999999999995</v>
      </c>
      <c r="G978" s="404">
        <v>1100</v>
      </c>
      <c r="H978" s="404">
        <v>6</v>
      </c>
      <c r="I978" s="404">
        <v>5000</v>
      </c>
      <c r="J978" s="404">
        <v>3</v>
      </c>
      <c r="K978" s="707">
        <f t="shared" si="136"/>
        <v>1.1700468018720749E-3</v>
      </c>
      <c r="L978" s="708">
        <f t="shared" si="137"/>
        <v>4.6182266009852215E-4</v>
      </c>
      <c r="M978" s="426">
        <f t="shared" si="138"/>
        <v>3.2915949356570318</v>
      </c>
      <c r="N978" s="427">
        <f t="shared" si="135"/>
        <v>1.2103194578410907</v>
      </c>
      <c r="O978" s="426">
        <v>1.4135261521091049</v>
      </c>
      <c r="P978" s="426">
        <f t="shared" si="139"/>
        <v>0.30130837745825101</v>
      </c>
      <c r="Q978" s="426">
        <f t="shared" si="140"/>
        <v>0.36729491212160803</v>
      </c>
      <c r="R978" s="532">
        <f t="shared" si="141"/>
        <v>9.5013738698845763E-3</v>
      </c>
    </row>
    <row r="979" spans="1:18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438">
        <f t="shared" si="134"/>
        <v>559.79999999999995</v>
      </c>
      <c r="G979" s="404">
        <v>1100</v>
      </c>
      <c r="H979" s="404">
        <v>8</v>
      </c>
      <c r="I979" s="404">
        <v>5000</v>
      </c>
      <c r="J979" s="404">
        <v>6</v>
      </c>
      <c r="K979" s="707">
        <f t="shared" si="136"/>
        <v>1.5600624024960999E-3</v>
      </c>
      <c r="L979" s="708">
        <f t="shared" si="137"/>
        <v>9.2364532019704429E-4</v>
      </c>
      <c r="M979" s="426">
        <f t="shared" si="138"/>
        <v>5.0098123362126596</v>
      </c>
      <c r="N979" s="427">
        <f t="shared" si="135"/>
        <v>1.842107996025395</v>
      </c>
      <c r="O979" s="426">
        <v>2.1538264977665968</v>
      </c>
      <c r="P979" s="426">
        <f t="shared" si="139"/>
        <v>0.4585917939180621</v>
      </c>
      <c r="Q979" s="426">
        <f t="shared" si="140"/>
        <v>0.55902339678611779</v>
      </c>
      <c r="R979" s="532">
        <f t="shared" si="141"/>
        <v>1.6906642772280663E-2</v>
      </c>
    </row>
    <row r="980" spans="1:18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438">
        <f t="shared" si="134"/>
        <v>681</v>
      </c>
      <c r="G980" s="404">
        <v>1100</v>
      </c>
      <c r="H980" s="404">
        <v>8</v>
      </c>
      <c r="I980" s="692">
        <v>5000</v>
      </c>
      <c r="J980" s="404">
        <v>6</v>
      </c>
      <c r="K980" s="707">
        <f t="shared" si="136"/>
        <v>1.5600624024960999E-3</v>
      </c>
      <c r="L980" s="708">
        <f t="shared" si="137"/>
        <v>9.2364532019704429E-4</v>
      </c>
      <c r="M980" s="426">
        <f t="shared" si="138"/>
        <v>5.0098123362126596</v>
      </c>
      <c r="N980" s="427">
        <f t="shared" si="135"/>
        <v>1.842107996025395</v>
      </c>
      <c r="O980" s="426">
        <v>2.1538264977665968</v>
      </c>
      <c r="P980" s="426">
        <f t="shared" si="139"/>
        <v>0.4585917939180621</v>
      </c>
      <c r="Q980" s="426">
        <f t="shared" si="140"/>
        <v>0.55902339678611779</v>
      </c>
      <c r="R980" s="532">
        <f t="shared" si="141"/>
        <v>1.389770723042983E-2</v>
      </c>
    </row>
    <row r="981" spans="1:18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438">
        <f t="shared" si="134"/>
        <v>373.3</v>
      </c>
      <c r="G981" s="404">
        <v>1100</v>
      </c>
      <c r="H981" s="404">
        <v>5</v>
      </c>
      <c r="I981" s="692">
        <v>5000</v>
      </c>
      <c r="J981" s="404">
        <v>3</v>
      </c>
      <c r="K981" s="707">
        <f t="shared" si="136"/>
        <v>9.7503900156006244E-4</v>
      </c>
      <c r="L981" s="708">
        <f t="shared" si="137"/>
        <v>4.6182266009852215E-4</v>
      </c>
      <c r="M981" s="426">
        <f t="shared" si="138"/>
        <v>2.8982505518816808</v>
      </c>
      <c r="N981" s="427">
        <f t="shared" si="135"/>
        <v>1.065686727926894</v>
      </c>
      <c r="O981" s="426">
        <v>1.2452197004962016</v>
      </c>
      <c r="P981" s="426">
        <f t="shared" si="139"/>
        <v>0.26530213720864104</v>
      </c>
      <c r="Q981" s="426">
        <f t="shared" si="140"/>
        <v>0.32340330525733346</v>
      </c>
      <c r="R981" s="532">
        <f t="shared" si="141"/>
        <v>1.4665039157550006E-2</v>
      </c>
    </row>
    <row r="982" spans="1:18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438">
        <f t="shared" si="134"/>
        <v>395.4</v>
      </c>
      <c r="G982" s="404">
        <v>1100</v>
      </c>
      <c r="H982" s="404">
        <v>6</v>
      </c>
      <c r="I982" s="692">
        <v>5000</v>
      </c>
      <c r="J982" s="404">
        <v>3</v>
      </c>
      <c r="K982" s="707">
        <f t="shared" si="136"/>
        <v>1.1700468018720749E-3</v>
      </c>
      <c r="L982" s="708">
        <f t="shared" si="137"/>
        <v>4.6182266009852215E-4</v>
      </c>
      <c r="M982" s="426">
        <f t="shared" si="138"/>
        <v>3.2915949356570318</v>
      </c>
      <c r="N982" s="427">
        <f t="shared" si="135"/>
        <v>1.2103194578410907</v>
      </c>
      <c r="O982" s="426">
        <v>1.4135261521091049</v>
      </c>
      <c r="P982" s="426">
        <f t="shared" si="139"/>
        <v>0.30130837745825101</v>
      </c>
      <c r="Q982" s="426">
        <f t="shared" si="140"/>
        <v>0.36729491212160803</v>
      </c>
      <c r="R982" s="532">
        <f t="shared" si="141"/>
        <v>1.5722683164050275E-2</v>
      </c>
    </row>
    <row r="983" spans="1:18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438">
        <f t="shared" si="134"/>
        <v>359.5</v>
      </c>
      <c r="G983" s="404">
        <v>1100</v>
      </c>
      <c r="H983" s="404">
        <v>7</v>
      </c>
      <c r="I983" s="692">
        <v>5000</v>
      </c>
      <c r="J983" s="404">
        <v>3</v>
      </c>
      <c r="K983" s="707">
        <f t="shared" si="136"/>
        <v>1.3650546021840874E-3</v>
      </c>
      <c r="L983" s="708">
        <f t="shared" si="137"/>
        <v>4.6182266009852215E-4</v>
      </c>
      <c r="M983" s="426">
        <f t="shared" si="138"/>
        <v>3.6849393194323827</v>
      </c>
      <c r="N983" s="427">
        <f t="shared" si="135"/>
        <v>1.3549521877552873</v>
      </c>
      <c r="O983" s="426">
        <v>1.5818326037220081</v>
      </c>
      <c r="P983" s="426">
        <f t="shared" si="139"/>
        <v>0.33731461770786098</v>
      </c>
      <c r="Q983" s="426">
        <f t="shared" si="140"/>
        <v>0.41118651898588254</v>
      </c>
      <c r="R983" s="532">
        <f t="shared" si="141"/>
        <v>1.9357548619242111E-2</v>
      </c>
    </row>
    <row r="984" spans="1:18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438">
        <f t="shared" si="134"/>
        <v>581.70000000000005</v>
      </c>
      <c r="G984" s="404">
        <v>1100</v>
      </c>
      <c r="H984" s="404">
        <v>8</v>
      </c>
      <c r="I984" s="692">
        <v>5000</v>
      </c>
      <c r="J984" s="404">
        <v>3</v>
      </c>
      <c r="K984" s="707">
        <f t="shared" si="136"/>
        <v>1.5600624024960999E-3</v>
      </c>
      <c r="L984" s="708">
        <f t="shared" si="137"/>
        <v>4.6182266009852215E-4</v>
      </c>
      <c r="M984" s="426">
        <f t="shared" si="138"/>
        <v>4.0782837032077337</v>
      </c>
      <c r="N984" s="427">
        <f t="shared" si="135"/>
        <v>1.4995849176694838</v>
      </c>
      <c r="O984" s="426">
        <v>1.7501390553349112</v>
      </c>
      <c r="P984" s="426">
        <f t="shared" si="139"/>
        <v>0.37332085795747094</v>
      </c>
      <c r="Q984" s="426">
        <f t="shared" si="140"/>
        <v>0.45507812585015711</v>
      </c>
      <c r="R984" s="532">
        <f t="shared" si="141"/>
        <v>1.3239347660597556E-2</v>
      </c>
    </row>
    <row r="985" spans="1:18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438">
        <f t="shared" si="134"/>
        <v>397</v>
      </c>
      <c r="G985" s="404">
        <v>1100</v>
      </c>
      <c r="H985" s="404">
        <v>26</v>
      </c>
      <c r="I985" s="692">
        <v>5000</v>
      </c>
      <c r="J985" s="404">
        <v>1</v>
      </c>
      <c r="K985" s="707">
        <f t="shared" si="136"/>
        <v>5.0702028081123247E-3</v>
      </c>
      <c r="L985" s="708">
        <f t="shared" si="137"/>
        <v>1.5394088669950739E-4</v>
      </c>
      <c r="M985" s="426">
        <f t="shared" si="138"/>
        <v>10.537463522494102</v>
      </c>
      <c r="N985" s="427">
        <f t="shared" si="135"/>
        <v>3.8746253372210817</v>
      </c>
      <c r="O985" s="426">
        <v>4.5105302227460449</v>
      </c>
      <c r="P985" s="426">
        <f t="shared" si="139"/>
        <v>0.96458589181005661</v>
      </c>
      <c r="Q985" s="426">
        <f t="shared" si="140"/>
        <v>1.1758302021164591</v>
      </c>
      <c r="R985" s="532">
        <f t="shared" si="141"/>
        <v>5.0093715300431448E-2</v>
      </c>
    </row>
    <row r="986" spans="1:18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438">
        <f t="shared" si="134"/>
        <v>271.5</v>
      </c>
      <c r="G986" s="404">
        <v>1100</v>
      </c>
      <c r="H986" s="404">
        <v>12</v>
      </c>
      <c r="I986" s="692">
        <v>5000</v>
      </c>
      <c r="J986" s="404">
        <v>5</v>
      </c>
      <c r="K986" s="707">
        <f t="shared" si="136"/>
        <v>2.3400936037441498E-3</v>
      </c>
      <c r="L986" s="708">
        <f t="shared" si="137"/>
        <v>7.6970443349753698E-4</v>
      </c>
      <c r="M986" s="426">
        <f t="shared" si="138"/>
        <v>6.2726803269790885</v>
      </c>
      <c r="N986" s="427">
        <f t="shared" si="135"/>
        <v>2.3064645562302108</v>
      </c>
      <c r="O986" s="426">
        <v>2.692489823407648</v>
      </c>
      <c r="P986" s="426">
        <f t="shared" si="139"/>
        <v>0.57419310959630498</v>
      </c>
      <c r="Q986" s="426">
        <f t="shared" si="140"/>
        <v>0.69994140059789578</v>
      </c>
      <c r="R986" s="532">
        <f t="shared" si="141"/>
        <v>4.3631041680343464E-2</v>
      </c>
    </row>
    <row r="987" spans="1:18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438">
        <f t="shared" si="134"/>
        <v>258.60000000000002</v>
      </c>
      <c r="G987" s="404">
        <v>1100</v>
      </c>
      <c r="H987" s="404">
        <v>8</v>
      </c>
      <c r="I987" s="692">
        <v>5000</v>
      </c>
      <c r="J987" s="404">
        <v>3</v>
      </c>
      <c r="K987" s="707">
        <f t="shared" si="136"/>
        <v>1.5600624024960999E-3</v>
      </c>
      <c r="L987" s="708">
        <f t="shared" si="137"/>
        <v>4.6182266009852215E-4</v>
      </c>
      <c r="M987" s="426">
        <f t="shared" si="138"/>
        <v>4.0782837032077337</v>
      </c>
      <c r="N987" s="427">
        <f t="shared" si="135"/>
        <v>1.4995849176694838</v>
      </c>
      <c r="O987" s="426">
        <v>1.7501390553349112</v>
      </c>
      <c r="P987" s="426">
        <f t="shared" si="139"/>
        <v>0.37332085795747094</v>
      </c>
      <c r="Q987" s="426">
        <f t="shared" si="140"/>
        <v>0.45507812585015711</v>
      </c>
      <c r="R987" s="532">
        <f t="shared" si="141"/>
        <v>2.9780852800346477E-2</v>
      </c>
    </row>
    <row r="988" spans="1:18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438">
        <f t="shared" si="134"/>
        <v>737.4</v>
      </c>
      <c r="G988" s="404">
        <v>1100</v>
      </c>
      <c r="H988" s="404">
        <v>12</v>
      </c>
      <c r="I988" s="692">
        <v>5000</v>
      </c>
      <c r="J988" s="404">
        <v>4</v>
      </c>
      <c r="K988" s="707">
        <f t="shared" si="136"/>
        <v>2.3400936037441498E-3</v>
      </c>
      <c r="L988" s="708">
        <f t="shared" si="137"/>
        <v>6.1576354679802956E-4</v>
      </c>
      <c r="M988" s="426">
        <f t="shared" si="138"/>
        <v>5.9621707826441135</v>
      </c>
      <c r="N988" s="427">
        <f t="shared" si="135"/>
        <v>2.1922901967782407</v>
      </c>
      <c r="O988" s="426">
        <v>2.5579273425970861</v>
      </c>
      <c r="P988" s="426">
        <f t="shared" si="139"/>
        <v>0.54576946427610795</v>
      </c>
      <c r="Q988" s="426">
        <f t="shared" si="140"/>
        <v>0.66529297695257561</v>
      </c>
      <c r="R988" s="532">
        <f t="shared" si="141"/>
        <v>1.5267368844989896E-2</v>
      </c>
    </row>
    <row r="989" spans="1:18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438">
        <f t="shared" si="134"/>
        <v>473.4</v>
      </c>
      <c r="G989" s="404">
        <v>1100</v>
      </c>
      <c r="H989" s="404">
        <v>20</v>
      </c>
      <c r="I989" s="692">
        <v>5000</v>
      </c>
      <c r="J989" s="404">
        <v>10</v>
      </c>
      <c r="K989" s="707">
        <f t="shared" si="136"/>
        <v>3.9001560062402497E-3</v>
      </c>
      <c r="L989" s="708">
        <f t="shared" si="137"/>
        <v>1.539408866995074E-3</v>
      </c>
      <c r="M989" s="426">
        <f t="shared" si="138"/>
        <v>10.971983118856773</v>
      </c>
      <c r="N989" s="427">
        <f t="shared" si="135"/>
        <v>4.0343981928036357</v>
      </c>
      <c r="O989" s="426">
        <v>4.7117538403636834</v>
      </c>
      <c r="P989" s="426">
        <f t="shared" si="139"/>
        <v>1.0043612581941701</v>
      </c>
      <c r="Q989" s="426">
        <f t="shared" si="140"/>
        <v>1.2243163737386935</v>
      </c>
      <c r="R989" s="532">
        <f t="shared" si="141"/>
        <v>4.3773756675577237E-2</v>
      </c>
    </row>
    <row r="990" spans="1:18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438">
        <f t="shared" si="134"/>
        <v>320.60000000000002</v>
      </c>
      <c r="G990" s="404">
        <v>1100</v>
      </c>
      <c r="H990" s="404">
        <v>13</v>
      </c>
      <c r="I990" s="692">
        <v>5000</v>
      </c>
      <c r="J990" s="404">
        <v>11</v>
      </c>
      <c r="K990" s="707">
        <f t="shared" si="136"/>
        <v>2.5351014040561623E-3</v>
      </c>
      <c r="L990" s="708">
        <f t="shared" si="137"/>
        <v>1.6933497536945814E-3</v>
      </c>
      <c r="M990" s="426">
        <f t="shared" si="138"/>
        <v>8.529081976764294</v>
      </c>
      <c r="N990" s="427">
        <f t="shared" si="135"/>
        <v>3.1361434428562309</v>
      </c>
      <c r="O990" s="426">
        <v>3.6681711598839226</v>
      </c>
      <c r="P990" s="426">
        <f t="shared" si="139"/>
        <v>0.78074122176709737</v>
      </c>
      <c r="Q990" s="426">
        <f t="shared" si="140"/>
        <v>0.95172354933409176</v>
      </c>
      <c r="R990" s="532">
        <f t="shared" si="141"/>
        <v>5.0262438556679806E-2</v>
      </c>
    </row>
    <row r="991" spans="1:18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438">
        <f t="shared" si="134"/>
        <v>963.8</v>
      </c>
      <c r="G991" s="404">
        <v>1100</v>
      </c>
      <c r="H991" s="404">
        <v>18</v>
      </c>
      <c r="I991" s="692">
        <v>5000</v>
      </c>
      <c r="J991" s="404">
        <v>0</v>
      </c>
      <c r="K991" s="707">
        <f t="shared" si="136"/>
        <v>3.5101404056162248E-3</v>
      </c>
      <c r="L991" s="708">
        <f t="shared" si="137"/>
        <v>0</v>
      </c>
      <c r="M991" s="426">
        <f t="shared" si="138"/>
        <v>7.0801989079563183</v>
      </c>
      <c r="N991" s="427">
        <f t="shared" si="135"/>
        <v>2.6033891384555385</v>
      </c>
      <c r="O991" s="426">
        <v>3.0295161290322579</v>
      </c>
      <c r="P991" s="426">
        <f t="shared" si="139"/>
        <v>0.64811232449297973</v>
      </c>
      <c r="Q991" s="426">
        <f t="shared" si="140"/>
        <v>0.79004892355694234</v>
      </c>
      <c r="R991" s="532">
        <f t="shared" si="141"/>
        <v>1.3863059244591299E-2</v>
      </c>
    </row>
    <row r="992" spans="1:18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438">
        <f t="shared" si="134"/>
        <v>143.69999999999999</v>
      </c>
      <c r="G992" s="404">
        <v>1100</v>
      </c>
      <c r="H992" s="404">
        <v>6</v>
      </c>
      <c r="I992" s="692">
        <v>5000</v>
      </c>
      <c r="J992" s="404">
        <v>3</v>
      </c>
      <c r="K992" s="707">
        <f t="shared" si="136"/>
        <v>1.1700468018720749E-3</v>
      </c>
      <c r="L992" s="708">
        <f t="shared" si="137"/>
        <v>4.6182266009852215E-4</v>
      </c>
      <c r="M992" s="426">
        <f t="shared" si="138"/>
        <v>3.2915949356570318</v>
      </c>
      <c r="N992" s="427">
        <f t="shared" si="135"/>
        <v>1.2103194578410907</v>
      </c>
      <c r="O992" s="426">
        <v>1.4135261521091049</v>
      </c>
      <c r="P992" s="426">
        <f t="shared" si="139"/>
        <v>0.30130837745825101</v>
      </c>
      <c r="Q992" s="426">
        <f t="shared" si="140"/>
        <v>0.36729491212160803</v>
      </c>
      <c r="R992" s="532">
        <f t="shared" si="141"/>
        <v>4.3261996681040214E-2</v>
      </c>
    </row>
    <row r="993" spans="1:18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438">
        <f t="shared" si="134"/>
        <v>136.80000000000001</v>
      </c>
      <c r="G993" s="404">
        <v>1100</v>
      </c>
      <c r="H993" s="404">
        <v>4</v>
      </c>
      <c r="I993" s="692">
        <v>5000</v>
      </c>
      <c r="J993" s="404">
        <v>2</v>
      </c>
      <c r="K993" s="707">
        <f t="shared" si="136"/>
        <v>7.8003120124804995E-4</v>
      </c>
      <c r="L993" s="708">
        <f t="shared" si="137"/>
        <v>3.0788177339901478E-4</v>
      </c>
      <c r="M993" s="426">
        <f t="shared" si="138"/>
        <v>2.1943966237713548</v>
      </c>
      <c r="N993" s="427">
        <f t="shared" si="135"/>
        <v>0.8068796385607272</v>
      </c>
      <c r="O993" s="426">
        <v>0.94235076807273666</v>
      </c>
      <c r="P993" s="426">
        <f t="shared" si="139"/>
        <v>0.20087225163883402</v>
      </c>
      <c r="Q993" s="426">
        <f t="shared" si="140"/>
        <v>0.24486327474773867</v>
      </c>
      <c r="R993" s="532">
        <f t="shared" si="141"/>
        <v>3.0296047383360027E-2</v>
      </c>
    </row>
    <row r="994" spans="1:18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438">
        <f t="shared" si="134"/>
        <v>128.1</v>
      </c>
      <c r="G994" s="404">
        <v>1100</v>
      </c>
      <c r="H994" s="404">
        <v>12</v>
      </c>
      <c r="I994" s="692">
        <v>5000</v>
      </c>
      <c r="J994" s="404">
        <v>0</v>
      </c>
      <c r="K994" s="707">
        <f t="shared" si="136"/>
        <v>2.3400936037441498E-3</v>
      </c>
      <c r="L994" s="708">
        <f t="shared" si="137"/>
        <v>0</v>
      </c>
      <c r="M994" s="426">
        <f t="shared" si="138"/>
        <v>4.7201326053042125</v>
      </c>
      <c r="N994" s="427">
        <f t="shared" si="135"/>
        <v>1.735592758970359</v>
      </c>
      <c r="O994" s="426">
        <v>2.0196774193548386</v>
      </c>
      <c r="P994" s="426">
        <f t="shared" si="139"/>
        <v>0.43207488299531982</v>
      </c>
      <c r="Q994" s="426">
        <f t="shared" si="140"/>
        <v>0.52669928237129493</v>
      </c>
      <c r="R994" s="532">
        <f t="shared" si="141"/>
        <v>6.9535344782394454E-2</v>
      </c>
    </row>
    <row r="995" spans="1:18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438">
        <f t="shared" si="134"/>
        <v>72.5</v>
      </c>
      <c r="G995" s="404">
        <v>1100</v>
      </c>
      <c r="H995" s="404">
        <v>2</v>
      </c>
      <c r="I995" s="692">
        <v>5000</v>
      </c>
      <c r="J995" s="404">
        <v>1</v>
      </c>
      <c r="K995" s="707">
        <f t="shared" si="136"/>
        <v>3.9001560062402497E-4</v>
      </c>
      <c r="L995" s="708">
        <f t="shared" si="137"/>
        <v>1.5394088669950739E-4</v>
      </c>
      <c r="M995" s="426">
        <f t="shared" si="138"/>
        <v>1.0971983118856774</v>
      </c>
      <c r="N995" s="427">
        <f t="shared" si="135"/>
        <v>0.4034398192803636</v>
      </c>
      <c r="O995" s="426">
        <v>0.47117538403636833</v>
      </c>
      <c r="P995" s="426">
        <f t="shared" si="139"/>
        <v>0.10043612581941701</v>
      </c>
      <c r="Q995" s="426">
        <f t="shared" si="140"/>
        <v>0.12243163737386933</v>
      </c>
      <c r="R995" s="532">
        <f t="shared" si="141"/>
        <v>2.8582753669266568E-2</v>
      </c>
    </row>
    <row r="996" spans="1:18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438">
        <f t="shared" si="134"/>
        <v>237.6</v>
      </c>
      <c r="G996" s="404">
        <v>1100</v>
      </c>
      <c r="H996" s="404">
        <v>13</v>
      </c>
      <c r="I996" s="692">
        <v>5000</v>
      </c>
      <c r="J996" s="404">
        <v>5</v>
      </c>
      <c r="K996" s="707">
        <f t="shared" si="136"/>
        <v>2.5351014040561623E-3</v>
      </c>
      <c r="L996" s="708">
        <f t="shared" si="137"/>
        <v>7.6970443349753698E-4</v>
      </c>
      <c r="M996" s="426">
        <f t="shared" si="138"/>
        <v>6.6660247107544395</v>
      </c>
      <c r="N996" s="427">
        <f t="shared" si="135"/>
        <v>2.4510972861444076</v>
      </c>
      <c r="O996" s="426">
        <v>2.8607962750205509</v>
      </c>
      <c r="P996" s="426">
        <f t="shared" si="139"/>
        <v>0.61019934984591495</v>
      </c>
      <c r="Q996" s="426">
        <f t="shared" si="140"/>
        <v>0.7438330074621704</v>
      </c>
      <c r="R996" s="532">
        <f t="shared" si="141"/>
        <v>5.2980293020897788E-2</v>
      </c>
    </row>
    <row r="997" spans="1:18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438">
        <f t="shared" si="134"/>
        <v>106.4</v>
      </c>
      <c r="G997" s="404">
        <v>1100</v>
      </c>
      <c r="H997" s="404">
        <v>3</v>
      </c>
      <c r="I997" s="692">
        <v>5000</v>
      </c>
      <c r="J997" s="404">
        <v>1</v>
      </c>
      <c r="K997" s="707">
        <f t="shared" si="136"/>
        <v>5.8502340093603746E-4</v>
      </c>
      <c r="L997" s="708">
        <f t="shared" si="137"/>
        <v>1.5394088669950739E-4</v>
      </c>
      <c r="M997" s="426">
        <f t="shared" si="138"/>
        <v>1.4905426956610284</v>
      </c>
      <c r="N997" s="427">
        <f t="shared" si="135"/>
        <v>0.54807254919456017</v>
      </c>
      <c r="O997" s="426">
        <v>0.63948183564927152</v>
      </c>
      <c r="P997" s="426">
        <f t="shared" si="139"/>
        <v>0.13644236606902699</v>
      </c>
      <c r="Q997" s="426">
        <f t="shared" si="140"/>
        <v>0.1663232442381439</v>
      </c>
      <c r="R997" s="532">
        <f t="shared" si="141"/>
        <v>2.6452438407649312E-2</v>
      </c>
    </row>
    <row r="998" spans="1:18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438">
        <f t="shared" si="134"/>
        <v>348.62</v>
      </c>
      <c r="G998" s="404">
        <v>1100</v>
      </c>
      <c r="H998" s="404">
        <v>16</v>
      </c>
      <c r="I998" s="692">
        <v>5000</v>
      </c>
      <c r="J998" s="404">
        <v>16</v>
      </c>
      <c r="K998" s="707">
        <f t="shared" si="136"/>
        <v>3.1201248049921998E-3</v>
      </c>
      <c r="L998" s="708">
        <f t="shared" si="137"/>
        <v>2.4630541871921183E-3</v>
      </c>
      <c r="M998" s="426">
        <f t="shared" si="138"/>
        <v>11.261662849765223</v>
      </c>
      <c r="N998" s="427">
        <f t="shared" si="135"/>
        <v>4.1409134298586725</v>
      </c>
      <c r="O998" s="426">
        <v>4.8459029187754421</v>
      </c>
      <c r="P998" s="426">
        <f t="shared" si="139"/>
        <v>1.0308781691169124</v>
      </c>
      <c r="Q998" s="426">
        <f t="shared" si="140"/>
        <v>1.2566404881535163</v>
      </c>
      <c r="R998" s="532">
        <f t="shared" si="141"/>
        <v>6.1038831299168858E-2</v>
      </c>
    </row>
    <row r="999" spans="1:18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438">
        <f t="shared" si="134"/>
        <v>360.12</v>
      </c>
      <c r="G999" s="404">
        <v>1100</v>
      </c>
      <c r="H999" s="404">
        <v>15</v>
      </c>
      <c r="I999" s="692">
        <v>5000</v>
      </c>
      <c r="J999" s="404">
        <v>14</v>
      </c>
      <c r="K999" s="707">
        <f t="shared" si="136"/>
        <v>2.9251170046801873E-3</v>
      </c>
      <c r="L999" s="708">
        <f t="shared" si="137"/>
        <v>2.1551724137931034E-3</v>
      </c>
      <c r="M999" s="426">
        <f t="shared" si="138"/>
        <v>10.247299377319921</v>
      </c>
      <c r="N999" s="427">
        <f t="shared" si="135"/>
        <v>3.7679319810405354</v>
      </c>
      <c r="O999" s="426">
        <v>4.4084715055414145</v>
      </c>
      <c r="P999" s="426">
        <f t="shared" si="139"/>
        <v>0.93802463822690829</v>
      </c>
      <c r="Q999" s="426">
        <f t="shared" si="140"/>
        <v>1.1434520339986012</v>
      </c>
      <c r="R999" s="532">
        <f t="shared" si="141"/>
        <v>5.3764654843187772E-2</v>
      </c>
    </row>
    <row r="1000" spans="1:18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438">
        <f t="shared" si="134"/>
        <v>301.69</v>
      </c>
      <c r="G1000" s="404">
        <v>1100</v>
      </c>
      <c r="H1000" s="404">
        <v>28</v>
      </c>
      <c r="I1000" s="692">
        <v>5000</v>
      </c>
      <c r="J1000" s="404">
        <v>12</v>
      </c>
      <c r="K1000" s="707">
        <f t="shared" si="136"/>
        <v>5.4602184087363496E-3</v>
      </c>
      <c r="L1000" s="708">
        <f t="shared" si="137"/>
        <v>1.8472906403940886E-3</v>
      </c>
      <c r="M1000" s="426">
        <f t="shared" si="138"/>
        <v>14.739757277729531</v>
      </c>
      <c r="N1000" s="427">
        <f t="shared" si="135"/>
        <v>5.419808751021149</v>
      </c>
      <c r="O1000" s="426">
        <v>6.3273304148880323</v>
      </c>
      <c r="P1000" s="426">
        <f t="shared" si="139"/>
        <v>1.3492584708314439</v>
      </c>
      <c r="Q1000" s="426">
        <f t="shared" si="140"/>
        <v>1.6447460759435302</v>
      </c>
      <c r="R1000" s="532">
        <f t="shared" si="141"/>
        <v>9.2267409972057929E-2</v>
      </c>
    </row>
    <row r="1001" spans="1:18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438">
        <f t="shared" si="134"/>
        <v>136.1</v>
      </c>
      <c r="G1001" s="404">
        <v>1100</v>
      </c>
      <c r="H1001" s="404">
        <v>4</v>
      </c>
      <c r="I1001" s="692">
        <v>5000</v>
      </c>
      <c r="J1001" s="404">
        <v>2</v>
      </c>
      <c r="K1001" s="707">
        <f t="shared" si="136"/>
        <v>7.8003120124804995E-4</v>
      </c>
      <c r="L1001" s="708">
        <f t="shared" si="137"/>
        <v>3.0788177339901478E-4</v>
      </c>
      <c r="M1001" s="426">
        <f t="shared" si="138"/>
        <v>2.1943966237713548</v>
      </c>
      <c r="N1001" s="427">
        <f t="shared" si="135"/>
        <v>0.8068796385607272</v>
      </c>
      <c r="O1001" s="426">
        <v>0.94235076807273666</v>
      </c>
      <c r="P1001" s="426">
        <f t="shared" si="139"/>
        <v>0.20087225163883402</v>
      </c>
      <c r="Q1001" s="426">
        <f t="shared" si="140"/>
        <v>0.24486327474773867</v>
      </c>
      <c r="R1001" s="532">
        <f t="shared" si="141"/>
        <v>3.0451868347124558E-2</v>
      </c>
    </row>
    <row r="1002" spans="1:18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438">
        <f t="shared" si="134"/>
        <v>113.9</v>
      </c>
      <c r="G1002" s="404">
        <v>1100</v>
      </c>
      <c r="H1002" s="404">
        <v>4</v>
      </c>
      <c r="I1002" s="692">
        <v>5000</v>
      </c>
      <c r="J1002" s="404">
        <v>2</v>
      </c>
      <c r="K1002" s="707">
        <f t="shared" si="136"/>
        <v>7.8003120124804995E-4</v>
      </c>
      <c r="L1002" s="708">
        <f t="shared" si="137"/>
        <v>3.0788177339901478E-4</v>
      </c>
      <c r="M1002" s="426">
        <f t="shared" si="138"/>
        <v>2.1943966237713548</v>
      </c>
      <c r="N1002" s="427">
        <f t="shared" si="135"/>
        <v>0.8068796385607272</v>
      </c>
      <c r="O1002" s="426">
        <v>0.94235076807273666</v>
      </c>
      <c r="P1002" s="426">
        <f t="shared" si="139"/>
        <v>0.20087225163883402</v>
      </c>
      <c r="Q1002" s="426">
        <f t="shared" si="140"/>
        <v>0.24486327474773867</v>
      </c>
      <c r="R1002" s="532">
        <f t="shared" si="141"/>
        <v>3.6387175434974994E-2</v>
      </c>
    </row>
    <row r="1003" spans="1:18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438">
        <f t="shared" ref="F1003:F1064" si="142">C1003+D1003+E1003</f>
        <v>566.45000000000005</v>
      </c>
      <c r="G1003" s="404">
        <v>1100</v>
      </c>
      <c r="H1003" s="404">
        <v>6</v>
      </c>
      <c r="I1003" s="692">
        <v>5000</v>
      </c>
      <c r="J1003" s="404">
        <v>4</v>
      </c>
      <c r="K1003" s="707">
        <f t="shared" si="136"/>
        <v>1.1700468018720749E-3</v>
      </c>
      <c r="L1003" s="708">
        <f t="shared" si="137"/>
        <v>6.1576354679802956E-4</v>
      </c>
      <c r="M1003" s="426">
        <f t="shared" si="138"/>
        <v>3.6021044799920077</v>
      </c>
      <c r="N1003" s="427">
        <f t="shared" ref="N1003:N1064" si="143">M1003*0.3677</f>
        <v>1.3244938172930614</v>
      </c>
      <c r="O1003" s="426">
        <v>1.5480886329196666</v>
      </c>
      <c r="P1003" s="426">
        <f t="shared" si="139"/>
        <v>0.3297320227784481</v>
      </c>
      <c r="Q1003" s="426">
        <f t="shared" si="140"/>
        <v>0.40194333576692826</v>
      </c>
      <c r="R1003" s="532">
        <f t="shared" si="141"/>
        <v>1.2012391125400625E-2</v>
      </c>
    </row>
    <row r="1004" spans="1:18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438">
        <f t="shared" si="142"/>
        <v>760.45</v>
      </c>
      <c r="G1004" s="404">
        <v>1100</v>
      </c>
      <c r="H1004" s="406">
        <v>21</v>
      </c>
      <c r="I1004" s="692">
        <v>5000</v>
      </c>
      <c r="J1004" s="404">
        <v>0</v>
      </c>
      <c r="K1004" s="707">
        <f t="shared" si="136"/>
        <v>4.0951638065522622E-3</v>
      </c>
      <c r="L1004" s="708">
        <f t="shared" si="137"/>
        <v>0</v>
      </c>
      <c r="M1004" s="426">
        <f t="shared" si="138"/>
        <v>8.2602320592823713</v>
      </c>
      <c r="N1004" s="427">
        <f t="shared" si="143"/>
        <v>3.0372873281981283</v>
      </c>
      <c r="O1004" s="426">
        <v>3.5344354838709675</v>
      </c>
      <c r="P1004" s="426">
        <f t="shared" si="139"/>
        <v>0.75613104524180963</v>
      </c>
      <c r="Q1004" s="426">
        <f t="shared" si="140"/>
        <v>0.92172374414976599</v>
      </c>
      <c r="R1004" s="532">
        <f t="shared" si="141"/>
        <v>2.0498502092962424E-2</v>
      </c>
    </row>
    <row r="1005" spans="1:18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438">
        <f t="shared" si="142"/>
        <v>275.3</v>
      </c>
      <c r="G1005" s="404">
        <v>1100</v>
      </c>
      <c r="H1005" s="404">
        <v>7</v>
      </c>
      <c r="I1005" s="692">
        <v>5000</v>
      </c>
      <c r="J1005" s="404">
        <v>5</v>
      </c>
      <c r="K1005" s="707">
        <f t="shared" si="136"/>
        <v>1.3650546021840874E-3</v>
      </c>
      <c r="L1005" s="708">
        <f t="shared" si="137"/>
        <v>7.6970443349753698E-4</v>
      </c>
      <c r="M1005" s="426">
        <f t="shared" si="138"/>
        <v>4.3059584081023337</v>
      </c>
      <c r="N1005" s="427">
        <f t="shared" si="143"/>
        <v>1.5833009066592283</v>
      </c>
      <c r="O1005" s="426">
        <v>1.8509575653431318</v>
      </c>
      <c r="P1005" s="426">
        <f t="shared" si="139"/>
        <v>0.3941619083482551</v>
      </c>
      <c r="Q1005" s="426">
        <f t="shared" si="140"/>
        <v>0.48048336627652299</v>
      </c>
      <c r="R1005" s="532">
        <f t="shared" si="141"/>
        <v>2.954732578442771E-2</v>
      </c>
    </row>
    <row r="1006" spans="1:18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438">
        <f t="shared" si="142"/>
        <v>384.4</v>
      </c>
      <c r="G1006" s="404">
        <v>1100</v>
      </c>
      <c r="H1006" s="404">
        <v>14</v>
      </c>
      <c r="I1006" s="692">
        <v>5000</v>
      </c>
      <c r="J1006" s="404">
        <v>0</v>
      </c>
      <c r="K1006" s="707">
        <f t="shared" si="136"/>
        <v>2.7301092043681748E-3</v>
      </c>
      <c r="L1006" s="708">
        <f t="shared" si="137"/>
        <v>0</v>
      </c>
      <c r="M1006" s="426">
        <f t="shared" si="138"/>
        <v>5.5068213728549145</v>
      </c>
      <c r="N1006" s="427">
        <f t="shared" si="143"/>
        <v>2.0248582187987521</v>
      </c>
      <c r="O1006" s="426">
        <v>2.3562903225806453</v>
      </c>
      <c r="P1006" s="426">
        <f t="shared" si="139"/>
        <v>0.50408736349453975</v>
      </c>
      <c r="Q1006" s="426">
        <f t="shared" si="140"/>
        <v>0.61448249609984396</v>
      </c>
      <c r="R1006" s="532">
        <f t="shared" si="141"/>
        <v>2.7034488235506901E-2</v>
      </c>
    </row>
    <row r="1007" spans="1:18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438">
        <f t="shared" si="142"/>
        <v>207.2</v>
      </c>
      <c r="G1007" s="404">
        <v>1100</v>
      </c>
      <c r="H1007" s="404">
        <v>5</v>
      </c>
      <c r="I1007" s="692">
        <v>5000</v>
      </c>
      <c r="J1007" s="404">
        <v>2</v>
      </c>
      <c r="K1007" s="707">
        <f t="shared" si="136"/>
        <v>9.7503900156006244E-4</v>
      </c>
      <c r="L1007" s="708">
        <f t="shared" si="137"/>
        <v>3.0788177339901478E-4</v>
      </c>
      <c r="M1007" s="426">
        <f t="shared" si="138"/>
        <v>2.5877410075467058</v>
      </c>
      <c r="N1007" s="427">
        <f t="shared" si="143"/>
        <v>0.95151236847492382</v>
      </c>
      <c r="O1007" s="426">
        <v>1.1106572196856397</v>
      </c>
      <c r="P1007" s="426">
        <f t="shared" si="139"/>
        <v>0.23687849188844401</v>
      </c>
      <c r="Q1007" s="426">
        <f t="shared" si="140"/>
        <v>0.28875488161201329</v>
      </c>
      <c r="R1007" s="532">
        <f t="shared" si="141"/>
        <v>2.358488941889823E-2</v>
      </c>
    </row>
    <row r="1008" spans="1:18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438">
        <f t="shared" si="142"/>
        <v>603.70000000000005</v>
      </c>
      <c r="G1008" s="404">
        <v>1100</v>
      </c>
      <c r="H1008" s="404">
        <v>29</v>
      </c>
      <c r="I1008" s="692">
        <v>5000</v>
      </c>
      <c r="J1008" s="404">
        <v>12</v>
      </c>
      <c r="K1008" s="707">
        <f t="shared" si="136"/>
        <v>5.6552262090483621E-3</v>
      </c>
      <c r="L1008" s="708">
        <f t="shared" si="137"/>
        <v>1.8472906403940886E-3</v>
      </c>
      <c r="M1008" s="426">
        <f t="shared" si="138"/>
        <v>15.133101661504885</v>
      </c>
      <c r="N1008" s="427">
        <f t="shared" si="143"/>
        <v>5.5644414809353462</v>
      </c>
      <c r="O1008" s="426">
        <v>6.4956368665009361</v>
      </c>
      <c r="P1008" s="426">
        <f t="shared" si="139"/>
        <v>1.3852647110810541</v>
      </c>
      <c r="Q1008" s="426">
        <f t="shared" si="140"/>
        <v>1.6886376828078051</v>
      </c>
      <c r="R1008" s="532">
        <f t="shared" si="141"/>
        <v>4.7338818486039783E-2</v>
      </c>
    </row>
    <row r="1009" spans="1:18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438">
        <f t="shared" si="142"/>
        <v>477.8</v>
      </c>
      <c r="G1009" s="404">
        <v>1100</v>
      </c>
      <c r="H1009" s="404">
        <v>18</v>
      </c>
      <c r="I1009" s="692">
        <v>5000</v>
      </c>
      <c r="J1009" s="404">
        <v>6</v>
      </c>
      <c r="K1009" s="707">
        <f t="shared" ref="K1009:K1072" si="144">0.5/2564*H1009</f>
        <v>3.5101404056162248E-3</v>
      </c>
      <c r="L1009" s="708">
        <f t="shared" ref="L1009:L1072" si="145">1.5/9744*J1009</f>
        <v>9.2364532019704429E-4</v>
      </c>
      <c r="M1009" s="426">
        <f t="shared" ref="M1009:M1072" si="146">(K1009+L1009)*2017.07</f>
        <v>8.9432561739661693</v>
      </c>
      <c r="N1009" s="427">
        <f t="shared" si="143"/>
        <v>3.2884352951673606</v>
      </c>
      <c r="O1009" s="426">
        <v>3.8368910138956287</v>
      </c>
      <c r="P1009" s="426">
        <f t="shared" si="139"/>
        <v>0.81865419641416193</v>
      </c>
      <c r="Q1009" s="426">
        <f t="shared" si="140"/>
        <v>0.99793946542886347</v>
      </c>
      <c r="R1009" s="532">
        <f t="shared" si="141"/>
        <v>3.5343735201848719E-2</v>
      </c>
    </row>
    <row r="1010" spans="1:18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438">
        <f t="shared" si="142"/>
        <v>481.5</v>
      </c>
      <c r="G1010" s="404">
        <v>1100</v>
      </c>
      <c r="H1010" s="404">
        <v>17</v>
      </c>
      <c r="I1010" s="692">
        <v>5000</v>
      </c>
      <c r="J1010" s="404">
        <v>17</v>
      </c>
      <c r="K1010" s="707">
        <f t="shared" si="144"/>
        <v>3.3151326053042123E-3</v>
      </c>
      <c r="L1010" s="708">
        <f t="shared" si="145"/>
        <v>2.6169950738916255E-3</v>
      </c>
      <c r="M1010" s="426">
        <f t="shared" si="146"/>
        <v>11.965516777875548</v>
      </c>
      <c r="N1010" s="427">
        <f t="shared" si="143"/>
        <v>4.3997205192248394</v>
      </c>
      <c r="O1010" s="426">
        <v>5.148771851198906</v>
      </c>
      <c r="P1010" s="426">
        <f t="shared" ref="P1010:P1073" si="147">(K1010+L1010)*184.64</f>
        <v>1.0953080546867193</v>
      </c>
      <c r="Q1010" s="426">
        <f t="shared" ref="Q1010:Q1073" si="148">P1010*1.219</f>
        <v>1.3351805186631109</v>
      </c>
      <c r="R1010" s="532">
        <f t="shared" si="141"/>
        <v>4.6956006652099716E-2</v>
      </c>
    </row>
    <row r="1011" spans="1:18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438">
        <f t="shared" si="142"/>
        <v>539.4</v>
      </c>
      <c r="G1011" s="404">
        <v>1100</v>
      </c>
      <c r="H1011" s="404">
        <v>23</v>
      </c>
      <c r="I1011" s="692">
        <v>5000</v>
      </c>
      <c r="J1011" s="404">
        <v>8</v>
      </c>
      <c r="K1011" s="707">
        <f t="shared" si="144"/>
        <v>4.4851794071762872E-3</v>
      </c>
      <c r="L1011" s="708">
        <f t="shared" si="145"/>
        <v>1.2315270935960591E-3</v>
      </c>
      <c r="M1011" s="426">
        <f t="shared" si="146"/>
        <v>11.530997181512877</v>
      </c>
      <c r="N1011" s="427">
        <f t="shared" si="143"/>
        <v>4.239947663642285</v>
      </c>
      <c r="O1011" s="426">
        <v>4.9475482335812693</v>
      </c>
      <c r="P1011" s="426">
        <f t="shared" si="147"/>
        <v>1.0555326883026059</v>
      </c>
      <c r="Q1011" s="426">
        <f t="shared" si="148"/>
        <v>1.2866943470408767</v>
      </c>
      <c r="R1011" s="532">
        <f t="shared" si="141"/>
        <v>4.0367122297069034E-2</v>
      </c>
    </row>
    <row r="1012" spans="1:18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438">
        <f t="shared" si="142"/>
        <v>120.6</v>
      </c>
      <c r="G1012" s="404">
        <v>1100</v>
      </c>
      <c r="H1012" s="404">
        <v>2</v>
      </c>
      <c r="I1012" s="692">
        <v>5000</v>
      </c>
      <c r="J1012" s="404">
        <v>2</v>
      </c>
      <c r="K1012" s="707">
        <f t="shared" si="144"/>
        <v>3.9001560062402497E-4</v>
      </c>
      <c r="L1012" s="708">
        <f t="shared" si="145"/>
        <v>3.0788177339901478E-4</v>
      </c>
      <c r="M1012" s="426">
        <f t="shared" si="146"/>
        <v>1.4077078562206529</v>
      </c>
      <c r="N1012" s="427">
        <f t="shared" si="143"/>
        <v>0.51761417873233406</v>
      </c>
      <c r="O1012" s="426">
        <v>0.60573786484693026</v>
      </c>
      <c r="P1012" s="426">
        <f t="shared" si="147"/>
        <v>0.12885977113961405</v>
      </c>
      <c r="Q1012" s="426">
        <f t="shared" si="148"/>
        <v>0.15708006101918953</v>
      </c>
      <c r="R1012" s="532">
        <f t="shared" si="141"/>
        <v>2.2055718664506892E-2</v>
      </c>
    </row>
    <row r="1013" spans="1:18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438">
        <f t="shared" si="142"/>
        <v>98.1</v>
      </c>
      <c r="G1013" s="404">
        <v>1100</v>
      </c>
      <c r="H1013" s="404">
        <v>2</v>
      </c>
      <c r="I1013" s="692">
        <v>5000</v>
      </c>
      <c r="J1013" s="404">
        <v>2</v>
      </c>
      <c r="K1013" s="707">
        <f t="shared" si="144"/>
        <v>3.9001560062402497E-4</v>
      </c>
      <c r="L1013" s="708">
        <f t="shared" si="145"/>
        <v>3.0788177339901478E-4</v>
      </c>
      <c r="M1013" s="426">
        <f t="shared" si="146"/>
        <v>1.4077078562206529</v>
      </c>
      <c r="N1013" s="427">
        <f t="shared" si="143"/>
        <v>0.51761417873233406</v>
      </c>
      <c r="O1013" s="426">
        <v>0.60573786484693026</v>
      </c>
      <c r="P1013" s="426">
        <f t="shared" si="147"/>
        <v>0.12885977113961405</v>
      </c>
      <c r="Q1013" s="426">
        <f t="shared" si="148"/>
        <v>0.15708006101918953</v>
      </c>
      <c r="R1013" s="532">
        <f t="shared" si="141"/>
        <v>2.7114369734347922E-2</v>
      </c>
    </row>
    <row r="1014" spans="1:18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438">
        <f t="shared" si="142"/>
        <v>95.2</v>
      </c>
      <c r="G1014" s="404">
        <v>1100</v>
      </c>
      <c r="H1014" s="404">
        <v>2</v>
      </c>
      <c r="I1014" s="692">
        <v>5000</v>
      </c>
      <c r="J1014" s="404">
        <v>2</v>
      </c>
      <c r="K1014" s="707">
        <f t="shared" si="144"/>
        <v>3.9001560062402497E-4</v>
      </c>
      <c r="L1014" s="708">
        <f t="shared" si="145"/>
        <v>3.0788177339901478E-4</v>
      </c>
      <c r="M1014" s="426">
        <f t="shared" si="146"/>
        <v>1.4077078562206529</v>
      </c>
      <c r="N1014" s="427">
        <f t="shared" si="143"/>
        <v>0.51761417873233406</v>
      </c>
      <c r="O1014" s="426">
        <v>0.60573786484693026</v>
      </c>
      <c r="P1014" s="426">
        <f t="shared" si="147"/>
        <v>0.12885977113961405</v>
      </c>
      <c r="Q1014" s="426">
        <f t="shared" si="148"/>
        <v>0.15708006101918953</v>
      </c>
      <c r="R1014" s="532">
        <f t="shared" si="141"/>
        <v>2.7940332677936247E-2</v>
      </c>
    </row>
    <row r="1015" spans="1:18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438">
        <f t="shared" si="142"/>
        <v>2329.16</v>
      </c>
      <c r="G1015" s="404">
        <v>1100</v>
      </c>
      <c r="H1015" s="404">
        <v>9</v>
      </c>
      <c r="I1015" s="692">
        <v>5000</v>
      </c>
      <c r="J1015" s="404">
        <v>9</v>
      </c>
      <c r="K1015" s="707">
        <f t="shared" si="144"/>
        <v>1.7550702028081124E-3</v>
      </c>
      <c r="L1015" s="708">
        <f t="shared" si="145"/>
        <v>1.3854679802955665E-3</v>
      </c>
      <c r="M1015" s="426">
        <f t="shared" si="146"/>
        <v>6.3346853529929374</v>
      </c>
      <c r="N1015" s="427">
        <f t="shared" si="143"/>
        <v>2.3292638042955032</v>
      </c>
      <c r="O1015" s="426">
        <v>2.7258203918111858</v>
      </c>
      <c r="P1015" s="426">
        <f t="shared" si="147"/>
        <v>0.57986897012826322</v>
      </c>
      <c r="Q1015" s="426">
        <f t="shared" si="148"/>
        <v>0.70686027458635292</v>
      </c>
      <c r="R1015" s="532">
        <f t="shared" si="141"/>
        <v>5.1390366137267895E-3</v>
      </c>
    </row>
    <row r="1016" spans="1:18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438">
        <f t="shared" si="142"/>
        <v>188</v>
      </c>
      <c r="G1016" s="404">
        <v>1100</v>
      </c>
      <c r="H1016" s="404">
        <v>4</v>
      </c>
      <c r="I1016" s="692">
        <v>5000</v>
      </c>
      <c r="J1016" s="404">
        <v>3</v>
      </c>
      <c r="K1016" s="707">
        <f t="shared" si="144"/>
        <v>7.8003120124804995E-4</v>
      </c>
      <c r="L1016" s="708">
        <f t="shared" si="145"/>
        <v>4.6182266009852215E-4</v>
      </c>
      <c r="M1016" s="426">
        <f t="shared" si="146"/>
        <v>2.5049061681063298</v>
      </c>
      <c r="N1016" s="427">
        <f t="shared" si="143"/>
        <v>0.92105399801269749</v>
      </c>
      <c r="O1016" s="426">
        <v>1.0769132488832984</v>
      </c>
      <c r="P1016" s="426">
        <f t="shared" si="147"/>
        <v>0.22929589695903105</v>
      </c>
      <c r="Q1016" s="426">
        <f t="shared" si="148"/>
        <v>0.27951169839305889</v>
      </c>
      <c r="R1016" s="532">
        <f t="shared" si="141"/>
        <v>2.5171113361496581E-2</v>
      </c>
    </row>
    <row r="1017" spans="1:18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438">
        <f t="shared" si="142"/>
        <v>110.1</v>
      </c>
      <c r="G1017" s="404">
        <v>1100</v>
      </c>
      <c r="H1017" s="404">
        <v>2</v>
      </c>
      <c r="I1017" s="692">
        <v>5000</v>
      </c>
      <c r="J1017" s="404">
        <v>1</v>
      </c>
      <c r="K1017" s="707">
        <f t="shared" si="144"/>
        <v>3.9001560062402497E-4</v>
      </c>
      <c r="L1017" s="708">
        <f t="shared" si="145"/>
        <v>1.5394088669950739E-4</v>
      </c>
      <c r="M1017" s="426">
        <f t="shared" si="146"/>
        <v>1.0971983118856774</v>
      </c>
      <c r="N1017" s="427">
        <f t="shared" si="143"/>
        <v>0.4034398192803636</v>
      </c>
      <c r="O1017" s="426">
        <v>0.47117538403636833</v>
      </c>
      <c r="P1017" s="426">
        <f t="shared" si="147"/>
        <v>0.10043612581941701</v>
      </c>
      <c r="Q1017" s="426">
        <f t="shared" si="148"/>
        <v>0.12243163737386933</v>
      </c>
      <c r="R1017" s="532">
        <f t="shared" si="141"/>
        <v>1.8821522625084706E-2</v>
      </c>
    </row>
    <row r="1018" spans="1:18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438">
        <f t="shared" si="142"/>
        <v>215.8</v>
      </c>
      <c r="G1018" s="404">
        <v>1100</v>
      </c>
      <c r="H1018" s="404">
        <v>3</v>
      </c>
      <c r="I1018" s="692">
        <v>5000</v>
      </c>
      <c r="J1018" s="404">
        <v>2</v>
      </c>
      <c r="K1018" s="707">
        <f t="shared" si="144"/>
        <v>5.8502340093603746E-4</v>
      </c>
      <c r="L1018" s="708">
        <f t="shared" si="145"/>
        <v>3.0788177339901478E-4</v>
      </c>
      <c r="M1018" s="426">
        <f t="shared" si="146"/>
        <v>1.8010522399960038</v>
      </c>
      <c r="N1018" s="427">
        <f t="shared" si="143"/>
        <v>0.66224690864653069</v>
      </c>
      <c r="O1018" s="426">
        <v>0.77404431645983329</v>
      </c>
      <c r="P1018" s="426">
        <f t="shared" si="147"/>
        <v>0.16486601138922405</v>
      </c>
      <c r="Q1018" s="426">
        <f t="shared" si="148"/>
        <v>0.20097166788346413</v>
      </c>
      <c r="R1018" s="532">
        <f t="shared" si="141"/>
        <v>1.5765567546300239E-2</v>
      </c>
    </row>
    <row r="1019" spans="1:18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438">
        <f t="shared" si="142"/>
        <v>1481.3</v>
      </c>
      <c r="G1019" s="404">
        <v>1100</v>
      </c>
      <c r="H1019" s="404">
        <v>7</v>
      </c>
      <c r="I1019" s="692">
        <v>5000</v>
      </c>
      <c r="J1019" s="404">
        <v>5</v>
      </c>
      <c r="K1019" s="707">
        <f t="shared" si="144"/>
        <v>1.3650546021840874E-3</v>
      </c>
      <c r="L1019" s="708">
        <f t="shared" si="145"/>
        <v>7.6970443349753698E-4</v>
      </c>
      <c r="M1019" s="426">
        <f t="shared" si="146"/>
        <v>4.3059584081023337</v>
      </c>
      <c r="N1019" s="427">
        <f t="shared" si="143"/>
        <v>1.5833009066592283</v>
      </c>
      <c r="O1019" s="426">
        <v>1.8509575653431318</v>
      </c>
      <c r="P1019" s="426">
        <f t="shared" si="147"/>
        <v>0.3941619083482551</v>
      </c>
      <c r="Q1019" s="426">
        <f t="shared" si="148"/>
        <v>0.48048336627652299</v>
      </c>
      <c r="R1019" s="532">
        <f t="shared" si="141"/>
        <v>5.491378376056808E-3</v>
      </c>
    </row>
    <row r="1020" spans="1:18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438">
        <f t="shared" si="142"/>
        <v>152.6</v>
      </c>
      <c r="G1020" s="404">
        <v>1100</v>
      </c>
      <c r="H1020" s="404">
        <v>2</v>
      </c>
      <c r="I1020" s="692">
        <v>5000</v>
      </c>
      <c r="J1020" s="404">
        <v>2</v>
      </c>
      <c r="K1020" s="707">
        <f t="shared" si="144"/>
        <v>3.9001560062402497E-4</v>
      </c>
      <c r="L1020" s="708">
        <f t="shared" si="145"/>
        <v>3.0788177339901478E-4</v>
      </c>
      <c r="M1020" s="426">
        <f t="shared" si="146"/>
        <v>1.4077078562206529</v>
      </c>
      <c r="N1020" s="427">
        <f t="shared" si="143"/>
        <v>0.51761417873233406</v>
      </c>
      <c r="O1020" s="426">
        <v>0.60573786484693026</v>
      </c>
      <c r="P1020" s="426">
        <f t="shared" si="147"/>
        <v>0.12885977113961405</v>
      </c>
      <c r="Q1020" s="426">
        <f t="shared" si="148"/>
        <v>0.15708006101918953</v>
      </c>
      <c r="R1020" s="532">
        <f t="shared" si="141"/>
        <v>1.7430666257795092E-2</v>
      </c>
    </row>
    <row r="1021" spans="1:18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438">
        <f t="shared" si="142"/>
        <v>110.9</v>
      </c>
      <c r="G1021" s="404">
        <v>1100</v>
      </c>
      <c r="H1021" s="404">
        <v>2</v>
      </c>
      <c r="I1021" s="692">
        <v>5000</v>
      </c>
      <c r="J1021" s="404">
        <v>1</v>
      </c>
      <c r="K1021" s="707">
        <f t="shared" si="144"/>
        <v>3.9001560062402497E-4</v>
      </c>
      <c r="L1021" s="708">
        <f t="shared" si="145"/>
        <v>1.5394088669950739E-4</v>
      </c>
      <c r="M1021" s="426">
        <f t="shared" si="146"/>
        <v>1.0971983118856774</v>
      </c>
      <c r="N1021" s="427">
        <f t="shared" si="143"/>
        <v>0.4034398192803636</v>
      </c>
      <c r="O1021" s="426">
        <v>0.47117538403636833</v>
      </c>
      <c r="P1021" s="426">
        <f t="shared" si="147"/>
        <v>0.10043612581941701</v>
      </c>
      <c r="Q1021" s="426">
        <f t="shared" si="148"/>
        <v>0.12243163737386933</v>
      </c>
      <c r="R1021" s="532">
        <f t="shared" si="141"/>
        <v>1.8685749693614299E-2</v>
      </c>
    </row>
    <row r="1022" spans="1:18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438">
        <f t="shared" si="142"/>
        <v>59.5</v>
      </c>
      <c r="G1022" s="404">
        <v>1100</v>
      </c>
      <c r="H1022" s="404">
        <v>4</v>
      </c>
      <c r="I1022" s="692">
        <v>5000</v>
      </c>
      <c r="J1022" s="404">
        <v>0</v>
      </c>
      <c r="K1022" s="707">
        <f t="shared" si="144"/>
        <v>7.8003120124804995E-4</v>
      </c>
      <c r="L1022" s="708">
        <f t="shared" si="145"/>
        <v>0</v>
      </c>
      <c r="M1022" s="426">
        <f t="shared" si="146"/>
        <v>1.5733775351014041</v>
      </c>
      <c r="N1022" s="427">
        <f t="shared" si="143"/>
        <v>0.57853091965678638</v>
      </c>
      <c r="O1022" s="426">
        <v>0.6732258064516129</v>
      </c>
      <c r="P1022" s="426">
        <f t="shared" si="147"/>
        <v>0.14402496099843992</v>
      </c>
      <c r="Q1022" s="426">
        <f t="shared" si="148"/>
        <v>0.17556642745709827</v>
      </c>
      <c r="R1022" s="532">
        <f t="shared" si="141"/>
        <v>4.9901835667365432E-2</v>
      </c>
    </row>
    <row r="1023" spans="1:18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438">
        <f t="shared" si="142"/>
        <v>38.700000000000003</v>
      </c>
      <c r="G1023" s="404">
        <v>1100</v>
      </c>
      <c r="H1023" s="404">
        <v>5</v>
      </c>
      <c r="I1023" s="692">
        <v>5000</v>
      </c>
      <c r="J1023" s="404">
        <v>0</v>
      </c>
      <c r="K1023" s="707">
        <f t="shared" si="144"/>
        <v>9.7503900156006244E-4</v>
      </c>
      <c r="L1023" s="708">
        <f t="shared" si="145"/>
        <v>0</v>
      </c>
      <c r="M1023" s="426">
        <f t="shared" si="146"/>
        <v>1.9667219188767551</v>
      </c>
      <c r="N1023" s="427">
        <f t="shared" si="143"/>
        <v>0.72316364957098289</v>
      </c>
      <c r="O1023" s="426">
        <v>0.84153225806451615</v>
      </c>
      <c r="P1023" s="426">
        <f t="shared" si="147"/>
        <v>0.18003120124804992</v>
      </c>
      <c r="Q1023" s="426">
        <f t="shared" si="148"/>
        <v>0.21945803432137287</v>
      </c>
      <c r="R1023" s="532">
        <f t="shared" si="141"/>
        <v>9.5903075652721034E-2</v>
      </c>
    </row>
    <row r="1024" spans="1:18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438">
        <f t="shared" si="142"/>
        <v>72.3</v>
      </c>
      <c r="G1024" s="404">
        <v>1100</v>
      </c>
      <c r="H1024" s="404">
        <v>4</v>
      </c>
      <c r="I1024" s="692">
        <v>5000</v>
      </c>
      <c r="J1024" s="404">
        <v>0</v>
      </c>
      <c r="K1024" s="707">
        <f t="shared" si="144"/>
        <v>7.8003120124804995E-4</v>
      </c>
      <c r="L1024" s="708">
        <f t="shared" si="145"/>
        <v>0</v>
      </c>
      <c r="M1024" s="426">
        <f t="shared" si="146"/>
        <v>1.5733775351014041</v>
      </c>
      <c r="N1024" s="427">
        <f t="shared" si="143"/>
        <v>0.57853091965678638</v>
      </c>
      <c r="O1024" s="426">
        <v>0.6732258064516129</v>
      </c>
      <c r="P1024" s="426">
        <f t="shared" si="147"/>
        <v>0.14402496099843992</v>
      </c>
      <c r="Q1024" s="426">
        <f t="shared" si="148"/>
        <v>0.17556642745709827</v>
      </c>
      <c r="R1024" s="532">
        <f t="shared" si="141"/>
        <v>4.1067209159173487E-2</v>
      </c>
    </row>
    <row r="1025" spans="1:18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438">
        <f t="shared" si="142"/>
        <v>99.09</v>
      </c>
      <c r="G1025" s="404">
        <v>1100</v>
      </c>
      <c r="H1025" s="404">
        <v>6</v>
      </c>
      <c r="I1025" s="692">
        <v>5000</v>
      </c>
      <c r="J1025" s="404">
        <v>0</v>
      </c>
      <c r="K1025" s="707">
        <f t="shared" si="144"/>
        <v>1.1700468018720749E-3</v>
      </c>
      <c r="L1025" s="708">
        <f t="shared" si="145"/>
        <v>0</v>
      </c>
      <c r="M1025" s="426">
        <f t="shared" si="146"/>
        <v>2.3600663026521063</v>
      </c>
      <c r="N1025" s="427">
        <f t="shared" si="143"/>
        <v>0.86779637948517951</v>
      </c>
      <c r="O1025" s="426">
        <v>1.0098387096774193</v>
      </c>
      <c r="P1025" s="426">
        <f t="shared" si="147"/>
        <v>0.21603744149765991</v>
      </c>
      <c r="Q1025" s="426">
        <f t="shared" si="148"/>
        <v>0.26334964118564747</v>
      </c>
      <c r="R1025" s="532">
        <f t="shared" si="141"/>
        <v>4.4946400578386961E-2</v>
      </c>
    </row>
    <row r="1026" spans="1:18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438">
        <f t="shared" si="142"/>
        <v>78.7</v>
      </c>
      <c r="G1026" s="404">
        <v>1100</v>
      </c>
      <c r="H1026" s="404">
        <v>8</v>
      </c>
      <c r="I1026" s="692">
        <v>5000</v>
      </c>
      <c r="J1026" s="404">
        <v>0</v>
      </c>
      <c r="K1026" s="707">
        <f t="shared" si="144"/>
        <v>1.5600624024960999E-3</v>
      </c>
      <c r="L1026" s="708">
        <f t="shared" si="145"/>
        <v>0</v>
      </c>
      <c r="M1026" s="426">
        <f t="shared" si="146"/>
        <v>3.1467550702028082</v>
      </c>
      <c r="N1026" s="427">
        <f t="shared" si="143"/>
        <v>1.1570618393135728</v>
      </c>
      <c r="O1026" s="426">
        <v>1.3464516129032258</v>
      </c>
      <c r="P1026" s="426">
        <f t="shared" si="147"/>
        <v>0.28804992199687984</v>
      </c>
      <c r="Q1026" s="426">
        <f t="shared" si="148"/>
        <v>0.35113285491419655</v>
      </c>
      <c r="R1026" s="532">
        <f t="shared" si="141"/>
        <v>7.5455126358532229E-2</v>
      </c>
    </row>
    <row r="1027" spans="1:18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438">
        <f t="shared" si="142"/>
        <v>557.9</v>
      </c>
      <c r="G1027" s="404">
        <v>1100</v>
      </c>
      <c r="H1027" s="404">
        <v>27</v>
      </c>
      <c r="I1027" s="692">
        <v>5000</v>
      </c>
      <c r="J1027" s="404">
        <v>8</v>
      </c>
      <c r="K1027" s="707">
        <f t="shared" si="144"/>
        <v>5.2652106084243372E-3</v>
      </c>
      <c r="L1027" s="708">
        <f t="shared" si="145"/>
        <v>1.2315270935960591E-3</v>
      </c>
      <c r="M1027" s="426">
        <f t="shared" si="146"/>
        <v>13.104374716614281</v>
      </c>
      <c r="N1027" s="427">
        <f t="shared" si="143"/>
        <v>4.8184785832990711</v>
      </c>
      <c r="O1027" s="426">
        <v>5.6207740400328818</v>
      </c>
      <c r="P1027" s="426">
        <f t="shared" si="147"/>
        <v>1.199557649301046</v>
      </c>
      <c r="Q1027" s="426">
        <f t="shared" si="148"/>
        <v>1.4622607744979752</v>
      </c>
      <c r="R1027" s="532">
        <f t="shared" si="141"/>
        <v>4.4350573560220971E-2</v>
      </c>
    </row>
    <row r="1028" spans="1:18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438">
        <f t="shared" si="142"/>
        <v>122.5</v>
      </c>
      <c r="G1028" s="404">
        <v>1100</v>
      </c>
      <c r="H1028" s="404">
        <v>12</v>
      </c>
      <c r="I1028" s="692">
        <v>5000</v>
      </c>
      <c r="J1028" s="404">
        <v>1</v>
      </c>
      <c r="K1028" s="707">
        <f t="shared" si="144"/>
        <v>2.3400936037441498E-3</v>
      </c>
      <c r="L1028" s="708">
        <f t="shared" si="145"/>
        <v>1.5394088669950739E-4</v>
      </c>
      <c r="M1028" s="426">
        <f t="shared" si="146"/>
        <v>5.0306421496391875</v>
      </c>
      <c r="N1028" s="427">
        <f t="shared" si="143"/>
        <v>1.8497671184223294</v>
      </c>
      <c r="O1028" s="426">
        <v>2.1542399001654005</v>
      </c>
      <c r="P1028" s="426">
        <f t="shared" si="147"/>
        <v>0.4604985283155168</v>
      </c>
      <c r="Q1028" s="426">
        <f t="shared" si="148"/>
        <v>0.56134770601661499</v>
      </c>
      <c r="R1028" s="532">
        <f t="shared" si="141"/>
        <v>7.7511409767693357E-2</v>
      </c>
    </row>
    <row r="1029" spans="1:18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438">
        <f t="shared" si="142"/>
        <v>275.5</v>
      </c>
      <c r="G1029" s="404">
        <v>1100</v>
      </c>
      <c r="H1029" s="404">
        <v>11</v>
      </c>
      <c r="I1029" s="692">
        <v>5000</v>
      </c>
      <c r="J1029" s="404">
        <v>5</v>
      </c>
      <c r="K1029" s="707">
        <f t="shared" si="144"/>
        <v>2.1450858034321374E-3</v>
      </c>
      <c r="L1029" s="708">
        <f t="shared" si="145"/>
        <v>7.6970443349753698E-4</v>
      </c>
      <c r="M1029" s="426">
        <f t="shared" si="146"/>
        <v>5.8793359432037375</v>
      </c>
      <c r="N1029" s="427">
        <f t="shared" si="143"/>
        <v>2.1618318263160146</v>
      </c>
      <c r="O1029" s="426">
        <v>2.5241833717947446</v>
      </c>
      <c r="P1029" s="426">
        <f t="shared" si="147"/>
        <v>0.53818686934669502</v>
      </c>
      <c r="Q1029" s="426">
        <f t="shared" si="148"/>
        <v>0.65604979373362127</v>
      </c>
      <c r="R1029" s="532">
        <f t="shared" si="141"/>
        <v>4.0303223269187637E-2</v>
      </c>
    </row>
    <row r="1030" spans="1:18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438">
        <f t="shared" si="142"/>
        <v>189.1</v>
      </c>
      <c r="G1030" s="404">
        <v>1100</v>
      </c>
      <c r="H1030" s="404">
        <v>14</v>
      </c>
      <c r="I1030" s="692">
        <v>5000</v>
      </c>
      <c r="J1030" s="404">
        <v>0</v>
      </c>
      <c r="K1030" s="707">
        <f t="shared" si="144"/>
        <v>2.7301092043681748E-3</v>
      </c>
      <c r="L1030" s="708">
        <f t="shared" si="145"/>
        <v>0</v>
      </c>
      <c r="M1030" s="426">
        <f t="shared" si="146"/>
        <v>5.5068213728549145</v>
      </c>
      <c r="N1030" s="427">
        <f t="shared" si="143"/>
        <v>2.0248582187987521</v>
      </c>
      <c r="O1030" s="426">
        <v>2.3562903225806453</v>
      </c>
      <c r="P1030" s="426">
        <f t="shared" si="147"/>
        <v>0.50408736349453975</v>
      </c>
      <c r="Q1030" s="426">
        <f t="shared" si="148"/>
        <v>0.61448249609984396</v>
      </c>
      <c r="R1030" s="532">
        <f t="shared" si="141"/>
        <v>5.4955353134473049E-2</v>
      </c>
    </row>
    <row r="1031" spans="1:18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438">
        <f t="shared" si="142"/>
        <v>590.4</v>
      </c>
      <c r="G1031" s="404">
        <v>1100</v>
      </c>
      <c r="H1031" s="404">
        <v>36</v>
      </c>
      <c r="I1031" s="692">
        <v>5000</v>
      </c>
      <c r="J1031" s="404">
        <v>0</v>
      </c>
      <c r="K1031" s="707">
        <f t="shared" si="144"/>
        <v>7.0202808112324495E-3</v>
      </c>
      <c r="L1031" s="708">
        <f t="shared" si="145"/>
        <v>0</v>
      </c>
      <c r="M1031" s="426">
        <f t="shared" si="146"/>
        <v>14.160397815912637</v>
      </c>
      <c r="N1031" s="427">
        <f t="shared" si="143"/>
        <v>5.2067782769110771</v>
      </c>
      <c r="O1031" s="426">
        <v>6.0590322580645157</v>
      </c>
      <c r="P1031" s="426">
        <f t="shared" si="147"/>
        <v>1.2962246489859595</v>
      </c>
      <c r="Q1031" s="426">
        <f t="shared" si="148"/>
        <v>1.5800978471138847</v>
      </c>
      <c r="R1031" s="532">
        <f t="shared" ref="R1031:R1094" si="149">(P1031+O1031+N1031+M1031)/F1031</f>
        <v>4.5261573509271999E-2</v>
      </c>
    </row>
    <row r="1032" spans="1:18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438">
        <f t="shared" si="142"/>
        <v>761.4</v>
      </c>
      <c r="G1032" s="404">
        <v>1100</v>
      </c>
      <c r="H1032" s="404">
        <v>35</v>
      </c>
      <c r="I1032" s="692">
        <v>5000</v>
      </c>
      <c r="J1032" s="404">
        <v>0</v>
      </c>
      <c r="K1032" s="707">
        <f t="shared" si="144"/>
        <v>6.8252730109204371E-3</v>
      </c>
      <c r="L1032" s="708">
        <f t="shared" si="145"/>
        <v>0</v>
      </c>
      <c r="M1032" s="426">
        <f t="shared" si="146"/>
        <v>13.767053432137285</v>
      </c>
      <c r="N1032" s="427">
        <f t="shared" si="143"/>
        <v>5.0621455469968799</v>
      </c>
      <c r="O1032" s="426">
        <v>5.8907258064516128</v>
      </c>
      <c r="P1032" s="426">
        <f t="shared" si="147"/>
        <v>1.2602184087363495</v>
      </c>
      <c r="Q1032" s="426">
        <f t="shared" si="148"/>
        <v>1.5362062402496102</v>
      </c>
      <c r="R1032" s="532">
        <f t="shared" si="149"/>
        <v>3.4121543465093419E-2</v>
      </c>
    </row>
    <row r="1033" spans="1:18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438">
        <f t="shared" si="142"/>
        <v>577.12</v>
      </c>
      <c r="G1033" s="404">
        <v>1100</v>
      </c>
      <c r="H1033" s="404">
        <v>26</v>
      </c>
      <c r="I1033" s="692">
        <v>5000</v>
      </c>
      <c r="J1033" s="404">
        <v>11</v>
      </c>
      <c r="K1033" s="707">
        <f t="shared" si="144"/>
        <v>5.0702028081123247E-3</v>
      </c>
      <c r="L1033" s="708">
        <f t="shared" si="145"/>
        <v>1.6933497536945814E-3</v>
      </c>
      <c r="M1033" s="426">
        <f t="shared" si="146"/>
        <v>13.642558965843854</v>
      </c>
      <c r="N1033" s="427">
        <f t="shared" si="143"/>
        <v>5.0163689317407858</v>
      </c>
      <c r="O1033" s="426">
        <v>5.8561550308516637</v>
      </c>
      <c r="P1033" s="426">
        <f t="shared" si="147"/>
        <v>1.248822345012027</v>
      </c>
      <c r="Q1033" s="426">
        <f t="shared" si="148"/>
        <v>1.522314438569661</v>
      </c>
      <c r="R1033" s="532">
        <f t="shared" si="149"/>
        <v>4.4642197937081247E-2</v>
      </c>
    </row>
    <row r="1034" spans="1:18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438">
        <f t="shared" si="142"/>
        <v>136.80000000000001</v>
      </c>
      <c r="G1034" s="404">
        <v>1100</v>
      </c>
      <c r="H1034" s="404">
        <v>3</v>
      </c>
      <c r="I1034" s="692">
        <v>5000</v>
      </c>
      <c r="J1034" s="404">
        <v>2</v>
      </c>
      <c r="K1034" s="707">
        <f t="shared" si="144"/>
        <v>5.8502340093603746E-4</v>
      </c>
      <c r="L1034" s="708">
        <f t="shared" si="145"/>
        <v>3.0788177339901478E-4</v>
      </c>
      <c r="M1034" s="426">
        <f t="shared" si="146"/>
        <v>1.8010522399960038</v>
      </c>
      <c r="N1034" s="427">
        <f t="shared" si="143"/>
        <v>0.66224690864653069</v>
      </c>
      <c r="O1034" s="426">
        <v>0.77404431645983329</v>
      </c>
      <c r="P1034" s="426">
        <f t="shared" si="147"/>
        <v>0.16486601138922405</v>
      </c>
      <c r="Q1034" s="426">
        <f t="shared" si="148"/>
        <v>0.20097166788346413</v>
      </c>
      <c r="R1034" s="532">
        <f t="shared" si="149"/>
        <v>2.4869952313535029E-2</v>
      </c>
    </row>
    <row r="1035" spans="1:18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438">
        <f t="shared" si="142"/>
        <v>578</v>
      </c>
      <c r="G1035" s="404">
        <v>1100</v>
      </c>
      <c r="H1035" s="404">
        <v>17</v>
      </c>
      <c r="I1035" s="692">
        <v>5000</v>
      </c>
      <c r="J1035" s="404">
        <v>0</v>
      </c>
      <c r="K1035" s="707">
        <f t="shared" si="144"/>
        <v>3.3151326053042123E-3</v>
      </c>
      <c r="L1035" s="708">
        <f t="shared" si="145"/>
        <v>0</v>
      </c>
      <c r="M1035" s="426">
        <f t="shared" si="146"/>
        <v>6.6868545241809674</v>
      </c>
      <c r="N1035" s="427">
        <f t="shared" si="143"/>
        <v>2.4587564085413418</v>
      </c>
      <c r="O1035" s="426">
        <v>2.8612096774193545</v>
      </c>
      <c r="P1035" s="426">
        <f t="shared" si="147"/>
        <v>0.61210608424336976</v>
      </c>
      <c r="Q1035" s="426">
        <f t="shared" si="148"/>
        <v>0.74615731669266783</v>
      </c>
      <c r="R1035" s="532">
        <f t="shared" si="149"/>
        <v>2.1832053104472376E-2</v>
      </c>
    </row>
    <row r="1036" spans="1:18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438">
        <f t="shared" si="142"/>
        <v>150</v>
      </c>
      <c r="G1036" s="404">
        <v>1100</v>
      </c>
      <c r="H1036" s="404">
        <v>6</v>
      </c>
      <c r="I1036" s="692">
        <v>5000</v>
      </c>
      <c r="J1036" s="404">
        <v>4</v>
      </c>
      <c r="K1036" s="707">
        <f t="shared" si="144"/>
        <v>1.1700468018720749E-3</v>
      </c>
      <c r="L1036" s="708">
        <f t="shared" si="145"/>
        <v>6.1576354679802956E-4</v>
      </c>
      <c r="M1036" s="426">
        <f t="shared" si="146"/>
        <v>3.6021044799920077</v>
      </c>
      <c r="N1036" s="427">
        <f t="shared" si="143"/>
        <v>1.3244938172930614</v>
      </c>
      <c r="O1036" s="426">
        <v>1.5480886329196666</v>
      </c>
      <c r="P1036" s="426">
        <f t="shared" si="147"/>
        <v>0.3297320227784481</v>
      </c>
      <c r="Q1036" s="426">
        <f t="shared" si="148"/>
        <v>0.40194333576692826</v>
      </c>
      <c r="R1036" s="532">
        <f t="shared" si="149"/>
        <v>4.5362793019887895E-2</v>
      </c>
    </row>
    <row r="1037" spans="1:18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438">
        <f t="shared" si="142"/>
        <v>106.6</v>
      </c>
      <c r="G1037" s="404">
        <v>1100</v>
      </c>
      <c r="H1037" s="404">
        <v>3</v>
      </c>
      <c r="I1037" s="692">
        <v>5000</v>
      </c>
      <c r="J1037" s="404">
        <v>2</v>
      </c>
      <c r="K1037" s="707">
        <f t="shared" si="144"/>
        <v>5.8502340093603746E-4</v>
      </c>
      <c r="L1037" s="708">
        <f t="shared" si="145"/>
        <v>3.0788177339901478E-4</v>
      </c>
      <c r="M1037" s="426">
        <f t="shared" si="146"/>
        <v>1.8010522399960038</v>
      </c>
      <c r="N1037" s="427">
        <f t="shared" si="143"/>
        <v>0.66224690864653069</v>
      </c>
      <c r="O1037" s="426">
        <v>0.77404431645983329</v>
      </c>
      <c r="P1037" s="426">
        <f t="shared" si="147"/>
        <v>0.16486601138922405</v>
      </c>
      <c r="Q1037" s="426">
        <f t="shared" si="148"/>
        <v>0.20097166788346413</v>
      </c>
      <c r="R1037" s="532">
        <f t="shared" si="149"/>
        <v>3.1915661130315125E-2</v>
      </c>
    </row>
    <row r="1038" spans="1:18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438">
        <f t="shared" si="142"/>
        <v>128.4</v>
      </c>
      <c r="G1038" s="404">
        <v>1100</v>
      </c>
      <c r="H1038" s="404">
        <v>6</v>
      </c>
      <c r="I1038" s="692">
        <v>5000</v>
      </c>
      <c r="J1038" s="404">
        <v>3</v>
      </c>
      <c r="K1038" s="707">
        <f t="shared" si="144"/>
        <v>1.1700468018720749E-3</v>
      </c>
      <c r="L1038" s="708">
        <f t="shared" si="145"/>
        <v>4.6182266009852215E-4</v>
      </c>
      <c r="M1038" s="426">
        <f t="shared" si="146"/>
        <v>3.2915949356570318</v>
      </c>
      <c r="N1038" s="427">
        <f t="shared" si="143"/>
        <v>1.2103194578410907</v>
      </c>
      <c r="O1038" s="426">
        <v>1.4135261521091049</v>
      </c>
      <c r="P1038" s="426">
        <f t="shared" si="147"/>
        <v>0.30130837745825101</v>
      </c>
      <c r="Q1038" s="426">
        <f t="shared" si="148"/>
        <v>0.36729491212160803</v>
      </c>
      <c r="R1038" s="532">
        <f t="shared" si="149"/>
        <v>4.8417047687425843E-2</v>
      </c>
    </row>
    <row r="1039" spans="1:18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438">
        <f t="shared" si="142"/>
        <v>57.7</v>
      </c>
      <c r="G1039" s="404">
        <v>1100</v>
      </c>
      <c r="H1039" s="404">
        <v>2</v>
      </c>
      <c r="I1039" s="692">
        <v>5000</v>
      </c>
      <c r="J1039" s="404">
        <v>1</v>
      </c>
      <c r="K1039" s="707">
        <f t="shared" si="144"/>
        <v>3.9001560062402497E-4</v>
      </c>
      <c r="L1039" s="708">
        <f t="shared" si="145"/>
        <v>1.5394088669950739E-4</v>
      </c>
      <c r="M1039" s="426">
        <f t="shared" si="146"/>
        <v>1.0971983118856774</v>
      </c>
      <c r="N1039" s="427">
        <f t="shared" si="143"/>
        <v>0.4034398192803636</v>
      </c>
      <c r="O1039" s="426">
        <v>0.47117538403636833</v>
      </c>
      <c r="P1039" s="426">
        <f t="shared" si="147"/>
        <v>0.10043612581941701</v>
      </c>
      <c r="Q1039" s="426">
        <f t="shared" si="148"/>
        <v>0.12243163737386933</v>
      </c>
      <c r="R1039" s="532">
        <f t="shared" si="149"/>
        <v>3.5914205217016049E-2</v>
      </c>
    </row>
    <row r="1040" spans="1:18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438">
        <f t="shared" si="142"/>
        <v>256.5</v>
      </c>
      <c r="G1040" s="404">
        <v>1100</v>
      </c>
      <c r="H1040" s="404">
        <v>10</v>
      </c>
      <c r="I1040" s="692">
        <v>5000</v>
      </c>
      <c r="J1040" s="404">
        <v>10</v>
      </c>
      <c r="K1040" s="707">
        <f t="shared" si="144"/>
        <v>1.9500780031201249E-3</v>
      </c>
      <c r="L1040" s="708">
        <f t="shared" si="145"/>
        <v>1.539408866995074E-3</v>
      </c>
      <c r="M1040" s="426">
        <f t="shared" si="146"/>
        <v>7.0385392811032634</v>
      </c>
      <c r="N1040" s="427">
        <f t="shared" si="143"/>
        <v>2.5880708936616701</v>
      </c>
      <c r="O1040" s="426">
        <v>3.0286893242346511</v>
      </c>
      <c r="P1040" s="426">
        <f t="shared" si="147"/>
        <v>0.64429885569807022</v>
      </c>
      <c r="Q1040" s="426">
        <f t="shared" si="148"/>
        <v>0.7854003050959476</v>
      </c>
      <c r="R1040" s="532">
        <f t="shared" si="149"/>
        <v>5.1850285983226718E-2</v>
      </c>
    </row>
    <row r="1041" spans="1:18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438">
        <f t="shared" si="142"/>
        <v>118.5</v>
      </c>
      <c r="G1041" s="404">
        <v>1100</v>
      </c>
      <c r="H1041" s="404">
        <v>3</v>
      </c>
      <c r="I1041" s="692">
        <v>5000</v>
      </c>
      <c r="J1041" s="404">
        <v>2</v>
      </c>
      <c r="K1041" s="707">
        <f t="shared" si="144"/>
        <v>5.8502340093603746E-4</v>
      </c>
      <c r="L1041" s="708">
        <f t="shared" si="145"/>
        <v>3.0788177339901478E-4</v>
      </c>
      <c r="M1041" s="426">
        <f t="shared" si="146"/>
        <v>1.8010522399960038</v>
      </c>
      <c r="N1041" s="427">
        <f t="shared" si="143"/>
        <v>0.66224690864653069</v>
      </c>
      <c r="O1041" s="426">
        <v>0.77404431645983329</v>
      </c>
      <c r="P1041" s="426">
        <f t="shared" si="147"/>
        <v>0.16486601138922405</v>
      </c>
      <c r="Q1041" s="426">
        <f t="shared" si="148"/>
        <v>0.20097166788346413</v>
      </c>
      <c r="R1041" s="532">
        <f t="shared" si="149"/>
        <v>2.8710628493599934E-2</v>
      </c>
    </row>
    <row r="1042" spans="1:18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438">
        <f t="shared" si="142"/>
        <v>142.1</v>
      </c>
      <c r="G1042" s="404">
        <v>1100</v>
      </c>
      <c r="H1042" s="404">
        <v>4</v>
      </c>
      <c r="I1042" s="692">
        <v>5000</v>
      </c>
      <c r="J1042" s="404">
        <v>3</v>
      </c>
      <c r="K1042" s="707">
        <f t="shared" si="144"/>
        <v>7.8003120124804995E-4</v>
      </c>
      <c r="L1042" s="708">
        <f t="shared" si="145"/>
        <v>4.6182266009852215E-4</v>
      </c>
      <c r="M1042" s="426">
        <f t="shared" si="146"/>
        <v>2.5049061681063298</v>
      </c>
      <c r="N1042" s="427">
        <f t="shared" si="143"/>
        <v>0.92105399801269749</v>
      </c>
      <c r="O1042" s="426">
        <v>1.0769132488832984</v>
      </c>
      <c r="P1042" s="426">
        <f t="shared" si="147"/>
        <v>0.22929589695903105</v>
      </c>
      <c r="Q1042" s="426">
        <f t="shared" si="148"/>
        <v>0.27951169839305889</v>
      </c>
      <c r="R1042" s="532">
        <f t="shared" si="149"/>
        <v>3.3301684109509906E-2</v>
      </c>
    </row>
    <row r="1043" spans="1:18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438">
        <f t="shared" si="142"/>
        <v>259.7</v>
      </c>
      <c r="G1043" s="404">
        <v>1100</v>
      </c>
      <c r="H1043" s="404">
        <v>9</v>
      </c>
      <c r="I1043" s="692">
        <v>5000</v>
      </c>
      <c r="J1043" s="404">
        <v>8</v>
      </c>
      <c r="K1043" s="707">
        <f t="shared" si="144"/>
        <v>1.7550702028081124E-3</v>
      </c>
      <c r="L1043" s="708">
        <f t="shared" si="145"/>
        <v>1.2315270935960591E-3</v>
      </c>
      <c r="M1043" s="426">
        <f t="shared" si="146"/>
        <v>6.0241758086579624</v>
      </c>
      <c r="N1043" s="427">
        <f t="shared" si="143"/>
        <v>2.215089444843533</v>
      </c>
      <c r="O1043" s="426">
        <v>2.5912579110006235</v>
      </c>
      <c r="P1043" s="426">
        <f t="shared" si="147"/>
        <v>0.55144532480806618</v>
      </c>
      <c r="Q1043" s="426">
        <f t="shared" si="148"/>
        <v>0.67221185094103275</v>
      </c>
      <c r="R1043" s="532">
        <f t="shared" si="149"/>
        <v>4.3827371926492824E-2</v>
      </c>
    </row>
    <row r="1044" spans="1:18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438">
        <f t="shared" si="142"/>
        <v>309.39999999999998</v>
      </c>
      <c r="G1044" s="404">
        <v>1100</v>
      </c>
      <c r="H1044" s="404">
        <v>9</v>
      </c>
      <c r="I1044" s="692">
        <v>5000</v>
      </c>
      <c r="J1044" s="404">
        <v>0</v>
      </c>
      <c r="K1044" s="707">
        <f t="shared" si="144"/>
        <v>1.7550702028081124E-3</v>
      </c>
      <c r="L1044" s="708">
        <f t="shared" si="145"/>
        <v>0</v>
      </c>
      <c r="M1044" s="426">
        <f t="shared" si="146"/>
        <v>3.5400994539781592</v>
      </c>
      <c r="N1044" s="427">
        <f t="shared" si="143"/>
        <v>1.3016945692277693</v>
      </c>
      <c r="O1044" s="426">
        <v>1.5147580645161289</v>
      </c>
      <c r="P1044" s="426">
        <f t="shared" si="147"/>
        <v>0.32405616224648987</v>
      </c>
      <c r="Q1044" s="426">
        <f t="shared" si="148"/>
        <v>0.39502446177847117</v>
      </c>
      <c r="R1044" s="532">
        <f t="shared" si="149"/>
        <v>2.1592140432994657E-2</v>
      </c>
    </row>
    <row r="1045" spans="1:18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438">
        <f t="shared" si="142"/>
        <v>432.1</v>
      </c>
      <c r="G1045" s="404">
        <v>1100</v>
      </c>
      <c r="H1045" s="404">
        <v>11</v>
      </c>
      <c r="I1045" s="692">
        <v>5000</v>
      </c>
      <c r="J1045" s="404">
        <v>8</v>
      </c>
      <c r="K1045" s="707">
        <f t="shared" si="144"/>
        <v>2.1450858034321374E-3</v>
      </c>
      <c r="L1045" s="708">
        <f t="shared" si="145"/>
        <v>1.2315270935960591E-3</v>
      </c>
      <c r="M1045" s="426">
        <f t="shared" si="146"/>
        <v>6.8108645762086644</v>
      </c>
      <c r="N1045" s="427">
        <f t="shared" si="143"/>
        <v>2.504354904671926</v>
      </c>
      <c r="O1045" s="426">
        <v>2.9278708142264307</v>
      </c>
      <c r="P1045" s="426">
        <f t="shared" si="147"/>
        <v>0.62345780530728623</v>
      </c>
      <c r="Q1045" s="426">
        <f t="shared" si="148"/>
        <v>0.759995064669582</v>
      </c>
      <c r="R1045" s="532">
        <f t="shared" si="149"/>
        <v>2.9776783384434867E-2</v>
      </c>
    </row>
    <row r="1046" spans="1:18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438">
        <f t="shared" si="142"/>
        <v>241.89999999999998</v>
      </c>
      <c r="G1046" s="404">
        <v>1100</v>
      </c>
      <c r="H1046" s="404">
        <v>8</v>
      </c>
      <c r="I1046" s="692">
        <v>5000</v>
      </c>
      <c r="J1046" s="404">
        <v>6</v>
      </c>
      <c r="K1046" s="707">
        <f t="shared" si="144"/>
        <v>1.5600624024960999E-3</v>
      </c>
      <c r="L1046" s="708">
        <f t="shared" si="145"/>
        <v>9.2364532019704429E-4</v>
      </c>
      <c r="M1046" s="426">
        <f t="shared" si="146"/>
        <v>5.0098123362126596</v>
      </c>
      <c r="N1046" s="427">
        <f t="shared" si="143"/>
        <v>1.842107996025395</v>
      </c>
      <c r="O1046" s="426">
        <v>2.1538264977665968</v>
      </c>
      <c r="P1046" s="426">
        <f t="shared" si="147"/>
        <v>0.4585917939180621</v>
      </c>
      <c r="Q1046" s="426">
        <f t="shared" si="148"/>
        <v>0.55902339678611779</v>
      </c>
      <c r="R1046" s="532">
        <f t="shared" si="149"/>
        <v>3.9125004646228666E-2</v>
      </c>
    </row>
    <row r="1047" spans="1:18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438">
        <f t="shared" si="142"/>
        <v>278.3</v>
      </c>
      <c r="G1047" s="404">
        <v>1100</v>
      </c>
      <c r="H1047" s="404">
        <v>3</v>
      </c>
      <c r="I1047" s="692">
        <v>5000</v>
      </c>
      <c r="J1047" s="404">
        <v>1</v>
      </c>
      <c r="K1047" s="707">
        <f t="shared" si="144"/>
        <v>5.8502340093603746E-4</v>
      </c>
      <c r="L1047" s="708">
        <f t="shared" si="145"/>
        <v>1.5394088669950739E-4</v>
      </c>
      <c r="M1047" s="426">
        <f t="shared" si="146"/>
        <v>1.4905426956610284</v>
      </c>
      <c r="N1047" s="427">
        <f t="shared" si="143"/>
        <v>0.54807254919456017</v>
      </c>
      <c r="O1047" s="426">
        <v>0.63948183564927152</v>
      </c>
      <c r="P1047" s="426">
        <f t="shared" si="147"/>
        <v>0.13644236606902699</v>
      </c>
      <c r="Q1047" s="426">
        <f t="shared" si="148"/>
        <v>0.1663232442381439</v>
      </c>
      <c r="R1047" s="532">
        <f t="shared" si="149"/>
        <v>1.0113328949241419E-2</v>
      </c>
    </row>
    <row r="1048" spans="1:18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438">
        <f t="shared" si="142"/>
        <v>150</v>
      </c>
      <c r="G1048" s="404">
        <v>1100</v>
      </c>
      <c r="H1048" s="404">
        <v>21</v>
      </c>
      <c r="I1048" s="692">
        <v>5000</v>
      </c>
      <c r="J1048" s="404">
        <v>0</v>
      </c>
      <c r="K1048" s="707">
        <f t="shared" si="144"/>
        <v>4.0951638065522622E-3</v>
      </c>
      <c r="L1048" s="708">
        <f t="shared" si="145"/>
        <v>0</v>
      </c>
      <c r="M1048" s="426">
        <f t="shared" si="146"/>
        <v>8.2602320592823713</v>
      </c>
      <c r="N1048" s="427">
        <f t="shared" si="143"/>
        <v>3.0372873281981283</v>
      </c>
      <c r="O1048" s="426">
        <v>3.5344354838709675</v>
      </c>
      <c r="P1048" s="426">
        <f t="shared" si="147"/>
        <v>0.75613104524180963</v>
      </c>
      <c r="Q1048" s="426">
        <f t="shared" si="148"/>
        <v>0.92172374414976599</v>
      </c>
      <c r="R1048" s="532">
        <f t="shared" si="149"/>
        <v>0.1039205727772885</v>
      </c>
    </row>
    <row r="1049" spans="1:18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438">
        <f t="shared" si="142"/>
        <v>140.6</v>
      </c>
      <c r="G1049" s="404">
        <v>1100</v>
      </c>
      <c r="H1049" s="404">
        <v>6</v>
      </c>
      <c r="I1049" s="692">
        <v>5000</v>
      </c>
      <c r="J1049" s="404">
        <v>0</v>
      </c>
      <c r="K1049" s="707">
        <f t="shared" si="144"/>
        <v>1.1700468018720749E-3</v>
      </c>
      <c r="L1049" s="708">
        <f t="shared" si="145"/>
        <v>0</v>
      </c>
      <c r="M1049" s="426">
        <f t="shared" si="146"/>
        <v>2.3600663026521063</v>
      </c>
      <c r="N1049" s="427">
        <f t="shared" si="143"/>
        <v>0.86779637948517951</v>
      </c>
      <c r="O1049" s="426">
        <v>1.0098387096774193</v>
      </c>
      <c r="P1049" s="426">
        <f t="shared" si="147"/>
        <v>0.21603744149765991</v>
      </c>
      <c r="Q1049" s="426">
        <f t="shared" si="148"/>
        <v>0.26334964118564747</v>
      </c>
      <c r="R1049" s="532">
        <f t="shared" si="149"/>
        <v>3.167666311032976E-2</v>
      </c>
    </row>
    <row r="1050" spans="1:18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438">
        <f t="shared" si="142"/>
        <v>209.1</v>
      </c>
      <c r="G1050" s="404">
        <v>1100</v>
      </c>
      <c r="H1050" s="404">
        <v>6</v>
      </c>
      <c r="I1050" s="692">
        <v>5000</v>
      </c>
      <c r="J1050" s="404">
        <v>15</v>
      </c>
      <c r="K1050" s="707">
        <f t="shared" si="144"/>
        <v>1.1700468018720749E-3</v>
      </c>
      <c r="L1050" s="708">
        <f t="shared" si="145"/>
        <v>2.3091133004926111E-3</v>
      </c>
      <c r="M1050" s="426">
        <f t="shared" si="146"/>
        <v>7.0177094676767373</v>
      </c>
      <c r="N1050" s="427">
        <f t="shared" si="143"/>
        <v>2.5804117712647363</v>
      </c>
      <c r="O1050" s="426">
        <v>3.0282759218358475</v>
      </c>
      <c r="P1050" s="426">
        <f t="shared" si="147"/>
        <v>0.64239212130061563</v>
      </c>
      <c r="Q1050" s="426">
        <f t="shared" si="148"/>
        <v>0.78307599586545051</v>
      </c>
      <c r="R1050" s="532">
        <f t="shared" si="149"/>
        <v>6.3456668015676412E-2</v>
      </c>
    </row>
    <row r="1051" spans="1:18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438">
        <f t="shared" si="142"/>
        <v>463.5</v>
      </c>
      <c r="G1051" s="404">
        <v>1100</v>
      </c>
      <c r="H1051" s="404">
        <v>22</v>
      </c>
      <c r="I1051" s="692">
        <v>5000</v>
      </c>
      <c r="J1051" s="404">
        <v>34</v>
      </c>
      <c r="K1051" s="707">
        <f t="shared" si="144"/>
        <v>4.2901716068642747E-3</v>
      </c>
      <c r="L1051" s="708">
        <f t="shared" si="145"/>
        <v>5.2339901477832509E-3</v>
      </c>
      <c r="M1051" s="426">
        <f t="shared" si="146"/>
        <v>19.210900950446881</v>
      </c>
      <c r="N1051" s="427">
        <f t="shared" si="143"/>
        <v>7.0638482794793189</v>
      </c>
      <c r="O1051" s="426">
        <v>8.2778662830429752</v>
      </c>
      <c r="P1051" s="426">
        <f t="shared" si="147"/>
        <v>1.7585412263781188</v>
      </c>
      <c r="Q1051" s="426">
        <f t="shared" si="148"/>
        <v>2.1436617549549268</v>
      </c>
      <c r="R1051" s="532">
        <f t="shared" si="149"/>
        <v>7.8341222738613367E-2</v>
      </c>
    </row>
    <row r="1052" spans="1:18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438">
        <f t="shared" si="142"/>
        <v>126</v>
      </c>
      <c r="G1052" s="404">
        <v>1100</v>
      </c>
      <c r="H1052" s="404">
        <v>20</v>
      </c>
      <c r="I1052" s="692">
        <v>5000</v>
      </c>
      <c r="J1052" s="404">
        <v>32</v>
      </c>
      <c r="K1052" s="707">
        <f t="shared" si="144"/>
        <v>3.9001560062402497E-3</v>
      </c>
      <c r="L1052" s="708">
        <f t="shared" si="145"/>
        <v>4.9261083743842365E-3</v>
      </c>
      <c r="M1052" s="426">
        <f t="shared" si="146"/>
        <v>17.803193094226234</v>
      </c>
      <c r="N1052" s="427">
        <f t="shared" si="143"/>
        <v>6.5462341007469869</v>
      </c>
      <c r="O1052" s="426">
        <v>7.6721284181960447</v>
      </c>
      <c r="P1052" s="426">
        <f t="shared" si="147"/>
        <v>1.6296814552385053</v>
      </c>
      <c r="Q1052" s="426">
        <f t="shared" si="148"/>
        <v>1.9865816939357381</v>
      </c>
      <c r="R1052" s="532">
        <f t="shared" si="149"/>
        <v>0.2670733100667283</v>
      </c>
    </row>
    <row r="1053" spans="1:18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438">
        <f t="shared" si="142"/>
        <v>725.1</v>
      </c>
      <c r="G1053" s="404">
        <v>1100</v>
      </c>
      <c r="H1053" s="403">
        <v>11</v>
      </c>
      <c r="I1053" s="692">
        <v>5000</v>
      </c>
      <c r="J1053" s="404">
        <v>0</v>
      </c>
      <c r="K1053" s="707">
        <f t="shared" si="144"/>
        <v>2.1450858034321374E-3</v>
      </c>
      <c r="L1053" s="708">
        <f t="shared" si="145"/>
        <v>0</v>
      </c>
      <c r="M1053" s="426">
        <f t="shared" si="146"/>
        <v>4.3267882215288616</v>
      </c>
      <c r="N1053" s="427">
        <f t="shared" si="143"/>
        <v>1.5909600290561625</v>
      </c>
      <c r="O1053" s="426">
        <v>1.8513709677419354</v>
      </c>
      <c r="P1053" s="426">
        <f t="shared" si="147"/>
        <v>0.3960686427457098</v>
      </c>
      <c r="Q1053" s="426">
        <f t="shared" si="148"/>
        <v>0.48280767550702025</v>
      </c>
      <c r="R1053" s="532">
        <f t="shared" si="149"/>
        <v>1.126077487391073E-2</v>
      </c>
    </row>
    <row r="1054" spans="1:18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438">
        <f t="shared" si="142"/>
        <v>466.88</v>
      </c>
      <c r="G1054" s="404">
        <v>1100</v>
      </c>
      <c r="H1054" s="404">
        <v>8</v>
      </c>
      <c r="I1054" s="692">
        <v>5000</v>
      </c>
      <c r="J1054" s="404">
        <v>0</v>
      </c>
      <c r="K1054" s="707">
        <f t="shared" si="144"/>
        <v>1.5600624024960999E-3</v>
      </c>
      <c r="L1054" s="708">
        <f t="shared" si="145"/>
        <v>0</v>
      </c>
      <c r="M1054" s="426">
        <f t="shared" si="146"/>
        <v>3.1467550702028082</v>
      </c>
      <c r="N1054" s="427">
        <f t="shared" si="143"/>
        <v>1.1570618393135728</v>
      </c>
      <c r="O1054" s="426">
        <v>1.3464516129032258</v>
      </c>
      <c r="P1054" s="426">
        <f t="shared" si="147"/>
        <v>0.28804992199687984</v>
      </c>
      <c r="Q1054" s="426">
        <f t="shared" si="148"/>
        <v>0.35113285491419655</v>
      </c>
      <c r="R1054" s="532">
        <f t="shared" si="149"/>
        <v>1.2719153624949638E-2</v>
      </c>
    </row>
    <row r="1055" spans="1:18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438">
        <f t="shared" si="142"/>
        <v>138.1</v>
      </c>
      <c r="G1055" s="404">
        <v>1100</v>
      </c>
      <c r="H1055" s="404">
        <v>3</v>
      </c>
      <c r="I1055" s="692">
        <v>5000</v>
      </c>
      <c r="J1055" s="404">
        <v>6</v>
      </c>
      <c r="K1055" s="707">
        <f t="shared" si="144"/>
        <v>5.8502340093603746E-4</v>
      </c>
      <c r="L1055" s="708">
        <f t="shared" si="145"/>
        <v>9.2364532019704429E-4</v>
      </c>
      <c r="M1055" s="426">
        <f t="shared" si="146"/>
        <v>3.0430904173359052</v>
      </c>
      <c r="N1055" s="427">
        <f t="shared" si="143"/>
        <v>1.1189443464544124</v>
      </c>
      <c r="O1055" s="426">
        <v>1.3122942397020807</v>
      </c>
      <c r="P1055" s="426">
        <f t="shared" si="147"/>
        <v>0.27856059267001221</v>
      </c>
      <c r="Q1055" s="426">
        <f t="shared" si="148"/>
        <v>0.33956536246474489</v>
      </c>
      <c r="R1055" s="532">
        <f t="shared" si="149"/>
        <v>4.1657419233616294E-2</v>
      </c>
    </row>
    <row r="1056" spans="1:18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438">
        <f t="shared" si="142"/>
        <v>139.30000000000001</v>
      </c>
      <c r="G1056" s="404">
        <v>1100</v>
      </c>
      <c r="H1056" s="404">
        <v>2</v>
      </c>
      <c r="I1056" s="692">
        <v>5000</v>
      </c>
      <c r="J1056" s="404">
        <v>3</v>
      </c>
      <c r="K1056" s="707">
        <f t="shared" si="144"/>
        <v>3.9001560062402497E-4</v>
      </c>
      <c r="L1056" s="708">
        <f t="shared" si="145"/>
        <v>4.6182266009852215E-4</v>
      </c>
      <c r="M1056" s="426">
        <f t="shared" si="146"/>
        <v>1.7182174005556281</v>
      </c>
      <c r="N1056" s="427">
        <f t="shared" si="143"/>
        <v>0.63178853818430447</v>
      </c>
      <c r="O1056" s="426">
        <v>0.74030034565749203</v>
      </c>
      <c r="P1056" s="426">
        <f t="shared" si="147"/>
        <v>0.15728341645981109</v>
      </c>
      <c r="Q1056" s="426">
        <f t="shared" si="148"/>
        <v>0.19172848466450973</v>
      </c>
      <c r="R1056" s="532">
        <f t="shared" si="149"/>
        <v>2.3313637479233564E-2</v>
      </c>
    </row>
    <row r="1057" spans="1:18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438">
        <f t="shared" si="142"/>
        <v>807</v>
      </c>
      <c r="G1057" s="404">
        <v>1100</v>
      </c>
      <c r="H1057" s="404">
        <v>12</v>
      </c>
      <c r="I1057" s="692">
        <v>5000</v>
      </c>
      <c r="J1057" s="404">
        <v>15</v>
      </c>
      <c r="K1057" s="707">
        <f t="shared" si="144"/>
        <v>2.3400936037441498E-3</v>
      </c>
      <c r="L1057" s="708">
        <f t="shared" si="145"/>
        <v>2.3091133004926111E-3</v>
      </c>
      <c r="M1057" s="426">
        <f t="shared" si="146"/>
        <v>9.377775770328844</v>
      </c>
      <c r="N1057" s="427">
        <f t="shared" si="143"/>
        <v>3.4482081507499163</v>
      </c>
      <c r="O1057" s="426">
        <v>4.0381146315132668</v>
      </c>
      <c r="P1057" s="426">
        <f t="shared" si="147"/>
        <v>0.85842956279827554</v>
      </c>
      <c r="Q1057" s="426">
        <f t="shared" si="148"/>
        <v>1.046425637051098</v>
      </c>
      <c r="R1057" s="532">
        <f t="shared" si="149"/>
        <v>2.1961001382144119E-2</v>
      </c>
    </row>
    <row r="1058" spans="1:18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438">
        <f t="shared" si="142"/>
        <v>1555.2</v>
      </c>
      <c r="G1058" s="404">
        <v>1100</v>
      </c>
      <c r="H1058" s="404">
        <v>68</v>
      </c>
      <c r="I1058" s="692">
        <v>5000</v>
      </c>
      <c r="J1058" s="404">
        <v>32</v>
      </c>
      <c r="K1058" s="707">
        <f t="shared" si="144"/>
        <v>1.3260530421216849E-2</v>
      </c>
      <c r="L1058" s="708">
        <f t="shared" si="145"/>
        <v>4.9261083743842365E-3</v>
      </c>
      <c r="M1058" s="426">
        <f t="shared" si="146"/>
        <v>36.683723515443084</v>
      </c>
      <c r="N1058" s="427">
        <f t="shared" si="143"/>
        <v>13.488605136628424</v>
      </c>
      <c r="O1058" s="426">
        <v>15.750838095615398</v>
      </c>
      <c r="P1058" s="426">
        <f t="shared" si="147"/>
        <v>3.3579809872197846</v>
      </c>
      <c r="Q1058" s="426">
        <f t="shared" si="148"/>
        <v>4.0933788234209176</v>
      </c>
      <c r="R1058" s="532">
        <f t="shared" si="149"/>
        <v>4.4548063101148845E-2</v>
      </c>
    </row>
    <row r="1059" spans="1:18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438">
        <f t="shared" si="142"/>
        <v>1514.3</v>
      </c>
      <c r="G1059" s="404">
        <v>1100</v>
      </c>
      <c r="H1059" s="404">
        <v>72</v>
      </c>
      <c r="I1059" s="692">
        <v>5000</v>
      </c>
      <c r="J1059" s="404">
        <v>32</v>
      </c>
      <c r="K1059" s="707">
        <f t="shared" si="144"/>
        <v>1.4040561622464899E-2</v>
      </c>
      <c r="L1059" s="708">
        <f t="shared" si="145"/>
        <v>4.9261083743842365E-3</v>
      </c>
      <c r="M1059" s="426">
        <f t="shared" si="146"/>
        <v>38.257101050544485</v>
      </c>
      <c r="N1059" s="427">
        <f t="shared" si="143"/>
        <v>14.067136056285207</v>
      </c>
      <c r="O1059" s="426">
        <v>16.424063902067012</v>
      </c>
      <c r="P1059" s="426">
        <f t="shared" si="147"/>
        <v>3.5020059482182244</v>
      </c>
      <c r="Q1059" s="426">
        <f t="shared" si="148"/>
        <v>4.2689452508780157</v>
      </c>
      <c r="R1059" s="532">
        <f t="shared" si="149"/>
        <v>4.7712016745106604E-2</v>
      </c>
    </row>
    <row r="1060" spans="1:18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438">
        <f t="shared" si="142"/>
        <v>394</v>
      </c>
      <c r="G1060" s="404">
        <v>1100</v>
      </c>
      <c r="H1060" s="404">
        <v>10</v>
      </c>
      <c r="I1060" s="692">
        <v>5000</v>
      </c>
      <c r="J1060" s="404">
        <v>7</v>
      </c>
      <c r="K1060" s="707">
        <f t="shared" si="144"/>
        <v>1.9500780031201249E-3</v>
      </c>
      <c r="L1060" s="708">
        <f t="shared" si="145"/>
        <v>1.0775862068965517E-3</v>
      </c>
      <c r="M1060" s="426">
        <f t="shared" si="146"/>
        <v>6.1070106480983375</v>
      </c>
      <c r="N1060" s="427">
        <f t="shared" si="143"/>
        <v>2.2455478153057586</v>
      </c>
      <c r="O1060" s="426">
        <v>2.6250018818029655</v>
      </c>
      <c r="P1060" s="426">
        <f t="shared" si="147"/>
        <v>0.55902791973747912</v>
      </c>
      <c r="Q1060" s="426">
        <f t="shared" si="148"/>
        <v>0.68145503415998709</v>
      </c>
      <c r="R1060" s="532">
        <f t="shared" si="149"/>
        <v>2.9280680875493757E-2</v>
      </c>
    </row>
    <row r="1061" spans="1:18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438">
        <f t="shared" si="142"/>
        <v>572.5</v>
      </c>
      <c r="G1061" s="404">
        <v>1100</v>
      </c>
      <c r="H1061" s="404">
        <v>10</v>
      </c>
      <c r="I1061" s="692">
        <v>5000</v>
      </c>
      <c r="J1061" s="404">
        <v>3</v>
      </c>
      <c r="K1061" s="707">
        <f t="shared" si="144"/>
        <v>1.9500780031201249E-3</v>
      </c>
      <c r="L1061" s="708">
        <f t="shared" si="145"/>
        <v>4.6182266009852215E-4</v>
      </c>
      <c r="M1061" s="426">
        <f t="shared" si="146"/>
        <v>4.8649724707584356</v>
      </c>
      <c r="N1061" s="427">
        <f t="shared" si="143"/>
        <v>1.788850377497877</v>
      </c>
      <c r="O1061" s="426">
        <v>2.0867519585607179</v>
      </c>
      <c r="P1061" s="426">
        <f t="shared" si="147"/>
        <v>0.44533333845669093</v>
      </c>
      <c r="Q1061" s="426">
        <f t="shared" si="148"/>
        <v>0.5428613395787063</v>
      </c>
      <c r="R1061" s="532">
        <f t="shared" si="149"/>
        <v>1.6045254402224842E-2</v>
      </c>
    </row>
    <row r="1062" spans="1:18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438">
        <f t="shared" si="142"/>
        <v>351.9</v>
      </c>
      <c r="G1062" s="404">
        <v>1100</v>
      </c>
      <c r="H1062" s="404">
        <v>15</v>
      </c>
      <c r="I1062" s="692">
        <v>5000</v>
      </c>
      <c r="J1062" s="404">
        <v>8</v>
      </c>
      <c r="K1062" s="707">
        <f t="shared" si="144"/>
        <v>2.9251170046801873E-3</v>
      </c>
      <c r="L1062" s="708">
        <f t="shared" si="145"/>
        <v>1.2315270935960591E-3</v>
      </c>
      <c r="M1062" s="426">
        <f t="shared" si="146"/>
        <v>8.3842421113100691</v>
      </c>
      <c r="N1062" s="427">
        <f t="shared" si="143"/>
        <v>3.0828858243287125</v>
      </c>
      <c r="O1062" s="426">
        <v>3.6010966206780433</v>
      </c>
      <c r="P1062" s="426">
        <f t="shared" si="147"/>
        <v>0.76748276630572609</v>
      </c>
      <c r="Q1062" s="426">
        <f t="shared" si="148"/>
        <v>0.93556149212668016</v>
      </c>
      <c r="R1062" s="532">
        <f t="shared" si="149"/>
        <v>4.5000589152095913E-2</v>
      </c>
    </row>
    <row r="1063" spans="1:18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438">
        <f t="shared" si="142"/>
        <v>449.4</v>
      </c>
      <c r="G1063" s="404">
        <v>1100</v>
      </c>
      <c r="H1063" s="404">
        <v>13</v>
      </c>
      <c r="I1063" s="692">
        <v>5000</v>
      </c>
      <c r="J1063" s="404">
        <v>4</v>
      </c>
      <c r="K1063" s="707">
        <f t="shared" si="144"/>
        <v>2.5351014040561623E-3</v>
      </c>
      <c r="L1063" s="708">
        <f t="shared" si="145"/>
        <v>6.1576354679802956E-4</v>
      </c>
      <c r="M1063" s="426">
        <f t="shared" si="146"/>
        <v>6.3555151664194645</v>
      </c>
      <c r="N1063" s="427">
        <f t="shared" si="143"/>
        <v>2.3369229266924374</v>
      </c>
      <c r="O1063" s="426">
        <v>2.7262337942099895</v>
      </c>
      <c r="P1063" s="426">
        <f t="shared" si="147"/>
        <v>0.58177570452571792</v>
      </c>
      <c r="Q1063" s="426">
        <f t="shared" si="148"/>
        <v>0.70918458381685023</v>
      </c>
      <c r="R1063" s="532">
        <f t="shared" si="149"/>
        <v>2.6703265669442838E-2</v>
      </c>
    </row>
    <row r="1064" spans="1:18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438">
        <f t="shared" si="142"/>
        <v>1394.3</v>
      </c>
      <c r="G1064" s="404">
        <v>1100</v>
      </c>
      <c r="H1064" s="404">
        <v>34</v>
      </c>
      <c r="I1064" s="692">
        <v>5000</v>
      </c>
      <c r="J1064" s="404">
        <v>15</v>
      </c>
      <c r="K1064" s="707">
        <f t="shared" si="144"/>
        <v>6.6302652106084246E-3</v>
      </c>
      <c r="L1064" s="708">
        <f t="shared" si="145"/>
        <v>2.3091133004926111E-3</v>
      </c>
      <c r="M1064" s="426">
        <f t="shared" si="146"/>
        <v>18.031352213386565</v>
      </c>
      <c r="N1064" s="427">
        <f t="shared" si="143"/>
        <v>6.6301282088622404</v>
      </c>
      <c r="O1064" s="426">
        <v>7.7408565669971372</v>
      </c>
      <c r="P1064" s="426">
        <f t="shared" si="147"/>
        <v>1.6505668482896951</v>
      </c>
      <c r="Q1064" s="426">
        <f t="shared" si="148"/>
        <v>2.0120409880651384</v>
      </c>
      <c r="R1064" s="532">
        <f t="shared" si="149"/>
        <v>2.4422938992710062E-2</v>
      </c>
    </row>
    <row r="1065" spans="1:18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438">
        <f t="shared" ref="F1065:F1127" si="150">C1065+D1065+E1065</f>
        <v>398.7</v>
      </c>
      <c r="G1065" s="404">
        <v>1100</v>
      </c>
      <c r="H1065" s="404">
        <v>12</v>
      </c>
      <c r="I1065" s="692">
        <v>5000</v>
      </c>
      <c r="J1065" s="404">
        <v>6</v>
      </c>
      <c r="K1065" s="707">
        <f t="shared" si="144"/>
        <v>2.3400936037441498E-3</v>
      </c>
      <c r="L1065" s="708">
        <f t="shared" si="145"/>
        <v>9.2364532019704429E-4</v>
      </c>
      <c r="M1065" s="426">
        <f t="shared" si="146"/>
        <v>6.5831898713140635</v>
      </c>
      <c r="N1065" s="427">
        <f t="shared" ref="N1065:N1127" si="151">M1065*0.3677</f>
        <v>2.4206389156821815</v>
      </c>
      <c r="O1065" s="426">
        <v>2.8270523042182099</v>
      </c>
      <c r="P1065" s="426">
        <f t="shared" si="147"/>
        <v>0.60261675491650202</v>
      </c>
      <c r="Q1065" s="426">
        <f t="shared" si="148"/>
        <v>0.73458982424321606</v>
      </c>
      <c r="R1065" s="532">
        <f t="shared" si="149"/>
        <v>3.1185096177905585E-2</v>
      </c>
    </row>
    <row r="1066" spans="1:18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438">
        <f t="shared" si="150"/>
        <v>359.4</v>
      </c>
      <c r="G1066" s="404">
        <v>1100</v>
      </c>
      <c r="H1066" s="404">
        <v>11</v>
      </c>
      <c r="I1066" s="692">
        <v>5000</v>
      </c>
      <c r="J1066" s="404">
        <v>5</v>
      </c>
      <c r="K1066" s="707">
        <f t="shared" si="144"/>
        <v>2.1450858034321374E-3</v>
      </c>
      <c r="L1066" s="708">
        <f t="shared" si="145"/>
        <v>7.6970443349753698E-4</v>
      </c>
      <c r="M1066" s="426">
        <f t="shared" si="146"/>
        <v>5.8793359432037375</v>
      </c>
      <c r="N1066" s="427">
        <f t="shared" si="151"/>
        <v>2.1618318263160146</v>
      </c>
      <c r="O1066" s="426">
        <v>2.5241833717947446</v>
      </c>
      <c r="P1066" s="426">
        <f t="shared" si="147"/>
        <v>0.53818686934669502</v>
      </c>
      <c r="Q1066" s="426">
        <f t="shared" si="148"/>
        <v>0.65604979373362127</v>
      </c>
      <c r="R1066" s="532">
        <f t="shared" si="149"/>
        <v>3.0894652227771824E-2</v>
      </c>
    </row>
    <row r="1067" spans="1:18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438">
        <f t="shared" si="150"/>
        <v>694.9</v>
      </c>
      <c r="G1067" s="404">
        <v>1100</v>
      </c>
      <c r="H1067" s="404">
        <v>20</v>
      </c>
      <c r="I1067" s="692">
        <v>5000</v>
      </c>
      <c r="J1067" s="404">
        <v>8</v>
      </c>
      <c r="K1067" s="707">
        <f t="shared" si="144"/>
        <v>3.9001560062402497E-3</v>
      </c>
      <c r="L1067" s="708">
        <f t="shared" si="145"/>
        <v>1.2315270935960591E-3</v>
      </c>
      <c r="M1067" s="426">
        <f t="shared" si="146"/>
        <v>10.350964030186823</v>
      </c>
      <c r="N1067" s="427">
        <f t="shared" si="151"/>
        <v>3.8060494738996953</v>
      </c>
      <c r="O1067" s="426">
        <v>4.4426288787425587</v>
      </c>
      <c r="P1067" s="426">
        <f t="shared" si="147"/>
        <v>0.94751396755377604</v>
      </c>
      <c r="Q1067" s="426">
        <f t="shared" si="148"/>
        <v>1.1550195264480532</v>
      </c>
      <c r="R1067" s="532">
        <f t="shared" si="149"/>
        <v>2.8129452223892435E-2</v>
      </c>
    </row>
    <row r="1068" spans="1:18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438">
        <f t="shared" si="150"/>
        <v>629.6</v>
      </c>
      <c r="G1068" s="404">
        <v>1100</v>
      </c>
      <c r="H1068" s="404">
        <v>14</v>
      </c>
      <c r="I1068" s="692">
        <v>5000</v>
      </c>
      <c r="J1068" s="404">
        <v>6</v>
      </c>
      <c r="K1068" s="707">
        <f t="shared" si="144"/>
        <v>2.7301092043681748E-3</v>
      </c>
      <c r="L1068" s="708">
        <f t="shared" si="145"/>
        <v>9.2364532019704429E-4</v>
      </c>
      <c r="M1068" s="426">
        <f t="shared" si="146"/>
        <v>7.3698786388647655</v>
      </c>
      <c r="N1068" s="427">
        <f t="shared" si="151"/>
        <v>2.7099043755105745</v>
      </c>
      <c r="O1068" s="426">
        <v>3.1636652074440161</v>
      </c>
      <c r="P1068" s="426">
        <f t="shared" si="147"/>
        <v>0.67462923541572195</v>
      </c>
      <c r="Q1068" s="426">
        <f t="shared" si="148"/>
        <v>0.82237303797176509</v>
      </c>
      <c r="R1068" s="532">
        <f t="shared" si="149"/>
        <v>2.2106222136650377E-2</v>
      </c>
    </row>
    <row r="1069" spans="1:18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438">
        <f t="shared" si="150"/>
        <v>969.07</v>
      </c>
      <c r="G1069" s="404">
        <v>1100</v>
      </c>
      <c r="H1069" s="404">
        <v>27</v>
      </c>
      <c r="I1069" s="692">
        <v>5000</v>
      </c>
      <c r="J1069" s="404">
        <v>31</v>
      </c>
      <c r="K1069" s="707">
        <f t="shared" si="144"/>
        <v>5.2652106084243372E-3</v>
      </c>
      <c r="L1069" s="708">
        <f t="shared" si="145"/>
        <v>4.7721674876847293E-3</v>
      </c>
      <c r="M1069" s="426">
        <f t="shared" si="146"/>
        <v>20.246094236318715</v>
      </c>
      <c r="N1069" s="427">
        <f t="shared" si="151"/>
        <v>7.444488850694392</v>
      </c>
      <c r="O1069" s="426">
        <v>8.715711098675806</v>
      </c>
      <c r="P1069" s="426">
        <f t="shared" si="147"/>
        <v>1.8533014916655779</v>
      </c>
      <c r="Q1069" s="426">
        <f t="shared" si="148"/>
        <v>2.2591745183403398</v>
      </c>
      <c r="R1069" s="532">
        <f t="shared" si="149"/>
        <v>3.9480734804869091E-2</v>
      </c>
    </row>
    <row r="1070" spans="1:18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438">
        <f t="shared" si="150"/>
        <v>315.7</v>
      </c>
      <c r="G1070" s="404">
        <v>1100</v>
      </c>
      <c r="H1070" s="404">
        <v>14</v>
      </c>
      <c r="I1070" s="692">
        <v>5000</v>
      </c>
      <c r="J1070" s="404">
        <v>7</v>
      </c>
      <c r="K1070" s="707">
        <f t="shared" si="144"/>
        <v>2.7301092043681748E-3</v>
      </c>
      <c r="L1070" s="708">
        <f t="shared" si="145"/>
        <v>1.0775862068965517E-3</v>
      </c>
      <c r="M1070" s="426">
        <f t="shared" si="146"/>
        <v>7.6803881831997414</v>
      </c>
      <c r="N1070" s="427">
        <f t="shared" si="151"/>
        <v>2.8240787349625451</v>
      </c>
      <c r="O1070" s="426">
        <v>3.2982276882545785</v>
      </c>
      <c r="P1070" s="426">
        <f t="shared" si="147"/>
        <v>0.70305288073591909</v>
      </c>
      <c r="Q1070" s="426">
        <f t="shared" si="148"/>
        <v>0.85702146161708548</v>
      </c>
      <c r="R1070" s="532">
        <f t="shared" si="149"/>
        <v>4.5947885610240054E-2</v>
      </c>
    </row>
    <row r="1071" spans="1:18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438">
        <f t="shared" si="150"/>
        <v>677.4</v>
      </c>
      <c r="G1071" s="404">
        <v>1100</v>
      </c>
      <c r="H1071" s="404">
        <v>24</v>
      </c>
      <c r="I1071" s="692">
        <v>5000</v>
      </c>
      <c r="J1071" s="404">
        <v>5</v>
      </c>
      <c r="K1071" s="707">
        <f t="shared" si="144"/>
        <v>4.6801872074882997E-3</v>
      </c>
      <c r="L1071" s="708">
        <f t="shared" si="145"/>
        <v>7.6970443349753698E-4</v>
      </c>
      <c r="M1071" s="426">
        <f t="shared" si="146"/>
        <v>10.9928129322833</v>
      </c>
      <c r="N1071" s="427">
        <f t="shared" si="151"/>
        <v>4.0420573152005694</v>
      </c>
      <c r="O1071" s="426">
        <v>4.7121672427624866</v>
      </c>
      <c r="P1071" s="426">
        <f t="shared" si="147"/>
        <v>1.0062679925916247</v>
      </c>
      <c r="Q1071" s="426">
        <f t="shared" si="148"/>
        <v>1.2266406829691905</v>
      </c>
      <c r="R1071" s="532">
        <f t="shared" si="149"/>
        <v>3.0636707237729526E-2</v>
      </c>
    </row>
    <row r="1072" spans="1:18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438">
        <f t="shared" si="150"/>
        <v>255.8</v>
      </c>
      <c r="G1072" s="404">
        <v>1100</v>
      </c>
      <c r="H1072" s="404">
        <v>8</v>
      </c>
      <c r="I1072" s="692">
        <v>5000</v>
      </c>
      <c r="J1072" s="404">
        <v>6</v>
      </c>
      <c r="K1072" s="707">
        <f t="shared" si="144"/>
        <v>1.5600624024960999E-3</v>
      </c>
      <c r="L1072" s="708">
        <f t="shared" si="145"/>
        <v>9.2364532019704429E-4</v>
      </c>
      <c r="M1072" s="426">
        <f t="shared" si="146"/>
        <v>5.0098123362126596</v>
      </c>
      <c r="N1072" s="427">
        <f t="shared" si="151"/>
        <v>1.842107996025395</v>
      </c>
      <c r="O1072" s="426">
        <v>2.1538264977665968</v>
      </c>
      <c r="P1072" s="426">
        <f t="shared" si="147"/>
        <v>0.4585917939180621</v>
      </c>
      <c r="Q1072" s="426">
        <f t="shared" si="148"/>
        <v>0.55902339678611779</v>
      </c>
      <c r="R1072" s="532">
        <f t="shared" si="149"/>
        <v>3.6998978201417961E-2</v>
      </c>
    </row>
    <row r="1073" spans="1:18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438">
        <f t="shared" si="150"/>
        <v>352.5</v>
      </c>
      <c r="G1073" s="404">
        <v>1100</v>
      </c>
      <c r="H1073" s="404">
        <v>14</v>
      </c>
      <c r="I1073" s="692">
        <v>5000</v>
      </c>
      <c r="J1073" s="404">
        <v>4</v>
      </c>
      <c r="K1073" s="707">
        <f t="shared" ref="K1073:K1136" si="152">0.5/2564*H1073</f>
        <v>2.7301092043681748E-3</v>
      </c>
      <c r="L1073" s="708">
        <f t="shared" ref="L1073:L1136" si="153">1.5/9744*J1073</f>
        <v>6.1576354679802956E-4</v>
      </c>
      <c r="M1073" s="426">
        <f t="shared" ref="M1073:M1136" si="154">(K1073+L1073)*2017.07</f>
        <v>6.7488595501948163</v>
      </c>
      <c r="N1073" s="427">
        <f t="shared" si="151"/>
        <v>2.4815556566066341</v>
      </c>
      <c r="O1073" s="426">
        <v>2.8945402458228928</v>
      </c>
      <c r="P1073" s="426">
        <f t="shared" si="147"/>
        <v>0.617781944775328</v>
      </c>
      <c r="Q1073" s="426">
        <f t="shared" si="148"/>
        <v>0.75307619068112486</v>
      </c>
      <c r="R1073" s="532">
        <f t="shared" si="149"/>
        <v>3.6149609638013253E-2</v>
      </c>
    </row>
    <row r="1074" spans="1:18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438">
        <f t="shared" si="150"/>
        <v>642.9</v>
      </c>
      <c r="G1074" s="404">
        <v>1100</v>
      </c>
      <c r="H1074" s="404">
        <v>12</v>
      </c>
      <c r="I1074" s="692">
        <v>5000</v>
      </c>
      <c r="J1074" s="404">
        <v>0</v>
      </c>
      <c r="K1074" s="707">
        <f t="shared" si="152"/>
        <v>2.3400936037441498E-3</v>
      </c>
      <c r="L1074" s="708">
        <f t="shared" si="153"/>
        <v>0</v>
      </c>
      <c r="M1074" s="426">
        <f t="shared" si="154"/>
        <v>4.7201326053042125</v>
      </c>
      <c r="N1074" s="427">
        <f t="shared" si="151"/>
        <v>1.735592758970359</v>
      </c>
      <c r="O1074" s="426">
        <v>2.0196774193548386</v>
      </c>
      <c r="P1074" s="426">
        <f t="shared" ref="P1074:P1137" si="155">(K1074+L1074)*184.64</f>
        <v>0.43207488299531982</v>
      </c>
      <c r="Q1074" s="426">
        <f t="shared" ref="Q1074:Q1137" si="156">P1074*1.219</f>
        <v>0.52669928237129493</v>
      </c>
      <c r="R1074" s="532">
        <f t="shared" si="149"/>
        <v>1.3855152693458904E-2</v>
      </c>
    </row>
    <row r="1075" spans="1:18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438">
        <f t="shared" si="150"/>
        <v>324.39999999999998</v>
      </c>
      <c r="G1075" s="404">
        <v>1100</v>
      </c>
      <c r="H1075" s="404">
        <v>14</v>
      </c>
      <c r="I1075" s="692">
        <v>5000</v>
      </c>
      <c r="J1075" s="404">
        <v>10</v>
      </c>
      <c r="K1075" s="707">
        <f t="shared" si="152"/>
        <v>2.7301092043681748E-3</v>
      </c>
      <c r="L1075" s="708">
        <f t="shared" si="153"/>
        <v>1.539408866995074E-3</v>
      </c>
      <c r="M1075" s="426">
        <f t="shared" si="154"/>
        <v>8.6119168162046673</v>
      </c>
      <c r="N1075" s="427">
        <f t="shared" si="151"/>
        <v>3.1666018133184566</v>
      </c>
      <c r="O1075" s="426">
        <v>3.7019151306862637</v>
      </c>
      <c r="P1075" s="426">
        <f t="shared" si="155"/>
        <v>0.78832381669651019</v>
      </c>
      <c r="Q1075" s="426">
        <f t="shared" si="156"/>
        <v>0.96096673255304599</v>
      </c>
      <c r="R1075" s="532">
        <f t="shared" si="149"/>
        <v>5.0150300791941736E-2</v>
      </c>
    </row>
    <row r="1076" spans="1:18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438">
        <f t="shared" si="150"/>
        <v>505</v>
      </c>
      <c r="G1076" s="404">
        <v>1100</v>
      </c>
      <c r="H1076" s="404">
        <v>22</v>
      </c>
      <c r="I1076" s="692">
        <v>5000</v>
      </c>
      <c r="J1076" s="404">
        <v>8</v>
      </c>
      <c r="K1076" s="707">
        <f t="shared" si="152"/>
        <v>4.2901716068642747E-3</v>
      </c>
      <c r="L1076" s="708">
        <f t="shared" si="153"/>
        <v>1.2315270935960591E-3</v>
      </c>
      <c r="M1076" s="426">
        <f t="shared" si="154"/>
        <v>11.137652797737525</v>
      </c>
      <c r="N1076" s="427">
        <f t="shared" si="151"/>
        <v>4.0953149337280879</v>
      </c>
      <c r="O1076" s="426">
        <v>4.7792417819683664</v>
      </c>
      <c r="P1076" s="426">
        <f t="shared" si="155"/>
        <v>1.019526448052996</v>
      </c>
      <c r="Q1076" s="426">
        <f t="shared" si="156"/>
        <v>1.2428027401766022</v>
      </c>
      <c r="R1076" s="532">
        <f t="shared" si="149"/>
        <v>4.1647001903934597E-2</v>
      </c>
    </row>
    <row r="1077" spans="1:18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438">
        <f t="shared" si="150"/>
        <v>548.70000000000005</v>
      </c>
      <c r="G1077" s="404">
        <v>1100</v>
      </c>
      <c r="H1077" s="404">
        <v>19</v>
      </c>
      <c r="I1077" s="692">
        <v>5000</v>
      </c>
      <c r="J1077" s="404">
        <v>7</v>
      </c>
      <c r="K1077" s="707">
        <f t="shared" si="152"/>
        <v>3.7051482059282373E-3</v>
      </c>
      <c r="L1077" s="708">
        <f t="shared" si="153"/>
        <v>1.0775862068965517E-3</v>
      </c>
      <c r="M1077" s="426">
        <f t="shared" si="154"/>
        <v>9.6471101020764962</v>
      </c>
      <c r="N1077" s="427">
        <f t="shared" si="151"/>
        <v>3.5472423845335279</v>
      </c>
      <c r="O1077" s="426">
        <v>4.1397599463190939</v>
      </c>
      <c r="P1077" s="426">
        <f t="shared" si="155"/>
        <v>0.88308408198396893</v>
      </c>
      <c r="Q1077" s="426">
        <f t="shared" si="156"/>
        <v>1.0764794959384583</v>
      </c>
      <c r="R1077" s="532">
        <f t="shared" si="149"/>
        <v>3.320064974469307E-2</v>
      </c>
    </row>
    <row r="1078" spans="1:18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438">
        <f t="shared" si="150"/>
        <v>222.33</v>
      </c>
      <c r="G1078" s="404">
        <v>1100</v>
      </c>
      <c r="H1078" s="404">
        <v>7</v>
      </c>
      <c r="I1078" s="692">
        <v>5000</v>
      </c>
      <c r="J1078" s="404">
        <v>3</v>
      </c>
      <c r="K1078" s="707">
        <f t="shared" si="152"/>
        <v>1.3650546021840874E-3</v>
      </c>
      <c r="L1078" s="708">
        <f t="shared" si="153"/>
        <v>4.6182266009852215E-4</v>
      </c>
      <c r="M1078" s="426">
        <f t="shared" si="154"/>
        <v>3.6849393194323827</v>
      </c>
      <c r="N1078" s="427">
        <f t="shared" si="151"/>
        <v>1.3549521877552873</v>
      </c>
      <c r="O1078" s="426">
        <v>1.5818326037220081</v>
      </c>
      <c r="P1078" s="426">
        <f t="shared" si="155"/>
        <v>0.33731461770786098</v>
      </c>
      <c r="Q1078" s="426">
        <f t="shared" si="156"/>
        <v>0.41118651898588254</v>
      </c>
      <c r="R1078" s="532">
        <f t="shared" si="149"/>
        <v>3.1300493539412312E-2</v>
      </c>
    </row>
    <row r="1079" spans="1:18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438">
        <f t="shared" si="150"/>
        <v>461.2</v>
      </c>
      <c r="G1079" s="404">
        <v>1100</v>
      </c>
      <c r="H1079" s="404">
        <v>14</v>
      </c>
      <c r="I1079" s="692">
        <v>5000</v>
      </c>
      <c r="J1079" s="404">
        <v>8</v>
      </c>
      <c r="K1079" s="707">
        <f t="shared" si="152"/>
        <v>2.7301092043681748E-3</v>
      </c>
      <c r="L1079" s="708">
        <f t="shared" si="153"/>
        <v>1.2315270935960591E-3</v>
      </c>
      <c r="M1079" s="426">
        <f t="shared" si="154"/>
        <v>7.9908977275347173</v>
      </c>
      <c r="N1079" s="427">
        <f t="shared" si="151"/>
        <v>2.9382530944145158</v>
      </c>
      <c r="O1079" s="426">
        <v>3.4327901690651403</v>
      </c>
      <c r="P1079" s="426">
        <f t="shared" si="155"/>
        <v>0.73147652605611613</v>
      </c>
      <c r="Q1079" s="426">
        <f t="shared" si="156"/>
        <v>0.89166988526240565</v>
      </c>
      <c r="R1079" s="532">
        <f t="shared" si="149"/>
        <v>3.2726403983240435E-2</v>
      </c>
    </row>
    <row r="1080" spans="1:18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438">
        <f t="shared" si="150"/>
        <v>446.5</v>
      </c>
      <c r="G1080" s="404">
        <v>1100</v>
      </c>
      <c r="H1080" s="404">
        <v>12</v>
      </c>
      <c r="I1080" s="692">
        <v>5000</v>
      </c>
      <c r="J1080" s="404">
        <v>7</v>
      </c>
      <c r="K1080" s="707">
        <f t="shared" si="152"/>
        <v>2.3400936037441498E-3</v>
      </c>
      <c r="L1080" s="708">
        <f t="shared" si="153"/>
        <v>1.0775862068965517E-3</v>
      </c>
      <c r="M1080" s="426">
        <f t="shared" si="154"/>
        <v>6.8936994156490394</v>
      </c>
      <c r="N1080" s="427">
        <f t="shared" si="151"/>
        <v>2.5348132751341521</v>
      </c>
      <c r="O1080" s="426">
        <v>2.9616147850287717</v>
      </c>
      <c r="P1080" s="426">
        <f t="shared" si="155"/>
        <v>0.63104040023669905</v>
      </c>
      <c r="Q1080" s="426">
        <f t="shared" si="156"/>
        <v>0.76923824788853623</v>
      </c>
      <c r="R1080" s="532">
        <f t="shared" si="149"/>
        <v>2.9162750002348626E-2</v>
      </c>
    </row>
    <row r="1081" spans="1:18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438">
        <f t="shared" si="150"/>
        <v>291.5</v>
      </c>
      <c r="G1081" s="404">
        <v>1100</v>
      </c>
      <c r="H1081" s="404">
        <v>15</v>
      </c>
      <c r="I1081" s="692">
        <v>5000</v>
      </c>
      <c r="J1081" s="404">
        <v>15</v>
      </c>
      <c r="K1081" s="707">
        <f t="shared" si="152"/>
        <v>2.9251170046801873E-3</v>
      </c>
      <c r="L1081" s="708">
        <f t="shared" si="153"/>
        <v>2.3091133004926111E-3</v>
      </c>
      <c r="M1081" s="426">
        <f t="shared" si="154"/>
        <v>10.557808921654896</v>
      </c>
      <c r="N1081" s="427">
        <f t="shared" si="151"/>
        <v>3.8821063404925056</v>
      </c>
      <c r="O1081" s="426">
        <v>4.5430339863519764</v>
      </c>
      <c r="P1081" s="426">
        <f t="shared" si="155"/>
        <v>0.96644828354710532</v>
      </c>
      <c r="Q1081" s="426">
        <f t="shared" si="156"/>
        <v>1.1781004576439216</v>
      </c>
      <c r="R1081" s="532">
        <f t="shared" si="149"/>
        <v>6.8437041276317265E-2</v>
      </c>
    </row>
    <row r="1082" spans="1:18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438">
        <f t="shared" si="150"/>
        <v>361.5</v>
      </c>
      <c r="G1082" s="404">
        <v>1100</v>
      </c>
      <c r="H1082" s="404">
        <v>12</v>
      </c>
      <c r="I1082" s="692">
        <v>5000</v>
      </c>
      <c r="J1082" s="404">
        <v>5</v>
      </c>
      <c r="K1082" s="707">
        <f t="shared" si="152"/>
        <v>2.3400936037441498E-3</v>
      </c>
      <c r="L1082" s="708">
        <f t="shared" si="153"/>
        <v>7.6970443349753698E-4</v>
      </c>
      <c r="M1082" s="426">
        <f t="shared" si="154"/>
        <v>6.2726803269790885</v>
      </c>
      <c r="N1082" s="427">
        <f t="shared" si="151"/>
        <v>2.3064645562302108</v>
      </c>
      <c r="O1082" s="426">
        <v>2.692489823407648</v>
      </c>
      <c r="P1082" s="426">
        <f t="shared" si="155"/>
        <v>0.57419310959630498</v>
      </c>
      <c r="Q1082" s="426">
        <f t="shared" si="156"/>
        <v>0.69994140059789578</v>
      </c>
      <c r="R1082" s="532">
        <f t="shared" si="149"/>
        <v>3.2768541676938455E-2</v>
      </c>
    </row>
    <row r="1083" spans="1:18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438">
        <f t="shared" si="150"/>
        <v>485.90000000000003</v>
      </c>
      <c r="G1083" s="404">
        <v>1100</v>
      </c>
      <c r="H1083" s="404">
        <v>18</v>
      </c>
      <c r="I1083" s="692">
        <v>5000</v>
      </c>
      <c r="J1083" s="404">
        <v>14</v>
      </c>
      <c r="K1083" s="707">
        <f t="shared" si="152"/>
        <v>3.5101404056162248E-3</v>
      </c>
      <c r="L1083" s="708">
        <f t="shared" si="153"/>
        <v>2.1551724137931034E-3</v>
      </c>
      <c r="M1083" s="426">
        <f t="shared" si="154"/>
        <v>11.427332528645973</v>
      </c>
      <c r="N1083" s="427">
        <f t="shared" si="151"/>
        <v>4.2018301707831247</v>
      </c>
      <c r="O1083" s="426">
        <v>4.9133908603801242</v>
      </c>
      <c r="P1083" s="426">
        <f t="shared" si="155"/>
        <v>1.0460433589757383</v>
      </c>
      <c r="Q1083" s="426">
        <f t="shared" si="156"/>
        <v>1.2751268545914252</v>
      </c>
      <c r="R1083" s="532">
        <f t="shared" si="149"/>
        <v>4.443012331505445E-2</v>
      </c>
    </row>
    <row r="1084" spans="1:18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438">
        <f t="shared" si="150"/>
        <v>430.5</v>
      </c>
      <c r="G1084" s="404">
        <v>1100</v>
      </c>
      <c r="H1084" s="404">
        <v>8</v>
      </c>
      <c r="I1084" s="692">
        <v>5000</v>
      </c>
      <c r="J1084" s="404">
        <v>3</v>
      </c>
      <c r="K1084" s="707">
        <f t="shared" si="152"/>
        <v>1.5600624024960999E-3</v>
      </c>
      <c r="L1084" s="708">
        <f t="shared" si="153"/>
        <v>4.6182266009852215E-4</v>
      </c>
      <c r="M1084" s="426">
        <f t="shared" si="154"/>
        <v>4.0782837032077337</v>
      </c>
      <c r="N1084" s="427">
        <f t="shared" si="151"/>
        <v>1.4995849176694838</v>
      </c>
      <c r="O1084" s="426">
        <v>1.7501390553349112</v>
      </c>
      <c r="P1084" s="426">
        <f t="shared" si="155"/>
        <v>0.37332085795747094</v>
      </c>
      <c r="Q1084" s="426">
        <f t="shared" si="156"/>
        <v>0.45507812585015711</v>
      </c>
      <c r="R1084" s="532">
        <f t="shared" si="149"/>
        <v>1.788926488773426E-2</v>
      </c>
    </row>
    <row r="1085" spans="1:18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438">
        <f t="shared" si="150"/>
        <v>96.4</v>
      </c>
      <c r="G1085" s="404">
        <v>1100</v>
      </c>
      <c r="H1085" s="404">
        <v>5</v>
      </c>
      <c r="I1085" s="692">
        <v>5000</v>
      </c>
      <c r="J1085" s="404">
        <v>4</v>
      </c>
      <c r="K1085" s="707">
        <f t="shared" si="152"/>
        <v>9.7503900156006244E-4</v>
      </c>
      <c r="L1085" s="708">
        <f t="shared" si="153"/>
        <v>6.1576354679802956E-4</v>
      </c>
      <c r="M1085" s="426">
        <f t="shared" si="154"/>
        <v>3.2087600962166567</v>
      </c>
      <c r="N1085" s="427">
        <f t="shared" si="151"/>
        <v>1.1798610873788649</v>
      </c>
      <c r="O1085" s="426">
        <v>1.3797821813067637</v>
      </c>
      <c r="P1085" s="426">
        <f t="shared" si="155"/>
        <v>0.29372578252883813</v>
      </c>
      <c r="Q1085" s="426">
        <f t="shared" si="156"/>
        <v>0.35805172890265369</v>
      </c>
      <c r="R1085" s="532">
        <f t="shared" si="149"/>
        <v>6.2885157131028255E-2</v>
      </c>
    </row>
    <row r="1086" spans="1:18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438">
        <f t="shared" si="150"/>
        <v>76.2</v>
      </c>
      <c r="G1086" s="404">
        <v>1100</v>
      </c>
      <c r="H1086" s="404">
        <v>5</v>
      </c>
      <c r="I1086" s="692">
        <v>5000</v>
      </c>
      <c r="J1086" s="404">
        <v>4</v>
      </c>
      <c r="K1086" s="707">
        <f t="shared" si="152"/>
        <v>9.7503900156006244E-4</v>
      </c>
      <c r="L1086" s="708">
        <f t="shared" si="153"/>
        <v>6.1576354679802956E-4</v>
      </c>
      <c r="M1086" s="426">
        <f t="shared" si="154"/>
        <v>3.2087600962166567</v>
      </c>
      <c r="N1086" s="427">
        <f t="shared" si="151"/>
        <v>1.1798610873788649</v>
      </c>
      <c r="O1086" s="426">
        <v>1.3797821813067637</v>
      </c>
      <c r="P1086" s="426">
        <f t="shared" si="155"/>
        <v>0.29372578252883813</v>
      </c>
      <c r="Q1086" s="426">
        <f t="shared" si="156"/>
        <v>0.35805172890265369</v>
      </c>
      <c r="R1086" s="532">
        <f t="shared" si="149"/>
        <v>7.9555500622455685E-2</v>
      </c>
    </row>
    <row r="1087" spans="1:18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438">
        <f t="shared" si="150"/>
        <v>84.3</v>
      </c>
      <c r="G1087" s="404">
        <v>1100</v>
      </c>
      <c r="H1087" s="404">
        <v>2</v>
      </c>
      <c r="I1087" s="692">
        <v>5000</v>
      </c>
      <c r="J1087" s="404">
        <v>2</v>
      </c>
      <c r="K1087" s="707">
        <f t="shared" si="152"/>
        <v>3.9001560062402497E-4</v>
      </c>
      <c r="L1087" s="708">
        <f t="shared" si="153"/>
        <v>3.0788177339901478E-4</v>
      </c>
      <c r="M1087" s="426">
        <f t="shared" si="154"/>
        <v>1.4077078562206529</v>
      </c>
      <c r="N1087" s="427">
        <f t="shared" si="151"/>
        <v>0.51761417873233406</v>
      </c>
      <c r="O1087" s="426">
        <v>0.60573786484693026</v>
      </c>
      <c r="P1087" s="426">
        <f t="shared" si="155"/>
        <v>0.12885977113961405</v>
      </c>
      <c r="Q1087" s="426">
        <f t="shared" si="156"/>
        <v>0.15708006101918953</v>
      </c>
      <c r="R1087" s="532">
        <f t="shared" si="149"/>
        <v>3.155302100758637E-2</v>
      </c>
    </row>
    <row r="1088" spans="1:18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438">
        <f t="shared" si="150"/>
        <v>236.4</v>
      </c>
      <c r="G1088" s="404">
        <v>1100</v>
      </c>
      <c r="H1088" s="404">
        <v>2</v>
      </c>
      <c r="I1088" s="692">
        <v>5000</v>
      </c>
      <c r="J1088" s="404">
        <v>1</v>
      </c>
      <c r="K1088" s="707">
        <f t="shared" si="152"/>
        <v>3.9001560062402497E-4</v>
      </c>
      <c r="L1088" s="708">
        <f t="shared" si="153"/>
        <v>1.5394088669950739E-4</v>
      </c>
      <c r="M1088" s="426">
        <f t="shared" si="154"/>
        <v>1.0971983118856774</v>
      </c>
      <c r="N1088" s="427">
        <f t="shared" si="151"/>
        <v>0.4034398192803636</v>
      </c>
      <c r="O1088" s="426">
        <v>0.47117538403636833</v>
      </c>
      <c r="P1088" s="426">
        <f t="shared" si="155"/>
        <v>0.10043612581941701</v>
      </c>
      <c r="Q1088" s="426">
        <f t="shared" si="156"/>
        <v>0.12243163737386933</v>
      </c>
      <c r="R1088" s="532">
        <f t="shared" si="149"/>
        <v>8.7658614256422417E-3</v>
      </c>
    </row>
    <row r="1089" spans="1:18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438">
        <f t="shared" si="150"/>
        <v>84.3</v>
      </c>
      <c r="G1089" s="404">
        <v>1100</v>
      </c>
      <c r="H1089" s="404">
        <v>2</v>
      </c>
      <c r="I1089" s="692">
        <v>5000</v>
      </c>
      <c r="J1089" s="404">
        <v>2</v>
      </c>
      <c r="K1089" s="707">
        <f t="shared" si="152"/>
        <v>3.9001560062402497E-4</v>
      </c>
      <c r="L1089" s="708">
        <f t="shared" si="153"/>
        <v>3.0788177339901478E-4</v>
      </c>
      <c r="M1089" s="426">
        <f t="shared" si="154"/>
        <v>1.4077078562206529</v>
      </c>
      <c r="N1089" s="427">
        <f t="shared" si="151"/>
        <v>0.51761417873233406</v>
      </c>
      <c r="O1089" s="426">
        <v>0.60573786484693026</v>
      </c>
      <c r="P1089" s="426">
        <f t="shared" si="155"/>
        <v>0.12885977113961405</v>
      </c>
      <c r="Q1089" s="426">
        <f t="shared" si="156"/>
        <v>0.15708006101918953</v>
      </c>
      <c r="R1089" s="532">
        <f t="shared" si="149"/>
        <v>3.155302100758637E-2</v>
      </c>
    </row>
    <row r="1090" spans="1:18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438">
        <f t="shared" si="150"/>
        <v>84.3</v>
      </c>
      <c r="G1090" s="404">
        <v>1100</v>
      </c>
      <c r="H1090" s="404">
        <v>2</v>
      </c>
      <c r="I1090" s="692">
        <v>5000</v>
      </c>
      <c r="J1090" s="404">
        <v>2</v>
      </c>
      <c r="K1090" s="707">
        <f t="shared" si="152"/>
        <v>3.9001560062402497E-4</v>
      </c>
      <c r="L1090" s="708">
        <f t="shared" si="153"/>
        <v>3.0788177339901478E-4</v>
      </c>
      <c r="M1090" s="426">
        <f t="shared" si="154"/>
        <v>1.4077078562206529</v>
      </c>
      <c r="N1090" s="427">
        <f t="shared" si="151"/>
        <v>0.51761417873233406</v>
      </c>
      <c r="O1090" s="426">
        <v>0.60573786484693026</v>
      </c>
      <c r="P1090" s="426">
        <f t="shared" si="155"/>
        <v>0.12885977113961405</v>
      </c>
      <c r="Q1090" s="426">
        <f t="shared" si="156"/>
        <v>0.15708006101918953</v>
      </c>
      <c r="R1090" s="532">
        <f t="shared" si="149"/>
        <v>3.155302100758637E-2</v>
      </c>
    </row>
    <row r="1091" spans="1:18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438">
        <f t="shared" si="150"/>
        <v>176.6</v>
      </c>
      <c r="G1091" s="404">
        <v>1100</v>
      </c>
      <c r="H1091" s="404">
        <v>15</v>
      </c>
      <c r="I1091" s="692">
        <v>5000</v>
      </c>
      <c r="J1091" s="404">
        <v>7</v>
      </c>
      <c r="K1091" s="707">
        <f t="shared" si="152"/>
        <v>2.9251170046801873E-3</v>
      </c>
      <c r="L1091" s="708">
        <f t="shared" si="153"/>
        <v>1.0775862068965517E-3</v>
      </c>
      <c r="M1091" s="426">
        <f t="shared" si="154"/>
        <v>8.0737325669750923</v>
      </c>
      <c r="N1091" s="427">
        <f t="shared" si="151"/>
        <v>2.9687114648767419</v>
      </c>
      <c r="O1091" s="426">
        <v>3.4665341398674814</v>
      </c>
      <c r="P1091" s="426">
        <f t="shared" si="155"/>
        <v>0.73905912098552895</v>
      </c>
      <c r="Q1091" s="426">
        <f t="shared" si="156"/>
        <v>0.90091306848135988</v>
      </c>
      <c r="R1091" s="532">
        <f t="shared" si="149"/>
        <v>8.6342227025508755E-2</v>
      </c>
    </row>
    <row r="1092" spans="1:18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438">
        <f t="shared" si="150"/>
        <v>111.5</v>
      </c>
      <c r="G1092" s="404">
        <v>1100</v>
      </c>
      <c r="H1092" s="404">
        <v>2</v>
      </c>
      <c r="I1092" s="692">
        <v>5000</v>
      </c>
      <c r="J1092" s="404">
        <v>1</v>
      </c>
      <c r="K1092" s="707">
        <f t="shared" si="152"/>
        <v>3.9001560062402497E-4</v>
      </c>
      <c r="L1092" s="708">
        <f t="shared" si="153"/>
        <v>1.5394088669950739E-4</v>
      </c>
      <c r="M1092" s="426">
        <f t="shared" si="154"/>
        <v>1.0971983118856774</v>
      </c>
      <c r="N1092" s="427">
        <f t="shared" si="151"/>
        <v>0.4034398192803636</v>
      </c>
      <c r="O1092" s="426">
        <v>0.47117538403636833</v>
      </c>
      <c r="P1092" s="426">
        <f t="shared" si="155"/>
        <v>0.10043612581941701</v>
      </c>
      <c r="Q1092" s="426">
        <f t="shared" si="156"/>
        <v>0.12243163737386933</v>
      </c>
      <c r="R1092" s="532">
        <f t="shared" si="149"/>
        <v>1.8585198574186782E-2</v>
      </c>
    </row>
    <row r="1093" spans="1:18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438">
        <f t="shared" si="150"/>
        <v>94.2</v>
      </c>
      <c r="G1093" s="404">
        <v>1100</v>
      </c>
      <c r="H1093" s="404">
        <v>3</v>
      </c>
      <c r="I1093" s="692">
        <v>5000</v>
      </c>
      <c r="J1093" s="404">
        <v>1</v>
      </c>
      <c r="K1093" s="707">
        <f t="shared" si="152"/>
        <v>5.8502340093603746E-4</v>
      </c>
      <c r="L1093" s="708">
        <f t="shared" si="153"/>
        <v>1.5394088669950739E-4</v>
      </c>
      <c r="M1093" s="426">
        <f t="shared" si="154"/>
        <v>1.4905426956610284</v>
      </c>
      <c r="N1093" s="427">
        <f t="shared" si="151"/>
        <v>0.54807254919456017</v>
      </c>
      <c r="O1093" s="426">
        <v>0.63948183564927152</v>
      </c>
      <c r="P1093" s="426">
        <f t="shared" si="155"/>
        <v>0.13644236606902699</v>
      </c>
      <c r="Q1093" s="426">
        <f t="shared" si="156"/>
        <v>0.1663232442381439</v>
      </c>
      <c r="R1093" s="532">
        <f t="shared" si="149"/>
        <v>2.987833807403277E-2</v>
      </c>
    </row>
    <row r="1094" spans="1:18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438">
        <f t="shared" si="150"/>
        <v>131.4</v>
      </c>
      <c r="G1094" s="404">
        <v>1100</v>
      </c>
      <c r="H1094" s="404">
        <v>7</v>
      </c>
      <c r="I1094" s="692">
        <v>5000</v>
      </c>
      <c r="J1094" s="404">
        <v>2</v>
      </c>
      <c r="K1094" s="707">
        <f t="shared" si="152"/>
        <v>1.3650546021840874E-3</v>
      </c>
      <c r="L1094" s="708">
        <f t="shared" si="153"/>
        <v>3.0788177339901478E-4</v>
      </c>
      <c r="M1094" s="426">
        <f t="shared" si="154"/>
        <v>3.3744297750974082</v>
      </c>
      <c r="N1094" s="427">
        <f t="shared" si="151"/>
        <v>1.2407778283033171</v>
      </c>
      <c r="O1094" s="426">
        <v>1.4472701229114464</v>
      </c>
      <c r="P1094" s="426">
        <f t="shared" si="155"/>
        <v>0.308890972387664</v>
      </c>
      <c r="Q1094" s="426">
        <f t="shared" si="156"/>
        <v>0.37653809534056243</v>
      </c>
      <c r="R1094" s="532">
        <f t="shared" si="149"/>
        <v>4.8488346261033759E-2</v>
      </c>
    </row>
    <row r="1095" spans="1:18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438">
        <f t="shared" si="150"/>
        <v>87.9</v>
      </c>
      <c r="G1095" s="404">
        <v>1100</v>
      </c>
      <c r="H1095" s="404">
        <v>5</v>
      </c>
      <c r="I1095" s="692">
        <v>5000</v>
      </c>
      <c r="J1095" s="404">
        <v>3</v>
      </c>
      <c r="K1095" s="707">
        <f t="shared" si="152"/>
        <v>9.7503900156006244E-4</v>
      </c>
      <c r="L1095" s="708">
        <f t="shared" si="153"/>
        <v>4.6182266009852215E-4</v>
      </c>
      <c r="M1095" s="426">
        <f t="shared" si="154"/>
        <v>2.8982505518816808</v>
      </c>
      <c r="N1095" s="427">
        <f t="shared" si="151"/>
        <v>1.065686727926894</v>
      </c>
      <c r="O1095" s="426">
        <v>1.2452197004962016</v>
      </c>
      <c r="P1095" s="426">
        <f t="shared" si="155"/>
        <v>0.26530213720864104</v>
      </c>
      <c r="Q1095" s="426">
        <f t="shared" si="156"/>
        <v>0.32340330525733346</v>
      </c>
      <c r="R1095" s="532">
        <f t="shared" ref="R1095:R1158" si="157">(P1095+O1095+N1095+M1095)/F1095</f>
        <v>6.2280536035419984E-2</v>
      </c>
    </row>
    <row r="1096" spans="1:18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438">
        <f t="shared" si="150"/>
        <v>69.599999999999994</v>
      </c>
      <c r="G1096" s="404">
        <v>1100</v>
      </c>
      <c r="H1096" s="404">
        <v>3</v>
      </c>
      <c r="I1096" s="692">
        <v>5000</v>
      </c>
      <c r="J1096" s="404">
        <v>2</v>
      </c>
      <c r="K1096" s="707">
        <f t="shared" si="152"/>
        <v>5.8502340093603746E-4</v>
      </c>
      <c r="L1096" s="708">
        <f t="shared" si="153"/>
        <v>3.0788177339901478E-4</v>
      </c>
      <c r="M1096" s="426">
        <f t="shared" si="154"/>
        <v>1.8010522399960038</v>
      </c>
      <c r="N1096" s="427">
        <f t="shared" si="151"/>
        <v>0.66224690864653069</v>
      </c>
      <c r="O1096" s="426">
        <v>0.77404431645983329</v>
      </c>
      <c r="P1096" s="426">
        <f t="shared" si="155"/>
        <v>0.16486601138922405</v>
      </c>
      <c r="Q1096" s="426">
        <f t="shared" si="156"/>
        <v>0.20097166788346413</v>
      </c>
      <c r="R1096" s="532">
        <f t="shared" si="157"/>
        <v>4.8882320064534371E-2</v>
      </c>
    </row>
    <row r="1097" spans="1:18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438">
        <f t="shared" si="150"/>
        <v>101.5</v>
      </c>
      <c r="G1097" s="404">
        <v>1100</v>
      </c>
      <c r="H1097" s="404">
        <v>6</v>
      </c>
      <c r="I1097" s="692">
        <v>5000</v>
      </c>
      <c r="J1097" s="404">
        <v>2</v>
      </c>
      <c r="K1097" s="707">
        <f t="shared" si="152"/>
        <v>1.1700468018720749E-3</v>
      </c>
      <c r="L1097" s="708">
        <f t="shared" si="153"/>
        <v>3.0788177339901478E-4</v>
      </c>
      <c r="M1097" s="426">
        <f t="shared" si="154"/>
        <v>2.9810853913220567</v>
      </c>
      <c r="N1097" s="427">
        <f t="shared" si="151"/>
        <v>1.0961450983891203</v>
      </c>
      <c r="O1097" s="426">
        <v>1.278963671298543</v>
      </c>
      <c r="P1097" s="426">
        <f t="shared" si="155"/>
        <v>0.27288473213805398</v>
      </c>
      <c r="Q1097" s="426">
        <f t="shared" si="156"/>
        <v>0.3326464884762878</v>
      </c>
      <c r="R1097" s="532">
        <f t="shared" si="157"/>
        <v>5.5458905351209599E-2</v>
      </c>
    </row>
    <row r="1098" spans="1:18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438">
        <f t="shared" si="150"/>
        <v>237.8</v>
      </c>
      <c r="G1098" s="404">
        <v>1100</v>
      </c>
      <c r="H1098" s="404">
        <v>8</v>
      </c>
      <c r="I1098" s="692">
        <v>5000</v>
      </c>
      <c r="J1098" s="404">
        <v>5</v>
      </c>
      <c r="K1098" s="707">
        <f t="shared" si="152"/>
        <v>1.5600624024960999E-3</v>
      </c>
      <c r="L1098" s="708">
        <f t="shared" si="153"/>
        <v>7.6970443349753698E-4</v>
      </c>
      <c r="M1098" s="426">
        <f t="shared" si="154"/>
        <v>4.6993027918776846</v>
      </c>
      <c r="N1098" s="427">
        <f t="shared" si="151"/>
        <v>1.7279336365734248</v>
      </c>
      <c r="O1098" s="426">
        <v>2.019264016956035</v>
      </c>
      <c r="P1098" s="426">
        <f t="shared" si="155"/>
        <v>0.43016814859786506</v>
      </c>
      <c r="Q1098" s="426">
        <f t="shared" si="156"/>
        <v>0.52437497314079751</v>
      </c>
      <c r="R1098" s="532">
        <f t="shared" si="157"/>
        <v>3.7328295180845288E-2</v>
      </c>
    </row>
    <row r="1099" spans="1:18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438">
        <f t="shared" si="150"/>
        <v>96.6</v>
      </c>
      <c r="G1099" s="404">
        <v>1100</v>
      </c>
      <c r="H1099" s="404">
        <v>9</v>
      </c>
      <c r="I1099" s="692">
        <v>5000</v>
      </c>
      <c r="J1099" s="404">
        <v>0</v>
      </c>
      <c r="K1099" s="707">
        <f t="shared" si="152"/>
        <v>1.7550702028081124E-3</v>
      </c>
      <c r="L1099" s="708">
        <f t="shared" si="153"/>
        <v>0</v>
      </c>
      <c r="M1099" s="426">
        <f t="shared" si="154"/>
        <v>3.5400994539781592</v>
      </c>
      <c r="N1099" s="427">
        <f t="shared" si="151"/>
        <v>1.3016945692277693</v>
      </c>
      <c r="O1099" s="426">
        <v>1.5147580645161289</v>
      </c>
      <c r="P1099" s="426">
        <f t="shared" si="155"/>
        <v>0.32405616224648987</v>
      </c>
      <c r="Q1099" s="426">
        <f t="shared" si="156"/>
        <v>0.39502446177847117</v>
      </c>
      <c r="R1099" s="532">
        <f t="shared" si="157"/>
        <v>6.9157435299881442E-2</v>
      </c>
    </row>
    <row r="1100" spans="1:18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438">
        <f t="shared" si="150"/>
        <v>120.2</v>
      </c>
      <c r="G1100" s="404">
        <v>1100</v>
      </c>
      <c r="H1100" s="404">
        <v>10</v>
      </c>
      <c r="I1100" s="692">
        <v>5000</v>
      </c>
      <c r="J1100" s="404">
        <v>0</v>
      </c>
      <c r="K1100" s="707">
        <f t="shared" si="152"/>
        <v>1.9500780031201249E-3</v>
      </c>
      <c r="L1100" s="708">
        <f t="shared" si="153"/>
        <v>0</v>
      </c>
      <c r="M1100" s="426">
        <f t="shared" si="154"/>
        <v>3.9334438377535101</v>
      </c>
      <c r="N1100" s="427">
        <f t="shared" si="151"/>
        <v>1.4463272991419658</v>
      </c>
      <c r="O1100" s="426">
        <v>1.6830645161290323</v>
      </c>
      <c r="P1100" s="426">
        <f t="shared" si="155"/>
        <v>0.36006240249609983</v>
      </c>
      <c r="Q1100" s="426">
        <f t="shared" si="156"/>
        <v>0.43891606864274574</v>
      </c>
      <c r="R1100" s="532">
        <f t="shared" si="157"/>
        <v>6.1754559530121531E-2</v>
      </c>
    </row>
    <row r="1101" spans="1:18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438">
        <f t="shared" si="150"/>
        <v>340.3</v>
      </c>
      <c r="G1101" s="404">
        <v>1100</v>
      </c>
      <c r="H1101" s="404">
        <v>11</v>
      </c>
      <c r="I1101" s="692">
        <v>5000</v>
      </c>
      <c r="J1101" s="404">
        <v>14</v>
      </c>
      <c r="K1101" s="707">
        <f t="shared" si="152"/>
        <v>2.1450858034321374E-3</v>
      </c>
      <c r="L1101" s="708">
        <f t="shared" si="153"/>
        <v>2.1551724137931034E-3</v>
      </c>
      <c r="M1101" s="426">
        <f t="shared" si="154"/>
        <v>8.6739218422185154</v>
      </c>
      <c r="N1101" s="427">
        <f t="shared" si="151"/>
        <v>3.1894010613837485</v>
      </c>
      <c r="O1101" s="426">
        <v>3.7352456990898015</v>
      </c>
      <c r="P1101" s="426">
        <f t="shared" si="155"/>
        <v>0.79399967722846843</v>
      </c>
      <c r="Q1101" s="426">
        <f t="shared" si="156"/>
        <v>0.96788560654150313</v>
      </c>
      <c r="R1101" s="532">
        <f t="shared" si="157"/>
        <v>4.8170932353571942E-2</v>
      </c>
    </row>
    <row r="1102" spans="1:18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438">
        <f t="shared" si="150"/>
        <v>264.89999999999998</v>
      </c>
      <c r="G1102" s="404">
        <v>1100</v>
      </c>
      <c r="H1102" s="404">
        <v>8</v>
      </c>
      <c r="I1102" s="692">
        <v>5000</v>
      </c>
      <c r="J1102" s="404">
        <v>6</v>
      </c>
      <c r="K1102" s="707">
        <f t="shared" si="152"/>
        <v>1.5600624024960999E-3</v>
      </c>
      <c r="L1102" s="708">
        <f t="shared" si="153"/>
        <v>9.2364532019704429E-4</v>
      </c>
      <c r="M1102" s="426">
        <f t="shared" si="154"/>
        <v>5.0098123362126596</v>
      </c>
      <c r="N1102" s="427">
        <f t="shared" si="151"/>
        <v>1.842107996025395</v>
      </c>
      <c r="O1102" s="426">
        <v>2.1538264977665968</v>
      </c>
      <c r="P1102" s="426">
        <f t="shared" si="155"/>
        <v>0.4585917939180621</v>
      </c>
      <c r="Q1102" s="426">
        <f t="shared" si="156"/>
        <v>0.55902339678611779</v>
      </c>
      <c r="R1102" s="532">
        <f t="shared" si="157"/>
        <v>3.5727967625227314E-2</v>
      </c>
    </row>
    <row r="1103" spans="1:18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438">
        <f t="shared" si="150"/>
        <v>299.7</v>
      </c>
      <c r="G1103" s="404">
        <v>1100</v>
      </c>
      <c r="H1103" s="404">
        <v>15</v>
      </c>
      <c r="I1103" s="692">
        <v>5000</v>
      </c>
      <c r="J1103" s="404">
        <v>8</v>
      </c>
      <c r="K1103" s="707">
        <f t="shared" si="152"/>
        <v>2.9251170046801873E-3</v>
      </c>
      <c r="L1103" s="708">
        <f t="shared" si="153"/>
        <v>1.2315270935960591E-3</v>
      </c>
      <c r="M1103" s="426">
        <f t="shared" si="154"/>
        <v>8.3842421113100691</v>
      </c>
      <c r="N1103" s="427">
        <f t="shared" si="151"/>
        <v>3.0828858243287125</v>
      </c>
      <c r="O1103" s="426">
        <v>3.6010966206780433</v>
      </c>
      <c r="P1103" s="426">
        <f t="shared" si="155"/>
        <v>0.76748276630572609</v>
      </c>
      <c r="Q1103" s="426">
        <f t="shared" si="156"/>
        <v>0.93556149212668016</v>
      </c>
      <c r="R1103" s="532">
        <f t="shared" si="157"/>
        <v>5.2838529605013514E-2</v>
      </c>
    </row>
    <row r="1104" spans="1:18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438">
        <f t="shared" si="150"/>
        <v>143.69999999999999</v>
      </c>
      <c r="G1104" s="404">
        <v>1100</v>
      </c>
      <c r="H1104" s="404">
        <v>5</v>
      </c>
      <c r="I1104" s="692">
        <v>5000</v>
      </c>
      <c r="J1104" s="404">
        <v>5</v>
      </c>
      <c r="K1104" s="707">
        <f t="shared" si="152"/>
        <v>9.7503900156006244E-4</v>
      </c>
      <c r="L1104" s="708">
        <f t="shared" si="153"/>
        <v>7.6970443349753698E-4</v>
      </c>
      <c r="M1104" s="426">
        <f t="shared" si="154"/>
        <v>3.5192696405516317</v>
      </c>
      <c r="N1104" s="427">
        <f t="shared" si="151"/>
        <v>1.294035446830835</v>
      </c>
      <c r="O1104" s="426">
        <v>1.5143446621173255</v>
      </c>
      <c r="P1104" s="426">
        <f t="shared" si="155"/>
        <v>0.32214942784903511</v>
      </c>
      <c r="Q1104" s="426">
        <f t="shared" si="156"/>
        <v>0.3927001525479738</v>
      </c>
      <c r="R1104" s="532">
        <f t="shared" si="157"/>
        <v>4.6275568387952867E-2</v>
      </c>
    </row>
    <row r="1105" spans="1:18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438">
        <f t="shared" si="150"/>
        <v>295.10000000000002</v>
      </c>
      <c r="G1105" s="404">
        <v>1100</v>
      </c>
      <c r="H1105" s="404">
        <v>6</v>
      </c>
      <c r="I1105" s="692">
        <v>5000</v>
      </c>
      <c r="J1105" s="404">
        <v>7</v>
      </c>
      <c r="K1105" s="707">
        <f t="shared" si="152"/>
        <v>1.1700468018720749E-3</v>
      </c>
      <c r="L1105" s="708">
        <f t="shared" si="153"/>
        <v>1.0775862068965517E-3</v>
      </c>
      <c r="M1105" s="426">
        <f t="shared" si="154"/>
        <v>4.5336331129969336</v>
      </c>
      <c r="N1105" s="427">
        <f t="shared" si="151"/>
        <v>1.6670168956489726</v>
      </c>
      <c r="O1105" s="426">
        <v>1.9517760753513522</v>
      </c>
      <c r="P1105" s="426">
        <f t="shared" si="155"/>
        <v>0.4150029587390392</v>
      </c>
      <c r="Q1105" s="426">
        <f t="shared" si="156"/>
        <v>0.50588860670288882</v>
      </c>
      <c r="R1105" s="532">
        <f t="shared" si="157"/>
        <v>2.9032290893718386E-2</v>
      </c>
    </row>
    <row r="1106" spans="1:18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438">
        <f t="shared" si="150"/>
        <v>148.69999999999999</v>
      </c>
      <c r="G1106" s="404">
        <v>1100</v>
      </c>
      <c r="H1106" s="404">
        <v>2</v>
      </c>
      <c r="I1106" s="692">
        <v>5000</v>
      </c>
      <c r="J1106" s="404">
        <v>1</v>
      </c>
      <c r="K1106" s="707">
        <f t="shared" si="152"/>
        <v>3.9001560062402497E-4</v>
      </c>
      <c r="L1106" s="708">
        <f t="shared" si="153"/>
        <v>1.5394088669950739E-4</v>
      </c>
      <c r="M1106" s="426">
        <f t="shared" si="154"/>
        <v>1.0971983118856774</v>
      </c>
      <c r="N1106" s="427">
        <f t="shared" si="151"/>
        <v>0.4034398192803636</v>
      </c>
      <c r="O1106" s="426">
        <v>0.47117538403636833</v>
      </c>
      <c r="P1106" s="426">
        <f t="shared" si="155"/>
        <v>0.10043612581941701</v>
      </c>
      <c r="Q1106" s="426">
        <f t="shared" si="156"/>
        <v>0.12243163737386933</v>
      </c>
      <c r="R1106" s="532">
        <f t="shared" si="157"/>
        <v>1.39357743175644E-2</v>
      </c>
    </row>
    <row r="1107" spans="1:18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438">
        <f t="shared" si="150"/>
        <v>339.7</v>
      </c>
      <c r="G1107" s="404">
        <v>1100</v>
      </c>
      <c r="H1107" s="404">
        <v>5</v>
      </c>
      <c r="I1107" s="692">
        <v>5000</v>
      </c>
      <c r="J1107" s="404">
        <v>3</v>
      </c>
      <c r="K1107" s="707">
        <f t="shared" si="152"/>
        <v>9.7503900156006244E-4</v>
      </c>
      <c r="L1107" s="708">
        <f t="shared" si="153"/>
        <v>4.6182266009852215E-4</v>
      </c>
      <c r="M1107" s="426">
        <f t="shared" si="154"/>
        <v>2.8982505518816808</v>
      </c>
      <c r="N1107" s="427">
        <f t="shared" si="151"/>
        <v>1.065686727926894</v>
      </c>
      <c r="O1107" s="426">
        <v>1.2452197004962016</v>
      </c>
      <c r="P1107" s="426">
        <f t="shared" si="155"/>
        <v>0.26530213720864104</v>
      </c>
      <c r="Q1107" s="426">
        <f t="shared" si="156"/>
        <v>0.32340330525733346</v>
      </c>
      <c r="R1107" s="532">
        <f t="shared" si="157"/>
        <v>1.6115569966186096E-2</v>
      </c>
    </row>
    <row r="1108" spans="1:18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438">
        <f t="shared" si="150"/>
        <v>197.6</v>
      </c>
      <c r="G1108" s="404">
        <v>1100</v>
      </c>
      <c r="H1108" s="404">
        <v>24</v>
      </c>
      <c r="I1108" s="692">
        <v>5000</v>
      </c>
      <c r="J1108" s="404">
        <v>0</v>
      </c>
      <c r="K1108" s="707">
        <f t="shared" si="152"/>
        <v>4.6801872074882997E-3</v>
      </c>
      <c r="L1108" s="708">
        <f t="shared" si="153"/>
        <v>0</v>
      </c>
      <c r="M1108" s="426">
        <f t="shared" si="154"/>
        <v>9.4402652106084251</v>
      </c>
      <c r="N1108" s="427">
        <f t="shared" si="151"/>
        <v>3.4711855179407181</v>
      </c>
      <c r="O1108" s="426">
        <v>4.0393548387096772</v>
      </c>
      <c r="P1108" s="426">
        <f t="shared" si="155"/>
        <v>0.86414976599063964</v>
      </c>
      <c r="Q1108" s="426">
        <f t="shared" si="156"/>
        <v>1.0533985647425899</v>
      </c>
      <c r="R1108" s="532">
        <f t="shared" si="157"/>
        <v>9.0156656544784705E-2</v>
      </c>
    </row>
    <row r="1109" spans="1:18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438">
        <f t="shared" si="150"/>
        <v>251</v>
      </c>
      <c r="G1109" s="404">
        <v>1100</v>
      </c>
      <c r="H1109" s="404">
        <v>20</v>
      </c>
      <c r="I1109" s="692">
        <v>5000</v>
      </c>
      <c r="J1109" s="404">
        <v>10</v>
      </c>
      <c r="K1109" s="707">
        <f t="shared" si="152"/>
        <v>3.9001560062402497E-3</v>
      </c>
      <c r="L1109" s="708">
        <f t="shared" si="153"/>
        <v>1.539408866995074E-3</v>
      </c>
      <c r="M1109" s="426">
        <f t="shared" si="154"/>
        <v>10.971983118856773</v>
      </c>
      <c r="N1109" s="427">
        <f t="shared" si="151"/>
        <v>4.0343981928036357</v>
      </c>
      <c r="O1109" s="426">
        <v>4.7117538403636834</v>
      </c>
      <c r="P1109" s="426">
        <f t="shared" si="155"/>
        <v>1.0043612581941701</v>
      </c>
      <c r="Q1109" s="426">
        <f t="shared" si="156"/>
        <v>1.2243163737386935</v>
      </c>
      <c r="R1109" s="532">
        <f t="shared" si="157"/>
        <v>8.2559746654256028E-2</v>
      </c>
    </row>
    <row r="1110" spans="1:18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438">
        <f t="shared" si="150"/>
        <v>172.7</v>
      </c>
      <c r="G1110" s="404">
        <v>1100</v>
      </c>
      <c r="H1110" s="404">
        <v>12</v>
      </c>
      <c r="I1110" s="692">
        <v>5000</v>
      </c>
      <c r="J1110" s="404">
        <v>9</v>
      </c>
      <c r="K1110" s="707">
        <f t="shared" si="152"/>
        <v>2.3400936037441498E-3</v>
      </c>
      <c r="L1110" s="708">
        <f t="shared" si="153"/>
        <v>1.3854679802955665E-3</v>
      </c>
      <c r="M1110" s="426">
        <f t="shared" si="154"/>
        <v>7.5147185043189904</v>
      </c>
      <c r="N1110" s="427">
        <f t="shared" si="151"/>
        <v>2.7631619940380929</v>
      </c>
      <c r="O1110" s="426">
        <v>3.2307397466498955</v>
      </c>
      <c r="P1110" s="426">
        <f t="shared" si="155"/>
        <v>0.68788769087709323</v>
      </c>
      <c r="Q1110" s="426">
        <f t="shared" si="156"/>
        <v>0.83853509517917668</v>
      </c>
      <c r="R1110" s="532">
        <f t="shared" si="157"/>
        <v>8.2203288569102903E-2</v>
      </c>
    </row>
    <row r="1111" spans="1:18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438">
        <f t="shared" si="150"/>
        <v>294.2</v>
      </c>
      <c r="G1111" s="404">
        <v>1100</v>
      </c>
      <c r="H1111" s="404">
        <v>15</v>
      </c>
      <c r="I1111" s="692">
        <v>5000</v>
      </c>
      <c r="J1111" s="404">
        <v>6</v>
      </c>
      <c r="K1111" s="707">
        <f t="shared" si="152"/>
        <v>2.9251170046801873E-3</v>
      </c>
      <c r="L1111" s="708">
        <f t="shared" si="153"/>
        <v>9.2364532019704429E-4</v>
      </c>
      <c r="M1111" s="426">
        <f t="shared" si="154"/>
        <v>7.7632230226401164</v>
      </c>
      <c r="N1111" s="427">
        <f t="shared" si="151"/>
        <v>2.8545371054247712</v>
      </c>
      <c r="O1111" s="426">
        <v>3.3319716590569199</v>
      </c>
      <c r="P1111" s="426">
        <f t="shared" si="155"/>
        <v>0.71063547566533192</v>
      </c>
      <c r="Q1111" s="426">
        <f t="shared" si="156"/>
        <v>0.86626464483603971</v>
      </c>
      <c r="R1111" s="532">
        <f t="shared" si="157"/>
        <v>4.9831295930615707E-2</v>
      </c>
    </row>
    <row r="1112" spans="1:18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438">
        <f t="shared" si="150"/>
        <v>200.9</v>
      </c>
      <c r="G1112" s="404">
        <v>1100</v>
      </c>
      <c r="H1112" s="404">
        <v>11</v>
      </c>
      <c r="I1112" s="692">
        <v>5000</v>
      </c>
      <c r="J1112" s="404">
        <v>3</v>
      </c>
      <c r="K1112" s="707">
        <f t="shared" si="152"/>
        <v>2.1450858034321374E-3</v>
      </c>
      <c r="L1112" s="708">
        <f t="shared" si="153"/>
        <v>4.6182266009852215E-4</v>
      </c>
      <c r="M1112" s="426">
        <f t="shared" si="154"/>
        <v>5.2583168545337866</v>
      </c>
      <c r="N1112" s="427">
        <f t="shared" si="151"/>
        <v>1.9334831074120735</v>
      </c>
      <c r="O1112" s="426">
        <v>2.2550584101736209</v>
      </c>
      <c r="P1112" s="426">
        <f t="shared" si="155"/>
        <v>0.4813395787063009</v>
      </c>
      <c r="Q1112" s="426">
        <f t="shared" si="156"/>
        <v>0.58675294644298082</v>
      </c>
      <c r="R1112" s="532">
        <f t="shared" si="157"/>
        <v>4.9418606027007372E-2</v>
      </c>
    </row>
    <row r="1113" spans="1:18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438">
        <f t="shared" si="150"/>
        <v>297.8</v>
      </c>
      <c r="G1113" s="404">
        <v>1100</v>
      </c>
      <c r="H1113" s="404">
        <v>14</v>
      </c>
      <c r="I1113" s="692">
        <v>5000</v>
      </c>
      <c r="J1113" s="404">
        <v>6</v>
      </c>
      <c r="K1113" s="707">
        <f t="shared" si="152"/>
        <v>2.7301092043681748E-3</v>
      </c>
      <c r="L1113" s="708">
        <f t="shared" si="153"/>
        <v>9.2364532019704429E-4</v>
      </c>
      <c r="M1113" s="426">
        <f t="shared" si="154"/>
        <v>7.3698786388647655</v>
      </c>
      <c r="N1113" s="427">
        <f t="shared" si="151"/>
        <v>2.7099043755105745</v>
      </c>
      <c r="O1113" s="426">
        <v>3.1636652074440161</v>
      </c>
      <c r="P1113" s="426">
        <f t="shared" si="155"/>
        <v>0.67462923541572195</v>
      </c>
      <c r="Q1113" s="426">
        <f t="shared" si="156"/>
        <v>0.82237303797176509</v>
      </c>
      <c r="R1113" s="532">
        <f t="shared" si="157"/>
        <v>4.6736324570970711E-2</v>
      </c>
    </row>
    <row r="1114" spans="1:18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438">
        <f t="shared" si="150"/>
        <v>124.6</v>
      </c>
      <c r="G1114" s="404">
        <v>1100</v>
      </c>
      <c r="H1114" s="404">
        <v>5</v>
      </c>
      <c r="I1114" s="692">
        <v>5000</v>
      </c>
      <c r="J1114" s="404">
        <v>3</v>
      </c>
      <c r="K1114" s="707">
        <f t="shared" si="152"/>
        <v>9.7503900156006244E-4</v>
      </c>
      <c r="L1114" s="708">
        <f t="shared" si="153"/>
        <v>4.6182266009852215E-4</v>
      </c>
      <c r="M1114" s="426">
        <f t="shared" si="154"/>
        <v>2.8982505518816808</v>
      </c>
      <c r="N1114" s="427">
        <f t="shared" si="151"/>
        <v>1.065686727926894</v>
      </c>
      <c r="O1114" s="426">
        <v>1.2452197004962016</v>
      </c>
      <c r="P1114" s="426">
        <f t="shared" si="155"/>
        <v>0.26530213720864104</v>
      </c>
      <c r="Q1114" s="426">
        <f t="shared" si="156"/>
        <v>0.32340330525733346</v>
      </c>
      <c r="R1114" s="532">
        <f t="shared" si="157"/>
        <v>4.3936269000910251E-2</v>
      </c>
    </row>
    <row r="1115" spans="1:18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438">
        <f t="shared" si="150"/>
        <v>132.19999999999999</v>
      </c>
      <c r="G1115" s="404">
        <v>1100</v>
      </c>
      <c r="H1115" s="404">
        <v>6</v>
      </c>
      <c r="I1115" s="692">
        <v>5000</v>
      </c>
      <c r="J1115" s="404">
        <v>3</v>
      </c>
      <c r="K1115" s="707">
        <f t="shared" si="152"/>
        <v>1.1700468018720749E-3</v>
      </c>
      <c r="L1115" s="708">
        <f t="shared" si="153"/>
        <v>4.6182266009852215E-4</v>
      </c>
      <c r="M1115" s="426">
        <f t="shared" si="154"/>
        <v>3.2915949356570318</v>
      </c>
      <c r="N1115" s="427">
        <f t="shared" si="151"/>
        <v>1.2103194578410907</v>
      </c>
      <c r="O1115" s="426">
        <v>1.4135261521091049</v>
      </c>
      <c r="P1115" s="426">
        <f t="shared" si="155"/>
        <v>0.30130837745825101</v>
      </c>
      <c r="Q1115" s="426">
        <f t="shared" si="156"/>
        <v>0.36729491212160803</v>
      </c>
      <c r="R1115" s="532">
        <f t="shared" si="157"/>
        <v>4.7025332247091364E-2</v>
      </c>
    </row>
    <row r="1116" spans="1:18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438">
        <f t="shared" si="150"/>
        <v>225.4</v>
      </c>
      <c r="G1116" s="404">
        <v>1100</v>
      </c>
      <c r="H1116" s="404">
        <v>15</v>
      </c>
      <c r="I1116" s="692">
        <v>5000</v>
      </c>
      <c r="J1116" s="404">
        <v>6</v>
      </c>
      <c r="K1116" s="707">
        <f t="shared" si="152"/>
        <v>2.9251170046801873E-3</v>
      </c>
      <c r="L1116" s="708">
        <f t="shared" si="153"/>
        <v>9.2364532019704429E-4</v>
      </c>
      <c r="M1116" s="426">
        <f t="shared" si="154"/>
        <v>7.7632230226401164</v>
      </c>
      <c r="N1116" s="427">
        <f t="shared" si="151"/>
        <v>2.8545371054247712</v>
      </c>
      <c r="O1116" s="426">
        <v>3.3319716590569199</v>
      </c>
      <c r="P1116" s="426">
        <f t="shared" si="155"/>
        <v>0.71063547566533192</v>
      </c>
      <c r="Q1116" s="426">
        <f t="shared" si="156"/>
        <v>0.86626464483603971</v>
      </c>
      <c r="R1116" s="532">
        <f t="shared" si="157"/>
        <v>6.5041558397458468E-2</v>
      </c>
    </row>
    <row r="1117" spans="1:18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438">
        <f t="shared" si="150"/>
        <v>415.6</v>
      </c>
      <c r="G1117" s="404">
        <v>1100</v>
      </c>
      <c r="H1117" s="404">
        <v>30</v>
      </c>
      <c r="I1117" s="692">
        <v>5000</v>
      </c>
      <c r="J1117" s="404">
        <v>10</v>
      </c>
      <c r="K1117" s="707">
        <f t="shared" si="152"/>
        <v>5.8502340093603746E-3</v>
      </c>
      <c r="L1117" s="708">
        <f t="shared" si="153"/>
        <v>1.539408866995074E-3</v>
      </c>
      <c r="M1117" s="426">
        <f t="shared" si="154"/>
        <v>14.905426956610285</v>
      </c>
      <c r="N1117" s="427">
        <f t="shared" si="151"/>
        <v>5.4807254919456021</v>
      </c>
      <c r="O1117" s="426">
        <v>6.3948183564927152</v>
      </c>
      <c r="P1117" s="426">
        <f t="shared" si="155"/>
        <v>1.36442366069027</v>
      </c>
      <c r="Q1117" s="426">
        <f t="shared" si="156"/>
        <v>1.6632324423814393</v>
      </c>
      <c r="R1117" s="532">
        <f t="shared" si="157"/>
        <v>6.772231584633992E-2</v>
      </c>
    </row>
    <row r="1118" spans="1:18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438">
        <f t="shared" si="150"/>
        <v>1495</v>
      </c>
      <c r="G1118" s="404">
        <v>1100</v>
      </c>
      <c r="H1118" s="404">
        <v>32</v>
      </c>
      <c r="I1118" s="692">
        <v>5000</v>
      </c>
      <c r="J1118" s="404">
        <v>66</v>
      </c>
      <c r="K1118" s="707">
        <f t="shared" si="152"/>
        <v>6.2402496099843996E-3</v>
      </c>
      <c r="L1118" s="708">
        <f t="shared" si="153"/>
        <v>1.0160098522167487E-2</v>
      </c>
      <c r="M1118" s="426">
        <f t="shared" si="154"/>
        <v>33.080650206919607</v>
      </c>
      <c r="N1118" s="427">
        <f t="shared" si="151"/>
        <v>12.163755081084341</v>
      </c>
      <c r="O1118" s="426">
        <v>14.266930185109988</v>
      </c>
      <c r="P1118" s="426">
        <f t="shared" si="155"/>
        <v>3.0281602791205247</v>
      </c>
      <c r="Q1118" s="426">
        <f t="shared" si="156"/>
        <v>3.6913273802479196</v>
      </c>
      <c r="R1118" s="532">
        <f t="shared" si="157"/>
        <v>4.1832438630257165E-2</v>
      </c>
    </row>
    <row r="1119" spans="1:18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438">
        <f t="shared" si="150"/>
        <v>288.60000000000002</v>
      </c>
      <c r="G1119" s="404">
        <v>1100</v>
      </c>
      <c r="H1119" s="404">
        <v>9</v>
      </c>
      <c r="I1119" s="692">
        <v>5000</v>
      </c>
      <c r="J1119" s="404">
        <v>5</v>
      </c>
      <c r="K1119" s="707">
        <f t="shared" si="152"/>
        <v>1.7550702028081124E-3</v>
      </c>
      <c r="L1119" s="708">
        <f t="shared" si="153"/>
        <v>7.6970443349753698E-4</v>
      </c>
      <c r="M1119" s="426">
        <f t="shared" si="154"/>
        <v>5.0926471756530356</v>
      </c>
      <c r="N1119" s="427">
        <f t="shared" si="151"/>
        <v>1.8725663664876213</v>
      </c>
      <c r="O1119" s="426">
        <v>2.1875704685689383</v>
      </c>
      <c r="P1119" s="426">
        <f t="shared" si="155"/>
        <v>0.46617438884747503</v>
      </c>
      <c r="Q1119" s="426">
        <f t="shared" si="156"/>
        <v>0.56826658000507213</v>
      </c>
      <c r="R1119" s="532">
        <f t="shared" si="157"/>
        <v>3.3329724184189426E-2</v>
      </c>
    </row>
    <row r="1120" spans="1:18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438">
        <f t="shared" si="150"/>
        <v>272.10000000000002</v>
      </c>
      <c r="G1120" s="404">
        <v>1100</v>
      </c>
      <c r="H1120" s="404">
        <v>15</v>
      </c>
      <c r="I1120" s="692">
        <v>5000</v>
      </c>
      <c r="J1120" s="404">
        <v>8</v>
      </c>
      <c r="K1120" s="707">
        <f t="shared" si="152"/>
        <v>2.9251170046801873E-3</v>
      </c>
      <c r="L1120" s="708">
        <f t="shared" si="153"/>
        <v>1.2315270935960591E-3</v>
      </c>
      <c r="M1120" s="426">
        <f t="shared" si="154"/>
        <v>8.3842421113100691</v>
      </c>
      <c r="N1120" s="427">
        <f t="shared" si="151"/>
        <v>3.0828858243287125</v>
      </c>
      <c r="O1120" s="426">
        <v>3.6010966206780433</v>
      </c>
      <c r="P1120" s="426">
        <f t="shared" si="155"/>
        <v>0.76748276630572609</v>
      </c>
      <c r="Q1120" s="426">
        <f t="shared" si="156"/>
        <v>0.93556149212668016</v>
      </c>
      <c r="R1120" s="532">
        <f t="shared" si="157"/>
        <v>5.8198115849402973E-2</v>
      </c>
    </row>
    <row r="1121" spans="1:18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438">
        <f t="shared" si="150"/>
        <v>313.7</v>
      </c>
      <c r="G1121" s="404">
        <v>1100</v>
      </c>
      <c r="H1121" s="404">
        <v>12</v>
      </c>
      <c r="I1121" s="692">
        <v>5000</v>
      </c>
      <c r="J1121" s="404">
        <v>5</v>
      </c>
      <c r="K1121" s="707">
        <f t="shared" si="152"/>
        <v>2.3400936037441498E-3</v>
      </c>
      <c r="L1121" s="708">
        <f t="shared" si="153"/>
        <v>7.6970443349753698E-4</v>
      </c>
      <c r="M1121" s="426">
        <f t="shared" si="154"/>
        <v>6.2726803269790885</v>
      </c>
      <c r="N1121" s="427">
        <f t="shared" si="151"/>
        <v>2.3064645562302108</v>
      </c>
      <c r="O1121" s="426">
        <v>2.692489823407648</v>
      </c>
      <c r="P1121" s="426">
        <f t="shared" si="155"/>
        <v>0.57419310959630498</v>
      </c>
      <c r="Q1121" s="426">
        <f t="shared" si="156"/>
        <v>0.69994140059789578</v>
      </c>
      <c r="R1121" s="532">
        <f t="shared" si="157"/>
        <v>3.7761644297778937E-2</v>
      </c>
    </row>
    <row r="1122" spans="1:18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438">
        <f t="shared" si="150"/>
        <v>860.41000000000008</v>
      </c>
      <c r="G1122" s="404">
        <v>1100</v>
      </c>
      <c r="H1122" s="404">
        <v>25</v>
      </c>
      <c r="I1122" s="692">
        <v>5000</v>
      </c>
      <c r="J1122" s="404">
        <v>11</v>
      </c>
      <c r="K1122" s="707">
        <f t="shared" si="152"/>
        <v>4.8751950078003122E-3</v>
      </c>
      <c r="L1122" s="708">
        <f t="shared" si="153"/>
        <v>1.6933497536945814E-3</v>
      </c>
      <c r="M1122" s="426">
        <f t="shared" si="154"/>
        <v>13.249214582068506</v>
      </c>
      <c r="N1122" s="427">
        <f t="shared" si="151"/>
        <v>4.8717362018265895</v>
      </c>
      <c r="O1122" s="426">
        <v>5.6878485792387616</v>
      </c>
      <c r="P1122" s="426">
        <f t="shared" si="155"/>
        <v>1.2128161047624171</v>
      </c>
      <c r="Q1122" s="426">
        <f t="shared" si="156"/>
        <v>1.4784228317053865</v>
      </c>
      <c r="R1122" s="532">
        <f t="shared" si="157"/>
        <v>2.908103749130795E-2</v>
      </c>
    </row>
    <row r="1123" spans="1:18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438">
        <f t="shared" si="150"/>
        <v>294</v>
      </c>
      <c r="G1123" s="404">
        <v>1100</v>
      </c>
      <c r="H1123" s="404">
        <v>14</v>
      </c>
      <c r="I1123" s="692">
        <v>5000</v>
      </c>
      <c r="J1123" s="404">
        <v>7</v>
      </c>
      <c r="K1123" s="707">
        <f t="shared" si="152"/>
        <v>2.7301092043681748E-3</v>
      </c>
      <c r="L1123" s="708">
        <f t="shared" si="153"/>
        <v>1.0775862068965517E-3</v>
      </c>
      <c r="M1123" s="426">
        <f t="shared" si="154"/>
        <v>7.6803881831997414</v>
      </c>
      <c r="N1123" s="427">
        <f t="shared" si="151"/>
        <v>2.8240787349625451</v>
      </c>
      <c r="O1123" s="426">
        <v>3.2982276882545785</v>
      </c>
      <c r="P1123" s="426">
        <f t="shared" si="155"/>
        <v>0.70305288073591909</v>
      </c>
      <c r="Q1123" s="426">
        <f t="shared" si="156"/>
        <v>0.85702146161708548</v>
      </c>
      <c r="R1123" s="532">
        <f t="shared" si="157"/>
        <v>4.9339277167186342E-2</v>
      </c>
    </row>
    <row r="1124" spans="1:18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438">
        <f t="shared" si="150"/>
        <v>1119.54</v>
      </c>
      <c r="G1124" s="404">
        <v>1100</v>
      </c>
      <c r="H1124" s="404">
        <v>60</v>
      </c>
      <c r="I1124" s="692">
        <v>5000</v>
      </c>
      <c r="J1124" s="404">
        <v>18</v>
      </c>
      <c r="K1124" s="707">
        <f t="shared" si="152"/>
        <v>1.1700468018720749E-2</v>
      </c>
      <c r="L1124" s="708">
        <f t="shared" si="153"/>
        <v>2.7709359605911331E-3</v>
      </c>
      <c r="M1124" s="426">
        <f t="shared" si="154"/>
        <v>29.189834824550619</v>
      </c>
      <c r="N1124" s="427">
        <f t="shared" si="151"/>
        <v>10.733102264987263</v>
      </c>
      <c r="O1124" s="426">
        <v>12.520511751364307</v>
      </c>
      <c r="P1124" s="426">
        <f t="shared" si="155"/>
        <v>2.6720000307401457</v>
      </c>
      <c r="Q1124" s="426">
        <f t="shared" si="156"/>
        <v>3.2571680374722378</v>
      </c>
      <c r="R1124" s="532">
        <f t="shared" si="157"/>
        <v>4.9230441852584392E-2</v>
      </c>
    </row>
    <row r="1125" spans="1:18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438">
        <f t="shared" si="150"/>
        <v>542.66</v>
      </c>
      <c r="G1125" s="404">
        <v>1100</v>
      </c>
      <c r="H1125" s="404">
        <v>21</v>
      </c>
      <c r="I1125" s="692">
        <v>5000</v>
      </c>
      <c r="J1125" s="404">
        <v>8</v>
      </c>
      <c r="K1125" s="707">
        <f t="shared" si="152"/>
        <v>4.0951638065522622E-3</v>
      </c>
      <c r="L1125" s="708">
        <f t="shared" si="153"/>
        <v>1.2315270935960591E-3</v>
      </c>
      <c r="M1125" s="426">
        <f t="shared" si="154"/>
        <v>10.744308413962175</v>
      </c>
      <c r="N1125" s="427">
        <f t="shared" si="151"/>
        <v>3.950682203813892</v>
      </c>
      <c r="O1125" s="426">
        <v>4.6109353303554625</v>
      </c>
      <c r="P1125" s="426">
        <f t="shared" si="155"/>
        <v>0.983520207803386</v>
      </c>
      <c r="Q1125" s="426">
        <f t="shared" si="156"/>
        <v>1.1989111333123277</v>
      </c>
      <c r="R1125" s="532">
        <f t="shared" si="157"/>
        <v>3.7388873615035047E-2</v>
      </c>
    </row>
    <row r="1126" spans="1:18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438">
        <f t="shared" si="150"/>
        <v>507.72</v>
      </c>
      <c r="G1126" s="404">
        <v>1100</v>
      </c>
      <c r="H1126" s="404">
        <v>21</v>
      </c>
      <c r="I1126" s="692">
        <v>5000</v>
      </c>
      <c r="J1126" s="404">
        <v>6</v>
      </c>
      <c r="K1126" s="707">
        <f t="shared" si="152"/>
        <v>4.0951638065522622E-3</v>
      </c>
      <c r="L1126" s="708">
        <f t="shared" si="153"/>
        <v>9.2364532019704429E-4</v>
      </c>
      <c r="M1126" s="426">
        <f t="shared" si="154"/>
        <v>10.123289325292223</v>
      </c>
      <c r="N1126" s="427">
        <f t="shared" si="151"/>
        <v>3.7223334849099508</v>
      </c>
      <c r="O1126" s="426">
        <v>4.3418103687343388</v>
      </c>
      <c r="P1126" s="426">
        <f t="shared" si="155"/>
        <v>0.92667291716299183</v>
      </c>
      <c r="Q1126" s="426">
        <f t="shared" si="156"/>
        <v>1.1296142860216871</v>
      </c>
      <c r="R1126" s="532">
        <f t="shared" si="157"/>
        <v>3.7646943386314316E-2</v>
      </c>
    </row>
    <row r="1127" spans="1:18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438">
        <f t="shared" si="150"/>
        <v>517.03</v>
      </c>
      <c r="G1127" s="404">
        <v>1100</v>
      </c>
      <c r="H1127" s="404">
        <v>20</v>
      </c>
      <c r="I1127" s="692">
        <v>5000</v>
      </c>
      <c r="J1127" s="404">
        <v>60</v>
      </c>
      <c r="K1127" s="707">
        <f t="shared" si="152"/>
        <v>3.9001560062402497E-3</v>
      </c>
      <c r="L1127" s="708">
        <f t="shared" si="153"/>
        <v>9.2364532019704442E-3</v>
      </c>
      <c r="M1127" s="426">
        <f t="shared" si="154"/>
        <v>26.497460335605545</v>
      </c>
      <c r="N1127" s="427">
        <f t="shared" si="151"/>
        <v>9.7431161654021601</v>
      </c>
      <c r="O1127" s="426">
        <v>11.439877880891776</v>
      </c>
      <c r="P1127" s="426">
        <f t="shared" si="155"/>
        <v>2.4255435242040222</v>
      </c>
      <c r="Q1127" s="426">
        <f t="shared" si="156"/>
        <v>2.9567375560047031</v>
      </c>
      <c r="R1127" s="532">
        <f t="shared" si="157"/>
        <v>9.6911200329001232E-2</v>
      </c>
    </row>
    <row r="1128" spans="1:18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438">
        <f t="shared" ref="F1128:F1145" si="158">C1128+D1128+E1128</f>
        <v>497.81</v>
      </c>
      <c r="G1128" s="404">
        <v>1100</v>
      </c>
      <c r="H1128" s="404">
        <v>23</v>
      </c>
      <c r="I1128" s="692">
        <v>5000</v>
      </c>
      <c r="J1128" s="404">
        <v>10</v>
      </c>
      <c r="K1128" s="707">
        <f t="shared" si="152"/>
        <v>4.4851794071762872E-3</v>
      </c>
      <c r="L1128" s="708">
        <f t="shared" si="153"/>
        <v>1.539408866995074E-3</v>
      </c>
      <c r="M1128" s="426">
        <f t="shared" si="154"/>
        <v>12.152016270182827</v>
      </c>
      <c r="N1128" s="427">
        <f t="shared" ref="N1128:N1144" si="159">M1128*0.3677</f>
        <v>4.4682963825462254</v>
      </c>
      <c r="O1128" s="426">
        <v>5.2166731952023921</v>
      </c>
      <c r="P1128" s="426">
        <f t="shared" si="155"/>
        <v>1.112379978943</v>
      </c>
      <c r="Q1128" s="426">
        <f t="shared" si="156"/>
        <v>1.355991194331517</v>
      </c>
      <c r="R1128" s="532">
        <f t="shared" si="157"/>
        <v>4.6100652511750356E-2</v>
      </c>
    </row>
    <row r="1129" spans="1:18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438">
        <f t="shared" si="158"/>
        <v>301.3</v>
      </c>
      <c r="G1129" s="404">
        <v>1100</v>
      </c>
      <c r="H1129" s="404">
        <v>15</v>
      </c>
      <c r="I1129" s="692">
        <v>5000</v>
      </c>
      <c r="J1129" s="404">
        <v>7</v>
      </c>
      <c r="K1129" s="707">
        <f t="shared" si="152"/>
        <v>2.9251170046801873E-3</v>
      </c>
      <c r="L1129" s="708">
        <f t="shared" si="153"/>
        <v>1.0775862068965517E-3</v>
      </c>
      <c r="M1129" s="426">
        <f t="shared" si="154"/>
        <v>8.0737325669750923</v>
      </c>
      <c r="N1129" s="427">
        <f t="shared" si="159"/>
        <v>2.9687114648767419</v>
      </c>
      <c r="O1129" s="426">
        <v>3.4665341398674814</v>
      </c>
      <c r="P1129" s="426">
        <f t="shared" si="155"/>
        <v>0.73905912098552895</v>
      </c>
      <c r="Q1129" s="426">
        <f t="shared" si="156"/>
        <v>0.90091306848135988</v>
      </c>
      <c r="R1129" s="532">
        <f t="shared" si="157"/>
        <v>5.0607491844357269E-2</v>
      </c>
    </row>
    <row r="1130" spans="1:18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438">
        <f t="shared" si="158"/>
        <v>493.5</v>
      </c>
      <c r="G1130" s="404">
        <v>1100</v>
      </c>
      <c r="H1130" s="404">
        <v>20</v>
      </c>
      <c r="I1130" s="692">
        <v>5000</v>
      </c>
      <c r="J1130" s="404">
        <v>9</v>
      </c>
      <c r="K1130" s="707">
        <f t="shared" si="152"/>
        <v>3.9001560062402497E-3</v>
      </c>
      <c r="L1130" s="708">
        <f t="shared" si="153"/>
        <v>1.3854679802955665E-3</v>
      </c>
      <c r="M1130" s="426">
        <f t="shared" si="154"/>
        <v>10.661473574521798</v>
      </c>
      <c r="N1130" s="427">
        <f t="shared" si="159"/>
        <v>3.9202238333516655</v>
      </c>
      <c r="O1130" s="426">
        <v>4.5771913595531206</v>
      </c>
      <c r="P1130" s="426">
        <f t="shared" si="155"/>
        <v>0.97593761287397307</v>
      </c>
      <c r="Q1130" s="426">
        <f t="shared" si="156"/>
        <v>1.1896679500933733</v>
      </c>
      <c r="R1130" s="532">
        <f t="shared" si="157"/>
        <v>4.0800053455522914E-2</v>
      </c>
    </row>
    <row r="1131" spans="1:18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438">
        <f t="shared" si="158"/>
        <v>264.8</v>
      </c>
      <c r="G1131" s="404">
        <v>1100</v>
      </c>
      <c r="H1131" s="404">
        <v>10</v>
      </c>
      <c r="I1131" s="692">
        <v>5000</v>
      </c>
      <c r="J1131" s="404">
        <v>12</v>
      </c>
      <c r="K1131" s="707">
        <f t="shared" si="152"/>
        <v>1.9500780031201249E-3</v>
      </c>
      <c r="L1131" s="708">
        <f t="shared" si="153"/>
        <v>1.8472906403940886E-3</v>
      </c>
      <c r="M1131" s="426">
        <f t="shared" si="154"/>
        <v>7.6595583697732144</v>
      </c>
      <c r="N1131" s="427">
        <f t="shared" si="159"/>
        <v>2.8164196125656109</v>
      </c>
      <c r="O1131" s="426">
        <v>3.2978142858557749</v>
      </c>
      <c r="P1131" s="426">
        <f t="shared" si="155"/>
        <v>0.70114614633846428</v>
      </c>
      <c r="Q1131" s="426">
        <f t="shared" si="156"/>
        <v>0.85469715238658805</v>
      </c>
      <c r="R1131" s="532">
        <f t="shared" si="157"/>
        <v>5.4663664707451147E-2</v>
      </c>
    </row>
    <row r="1132" spans="1:18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438">
        <f t="shared" si="158"/>
        <v>544.79999999999995</v>
      </c>
      <c r="G1132" s="404">
        <v>1100</v>
      </c>
      <c r="H1132" s="404">
        <v>17</v>
      </c>
      <c r="I1132" s="692">
        <v>5000</v>
      </c>
      <c r="J1132" s="404">
        <v>7</v>
      </c>
      <c r="K1132" s="707">
        <f t="shared" si="152"/>
        <v>3.3151326053042123E-3</v>
      </c>
      <c r="L1132" s="708">
        <f t="shared" si="153"/>
        <v>1.0775862068965517E-3</v>
      </c>
      <c r="M1132" s="426">
        <f t="shared" si="154"/>
        <v>8.8604213345257943</v>
      </c>
      <c r="N1132" s="427">
        <f t="shared" si="159"/>
        <v>3.2579769247051349</v>
      </c>
      <c r="O1132" s="426">
        <v>3.8031470430932877</v>
      </c>
      <c r="P1132" s="426">
        <f t="shared" si="155"/>
        <v>0.81107160148474888</v>
      </c>
      <c r="Q1132" s="426">
        <f t="shared" si="156"/>
        <v>0.98869628220990891</v>
      </c>
      <c r="R1132" s="532">
        <f t="shared" si="157"/>
        <v>3.07133203080194E-2</v>
      </c>
    </row>
    <row r="1133" spans="1:18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438">
        <f t="shared" si="158"/>
        <v>205</v>
      </c>
      <c r="G1133" s="404">
        <v>1100</v>
      </c>
      <c r="H1133" s="404">
        <v>8</v>
      </c>
      <c r="I1133" s="692">
        <v>5000</v>
      </c>
      <c r="J1133" s="404">
        <v>4</v>
      </c>
      <c r="K1133" s="707">
        <f t="shared" si="152"/>
        <v>1.5600624024960999E-3</v>
      </c>
      <c r="L1133" s="708">
        <f t="shared" si="153"/>
        <v>6.1576354679802956E-4</v>
      </c>
      <c r="M1133" s="426">
        <f t="shared" si="154"/>
        <v>4.3887932475427096</v>
      </c>
      <c r="N1133" s="427">
        <f t="shared" si="159"/>
        <v>1.6137592771214544</v>
      </c>
      <c r="O1133" s="426">
        <v>1.8847015361454733</v>
      </c>
      <c r="P1133" s="426">
        <f t="shared" si="155"/>
        <v>0.40174450327766803</v>
      </c>
      <c r="Q1133" s="426">
        <f t="shared" si="156"/>
        <v>0.48972654949547734</v>
      </c>
      <c r="R1133" s="532">
        <f t="shared" si="157"/>
        <v>4.0434139337011239E-2</v>
      </c>
    </row>
    <row r="1134" spans="1:18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438">
        <f t="shared" si="158"/>
        <v>577.32000000000005</v>
      </c>
      <c r="G1134" s="404">
        <v>1100</v>
      </c>
      <c r="H1134" s="404">
        <v>22</v>
      </c>
      <c r="I1134" s="692">
        <v>5000</v>
      </c>
      <c r="J1134" s="404">
        <v>11</v>
      </c>
      <c r="K1134" s="707">
        <f t="shared" si="152"/>
        <v>4.2901716068642747E-3</v>
      </c>
      <c r="L1134" s="708">
        <f t="shared" si="153"/>
        <v>1.6933497536945814E-3</v>
      </c>
      <c r="M1134" s="426">
        <f t="shared" si="154"/>
        <v>12.06918143074245</v>
      </c>
      <c r="N1134" s="427">
        <f t="shared" si="159"/>
        <v>4.4378380120839989</v>
      </c>
      <c r="O1134" s="426">
        <v>5.1829292244000511</v>
      </c>
      <c r="P1134" s="426">
        <f t="shared" si="155"/>
        <v>1.104797384013587</v>
      </c>
      <c r="Q1134" s="426">
        <f t="shared" si="156"/>
        <v>1.3467480111125627</v>
      </c>
      <c r="R1134" s="532">
        <f t="shared" si="157"/>
        <v>3.948372835037775E-2</v>
      </c>
    </row>
    <row r="1135" spans="1:18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438">
        <f t="shared" si="158"/>
        <v>353</v>
      </c>
      <c r="G1135" s="404">
        <v>1100</v>
      </c>
      <c r="H1135" s="404">
        <v>15</v>
      </c>
      <c r="I1135" s="692">
        <v>5000</v>
      </c>
      <c r="J1135" s="404">
        <v>11</v>
      </c>
      <c r="K1135" s="707">
        <f t="shared" si="152"/>
        <v>2.9251170046801873E-3</v>
      </c>
      <c r="L1135" s="708">
        <f t="shared" si="153"/>
        <v>1.6933497536945814E-3</v>
      </c>
      <c r="M1135" s="426">
        <f t="shared" si="154"/>
        <v>9.315770744314996</v>
      </c>
      <c r="N1135" s="427">
        <f t="shared" si="159"/>
        <v>3.4254089026846244</v>
      </c>
      <c r="O1135" s="426">
        <v>4.0047840631097289</v>
      </c>
      <c r="P1135" s="426">
        <f t="shared" si="155"/>
        <v>0.8527537022663173</v>
      </c>
      <c r="Q1135" s="426">
        <f t="shared" si="156"/>
        <v>1.0395067630626409</v>
      </c>
      <c r="R1135" s="532">
        <f t="shared" si="157"/>
        <v>4.9854723547806422E-2</v>
      </c>
    </row>
    <row r="1136" spans="1:18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438">
        <f t="shared" si="158"/>
        <v>646.29999999999995</v>
      </c>
      <c r="G1136" s="404">
        <v>1100</v>
      </c>
      <c r="H1136" s="404">
        <v>16</v>
      </c>
      <c r="I1136" s="692">
        <v>5000</v>
      </c>
      <c r="J1136" s="404">
        <v>5</v>
      </c>
      <c r="K1136" s="707">
        <f t="shared" si="152"/>
        <v>3.1201248049921998E-3</v>
      </c>
      <c r="L1136" s="708">
        <f t="shared" si="153"/>
        <v>7.6970443349753698E-4</v>
      </c>
      <c r="M1136" s="426">
        <f t="shared" si="154"/>
        <v>7.8460578620804933</v>
      </c>
      <c r="N1136" s="427">
        <f t="shared" si="159"/>
        <v>2.8849954758869978</v>
      </c>
      <c r="O1136" s="426">
        <v>3.365715629859261</v>
      </c>
      <c r="P1136" s="426">
        <f t="shared" si="155"/>
        <v>0.71821807059474496</v>
      </c>
      <c r="Q1136" s="426">
        <f t="shared" si="156"/>
        <v>0.87550782805499416</v>
      </c>
      <c r="R1136" s="532">
        <f t="shared" si="157"/>
        <v>2.2922771218352928E-2</v>
      </c>
    </row>
    <row r="1137" spans="1:18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438">
        <f t="shared" si="158"/>
        <v>281.89999999999998</v>
      </c>
      <c r="G1137" s="404">
        <v>1100</v>
      </c>
      <c r="H1137" s="404">
        <v>6</v>
      </c>
      <c r="I1137" s="692">
        <v>5000</v>
      </c>
      <c r="J1137" s="404">
        <v>4</v>
      </c>
      <c r="K1137" s="707">
        <f t="shared" ref="K1137:K1145" si="160">0.5/2564*H1137</f>
        <v>1.1700468018720749E-3</v>
      </c>
      <c r="L1137" s="708">
        <f t="shared" ref="L1137:L1145" si="161">1.5/9744*J1137</f>
        <v>6.1576354679802956E-4</v>
      </c>
      <c r="M1137" s="426">
        <f t="shared" ref="M1137:M1145" si="162">(K1137+L1137)*2017.07</f>
        <v>3.6021044799920077</v>
      </c>
      <c r="N1137" s="427">
        <f t="shared" si="159"/>
        <v>1.3244938172930614</v>
      </c>
      <c r="O1137" s="426">
        <v>1.5480886329196666</v>
      </c>
      <c r="P1137" s="426">
        <f t="shared" si="155"/>
        <v>0.3297320227784481</v>
      </c>
      <c r="Q1137" s="426">
        <f t="shared" si="156"/>
        <v>0.40194333576692826</v>
      </c>
      <c r="R1137" s="532">
        <f t="shared" si="157"/>
        <v>2.413770469309395E-2</v>
      </c>
    </row>
    <row r="1138" spans="1:18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438">
        <f t="shared" si="158"/>
        <v>305.10000000000002</v>
      </c>
      <c r="G1138" s="404">
        <v>1100</v>
      </c>
      <c r="H1138" s="404">
        <v>16</v>
      </c>
      <c r="I1138" s="692">
        <v>5000</v>
      </c>
      <c r="J1138" s="404">
        <v>8</v>
      </c>
      <c r="K1138" s="707">
        <f t="shared" si="160"/>
        <v>3.1201248049921998E-3</v>
      </c>
      <c r="L1138" s="708">
        <f t="shared" si="161"/>
        <v>1.2315270935960591E-3</v>
      </c>
      <c r="M1138" s="426">
        <f t="shared" si="162"/>
        <v>8.7775864950854192</v>
      </c>
      <c r="N1138" s="427">
        <f t="shared" si="159"/>
        <v>3.2275185542429088</v>
      </c>
      <c r="O1138" s="426">
        <v>3.7694030722909466</v>
      </c>
      <c r="P1138" s="426">
        <f>(K1138+L1138)*184.64</f>
        <v>0.80348900655533606</v>
      </c>
      <c r="Q1138" s="426">
        <f t="shared" ref="Q1138:Q1146" si="163">P1138*1.219</f>
        <v>0.97945309899095467</v>
      </c>
      <c r="R1138" s="532">
        <f t="shared" si="157"/>
        <v>5.4336273773105889E-2</v>
      </c>
    </row>
    <row r="1139" spans="1:18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438">
        <f t="shared" si="158"/>
        <v>369.45</v>
      </c>
      <c r="G1139" s="404">
        <v>1100</v>
      </c>
      <c r="H1139" s="404">
        <v>13</v>
      </c>
      <c r="I1139" s="692">
        <v>5000</v>
      </c>
      <c r="J1139" s="404">
        <v>4</v>
      </c>
      <c r="K1139" s="707">
        <f t="shared" si="160"/>
        <v>2.5351014040561623E-3</v>
      </c>
      <c r="L1139" s="708">
        <f t="shared" si="161"/>
        <v>6.1576354679802956E-4</v>
      </c>
      <c r="M1139" s="426">
        <f t="shared" si="162"/>
        <v>6.3555151664194645</v>
      </c>
      <c r="N1139" s="427">
        <f t="shared" si="159"/>
        <v>2.3369229266924374</v>
      </c>
      <c r="O1139" s="426">
        <v>2.7262337942099895</v>
      </c>
      <c r="P1139" s="426">
        <f>(K1139+L1139)*184.64</f>
        <v>0.58177570452571792</v>
      </c>
      <c r="Q1139" s="426">
        <f t="shared" si="163"/>
        <v>0.70918458381685023</v>
      </c>
      <c r="R1139" s="532">
        <f t="shared" si="157"/>
        <v>3.2481926084308055E-2</v>
      </c>
    </row>
    <row r="1140" spans="1:18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438">
        <f t="shared" si="158"/>
        <v>453.11</v>
      </c>
      <c r="G1140" s="404">
        <v>1100</v>
      </c>
      <c r="H1140" s="404">
        <v>18</v>
      </c>
      <c r="I1140" s="692">
        <v>5000</v>
      </c>
      <c r="J1140" s="404">
        <v>7</v>
      </c>
      <c r="K1140" s="707">
        <f t="shared" si="160"/>
        <v>3.5101404056162248E-3</v>
      </c>
      <c r="L1140" s="708">
        <f t="shared" si="161"/>
        <v>1.0775862068965517E-3</v>
      </c>
      <c r="M1140" s="426">
        <f t="shared" si="162"/>
        <v>9.2537657183011461</v>
      </c>
      <c r="N1140" s="427">
        <f t="shared" si="159"/>
        <v>3.4026096546193316</v>
      </c>
      <c r="O1140" s="426">
        <v>3.9714534947061906</v>
      </c>
      <c r="P1140" s="426">
        <f t="shared" ref="P1140:P1146" si="164">K1140+L1140*184.64*1.08</f>
        <v>0.21839289902630588</v>
      </c>
      <c r="Q1140" s="426">
        <f t="shared" si="163"/>
        <v>0.26622094391306689</v>
      </c>
      <c r="R1140" s="532">
        <f t="shared" si="157"/>
        <v>3.7179099482803235E-2</v>
      </c>
    </row>
    <row r="1141" spans="1:18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438">
        <f t="shared" si="158"/>
        <v>729</v>
      </c>
      <c r="G1141" s="404">
        <v>1100</v>
      </c>
      <c r="H1141" s="404">
        <v>14</v>
      </c>
      <c r="I1141" s="692">
        <v>5000</v>
      </c>
      <c r="J1141" s="404">
        <v>7</v>
      </c>
      <c r="K1141" s="707">
        <f t="shared" si="160"/>
        <v>2.7301092043681748E-3</v>
      </c>
      <c r="L1141" s="708">
        <f t="shared" si="161"/>
        <v>1.0775862068965517E-3</v>
      </c>
      <c r="M1141" s="426">
        <f t="shared" si="162"/>
        <v>7.6803881831997414</v>
      </c>
      <c r="N1141" s="427">
        <f t="shared" si="159"/>
        <v>2.8240787349625451</v>
      </c>
      <c r="O1141" s="426">
        <v>3.2982276882545785</v>
      </c>
      <c r="P1141" s="426">
        <f t="shared" si="164"/>
        <v>0.21761286782505782</v>
      </c>
      <c r="Q1141" s="426">
        <f t="shared" si="163"/>
        <v>0.26527008587874551</v>
      </c>
      <c r="R1141" s="532">
        <f t="shared" si="157"/>
        <v>1.9232246192375752E-2</v>
      </c>
    </row>
    <row r="1142" spans="1:18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438">
        <f t="shared" si="158"/>
        <v>422.76</v>
      </c>
      <c r="G1142" s="404">
        <v>1100</v>
      </c>
      <c r="H1142" s="404">
        <v>19</v>
      </c>
      <c r="I1142" s="692">
        <v>5000</v>
      </c>
      <c r="J1142" s="404">
        <v>6</v>
      </c>
      <c r="K1142" s="707">
        <f t="shared" si="160"/>
        <v>3.7051482059282373E-3</v>
      </c>
      <c r="L1142" s="708">
        <f t="shared" si="161"/>
        <v>9.2364532019704429E-4</v>
      </c>
      <c r="M1142" s="426">
        <f t="shared" si="162"/>
        <v>9.3366005577415212</v>
      </c>
      <c r="N1142" s="427">
        <f t="shared" si="159"/>
        <v>3.4330680250815577</v>
      </c>
      <c r="O1142" s="426">
        <v>4.0051974655085321</v>
      </c>
      <c r="P1142" s="426">
        <f t="shared" si="164"/>
        <v>0.1878903698808051</v>
      </c>
      <c r="Q1142" s="426">
        <f t="shared" si="163"/>
        <v>0.22903836088470142</v>
      </c>
      <c r="R1142" s="532">
        <f t="shared" si="157"/>
        <v>4.0123844304599338E-2</v>
      </c>
    </row>
    <row r="1143" spans="1:18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438">
        <f t="shared" si="158"/>
        <v>152.30000000000001</v>
      </c>
      <c r="G1143" s="404">
        <v>1100</v>
      </c>
      <c r="H1143" s="404">
        <v>3</v>
      </c>
      <c r="I1143" s="692">
        <v>5000</v>
      </c>
      <c r="J1143" s="404">
        <v>1</v>
      </c>
      <c r="K1143" s="707">
        <f t="shared" si="160"/>
        <v>5.8502340093603746E-4</v>
      </c>
      <c r="L1143" s="708">
        <f t="shared" si="161"/>
        <v>1.5394088669950739E-4</v>
      </c>
      <c r="M1143" s="426">
        <f t="shared" si="162"/>
        <v>1.4905426956610284</v>
      </c>
      <c r="N1143" s="427">
        <f t="shared" si="159"/>
        <v>0.54807254919456017</v>
      </c>
      <c r="O1143" s="426">
        <v>0.63948183564927152</v>
      </c>
      <c r="P1143" s="426">
        <f t="shared" si="164"/>
        <v>3.1282560346748846E-2</v>
      </c>
      <c r="Q1143" s="426">
        <f t="shared" si="163"/>
        <v>3.8133441062686846E-2</v>
      </c>
      <c r="R1143" s="532">
        <f t="shared" si="157"/>
        <v>1.7789754700273202E-2</v>
      </c>
    </row>
    <row r="1144" spans="1:18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438">
        <f t="shared" si="158"/>
        <v>252.6</v>
      </c>
      <c r="G1144" s="404">
        <v>1100</v>
      </c>
      <c r="H1144" s="404">
        <v>4</v>
      </c>
      <c r="I1144" s="692">
        <v>5000</v>
      </c>
      <c r="J1144" s="404">
        <v>2</v>
      </c>
      <c r="K1144" s="707">
        <f t="shared" si="160"/>
        <v>7.8003120124804995E-4</v>
      </c>
      <c r="L1144" s="708">
        <f t="shared" si="161"/>
        <v>3.0788177339901478E-4</v>
      </c>
      <c r="M1144" s="426">
        <f t="shared" si="162"/>
        <v>2.1943966237713548</v>
      </c>
      <c r="N1144" s="427">
        <f t="shared" si="159"/>
        <v>0.8068796385607272</v>
      </c>
      <c r="O1144" s="426">
        <v>0.94235076807273666</v>
      </c>
      <c r="P1144" s="426">
        <f t="shared" si="164"/>
        <v>6.2175105092873661E-2</v>
      </c>
      <c r="Q1144" s="426">
        <f t="shared" si="163"/>
        <v>7.5791453108213003E-2</v>
      </c>
      <c r="R1144" s="532">
        <f t="shared" si="157"/>
        <v>1.5858282404978989E-2</v>
      </c>
    </row>
    <row r="1145" spans="1:18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258">
        <f t="shared" si="158"/>
        <v>143.69999999999999</v>
      </c>
      <c r="G1145" s="146">
        <v>1100</v>
      </c>
      <c r="H1145" s="146">
        <v>1</v>
      </c>
      <c r="I1145" s="159">
        <v>5000</v>
      </c>
      <c r="J1145" s="146">
        <v>2</v>
      </c>
      <c r="K1145" s="707">
        <f t="shared" si="160"/>
        <v>1.9500780031201249E-4</v>
      </c>
      <c r="L1145" s="708">
        <f t="shared" si="161"/>
        <v>3.0788177339901478E-4</v>
      </c>
      <c r="M1145" s="426">
        <f t="shared" si="162"/>
        <v>1.0143634724453019</v>
      </c>
      <c r="N1145" s="148">
        <f>M1145*0.3677</f>
        <v>0.37298144881813755</v>
      </c>
      <c r="O1145" s="426">
        <v>0.4374314132340269</v>
      </c>
      <c r="P1145" s="426">
        <f t="shared" si="164"/>
        <v>6.159008169193763E-2</v>
      </c>
      <c r="Q1145" s="426">
        <f t="shared" si="163"/>
        <v>7.5078309582471983E-2</v>
      </c>
      <c r="R1145" s="532">
        <f t="shared" si="157"/>
        <v>1.3127114935208101E-2</v>
      </c>
    </row>
    <row r="1146" spans="1:18" s="69" customFormat="1" ht="16.5" thickBot="1">
      <c r="A1146" s="152"/>
      <c r="B1146" s="171" t="s">
        <v>681</v>
      </c>
      <c r="C1146" s="705">
        <f>SUM(C881:C1145)</f>
        <v>279334.62999999971</v>
      </c>
      <c r="D1146" s="705">
        <f>SUM(D881:D1145)</f>
        <v>1257.6999999999998</v>
      </c>
      <c r="E1146" s="705">
        <f>SUM(E881:E1145)</f>
        <v>1827.8000000000002</v>
      </c>
      <c r="F1146" s="171">
        <f>C1146+D1146+E1146</f>
        <v>282420.12999999971</v>
      </c>
      <c r="G1146" s="171">
        <v>1100</v>
      </c>
      <c r="H1146" s="171">
        <f>SUM(H881:H1145)</f>
        <v>2564</v>
      </c>
      <c r="I1146" s="706">
        <v>5000</v>
      </c>
      <c r="J1146" s="171">
        <f>SUM(J881:J1145)</f>
        <v>9744</v>
      </c>
      <c r="K1146" s="707">
        <f>0.5/2564*H1146</f>
        <v>0.5</v>
      </c>
      <c r="L1146" s="708">
        <f>1.5/9744*J1146</f>
        <v>1.5</v>
      </c>
      <c r="M1146" s="426">
        <f>(K1146+L1146)*2017.07</f>
        <v>4034.14</v>
      </c>
      <c r="N1146" s="151">
        <f>M1146*0.3677</f>
        <v>1483.353278</v>
      </c>
      <c r="O1146" s="426">
        <f>SUM(O880:O1145)</f>
        <v>1742.7145549536003</v>
      </c>
      <c r="P1146" s="426">
        <f t="shared" si="164"/>
        <v>299.61680000000001</v>
      </c>
      <c r="Q1146" s="426">
        <f t="shared" si="163"/>
        <v>365.23287920000001</v>
      </c>
      <c r="R1146" s="532">
        <f t="shared" si="157"/>
        <v>2.6768009181759131E-2</v>
      </c>
    </row>
    <row r="1147" spans="1:18" s="209" customFormat="1" ht="16.5" thickBot="1">
      <c r="A1147" s="1058" t="s">
        <v>634</v>
      </c>
      <c r="B1147" s="1059"/>
      <c r="C1147" s="138"/>
      <c r="D1147" s="138"/>
      <c r="E1147" s="138"/>
      <c r="F1147" s="138"/>
      <c r="G1147" s="138"/>
      <c r="H1147" s="138"/>
      <c r="I1147" s="138"/>
      <c r="J1147" s="138"/>
      <c r="K1147" s="140"/>
      <c r="L1147" s="138"/>
      <c r="M1147" s="426">
        <f>(K1147+L1147)*2077.52</f>
        <v>0</v>
      </c>
      <c r="N1147" s="139"/>
      <c r="O1147" s="426"/>
      <c r="P1147" s="697">
        <f>K1147+L1147*184.64</f>
        <v>0</v>
      </c>
      <c r="Q1147" s="934"/>
      <c r="R1147" s="532" t="e">
        <f t="shared" si="157"/>
        <v>#DIV/0!</v>
      </c>
    </row>
    <row r="1148" spans="1:18" s="6" customFormat="1" ht="15.75">
      <c r="A1148" s="141">
        <v>1</v>
      </c>
      <c r="B1148" s="141" t="s">
        <v>480</v>
      </c>
      <c r="C1148" s="386">
        <v>219.1</v>
      </c>
      <c r="D1148" s="386"/>
      <c r="E1148" s="386"/>
      <c r="F1148" s="439">
        <f t="shared" ref="F1148:F1201" si="165">C1148+D1148+E1148</f>
        <v>219.1</v>
      </c>
      <c r="G1148" s="141">
        <v>1100</v>
      </c>
      <c r="H1148" s="141">
        <v>10</v>
      </c>
      <c r="I1148" s="141">
        <v>5000</v>
      </c>
      <c r="J1148" s="141">
        <v>8</v>
      </c>
      <c r="K1148" s="192">
        <f t="shared" ref="K1148:K1201" si="166">0.5/471*H1148</f>
        <v>1.0615711252653927E-2</v>
      </c>
      <c r="L1148" s="183">
        <f t="shared" ref="L1148:L1201" si="167">1.5/6086*J1148</f>
        <v>1.9717384160368059E-3</v>
      </c>
      <c r="M1148" s="426">
        <f>(K1148+L1148)*2017.01</f>
        <v>25.389011856245897</v>
      </c>
      <c r="N1148" s="144">
        <f t="shared" ref="N1148:N1201" si="168">M1148*0.3677</f>
        <v>9.3355396595416167</v>
      </c>
      <c r="O1148" s="426">
        <v>10.819060598074246</v>
      </c>
      <c r="P1148" s="426">
        <f>K1148+L1148*184.64</f>
        <v>0.37467749238968973</v>
      </c>
      <c r="Q1148" s="426"/>
      <c r="R1148" s="532">
        <f t="shared" si="157"/>
        <v>0.20957685808421475</v>
      </c>
    </row>
    <row r="1149" spans="1:18" s="6" customFormat="1" ht="15.75">
      <c r="A1149" s="146">
        <v>2</v>
      </c>
      <c r="B1149" s="146" t="s">
        <v>481</v>
      </c>
      <c r="C1149" s="330">
        <v>265.10000000000002</v>
      </c>
      <c r="D1149" s="330"/>
      <c r="E1149" s="330"/>
      <c r="F1149" s="258">
        <f t="shared" si="165"/>
        <v>265.10000000000002</v>
      </c>
      <c r="G1149" s="146">
        <v>1100</v>
      </c>
      <c r="H1149" s="146">
        <v>12</v>
      </c>
      <c r="I1149" s="146">
        <v>5000</v>
      </c>
      <c r="J1149" s="146">
        <v>11</v>
      </c>
      <c r="K1149" s="192">
        <f t="shared" si="166"/>
        <v>1.2738853503184714E-2</v>
      </c>
      <c r="L1149" s="183">
        <f t="shared" si="167"/>
        <v>2.7111403220506083E-3</v>
      </c>
      <c r="M1149" s="426">
        <f t="shared" ref="M1149:M1202" si="169">(K1149+L1149)*2017.01</f>
        <v>31.1627920454379</v>
      </c>
      <c r="N1149" s="148">
        <f t="shared" si="168"/>
        <v>11.458558635107517</v>
      </c>
      <c r="O1149" s="426">
        <v>13.284979069240057</v>
      </c>
      <c r="P1149" s="426">
        <f>K1149+L1149*184.64</f>
        <v>0.51332380256660903</v>
      </c>
      <c r="Q1149" s="426"/>
      <c r="R1149" s="532">
        <f t="shared" si="157"/>
        <v>0.21282404206847258</v>
      </c>
    </row>
    <row r="1150" spans="1:18" s="6" customFormat="1" ht="15.75">
      <c r="A1150" s="146">
        <v>3</v>
      </c>
      <c r="B1150" s="146" t="s">
        <v>482</v>
      </c>
      <c r="C1150" s="330">
        <v>352.7</v>
      </c>
      <c r="D1150" s="330"/>
      <c r="E1150" s="330"/>
      <c r="F1150" s="258">
        <f t="shared" si="165"/>
        <v>352.7</v>
      </c>
      <c r="G1150" s="146">
        <v>1100</v>
      </c>
      <c r="H1150" s="146">
        <v>17</v>
      </c>
      <c r="I1150" s="146">
        <v>5000</v>
      </c>
      <c r="J1150" s="146">
        <v>16</v>
      </c>
      <c r="K1150" s="192">
        <f t="shared" si="166"/>
        <v>1.8046709129511677E-2</v>
      </c>
      <c r="L1150" s="183">
        <f t="shared" si="167"/>
        <v>3.9434768320736118E-3</v>
      </c>
      <c r="M1150" s="426">
        <f t="shared" si="169"/>
        <v>44.354424986377147</v>
      </c>
      <c r="N1150" s="148">
        <f t="shared" si="168"/>
        <v>16.309122067490879</v>
      </c>
      <c r="O1150" s="426">
        <v>18.910299619385007</v>
      </c>
      <c r="P1150" s="426">
        <f t="shared" ref="P1150:P1201" si="170">K1150+L1150*184.64</f>
        <v>0.74617027140358327</v>
      </c>
      <c r="Q1150" s="426"/>
      <c r="R1150" s="532">
        <f t="shared" si="157"/>
        <v>0.22772899615723452</v>
      </c>
    </row>
    <row r="1151" spans="1:18" s="6" customFormat="1" ht="15.75">
      <c r="A1151" s="146">
        <v>4</v>
      </c>
      <c r="B1151" s="146" t="s">
        <v>483</v>
      </c>
      <c r="C1151" s="330">
        <v>350.15</v>
      </c>
      <c r="D1151" s="330"/>
      <c r="E1151" s="330"/>
      <c r="F1151" s="258">
        <f t="shared" si="165"/>
        <v>350.15</v>
      </c>
      <c r="G1151" s="146">
        <v>1100</v>
      </c>
      <c r="H1151" s="146">
        <v>18</v>
      </c>
      <c r="I1151" s="146">
        <v>5000</v>
      </c>
      <c r="J1151" s="146">
        <v>18</v>
      </c>
      <c r="K1151" s="192">
        <f t="shared" si="166"/>
        <v>1.9108280254777069E-2</v>
      </c>
      <c r="L1151" s="183">
        <f t="shared" si="167"/>
        <v>4.4364114360828134E-3</v>
      </c>
      <c r="M1151" s="426">
        <f t="shared" si="169"/>
        <v>47.489878587381291</v>
      </c>
      <c r="N1151" s="148">
        <f t="shared" si="168"/>
        <v>17.462028356580102</v>
      </c>
      <c r="O1151" s="426">
        <v>20.251153980521828</v>
      </c>
      <c r="P1151" s="426">
        <f t="shared" si="170"/>
        <v>0.83824728781310764</v>
      </c>
      <c r="Q1151" s="426"/>
      <c r="R1151" s="532">
        <f t="shared" si="157"/>
        <v>0.24572699760758629</v>
      </c>
    </row>
    <row r="1152" spans="1:18" s="6" customFormat="1" ht="15.75">
      <c r="A1152" s="146">
        <v>5</v>
      </c>
      <c r="B1152" s="146" t="s">
        <v>484</v>
      </c>
      <c r="C1152" s="330">
        <v>348.6</v>
      </c>
      <c r="D1152" s="330"/>
      <c r="E1152" s="330"/>
      <c r="F1152" s="258">
        <f t="shared" si="165"/>
        <v>348.6</v>
      </c>
      <c r="G1152" s="146">
        <v>1100</v>
      </c>
      <c r="H1152" s="146">
        <v>15</v>
      </c>
      <c r="I1152" s="146">
        <v>5000</v>
      </c>
      <c r="J1152" s="146">
        <v>16</v>
      </c>
      <c r="K1152" s="192">
        <f t="shared" si="166"/>
        <v>1.5923566878980892E-2</v>
      </c>
      <c r="L1152" s="183">
        <f t="shared" si="167"/>
        <v>3.9434768320736118E-3</v>
      </c>
      <c r="M1152" s="426">
        <f t="shared" si="169"/>
        <v>40.072025835634044</v>
      </c>
      <c r="N1152" s="148">
        <f t="shared" si="168"/>
        <v>14.734483899762639</v>
      </c>
      <c r="O1152" s="426">
        <v>17.091751901542686</v>
      </c>
      <c r="P1152" s="426">
        <f t="shared" si="170"/>
        <v>0.74404712915305249</v>
      </c>
      <c r="Q1152" s="426"/>
      <c r="R1152" s="532">
        <f t="shared" si="157"/>
        <v>0.20838298555964546</v>
      </c>
    </row>
    <row r="1153" spans="1:18" s="6" customFormat="1" ht="15.75">
      <c r="A1153" s="146">
        <v>6</v>
      </c>
      <c r="B1153" s="146" t="s">
        <v>485</v>
      </c>
      <c r="C1153" s="330">
        <v>430.37</v>
      </c>
      <c r="D1153" s="330"/>
      <c r="E1153" s="330"/>
      <c r="F1153" s="258">
        <f t="shared" si="165"/>
        <v>430.37</v>
      </c>
      <c r="G1153" s="146">
        <v>1100</v>
      </c>
      <c r="H1153" s="146">
        <v>16</v>
      </c>
      <c r="I1153" s="146">
        <v>5000</v>
      </c>
      <c r="J1153" s="146">
        <v>18</v>
      </c>
      <c r="K1153" s="192">
        <f t="shared" si="166"/>
        <v>1.6985138004246284E-2</v>
      </c>
      <c r="L1153" s="183">
        <f t="shared" si="167"/>
        <v>4.4364114360828134E-3</v>
      </c>
      <c r="M1153" s="426">
        <f t="shared" si="169"/>
        <v>43.207479436638195</v>
      </c>
      <c r="N1153" s="148">
        <f t="shared" si="168"/>
        <v>15.887390188851866</v>
      </c>
      <c r="O1153" s="426">
        <v>18.432606262679506</v>
      </c>
      <c r="P1153" s="426">
        <f t="shared" si="170"/>
        <v>0.83612414556257686</v>
      </c>
      <c r="Q1153" s="426"/>
      <c r="R1153" s="532">
        <f t="shared" si="157"/>
        <v>0.18208425316293456</v>
      </c>
    </row>
    <row r="1154" spans="1:18" s="6" customFormat="1" ht="15.75">
      <c r="A1154" s="146">
        <v>7</v>
      </c>
      <c r="B1154" s="146" t="s">
        <v>486</v>
      </c>
      <c r="C1154" s="330">
        <v>79.3</v>
      </c>
      <c r="D1154" s="330"/>
      <c r="E1154" s="330"/>
      <c r="F1154" s="258">
        <f t="shared" si="165"/>
        <v>79.3</v>
      </c>
      <c r="G1154" s="146">
        <v>1100</v>
      </c>
      <c r="H1154" s="146">
        <v>4</v>
      </c>
      <c r="I1154" s="146">
        <v>5000</v>
      </c>
      <c r="J1154" s="146"/>
      <c r="K1154" s="192">
        <f t="shared" si="166"/>
        <v>4.246284501061571E-3</v>
      </c>
      <c r="L1154" s="183">
        <f t="shared" si="167"/>
        <v>0</v>
      </c>
      <c r="M1154" s="426">
        <f t="shared" si="169"/>
        <v>8.5647983014861993</v>
      </c>
      <c r="N1154" s="148">
        <f t="shared" si="168"/>
        <v>3.1492763354564759</v>
      </c>
      <c r="O1154" s="426">
        <v>3.637095435684647</v>
      </c>
      <c r="P1154" s="426">
        <f t="shared" si="170"/>
        <v>4.246284501061571E-3</v>
      </c>
      <c r="Q1154" s="426"/>
      <c r="R1154" s="532">
        <f t="shared" si="157"/>
        <v>0.19363702846315742</v>
      </c>
    </row>
    <row r="1155" spans="1:18" s="6" customFormat="1" ht="15.75">
      <c r="A1155" s="146">
        <v>8</v>
      </c>
      <c r="B1155" s="146" t="s">
        <v>487</v>
      </c>
      <c r="C1155" s="330">
        <v>70.099999999999994</v>
      </c>
      <c r="D1155" s="330"/>
      <c r="E1155" s="330"/>
      <c r="F1155" s="258">
        <f t="shared" si="165"/>
        <v>70.099999999999994</v>
      </c>
      <c r="G1155" s="146">
        <v>1100</v>
      </c>
      <c r="H1155" s="146">
        <v>3</v>
      </c>
      <c r="I1155" s="146">
        <v>5000</v>
      </c>
      <c r="J1155" s="146">
        <v>2</v>
      </c>
      <c r="K1155" s="192">
        <f t="shared" si="166"/>
        <v>3.1847133757961785E-3</v>
      </c>
      <c r="L1155" s="183">
        <f t="shared" si="167"/>
        <v>4.9293460400920148E-4</v>
      </c>
      <c r="M1155" s="426">
        <f t="shared" si="169"/>
        <v>7.4178527517472492</v>
      </c>
      <c r="N1155" s="148">
        <f t="shared" si="168"/>
        <v>2.7275444568174638</v>
      </c>
      <c r="O1155" s="426">
        <v>3.1594020789791428</v>
      </c>
      <c r="P1155" s="426">
        <f t="shared" si="170"/>
        <v>9.4200158660055128E-2</v>
      </c>
      <c r="Q1155" s="426"/>
      <c r="R1155" s="532">
        <f t="shared" si="157"/>
        <v>0.19114121891874339</v>
      </c>
    </row>
    <row r="1156" spans="1:18" s="6" customFormat="1" ht="15.75">
      <c r="A1156" s="146">
        <v>9</v>
      </c>
      <c r="B1156" s="146" t="s">
        <v>488</v>
      </c>
      <c r="C1156" s="330">
        <v>326.92</v>
      </c>
      <c r="D1156" s="330"/>
      <c r="E1156" s="330"/>
      <c r="F1156" s="258">
        <f t="shared" si="165"/>
        <v>326.92</v>
      </c>
      <c r="G1156" s="146">
        <v>1100</v>
      </c>
      <c r="H1156" s="146">
        <v>18</v>
      </c>
      <c r="I1156" s="146">
        <v>5000</v>
      </c>
      <c r="J1156" s="146">
        <v>16</v>
      </c>
      <c r="K1156" s="192">
        <f t="shared" si="166"/>
        <v>1.9108280254777069E-2</v>
      </c>
      <c r="L1156" s="183">
        <f t="shared" si="167"/>
        <v>3.9434768320736118E-3</v>
      </c>
      <c r="M1156" s="426">
        <f t="shared" si="169"/>
        <v>46.495624561748691</v>
      </c>
      <c r="N1156" s="148">
        <f t="shared" si="168"/>
        <v>17.096441151354995</v>
      </c>
      <c r="O1156" s="426">
        <v>19.819573478306172</v>
      </c>
      <c r="P1156" s="426">
        <f t="shared" si="170"/>
        <v>0.74723184252884867</v>
      </c>
      <c r="Q1156" s="426"/>
      <c r="R1156" s="532">
        <f t="shared" si="157"/>
        <v>0.25742955779376819</v>
      </c>
    </row>
    <row r="1157" spans="1:18" s="6" customFormat="1" ht="15.75">
      <c r="A1157" s="146">
        <v>10</v>
      </c>
      <c r="B1157" s="146" t="s">
        <v>489</v>
      </c>
      <c r="C1157" s="330">
        <v>322.55</v>
      </c>
      <c r="D1157" s="330"/>
      <c r="E1157" s="330"/>
      <c r="F1157" s="258">
        <f t="shared" si="165"/>
        <v>322.55</v>
      </c>
      <c r="G1157" s="146">
        <v>1100</v>
      </c>
      <c r="H1157" s="146">
        <v>20</v>
      </c>
      <c r="I1157" s="146">
        <v>5000</v>
      </c>
      <c r="J1157" s="146">
        <v>12</v>
      </c>
      <c r="K1157" s="192">
        <f t="shared" si="166"/>
        <v>2.1231422505307854E-2</v>
      </c>
      <c r="L1157" s="183">
        <f t="shared" si="167"/>
        <v>2.9576076240552087E-3</v>
      </c>
      <c r="M1157" s="426">
        <f t="shared" si="169"/>
        <v>48.789515661226588</v>
      </c>
      <c r="N1157" s="148">
        <f t="shared" si="168"/>
        <v>17.939904908633018</v>
      </c>
      <c r="O1157" s="426">
        <v>20.774960191717181</v>
      </c>
      <c r="P1157" s="426">
        <f t="shared" si="170"/>
        <v>0.5673240942108615</v>
      </c>
      <c r="Q1157" s="426"/>
      <c r="R1157" s="532">
        <f t="shared" si="157"/>
        <v>0.27304822463428197</v>
      </c>
    </row>
    <row r="1158" spans="1:18" s="6" customFormat="1" ht="15.75">
      <c r="A1158" s="146">
        <v>11</v>
      </c>
      <c r="B1158" s="146" t="s">
        <v>490</v>
      </c>
      <c r="C1158" s="330">
        <v>415.5</v>
      </c>
      <c r="D1158" s="330"/>
      <c r="E1158" s="330"/>
      <c r="F1158" s="258">
        <f t="shared" si="165"/>
        <v>415.5</v>
      </c>
      <c r="G1158" s="146">
        <v>1100</v>
      </c>
      <c r="H1158" s="146">
        <v>21</v>
      </c>
      <c r="I1158" s="146">
        <v>5000</v>
      </c>
      <c r="J1158" s="146">
        <v>20</v>
      </c>
      <c r="K1158" s="192">
        <f t="shared" si="166"/>
        <v>2.2292993630573247E-2</v>
      </c>
      <c r="L1158" s="183">
        <f t="shared" si="167"/>
        <v>4.929346040092015E-3</v>
      </c>
      <c r="M1158" s="426">
        <f t="shared" si="169"/>
        <v>54.907731339128539</v>
      </c>
      <c r="N1158" s="148">
        <f t="shared" si="168"/>
        <v>20.189572813397564</v>
      </c>
      <c r="O1158" s="426">
        <v>23.410556059500973</v>
      </c>
      <c r="P1158" s="426">
        <f t="shared" si="170"/>
        <v>0.9324474464731628</v>
      </c>
      <c r="Q1158" s="426"/>
      <c r="R1158" s="532">
        <f t="shared" si="157"/>
        <v>0.23932685357039771</v>
      </c>
    </row>
    <row r="1159" spans="1:18" s="6" customFormat="1" ht="15.75">
      <c r="A1159" s="146">
        <v>12</v>
      </c>
      <c r="B1159" s="146" t="s">
        <v>491</v>
      </c>
      <c r="C1159" s="330">
        <v>372.82</v>
      </c>
      <c r="D1159" s="330"/>
      <c r="E1159" s="330"/>
      <c r="F1159" s="258">
        <f t="shared" si="165"/>
        <v>372.82</v>
      </c>
      <c r="G1159" s="146">
        <v>1100</v>
      </c>
      <c r="H1159" s="146">
        <v>16</v>
      </c>
      <c r="I1159" s="146">
        <v>5000</v>
      </c>
      <c r="J1159" s="146">
        <v>16</v>
      </c>
      <c r="K1159" s="192">
        <f t="shared" si="166"/>
        <v>1.6985138004246284E-2</v>
      </c>
      <c r="L1159" s="183">
        <f t="shared" si="167"/>
        <v>3.9434768320736118E-3</v>
      </c>
      <c r="M1159" s="426">
        <f t="shared" si="169"/>
        <v>42.213225411005595</v>
      </c>
      <c r="N1159" s="148">
        <f t="shared" si="168"/>
        <v>15.521802983626758</v>
      </c>
      <c r="O1159" s="426">
        <v>18.001025760463847</v>
      </c>
      <c r="P1159" s="426">
        <f t="shared" si="170"/>
        <v>0.74510870027831788</v>
      </c>
      <c r="Q1159" s="426"/>
      <c r="R1159" s="532">
        <f t="shared" ref="R1159:R1222" si="171">(P1159+O1159+N1159+M1159)/F1159</f>
        <v>0.20514232834980559</v>
      </c>
    </row>
    <row r="1160" spans="1:18" s="6" customFormat="1" ht="15.75">
      <c r="A1160" s="146">
        <v>13</v>
      </c>
      <c r="B1160" s="146" t="s">
        <v>492</v>
      </c>
      <c r="C1160" s="330">
        <v>282.76</v>
      </c>
      <c r="D1160" s="330"/>
      <c r="E1160" s="330"/>
      <c r="F1160" s="258">
        <f t="shared" si="165"/>
        <v>282.76</v>
      </c>
      <c r="G1160" s="146">
        <v>1100</v>
      </c>
      <c r="H1160" s="146">
        <v>8</v>
      </c>
      <c r="I1160" s="146">
        <v>5000</v>
      </c>
      <c r="J1160" s="146">
        <v>8</v>
      </c>
      <c r="K1160" s="192">
        <f t="shared" si="166"/>
        <v>8.4925690021231421E-3</v>
      </c>
      <c r="L1160" s="183">
        <f t="shared" si="167"/>
        <v>1.9717384160368059E-3</v>
      </c>
      <c r="M1160" s="426">
        <f t="shared" si="169"/>
        <v>21.106612705502798</v>
      </c>
      <c r="N1160" s="148">
        <f t="shared" si="168"/>
        <v>7.760901491813379</v>
      </c>
      <c r="O1160" s="426">
        <v>9.0005128802319234</v>
      </c>
      <c r="P1160" s="426">
        <f t="shared" si="170"/>
        <v>0.37255435013915894</v>
      </c>
      <c r="Q1160" s="426"/>
      <c r="R1160" s="532">
        <f t="shared" si="171"/>
        <v>0.13524042094952349</v>
      </c>
    </row>
    <row r="1161" spans="1:18" s="6" customFormat="1" ht="15.75">
      <c r="A1161" s="146">
        <v>15</v>
      </c>
      <c r="B1161" s="146" t="s">
        <v>493</v>
      </c>
      <c r="C1161" s="330">
        <v>180.5</v>
      </c>
      <c r="D1161" s="330"/>
      <c r="E1161" s="330"/>
      <c r="F1161" s="258">
        <f t="shared" si="165"/>
        <v>180.5</v>
      </c>
      <c r="G1161" s="146">
        <v>1100</v>
      </c>
      <c r="H1161" s="146">
        <v>6</v>
      </c>
      <c r="I1161" s="146">
        <v>5000</v>
      </c>
      <c r="J1161" s="146">
        <v>3</v>
      </c>
      <c r="K1161" s="192">
        <f t="shared" si="166"/>
        <v>6.369426751592357E-3</v>
      </c>
      <c r="L1161" s="183">
        <f t="shared" si="167"/>
        <v>7.3940190601380217E-4</v>
      </c>
      <c r="M1161" s="426">
        <f t="shared" si="169"/>
        <v>14.338578490678199</v>
      </c>
      <c r="N1161" s="148">
        <f t="shared" si="168"/>
        <v>5.2722953110223738</v>
      </c>
      <c r="O1161" s="426">
        <v>6.1030139068504567</v>
      </c>
      <c r="P1161" s="426">
        <f t="shared" si="170"/>
        <v>0.14289259467798077</v>
      </c>
      <c r="Q1161" s="426"/>
      <c r="R1161" s="532">
        <f t="shared" si="171"/>
        <v>0.14325086040570087</v>
      </c>
    </row>
    <row r="1162" spans="1:18" s="6" customFormat="1" ht="15.75">
      <c r="A1162" s="146">
        <v>17</v>
      </c>
      <c r="B1162" s="146" t="s">
        <v>494</v>
      </c>
      <c r="C1162" s="330">
        <v>5520.77</v>
      </c>
      <c r="D1162" s="330"/>
      <c r="E1162" s="330"/>
      <c r="F1162" s="258">
        <f t="shared" si="165"/>
        <v>5520.77</v>
      </c>
      <c r="G1162" s="146">
        <v>1100</v>
      </c>
      <c r="H1162" s="146"/>
      <c r="I1162" s="146">
        <v>5000</v>
      </c>
      <c r="J1162" s="146">
        <v>243</v>
      </c>
      <c r="K1162" s="192">
        <f t="shared" si="166"/>
        <v>0</v>
      </c>
      <c r="L1162" s="183">
        <f t="shared" si="167"/>
        <v>5.9891554387117983E-2</v>
      </c>
      <c r="M1162" s="426">
        <f t="shared" si="169"/>
        <v>120.80186411436084</v>
      </c>
      <c r="N1162" s="148">
        <f t="shared" si="168"/>
        <v>44.418845434850482</v>
      </c>
      <c r="O1162" s="426">
        <v>52.437031019202365</v>
      </c>
      <c r="P1162" s="426">
        <f t="shared" si="170"/>
        <v>11.058376602037464</v>
      </c>
      <c r="Q1162" s="426"/>
      <c r="R1162" s="532">
        <f t="shared" si="171"/>
        <v>4.1428300249865706E-2</v>
      </c>
    </row>
    <row r="1163" spans="1:18" s="6" customFormat="1" ht="15.75">
      <c r="A1163" s="146">
        <v>18</v>
      </c>
      <c r="B1163" s="146" t="s">
        <v>495</v>
      </c>
      <c r="C1163" s="330">
        <v>5310.85</v>
      </c>
      <c r="D1163" s="330"/>
      <c r="E1163" s="330"/>
      <c r="F1163" s="258">
        <f t="shared" si="165"/>
        <v>5310.85</v>
      </c>
      <c r="G1163" s="146">
        <v>1100</v>
      </c>
      <c r="H1163" s="146"/>
      <c r="I1163" s="146">
        <v>5000</v>
      </c>
      <c r="J1163" s="146">
        <v>243</v>
      </c>
      <c r="K1163" s="192">
        <f t="shared" si="166"/>
        <v>0</v>
      </c>
      <c r="L1163" s="183">
        <f t="shared" si="167"/>
        <v>5.9891554387117983E-2</v>
      </c>
      <c r="M1163" s="426">
        <f t="shared" si="169"/>
        <v>120.80186411436084</v>
      </c>
      <c r="N1163" s="148">
        <f t="shared" si="168"/>
        <v>44.418845434850482</v>
      </c>
      <c r="O1163" s="426">
        <v>52.437031019202365</v>
      </c>
      <c r="P1163" s="426">
        <f t="shared" si="170"/>
        <v>11.058376602037464</v>
      </c>
      <c r="Q1163" s="426"/>
      <c r="R1163" s="532">
        <f t="shared" si="171"/>
        <v>4.306582132247213E-2</v>
      </c>
    </row>
    <row r="1164" spans="1:18" s="6" customFormat="1" ht="15.75">
      <c r="A1164" s="146">
        <v>19</v>
      </c>
      <c r="B1164" s="146" t="s">
        <v>496</v>
      </c>
      <c r="C1164" s="330">
        <v>5405.43</v>
      </c>
      <c r="D1164" s="330"/>
      <c r="E1164" s="330"/>
      <c r="F1164" s="258">
        <f t="shared" si="165"/>
        <v>5405.43</v>
      </c>
      <c r="G1164" s="146">
        <v>1100</v>
      </c>
      <c r="H1164" s="146"/>
      <c r="I1164" s="146">
        <v>5000</v>
      </c>
      <c r="J1164" s="146">
        <v>243</v>
      </c>
      <c r="K1164" s="192">
        <f t="shared" si="166"/>
        <v>0</v>
      </c>
      <c r="L1164" s="183">
        <f t="shared" si="167"/>
        <v>5.9891554387117983E-2</v>
      </c>
      <c r="M1164" s="426">
        <f t="shared" si="169"/>
        <v>120.80186411436084</v>
      </c>
      <c r="N1164" s="148">
        <f t="shared" si="168"/>
        <v>44.418845434850482</v>
      </c>
      <c r="O1164" s="426">
        <v>52.437031019202365</v>
      </c>
      <c r="P1164" s="426">
        <f t="shared" si="170"/>
        <v>11.058376602037464</v>
      </c>
      <c r="Q1164" s="426"/>
      <c r="R1164" s="532">
        <f t="shared" si="171"/>
        <v>4.2312289155617799E-2</v>
      </c>
    </row>
    <row r="1165" spans="1:18" s="6" customFormat="1" ht="15.75">
      <c r="A1165" s="146">
        <v>20</v>
      </c>
      <c r="B1165" s="146" t="s">
        <v>497</v>
      </c>
      <c r="C1165" s="330">
        <v>349.2</v>
      </c>
      <c r="D1165" s="330"/>
      <c r="E1165" s="330"/>
      <c r="F1165" s="258">
        <f t="shared" si="165"/>
        <v>349.2</v>
      </c>
      <c r="G1165" s="146">
        <v>1100</v>
      </c>
      <c r="H1165" s="146">
        <v>16</v>
      </c>
      <c r="I1165" s="146">
        <v>5000</v>
      </c>
      <c r="J1165" s="146">
        <v>16</v>
      </c>
      <c r="K1165" s="192">
        <f t="shared" si="166"/>
        <v>1.6985138004246284E-2</v>
      </c>
      <c r="L1165" s="183">
        <f t="shared" si="167"/>
        <v>3.9434768320736118E-3</v>
      </c>
      <c r="M1165" s="426">
        <f t="shared" si="169"/>
        <v>42.213225411005595</v>
      </c>
      <c r="N1165" s="148">
        <f t="shared" si="168"/>
        <v>15.521802983626758</v>
      </c>
      <c r="O1165" s="426">
        <v>18.001025760463847</v>
      </c>
      <c r="P1165" s="426">
        <f t="shared" si="170"/>
        <v>0.74510870027831788</v>
      </c>
      <c r="Q1165" s="426"/>
      <c r="R1165" s="532">
        <f t="shared" si="171"/>
        <v>0.21901822123532222</v>
      </c>
    </row>
    <row r="1166" spans="1:18" s="6" customFormat="1" ht="15.75">
      <c r="A1166" s="146">
        <v>21</v>
      </c>
      <c r="B1166" s="146" t="s">
        <v>498</v>
      </c>
      <c r="C1166" s="330">
        <v>433.4</v>
      </c>
      <c r="D1166" s="330"/>
      <c r="E1166" s="330"/>
      <c r="F1166" s="258">
        <f t="shared" si="165"/>
        <v>433.4</v>
      </c>
      <c r="G1166" s="146">
        <v>1100</v>
      </c>
      <c r="H1166" s="146">
        <v>16</v>
      </c>
      <c r="I1166" s="146">
        <v>5000</v>
      </c>
      <c r="J1166" s="146">
        <v>17</v>
      </c>
      <c r="K1166" s="192">
        <f t="shared" si="166"/>
        <v>1.6985138004246284E-2</v>
      </c>
      <c r="L1166" s="183">
        <f t="shared" si="167"/>
        <v>4.1899441340782122E-3</v>
      </c>
      <c r="M1166" s="426">
        <f t="shared" si="169"/>
        <v>42.710352423821888</v>
      </c>
      <c r="N1166" s="148">
        <f t="shared" si="168"/>
        <v>15.70459658623931</v>
      </c>
      <c r="O1166" s="426">
        <v>18.216816011571677</v>
      </c>
      <c r="P1166" s="426">
        <f t="shared" si="170"/>
        <v>0.79061642292044731</v>
      </c>
      <c r="Q1166" s="426"/>
      <c r="R1166" s="532">
        <f t="shared" si="171"/>
        <v>0.17863955109495461</v>
      </c>
    </row>
    <row r="1167" spans="1:18" s="6" customFormat="1" ht="15.75">
      <c r="A1167" s="146">
        <v>22</v>
      </c>
      <c r="B1167" s="146" t="s">
        <v>499</v>
      </c>
      <c r="C1167" s="330">
        <v>360.2</v>
      </c>
      <c r="D1167" s="330"/>
      <c r="E1167" s="330"/>
      <c r="F1167" s="258">
        <f t="shared" si="165"/>
        <v>360.2</v>
      </c>
      <c r="G1167" s="146">
        <v>1100</v>
      </c>
      <c r="H1167" s="146">
        <v>17</v>
      </c>
      <c r="I1167" s="146">
        <v>5000</v>
      </c>
      <c r="J1167" s="146">
        <v>16</v>
      </c>
      <c r="K1167" s="192">
        <f t="shared" si="166"/>
        <v>1.8046709129511677E-2</v>
      </c>
      <c r="L1167" s="183">
        <f t="shared" si="167"/>
        <v>3.9434768320736118E-3</v>
      </c>
      <c r="M1167" s="426">
        <f t="shared" si="169"/>
        <v>44.354424986377147</v>
      </c>
      <c r="N1167" s="148">
        <f t="shared" si="168"/>
        <v>16.309122067490879</v>
      </c>
      <c r="O1167" s="426">
        <v>18.910299619385007</v>
      </c>
      <c r="P1167" s="426">
        <f t="shared" si="170"/>
        <v>0.74617027140358327</v>
      </c>
      <c r="Q1167" s="426"/>
      <c r="R1167" s="532">
        <f t="shared" si="171"/>
        <v>0.22298727635940205</v>
      </c>
    </row>
    <row r="1168" spans="1:18" s="6" customFormat="1" ht="15.75">
      <c r="A1168" s="146">
        <v>23</v>
      </c>
      <c r="B1168" s="146" t="s">
        <v>500</v>
      </c>
      <c r="C1168" s="330">
        <v>31.8</v>
      </c>
      <c r="D1168" s="330"/>
      <c r="E1168" s="330"/>
      <c r="F1168" s="258">
        <f t="shared" si="165"/>
        <v>31.8</v>
      </c>
      <c r="G1168" s="146">
        <v>1100</v>
      </c>
      <c r="H1168" s="146">
        <v>2</v>
      </c>
      <c r="I1168" s="146">
        <v>5000</v>
      </c>
      <c r="J1168" s="146">
        <v>1</v>
      </c>
      <c r="K1168" s="192">
        <f t="shared" si="166"/>
        <v>2.1231422505307855E-3</v>
      </c>
      <c r="L1168" s="183">
        <f t="shared" si="167"/>
        <v>2.4646730200460074E-4</v>
      </c>
      <c r="M1168" s="426">
        <f t="shared" si="169"/>
        <v>4.7795261635593995</v>
      </c>
      <c r="N1168" s="148">
        <f t="shared" si="168"/>
        <v>1.7574317703407913</v>
      </c>
      <c r="O1168" s="426">
        <v>2.0343379689501524</v>
      </c>
      <c r="P1168" s="426">
        <f t="shared" si="170"/>
        <v>4.763086489266026E-2</v>
      </c>
      <c r="Q1168" s="426"/>
      <c r="R1168" s="532">
        <f t="shared" si="171"/>
        <v>0.27103543294789317</v>
      </c>
    </row>
    <row r="1169" spans="1:18" s="6" customFormat="1" ht="15.75">
      <c r="A1169" s="146">
        <v>24</v>
      </c>
      <c r="B1169" s="146" t="s">
        <v>501</v>
      </c>
      <c r="C1169" s="330">
        <v>357.19</v>
      </c>
      <c r="D1169" s="330"/>
      <c r="E1169" s="330"/>
      <c r="F1169" s="258">
        <f t="shared" si="165"/>
        <v>357.19</v>
      </c>
      <c r="G1169" s="146">
        <v>1100</v>
      </c>
      <c r="H1169" s="146">
        <v>19</v>
      </c>
      <c r="I1169" s="146">
        <v>5000</v>
      </c>
      <c r="J1169" s="146">
        <v>16</v>
      </c>
      <c r="K1169" s="192">
        <f t="shared" si="166"/>
        <v>2.0169851380042462E-2</v>
      </c>
      <c r="L1169" s="183">
        <f t="shared" si="167"/>
        <v>3.9434768320736118E-3</v>
      </c>
      <c r="M1169" s="426">
        <f t="shared" si="169"/>
        <v>48.636824137120243</v>
      </c>
      <c r="N1169" s="148">
        <f t="shared" si="168"/>
        <v>17.883760235219114</v>
      </c>
      <c r="O1169" s="426">
        <v>20.728847337227332</v>
      </c>
      <c r="P1169" s="426">
        <f t="shared" si="170"/>
        <v>0.74829341365411406</v>
      </c>
      <c r="Q1169" s="426"/>
      <c r="R1169" s="532">
        <f t="shared" si="171"/>
        <v>0.24636111067840871</v>
      </c>
    </row>
    <row r="1170" spans="1:18" s="6" customFormat="1" ht="15.75">
      <c r="A1170" s="146">
        <v>25</v>
      </c>
      <c r="B1170" s="146" t="s">
        <v>502</v>
      </c>
      <c r="C1170" s="330">
        <v>306.39999999999998</v>
      </c>
      <c r="D1170" s="330"/>
      <c r="E1170" s="330"/>
      <c r="F1170" s="258">
        <f t="shared" si="165"/>
        <v>306.39999999999998</v>
      </c>
      <c r="G1170" s="146">
        <v>1100</v>
      </c>
      <c r="H1170" s="146">
        <v>18</v>
      </c>
      <c r="I1170" s="146">
        <v>5000</v>
      </c>
      <c r="J1170" s="146">
        <v>16</v>
      </c>
      <c r="K1170" s="192">
        <f t="shared" si="166"/>
        <v>1.9108280254777069E-2</v>
      </c>
      <c r="L1170" s="183">
        <f t="shared" si="167"/>
        <v>3.9434768320736118E-3</v>
      </c>
      <c r="M1170" s="426">
        <f t="shared" si="169"/>
        <v>46.495624561748691</v>
      </c>
      <c r="N1170" s="148">
        <f t="shared" si="168"/>
        <v>17.096441151354995</v>
      </c>
      <c r="O1170" s="426">
        <v>19.819573478306172</v>
      </c>
      <c r="P1170" s="426">
        <f t="shared" si="170"/>
        <v>0.74723184252884867</v>
      </c>
      <c r="Q1170" s="426"/>
      <c r="R1170" s="532">
        <f t="shared" si="171"/>
        <v>0.27466994462773731</v>
      </c>
    </row>
    <row r="1171" spans="1:18" s="6" customFormat="1" ht="15.75">
      <c r="A1171" s="146">
        <v>26</v>
      </c>
      <c r="B1171" s="146" t="s">
        <v>503</v>
      </c>
      <c r="C1171" s="330">
        <v>407.2</v>
      </c>
      <c r="D1171" s="330"/>
      <c r="E1171" s="330"/>
      <c r="F1171" s="258">
        <f t="shared" si="165"/>
        <v>407.2</v>
      </c>
      <c r="G1171" s="146">
        <v>1100</v>
      </c>
      <c r="H1171" s="146">
        <v>18</v>
      </c>
      <c r="I1171" s="146">
        <v>5000</v>
      </c>
      <c r="J1171" s="146">
        <v>12</v>
      </c>
      <c r="K1171" s="192">
        <f t="shared" si="166"/>
        <v>1.9108280254777069E-2</v>
      </c>
      <c r="L1171" s="183">
        <f t="shared" si="167"/>
        <v>2.9576076240552087E-3</v>
      </c>
      <c r="M1171" s="426">
        <f t="shared" si="169"/>
        <v>44.507116510483492</v>
      </c>
      <c r="N1171" s="148">
        <f t="shared" si="168"/>
        <v>16.365266740904779</v>
      </c>
      <c r="O1171" s="426">
        <v>18.956412473874856</v>
      </c>
      <c r="P1171" s="426">
        <f t="shared" si="170"/>
        <v>0.56520095196033071</v>
      </c>
      <c r="Q1171" s="426"/>
      <c r="R1171" s="532">
        <f t="shared" si="171"/>
        <v>0.19743122956096137</v>
      </c>
    </row>
    <row r="1172" spans="1:18" s="6" customFormat="1" ht="15.75">
      <c r="A1172" s="146">
        <v>27</v>
      </c>
      <c r="B1172" s="146" t="s">
        <v>504</v>
      </c>
      <c r="C1172" s="330">
        <v>52.3</v>
      </c>
      <c r="D1172" s="330"/>
      <c r="E1172" s="330"/>
      <c r="F1172" s="258">
        <f t="shared" si="165"/>
        <v>52.3</v>
      </c>
      <c r="G1172" s="146">
        <v>1100</v>
      </c>
      <c r="H1172" s="146">
        <v>2</v>
      </c>
      <c r="I1172" s="146">
        <v>5000</v>
      </c>
      <c r="J1172" s="146">
        <v>1</v>
      </c>
      <c r="K1172" s="192">
        <f t="shared" si="166"/>
        <v>2.1231422505307855E-3</v>
      </c>
      <c r="L1172" s="183">
        <f t="shared" si="167"/>
        <v>2.4646730200460074E-4</v>
      </c>
      <c r="M1172" s="426">
        <f t="shared" si="169"/>
        <v>4.7795261635593995</v>
      </c>
      <c r="N1172" s="148">
        <f t="shared" si="168"/>
        <v>1.7574317703407913</v>
      </c>
      <c r="O1172" s="426">
        <v>2.0343379689501524</v>
      </c>
      <c r="P1172" s="426">
        <f t="shared" si="170"/>
        <v>4.763086489266026E-2</v>
      </c>
      <c r="Q1172" s="426"/>
      <c r="R1172" s="532">
        <f t="shared" si="171"/>
        <v>0.16479783494728498</v>
      </c>
    </row>
    <row r="1173" spans="1:18" s="6" customFormat="1" ht="15.75">
      <c r="A1173" s="146">
        <v>28</v>
      </c>
      <c r="B1173" s="146" t="s">
        <v>505</v>
      </c>
      <c r="C1173" s="330">
        <v>122.2</v>
      </c>
      <c r="D1173" s="330"/>
      <c r="E1173" s="330"/>
      <c r="F1173" s="258">
        <f t="shared" si="165"/>
        <v>122.2</v>
      </c>
      <c r="G1173" s="146">
        <v>1100</v>
      </c>
      <c r="H1173" s="146">
        <v>4</v>
      </c>
      <c r="I1173" s="146">
        <v>5000</v>
      </c>
      <c r="J1173" s="146">
        <v>4</v>
      </c>
      <c r="K1173" s="192">
        <f t="shared" si="166"/>
        <v>4.246284501061571E-3</v>
      </c>
      <c r="L1173" s="183">
        <f t="shared" si="167"/>
        <v>9.8586920801840296E-4</v>
      </c>
      <c r="M1173" s="426">
        <f t="shared" si="169"/>
        <v>10.553306352751399</v>
      </c>
      <c r="N1173" s="148">
        <f t="shared" si="168"/>
        <v>3.8804507459066895</v>
      </c>
      <c r="O1173" s="426">
        <v>4.5002564401159617</v>
      </c>
      <c r="P1173" s="426">
        <f t="shared" si="170"/>
        <v>0.18627717506957947</v>
      </c>
      <c r="Q1173" s="426"/>
      <c r="R1173" s="532">
        <f t="shared" si="171"/>
        <v>0.15646719078431776</v>
      </c>
    </row>
    <row r="1174" spans="1:18" s="6" customFormat="1" ht="15.75">
      <c r="A1174" s="146">
        <v>29</v>
      </c>
      <c r="B1174" s="146" t="s">
        <v>506</v>
      </c>
      <c r="C1174" s="330">
        <v>77.900000000000006</v>
      </c>
      <c r="D1174" s="330"/>
      <c r="E1174" s="330"/>
      <c r="F1174" s="258">
        <f t="shared" si="165"/>
        <v>77.900000000000006</v>
      </c>
      <c r="G1174" s="146">
        <v>1100</v>
      </c>
      <c r="H1174" s="146">
        <v>3</v>
      </c>
      <c r="I1174" s="146">
        <v>5000</v>
      </c>
      <c r="J1174" s="146">
        <v>2</v>
      </c>
      <c r="K1174" s="192">
        <f t="shared" si="166"/>
        <v>3.1847133757961785E-3</v>
      </c>
      <c r="L1174" s="183">
        <f t="shared" si="167"/>
        <v>4.9293460400920148E-4</v>
      </c>
      <c r="M1174" s="426">
        <f t="shared" si="169"/>
        <v>7.4178527517472492</v>
      </c>
      <c r="N1174" s="148">
        <f t="shared" si="168"/>
        <v>2.7275444568174638</v>
      </c>
      <c r="O1174" s="426">
        <v>3.1594020789791428</v>
      </c>
      <c r="P1174" s="426">
        <f t="shared" si="170"/>
        <v>9.4200158660055128E-2</v>
      </c>
      <c r="Q1174" s="426"/>
      <c r="R1174" s="532">
        <f t="shared" si="171"/>
        <v>0.17200256028503094</v>
      </c>
    </row>
    <row r="1175" spans="1:18" s="6" customFormat="1" ht="15.75">
      <c r="A1175" s="146">
        <v>30</v>
      </c>
      <c r="B1175" s="146" t="s">
        <v>507</v>
      </c>
      <c r="C1175" s="330">
        <v>205.19</v>
      </c>
      <c r="D1175" s="330"/>
      <c r="E1175" s="330"/>
      <c r="F1175" s="258">
        <f t="shared" si="165"/>
        <v>205.19</v>
      </c>
      <c r="G1175" s="146">
        <v>1100</v>
      </c>
      <c r="H1175" s="146">
        <v>12</v>
      </c>
      <c r="I1175" s="146">
        <v>5000</v>
      </c>
      <c r="J1175" s="146">
        <v>7</v>
      </c>
      <c r="K1175" s="192">
        <f t="shared" si="166"/>
        <v>1.2738853503184714E-2</v>
      </c>
      <c r="L1175" s="183">
        <f t="shared" si="167"/>
        <v>1.7252711140322051E-3</v>
      </c>
      <c r="M1175" s="426">
        <f t="shared" si="169"/>
        <v>29.174283994172697</v>
      </c>
      <c r="N1175" s="148">
        <f t="shared" si="168"/>
        <v>10.727384224657301</v>
      </c>
      <c r="O1175" s="426">
        <v>12.421818064808743</v>
      </c>
      <c r="P1175" s="426">
        <f t="shared" si="170"/>
        <v>0.33129291199809102</v>
      </c>
      <c r="Q1175" s="426"/>
      <c r="R1175" s="532">
        <f t="shared" si="171"/>
        <v>0.25661474338728413</v>
      </c>
    </row>
    <row r="1176" spans="1:18" s="6" customFormat="1" ht="15.75">
      <c r="A1176" s="146">
        <v>31</v>
      </c>
      <c r="B1176" s="146" t="s">
        <v>508</v>
      </c>
      <c r="C1176" s="330">
        <v>289.10000000000002</v>
      </c>
      <c r="D1176" s="330"/>
      <c r="E1176" s="330"/>
      <c r="F1176" s="258">
        <f t="shared" si="165"/>
        <v>289.10000000000002</v>
      </c>
      <c r="G1176" s="146">
        <v>1100</v>
      </c>
      <c r="H1176" s="146">
        <v>7</v>
      </c>
      <c r="I1176" s="146">
        <v>5000</v>
      </c>
      <c r="J1176" s="146">
        <v>9</v>
      </c>
      <c r="K1176" s="192">
        <f t="shared" si="166"/>
        <v>7.4309978768577496E-3</v>
      </c>
      <c r="L1176" s="183">
        <f t="shared" si="167"/>
        <v>2.2182057180414067E-3</v>
      </c>
      <c r="M1176" s="426">
        <f t="shared" si="169"/>
        <v>19.462540142947546</v>
      </c>
      <c r="N1176" s="148">
        <f t="shared" si="168"/>
        <v>7.1563760105618135</v>
      </c>
      <c r="O1176" s="426">
        <v>8.3070292724185908</v>
      </c>
      <c r="P1176" s="426">
        <f t="shared" si="170"/>
        <v>0.41700050165602304</v>
      </c>
      <c r="Q1176" s="426"/>
      <c r="R1176" s="532">
        <f t="shared" si="171"/>
        <v>0.12225162894356266</v>
      </c>
    </row>
    <row r="1177" spans="1:18" s="6" customFormat="1" ht="15.75">
      <c r="A1177" s="146">
        <v>32</v>
      </c>
      <c r="B1177" s="146" t="s">
        <v>509</v>
      </c>
      <c r="C1177" s="330">
        <v>117.92</v>
      </c>
      <c r="D1177" s="330"/>
      <c r="E1177" s="330"/>
      <c r="F1177" s="258">
        <f t="shared" si="165"/>
        <v>117.92</v>
      </c>
      <c r="G1177" s="146">
        <v>1100</v>
      </c>
      <c r="H1177" s="146">
        <v>4</v>
      </c>
      <c r="I1177" s="146">
        <v>5000</v>
      </c>
      <c r="J1177" s="146">
        <v>6</v>
      </c>
      <c r="K1177" s="192">
        <f t="shared" si="166"/>
        <v>4.246284501061571E-3</v>
      </c>
      <c r="L1177" s="183">
        <f t="shared" si="167"/>
        <v>1.4788038120276043E-3</v>
      </c>
      <c r="M1177" s="426">
        <f t="shared" si="169"/>
        <v>11.547560378383999</v>
      </c>
      <c r="N1177" s="148">
        <f t="shared" si="168"/>
        <v>4.2460379511317967</v>
      </c>
      <c r="O1177" s="426">
        <v>4.9318369423316195</v>
      </c>
      <c r="P1177" s="426">
        <f t="shared" si="170"/>
        <v>0.27729262035383839</v>
      </c>
      <c r="Q1177" s="426"/>
      <c r="R1177" s="532">
        <f t="shared" si="171"/>
        <v>0.17810997194878947</v>
      </c>
    </row>
    <row r="1178" spans="1:18" s="6" customFormat="1" ht="15.75">
      <c r="A1178" s="146">
        <v>33</v>
      </c>
      <c r="B1178" s="146" t="s">
        <v>510</v>
      </c>
      <c r="C1178" s="330">
        <v>242.85</v>
      </c>
      <c r="D1178" s="330"/>
      <c r="E1178" s="330"/>
      <c r="F1178" s="258">
        <f t="shared" si="165"/>
        <v>242.85</v>
      </c>
      <c r="G1178" s="146">
        <v>1100</v>
      </c>
      <c r="H1178" s="146">
        <v>10</v>
      </c>
      <c r="I1178" s="146">
        <v>5000</v>
      </c>
      <c r="J1178" s="146">
        <v>8</v>
      </c>
      <c r="K1178" s="192">
        <f t="shared" si="166"/>
        <v>1.0615711252653927E-2</v>
      </c>
      <c r="L1178" s="183">
        <f t="shared" si="167"/>
        <v>1.9717384160368059E-3</v>
      </c>
      <c r="M1178" s="426">
        <f t="shared" si="169"/>
        <v>25.389011856245897</v>
      </c>
      <c r="N1178" s="148">
        <f t="shared" si="168"/>
        <v>9.3355396595416167</v>
      </c>
      <c r="O1178" s="426">
        <v>10.819060598074246</v>
      </c>
      <c r="P1178" s="426">
        <f t="shared" si="170"/>
        <v>0.37467749238968973</v>
      </c>
      <c r="Q1178" s="426"/>
      <c r="R1178" s="532">
        <f t="shared" si="171"/>
        <v>0.18908087134548671</v>
      </c>
    </row>
    <row r="1179" spans="1:18" s="6" customFormat="1" ht="15.75">
      <c r="A1179" s="146">
        <v>34</v>
      </c>
      <c r="B1179" s="146" t="s">
        <v>511</v>
      </c>
      <c r="C1179" s="330">
        <v>415.2</v>
      </c>
      <c r="D1179" s="330"/>
      <c r="E1179" s="330"/>
      <c r="F1179" s="258">
        <f t="shared" si="165"/>
        <v>415.2</v>
      </c>
      <c r="G1179" s="146">
        <v>1100</v>
      </c>
      <c r="H1179" s="146">
        <v>21</v>
      </c>
      <c r="I1179" s="146">
        <v>5000</v>
      </c>
      <c r="J1179" s="146">
        <v>16</v>
      </c>
      <c r="K1179" s="192">
        <f t="shared" si="166"/>
        <v>2.2292993630573247E-2</v>
      </c>
      <c r="L1179" s="183">
        <f t="shared" si="167"/>
        <v>3.9434768320736118E-3</v>
      </c>
      <c r="M1179" s="426">
        <f t="shared" si="169"/>
        <v>52.919223287863339</v>
      </c>
      <c r="N1179" s="148">
        <f t="shared" si="168"/>
        <v>19.458398402947353</v>
      </c>
      <c r="O1179" s="426">
        <v>22.547395055069654</v>
      </c>
      <c r="P1179" s="426">
        <f t="shared" si="170"/>
        <v>0.75041655590464484</v>
      </c>
      <c r="Q1179" s="426"/>
      <c r="R1179" s="532">
        <f t="shared" si="171"/>
        <v>0.23043216113146675</v>
      </c>
    </row>
    <row r="1180" spans="1:18" s="6" customFormat="1" ht="15.75">
      <c r="A1180" s="146">
        <v>35</v>
      </c>
      <c r="B1180" s="146" t="s">
        <v>512</v>
      </c>
      <c r="C1180" s="330">
        <v>8111.75</v>
      </c>
      <c r="D1180" s="330"/>
      <c r="E1180" s="330"/>
      <c r="F1180" s="258">
        <f t="shared" si="165"/>
        <v>8111.75</v>
      </c>
      <c r="G1180" s="146">
        <v>1100</v>
      </c>
      <c r="H1180" s="146"/>
      <c r="I1180" s="146">
        <v>5000</v>
      </c>
      <c r="J1180" s="146">
        <v>286</v>
      </c>
      <c r="K1180" s="192">
        <f t="shared" si="166"/>
        <v>0</v>
      </c>
      <c r="L1180" s="183">
        <f t="shared" si="167"/>
        <v>7.0489648373315811E-2</v>
      </c>
      <c r="M1180" s="426">
        <f t="shared" si="169"/>
        <v>142.17832566546173</v>
      </c>
      <c r="N1180" s="148">
        <f t="shared" si="168"/>
        <v>52.278970347190281</v>
      </c>
      <c r="O1180" s="426">
        <v>61.716011816839</v>
      </c>
      <c r="P1180" s="426">
        <f t="shared" si="170"/>
        <v>13.01520867564903</v>
      </c>
      <c r="Q1180" s="426"/>
      <c r="R1180" s="532">
        <f t="shared" si="171"/>
        <v>3.3185011434664534E-2</v>
      </c>
    </row>
    <row r="1181" spans="1:18" s="6" customFormat="1" ht="15.75">
      <c r="A1181" s="146">
        <v>36</v>
      </c>
      <c r="B1181" s="146" t="s">
        <v>513</v>
      </c>
      <c r="C1181" s="330">
        <v>6280.23</v>
      </c>
      <c r="D1181" s="330"/>
      <c r="E1181" s="330"/>
      <c r="F1181" s="258">
        <f t="shared" si="165"/>
        <v>6280.23</v>
      </c>
      <c r="G1181" s="146">
        <v>1100</v>
      </c>
      <c r="H1181" s="146"/>
      <c r="I1181" s="146">
        <v>5000</v>
      </c>
      <c r="J1181" s="146">
        <v>216</v>
      </c>
      <c r="K1181" s="192">
        <f t="shared" si="166"/>
        <v>0</v>
      </c>
      <c r="L1181" s="183">
        <f t="shared" si="167"/>
        <v>5.3236937232993761E-2</v>
      </c>
      <c r="M1181" s="426">
        <f t="shared" si="169"/>
        <v>107.37943476832075</v>
      </c>
      <c r="N1181" s="148">
        <f t="shared" si="168"/>
        <v>39.483418164311544</v>
      </c>
      <c r="O1181" s="426">
        <v>46.610694239290986</v>
      </c>
      <c r="P1181" s="426">
        <f t="shared" si="170"/>
        <v>9.8296680906999665</v>
      </c>
      <c r="Q1181" s="426"/>
      <c r="R1181" s="532">
        <f t="shared" si="171"/>
        <v>3.2371937853012268E-2</v>
      </c>
    </row>
    <row r="1182" spans="1:18" s="6" customFormat="1" ht="15.75">
      <c r="A1182" s="146">
        <v>37</v>
      </c>
      <c r="B1182" s="146" t="s">
        <v>514</v>
      </c>
      <c r="C1182" s="330">
        <v>8361.6299999999992</v>
      </c>
      <c r="D1182" s="330"/>
      <c r="E1182" s="330"/>
      <c r="F1182" s="258">
        <f t="shared" si="165"/>
        <v>8361.6299999999992</v>
      </c>
      <c r="G1182" s="146">
        <v>1100</v>
      </c>
      <c r="H1182" s="146"/>
      <c r="I1182" s="146">
        <v>5000</v>
      </c>
      <c r="J1182" s="146">
        <v>360</v>
      </c>
      <c r="K1182" s="192">
        <f t="shared" si="166"/>
        <v>0</v>
      </c>
      <c r="L1182" s="183">
        <f t="shared" si="167"/>
        <v>8.8728228721656269E-2</v>
      </c>
      <c r="M1182" s="426">
        <f t="shared" si="169"/>
        <v>178.96572461386791</v>
      </c>
      <c r="N1182" s="148">
        <f t="shared" si="168"/>
        <v>65.80569694051924</v>
      </c>
      <c r="O1182" s="426">
        <v>77.684490398818326</v>
      </c>
      <c r="P1182" s="426">
        <f t="shared" si="170"/>
        <v>16.382780151166614</v>
      </c>
      <c r="Q1182" s="426"/>
      <c r="R1182" s="532">
        <f t="shared" si="171"/>
        <v>4.0523043007687748E-2</v>
      </c>
    </row>
    <row r="1183" spans="1:18" s="6" customFormat="1" ht="15.75">
      <c r="A1183" s="146">
        <v>38</v>
      </c>
      <c r="B1183" s="146" t="s">
        <v>515</v>
      </c>
      <c r="C1183" s="330">
        <v>6675.9</v>
      </c>
      <c r="D1183" s="330"/>
      <c r="E1183" s="330"/>
      <c r="F1183" s="258">
        <f t="shared" si="165"/>
        <v>6675.9</v>
      </c>
      <c r="G1183" s="146">
        <v>1100</v>
      </c>
      <c r="H1183" s="146"/>
      <c r="I1183" s="146">
        <v>5000</v>
      </c>
      <c r="J1183" s="146">
        <v>252</v>
      </c>
      <c r="K1183" s="192">
        <f t="shared" si="166"/>
        <v>0</v>
      </c>
      <c r="L1183" s="183">
        <f t="shared" si="167"/>
        <v>6.2109760105159388E-2</v>
      </c>
      <c r="M1183" s="426">
        <f t="shared" si="169"/>
        <v>125.27600722970753</v>
      </c>
      <c r="N1183" s="148">
        <f t="shared" si="168"/>
        <v>46.063987858363461</v>
      </c>
      <c r="O1183" s="426">
        <v>54.379143279172823</v>
      </c>
      <c r="P1183" s="426">
        <f t="shared" si="170"/>
        <v>11.467946105816628</v>
      </c>
      <c r="Q1183" s="426"/>
      <c r="R1183" s="532">
        <f t="shared" si="171"/>
        <v>3.5528855206498067E-2</v>
      </c>
    </row>
    <row r="1184" spans="1:18" s="6" customFormat="1" ht="15.75">
      <c r="A1184" s="146">
        <v>39</v>
      </c>
      <c r="B1184" s="146" t="s">
        <v>516</v>
      </c>
      <c r="C1184" s="330">
        <v>4489.2299999999996</v>
      </c>
      <c r="D1184" s="330"/>
      <c r="E1184" s="330">
        <v>48.5</v>
      </c>
      <c r="F1184" s="258">
        <f t="shared" si="165"/>
        <v>4537.7299999999996</v>
      </c>
      <c r="G1184" s="146">
        <v>1100</v>
      </c>
      <c r="H1184" s="146"/>
      <c r="I1184" s="146">
        <v>5000</v>
      </c>
      <c r="J1184" s="146">
        <v>180</v>
      </c>
      <c r="K1184" s="192">
        <f t="shared" si="166"/>
        <v>0</v>
      </c>
      <c r="L1184" s="183">
        <f t="shared" si="167"/>
        <v>4.4364114360828134E-2</v>
      </c>
      <c r="M1184" s="426">
        <f t="shared" si="169"/>
        <v>89.482862306933953</v>
      </c>
      <c r="N1184" s="148">
        <f t="shared" si="168"/>
        <v>32.90284847025962</v>
      </c>
      <c r="O1184" s="426">
        <v>38.842245199409163</v>
      </c>
      <c r="P1184" s="426">
        <f t="shared" si="170"/>
        <v>8.1913900755833069</v>
      </c>
      <c r="Q1184" s="426"/>
      <c r="R1184" s="532">
        <f t="shared" si="171"/>
        <v>3.7335704427585166E-2</v>
      </c>
    </row>
    <row r="1185" spans="1:18" s="6" customFormat="1" ht="15.75">
      <c r="A1185" s="146">
        <v>40</v>
      </c>
      <c r="B1185" s="146" t="s">
        <v>517</v>
      </c>
      <c r="C1185" s="330">
        <v>4352.13</v>
      </c>
      <c r="D1185" s="330"/>
      <c r="E1185" s="330"/>
      <c r="F1185" s="258">
        <f t="shared" si="165"/>
        <v>4352.13</v>
      </c>
      <c r="G1185" s="146">
        <v>1100</v>
      </c>
      <c r="H1185" s="146"/>
      <c r="I1185" s="146">
        <v>5000</v>
      </c>
      <c r="J1185" s="146">
        <v>144</v>
      </c>
      <c r="K1185" s="192">
        <f t="shared" si="166"/>
        <v>0</v>
      </c>
      <c r="L1185" s="183">
        <f t="shared" si="167"/>
        <v>3.5491291488662507E-2</v>
      </c>
      <c r="M1185" s="426">
        <f t="shared" si="169"/>
        <v>71.586289845547171</v>
      </c>
      <c r="N1185" s="148">
        <f t="shared" si="168"/>
        <v>26.322278776207696</v>
      </c>
      <c r="O1185" s="426">
        <v>31.073796159527326</v>
      </c>
      <c r="P1185" s="426">
        <f t="shared" si="170"/>
        <v>6.5531120604666446</v>
      </c>
      <c r="Q1185" s="426"/>
      <c r="R1185" s="532">
        <f t="shared" si="171"/>
        <v>3.114233187927494E-2</v>
      </c>
    </row>
    <row r="1186" spans="1:18" s="6" customFormat="1" ht="15.75">
      <c r="A1186" s="146">
        <v>41</v>
      </c>
      <c r="B1186" s="146" t="s">
        <v>518</v>
      </c>
      <c r="C1186" s="330">
        <v>4481.0200000000004</v>
      </c>
      <c r="D1186" s="330"/>
      <c r="E1186" s="330">
        <v>48.33</v>
      </c>
      <c r="F1186" s="258">
        <f t="shared" si="165"/>
        <v>4529.3500000000004</v>
      </c>
      <c r="G1186" s="146">
        <v>1100</v>
      </c>
      <c r="H1186" s="146"/>
      <c r="I1186" s="146">
        <v>5000</v>
      </c>
      <c r="J1186" s="146">
        <v>180</v>
      </c>
      <c r="K1186" s="192">
        <f t="shared" si="166"/>
        <v>0</v>
      </c>
      <c r="L1186" s="183">
        <f t="shared" si="167"/>
        <v>4.4364114360828134E-2</v>
      </c>
      <c r="M1186" s="426">
        <f t="shared" si="169"/>
        <v>89.482862306933953</v>
      </c>
      <c r="N1186" s="148">
        <f t="shared" si="168"/>
        <v>32.90284847025962</v>
      </c>
      <c r="O1186" s="426">
        <v>38.842245199409163</v>
      </c>
      <c r="P1186" s="426">
        <f t="shared" si="170"/>
        <v>8.1913900755833069</v>
      </c>
      <c r="Q1186" s="426"/>
      <c r="R1186" s="532">
        <f t="shared" si="171"/>
        <v>3.7404781271525939E-2</v>
      </c>
    </row>
    <row r="1187" spans="1:18" s="6" customFormat="1" ht="15.75">
      <c r="A1187" s="146">
        <v>42</v>
      </c>
      <c r="B1187" s="146" t="s">
        <v>519</v>
      </c>
      <c r="C1187" s="330">
        <v>4132.3900000000003</v>
      </c>
      <c r="D1187" s="330"/>
      <c r="E1187" s="330">
        <v>18.8</v>
      </c>
      <c r="F1187" s="258">
        <f t="shared" si="165"/>
        <v>4151.1900000000005</v>
      </c>
      <c r="G1187" s="146">
        <v>1100</v>
      </c>
      <c r="H1187" s="146"/>
      <c r="I1187" s="146">
        <v>5000</v>
      </c>
      <c r="J1187" s="146">
        <v>144</v>
      </c>
      <c r="K1187" s="192">
        <f t="shared" si="166"/>
        <v>0</v>
      </c>
      <c r="L1187" s="183">
        <f t="shared" si="167"/>
        <v>3.5491291488662507E-2</v>
      </c>
      <c r="M1187" s="426">
        <f t="shared" si="169"/>
        <v>71.586289845547171</v>
      </c>
      <c r="N1187" s="148">
        <f t="shared" si="168"/>
        <v>26.322278776207696</v>
      </c>
      <c r="O1187" s="426">
        <v>31.073796159527326</v>
      </c>
      <c r="P1187" s="426">
        <f t="shared" si="170"/>
        <v>6.5531120604666446</v>
      </c>
      <c r="Q1187" s="426"/>
      <c r="R1187" s="532">
        <f t="shared" si="171"/>
        <v>3.2649788817603824E-2</v>
      </c>
    </row>
    <row r="1188" spans="1:18" s="6" customFormat="1" ht="15.75">
      <c r="A1188" s="146">
        <v>43</v>
      </c>
      <c r="B1188" s="146" t="s">
        <v>520</v>
      </c>
      <c r="C1188" s="330">
        <v>8136.02</v>
      </c>
      <c r="D1188" s="330"/>
      <c r="E1188" s="330"/>
      <c r="F1188" s="258">
        <f t="shared" si="165"/>
        <v>8136.02</v>
      </c>
      <c r="G1188" s="146">
        <v>1100</v>
      </c>
      <c r="H1188" s="146"/>
      <c r="I1188" s="146">
        <v>5000</v>
      </c>
      <c r="J1188" s="146">
        <v>288</v>
      </c>
      <c r="K1188" s="192">
        <f t="shared" si="166"/>
        <v>0</v>
      </c>
      <c r="L1188" s="183">
        <f t="shared" si="167"/>
        <v>7.0982582977325015E-2</v>
      </c>
      <c r="M1188" s="426">
        <f t="shared" si="169"/>
        <v>143.17257969109434</v>
      </c>
      <c r="N1188" s="148">
        <f t="shared" si="168"/>
        <v>52.644557552415392</v>
      </c>
      <c r="O1188" s="426">
        <v>62.147592319054652</v>
      </c>
      <c r="P1188" s="426">
        <f t="shared" si="170"/>
        <v>13.106224120933289</v>
      </c>
      <c r="Q1188" s="426"/>
      <c r="R1188" s="532">
        <f t="shared" si="171"/>
        <v>3.3317390282164704E-2</v>
      </c>
    </row>
    <row r="1189" spans="1:18" s="6" customFormat="1" ht="15.75">
      <c r="A1189" s="146">
        <v>44</v>
      </c>
      <c r="B1189" s="146" t="s">
        <v>521</v>
      </c>
      <c r="C1189" s="330">
        <v>5922.13</v>
      </c>
      <c r="D1189" s="330">
        <v>77.599999999999994</v>
      </c>
      <c r="E1189" s="330">
        <v>240.4</v>
      </c>
      <c r="F1189" s="258">
        <f t="shared" si="165"/>
        <v>6240.13</v>
      </c>
      <c r="G1189" s="146">
        <v>1100</v>
      </c>
      <c r="H1189" s="146"/>
      <c r="I1189" s="146">
        <v>5000</v>
      </c>
      <c r="J1189" s="146">
        <v>206</v>
      </c>
      <c r="K1189" s="192">
        <f t="shared" si="166"/>
        <v>0</v>
      </c>
      <c r="L1189" s="183">
        <f t="shared" si="167"/>
        <v>5.0772264212947754E-2</v>
      </c>
      <c r="M1189" s="426">
        <f t="shared" si="169"/>
        <v>102.40816464015775</v>
      </c>
      <c r="N1189" s="148">
        <f t="shared" si="168"/>
        <v>37.655482138186009</v>
      </c>
      <c r="O1189" s="426">
        <v>44.452791728212709</v>
      </c>
      <c r="P1189" s="426">
        <f t="shared" si="170"/>
        <v>9.3745908642786731</v>
      </c>
      <c r="Q1189" s="426"/>
      <c r="R1189" s="532">
        <f t="shared" si="171"/>
        <v>3.1071633022202286E-2</v>
      </c>
    </row>
    <row r="1190" spans="1:18" s="6" customFormat="1" ht="15.75">
      <c r="A1190" s="146">
        <v>45</v>
      </c>
      <c r="B1190" s="146" t="s">
        <v>522</v>
      </c>
      <c r="C1190" s="330">
        <v>5641.92</v>
      </c>
      <c r="D1190" s="330">
        <v>100.4</v>
      </c>
      <c r="E1190" s="330">
        <v>535.70000000000005</v>
      </c>
      <c r="F1190" s="258">
        <f t="shared" si="165"/>
        <v>6278.0199999999995</v>
      </c>
      <c r="G1190" s="146">
        <v>1100</v>
      </c>
      <c r="H1190" s="146"/>
      <c r="I1190" s="146">
        <v>5000</v>
      </c>
      <c r="J1190" s="146">
        <v>196</v>
      </c>
      <c r="K1190" s="192">
        <f t="shared" si="166"/>
        <v>0</v>
      </c>
      <c r="L1190" s="183">
        <f t="shared" si="167"/>
        <v>4.8307591192901747E-2</v>
      </c>
      <c r="M1190" s="426">
        <f t="shared" si="169"/>
        <v>97.436894511994751</v>
      </c>
      <c r="N1190" s="148">
        <f t="shared" si="168"/>
        <v>35.827546112060475</v>
      </c>
      <c r="O1190" s="426">
        <v>42.294889217134418</v>
      </c>
      <c r="P1190" s="426">
        <f t="shared" si="170"/>
        <v>8.9195136378573778</v>
      </c>
      <c r="Q1190" s="426"/>
      <c r="R1190" s="532">
        <f t="shared" si="171"/>
        <v>2.9384876677526837E-2</v>
      </c>
    </row>
    <row r="1191" spans="1:18" s="6" customFormat="1" ht="15.75">
      <c r="A1191" s="146">
        <v>46</v>
      </c>
      <c r="B1191" s="146" t="s">
        <v>523</v>
      </c>
      <c r="C1191" s="330">
        <f>3994.79-6.68</f>
        <v>3988.11</v>
      </c>
      <c r="D1191" s="330"/>
      <c r="E1191" s="330"/>
      <c r="F1191" s="258">
        <f t="shared" si="165"/>
        <v>3988.11</v>
      </c>
      <c r="G1191" s="146">
        <v>1100</v>
      </c>
      <c r="H1191" s="146"/>
      <c r="I1191" s="146">
        <v>5000</v>
      </c>
      <c r="J1191" s="146">
        <v>144</v>
      </c>
      <c r="K1191" s="192">
        <f t="shared" si="166"/>
        <v>0</v>
      </c>
      <c r="L1191" s="183">
        <f t="shared" si="167"/>
        <v>3.5491291488662507E-2</v>
      </c>
      <c r="M1191" s="426">
        <f t="shared" si="169"/>
        <v>71.586289845547171</v>
      </c>
      <c r="N1191" s="148">
        <f t="shared" si="168"/>
        <v>26.322278776207696</v>
      </c>
      <c r="O1191" s="426">
        <v>31.073796159527326</v>
      </c>
      <c r="P1191" s="426">
        <f t="shared" si="170"/>
        <v>6.5531120604666446</v>
      </c>
      <c r="Q1191" s="426"/>
      <c r="R1191" s="532">
        <f t="shared" si="171"/>
        <v>3.3984889293863216E-2</v>
      </c>
    </row>
    <row r="1192" spans="1:18" s="6" customFormat="1" ht="15.75">
      <c r="A1192" s="146">
        <v>47</v>
      </c>
      <c r="B1192" s="146" t="s">
        <v>524</v>
      </c>
      <c r="C1192" s="330">
        <v>4150.55</v>
      </c>
      <c r="D1192" s="330"/>
      <c r="E1192" s="330"/>
      <c r="F1192" s="258">
        <f t="shared" si="165"/>
        <v>4150.55</v>
      </c>
      <c r="G1192" s="146">
        <v>1100</v>
      </c>
      <c r="H1192" s="146"/>
      <c r="I1192" s="146">
        <v>5000</v>
      </c>
      <c r="J1192" s="146">
        <v>144</v>
      </c>
      <c r="K1192" s="192">
        <f t="shared" si="166"/>
        <v>0</v>
      </c>
      <c r="L1192" s="183">
        <f t="shared" si="167"/>
        <v>3.5491291488662507E-2</v>
      </c>
      <c r="M1192" s="426">
        <f t="shared" si="169"/>
        <v>71.586289845547171</v>
      </c>
      <c r="N1192" s="148">
        <f t="shared" si="168"/>
        <v>26.322278776207696</v>
      </c>
      <c r="O1192" s="426">
        <v>31.073796159527326</v>
      </c>
      <c r="P1192" s="426">
        <f t="shared" si="170"/>
        <v>6.5531120604666446</v>
      </c>
      <c r="Q1192" s="426"/>
      <c r="R1192" s="532">
        <f t="shared" si="171"/>
        <v>3.2654823298538471E-2</v>
      </c>
    </row>
    <row r="1193" spans="1:18" s="6" customFormat="1" ht="15.75">
      <c r="A1193" s="146">
        <v>48</v>
      </c>
      <c r="B1193" s="146" t="s">
        <v>525</v>
      </c>
      <c r="C1193" s="330">
        <v>14374.02</v>
      </c>
      <c r="D1193" s="330"/>
      <c r="E1193" s="330"/>
      <c r="F1193" s="258">
        <f t="shared" si="165"/>
        <v>14374.02</v>
      </c>
      <c r="G1193" s="146">
        <v>1100</v>
      </c>
      <c r="H1193" s="146"/>
      <c r="I1193" s="146">
        <v>5000</v>
      </c>
      <c r="J1193" s="146">
        <v>502</v>
      </c>
      <c r="K1193" s="192">
        <f t="shared" si="166"/>
        <v>0</v>
      </c>
      <c r="L1193" s="183">
        <f t="shared" si="167"/>
        <v>0.12372658560630957</v>
      </c>
      <c r="M1193" s="426">
        <f t="shared" si="169"/>
        <v>249.55776043378248</v>
      </c>
      <c r="N1193" s="148">
        <f t="shared" si="168"/>
        <v>91.762388511501825</v>
      </c>
      <c r="O1193" s="426">
        <v>108.32670605612999</v>
      </c>
      <c r="P1193" s="426">
        <f t="shared" si="170"/>
        <v>22.844876766348996</v>
      </c>
      <c r="Q1193" s="426"/>
      <c r="R1193" s="532">
        <f t="shared" si="171"/>
        <v>3.28712309964619E-2</v>
      </c>
    </row>
    <row r="1194" spans="1:18" s="6" customFormat="1" ht="15.75">
      <c r="A1194" s="146">
        <v>49</v>
      </c>
      <c r="B1194" s="146" t="s">
        <v>526</v>
      </c>
      <c r="C1194" s="330">
        <v>4120.28</v>
      </c>
      <c r="D1194" s="330"/>
      <c r="E1194" s="330"/>
      <c r="F1194" s="258">
        <f t="shared" si="165"/>
        <v>4120.28</v>
      </c>
      <c r="G1194" s="146">
        <v>1100</v>
      </c>
      <c r="H1194" s="146"/>
      <c r="I1194" s="146">
        <v>5000</v>
      </c>
      <c r="J1194" s="146">
        <v>144</v>
      </c>
      <c r="K1194" s="192">
        <f t="shared" si="166"/>
        <v>0</v>
      </c>
      <c r="L1194" s="183">
        <f t="shared" si="167"/>
        <v>3.5491291488662507E-2</v>
      </c>
      <c r="M1194" s="426">
        <f t="shared" si="169"/>
        <v>71.586289845547171</v>
      </c>
      <c r="N1194" s="148">
        <f t="shared" si="168"/>
        <v>26.322278776207696</v>
      </c>
      <c r="O1194" s="426">
        <v>31.073796159527326</v>
      </c>
      <c r="P1194" s="426">
        <f t="shared" si="170"/>
        <v>6.5531120604666446</v>
      </c>
      <c r="Q1194" s="426"/>
      <c r="R1194" s="532">
        <f t="shared" si="171"/>
        <v>3.2894724834659016E-2</v>
      </c>
    </row>
    <row r="1195" spans="1:18" s="6" customFormat="1" ht="15.75">
      <c r="A1195" s="146">
        <v>50</v>
      </c>
      <c r="B1195" s="146" t="s">
        <v>527</v>
      </c>
      <c r="C1195" s="330">
        <v>14371.39</v>
      </c>
      <c r="D1195" s="330"/>
      <c r="E1195" s="330"/>
      <c r="F1195" s="258">
        <f t="shared" si="165"/>
        <v>14371.39</v>
      </c>
      <c r="G1195" s="146">
        <v>1100</v>
      </c>
      <c r="H1195" s="146"/>
      <c r="I1195" s="146">
        <v>5000</v>
      </c>
      <c r="J1195" s="146">
        <v>502</v>
      </c>
      <c r="K1195" s="192">
        <f t="shared" si="166"/>
        <v>0</v>
      </c>
      <c r="L1195" s="183">
        <f t="shared" si="167"/>
        <v>0.12372658560630957</v>
      </c>
      <c r="M1195" s="426">
        <f t="shared" si="169"/>
        <v>249.55776043378248</v>
      </c>
      <c r="N1195" s="148">
        <f t="shared" si="168"/>
        <v>91.762388511501825</v>
      </c>
      <c r="O1195" s="426">
        <v>108.32670605612999</v>
      </c>
      <c r="P1195" s="426">
        <f t="shared" si="170"/>
        <v>22.844876766348996</v>
      </c>
      <c r="Q1195" s="426"/>
      <c r="R1195" s="532">
        <f t="shared" si="171"/>
        <v>3.2877246513229645E-2</v>
      </c>
    </row>
    <row r="1196" spans="1:18" s="6" customFormat="1" ht="15.75">
      <c r="A1196" s="146">
        <v>51</v>
      </c>
      <c r="B1196" s="146" t="s">
        <v>528</v>
      </c>
      <c r="C1196" s="330">
        <v>9061.4</v>
      </c>
      <c r="D1196" s="330"/>
      <c r="E1196" s="330">
        <v>2450</v>
      </c>
      <c r="F1196" s="258">
        <f t="shared" si="165"/>
        <v>11511.4</v>
      </c>
      <c r="G1196" s="146">
        <v>1100</v>
      </c>
      <c r="H1196" s="146"/>
      <c r="I1196" s="146">
        <v>5000</v>
      </c>
      <c r="J1196" s="146">
        <v>320</v>
      </c>
      <c r="K1196" s="192">
        <f t="shared" si="166"/>
        <v>0</v>
      </c>
      <c r="L1196" s="183">
        <f t="shared" si="167"/>
        <v>7.886953664147224E-2</v>
      </c>
      <c r="M1196" s="426">
        <f t="shared" si="169"/>
        <v>159.08064410121591</v>
      </c>
      <c r="N1196" s="148">
        <f t="shared" si="168"/>
        <v>58.493952836017094</v>
      </c>
      <c r="O1196" s="426">
        <v>69.052880354505177</v>
      </c>
      <c r="P1196" s="426">
        <f t="shared" si="170"/>
        <v>14.562471245481433</v>
      </c>
      <c r="Q1196" s="426"/>
      <c r="R1196" s="532">
        <f t="shared" si="171"/>
        <v>2.6164493331586047E-2</v>
      </c>
    </row>
    <row r="1197" spans="1:18" s="6" customFormat="1" ht="15.75">
      <c r="A1197" s="146">
        <v>52</v>
      </c>
      <c r="B1197" s="146" t="s">
        <v>529</v>
      </c>
      <c r="C1197" s="330">
        <v>6826.1</v>
      </c>
      <c r="D1197" s="330"/>
      <c r="E1197" s="330">
        <v>98.1</v>
      </c>
      <c r="F1197" s="258">
        <f t="shared" si="165"/>
        <v>6924.2000000000007</v>
      </c>
      <c r="G1197" s="146">
        <v>1100</v>
      </c>
      <c r="H1197" s="146"/>
      <c r="I1197" s="146">
        <v>5000</v>
      </c>
      <c r="J1197" s="146">
        <v>190</v>
      </c>
      <c r="K1197" s="192">
        <f t="shared" si="166"/>
        <v>0</v>
      </c>
      <c r="L1197" s="183">
        <f t="shared" si="167"/>
        <v>4.6828787380874141E-2</v>
      </c>
      <c r="M1197" s="426">
        <f t="shared" si="169"/>
        <v>94.454132435096952</v>
      </c>
      <c r="N1197" s="148">
        <f t="shared" si="168"/>
        <v>34.730784496385155</v>
      </c>
      <c r="O1197" s="426">
        <v>41.000147710487447</v>
      </c>
      <c r="P1197" s="426">
        <f t="shared" si="170"/>
        <v>8.6464673020046003</v>
      </c>
      <c r="Q1197" s="426"/>
      <c r="R1197" s="532">
        <f t="shared" si="171"/>
        <v>2.5827031562342815E-2</v>
      </c>
    </row>
    <row r="1198" spans="1:18" s="6" customFormat="1" ht="15.75">
      <c r="A1198" s="146">
        <v>53</v>
      </c>
      <c r="B1198" s="146" t="s">
        <v>530</v>
      </c>
      <c r="C1198" s="330">
        <v>9038.0300000000007</v>
      </c>
      <c r="D1198" s="330"/>
      <c r="E1198" s="330">
        <v>1829.2</v>
      </c>
      <c r="F1198" s="258">
        <f t="shared" si="165"/>
        <v>10867.230000000001</v>
      </c>
      <c r="G1198" s="146">
        <v>1100</v>
      </c>
      <c r="H1198" s="146"/>
      <c r="I1198" s="146">
        <v>5000</v>
      </c>
      <c r="J1198" s="146">
        <v>320</v>
      </c>
      <c r="K1198" s="192">
        <f t="shared" si="166"/>
        <v>0</v>
      </c>
      <c r="L1198" s="183">
        <f t="shared" si="167"/>
        <v>7.886953664147224E-2</v>
      </c>
      <c r="M1198" s="426">
        <f t="shared" si="169"/>
        <v>159.08064410121591</v>
      </c>
      <c r="N1198" s="148">
        <f t="shared" si="168"/>
        <v>58.493952836017094</v>
      </c>
      <c r="O1198" s="426">
        <v>69.052880354505177</v>
      </c>
      <c r="P1198" s="426">
        <f t="shared" si="170"/>
        <v>14.562471245481433</v>
      </c>
      <c r="Q1198" s="426"/>
      <c r="R1198" s="532">
        <f t="shared" si="171"/>
        <v>2.7715429648329848E-2</v>
      </c>
    </row>
    <row r="1199" spans="1:18" s="6" customFormat="1" ht="15.75">
      <c r="A1199" s="146">
        <v>54</v>
      </c>
      <c r="B1199" s="146" t="s">
        <v>531</v>
      </c>
      <c r="C1199" s="330">
        <v>6690.6</v>
      </c>
      <c r="D1199" s="330"/>
      <c r="E1199" s="330">
        <v>855.4</v>
      </c>
      <c r="F1199" s="258">
        <f t="shared" si="165"/>
        <v>7546</v>
      </c>
      <c r="G1199" s="146">
        <v>1100</v>
      </c>
      <c r="H1199" s="146"/>
      <c r="I1199" s="146">
        <v>5000</v>
      </c>
      <c r="J1199" s="146">
        <v>190</v>
      </c>
      <c r="K1199" s="192">
        <f t="shared" si="166"/>
        <v>0</v>
      </c>
      <c r="L1199" s="183">
        <f t="shared" si="167"/>
        <v>4.6828787380874141E-2</v>
      </c>
      <c r="M1199" s="426">
        <f t="shared" si="169"/>
        <v>94.454132435096952</v>
      </c>
      <c r="N1199" s="148">
        <f t="shared" si="168"/>
        <v>34.730784496385155</v>
      </c>
      <c r="O1199" s="426">
        <v>41.000147710487447</v>
      </c>
      <c r="P1199" s="426">
        <f t="shared" si="170"/>
        <v>8.6464673020046003</v>
      </c>
      <c r="Q1199" s="426"/>
      <c r="R1199" s="532">
        <f t="shared" si="171"/>
        <v>2.3698851304528777E-2</v>
      </c>
    </row>
    <row r="1200" spans="1:18" s="6" customFormat="1" ht="15.75">
      <c r="A1200" s="146">
        <v>55</v>
      </c>
      <c r="B1200" s="146" t="s">
        <v>1370</v>
      </c>
      <c r="C1200" s="330">
        <v>2503.4</v>
      </c>
      <c r="D1200" s="330"/>
      <c r="E1200" s="330"/>
      <c r="F1200" s="258">
        <f t="shared" si="165"/>
        <v>2503.4</v>
      </c>
      <c r="G1200" s="146">
        <v>1100</v>
      </c>
      <c r="H1200" s="146">
        <v>78</v>
      </c>
      <c r="I1200" s="146">
        <v>5000</v>
      </c>
      <c r="J1200" s="146">
        <v>98</v>
      </c>
      <c r="K1200" s="192">
        <f t="shared" si="166"/>
        <v>8.2802547770700632E-2</v>
      </c>
      <c r="L1200" s="183">
        <f t="shared" si="167"/>
        <v>2.4153795596450874E-2</v>
      </c>
      <c r="M1200" s="426">
        <f t="shared" si="169"/>
        <v>215.73201413497827</v>
      </c>
      <c r="N1200" s="148">
        <f t="shared" si="168"/>
        <v>79.324661597431515</v>
      </c>
      <c r="O1200" s="426">
        <v>92.070805604417828</v>
      </c>
      <c r="P1200" s="426">
        <f t="shared" si="170"/>
        <v>4.5425593666993898</v>
      </c>
      <c r="Q1200" s="426"/>
      <c r="R1200" s="532">
        <f t="shared" si="171"/>
        <v>0.15645523715887472</v>
      </c>
    </row>
    <row r="1201" spans="1:18" s="6" customFormat="1" ht="15.75">
      <c r="A1201" s="146">
        <v>56</v>
      </c>
      <c r="B1201" s="146" t="s">
        <v>1371</v>
      </c>
      <c r="C1201" s="330">
        <v>1175</v>
      </c>
      <c r="D1201" s="330"/>
      <c r="E1201" s="330"/>
      <c r="F1201" s="258">
        <f t="shared" si="165"/>
        <v>1175</v>
      </c>
      <c r="G1201" s="146">
        <v>1100</v>
      </c>
      <c r="H1201" s="146">
        <v>40</v>
      </c>
      <c r="I1201" s="146">
        <v>5000</v>
      </c>
      <c r="J1201" s="146">
        <v>40</v>
      </c>
      <c r="K1201" s="192">
        <f t="shared" si="166"/>
        <v>4.2462845010615709E-2</v>
      </c>
      <c r="L1201" s="183">
        <f t="shared" si="167"/>
        <v>9.8586920801840301E-3</v>
      </c>
      <c r="M1201" s="426">
        <f t="shared" si="169"/>
        <v>105.53306352751397</v>
      </c>
      <c r="N1201" s="148">
        <f t="shared" si="168"/>
        <v>38.80450745906689</v>
      </c>
      <c r="O1201" s="426">
        <v>45.00256440115961</v>
      </c>
      <c r="P1201" s="426">
        <f t="shared" si="170"/>
        <v>1.8627717506957948</v>
      </c>
      <c r="Q1201" s="426"/>
      <c r="R1201" s="532">
        <f t="shared" si="171"/>
        <v>0.16272587841569044</v>
      </c>
    </row>
    <row r="1202" spans="1:18" s="69" customFormat="1" ht="15.75" customHeight="1" thickBot="1">
      <c r="A1202" s="153"/>
      <c r="B1202" s="15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153">
        <f>C1202+D1202+E1202</f>
        <v>173207.23</v>
      </c>
      <c r="G1202" s="153">
        <v>1100</v>
      </c>
      <c r="H1202" s="153">
        <f>SUM(H1148:H1201)</f>
        <v>471</v>
      </c>
      <c r="I1202" s="153">
        <v>5000</v>
      </c>
      <c r="J1202" s="153">
        <f>SUM(J1148:J1201)</f>
        <v>6086</v>
      </c>
      <c r="K1202" s="192">
        <f>0.5/471*H1202</f>
        <v>0.5</v>
      </c>
      <c r="L1202" s="183">
        <f>1.5/6086*J1202</f>
        <v>1.5</v>
      </c>
      <c r="M1202" s="426">
        <f t="shared" si="169"/>
        <v>4034.02</v>
      </c>
      <c r="N1202" s="184">
        <f>M1202*0.3677</f>
        <v>1483.309154</v>
      </c>
      <c r="O1202" s="426">
        <f>SUM(O1148:O1201)</f>
        <v>1741.5674557941118</v>
      </c>
      <c r="P1202" s="193">
        <f t="shared" ref="P1202:P1218" si="172">K1202+L1202*184.64</f>
        <v>277.45999999999998</v>
      </c>
      <c r="Q1202" s="935"/>
      <c r="R1202" s="532">
        <f t="shared" si="171"/>
        <v>4.3510635265018159E-2</v>
      </c>
    </row>
    <row r="1203" spans="1:18" s="209" customFormat="1" ht="16.5" thickBot="1">
      <c r="A1203" s="1058" t="s">
        <v>618</v>
      </c>
      <c r="B1203" s="1059"/>
      <c r="C1203" s="138"/>
      <c r="D1203" s="138"/>
      <c r="E1203" s="138"/>
      <c r="F1203" s="138"/>
      <c r="G1203" s="138"/>
      <c r="H1203" s="138"/>
      <c r="I1203" s="138"/>
      <c r="J1203" s="138"/>
      <c r="K1203" s="140"/>
      <c r="L1203" s="138"/>
      <c r="M1203" s="426">
        <f>(K1203+L1203)*2077.52</f>
        <v>0</v>
      </c>
      <c r="N1203" s="570"/>
      <c r="O1203" s="426"/>
      <c r="P1203" s="697">
        <f t="shared" si="172"/>
        <v>0</v>
      </c>
      <c r="Q1203" s="934"/>
      <c r="R1203" s="532" t="e">
        <f t="shared" si="171"/>
        <v>#DIV/0!</v>
      </c>
    </row>
    <row r="1204" spans="1:18" s="6" customFormat="1" ht="15.75">
      <c r="A1204" s="142">
        <v>1</v>
      </c>
      <c r="B1204" s="142" t="s">
        <v>532</v>
      </c>
      <c r="C1204" s="142">
        <v>3898.29</v>
      </c>
      <c r="D1204" s="142">
        <v>123.1</v>
      </c>
      <c r="E1204" s="142">
        <v>374.5</v>
      </c>
      <c r="F1204" s="439">
        <f t="shared" ref="F1204:F1232" si="173">C1204+D1204+E1204</f>
        <v>4395.8899999999994</v>
      </c>
      <c r="G1204" s="141">
        <v>1100</v>
      </c>
      <c r="H1204" s="141"/>
      <c r="I1204" s="141">
        <v>5000</v>
      </c>
      <c r="J1204" s="141">
        <v>96</v>
      </c>
      <c r="K1204" s="445">
        <f t="shared" ref="K1204:K1231" si="174">0.5/143*H1204</f>
        <v>0</v>
      </c>
      <c r="L1204" s="179">
        <f t="shared" ref="L1204:L1231" si="175">0.5/2398*J1204</f>
        <v>2.0016680567139282E-2</v>
      </c>
      <c r="M1204" s="426">
        <f t="shared" ref="M1204:M1231" si="176">(K1204+L1204)*2348.06</f>
        <v>47.00036697247706</v>
      </c>
      <c r="N1204" s="144">
        <f t="shared" ref="N1204:N1232" si="177">M1204*0.3677</f>
        <v>17.282034935779816</v>
      </c>
      <c r="O1204" s="426">
        <v>17.538107544810337</v>
      </c>
      <c r="P1204" s="426">
        <f t="shared" si="172"/>
        <v>3.6958798999165969</v>
      </c>
      <c r="Q1204" s="426"/>
      <c r="R1204" s="532">
        <f t="shared" si="171"/>
        <v>1.9453714572699461E-2</v>
      </c>
    </row>
    <row r="1205" spans="1:18" s="6" customFormat="1" ht="15.75">
      <c r="A1205" s="55">
        <v>2</v>
      </c>
      <c r="B1205" s="55" t="s">
        <v>533</v>
      </c>
      <c r="C1205" s="55">
        <v>3600.73</v>
      </c>
      <c r="D1205" s="55"/>
      <c r="E1205" s="55">
        <v>290.5</v>
      </c>
      <c r="F1205" s="258">
        <f t="shared" si="173"/>
        <v>3891.23</v>
      </c>
      <c r="G1205" s="146">
        <v>1100</v>
      </c>
      <c r="H1205" s="146"/>
      <c r="I1205" s="146">
        <v>5000</v>
      </c>
      <c r="J1205" s="146">
        <v>144</v>
      </c>
      <c r="K1205" s="445">
        <f t="shared" si="174"/>
        <v>0</v>
      </c>
      <c r="L1205" s="179">
        <f t="shared" si="175"/>
        <v>3.0025020850708923E-2</v>
      </c>
      <c r="M1205" s="426">
        <f t="shared" si="176"/>
        <v>70.500550458715594</v>
      </c>
      <c r="N1205" s="148">
        <f t="shared" si="177"/>
        <v>25.923052403669725</v>
      </c>
      <c r="O1205" s="426">
        <v>26.307161317215506</v>
      </c>
      <c r="P1205" s="426">
        <f t="shared" si="172"/>
        <v>5.543819849874895</v>
      </c>
      <c r="Q1205" s="426"/>
      <c r="R1205" s="532">
        <f t="shared" si="171"/>
        <v>3.2965048077208417E-2</v>
      </c>
    </row>
    <row r="1206" spans="1:18" s="6" customFormat="1" ht="15.75">
      <c r="A1206" s="55">
        <v>3</v>
      </c>
      <c r="B1206" s="55" t="s">
        <v>534</v>
      </c>
      <c r="C1206" s="55">
        <v>5868.42</v>
      </c>
      <c r="D1206" s="55">
        <v>489.8</v>
      </c>
      <c r="E1206" s="55"/>
      <c r="F1206" s="258">
        <f t="shared" si="173"/>
        <v>6358.22</v>
      </c>
      <c r="G1206" s="146">
        <v>1100</v>
      </c>
      <c r="H1206" s="146"/>
      <c r="I1206" s="146">
        <v>5000</v>
      </c>
      <c r="J1206" s="146">
        <v>148</v>
      </c>
      <c r="K1206" s="445">
        <f t="shared" si="174"/>
        <v>0</v>
      </c>
      <c r="L1206" s="179">
        <f t="shared" si="175"/>
        <v>3.0859049207673059E-2</v>
      </c>
      <c r="M1206" s="426">
        <f t="shared" si="176"/>
        <v>72.458899082568806</v>
      </c>
      <c r="N1206" s="148">
        <f t="shared" si="177"/>
        <v>26.643137192660554</v>
      </c>
      <c r="O1206" s="426">
        <v>27.037915798249269</v>
      </c>
      <c r="P1206" s="426">
        <f t="shared" si="172"/>
        <v>5.6978148457047535</v>
      </c>
      <c r="Q1206" s="426"/>
      <c r="R1206" s="532">
        <f t="shared" si="171"/>
        <v>2.0735011830226597E-2</v>
      </c>
    </row>
    <row r="1207" spans="1:18" s="6" customFormat="1" ht="15.75">
      <c r="A1207" s="55">
        <v>4</v>
      </c>
      <c r="B1207" s="55" t="s">
        <v>535</v>
      </c>
      <c r="C1207" s="55">
        <v>4090.86</v>
      </c>
      <c r="D1207" s="55"/>
      <c r="E1207" s="55"/>
      <c r="F1207" s="258">
        <f t="shared" si="173"/>
        <v>4090.86</v>
      </c>
      <c r="G1207" s="146">
        <v>1100</v>
      </c>
      <c r="H1207" s="146"/>
      <c r="I1207" s="146">
        <v>5000</v>
      </c>
      <c r="J1207" s="146">
        <v>162</v>
      </c>
      <c r="K1207" s="445">
        <f t="shared" si="174"/>
        <v>0</v>
      </c>
      <c r="L1207" s="179">
        <f t="shared" si="175"/>
        <v>3.377814845704754E-2</v>
      </c>
      <c r="M1207" s="426">
        <f t="shared" si="176"/>
        <v>79.31311926605504</v>
      </c>
      <c r="N1207" s="148">
        <f t="shared" si="177"/>
        <v>29.16343395412844</v>
      </c>
      <c r="O1207" s="426">
        <v>29.595556481867444</v>
      </c>
      <c r="P1207" s="426">
        <f t="shared" si="172"/>
        <v>6.2367973311092575</v>
      </c>
      <c r="Q1207" s="426"/>
      <c r="R1207" s="532">
        <f t="shared" si="171"/>
        <v>3.527593391931285E-2</v>
      </c>
    </row>
    <row r="1208" spans="1:18" s="6" customFormat="1" ht="15.75">
      <c r="A1208" s="55">
        <v>5</v>
      </c>
      <c r="B1208" s="55" t="s">
        <v>536</v>
      </c>
      <c r="C1208" s="55">
        <v>3274.15</v>
      </c>
      <c r="D1208" s="55"/>
      <c r="E1208" s="55"/>
      <c r="F1208" s="258">
        <f t="shared" si="173"/>
        <v>3274.15</v>
      </c>
      <c r="G1208" s="146">
        <v>1100</v>
      </c>
      <c r="H1208" s="146"/>
      <c r="I1208" s="146">
        <v>5000</v>
      </c>
      <c r="J1208" s="146">
        <v>82</v>
      </c>
      <c r="K1208" s="445">
        <f t="shared" si="174"/>
        <v>0</v>
      </c>
      <c r="L1208" s="179">
        <f t="shared" si="175"/>
        <v>1.7097581317764805E-2</v>
      </c>
      <c r="M1208" s="426">
        <f t="shared" si="176"/>
        <v>40.146146788990826</v>
      </c>
      <c r="N1208" s="148">
        <f t="shared" si="177"/>
        <v>14.761738174311928</v>
      </c>
      <c r="O1208" s="426">
        <v>14.980466861192163</v>
      </c>
      <c r="P1208" s="426">
        <f t="shared" si="172"/>
        <v>3.1568974145120934</v>
      </c>
      <c r="Q1208" s="426"/>
      <c r="R1208" s="532">
        <f t="shared" si="171"/>
        <v>2.2309683196862395E-2</v>
      </c>
    </row>
    <row r="1209" spans="1:18" s="6" customFormat="1" ht="15.75">
      <c r="A1209" s="55">
        <v>6</v>
      </c>
      <c r="B1209" s="55" t="s">
        <v>537</v>
      </c>
      <c r="C1209" s="55">
        <v>6596</v>
      </c>
      <c r="D1209" s="55"/>
      <c r="E1209" s="55"/>
      <c r="F1209" s="258">
        <f t="shared" si="173"/>
        <v>6596</v>
      </c>
      <c r="G1209" s="146">
        <v>1100</v>
      </c>
      <c r="H1209" s="146"/>
      <c r="I1209" s="146">
        <v>5000</v>
      </c>
      <c r="J1209" s="146">
        <v>162</v>
      </c>
      <c r="K1209" s="445">
        <f t="shared" si="174"/>
        <v>0</v>
      </c>
      <c r="L1209" s="179">
        <f t="shared" si="175"/>
        <v>3.377814845704754E-2</v>
      </c>
      <c r="M1209" s="426">
        <f t="shared" si="176"/>
        <v>79.31311926605504</v>
      </c>
      <c r="N1209" s="148">
        <f t="shared" si="177"/>
        <v>29.16343395412844</v>
      </c>
      <c r="O1209" s="426">
        <v>29.595556481867444</v>
      </c>
      <c r="P1209" s="426">
        <f t="shared" si="172"/>
        <v>6.2367973311092575</v>
      </c>
      <c r="Q1209" s="426"/>
      <c r="R1209" s="532">
        <f t="shared" si="171"/>
        <v>2.187824545681628E-2</v>
      </c>
    </row>
    <row r="1210" spans="1:18" s="6" customFormat="1" ht="15.75">
      <c r="A1210" s="55">
        <v>7</v>
      </c>
      <c r="B1210" s="55" t="s">
        <v>538</v>
      </c>
      <c r="C1210" s="55">
        <v>7101.2</v>
      </c>
      <c r="D1210" s="55"/>
      <c r="E1210" s="55"/>
      <c r="F1210" s="258">
        <f t="shared" si="173"/>
        <v>7101.2</v>
      </c>
      <c r="G1210" s="146">
        <v>1100</v>
      </c>
      <c r="H1210" s="146"/>
      <c r="I1210" s="146">
        <v>5000</v>
      </c>
      <c r="J1210" s="146">
        <v>180</v>
      </c>
      <c r="K1210" s="445">
        <f t="shared" si="174"/>
        <v>0</v>
      </c>
      <c r="L1210" s="179">
        <f t="shared" si="175"/>
        <v>3.7531276063386153E-2</v>
      </c>
      <c r="M1210" s="426">
        <f t="shared" si="176"/>
        <v>88.125688073394485</v>
      </c>
      <c r="N1210" s="148">
        <f t="shared" si="177"/>
        <v>32.403815504587158</v>
      </c>
      <c r="O1210" s="426">
        <v>32.883951646519378</v>
      </c>
      <c r="P1210" s="426">
        <f t="shared" si="172"/>
        <v>6.9297748123436191</v>
      </c>
      <c r="Q1210" s="426"/>
      <c r="R1210" s="532">
        <f t="shared" si="171"/>
        <v>2.2579737232699352E-2</v>
      </c>
    </row>
    <row r="1211" spans="1:18" s="6" customFormat="1" ht="15.75">
      <c r="A1211" s="55">
        <v>8</v>
      </c>
      <c r="B1211" s="55" t="s">
        <v>539</v>
      </c>
      <c r="C1211" s="55">
        <v>7470.48</v>
      </c>
      <c r="D1211" s="55"/>
      <c r="E1211" s="55"/>
      <c r="F1211" s="258">
        <f t="shared" si="173"/>
        <v>7470.48</v>
      </c>
      <c r="G1211" s="146">
        <v>1100</v>
      </c>
      <c r="H1211" s="146"/>
      <c r="I1211" s="146">
        <v>5000</v>
      </c>
      <c r="J1211" s="146">
        <v>180</v>
      </c>
      <c r="K1211" s="445">
        <f t="shared" si="174"/>
        <v>0</v>
      </c>
      <c r="L1211" s="179">
        <f t="shared" si="175"/>
        <v>3.7531276063386153E-2</v>
      </c>
      <c r="M1211" s="426">
        <f t="shared" si="176"/>
        <v>88.125688073394485</v>
      </c>
      <c r="N1211" s="148">
        <f t="shared" si="177"/>
        <v>32.403815504587158</v>
      </c>
      <c r="O1211" s="426">
        <v>32.883951646519378</v>
      </c>
      <c r="P1211" s="426">
        <f t="shared" si="172"/>
        <v>6.9297748123436191</v>
      </c>
      <c r="Q1211" s="426"/>
      <c r="R1211" s="532">
        <f t="shared" si="171"/>
        <v>2.1463577981179875E-2</v>
      </c>
    </row>
    <row r="1212" spans="1:18" s="6" customFormat="1" ht="15.75">
      <c r="A1212" s="55">
        <v>9</v>
      </c>
      <c r="B1212" s="55" t="s">
        <v>540</v>
      </c>
      <c r="C1212" s="55">
        <v>2276.6</v>
      </c>
      <c r="D1212" s="55"/>
      <c r="E1212" s="55"/>
      <c r="F1212" s="258">
        <f t="shared" si="173"/>
        <v>2276.6</v>
      </c>
      <c r="G1212" s="146">
        <v>1100</v>
      </c>
      <c r="H1212" s="146"/>
      <c r="I1212" s="146">
        <v>5000</v>
      </c>
      <c r="J1212" s="146">
        <v>60</v>
      </c>
      <c r="K1212" s="445">
        <f t="shared" si="174"/>
        <v>0</v>
      </c>
      <c r="L1212" s="179">
        <f t="shared" si="175"/>
        <v>1.2510425354462052E-2</v>
      </c>
      <c r="M1212" s="426">
        <f t="shared" si="176"/>
        <v>29.375229357798165</v>
      </c>
      <c r="N1212" s="148">
        <f t="shared" si="177"/>
        <v>10.801271834862387</v>
      </c>
      <c r="O1212" s="426">
        <v>10.961317215506462</v>
      </c>
      <c r="P1212" s="426">
        <f t="shared" si="172"/>
        <v>2.3099249374478732</v>
      </c>
      <c r="Q1212" s="426"/>
      <c r="R1212" s="532">
        <f t="shared" si="171"/>
        <v>2.3477002260219135E-2</v>
      </c>
    </row>
    <row r="1213" spans="1:18" s="6" customFormat="1" ht="15.75">
      <c r="A1213" s="55">
        <v>10</v>
      </c>
      <c r="B1213" s="55" t="s">
        <v>541</v>
      </c>
      <c r="C1213" s="55">
        <v>4642.43</v>
      </c>
      <c r="D1213" s="55"/>
      <c r="E1213" s="55"/>
      <c r="F1213" s="258">
        <f t="shared" si="173"/>
        <v>4642.43</v>
      </c>
      <c r="G1213" s="146">
        <v>1100</v>
      </c>
      <c r="H1213" s="146"/>
      <c r="I1213" s="146">
        <v>5000</v>
      </c>
      <c r="J1213" s="146">
        <v>117</v>
      </c>
      <c r="K1213" s="445">
        <f t="shared" si="174"/>
        <v>0</v>
      </c>
      <c r="L1213" s="179">
        <f t="shared" si="175"/>
        <v>2.4395329441201E-2</v>
      </c>
      <c r="M1213" s="426">
        <f t="shared" si="176"/>
        <v>57.281697247706418</v>
      </c>
      <c r="N1213" s="148">
        <f t="shared" si="177"/>
        <v>21.06248007798165</v>
      </c>
      <c r="O1213" s="426">
        <v>21.374568570237596</v>
      </c>
      <c r="P1213" s="426">
        <f t="shared" si="172"/>
        <v>4.5043536280233525</v>
      </c>
      <c r="Q1213" s="426"/>
      <c r="R1213" s="532">
        <f t="shared" si="171"/>
        <v>2.2450117615978919E-2</v>
      </c>
    </row>
    <row r="1214" spans="1:18" s="6" customFormat="1" ht="15.75">
      <c r="A1214" s="55">
        <v>11</v>
      </c>
      <c r="B1214" s="55" t="s">
        <v>542</v>
      </c>
      <c r="C1214" s="55">
        <v>3634.2</v>
      </c>
      <c r="D1214" s="55"/>
      <c r="E1214" s="55"/>
      <c r="F1214" s="258">
        <f t="shared" si="173"/>
        <v>3634.2</v>
      </c>
      <c r="G1214" s="146">
        <v>1100</v>
      </c>
      <c r="H1214" s="146"/>
      <c r="I1214" s="146">
        <v>5000</v>
      </c>
      <c r="J1214" s="146">
        <v>76</v>
      </c>
      <c r="K1214" s="445">
        <f t="shared" si="174"/>
        <v>0</v>
      </c>
      <c r="L1214" s="179">
        <f t="shared" si="175"/>
        <v>1.5846538782318599E-2</v>
      </c>
      <c r="M1214" s="426">
        <f t="shared" si="176"/>
        <v>37.208623853211009</v>
      </c>
      <c r="N1214" s="148">
        <f t="shared" si="177"/>
        <v>13.681610990825689</v>
      </c>
      <c r="O1214" s="426">
        <v>13.884335139641516</v>
      </c>
      <c r="P1214" s="426">
        <f t="shared" si="172"/>
        <v>2.925904920767306</v>
      </c>
      <c r="Q1214" s="426"/>
      <c r="R1214" s="532">
        <f t="shared" si="171"/>
        <v>1.8628714683959473E-2</v>
      </c>
    </row>
    <row r="1215" spans="1:18" s="6" customFormat="1" ht="15.75">
      <c r="A1215" s="55">
        <v>12</v>
      </c>
      <c r="B1215" s="55" t="s">
        <v>543</v>
      </c>
      <c r="C1215" s="55">
        <v>5551.35</v>
      </c>
      <c r="D1215" s="55"/>
      <c r="E1215" s="55"/>
      <c r="F1215" s="258">
        <f t="shared" si="173"/>
        <v>5551.35</v>
      </c>
      <c r="G1215" s="146">
        <v>1100</v>
      </c>
      <c r="H1215" s="146"/>
      <c r="I1215" s="146">
        <v>5000</v>
      </c>
      <c r="J1215" s="146">
        <v>105</v>
      </c>
      <c r="K1215" s="445">
        <f t="shared" si="174"/>
        <v>0</v>
      </c>
      <c r="L1215" s="179">
        <f t="shared" si="175"/>
        <v>2.1893244370308589E-2</v>
      </c>
      <c r="M1215" s="426">
        <f t="shared" si="176"/>
        <v>51.406651376146783</v>
      </c>
      <c r="N1215" s="148">
        <f t="shared" si="177"/>
        <v>18.902225711009173</v>
      </c>
      <c r="O1215" s="426">
        <v>19.182305127136306</v>
      </c>
      <c r="P1215" s="426">
        <f t="shared" si="172"/>
        <v>4.0423686405337778</v>
      </c>
      <c r="Q1215" s="426"/>
      <c r="R1215" s="532">
        <f t="shared" si="171"/>
        <v>1.6848793690692542E-2</v>
      </c>
    </row>
    <row r="1216" spans="1:18" s="6" customFormat="1" ht="15.75">
      <c r="A1216" s="55">
        <v>13</v>
      </c>
      <c r="B1216" s="55" t="s">
        <v>545</v>
      </c>
      <c r="C1216" s="55">
        <v>4556.37</v>
      </c>
      <c r="D1216" s="55"/>
      <c r="E1216" s="55"/>
      <c r="F1216" s="258">
        <f t="shared" si="173"/>
        <v>4556.37</v>
      </c>
      <c r="G1216" s="146">
        <v>1100</v>
      </c>
      <c r="H1216" s="146"/>
      <c r="I1216" s="146">
        <v>5000</v>
      </c>
      <c r="J1216" s="146">
        <v>114</v>
      </c>
      <c r="K1216" s="445">
        <f t="shared" si="174"/>
        <v>0</v>
      </c>
      <c r="L1216" s="179">
        <f t="shared" si="175"/>
        <v>2.3769808173477899E-2</v>
      </c>
      <c r="M1216" s="426">
        <f t="shared" si="176"/>
        <v>55.812935779816513</v>
      </c>
      <c r="N1216" s="148">
        <f t="shared" si="177"/>
        <v>20.522416486238534</v>
      </c>
      <c r="O1216" s="426">
        <v>20.826502709462275</v>
      </c>
      <c r="P1216" s="426">
        <f t="shared" si="172"/>
        <v>4.3888573811509586</v>
      </c>
      <c r="Q1216" s="426"/>
      <c r="R1216" s="532">
        <f t="shared" si="171"/>
        <v>2.228763519131859E-2</v>
      </c>
    </row>
    <row r="1217" spans="1:18" s="6" customFormat="1" ht="15.75">
      <c r="A1217" s="55">
        <v>14</v>
      </c>
      <c r="B1217" s="55" t="s">
        <v>546</v>
      </c>
      <c r="C1217" s="55">
        <v>4596.6099999999997</v>
      </c>
      <c r="D1217" s="55"/>
      <c r="E1217" s="55"/>
      <c r="F1217" s="258">
        <f t="shared" si="173"/>
        <v>4596.6099999999997</v>
      </c>
      <c r="G1217" s="146">
        <v>1100</v>
      </c>
      <c r="H1217" s="146"/>
      <c r="I1217" s="146">
        <v>5000</v>
      </c>
      <c r="J1217" s="146">
        <v>108</v>
      </c>
      <c r="K1217" s="445">
        <f t="shared" si="174"/>
        <v>0</v>
      </c>
      <c r="L1217" s="179">
        <f t="shared" si="175"/>
        <v>2.2518765638031693E-2</v>
      </c>
      <c r="M1217" s="426">
        <f t="shared" si="176"/>
        <v>52.875412844036696</v>
      </c>
      <c r="N1217" s="148">
        <f t="shared" si="177"/>
        <v>19.442289302752293</v>
      </c>
      <c r="O1217" s="426">
        <v>19.73037098791163</v>
      </c>
      <c r="P1217" s="426">
        <f t="shared" si="172"/>
        <v>4.1578648874061717</v>
      </c>
      <c r="Q1217" s="426"/>
      <c r="R1217" s="532">
        <f t="shared" si="171"/>
        <v>2.0929758674785724E-2</v>
      </c>
    </row>
    <row r="1218" spans="1:18" s="6" customFormat="1" ht="15.75">
      <c r="A1218" s="55">
        <v>15</v>
      </c>
      <c r="B1218" s="55" t="s">
        <v>567</v>
      </c>
      <c r="C1218" s="55">
        <v>4490.43</v>
      </c>
      <c r="D1218" s="55"/>
      <c r="E1218" s="55"/>
      <c r="F1218" s="258">
        <f t="shared" si="173"/>
        <v>4490.43</v>
      </c>
      <c r="G1218" s="146">
        <v>1100</v>
      </c>
      <c r="H1218" s="146"/>
      <c r="I1218" s="146">
        <v>5000</v>
      </c>
      <c r="J1218" s="146">
        <v>112</v>
      </c>
      <c r="K1218" s="445">
        <f t="shared" si="174"/>
        <v>0</v>
      </c>
      <c r="L1218" s="179">
        <f t="shared" si="175"/>
        <v>2.3352793994995829E-2</v>
      </c>
      <c r="M1218" s="426">
        <f t="shared" si="176"/>
        <v>54.833761467889907</v>
      </c>
      <c r="N1218" s="148">
        <f t="shared" si="177"/>
        <v>20.162374091743121</v>
      </c>
      <c r="O1218" s="426">
        <v>20.461125468945394</v>
      </c>
      <c r="P1218" s="426">
        <f t="shared" si="172"/>
        <v>4.3118598832360293</v>
      </c>
      <c r="Q1218" s="426"/>
      <c r="R1218" s="532">
        <f t="shared" si="171"/>
        <v>2.2218166392041393E-2</v>
      </c>
    </row>
    <row r="1219" spans="1:18" s="6" customFormat="1" ht="15.75">
      <c r="A1219" s="55">
        <v>16</v>
      </c>
      <c r="B1219" s="55" t="s">
        <v>568</v>
      </c>
      <c r="C1219" s="55">
        <v>4338.5</v>
      </c>
      <c r="D1219" s="55"/>
      <c r="E1219" s="55"/>
      <c r="F1219" s="258">
        <f t="shared" si="173"/>
        <v>4338.5</v>
      </c>
      <c r="G1219" s="146">
        <v>1100</v>
      </c>
      <c r="H1219" s="146"/>
      <c r="I1219" s="146">
        <v>5000</v>
      </c>
      <c r="J1219" s="146">
        <v>84</v>
      </c>
      <c r="K1219" s="445">
        <f t="shared" si="174"/>
        <v>0</v>
      </c>
      <c r="L1219" s="179">
        <f t="shared" si="175"/>
        <v>1.7514595496246871E-2</v>
      </c>
      <c r="M1219" s="426">
        <f t="shared" si="176"/>
        <v>41.125321100917425</v>
      </c>
      <c r="N1219" s="148">
        <f t="shared" si="177"/>
        <v>15.121780568807338</v>
      </c>
      <c r="O1219" s="426">
        <v>15.345844101709044</v>
      </c>
      <c r="P1219" s="426">
        <f t="shared" ref="P1219:P1231" si="178">K1219+L1219*184.64</f>
        <v>3.2338949124270222</v>
      </c>
      <c r="Q1219" s="426"/>
      <c r="R1219" s="532">
        <f t="shared" si="171"/>
        <v>1.7247168533792979E-2</v>
      </c>
    </row>
    <row r="1220" spans="1:18" s="6" customFormat="1" ht="15.75">
      <c r="A1220" s="55">
        <v>17</v>
      </c>
      <c r="B1220" s="55" t="s">
        <v>569</v>
      </c>
      <c r="C1220" s="55">
        <v>3131.06</v>
      </c>
      <c r="D1220" s="55"/>
      <c r="E1220" s="55"/>
      <c r="F1220" s="258">
        <f t="shared" si="173"/>
        <v>3131.06</v>
      </c>
      <c r="G1220" s="146">
        <v>1100</v>
      </c>
      <c r="H1220" s="146"/>
      <c r="I1220" s="146">
        <v>5000</v>
      </c>
      <c r="J1220" s="146">
        <v>60</v>
      </c>
      <c r="K1220" s="445">
        <f t="shared" si="174"/>
        <v>0</v>
      </c>
      <c r="L1220" s="179">
        <f t="shared" si="175"/>
        <v>1.2510425354462052E-2</v>
      </c>
      <c r="M1220" s="426">
        <f t="shared" si="176"/>
        <v>29.375229357798165</v>
      </c>
      <c r="N1220" s="148">
        <f t="shared" si="177"/>
        <v>10.801271834862387</v>
      </c>
      <c r="O1220" s="426">
        <v>10.961317215506462</v>
      </c>
      <c r="P1220" s="426">
        <f t="shared" si="178"/>
        <v>2.3099249374478732</v>
      </c>
      <c r="Q1220" s="426"/>
      <c r="R1220" s="532">
        <f t="shared" si="171"/>
        <v>1.7070175386487287E-2</v>
      </c>
    </row>
    <row r="1221" spans="1:18" s="6" customFormat="1" ht="15.75">
      <c r="A1221" s="55">
        <v>18</v>
      </c>
      <c r="B1221" s="55" t="s">
        <v>570</v>
      </c>
      <c r="C1221" s="55">
        <v>3376.98</v>
      </c>
      <c r="D1221" s="55"/>
      <c r="E1221" s="55"/>
      <c r="F1221" s="258">
        <f t="shared" si="173"/>
        <v>3376.98</v>
      </c>
      <c r="G1221" s="146">
        <v>1100</v>
      </c>
      <c r="H1221" s="146"/>
      <c r="I1221" s="146">
        <v>5000</v>
      </c>
      <c r="J1221" s="146">
        <v>72</v>
      </c>
      <c r="K1221" s="445">
        <f t="shared" si="174"/>
        <v>0</v>
      </c>
      <c r="L1221" s="179">
        <f t="shared" si="175"/>
        <v>1.5012510425354461E-2</v>
      </c>
      <c r="M1221" s="426">
        <f t="shared" si="176"/>
        <v>35.250275229357797</v>
      </c>
      <c r="N1221" s="148">
        <f t="shared" si="177"/>
        <v>12.961526201834863</v>
      </c>
      <c r="O1221" s="426">
        <v>13.153580658607753</v>
      </c>
      <c r="P1221" s="426">
        <f t="shared" si="178"/>
        <v>2.7719099249374475</v>
      </c>
      <c r="Q1221" s="426"/>
      <c r="R1221" s="532">
        <f t="shared" si="171"/>
        <v>1.8992499811884538E-2</v>
      </c>
    </row>
    <row r="1222" spans="1:18" s="6" customFormat="1" ht="15.75">
      <c r="A1222" s="55">
        <v>20</v>
      </c>
      <c r="B1222" s="55" t="s">
        <v>571</v>
      </c>
      <c r="C1222" s="55">
        <v>50.5</v>
      </c>
      <c r="D1222" s="55"/>
      <c r="E1222" s="55"/>
      <c r="F1222" s="258">
        <f t="shared" si="173"/>
        <v>50.5</v>
      </c>
      <c r="G1222" s="146">
        <v>1100</v>
      </c>
      <c r="H1222" s="146"/>
      <c r="I1222" s="146">
        <v>5000</v>
      </c>
      <c r="J1222" s="146"/>
      <c r="K1222" s="445">
        <f t="shared" si="174"/>
        <v>0</v>
      </c>
      <c r="L1222" s="179">
        <f t="shared" si="175"/>
        <v>0</v>
      </c>
      <c r="M1222" s="426">
        <f t="shared" si="176"/>
        <v>0</v>
      </c>
      <c r="N1222" s="148">
        <f t="shared" si="177"/>
        <v>0</v>
      </c>
      <c r="O1222" s="426">
        <v>0</v>
      </c>
      <c r="P1222" s="426">
        <f t="shared" si="178"/>
        <v>0</v>
      </c>
      <c r="Q1222" s="426"/>
      <c r="R1222" s="532">
        <f t="shared" si="171"/>
        <v>0</v>
      </c>
    </row>
    <row r="1223" spans="1:18" s="6" customFormat="1" ht="15.75">
      <c r="A1223" s="55">
        <v>22</v>
      </c>
      <c r="B1223" s="55" t="s">
        <v>356</v>
      </c>
      <c r="C1223" s="55">
        <v>306.8</v>
      </c>
      <c r="D1223" s="55"/>
      <c r="E1223" s="55"/>
      <c r="F1223" s="258">
        <f t="shared" si="173"/>
        <v>306.8</v>
      </c>
      <c r="G1223" s="146">
        <v>1100</v>
      </c>
      <c r="H1223" s="146">
        <v>20</v>
      </c>
      <c r="I1223" s="146">
        <v>5000</v>
      </c>
      <c r="J1223" s="146">
        <v>16</v>
      </c>
      <c r="K1223" s="445">
        <f t="shared" si="174"/>
        <v>6.9930069930069935E-2</v>
      </c>
      <c r="L1223" s="179">
        <f t="shared" si="175"/>
        <v>3.336113427856547E-3</v>
      </c>
      <c r="M1223" s="426">
        <f t="shared" si="176"/>
        <v>172.03339449541284</v>
      </c>
      <c r="N1223" s="148">
        <f t="shared" si="177"/>
        <v>63.256679155963305</v>
      </c>
      <c r="O1223" s="426">
        <v>38.276310754481038</v>
      </c>
      <c r="P1223" s="426">
        <f t="shared" si="178"/>
        <v>0.68591005324950272</v>
      </c>
      <c r="Q1223" s="426"/>
      <c r="R1223" s="532">
        <f t="shared" ref="R1223:R1232" si="179">(P1223+O1223+N1223+M1223)/F1223</f>
        <v>0.89391230266983923</v>
      </c>
    </row>
    <row r="1224" spans="1:18" s="6" customFormat="1" ht="15.75">
      <c r="A1224" s="55">
        <v>23</v>
      </c>
      <c r="B1224" s="55" t="s">
        <v>357</v>
      </c>
      <c r="C1224" s="55">
        <v>304.18</v>
      </c>
      <c r="D1224" s="55"/>
      <c r="E1224" s="55"/>
      <c r="F1224" s="258">
        <f t="shared" si="173"/>
        <v>304.18</v>
      </c>
      <c r="G1224" s="146">
        <v>1100</v>
      </c>
      <c r="H1224" s="146">
        <v>20</v>
      </c>
      <c r="I1224" s="146">
        <v>5000</v>
      </c>
      <c r="J1224" s="146">
        <v>16</v>
      </c>
      <c r="K1224" s="445">
        <f>0.5/144*H1224</f>
        <v>6.9444444444444448E-2</v>
      </c>
      <c r="L1224" s="179">
        <f t="shared" si="175"/>
        <v>3.336113427856547E-3</v>
      </c>
      <c r="M1224" s="426">
        <f t="shared" si="176"/>
        <v>170.89311671763505</v>
      </c>
      <c r="N1224" s="148">
        <f t="shared" si="177"/>
        <v>62.837399017074411</v>
      </c>
      <c r="O1224" s="426">
        <v>12.758770251493679</v>
      </c>
      <c r="P1224" s="426">
        <f>K1224+L1224*84.64</f>
        <v>0.35181308497822261</v>
      </c>
      <c r="Q1224" s="426"/>
      <c r="R1224" s="532">
        <f>(P1224+O1224+N1224+M1224)/F1224</f>
        <v>0.8114968080451751</v>
      </c>
    </row>
    <row r="1225" spans="1:18" s="6" customFormat="1" ht="15.75">
      <c r="A1225" s="55">
        <v>24</v>
      </c>
      <c r="B1225" s="55" t="s">
        <v>358</v>
      </c>
      <c r="C1225" s="55">
        <v>823.48</v>
      </c>
      <c r="D1225" s="55"/>
      <c r="E1225" s="55"/>
      <c r="F1225" s="258">
        <f t="shared" si="173"/>
        <v>823.48</v>
      </c>
      <c r="G1225" s="146">
        <v>1100</v>
      </c>
      <c r="H1225" s="146">
        <v>44</v>
      </c>
      <c r="I1225" s="146">
        <v>5000</v>
      </c>
      <c r="J1225" s="146">
        <v>26</v>
      </c>
      <c r="K1225" s="445">
        <f t="shared" si="174"/>
        <v>0.15384615384615385</v>
      </c>
      <c r="L1225" s="179">
        <f t="shared" si="175"/>
        <v>5.4211843202668884E-3</v>
      </c>
      <c r="M1225" s="426">
        <f t="shared" si="176"/>
        <v>373.96926605504586</v>
      </c>
      <c r="N1225" s="148">
        <f t="shared" si="177"/>
        <v>137.50849912844038</v>
      </c>
      <c r="O1225" s="426">
        <v>138.66573746005278</v>
      </c>
      <c r="P1225" s="426">
        <f t="shared" si="178"/>
        <v>1.154813626740232</v>
      </c>
      <c r="Q1225" s="426"/>
      <c r="R1225" s="532">
        <f t="shared" si="179"/>
        <v>0.79090969576708503</v>
      </c>
    </row>
    <row r="1226" spans="1:18" s="6" customFormat="1" ht="15.75">
      <c r="A1226" s="55">
        <v>25</v>
      </c>
      <c r="B1226" s="55" t="s">
        <v>359</v>
      </c>
      <c r="C1226" s="55">
        <v>733.47</v>
      </c>
      <c r="D1226" s="55"/>
      <c r="E1226" s="55">
        <v>70</v>
      </c>
      <c r="F1226" s="258">
        <f t="shared" si="173"/>
        <v>803.47</v>
      </c>
      <c r="G1226" s="146">
        <v>1100</v>
      </c>
      <c r="H1226" s="146">
        <v>41</v>
      </c>
      <c r="I1226" s="146">
        <v>5000</v>
      </c>
      <c r="J1226" s="146">
        <v>23</v>
      </c>
      <c r="K1226" s="445">
        <f t="shared" si="174"/>
        <v>0.14335664335664336</v>
      </c>
      <c r="L1226" s="179">
        <f t="shared" si="175"/>
        <v>4.7956630525437865E-3</v>
      </c>
      <c r="M1226" s="426">
        <f t="shared" si="176"/>
        <v>347.87050458715595</v>
      </c>
      <c r="N1226" s="148">
        <f t="shared" si="177"/>
        <v>127.91198453669725</v>
      </c>
      <c r="O1226" s="426">
        <v>128.98704659927745</v>
      </c>
      <c r="P1226" s="426">
        <f t="shared" si="178"/>
        <v>1.0288278693783282</v>
      </c>
      <c r="Q1226" s="426"/>
      <c r="R1226" s="532">
        <f t="shared" si="179"/>
        <v>0.7539775767514767</v>
      </c>
    </row>
    <row r="1227" spans="1:18" s="6" customFormat="1" ht="15.75">
      <c r="A1227" s="55">
        <v>26</v>
      </c>
      <c r="B1227" s="55" t="s">
        <v>360</v>
      </c>
      <c r="C1227" s="55">
        <v>4465.32</v>
      </c>
      <c r="D1227" s="55"/>
      <c r="E1227" s="55"/>
      <c r="F1227" s="258">
        <f t="shared" si="173"/>
        <v>4465.32</v>
      </c>
      <c r="G1227" s="146">
        <v>1100</v>
      </c>
      <c r="H1227" s="146"/>
      <c r="I1227" s="146">
        <v>5000</v>
      </c>
      <c r="J1227" s="146">
        <v>160</v>
      </c>
      <c r="K1227" s="445">
        <f t="shared" si="174"/>
        <v>0</v>
      </c>
      <c r="L1227" s="179">
        <f t="shared" si="175"/>
        <v>3.336113427856547E-2</v>
      </c>
      <c r="M1227" s="426">
        <f t="shared" si="176"/>
        <v>78.333944954128441</v>
      </c>
      <c r="N1227" s="148">
        <f t="shared" si="177"/>
        <v>28.803391559633031</v>
      </c>
      <c r="O1227" s="426">
        <v>29.230179241350562</v>
      </c>
      <c r="P1227" s="426">
        <f t="shared" si="178"/>
        <v>6.1597998331943282</v>
      </c>
      <c r="Q1227" s="426"/>
      <c r="R1227" s="532">
        <f t="shared" si="179"/>
        <v>3.1918723761859474E-2</v>
      </c>
    </row>
    <row r="1228" spans="1:18" s="6" customFormat="1" ht="15.75">
      <c r="A1228" s="55">
        <v>27</v>
      </c>
      <c r="B1228" s="55" t="s">
        <v>361</v>
      </c>
      <c r="C1228" s="55">
        <v>2218.6799999999998</v>
      </c>
      <c r="D1228" s="55"/>
      <c r="E1228" s="55"/>
      <c r="F1228" s="258">
        <f t="shared" si="173"/>
        <v>2218.6799999999998</v>
      </c>
      <c r="G1228" s="146">
        <v>1100</v>
      </c>
      <c r="H1228" s="146"/>
      <c r="I1228" s="146">
        <v>5000</v>
      </c>
      <c r="J1228" s="146">
        <v>80</v>
      </c>
      <c r="K1228" s="445">
        <f t="shared" si="174"/>
        <v>0</v>
      </c>
      <c r="L1228" s="179">
        <f t="shared" si="175"/>
        <v>1.6680567139282735E-2</v>
      </c>
      <c r="M1228" s="426">
        <f t="shared" si="176"/>
        <v>39.16697247706422</v>
      </c>
      <c r="N1228" s="148">
        <f t="shared" si="177"/>
        <v>14.401695779816515</v>
      </c>
      <c r="O1228" s="426">
        <v>14.615089620675281</v>
      </c>
      <c r="P1228" s="426">
        <f t="shared" si="178"/>
        <v>3.0798999165971641</v>
      </c>
      <c r="Q1228" s="426"/>
      <c r="R1228" s="532">
        <f t="shared" si="179"/>
        <v>3.2119845040363269E-2</v>
      </c>
    </row>
    <row r="1229" spans="1:18" s="6" customFormat="1" ht="15.75">
      <c r="A1229" s="55">
        <v>28</v>
      </c>
      <c r="B1229" s="55" t="s">
        <v>362</v>
      </c>
      <c r="C1229" s="55">
        <v>120.8</v>
      </c>
      <c r="D1229" s="55"/>
      <c r="E1229" s="55"/>
      <c r="F1229" s="258">
        <f t="shared" si="173"/>
        <v>120.8</v>
      </c>
      <c r="G1229" s="146">
        <v>1100</v>
      </c>
      <c r="H1229" s="146">
        <v>3</v>
      </c>
      <c r="I1229" s="146">
        <v>5000</v>
      </c>
      <c r="J1229" s="146">
        <v>3</v>
      </c>
      <c r="K1229" s="445">
        <f t="shared" si="174"/>
        <v>1.048951048951049E-2</v>
      </c>
      <c r="L1229" s="179">
        <f t="shared" si="175"/>
        <v>6.2552126772310256E-4</v>
      </c>
      <c r="M1229" s="426">
        <f t="shared" si="176"/>
        <v>26.098761467889908</v>
      </c>
      <c r="N1229" s="148">
        <f t="shared" si="177"/>
        <v>9.5965145917431194</v>
      </c>
      <c r="O1229" s="426">
        <v>9.6786908607753226</v>
      </c>
      <c r="P1229" s="426">
        <f t="shared" si="178"/>
        <v>0.12598575736190415</v>
      </c>
      <c r="Q1229" s="426"/>
      <c r="R1229" s="532">
        <f t="shared" si="179"/>
        <v>0.37665523739876039</v>
      </c>
    </row>
    <row r="1230" spans="1:18" s="6" customFormat="1" ht="15.75">
      <c r="A1230" s="55">
        <v>30</v>
      </c>
      <c r="B1230" s="55" t="s">
        <v>363</v>
      </c>
      <c r="C1230" s="55">
        <v>174.6</v>
      </c>
      <c r="D1230" s="55"/>
      <c r="E1230" s="55"/>
      <c r="F1230" s="258">
        <f t="shared" si="173"/>
        <v>174.6</v>
      </c>
      <c r="G1230" s="146">
        <v>1100</v>
      </c>
      <c r="H1230" s="146">
        <v>10</v>
      </c>
      <c r="I1230" s="146">
        <v>5000</v>
      </c>
      <c r="J1230" s="146">
        <v>8</v>
      </c>
      <c r="K1230" s="445">
        <f t="shared" si="174"/>
        <v>3.4965034965034968E-2</v>
      </c>
      <c r="L1230" s="179">
        <f t="shared" si="175"/>
        <v>1.6680567139282735E-3</v>
      </c>
      <c r="M1230" s="426">
        <f t="shared" si="176"/>
        <v>86.016697247706418</v>
      </c>
      <c r="N1230" s="148">
        <f t="shared" si="177"/>
        <v>31.628339577981652</v>
      </c>
      <c r="O1230" s="426">
        <v>31.896925628734198</v>
      </c>
      <c r="P1230" s="426">
        <f t="shared" si="178"/>
        <v>0.34295502662475136</v>
      </c>
      <c r="Q1230" s="426"/>
      <c r="R1230" s="532">
        <f t="shared" si="179"/>
        <v>0.85844740825341936</v>
      </c>
    </row>
    <row r="1231" spans="1:18" s="6" customFormat="1" ht="15.75">
      <c r="A1231" s="55">
        <v>31</v>
      </c>
      <c r="B1231" s="55" t="s">
        <v>364</v>
      </c>
      <c r="C1231" s="55">
        <v>139.19999999999999</v>
      </c>
      <c r="D1231" s="55"/>
      <c r="E1231" s="55"/>
      <c r="F1231" s="258">
        <f t="shared" si="173"/>
        <v>139.19999999999999</v>
      </c>
      <c r="G1231" s="146">
        <v>1100</v>
      </c>
      <c r="H1231" s="146">
        <v>5</v>
      </c>
      <c r="I1231" s="146">
        <v>5000</v>
      </c>
      <c r="J1231" s="146">
        <v>4</v>
      </c>
      <c r="K1231" s="445">
        <f t="shared" si="174"/>
        <v>1.7482517482517484E-2</v>
      </c>
      <c r="L1231" s="179">
        <f t="shared" si="175"/>
        <v>8.3402835696413675E-4</v>
      </c>
      <c r="M1231" s="426">
        <f t="shared" si="176"/>
        <v>43.008348623853209</v>
      </c>
      <c r="N1231" s="148">
        <f t="shared" si="177"/>
        <v>15.814169788990826</v>
      </c>
      <c r="O1231" s="426">
        <v>15.948462814367099</v>
      </c>
      <c r="P1231" s="426">
        <f t="shared" si="178"/>
        <v>0.17147751331237568</v>
      </c>
      <c r="Q1231" s="426"/>
      <c r="R1231" s="532">
        <f t="shared" si="179"/>
        <v>0.53837973233134706</v>
      </c>
    </row>
    <row r="1232" spans="1:18" s="69" customFormat="1" ht="15.75">
      <c r="A1232" s="161"/>
      <c r="B1232" s="161" t="s">
        <v>572</v>
      </c>
      <c r="C1232" s="161">
        <f>SUM(C1204:C1231)</f>
        <v>91831.689999999973</v>
      </c>
      <c r="D1232" s="161">
        <f>SUM(D1204:D1231)</f>
        <v>612.9</v>
      </c>
      <c r="E1232" s="161">
        <f>SUM(E1204:E1231)</f>
        <v>735</v>
      </c>
      <c r="F1232" s="452">
        <f t="shared" si="173"/>
        <v>93179.589999999967</v>
      </c>
      <c r="G1232" s="173">
        <v>1100</v>
      </c>
      <c r="H1232" s="173">
        <f>SUM(H1204:H1231)</f>
        <v>143</v>
      </c>
      <c r="I1232" s="173">
        <v>5000</v>
      </c>
      <c r="J1232" s="173">
        <f>SUM(J1204:J1231)</f>
        <v>2398</v>
      </c>
      <c r="K1232" s="445">
        <f>0.5/143*H1232</f>
        <v>0.5</v>
      </c>
      <c r="L1232" s="179">
        <f>0.5/2398*J1232</f>
        <v>0.5</v>
      </c>
      <c r="M1232" s="426">
        <f>(K1232+L1232)*2348.06</f>
        <v>2348.06</v>
      </c>
      <c r="N1232" s="177">
        <f t="shared" si="177"/>
        <v>863.38166200000001</v>
      </c>
      <c r="O1232" s="426">
        <f>SUM(O1204:O1231)</f>
        <v>796.7611482041126</v>
      </c>
      <c r="P1232" s="276">
        <f>K1232+L1232*184.64</f>
        <v>92.82</v>
      </c>
      <c r="Q1232" s="276"/>
      <c r="R1232" s="532">
        <f t="shared" si="179"/>
        <v>4.4012028923974815E-2</v>
      </c>
    </row>
    <row r="1233" spans="1:18" s="6" customFormat="1" ht="16.5" thickBot="1">
      <c r="A1233" s="127"/>
      <c r="B1233" s="127"/>
      <c r="C1233" s="127"/>
      <c r="D1233" s="127"/>
      <c r="E1233" s="127"/>
      <c r="F1233" s="212"/>
      <c r="G1233" s="128"/>
      <c r="H1233" s="128"/>
      <c r="I1233" s="128"/>
      <c r="J1233" s="128"/>
      <c r="K1233" s="118"/>
      <c r="L1233" s="118"/>
      <c r="M1233" s="118"/>
      <c r="N1233" s="118"/>
      <c r="O1233" s="118"/>
      <c r="P1233" s="118"/>
      <c r="Q1233" s="118"/>
      <c r="R1233" s="693"/>
    </row>
    <row r="1234" spans="1:18" s="384" customFormat="1" ht="17.25" thickBot="1">
      <c r="A1234" s="709"/>
      <c r="B1234" s="215" t="s">
        <v>624</v>
      </c>
      <c r="C1234" s="603">
        <f t="shared" ref="C1234:N1234" si="180">C1232+C1202+C1146+C879+C747+C535+C384+C90+C67</f>
        <v>1871681.0599999996</v>
      </c>
      <c r="D1234" s="603">
        <f t="shared" si="180"/>
        <v>10680.369999999999</v>
      </c>
      <c r="E1234" s="603">
        <f t="shared" si="180"/>
        <v>25132.499999999996</v>
      </c>
      <c r="F1234" s="603">
        <f t="shared" si="180"/>
        <v>1907493.9299999997</v>
      </c>
      <c r="G1234" s="603">
        <f t="shared" si="180"/>
        <v>9900</v>
      </c>
      <c r="H1234" s="603">
        <f t="shared" si="180"/>
        <v>21487</v>
      </c>
      <c r="I1234" s="603">
        <f t="shared" si="180"/>
        <v>45000</v>
      </c>
      <c r="J1234" s="603">
        <f t="shared" si="180"/>
        <v>69423</v>
      </c>
      <c r="K1234" s="603">
        <f t="shared" si="180"/>
        <v>5.0999999999999996</v>
      </c>
      <c r="L1234" s="603">
        <f t="shared" si="180"/>
        <v>9.9</v>
      </c>
      <c r="M1234" s="603">
        <f t="shared" si="180"/>
        <v>31342.679999999997</v>
      </c>
      <c r="N1234" s="603">
        <f t="shared" si="180"/>
        <v>11524.703436</v>
      </c>
      <c r="O1234" s="603">
        <v>13783.633034124905</v>
      </c>
      <c r="P1234" s="603">
        <f>P1232+P1202+P1146+P879+P747+P535+P384+P90+P67</f>
        <v>1884.7351999999996</v>
      </c>
      <c r="Q1234" s="603"/>
      <c r="R1234" s="603">
        <f>R1232+R1202+R1146+R879+R747+R535+R384+R90+R67</f>
        <v>0.28689653050188041</v>
      </c>
    </row>
    <row r="1235" spans="1:18" s="6" customFormat="1" ht="15.75">
      <c r="A1235" s="523"/>
      <c r="B1235" s="523"/>
      <c r="C1235" s="523"/>
      <c r="D1235" s="523"/>
      <c r="E1235" s="523"/>
      <c r="F1235" s="442"/>
      <c r="G1235" s="406"/>
      <c r="H1235" s="406"/>
      <c r="I1235" s="406"/>
      <c r="J1235" s="406"/>
      <c r="K1235" s="421"/>
      <c r="L1235" s="421"/>
      <c r="M1235" s="421"/>
      <c r="N1235" s="421"/>
      <c r="O1235" s="421"/>
      <c r="P1235" s="421"/>
      <c r="Q1235" s="421"/>
      <c r="R1235" s="694"/>
    </row>
    <row r="1236" spans="1:18" s="6" customFormat="1" ht="15.75">
      <c r="A1236" s="523"/>
      <c r="B1236" s="523"/>
      <c r="C1236" s="523"/>
      <c r="D1236" s="523"/>
      <c r="E1236" s="523"/>
      <c r="F1236" s="442"/>
      <c r="G1236" s="406"/>
      <c r="H1236" s="406"/>
      <c r="I1236" s="406"/>
      <c r="J1236" s="406"/>
      <c r="K1236" s="421"/>
      <c r="L1236" s="421"/>
      <c r="M1236" s="421"/>
      <c r="N1236" s="421"/>
      <c r="O1236" s="421"/>
      <c r="P1236" s="421"/>
      <c r="Q1236" s="421"/>
      <c r="R1236" s="694"/>
    </row>
    <row r="1237" spans="1:18" s="6" customFormat="1" ht="15.75">
      <c r="A1237" s="523"/>
      <c r="B1237" s="523"/>
      <c r="C1237" s="523"/>
      <c r="D1237" s="523"/>
      <c r="E1237" s="523"/>
      <c r="F1237" s="442"/>
      <c r="G1237" s="406"/>
      <c r="H1237" s="406"/>
      <c r="I1237" s="406"/>
      <c r="J1237" s="406"/>
      <c r="K1237" s="421"/>
      <c r="L1237" s="421"/>
      <c r="M1237" s="421"/>
      <c r="N1237" s="421"/>
      <c r="O1237" s="421"/>
      <c r="P1237" s="421"/>
      <c r="Q1237" s="421"/>
      <c r="R1237" s="694"/>
    </row>
    <row r="1238" spans="1:18" s="6" customFormat="1" ht="15.75">
      <c r="A1238" s="523"/>
      <c r="B1238" s="523"/>
      <c r="C1238" s="523"/>
      <c r="D1238" s="523"/>
      <c r="E1238" s="523"/>
      <c r="F1238" s="442"/>
      <c r="G1238" s="406"/>
      <c r="H1238" s="406"/>
      <c r="I1238" s="406"/>
      <c r="J1238" s="406"/>
      <c r="K1238" s="421"/>
      <c r="L1238" s="421"/>
      <c r="M1238" s="421"/>
      <c r="N1238" s="421"/>
      <c r="O1238" s="421"/>
      <c r="P1238" s="421"/>
      <c r="Q1238" s="421"/>
      <c r="R1238" s="694"/>
    </row>
    <row r="1239" spans="1:18" s="6" customFormat="1" ht="15.75">
      <c r="A1239" s="523"/>
      <c r="B1239" s="523"/>
      <c r="C1239" s="523"/>
      <c r="D1239" s="523"/>
      <c r="E1239" s="523"/>
      <c r="F1239" s="442"/>
      <c r="G1239" s="406"/>
      <c r="H1239" s="406"/>
      <c r="I1239" s="406">
        <f>H1232/G1232</f>
        <v>0.13</v>
      </c>
      <c r="J1239" s="406">
        <f>J1232/I1232</f>
        <v>0.47960000000000003</v>
      </c>
      <c r="K1239" s="421">
        <f>I1239+J1239</f>
        <v>0.60960000000000003</v>
      </c>
      <c r="L1239" s="421"/>
      <c r="M1239" s="421"/>
      <c r="N1239" s="421"/>
      <c r="O1239" s="421"/>
      <c r="P1239" s="421"/>
      <c r="Q1239" s="421"/>
      <c r="R1239" s="694"/>
    </row>
    <row r="1240" spans="1:18" s="6" customFormat="1" ht="15.75">
      <c r="A1240" s="523"/>
      <c r="B1240" s="523"/>
      <c r="C1240" s="523"/>
      <c r="D1240" s="523"/>
      <c r="E1240" s="523"/>
      <c r="F1240" s="442"/>
      <c r="G1240" s="406"/>
      <c r="H1240" s="406"/>
      <c r="I1240" s="406"/>
      <c r="J1240" s="406"/>
      <c r="K1240" s="421">
        <f>I1239/K1239</f>
        <v>0.21325459317585302</v>
      </c>
      <c r="L1240" s="421">
        <f>J1239/K1239</f>
        <v>0.78674540682414695</v>
      </c>
      <c r="M1240" s="421"/>
      <c r="N1240" s="421"/>
      <c r="O1240" s="421"/>
      <c r="P1240" s="421"/>
      <c r="Q1240" s="421"/>
      <c r="R1240" s="694"/>
    </row>
    <row r="1241" spans="1:18" s="6" customFormat="1" ht="15.75">
      <c r="A1241" s="523"/>
      <c r="B1241" s="523"/>
      <c r="C1241" s="523"/>
      <c r="D1241" s="523"/>
      <c r="E1241" s="523"/>
      <c r="F1241" s="442"/>
      <c r="G1241" s="406"/>
      <c r="H1241" s="406"/>
      <c r="I1241" s="406"/>
      <c r="J1241" s="406"/>
      <c r="K1241" s="421"/>
      <c r="L1241" s="421"/>
      <c r="M1241" s="421"/>
      <c r="N1241" s="421"/>
      <c r="O1241" s="421"/>
      <c r="P1241" s="421"/>
      <c r="Q1241" s="421"/>
      <c r="R1241" s="694"/>
    </row>
    <row r="1242" spans="1:18" s="6" customFormat="1" ht="15.75">
      <c r="A1242" s="523"/>
      <c r="B1242" s="523"/>
      <c r="C1242" s="523"/>
      <c r="D1242" s="523"/>
      <c r="E1242" s="523"/>
      <c r="F1242" s="442"/>
      <c r="G1242" s="406"/>
      <c r="H1242" s="406"/>
      <c r="I1242" s="406"/>
      <c r="J1242" s="406"/>
      <c r="K1242" s="421"/>
      <c r="L1242" s="421"/>
      <c r="M1242" s="421"/>
      <c r="N1242" s="421"/>
      <c r="O1242" s="421"/>
      <c r="P1242" s="421"/>
      <c r="Q1242" s="421"/>
      <c r="R1242" s="694"/>
    </row>
    <row r="1243" spans="1:18" s="6" customFormat="1" ht="15.75">
      <c r="A1243" s="523"/>
      <c r="B1243" s="523"/>
      <c r="C1243" s="523"/>
      <c r="D1243" s="523"/>
      <c r="E1243" s="523"/>
      <c r="F1243" s="442"/>
      <c r="G1243" s="406"/>
      <c r="H1243" s="406"/>
      <c r="I1243" s="406"/>
      <c r="J1243" s="406"/>
      <c r="K1243" s="421"/>
      <c r="L1243" s="421"/>
      <c r="M1243" s="421"/>
      <c r="N1243" s="421"/>
      <c r="O1243" s="421"/>
      <c r="P1243" s="421"/>
      <c r="Q1243" s="421"/>
      <c r="R1243" s="694"/>
    </row>
    <row r="1244" spans="1:18" s="6" customFormat="1" ht="15.75">
      <c r="A1244" s="523"/>
      <c r="B1244" s="523"/>
      <c r="C1244" s="523"/>
      <c r="D1244" s="523"/>
      <c r="E1244" s="523"/>
      <c r="F1244" s="442"/>
      <c r="G1244" s="406"/>
      <c r="H1244" s="406"/>
      <c r="I1244" s="406"/>
      <c r="J1244" s="406"/>
      <c r="K1244" s="421"/>
      <c r="L1244" s="421"/>
      <c r="M1244" s="421"/>
      <c r="N1244" s="421"/>
      <c r="O1244" s="421"/>
      <c r="P1244" s="421"/>
      <c r="Q1244" s="421"/>
      <c r="R1244" s="694"/>
    </row>
    <row r="1245" spans="1:18" s="6" customFormat="1" ht="15.75">
      <c r="A1245" s="523"/>
      <c r="B1245" s="523"/>
      <c r="C1245" s="523"/>
      <c r="D1245" s="523"/>
      <c r="E1245" s="523"/>
      <c r="F1245" s="442"/>
      <c r="G1245" s="406"/>
      <c r="H1245" s="406"/>
      <c r="I1245" s="406"/>
      <c r="J1245" s="406"/>
      <c r="K1245" s="421"/>
      <c r="L1245" s="421"/>
      <c r="M1245" s="421"/>
      <c r="N1245" s="421"/>
      <c r="O1245" s="421"/>
      <c r="P1245" s="421"/>
      <c r="Q1245" s="421"/>
      <c r="R1245" s="694"/>
    </row>
    <row r="1246" spans="1:18" s="6" customFormat="1" ht="15.75">
      <c r="A1246" s="523"/>
      <c r="B1246" s="523"/>
      <c r="C1246" s="523"/>
      <c r="D1246" s="523"/>
      <c r="E1246" s="523"/>
      <c r="F1246" s="442"/>
      <c r="G1246" s="406"/>
      <c r="H1246" s="406"/>
      <c r="I1246" s="406"/>
      <c r="J1246" s="406"/>
      <c r="K1246" s="421"/>
      <c r="L1246" s="421"/>
      <c r="M1246" s="421"/>
      <c r="N1246" s="421"/>
      <c r="O1246" s="421"/>
      <c r="P1246" s="421"/>
      <c r="Q1246" s="421"/>
      <c r="R1246" s="694"/>
    </row>
    <row r="1247" spans="1:18" s="6" customFormat="1" ht="15.75">
      <c r="A1247" s="523"/>
      <c r="B1247" s="523"/>
      <c r="C1247" s="523"/>
      <c r="D1247" s="523"/>
      <c r="E1247" s="523"/>
      <c r="F1247" s="442"/>
      <c r="G1247" s="406"/>
      <c r="H1247" s="406"/>
      <c r="I1247" s="406"/>
      <c r="J1247" s="406"/>
      <c r="K1247" s="421"/>
      <c r="L1247" s="421"/>
      <c r="M1247" s="421"/>
      <c r="N1247" s="421"/>
      <c r="O1247" s="421"/>
      <c r="P1247" s="421"/>
      <c r="Q1247" s="421"/>
      <c r="R1247" s="694"/>
    </row>
    <row r="1248" spans="1:18" s="6" customFormat="1" ht="15.75">
      <c r="A1248" s="523"/>
      <c r="B1248" s="523"/>
      <c r="C1248" s="523"/>
      <c r="D1248" s="523"/>
      <c r="E1248" s="523"/>
      <c r="F1248" s="442"/>
      <c r="G1248" s="406"/>
      <c r="H1248" s="406"/>
      <c r="I1248" s="406"/>
      <c r="J1248" s="406"/>
      <c r="K1248" s="421"/>
      <c r="L1248" s="421"/>
      <c r="M1248" s="421"/>
      <c r="N1248" s="421"/>
      <c r="O1248" s="421"/>
      <c r="P1248" s="421"/>
      <c r="Q1248" s="421"/>
      <c r="R1248" s="694"/>
    </row>
    <row r="1249" spans="1:18" s="6" customFormat="1" ht="15.75">
      <c r="A1249" s="523"/>
      <c r="B1249" s="523"/>
      <c r="C1249" s="523"/>
      <c r="D1249" s="523"/>
      <c r="E1249" s="523"/>
      <c r="F1249" s="442"/>
      <c r="G1249" s="406"/>
      <c r="H1249" s="406"/>
      <c r="I1249" s="406"/>
      <c r="J1249" s="406"/>
      <c r="K1249" s="421"/>
      <c r="L1249" s="421"/>
      <c r="M1249" s="421"/>
      <c r="N1249" s="421"/>
      <c r="O1249" s="421"/>
      <c r="P1249" s="421"/>
      <c r="Q1249" s="421"/>
      <c r="R1249" s="694"/>
    </row>
    <row r="1250" spans="1:18" s="6" customFormat="1" ht="15.75">
      <c r="A1250" s="523"/>
      <c r="B1250" s="523"/>
      <c r="C1250" s="523"/>
      <c r="D1250" s="523"/>
      <c r="E1250" s="523"/>
      <c r="F1250" s="442"/>
      <c r="G1250" s="406"/>
      <c r="H1250" s="406"/>
      <c r="I1250" s="406"/>
      <c r="J1250" s="406"/>
      <c r="K1250" s="421"/>
      <c r="L1250" s="421"/>
      <c r="M1250" s="421"/>
      <c r="N1250" s="421"/>
      <c r="O1250" s="421"/>
      <c r="P1250" s="421"/>
      <c r="Q1250" s="421"/>
      <c r="R1250" s="694"/>
    </row>
    <row r="1251" spans="1:18" s="6" customFormat="1" ht="15.75">
      <c r="A1251" s="523"/>
      <c r="B1251" s="523"/>
      <c r="C1251" s="523"/>
      <c r="D1251" s="523"/>
      <c r="E1251" s="523"/>
      <c r="F1251" s="442"/>
      <c r="G1251" s="406"/>
      <c r="H1251" s="406"/>
      <c r="I1251" s="406"/>
      <c r="J1251" s="406"/>
      <c r="K1251" s="421"/>
      <c r="L1251" s="421"/>
      <c r="M1251" s="421"/>
      <c r="N1251" s="421"/>
      <c r="O1251" s="421"/>
      <c r="P1251" s="421"/>
      <c r="Q1251" s="421"/>
      <c r="R1251" s="694"/>
    </row>
    <row r="1252" spans="1:18" s="6" customFormat="1" ht="15.75">
      <c r="A1252" s="523"/>
      <c r="B1252" s="523"/>
      <c r="C1252" s="523"/>
      <c r="D1252" s="523"/>
      <c r="E1252" s="523"/>
      <c r="F1252" s="442"/>
      <c r="G1252" s="406"/>
      <c r="H1252" s="406"/>
      <c r="I1252" s="406"/>
      <c r="J1252" s="406"/>
      <c r="K1252" s="421"/>
      <c r="L1252" s="421"/>
      <c r="M1252" s="421"/>
      <c r="N1252" s="421"/>
      <c r="O1252" s="421"/>
      <c r="P1252" s="421"/>
      <c r="Q1252" s="421"/>
      <c r="R1252" s="694"/>
    </row>
    <row r="1253" spans="1:18" s="6" customFormat="1" ht="15.75">
      <c r="A1253" s="523"/>
      <c r="B1253" s="523"/>
      <c r="C1253" s="523"/>
      <c r="D1253" s="523"/>
      <c r="E1253" s="523"/>
      <c r="F1253" s="442"/>
      <c r="G1253" s="406"/>
      <c r="H1253" s="406"/>
      <c r="I1253" s="406"/>
      <c r="J1253" s="406"/>
      <c r="K1253" s="421"/>
      <c r="L1253" s="421"/>
      <c r="M1253" s="421"/>
      <c r="N1253" s="421"/>
      <c r="O1253" s="421"/>
      <c r="P1253" s="421"/>
      <c r="Q1253" s="421"/>
      <c r="R1253" s="694"/>
    </row>
    <row r="1254" spans="1:18" s="6" customFormat="1" ht="15.75">
      <c r="A1254" s="523"/>
      <c r="B1254" s="523"/>
      <c r="C1254" s="523"/>
      <c r="D1254" s="523"/>
      <c r="E1254" s="523"/>
      <c r="F1254" s="442"/>
      <c r="G1254" s="406"/>
      <c r="H1254" s="406"/>
      <c r="I1254" s="406"/>
      <c r="J1254" s="406"/>
      <c r="K1254" s="421"/>
      <c r="L1254" s="421"/>
      <c r="M1254" s="421"/>
      <c r="N1254" s="421"/>
      <c r="O1254" s="421"/>
      <c r="P1254" s="421"/>
      <c r="Q1254" s="421"/>
      <c r="R1254" s="694"/>
    </row>
    <row r="1255" spans="1:18" s="6" customFormat="1" ht="15.75">
      <c r="A1255" s="523"/>
      <c r="B1255" s="523"/>
      <c r="C1255" s="523"/>
      <c r="D1255" s="523"/>
      <c r="E1255" s="523"/>
      <c r="F1255" s="442"/>
      <c r="G1255" s="406"/>
      <c r="H1255" s="406"/>
      <c r="I1255" s="406"/>
      <c r="J1255" s="406"/>
      <c r="K1255" s="421"/>
      <c r="L1255" s="421"/>
      <c r="M1255" s="421"/>
      <c r="N1255" s="421"/>
      <c r="O1255" s="421"/>
      <c r="P1255" s="421"/>
      <c r="Q1255" s="421"/>
      <c r="R1255" s="694"/>
    </row>
    <row r="1256" spans="1:18" s="6" customFormat="1" ht="15.75">
      <c r="A1256" s="523"/>
      <c r="B1256" s="523"/>
      <c r="C1256" s="523"/>
      <c r="D1256" s="523"/>
      <c r="E1256" s="523"/>
      <c r="F1256" s="442"/>
      <c r="G1256" s="406"/>
      <c r="H1256" s="406"/>
      <c r="I1256" s="406"/>
      <c r="J1256" s="406"/>
      <c r="K1256" s="421"/>
      <c r="L1256" s="421"/>
      <c r="M1256" s="421"/>
      <c r="N1256" s="421"/>
      <c r="O1256" s="421"/>
      <c r="P1256" s="421"/>
      <c r="Q1256" s="421"/>
      <c r="R1256" s="694"/>
    </row>
    <row r="1257" spans="1:18" s="6" customFormat="1" ht="15.75">
      <c r="A1257" s="523"/>
      <c r="B1257" s="523"/>
      <c r="C1257" s="523"/>
      <c r="D1257" s="523"/>
      <c r="E1257" s="523"/>
      <c r="F1257" s="442"/>
      <c r="G1257" s="406"/>
      <c r="H1257" s="406"/>
      <c r="I1257" s="406"/>
      <c r="J1257" s="406"/>
      <c r="K1257" s="421"/>
      <c r="L1257" s="421"/>
      <c r="M1257" s="421"/>
      <c r="N1257" s="421"/>
      <c r="O1257" s="421"/>
      <c r="P1257" s="421"/>
      <c r="Q1257" s="421"/>
      <c r="R1257" s="694"/>
    </row>
    <row r="1258" spans="1:18" s="6" customFormat="1" ht="15.75">
      <c r="A1258" s="523"/>
      <c r="B1258" s="523"/>
      <c r="C1258" s="523"/>
      <c r="D1258" s="523"/>
      <c r="E1258" s="523"/>
      <c r="F1258" s="442"/>
      <c r="G1258" s="406"/>
      <c r="H1258" s="406"/>
      <c r="I1258" s="406"/>
      <c r="J1258" s="406"/>
      <c r="K1258" s="421"/>
      <c r="L1258" s="421"/>
      <c r="M1258" s="421"/>
      <c r="N1258" s="421"/>
      <c r="O1258" s="421"/>
      <c r="P1258" s="421"/>
      <c r="Q1258" s="421"/>
      <c r="R1258" s="694"/>
    </row>
    <row r="1259" spans="1:18" s="6" customFormat="1" ht="15.75">
      <c r="A1259" s="523"/>
      <c r="B1259" s="523"/>
      <c r="C1259" s="523"/>
      <c r="D1259" s="523"/>
      <c r="E1259" s="523"/>
      <c r="F1259" s="442"/>
      <c r="G1259" s="406"/>
      <c r="H1259" s="406"/>
      <c r="I1259" s="406"/>
      <c r="J1259" s="406"/>
      <c r="K1259" s="421"/>
      <c r="L1259" s="421"/>
      <c r="M1259" s="421"/>
      <c r="N1259" s="421"/>
      <c r="O1259" s="421"/>
      <c r="P1259" s="421"/>
      <c r="Q1259" s="421"/>
      <c r="R1259" s="694"/>
    </row>
    <row r="1260" spans="1:18" s="6" customFormat="1" ht="15.75">
      <c r="A1260" s="523"/>
      <c r="B1260" s="523"/>
      <c r="C1260" s="523"/>
      <c r="D1260" s="523"/>
      <c r="E1260" s="523"/>
      <c r="F1260" s="442"/>
      <c r="G1260" s="406"/>
      <c r="H1260" s="406"/>
      <c r="I1260" s="406"/>
      <c r="J1260" s="406"/>
      <c r="K1260" s="421"/>
      <c r="L1260" s="421"/>
      <c r="M1260" s="421"/>
      <c r="N1260" s="421"/>
      <c r="O1260" s="421"/>
      <c r="P1260" s="421"/>
      <c r="Q1260" s="421"/>
      <c r="R1260" s="694"/>
    </row>
    <row r="1261" spans="1:18" s="10" customFormat="1" ht="15.75">
      <c r="A1261" s="695"/>
      <c r="B1261" s="695"/>
      <c r="C1261" s="695"/>
      <c r="D1261" s="695"/>
      <c r="E1261" s="695"/>
      <c r="F1261" s="442"/>
      <c r="G1261" s="406"/>
      <c r="H1261" s="406"/>
      <c r="I1261" s="406"/>
      <c r="J1261" s="406"/>
      <c r="K1261" s="421"/>
      <c r="L1261" s="421"/>
      <c r="M1261" s="421"/>
      <c r="N1261" s="421"/>
      <c r="O1261" s="421"/>
      <c r="P1261" s="421"/>
      <c r="Q1261" s="421"/>
      <c r="R1261" s="694"/>
    </row>
    <row r="1262" spans="1:18" s="10" customFormat="1" ht="15.75">
      <c r="A1262" s="695"/>
      <c r="B1262" s="695"/>
      <c r="C1262" s="695"/>
      <c r="D1262" s="695"/>
      <c r="E1262" s="695"/>
      <c r="F1262" s="442"/>
      <c r="G1262" s="406"/>
      <c r="H1262" s="406"/>
      <c r="I1262" s="406"/>
      <c r="J1262" s="406"/>
      <c r="K1262" s="421"/>
      <c r="L1262" s="421"/>
      <c r="M1262" s="421"/>
      <c r="N1262" s="421"/>
      <c r="O1262" s="421"/>
      <c r="P1262" s="421"/>
      <c r="Q1262" s="421"/>
      <c r="R1262" s="694"/>
    </row>
    <row r="1263" spans="1:18" s="10" customFormat="1" ht="15.75">
      <c r="A1263" s="695"/>
      <c r="B1263" s="695"/>
      <c r="C1263" s="695"/>
      <c r="D1263" s="695"/>
      <c r="E1263" s="695"/>
      <c r="F1263" s="442"/>
      <c r="G1263" s="406"/>
      <c r="H1263" s="406"/>
      <c r="I1263" s="406"/>
      <c r="J1263" s="406"/>
      <c r="K1263" s="421"/>
      <c r="L1263" s="421"/>
      <c r="M1263" s="421"/>
      <c r="N1263" s="421"/>
      <c r="O1263" s="421"/>
      <c r="P1263" s="421"/>
      <c r="Q1263" s="421"/>
      <c r="R1263" s="694"/>
    </row>
    <row r="1264" spans="1:18" s="10" customFormat="1" ht="15.75">
      <c r="A1264" s="695"/>
      <c r="B1264" s="695"/>
      <c r="C1264" s="695"/>
      <c r="D1264" s="695"/>
      <c r="E1264" s="695"/>
      <c r="F1264" s="442"/>
      <c r="G1264" s="406"/>
      <c r="H1264" s="406"/>
      <c r="I1264" s="406"/>
      <c r="J1264" s="406"/>
      <c r="K1264" s="421"/>
      <c r="L1264" s="421"/>
      <c r="M1264" s="421"/>
      <c r="N1264" s="421"/>
      <c r="O1264" s="421"/>
      <c r="P1264" s="421"/>
      <c r="Q1264" s="421"/>
      <c r="R1264" s="694"/>
    </row>
    <row r="1265" spans="1:18" s="10" customFormat="1" ht="15.75">
      <c r="A1265" s="695"/>
      <c r="B1265" s="695"/>
      <c r="C1265" s="695"/>
      <c r="D1265" s="695"/>
      <c r="E1265" s="695"/>
      <c r="F1265" s="442"/>
      <c r="G1265" s="406"/>
      <c r="H1265" s="406"/>
      <c r="I1265" s="406"/>
      <c r="J1265" s="406"/>
      <c r="K1265" s="421"/>
      <c r="L1265" s="421"/>
      <c r="M1265" s="421"/>
      <c r="N1265" s="421"/>
      <c r="O1265" s="421"/>
      <c r="P1265" s="421"/>
      <c r="Q1265" s="421"/>
      <c r="R1265" s="421"/>
    </row>
    <row r="1266" spans="1:18" s="10" customFormat="1" ht="15.75">
      <c r="A1266" s="695"/>
      <c r="B1266" s="695"/>
      <c r="C1266" s="695"/>
      <c r="D1266" s="695"/>
      <c r="E1266" s="695"/>
      <c r="F1266" s="442"/>
      <c r="G1266" s="406"/>
      <c r="H1266" s="406"/>
      <c r="I1266" s="406"/>
      <c r="J1266" s="406"/>
      <c r="K1266" s="421"/>
      <c r="L1266" s="421"/>
      <c r="M1266" s="421"/>
      <c r="N1266" s="421"/>
      <c r="O1266" s="421"/>
      <c r="P1266" s="421"/>
      <c r="Q1266" s="421"/>
      <c r="R1266" s="421"/>
    </row>
    <row r="1267" spans="1:18" s="10" customFormat="1" ht="15.75">
      <c r="A1267" s="695"/>
      <c r="B1267" s="695"/>
      <c r="C1267" s="695"/>
      <c r="D1267" s="695"/>
      <c r="E1267" s="695"/>
      <c r="F1267" s="442"/>
      <c r="G1267" s="406"/>
      <c r="H1267" s="406"/>
      <c r="I1267" s="406"/>
      <c r="J1267" s="406"/>
      <c r="K1267" s="421"/>
      <c r="L1267" s="421"/>
      <c r="M1267" s="421"/>
      <c r="N1267" s="421"/>
      <c r="O1267" s="421"/>
      <c r="P1267" s="421"/>
      <c r="Q1267" s="421"/>
      <c r="R1267" s="421"/>
    </row>
    <row r="1268" spans="1:18" s="10" customFormat="1" ht="15.75">
      <c r="A1268" s="695"/>
      <c r="B1268" s="695"/>
      <c r="C1268" s="695"/>
      <c r="D1268" s="695"/>
      <c r="E1268" s="695"/>
      <c r="F1268" s="442"/>
      <c r="G1268" s="406"/>
      <c r="H1268" s="406"/>
      <c r="I1268" s="406"/>
      <c r="J1268" s="406"/>
      <c r="K1268" s="421"/>
      <c r="L1268" s="421"/>
      <c r="M1268" s="421"/>
      <c r="N1268" s="421"/>
      <c r="O1268" s="421"/>
      <c r="P1268" s="421"/>
      <c r="Q1268" s="421"/>
      <c r="R1268" s="421"/>
    </row>
    <row r="1269" spans="1:18" s="10" customFormat="1" ht="15.75">
      <c r="A1269" s="695"/>
      <c r="B1269" s="695"/>
      <c r="C1269" s="695"/>
      <c r="D1269" s="695"/>
      <c r="E1269" s="695"/>
      <c r="F1269" s="442"/>
      <c r="G1269" s="406"/>
      <c r="H1269" s="406"/>
      <c r="I1269" s="406"/>
      <c r="J1269" s="406"/>
      <c r="K1269" s="421"/>
      <c r="L1269" s="421"/>
      <c r="M1269" s="421"/>
      <c r="N1269" s="421"/>
      <c r="O1269" s="421"/>
      <c r="P1269" s="421"/>
      <c r="Q1269" s="421"/>
      <c r="R1269" s="421"/>
    </row>
    <row r="1270" spans="1:18" s="10" customFormat="1" ht="15.75">
      <c r="A1270" s="695"/>
      <c r="B1270" s="695"/>
      <c r="C1270" s="695"/>
      <c r="D1270" s="695"/>
      <c r="E1270" s="695"/>
      <c r="F1270" s="442"/>
      <c r="G1270" s="406"/>
      <c r="H1270" s="406"/>
      <c r="I1270" s="406"/>
      <c r="J1270" s="406"/>
      <c r="K1270" s="421"/>
      <c r="L1270" s="421"/>
      <c r="M1270" s="421"/>
      <c r="N1270" s="421"/>
      <c r="O1270" s="421"/>
      <c r="P1270" s="421"/>
      <c r="Q1270" s="421"/>
      <c r="R1270" s="421"/>
    </row>
    <row r="1271" spans="1:18" s="10" customFormat="1" ht="15.75">
      <c r="A1271" s="695"/>
      <c r="B1271" s="695"/>
      <c r="C1271" s="695"/>
      <c r="D1271" s="695"/>
      <c r="E1271" s="695"/>
      <c r="F1271" s="442"/>
      <c r="G1271" s="406"/>
      <c r="H1271" s="406"/>
      <c r="I1271" s="406"/>
      <c r="J1271" s="406"/>
      <c r="K1271" s="421"/>
      <c r="L1271" s="421"/>
      <c r="M1271" s="421"/>
      <c r="N1271" s="421"/>
      <c r="O1271" s="421"/>
      <c r="P1271" s="421"/>
      <c r="Q1271" s="421"/>
      <c r="R1271" s="421"/>
    </row>
    <row r="1272" spans="1:18" s="10" customFormat="1" ht="15.75">
      <c r="A1272" s="695"/>
      <c r="B1272" s="695"/>
      <c r="C1272" s="695"/>
      <c r="D1272" s="695"/>
      <c r="E1272" s="695"/>
      <c r="F1272" s="442"/>
      <c r="G1272" s="406"/>
      <c r="H1272" s="406"/>
      <c r="I1272" s="406"/>
      <c r="J1272" s="406"/>
      <c r="K1272" s="421"/>
      <c r="L1272" s="421"/>
      <c r="M1272" s="421"/>
      <c r="N1272" s="421"/>
      <c r="O1272" s="421"/>
      <c r="P1272" s="421"/>
      <c r="Q1272" s="421"/>
      <c r="R1272" s="421"/>
    </row>
    <row r="1273" spans="1:18" s="10" customFormat="1" ht="15.75">
      <c r="A1273" s="695"/>
      <c r="B1273" s="695"/>
      <c r="C1273" s="695"/>
      <c r="D1273" s="695"/>
      <c r="E1273" s="695"/>
      <c r="F1273" s="442"/>
      <c r="G1273" s="406"/>
      <c r="H1273" s="406"/>
      <c r="I1273" s="406"/>
      <c r="J1273" s="406"/>
      <c r="K1273" s="421"/>
      <c r="L1273" s="421"/>
      <c r="M1273" s="421"/>
      <c r="N1273" s="421"/>
      <c r="O1273" s="421"/>
      <c r="P1273" s="421"/>
      <c r="Q1273" s="421"/>
      <c r="R1273" s="421"/>
    </row>
    <row r="1274" spans="1:18" s="10" customFormat="1" ht="15.75">
      <c r="A1274" s="695"/>
      <c r="B1274" s="695"/>
      <c r="C1274" s="695"/>
      <c r="D1274" s="695"/>
      <c r="E1274" s="695"/>
      <c r="F1274" s="442"/>
      <c r="G1274" s="406"/>
      <c r="H1274" s="406"/>
      <c r="I1274" s="406"/>
      <c r="J1274" s="406"/>
      <c r="K1274" s="421"/>
      <c r="L1274" s="421"/>
      <c r="M1274" s="421"/>
      <c r="N1274" s="421"/>
      <c r="O1274" s="421"/>
      <c r="P1274" s="421"/>
      <c r="Q1274" s="421"/>
      <c r="R1274" s="421"/>
    </row>
    <row r="1275" spans="1:18" s="10" customFormat="1" ht="15.75">
      <c r="A1275" s="695"/>
      <c r="B1275" s="695"/>
      <c r="C1275" s="695"/>
      <c r="D1275" s="695"/>
      <c r="E1275" s="695"/>
      <c r="F1275" s="442"/>
      <c r="G1275" s="406"/>
      <c r="H1275" s="406"/>
      <c r="I1275" s="406"/>
      <c r="J1275" s="406"/>
      <c r="K1275" s="421"/>
      <c r="L1275" s="421"/>
      <c r="M1275" s="421"/>
      <c r="N1275" s="421"/>
      <c r="O1275" s="421"/>
      <c r="P1275" s="421"/>
      <c r="Q1275" s="421"/>
      <c r="R1275" s="421"/>
    </row>
    <row r="1276" spans="1:18" s="10" customFormat="1" ht="15.75">
      <c r="A1276" s="695"/>
      <c r="B1276" s="695"/>
      <c r="C1276" s="695"/>
      <c r="D1276" s="695"/>
      <c r="E1276" s="695"/>
      <c r="F1276" s="442"/>
      <c r="G1276" s="406"/>
      <c r="H1276" s="406"/>
      <c r="I1276" s="406"/>
      <c r="J1276" s="406"/>
      <c r="K1276" s="421"/>
      <c r="L1276" s="421"/>
      <c r="M1276" s="421"/>
      <c r="N1276" s="421"/>
      <c r="O1276" s="421"/>
      <c r="P1276" s="421"/>
      <c r="Q1276" s="421"/>
      <c r="R1276" s="421"/>
    </row>
    <row r="1277" spans="1:18" s="10" customFormat="1" ht="15.75">
      <c r="A1277" s="695"/>
      <c r="B1277" s="695"/>
      <c r="C1277" s="695"/>
      <c r="D1277" s="695"/>
      <c r="E1277" s="695"/>
      <c r="F1277" s="442"/>
      <c r="G1277" s="406"/>
      <c r="H1277" s="406"/>
      <c r="I1277" s="406"/>
      <c r="J1277" s="406"/>
      <c r="K1277" s="421"/>
      <c r="L1277" s="421"/>
      <c r="M1277" s="421"/>
      <c r="N1277" s="421"/>
      <c r="O1277" s="421"/>
      <c r="P1277" s="421"/>
      <c r="Q1277" s="421"/>
      <c r="R1277" s="421"/>
    </row>
    <row r="1278" spans="1:18" s="10" customFormat="1" ht="15.75">
      <c r="A1278" s="695"/>
      <c r="B1278" s="695"/>
      <c r="C1278" s="695"/>
      <c r="D1278" s="695"/>
      <c r="E1278" s="695"/>
      <c r="F1278" s="442"/>
      <c r="G1278" s="406"/>
      <c r="H1278" s="406"/>
      <c r="I1278" s="406"/>
      <c r="J1278" s="406"/>
      <c r="K1278" s="421"/>
      <c r="L1278" s="421"/>
      <c r="M1278" s="421"/>
      <c r="N1278" s="421"/>
      <c r="O1278" s="421"/>
      <c r="P1278" s="421"/>
      <c r="Q1278" s="421"/>
      <c r="R1278" s="421"/>
    </row>
    <row r="1279" spans="1:18" s="10" customFormat="1" ht="15.75">
      <c r="A1279" s="695"/>
      <c r="B1279" s="695"/>
      <c r="C1279" s="695"/>
      <c r="D1279" s="695"/>
      <c r="E1279" s="695"/>
      <c r="F1279" s="442"/>
      <c r="G1279" s="406"/>
      <c r="H1279" s="406"/>
      <c r="I1279" s="406"/>
      <c r="J1279" s="406"/>
      <c r="K1279" s="421"/>
      <c r="L1279" s="421"/>
      <c r="M1279" s="421"/>
      <c r="N1279" s="421"/>
      <c r="O1279" s="421"/>
      <c r="P1279" s="421"/>
      <c r="Q1279" s="421"/>
      <c r="R1279" s="421"/>
    </row>
    <row r="1280" spans="1:18" s="10" customFormat="1" ht="15.75">
      <c r="A1280" s="695"/>
      <c r="B1280" s="695"/>
      <c r="C1280" s="695"/>
      <c r="D1280" s="695"/>
      <c r="E1280" s="695"/>
      <c r="F1280" s="442"/>
      <c r="G1280" s="406"/>
      <c r="H1280" s="406"/>
      <c r="I1280" s="406"/>
      <c r="J1280" s="406"/>
      <c r="K1280" s="421"/>
      <c r="L1280" s="421"/>
      <c r="M1280" s="421"/>
      <c r="N1280" s="421"/>
      <c r="O1280" s="421"/>
      <c r="P1280" s="421"/>
      <c r="Q1280" s="421"/>
      <c r="R1280" s="421"/>
    </row>
    <row r="1281" spans="1:18" s="10" customFormat="1" ht="15.75">
      <c r="A1281" s="695"/>
      <c r="B1281" s="695"/>
      <c r="C1281" s="695"/>
      <c r="D1281" s="695"/>
      <c r="E1281" s="695"/>
      <c r="F1281" s="442"/>
      <c r="G1281" s="406"/>
      <c r="H1281" s="406"/>
      <c r="I1281" s="406"/>
      <c r="J1281" s="406"/>
      <c r="K1281" s="421"/>
      <c r="L1281" s="421"/>
      <c r="M1281" s="421"/>
      <c r="N1281" s="421"/>
      <c r="O1281" s="421"/>
      <c r="P1281" s="421"/>
      <c r="Q1281" s="421"/>
      <c r="R1281" s="421"/>
    </row>
    <row r="1282" spans="1:18" s="10" customFormat="1" ht="15.75">
      <c r="A1282" s="695"/>
      <c r="B1282" s="695"/>
      <c r="C1282" s="695"/>
      <c r="D1282" s="695"/>
      <c r="E1282" s="695"/>
      <c r="F1282" s="442"/>
      <c r="G1282" s="406"/>
      <c r="H1282" s="406"/>
      <c r="I1282" s="406"/>
      <c r="J1282" s="406"/>
      <c r="K1282" s="421"/>
      <c r="L1282" s="421"/>
      <c r="M1282" s="421"/>
      <c r="N1282" s="421"/>
      <c r="O1282" s="421"/>
      <c r="P1282" s="421"/>
      <c r="Q1282" s="421"/>
      <c r="R1282" s="421"/>
    </row>
    <row r="1283" spans="1:18" s="10" customFormat="1" ht="15.75">
      <c r="A1283" s="695"/>
      <c r="B1283" s="695"/>
      <c r="C1283" s="695"/>
      <c r="D1283" s="695"/>
      <c r="E1283" s="695"/>
      <c r="F1283" s="442"/>
      <c r="G1283" s="406"/>
      <c r="H1283" s="406"/>
      <c r="I1283" s="406"/>
      <c r="J1283" s="406"/>
      <c r="K1283" s="421"/>
      <c r="L1283" s="421"/>
      <c r="M1283" s="421"/>
      <c r="N1283" s="421"/>
      <c r="O1283" s="421"/>
      <c r="P1283" s="421"/>
      <c r="Q1283" s="421"/>
      <c r="R1283" s="421"/>
    </row>
    <row r="1284" spans="1:18" s="10" customFormat="1" ht="15.75">
      <c r="A1284" s="695"/>
      <c r="B1284" s="695"/>
      <c r="C1284" s="695"/>
      <c r="D1284" s="695"/>
      <c r="E1284" s="695"/>
      <c r="F1284" s="442"/>
      <c r="G1284" s="406"/>
      <c r="H1284" s="406"/>
      <c r="I1284" s="406"/>
      <c r="J1284" s="406"/>
      <c r="K1284" s="421"/>
      <c r="L1284" s="421"/>
      <c r="M1284" s="421"/>
      <c r="N1284" s="421"/>
      <c r="O1284" s="421"/>
      <c r="P1284" s="421"/>
      <c r="Q1284" s="421"/>
      <c r="R1284" s="421"/>
    </row>
    <row r="1285" spans="1:18" s="10" customFormat="1" ht="15.75">
      <c r="A1285" s="695"/>
      <c r="B1285" s="695"/>
      <c r="C1285" s="695"/>
      <c r="D1285" s="695"/>
      <c r="E1285" s="695"/>
      <c r="F1285" s="442"/>
      <c r="G1285" s="406"/>
      <c r="H1285" s="406"/>
      <c r="I1285" s="406"/>
      <c r="J1285" s="406"/>
      <c r="K1285" s="421"/>
      <c r="L1285" s="421"/>
      <c r="M1285" s="421"/>
      <c r="N1285" s="421"/>
      <c r="O1285" s="421"/>
      <c r="P1285" s="421"/>
      <c r="Q1285" s="421"/>
      <c r="R1285" s="421"/>
    </row>
    <row r="1286" spans="1:18" s="10" customFormat="1" ht="15.75">
      <c r="A1286" s="695"/>
      <c r="B1286" s="695"/>
      <c r="C1286" s="695"/>
      <c r="D1286" s="695"/>
      <c r="E1286" s="695"/>
      <c r="F1286" s="442"/>
      <c r="G1286" s="406"/>
      <c r="H1286" s="406"/>
      <c r="I1286" s="406"/>
      <c r="J1286" s="406"/>
      <c r="K1286" s="421"/>
      <c r="L1286" s="421"/>
      <c r="M1286" s="421"/>
      <c r="N1286" s="421"/>
      <c r="O1286" s="421"/>
      <c r="P1286" s="421"/>
      <c r="Q1286" s="421"/>
      <c r="R1286" s="421"/>
    </row>
    <row r="1287" spans="1:18" s="10" customFormat="1" ht="15.75">
      <c r="A1287" s="695"/>
      <c r="B1287" s="695"/>
      <c r="C1287" s="695"/>
      <c r="D1287" s="695"/>
      <c r="E1287" s="695"/>
      <c r="F1287" s="442"/>
      <c r="G1287" s="406"/>
      <c r="H1287" s="406"/>
      <c r="I1287" s="406"/>
      <c r="J1287" s="406"/>
      <c r="K1287" s="421"/>
      <c r="L1287" s="421"/>
      <c r="M1287" s="421"/>
      <c r="N1287" s="421"/>
      <c r="O1287" s="421"/>
      <c r="P1287" s="421"/>
      <c r="Q1287" s="421"/>
      <c r="R1287" s="421"/>
    </row>
    <row r="1288" spans="1:18" s="10" customFormat="1" ht="15.75">
      <c r="A1288" s="695"/>
      <c r="B1288" s="695"/>
      <c r="C1288" s="695"/>
      <c r="D1288" s="695"/>
      <c r="E1288" s="695"/>
      <c r="F1288" s="442"/>
      <c r="G1288" s="406"/>
      <c r="H1288" s="406"/>
      <c r="I1288" s="406"/>
      <c r="J1288" s="406"/>
      <c r="K1288" s="421"/>
      <c r="L1288" s="421"/>
      <c r="M1288" s="421"/>
      <c r="N1288" s="421"/>
      <c r="O1288" s="421"/>
      <c r="P1288" s="421"/>
      <c r="Q1288" s="421"/>
      <c r="R1288" s="421"/>
    </row>
    <row r="1289" spans="1:18" s="10" customFormat="1" ht="15.75">
      <c r="A1289" s="695"/>
      <c r="B1289" s="695"/>
      <c r="C1289" s="695"/>
      <c r="D1289" s="695"/>
      <c r="E1289" s="695"/>
      <c r="F1289" s="442"/>
      <c r="G1289" s="406"/>
      <c r="H1289" s="406"/>
      <c r="I1289" s="406"/>
      <c r="J1289" s="406"/>
      <c r="K1289" s="421"/>
      <c r="L1289" s="421"/>
      <c r="M1289" s="421"/>
      <c r="N1289" s="421"/>
      <c r="O1289" s="421"/>
      <c r="P1289" s="421"/>
      <c r="Q1289" s="421"/>
      <c r="R1289" s="421"/>
    </row>
    <row r="1290" spans="1:18" s="10" customFormat="1" ht="15.75">
      <c r="A1290" s="695"/>
      <c r="B1290" s="695"/>
      <c r="C1290" s="695"/>
      <c r="D1290" s="695"/>
      <c r="E1290" s="695"/>
      <c r="F1290" s="442"/>
      <c r="G1290" s="406"/>
      <c r="H1290" s="406"/>
      <c r="I1290" s="406"/>
      <c r="J1290" s="406"/>
      <c r="K1290" s="421"/>
      <c r="L1290" s="421"/>
      <c r="M1290" s="421"/>
      <c r="N1290" s="421"/>
      <c r="O1290" s="421"/>
      <c r="P1290" s="421"/>
      <c r="Q1290" s="421"/>
      <c r="R1290" s="421"/>
    </row>
    <row r="1291" spans="1:18" s="10" customFormat="1" ht="15.75">
      <c r="A1291" s="695"/>
      <c r="B1291" s="695"/>
      <c r="C1291" s="695"/>
      <c r="D1291" s="695"/>
      <c r="E1291" s="695"/>
      <c r="F1291" s="442"/>
      <c r="G1291" s="406"/>
      <c r="H1291" s="406"/>
      <c r="I1291" s="406"/>
      <c r="J1291" s="406"/>
      <c r="K1291" s="421"/>
      <c r="L1291" s="421"/>
      <c r="M1291" s="421"/>
      <c r="N1291" s="421"/>
      <c r="O1291" s="421"/>
      <c r="P1291" s="421"/>
      <c r="Q1291" s="421"/>
      <c r="R1291" s="421"/>
    </row>
    <row r="1292" spans="1:18" s="10" customFormat="1" ht="15.75">
      <c r="A1292" s="695"/>
      <c r="B1292" s="695"/>
      <c r="C1292" s="695"/>
      <c r="D1292" s="695"/>
      <c r="E1292" s="695"/>
      <c r="F1292" s="442"/>
      <c r="G1292" s="406"/>
      <c r="H1292" s="406"/>
      <c r="I1292" s="406"/>
      <c r="J1292" s="406"/>
      <c r="K1292" s="421"/>
      <c r="L1292" s="421"/>
      <c r="M1292" s="421"/>
      <c r="N1292" s="421"/>
      <c r="O1292" s="421"/>
      <c r="P1292" s="421"/>
      <c r="Q1292" s="421"/>
      <c r="R1292" s="421"/>
    </row>
    <row r="1293" spans="1:18" s="10" customFormat="1" ht="15.75">
      <c r="A1293" s="695"/>
      <c r="B1293" s="695"/>
      <c r="C1293" s="695"/>
      <c r="D1293" s="695"/>
      <c r="E1293" s="695"/>
      <c r="F1293" s="442"/>
      <c r="G1293" s="406"/>
      <c r="H1293" s="406"/>
      <c r="I1293" s="406"/>
      <c r="J1293" s="406"/>
      <c r="K1293" s="421"/>
      <c r="L1293" s="421"/>
      <c r="M1293" s="421"/>
      <c r="N1293" s="421"/>
      <c r="O1293" s="421"/>
      <c r="P1293" s="421"/>
      <c r="Q1293" s="421"/>
      <c r="R1293" s="421"/>
    </row>
    <row r="1294" spans="1:18" s="10" customFormat="1" ht="15.75">
      <c r="A1294" s="695"/>
      <c r="B1294" s="695"/>
      <c r="C1294" s="695"/>
      <c r="D1294" s="695"/>
      <c r="E1294" s="695"/>
      <c r="F1294" s="442"/>
      <c r="G1294" s="406"/>
      <c r="H1294" s="406"/>
      <c r="I1294" s="406"/>
      <c r="J1294" s="406"/>
      <c r="K1294" s="421"/>
      <c r="L1294" s="421"/>
      <c r="M1294" s="421"/>
      <c r="N1294" s="421"/>
      <c r="O1294" s="421"/>
      <c r="P1294" s="421"/>
      <c r="Q1294" s="421"/>
      <c r="R1294" s="421"/>
    </row>
    <row r="1295" spans="1:18" s="10" customFormat="1" ht="15.75">
      <c r="A1295" s="695"/>
      <c r="B1295" s="695"/>
      <c r="C1295" s="695"/>
      <c r="D1295" s="695"/>
      <c r="E1295" s="695"/>
      <c r="F1295" s="442"/>
      <c r="G1295" s="406"/>
      <c r="H1295" s="406"/>
      <c r="I1295" s="406"/>
      <c r="J1295" s="406"/>
      <c r="K1295" s="421"/>
      <c r="L1295" s="421"/>
      <c r="M1295" s="421"/>
      <c r="N1295" s="421"/>
      <c r="O1295" s="421"/>
      <c r="P1295" s="421"/>
      <c r="Q1295" s="421"/>
      <c r="R1295" s="421"/>
    </row>
    <row r="1296" spans="1:18" s="10" customFormat="1" ht="15.75">
      <c r="A1296" s="695"/>
      <c r="B1296" s="695"/>
      <c r="C1296" s="695"/>
      <c r="D1296" s="695"/>
      <c r="E1296" s="695"/>
      <c r="F1296" s="442"/>
      <c r="G1296" s="406"/>
      <c r="H1296" s="406"/>
      <c r="I1296" s="406"/>
      <c r="J1296" s="406"/>
      <c r="K1296" s="421"/>
      <c r="L1296" s="421"/>
      <c r="M1296" s="421"/>
      <c r="N1296" s="421"/>
      <c r="O1296" s="421"/>
      <c r="P1296" s="421"/>
      <c r="Q1296" s="421"/>
      <c r="R1296" s="421"/>
    </row>
    <row r="1297" spans="1:18" s="10" customFormat="1" ht="15.75">
      <c r="A1297" s="695"/>
      <c r="B1297" s="695"/>
      <c r="C1297" s="695"/>
      <c r="D1297" s="695"/>
      <c r="E1297" s="695"/>
      <c r="F1297" s="442"/>
      <c r="G1297" s="406"/>
      <c r="H1297" s="406"/>
      <c r="I1297" s="406"/>
      <c r="J1297" s="406"/>
      <c r="K1297" s="421"/>
      <c r="L1297" s="421"/>
      <c r="M1297" s="421"/>
      <c r="N1297" s="421"/>
      <c r="O1297" s="421"/>
      <c r="P1297" s="421"/>
      <c r="Q1297" s="421"/>
      <c r="R1297" s="421"/>
    </row>
    <row r="1298" spans="1:18" s="10" customFormat="1" ht="15.75">
      <c r="A1298" s="695"/>
      <c r="B1298" s="695"/>
      <c r="C1298" s="695"/>
      <c r="D1298" s="695"/>
      <c r="E1298" s="695"/>
      <c r="F1298" s="442"/>
      <c r="G1298" s="406"/>
      <c r="H1298" s="406"/>
      <c r="I1298" s="406"/>
      <c r="J1298" s="406"/>
      <c r="K1298" s="421"/>
      <c r="L1298" s="421"/>
      <c r="M1298" s="421"/>
      <c r="N1298" s="421"/>
      <c r="O1298" s="421"/>
      <c r="P1298" s="421"/>
      <c r="Q1298" s="421"/>
      <c r="R1298" s="421"/>
    </row>
    <row r="1299" spans="1:18" s="10" customFormat="1" ht="15.75">
      <c r="A1299" s="695"/>
      <c r="B1299" s="695"/>
      <c r="C1299" s="695"/>
      <c r="D1299" s="695"/>
      <c r="E1299" s="695"/>
      <c r="F1299" s="442"/>
      <c r="G1299" s="406"/>
      <c r="H1299" s="406"/>
      <c r="I1299" s="406"/>
      <c r="J1299" s="406"/>
      <c r="K1299" s="421"/>
      <c r="L1299" s="421"/>
      <c r="M1299" s="421"/>
      <c r="N1299" s="421"/>
      <c r="O1299" s="421"/>
      <c r="P1299" s="421"/>
      <c r="Q1299" s="421"/>
      <c r="R1299" s="421"/>
    </row>
    <row r="1300" spans="1:18" s="10" customFormat="1" ht="15.75">
      <c r="A1300" s="695"/>
      <c r="B1300" s="695"/>
      <c r="C1300" s="695"/>
      <c r="D1300" s="695"/>
      <c r="E1300" s="695"/>
      <c r="F1300" s="442"/>
      <c r="G1300" s="406"/>
      <c r="H1300" s="406"/>
      <c r="I1300" s="406"/>
      <c r="J1300" s="406"/>
      <c r="K1300" s="421"/>
      <c r="L1300" s="421"/>
      <c r="M1300" s="421"/>
      <c r="N1300" s="421"/>
      <c r="O1300" s="421"/>
      <c r="P1300" s="421"/>
      <c r="Q1300" s="421"/>
      <c r="R1300" s="421"/>
    </row>
    <row r="1301" spans="1:18" s="10" customFormat="1" ht="15.75">
      <c r="A1301" s="695"/>
      <c r="B1301" s="695"/>
      <c r="C1301" s="695"/>
      <c r="D1301" s="695"/>
      <c r="E1301" s="695"/>
      <c r="F1301" s="442"/>
      <c r="G1301" s="406"/>
      <c r="H1301" s="406"/>
      <c r="I1301" s="406"/>
      <c r="J1301" s="406"/>
      <c r="K1301" s="421"/>
      <c r="L1301" s="421"/>
      <c r="M1301" s="421"/>
      <c r="N1301" s="421"/>
      <c r="O1301" s="421"/>
      <c r="P1301" s="421"/>
      <c r="Q1301" s="421"/>
      <c r="R1301" s="421"/>
    </row>
    <row r="1302" spans="1:18" s="10" customFormat="1" ht="15.75">
      <c r="A1302" s="695"/>
      <c r="B1302" s="695"/>
      <c r="C1302" s="695"/>
      <c r="D1302" s="695"/>
      <c r="E1302" s="695"/>
      <c r="F1302" s="442"/>
      <c r="G1302" s="406"/>
      <c r="H1302" s="406"/>
      <c r="I1302" s="406"/>
      <c r="J1302" s="406"/>
      <c r="K1302" s="421"/>
      <c r="L1302" s="421"/>
      <c r="M1302" s="421"/>
      <c r="N1302" s="421"/>
      <c r="O1302" s="421"/>
      <c r="P1302" s="421"/>
      <c r="Q1302" s="421"/>
      <c r="R1302" s="421"/>
    </row>
    <row r="1303" spans="1:18" s="10" customFormat="1" ht="15.75">
      <c r="A1303" s="695"/>
      <c r="B1303" s="695"/>
      <c r="C1303" s="695"/>
      <c r="D1303" s="695"/>
      <c r="E1303" s="695"/>
      <c r="F1303" s="442"/>
      <c r="G1303" s="406"/>
      <c r="H1303" s="406"/>
      <c r="I1303" s="406"/>
      <c r="J1303" s="406"/>
      <c r="K1303" s="421"/>
      <c r="L1303" s="421"/>
      <c r="M1303" s="421"/>
      <c r="N1303" s="421"/>
      <c r="O1303" s="421"/>
      <c r="P1303" s="421"/>
      <c r="Q1303" s="421"/>
      <c r="R1303" s="421"/>
    </row>
    <row r="1304" spans="1:18" s="10" customFormat="1" ht="15.75">
      <c r="A1304" s="695"/>
      <c r="B1304" s="695"/>
      <c r="C1304" s="695"/>
      <c r="D1304" s="695"/>
      <c r="E1304" s="695"/>
      <c r="F1304" s="442"/>
      <c r="G1304" s="406"/>
      <c r="H1304" s="406"/>
      <c r="I1304" s="406"/>
      <c r="J1304" s="406"/>
      <c r="K1304" s="421"/>
      <c r="L1304" s="421"/>
      <c r="M1304" s="421"/>
      <c r="N1304" s="421"/>
      <c r="O1304" s="421"/>
      <c r="P1304" s="421"/>
      <c r="Q1304" s="421"/>
      <c r="R1304" s="421"/>
    </row>
    <row r="1305" spans="1:18" s="10" customFormat="1" ht="15.75">
      <c r="A1305" s="695"/>
      <c r="B1305" s="695"/>
      <c r="C1305" s="695"/>
      <c r="D1305" s="695"/>
      <c r="E1305" s="695"/>
      <c r="F1305" s="442"/>
      <c r="G1305" s="406"/>
      <c r="H1305" s="406"/>
      <c r="I1305" s="406"/>
      <c r="J1305" s="406"/>
      <c r="K1305" s="421"/>
      <c r="L1305" s="421"/>
      <c r="M1305" s="421"/>
      <c r="N1305" s="421"/>
      <c r="O1305" s="421"/>
      <c r="P1305" s="421"/>
      <c r="Q1305" s="421"/>
      <c r="R1305" s="421"/>
    </row>
    <row r="1306" spans="1:18" s="10" customFormat="1" ht="15.75">
      <c r="A1306" s="695"/>
      <c r="B1306" s="695"/>
      <c r="C1306" s="695"/>
      <c r="D1306" s="695"/>
      <c r="E1306" s="695"/>
      <c r="F1306" s="442"/>
      <c r="G1306" s="406"/>
      <c r="H1306" s="406"/>
      <c r="I1306" s="406"/>
      <c r="J1306" s="406"/>
      <c r="K1306" s="421"/>
      <c r="L1306" s="421"/>
      <c r="M1306" s="421"/>
      <c r="N1306" s="421"/>
      <c r="O1306" s="421"/>
      <c r="P1306" s="421"/>
      <c r="Q1306" s="421"/>
      <c r="R1306" s="421"/>
    </row>
    <row r="1307" spans="1:18" s="10" customFormat="1" ht="15.75">
      <c r="A1307" s="695"/>
      <c r="B1307" s="695"/>
      <c r="C1307" s="695"/>
      <c r="D1307" s="695"/>
      <c r="E1307" s="695"/>
      <c r="F1307" s="442"/>
      <c r="G1307" s="406"/>
      <c r="H1307" s="406"/>
      <c r="I1307" s="406"/>
      <c r="J1307" s="406"/>
      <c r="K1307" s="421"/>
      <c r="L1307" s="421"/>
      <c r="M1307" s="421"/>
      <c r="N1307" s="421"/>
      <c r="O1307" s="421"/>
      <c r="P1307" s="421"/>
      <c r="Q1307" s="421"/>
      <c r="R1307" s="421"/>
    </row>
    <row r="1308" spans="1:18" s="10" customFormat="1" ht="15.75">
      <c r="A1308" s="695"/>
      <c r="B1308" s="695"/>
      <c r="C1308" s="695"/>
      <c r="D1308" s="695"/>
      <c r="E1308" s="695"/>
      <c r="F1308" s="442"/>
      <c r="G1308" s="406"/>
      <c r="H1308" s="406"/>
      <c r="I1308" s="406"/>
      <c r="J1308" s="406"/>
      <c r="K1308" s="421"/>
      <c r="L1308" s="421"/>
      <c r="M1308" s="421"/>
      <c r="N1308" s="421"/>
      <c r="O1308" s="421"/>
      <c r="P1308" s="421"/>
      <c r="Q1308" s="421"/>
      <c r="R1308" s="421"/>
    </row>
    <row r="1309" spans="1:18" s="10" customFormat="1" ht="15.75">
      <c r="A1309" s="695"/>
      <c r="B1309" s="695"/>
      <c r="C1309" s="695"/>
      <c r="D1309" s="695"/>
      <c r="E1309" s="695"/>
      <c r="F1309" s="442"/>
      <c r="G1309" s="406"/>
      <c r="H1309" s="406"/>
      <c r="I1309" s="406"/>
      <c r="J1309" s="406"/>
      <c r="K1309" s="421"/>
      <c r="L1309" s="421"/>
      <c r="M1309" s="421"/>
      <c r="N1309" s="421"/>
      <c r="O1309" s="421"/>
      <c r="P1309" s="421"/>
      <c r="Q1309" s="421"/>
      <c r="R1309" s="421"/>
    </row>
    <row r="1310" spans="1:18" s="10" customFormat="1" ht="15.75">
      <c r="A1310" s="695"/>
      <c r="B1310" s="695"/>
      <c r="C1310" s="695"/>
      <c r="D1310" s="695"/>
      <c r="E1310" s="695"/>
      <c r="F1310" s="442"/>
      <c r="G1310" s="406"/>
      <c r="H1310" s="406"/>
      <c r="I1310" s="406"/>
      <c r="J1310" s="406"/>
      <c r="K1310" s="421"/>
      <c r="L1310" s="421"/>
      <c r="M1310" s="421"/>
      <c r="N1310" s="421"/>
      <c r="O1310" s="421"/>
      <c r="P1310" s="421"/>
      <c r="Q1310" s="421"/>
      <c r="R1310" s="421"/>
    </row>
    <row r="1311" spans="1:18" s="10" customFormat="1" ht="15.75">
      <c r="A1311" s="695"/>
      <c r="B1311" s="695"/>
      <c r="C1311" s="695"/>
      <c r="D1311" s="695"/>
      <c r="E1311" s="695"/>
      <c r="F1311" s="442"/>
      <c r="G1311" s="406"/>
      <c r="H1311" s="406"/>
      <c r="I1311" s="406"/>
      <c r="J1311" s="406"/>
      <c r="K1311" s="421"/>
      <c r="L1311" s="421"/>
      <c r="M1311" s="421"/>
      <c r="N1311" s="421"/>
      <c r="O1311" s="421"/>
      <c r="P1311" s="421"/>
      <c r="Q1311" s="421"/>
      <c r="R1311" s="421"/>
    </row>
    <row r="1312" spans="1:18" s="10" customFormat="1" ht="15.75">
      <c r="A1312" s="695"/>
      <c r="B1312" s="695"/>
      <c r="C1312" s="695"/>
      <c r="D1312" s="695"/>
      <c r="E1312" s="695"/>
      <c r="F1312" s="442"/>
      <c r="G1312" s="406"/>
      <c r="H1312" s="406"/>
      <c r="I1312" s="406"/>
      <c r="J1312" s="406"/>
      <c r="K1312" s="421"/>
      <c r="L1312" s="421"/>
      <c r="M1312" s="421"/>
      <c r="N1312" s="421"/>
      <c r="O1312" s="421"/>
      <c r="P1312" s="421"/>
      <c r="Q1312" s="421"/>
      <c r="R1312" s="421"/>
    </row>
    <row r="1313" spans="1:18" s="10" customFormat="1" ht="15.75">
      <c r="A1313" s="695"/>
      <c r="B1313" s="695"/>
      <c r="C1313" s="695"/>
      <c r="D1313" s="695"/>
      <c r="E1313" s="695"/>
      <c r="F1313" s="442"/>
      <c r="G1313" s="406"/>
      <c r="H1313" s="406"/>
      <c r="I1313" s="406"/>
      <c r="J1313" s="406"/>
      <c r="K1313" s="421"/>
      <c r="L1313" s="421"/>
      <c r="M1313" s="421"/>
      <c r="N1313" s="421"/>
      <c r="O1313" s="421"/>
      <c r="P1313" s="421"/>
      <c r="Q1313" s="421"/>
      <c r="R1313" s="421"/>
    </row>
    <row r="1314" spans="1:18" s="10" customFormat="1" ht="15.75">
      <c r="A1314" s="695"/>
      <c r="B1314" s="695"/>
      <c r="C1314" s="695"/>
      <c r="D1314" s="695"/>
      <c r="E1314" s="695"/>
      <c r="F1314" s="442"/>
      <c r="G1314" s="406"/>
      <c r="H1314" s="406"/>
      <c r="I1314" s="406"/>
      <c r="J1314" s="406"/>
      <c r="K1314" s="421"/>
      <c r="L1314" s="421"/>
      <c r="M1314" s="421"/>
      <c r="N1314" s="421"/>
      <c r="O1314" s="421"/>
      <c r="P1314" s="421"/>
      <c r="Q1314" s="421"/>
      <c r="R1314" s="421"/>
    </row>
    <row r="1315" spans="1:18" s="10" customFormat="1" ht="15.75">
      <c r="A1315" s="695"/>
      <c r="B1315" s="695"/>
      <c r="C1315" s="695"/>
      <c r="D1315" s="695"/>
      <c r="E1315" s="695"/>
      <c r="F1315" s="442"/>
      <c r="G1315" s="406"/>
      <c r="H1315" s="406"/>
      <c r="I1315" s="406"/>
      <c r="J1315" s="406"/>
      <c r="K1315" s="421"/>
      <c r="L1315" s="421"/>
      <c r="M1315" s="421"/>
      <c r="N1315" s="421"/>
      <c r="O1315" s="421"/>
      <c r="P1315" s="421"/>
      <c r="Q1315" s="421"/>
      <c r="R1315" s="421"/>
    </row>
  </sheetData>
  <mergeCells count="2">
    <mergeCell ref="A1147:B1147"/>
    <mergeCell ref="A1203:B120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414"/>
  <sheetViews>
    <sheetView view="pageBreakPreview" zoomScale="75" zoomScaleNormal="100" workbookViewId="0">
      <pane ySplit="1875" topLeftCell="A1195" activePane="bottomLeft"/>
      <selection activeCell="R1" sqref="R1:AQ65536"/>
      <selection pane="bottomLeft" activeCell="M1222" sqref="M1222"/>
    </sheetView>
  </sheetViews>
  <sheetFormatPr defaultRowHeight="12.75"/>
  <cols>
    <col min="1" max="1" width="6.42578125" style="734" customWidth="1"/>
    <col min="2" max="2" width="25.140625" style="734" customWidth="1"/>
    <col min="3" max="3" width="12.28515625" style="734" customWidth="1"/>
    <col min="4" max="5" width="11.28515625" style="734" customWidth="1"/>
    <col min="6" max="6" width="12.7109375" style="700" customWidth="1"/>
    <col min="7" max="7" width="11.28515625" style="734" customWidth="1"/>
    <col min="8" max="8" width="10.7109375" style="729" customWidth="1"/>
    <col min="9" max="9" width="9.5703125" style="421" customWidth="1"/>
    <col min="10" max="10" width="9.140625" style="735"/>
    <col min="11" max="11" width="10.140625" style="735" customWidth="1"/>
    <col min="12" max="12" width="10" style="735" customWidth="1"/>
    <col min="13" max="13" width="10.5703125" style="735" customWidth="1"/>
    <col min="14" max="14" width="10.5703125" style="735" hidden="1" customWidth="1"/>
    <col min="15" max="16" width="9.140625" style="736"/>
  </cols>
  <sheetData>
    <row r="1" spans="1:16" s="6" customFormat="1" ht="15.75">
      <c r="B1" s="5" t="s">
        <v>638</v>
      </c>
      <c r="F1" s="67"/>
      <c r="H1" s="25"/>
      <c r="I1" s="34"/>
      <c r="J1" s="34"/>
      <c r="K1" s="34"/>
      <c r="L1" s="34"/>
      <c r="M1" s="34" t="s">
        <v>1335</v>
      </c>
      <c r="N1" s="34"/>
      <c r="O1" s="74"/>
      <c r="P1" s="74"/>
    </row>
    <row r="2" spans="1:16" s="6" customFormat="1" ht="15.75">
      <c r="C2" s="5" t="s">
        <v>672</v>
      </c>
      <c r="D2" s="5"/>
      <c r="E2" s="5"/>
      <c r="F2" s="69"/>
      <c r="G2" s="5"/>
      <c r="H2" s="25"/>
      <c r="I2" s="34"/>
      <c r="J2" s="34"/>
      <c r="K2" s="34"/>
      <c r="L2" s="34"/>
      <c r="M2" s="34" t="s">
        <v>1334</v>
      </c>
      <c r="N2" s="34"/>
      <c r="O2" s="74"/>
      <c r="P2" s="74"/>
    </row>
    <row r="3" spans="1:16" s="6" customFormat="1" ht="63" customHeight="1">
      <c r="A3" s="75"/>
      <c r="B3" s="78" t="s">
        <v>601</v>
      </c>
      <c r="C3" s="78" t="s">
        <v>1336</v>
      </c>
      <c r="D3" s="78" t="s">
        <v>610</v>
      </c>
      <c r="E3" s="78" t="s">
        <v>611</v>
      </c>
      <c r="F3" s="714" t="s">
        <v>575</v>
      </c>
      <c r="G3" s="79" t="s">
        <v>1363</v>
      </c>
      <c r="H3" s="80" t="s">
        <v>1364</v>
      </c>
      <c r="I3" s="81" t="s">
        <v>1365</v>
      </c>
      <c r="J3" s="81" t="s">
        <v>578</v>
      </c>
      <c r="K3" s="81" t="s">
        <v>579</v>
      </c>
      <c r="L3" s="81" t="s">
        <v>1366</v>
      </c>
      <c r="M3" s="81" t="s">
        <v>581</v>
      </c>
      <c r="N3" s="81">
        <v>1.29</v>
      </c>
      <c r="O3" s="86" t="s">
        <v>1367</v>
      </c>
      <c r="P3" s="237"/>
    </row>
    <row r="4" spans="1:16" s="6" customFormat="1" ht="17.25" customHeight="1" thickBot="1">
      <c r="A4" s="76"/>
      <c r="B4" s="82"/>
      <c r="C4" s="82"/>
      <c r="D4" s="82"/>
      <c r="E4" s="82"/>
      <c r="F4" s="715"/>
      <c r="G4" s="83"/>
      <c r="H4" s="84"/>
      <c r="I4" s="85"/>
      <c r="J4" s="85"/>
      <c r="K4" s="85"/>
      <c r="L4" s="85"/>
      <c r="M4" s="85"/>
      <c r="N4" s="85"/>
      <c r="O4" s="87"/>
      <c r="P4" s="237"/>
    </row>
    <row r="5" spans="1:16" s="209" customFormat="1" ht="17.25" thickBot="1">
      <c r="A5" s="719" t="s">
        <v>589</v>
      </c>
      <c r="B5" s="720"/>
      <c r="C5" s="721"/>
      <c r="D5" s="721"/>
      <c r="E5" s="721"/>
      <c r="F5" s="721"/>
      <c r="G5" s="721"/>
      <c r="H5" s="721"/>
      <c r="I5" s="721"/>
      <c r="J5" s="722"/>
      <c r="K5" s="722"/>
      <c r="L5" s="722"/>
      <c r="M5" s="722"/>
      <c r="N5" s="936"/>
      <c r="O5" s="723"/>
      <c r="P5" s="383"/>
    </row>
    <row r="6" spans="1:16" s="6" customFormat="1" ht="15.75">
      <c r="A6" s="308">
        <v>1</v>
      </c>
      <c r="B6" s="304" t="s">
        <v>683</v>
      </c>
      <c r="C6" s="386">
        <v>9570.0499999999993</v>
      </c>
      <c r="D6" s="386"/>
      <c r="E6" s="386"/>
      <c r="F6" s="716">
        <f>C6+D6+E6</f>
        <v>9570.0499999999993</v>
      </c>
      <c r="G6" s="21" t="s">
        <v>1341</v>
      </c>
      <c r="H6" s="883">
        <v>1560</v>
      </c>
      <c r="I6" s="41">
        <f t="shared" ref="I6:I66" si="0">2/55267.7*H6</f>
        <v>5.6452502999039228E-2</v>
      </c>
      <c r="J6" s="39">
        <f t="shared" ref="J6:J66" si="1">I6*2269.13</f>
        <v>128.0980681302099</v>
      </c>
      <c r="K6" s="39">
        <f>J6*0.3677</f>
        <v>47.10165965147818</v>
      </c>
      <c r="L6" s="39">
        <v>59.472188515285552</v>
      </c>
      <c r="M6" s="39">
        <f>I6*376.38</f>
        <v>21.247593078778383</v>
      </c>
      <c r="N6" s="39"/>
      <c r="O6" s="94">
        <f>(M6+L6+K6+J6)/F6</f>
        <v>2.674171079312564E-2</v>
      </c>
      <c r="P6" s="238" t="s">
        <v>0</v>
      </c>
    </row>
    <row r="7" spans="1:16" s="6" customFormat="1" ht="15.75">
      <c r="A7" s="309">
        <v>2</v>
      </c>
      <c r="B7" s="305" t="s">
        <v>684</v>
      </c>
      <c r="C7" s="330">
        <v>4259.1400000000003</v>
      </c>
      <c r="D7" s="330"/>
      <c r="E7" s="330"/>
      <c r="F7" s="61">
        <f t="shared" ref="F7:F79" si="2">C7+D7+E7</f>
        <v>4259.1400000000003</v>
      </c>
      <c r="G7" s="8" t="s">
        <v>1341</v>
      </c>
      <c r="H7" s="24">
        <v>677.9</v>
      </c>
      <c r="I7" s="41">
        <f t="shared" si="0"/>
        <v>2.453150755323634E-2</v>
      </c>
      <c r="J7" s="39">
        <f t="shared" si="1"/>
        <v>55.665179734275178</v>
      </c>
      <c r="K7" s="37">
        <f t="shared" ref="K7:K79" si="3">J7*0.3677</f>
        <v>20.468086588292984</v>
      </c>
      <c r="L7" s="39">
        <v>25.843715765712865</v>
      </c>
      <c r="M7" s="39">
        <f t="shared" ref="M7:M37" si="4">I7*376.38</f>
        <v>9.2331688128870937</v>
      </c>
      <c r="N7" s="39"/>
      <c r="O7" s="94">
        <f t="shared" ref="O7:O70" si="5">(M7+L7+K7+J7)/F7</f>
        <v>2.6110940448345936E-2</v>
      </c>
      <c r="P7" s="238" t="s">
        <v>555</v>
      </c>
    </row>
    <row r="8" spans="1:16" s="6" customFormat="1" ht="15.75">
      <c r="A8" s="309">
        <v>3</v>
      </c>
      <c r="B8" s="305" t="s">
        <v>685</v>
      </c>
      <c r="C8" s="330">
        <v>8696.41</v>
      </c>
      <c r="D8" s="330"/>
      <c r="E8" s="330"/>
      <c r="F8" s="61">
        <f t="shared" si="2"/>
        <v>8696.41</v>
      </c>
      <c r="G8" s="8" t="s">
        <v>1341</v>
      </c>
      <c r="H8" s="24">
        <v>1320</v>
      </c>
      <c r="I8" s="41">
        <f t="shared" si="0"/>
        <v>4.7767502537648575E-2</v>
      </c>
      <c r="J8" s="39">
        <f t="shared" si="1"/>
        <v>108.39067303325452</v>
      </c>
      <c r="K8" s="37">
        <f t="shared" si="3"/>
        <v>39.85525047432769</v>
      </c>
      <c r="L8" s="39">
        <v>50.322621051395473</v>
      </c>
      <c r="M8" s="39">
        <f t="shared" si="4"/>
        <v>17.978732605120172</v>
      </c>
      <c r="N8" s="39"/>
      <c r="O8" s="94">
        <f t="shared" si="5"/>
        <v>2.490076677204707E-2</v>
      </c>
      <c r="P8" s="238"/>
    </row>
    <row r="9" spans="1:16" s="6" customFormat="1" ht="15.75">
      <c r="A9" s="309">
        <v>4</v>
      </c>
      <c r="B9" s="305" t="s">
        <v>686</v>
      </c>
      <c r="C9" s="330">
        <v>2719.72</v>
      </c>
      <c r="D9" s="330"/>
      <c r="E9" s="330"/>
      <c r="F9" s="61">
        <f t="shared" si="2"/>
        <v>2719.72</v>
      </c>
      <c r="G9" s="8" t="s">
        <v>1341</v>
      </c>
      <c r="H9" s="24">
        <v>778</v>
      </c>
      <c r="I9" s="41">
        <f t="shared" si="0"/>
        <v>2.815387649567469E-2</v>
      </c>
      <c r="J9" s="39">
        <f t="shared" si="1"/>
        <v>63.884805772630315</v>
      </c>
      <c r="K9" s="37">
        <f t="shared" si="3"/>
        <v>23.490443082596169</v>
      </c>
      <c r="L9" s="39">
        <v>29.659847862110357</v>
      </c>
      <c r="M9" s="39">
        <f t="shared" si="4"/>
        <v>10.59655603544204</v>
      </c>
      <c r="N9" s="39"/>
      <c r="O9" s="94">
        <f t="shared" si="5"/>
        <v>4.6928232594818174E-2</v>
      </c>
      <c r="P9" s="238"/>
    </row>
    <row r="10" spans="1:16" s="6" customFormat="1" ht="15.75">
      <c r="A10" s="309">
        <v>5</v>
      </c>
      <c r="B10" s="305" t="s">
        <v>687</v>
      </c>
      <c r="C10" s="330">
        <v>4138.7</v>
      </c>
      <c r="D10" s="330"/>
      <c r="E10" s="330"/>
      <c r="F10" s="61">
        <f t="shared" si="2"/>
        <v>4138.7</v>
      </c>
      <c r="G10" s="8" t="s">
        <v>1341</v>
      </c>
      <c r="H10" s="24">
        <v>706</v>
      </c>
      <c r="I10" s="41">
        <f t="shared" si="0"/>
        <v>2.5548376357257496E-2</v>
      </c>
      <c r="J10" s="39">
        <f t="shared" si="1"/>
        <v>57.972587243543707</v>
      </c>
      <c r="K10" s="37">
        <f t="shared" si="3"/>
        <v>21.316520329451023</v>
      </c>
      <c r="L10" s="39">
        <v>26.914977622943333</v>
      </c>
      <c r="M10" s="39">
        <f t="shared" si="4"/>
        <v>9.6158978933445756</v>
      </c>
      <c r="N10" s="39"/>
      <c r="O10" s="94">
        <f t="shared" si="5"/>
        <v>2.7984628769730263E-2</v>
      </c>
      <c r="P10" s="238"/>
    </row>
    <row r="11" spans="1:16" s="6" customFormat="1" ht="15.75">
      <c r="A11" s="309">
        <v>6</v>
      </c>
      <c r="B11" s="305" t="s">
        <v>688</v>
      </c>
      <c r="C11" s="330">
        <v>4166.1899999999996</v>
      </c>
      <c r="D11" s="330"/>
      <c r="E11" s="330"/>
      <c r="F11" s="61">
        <f t="shared" si="2"/>
        <v>4166.1899999999996</v>
      </c>
      <c r="G11" s="8" t="s">
        <v>1341</v>
      </c>
      <c r="H11" s="24">
        <v>707</v>
      </c>
      <c r="I11" s="41">
        <f t="shared" si="0"/>
        <v>2.5584563859179957E-2</v>
      </c>
      <c r="J11" s="39">
        <f t="shared" si="1"/>
        <v>58.054701389781023</v>
      </c>
      <c r="K11" s="37">
        <f t="shared" si="3"/>
        <v>21.346713701022484</v>
      </c>
      <c r="L11" s="39">
        <v>26.95310082070954</v>
      </c>
      <c r="M11" s="39">
        <f t="shared" si="4"/>
        <v>9.6295181453181531</v>
      </c>
      <c r="N11" s="39"/>
      <c r="O11" s="94">
        <f t="shared" si="5"/>
        <v>2.783935299562219E-2</v>
      </c>
      <c r="P11" s="238"/>
    </row>
    <row r="12" spans="1:16" s="6" customFormat="1" ht="15.75">
      <c r="A12" s="308">
        <v>7</v>
      </c>
      <c r="B12" s="305" t="s">
        <v>689</v>
      </c>
      <c r="C12" s="330">
        <v>3572.8</v>
      </c>
      <c r="D12" s="330"/>
      <c r="E12" s="330"/>
      <c r="F12" s="61">
        <f t="shared" si="2"/>
        <v>3572.8</v>
      </c>
      <c r="G12" s="8" t="s">
        <v>1341</v>
      </c>
      <c r="H12" s="24">
        <v>615</v>
      </c>
      <c r="I12" s="41">
        <f t="shared" si="0"/>
        <v>2.2255313682313541E-2</v>
      </c>
      <c r="J12" s="39">
        <f t="shared" si="1"/>
        <v>50.500199935948132</v>
      </c>
      <c r="K12" s="37">
        <f t="shared" si="3"/>
        <v>18.56892351644813</v>
      </c>
      <c r="L12" s="39">
        <v>23.44576662621834</v>
      </c>
      <c r="M12" s="39">
        <f t="shared" si="4"/>
        <v>8.3764549637491701</v>
      </c>
      <c r="N12" s="39"/>
      <c r="O12" s="94">
        <f t="shared" si="5"/>
        <v>2.8238732938413506E-2</v>
      </c>
      <c r="P12" s="238"/>
    </row>
    <row r="13" spans="1:16" s="6" customFormat="1" ht="15.75">
      <c r="A13" s="309">
        <v>8</v>
      </c>
      <c r="B13" s="305" t="s">
        <v>690</v>
      </c>
      <c r="C13" s="330">
        <v>6443.05</v>
      </c>
      <c r="D13" s="330"/>
      <c r="E13" s="330"/>
      <c r="F13" s="61">
        <f t="shared" si="2"/>
        <v>6443.05</v>
      </c>
      <c r="G13" s="8" t="s">
        <v>1341</v>
      </c>
      <c r="H13" s="24">
        <v>1098</v>
      </c>
      <c r="I13" s="41">
        <f t="shared" si="0"/>
        <v>3.9733877110862223E-2</v>
      </c>
      <c r="J13" s="39">
        <f t="shared" si="1"/>
        <v>90.161332568570799</v>
      </c>
      <c r="K13" s="37">
        <f t="shared" si="3"/>
        <v>33.152321985463487</v>
      </c>
      <c r="L13" s="39">
        <v>41.859271147297136</v>
      </c>
      <c r="M13" s="39">
        <f t="shared" si="4"/>
        <v>14.955036666986324</v>
      </c>
      <c r="N13" s="39"/>
      <c r="O13" s="94">
        <f t="shared" si="5"/>
        <v>2.7956940015725122E-2</v>
      </c>
      <c r="P13" s="238"/>
    </row>
    <row r="14" spans="1:16" s="6" customFormat="1" ht="15.75">
      <c r="A14" s="309">
        <v>9</v>
      </c>
      <c r="B14" s="305" t="s">
        <v>691</v>
      </c>
      <c r="C14" s="330">
        <v>6459.7</v>
      </c>
      <c r="D14" s="330"/>
      <c r="E14" s="330"/>
      <c r="F14" s="61">
        <f t="shared" si="2"/>
        <v>6459.7</v>
      </c>
      <c r="G14" s="8" t="s">
        <v>1341</v>
      </c>
      <c r="H14" s="24">
        <v>1365.4</v>
      </c>
      <c r="I14" s="41">
        <f t="shared" si="0"/>
        <v>4.941041512492831E-2</v>
      </c>
      <c r="J14" s="39">
        <f t="shared" si="1"/>
        <v>112.11865527242858</v>
      </c>
      <c r="K14" s="37">
        <f t="shared" si="3"/>
        <v>41.226029543671991</v>
      </c>
      <c r="L14" s="39">
        <v>52.05341422998135</v>
      </c>
      <c r="M14" s="39">
        <f t="shared" si="4"/>
        <v>18.597092044720519</v>
      </c>
      <c r="N14" s="39"/>
      <c r="O14" s="94">
        <f t="shared" si="5"/>
        <v>3.4675788518166856E-2</v>
      </c>
      <c r="P14" s="238"/>
    </row>
    <row r="15" spans="1:16" s="6" customFormat="1" ht="15.75">
      <c r="A15" s="309">
        <v>10</v>
      </c>
      <c r="B15" s="305" t="s">
        <v>692</v>
      </c>
      <c r="C15" s="330">
        <v>4374.04</v>
      </c>
      <c r="D15" s="330"/>
      <c r="E15" s="330"/>
      <c r="F15" s="61">
        <f t="shared" si="2"/>
        <v>4374.04</v>
      </c>
      <c r="G15" s="8" t="s">
        <v>1341</v>
      </c>
      <c r="H15" s="24">
        <v>657</v>
      </c>
      <c r="I15" s="41">
        <f t="shared" si="0"/>
        <v>2.3775188763056905E-2</v>
      </c>
      <c r="J15" s="39">
        <f t="shared" si="1"/>
        <v>53.948994077915316</v>
      </c>
      <c r="K15" s="37">
        <f t="shared" si="3"/>
        <v>19.837045122449464</v>
      </c>
      <c r="L15" s="39">
        <v>25.046940932399107</v>
      </c>
      <c r="M15" s="39">
        <f t="shared" si="4"/>
        <v>8.9485055466393586</v>
      </c>
      <c r="N15" s="39"/>
      <c r="O15" s="94">
        <f t="shared" si="5"/>
        <v>2.4641175133149958E-2</v>
      </c>
      <c r="P15" s="238"/>
    </row>
    <row r="16" spans="1:16" s="6" customFormat="1" ht="15.75">
      <c r="A16" s="309">
        <v>11</v>
      </c>
      <c r="B16" s="305" t="s">
        <v>693</v>
      </c>
      <c r="C16" s="330">
        <v>3413.87</v>
      </c>
      <c r="D16" s="330"/>
      <c r="E16" s="330">
        <v>85.7</v>
      </c>
      <c r="F16" s="61">
        <f t="shared" si="2"/>
        <v>3499.5699999999997</v>
      </c>
      <c r="G16" s="8" t="s">
        <v>1341</v>
      </c>
      <c r="H16" s="24">
        <v>711</v>
      </c>
      <c r="I16" s="41">
        <f t="shared" si="0"/>
        <v>2.5729313866869802E-2</v>
      </c>
      <c r="J16" s="39">
        <f t="shared" si="1"/>
        <v>58.383157974730274</v>
      </c>
      <c r="K16" s="37">
        <f t="shared" si="3"/>
        <v>21.467487187308322</v>
      </c>
      <c r="L16" s="39">
        <v>27.105593611774374</v>
      </c>
      <c r="M16" s="39">
        <f t="shared" si="4"/>
        <v>9.6839991532124561</v>
      </c>
      <c r="N16" s="39"/>
      <c r="O16" s="94">
        <f t="shared" si="5"/>
        <v>3.3329877078334035E-2</v>
      </c>
      <c r="P16" s="238"/>
    </row>
    <row r="17" spans="1:16" s="6" customFormat="1" ht="15.75">
      <c r="A17" s="309">
        <v>12</v>
      </c>
      <c r="B17" s="305" t="s">
        <v>694</v>
      </c>
      <c r="C17" s="330">
        <v>3466.61</v>
      </c>
      <c r="D17" s="330">
        <v>97.8</v>
      </c>
      <c r="E17" s="330"/>
      <c r="F17" s="61">
        <f t="shared" si="2"/>
        <v>3564.4100000000003</v>
      </c>
      <c r="G17" s="8" t="s">
        <v>1341</v>
      </c>
      <c r="H17" s="24">
        <v>708</v>
      </c>
      <c r="I17" s="41">
        <f t="shared" si="0"/>
        <v>2.5620751361102419E-2</v>
      </c>
      <c r="J17" s="39">
        <f t="shared" si="1"/>
        <v>58.136815536018332</v>
      </c>
      <c r="K17" s="37">
        <f t="shared" si="3"/>
        <v>21.376907072593941</v>
      </c>
      <c r="L17" s="39">
        <v>26.991224018475751</v>
      </c>
      <c r="M17" s="39">
        <f t="shared" si="4"/>
        <v>9.6431383972917288</v>
      </c>
      <c r="N17" s="39"/>
      <c r="O17" s="94">
        <f t="shared" si="5"/>
        <v>3.2585500833063462E-2</v>
      </c>
      <c r="P17" s="238"/>
    </row>
    <row r="18" spans="1:16" s="6" customFormat="1" ht="15.75">
      <c r="A18" s="308">
        <v>13</v>
      </c>
      <c r="B18" s="305" t="s">
        <v>695</v>
      </c>
      <c r="C18" s="330">
        <v>5767.21</v>
      </c>
      <c r="D18" s="330">
        <v>261.60000000000002</v>
      </c>
      <c r="E18" s="330">
        <v>456.05</v>
      </c>
      <c r="F18" s="61">
        <f t="shared" si="2"/>
        <v>6484.8600000000006</v>
      </c>
      <c r="G18" s="8" t="s">
        <v>1341</v>
      </c>
      <c r="H18" s="24">
        <v>1093.7</v>
      </c>
      <c r="I18" s="41">
        <f t="shared" si="0"/>
        <v>3.9578270852595646E-2</v>
      </c>
      <c r="J18" s="39">
        <f t="shared" si="1"/>
        <v>89.808241739750358</v>
      </c>
      <c r="K18" s="37">
        <f t="shared" si="3"/>
        <v>33.022490487706207</v>
      </c>
      <c r="L18" s="39">
        <v>41.695341396902442</v>
      </c>
      <c r="M18" s="39">
        <f t="shared" si="4"/>
        <v>14.896469583499949</v>
      </c>
      <c r="N18" s="39"/>
      <c r="O18" s="94">
        <f t="shared" si="5"/>
        <v>2.7667913140431551E-2</v>
      </c>
      <c r="P18" s="238"/>
    </row>
    <row r="19" spans="1:16" s="6" customFormat="1" ht="15.75">
      <c r="A19" s="309">
        <v>14</v>
      </c>
      <c r="B19" s="305" t="s">
        <v>696</v>
      </c>
      <c r="C19" s="330">
        <v>5966.95</v>
      </c>
      <c r="D19" s="330"/>
      <c r="E19" s="330">
        <v>49.5</v>
      </c>
      <c r="F19" s="61">
        <f t="shared" si="2"/>
        <v>6016.45</v>
      </c>
      <c r="G19" s="8" t="s">
        <v>1341</v>
      </c>
      <c r="H19" s="24">
        <v>990.9</v>
      </c>
      <c r="I19" s="41">
        <f t="shared" si="0"/>
        <v>3.5858195654966646E-2</v>
      </c>
      <c r="J19" s="39">
        <f t="shared" si="1"/>
        <v>81.366907506554469</v>
      </c>
      <c r="K19" s="37">
        <f t="shared" si="3"/>
        <v>29.918611890160079</v>
      </c>
      <c r="L19" s="39">
        <v>37.776276666536191</v>
      </c>
      <c r="M19" s="39">
        <f t="shared" si="4"/>
        <v>13.496307680616345</v>
      </c>
      <c r="N19" s="39"/>
      <c r="O19" s="94">
        <f t="shared" si="5"/>
        <v>2.7018940362484041E-2</v>
      </c>
      <c r="P19" s="238"/>
    </row>
    <row r="20" spans="1:16" s="6" customFormat="1" ht="15.75">
      <c r="A20" s="309">
        <v>15</v>
      </c>
      <c r="B20" s="305" t="s">
        <v>697</v>
      </c>
      <c r="C20" s="330">
        <v>8566.1200000000008</v>
      </c>
      <c r="D20" s="330"/>
      <c r="E20" s="330"/>
      <c r="F20" s="61">
        <f t="shared" si="2"/>
        <v>8566.1200000000008</v>
      </c>
      <c r="G20" s="8" t="s">
        <v>1341</v>
      </c>
      <c r="H20" s="24">
        <v>1289.5</v>
      </c>
      <c r="I20" s="41">
        <f t="shared" si="0"/>
        <v>4.6663783729013517E-2</v>
      </c>
      <c r="J20" s="39">
        <f t="shared" si="1"/>
        <v>105.88619157301645</v>
      </c>
      <c r="K20" s="37">
        <f t="shared" si="3"/>
        <v>38.934352641398149</v>
      </c>
      <c r="L20" s="39">
        <v>49.159863519526105</v>
      </c>
      <c r="M20" s="39">
        <f t="shared" si="4"/>
        <v>17.563314919926107</v>
      </c>
      <c r="N20" s="39"/>
      <c r="O20" s="94">
        <f t="shared" si="5"/>
        <v>2.4695395657995309E-2</v>
      </c>
      <c r="P20" s="238"/>
    </row>
    <row r="21" spans="1:16" s="6" customFormat="1" ht="15.75">
      <c r="A21" s="309">
        <v>16</v>
      </c>
      <c r="B21" s="305" t="s">
        <v>698</v>
      </c>
      <c r="C21" s="330">
        <v>5774.55</v>
      </c>
      <c r="D21" s="330">
        <v>201.5</v>
      </c>
      <c r="E21" s="330"/>
      <c r="F21" s="61">
        <f t="shared" si="2"/>
        <v>5976.05</v>
      </c>
      <c r="G21" s="8" t="s">
        <v>1341</v>
      </c>
      <c r="H21" s="24">
        <v>1686.6</v>
      </c>
      <c r="I21" s="41">
        <f t="shared" si="0"/>
        <v>6.1033840742422789E-2</v>
      </c>
      <c r="J21" s="39">
        <f t="shared" si="1"/>
        <v>138.49371904385384</v>
      </c>
      <c r="K21" s="37">
        <f t="shared" si="3"/>
        <v>50.92414049242506</v>
      </c>
      <c r="L21" s="39">
        <v>64.298585352487564</v>
      </c>
      <c r="M21" s="39">
        <f t="shared" si="4"/>
        <v>22.971916978633089</v>
      </c>
      <c r="N21" s="39"/>
      <c r="O21" s="94">
        <f t="shared" si="5"/>
        <v>4.6299539305628218E-2</v>
      </c>
      <c r="P21" s="238"/>
    </row>
    <row r="22" spans="1:16" s="6" customFormat="1" ht="15.75">
      <c r="A22" s="309">
        <v>17</v>
      </c>
      <c r="B22" s="305" t="s">
        <v>699</v>
      </c>
      <c r="C22" s="330">
        <v>3226.62</v>
      </c>
      <c r="D22" s="330"/>
      <c r="E22" s="330"/>
      <c r="F22" s="61">
        <f t="shared" si="2"/>
        <v>3226.62</v>
      </c>
      <c r="G22" s="8" t="s">
        <v>1341</v>
      </c>
      <c r="H22" s="24">
        <v>985</v>
      </c>
      <c r="I22" s="41">
        <f t="shared" si="0"/>
        <v>3.5644689393624127E-2</v>
      </c>
      <c r="J22" s="39">
        <f t="shared" si="1"/>
        <v>80.882434043754316</v>
      </c>
      <c r="K22" s="37">
        <f t="shared" si="3"/>
        <v>29.740470997888465</v>
      </c>
      <c r="L22" s="39">
        <v>37.55134979971556</v>
      </c>
      <c r="M22" s="39">
        <f t="shared" si="4"/>
        <v>13.415948193972248</v>
      </c>
      <c r="N22" s="39"/>
      <c r="O22" s="94">
        <f t="shared" si="5"/>
        <v>5.0080332681050325E-2</v>
      </c>
      <c r="P22" s="238"/>
    </row>
    <row r="23" spans="1:16" s="6" customFormat="1" ht="15.75">
      <c r="A23" s="309">
        <v>18</v>
      </c>
      <c r="B23" s="305" t="s">
        <v>700</v>
      </c>
      <c r="C23" s="330">
        <v>3233.9</v>
      </c>
      <c r="D23" s="330"/>
      <c r="E23" s="330"/>
      <c r="F23" s="61">
        <f t="shared" si="2"/>
        <v>3233.9</v>
      </c>
      <c r="G23" s="8" t="s">
        <v>1341</v>
      </c>
      <c r="H23" s="24">
        <v>985</v>
      </c>
      <c r="I23" s="41">
        <f t="shared" si="0"/>
        <v>3.5644689393624127E-2</v>
      </c>
      <c r="J23" s="39">
        <f t="shared" si="1"/>
        <v>80.882434043754316</v>
      </c>
      <c r="K23" s="37">
        <f t="shared" si="3"/>
        <v>29.740470997888465</v>
      </c>
      <c r="L23" s="39">
        <v>37.55134979971556</v>
      </c>
      <c r="M23" s="39">
        <f t="shared" si="4"/>
        <v>13.415948193972248</v>
      </c>
      <c r="N23" s="39"/>
      <c r="O23" s="94">
        <f t="shared" si="5"/>
        <v>4.9967594246986796E-2</v>
      </c>
      <c r="P23" s="238"/>
    </row>
    <row r="24" spans="1:16" s="6" customFormat="1" ht="15.75">
      <c r="A24" s="308">
        <v>19</v>
      </c>
      <c r="B24" s="305" t="s">
        <v>701</v>
      </c>
      <c r="C24" s="330">
        <v>6095.4</v>
      </c>
      <c r="D24" s="330"/>
      <c r="E24" s="330"/>
      <c r="F24" s="61">
        <f t="shared" si="2"/>
        <v>6095.4</v>
      </c>
      <c r="G24" s="8" t="s">
        <v>1341</v>
      </c>
      <c r="H24" s="24">
        <v>1686.6</v>
      </c>
      <c r="I24" s="41">
        <f t="shared" si="0"/>
        <v>6.1033840742422789E-2</v>
      </c>
      <c r="J24" s="39">
        <f t="shared" si="1"/>
        <v>138.49371904385384</v>
      </c>
      <c r="K24" s="37">
        <f t="shared" si="3"/>
        <v>50.92414049242506</v>
      </c>
      <c r="L24" s="39">
        <v>64.298585352487564</v>
      </c>
      <c r="M24" s="39">
        <f t="shared" si="4"/>
        <v>22.971916978633089</v>
      </c>
      <c r="N24" s="39"/>
      <c r="O24" s="94">
        <f t="shared" si="5"/>
        <v>4.5392978617875702E-2</v>
      </c>
      <c r="P24" s="238"/>
    </row>
    <row r="25" spans="1:16" s="6" customFormat="1" ht="15.75">
      <c r="A25" s="309">
        <v>20</v>
      </c>
      <c r="B25" s="305" t="s">
        <v>702</v>
      </c>
      <c r="C25" s="330">
        <v>6384.91</v>
      </c>
      <c r="D25" s="330"/>
      <c r="E25" s="330"/>
      <c r="F25" s="61">
        <f t="shared" si="2"/>
        <v>6384.91</v>
      </c>
      <c r="G25" s="8" t="s">
        <v>1341</v>
      </c>
      <c r="H25" s="24">
        <v>1107.3</v>
      </c>
      <c r="I25" s="41">
        <f t="shared" si="0"/>
        <v>4.007042087874111E-2</v>
      </c>
      <c r="J25" s="39">
        <f t="shared" si="1"/>
        <v>90.924994128577822</v>
      </c>
      <c r="K25" s="37">
        <f t="shared" si="3"/>
        <v>33.433120341078066</v>
      </c>
      <c r="L25" s="39">
        <v>42.213816886522878</v>
      </c>
      <c r="M25" s="39">
        <f t="shared" si="4"/>
        <v>15.081705010340579</v>
      </c>
      <c r="N25" s="39"/>
      <c r="O25" s="94">
        <f t="shared" si="5"/>
        <v>2.8450461536109257E-2</v>
      </c>
      <c r="P25" s="238"/>
    </row>
    <row r="26" spans="1:16" s="6" customFormat="1" ht="15.75">
      <c r="A26" s="309">
        <v>21</v>
      </c>
      <c r="B26" s="305" t="s">
        <v>703</v>
      </c>
      <c r="C26" s="330">
        <v>3929.49</v>
      </c>
      <c r="D26" s="330">
        <v>464.4</v>
      </c>
      <c r="E26" s="330"/>
      <c r="F26" s="61">
        <f t="shared" si="2"/>
        <v>4393.8899999999994</v>
      </c>
      <c r="G26" s="8" t="s">
        <v>1341</v>
      </c>
      <c r="H26" s="24">
        <v>758</v>
      </c>
      <c r="I26" s="41">
        <f t="shared" si="0"/>
        <v>2.7430126457225472E-2</v>
      </c>
      <c r="J26" s="39">
        <f t="shared" si="1"/>
        <v>62.24252284788404</v>
      </c>
      <c r="K26" s="37">
        <f t="shared" si="3"/>
        <v>22.886575651166964</v>
      </c>
      <c r="L26" s="39">
        <v>28.897383906786189</v>
      </c>
      <c r="M26" s="39">
        <f t="shared" si="4"/>
        <v>10.324150995970523</v>
      </c>
      <c r="N26" s="39"/>
      <c r="O26" s="94">
        <f t="shared" si="5"/>
        <v>2.830080712120871E-2</v>
      </c>
      <c r="P26" s="238"/>
    </row>
    <row r="27" spans="1:16" s="6" customFormat="1" ht="15.75">
      <c r="A27" s="309">
        <v>22</v>
      </c>
      <c r="B27" s="305" t="s">
        <v>704</v>
      </c>
      <c r="C27" s="330">
        <v>7174.09</v>
      </c>
      <c r="D27" s="330"/>
      <c r="E27" s="330"/>
      <c r="F27" s="61">
        <f t="shared" si="2"/>
        <v>7174.09</v>
      </c>
      <c r="G27" s="8" t="s">
        <v>1341</v>
      </c>
      <c r="H27" s="24">
        <v>1198</v>
      </c>
      <c r="I27" s="41">
        <f t="shared" si="0"/>
        <v>4.3352627303108328E-2</v>
      </c>
      <c r="J27" s="39">
        <f t="shared" si="1"/>
        <v>98.372747192302199</v>
      </c>
      <c r="K27" s="37">
        <f t="shared" si="3"/>
        <v>36.171659142609521</v>
      </c>
      <c r="L27" s="39">
        <v>45.671590923918004</v>
      </c>
      <c r="M27" s="39">
        <f t="shared" si="4"/>
        <v>16.317061864343913</v>
      </c>
      <c r="N27" s="39"/>
      <c r="O27" s="94">
        <f t="shared" si="5"/>
        <v>2.7394841592895215E-2</v>
      </c>
      <c r="P27" s="238"/>
    </row>
    <row r="28" spans="1:16" s="6" customFormat="1" ht="15.75">
      <c r="A28" s="309">
        <v>23</v>
      </c>
      <c r="B28" s="305" t="s">
        <v>705</v>
      </c>
      <c r="C28" s="330">
        <v>3836.07</v>
      </c>
      <c r="D28" s="330"/>
      <c r="E28" s="330">
        <v>416</v>
      </c>
      <c r="F28" s="61">
        <f t="shared" si="2"/>
        <v>4252.07</v>
      </c>
      <c r="G28" s="8" t="s">
        <v>1341</v>
      </c>
      <c r="H28" s="24">
        <v>745</v>
      </c>
      <c r="I28" s="41">
        <f t="shared" si="0"/>
        <v>2.6959688932233477E-2</v>
      </c>
      <c r="J28" s="39">
        <f t="shared" si="1"/>
        <v>61.175038946798949</v>
      </c>
      <c r="K28" s="37">
        <f t="shared" si="3"/>
        <v>22.494061820737976</v>
      </c>
      <c r="L28" s="39">
        <v>28.40178233582547</v>
      </c>
      <c r="M28" s="39">
        <f t="shared" si="4"/>
        <v>10.147087720314035</v>
      </c>
      <c r="N28" s="39"/>
      <c r="O28" s="94">
        <f t="shared" si="5"/>
        <v>2.8743169991010602E-2</v>
      </c>
      <c r="P28" s="238"/>
    </row>
    <row r="29" spans="1:16" s="6" customFormat="1" ht="15.75">
      <c r="A29" s="309">
        <v>24</v>
      </c>
      <c r="B29" s="305" t="s">
        <v>706</v>
      </c>
      <c r="C29" s="330">
        <v>2413.89</v>
      </c>
      <c r="D29" s="330"/>
      <c r="E29" s="330"/>
      <c r="F29" s="61">
        <f t="shared" si="2"/>
        <v>2413.89</v>
      </c>
      <c r="G29" s="8" t="s">
        <v>1341</v>
      </c>
      <c r="H29" s="24">
        <v>706.9</v>
      </c>
      <c r="I29" s="41">
        <f t="shared" si="0"/>
        <v>2.5580945108987712E-2</v>
      </c>
      <c r="J29" s="39">
        <f t="shared" si="1"/>
        <v>58.046489975157293</v>
      </c>
      <c r="K29" s="37">
        <f t="shared" si="3"/>
        <v>21.343694363865339</v>
      </c>
      <c r="L29" s="39">
        <v>26.949288500932919</v>
      </c>
      <c r="M29" s="39">
        <f t="shared" si="4"/>
        <v>9.6281561201207957</v>
      </c>
      <c r="N29" s="39"/>
      <c r="O29" s="94">
        <f t="shared" si="5"/>
        <v>4.8041803462492642E-2</v>
      </c>
      <c r="P29" s="238"/>
    </row>
    <row r="30" spans="1:16" s="6" customFormat="1" ht="15.75">
      <c r="A30" s="308">
        <v>25</v>
      </c>
      <c r="B30" s="305" t="s">
        <v>707</v>
      </c>
      <c r="C30" s="330">
        <v>6323.28</v>
      </c>
      <c r="D30" s="330"/>
      <c r="E30" s="330"/>
      <c r="F30" s="61">
        <f t="shared" si="2"/>
        <v>6323.28</v>
      </c>
      <c r="G30" s="8" t="s">
        <v>1341</v>
      </c>
      <c r="H30" s="24">
        <v>971</v>
      </c>
      <c r="I30" s="41">
        <f t="shared" si="0"/>
        <v>3.5138064366709673E-2</v>
      </c>
      <c r="J30" s="39">
        <f t="shared" si="1"/>
        <v>79.73283599643193</v>
      </c>
      <c r="K30" s="37">
        <f t="shared" si="3"/>
        <v>29.317763795888023</v>
      </c>
      <c r="L30" s="39">
        <v>37.017625030988633</v>
      </c>
      <c r="M30" s="39">
        <f t="shared" si="4"/>
        <v>13.225264666342186</v>
      </c>
      <c r="N30" s="39"/>
      <c r="O30" s="94">
        <f t="shared" si="5"/>
        <v>2.5191591941152499E-2</v>
      </c>
      <c r="P30" s="238"/>
    </row>
    <row r="31" spans="1:16" s="6" customFormat="1" ht="15.75">
      <c r="A31" s="309">
        <v>26</v>
      </c>
      <c r="B31" s="305" t="s">
        <v>708</v>
      </c>
      <c r="C31" s="330">
        <v>4396.59</v>
      </c>
      <c r="D31" s="330"/>
      <c r="E31" s="330"/>
      <c r="F31" s="61">
        <f t="shared" si="2"/>
        <v>4396.59</v>
      </c>
      <c r="G31" s="8" t="s">
        <v>1341</v>
      </c>
      <c r="H31" s="24">
        <v>649</v>
      </c>
      <c r="I31" s="41">
        <f t="shared" si="0"/>
        <v>2.3485688747677216E-2</v>
      </c>
      <c r="J31" s="39">
        <f t="shared" si="1"/>
        <v>53.292080908016807</v>
      </c>
      <c r="K31" s="37">
        <f t="shared" si="3"/>
        <v>19.59549814987778</v>
      </c>
      <c r="L31" s="39">
        <v>24.741955350269436</v>
      </c>
      <c r="M31" s="39">
        <f t="shared" si="4"/>
        <v>8.8395435308507508</v>
      </c>
      <c r="N31" s="39"/>
      <c r="O31" s="94">
        <f t="shared" si="5"/>
        <v>2.4216285334546721E-2</v>
      </c>
      <c r="P31" s="238"/>
    </row>
    <row r="32" spans="1:16" s="6" customFormat="1" ht="15.75">
      <c r="A32" s="309">
        <v>27</v>
      </c>
      <c r="B32" s="305" t="s">
        <v>709</v>
      </c>
      <c r="C32" s="330">
        <v>6702.46</v>
      </c>
      <c r="D32" s="330"/>
      <c r="E32" s="330"/>
      <c r="F32" s="61">
        <f t="shared" si="2"/>
        <v>6702.46</v>
      </c>
      <c r="G32" s="8" t="s">
        <v>1341</v>
      </c>
      <c r="H32" s="24">
        <v>1465</v>
      </c>
      <c r="I32" s="41">
        <f t="shared" si="0"/>
        <v>5.3014690316405426E-2</v>
      </c>
      <c r="J32" s="39">
        <f t="shared" si="1"/>
        <v>120.29722423766505</v>
      </c>
      <c r="K32" s="37">
        <f t="shared" si="3"/>
        <v>44.233289352189445</v>
      </c>
      <c r="L32" s="39">
        <v>55.850484727495726</v>
      </c>
      <c r="M32" s="39">
        <f t="shared" si="4"/>
        <v>19.953669141288675</v>
      </c>
      <c r="N32" s="39"/>
      <c r="O32" s="94">
        <f t="shared" si="5"/>
        <v>3.5857680233621514E-2</v>
      </c>
      <c r="P32" s="238"/>
    </row>
    <row r="33" spans="1:16" s="6" customFormat="1" ht="15.75">
      <c r="A33" s="309">
        <v>28</v>
      </c>
      <c r="B33" s="305" t="s">
        <v>710</v>
      </c>
      <c r="C33" s="330">
        <v>6185.24</v>
      </c>
      <c r="D33" s="330"/>
      <c r="E33" s="330"/>
      <c r="F33" s="61">
        <f t="shared" si="2"/>
        <v>6185.24</v>
      </c>
      <c r="G33" s="8" t="s">
        <v>1341</v>
      </c>
      <c r="H33" s="24">
        <v>1297.5999999999999</v>
      </c>
      <c r="I33" s="41">
        <f t="shared" si="0"/>
        <v>4.6956902494585444E-2</v>
      </c>
      <c r="J33" s="39">
        <f t="shared" si="1"/>
        <v>106.55131615753868</v>
      </c>
      <c r="K33" s="37">
        <f t="shared" si="3"/>
        <v>39.178918951126974</v>
      </c>
      <c r="L33" s="39">
        <v>49.468661421432387</v>
      </c>
      <c r="M33" s="39">
        <f t="shared" si="4"/>
        <v>17.673638960912069</v>
      </c>
      <c r="N33" s="39"/>
      <c r="O33" s="94">
        <f t="shared" si="5"/>
        <v>3.4416212708158478E-2</v>
      </c>
      <c r="P33" s="238"/>
    </row>
    <row r="34" spans="1:16" s="6" customFormat="1" ht="15.75">
      <c r="A34" s="309">
        <v>29</v>
      </c>
      <c r="B34" s="305" t="s">
        <v>711</v>
      </c>
      <c r="C34" s="330">
        <v>6856.85</v>
      </c>
      <c r="D34" s="330"/>
      <c r="E34" s="330"/>
      <c r="F34" s="61">
        <f t="shared" si="2"/>
        <v>6856.85</v>
      </c>
      <c r="G34" s="8" t="s">
        <v>1341</v>
      </c>
      <c r="H34" s="24">
        <v>1050</v>
      </c>
      <c r="I34" s="41">
        <f t="shared" si="0"/>
        <v>3.7996877018584098E-2</v>
      </c>
      <c r="J34" s="39">
        <f t="shared" si="1"/>
        <v>86.219853549179732</v>
      </c>
      <c r="K34" s="37">
        <f t="shared" si="3"/>
        <v>31.703040150033388</v>
      </c>
      <c r="L34" s="39">
        <v>40.029357654519124</v>
      </c>
      <c r="M34" s="39">
        <f t="shared" si="4"/>
        <v>14.301264572254683</v>
      </c>
      <c r="N34" s="39"/>
      <c r="O34" s="94">
        <f t="shared" si="5"/>
        <v>2.5121377298028529E-2</v>
      </c>
      <c r="P34" s="238"/>
    </row>
    <row r="35" spans="1:16" s="6" customFormat="1" ht="15.75">
      <c r="A35" s="309">
        <v>30</v>
      </c>
      <c r="B35" s="305" t="s">
        <v>712</v>
      </c>
      <c r="C35" s="330">
        <v>6358.97</v>
      </c>
      <c r="D35" s="330"/>
      <c r="E35" s="330"/>
      <c r="F35" s="61">
        <f t="shared" si="2"/>
        <v>6358.97</v>
      </c>
      <c r="G35" s="8" t="s">
        <v>1341</v>
      </c>
      <c r="H35" s="24">
        <v>1159</v>
      </c>
      <c r="I35" s="41">
        <f t="shared" si="0"/>
        <v>4.1941314728132346E-2</v>
      </c>
      <c r="J35" s="39">
        <f t="shared" si="1"/>
        <v>95.17029548904695</v>
      </c>
      <c r="K35" s="37">
        <f t="shared" si="3"/>
        <v>34.994117651322568</v>
      </c>
      <c r="L35" s="39">
        <v>44.184786211035863</v>
      </c>
      <c r="M35" s="39">
        <f t="shared" si="4"/>
        <v>15.785872037374453</v>
      </c>
      <c r="N35" s="39"/>
      <c r="O35" s="94">
        <f t="shared" si="5"/>
        <v>2.9900293819404688E-2</v>
      </c>
      <c r="P35" s="238"/>
    </row>
    <row r="36" spans="1:16" s="6" customFormat="1" ht="15.75">
      <c r="A36" s="309">
        <v>31</v>
      </c>
      <c r="B36" s="305" t="s">
        <v>713</v>
      </c>
      <c r="C36" s="330">
        <v>4302.43</v>
      </c>
      <c r="D36" s="330"/>
      <c r="E36" s="330"/>
      <c r="F36" s="61">
        <f t="shared" si="2"/>
        <v>4302.43</v>
      </c>
      <c r="G36" s="8" t="s">
        <v>1341</v>
      </c>
      <c r="H36" s="24">
        <v>683.8</v>
      </c>
      <c r="I36" s="41">
        <f t="shared" si="0"/>
        <v>2.4745013814578859E-2</v>
      </c>
      <c r="J36" s="39">
        <f t="shared" si="1"/>
        <v>56.149653197075331</v>
      </c>
      <c r="K36" s="37">
        <f t="shared" si="3"/>
        <v>20.646227480564601</v>
      </c>
      <c r="L36" s="39">
        <v>26.068642632533496</v>
      </c>
      <c r="M36" s="39">
        <f t="shared" si="4"/>
        <v>9.3135282995311908</v>
      </c>
      <c r="N36" s="39"/>
      <c r="O36" s="94">
        <f t="shared" si="5"/>
        <v>2.6073184597937588E-2</v>
      </c>
      <c r="P36" s="238"/>
    </row>
    <row r="37" spans="1:16" s="6" customFormat="1" ht="15.75">
      <c r="A37" s="309">
        <v>32</v>
      </c>
      <c r="B37" s="305" t="s">
        <v>714</v>
      </c>
      <c r="C37" s="330">
        <v>4355.7</v>
      </c>
      <c r="D37" s="330"/>
      <c r="E37" s="330"/>
      <c r="F37" s="61">
        <f t="shared" si="2"/>
        <v>4355.7</v>
      </c>
      <c r="G37" s="8" t="s">
        <v>1341</v>
      </c>
      <c r="H37" s="24">
        <v>697.3</v>
      </c>
      <c r="I37" s="41">
        <f t="shared" si="0"/>
        <v>2.5233545090532085E-2</v>
      </c>
      <c r="J37" s="39">
        <f t="shared" si="1"/>
        <v>57.258194171279072</v>
      </c>
      <c r="K37" s="37">
        <f t="shared" si="3"/>
        <v>21.053837996779315</v>
      </c>
      <c r="L37" s="39">
        <v>26.583305802377318</v>
      </c>
      <c r="M37" s="39">
        <f t="shared" si="4"/>
        <v>9.497401701174466</v>
      </c>
      <c r="N37" s="39"/>
      <c r="O37" s="94">
        <f t="shared" si="5"/>
        <v>2.6262768251167478E-2</v>
      </c>
      <c r="P37" s="238"/>
    </row>
    <row r="38" spans="1:16" s="209" customFormat="1" ht="15.75">
      <c r="A38" s="338">
        <v>33</v>
      </c>
      <c r="B38" s="338" t="s">
        <v>715</v>
      </c>
      <c r="C38" s="330">
        <v>61.3</v>
      </c>
      <c r="D38" s="330"/>
      <c r="E38" s="330"/>
      <c r="F38" s="61">
        <f t="shared" si="2"/>
        <v>61.3</v>
      </c>
      <c r="G38" s="339" t="s">
        <v>1342</v>
      </c>
      <c r="H38" s="24">
        <v>142</v>
      </c>
      <c r="I38" s="41">
        <f t="shared" si="0"/>
        <v>5.1386252729894678E-3</v>
      </c>
      <c r="J38" s="39">
        <f t="shared" si="1"/>
        <v>11.660208765698592</v>
      </c>
      <c r="K38" s="37">
        <f t="shared" si="3"/>
        <v>4.2874587631473728</v>
      </c>
      <c r="L38" s="39">
        <v>5.4134940828016331</v>
      </c>
      <c r="M38" s="39">
        <f>I38*680.9</f>
        <v>3.4988899483785283</v>
      </c>
      <c r="N38" s="39"/>
      <c r="O38" s="94">
        <f t="shared" si="5"/>
        <v>0.40554733376877855</v>
      </c>
      <c r="P38" s="343"/>
    </row>
    <row r="39" spans="1:16" s="209" customFormat="1" ht="15.75">
      <c r="A39" s="338">
        <v>34</v>
      </c>
      <c r="B39" s="338" t="s">
        <v>716</v>
      </c>
      <c r="C39" s="330">
        <v>105.7</v>
      </c>
      <c r="D39" s="330"/>
      <c r="E39" s="330"/>
      <c r="F39" s="61">
        <f t="shared" si="2"/>
        <v>105.7</v>
      </c>
      <c r="G39" s="339" t="s">
        <v>1342</v>
      </c>
      <c r="H39" s="24">
        <v>188</v>
      </c>
      <c r="I39" s="41">
        <f t="shared" si="0"/>
        <v>6.8032503614226759E-3</v>
      </c>
      <c r="J39" s="39">
        <f t="shared" si="1"/>
        <v>15.437459492615037</v>
      </c>
      <c r="K39" s="37">
        <f t="shared" si="3"/>
        <v>5.6763538554345496</v>
      </c>
      <c r="L39" s="39">
        <v>7.1671611800472323</v>
      </c>
      <c r="M39" s="39">
        <f>I39*680.9</f>
        <v>4.6323331710927</v>
      </c>
      <c r="N39" s="39"/>
      <c r="O39" s="94">
        <f t="shared" si="5"/>
        <v>0.31138417880027924</v>
      </c>
      <c r="P39" s="343"/>
    </row>
    <row r="40" spans="1:16" s="209" customFormat="1" ht="15.75">
      <c r="A40" s="338">
        <v>35</v>
      </c>
      <c r="B40" s="338" t="s">
        <v>717</v>
      </c>
      <c r="C40" s="330">
        <v>124.1</v>
      </c>
      <c r="D40" s="330"/>
      <c r="E40" s="330"/>
      <c r="F40" s="61">
        <f t="shared" si="2"/>
        <v>124.1</v>
      </c>
      <c r="G40" s="339" t="s">
        <v>1342</v>
      </c>
      <c r="H40" s="24">
        <v>89</v>
      </c>
      <c r="I40" s="41">
        <f t="shared" si="0"/>
        <v>3.220687671099033E-3</v>
      </c>
      <c r="J40" s="39">
        <f t="shared" si="1"/>
        <v>7.3081590151209488</v>
      </c>
      <c r="K40" s="37">
        <f t="shared" si="3"/>
        <v>2.6872100698599732</v>
      </c>
      <c r="L40" s="39">
        <v>3.3929646011925731</v>
      </c>
      <c r="M40" s="39">
        <f>I40*680.9</f>
        <v>2.1929662352513315</v>
      </c>
      <c r="N40" s="39"/>
      <c r="O40" s="94">
        <f t="shared" si="5"/>
        <v>0.12555439098650142</v>
      </c>
      <c r="P40" s="343"/>
    </row>
    <row r="41" spans="1:16" s="6" customFormat="1" ht="15.75">
      <c r="A41" s="309">
        <v>36</v>
      </c>
      <c r="B41" s="305" t="s">
        <v>718</v>
      </c>
      <c r="C41" s="330">
        <v>2349.19</v>
      </c>
      <c r="D41" s="330"/>
      <c r="E41" s="330"/>
      <c r="F41" s="61">
        <f t="shared" si="2"/>
        <v>2349.19</v>
      </c>
      <c r="G41" s="8" t="s">
        <v>1341</v>
      </c>
      <c r="H41" s="24">
        <v>690</v>
      </c>
      <c r="I41" s="41">
        <f t="shared" si="0"/>
        <v>2.4969376326498118E-2</v>
      </c>
      <c r="J41" s="39">
        <f t="shared" si="1"/>
        <v>56.658760903746675</v>
      </c>
      <c r="K41" s="37">
        <f t="shared" si="3"/>
        <v>20.833426384307653</v>
      </c>
      <c r="L41" s="39">
        <v>26.305006458683994</v>
      </c>
      <c r="M41" s="39">
        <f t="shared" ref="M41:M49" si="6">I41*376.38</f>
        <v>9.3979738617673618</v>
      </c>
      <c r="N41" s="39"/>
      <c r="O41" s="94">
        <f t="shared" si="5"/>
        <v>4.8184764794889173E-2</v>
      </c>
      <c r="P41" s="238"/>
    </row>
    <row r="42" spans="1:16" s="6" customFormat="1" ht="15.75">
      <c r="A42" s="309">
        <v>37</v>
      </c>
      <c r="B42" s="305" t="s">
        <v>719</v>
      </c>
      <c r="C42" s="330">
        <v>3321.01</v>
      </c>
      <c r="D42" s="330"/>
      <c r="E42" s="330"/>
      <c r="F42" s="61">
        <f t="shared" si="2"/>
        <v>3321.01</v>
      </c>
      <c r="G42" s="8" t="s">
        <v>1341</v>
      </c>
      <c r="H42" s="24">
        <v>1236.7</v>
      </c>
      <c r="I42" s="41">
        <f t="shared" si="0"/>
        <v>4.4753083627507573E-2</v>
      </c>
      <c r="J42" s="39">
        <f t="shared" si="1"/>
        <v>101.55056465168626</v>
      </c>
      <c r="K42" s="37">
        <f t="shared" si="3"/>
        <v>37.340142622425041</v>
      </c>
      <c r="L42" s="39">
        <v>47.146958677470288</v>
      </c>
      <c r="M42" s="39">
        <f t="shared" si="6"/>
        <v>16.844165615721302</v>
      </c>
      <c r="N42" s="39"/>
      <c r="O42" s="94">
        <f t="shared" si="5"/>
        <v>6.10904006815104E-2</v>
      </c>
      <c r="P42" s="238"/>
    </row>
    <row r="43" spans="1:16" s="6" customFormat="1" ht="15.75">
      <c r="A43" s="309">
        <v>38</v>
      </c>
      <c r="B43" s="305" t="s">
        <v>720</v>
      </c>
      <c r="C43" s="330">
        <v>3969.9</v>
      </c>
      <c r="D43" s="330"/>
      <c r="E43" s="330"/>
      <c r="F43" s="61">
        <f t="shared" si="2"/>
        <v>3969.9</v>
      </c>
      <c r="G43" s="8" t="s">
        <v>1341</v>
      </c>
      <c r="H43" s="24">
        <v>537</v>
      </c>
      <c r="I43" s="41">
        <f t="shared" si="0"/>
        <v>1.9432688532361578E-2</v>
      </c>
      <c r="J43" s="39">
        <f t="shared" si="1"/>
        <v>44.095296529437633</v>
      </c>
      <c r="K43" s="37">
        <f t="shared" si="3"/>
        <v>16.213840533874219</v>
      </c>
      <c r="L43" s="39">
        <v>20.472157200454067</v>
      </c>
      <c r="M43" s="39">
        <f t="shared" si="6"/>
        <v>7.3140753098102511</v>
      </c>
      <c r="N43" s="39"/>
      <c r="O43" s="94">
        <f t="shared" si="5"/>
        <v>2.2190828376930441E-2</v>
      </c>
      <c r="P43" s="238"/>
    </row>
    <row r="44" spans="1:16" s="6" customFormat="1" ht="15.75">
      <c r="A44" s="309">
        <v>39</v>
      </c>
      <c r="B44" s="305" t="s">
        <v>721</v>
      </c>
      <c r="C44" s="330">
        <v>6582.1</v>
      </c>
      <c r="D44" s="330"/>
      <c r="E44" s="330"/>
      <c r="F44" s="61">
        <f t="shared" si="2"/>
        <v>6582.1</v>
      </c>
      <c r="G44" s="8" t="s">
        <v>1341</v>
      </c>
      <c r="H44" s="24">
        <v>1372.5</v>
      </c>
      <c r="I44" s="41">
        <f t="shared" si="0"/>
        <v>4.9667346388577782E-2</v>
      </c>
      <c r="J44" s="39">
        <f t="shared" si="1"/>
        <v>112.70166571071351</v>
      </c>
      <c r="K44" s="37">
        <f t="shared" si="3"/>
        <v>41.440402481829359</v>
      </c>
      <c r="L44" s="39">
        <v>52.324088934121427</v>
      </c>
      <c r="M44" s="39">
        <f t="shared" si="6"/>
        <v>18.693795833732906</v>
      </c>
      <c r="N44" s="39"/>
      <c r="O44" s="94">
        <f t="shared" si="5"/>
        <v>3.4207920414517735E-2</v>
      </c>
      <c r="P44" s="238"/>
    </row>
    <row r="45" spans="1:16" s="6" customFormat="1" ht="15.75">
      <c r="A45" s="309">
        <v>40</v>
      </c>
      <c r="B45" s="305" t="s">
        <v>722</v>
      </c>
      <c r="C45" s="330">
        <v>8461.27</v>
      </c>
      <c r="D45" s="330">
        <v>287.3</v>
      </c>
      <c r="E45" s="330"/>
      <c r="F45" s="61">
        <f t="shared" si="2"/>
        <v>8748.57</v>
      </c>
      <c r="G45" s="8" t="s">
        <v>1341</v>
      </c>
      <c r="H45" s="24">
        <v>1830</v>
      </c>
      <c r="I45" s="41">
        <f t="shared" si="0"/>
        <v>6.6223128518103705E-2</v>
      </c>
      <c r="J45" s="39">
        <f t="shared" si="1"/>
        <v>150.26888761428467</v>
      </c>
      <c r="K45" s="37">
        <f t="shared" si="3"/>
        <v>55.253869975772474</v>
      </c>
      <c r="L45" s="39">
        <v>69.765451912161893</v>
      </c>
      <c r="M45" s="39">
        <f t="shared" si="6"/>
        <v>24.925061111643871</v>
      </c>
      <c r="N45" s="39"/>
      <c r="O45" s="94">
        <f t="shared" si="5"/>
        <v>3.4315696235369085E-2</v>
      </c>
      <c r="P45" s="238"/>
    </row>
    <row r="46" spans="1:16" s="6" customFormat="1" ht="15.75">
      <c r="A46" s="309">
        <v>41</v>
      </c>
      <c r="B46" s="305" t="s">
        <v>723</v>
      </c>
      <c r="C46" s="330">
        <v>3715.24</v>
      </c>
      <c r="D46" s="330"/>
      <c r="E46" s="330">
        <v>109.3</v>
      </c>
      <c r="F46" s="61">
        <f t="shared" si="2"/>
        <v>3824.54</v>
      </c>
      <c r="G46" s="8" t="s">
        <v>1341</v>
      </c>
      <c r="H46" s="24">
        <v>808</v>
      </c>
      <c r="I46" s="41">
        <f t="shared" si="0"/>
        <v>2.9239501553348524E-2</v>
      </c>
      <c r="J46" s="39">
        <f t="shared" si="1"/>
        <v>66.348230159749747</v>
      </c>
      <c r="K46" s="37">
        <f t="shared" si="3"/>
        <v>24.396244229739985</v>
      </c>
      <c r="L46" s="39">
        <v>30.803543795096619</v>
      </c>
      <c r="M46" s="39">
        <f t="shared" si="6"/>
        <v>11.005163594649318</v>
      </c>
      <c r="N46" s="39"/>
      <c r="O46" s="94">
        <f t="shared" si="5"/>
        <v>3.465859470138518E-2</v>
      </c>
      <c r="P46" s="238"/>
    </row>
    <row r="47" spans="1:16" s="6" customFormat="1" ht="15.75">
      <c r="A47" s="309">
        <v>42</v>
      </c>
      <c r="B47" s="305" t="s">
        <v>724</v>
      </c>
      <c r="C47" s="330">
        <v>355.8</v>
      </c>
      <c r="D47" s="330"/>
      <c r="E47" s="330"/>
      <c r="F47" s="61">
        <f t="shared" si="2"/>
        <v>355.8</v>
      </c>
      <c r="G47" s="8" t="s">
        <v>1341</v>
      </c>
      <c r="H47" s="24">
        <v>274</v>
      </c>
      <c r="I47" s="41">
        <f t="shared" si="0"/>
        <v>9.9153755267543265E-3</v>
      </c>
      <c r="J47" s="39">
        <f t="shared" si="1"/>
        <v>22.499276069024045</v>
      </c>
      <c r="K47" s="37">
        <f t="shared" si="3"/>
        <v>8.2729838105801417</v>
      </c>
      <c r="L47" s="39">
        <v>10.44575618794118</v>
      </c>
      <c r="M47" s="39">
        <f t="shared" si="6"/>
        <v>3.7319490407597935</v>
      </c>
      <c r="N47" s="39"/>
      <c r="O47" s="94">
        <f t="shared" si="5"/>
        <v>0.12633492160850243</v>
      </c>
      <c r="P47" s="238"/>
    </row>
    <row r="48" spans="1:16" s="6" customFormat="1" ht="15.75">
      <c r="A48" s="309">
        <v>43</v>
      </c>
      <c r="B48" s="305" t="s">
        <v>725</v>
      </c>
      <c r="C48" s="330">
        <v>907.4</v>
      </c>
      <c r="D48" s="330"/>
      <c r="E48" s="330"/>
      <c r="F48" s="61">
        <f t="shared" si="2"/>
        <v>907.4</v>
      </c>
      <c r="G48" s="8" t="s">
        <v>1341</v>
      </c>
      <c r="H48" s="24">
        <v>675</v>
      </c>
      <c r="I48" s="41">
        <f t="shared" si="0"/>
        <v>2.4426563797661203E-2</v>
      </c>
      <c r="J48" s="39">
        <f t="shared" si="1"/>
        <v>55.427048710186966</v>
      </c>
      <c r="K48" s="37">
        <f t="shared" si="3"/>
        <v>20.380525810735747</v>
      </c>
      <c r="L48" s="39">
        <v>25.733158492190864</v>
      </c>
      <c r="M48" s="39">
        <f t="shared" si="6"/>
        <v>9.1936700821637238</v>
      </c>
      <c r="N48" s="39"/>
      <c r="O48" s="94">
        <f t="shared" si="5"/>
        <v>0.12203482818522957</v>
      </c>
      <c r="P48" s="238"/>
    </row>
    <row r="49" spans="1:16" s="6" customFormat="1" ht="15.75">
      <c r="A49" s="309">
        <v>44</v>
      </c>
      <c r="B49" s="305" t="s">
        <v>726</v>
      </c>
      <c r="C49" s="330">
        <v>2273.6</v>
      </c>
      <c r="D49" s="330"/>
      <c r="E49" s="330"/>
      <c r="F49" s="61">
        <f t="shared" si="2"/>
        <v>2273.6</v>
      </c>
      <c r="G49" s="8" t="s">
        <v>1341</v>
      </c>
      <c r="H49" s="24">
        <v>760</v>
      </c>
      <c r="I49" s="41">
        <f t="shared" si="0"/>
        <v>2.7502501461070392E-2</v>
      </c>
      <c r="J49" s="39">
        <f t="shared" si="1"/>
        <v>62.406751140358665</v>
      </c>
      <c r="K49" s="37">
        <f t="shared" si="3"/>
        <v>22.946962394309882</v>
      </c>
      <c r="L49" s="39">
        <v>28.9736303023186</v>
      </c>
      <c r="M49" s="39">
        <f t="shared" si="6"/>
        <v>10.351391499917675</v>
      </c>
      <c r="N49" s="39"/>
      <c r="O49" s="94">
        <f t="shared" si="5"/>
        <v>5.4837585915246671E-2</v>
      </c>
      <c r="P49" s="238"/>
    </row>
    <row r="50" spans="1:16" s="209" customFormat="1" ht="15.75">
      <c r="A50" s="338">
        <v>45</v>
      </c>
      <c r="B50" s="338" t="s">
        <v>727</v>
      </c>
      <c r="C50" s="330">
        <v>154.1</v>
      </c>
      <c r="D50" s="330"/>
      <c r="E50" s="330"/>
      <c r="F50" s="61">
        <f t="shared" si="2"/>
        <v>154.1</v>
      </c>
      <c r="G50" s="339" t="s">
        <v>1342</v>
      </c>
      <c r="H50" s="24">
        <v>171.3</v>
      </c>
      <c r="I50" s="41">
        <f t="shared" si="0"/>
        <v>6.1989190793175775E-3</v>
      </c>
      <c r="J50" s="39">
        <f t="shared" si="1"/>
        <v>14.066153250451896</v>
      </c>
      <c r="K50" s="37">
        <f t="shared" si="3"/>
        <v>5.1721245501911621</v>
      </c>
      <c r="L50" s="39">
        <v>6.5305037773515489</v>
      </c>
      <c r="M50" s="39">
        <f>I50*680.9</f>
        <v>4.2208440011073387</v>
      </c>
      <c r="N50" s="39"/>
      <c r="O50" s="94">
        <f t="shared" si="5"/>
        <v>0.19461145735951946</v>
      </c>
      <c r="P50" s="343"/>
    </row>
    <row r="51" spans="1:16" s="209" customFormat="1" ht="15.75">
      <c r="A51" s="338">
        <v>46</v>
      </c>
      <c r="B51" s="338" t="s">
        <v>728</v>
      </c>
      <c r="C51" s="330">
        <v>93.9</v>
      </c>
      <c r="D51" s="330"/>
      <c r="E51" s="330"/>
      <c r="F51" s="61">
        <f t="shared" si="2"/>
        <v>93.9</v>
      </c>
      <c r="G51" s="339" t="s">
        <v>1342</v>
      </c>
      <c r="H51" s="24">
        <v>176</v>
      </c>
      <c r="I51" s="41">
        <f t="shared" si="0"/>
        <v>6.3690003383531438E-3</v>
      </c>
      <c r="J51" s="39">
        <f t="shared" si="1"/>
        <v>14.45208973776727</v>
      </c>
      <c r="K51" s="37">
        <f t="shared" si="3"/>
        <v>5.3140333965770257</v>
      </c>
      <c r="L51" s="39">
        <v>6.7096828068527286</v>
      </c>
      <c r="M51" s="39">
        <f>I51*680.9</f>
        <v>4.3366523303846556</v>
      </c>
      <c r="N51" s="39"/>
      <c r="O51" s="94">
        <f t="shared" si="5"/>
        <v>0.3281411956504971</v>
      </c>
      <c r="P51" s="343"/>
    </row>
    <row r="52" spans="1:16" s="209" customFormat="1" ht="15.75">
      <c r="A52" s="338">
        <v>47</v>
      </c>
      <c r="B52" s="338" t="s">
        <v>729</v>
      </c>
      <c r="C52" s="330">
        <v>296.10000000000002</v>
      </c>
      <c r="D52" s="330"/>
      <c r="E52" s="330"/>
      <c r="F52" s="61">
        <f t="shared" si="2"/>
        <v>296.10000000000002</v>
      </c>
      <c r="G52" s="339" t="s">
        <v>1342</v>
      </c>
      <c r="H52" s="24">
        <v>361</v>
      </c>
      <c r="I52" s="41">
        <f t="shared" si="0"/>
        <v>1.3063688194008436E-2</v>
      </c>
      <c r="J52" s="39">
        <f t="shared" si="1"/>
        <v>29.643206791670366</v>
      </c>
      <c r="K52" s="37">
        <f t="shared" si="3"/>
        <v>10.899807137297195</v>
      </c>
      <c r="L52" s="39">
        <v>13.762474393601336</v>
      </c>
      <c r="M52" s="39">
        <f>I52*680.9</f>
        <v>8.8950652913003445</v>
      </c>
      <c r="N52" s="39"/>
      <c r="O52" s="94">
        <f t="shared" si="5"/>
        <v>0.21344327461624193</v>
      </c>
      <c r="P52" s="343"/>
    </row>
    <row r="53" spans="1:16" s="6" customFormat="1" ht="15.75">
      <c r="A53" s="309">
        <v>48</v>
      </c>
      <c r="B53" s="305" t="s">
        <v>647</v>
      </c>
      <c r="C53" s="330">
        <v>4177.21</v>
      </c>
      <c r="D53" s="330">
        <v>6.6</v>
      </c>
      <c r="E53" s="330"/>
      <c r="F53" s="61">
        <f t="shared" si="2"/>
        <v>4183.8100000000004</v>
      </c>
      <c r="G53" s="8" t="s">
        <v>1341</v>
      </c>
      <c r="H53" s="24">
        <v>722.4</v>
      </c>
      <c r="I53" s="41">
        <f t="shared" si="0"/>
        <v>2.6141851388785855E-2</v>
      </c>
      <c r="J53" s="39">
        <f t="shared" si="1"/>
        <v>59.319259241835653</v>
      </c>
      <c r="K53" s="37">
        <f t="shared" si="3"/>
        <v>21.81169162322297</v>
      </c>
      <c r="L53" s="39">
        <v>27.540198066309152</v>
      </c>
      <c r="M53" s="39">
        <f>I53*376.38</f>
        <v>9.8392700257112207</v>
      </c>
      <c r="N53" s="39"/>
      <c r="O53" s="94">
        <f t="shared" si="5"/>
        <v>2.8325956235364175E-2</v>
      </c>
      <c r="P53" s="238"/>
    </row>
    <row r="54" spans="1:16" s="6" customFormat="1" ht="15.75">
      <c r="A54" s="309">
        <v>49</v>
      </c>
      <c r="B54" s="305" t="s">
        <v>648</v>
      </c>
      <c r="C54" s="330">
        <v>4140.68</v>
      </c>
      <c r="D54" s="330"/>
      <c r="E54" s="330"/>
      <c r="F54" s="61">
        <f t="shared" si="2"/>
        <v>4140.68</v>
      </c>
      <c r="G54" s="8" t="s">
        <v>1341</v>
      </c>
      <c r="H54" s="24">
        <v>724.6</v>
      </c>
      <c r="I54" s="41">
        <f t="shared" si="0"/>
        <v>2.6221463893015273E-2</v>
      </c>
      <c r="J54" s="39">
        <f t="shared" si="1"/>
        <v>59.499910363557753</v>
      </c>
      <c r="K54" s="37">
        <f t="shared" si="3"/>
        <v>21.878117040680188</v>
      </c>
      <c r="L54" s="39">
        <v>27.624069101394817</v>
      </c>
      <c r="M54" s="39">
        <f>I54*376.38</f>
        <v>9.8692345800530887</v>
      </c>
      <c r="N54" s="39"/>
      <c r="O54" s="94">
        <f t="shared" si="5"/>
        <v>2.8708166553726887E-2</v>
      </c>
      <c r="P54" s="238"/>
    </row>
    <row r="55" spans="1:16" s="6" customFormat="1" ht="15.75">
      <c r="A55" s="309">
        <v>50</v>
      </c>
      <c r="B55" s="305" t="s">
        <v>1354</v>
      </c>
      <c r="C55" s="818">
        <v>7831.81</v>
      </c>
      <c r="D55" s="330"/>
      <c r="E55" s="330"/>
      <c r="F55" s="61">
        <f t="shared" si="2"/>
        <v>7831.81</v>
      </c>
      <c r="G55" s="8" t="s">
        <v>1341</v>
      </c>
      <c r="H55" s="24">
        <v>1115</v>
      </c>
      <c r="I55" s="41">
        <f t="shared" si="0"/>
        <v>4.0349064643544062E-2</v>
      </c>
      <c r="J55" s="39">
        <f t="shared" si="1"/>
        <v>91.557273054605147</v>
      </c>
      <c r="K55" s="37">
        <f t="shared" si="3"/>
        <v>33.665609302178318</v>
      </c>
      <c r="L55" s="39">
        <v>42.507365509322682</v>
      </c>
      <c r="M55" s="39">
        <f>I55*376.38</f>
        <v>15.186580950537113</v>
      </c>
      <c r="N55" s="39"/>
      <c r="O55" s="94">
        <f t="shared" si="5"/>
        <v>2.3355626453737163E-2</v>
      </c>
      <c r="P55" s="238"/>
    </row>
    <row r="56" spans="1:16" s="209" customFormat="1" ht="15.75">
      <c r="A56" s="338">
        <v>51</v>
      </c>
      <c r="B56" s="338" t="s">
        <v>1374</v>
      </c>
      <c r="C56" s="818">
        <v>996.1</v>
      </c>
      <c r="D56" s="330"/>
      <c r="E56" s="330"/>
      <c r="F56" s="61">
        <f t="shared" si="2"/>
        <v>996.1</v>
      </c>
      <c r="G56" s="339" t="s">
        <v>1342</v>
      </c>
      <c r="H56" s="24">
        <v>619.6</v>
      </c>
      <c r="I56" s="41">
        <f t="shared" si="0"/>
        <v>2.2421776191156862E-2</v>
      </c>
      <c r="J56" s="39">
        <f t="shared" si="1"/>
        <v>50.877925008639771</v>
      </c>
      <c r="K56" s="37">
        <f t="shared" si="3"/>
        <v>18.707813025676845</v>
      </c>
      <c r="L56" s="39">
        <v>23.621133335942904</v>
      </c>
      <c r="M56" s="39">
        <f>I56*680.9</f>
        <v>15.266987408558707</v>
      </c>
      <c r="N56" s="39"/>
      <c r="O56" s="94">
        <f t="shared" si="5"/>
        <v>0.10889856317520151</v>
      </c>
      <c r="P56" s="343"/>
    </row>
    <row r="57" spans="1:16" s="209" customFormat="1" ht="15.75">
      <c r="A57" s="338">
        <v>52</v>
      </c>
      <c r="B57" s="338" t="s">
        <v>1376</v>
      </c>
      <c r="C57" s="818">
        <v>533.79999999999995</v>
      </c>
      <c r="D57" s="330"/>
      <c r="E57" s="330"/>
      <c r="F57" s="61">
        <f t="shared" si="2"/>
        <v>533.79999999999995</v>
      </c>
      <c r="G57" s="339" t="s">
        <v>1342</v>
      </c>
      <c r="H57" s="24">
        <v>203</v>
      </c>
      <c r="I57" s="41">
        <f t="shared" si="0"/>
        <v>7.3460628902595913E-3</v>
      </c>
      <c r="J57" s="39">
        <f t="shared" si="1"/>
        <v>16.669171686174746</v>
      </c>
      <c r="K57" s="37">
        <f t="shared" si="3"/>
        <v>6.1292544290064548</v>
      </c>
      <c r="L57" s="39">
        <v>7.7390091465403641</v>
      </c>
      <c r="M57" s="39">
        <f>I57*680.9</f>
        <v>5.0019342219777556</v>
      </c>
      <c r="N57" s="39"/>
      <c r="O57" s="94">
        <f t="shared" si="5"/>
        <v>6.657806197770573E-2</v>
      </c>
      <c r="P57" s="343"/>
    </row>
    <row r="58" spans="1:16" s="209" customFormat="1" ht="15.75">
      <c r="A58" s="338">
        <v>53</v>
      </c>
      <c r="B58" s="338" t="s">
        <v>1375</v>
      </c>
      <c r="C58" s="818">
        <v>987.3</v>
      </c>
      <c r="D58" s="330"/>
      <c r="E58" s="330"/>
      <c r="F58" s="61">
        <f t="shared" si="2"/>
        <v>987.3</v>
      </c>
      <c r="G58" s="339" t="s">
        <v>1342</v>
      </c>
      <c r="H58" s="24">
        <v>612</v>
      </c>
      <c r="I58" s="41">
        <f t="shared" si="0"/>
        <v>2.2146751176546159E-2</v>
      </c>
      <c r="J58" s="39">
        <f t="shared" si="1"/>
        <v>50.25385749723619</v>
      </c>
      <c r="K58" s="37">
        <f t="shared" si="3"/>
        <v>18.478343401733749</v>
      </c>
      <c r="L58" s="39">
        <v>23.331397032919718</v>
      </c>
      <c r="M58" s="39">
        <f>I58*680.9</f>
        <v>15.07972287611028</v>
      </c>
      <c r="N58" s="39"/>
      <c r="O58" s="94">
        <f t="shared" si="5"/>
        <v>0.1085215444221614</v>
      </c>
      <c r="P58" s="343"/>
    </row>
    <row r="59" spans="1:16" s="69" customFormat="1" ht="15.75">
      <c r="A59" s="309">
        <v>54</v>
      </c>
      <c r="B59" s="305" t="s">
        <v>1377</v>
      </c>
      <c r="C59" s="818">
        <v>442.6</v>
      </c>
      <c r="D59" s="330"/>
      <c r="E59" s="330"/>
      <c r="F59" s="61">
        <f t="shared" si="2"/>
        <v>442.6</v>
      </c>
      <c r="G59" s="8" t="s">
        <v>1361</v>
      </c>
      <c r="H59" s="24">
        <v>569</v>
      </c>
      <c r="I59" s="41">
        <f t="shared" si="0"/>
        <v>2.0590688593880333E-2</v>
      </c>
      <c r="J59" s="39">
        <f t="shared" si="1"/>
        <v>46.722949209031682</v>
      </c>
      <c r="K59" s="37">
        <f t="shared" si="3"/>
        <v>17.180028424160952</v>
      </c>
      <c r="L59" s="39">
        <v>21.692099528972744</v>
      </c>
      <c r="M59" s="39">
        <f>I59*376.38</f>
        <v>7.7499233729646795</v>
      </c>
      <c r="N59" s="39"/>
      <c r="O59" s="94">
        <f t="shared" si="5"/>
        <v>0.2109014923974922</v>
      </c>
      <c r="P59" s="238"/>
    </row>
    <row r="60" spans="1:16" s="69" customFormat="1" ht="15.75">
      <c r="A60" s="310">
        <v>55</v>
      </c>
      <c r="B60" s="283" t="s">
        <v>1407</v>
      </c>
      <c r="C60" s="284">
        <v>7013.2</v>
      </c>
      <c r="D60" s="284"/>
      <c r="E60" s="284"/>
      <c r="F60" s="716">
        <f t="shared" ref="F60:F66" si="7">C60+D60+E60</f>
        <v>7013.2</v>
      </c>
      <c r="G60" s="21" t="s">
        <v>1398</v>
      </c>
      <c r="H60" s="21">
        <v>4412</v>
      </c>
      <c r="I60" s="41">
        <f t="shared" si="0"/>
        <v>0.15965925848189813</v>
      </c>
      <c r="J60" s="39">
        <f t="shared" si="1"/>
        <v>362.28761319902952</v>
      </c>
      <c r="K60" s="37">
        <f t="shared" si="3"/>
        <v>133.21315537328317</v>
      </c>
      <c r="L60" s="39">
        <v>168.19954854451274</v>
      </c>
      <c r="M60" s="39">
        <v>168.21</v>
      </c>
      <c r="N60" s="39"/>
      <c r="O60" s="94">
        <f t="shared" si="5"/>
        <v>0.11862064636925018</v>
      </c>
      <c r="P60" s="238"/>
    </row>
    <row r="61" spans="1:16" s="69" customFormat="1" ht="15.75">
      <c r="A61" s="310">
        <v>56</v>
      </c>
      <c r="B61" s="283" t="s">
        <v>1390</v>
      </c>
      <c r="C61" s="284">
        <v>8402.66</v>
      </c>
      <c r="D61" s="284"/>
      <c r="E61" s="284"/>
      <c r="F61" s="716">
        <f t="shared" si="7"/>
        <v>8402.66</v>
      </c>
      <c r="G61" s="21" t="s">
        <v>1398</v>
      </c>
      <c r="H61" s="21">
        <v>1640</v>
      </c>
      <c r="I61" s="41">
        <f t="shared" si="0"/>
        <v>5.9347503152836108E-2</v>
      </c>
      <c r="J61" s="39">
        <f t="shared" si="1"/>
        <v>134.667199829195</v>
      </c>
      <c r="K61" s="37">
        <f t="shared" si="3"/>
        <v>49.517129377195005</v>
      </c>
      <c r="L61" s="39">
        <v>62.52204433658224</v>
      </c>
      <c r="M61" s="39">
        <f t="shared" ref="M61:M66" si="8">I61*376.38</f>
        <v>22.337213236664454</v>
      </c>
      <c r="N61" s="39"/>
      <c r="O61" s="94">
        <f t="shared" si="5"/>
        <v>3.201885912075899E-2</v>
      </c>
      <c r="P61" s="238"/>
    </row>
    <row r="62" spans="1:16" s="69" customFormat="1" ht="15.75">
      <c r="A62" s="310">
        <v>57</v>
      </c>
      <c r="B62" s="306" t="s">
        <v>1386</v>
      </c>
      <c r="C62" s="285">
        <v>2601.63</v>
      </c>
      <c r="D62" s="285"/>
      <c r="E62" s="285"/>
      <c r="F62" s="61">
        <f t="shared" si="7"/>
        <v>2601.63</v>
      </c>
      <c r="G62" s="21" t="s">
        <v>1398</v>
      </c>
      <c r="H62" s="8">
        <v>409</v>
      </c>
      <c r="I62" s="41">
        <f t="shared" si="0"/>
        <v>1.4800688286286567E-2</v>
      </c>
      <c r="J62" s="39">
        <f t="shared" si="1"/>
        <v>33.584685811061441</v>
      </c>
      <c r="K62" s="37">
        <f t="shared" si="3"/>
        <v>12.349088972727293</v>
      </c>
      <c r="L62" s="39">
        <v>15.592387886379354</v>
      </c>
      <c r="M62" s="39">
        <f t="shared" si="8"/>
        <v>5.5706830571925376</v>
      </c>
      <c r="N62" s="39"/>
      <c r="O62" s="94">
        <f t="shared" si="5"/>
        <v>2.5790310585041158E-2</v>
      </c>
      <c r="P62" s="238"/>
    </row>
    <row r="63" spans="1:16" s="69" customFormat="1" ht="15.75">
      <c r="A63" s="310">
        <v>58</v>
      </c>
      <c r="B63" s="306" t="s">
        <v>1385</v>
      </c>
      <c r="C63" s="285">
        <v>2594.2600000000002</v>
      </c>
      <c r="D63" s="285"/>
      <c r="E63" s="285"/>
      <c r="F63" s="61">
        <f t="shared" si="7"/>
        <v>2594.2600000000002</v>
      </c>
      <c r="G63" s="21" t="s">
        <v>1398</v>
      </c>
      <c r="H63" s="8">
        <v>409</v>
      </c>
      <c r="I63" s="41">
        <f t="shared" si="0"/>
        <v>1.4800688286286567E-2</v>
      </c>
      <c r="J63" s="39">
        <f t="shared" si="1"/>
        <v>33.584685811061441</v>
      </c>
      <c r="K63" s="37">
        <f t="shared" si="3"/>
        <v>12.349088972727293</v>
      </c>
      <c r="L63" s="39">
        <v>15.592387886379354</v>
      </c>
      <c r="M63" s="39">
        <f t="shared" si="8"/>
        <v>5.5706830571925376</v>
      </c>
      <c r="N63" s="39"/>
      <c r="O63" s="94">
        <f t="shared" si="5"/>
        <v>2.5863577947993117E-2</v>
      </c>
      <c r="P63" s="238"/>
    </row>
    <row r="64" spans="1:16" s="69" customFormat="1" ht="15.75">
      <c r="A64" s="310">
        <v>59</v>
      </c>
      <c r="B64" s="306" t="s">
        <v>1388</v>
      </c>
      <c r="C64" s="285">
        <v>2653.52</v>
      </c>
      <c r="D64" s="285"/>
      <c r="E64" s="285"/>
      <c r="F64" s="61">
        <f t="shared" si="7"/>
        <v>2653.52</v>
      </c>
      <c r="G64" s="21" t="s">
        <v>1398</v>
      </c>
      <c r="H64" s="8">
        <v>727.6</v>
      </c>
      <c r="I64" s="41">
        <f t="shared" si="0"/>
        <v>2.6330026398782656E-2</v>
      </c>
      <c r="J64" s="39">
        <f t="shared" si="1"/>
        <v>59.746252802269687</v>
      </c>
      <c r="K64" s="37">
        <f t="shared" si="3"/>
        <v>21.968697155394565</v>
      </c>
      <c r="L64" s="39">
        <v>27.738438694693439</v>
      </c>
      <c r="M64" s="39">
        <f t="shared" si="8"/>
        <v>9.910095335973816</v>
      </c>
      <c r="N64" s="39"/>
      <c r="O64" s="94">
        <f t="shared" si="5"/>
        <v>4.4983073045739813E-2</v>
      </c>
      <c r="P64" s="238"/>
    </row>
    <row r="65" spans="1:16" s="69" customFormat="1" ht="15.75">
      <c r="A65" s="310">
        <v>60</v>
      </c>
      <c r="B65" s="307" t="s">
        <v>1389</v>
      </c>
      <c r="C65" s="285">
        <v>2150.9</v>
      </c>
      <c r="D65" s="285"/>
      <c r="E65" s="285"/>
      <c r="F65" s="61">
        <f t="shared" si="7"/>
        <v>2150.9</v>
      </c>
      <c r="G65" s="21" t="s">
        <v>1398</v>
      </c>
      <c r="H65" s="8">
        <v>651</v>
      </c>
      <c r="I65" s="41">
        <f t="shared" si="0"/>
        <v>2.355806375152214E-2</v>
      </c>
      <c r="J65" s="39">
        <f t="shared" si="1"/>
        <v>53.45630920049144</v>
      </c>
      <c r="K65" s="37">
        <f t="shared" si="3"/>
        <v>19.655884893020705</v>
      </c>
      <c r="L65" s="39">
        <v>24.818201745801854</v>
      </c>
      <c r="M65" s="39">
        <f t="shared" si="8"/>
        <v>8.8667840347979023</v>
      </c>
      <c r="N65" s="39"/>
      <c r="O65" s="94">
        <f t="shared" si="5"/>
        <v>4.9652322225167092E-2</v>
      </c>
      <c r="P65" s="238"/>
    </row>
    <row r="66" spans="1:16" s="69" customFormat="1" ht="15.75">
      <c r="A66" s="310">
        <v>61</v>
      </c>
      <c r="B66" s="307" t="s">
        <v>1397</v>
      </c>
      <c r="C66" s="284">
        <v>3353.7</v>
      </c>
      <c r="D66" s="284"/>
      <c r="E66" s="284"/>
      <c r="F66" s="716">
        <f t="shared" si="7"/>
        <v>3353.7</v>
      </c>
      <c r="G66" s="21" t="s">
        <v>1398</v>
      </c>
      <c r="H66" s="21">
        <v>1034.5</v>
      </c>
      <c r="I66" s="41">
        <f t="shared" si="0"/>
        <v>3.7435970738785948E-2</v>
      </c>
      <c r="J66" s="39">
        <f t="shared" si="1"/>
        <v>84.947084282501365</v>
      </c>
      <c r="K66" s="37">
        <f t="shared" si="3"/>
        <v>31.235042890675754</v>
      </c>
      <c r="L66" s="39">
        <v>39.438448089142888</v>
      </c>
      <c r="M66" s="39">
        <f t="shared" si="8"/>
        <v>14.090150666664256</v>
      </c>
      <c r="N66" s="39"/>
      <c r="O66" s="94">
        <f t="shared" si="5"/>
        <v>5.0604027172670263E-2</v>
      </c>
      <c r="P66" s="238"/>
    </row>
    <row r="67" spans="1:16" s="69" customFormat="1" ht="15.75">
      <c r="A67" s="378"/>
      <c r="B67" s="63" t="s">
        <v>749</v>
      </c>
      <c r="C67" s="65">
        <f t="shared" ref="C67:H67" si="9">SUM(C6:C66)</f>
        <v>249781.08</v>
      </c>
      <c r="D67" s="65">
        <f t="shared" si="9"/>
        <v>1319.2</v>
      </c>
      <c r="E67" s="65">
        <f t="shared" si="9"/>
        <v>1116.55</v>
      </c>
      <c r="F67" s="65">
        <f t="shared" si="9"/>
        <v>252216.83000000002</v>
      </c>
      <c r="G67" s="65">
        <f t="shared" si="9"/>
        <v>0</v>
      </c>
      <c r="H67" s="65">
        <f t="shared" si="9"/>
        <v>55267.7</v>
      </c>
      <c r="I67" s="41">
        <f>2/55267.7*H67</f>
        <v>2</v>
      </c>
      <c r="J67" s="39">
        <f>I67*2269.13</f>
        <v>4538.26</v>
      </c>
      <c r="K67" s="37">
        <f t="shared" si="3"/>
        <v>1668.7182020000002</v>
      </c>
      <c r="L67" s="39">
        <f>SUM(L6:L66)</f>
        <v>2106.9814571834918</v>
      </c>
      <c r="M67" s="662">
        <f>SUM(M6:M66)</f>
        <v>889.10912024564095</v>
      </c>
      <c r="N67" s="662"/>
      <c r="O67" s="94">
        <f t="shared" si="5"/>
        <v>3.6488717979006921E-2</v>
      </c>
      <c r="P67" s="238"/>
    </row>
    <row r="68" spans="1:16" s="384" customFormat="1" ht="21" thickBot="1">
      <c r="A68" s="577" t="s">
        <v>984</v>
      </c>
      <c r="B68" s="779"/>
      <c r="C68" s="779"/>
      <c r="D68" s="779"/>
      <c r="E68" s="779"/>
      <c r="F68" s="779"/>
      <c r="G68" s="779"/>
      <c r="H68" s="779"/>
      <c r="I68" s="779"/>
      <c r="J68" s="39"/>
      <c r="K68" s="779"/>
      <c r="L68" s="39"/>
      <c r="M68" s="780"/>
      <c r="N68" s="780"/>
      <c r="O68" s="94" t="e">
        <f t="shared" si="5"/>
        <v>#DIV/0!</v>
      </c>
      <c r="P68" s="343"/>
    </row>
    <row r="69" spans="1:16" s="6" customFormat="1" ht="15.75">
      <c r="A69" s="275">
        <v>1</v>
      </c>
      <c r="B69" s="121" t="s">
        <v>730</v>
      </c>
      <c r="C69" s="494">
        <v>6328.85</v>
      </c>
      <c r="D69" s="494"/>
      <c r="E69" s="494"/>
      <c r="F69" s="61">
        <f t="shared" si="2"/>
        <v>6328.85</v>
      </c>
      <c r="G69" s="8" t="s">
        <v>1341</v>
      </c>
      <c r="H69" s="24">
        <v>1062</v>
      </c>
      <c r="I69" s="41">
        <f t="shared" ref="I69:I89" si="10">1/18407.1*H69</f>
        <v>5.7695128510194441E-2</v>
      </c>
      <c r="J69" s="39">
        <f t="shared" ref="J69:J89" si="11">I69*2269.13</f>
        <v>130.91774695633751</v>
      </c>
      <c r="K69" s="37">
        <f t="shared" si="3"/>
        <v>48.138455555845304</v>
      </c>
      <c r="L69" s="342">
        <v>54.070636206806419</v>
      </c>
      <c r="M69" s="39">
        <f t="shared" ref="M69:M87" si="12">I69*376.38</f>
        <v>21.715292468666984</v>
      </c>
      <c r="N69" s="39"/>
      <c r="O69" s="94">
        <f t="shared" si="5"/>
        <v>4.0266735850534648E-2</v>
      </c>
      <c r="P69" s="238"/>
    </row>
    <row r="70" spans="1:16" s="6" customFormat="1" ht="15.75" customHeight="1">
      <c r="A70" s="275">
        <v>2</v>
      </c>
      <c r="B70" s="122" t="s">
        <v>731</v>
      </c>
      <c r="C70" s="32">
        <v>7517.84</v>
      </c>
      <c r="D70" s="32"/>
      <c r="E70" s="32">
        <v>47.9</v>
      </c>
      <c r="F70" s="61">
        <f t="shared" si="2"/>
        <v>7565.74</v>
      </c>
      <c r="G70" s="8" t="s">
        <v>1341</v>
      </c>
      <c r="H70" s="24">
        <v>1367.2</v>
      </c>
      <c r="I70" s="41">
        <f t="shared" si="10"/>
        <v>7.4275687098999857E-2</v>
      </c>
      <c r="J70" s="39">
        <f t="shared" si="11"/>
        <v>168.54118986695354</v>
      </c>
      <c r="K70" s="37">
        <f t="shared" si="3"/>
        <v>61.972595514078826</v>
      </c>
      <c r="L70" s="342">
        <v>69.609579870005405</v>
      </c>
      <c r="M70" s="39">
        <f t="shared" si="12"/>
        <v>27.955883110321565</v>
      </c>
      <c r="N70" s="39"/>
      <c r="O70" s="94">
        <f t="shared" si="5"/>
        <v>4.3363801605838866E-2</v>
      </c>
      <c r="P70" s="238"/>
    </row>
    <row r="71" spans="1:16" s="6" customFormat="1" ht="15.75">
      <c r="A71" s="275">
        <v>3</v>
      </c>
      <c r="B71" s="122" t="s">
        <v>732</v>
      </c>
      <c r="C71" s="32">
        <v>7217.2</v>
      </c>
      <c r="D71" s="32"/>
      <c r="E71" s="32"/>
      <c r="F71" s="61">
        <f t="shared" si="2"/>
        <v>7217.2</v>
      </c>
      <c r="G71" s="8" t="s">
        <v>1341</v>
      </c>
      <c r="H71" s="24">
        <v>905</v>
      </c>
      <c r="I71" s="41">
        <f t="shared" si="10"/>
        <v>4.9165811018574361E-2</v>
      </c>
      <c r="J71" s="39">
        <f t="shared" si="11"/>
        <v>111.56361675657764</v>
      </c>
      <c r="K71" s="37">
        <f t="shared" si="3"/>
        <v>41.021941881393602</v>
      </c>
      <c r="L71" s="342">
        <v>46.077142906930142</v>
      </c>
      <c r="M71" s="39">
        <f t="shared" si="12"/>
        <v>18.505027951171019</v>
      </c>
      <c r="N71" s="39"/>
      <c r="O71" s="94">
        <f t="shared" ref="O71:O134" si="13">(M71+L71+K71+J71)/F71</f>
        <v>3.0090302263491717E-2</v>
      </c>
      <c r="P71" s="238"/>
    </row>
    <row r="72" spans="1:16" s="6" customFormat="1" ht="15.75">
      <c r="A72" s="275">
        <v>4</v>
      </c>
      <c r="B72" s="122" t="s">
        <v>733</v>
      </c>
      <c r="C72" s="32">
        <v>6362.5</v>
      </c>
      <c r="D72" s="32"/>
      <c r="E72" s="32">
        <v>72.7</v>
      </c>
      <c r="F72" s="61">
        <f t="shared" si="2"/>
        <v>6435.2</v>
      </c>
      <c r="G72" s="8" t="s">
        <v>1341</v>
      </c>
      <c r="H72" s="24">
        <v>980</v>
      </c>
      <c r="I72" s="41">
        <f t="shared" si="10"/>
        <v>5.3240325743870574E-2</v>
      </c>
      <c r="J72" s="39">
        <f t="shared" si="11"/>
        <v>120.80922035518904</v>
      </c>
      <c r="K72" s="37">
        <f t="shared" si="3"/>
        <v>44.421550324603011</v>
      </c>
      <c r="L72" s="342">
        <v>49.895690661648111</v>
      </c>
      <c r="M72" s="39">
        <f t="shared" si="12"/>
        <v>20.038593803478008</v>
      </c>
      <c r="N72" s="39"/>
      <c r="O72" s="94">
        <f t="shared" si="13"/>
        <v>3.6543550339526075E-2</v>
      </c>
      <c r="P72" s="238"/>
    </row>
    <row r="73" spans="1:16" s="6" customFormat="1" ht="15.75">
      <c r="A73" s="275">
        <v>5</v>
      </c>
      <c r="B73" s="122" t="s">
        <v>734</v>
      </c>
      <c r="C73" s="32">
        <v>8881.51</v>
      </c>
      <c r="D73" s="32"/>
      <c r="E73" s="32"/>
      <c r="F73" s="61">
        <f t="shared" si="2"/>
        <v>8881.51</v>
      </c>
      <c r="G73" s="8" t="s">
        <v>1341</v>
      </c>
      <c r="H73" s="24">
        <v>1446</v>
      </c>
      <c r="I73" s="41">
        <f t="shared" si="10"/>
        <v>7.8556643903711074E-2</v>
      </c>
      <c r="J73" s="39">
        <f t="shared" si="11"/>
        <v>178.25523738122791</v>
      </c>
      <c r="K73" s="37">
        <f t="shared" si="3"/>
        <v>65.544450785077515</v>
      </c>
      <c r="L73" s="342">
        <v>73.621600710962412</v>
      </c>
      <c r="M73" s="39">
        <f t="shared" si="12"/>
        <v>29.567149632478774</v>
      </c>
      <c r="N73" s="39"/>
      <c r="O73" s="94">
        <f t="shared" si="13"/>
        <v>3.9068631179804629E-2</v>
      </c>
      <c r="P73" s="238"/>
    </row>
    <row r="74" spans="1:16" s="6" customFormat="1" ht="15.75">
      <c r="A74" s="275">
        <v>6</v>
      </c>
      <c r="B74" s="122" t="s">
        <v>735</v>
      </c>
      <c r="C74" s="32">
        <v>7938.92</v>
      </c>
      <c r="D74" s="32"/>
      <c r="E74" s="32"/>
      <c r="F74" s="61">
        <f t="shared" si="2"/>
        <v>7938.92</v>
      </c>
      <c r="G74" s="8" t="s">
        <v>1341</v>
      </c>
      <c r="H74" s="24">
        <v>881</v>
      </c>
      <c r="I74" s="41">
        <f t="shared" si="10"/>
        <v>4.786196630647957E-2</v>
      </c>
      <c r="J74" s="39">
        <f t="shared" si="11"/>
        <v>108.605023605022</v>
      </c>
      <c r="K74" s="37">
        <f t="shared" si="3"/>
        <v>39.93406717956659</v>
      </c>
      <c r="L74" s="342">
        <v>44.855207625420398</v>
      </c>
      <c r="M74" s="39">
        <f t="shared" si="12"/>
        <v>18.014286878432781</v>
      </c>
      <c r="N74" s="39"/>
      <c r="O74" s="94">
        <f t="shared" si="13"/>
        <v>2.6629388542577802E-2</v>
      </c>
      <c r="P74" s="238"/>
    </row>
    <row r="75" spans="1:16" s="6" customFormat="1" ht="15.75">
      <c r="A75" s="275">
        <v>7</v>
      </c>
      <c r="B75" s="122" t="s">
        <v>736</v>
      </c>
      <c r="C75" s="32">
        <v>7102.99</v>
      </c>
      <c r="D75" s="32"/>
      <c r="E75" s="32"/>
      <c r="F75" s="61">
        <f t="shared" si="2"/>
        <v>7102.99</v>
      </c>
      <c r="G75" s="8" t="s">
        <v>1341</v>
      </c>
      <c r="H75" s="24">
        <v>981</v>
      </c>
      <c r="I75" s="41">
        <f t="shared" si="10"/>
        <v>5.3294652606874528E-2</v>
      </c>
      <c r="J75" s="39">
        <f t="shared" si="11"/>
        <v>120.9324950698372</v>
      </c>
      <c r="K75" s="37">
        <f t="shared" si="3"/>
        <v>44.46687843717914</v>
      </c>
      <c r="L75" s="342">
        <v>49.946604631711011</v>
      </c>
      <c r="M75" s="39">
        <f t="shared" si="12"/>
        <v>20.059041348175434</v>
      </c>
      <c r="N75" s="39"/>
      <c r="O75" s="94">
        <f t="shared" si="13"/>
        <v>3.3141679699239729E-2</v>
      </c>
      <c r="P75" s="238"/>
    </row>
    <row r="76" spans="1:16" s="6" customFormat="1" ht="15.75">
      <c r="A76" s="275">
        <v>8</v>
      </c>
      <c r="B76" s="122" t="s">
        <v>737</v>
      </c>
      <c r="C76" s="32">
        <v>2982.2</v>
      </c>
      <c r="D76" s="32"/>
      <c r="E76" s="32"/>
      <c r="F76" s="61">
        <f t="shared" si="2"/>
        <v>2982.2</v>
      </c>
      <c r="G76" s="8" t="s">
        <v>1341</v>
      </c>
      <c r="H76" s="24">
        <v>668.9</v>
      </c>
      <c r="I76" s="41">
        <f t="shared" si="10"/>
        <v>3.6339238663341863E-2</v>
      </c>
      <c r="J76" s="39">
        <f t="shared" si="11"/>
        <v>82.458456628148923</v>
      </c>
      <c r="K76" s="37">
        <f t="shared" si="3"/>
        <v>30.319974502170361</v>
      </c>
      <c r="L76" s="342">
        <v>34.056354575077982</v>
      </c>
      <c r="M76" s="39">
        <f t="shared" si="12"/>
        <v>13.677362648108611</v>
      </c>
      <c r="N76" s="39"/>
      <c r="O76" s="94">
        <f t="shared" si="13"/>
        <v>5.3823401634198208E-2</v>
      </c>
      <c r="P76" s="238"/>
    </row>
    <row r="77" spans="1:16" s="6" customFormat="1" ht="15.75">
      <c r="A77" s="275">
        <v>9</v>
      </c>
      <c r="B77" s="122" t="s">
        <v>738</v>
      </c>
      <c r="C77" s="32">
        <v>2474.6</v>
      </c>
      <c r="D77" s="32"/>
      <c r="E77" s="32">
        <v>54.25</v>
      </c>
      <c r="F77" s="61">
        <f t="shared" si="2"/>
        <v>2528.85</v>
      </c>
      <c r="G77" s="8" t="s">
        <v>1341</v>
      </c>
      <c r="H77" s="24">
        <v>718</v>
      </c>
      <c r="I77" s="41">
        <f t="shared" si="10"/>
        <v>3.9006687636835791E-2</v>
      </c>
      <c r="J77" s="39">
        <f t="shared" si="11"/>
        <v>88.511245117373207</v>
      </c>
      <c r="K77" s="37">
        <f t="shared" si="3"/>
        <v>32.545584829658132</v>
      </c>
      <c r="L77" s="342">
        <v>36.556230505166674</v>
      </c>
      <c r="M77" s="39">
        <f t="shared" si="12"/>
        <v>14.681337092752255</v>
      </c>
      <c r="N77" s="39"/>
      <c r="O77" s="94">
        <f t="shared" si="13"/>
        <v>6.8131521262609587E-2</v>
      </c>
      <c r="P77" s="238"/>
    </row>
    <row r="78" spans="1:16" s="6" customFormat="1" ht="15.75">
      <c r="A78" s="275">
        <v>10</v>
      </c>
      <c r="B78" s="122" t="s">
        <v>739</v>
      </c>
      <c r="C78" s="32">
        <v>4250.83</v>
      </c>
      <c r="D78" s="32"/>
      <c r="E78" s="32"/>
      <c r="F78" s="61">
        <f t="shared" si="2"/>
        <v>4250.83</v>
      </c>
      <c r="G78" s="8" t="s">
        <v>1341</v>
      </c>
      <c r="H78" s="24">
        <v>540</v>
      </c>
      <c r="I78" s="41">
        <f t="shared" si="10"/>
        <v>2.9336506022132766E-2</v>
      </c>
      <c r="J78" s="39">
        <f t="shared" si="11"/>
        <v>66.568345910002122</v>
      </c>
      <c r="K78" s="37">
        <f t="shared" si="3"/>
        <v>24.477180791107781</v>
      </c>
      <c r="L78" s="342">
        <v>27.493543833969369</v>
      </c>
      <c r="M78" s="39">
        <f t="shared" si="12"/>
        <v>11.041674136610331</v>
      </c>
      <c r="N78" s="39"/>
      <c r="O78" s="94">
        <f t="shared" si="13"/>
        <v>3.0483633707226499E-2</v>
      </c>
      <c r="P78" s="238"/>
    </row>
    <row r="79" spans="1:16" s="6" customFormat="1" ht="15.75">
      <c r="A79" s="275">
        <v>11</v>
      </c>
      <c r="B79" s="122" t="s">
        <v>740</v>
      </c>
      <c r="C79" s="32">
        <v>2862.08</v>
      </c>
      <c r="D79" s="32"/>
      <c r="E79" s="32"/>
      <c r="F79" s="61">
        <f t="shared" si="2"/>
        <v>2862.08</v>
      </c>
      <c r="G79" s="8" t="s">
        <v>1341</v>
      </c>
      <c r="H79" s="24">
        <v>483</v>
      </c>
      <c r="I79" s="41">
        <f t="shared" si="10"/>
        <v>2.6239874830907641E-2</v>
      </c>
      <c r="J79" s="39">
        <f t="shared" si="11"/>
        <v>59.541687175057461</v>
      </c>
      <c r="K79" s="37">
        <f t="shared" si="3"/>
        <v>21.893478374268629</v>
      </c>
      <c r="L79" s="342">
        <v>24.591447540383712</v>
      </c>
      <c r="M79" s="39">
        <f t="shared" si="12"/>
        <v>9.876164088857017</v>
      </c>
      <c r="N79" s="39"/>
      <c r="O79" s="94">
        <f t="shared" si="13"/>
        <v>4.0495994933253725E-2</v>
      </c>
      <c r="P79" s="238"/>
    </row>
    <row r="80" spans="1:16" s="6" customFormat="1" ht="15.75">
      <c r="A80" s="275">
        <v>12</v>
      </c>
      <c r="B80" s="122" t="s">
        <v>741</v>
      </c>
      <c r="C80" s="32">
        <v>6361.84</v>
      </c>
      <c r="D80" s="32"/>
      <c r="E80" s="937">
        <v>53.4</v>
      </c>
      <c r="F80" s="61">
        <f t="shared" ref="F80:F145" si="14">C80+D80+E80</f>
        <v>6415.24</v>
      </c>
      <c r="G80" s="8" t="s">
        <v>1341</v>
      </c>
      <c r="H80" s="24">
        <v>811</v>
      </c>
      <c r="I80" s="41">
        <f t="shared" si="10"/>
        <v>4.4059085896203103E-2</v>
      </c>
      <c r="J80" s="39">
        <f t="shared" si="11"/>
        <v>99.975793579651352</v>
      </c>
      <c r="K80" s="37">
        <f t="shared" ref="K80:K145" si="15">J80*0.3677</f>
        <v>36.761099299237806</v>
      </c>
      <c r="L80" s="342">
        <v>41.291229721016954</v>
      </c>
      <c r="M80" s="39">
        <f t="shared" si="12"/>
        <v>16.582958749612924</v>
      </c>
      <c r="N80" s="39"/>
      <c r="O80" s="94">
        <f t="shared" si="13"/>
        <v>3.0335744469344728E-2</v>
      </c>
      <c r="P80" s="238"/>
    </row>
    <row r="81" spans="1:16" s="6" customFormat="1" ht="15.75">
      <c r="A81" s="275">
        <v>13</v>
      </c>
      <c r="B81" s="122" t="s">
        <v>742</v>
      </c>
      <c r="C81" s="32">
        <v>2523.4899999999998</v>
      </c>
      <c r="D81" s="32"/>
      <c r="E81" s="32"/>
      <c r="F81" s="61">
        <f t="shared" si="14"/>
        <v>2523.4899999999998</v>
      </c>
      <c r="G81" s="8" t="s">
        <v>1341</v>
      </c>
      <c r="H81" s="24">
        <v>705</v>
      </c>
      <c r="I81" s="41">
        <f t="shared" si="10"/>
        <v>3.8300438417784445E-2</v>
      </c>
      <c r="J81" s="39">
        <f t="shared" si="11"/>
        <v>86.908673826947222</v>
      </c>
      <c r="K81" s="37">
        <f t="shared" si="15"/>
        <v>31.956319366168497</v>
      </c>
      <c r="L81" s="342">
        <v>35.894348894348894</v>
      </c>
      <c r="M81" s="39">
        <f t="shared" si="12"/>
        <v>14.41551901168571</v>
      </c>
      <c r="N81" s="39"/>
      <c r="O81" s="94">
        <f t="shared" si="13"/>
        <v>6.7040036258970842E-2</v>
      </c>
      <c r="P81" s="238"/>
    </row>
    <row r="82" spans="1:16" s="6" customFormat="1" ht="15.75">
      <c r="A82" s="275">
        <v>14</v>
      </c>
      <c r="B82" s="122" t="s">
        <v>743</v>
      </c>
      <c r="C82" s="32">
        <v>2727.04</v>
      </c>
      <c r="D82" s="32"/>
      <c r="E82" s="32"/>
      <c r="F82" s="61">
        <f t="shared" si="14"/>
        <v>2727.04</v>
      </c>
      <c r="G82" s="8" t="s">
        <v>1341</v>
      </c>
      <c r="H82" s="24">
        <v>631</v>
      </c>
      <c r="I82" s="41">
        <f t="shared" si="10"/>
        <v>3.4280250555492178E-2</v>
      </c>
      <c r="J82" s="39">
        <f t="shared" si="11"/>
        <v>77.786344942983973</v>
      </c>
      <c r="K82" s="37">
        <f t="shared" si="15"/>
        <v>28.60203903553521</v>
      </c>
      <c r="L82" s="342">
        <v>32.126715109693833</v>
      </c>
      <c r="M82" s="39">
        <f t="shared" si="12"/>
        <v>12.902400704076145</v>
      </c>
      <c r="N82" s="39"/>
      <c r="O82" s="94">
        <f t="shared" si="13"/>
        <v>5.5524488013483177E-2</v>
      </c>
      <c r="P82" s="238"/>
    </row>
    <row r="83" spans="1:16" s="6" customFormat="1" ht="15.75">
      <c r="A83" s="275">
        <v>15</v>
      </c>
      <c r="B83" s="122" t="s">
        <v>744</v>
      </c>
      <c r="C83" s="32">
        <v>11004.98</v>
      </c>
      <c r="D83" s="32"/>
      <c r="E83" s="32">
        <v>70.8</v>
      </c>
      <c r="F83" s="61">
        <f t="shared" si="14"/>
        <v>11075.779999999999</v>
      </c>
      <c r="G83" s="8" t="s">
        <v>1341</v>
      </c>
      <c r="H83" s="24">
        <v>1405</v>
      </c>
      <c r="I83" s="41">
        <f t="shared" si="10"/>
        <v>7.6329242520549137E-2</v>
      </c>
      <c r="J83" s="39">
        <f t="shared" si="11"/>
        <v>173.20097408065368</v>
      </c>
      <c r="K83" s="37">
        <f t="shared" si="15"/>
        <v>63.685998169456361</v>
      </c>
      <c r="L83" s="342">
        <v>71.534127938383264</v>
      </c>
      <c r="M83" s="39">
        <f t="shared" si="12"/>
        <v>28.728800299884284</v>
      </c>
      <c r="N83" s="39"/>
      <c r="O83" s="94">
        <f t="shared" si="13"/>
        <v>3.0440285062395395E-2</v>
      </c>
      <c r="P83" s="238"/>
    </row>
    <row r="84" spans="1:16" s="6" customFormat="1" ht="15.75">
      <c r="A84" s="275">
        <v>16</v>
      </c>
      <c r="B84" s="122" t="s">
        <v>745</v>
      </c>
      <c r="C84" s="32">
        <v>6438.12</v>
      </c>
      <c r="D84" s="32"/>
      <c r="E84" s="32"/>
      <c r="F84" s="61">
        <f t="shared" si="14"/>
        <v>6438.12</v>
      </c>
      <c r="G84" s="8" t="s">
        <v>1341</v>
      </c>
      <c r="H84" s="24">
        <v>983</v>
      </c>
      <c r="I84" s="41">
        <f t="shared" si="10"/>
        <v>5.3403306332882428E-2</v>
      </c>
      <c r="J84" s="39">
        <f t="shared" si="11"/>
        <v>121.17904449913351</v>
      </c>
      <c r="K84" s="37">
        <f t="shared" si="15"/>
        <v>44.557534662331392</v>
      </c>
      <c r="L84" s="342">
        <v>50.048432571836827</v>
      </c>
      <c r="M84" s="39">
        <f t="shared" si="12"/>
        <v>20.099936437570289</v>
      </c>
      <c r="N84" s="39"/>
      <c r="O84" s="94">
        <f t="shared" si="13"/>
        <v>3.6638793338874084E-2</v>
      </c>
      <c r="P84" s="238"/>
    </row>
    <row r="85" spans="1:16" s="6" customFormat="1" ht="15.75">
      <c r="A85" s="275">
        <v>17</v>
      </c>
      <c r="B85" s="122" t="s">
        <v>746</v>
      </c>
      <c r="C85" s="32">
        <v>6322.5</v>
      </c>
      <c r="D85" s="32"/>
      <c r="E85" s="32"/>
      <c r="F85" s="61">
        <f t="shared" si="14"/>
        <v>6322.5</v>
      </c>
      <c r="G85" s="8" t="s">
        <v>1341</v>
      </c>
      <c r="H85" s="24">
        <v>966</v>
      </c>
      <c r="I85" s="41">
        <f t="shared" si="10"/>
        <v>5.2479749661815282E-2</v>
      </c>
      <c r="J85" s="39">
        <f t="shared" si="11"/>
        <v>119.08337435011492</v>
      </c>
      <c r="K85" s="37">
        <f t="shared" si="15"/>
        <v>43.786956748537257</v>
      </c>
      <c r="L85" s="342">
        <v>49.182895080767423</v>
      </c>
      <c r="M85" s="39">
        <f t="shared" si="12"/>
        <v>19.752328177714034</v>
      </c>
      <c r="N85" s="39"/>
      <c r="O85" s="94">
        <f t="shared" si="13"/>
        <v>3.6663591041065029E-2</v>
      </c>
      <c r="P85" s="238"/>
    </row>
    <row r="86" spans="1:16" s="6" customFormat="1" ht="15.75">
      <c r="A86" s="275">
        <v>18</v>
      </c>
      <c r="B86" s="122" t="s">
        <v>747</v>
      </c>
      <c r="C86" s="32">
        <v>3062.91</v>
      </c>
      <c r="D86" s="32"/>
      <c r="E86" s="937">
        <v>144.69999999999999</v>
      </c>
      <c r="F86" s="61">
        <f t="shared" si="14"/>
        <v>3207.6099999999997</v>
      </c>
      <c r="G86" s="8" t="s">
        <v>1341</v>
      </c>
      <c r="H86" s="24">
        <v>863</v>
      </c>
      <c r="I86" s="41">
        <f t="shared" si="10"/>
        <v>4.6884082772408478E-2</v>
      </c>
      <c r="J86" s="39">
        <f t="shared" si="11"/>
        <v>106.38607874135525</v>
      </c>
      <c r="K86" s="37">
        <f t="shared" si="15"/>
        <v>39.118161153196326</v>
      </c>
      <c r="L86" s="342">
        <v>43.93875616428808</v>
      </c>
      <c r="M86" s="39">
        <f t="shared" si="12"/>
        <v>17.646231073879104</v>
      </c>
      <c r="N86" s="39"/>
      <c r="O86" s="94">
        <f t="shared" si="13"/>
        <v>6.4561847335779216E-2</v>
      </c>
      <c r="P86" s="238"/>
    </row>
    <row r="87" spans="1:16" s="6" customFormat="1" ht="15.75">
      <c r="A87" s="275">
        <v>19</v>
      </c>
      <c r="B87" s="122" t="s">
        <v>748</v>
      </c>
      <c r="C87" s="32">
        <v>2997.37</v>
      </c>
      <c r="D87" s="32"/>
      <c r="E87" s="32"/>
      <c r="F87" s="61">
        <f t="shared" si="14"/>
        <v>2997.37</v>
      </c>
      <c r="G87" s="8" t="s">
        <v>1341</v>
      </c>
      <c r="H87" s="24">
        <v>820</v>
      </c>
      <c r="I87" s="41">
        <f t="shared" si="10"/>
        <v>4.4548027663238648E-2</v>
      </c>
      <c r="J87" s="39">
        <f t="shared" si="11"/>
        <v>101.08526601148472</v>
      </c>
      <c r="K87" s="37">
        <f t="shared" si="15"/>
        <v>37.169052312422934</v>
      </c>
      <c r="L87" s="342">
        <v>41.749455451583117</v>
      </c>
      <c r="M87" s="39">
        <f t="shared" si="12"/>
        <v>16.766986651889763</v>
      </c>
      <c r="N87" s="39"/>
      <c r="O87" s="94">
        <f t="shared" si="13"/>
        <v>6.5647804717929567E-2</v>
      </c>
      <c r="P87" s="238"/>
    </row>
    <row r="88" spans="1:16" s="6" customFormat="1" ht="15.75">
      <c r="A88" s="275">
        <v>20</v>
      </c>
      <c r="B88" s="287" t="s">
        <v>1384</v>
      </c>
      <c r="C88" s="404">
        <v>6397.6</v>
      </c>
      <c r="D88" s="404"/>
      <c r="E88" s="404"/>
      <c r="F88" s="61">
        <f t="shared" si="14"/>
        <v>6397.6</v>
      </c>
      <c r="G88" s="8" t="s">
        <v>1341</v>
      </c>
      <c r="H88" s="21">
        <v>991</v>
      </c>
      <c r="I88" s="41">
        <f t="shared" si="10"/>
        <v>5.383792123691402E-2</v>
      </c>
      <c r="J88" s="39">
        <f t="shared" si="11"/>
        <v>122.16524221631872</v>
      </c>
      <c r="K88" s="37">
        <f t="shared" si="15"/>
        <v>44.920159562940398</v>
      </c>
      <c r="L88" s="39">
        <v>40.08</v>
      </c>
      <c r="M88" s="39">
        <f>I88*376.38</f>
        <v>20.263516795149698</v>
      </c>
      <c r="N88" s="39"/>
      <c r="O88" s="94">
        <f t="shared" si="13"/>
        <v>3.5549099439541203E-2</v>
      </c>
      <c r="P88" s="238"/>
    </row>
    <row r="89" spans="1:16" s="6" customFormat="1" ht="15.75">
      <c r="A89" s="275">
        <v>21</v>
      </c>
      <c r="B89" s="287" t="s">
        <v>1378</v>
      </c>
      <c r="C89" s="411">
        <v>566.29999999999995</v>
      </c>
      <c r="D89" s="411"/>
      <c r="E89" s="411"/>
      <c r="F89" s="61">
        <f t="shared" si="14"/>
        <v>566.29999999999995</v>
      </c>
      <c r="G89" s="8" t="s">
        <v>1341</v>
      </c>
      <c r="H89" s="21">
        <v>200</v>
      </c>
      <c r="I89" s="41">
        <f t="shared" si="10"/>
        <v>1.0865372600789914E-2</v>
      </c>
      <c r="J89" s="39">
        <f t="shared" si="11"/>
        <v>24.654942929630419</v>
      </c>
      <c r="K89" s="37">
        <f t="shared" si="15"/>
        <v>9.0656225152251064</v>
      </c>
      <c r="L89" s="39">
        <v>0</v>
      </c>
      <c r="M89" s="39">
        <f>I89*376.38</f>
        <v>4.0895089394853077</v>
      </c>
      <c r="N89" s="39"/>
      <c r="O89" s="94">
        <f t="shared" si="13"/>
        <v>6.6766862765920601E-2</v>
      </c>
      <c r="P89" s="238"/>
    </row>
    <row r="90" spans="1:16" s="69" customFormat="1" ht="15.75">
      <c r="A90" s="63"/>
      <c r="B90" s="63" t="s">
        <v>749</v>
      </c>
      <c r="C90" s="65">
        <f>SUM(C69:C89)</f>
        <v>112321.67</v>
      </c>
      <c r="D90" s="65">
        <f>SUM(D69:D88)</f>
        <v>0</v>
      </c>
      <c r="E90" s="65">
        <f>SUM(E69:E88)</f>
        <v>443.75</v>
      </c>
      <c r="F90" s="65">
        <f>SUM(F69:F89)</f>
        <v>112765.42</v>
      </c>
      <c r="G90" s="65"/>
      <c r="H90" s="65">
        <f>SUM(H69:H89)</f>
        <v>18407.099999999999</v>
      </c>
      <c r="I90" s="41">
        <f>1/18407.1*H90</f>
        <v>1</v>
      </c>
      <c r="J90" s="39">
        <f>I90*2269.13</f>
        <v>2269.13</v>
      </c>
      <c r="K90" s="316">
        <f t="shared" si="15"/>
        <v>834.35910100000012</v>
      </c>
      <c r="L90" s="39">
        <f>SUM(L68:L89)</f>
        <v>916.61999999999989</v>
      </c>
      <c r="M90" s="662">
        <f>SUM(M69:M88)</f>
        <v>372.29049106051474</v>
      </c>
      <c r="N90" s="662"/>
      <c r="O90" s="94">
        <f t="shared" si="13"/>
        <v>3.8951653725588169E-2</v>
      </c>
      <c r="P90" s="239"/>
    </row>
    <row r="91" spans="1:16" s="209" customFormat="1" ht="15.75">
      <c r="A91" s="384" t="s">
        <v>665</v>
      </c>
      <c r="C91" s="339"/>
      <c r="D91" s="339"/>
      <c r="E91" s="339"/>
      <c r="F91" s="339">
        <f t="shared" si="14"/>
        <v>0</v>
      </c>
      <c r="G91" s="737"/>
      <c r="J91" s="39">
        <f>I91*2077.52</f>
        <v>0</v>
      </c>
      <c r="K91" s="342"/>
      <c r="L91" s="39">
        <v>0</v>
      </c>
      <c r="M91" s="341">
        <f>I91*376.38</f>
        <v>0</v>
      </c>
      <c r="N91" s="341"/>
      <c r="O91" s="94" t="e">
        <f t="shared" si="13"/>
        <v>#DIV/0!</v>
      </c>
      <c r="P91" s="343"/>
    </row>
    <row r="92" spans="1:16" s="6" customFormat="1" ht="15.75">
      <c r="A92" s="275">
        <v>1</v>
      </c>
      <c r="B92" s="249" t="s">
        <v>51</v>
      </c>
      <c r="C92" s="157">
        <v>478.7</v>
      </c>
      <c r="D92" s="255">
        <v>165.3</v>
      </c>
      <c r="E92" s="255">
        <v>45.3</v>
      </c>
      <c r="F92" s="220">
        <f t="shared" si="14"/>
        <v>689.3</v>
      </c>
      <c r="G92" s="18" t="s">
        <v>1339</v>
      </c>
      <c r="H92" s="97">
        <v>677</v>
      </c>
      <c r="I92" s="663">
        <f t="shared" ref="I92:I155" si="16">4/114348.77*H92</f>
        <v>2.3681933789056059E-2</v>
      </c>
      <c r="J92" s="39">
        <f>I92*2269.13</f>
        <v>53.737386418760778</v>
      </c>
      <c r="K92" s="664">
        <f t="shared" si="15"/>
        <v>19.75923698617834</v>
      </c>
      <c r="L92" s="39">
        <v>21.162591395596607</v>
      </c>
      <c r="M92" s="39">
        <f t="shared" ref="M92:M124" si="17">I92*680.9</f>
        <v>16.12502871696827</v>
      </c>
      <c r="N92" s="117">
        <f>M92*1.219</f>
        <v>19.656410005984323</v>
      </c>
      <c r="O92" s="94">
        <f>(M92+L92+K92+J92)/F92</f>
        <v>0.16071992386116932</v>
      </c>
      <c r="P92" s="240"/>
    </row>
    <row r="93" spans="1:16" s="6" customFormat="1" ht="15.75">
      <c r="A93" s="268">
        <v>2</v>
      </c>
      <c r="B93" s="176" t="s">
        <v>52</v>
      </c>
      <c r="C93" s="157">
        <v>316.39999999999998</v>
      </c>
      <c r="D93" s="255"/>
      <c r="E93" s="255">
        <v>39.9</v>
      </c>
      <c r="F93" s="220">
        <f t="shared" si="14"/>
        <v>356.29999999999995</v>
      </c>
      <c r="G93" s="18" t="s">
        <v>1339</v>
      </c>
      <c r="H93" s="97">
        <v>273</v>
      </c>
      <c r="I93" s="663">
        <f t="shared" si="16"/>
        <v>9.5497310552618963E-3</v>
      </c>
      <c r="J93" s="39">
        <f t="shared" ref="J93:J156" si="18">I93*2269.13</f>
        <v>21.669581229426427</v>
      </c>
      <c r="K93" s="664">
        <f t="shared" si="15"/>
        <v>7.9679050180600974</v>
      </c>
      <c r="L93" s="39">
        <v>8.5338071654326058</v>
      </c>
      <c r="M93" s="39">
        <f t="shared" si="17"/>
        <v>6.5024118755278248</v>
      </c>
      <c r="N93" s="117">
        <f t="shared" ref="N93:N156" si="19">M93*1.219</f>
        <v>7.9264400762684186</v>
      </c>
      <c r="O93" s="94">
        <f t="shared" si="13"/>
        <v>0.12538227698132742</v>
      </c>
      <c r="P93" s="240"/>
    </row>
    <row r="94" spans="1:16" s="6" customFormat="1" ht="15.75">
      <c r="A94" s="268">
        <v>3</v>
      </c>
      <c r="B94" s="176" t="s">
        <v>53</v>
      </c>
      <c r="C94" s="157">
        <v>425.13</v>
      </c>
      <c r="D94" s="255"/>
      <c r="E94" s="255"/>
      <c r="F94" s="220">
        <f t="shared" si="14"/>
        <v>425.13</v>
      </c>
      <c r="G94" s="18" t="s">
        <v>1339</v>
      </c>
      <c r="H94" s="97">
        <v>211</v>
      </c>
      <c r="I94" s="663">
        <f t="shared" si="16"/>
        <v>7.3809276654221989E-3</v>
      </c>
      <c r="J94" s="39">
        <f t="shared" si="18"/>
        <v>16.748284393439477</v>
      </c>
      <c r="K94" s="664">
        <f t="shared" si="15"/>
        <v>6.1583441714676956</v>
      </c>
      <c r="L94" s="39">
        <v>6.5957264172391197</v>
      </c>
      <c r="M94" s="39">
        <f t="shared" si="17"/>
        <v>5.0256736473859753</v>
      </c>
      <c r="N94" s="117">
        <f t="shared" si="19"/>
        <v>6.1262961761635042</v>
      </c>
      <c r="O94" s="94">
        <f t="shared" si="13"/>
        <v>8.1217577281142886E-2</v>
      </c>
      <c r="P94" s="240"/>
    </row>
    <row r="95" spans="1:16" s="6" customFormat="1" ht="15.75">
      <c r="A95" s="268">
        <v>4</v>
      </c>
      <c r="B95" s="176" t="s">
        <v>54</v>
      </c>
      <c r="C95" s="157">
        <v>690.66</v>
      </c>
      <c r="D95" s="255"/>
      <c r="E95" s="255"/>
      <c r="F95" s="220">
        <f t="shared" si="14"/>
        <v>690.66</v>
      </c>
      <c r="G95" s="18" t="s">
        <v>1339</v>
      </c>
      <c r="H95" s="97">
        <v>417</v>
      </c>
      <c r="I95" s="663">
        <f t="shared" si="16"/>
        <v>1.4586951831663777E-2</v>
      </c>
      <c r="J95" s="39">
        <f t="shared" si="18"/>
        <v>33.099690009783231</v>
      </c>
      <c r="K95" s="664">
        <f t="shared" si="15"/>
        <v>12.170756016597295</v>
      </c>
      <c r="L95" s="39">
        <v>13.035155999946506</v>
      </c>
      <c r="M95" s="39">
        <f t="shared" si="17"/>
        <v>9.9322555021798653</v>
      </c>
      <c r="N95" s="117">
        <f t="shared" si="19"/>
        <v>12.107419457157256</v>
      </c>
      <c r="O95" s="94">
        <f t="shared" si="13"/>
        <v>9.8800940446105032E-2</v>
      </c>
      <c r="P95" s="240"/>
    </row>
    <row r="96" spans="1:16" s="6" customFormat="1" ht="15.75">
      <c r="A96" s="268">
        <v>5</v>
      </c>
      <c r="B96" s="176" t="s">
        <v>55</v>
      </c>
      <c r="C96" s="157">
        <v>590.26</v>
      </c>
      <c r="D96" s="255"/>
      <c r="E96" s="255">
        <v>27.8</v>
      </c>
      <c r="F96" s="220">
        <f t="shared" si="14"/>
        <v>618.05999999999995</v>
      </c>
      <c r="G96" s="18" t="s">
        <v>1339</v>
      </c>
      <c r="H96" s="97">
        <v>404</v>
      </c>
      <c r="I96" s="663">
        <f t="shared" si="16"/>
        <v>1.4132202733794163E-2</v>
      </c>
      <c r="J96" s="39">
        <f t="shared" si="18"/>
        <v>32.067805189334351</v>
      </c>
      <c r="K96" s="664">
        <f t="shared" si="15"/>
        <v>11.791331968118241</v>
      </c>
      <c r="L96" s="39">
        <v>12.628784230164001</v>
      </c>
      <c r="M96" s="39">
        <f t="shared" si="17"/>
        <v>9.6226168414404452</v>
      </c>
      <c r="N96" s="117">
        <f t="shared" si="19"/>
        <v>11.729969929715903</v>
      </c>
      <c r="O96" s="94">
        <f t="shared" si="13"/>
        <v>0.10696459604092975</v>
      </c>
      <c r="P96" s="240"/>
    </row>
    <row r="97" spans="1:16" s="6" customFormat="1" ht="15.75">
      <c r="A97" s="268">
        <v>6</v>
      </c>
      <c r="B97" s="176" t="s">
        <v>56</v>
      </c>
      <c r="C97" s="157">
        <v>1277.7</v>
      </c>
      <c r="D97" s="255"/>
      <c r="E97" s="255">
        <v>49.7</v>
      </c>
      <c r="F97" s="220">
        <f t="shared" si="14"/>
        <v>1327.4</v>
      </c>
      <c r="G97" s="18" t="s">
        <v>1339</v>
      </c>
      <c r="H97" s="97">
        <v>629</v>
      </c>
      <c r="I97" s="663">
        <f t="shared" si="16"/>
        <v>2.2002860196922099E-2</v>
      </c>
      <c r="J97" s="39">
        <f t="shared" si="18"/>
        <v>49.927350158641843</v>
      </c>
      <c r="K97" s="664">
        <f t="shared" si="15"/>
        <v>18.358286653332605</v>
      </c>
      <c r="L97" s="39">
        <v>19.662141784091972</v>
      </c>
      <c r="M97" s="39">
        <f t="shared" si="17"/>
        <v>14.981747508084258</v>
      </c>
      <c r="N97" s="117">
        <f t="shared" si="19"/>
        <v>18.26275021235471</v>
      </c>
      <c r="O97" s="94">
        <f t="shared" si="13"/>
        <v>7.7542207401047669E-2</v>
      </c>
      <c r="P97" s="240"/>
    </row>
    <row r="98" spans="1:16" s="6" customFormat="1" ht="15.75">
      <c r="A98" s="268">
        <v>7</v>
      </c>
      <c r="B98" s="176" t="s">
        <v>57</v>
      </c>
      <c r="C98" s="157">
        <v>1422.3</v>
      </c>
      <c r="D98" s="255"/>
      <c r="E98" s="255">
        <v>106</v>
      </c>
      <c r="F98" s="220">
        <f t="shared" si="14"/>
        <v>1528.3</v>
      </c>
      <c r="G98" s="18" t="s">
        <v>1339</v>
      </c>
      <c r="H98" s="97">
        <v>742</v>
      </c>
      <c r="I98" s="663">
        <f t="shared" si="16"/>
        <v>2.5955679278404132E-2</v>
      </c>
      <c r="J98" s="39">
        <f t="shared" si="18"/>
        <v>58.896810521005172</v>
      </c>
      <c r="K98" s="664">
        <f t="shared" si="15"/>
        <v>21.656357228573604</v>
      </c>
      <c r="L98" s="39">
        <v>23.194450244509131</v>
      </c>
      <c r="M98" s="39">
        <f t="shared" si="17"/>
        <v>17.673222020665374</v>
      </c>
      <c r="N98" s="117">
        <f t="shared" si="19"/>
        <v>21.543657643191093</v>
      </c>
      <c r="O98" s="94">
        <f t="shared" si="13"/>
        <v>7.9448302044594174E-2</v>
      </c>
      <c r="P98" s="240"/>
    </row>
    <row r="99" spans="1:16" s="6" customFormat="1" ht="15.75">
      <c r="A99" s="275">
        <v>8</v>
      </c>
      <c r="B99" s="176" t="s">
        <v>58</v>
      </c>
      <c r="C99" s="157">
        <v>736.94</v>
      </c>
      <c r="D99" s="255"/>
      <c r="E99" s="255"/>
      <c r="F99" s="220">
        <f t="shared" si="14"/>
        <v>736.94</v>
      </c>
      <c r="G99" s="18" t="s">
        <v>1339</v>
      </c>
      <c r="H99" s="97">
        <v>323</v>
      </c>
      <c r="I99" s="663">
        <f t="shared" si="16"/>
        <v>1.1298766047068105E-2</v>
      </c>
      <c r="J99" s="39">
        <f t="shared" si="18"/>
        <v>25.638369000383648</v>
      </c>
      <c r="K99" s="664">
        <f t="shared" si="15"/>
        <v>9.4272282814410673</v>
      </c>
      <c r="L99" s="39">
        <v>10.096775510749932</v>
      </c>
      <c r="M99" s="39">
        <f t="shared" si="17"/>
        <v>7.6933298014486722</v>
      </c>
      <c r="N99" s="117">
        <f t="shared" si="19"/>
        <v>9.3781690279659315</v>
      </c>
      <c r="O99" s="94">
        <f t="shared" si="13"/>
        <v>7.1723210293949735E-2</v>
      </c>
      <c r="P99" s="240"/>
    </row>
    <row r="100" spans="1:16" s="6" customFormat="1" ht="15.75">
      <c r="A100" s="268">
        <v>9</v>
      </c>
      <c r="B100" s="176" t="s">
        <v>59</v>
      </c>
      <c r="C100" s="157">
        <v>588.29</v>
      </c>
      <c r="D100" s="255"/>
      <c r="E100" s="255"/>
      <c r="F100" s="220">
        <f t="shared" si="14"/>
        <v>588.29</v>
      </c>
      <c r="G100" s="18" t="s">
        <v>1339</v>
      </c>
      <c r="H100" s="97">
        <v>323</v>
      </c>
      <c r="I100" s="663">
        <f t="shared" si="16"/>
        <v>1.1298766047068105E-2</v>
      </c>
      <c r="J100" s="39">
        <f t="shared" si="18"/>
        <v>25.638369000383648</v>
      </c>
      <c r="K100" s="664">
        <f t="shared" si="15"/>
        <v>9.4272282814410673</v>
      </c>
      <c r="L100" s="39">
        <v>10.096775510749932</v>
      </c>
      <c r="M100" s="39">
        <f t="shared" si="17"/>
        <v>7.6933298014486722</v>
      </c>
      <c r="N100" s="117">
        <f t="shared" si="19"/>
        <v>9.3781690279659315</v>
      </c>
      <c r="O100" s="94">
        <f t="shared" si="13"/>
        <v>8.984633870034052E-2</v>
      </c>
      <c r="P100" s="240"/>
    </row>
    <row r="101" spans="1:16" s="6" customFormat="1" ht="15.75">
      <c r="A101" s="268">
        <v>10</v>
      </c>
      <c r="B101" s="274" t="s">
        <v>60</v>
      </c>
      <c r="C101" s="157">
        <v>264.32</v>
      </c>
      <c r="D101" s="255"/>
      <c r="E101" s="255"/>
      <c r="F101" s="220">
        <f t="shared" si="14"/>
        <v>264.32</v>
      </c>
      <c r="G101" s="18" t="s">
        <v>1339</v>
      </c>
      <c r="H101" s="97">
        <v>182</v>
      </c>
      <c r="I101" s="663">
        <f t="shared" si="16"/>
        <v>6.3664873701745981E-3</v>
      </c>
      <c r="J101" s="39">
        <f t="shared" si="18"/>
        <v>14.446387486284287</v>
      </c>
      <c r="K101" s="664">
        <f t="shared" si="15"/>
        <v>5.3119366787067328</v>
      </c>
      <c r="L101" s="39">
        <v>5.6892047769550693</v>
      </c>
      <c r="M101" s="39">
        <f t="shared" si="17"/>
        <v>4.3349412503518838</v>
      </c>
      <c r="N101" s="117">
        <f t="shared" si="19"/>
        <v>5.2842933841789463</v>
      </c>
      <c r="O101" s="94">
        <f t="shared" si="13"/>
        <v>0.11267581035221691</v>
      </c>
      <c r="P101" s="240"/>
    </row>
    <row r="102" spans="1:16" s="6" customFormat="1" ht="15.75">
      <c r="A102" s="268">
        <v>11</v>
      </c>
      <c r="B102" s="176" t="s">
        <v>61</v>
      </c>
      <c r="C102" s="157">
        <v>181.4</v>
      </c>
      <c r="D102" s="255"/>
      <c r="E102" s="255">
        <v>21.3</v>
      </c>
      <c r="F102" s="220">
        <f t="shared" si="14"/>
        <v>202.70000000000002</v>
      </c>
      <c r="G102" s="18" t="s">
        <v>1339</v>
      </c>
      <c r="H102" s="97">
        <v>178</v>
      </c>
      <c r="I102" s="663">
        <f t="shared" si="16"/>
        <v>6.2265645708301015E-3</v>
      </c>
      <c r="J102" s="39">
        <f t="shared" si="18"/>
        <v>14.128884464607708</v>
      </c>
      <c r="K102" s="664">
        <f t="shared" si="15"/>
        <v>5.1951908176362549</v>
      </c>
      <c r="L102" s="39">
        <v>5.564167309329684</v>
      </c>
      <c r="M102" s="39">
        <f t="shared" si="17"/>
        <v>4.2396678162782155</v>
      </c>
      <c r="N102" s="117">
        <f t="shared" si="19"/>
        <v>5.168155068043145</v>
      </c>
      <c r="O102" s="94">
        <f t="shared" si="13"/>
        <v>0.14369960734016704</v>
      </c>
      <c r="P102" s="240"/>
    </row>
    <row r="103" spans="1:16" s="6" customFormat="1" ht="15.75">
      <c r="A103" s="268">
        <v>12</v>
      </c>
      <c r="B103" s="176" t="s">
        <v>62</v>
      </c>
      <c r="C103" s="157">
        <v>366.9</v>
      </c>
      <c r="D103" s="255"/>
      <c r="E103" s="255"/>
      <c r="F103" s="220">
        <f t="shared" si="14"/>
        <v>366.9</v>
      </c>
      <c r="G103" s="18" t="s">
        <v>1339</v>
      </c>
      <c r="H103" s="97">
        <v>374</v>
      </c>
      <c r="I103" s="663">
        <f t="shared" si="16"/>
        <v>1.3082781738710438E-2</v>
      </c>
      <c r="J103" s="39">
        <f t="shared" si="18"/>
        <v>29.686532526760018</v>
      </c>
      <c r="K103" s="664">
        <f t="shared" si="15"/>
        <v>10.91573801008966</v>
      </c>
      <c r="L103" s="39">
        <v>11.691003222973606</v>
      </c>
      <c r="M103" s="39">
        <f t="shared" si="17"/>
        <v>8.9080660858879366</v>
      </c>
      <c r="N103" s="117">
        <f t="shared" si="19"/>
        <v>10.858932558697395</v>
      </c>
      <c r="O103" s="94">
        <f t="shared" si="13"/>
        <v>0.16680659538215106</v>
      </c>
      <c r="P103" s="240"/>
    </row>
    <row r="104" spans="1:16" s="6" customFormat="1" ht="15.75">
      <c r="A104" s="268">
        <v>13</v>
      </c>
      <c r="B104" s="176" t="s">
        <v>63</v>
      </c>
      <c r="C104" s="157">
        <v>580.66999999999996</v>
      </c>
      <c r="D104" s="255"/>
      <c r="E104" s="255"/>
      <c r="F104" s="220">
        <f t="shared" si="14"/>
        <v>580.66999999999996</v>
      </c>
      <c r="G104" s="18" t="s">
        <v>1339</v>
      </c>
      <c r="H104" s="97">
        <v>304</v>
      </c>
      <c r="I104" s="663">
        <f t="shared" si="16"/>
        <v>1.0634132750181746E-2</v>
      </c>
      <c r="J104" s="39">
        <f t="shared" si="18"/>
        <v>24.130229647419906</v>
      </c>
      <c r="K104" s="664">
        <f t="shared" si="15"/>
        <v>8.8726854413562997</v>
      </c>
      <c r="L104" s="39">
        <v>9.5028475395293484</v>
      </c>
      <c r="M104" s="39">
        <f t="shared" si="17"/>
        <v>7.2407809895987505</v>
      </c>
      <c r="N104" s="117">
        <f t="shared" si="19"/>
        <v>8.8265120263208772</v>
      </c>
      <c r="O104" s="94">
        <f t="shared" si="13"/>
        <v>8.5670938085150444E-2</v>
      </c>
      <c r="P104" s="240"/>
    </row>
    <row r="105" spans="1:16" s="6" customFormat="1" ht="15.75">
      <c r="A105" s="268">
        <v>14</v>
      </c>
      <c r="B105" s="176" t="s">
        <v>64</v>
      </c>
      <c r="C105" s="157">
        <v>583.6</v>
      </c>
      <c r="D105" s="255">
        <v>29.3</v>
      </c>
      <c r="E105" s="255"/>
      <c r="F105" s="220">
        <f t="shared" si="14"/>
        <v>612.9</v>
      </c>
      <c r="G105" s="18" t="s">
        <v>1339</v>
      </c>
      <c r="H105" s="97">
        <v>675</v>
      </c>
      <c r="I105" s="663">
        <f t="shared" si="16"/>
        <v>2.3611972389383812E-2</v>
      </c>
      <c r="J105" s="39">
        <f t="shared" si="18"/>
        <v>53.578634907922492</v>
      </c>
      <c r="K105" s="664">
        <f t="shared" si="15"/>
        <v>19.700864055643102</v>
      </c>
      <c r="L105" s="39">
        <v>21.100072661783912</v>
      </c>
      <c r="M105" s="39">
        <f t="shared" si="17"/>
        <v>16.077391999931436</v>
      </c>
      <c r="N105" s="117">
        <f t="shared" si="19"/>
        <v>19.598340847916422</v>
      </c>
      <c r="O105" s="94">
        <f t="shared" si="13"/>
        <v>0.18022020496864241</v>
      </c>
      <c r="P105" s="240"/>
    </row>
    <row r="106" spans="1:16" s="6" customFormat="1" ht="15.75">
      <c r="A106" s="275">
        <v>15</v>
      </c>
      <c r="B106" s="176" t="s">
        <v>67</v>
      </c>
      <c r="C106" s="157">
        <v>851.5</v>
      </c>
      <c r="D106" s="255"/>
      <c r="E106" s="255"/>
      <c r="F106" s="220">
        <f t="shared" si="14"/>
        <v>851.5</v>
      </c>
      <c r="G106" s="18" t="s">
        <v>1339</v>
      </c>
      <c r="H106" s="97">
        <v>180</v>
      </c>
      <c r="I106" s="663">
        <f t="shared" si="16"/>
        <v>6.2965259705023494E-3</v>
      </c>
      <c r="J106" s="39">
        <f t="shared" si="18"/>
        <v>14.287635975445996</v>
      </c>
      <c r="K106" s="664">
        <f t="shared" si="15"/>
        <v>5.2535637481714934</v>
      </c>
      <c r="L106" s="39">
        <v>5.6266860431423771</v>
      </c>
      <c r="M106" s="39">
        <f t="shared" si="17"/>
        <v>4.2873045333150497</v>
      </c>
      <c r="N106" s="117">
        <f t="shared" si="19"/>
        <v>5.2262242261110456</v>
      </c>
      <c r="O106" s="94">
        <f t="shared" si="13"/>
        <v>3.4592120141015759E-2</v>
      </c>
      <c r="P106" s="240"/>
    </row>
    <row r="107" spans="1:16" s="6" customFormat="1" ht="15.75">
      <c r="A107" s="268">
        <v>16</v>
      </c>
      <c r="B107" s="176" t="s">
        <v>68</v>
      </c>
      <c r="C107" s="157">
        <v>510.4</v>
      </c>
      <c r="D107" s="255"/>
      <c r="E107" s="255">
        <v>35.200000000000003</v>
      </c>
      <c r="F107" s="220">
        <f t="shared" si="14"/>
        <v>545.6</v>
      </c>
      <c r="G107" s="18" t="s">
        <v>1339</v>
      </c>
      <c r="H107" s="97">
        <v>90</v>
      </c>
      <c r="I107" s="663">
        <f t="shared" si="16"/>
        <v>3.1482629852511747E-3</v>
      </c>
      <c r="J107" s="39">
        <f t="shared" si="18"/>
        <v>7.1438179877229979</v>
      </c>
      <c r="K107" s="664">
        <f t="shared" si="15"/>
        <v>2.6267818740857467</v>
      </c>
      <c r="L107" s="39">
        <v>2.8133430215711885</v>
      </c>
      <c r="M107" s="39">
        <f t="shared" si="17"/>
        <v>2.1436522666575248</v>
      </c>
      <c r="N107" s="117">
        <f t="shared" si="19"/>
        <v>2.6131121130555228</v>
      </c>
      <c r="O107" s="94">
        <f t="shared" si="13"/>
        <v>2.6993392870303258E-2</v>
      </c>
      <c r="P107" s="240"/>
    </row>
    <row r="108" spans="1:16" s="6" customFormat="1" ht="15.75">
      <c r="A108" s="268">
        <v>17</v>
      </c>
      <c r="B108" s="176" t="s">
        <v>69</v>
      </c>
      <c r="C108" s="157">
        <v>545.21</v>
      </c>
      <c r="D108" s="255"/>
      <c r="E108" s="255">
        <v>19.600000000000001</v>
      </c>
      <c r="F108" s="220">
        <f t="shared" si="14"/>
        <v>564.81000000000006</v>
      </c>
      <c r="G108" s="18" t="s">
        <v>1339</v>
      </c>
      <c r="H108" s="97">
        <v>201</v>
      </c>
      <c r="I108" s="663">
        <f t="shared" si="16"/>
        <v>7.0311206670609569E-3</v>
      </c>
      <c r="J108" s="39">
        <f t="shared" si="18"/>
        <v>15.954526839248031</v>
      </c>
      <c r="K108" s="664">
        <f t="shared" si="15"/>
        <v>5.8664795187915013</v>
      </c>
      <c r="L108" s="39">
        <v>6.283132748175654</v>
      </c>
      <c r="M108" s="39">
        <f t="shared" si="17"/>
        <v>4.7874900622018055</v>
      </c>
      <c r="N108" s="117">
        <f t="shared" si="19"/>
        <v>5.8359503858240016</v>
      </c>
      <c r="O108" s="94">
        <f t="shared" si="13"/>
        <v>5.8234856267447441E-2</v>
      </c>
      <c r="P108" s="240"/>
    </row>
    <row r="109" spans="1:16" s="6" customFormat="1" ht="15.75">
      <c r="A109" s="268">
        <v>18</v>
      </c>
      <c r="B109" s="176" t="s">
        <v>70</v>
      </c>
      <c r="C109" s="157">
        <v>536.25</v>
      </c>
      <c r="D109" s="255"/>
      <c r="E109" s="255"/>
      <c r="F109" s="220">
        <f t="shared" si="14"/>
        <v>536.25</v>
      </c>
      <c r="G109" s="18" t="s">
        <v>1339</v>
      </c>
      <c r="H109" s="97">
        <v>347</v>
      </c>
      <c r="I109" s="663">
        <f t="shared" si="16"/>
        <v>1.2138302843135084E-2</v>
      </c>
      <c r="J109" s="39">
        <f t="shared" si="18"/>
        <v>27.543387130443115</v>
      </c>
      <c r="K109" s="664">
        <f t="shared" si="15"/>
        <v>10.127703447863935</v>
      </c>
      <c r="L109" s="39">
        <v>10.84700031650225</v>
      </c>
      <c r="M109" s="39">
        <f t="shared" si="17"/>
        <v>8.2649704058906792</v>
      </c>
      <c r="N109" s="117">
        <f t="shared" si="19"/>
        <v>10.074998924780738</v>
      </c>
      <c r="O109" s="94">
        <f t="shared" si="13"/>
        <v>0.10588915860270393</v>
      </c>
      <c r="P109" s="240"/>
    </row>
    <row r="110" spans="1:16" s="6" customFormat="1" ht="15.75">
      <c r="A110" s="268">
        <v>19</v>
      </c>
      <c r="B110" s="176" t="s">
        <v>71</v>
      </c>
      <c r="C110" s="157">
        <v>534.97</v>
      </c>
      <c r="D110" s="255">
        <v>68.2</v>
      </c>
      <c r="E110" s="255"/>
      <c r="F110" s="220">
        <f t="shared" si="14"/>
        <v>603.17000000000007</v>
      </c>
      <c r="G110" s="18" t="s">
        <v>1339</v>
      </c>
      <c r="H110" s="97">
        <v>354</v>
      </c>
      <c r="I110" s="663">
        <f t="shared" si="16"/>
        <v>1.2383167741987954E-2</v>
      </c>
      <c r="J110" s="39">
        <f t="shared" si="18"/>
        <v>28.099017418377127</v>
      </c>
      <c r="K110" s="664">
        <f t="shared" si="15"/>
        <v>10.33200870473727</v>
      </c>
      <c r="L110" s="39">
        <v>11.065815884846673</v>
      </c>
      <c r="M110" s="39">
        <f t="shared" si="17"/>
        <v>8.4316989155195969</v>
      </c>
      <c r="N110" s="117">
        <f t="shared" si="19"/>
        <v>10.27824097801839</v>
      </c>
      <c r="O110" s="94">
        <f t="shared" si="13"/>
        <v>9.6040156048014094E-2</v>
      </c>
      <c r="P110" s="240"/>
    </row>
    <row r="111" spans="1:16" s="6" customFormat="1" ht="15.75">
      <c r="A111" s="268">
        <v>20</v>
      </c>
      <c r="B111" s="176" t="s">
        <v>72</v>
      </c>
      <c r="C111" s="157">
        <v>191.9</v>
      </c>
      <c r="D111" s="255"/>
      <c r="E111" s="255">
        <v>35</v>
      </c>
      <c r="F111" s="220">
        <f t="shared" si="14"/>
        <v>226.9</v>
      </c>
      <c r="G111" s="18" t="s">
        <v>1339</v>
      </c>
      <c r="H111" s="97">
        <v>180</v>
      </c>
      <c r="I111" s="663">
        <f t="shared" si="16"/>
        <v>6.2965259705023494E-3</v>
      </c>
      <c r="J111" s="39">
        <f t="shared" si="18"/>
        <v>14.287635975445996</v>
      </c>
      <c r="K111" s="664">
        <f t="shared" si="15"/>
        <v>5.2535637481714934</v>
      </c>
      <c r="L111" s="39">
        <v>5.6266860431423771</v>
      </c>
      <c r="M111" s="39">
        <f t="shared" si="17"/>
        <v>4.2873045333150497</v>
      </c>
      <c r="N111" s="117">
        <f t="shared" si="19"/>
        <v>5.2262242261110456</v>
      </c>
      <c r="O111" s="94">
        <f t="shared" si="13"/>
        <v>0.12981573512593617</v>
      </c>
      <c r="P111" s="240"/>
    </row>
    <row r="112" spans="1:16" s="6" customFormat="1" ht="15.75">
      <c r="A112" s="268">
        <v>21</v>
      </c>
      <c r="B112" s="176" t="s">
        <v>73</v>
      </c>
      <c r="C112" s="157">
        <v>368.4</v>
      </c>
      <c r="D112" s="255"/>
      <c r="E112" s="255">
        <v>17.2</v>
      </c>
      <c r="F112" s="220">
        <f t="shared" si="14"/>
        <v>385.59999999999997</v>
      </c>
      <c r="G112" s="18" t="s">
        <v>1339</v>
      </c>
      <c r="H112" s="97">
        <v>179</v>
      </c>
      <c r="I112" s="663">
        <f t="shared" si="16"/>
        <v>6.2615452706662258E-3</v>
      </c>
      <c r="J112" s="39">
        <f t="shared" si="18"/>
        <v>14.208260220026855</v>
      </c>
      <c r="K112" s="664">
        <f t="shared" si="15"/>
        <v>5.224377282903875</v>
      </c>
      <c r="L112" s="39">
        <v>5.5954266762360296</v>
      </c>
      <c r="M112" s="39">
        <f t="shared" si="17"/>
        <v>4.2634861747966326</v>
      </c>
      <c r="N112" s="117">
        <f t="shared" si="19"/>
        <v>5.1971896470770957</v>
      </c>
      <c r="O112" s="94">
        <f t="shared" si="13"/>
        <v>7.5963564195963174E-2</v>
      </c>
      <c r="P112" s="240"/>
    </row>
    <row r="113" spans="1:16" s="6" customFormat="1" ht="15.75">
      <c r="A113" s="275">
        <v>22</v>
      </c>
      <c r="B113" s="176" t="s">
        <v>74</v>
      </c>
      <c r="C113" s="157">
        <v>298.58</v>
      </c>
      <c r="D113" s="255">
        <v>41.6</v>
      </c>
      <c r="E113" s="255"/>
      <c r="F113" s="220">
        <f t="shared" si="14"/>
        <v>340.18</v>
      </c>
      <c r="G113" s="18" t="s">
        <v>1339</v>
      </c>
      <c r="H113" s="97">
        <v>165</v>
      </c>
      <c r="I113" s="663">
        <f t="shared" si="16"/>
        <v>5.7718154729604872E-3</v>
      </c>
      <c r="J113" s="39">
        <f t="shared" si="18"/>
        <v>13.096999644158831</v>
      </c>
      <c r="K113" s="664">
        <f t="shared" si="15"/>
        <v>4.8157667691572028</v>
      </c>
      <c r="L113" s="39">
        <v>5.1577955395471786</v>
      </c>
      <c r="M113" s="39">
        <f t="shared" si="17"/>
        <v>3.9300291555387954</v>
      </c>
      <c r="N113" s="117">
        <f t="shared" si="19"/>
        <v>4.7907055406017918</v>
      </c>
      <c r="O113" s="94">
        <f t="shared" si="13"/>
        <v>7.9371483063090151E-2</v>
      </c>
      <c r="P113" s="240"/>
    </row>
    <row r="114" spans="1:16" s="6" customFormat="1" ht="15.75">
      <c r="A114" s="268">
        <v>23</v>
      </c>
      <c r="B114" s="176" t="s">
        <v>75</v>
      </c>
      <c r="C114" s="157">
        <v>304.7</v>
      </c>
      <c r="D114" s="255"/>
      <c r="E114" s="255"/>
      <c r="F114" s="220">
        <f t="shared" si="14"/>
        <v>304.7</v>
      </c>
      <c r="G114" s="18" t="s">
        <v>1339</v>
      </c>
      <c r="H114" s="97">
        <v>319</v>
      </c>
      <c r="I114" s="663">
        <f t="shared" si="16"/>
        <v>1.1158843247723609E-2</v>
      </c>
      <c r="J114" s="39">
        <f t="shared" si="18"/>
        <v>25.320865978707072</v>
      </c>
      <c r="K114" s="664">
        <f t="shared" si="15"/>
        <v>9.3104824203705903</v>
      </c>
      <c r="L114" s="39">
        <v>9.9717380431245459</v>
      </c>
      <c r="M114" s="39">
        <f t="shared" si="17"/>
        <v>7.5980563673750048</v>
      </c>
      <c r="N114" s="117">
        <f t="shared" si="19"/>
        <v>9.2620307118301319</v>
      </c>
      <c r="O114" s="94">
        <f t="shared" si="13"/>
        <v>0.17131979917813331</v>
      </c>
      <c r="P114" s="240"/>
    </row>
    <row r="115" spans="1:16" s="6" customFormat="1" ht="15.75">
      <c r="A115" s="268">
        <v>24</v>
      </c>
      <c r="B115" s="176" t="s">
        <v>76</v>
      </c>
      <c r="C115" s="157">
        <v>820.07</v>
      </c>
      <c r="D115" s="255"/>
      <c r="E115" s="255">
        <v>159.9</v>
      </c>
      <c r="F115" s="220">
        <f t="shared" si="14"/>
        <v>979.97</v>
      </c>
      <c r="G115" s="18" t="s">
        <v>1339</v>
      </c>
      <c r="H115" s="97">
        <v>619</v>
      </c>
      <c r="I115" s="663">
        <f t="shared" si="16"/>
        <v>2.1653053198560857E-2</v>
      </c>
      <c r="J115" s="39">
        <f t="shared" si="18"/>
        <v>49.133592604450399</v>
      </c>
      <c r="K115" s="664">
        <f t="shared" si="15"/>
        <v>18.066422000656413</v>
      </c>
      <c r="L115" s="39">
        <v>19.349548115028504</v>
      </c>
      <c r="M115" s="39">
        <f t="shared" si="17"/>
        <v>14.743563922900087</v>
      </c>
      <c r="N115" s="117">
        <f t="shared" si="19"/>
        <v>17.972404422015206</v>
      </c>
      <c r="O115" s="94">
        <f t="shared" si="13"/>
        <v>0.10336349749791872</v>
      </c>
      <c r="P115" s="240"/>
    </row>
    <row r="116" spans="1:16" s="119" customFormat="1" ht="15.75">
      <c r="A116" s="268">
        <v>25</v>
      </c>
      <c r="B116" s="176" t="s">
        <v>77</v>
      </c>
      <c r="C116" s="350">
        <v>1330.1</v>
      </c>
      <c r="D116" s="351"/>
      <c r="E116" s="351"/>
      <c r="F116" s="220">
        <f t="shared" si="14"/>
        <v>1330.1</v>
      </c>
      <c r="G116" s="18" t="s">
        <v>1340</v>
      </c>
      <c r="H116" s="97">
        <v>481</v>
      </c>
      <c r="I116" s="663">
        <f t="shared" si="16"/>
        <v>1.6825716621175723E-2</v>
      </c>
      <c r="J116" s="39">
        <f t="shared" si="18"/>
        <v>38.179738356608468</v>
      </c>
      <c r="K116" s="664">
        <f t="shared" si="15"/>
        <v>14.038689793724934</v>
      </c>
      <c r="L116" s="39">
        <v>15.035755481952686</v>
      </c>
      <c r="M116" s="39">
        <f>I116*376.38</f>
        <v>6.3328632218781182</v>
      </c>
      <c r="N116" s="117">
        <f t="shared" si="19"/>
        <v>7.719760267469427</v>
      </c>
      <c r="O116" s="94">
        <f t="shared" si="13"/>
        <v>5.532444692441487E-2</v>
      </c>
      <c r="P116" s="346"/>
    </row>
    <row r="117" spans="1:16" s="6" customFormat="1" ht="15.75">
      <c r="A117" s="268">
        <v>26</v>
      </c>
      <c r="B117" s="176" t="s">
        <v>78</v>
      </c>
      <c r="C117" s="157">
        <v>788.55</v>
      </c>
      <c r="D117" s="255">
        <v>32.1</v>
      </c>
      <c r="E117" s="255"/>
      <c r="F117" s="220">
        <f t="shared" si="14"/>
        <v>820.65</v>
      </c>
      <c r="G117" s="18" t="s">
        <v>1339</v>
      </c>
      <c r="H117" s="97">
        <v>345</v>
      </c>
      <c r="I117" s="663">
        <f t="shared" si="16"/>
        <v>1.2068341443462837E-2</v>
      </c>
      <c r="J117" s="39">
        <f t="shared" si="18"/>
        <v>27.384635619604829</v>
      </c>
      <c r="K117" s="664">
        <f t="shared" si="15"/>
        <v>10.069330517328696</v>
      </c>
      <c r="L117" s="39">
        <v>10.784481582689555</v>
      </c>
      <c r="M117" s="39">
        <f t="shared" si="17"/>
        <v>8.2173336888538451</v>
      </c>
      <c r="N117" s="117">
        <f t="shared" si="19"/>
        <v>10.016929766712838</v>
      </c>
      <c r="O117" s="94">
        <f t="shared" si="13"/>
        <v>6.8793982097699297E-2</v>
      </c>
      <c r="P117" s="240"/>
    </row>
    <row r="118" spans="1:16" s="119" customFormat="1" ht="15.75">
      <c r="A118" s="268">
        <v>27</v>
      </c>
      <c r="B118" s="176" t="s">
        <v>79</v>
      </c>
      <c r="C118" s="350">
        <v>1286.57</v>
      </c>
      <c r="D118" s="351">
        <v>132.1</v>
      </c>
      <c r="E118" s="351">
        <v>45.2</v>
      </c>
      <c r="F118" s="220">
        <f t="shared" si="14"/>
        <v>1463.87</v>
      </c>
      <c r="G118" s="18" t="s">
        <v>1340</v>
      </c>
      <c r="H118" s="97">
        <v>520</v>
      </c>
      <c r="I118" s="663">
        <f t="shared" si="16"/>
        <v>1.8189963914784568E-2</v>
      </c>
      <c r="J118" s="39">
        <f t="shared" si="18"/>
        <v>41.275392817955108</v>
      </c>
      <c r="K118" s="664">
        <f t="shared" si="15"/>
        <v>15.176961939162094</v>
      </c>
      <c r="L118" s="39">
        <v>16.254870791300199</v>
      </c>
      <c r="M118" s="39">
        <f>I118*376.38</f>
        <v>6.846338618246615</v>
      </c>
      <c r="N118" s="117">
        <f t="shared" si="19"/>
        <v>8.3456867756426245</v>
      </c>
      <c r="O118" s="94">
        <f t="shared" si="13"/>
        <v>5.4344691923916756E-2</v>
      </c>
      <c r="P118" s="346"/>
    </row>
    <row r="119" spans="1:16" s="6" customFormat="1" ht="15.75">
      <c r="A119" s="268">
        <v>28</v>
      </c>
      <c r="B119" s="176" t="s">
        <v>80</v>
      </c>
      <c r="C119" s="157">
        <v>498.78</v>
      </c>
      <c r="D119" s="255">
        <v>48.7</v>
      </c>
      <c r="E119" s="255">
        <v>47.7</v>
      </c>
      <c r="F119" s="220">
        <f t="shared" si="14"/>
        <v>595.18000000000006</v>
      </c>
      <c r="G119" s="18" t="s">
        <v>1339</v>
      </c>
      <c r="H119" s="97">
        <v>345</v>
      </c>
      <c r="I119" s="663">
        <f t="shared" si="16"/>
        <v>1.2068341443462837E-2</v>
      </c>
      <c r="J119" s="39">
        <f t="shared" si="18"/>
        <v>27.384635619604829</v>
      </c>
      <c r="K119" s="664">
        <f t="shared" si="15"/>
        <v>10.069330517328696</v>
      </c>
      <c r="L119" s="39">
        <v>10.784481582689555</v>
      </c>
      <c r="M119" s="39">
        <f t="shared" si="17"/>
        <v>8.2173336888538451</v>
      </c>
      <c r="N119" s="117">
        <f t="shared" si="19"/>
        <v>10.016929766712838</v>
      </c>
      <c r="O119" s="94">
        <f t="shared" si="13"/>
        <v>9.4854970611372894E-2</v>
      </c>
      <c r="P119" s="240"/>
    </row>
    <row r="120" spans="1:16" s="6" customFormat="1" ht="15.75">
      <c r="A120" s="275">
        <v>29</v>
      </c>
      <c r="B120" s="176" t="s">
        <v>81</v>
      </c>
      <c r="C120" s="157">
        <v>142</v>
      </c>
      <c r="D120" s="255"/>
      <c r="E120" s="255"/>
      <c r="F120" s="220">
        <f t="shared" si="14"/>
        <v>142</v>
      </c>
      <c r="G120" s="18" t="s">
        <v>1339</v>
      </c>
      <c r="H120" s="97">
        <v>219</v>
      </c>
      <c r="I120" s="663">
        <f t="shared" si="16"/>
        <v>7.6607732641111922E-3</v>
      </c>
      <c r="J120" s="39">
        <f t="shared" si="18"/>
        <v>17.383290436792631</v>
      </c>
      <c r="K120" s="664">
        <f t="shared" si="15"/>
        <v>6.3918358936086506</v>
      </c>
      <c r="L120" s="39">
        <v>6.8458013524898913</v>
      </c>
      <c r="M120" s="39">
        <f t="shared" si="17"/>
        <v>5.216220515533311</v>
      </c>
      <c r="N120" s="117">
        <f t="shared" si="19"/>
        <v>6.358572808435107</v>
      </c>
      <c r="O120" s="94">
        <f t="shared" si="13"/>
        <v>0.25237428308749638</v>
      </c>
      <c r="P120" s="240"/>
    </row>
    <row r="121" spans="1:16" s="6" customFormat="1" ht="15.75">
      <c r="A121" s="268">
        <v>30</v>
      </c>
      <c r="B121" s="176" t="s">
        <v>82</v>
      </c>
      <c r="C121" s="157">
        <v>537.64</v>
      </c>
      <c r="D121" s="255">
        <v>39.299999999999997</v>
      </c>
      <c r="E121" s="255"/>
      <c r="F121" s="220">
        <f t="shared" si="14"/>
        <v>576.93999999999994</v>
      </c>
      <c r="G121" s="18" t="s">
        <v>1339</v>
      </c>
      <c r="H121" s="97">
        <v>207</v>
      </c>
      <c r="I121" s="663">
        <f t="shared" si="16"/>
        <v>7.2410048660777023E-3</v>
      </c>
      <c r="J121" s="39">
        <f t="shared" si="18"/>
        <v>16.430781371762897</v>
      </c>
      <c r="K121" s="664">
        <f t="shared" si="15"/>
        <v>6.0415983103972177</v>
      </c>
      <c r="L121" s="39">
        <v>6.4706889496137334</v>
      </c>
      <c r="M121" s="39">
        <f t="shared" si="17"/>
        <v>4.930400213312307</v>
      </c>
      <c r="N121" s="117">
        <f t="shared" si="19"/>
        <v>6.0101578600277028</v>
      </c>
      <c r="O121" s="94">
        <f t="shared" si="13"/>
        <v>5.8712290437629842E-2</v>
      </c>
      <c r="P121" s="240"/>
    </row>
    <row r="122" spans="1:16" s="6" customFormat="1" ht="15.75">
      <c r="A122" s="268">
        <v>31</v>
      </c>
      <c r="B122" s="176" t="s">
        <v>83</v>
      </c>
      <c r="C122" s="157">
        <v>587.76</v>
      </c>
      <c r="D122" s="255"/>
      <c r="E122" s="255"/>
      <c r="F122" s="220">
        <f t="shared" si="14"/>
        <v>587.76</v>
      </c>
      <c r="G122" s="18" t="s">
        <v>1339</v>
      </c>
      <c r="H122" s="97">
        <v>210</v>
      </c>
      <c r="I122" s="663">
        <f t="shared" si="16"/>
        <v>7.3459469655860745E-3</v>
      </c>
      <c r="J122" s="39">
        <f t="shared" si="18"/>
        <v>16.66890863802033</v>
      </c>
      <c r="K122" s="664">
        <f t="shared" si="15"/>
        <v>6.1291577062000755</v>
      </c>
      <c r="L122" s="39">
        <v>6.5644670503327731</v>
      </c>
      <c r="M122" s="39">
        <f t="shared" si="17"/>
        <v>5.0018552888675583</v>
      </c>
      <c r="N122" s="117">
        <f t="shared" si="19"/>
        <v>6.0972615971295543</v>
      </c>
      <c r="O122" s="94">
        <f t="shared" si="13"/>
        <v>5.8466701856915652E-2</v>
      </c>
      <c r="P122" s="240"/>
    </row>
    <row r="123" spans="1:16" s="119" customFormat="1" ht="15.75">
      <c r="A123" s="268">
        <v>32</v>
      </c>
      <c r="B123" s="176" t="s">
        <v>84</v>
      </c>
      <c r="C123" s="350">
        <v>1869.7</v>
      </c>
      <c r="D123" s="351"/>
      <c r="E123" s="351">
        <v>22</v>
      </c>
      <c r="F123" s="220">
        <f t="shared" si="14"/>
        <v>1891.7</v>
      </c>
      <c r="G123" s="18" t="s">
        <v>1340</v>
      </c>
      <c r="H123" s="97">
        <v>460</v>
      </c>
      <c r="I123" s="663">
        <f t="shared" si="16"/>
        <v>1.6091121924617115E-2</v>
      </c>
      <c r="J123" s="39">
        <f t="shared" si="18"/>
        <v>36.512847492806436</v>
      </c>
      <c r="K123" s="664">
        <f t="shared" si="15"/>
        <v>13.425774023104928</v>
      </c>
      <c r="L123" s="39">
        <v>14.379308776919407</v>
      </c>
      <c r="M123" s="39">
        <f>I123*376.38</f>
        <v>6.0563764699873897</v>
      </c>
      <c r="N123" s="117">
        <f t="shared" si="19"/>
        <v>7.3827229169146289</v>
      </c>
      <c r="O123" s="94">
        <f t="shared" si="13"/>
        <v>3.7201621167636596E-2</v>
      </c>
      <c r="P123" s="346"/>
    </row>
    <row r="124" spans="1:16" s="6" customFormat="1" ht="15.75">
      <c r="A124" s="268">
        <v>33</v>
      </c>
      <c r="B124" s="176" t="s">
        <v>85</v>
      </c>
      <c r="C124" s="157">
        <v>262.7</v>
      </c>
      <c r="D124" s="255"/>
      <c r="E124" s="255"/>
      <c r="F124" s="220">
        <f t="shared" si="14"/>
        <v>262.7</v>
      </c>
      <c r="G124" s="18" t="s">
        <v>1339</v>
      </c>
      <c r="H124" s="97">
        <v>292</v>
      </c>
      <c r="I124" s="663">
        <f t="shared" si="16"/>
        <v>1.0214364352148257E-2</v>
      </c>
      <c r="J124" s="39">
        <f t="shared" si="18"/>
        <v>23.177720582390176</v>
      </c>
      <c r="K124" s="664">
        <f t="shared" si="15"/>
        <v>8.5224478581448686</v>
      </c>
      <c r="L124" s="39">
        <v>9.1277351366531896</v>
      </c>
      <c r="M124" s="39">
        <f t="shared" si="17"/>
        <v>6.9549606873777474</v>
      </c>
      <c r="N124" s="117">
        <f t="shared" si="19"/>
        <v>8.4780970779134748</v>
      </c>
      <c r="O124" s="94">
        <f t="shared" si="13"/>
        <v>0.18189137519819559</v>
      </c>
      <c r="P124" s="240"/>
    </row>
    <row r="125" spans="1:16" s="119" customFormat="1" ht="15.75">
      <c r="A125" s="268">
        <v>34</v>
      </c>
      <c r="B125" s="176" t="s">
        <v>86</v>
      </c>
      <c r="C125" s="350">
        <v>1857.4</v>
      </c>
      <c r="D125" s="351"/>
      <c r="E125" s="351"/>
      <c r="F125" s="220">
        <f t="shared" si="14"/>
        <v>1857.4</v>
      </c>
      <c r="G125" s="18" t="s">
        <v>1340</v>
      </c>
      <c r="H125" s="97">
        <v>983</v>
      </c>
      <c r="I125" s="663">
        <f t="shared" si="16"/>
        <v>3.4386027938910053E-2</v>
      </c>
      <c r="J125" s="39">
        <f t="shared" si="18"/>
        <v>78.026367577018974</v>
      </c>
      <c r="K125" s="664">
        <f t="shared" si="15"/>
        <v>28.690295358069879</v>
      </c>
      <c r="L125" s="39">
        <v>30.727957668938647</v>
      </c>
      <c r="M125" s="39">
        <f>I125*376.38</f>
        <v>12.942213195646966</v>
      </c>
      <c r="N125" s="117">
        <f t="shared" si="19"/>
        <v>15.776557885493652</v>
      </c>
      <c r="O125" s="94">
        <f t="shared" si="13"/>
        <v>8.0966315171570186E-2</v>
      </c>
      <c r="P125" s="346"/>
    </row>
    <row r="126" spans="1:16" s="119" customFormat="1" ht="15.75">
      <c r="A126" s="268">
        <v>35</v>
      </c>
      <c r="B126" s="176" t="s">
        <v>87</v>
      </c>
      <c r="C126" s="350">
        <v>2470.1999999999998</v>
      </c>
      <c r="D126" s="351"/>
      <c r="E126" s="351"/>
      <c r="F126" s="220">
        <f t="shared" si="14"/>
        <v>2470.1999999999998</v>
      </c>
      <c r="G126" s="18" t="s">
        <v>1340</v>
      </c>
      <c r="H126" s="97">
        <v>684</v>
      </c>
      <c r="I126" s="663">
        <f t="shared" si="16"/>
        <v>2.392679868790893E-2</v>
      </c>
      <c r="J126" s="39">
        <f t="shared" si="18"/>
        <v>54.293016706694793</v>
      </c>
      <c r="K126" s="664">
        <f t="shared" si="15"/>
        <v>19.963542243051677</v>
      </c>
      <c r="L126" s="39">
        <v>21.381406963941032</v>
      </c>
      <c r="M126" s="39">
        <f>I126*376.38</f>
        <v>9.0055684901551629</v>
      </c>
      <c r="N126" s="117">
        <f t="shared" si="19"/>
        <v>10.977787989499145</v>
      </c>
      <c r="O126" s="94">
        <f t="shared" si="13"/>
        <v>4.2362373250685238E-2</v>
      </c>
      <c r="P126" s="346"/>
    </row>
    <row r="127" spans="1:16" s="6" customFormat="1" ht="15.75">
      <c r="A127" s="275">
        <v>36</v>
      </c>
      <c r="B127" s="176" t="s">
        <v>88</v>
      </c>
      <c r="C127" s="157">
        <v>121.8</v>
      </c>
      <c r="D127" s="255"/>
      <c r="E127" s="255"/>
      <c r="F127" s="220">
        <f t="shared" si="14"/>
        <v>121.8</v>
      </c>
      <c r="G127" s="18" t="s">
        <v>1339</v>
      </c>
      <c r="H127" s="97">
        <v>166</v>
      </c>
      <c r="I127" s="663">
        <f t="shared" si="16"/>
        <v>5.8067961727966116E-3</v>
      </c>
      <c r="J127" s="39">
        <f t="shared" si="18"/>
        <v>13.176375399577976</v>
      </c>
      <c r="K127" s="664">
        <f t="shared" si="15"/>
        <v>4.8449532344248221</v>
      </c>
      <c r="L127" s="39">
        <v>5.1890549064535252</v>
      </c>
      <c r="M127" s="39">
        <f>I127*680.9</f>
        <v>3.9538475140572129</v>
      </c>
      <c r="N127" s="117">
        <f t="shared" si="19"/>
        <v>4.8197401196357426</v>
      </c>
      <c r="O127" s="94">
        <f t="shared" si="13"/>
        <v>0.22302324346891245</v>
      </c>
      <c r="P127" s="240"/>
    </row>
    <row r="128" spans="1:16" s="119" customFormat="1" ht="15.75">
      <c r="A128" s="268">
        <v>37</v>
      </c>
      <c r="B128" s="176" t="s">
        <v>89</v>
      </c>
      <c r="C128" s="350">
        <v>1831.3</v>
      </c>
      <c r="D128" s="351"/>
      <c r="E128" s="351"/>
      <c r="F128" s="220">
        <f t="shared" si="14"/>
        <v>1831.3</v>
      </c>
      <c r="G128" s="18" t="s">
        <v>1340</v>
      </c>
      <c r="H128" s="97">
        <v>512.29999999999995</v>
      </c>
      <c r="I128" s="663">
        <f t="shared" si="16"/>
        <v>1.7920612526046407E-2</v>
      </c>
      <c r="J128" s="39">
        <f t="shared" si="18"/>
        <v>40.664199501227685</v>
      </c>
      <c r="K128" s="664">
        <f t="shared" si="15"/>
        <v>14.952226156601421</v>
      </c>
      <c r="L128" s="39">
        <v>16.01417366612133</v>
      </c>
      <c r="M128" s="39">
        <f>I128*376.38</f>
        <v>6.7449601425533467</v>
      </c>
      <c r="N128" s="117">
        <f t="shared" si="19"/>
        <v>8.222106413772531</v>
      </c>
      <c r="O128" s="94">
        <f t="shared" si="13"/>
        <v>4.2797771783161569E-2</v>
      </c>
      <c r="P128" s="346"/>
    </row>
    <row r="129" spans="1:17" s="119" customFormat="1" ht="15.75">
      <c r="A129" s="268">
        <v>38</v>
      </c>
      <c r="B129" s="176" t="s">
        <v>90</v>
      </c>
      <c r="C129" s="350">
        <v>1844.3</v>
      </c>
      <c r="D129" s="351"/>
      <c r="E129" s="351"/>
      <c r="F129" s="220">
        <f t="shared" si="14"/>
        <v>1844.3</v>
      </c>
      <c r="G129" s="18" t="s">
        <v>1340</v>
      </c>
      <c r="H129" s="97">
        <v>512.29999999999995</v>
      </c>
      <c r="I129" s="663">
        <f t="shared" si="16"/>
        <v>1.7920612526046407E-2</v>
      </c>
      <c r="J129" s="39">
        <f t="shared" si="18"/>
        <v>40.664199501227685</v>
      </c>
      <c r="K129" s="664">
        <f t="shared" si="15"/>
        <v>14.952226156601421</v>
      </c>
      <c r="L129" s="39">
        <v>16.01417366612133</v>
      </c>
      <c r="M129" s="39">
        <f>I129*376.38</f>
        <v>6.7449601425533467</v>
      </c>
      <c r="N129" s="117">
        <f t="shared" si="19"/>
        <v>8.222106413772531</v>
      </c>
      <c r="O129" s="94">
        <f t="shared" si="13"/>
        <v>4.2496101212657254E-2</v>
      </c>
      <c r="P129" s="346"/>
    </row>
    <row r="130" spans="1:17" s="6" customFormat="1" ht="15.75">
      <c r="A130" s="268">
        <v>39</v>
      </c>
      <c r="B130" s="176" t="s">
        <v>91</v>
      </c>
      <c r="C130" s="157">
        <v>193.76</v>
      </c>
      <c r="D130" s="255"/>
      <c r="E130" s="255"/>
      <c r="F130" s="220">
        <f t="shared" si="14"/>
        <v>193.76</v>
      </c>
      <c r="G130" s="18" t="s">
        <v>1339</v>
      </c>
      <c r="H130" s="97">
        <v>132</v>
      </c>
      <c r="I130" s="663">
        <f t="shared" si="16"/>
        <v>4.6174523783683898E-3</v>
      </c>
      <c r="J130" s="39">
        <f t="shared" si="18"/>
        <v>10.477599715327065</v>
      </c>
      <c r="K130" s="664">
        <f t="shared" si="15"/>
        <v>3.8526134153257621</v>
      </c>
      <c r="L130" s="39">
        <v>4.1262364316377429</v>
      </c>
      <c r="M130" s="39">
        <f>I130*680.9</f>
        <v>3.1440233244310365</v>
      </c>
      <c r="N130" s="117">
        <f t="shared" si="19"/>
        <v>3.8325644324814339</v>
      </c>
      <c r="O130" s="94">
        <f t="shared" si="13"/>
        <v>0.11148055783815858</v>
      </c>
      <c r="P130" s="240"/>
    </row>
    <row r="131" spans="1:17" s="119" customFormat="1" ht="15.75">
      <c r="A131" s="268">
        <v>40</v>
      </c>
      <c r="B131" s="176" t="s">
        <v>92</v>
      </c>
      <c r="C131" s="350">
        <v>1841.4</v>
      </c>
      <c r="D131" s="351"/>
      <c r="E131" s="351"/>
      <c r="F131" s="220">
        <f t="shared" si="14"/>
        <v>1841.4</v>
      </c>
      <c r="G131" s="18" t="s">
        <v>1340</v>
      </c>
      <c r="H131" s="97">
        <v>502</v>
      </c>
      <c r="I131" s="663">
        <f t="shared" si="16"/>
        <v>1.756031131773433E-2</v>
      </c>
      <c r="J131" s="39">
        <f t="shared" si="18"/>
        <v>39.846629220410506</v>
      </c>
      <c r="K131" s="664">
        <f t="shared" si="15"/>
        <v>14.651605564344944</v>
      </c>
      <c r="L131" s="39">
        <v>15.692202186985963</v>
      </c>
      <c r="M131" s="39">
        <f>I131*376.38</f>
        <v>6.6093499737688468</v>
      </c>
      <c r="N131" s="117">
        <f t="shared" si="19"/>
        <v>8.0567976180242251</v>
      </c>
      <c r="O131" s="94">
        <f t="shared" si="13"/>
        <v>4.1707280843657143E-2</v>
      </c>
      <c r="P131" s="346"/>
    </row>
    <row r="132" spans="1:17" s="6" customFormat="1" ht="15.75">
      <c r="A132" s="268">
        <v>41</v>
      </c>
      <c r="B132" s="176" t="s">
        <v>93</v>
      </c>
      <c r="C132" s="157">
        <v>262.3</v>
      </c>
      <c r="D132" s="255"/>
      <c r="E132" s="255"/>
      <c r="F132" s="220">
        <f t="shared" si="14"/>
        <v>262.3</v>
      </c>
      <c r="G132" s="18" t="s">
        <v>1339</v>
      </c>
      <c r="H132" s="97">
        <v>247</v>
      </c>
      <c r="I132" s="663">
        <f t="shared" si="16"/>
        <v>8.6402328595226695E-3</v>
      </c>
      <c r="J132" s="39">
        <f t="shared" si="18"/>
        <v>19.605811588528677</v>
      </c>
      <c r="K132" s="664">
        <f t="shared" si="15"/>
        <v>7.209056921101995</v>
      </c>
      <c r="L132" s="39">
        <v>7.7210636258675951</v>
      </c>
      <c r="M132" s="39">
        <f>I132*680.9</f>
        <v>5.8831345540489854</v>
      </c>
      <c r="N132" s="117">
        <f t="shared" si="19"/>
        <v>7.171541021385714</v>
      </c>
      <c r="O132" s="94">
        <f t="shared" si="13"/>
        <v>0.15409480247635246</v>
      </c>
      <c r="P132" s="240"/>
    </row>
    <row r="133" spans="1:17" s="6" customFormat="1" ht="15.75">
      <c r="A133" s="268">
        <v>42</v>
      </c>
      <c r="B133" s="176" t="s">
        <v>94</v>
      </c>
      <c r="C133" s="157">
        <v>94.7</v>
      </c>
      <c r="D133" s="255"/>
      <c r="E133" s="255"/>
      <c r="F133" s="220">
        <f t="shared" si="14"/>
        <v>94.7</v>
      </c>
      <c r="G133" s="18" t="s">
        <v>1339</v>
      </c>
      <c r="H133" s="97">
        <v>78</v>
      </c>
      <c r="I133" s="663">
        <f t="shared" si="16"/>
        <v>2.7284945872176848E-3</v>
      </c>
      <c r="J133" s="39">
        <f t="shared" si="18"/>
        <v>6.1913089226932652</v>
      </c>
      <c r="K133" s="664">
        <f t="shared" si="15"/>
        <v>2.2765442908743139</v>
      </c>
      <c r="L133" s="39">
        <v>2.4382306186950298</v>
      </c>
      <c r="M133" s="39">
        <f>I133*680.9</f>
        <v>1.8578319644365215</v>
      </c>
      <c r="N133" s="117">
        <f t="shared" si="19"/>
        <v>2.26469716464812</v>
      </c>
      <c r="O133" s="94">
        <f t="shared" si="13"/>
        <v>0.13478263776873423</v>
      </c>
      <c r="P133" s="240"/>
      <c r="Q133" s="6">
        <f>0.16*I133/0.36</f>
        <v>1.2126642609856378E-3</v>
      </c>
    </row>
    <row r="134" spans="1:17" s="119" customFormat="1" ht="15.75">
      <c r="A134" s="275">
        <v>43</v>
      </c>
      <c r="B134" s="176" t="s">
        <v>95</v>
      </c>
      <c r="C134" s="350">
        <v>38</v>
      </c>
      <c r="D134" s="351"/>
      <c r="E134" s="351"/>
      <c r="F134" s="220">
        <f t="shared" si="14"/>
        <v>38</v>
      </c>
      <c r="G134" s="18" t="s">
        <v>1340</v>
      </c>
      <c r="H134" s="97">
        <v>76</v>
      </c>
      <c r="I134" s="663">
        <f t="shared" si="16"/>
        <v>2.6585331875454365E-3</v>
      </c>
      <c r="J134" s="39">
        <f t="shared" si="18"/>
        <v>6.0325574118549765</v>
      </c>
      <c r="K134" s="664">
        <f t="shared" si="15"/>
        <v>2.2181713603390749</v>
      </c>
      <c r="L134" s="39">
        <v>2.3757118848823371</v>
      </c>
      <c r="M134" s="39">
        <f>I134*376.38</f>
        <v>1.0006187211283513</v>
      </c>
      <c r="N134" s="117">
        <f t="shared" si="19"/>
        <v>1.2197542210554602</v>
      </c>
      <c r="O134" s="94">
        <f t="shared" si="13"/>
        <v>0.30597524679486154</v>
      </c>
      <c r="P134" s="346"/>
      <c r="Q134" s="119">
        <f>-0.17*I134/0.39</f>
        <v>-1.1588477996992929E-3</v>
      </c>
    </row>
    <row r="135" spans="1:17" s="119" customFormat="1" ht="15.75">
      <c r="A135" s="268">
        <v>44</v>
      </c>
      <c r="B135" s="176" t="s">
        <v>96</v>
      </c>
      <c r="C135" s="350">
        <v>1687.6</v>
      </c>
      <c r="D135" s="351">
        <v>124.8</v>
      </c>
      <c r="E135" s="351"/>
      <c r="F135" s="220">
        <f t="shared" si="14"/>
        <v>1812.3999999999999</v>
      </c>
      <c r="G135" s="18" t="s">
        <v>1340</v>
      </c>
      <c r="H135" s="97">
        <v>499</v>
      </c>
      <c r="I135" s="663">
        <f t="shared" si="16"/>
        <v>1.745536921822596E-2</v>
      </c>
      <c r="J135" s="39">
        <f t="shared" si="18"/>
        <v>39.608501954153077</v>
      </c>
      <c r="K135" s="664">
        <f t="shared" si="15"/>
        <v>14.564046168542088</v>
      </c>
      <c r="L135" s="39">
        <v>15.598424086266922</v>
      </c>
      <c r="M135" s="39">
        <f>I135*376.38</f>
        <v>6.5698518663558865</v>
      </c>
      <c r="N135" s="117">
        <f t="shared" si="19"/>
        <v>8.0086494250878264</v>
      </c>
      <c r="O135" s="94">
        <f t="shared" ref="O135:O198" si="20">(M135+L135+K135+J135)/F135</f>
        <v>4.2121399291170813E-2</v>
      </c>
      <c r="P135" s="346"/>
    </row>
    <row r="136" spans="1:17" s="6" customFormat="1" ht="15.75">
      <c r="A136" s="268">
        <v>45</v>
      </c>
      <c r="B136" s="176" t="s">
        <v>97</v>
      </c>
      <c r="C136" s="157">
        <v>155.80000000000001</v>
      </c>
      <c r="D136" s="255"/>
      <c r="E136" s="255"/>
      <c r="F136" s="220">
        <f t="shared" si="14"/>
        <v>155.80000000000001</v>
      </c>
      <c r="G136" s="18" t="s">
        <v>1339</v>
      </c>
      <c r="H136" s="97">
        <v>134</v>
      </c>
      <c r="I136" s="663">
        <f t="shared" si="16"/>
        <v>4.6874137780406385E-3</v>
      </c>
      <c r="J136" s="39">
        <f t="shared" si="18"/>
        <v>10.636351226165354</v>
      </c>
      <c r="K136" s="664">
        <f t="shared" si="15"/>
        <v>3.910986345861001</v>
      </c>
      <c r="L136" s="39">
        <v>4.188755165450436</v>
      </c>
      <c r="M136" s="39">
        <f>I136*680.9</f>
        <v>3.1916600414678706</v>
      </c>
      <c r="N136" s="117">
        <f t="shared" si="19"/>
        <v>3.8906335905493346</v>
      </c>
      <c r="O136" s="94">
        <f t="shared" si="20"/>
        <v>0.14074295750285404</v>
      </c>
      <c r="P136" s="240"/>
    </row>
    <row r="137" spans="1:17" s="6" customFormat="1" ht="15.75">
      <c r="A137" s="268">
        <v>46</v>
      </c>
      <c r="B137" s="176" t="s">
        <v>98</v>
      </c>
      <c r="C137" s="157">
        <v>378.1</v>
      </c>
      <c r="D137" s="255"/>
      <c r="E137" s="255"/>
      <c r="F137" s="220">
        <f t="shared" si="14"/>
        <v>378.1</v>
      </c>
      <c r="G137" s="18" t="s">
        <v>1339</v>
      </c>
      <c r="H137" s="97">
        <v>243</v>
      </c>
      <c r="I137" s="663">
        <f t="shared" si="16"/>
        <v>8.500310060178172E-3</v>
      </c>
      <c r="J137" s="39">
        <f t="shared" si="18"/>
        <v>19.288308566852095</v>
      </c>
      <c r="K137" s="664">
        <f t="shared" si="15"/>
        <v>7.0923110600315153</v>
      </c>
      <c r="L137" s="39">
        <v>7.5960261582422079</v>
      </c>
      <c r="M137" s="39">
        <f>I137*680.9</f>
        <v>5.7878611199753172</v>
      </c>
      <c r="N137" s="117">
        <f t="shared" si="19"/>
        <v>7.0554027052499118</v>
      </c>
      <c r="O137" s="94">
        <f t="shared" si="20"/>
        <v>0.10516928565221141</v>
      </c>
      <c r="P137" s="240"/>
    </row>
    <row r="138" spans="1:17" s="6" customFormat="1" ht="15.75">
      <c r="A138" s="268">
        <v>47</v>
      </c>
      <c r="B138" s="176" t="s">
        <v>99</v>
      </c>
      <c r="C138" s="157">
        <v>120.9</v>
      </c>
      <c r="D138" s="255"/>
      <c r="E138" s="255"/>
      <c r="F138" s="220">
        <f t="shared" si="14"/>
        <v>120.9</v>
      </c>
      <c r="G138" s="18" t="s">
        <v>1339</v>
      </c>
      <c r="H138" s="97">
        <v>133</v>
      </c>
      <c r="I138" s="663">
        <f t="shared" si="16"/>
        <v>4.6524330782045141E-3</v>
      </c>
      <c r="J138" s="39">
        <f t="shared" si="18"/>
        <v>10.55697547074621</v>
      </c>
      <c r="K138" s="664">
        <f t="shared" si="15"/>
        <v>3.8817998805933813</v>
      </c>
      <c r="L138" s="39">
        <v>4.1574957985440895</v>
      </c>
      <c r="M138" s="39">
        <f>I138*680.9</f>
        <v>3.1678416829494536</v>
      </c>
      <c r="N138" s="117">
        <f t="shared" si="19"/>
        <v>3.8615990115153842</v>
      </c>
      <c r="O138" s="94">
        <f t="shared" si="20"/>
        <v>0.18001747587124181</v>
      </c>
      <c r="P138" s="240"/>
    </row>
    <row r="139" spans="1:17" s="119" customFormat="1" ht="15.75">
      <c r="A139" s="268">
        <v>48</v>
      </c>
      <c r="B139" s="176" t="s">
        <v>100</v>
      </c>
      <c r="C139" s="350">
        <v>2458.6999999999998</v>
      </c>
      <c r="D139" s="351"/>
      <c r="E139" s="351">
        <v>90.3</v>
      </c>
      <c r="F139" s="220">
        <f t="shared" si="14"/>
        <v>2549</v>
      </c>
      <c r="G139" s="18" t="s">
        <v>1340</v>
      </c>
      <c r="H139" s="97">
        <v>758</v>
      </c>
      <c r="I139" s="663">
        <f t="shared" si="16"/>
        <v>2.6515370475782118E-2</v>
      </c>
      <c r="J139" s="39">
        <f t="shared" si="18"/>
        <v>60.166822607711481</v>
      </c>
      <c r="K139" s="664">
        <f t="shared" si="15"/>
        <v>22.123340672855512</v>
      </c>
      <c r="L139" s="39">
        <v>23.694600115010676</v>
      </c>
      <c r="M139" s="39">
        <f>I139*376.38</f>
        <v>9.9798551396748731</v>
      </c>
      <c r="N139" s="117">
        <f t="shared" si="19"/>
        <v>12.16544341526367</v>
      </c>
      <c r="O139" s="94">
        <f t="shared" si="20"/>
        <v>4.5494161841997859E-2</v>
      </c>
      <c r="P139" s="346"/>
    </row>
    <row r="140" spans="1:17" s="119" customFormat="1" ht="15.75">
      <c r="A140" s="268">
        <v>49</v>
      </c>
      <c r="B140" s="176" t="s">
        <v>101</v>
      </c>
      <c r="C140" s="350">
        <v>2593.29</v>
      </c>
      <c r="D140" s="351"/>
      <c r="E140" s="351"/>
      <c r="F140" s="220">
        <f t="shared" si="14"/>
        <v>2593.29</v>
      </c>
      <c r="G140" s="18" t="s">
        <v>1340</v>
      </c>
      <c r="H140" s="97">
        <v>758</v>
      </c>
      <c r="I140" s="663">
        <f t="shared" si="16"/>
        <v>2.6515370475782118E-2</v>
      </c>
      <c r="J140" s="39">
        <f t="shared" si="18"/>
        <v>60.166822607711481</v>
      </c>
      <c r="K140" s="664">
        <f t="shared" si="15"/>
        <v>22.123340672855512</v>
      </c>
      <c r="L140" s="39">
        <v>23.694600115010676</v>
      </c>
      <c r="M140" s="39">
        <f>I140*376.38</f>
        <v>9.9798551396748731</v>
      </c>
      <c r="N140" s="117">
        <f t="shared" si="19"/>
        <v>12.16544341526367</v>
      </c>
      <c r="O140" s="94">
        <f t="shared" si="20"/>
        <v>4.4717181084742756E-2</v>
      </c>
      <c r="P140" s="346"/>
    </row>
    <row r="141" spans="1:17" s="6" customFormat="1" ht="15.75">
      <c r="A141" s="275">
        <v>50</v>
      </c>
      <c r="B141" s="274" t="s">
        <v>102</v>
      </c>
      <c r="C141" s="157">
        <v>330.82</v>
      </c>
      <c r="D141" s="255">
        <v>55</v>
      </c>
      <c r="E141" s="255"/>
      <c r="F141" s="220">
        <f t="shared" si="14"/>
        <v>385.82</v>
      </c>
      <c r="G141" s="18" t="s">
        <v>1339</v>
      </c>
      <c r="H141" s="97">
        <v>180</v>
      </c>
      <c r="I141" s="663">
        <f t="shared" si="16"/>
        <v>6.2965259705023494E-3</v>
      </c>
      <c r="J141" s="39">
        <f t="shared" si="18"/>
        <v>14.287635975445996</v>
      </c>
      <c r="K141" s="664">
        <f t="shared" si="15"/>
        <v>5.2535637481714934</v>
      </c>
      <c r="L141" s="39">
        <v>5.6266860431423771</v>
      </c>
      <c r="M141" s="39">
        <f>I141*680.9</f>
        <v>4.2873045333150497</v>
      </c>
      <c r="N141" s="117">
        <f t="shared" si="19"/>
        <v>5.2262242261110456</v>
      </c>
      <c r="O141" s="94">
        <f t="shared" si="20"/>
        <v>7.6344384168977555E-2</v>
      </c>
      <c r="P141" s="240"/>
    </row>
    <row r="142" spans="1:17" s="119" customFormat="1" ht="15.75">
      <c r="A142" s="268">
        <v>51</v>
      </c>
      <c r="B142" s="176" t="s">
        <v>103</v>
      </c>
      <c r="C142" s="350">
        <v>1699.75</v>
      </c>
      <c r="D142" s="351"/>
      <c r="E142" s="351"/>
      <c r="F142" s="220">
        <f t="shared" si="14"/>
        <v>1699.75</v>
      </c>
      <c r="G142" s="18" t="s">
        <v>1340</v>
      </c>
      <c r="H142" s="97">
        <v>527</v>
      </c>
      <c r="I142" s="663">
        <f t="shared" si="16"/>
        <v>1.8434828813637436E-2</v>
      </c>
      <c r="J142" s="39">
        <f t="shared" si="18"/>
        <v>41.831023105889116</v>
      </c>
      <c r="K142" s="664">
        <f t="shared" si="15"/>
        <v>15.381267196035429</v>
      </c>
      <c r="L142" s="39">
        <v>16.473686359644624</v>
      </c>
      <c r="M142" s="39">
        <f>I142*376.38</f>
        <v>6.9385008688768579</v>
      </c>
      <c r="N142" s="117">
        <f t="shared" si="19"/>
        <v>8.4580325591608911</v>
      </c>
      <c r="O142" s="94">
        <f t="shared" si="20"/>
        <v>4.7433138714779249E-2</v>
      </c>
      <c r="P142" s="346"/>
    </row>
    <row r="143" spans="1:17" s="6" customFormat="1" ht="15.75">
      <c r="A143" s="268">
        <v>52</v>
      </c>
      <c r="B143" s="176" t="s">
        <v>104</v>
      </c>
      <c r="C143" s="157">
        <v>211.46</v>
      </c>
      <c r="D143" s="255"/>
      <c r="E143" s="255">
        <v>12.6</v>
      </c>
      <c r="F143" s="220">
        <f t="shared" si="14"/>
        <v>224.06</v>
      </c>
      <c r="G143" s="18" t="s">
        <v>1339</v>
      </c>
      <c r="H143" s="97">
        <v>125</v>
      </c>
      <c r="I143" s="663">
        <f t="shared" si="16"/>
        <v>4.3725874795155209E-3</v>
      </c>
      <c r="J143" s="39">
        <f t="shared" si="18"/>
        <v>9.921969427393055</v>
      </c>
      <c r="K143" s="664">
        <f t="shared" si="15"/>
        <v>3.6483081584524264</v>
      </c>
      <c r="L143" s="39">
        <v>3.9074208632933169</v>
      </c>
      <c r="M143" s="39">
        <f>I143*680.9</f>
        <v>2.9772948148021179</v>
      </c>
      <c r="N143" s="117">
        <f t="shared" si="19"/>
        <v>3.6293223792437819</v>
      </c>
      <c r="O143" s="94">
        <f t="shared" si="20"/>
        <v>9.1292480870931517E-2</v>
      </c>
      <c r="P143" s="240"/>
    </row>
    <row r="144" spans="1:17" s="6" customFormat="1" ht="15.75">
      <c r="A144" s="268">
        <v>53</v>
      </c>
      <c r="B144" s="176" t="s">
        <v>105</v>
      </c>
      <c r="C144" s="157">
        <v>138.9</v>
      </c>
      <c r="D144" s="255"/>
      <c r="E144" s="255"/>
      <c r="F144" s="220">
        <f t="shared" si="14"/>
        <v>138.9</v>
      </c>
      <c r="G144" s="18" t="s">
        <v>1339</v>
      </c>
      <c r="H144" s="97">
        <v>261</v>
      </c>
      <c r="I144" s="663">
        <f t="shared" si="16"/>
        <v>9.1299626572284073E-3</v>
      </c>
      <c r="J144" s="39">
        <f t="shared" si="18"/>
        <v>20.717072164396697</v>
      </c>
      <c r="K144" s="664">
        <f t="shared" si="15"/>
        <v>7.6176674348486664</v>
      </c>
      <c r="L144" s="39">
        <v>8.1586947625564452</v>
      </c>
      <c r="M144" s="39">
        <f>I144*680.9</f>
        <v>6.2165915733068227</v>
      </c>
      <c r="N144" s="117">
        <f t="shared" si="19"/>
        <v>7.5780251278610171</v>
      </c>
      <c r="O144" s="94">
        <f t="shared" si="20"/>
        <v>0.30748758772576407</v>
      </c>
      <c r="P144" s="240"/>
    </row>
    <row r="145" spans="1:16" s="119" customFormat="1" ht="15.75">
      <c r="A145" s="268">
        <v>54</v>
      </c>
      <c r="B145" s="176" t="s">
        <v>106</v>
      </c>
      <c r="C145" s="350">
        <v>8219.0300000000007</v>
      </c>
      <c r="D145" s="351">
        <v>69.3</v>
      </c>
      <c r="E145" s="351">
        <v>122.5</v>
      </c>
      <c r="F145" s="220">
        <f t="shared" si="14"/>
        <v>8410.83</v>
      </c>
      <c r="G145" s="18" t="s">
        <v>1340</v>
      </c>
      <c r="H145" s="97">
        <v>1580</v>
      </c>
      <c r="I145" s="663">
        <f t="shared" si="16"/>
        <v>5.5269505741076183E-2</v>
      </c>
      <c r="J145" s="39">
        <f t="shared" si="18"/>
        <v>125.4136935622482</v>
      </c>
      <c r="K145" s="664">
        <f t="shared" si="15"/>
        <v>46.114615122838664</v>
      </c>
      <c r="L145" s="39">
        <v>49.389799712027525</v>
      </c>
      <c r="M145" s="39">
        <f>I145*376.38</f>
        <v>20.802336570826252</v>
      </c>
      <c r="N145" s="117">
        <f t="shared" si="19"/>
        <v>25.358048279837202</v>
      </c>
      <c r="O145" s="94">
        <f t="shared" si="20"/>
        <v>2.8739190420914541E-2</v>
      </c>
      <c r="P145" s="346"/>
    </row>
    <row r="146" spans="1:16" s="119" customFormat="1" ht="15.75">
      <c r="A146" s="268">
        <v>55</v>
      </c>
      <c r="B146" s="176" t="s">
        <v>1347</v>
      </c>
      <c r="C146" s="350">
        <v>953.56</v>
      </c>
      <c r="D146" s="351"/>
      <c r="E146" s="351"/>
      <c r="F146" s="220">
        <f t="shared" ref="F146:F208" si="21">C146+D146+E146</f>
        <v>953.56</v>
      </c>
      <c r="G146" s="18" t="s">
        <v>1340</v>
      </c>
      <c r="H146" s="829">
        <v>300</v>
      </c>
      <c r="I146" s="663">
        <f t="shared" si="16"/>
        <v>1.049420995083725E-2</v>
      </c>
      <c r="J146" s="39">
        <f t="shared" si="18"/>
        <v>23.812726625743331</v>
      </c>
      <c r="K146" s="664">
        <f t="shared" ref="K146:K208" si="22">J146*0.3677</f>
        <v>8.7559395802858226</v>
      </c>
      <c r="L146" s="39">
        <v>9.3778100719039621</v>
      </c>
      <c r="M146" s="39">
        <f>I146*376.38</f>
        <v>3.9498107412961243</v>
      </c>
      <c r="N146" s="117">
        <f t="shared" si="19"/>
        <v>4.8148192936399763</v>
      </c>
      <c r="O146" s="94">
        <f t="shared" si="20"/>
        <v>4.8131514555171402E-2</v>
      </c>
      <c r="P146" s="346"/>
    </row>
    <row r="147" spans="1:16" s="119" customFormat="1" ht="14.25" customHeight="1">
      <c r="A147" s="268">
        <v>56</v>
      </c>
      <c r="B147" s="176" t="s">
        <v>1348</v>
      </c>
      <c r="C147" s="350">
        <v>1663</v>
      </c>
      <c r="D147" s="351"/>
      <c r="E147" s="351">
        <v>57.1</v>
      </c>
      <c r="F147" s="220">
        <f t="shared" si="21"/>
        <v>1720.1</v>
      </c>
      <c r="G147" s="18" t="s">
        <v>1340</v>
      </c>
      <c r="H147" s="829">
        <v>516</v>
      </c>
      <c r="I147" s="663">
        <f t="shared" si="16"/>
        <v>1.805004111544007E-2</v>
      </c>
      <c r="J147" s="39">
        <f t="shared" si="18"/>
        <v>40.957889796278529</v>
      </c>
      <c r="K147" s="664">
        <f t="shared" si="22"/>
        <v>15.060216078091615</v>
      </c>
      <c r="L147" s="39">
        <v>16.129833323674816</v>
      </c>
      <c r="M147" s="39">
        <f>I147*376.38</f>
        <v>6.7936744750293334</v>
      </c>
      <c r="N147" s="117">
        <f t="shared" si="19"/>
        <v>8.2814891850607584</v>
      </c>
      <c r="O147" s="94">
        <f t="shared" si="20"/>
        <v>4.5893618785578925E-2</v>
      </c>
      <c r="P147" s="346"/>
    </row>
    <row r="148" spans="1:16" s="6" customFormat="1" ht="15.75">
      <c r="A148" s="275">
        <v>57</v>
      </c>
      <c r="B148" s="176" t="s">
        <v>1350</v>
      </c>
      <c r="C148" s="157">
        <v>1033.02</v>
      </c>
      <c r="D148" s="255"/>
      <c r="E148" s="255"/>
      <c r="F148" s="220">
        <f t="shared" si="21"/>
        <v>1033.02</v>
      </c>
      <c r="G148" s="18" t="s">
        <v>1339</v>
      </c>
      <c r="H148" s="97">
        <v>105</v>
      </c>
      <c r="I148" s="663">
        <f t="shared" si="16"/>
        <v>3.6729734827930373E-3</v>
      </c>
      <c r="J148" s="39">
        <f t="shared" si="18"/>
        <v>8.334454319010165</v>
      </c>
      <c r="K148" s="664">
        <f t="shared" si="22"/>
        <v>3.0645788531000377</v>
      </c>
      <c r="L148" s="39">
        <v>3.2822335251663866</v>
      </c>
      <c r="M148" s="39">
        <f>I148*680.9</f>
        <v>2.5009276444337791</v>
      </c>
      <c r="N148" s="117">
        <f t="shared" si="19"/>
        <v>3.0486307985647771</v>
      </c>
      <c r="O148" s="94">
        <f t="shared" si="20"/>
        <v>1.6632973554926694E-2</v>
      </c>
      <c r="P148" s="240"/>
    </row>
    <row r="149" spans="1:16" s="6" customFormat="1" ht="15.75">
      <c r="A149" s="268">
        <v>58</v>
      </c>
      <c r="B149" s="176" t="s">
        <v>1351</v>
      </c>
      <c r="C149" s="157">
        <v>220.38</v>
      </c>
      <c r="D149" s="255"/>
      <c r="E149" s="255"/>
      <c r="F149" s="220">
        <f t="shared" si="21"/>
        <v>220.38</v>
      </c>
      <c r="G149" s="18" t="s">
        <v>1339</v>
      </c>
      <c r="H149" s="97">
        <v>59</v>
      </c>
      <c r="I149" s="663">
        <f t="shared" si="16"/>
        <v>2.0638612903313256E-3</v>
      </c>
      <c r="J149" s="39">
        <f t="shared" si="18"/>
        <v>4.6831695697295208</v>
      </c>
      <c r="K149" s="664">
        <f t="shared" si="22"/>
        <v>1.7220014507895449</v>
      </c>
      <c r="L149" s="39">
        <v>1.8443026474744459</v>
      </c>
      <c r="M149" s="39">
        <f>I149*680.9</f>
        <v>1.4052831525865994</v>
      </c>
      <c r="N149" s="117">
        <f t="shared" si="19"/>
        <v>1.7130401630030647</v>
      </c>
      <c r="O149" s="94">
        <f t="shared" si="20"/>
        <v>4.3809587170251893E-2</v>
      </c>
      <c r="P149" s="240"/>
    </row>
    <row r="150" spans="1:16" s="6" customFormat="1" ht="15.75">
      <c r="A150" s="268">
        <v>59</v>
      </c>
      <c r="B150" s="176" t="s">
        <v>107</v>
      </c>
      <c r="C150" s="157">
        <v>1928.15</v>
      </c>
      <c r="D150" s="255">
        <v>45.4</v>
      </c>
      <c r="E150" s="255"/>
      <c r="F150" s="220">
        <f t="shared" si="21"/>
        <v>1973.5500000000002</v>
      </c>
      <c r="G150" s="18" t="s">
        <v>1339</v>
      </c>
      <c r="H150" s="97">
        <v>1540</v>
      </c>
      <c r="I150" s="663">
        <f t="shared" si="16"/>
        <v>5.3870277747631215E-2</v>
      </c>
      <c r="J150" s="39">
        <f t="shared" si="18"/>
        <v>122.23866334548242</v>
      </c>
      <c r="K150" s="664">
        <f t="shared" si="22"/>
        <v>44.947156512133887</v>
      </c>
      <c r="L150" s="39">
        <v>48.139425035773669</v>
      </c>
      <c r="M150" s="39">
        <f>I150*680.9</f>
        <v>36.68027211836209</v>
      </c>
      <c r="N150" s="117">
        <f t="shared" si="19"/>
        <v>44.713251712283395</v>
      </c>
      <c r="O150" s="94">
        <f t="shared" si="20"/>
        <v>0.1276914783064792</v>
      </c>
      <c r="P150" s="240"/>
    </row>
    <row r="151" spans="1:16" s="119" customFormat="1" ht="15.75">
      <c r="A151" s="268">
        <v>60</v>
      </c>
      <c r="B151" s="176" t="s">
        <v>108</v>
      </c>
      <c r="C151" s="350">
        <v>1135.5999999999999</v>
      </c>
      <c r="D151" s="351">
        <v>154.9</v>
      </c>
      <c r="E151" s="351"/>
      <c r="F151" s="220">
        <f t="shared" si="21"/>
        <v>1290.5</v>
      </c>
      <c r="G151" s="18" t="s">
        <v>1340</v>
      </c>
      <c r="H151" s="97">
        <v>468</v>
      </c>
      <c r="I151" s="663">
        <f t="shared" si="16"/>
        <v>1.637096752330611E-2</v>
      </c>
      <c r="J151" s="39">
        <f t="shared" si="18"/>
        <v>37.147853536159595</v>
      </c>
      <c r="K151" s="664">
        <f t="shared" si="22"/>
        <v>13.659265745245884</v>
      </c>
      <c r="L151" s="39">
        <v>14.62938371217018</v>
      </c>
      <c r="M151" s="39">
        <f>I151*376.38</f>
        <v>6.1617047564219538</v>
      </c>
      <c r="N151" s="117">
        <f t="shared" si="19"/>
        <v>7.5111180980783621</v>
      </c>
      <c r="O151" s="94">
        <f t="shared" si="20"/>
        <v>5.5480982371172112E-2</v>
      </c>
      <c r="P151" s="346"/>
    </row>
    <row r="152" spans="1:16" s="6" customFormat="1" ht="15.75">
      <c r="A152" s="268">
        <v>61</v>
      </c>
      <c r="B152" s="176" t="s">
        <v>109</v>
      </c>
      <c r="C152" s="157">
        <v>194.37</v>
      </c>
      <c r="D152" s="255">
        <v>37.4</v>
      </c>
      <c r="E152" s="255"/>
      <c r="F152" s="220">
        <f t="shared" si="21"/>
        <v>231.77</v>
      </c>
      <c r="G152" s="18" t="s">
        <v>1339</v>
      </c>
      <c r="H152" s="97">
        <v>261</v>
      </c>
      <c r="I152" s="663">
        <f t="shared" si="16"/>
        <v>9.1299626572284073E-3</v>
      </c>
      <c r="J152" s="39">
        <f t="shared" si="18"/>
        <v>20.717072164396697</v>
      </c>
      <c r="K152" s="664">
        <f t="shared" si="22"/>
        <v>7.6176674348486664</v>
      </c>
      <c r="L152" s="39">
        <v>8.1586947625564452</v>
      </c>
      <c r="M152" s="39">
        <f>I152*680.9</f>
        <v>6.2165915733068227</v>
      </c>
      <c r="N152" s="117">
        <f t="shared" si="19"/>
        <v>7.5780251278610171</v>
      </c>
      <c r="O152" s="94">
        <f t="shared" si="20"/>
        <v>0.18427762840362699</v>
      </c>
      <c r="P152" s="240"/>
    </row>
    <row r="153" spans="1:16" s="119" customFormat="1" ht="15.75">
      <c r="A153" s="268">
        <v>62</v>
      </c>
      <c r="B153" s="176" t="s">
        <v>110</v>
      </c>
      <c r="C153" s="350">
        <v>1422.83</v>
      </c>
      <c r="D153" s="351"/>
      <c r="E153" s="351"/>
      <c r="F153" s="220">
        <f t="shared" si="21"/>
        <v>1422.83</v>
      </c>
      <c r="G153" s="18" t="s">
        <v>1340</v>
      </c>
      <c r="H153" s="97">
        <v>468</v>
      </c>
      <c r="I153" s="663">
        <f t="shared" si="16"/>
        <v>1.637096752330611E-2</v>
      </c>
      <c r="J153" s="39">
        <f t="shared" si="18"/>
        <v>37.147853536159595</v>
      </c>
      <c r="K153" s="664">
        <f t="shared" si="22"/>
        <v>13.659265745245884</v>
      </c>
      <c r="L153" s="39">
        <v>14.62938371217018</v>
      </c>
      <c r="M153" s="39">
        <f>I153*376.38</f>
        <v>6.1617047564219538</v>
      </c>
      <c r="N153" s="117">
        <f t="shared" si="19"/>
        <v>7.5111180980783621</v>
      </c>
      <c r="O153" s="94">
        <f t="shared" si="20"/>
        <v>5.0320985465584514E-2</v>
      </c>
      <c r="P153" s="346"/>
    </row>
    <row r="154" spans="1:16" s="6" customFormat="1" ht="15.75">
      <c r="A154" s="268">
        <v>63</v>
      </c>
      <c r="B154" s="176" t="s">
        <v>111</v>
      </c>
      <c r="C154" s="157">
        <v>377.6</v>
      </c>
      <c r="D154" s="255"/>
      <c r="E154" s="255"/>
      <c r="F154" s="220">
        <f t="shared" si="21"/>
        <v>377.6</v>
      </c>
      <c r="G154" s="18" t="s">
        <v>1339</v>
      </c>
      <c r="H154" s="97">
        <v>324</v>
      </c>
      <c r="I154" s="663">
        <f t="shared" si="16"/>
        <v>1.133374674690423E-2</v>
      </c>
      <c r="J154" s="39">
        <f t="shared" si="18"/>
        <v>25.717744755802798</v>
      </c>
      <c r="K154" s="664">
        <f t="shared" si="22"/>
        <v>9.4564147467086901</v>
      </c>
      <c r="L154" s="39">
        <v>10.128034877656278</v>
      </c>
      <c r="M154" s="39">
        <f>I154*680.9</f>
        <v>7.7171481599670901</v>
      </c>
      <c r="N154" s="117">
        <f t="shared" si="19"/>
        <v>9.4072036069998841</v>
      </c>
      <c r="O154" s="94">
        <f t="shared" si="20"/>
        <v>0.14041139443891645</v>
      </c>
      <c r="P154" s="240"/>
    </row>
    <row r="155" spans="1:16" s="119" customFormat="1" ht="15.75">
      <c r="A155" s="275">
        <v>64</v>
      </c>
      <c r="B155" s="176" t="s">
        <v>112</v>
      </c>
      <c r="C155" s="350">
        <v>1527.61</v>
      </c>
      <c r="D155" s="351">
        <v>324.89999999999998</v>
      </c>
      <c r="E155" s="351"/>
      <c r="F155" s="220">
        <f t="shared" si="21"/>
        <v>1852.5099999999998</v>
      </c>
      <c r="G155" s="18" t="s">
        <v>1340</v>
      </c>
      <c r="H155" s="855">
        <v>721</v>
      </c>
      <c r="I155" s="663">
        <f t="shared" si="16"/>
        <v>2.5221084581845524E-2</v>
      </c>
      <c r="J155" s="39">
        <f t="shared" si="18"/>
        <v>57.229919657203141</v>
      </c>
      <c r="K155" s="664">
        <f t="shared" si="22"/>
        <v>21.043441457953595</v>
      </c>
      <c r="L155" s="39">
        <v>22.538003539475852</v>
      </c>
      <c r="M155" s="39">
        <f>I155*376.38</f>
        <v>9.4927118149150189</v>
      </c>
      <c r="N155" s="117">
        <f t="shared" si="19"/>
        <v>11.571615702381409</v>
      </c>
      <c r="O155" s="94">
        <f t="shared" si="20"/>
        <v>5.9543039697247314E-2</v>
      </c>
      <c r="P155" s="346"/>
    </row>
    <row r="156" spans="1:16" s="6" customFormat="1" ht="15.75">
      <c r="A156" s="268">
        <v>65</v>
      </c>
      <c r="B156" s="176" t="s">
        <v>113</v>
      </c>
      <c r="C156" s="157">
        <v>2010.19</v>
      </c>
      <c r="D156" s="255"/>
      <c r="E156" s="255"/>
      <c r="F156" s="220">
        <f t="shared" si="21"/>
        <v>2010.19</v>
      </c>
      <c r="G156" s="18" t="s">
        <v>1339</v>
      </c>
      <c r="H156" s="97">
        <v>812</v>
      </c>
      <c r="I156" s="663">
        <f t="shared" ref="I156:I219" si="23">4/114348.77*H156</f>
        <v>2.8404328266932823E-2</v>
      </c>
      <c r="J156" s="39">
        <f t="shared" si="18"/>
        <v>64.453113400345273</v>
      </c>
      <c r="K156" s="664">
        <f t="shared" si="22"/>
        <v>23.699409797306959</v>
      </c>
      <c r="L156" s="39">
        <v>25.382605927953389</v>
      </c>
      <c r="M156" s="39">
        <f>I156*680.9</f>
        <v>19.340507116954559</v>
      </c>
      <c r="N156" s="117">
        <f t="shared" si="19"/>
        <v>23.576078175567609</v>
      </c>
      <c r="O156" s="94">
        <f t="shared" si="20"/>
        <v>6.610103335632958E-2</v>
      </c>
      <c r="P156" s="240"/>
    </row>
    <row r="157" spans="1:16" s="119" customFormat="1" ht="15.75">
      <c r="A157" s="268">
        <v>66</v>
      </c>
      <c r="B157" s="176" t="s">
        <v>114</v>
      </c>
      <c r="C157" s="350">
        <v>1464.32</v>
      </c>
      <c r="D157" s="351"/>
      <c r="E157" s="351"/>
      <c r="F157" s="220">
        <f t="shared" si="21"/>
        <v>1464.32</v>
      </c>
      <c r="G157" s="18" t="s">
        <v>1340</v>
      </c>
      <c r="H157" s="97">
        <v>523</v>
      </c>
      <c r="I157" s="663">
        <f t="shared" si="23"/>
        <v>1.8294906014292938E-2</v>
      </c>
      <c r="J157" s="39">
        <f t="shared" ref="J157:J220" si="24">I157*2269.13</f>
        <v>41.513520084212537</v>
      </c>
      <c r="K157" s="664">
        <f t="shared" si="22"/>
        <v>15.26452133496495</v>
      </c>
      <c r="L157" s="39">
        <v>16.348648892019238</v>
      </c>
      <c r="M157" s="39">
        <f>I157*376.38</f>
        <v>6.8858367256595763</v>
      </c>
      <c r="N157" s="117">
        <f t="shared" ref="N157:N220" si="25">M157*1.219</f>
        <v>8.3938349685790232</v>
      </c>
      <c r="O157" s="94">
        <f t="shared" si="20"/>
        <v>5.4641421982118875E-2</v>
      </c>
      <c r="P157" s="346"/>
    </row>
    <row r="158" spans="1:16" s="6" customFormat="1" ht="15.75">
      <c r="A158" s="268">
        <v>67</v>
      </c>
      <c r="B158" s="176" t="s">
        <v>115</v>
      </c>
      <c r="C158" s="157">
        <v>152.11000000000001</v>
      </c>
      <c r="D158" s="255"/>
      <c r="E158" s="255"/>
      <c r="F158" s="220">
        <f t="shared" si="21"/>
        <v>152.11000000000001</v>
      </c>
      <c r="G158" s="18" t="s">
        <v>1339</v>
      </c>
      <c r="H158" s="97">
        <v>205</v>
      </c>
      <c r="I158" s="663">
        <f t="shared" si="23"/>
        <v>7.1710434664054535E-3</v>
      </c>
      <c r="J158" s="39">
        <f t="shared" si="24"/>
        <v>16.272029860924608</v>
      </c>
      <c r="K158" s="664">
        <f t="shared" si="22"/>
        <v>5.9832253798619783</v>
      </c>
      <c r="L158" s="39">
        <v>6.4081702158010403</v>
      </c>
      <c r="M158" s="39">
        <f>I158*680.9</f>
        <v>4.8827634962754729</v>
      </c>
      <c r="N158" s="117">
        <f t="shared" si="25"/>
        <v>5.9520887019598021</v>
      </c>
      <c r="O158" s="94">
        <f t="shared" si="20"/>
        <v>0.22053901093197747</v>
      </c>
      <c r="P158" s="240"/>
    </row>
    <row r="159" spans="1:16" s="119" customFormat="1" ht="15.75">
      <c r="A159" s="268">
        <v>68</v>
      </c>
      <c r="B159" s="176" t="s">
        <v>116</v>
      </c>
      <c r="C159" s="350">
        <v>2553.5700000000002</v>
      </c>
      <c r="D159" s="351"/>
      <c r="E159" s="351"/>
      <c r="F159" s="220">
        <f t="shared" si="21"/>
        <v>2553.5700000000002</v>
      </c>
      <c r="G159" s="18" t="s">
        <v>1340</v>
      </c>
      <c r="H159" s="97">
        <v>719</v>
      </c>
      <c r="I159" s="663">
        <f t="shared" si="23"/>
        <v>2.5151123182173274E-2</v>
      </c>
      <c r="J159" s="39">
        <f t="shared" si="24"/>
        <v>57.07116814636484</v>
      </c>
      <c r="K159" s="664">
        <f t="shared" si="22"/>
        <v>20.985068527418353</v>
      </c>
      <c r="L159" s="39">
        <v>22.475484805663161</v>
      </c>
      <c r="M159" s="39">
        <f>I159*376.38</f>
        <v>9.4663797433063763</v>
      </c>
      <c r="N159" s="117">
        <f t="shared" si="25"/>
        <v>11.539516907090473</v>
      </c>
      <c r="O159" s="94">
        <f t="shared" si="20"/>
        <v>4.3076203598394688E-2</v>
      </c>
      <c r="P159" s="346"/>
    </row>
    <row r="160" spans="1:16" s="6" customFormat="1" ht="15.75">
      <c r="A160" s="268">
        <v>69</v>
      </c>
      <c r="B160" s="176" t="s">
        <v>117</v>
      </c>
      <c r="C160" s="157">
        <v>56.69</v>
      </c>
      <c r="D160" s="255">
        <v>45.3</v>
      </c>
      <c r="E160" s="255"/>
      <c r="F160" s="220">
        <f t="shared" si="21"/>
        <v>101.99</v>
      </c>
      <c r="G160" s="18" t="s">
        <v>1339</v>
      </c>
      <c r="H160" s="97">
        <v>112</v>
      </c>
      <c r="I160" s="663">
        <f t="shared" si="23"/>
        <v>3.9178383816459066E-3</v>
      </c>
      <c r="J160" s="39">
        <f t="shared" si="24"/>
        <v>8.8900846069441766</v>
      </c>
      <c r="K160" s="664">
        <f t="shared" si="22"/>
        <v>3.2688841099733739</v>
      </c>
      <c r="L160" s="39">
        <v>3.5010490935108121</v>
      </c>
      <c r="M160" s="39">
        <f t="shared" ref="M160:M167" si="26">I160*680.9</f>
        <v>2.6676561540626977</v>
      </c>
      <c r="N160" s="117">
        <f t="shared" si="25"/>
        <v>3.2518728518024287</v>
      </c>
      <c r="O160" s="94">
        <f t="shared" si="20"/>
        <v>0.17970069579852008</v>
      </c>
      <c r="P160" s="240"/>
    </row>
    <row r="161" spans="1:16" s="6" customFormat="1" ht="15.75">
      <c r="A161" s="268">
        <v>70</v>
      </c>
      <c r="B161" s="176" t="s">
        <v>118</v>
      </c>
      <c r="C161" s="157">
        <v>166.1</v>
      </c>
      <c r="D161" s="255"/>
      <c r="E161" s="255"/>
      <c r="F161" s="220">
        <f t="shared" si="21"/>
        <v>166.1</v>
      </c>
      <c r="G161" s="18" t="s">
        <v>1339</v>
      </c>
      <c r="H161" s="97">
        <v>105</v>
      </c>
      <c r="I161" s="663">
        <f t="shared" si="23"/>
        <v>3.6729734827930373E-3</v>
      </c>
      <c r="J161" s="39">
        <f t="shared" si="24"/>
        <v>8.334454319010165</v>
      </c>
      <c r="K161" s="664">
        <f t="shared" si="22"/>
        <v>3.0645788531000377</v>
      </c>
      <c r="L161" s="39">
        <v>3.2822335251663866</v>
      </c>
      <c r="M161" s="39">
        <f t="shared" si="26"/>
        <v>2.5009276444337791</v>
      </c>
      <c r="N161" s="117">
        <f t="shared" si="25"/>
        <v>3.0486307985647771</v>
      </c>
      <c r="O161" s="94">
        <f t="shared" si="20"/>
        <v>0.10344487863763017</v>
      </c>
      <c r="P161" s="240"/>
    </row>
    <row r="162" spans="1:16" s="6" customFormat="1" ht="15.75">
      <c r="A162" s="275">
        <v>71</v>
      </c>
      <c r="B162" s="176" t="s">
        <v>119</v>
      </c>
      <c r="C162" s="157">
        <v>315.39999999999998</v>
      </c>
      <c r="D162" s="255"/>
      <c r="E162" s="255"/>
      <c r="F162" s="220">
        <f t="shared" si="21"/>
        <v>315.39999999999998</v>
      </c>
      <c r="G162" s="18" t="s">
        <v>1339</v>
      </c>
      <c r="H162" s="97">
        <v>223</v>
      </c>
      <c r="I162" s="663">
        <f t="shared" si="23"/>
        <v>7.8006960634556888E-3</v>
      </c>
      <c r="J162" s="39">
        <f t="shared" si="24"/>
        <v>17.700793458469207</v>
      </c>
      <c r="K162" s="664">
        <f t="shared" si="22"/>
        <v>6.5085817546791276</v>
      </c>
      <c r="L162" s="39">
        <v>6.9708388201152776</v>
      </c>
      <c r="M162" s="39">
        <f t="shared" si="26"/>
        <v>5.3114939496069784</v>
      </c>
      <c r="N162" s="117">
        <f t="shared" si="25"/>
        <v>6.4747111245709075</v>
      </c>
      <c r="O162" s="94">
        <f t="shared" si="20"/>
        <v>0.11569977166414266</v>
      </c>
      <c r="P162" s="240"/>
    </row>
    <row r="163" spans="1:16" s="6" customFormat="1" ht="15.75">
      <c r="A163" s="268">
        <v>72</v>
      </c>
      <c r="B163" s="176" t="s">
        <v>120</v>
      </c>
      <c r="C163" s="157">
        <v>1364.91</v>
      </c>
      <c r="D163" s="255">
        <v>133</v>
      </c>
      <c r="E163" s="255"/>
      <c r="F163" s="220">
        <f t="shared" si="21"/>
        <v>1497.91</v>
      </c>
      <c r="G163" s="18" t="s">
        <v>1339</v>
      </c>
      <c r="H163" s="97">
        <v>526</v>
      </c>
      <c r="I163" s="663">
        <f t="shared" si="23"/>
        <v>1.8399848113801312E-2</v>
      </c>
      <c r="J163" s="39">
        <f t="shared" si="24"/>
        <v>41.751647350469973</v>
      </c>
      <c r="K163" s="664">
        <f t="shared" si="22"/>
        <v>15.35208073076781</v>
      </c>
      <c r="L163" s="39">
        <v>16.44242699273828</v>
      </c>
      <c r="M163" s="39">
        <f t="shared" si="26"/>
        <v>12.528456580687314</v>
      </c>
      <c r="N163" s="117">
        <f t="shared" si="25"/>
        <v>15.272188571857836</v>
      </c>
      <c r="O163" s="94">
        <f t="shared" si="20"/>
        <v>5.746313974448624E-2</v>
      </c>
      <c r="P163" s="240"/>
    </row>
    <row r="164" spans="1:16" s="6" customFormat="1" ht="15.75">
      <c r="A164" s="268">
        <v>73</v>
      </c>
      <c r="B164" s="176" t="s">
        <v>122</v>
      </c>
      <c r="C164" s="157">
        <v>165.93</v>
      </c>
      <c r="D164" s="255"/>
      <c r="E164" s="255"/>
      <c r="F164" s="220">
        <f t="shared" si="21"/>
        <v>165.93</v>
      </c>
      <c r="G164" s="18" t="s">
        <v>1339</v>
      </c>
      <c r="H164" s="97">
        <v>104</v>
      </c>
      <c r="I164" s="663">
        <f t="shared" si="23"/>
        <v>3.6379927829569133E-3</v>
      </c>
      <c r="J164" s="39">
        <f t="shared" si="24"/>
        <v>8.255078563591022</v>
      </c>
      <c r="K164" s="664">
        <f t="shared" si="22"/>
        <v>3.0353923878324189</v>
      </c>
      <c r="L164" s="39">
        <v>3.25097415826004</v>
      </c>
      <c r="M164" s="39">
        <f t="shared" si="26"/>
        <v>2.4771092859153621</v>
      </c>
      <c r="N164" s="117">
        <f t="shared" si="25"/>
        <v>3.0195962195308264</v>
      </c>
      <c r="O164" s="94">
        <f t="shared" si="20"/>
        <v>0.10256466218043055</v>
      </c>
      <c r="P164" s="240"/>
    </row>
    <row r="165" spans="1:16" s="6" customFormat="1" ht="15.75">
      <c r="A165" s="268">
        <v>74</v>
      </c>
      <c r="B165" s="176" t="s">
        <v>123</v>
      </c>
      <c r="C165" s="157">
        <v>783.19</v>
      </c>
      <c r="D165" s="255">
        <v>194.1</v>
      </c>
      <c r="E165" s="255"/>
      <c r="F165" s="220">
        <f t="shared" si="21"/>
        <v>977.29000000000008</v>
      </c>
      <c r="G165" s="18" t="s">
        <v>1339</v>
      </c>
      <c r="H165" s="855">
        <v>685</v>
      </c>
      <c r="I165" s="663">
        <f t="shared" si="23"/>
        <v>2.3961779387745054E-2</v>
      </c>
      <c r="J165" s="39">
        <f t="shared" si="24"/>
        <v>54.372392462113936</v>
      </c>
      <c r="K165" s="664">
        <f t="shared" si="22"/>
        <v>19.992728708319294</v>
      </c>
      <c r="L165" s="39">
        <v>21.412666330847376</v>
      </c>
      <c r="M165" s="39">
        <f t="shared" si="26"/>
        <v>16.315575585115607</v>
      </c>
      <c r="N165" s="117">
        <f t="shared" si="25"/>
        <v>19.888686638255926</v>
      </c>
      <c r="O165" s="94">
        <f t="shared" si="20"/>
        <v>0.11469815826049197</v>
      </c>
      <c r="P165" s="240"/>
    </row>
    <row r="166" spans="1:16" s="6" customFormat="1" ht="15.75">
      <c r="A166" s="268">
        <v>75</v>
      </c>
      <c r="B166" s="176" t="s">
        <v>124</v>
      </c>
      <c r="C166" s="157">
        <v>144.9</v>
      </c>
      <c r="D166" s="255"/>
      <c r="E166" s="255"/>
      <c r="F166" s="220">
        <f t="shared" si="21"/>
        <v>144.9</v>
      </c>
      <c r="G166" s="18" t="s">
        <v>1339</v>
      </c>
      <c r="H166" s="97">
        <v>140</v>
      </c>
      <c r="I166" s="663">
        <f t="shared" si="23"/>
        <v>4.897297977057383E-3</v>
      </c>
      <c r="J166" s="39">
        <f t="shared" si="24"/>
        <v>11.112605758680219</v>
      </c>
      <c r="K166" s="664">
        <f t="shared" si="22"/>
        <v>4.086105137466717</v>
      </c>
      <c r="L166" s="39">
        <v>4.3763113668885145</v>
      </c>
      <c r="M166" s="39">
        <f t="shared" si="26"/>
        <v>3.3345701925783722</v>
      </c>
      <c r="N166" s="117">
        <f t="shared" si="25"/>
        <v>4.0648410647530362</v>
      </c>
      <c r="O166" s="94">
        <f t="shared" si="20"/>
        <v>0.15810622812707953</v>
      </c>
      <c r="P166" s="240"/>
    </row>
    <row r="167" spans="1:16" s="6" customFormat="1" ht="15.75">
      <c r="A167" s="268">
        <v>76</v>
      </c>
      <c r="B167" s="176" t="s">
        <v>125</v>
      </c>
      <c r="C167" s="157">
        <v>213.4</v>
      </c>
      <c r="D167" s="255">
        <v>18.5</v>
      </c>
      <c r="E167" s="255"/>
      <c r="F167" s="220">
        <f t="shared" si="21"/>
        <v>231.9</v>
      </c>
      <c r="G167" s="18" t="s">
        <v>1339</v>
      </c>
      <c r="H167" s="97">
        <v>181</v>
      </c>
      <c r="I167" s="663">
        <f t="shared" si="23"/>
        <v>6.3315066703384737E-3</v>
      </c>
      <c r="J167" s="39">
        <f t="shared" si="24"/>
        <v>14.367011730865142</v>
      </c>
      <c r="K167" s="664">
        <f t="shared" si="22"/>
        <v>5.2827502134391136</v>
      </c>
      <c r="L167" s="39">
        <v>5.6579454100487236</v>
      </c>
      <c r="M167" s="39">
        <f t="shared" si="26"/>
        <v>4.3111228918334668</v>
      </c>
      <c r="N167" s="117">
        <f t="shared" si="25"/>
        <v>5.2552588051449964</v>
      </c>
      <c r="O167" s="94">
        <f t="shared" si="20"/>
        <v>0.1277224245199933</v>
      </c>
      <c r="P167" s="240"/>
    </row>
    <row r="168" spans="1:16" s="119" customFormat="1" ht="15.75">
      <c r="A168" s="268">
        <v>77</v>
      </c>
      <c r="B168" s="274" t="s">
        <v>126</v>
      </c>
      <c r="C168" s="350">
        <v>3146.6</v>
      </c>
      <c r="D168" s="351"/>
      <c r="E168" s="351"/>
      <c r="F168" s="220">
        <f t="shared" si="21"/>
        <v>3146.6</v>
      </c>
      <c r="G168" s="18" t="s">
        <v>1340</v>
      </c>
      <c r="H168" s="97">
        <v>547</v>
      </c>
      <c r="I168" s="663">
        <f t="shared" si="23"/>
        <v>1.913444281035992E-2</v>
      </c>
      <c r="J168" s="39">
        <f t="shared" si="24"/>
        <v>43.418538214272004</v>
      </c>
      <c r="K168" s="664">
        <f t="shared" si="22"/>
        <v>15.964996501387818</v>
      </c>
      <c r="L168" s="39">
        <v>17.098873697771555</v>
      </c>
      <c r="M168" s="39">
        <f>I168*376.38</f>
        <v>7.2018215849632661</v>
      </c>
      <c r="N168" s="117">
        <f t="shared" si="25"/>
        <v>8.7790205120702218</v>
      </c>
      <c r="O168" s="94">
        <f t="shared" si="20"/>
        <v>2.6595128074237157E-2</v>
      </c>
      <c r="P168" s="346"/>
    </row>
    <row r="169" spans="1:16" s="6" customFormat="1" ht="15.75">
      <c r="A169" s="275">
        <v>78</v>
      </c>
      <c r="B169" s="176" t="s">
        <v>127</v>
      </c>
      <c r="C169" s="157">
        <v>848.35</v>
      </c>
      <c r="D169" s="255"/>
      <c r="E169" s="255"/>
      <c r="F169" s="220">
        <f t="shared" si="21"/>
        <v>848.35</v>
      </c>
      <c r="G169" s="18" t="s">
        <v>1339</v>
      </c>
      <c r="H169" s="97">
        <v>374</v>
      </c>
      <c r="I169" s="663">
        <f t="shared" si="23"/>
        <v>1.3082781738710438E-2</v>
      </c>
      <c r="J169" s="39">
        <f t="shared" si="24"/>
        <v>29.686532526760018</v>
      </c>
      <c r="K169" s="664">
        <f t="shared" si="22"/>
        <v>10.91573801008966</v>
      </c>
      <c r="L169" s="39">
        <v>11.691003222973606</v>
      </c>
      <c r="M169" s="39">
        <f t="shared" ref="M169:M188" si="27">I169*680.9</f>
        <v>8.9080660858879366</v>
      </c>
      <c r="N169" s="117">
        <f t="shared" si="25"/>
        <v>10.858932558697395</v>
      </c>
      <c r="O169" s="94">
        <f t="shared" si="20"/>
        <v>7.2141615896400335E-2</v>
      </c>
      <c r="P169" s="240"/>
    </row>
    <row r="170" spans="1:16" s="6" customFormat="1" ht="15.75">
      <c r="A170" s="268">
        <v>79</v>
      </c>
      <c r="B170" s="176" t="s">
        <v>128</v>
      </c>
      <c r="C170" s="157">
        <v>885.4</v>
      </c>
      <c r="D170" s="255"/>
      <c r="E170" s="255"/>
      <c r="F170" s="220">
        <f t="shared" si="21"/>
        <v>885.4</v>
      </c>
      <c r="G170" s="18" t="s">
        <v>1339</v>
      </c>
      <c r="H170" s="97">
        <v>397</v>
      </c>
      <c r="I170" s="663">
        <f t="shared" si="23"/>
        <v>1.3887337834941293E-2</v>
      </c>
      <c r="J170" s="39">
        <f t="shared" si="24"/>
        <v>31.512174901400336</v>
      </c>
      <c r="K170" s="664">
        <f t="shared" si="22"/>
        <v>11.587026711244905</v>
      </c>
      <c r="L170" s="39">
        <v>12.409968661819576</v>
      </c>
      <c r="M170" s="39">
        <f t="shared" si="27"/>
        <v>9.4558883318115257</v>
      </c>
      <c r="N170" s="117">
        <f t="shared" si="25"/>
        <v>11.526727876478251</v>
      </c>
      <c r="O170" s="94">
        <f t="shared" si="20"/>
        <v>7.3373682636408796E-2</v>
      </c>
      <c r="P170" s="240"/>
    </row>
    <row r="171" spans="1:16" s="6" customFormat="1" ht="15.75">
      <c r="A171" s="268">
        <v>80</v>
      </c>
      <c r="B171" s="176" t="s">
        <v>129</v>
      </c>
      <c r="C171" s="157">
        <v>877.79</v>
      </c>
      <c r="D171" s="255"/>
      <c r="E171" s="255"/>
      <c r="F171" s="220">
        <f t="shared" si="21"/>
        <v>877.79</v>
      </c>
      <c r="G171" s="18" t="s">
        <v>1339</v>
      </c>
      <c r="H171" s="97">
        <v>432</v>
      </c>
      <c r="I171" s="663">
        <f t="shared" si="23"/>
        <v>1.511166232920564E-2</v>
      </c>
      <c r="J171" s="39">
        <f t="shared" si="24"/>
        <v>34.290326341070397</v>
      </c>
      <c r="K171" s="664">
        <f t="shared" si="22"/>
        <v>12.608552995611586</v>
      </c>
      <c r="L171" s="39">
        <v>13.504046503541703</v>
      </c>
      <c r="M171" s="39">
        <f t="shared" si="27"/>
        <v>10.28953087995612</v>
      </c>
      <c r="N171" s="117">
        <f t="shared" si="25"/>
        <v>12.542938142666511</v>
      </c>
      <c r="O171" s="94">
        <f t="shared" si="20"/>
        <v>8.0534588819854189E-2</v>
      </c>
      <c r="P171" s="240"/>
    </row>
    <row r="172" spans="1:16" s="6" customFormat="1" ht="15.75">
      <c r="A172" s="268">
        <v>81</v>
      </c>
      <c r="B172" s="176" t="s">
        <v>130</v>
      </c>
      <c r="C172" s="157">
        <v>917.6</v>
      </c>
      <c r="D172" s="255"/>
      <c r="E172" s="255">
        <v>32.299999999999997</v>
      </c>
      <c r="F172" s="220">
        <f t="shared" si="21"/>
        <v>949.9</v>
      </c>
      <c r="G172" s="18" t="s">
        <v>1339</v>
      </c>
      <c r="H172" s="97">
        <v>529</v>
      </c>
      <c r="I172" s="663">
        <f t="shared" si="23"/>
        <v>1.8504790213309683E-2</v>
      </c>
      <c r="J172" s="39">
        <f t="shared" si="24"/>
        <v>41.989774616727402</v>
      </c>
      <c r="K172" s="664">
        <f t="shared" si="22"/>
        <v>15.439640126570668</v>
      </c>
      <c r="L172" s="39">
        <v>16.536205093457319</v>
      </c>
      <c r="M172" s="39">
        <f t="shared" si="27"/>
        <v>12.599911656242563</v>
      </c>
      <c r="N172" s="117">
        <f t="shared" si="25"/>
        <v>15.359292308959686</v>
      </c>
      <c r="O172" s="94">
        <f t="shared" si="20"/>
        <v>9.1131204856298512E-2</v>
      </c>
      <c r="P172" s="240"/>
    </row>
    <row r="173" spans="1:16" s="6" customFormat="1" ht="15.75">
      <c r="A173" s="268">
        <v>82</v>
      </c>
      <c r="B173" s="176" t="s">
        <v>131</v>
      </c>
      <c r="C173" s="157">
        <v>1018.2</v>
      </c>
      <c r="D173" s="255"/>
      <c r="E173" s="255">
        <v>37.799999999999997</v>
      </c>
      <c r="F173" s="220">
        <f t="shared" si="21"/>
        <v>1056</v>
      </c>
      <c r="G173" s="18" t="s">
        <v>1339</v>
      </c>
      <c r="H173" s="97">
        <v>355</v>
      </c>
      <c r="I173" s="663">
        <f t="shared" si="23"/>
        <v>1.2418148441824079E-2</v>
      </c>
      <c r="J173" s="39">
        <f t="shared" si="24"/>
        <v>28.178393173796273</v>
      </c>
      <c r="K173" s="664">
        <f t="shared" si="22"/>
        <v>10.361195170004891</v>
      </c>
      <c r="L173" s="39">
        <v>11.09707525175302</v>
      </c>
      <c r="M173" s="39">
        <f t="shared" si="27"/>
        <v>8.4555172740380158</v>
      </c>
      <c r="N173" s="117">
        <f t="shared" si="25"/>
        <v>10.307275557052343</v>
      </c>
      <c r="O173" s="94">
        <f t="shared" si="20"/>
        <v>5.5011534914386553E-2</v>
      </c>
      <c r="P173" s="240"/>
    </row>
    <row r="174" spans="1:16" s="6" customFormat="1" ht="15.75">
      <c r="A174" s="268">
        <v>83</v>
      </c>
      <c r="B174" s="176" t="s">
        <v>132</v>
      </c>
      <c r="C174" s="157">
        <v>837.9</v>
      </c>
      <c r="D174" s="255">
        <v>160.4</v>
      </c>
      <c r="E174" s="255"/>
      <c r="F174" s="220">
        <f t="shared" si="21"/>
        <v>998.3</v>
      </c>
      <c r="G174" s="18" t="s">
        <v>1339</v>
      </c>
      <c r="H174" s="97">
        <v>830</v>
      </c>
      <c r="I174" s="663">
        <f t="shared" si="23"/>
        <v>2.9033980863983056E-2</v>
      </c>
      <c r="J174" s="39">
        <f t="shared" si="24"/>
        <v>65.881876997889876</v>
      </c>
      <c r="K174" s="664">
        <f t="shared" si="22"/>
        <v>24.224766172124109</v>
      </c>
      <c r="L174" s="39">
        <v>25.945274532267625</v>
      </c>
      <c r="M174" s="39">
        <f t="shared" si="27"/>
        <v>19.769237570286062</v>
      </c>
      <c r="N174" s="117">
        <f t="shared" si="25"/>
        <v>24.098700598178713</v>
      </c>
      <c r="O174" s="94">
        <f t="shared" si="20"/>
        <v>0.13605244442809544</v>
      </c>
      <c r="P174" s="240"/>
    </row>
    <row r="175" spans="1:16" s="6" customFormat="1" ht="15.75">
      <c r="A175" s="268">
        <v>84</v>
      </c>
      <c r="B175" s="176" t="s">
        <v>133</v>
      </c>
      <c r="C175" s="157">
        <v>304</v>
      </c>
      <c r="D175" s="255"/>
      <c r="E175" s="255"/>
      <c r="F175" s="220">
        <f t="shared" si="21"/>
        <v>304</v>
      </c>
      <c r="G175" s="18" t="s">
        <v>1339</v>
      </c>
      <c r="H175" s="97">
        <v>240</v>
      </c>
      <c r="I175" s="663">
        <f t="shared" si="23"/>
        <v>8.3953679606697997E-3</v>
      </c>
      <c r="J175" s="39">
        <f t="shared" si="24"/>
        <v>19.050181300594662</v>
      </c>
      <c r="K175" s="664">
        <f t="shared" si="22"/>
        <v>7.0047516642286576</v>
      </c>
      <c r="L175" s="39">
        <v>7.5022480575231691</v>
      </c>
      <c r="M175" s="39">
        <f t="shared" si="27"/>
        <v>5.7164060444200668</v>
      </c>
      <c r="N175" s="117">
        <f t="shared" si="25"/>
        <v>6.968298968148062</v>
      </c>
      <c r="O175" s="94">
        <f t="shared" si="20"/>
        <v>0.12918943114067946</v>
      </c>
      <c r="P175" s="240"/>
    </row>
    <row r="176" spans="1:16" s="6" customFormat="1" ht="15.75">
      <c r="A176" s="275">
        <v>85</v>
      </c>
      <c r="B176" s="176" t="s">
        <v>134</v>
      </c>
      <c r="C176" s="157">
        <v>1272.1600000000001</v>
      </c>
      <c r="D176" s="255">
        <v>51.6</v>
      </c>
      <c r="E176" s="255">
        <v>23.7</v>
      </c>
      <c r="F176" s="220">
        <f t="shared" si="21"/>
        <v>1347.46</v>
      </c>
      <c r="G176" s="18" t="s">
        <v>1339</v>
      </c>
      <c r="H176" s="97">
        <v>421</v>
      </c>
      <c r="I176" s="663">
        <f t="shared" si="23"/>
        <v>1.4726874631008274E-2</v>
      </c>
      <c r="J176" s="39">
        <f t="shared" si="24"/>
        <v>33.41719303145981</v>
      </c>
      <c r="K176" s="664">
        <f t="shared" si="22"/>
        <v>12.287501877667774</v>
      </c>
      <c r="L176" s="39">
        <v>13.160193467571892</v>
      </c>
      <c r="M176" s="39">
        <f t="shared" si="27"/>
        <v>10.027528936253534</v>
      </c>
      <c r="N176" s="117">
        <f t="shared" si="25"/>
        <v>12.223557773293058</v>
      </c>
      <c r="O176" s="94">
        <f t="shared" si="20"/>
        <v>5.1127615894314485E-2</v>
      </c>
      <c r="P176" s="240"/>
    </row>
    <row r="177" spans="1:16" s="6" customFormat="1" ht="15.75">
      <c r="A177" s="268">
        <v>86</v>
      </c>
      <c r="B177" s="176" t="s">
        <v>135</v>
      </c>
      <c r="C177" s="157">
        <v>930.9</v>
      </c>
      <c r="D177" s="255"/>
      <c r="E177" s="255"/>
      <c r="F177" s="220">
        <f t="shared" si="21"/>
        <v>930.9</v>
      </c>
      <c r="G177" s="18" t="s">
        <v>1339</v>
      </c>
      <c r="H177" s="97">
        <v>417</v>
      </c>
      <c r="I177" s="663">
        <f t="shared" si="23"/>
        <v>1.4586951831663777E-2</v>
      </c>
      <c r="J177" s="39">
        <f t="shared" si="24"/>
        <v>33.099690009783231</v>
      </c>
      <c r="K177" s="664">
        <f t="shared" si="22"/>
        <v>12.170756016597295</v>
      </c>
      <c r="L177" s="39">
        <v>13.035155999946506</v>
      </c>
      <c r="M177" s="39">
        <f t="shared" si="27"/>
        <v>9.9322555021798653</v>
      </c>
      <c r="N177" s="117">
        <f t="shared" si="25"/>
        <v>12.107419457157256</v>
      </c>
      <c r="O177" s="94">
        <f t="shared" si="20"/>
        <v>7.330310186755494E-2</v>
      </c>
      <c r="P177" s="240"/>
    </row>
    <row r="178" spans="1:16" s="6" customFormat="1" ht="15.75">
      <c r="A178" s="268">
        <v>87</v>
      </c>
      <c r="B178" s="176" t="s">
        <v>136</v>
      </c>
      <c r="C178" s="157">
        <v>791.4</v>
      </c>
      <c r="D178" s="255"/>
      <c r="E178" s="255"/>
      <c r="F178" s="220">
        <f t="shared" si="21"/>
        <v>791.4</v>
      </c>
      <c r="G178" s="18" t="s">
        <v>1339</v>
      </c>
      <c r="H178" s="97">
        <v>254</v>
      </c>
      <c r="I178" s="663">
        <f t="shared" si="23"/>
        <v>8.8850977583755375E-3</v>
      </c>
      <c r="J178" s="39">
        <f t="shared" si="24"/>
        <v>20.161441876462685</v>
      </c>
      <c r="K178" s="664">
        <f t="shared" si="22"/>
        <v>7.4133621779753298</v>
      </c>
      <c r="L178" s="39">
        <v>7.9398791942120202</v>
      </c>
      <c r="M178" s="39">
        <f t="shared" si="27"/>
        <v>6.0498630636779032</v>
      </c>
      <c r="N178" s="117">
        <f t="shared" si="25"/>
        <v>7.3747830746233642</v>
      </c>
      <c r="O178" s="94">
        <f t="shared" si="20"/>
        <v>5.2520275855860415E-2</v>
      </c>
      <c r="P178" s="240"/>
    </row>
    <row r="179" spans="1:16" s="6" customFormat="1" ht="15.75">
      <c r="A179" s="268">
        <v>88</v>
      </c>
      <c r="B179" s="176" t="s">
        <v>137</v>
      </c>
      <c r="C179" s="157">
        <v>574.42999999999995</v>
      </c>
      <c r="D179" s="255"/>
      <c r="E179" s="255"/>
      <c r="F179" s="220">
        <f t="shared" si="21"/>
        <v>574.42999999999995</v>
      </c>
      <c r="G179" s="18" t="s">
        <v>1339</v>
      </c>
      <c r="H179" s="97">
        <v>370</v>
      </c>
      <c r="I179" s="663">
        <f t="shared" si="23"/>
        <v>1.2942858939365941E-2</v>
      </c>
      <c r="J179" s="39">
        <f t="shared" si="24"/>
        <v>29.369029505083439</v>
      </c>
      <c r="K179" s="664">
        <f t="shared" si="22"/>
        <v>10.798992149019181</v>
      </c>
      <c r="L179" s="39">
        <v>11.56596575534822</v>
      </c>
      <c r="M179" s="39">
        <f t="shared" si="27"/>
        <v>8.8127926518142683</v>
      </c>
      <c r="N179" s="117">
        <f t="shared" si="25"/>
        <v>10.742794242561594</v>
      </c>
      <c r="O179" s="94">
        <f t="shared" si="20"/>
        <v>0.10540323461738613</v>
      </c>
      <c r="P179" s="240"/>
    </row>
    <row r="180" spans="1:16" s="6" customFormat="1" ht="15.75">
      <c r="A180" s="268">
        <v>89</v>
      </c>
      <c r="B180" s="176" t="s">
        <v>138</v>
      </c>
      <c r="C180" s="157">
        <v>326.89999999999998</v>
      </c>
      <c r="D180" s="255"/>
      <c r="E180" s="255"/>
      <c r="F180" s="220">
        <f t="shared" si="21"/>
        <v>326.89999999999998</v>
      </c>
      <c r="G180" s="18" t="s">
        <v>1339</v>
      </c>
      <c r="H180" s="97">
        <v>236</v>
      </c>
      <c r="I180" s="663">
        <f t="shared" si="23"/>
        <v>8.2554451613253022E-3</v>
      </c>
      <c r="J180" s="39">
        <f t="shared" si="24"/>
        <v>18.732678278918083</v>
      </c>
      <c r="K180" s="664">
        <f t="shared" si="22"/>
        <v>6.8880058031581797</v>
      </c>
      <c r="L180" s="39">
        <v>7.3772105898977838</v>
      </c>
      <c r="M180" s="39">
        <f t="shared" si="27"/>
        <v>5.6211326103463977</v>
      </c>
      <c r="N180" s="117">
        <f t="shared" si="25"/>
        <v>6.8521606520122589</v>
      </c>
      <c r="O180" s="94">
        <f t="shared" si="20"/>
        <v>0.11813712842557494</v>
      </c>
      <c r="P180" s="240"/>
    </row>
    <row r="181" spans="1:16" s="6" customFormat="1" ht="15.75">
      <c r="A181" s="268">
        <v>90</v>
      </c>
      <c r="B181" s="176" t="s">
        <v>139</v>
      </c>
      <c r="C181" s="157">
        <v>323.60000000000002</v>
      </c>
      <c r="D181" s="255"/>
      <c r="E181" s="255"/>
      <c r="F181" s="220">
        <f t="shared" si="21"/>
        <v>323.60000000000002</v>
      </c>
      <c r="G181" s="18" t="s">
        <v>1339</v>
      </c>
      <c r="H181" s="97">
        <v>271</v>
      </c>
      <c r="I181" s="663">
        <f t="shared" si="23"/>
        <v>9.4797696555896493E-3</v>
      </c>
      <c r="J181" s="39">
        <f t="shared" si="24"/>
        <v>21.510829718588141</v>
      </c>
      <c r="K181" s="664">
        <f t="shared" si="22"/>
        <v>7.9095320875248598</v>
      </c>
      <c r="L181" s="39">
        <v>8.4712884316199109</v>
      </c>
      <c r="M181" s="39">
        <f t="shared" si="27"/>
        <v>6.4547751584909916</v>
      </c>
      <c r="N181" s="117">
        <f t="shared" si="25"/>
        <v>7.8683709182005197</v>
      </c>
      <c r="O181" s="94">
        <f t="shared" si="20"/>
        <v>0.13704086958041997</v>
      </c>
      <c r="P181" s="240"/>
    </row>
    <row r="182" spans="1:16" s="6" customFormat="1" ht="15.75">
      <c r="A182" s="268">
        <v>91</v>
      </c>
      <c r="B182" s="176" t="s">
        <v>140</v>
      </c>
      <c r="C182" s="157">
        <v>483.2</v>
      </c>
      <c r="D182" s="255"/>
      <c r="E182" s="255"/>
      <c r="F182" s="220">
        <f t="shared" si="21"/>
        <v>483.2</v>
      </c>
      <c r="G182" s="18" t="s">
        <v>1339</v>
      </c>
      <c r="H182" s="97">
        <v>478</v>
      </c>
      <c r="I182" s="663">
        <f t="shared" si="23"/>
        <v>1.6720774521667352E-2</v>
      </c>
      <c r="J182" s="39">
        <f t="shared" si="24"/>
        <v>37.941611090351039</v>
      </c>
      <c r="K182" s="664">
        <f t="shared" si="22"/>
        <v>13.951130397922078</v>
      </c>
      <c r="L182" s="39">
        <v>14.941977381233643</v>
      </c>
      <c r="M182" s="39">
        <f t="shared" si="27"/>
        <v>11.3851753718033</v>
      </c>
      <c r="N182" s="117">
        <f t="shared" si="25"/>
        <v>13.878528778228223</v>
      </c>
      <c r="O182" s="94">
        <f t="shared" si="20"/>
        <v>0.16187892020138672</v>
      </c>
      <c r="P182" s="240"/>
    </row>
    <row r="183" spans="1:16" s="6" customFormat="1" ht="15.75">
      <c r="A183" s="275">
        <v>92</v>
      </c>
      <c r="B183" s="176" t="s">
        <v>141</v>
      </c>
      <c r="C183" s="157">
        <v>408.2</v>
      </c>
      <c r="D183" s="255"/>
      <c r="E183" s="255"/>
      <c r="F183" s="220">
        <f t="shared" si="21"/>
        <v>408.2</v>
      </c>
      <c r="G183" s="18" t="s">
        <v>1339</v>
      </c>
      <c r="H183" s="97">
        <v>320</v>
      </c>
      <c r="I183" s="663">
        <f t="shared" si="23"/>
        <v>1.1193823947559732E-2</v>
      </c>
      <c r="J183" s="39">
        <f t="shared" si="24"/>
        <v>25.400241734126215</v>
      </c>
      <c r="K183" s="664">
        <f t="shared" si="22"/>
        <v>9.3396688856382095</v>
      </c>
      <c r="L183" s="39">
        <v>10.002997410030892</v>
      </c>
      <c r="M183" s="39">
        <f t="shared" si="27"/>
        <v>7.6218747258934219</v>
      </c>
      <c r="N183" s="117">
        <f t="shared" si="25"/>
        <v>9.2910652908640827</v>
      </c>
      <c r="O183" s="94">
        <f t="shared" si="20"/>
        <v>0.12828217235592537</v>
      </c>
      <c r="P183" s="240"/>
    </row>
    <row r="184" spans="1:16" s="6" customFormat="1" ht="15.75">
      <c r="A184" s="268">
        <v>93</v>
      </c>
      <c r="B184" s="176" t="s">
        <v>145</v>
      </c>
      <c r="C184" s="157">
        <v>482.97</v>
      </c>
      <c r="D184" s="255"/>
      <c r="E184" s="255"/>
      <c r="F184" s="220">
        <f t="shared" si="21"/>
        <v>482.97</v>
      </c>
      <c r="G184" s="18" t="s">
        <v>1339</v>
      </c>
      <c r="H184" s="97">
        <v>370</v>
      </c>
      <c r="I184" s="663">
        <f t="shared" si="23"/>
        <v>1.2942858939365941E-2</v>
      </c>
      <c r="J184" s="39">
        <f t="shared" si="24"/>
        <v>29.369029505083439</v>
      </c>
      <c r="K184" s="664">
        <f t="shared" si="22"/>
        <v>10.798992149019181</v>
      </c>
      <c r="L184" s="39">
        <v>11.56596575534822</v>
      </c>
      <c r="M184" s="39">
        <f t="shared" si="27"/>
        <v>8.8127926518142683</v>
      </c>
      <c r="N184" s="117">
        <f t="shared" si="25"/>
        <v>10.742794242561594</v>
      </c>
      <c r="O184" s="94">
        <f t="shared" si="20"/>
        <v>0.12536343884975279</v>
      </c>
      <c r="P184" s="240"/>
    </row>
    <row r="185" spans="1:16" s="6" customFormat="1" ht="15.75">
      <c r="A185" s="268">
        <v>94</v>
      </c>
      <c r="B185" s="176" t="s">
        <v>146</v>
      </c>
      <c r="C185" s="157">
        <v>699.05</v>
      </c>
      <c r="D185" s="255"/>
      <c r="E185" s="255"/>
      <c r="F185" s="220">
        <f t="shared" si="21"/>
        <v>699.05</v>
      </c>
      <c r="G185" s="18" t="s">
        <v>1339</v>
      </c>
      <c r="H185" s="97">
        <v>578</v>
      </c>
      <c r="I185" s="663">
        <f t="shared" si="23"/>
        <v>2.0218844505279769E-2</v>
      </c>
      <c r="J185" s="39">
        <f t="shared" si="24"/>
        <v>45.879186632265487</v>
      </c>
      <c r="K185" s="664">
        <f t="shared" si="22"/>
        <v>16.869776924684022</v>
      </c>
      <c r="L185" s="39">
        <v>18.067914071868298</v>
      </c>
      <c r="M185" s="39">
        <f t="shared" si="27"/>
        <v>13.767011223644994</v>
      </c>
      <c r="N185" s="117">
        <f t="shared" si="25"/>
        <v>16.781986681623248</v>
      </c>
      <c r="O185" s="94">
        <f t="shared" si="20"/>
        <v>0.13530346735206752</v>
      </c>
      <c r="P185" s="240"/>
    </row>
    <row r="186" spans="1:16" s="6" customFormat="1" ht="15.75">
      <c r="A186" s="268">
        <v>95</v>
      </c>
      <c r="B186" s="176" t="s">
        <v>147</v>
      </c>
      <c r="C186" s="157">
        <v>6095.81</v>
      </c>
      <c r="D186" s="255"/>
      <c r="E186" s="255"/>
      <c r="F186" s="220">
        <f t="shared" si="21"/>
        <v>6095.81</v>
      </c>
      <c r="G186" s="18" t="s">
        <v>1339</v>
      </c>
      <c r="H186" s="97">
        <v>1013</v>
      </c>
      <c r="I186" s="663">
        <f t="shared" si="23"/>
        <v>3.5435448933993779E-2</v>
      </c>
      <c r="J186" s="39">
        <f t="shared" si="24"/>
        <v>80.407640239593306</v>
      </c>
      <c r="K186" s="664">
        <f t="shared" si="22"/>
        <v>29.56588931609846</v>
      </c>
      <c r="L186" s="39">
        <v>31.665738676129042</v>
      </c>
      <c r="M186" s="39">
        <f t="shared" si="27"/>
        <v>24.127997179156363</v>
      </c>
      <c r="N186" s="117">
        <f t="shared" si="25"/>
        <v>29.412028561391608</v>
      </c>
      <c r="O186" s="94">
        <f t="shared" si="20"/>
        <v>2.7193640453192797E-2</v>
      </c>
      <c r="P186" s="240"/>
    </row>
    <row r="187" spans="1:16" s="6" customFormat="1" ht="15.75">
      <c r="A187" s="268">
        <v>96</v>
      </c>
      <c r="B187" s="176" t="s">
        <v>148</v>
      </c>
      <c r="C187" s="157">
        <v>166.2</v>
      </c>
      <c r="D187" s="255"/>
      <c r="E187" s="255"/>
      <c r="F187" s="220">
        <f t="shared" si="21"/>
        <v>166.2</v>
      </c>
      <c r="G187" s="18" t="s">
        <v>1339</v>
      </c>
      <c r="H187" s="97">
        <v>167</v>
      </c>
      <c r="I187" s="663">
        <f t="shared" si="23"/>
        <v>5.8417768726327359E-3</v>
      </c>
      <c r="J187" s="39">
        <f t="shared" si="24"/>
        <v>13.255751154997121</v>
      </c>
      <c r="K187" s="664">
        <f t="shared" si="22"/>
        <v>4.8741396996924413</v>
      </c>
      <c r="L187" s="39">
        <v>5.2203142733598717</v>
      </c>
      <c r="M187" s="39">
        <f t="shared" si="27"/>
        <v>3.97766587257563</v>
      </c>
      <c r="N187" s="117">
        <f t="shared" si="25"/>
        <v>4.8487746986696934</v>
      </c>
      <c r="O187" s="94">
        <f t="shared" si="20"/>
        <v>0.16442762334912794</v>
      </c>
      <c r="P187" s="240"/>
    </row>
    <row r="188" spans="1:16" s="6" customFormat="1" ht="15.75">
      <c r="A188" s="268">
        <v>97</v>
      </c>
      <c r="B188" s="176" t="s">
        <v>149</v>
      </c>
      <c r="C188" s="157">
        <v>273.2</v>
      </c>
      <c r="D188" s="255"/>
      <c r="E188" s="255"/>
      <c r="F188" s="220">
        <f t="shared" si="21"/>
        <v>273.2</v>
      </c>
      <c r="G188" s="18" t="s">
        <v>1339</v>
      </c>
      <c r="H188" s="97">
        <v>264</v>
      </c>
      <c r="I188" s="663">
        <f t="shared" si="23"/>
        <v>9.2349047567367795E-3</v>
      </c>
      <c r="J188" s="39">
        <f t="shared" si="24"/>
        <v>20.95519943065413</v>
      </c>
      <c r="K188" s="664">
        <f t="shared" si="22"/>
        <v>7.7052268306515241</v>
      </c>
      <c r="L188" s="39">
        <v>8.2524728632754858</v>
      </c>
      <c r="M188" s="39">
        <f t="shared" si="27"/>
        <v>6.288046648862073</v>
      </c>
      <c r="N188" s="117">
        <f t="shared" si="25"/>
        <v>7.6651288649628677</v>
      </c>
      <c r="O188" s="94">
        <f t="shared" si="20"/>
        <v>0.15812937691597076</v>
      </c>
      <c r="P188" s="240"/>
    </row>
    <row r="189" spans="1:16" s="119" customFormat="1" ht="15.75">
      <c r="A189" s="268">
        <v>98</v>
      </c>
      <c r="B189" s="176" t="s">
        <v>150</v>
      </c>
      <c r="C189" s="350">
        <v>4159.58</v>
      </c>
      <c r="D189" s="351"/>
      <c r="E189" s="351"/>
      <c r="F189" s="220">
        <f t="shared" si="21"/>
        <v>4159.58</v>
      </c>
      <c r="G189" s="18" t="s">
        <v>1340</v>
      </c>
      <c r="H189" s="97">
        <v>473</v>
      </c>
      <c r="I189" s="663">
        <f t="shared" si="23"/>
        <v>1.6545871022486731E-2</v>
      </c>
      <c r="J189" s="39">
        <f t="shared" si="24"/>
        <v>37.544732313255317</v>
      </c>
      <c r="K189" s="664">
        <f t="shared" si="22"/>
        <v>13.80519807158398</v>
      </c>
      <c r="L189" s="39">
        <v>14.785680546701913</v>
      </c>
      <c r="M189" s="39">
        <f>I189*376.38</f>
        <v>6.2275349354435559</v>
      </c>
      <c r="N189" s="117">
        <f t="shared" si="25"/>
        <v>7.5913650863056947</v>
      </c>
      <c r="O189" s="94">
        <f t="shared" si="20"/>
        <v>1.7396743389232753E-2</v>
      </c>
      <c r="P189" s="346"/>
    </row>
    <row r="190" spans="1:16" s="119" customFormat="1" ht="15.75">
      <c r="A190" s="275">
        <v>99</v>
      </c>
      <c r="B190" s="176" t="s">
        <v>151</v>
      </c>
      <c r="C190" s="350">
        <v>2107.77</v>
      </c>
      <c r="D190" s="351"/>
      <c r="E190" s="351">
        <v>133</v>
      </c>
      <c r="F190" s="220">
        <f t="shared" si="21"/>
        <v>2240.77</v>
      </c>
      <c r="G190" s="18" t="s">
        <v>1340</v>
      </c>
      <c r="H190" s="97">
        <v>593</v>
      </c>
      <c r="I190" s="663">
        <f t="shared" si="23"/>
        <v>2.0743555002821629E-2</v>
      </c>
      <c r="J190" s="39">
        <f t="shared" si="24"/>
        <v>47.069822963552646</v>
      </c>
      <c r="K190" s="664">
        <f t="shared" si="22"/>
        <v>17.307573903698309</v>
      </c>
      <c r="L190" s="39">
        <v>18.536804575463496</v>
      </c>
      <c r="M190" s="39">
        <f>I190*376.38</f>
        <v>7.8074592319620049</v>
      </c>
      <c r="N190" s="117">
        <f t="shared" si="25"/>
        <v>9.5172928037616842</v>
      </c>
      <c r="O190" s="94">
        <f t="shared" si="20"/>
        <v>4.0486824026864182E-2</v>
      </c>
      <c r="P190" s="346"/>
    </row>
    <row r="191" spans="1:16" s="6" customFormat="1" ht="15.75">
      <c r="A191" s="268">
        <v>100</v>
      </c>
      <c r="B191" s="176" t="s">
        <v>152</v>
      </c>
      <c r="C191" s="157">
        <v>454.48</v>
      </c>
      <c r="D191" s="255"/>
      <c r="E191" s="255"/>
      <c r="F191" s="220">
        <f t="shared" si="21"/>
        <v>454.48</v>
      </c>
      <c r="G191" s="18" t="s">
        <v>1339</v>
      </c>
      <c r="H191" s="97">
        <v>392</v>
      </c>
      <c r="I191" s="663">
        <f t="shared" si="23"/>
        <v>1.3712434335760674E-2</v>
      </c>
      <c r="J191" s="39">
        <f t="shared" si="24"/>
        <v>31.115296124304617</v>
      </c>
      <c r="K191" s="664">
        <f t="shared" si="22"/>
        <v>11.441094384906808</v>
      </c>
      <c r="L191" s="39">
        <v>12.253671827287842</v>
      </c>
      <c r="M191" s="39">
        <f t="shared" ref="M191:M199" si="28">I191*680.9</f>
        <v>9.3367965392194421</v>
      </c>
      <c r="N191" s="117">
        <f t="shared" si="25"/>
        <v>11.381554981308501</v>
      </c>
      <c r="O191" s="94">
        <f t="shared" si="20"/>
        <v>0.14114341417822282</v>
      </c>
      <c r="P191" s="240"/>
    </row>
    <row r="192" spans="1:16" s="6" customFormat="1" ht="15.75">
      <c r="A192" s="268">
        <v>101</v>
      </c>
      <c r="B192" s="176" t="s">
        <v>153</v>
      </c>
      <c r="C192" s="157">
        <v>166.2</v>
      </c>
      <c r="D192" s="255"/>
      <c r="E192" s="255"/>
      <c r="F192" s="220">
        <f t="shared" si="21"/>
        <v>166.2</v>
      </c>
      <c r="G192" s="18" t="s">
        <v>1339</v>
      </c>
      <c r="H192" s="97">
        <v>156</v>
      </c>
      <c r="I192" s="663">
        <f t="shared" si="23"/>
        <v>5.4569891744353696E-3</v>
      </c>
      <c r="J192" s="39">
        <f t="shared" si="24"/>
        <v>12.38261784538653</v>
      </c>
      <c r="K192" s="664">
        <f t="shared" si="22"/>
        <v>4.5530885817486277</v>
      </c>
      <c r="L192" s="39">
        <v>4.8764612373900595</v>
      </c>
      <c r="M192" s="39">
        <f t="shared" si="28"/>
        <v>3.7156639288730431</v>
      </c>
      <c r="N192" s="117">
        <f t="shared" si="25"/>
        <v>4.52939432929624</v>
      </c>
      <c r="O192" s="94">
        <f t="shared" si="20"/>
        <v>0.15359706133211951</v>
      </c>
      <c r="P192" s="240"/>
    </row>
    <row r="193" spans="1:17" s="6" customFormat="1" ht="15.75">
      <c r="A193" s="268">
        <v>102</v>
      </c>
      <c r="B193" s="176" t="s">
        <v>154</v>
      </c>
      <c r="C193" s="157">
        <v>297.3</v>
      </c>
      <c r="D193" s="255">
        <v>41.3</v>
      </c>
      <c r="E193" s="255"/>
      <c r="F193" s="220">
        <f t="shared" si="21"/>
        <v>338.6</v>
      </c>
      <c r="G193" s="18" t="s">
        <v>1339</v>
      </c>
      <c r="H193" s="97">
        <v>185</v>
      </c>
      <c r="I193" s="663">
        <f t="shared" si="23"/>
        <v>6.4714294696829704E-3</v>
      </c>
      <c r="J193" s="39">
        <f t="shared" si="24"/>
        <v>14.68451475254172</v>
      </c>
      <c r="K193" s="664">
        <f t="shared" si="22"/>
        <v>5.3994960745095906</v>
      </c>
      <c r="L193" s="39">
        <v>5.7829828776741099</v>
      </c>
      <c r="M193" s="39">
        <f t="shared" si="28"/>
        <v>4.4063963259071341</v>
      </c>
      <c r="N193" s="117">
        <f t="shared" si="25"/>
        <v>5.3713971212807969</v>
      </c>
      <c r="O193" s="94">
        <f t="shared" si="20"/>
        <v>8.9407531100509613E-2</v>
      </c>
      <c r="P193" s="240"/>
    </row>
    <row r="194" spans="1:17" s="6" customFormat="1" ht="15.75">
      <c r="A194" s="268">
        <v>103</v>
      </c>
      <c r="B194" s="176" t="s">
        <v>155</v>
      </c>
      <c r="C194" s="157">
        <v>453.7</v>
      </c>
      <c r="D194" s="255"/>
      <c r="E194" s="255"/>
      <c r="F194" s="220">
        <f t="shared" si="21"/>
        <v>453.7</v>
      </c>
      <c r="G194" s="18" t="s">
        <v>1339</v>
      </c>
      <c r="H194" s="97">
        <v>218</v>
      </c>
      <c r="I194" s="663">
        <f t="shared" si="23"/>
        <v>7.6257925642750678E-3</v>
      </c>
      <c r="J194" s="39">
        <f t="shared" si="24"/>
        <v>17.303914681373485</v>
      </c>
      <c r="K194" s="664">
        <f t="shared" si="22"/>
        <v>6.3626494283410304</v>
      </c>
      <c r="L194" s="39">
        <v>6.8145419855835456</v>
      </c>
      <c r="M194" s="39">
        <f t="shared" si="28"/>
        <v>5.1924021570148939</v>
      </c>
      <c r="N194" s="117">
        <f t="shared" si="25"/>
        <v>6.3295382294011562</v>
      </c>
      <c r="O194" s="94">
        <f t="shared" si="20"/>
        <v>7.8627966172168745E-2</v>
      </c>
      <c r="P194" s="240"/>
      <c r="Q194" s="6">
        <f>0.23*I194/0.24</f>
        <v>7.3080512074302738E-3</v>
      </c>
    </row>
    <row r="195" spans="1:17" s="6" customFormat="1" ht="15.75">
      <c r="A195" s="268">
        <v>104</v>
      </c>
      <c r="B195" s="176" t="s">
        <v>156</v>
      </c>
      <c r="C195" s="157">
        <v>135</v>
      </c>
      <c r="D195" s="255"/>
      <c r="E195" s="255"/>
      <c r="F195" s="220">
        <f t="shared" si="21"/>
        <v>135</v>
      </c>
      <c r="G195" s="18" t="s">
        <v>1339</v>
      </c>
      <c r="H195" s="97">
        <v>122</v>
      </c>
      <c r="I195" s="663">
        <f t="shared" si="23"/>
        <v>4.2676453800071477E-3</v>
      </c>
      <c r="J195" s="39">
        <f t="shared" si="24"/>
        <v>9.6838421611356189</v>
      </c>
      <c r="K195" s="664">
        <f t="shared" si="22"/>
        <v>3.5607487626495673</v>
      </c>
      <c r="L195" s="39">
        <v>3.8136427625742777</v>
      </c>
      <c r="M195" s="39">
        <f t="shared" si="28"/>
        <v>2.9058397392468667</v>
      </c>
      <c r="N195" s="117">
        <f t="shared" si="25"/>
        <v>3.5422186421419308</v>
      </c>
      <c r="O195" s="94">
        <f t="shared" si="20"/>
        <v>0.1478820253748617</v>
      </c>
      <c r="P195" s="240"/>
      <c r="Q195" s="6">
        <f>0.24*I195/0.34</f>
        <v>3.0124555623579864E-3</v>
      </c>
    </row>
    <row r="196" spans="1:17" s="6" customFormat="1" ht="15.75">
      <c r="A196" s="268">
        <v>105</v>
      </c>
      <c r="B196" s="176" t="s">
        <v>157</v>
      </c>
      <c r="C196" s="157">
        <v>89.9</v>
      </c>
      <c r="D196" s="255"/>
      <c r="E196" s="255"/>
      <c r="F196" s="220">
        <f t="shared" si="21"/>
        <v>89.9</v>
      </c>
      <c r="G196" s="18" t="s">
        <v>1339</v>
      </c>
      <c r="H196" s="97">
        <v>113</v>
      </c>
      <c r="I196" s="663">
        <f t="shared" si="23"/>
        <v>3.952819081482031E-3</v>
      </c>
      <c r="J196" s="39">
        <f t="shared" si="24"/>
        <v>8.9694603623633213</v>
      </c>
      <c r="K196" s="664">
        <f t="shared" si="22"/>
        <v>3.2980705752409936</v>
      </c>
      <c r="L196" s="39">
        <v>3.5323084604171586</v>
      </c>
      <c r="M196" s="39">
        <f t="shared" si="28"/>
        <v>2.6914745125811148</v>
      </c>
      <c r="N196" s="117">
        <f t="shared" si="25"/>
        <v>3.280907430836379</v>
      </c>
      <c r="O196" s="94">
        <f t="shared" si="20"/>
        <v>0.20568758521248706</v>
      </c>
      <c r="P196" s="240"/>
    </row>
    <row r="197" spans="1:17" s="6" customFormat="1" ht="15.75">
      <c r="A197" s="275">
        <v>106</v>
      </c>
      <c r="B197" s="176" t="s">
        <v>158</v>
      </c>
      <c r="C197" s="157">
        <v>224.08</v>
      </c>
      <c r="D197" s="255"/>
      <c r="E197" s="255"/>
      <c r="F197" s="220">
        <f t="shared" si="21"/>
        <v>224.08</v>
      </c>
      <c r="G197" s="18" t="s">
        <v>1339</v>
      </c>
      <c r="H197" s="97">
        <v>219</v>
      </c>
      <c r="I197" s="663">
        <f t="shared" si="23"/>
        <v>7.6607732641111922E-3</v>
      </c>
      <c r="J197" s="39">
        <f t="shared" si="24"/>
        <v>17.383290436792631</v>
      </c>
      <c r="K197" s="664">
        <f t="shared" si="22"/>
        <v>6.3918358936086506</v>
      </c>
      <c r="L197" s="39">
        <v>6.8458013524898913</v>
      </c>
      <c r="M197" s="39">
        <f t="shared" si="28"/>
        <v>5.216220515533311</v>
      </c>
      <c r="N197" s="117">
        <f t="shared" si="25"/>
        <v>6.358572808435107</v>
      </c>
      <c r="O197" s="94">
        <f t="shared" si="20"/>
        <v>0.15993015083195503</v>
      </c>
      <c r="P197" s="240"/>
    </row>
    <row r="198" spans="1:17" s="6" customFormat="1" ht="15.75">
      <c r="A198" s="268">
        <v>107</v>
      </c>
      <c r="B198" s="176" t="s">
        <v>159</v>
      </c>
      <c r="C198" s="157">
        <v>653.71</v>
      </c>
      <c r="D198" s="255"/>
      <c r="E198" s="255"/>
      <c r="F198" s="220">
        <f t="shared" si="21"/>
        <v>653.71</v>
      </c>
      <c r="G198" s="18" t="s">
        <v>1339</v>
      </c>
      <c r="H198" s="97">
        <v>542</v>
      </c>
      <c r="I198" s="663">
        <f t="shared" si="23"/>
        <v>1.8959539311179299E-2</v>
      </c>
      <c r="J198" s="39">
        <f t="shared" si="24"/>
        <v>43.021659437176282</v>
      </c>
      <c r="K198" s="664">
        <f t="shared" si="22"/>
        <v>15.81906417504972</v>
      </c>
      <c r="L198" s="39">
        <v>16.942576863239822</v>
      </c>
      <c r="M198" s="39">
        <f t="shared" si="28"/>
        <v>12.909550316981983</v>
      </c>
      <c r="N198" s="117">
        <f t="shared" si="25"/>
        <v>15.736741836401039</v>
      </c>
      <c r="O198" s="94">
        <f t="shared" si="20"/>
        <v>0.13567614200860903</v>
      </c>
      <c r="P198" s="240"/>
    </row>
    <row r="199" spans="1:17" s="6" customFormat="1" ht="15.75">
      <c r="A199" s="268">
        <v>108</v>
      </c>
      <c r="B199" s="176" t="s">
        <v>160</v>
      </c>
      <c r="C199" s="157">
        <v>182.11</v>
      </c>
      <c r="D199" s="255"/>
      <c r="E199" s="255"/>
      <c r="F199" s="220">
        <f t="shared" si="21"/>
        <v>182.11</v>
      </c>
      <c r="G199" s="18" t="s">
        <v>1339</v>
      </c>
      <c r="H199" s="97">
        <v>142</v>
      </c>
      <c r="I199" s="663">
        <f t="shared" si="23"/>
        <v>4.9672593767296318E-3</v>
      </c>
      <c r="J199" s="39">
        <f t="shared" si="24"/>
        <v>11.271357269518511</v>
      </c>
      <c r="K199" s="664">
        <f t="shared" si="22"/>
        <v>4.1444780680019564</v>
      </c>
      <c r="L199" s="39">
        <v>4.4388301007012085</v>
      </c>
      <c r="M199" s="39">
        <f t="shared" si="28"/>
        <v>3.3822069096152063</v>
      </c>
      <c r="N199" s="117">
        <f t="shared" si="25"/>
        <v>4.1229102228209369</v>
      </c>
      <c r="O199" s="94">
        <f t="shared" ref="O199:O262" si="29">(M199+L199+K199+J199)/F199</f>
        <v>0.1275980031180983</v>
      </c>
      <c r="P199" s="240"/>
    </row>
    <row r="200" spans="1:17" s="119" customFormat="1" ht="15.75">
      <c r="A200" s="268">
        <v>109</v>
      </c>
      <c r="B200" s="176" t="s">
        <v>161</v>
      </c>
      <c r="C200" s="350">
        <v>2379.1</v>
      </c>
      <c r="D200" s="351"/>
      <c r="E200" s="351"/>
      <c r="F200" s="220">
        <f t="shared" si="21"/>
        <v>2379.1</v>
      </c>
      <c r="G200" s="18" t="s">
        <v>1340</v>
      </c>
      <c r="H200" s="97">
        <v>732</v>
      </c>
      <c r="I200" s="663">
        <f t="shared" si="23"/>
        <v>2.560587228004289E-2</v>
      </c>
      <c r="J200" s="39">
        <f t="shared" si="24"/>
        <v>58.103052966813728</v>
      </c>
      <c r="K200" s="664">
        <f t="shared" si="22"/>
        <v>21.364492575897408</v>
      </c>
      <c r="L200" s="39">
        <v>22.881856575445667</v>
      </c>
      <c r="M200" s="39">
        <f>I200*376.38</f>
        <v>9.6375382087625425</v>
      </c>
      <c r="N200" s="117">
        <f t="shared" si="25"/>
        <v>11.74815907648154</v>
      </c>
      <c r="O200" s="94">
        <f t="shared" si="29"/>
        <v>4.7071136281333005E-2</v>
      </c>
      <c r="P200" s="346"/>
      <c r="Q200" s="119">
        <f>0.23*I200/0.33</f>
        <v>1.7846517043666257E-2</v>
      </c>
    </row>
    <row r="201" spans="1:17" s="6" customFormat="1" ht="15.75">
      <c r="A201" s="268">
        <v>110</v>
      </c>
      <c r="B201" s="176" t="s">
        <v>162</v>
      </c>
      <c r="C201" s="157">
        <v>140.19999999999999</v>
      </c>
      <c r="D201" s="255"/>
      <c r="E201" s="255"/>
      <c r="F201" s="220">
        <f t="shared" si="21"/>
        <v>140.19999999999999</v>
      </c>
      <c r="G201" s="18" t="s">
        <v>1339</v>
      </c>
      <c r="H201" s="97">
        <v>175</v>
      </c>
      <c r="I201" s="663">
        <f t="shared" si="23"/>
        <v>6.1216224713217292E-3</v>
      </c>
      <c r="J201" s="39">
        <f t="shared" si="24"/>
        <v>13.890757198350276</v>
      </c>
      <c r="K201" s="664">
        <f t="shared" si="22"/>
        <v>5.1076314218333971</v>
      </c>
      <c r="L201" s="39">
        <v>5.4703892086106443</v>
      </c>
      <c r="M201" s="39">
        <f>I201*680.9</f>
        <v>4.1682127407229652</v>
      </c>
      <c r="N201" s="117">
        <f t="shared" si="25"/>
        <v>5.0810513309412952</v>
      </c>
      <c r="O201" s="94">
        <f t="shared" si="29"/>
        <v>0.20425813530326165</v>
      </c>
      <c r="P201" s="240"/>
    </row>
    <row r="202" spans="1:17" s="6" customFormat="1" ht="15.75">
      <c r="A202" s="268">
        <v>111</v>
      </c>
      <c r="B202" s="176" t="s">
        <v>163</v>
      </c>
      <c r="C202" s="157">
        <v>116.79</v>
      </c>
      <c r="D202" s="255"/>
      <c r="E202" s="255"/>
      <c r="F202" s="220">
        <f t="shared" si="21"/>
        <v>116.79</v>
      </c>
      <c r="G202" s="18" t="s">
        <v>1339</v>
      </c>
      <c r="H202" s="97">
        <v>107</v>
      </c>
      <c r="I202" s="663">
        <f t="shared" si="23"/>
        <v>3.7429348824652856E-3</v>
      </c>
      <c r="J202" s="39">
        <f t="shared" si="24"/>
        <v>8.4932058298484545</v>
      </c>
      <c r="K202" s="664">
        <f t="shared" si="22"/>
        <v>3.1229517836352771</v>
      </c>
      <c r="L202" s="39">
        <v>3.3447522589790792</v>
      </c>
      <c r="M202" s="39">
        <f>I202*680.9</f>
        <v>2.5485643614706128</v>
      </c>
      <c r="N202" s="117">
        <f t="shared" si="25"/>
        <v>3.1066999566326774</v>
      </c>
      <c r="O202" s="94">
        <f t="shared" si="29"/>
        <v>0.14992271798898385</v>
      </c>
      <c r="P202" s="240"/>
      <c r="Q202" s="6">
        <f>0.23*I202/0.28</f>
        <v>3.0745536534536274E-3</v>
      </c>
    </row>
    <row r="203" spans="1:17" s="119" customFormat="1" ht="15.75">
      <c r="A203" s="268">
        <v>112</v>
      </c>
      <c r="B203" s="176" t="s">
        <v>164</v>
      </c>
      <c r="C203" s="350">
        <v>59.7</v>
      </c>
      <c r="D203" s="351"/>
      <c r="E203" s="351"/>
      <c r="F203" s="220">
        <f t="shared" si="21"/>
        <v>59.7</v>
      </c>
      <c r="G203" s="18" t="s">
        <v>1340</v>
      </c>
      <c r="H203" s="97">
        <v>143</v>
      </c>
      <c r="I203" s="663">
        <f t="shared" si="23"/>
        <v>5.0022400765657553E-3</v>
      </c>
      <c r="J203" s="39">
        <f t="shared" si="24"/>
        <v>11.350733024937654</v>
      </c>
      <c r="K203" s="664">
        <f t="shared" si="22"/>
        <v>4.1736645332695756</v>
      </c>
      <c r="L203" s="39">
        <v>4.4700894676075551</v>
      </c>
      <c r="M203" s="39">
        <f>I203*376.38</f>
        <v>1.8827431200178188</v>
      </c>
      <c r="N203" s="117">
        <f t="shared" si="25"/>
        <v>2.2950638633017215</v>
      </c>
      <c r="O203" s="94">
        <f t="shared" si="29"/>
        <v>0.36645276626185264</v>
      </c>
      <c r="P203" s="346"/>
      <c r="Q203" s="119">
        <f>0.23*I203/0.13</f>
        <v>8.8501170585394123E-3</v>
      </c>
    </row>
    <row r="204" spans="1:17" s="6" customFormat="1" ht="15.75">
      <c r="A204" s="275">
        <v>113</v>
      </c>
      <c r="B204" s="176" t="s">
        <v>165</v>
      </c>
      <c r="C204" s="157">
        <v>137.5</v>
      </c>
      <c r="D204" s="255"/>
      <c r="E204" s="255"/>
      <c r="F204" s="220">
        <f t="shared" si="21"/>
        <v>137.5</v>
      </c>
      <c r="G204" s="18" t="s">
        <v>1339</v>
      </c>
      <c r="H204" s="97">
        <v>160</v>
      </c>
      <c r="I204" s="663">
        <f t="shared" si="23"/>
        <v>5.5969119737798662E-3</v>
      </c>
      <c r="J204" s="39">
        <f t="shared" si="24"/>
        <v>12.700120867063108</v>
      </c>
      <c r="K204" s="664">
        <f t="shared" si="22"/>
        <v>4.6698344428191048</v>
      </c>
      <c r="L204" s="39">
        <v>5.0014987050154458</v>
      </c>
      <c r="M204" s="39">
        <f>I204*680.9</f>
        <v>3.8109373629467109</v>
      </c>
      <c r="N204" s="117">
        <f t="shared" si="25"/>
        <v>4.6455326454320414</v>
      </c>
      <c r="O204" s="94">
        <f t="shared" si="29"/>
        <v>0.19041739183886813</v>
      </c>
      <c r="P204" s="240"/>
    </row>
    <row r="205" spans="1:17" s="119" customFormat="1" ht="15.75">
      <c r="A205" s="268">
        <v>114</v>
      </c>
      <c r="B205" s="176" t="s">
        <v>166</v>
      </c>
      <c r="C205" s="350">
        <v>1812.9</v>
      </c>
      <c r="D205" s="351">
        <v>95.4</v>
      </c>
      <c r="E205" s="351"/>
      <c r="F205" s="220">
        <f t="shared" si="21"/>
        <v>1908.3000000000002</v>
      </c>
      <c r="G205" s="18" t="s">
        <v>1340</v>
      </c>
      <c r="H205" s="97">
        <v>500</v>
      </c>
      <c r="I205" s="663">
        <f t="shared" si="23"/>
        <v>1.7490349918062083E-2</v>
      </c>
      <c r="J205" s="39">
        <f t="shared" si="24"/>
        <v>39.68787770957222</v>
      </c>
      <c r="K205" s="664">
        <f t="shared" si="22"/>
        <v>14.593232633809706</v>
      </c>
      <c r="L205" s="39">
        <v>15.629683453173268</v>
      </c>
      <c r="M205" s="39">
        <f>I205*376.38</f>
        <v>6.5830179021602069</v>
      </c>
      <c r="N205" s="117">
        <f t="shared" si="25"/>
        <v>8.024698822733292</v>
      </c>
      <c r="O205" s="94">
        <f t="shared" si="29"/>
        <v>4.0084793637643661E-2</v>
      </c>
      <c r="P205" s="346"/>
    </row>
    <row r="206" spans="1:17" s="6" customFormat="1" ht="15.75">
      <c r="A206" s="268">
        <v>115</v>
      </c>
      <c r="B206" s="176" t="s">
        <v>167</v>
      </c>
      <c r="C206" s="157">
        <v>140.4</v>
      </c>
      <c r="D206" s="255"/>
      <c r="E206" s="255"/>
      <c r="F206" s="220">
        <f t="shared" si="21"/>
        <v>140.4</v>
      </c>
      <c r="G206" s="18" t="s">
        <v>1339</v>
      </c>
      <c r="H206" s="97">
        <v>206</v>
      </c>
      <c r="I206" s="663">
        <f t="shared" si="23"/>
        <v>7.2060241662415779E-3</v>
      </c>
      <c r="J206" s="39">
        <f t="shared" si="24"/>
        <v>16.351405616343751</v>
      </c>
      <c r="K206" s="664">
        <f t="shared" si="22"/>
        <v>6.0124118451295976</v>
      </c>
      <c r="L206" s="39">
        <v>6.4394295827073869</v>
      </c>
      <c r="M206" s="39">
        <f>I206*680.9</f>
        <v>4.90658185479389</v>
      </c>
      <c r="N206" s="117">
        <f t="shared" si="25"/>
        <v>5.981123280993752</v>
      </c>
      <c r="O206" s="94">
        <f t="shared" si="29"/>
        <v>0.24009849643144315</v>
      </c>
      <c r="P206" s="240"/>
    </row>
    <row r="207" spans="1:17" s="119" customFormat="1" ht="15.75">
      <c r="A207" s="268">
        <v>116</v>
      </c>
      <c r="B207" s="176" t="s">
        <v>168</v>
      </c>
      <c r="C207" s="350">
        <v>290.7</v>
      </c>
      <c r="D207" s="351"/>
      <c r="E207" s="351"/>
      <c r="F207" s="220">
        <f t="shared" si="21"/>
        <v>290.7</v>
      </c>
      <c r="G207" s="18" t="s">
        <v>1340</v>
      </c>
      <c r="H207" s="97">
        <v>161</v>
      </c>
      <c r="I207" s="663">
        <f t="shared" si="23"/>
        <v>5.6318926736159906E-3</v>
      </c>
      <c r="J207" s="39">
        <f t="shared" si="24"/>
        <v>12.779496622482254</v>
      </c>
      <c r="K207" s="664">
        <f t="shared" si="22"/>
        <v>4.6990209080867249</v>
      </c>
      <c r="L207" s="39">
        <v>5.0327580719217924</v>
      </c>
      <c r="M207" s="39">
        <f>I207*376.38</f>
        <v>2.1197317644955866</v>
      </c>
      <c r="N207" s="117">
        <f t="shared" si="25"/>
        <v>2.5839530209201205</v>
      </c>
      <c r="O207" s="94">
        <f t="shared" si="29"/>
        <v>8.4729987502533063E-2</v>
      </c>
      <c r="P207" s="346"/>
    </row>
    <row r="208" spans="1:17" s="119" customFormat="1" ht="15.75">
      <c r="A208" s="268">
        <v>117</v>
      </c>
      <c r="B208" s="176" t="s">
        <v>169</v>
      </c>
      <c r="C208" s="350">
        <v>2427.7199999999998</v>
      </c>
      <c r="D208" s="351"/>
      <c r="E208" s="351"/>
      <c r="F208" s="220">
        <f t="shared" si="21"/>
        <v>2427.7199999999998</v>
      </c>
      <c r="G208" s="18" t="s">
        <v>1340</v>
      </c>
      <c r="H208" s="97">
        <v>691</v>
      </c>
      <c r="I208" s="663">
        <f t="shared" si="23"/>
        <v>2.4171663586761798E-2</v>
      </c>
      <c r="J208" s="39">
        <f t="shared" si="24"/>
        <v>54.848646994628801</v>
      </c>
      <c r="K208" s="664">
        <f t="shared" si="22"/>
        <v>20.16784749992501</v>
      </c>
      <c r="L208" s="39">
        <v>21.600222532285457</v>
      </c>
      <c r="M208" s="39">
        <f>I208*376.38</f>
        <v>9.0977307407854049</v>
      </c>
      <c r="N208" s="117">
        <f t="shared" si="25"/>
        <v>11.09013377301741</v>
      </c>
      <c r="O208" s="94">
        <f t="shared" si="29"/>
        <v>4.3544744767775811E-2</v>
      </c>
      <c r="P208" s="346"/>
      <c r="Q208" s="119">
        <f>0.23*I208/0.21</f>
        <v>2.6473726785501018E-2</v>
      </c>
    </row>
    <row r="209" spans="1:17" s="6" customFormat="1" ht="15.75">
      <c r="A209" s="268">
        <v>118</v>
      </c>
      <c r="B209" s="176" t="s">
        <v>170</v>
      </c>
      <c r="C209" s="157">
        <v>93</v>
      </c>
      <c r="D209" s="255"/>
      <c r="E209" s="255"/>
      <c r="F209" s="220">
        <f t="shared" ref="F209:F270" si="30">C209+D209+E209</f>
        <v>93</v>
      </c>
      <c r="G209" s="18" t="s">
        <v>1339</v>
      </c>
      <c r="H209" s="97">
        <v>145</v>
      </c>
      <c r="I209" s="663">
        <f t="shared" si="23"/>
        <v>5.072201476238004E-3</v>
      </c>
      <c r="J209" s="39">
        <f t="shared" si="24"/>
        <v>11.509484535775943</v>
      </c>
      <c r="K209" s="664">
        <f t="shared" ref="K209:K270" si="31">J209*0.3677</f>
        <v>4.232037463804815</v>
      </c>
      <c r="L209" s="39">
        <v>4.5326082014202482</v>
      </c>
      <c r="M209" s="39">
        <f>I209*680.9</f>
        <v>3.4536619851704566</v>
      </c>
      <c r="N209" s="117">
        <f t="shared" si="25"/>
        <v>4.2100139599227866</v>
      </c>
      <c r="O209" s="94">
        <f t="shared" si="29"/>
        <v>0.25513755038894048</v>
      </c>
      <c r="P209" s="240"/>
    </row>
    <row r="210" spans="1:17" s="119" customFormat="1" ht="15.75">
      <c r="A210" s="268">
        <v>119</v>
      </c>
      <c r="B210" s="176" t="s">
        <v>171</v>
      </c>
      <c r="C210" s="350">
        <v>1387.9</v>
      </c>
      <c r="D210" s="351">
        <v>85.8</v>
      </c>
      <c r="E210" s="351"/>
      <c r="F210" s="220">
        <f t="shared" si="30"/>
        <v>1473.7</v>
      </c>
      <c r="G210" s="18" t="s">
        <v>1340</v>
      </c>
      <c r="H210" s="97">
        <v>510</v>
      </c>
      <c r="I210" s="663">
        <f t="shared" si="23"/>
        <v>1.7840156916423325E-2</v>
      </c>
      <c r="J210" s="39">
        <f t="shared" si="24"/>
        <v>40.481635263763664</v>
      </c>
      <c r="K210" s="664">
        <f t="shared" si="31"/>
        <v>14.8850972864859</v>
      </c>
      <c r="L210" s="39">
        <v>15.942277122236735</v>
      </c>
      <c r="M210" s="39">
        <f>I210*376.38</f>
        <v>6.714678260203411</v>
      </c>
      <c r="N210" s="117">
        <f t="shared" si="25"/>
        <v>8.1851927991879592</v>
      </c>
      <c r="O210" s="94">
        <f t="shared" si="29"/>
        <v>5.294407812491668E-2</v>
      </c>
      <c r="P210" s="346"/>
    </row>
    <row r="211" spans="1:17" s="119" customFormat="1" ht="15.75">
      <c r="A211" s="275">
        <v>120</v>
      </c>
      <c r="B211" s="176" t="s">
        <v>172</v>
      </c>
      <c r="C211" s="350">
        <v>2507</v>
      </c>
      <c r="D211" s="351"/>
      <c r="E211" s="351"/>
      <c r="F211" s="220">
        <f t="shared" si="30"/>
        <v>2507</v>
      </c>
      <c r="G211" s="18" t="s">
        <v>1340</v>
      </c>
      <c r="H211" s="97">
        <v>677</v>
      </c>
      <c r="I211" s="663">
        <f t="shared" si="23"/>
        <v>2.3681933789056059E-2</v>
      </c>
      <c r="J211" s="39">
        <f t="shared" si="24"/>
        <v>53.737386418760778</v>
      </c>
      <c r="K211" s="664">
        <f t="shared" si="31"/>
        <v>19.75923698617834</v>
      </c>
      <c r="L211" s="39">
        <v>21.162591395596607</v>
      </c>
      <c r="M211" s="39">
        <f>I211*376.38</f>
        <v>8.9134062395249192</v>
      </c>
      <c r="N211" s="117">
        <f t="shared" si="25"/>
        <v>10.865442205980877</v>
      </c>
      <c r="O211" s="94">
        <f t="shared" si="29"/>
        <v>4.131337097728785E-2</v>
      </c>
      <c r="P211" s="346"/>
    </row>
    <row r="212" spans="1:17" s="119" customFormat="1" ht="15.75">
      <c r="A212" s="268">
        <v>121</v>
      </c>
      <c r="B212" s="176" t="s">
        <v>173</v>
      </c>
      <c r="C212" s="350">
        <v>3505.3</v>
      </c>
      <c r="D212" s="351"/>
      <c r="E212" s="351"/>
      <c r="F212" s="220">
        <f t="shared" si="30"/>
        <v>3505.3</v>
      </c>
      <c r="G212" s="18" t="s">
        <v>1340</v>
      </c>
      <c r="H212" s="97">
        <v>869.9</v>
      </c>
      <c r="I212" s="663">
        <f t="shared" si="23"/>
        <v>3.042971078744441E-2</v>
      </c>
      <c r="J212" s="39">
        <f t="shared" si="24"/>
        <v>69.048969639113736</v>
      </c>
      <c r="K212" s="664">
        <f t="shared" si="31"/>
        <v>25.389306136302121</v>
      </c>
      <c r="L212" s="39">
        <v>27.192523271830851</v>
      </c>
      <c r="M212" s="39">
        <f>I212*376.38</f>
        <v>11.453134546178328</v>
      </c>
      <c r="N212" s="117">
        <f t="shared" si="25"/>
        <v>13.961371011791382</v>
      </c>
      <c r="O212" s="94">
        <f t="shared" si="29"/>
        <v>3.7966488914907434E-2</v>
      </c>
      <c r="P212" s="346"/>
    </row>
    <row r="213" spans="1:17" s="6" customFormat="1" ht="15.75">
      <c r="A213" s="268">
        <v>122</v>
      </c>
      <c r="B213" s="176" t="s">
        <v>174</v>
      </c>
      <c r="C213" s="157">
        <v>191.78</v>
      </c>
      <c r="D213" s="255"/>
      <c r="E213" s="255"/>
      <c r="F213" s="220">
        <f t="shared" si="30"/>
        <v>191.78</v>
      </c>
      <c r="G213" s="18" t="s">
        <v>1339</v>
      </c>
      <c r="H213" s="97">
        <v>178</v>
      </c>
      <c r="I213" s="663">
        <f t="shared" si="23"/>
        <v>6.2265645708301015E-3</v>
      </c>
      <c r="J213" s="39">
        <f t="shared" si="24"/>
        <v>14.128884464607708</v>
      </c>
      <c r="K213" s="664">
        <f t="shared" si="31"/>
        <v>5.1951908176362549</v>
      </c>
      <c r="L213" s="39">
        <v>5.564167309329684</v>
      </c>
      <c r="M213" s="39">
        <f>I213*680.9</f>
        <v>4.2396678162782155</v>
      </c>
      <c r="N213" s="117">
        <f t="shared" si="25"/>
        <v>5.168155068043145</v>
      </c>
      <c r="O213" s="94">
        <f t="shared" si="29"/>
        <v>0.15188189804907637</v>
      </c>
      <c r="P213" s="240"/>
    </row>
    <row r="214" spans="1:17" s="119" customFormat="1" ht="15.75">
      <c r="A214" s="268">
        <v>123</v>
      </c>
      <c r="B214" s="176" t="s">
        <v>175</v>
      </c>
      <c r="C214" s="350">
        <v>3560.1</v>
      </c>
      <c r="D214" s="351"/>
      <c r="E214" s="351"/>
      <c r="F214" s="220">
        <f t="shared" si="30"/>
        <v>3560.1</v>
      </c>
      <c r="G214" s="18" t="s">
        <v>1340</v>
      </c>
      <c r="H214" s="97">
        <v>870</v>
      </c>
      <c r="I214" s="663">
        <f t="shared" si="23"/>
        <v>3.0433208857428024E-2</v>
      </c>
      <c r="J214" s="39">
        <f t="shared" si="24"/>
        <v>69.056907214655652</v>
      </c>
      <c r="K214" s="664">
        <f t="shared" si="31"/>
        <v>25.392224782828887</v>
      </c>
      <c r="L214" s="39">
        <v>27.195649208521488</v>
      </c>
      <c r="M214" s="39">
        <f>I214*376.38</f>
        <v>11.454451149758759</v>
      </c>
      <c r="N214" s="117">
        <f t="shared" si="25"/>
        <v>13.962975951555928</v>
      </c>
      <c r="O214" s="94">
        <f t="shared" si="29"/>
        <v>3.7386374639972138E-2</v>
      </c>
      <c r="P214" s="346"/>
    </row>
    <row r="215" spans="1:17" s="6" customFormat="1" ht="15.75">
      <c r="A215" s="268">
        <v>124</v>
      </c>
      <c r="B215" s="176" t="s">
        <v>176</v>
      </c>
      <c r="C215" s="157">
        <v>291.19</v>
      </c>
      <c r="D215" s="255"/>
      <c r="E215" s="255"/>
      <c r="F215" s="220">
        <f t="shared" si="30"/>
        <v>291.19</v>
      </c>
      <c r="G215" s="18" t="s">
        <v>1339</v>
      </c>
      <c r="H215" s="97">
        <v>242</v>
      </c>
      <c r="I215" s="663">
        <f t="shared" si="23"/>
        <v>8.4653293603420485E-3</v>
      </c>
      <c r="J215" s="39">
        <f t="shared" si="24"/>
        <v>19.208932811432952</v>
      </c>
      <c r="K215" s="664">
        <f t="shared" si="31"/>
        <v>7.063124594763897</v>
      </c>
      <c r="L215" s="39">
        <v>7.5647667913358614</v>
      </c>
      <c r="M215" s="39">
        <f t="shared" ref="M215:M236" si="32">I215*680.9</f>
        <v>5.764042761456901</v>
      </c>
      <c r="N215" s="117">
        <f t="shared" si="25"/>
        <v>7.0263681262159627</v>
      </c>
      <c r="O215" s="94">
        <f t="shared" si="29"/>
        <v>0.13599665839826097</v>
      </c>
      <c r="P215" s="240"/>
    </row>
    <row r="216" spans="1:17" s="6" customFormat="1" ht="15.75">
      <c r="A216" s="268">
        <v>125</v>
      </c>
      <c r="B216" s="176" t="s">
        <v>177</v>
      </c>
      <c r="C216" s="157">
        <v>162.44999999999999</v>
      </c>
      <c r="D216" s="255">
        <v>11</v>
      </c>
      <c r="E216" s="255"/>
      <c r="F216" s="220">
        <f t="shared" si="30"/>
        <v>173.45</v>
      </c>
      <c r="G216" s="18" t="s">
        <v>1339</v>
      </c>
      <c r="H216" s="97">
        <v>132</v>
      </c>
      <c r="I216" s="663">
        <f t="shared" si="23"/>
        <v>4.6174523783683898E-3</v>
      </c>
      <c r="J216" s="39">
        <f t="shared" si="24"/>
        <v>10.477599715327065</v>
      </c>
      <c r="K216" s="664">
        <f t="shared" si="31"/>
        <v>3.8526134153257621</v>
      </c>
      <c r="L216" s="39">
        <v>4.1262364316377429</v>
      </c>
      <c r="M216" s="39">
        <f t="shared" si="32"/>
        <v>3.1440233244310365</v>
      </c>
      <c r="N216" s="117">
        <f t="shared" si="25"/>
        <v>3.8325644324814339</v>
      </c>
      <c r="O216" s="94">
        <f t="shared" si="29"/>
        <v>0.1245342916501678</v>
      </c>
      <c r="P216" s="240"/>
      <c r="Q216" s="6">
        <f>0.22*I216/0.4</f>
        <v>2.539598808102614E-3</v>
      </c>
    </row>
    <row r="217" spans="1:17" s="6" customFormat="1" ht="15.75">
      <c r="A217" s="268">
        <v>126</v>
      </c>
      <c r="B217" s="176" t="s">
        <v>178</v>
      </c>
      <c r="C217" s="157">
        <v>132.96</v>
      </c>
      <c r="D217" s="255">
        <v>37.299999999999997</v>
      </c>
      <c r="E217" s="255">
        <v>39.4</v>
      </c>
      <c r="F217" s="220">
        <f t="shared" si="30"/>
        <v>209.66</v>
      </c>
      <c r="G217" s="18" t="s">
        <v>1339</v>
      </c>
      <c r="H217" s="97">
        <v>134.5</v>
      </c>
      <c r="I217" s="663">
        <f t="shared" si="23"/>
        <v>4.7049041279587003E-3</v>
      </c>
      <c r="J217" s="39">
        <f t="shared" si="24"/>
        <v>10.676039103874926</v>
      </c>
      <c r="K217" s="664">
        <f t="shared" si="31"/>
        <v>3.9255795784948107</v>
      </c>
      <c r="L217" s="342">
        <v>4.2043848489036098</v>
      </c>
      <c r="M217" s="39">
        <f t="shared" si="32"/>
        <v>3.2035692207270787</v>
      </c>
      <c r="N217" s="117">
        <f t="shared" si="25"/>
        <v>3.9051508800663091</v>
      </c>
      <c r="O217" s="94">
        <f t="shared" si="29"/>
        <v>0.10497745279023382</v>
      </c>
      <c r="P217" s="240"/>
    </row>
    <row r="218" spans="1:17" s="6" customFormat="1" ht="15.75">
      <c r="A218" s="275">
        <v>127</v>
      </c>
      <c r="B218" s="176" t="s">
        <v>179</v>
      </c>
      <c r="C218" s="157">
        <v>408.46</v>
      </c>
      <c r="D218" s="255"/>
      <c r="E218" s="255"/>
      <c r="F218" s="220">
        <f t="shared" si="30"/>
        <v>408.46</v>
      </c>
      <c r="G218" s="18" t="s">
        <v>1339</v>
      </c>
      <c r="H218" s="97">
        <v>260</v>
      </c>
      <c r="I218" s="663">
        <f t="shared" si="23"/>
        <v>9.0949819573922838E-3</v>
      </c>
      <c r="J218" s="39">
        <f t="shared" si="24"/>
        <v>20.637696408977554</v>
      </c>
      <c r="K218" s="664">
        <f t="shared" si="31"/>
        <v>7.5884809695810471</v>
      </c>
      <c r="L218" s="342">
        <v>8.1274353956500995</v>
      </c>
      <c r="M218" s="39">
        <f t="shared" si="32"/>
        <v>6.1927732147884056</v>
      </c>
      <c r="N218" s="117">
        <f t="shared" si="25"/>
        <v>7.5489905488270672</v>
      </c>
      <c r="O218" s="94">
        <f t="shared" si="29"/>
        <v>0.10416291923076215</v>
      </c>
      <c r="P218" s="240"/>
      <c r="Q218" s="6">
        <f>0.23*I218/0.34</f>
        <v>6.1524877947065452E-3</v>
      </c>
    </row>
    <row r="219" spans="1:17" s="6" customFormat="1" ht="15.75">
      <c r="A219" s="268">
        <v>128</v>
      </c>
      <c r="B219" s="176" t="s">
        <v>180</v>
      </c>
      <c r="C219" s="157">
        <v>67.3</v>
      </c>
      <c r="D219" s="255"/>
      <c r="E219" s="255"/>
      <c r="F219" s="220">
        <f t="shared" si="30"/>
        <v>67.3</v>
      </c>
      <c r="G219" s="18" t="s">
        <v>1339</v>
      </c>
      <c r="H219" s="97">
        <v>87</v>
      </c>
      <c r="I219" s="663">
        <f t="shared" si="23"/>
        <v>3.0433208857428024E-3</v>
      </c>
      <c r="J219" s="39">
        <f t="shared" si="24"/>
        <v>6.9056907214655654</v>
      </c>
      <c r="K219" s="664">
        <f t="shared" si="31"/>
        <v>2.5392224782828885</v>
      </c>
      <c r="L219" s="342">
        <v>2.7195649208521488</v>
      </c>
      <c r="M219" s="39">
        <f t="shared" si="32"/>
        <v>2.0721971911022741</v>
      </c>
      <c r="N219" s="117">
        <f t="shared" si="25"/>
        <v>2.5260083759536722</v>
      </c>
      <c r="O219" s="94">
        <f t="shared" si="29"/>
        <v>0.21154049497329683</v>
      </c>
      <c r="P219" s="240"/>
    </row>
    <row r="220" spans="1:17" s="6" customFormat="1" ht="15.75">
      <c r="A220" s="268">
        <v>129</v>
      </c>
      <c r="B220" s="176" t="s">
        <v>181</v>
      </c>
      <c r="C220" s="157">
        <v>352.8</v>
      </c>
      <c r="D220" s="255"/>
      <c r="E220" s="255"/>
      <c r="F220" s="220">
        <f t="shared" si="30"/>
        <v>352.8</v>
      </c>
      <c r="G220" s="18" t="s">
        <v>1339</v>
      </c>
      <c r="H220" s="97">
        <v>250</v>
      </c>
      <c r="I220" s="663">
        <f t="shared" ref="I220:I283" si="33">4/114348.77*H220</f>
        <v>8.7451749590310417E-3</v>
      </c>
      <c r="J220" s="39">
        <f t="shared" si="24"/>
        <v>19.84393885478611</v>
      </c>
      <c r="K220" s="664">
        <f t="shared" si="31"/>
        <v>7.2966163169048528</v>
      </c>
      <c r="L220" s="342">
        <v>7.8148417265866339</v>
      </c>
      <c r="M220" s="39">
        <f t="shared" si="32"/>
        <v>5.9545896296042358</v>
      </c>
      <c r="N220" s="117">
        <f t="shared" si="25"/>
        <v>7.2586447584875637</v>
      </c>
      <c r="O220" s="94">
        <f t="shared" si="29"/>
        <v>0.11595801170034534</v>
      </c>
      <c r="P220" s="240"/>
    </row>
    <row r="221" spans="1:17" s="6" customFormat="1" ht="15.75">
      <c r="A221" s="268">
        <v>130</v>
      </c>
      <c r="B221" s="176" t="s">
        <v>182</v>
      </c>
      <c r="C221" s="157">
        <v>111.58</v>
      </c>
      <c r="D221" s="255"/>
      <c r="E221" s="255"/>
      <c r="F221" s="220">
        <f t="shared" si="30"/>
        <v>111.58</v>
      </c>
      <c r="G221" s="18" t="s">
        <v>1339</v>
      </c>
      <c r="H221" s="97">
        <v>156</v>
      </c>
      <c r="I221" s="663">
        <f t="shared" si="33"/>
        <v>5.4569891744353696E-3</v>
      </c>
      <c r="J221" s="39">
        <f t="shared" ref="J221:J284" si="34">I221*2269.13</f>
        <v>12.38261784538653</v>
      </c>
      <c r="K221" s="664">
        <f t="shared" si="31"/>
        <v>4.5530885817486277</v>
      </c>
      <c r="L221" s="342">
        <v>4.8764612373900595</v>
      </c>
      <c r="M221" s="39">
        <f t="shared" si="32"/>
        <v>3.7156639288730431</v>
      </c>
      <c r="N221" s="117">
        <f t="shared" ref="N221:N284" si="35">M221*1.219</f>
        <v>4.52939432929624</v>
      </c>
      <c r="O221" s="94">
        <f t="shared" si="29"/>
        <v>0.2287850115916675</v>
      </c>
      <c r="P221" s="240"/>
    </row>
    <row r="222" spans="1:17" s="6" customFormat="1" ht="15.75">
      <c r="A222" s="268">
        <v>131</v>
      </c>
      <c r="B222" s="176" t="s">
        <v>183</v>
      </c>
      <c r="C222" s="157">
        <v>115.8</v>
      </c>
      <c r="D222" s="255"/>
      <c r="E222" s="255"/>
      <c r="F222" s="220">
        <f t="shared" si="30"/>
        <v>115.8</v>
      </c>
      <c r="G222" s="18" t="s">
        <v>1339</v>
      </c>
      <c r="H222" s="97">
        <v>156</v>
      </c>
      <c r="I222" s="663">
        <f t="shared" si="33"/>
        <v>5.4569891744353696E-3</v>
      </c>
      <c r="J222" s="39">
        <f t="shared" si="34"/>
        <v>12.38261784538653</v>
      </c>
      <c r="K222" s="664">
        <f t="shared" si="31"/>
        <v>4.5530885817486277</v>
      </c>
      <c r="L222" s="342">
        <v>4.8764612373900595</v>
      </c>
      <c r="M222" s="39">
        <f t="shared" si="32"/>
        <v>3.7156639288730431</v>
      </c>
      <c r="N222" s="117">
        <f t="shared" si="35"/>
        <v>4.52939432929624</v>
      </c>
      <c r="O222" s="94">
        <f t="shared" si="29"/>
        <v>0.22044759579791245</v>
      </c>
      <c r="P222" s="240"/>
    </row>
    <row r="223" spans="1:17" s="6" customFormat="1" ht="15.75">
      <c r="A223" s="268">
        <v>132</v>
      </c>
      <c r="B223" s="176" t="s">
        <v>184</v>
      </c>
      <c r="C223" s="157">
        <v>74.2</v>
      </c>
      <c r="D223" s="255">
        <v>67.099999999999994</v>
      </c>
      <c r="E223" s="255"/>
      <c r="F223" s="220">
        <v>176.3</v>
      </c>
      <c r="G223" s="18" t="s">
        <v>1339</v>
      </c>
      <c r="H223" s="97">
        <v>286</v>
      </c>
      <c r="I223" s="663">
        <f t="shared" si="33"/>
        <v>1.0004480153131511E-2</v>
      </c>
      <c r="J223" s="39">
        <f t="shared" si="34"/>
        <v>22.701466049875307</v>
      </c>
      <c r="K223" s="664">
        <f t="shared" si="31"/>
        <v>8.3473290665391513</v>
      </c>
      <c r="L223" s="342">
        <v>8.9401789352151102</v>
      </c>
      <c r="M223" s="39">
        <f t="shared" si="32"/>
        <v>6.812050536267245</v>
      </c>
      <c r="N223" s="117">
        <f t="shared" si="35"/>
        <v>8.3038896037097718</v>
      </c>
      <c r="O223" s="94">
        <f t="shared" si="29"/>
        <v>0.26546241967042999</v>
      </c>
      <c r="P223" s="240"/>
    </row>
    <row r="224" spans="1:17" s="6" customFormat="1" ht="15.75">
      <c r="A224" s="268">
        <v>133</v>
      </c>
      <c r="B224" s="176" t="s">
        <v>185</v>
      </c>
      <c r="C224" s="157">
        <v>130.9</v>
      </c>
      <c r="D224" s="255"/>
      <c r="E224" s="255">
        <v>30.2</v>
      </c>
      <c r="F224" s="220">
        <f t="shared" si="30"/>
        <v>161.1</v>
      </c>
      <c r="G224" s="18" t="s">
        <v>1339</v>
      </c>
      <c r="H224" s="97">
        <v>124</v>
      </c>
      <c r="I224" s="663">
        <f t="shared" si="33"/>
        <v>4.3376067796793965E-3</v>
      </c>
      <c r="J224" s="39">
        <f t="shared" si="34"/>
        <v>9.8425936719739102</v>
      </c>
      <c r="K224" s="664">
        <f t="shared" si="31"/>
        <v>3.6191216931848071</v>
      </c>
      <c r="L224" s="342">
        <v>3.8761614963869708</v>
      </c>
      <c r="M224" s="39">
        <f t="shared" si="32"/>
        <v>2.9534764562837008</v>
      </c>
      <c r="N224" s="117">
        <f t="shared" si="35"/>
        <v>3.6002878002098315</v>
      </c>
      <c r="O224" s="94">
        <f t="shared" si="29"/>
        <v>0.12595501749118182</v>
      </c>
      <c r="P224" s="240"/>
    </row>
    <row r="225" spans="1:17" s="119" customFormat="1" ht="15.75">
      <c r="A225" s="275">
        <v>134</v>
      </c>
      <c r="B225" s="176" t="s">
        <v>186</v>
      </c>
      <c r="C225" s="350">
        <v>308.8</v>
      </c>
      <c r="D225" s="351"/>
      <c r="E225" s="351"/>
      <c r="F225" s="220">
        <f t="shared" si="30"/>
        <v>308.8</v>
      </c>
      <c r="G225" s="18" t="s">
        <v>1340</v>
      </c>
      <c r="H225" s="97">
        <v>230</v>
      </c>
      <c r="I225" s="663">
        <f t="shared" si="33"/>
        <v>8.0455609623085577E-3</v>
      </c>
      <c r="J225" s="39">
        <f t="shared" si="34"/>
        <v>18.256423746403218</v>
      </c>
      <c r="K225" s="664">
        <f t="shared" si="31"/>
        <v>6.7128870115524641</v>
      </c>
      <c r="L225" s="342">
        <v>7.1896543884597035</v>
      </c>
      <c r="M225" s="39">
        <f>I225*376.38</f>
        <v>3.0281882349936948</v>
      </c>
      <c r="N225" s="117">
        <f t="shared" si="35"/>
        <v>3.6913614584573144</v>
      </c>
      <c r="O225" s="94">
        <f t="shared" si="29"/>
        <v>0.11394803556155789</v>
      </c>
      <c r="P225" s="346"/>
    </row>
    <row r="226" spans="1:17" s="6" customFormat="1" ht="15.75">
      <c r="A226" s="268">
        <v>135</v>
      </c>
      <c r="B226" s="176" t="s">
        <v>187</v>
      </c>
      <c r="C226" s="157">
        <v>343.31</v>
      </c>
      <c r="D226" s="255"/>
      <c r="E226" s="255"/>
      <c r="F226" s="220">
        <f t="shared" si="30"/>
        <v>343.31</v>
      </c>
      <c r="G226" s="18" t="s">
        <v>1339</v>
      </c>
      <c r="H226" s="97">
        <v>240</v>
      </c>
      <c r="I226" s="663">
        <f t="shared" si="33"/>
        <v>8.3953679606697997E-3</v>
      </c>
      <c r="J226" s="39">
        <f t="shared" si="34"/>
        <v>19.050181300594662</v>
      </c>
      <c r="K226" s="664">
        <f t="shared" si="31"/>
        <v>7.0047516642286576</v>
      </c>
      <c r="L226" s="342">
        <v>7.5022480575231691</v>
      </c>
      <c r="M226" s="39">
        <f t="shared" si="32"/>
        <v>5.7164060444200668</v>
      </c>
      <c r="N226" s="117">
        <f t="shared" si="35"/>
        <v>6.968298968148062</v>
      </c>
      <c r="O226" s="94">
        <f t="shared" si="29"/>
        <v>0.11439686308807362</v>
      </c>
      <c r="P226" s="240"/>
    </row>
    <row r="227" spans="1:17" s="6" customFormat="1" ht="15.75">
      <c r="A227" s="268">
        <v>136</v>
      </c>
      <c r="B227" s="176" t="s">
        <v>188</v>
      </c>
      <c r="C227" s="157">
        <v>146.82</v>
      </c>
      <c r="D227" s="255"/>
      <c r="E227" s="255"/>
      <c r="F227" s="220">
        <f t="shared" si="30"/>
        <v>146.82</v>
      </c>
      <c r="G227" s="18" t="s">
        <v>1339</v>
      </c>
      <c r="H227" s="97">
        <v>126</v>
      </c>
      <c r="I227" s="663">
        <f t="shared" si="33"/>
        <v>4.4075681793516444E-3</v>
      </c>
      <c r="J227" s="39">
        <f t="shared" si="34"/>
        <v>10.001345182812198</v>
      </c>
      <c r="K227" s="664">
        <f t="shared" si="31"/>
        <v>3.6774946237200457</v>
      </c>
      <c r="L227" s="342">
        <v>3.938680230199664</v>
      </c>
      <c r="M227" s="39">
        <f t="shared" si="32"/>
        <v>3.0011131733205345</v>
      </c>
      <c r="N227" s="117">
        <f t="shared" si="35"/>
        <v>3.6583569582777318</v>
      </c>
      <c r="O227" s="94">
        <f t="shared" si="29"/>
        <v>0.14043477189791884</v>
      </c>
      <c r="P227" s="240"/>
    </row>
    <row r="228" spans="1:17" s="6" customFormat="1" ht="15.75">
      <c r="A228" s="268">
        <v>137</v>
      </c>
      <c r="B228" s="176" t="s">
        <v>189</v>
      </c>
      <c r="C228" s="157">
        <v>218.19</v>
      </c>
      <c r="D228" s="255"/>
      <c r="E228" s="255"/>
      <c r="F228" s="220">
        <f t="shared" si="30"/>
        <v>218.19</v>
      </c>
      <c r="G228" s="18" t="s">
        <v>1339</v>
      </c>
      <c r="H228" s="97">
        <v>134</v>
      </c>
      <c r="I228" s="663">
        <f t="shared" si="33"/>
        <v>4.6874137780406385E-3</v>
      </c>
      <c r="J228" s="39">
        <f t="shared" si="34"/>
        <v>10.636351226165354</v>
      </c>
      <c r="K228" s="664">
        <f t="shared" si="31"/>
        <v>3.910986345861001</v>
      </c>
      <c r="L228" s="342">
        <v>4.188755165450436</v>
      </c>
      <c r="M228" s="39">
        <f t="shared" si="32"/>
        <v>3.1916600414678706</v>
      </c>
      <c r="N228" s="117">
        <f t="shared" si="35"/>
        <v>3.8906335905493346</v>
      </c>
      <c r="O228" s="94">
        <f t="shared" si="29"/>
        <v>0.10049843154564674</v>
      </c>
      <c r="P228" s="240"/>
      <c r="Q228" s="6">
        <f>0.23*I228/0.51</f>
        <v>2.1139317038222486E-3</v>
      </c>
    </row>
    <row r="229" spans="1:17" s="6" customFormat="1" ht="15.75">
      <c r="A229" s="268">
        <v>138</v>
      </c>
      <c r="B229" s="176" t="s">
        <v>190</v>
      </c>
      <c r="C229" s="157">
        <v>109.6</v>
      </c>
      <c r="D229" s="255"/>
      <c r="E229" s="255"/>
      <c r="F229" s="220">
        <f t="shared" si="30"/>
        <v>109.6</v>
      </c>
      <c r="G229" s="18" t="s">
        <v>1339</v>
      </c>
      <c r="H229" s="97">
        <v>106</v>
      </c>
      <c r="I229" s="663">
        <f t="shared" si="33"/>
        <v>3.7079541826291616E-3</v>
      </c>
      <c r="J229" s="39">
        <f t="shared" si="34"/>
        <v>8.4138300744293097</v>
      </c>
      <c r="K229" s="664">
        <f t="shared" si="31"/>
        <v>3.0937653183676574</v>
      </c>
      <c r="L229" s="342">
        <v>3.3134928920727327</v>
      </c>
      <c r="M229" s="39">
        <f t="shared" si="32"/>
        <v>2.5247460029521962</v>
      </c>
      <c r="N229" s="117">
        <f t="shared" si="35"/>
        <v>3.0776653775987275</v>
      </c>
      <c r="O229" s="94">
        <f t="shared" si="29"/>
        <v>0.15826491138523627</v>
      </c>
      <c r="P229" s="240"/>
    </row>
    <row r="230" spans="1:17" s="6" customFormat="1" ht="15.75">
      <c r="A230" s="268">
        <v>139</v>
      </c>
      <c r="B230" s="176" t="s">
        <v>191</v>
      </c>
      <c r="C230" s="157">
        <v>41.4</v>
      </c>
      <c r="D230" s="255"/>
      <c r="E230" s="255"/>
      <c r="F230" s="220">
        <f t="shared" si="30"/>
        <v>41.4</v>
      </c>
      <c r="G230" s="18" t="s">
        <v>1339</v>
      </c>
      <c r="H230" s="97">
        <v>38</v>
      </c>
      <c r="I230" s="663">
        <f t="shared" si="33"/>
        <v>1.3292665937727182E-3</v>
      </c>
      <c r="J230" s="39">
        <f t="shared" si="34"/>
        <v>3.0162787059274883</v>
      </c>
      <c r="K230" s="664">
        <f t="shared" si="31"/>
        <v>1.1090856801695375</v>
      </c>
      <c r="L230" s="342">
        <v>1.1878559424411685</v>
      </c>
      <c r="M230" s="39">
        <f t="shared" si="32"/>
        <v>0.90509762369984381</v>
      </c>
      <c r="N230" s="117">
        <f t="shared" si="35"/>
        <v>1.1033140032901096</v>
      </c>
      <c r="O230" s="94">
        <f t="shared" si="29"/>
        <v>0.15020091672072558</v>
      </c>
      <c r="P230" s="240"/>
    </row>
    <row r="231" spans="1:17" s="6" customFormat="1" ht="15.75">
      <c r="A231" s="268">
        <v>140</v>
      </c>
      <c r="B231" s="176" t="s">
        <v>192</v>
      </c>
      <c r="C231" s="157">
        <v>143.4</v>
      </c>
      <c r="D231" s="255"/>
      <c r="E231" s="255"/>
      <c r="F231" s="220">
        <f t="shared" si="30"/>
        <v>143.4</v>
      </c>
      <c r="G231" s="18" t="s">
        <v>1339</v>
      </c>
      <c r="H231" s="97">
        <v>140</v>
      </c>
      <c r="I231" s="663">
        <f t="shared" si="33"/>
        <v>4.897297977057383E-3</v>
      </c>
      <c r="J231" s="39">
        <f t="shared" si="34"/>
        <v>11.112605758680219</v>
      </c>
      <c r="K231" s="664">
        <f t="shared" si="31"/>
        <v>4.086105137466717</v>
      </c>
      <c r="L231" s="342">
        <v>4.3763113668885145</v>
      </c>
      <c r="M231" s="39">
        <f t="shared" si="32"/>
        <v>3.3345701925783722</v>
      </c>
      <c r="N231" s="117">
        <f t="shared" si="35"/>
        <v>4.0648410647530362</v>
      </c>
      <c r="O231" s="94">
        <f t="shared" si="29"/>
        <v>0.15976005896522891</v>
      </c>
      <c r="P231" s="240"/>
      <c r="Q231" s="6">
        <f>0.21*I231/0.33</f>
        <v>3.1164623490365162E-3</v>
      </c>
    </row>
    <row r="232" spans="1:17" s="6" customFormat="1" ht="15.75">
      <c r="A232" s="275">
        <v>141</v>
      </c>
      <c r="B232" s="274" t="s">
        <v>193</v>
      </c>
      <c r="C232" s="157">
        <v>473.2</v>
      </c>
      <c r="D232" s="255"/>
      <c r="E232" s="255"/>
      <c r="F232" s="220">
        <f t="shared" si="30"/>
        <v>473.2</v>
      </c>
      <c r="G232" s="18" t="s">
        <v>1339</v>
      </c>
      <c r="H232" s="97">
        <v>619</v>
      </c>
      <c r="I232" s="663">
        <f t="shared" si="33"/>
        <v>2.1653053198560857E-2</v>
      </c>
      <c r="J232" s="39">
        <f t="shared" si="34"/>
        <v>49.133592604450399</v>
      </c>
      <c r="K232" s="664">
        <f t="shared" si="31"/>
        <v>18.066422000656413</v>
      </c>
      <c r="L232" s="342">
        <v>19.349548115028504</v>
      </c>
      <c r="M232" s="39">
        <f t="shared" si="32"/>
        <v>14.743563922900087</v>
      </c>
      <c r="N232" s="117">
        <f t="shared" si="35"/>
        <v>17.972404422015206</v>
      </c>
      <c r="O232" s="94">
        <f t="shared" si="29"/>
        <v>0.21405986188299961</v>
      </c>
      <c r="P232" s="240"/>
    </row>
    <row r="233" spans="1:17" s="119" customFormat="1" ht="15.75">
      <c r="A233" s="268">
        <v>142</v>
      </c>
      <c r="B233" s="176" t="s">
        <v>194</v>
      </c>
      <c r="C233" s="350">
        <v>306.10000000000002</v>
      </c>
      <c r="D233" s="351"/>
      <c r="E233" s="351"/>
      <c r="F233" s="220">
        <f t="shared" si="30"/>
        <v>306.10000000000002</v>
      </c>
      <c r="G233" s="18" t="s">
        <v>1340</v>
      </c>
      <c r="H233" s="97">
        <v>240</v>
      </c>
      <c r="I233" s="663">
        <f t="shared" si="33"/>
        <v>8.3953679606697997E-3</v>
      </c>
      <c r="J233" s="39">
        <f t="shared" si="34"/>
        <v>19.050181300594662</v>
      </c>
      <c r="K233" s="664">
        <f t="shared" si="31"/>
        <v>7.0047516642286576</v>
      </c>
      <c r="L233" s="342">
        <v>7.5022480575231691</v>
      </c>
      <c r="M233" s="39">
        <f>I233*376.38</f>
        <v>3.1598485930368994</v>
      </c>
      <c r="N233" s="117">
        <f t="shared" si="35"/>
        <v>3.8518554349119807</v>
      </c>
      <c r="O233" s="94">
        <f t="shared" si="29"/>
        <v>0.11995109315708391</v>
      </c>
      <c r="P233" s="346"/>
    </row>
    <row r="234" spans="1:17" s="6" customFormat="1" ht="15.75">
      <c r="A234" s="268">
        <v>143</v>
      </c>
      <c r="B234" s="176" t="s">
        <v>195</v>
      </c>
      <c r="C234" s="157">
        <v>239.7</v>
      </c>
      <c r="D234" s="255"/>
      <c r="E234" s="255"/>
      <c r="F234" s="220">
        <f t="shared" si="30"/>
        <v>239.7</v>
      </c>
      <c r="G234" s="18" t="s">
        <v>1339</v>
      </c>
      <c r="H234" s="97">
        <v>228</v>
      </c>
      <c r="I234" s="663">
        <f t="shared" si="33"/>
        <v>7.975599562636309E-3</v>
      </c>
      <c r="J234" s="39">
        <f t="shared" si="34"/>
        <v>18.097672235564929</v>
      </c>
      <c r="K234" s="664">
        <f t="shared" si="31"/>
        <v>6.6545140810172247</v>
      </c>
      <c r="L234" s="342">
        <v>7.1271356546470095</v>
      </c>
      <c r="M234" s="39">
        <f t="shared" si="32"/>
        <v>5.4305857421990629</v>
      </c>
      <c r="N234" s="117">
        <f t="shared" si="35"/>
        <v>6.6198840197406579</v>
      </c>
      <c r="O234" s="94">
        <f t="shared" si="29"/>
        <v>0.15565251444901224</v>
      </c>
      <c r="P234" s="240"/>
    </row>
    <row r="235" spans="1:17" s="6" customFormat="1" ht="15.75">
      <c r="A235" s="268">
        <v>144</v>
      </c>
      <c r="B235" s="176" t="s">
        <v>196</v>
      </c>
      <c r="C235" s="157">
        <v>193.7</v>
      </c>
      <c r="D235" s="255"/>
      <c r="E235" s="255"/>
      <c r="F235" s="220">
        <f t="shared" si="30"/>
        <v>193.7</v>
      </c>
      <c r="G235" s="18" t="s">
        <v>1339</v>
      </c>
      <c r="H235" s="97">
        <v>215.5</v>
      </c>
      <c r="I235" s="663">
        <f t="shared" si="33"/>
        <v>7.5383408146847573E-3</v>
      </c>
      <c r="J235" s="39">
        <f t="shared" si="34"/>
        <v>17.105475292825624</v>
      </c>
      <c r="K235" s="664">
        <f t="shared" si="31"/>
        <v>6.2896832651719823</v>
      </c>
      <c r="L235" s="342">
        <v>6.7363935683176788</v>
      </c>
      <c r="M235" s="39">
        <f t="shared" si="32"/>
        <v>5.1328562607188513</v>
      </c>
      <c r="N235" s="117">
        <f t="shared" si="35"/>
        <v>6.2569517818162801</v>
      </c>
      <c r="O235" s="94">
        <f t="shared" si="29"/>
        <v>0.18205683214782725</v>
      </c>
      <c r="P235" s="240"/>
    </row>
    <row r="236" spans="1:17" s="6" customFormat="1" ht="15.75">
      <c r="A236" s="268">
        <v>145</v>
      </c>
      <c r="B236" s="176" t="s">
        <v>197</v>
      </c>
      <c r="C236" s="157">
        <v>83.9</v>
      </c>
      <c r="D236" s="255"/>
      <c r="E236" s="255"/>
      <c r="F236" s="220">
        <f t="shared" si="30"/>
        <v>83.9</v>
      </c>
      <c r="G236" s="18" t="s">
        <v>1339</v>
      </c>
      <c r="H236" s="97">
        <v>160</v>
      </c>
      <c r="I236" s="663">
        <f t="shared" si="33"/>
        <v>5.5969119737798662E-3</v>
      </c>
      <c r="J236" s="39">
        <f t="shared" si="34"/>
        <v>12.700120867063108</v>
      </c>
      <c r="K236" s="664">
        <f t="shared" si="31"/>
        <v>4.6698344428191048</v>
      </c>
      <c r="L236" s="342">
        <v>5.0014987050154458</v>
      </c>
      <c r="M236" s="39">
        <f t="shared" si="32"/>
        <v>3.8109373629467109</v>
      </c>
      <c r="N236" s="117">
        <f t="shared" si="35"/>
        <v>4.6455326454320414</v>
      </c>
      <c r="O236" s="94">
        <f t="shared" si="29"/>
        <v>0.31206664335928924</v>
      </c>
      <c r="P236" s="240"/>
    </row>
    <row r="237" spans="1:17" s="119" customFormat="1" ht="15.75">
      <c r="A237" s="268">
        <v>146</v>
      </c>
      <c r="B237" s="176" t="s">
        <v>198</v>
      </c>
      <c r="C237" s="350">
        <v>2111.66</v>
      </c>
      <c r="D237" s="351"/>
      <c r="E237" s="351"/>
      <c r="F237" s="220">
        <f t="shared" si="30"/>
        <v>2111.66</v>
      </c>
      <c r="G237" s="18" t="s">
        <v>1340</v>
      </c>
      <c r="H237" s="97">
        <v>550</v>
      </c>
      <c r="I237" s="663">
        <f t="shared" si="33"/>
        <v>1.923938490986829E-2</v>
      </c>
      <c r="J237" s="39">
        <f t="shared" si="34"/>
        <v>43.656665480529433</v>
      </c>
      <c r="K237" s="664">
        <f t="shared" si="31"/>
        <v>16.052555897190675</v>
      </c>
      <c r="L237" s="342">
        <v>17.192651798490594</v>
      </c>
      <c r="M237" s="39">
        <f>I237*376.38</f>
        <v>7.2413196923762273</v>
      </c>
      <c r="N237" s="117">
        <f t="shared" si="35"/>
        <v>8.8271687050066223</v>
      </c>
      <c r="O237" s="94">
        <f t="shared" si="29"/>
        <v>3.9846941680283257E-2</v>
      </c>
      <c r="P237" s="346"/>
    </row>
    <row r="238" spans="1:17" s="119" customFormat="1" ht="15.75">
      <c r="A238" s="268">
        <v>147</v>
      </c>
      <c r="B238" s="176" t="s">
        <v>199</v>
      </c>
      <c r="C238" s="350">
        <v>424.8</v>
      </c>
      <c r="D238" s="351"/>
      <c r="E238" s="351"/>
      <c r="F238" s="220">
        <f t="shared" si="30"/>
        <v>424.8</v>
      </c>
      <c r="G238" s="18" t="s">
        <v>1340</v>
      </c>
      <c r="H238" s="97">
        <v>293</v>
      </c>
      <c r="I238" s="663">
        <f t="shared" si="33"/>
        <v>1.024934505198438E-2</v>
      </c>
      <c r="J238" s="39">
        <f t="shared" si="34"/>
        <v>23.257096337809319</v>
      </c>
      <c r="K238" s="664">
        <f t="shared" si="31"/>
        <v>8.5516343234124879</v>
      </c>
      <c r="L238" s="342">
        <v>9.1589945035595353</v>
      </c>
      <c r="M238" s="39">
        <f>I238*376.38</f>
        <v>3.857648490665881</v>
      </c>
      <c r="N238" s="117">
        <f t="shared" si="35"/>
        <v>4.7024735101217097</v>
      </c>
      <c r="O238" s="94">
        <f t="shared" si="29"/>
        <v>0.10552112442431079</v>
      </c>
      <c r="P238" s="346"/>
    </row>
    <row r="239" spans="1:17" s="6" customFormat="1" ht="15.75">
      <c r="A239" s="275">
        <v>148</v>
      </c>
      <c r="B239" s="176" t="s">
        <v>200</v>
      </c>
      <c r="C239" s="157">
        <v>105.5</v>
      </c>
      <c r="D239" s="255"/>
      <c r="E239" s="255"/>
      <c r="F239" s="220">
        <f t="shared" si="30"/>
        <v>105.5</v>
      </c>
      <c r="G239" s="18" t="s">
        <v>1339</v>
      </c>
      <c r="H239" s="97"/>
      <c r="I239" s="663">
        <f t="shared" si="33"/>
        <v>0</v>
      </c>
      <c r="J239" s="39">
        <f t="shared" si="34"/>
        <v>0</v>
      </c>
      <c r="K239" s="664">
        <f t="shared" si="31"/>
        <v>0</v>
      </c>
      <c r="L239" s="342">
        <v>0</v>
      </c>
      <c r="M239" s="39">
        <f t="shared" ref="M239:M275" si="36">I239*680.9</f>
        <v>0</v>
      </c>
      <c r="N239" s="117">
        <f t="shared" si="35"/>
        <v>0</v>
      </c>
      <c r="O239" s="94">
        <f t="shared" si="29"/>
        <v>0</v>
      </c>
      <c r="P239" s="240"/>
    </row>
    <row r="240" spans="1:17" s="6" customFormat="1" ht="15.75">
      <c r="A240" s="268">
        <v>149</v>
      </c>
      <c r="B240" s="176" t="s">
        <v>201</v>
      </c>
      <c r="C240" s="157">
        <v>158.6</v>
      </c>
      <c r="D240" s="255"/>
      <c r="E240" s="255"/>
      <c r="F240" s="220">
        <f t="shared" si="30"/>
        <v>158.6</v>
      </c>
      <c r="G240" s="18" t="s">
        <v>1339</v>
      </c>
      <c r="H240" s="97"/>
      <c r="I240" s="663">
        <f t="shared" si="33"/>
        <v>0</v>
      </c>
      <c r="J240" s="39">
        <f t="shared" si="34"/>
        <v>0</v>
      </c>
      <c r="K240" s="664">
        <f t="shared" si="31"/>
        <v>0</v>
      </c>
      <c r="L240" s="342">
        <v>0</v>
      </c>
      <c r="M240" s="39">
        <f t="shared" si="36"/>
        <v>0</v>
      </c>
      <c r="N240" s="117">
        <f t="shared" si="35"/>
        <v>0</v>
      </c>
      <c r="O240" s="94">
        <f t="shared" si="29"/>
        <v>0</v>
      </c>
      <c r="P240" s="240"/>
    </row>
    <row r="241" spans="1:16" s="6" customFormat="1" ht="15.75">
      <c r="A241" s="268">
        <v>150</v>
      </c>
      <c r="B241" s="176" t="s">
        <v>202</v>
      </c>
      <c r="C241" s="157">
        <v>84.9</v>
      </c>
      <c r="D241" s="255"/>
      <c r="E241" s="255"/>
      <c r="F241" s="220">
        <f t="shared" si="30"/>
        <v>84.9</v>
      </c>
      <c r="G241" s="18" t="s">
        <v>1339</v>
      </c>
      <c r="H241" s="97"/>
      <c r="I241" s="663">
        <f t="shared" si="33"/>
        <v>0</v>
      </c>
      <c r="J241" s="39">
        <f t="shared" si="34"/>
        <v>0</v>
      </c>
      <c r="K241" s="664">
        <f t="shared" si="31"/>
        <v>0</v>
      </c>
      <c r="L241" s="342">
        <v>0</v>
      </c>
      <c r="M241" s="39">
        <f t="shared" si="36"/>
        <v>0</v>
      </c>
      <c r="N241" s="117">
        <f t="shared" si="35"/>
        <v>0</v>
      </c>
      <c r="O241" s="94">
        <f t="shared" si="29"/>
        <v>0</v>
      </c>
      <c r="P241" s="240"/>
    </row>
    <row r="242" spans="1:16" s="6" customFormat="1" ht="15.75">
      <c r="A242" s="268">
        <v>151</v>
      </c>
      <c r="B242" s="176" t="s">
        <v>203</v>
      </c>
      <c r="C242" s="157">
        <v>191.6</v>
      </c>
      <c r="D242" s="255"/>
      <c r="E242" s="255"/>
      <c r="F242" s="220">
        <f t="shared" si="30"/>
        <v>191.6</v>
      </c>
      <c r="G242" s="18" t="s">
        <v>1339</v>
      </c>
      <c r="H242" s="97"/>
      <c r="I242" s="663">
        <f t="shared" si="33"/>
        <v>0</v>
      </c>
      <c r="J242" s="39">
        <f t="shared" si="34"/>
        <v>0</v>
      </c>
      <c r="K242" s="664">
        <f t="shared" si="31"/>
        <v>0</v>
      </c>
      <c r="L242" s="342">
        <v>0</v>
      </c>
      <c r="M242" s="39">
        <f t="shared" si="36"/>
        <v>0</v>
      </c>
      <c r="N242" s="117">
        <f t="shared" si="35"/>
        <v>0</v>
      </c>
      <c r="O242" s="94">
        <f t="shared" si="29"/>
        <v>0</v>
      </c>
      <c r="P242" s="240"/>
    </row>
    <row r="243" spans="1:16" s="6" customFormat="1" ht="15.75">
      <c r="A243" s="268">
        <v>152</v>
      </c>
      <c r="B243" s="176" t="s">
        <v>204</v>
      </c>
      <c r="C243" s="157">
        <v>220.11</v>
      </c>
      <c r="D243" s="255"/>
      <c r="E243" s="255"/>
      <c r="F243" s="220">
        <f t="shared" si="30"/>
        <v>220.11</v>
      </c>
      <c r="G243" s="18" t="s">
        <v>1339</v>
      </c>
      <c r="H243" s="97"/>
      <c r="I243" s="663">
        <f t="shared" si="33"/>
        <v>0</v>
      </c>
      <c r="J243" s="39">
        <f t="shared" si="34"/>
        <v>0</v>
      </c>
      <c r="K243" s="664">
        <f t="shared" si="31"/>
        <v>0</v>
      </c>
      <c r="L243" s="342">
        <v>0</v>
      </c>
      <c r="M243" s="39">
        <f t="shared" si="36"/>
        <v>0</v>
      </c>
      <c r="N243" s="117">
        <f t="shared" si="35"/>
        <v>0</v>
      </c>
      <c r="O243" s="94">
        <f t="shared" si="29"/>
        <v>0</v>
      </c>
      <c r="P243" s="240"/>
    </row>
    <row r="244" spans="1:16" s="6" customFormat="1" ht="15.75">
      <c r="A244" s="268">
        <v>153</v>
      </c>
      <c r="B244" s="176" t="s">
        <v>205</v>
      </c>
      <c r="C244" s="157">
        <v>154.1</v>
      </c>
      <c r="D244" s="255"/>
      <c r="E244" s="255"/>
      <c r="F244" s="220">
        <f t="shared" si="30"/>
        <v>154.1</v>
      </c>
      <c r="G244" s="18" t="s">
        <v>1339</v>
      </c>
      <c r="H244" s="97"/>
      <c r="I244" s="663">
        <f t="shared" si="33"/>
        <v>0</v>
      </c>
      <c r="J244" s="39">
        <f t="shared" si="34"/>
        <v>0</v>
      </c>
      <c r="K244" s="664">
        <f t="shared" si="31"/>
        <v>0</v>
      </c>
      <c r="L244" s="342">
        <v>0</v>
      </c>
      <c r="M244" s="39">
        <f t="shared" si="36"/>
        <v>0</v>
      </c>
      <c r="N244" s="117">
        <f t="shared" si="35"/>
        <v>0</v>
      </c>
      <c r="O244" s="94">
        <f t="shared" si="29"/>
        <v>0</v>
      </c>
      <c r="P244" s="240"/>
    </row>
    <row r="245" spans="1:16" s="6" customFormat="1" ht="15.75">
      <c r="A245" s="268">
        <v>154</v>
      </c>
      <c r="B245" s="176" t="s">
        <v>206</v>
      </c>
      <c r="C245" s="157">
        <v>219.1</v>
      </c>
      <c r="D245" s="255"/>
      <c r="E245" s="255"/>
      <c r="F245" s="220">
        <f t="shared" si="30"/>
        <v>219.1</v>
      </c>
      <c r="G245" s="18" t="s">
        <v>1339</v>
      </c>
      <c r="H245" s="97"/>
      <c r="I245" s="663">
        <f t="shared" si="33"/>
        <v>0</v>
      </c>
      <c r="J245" s="39">
        <f t="shared" si="34"/>
        <v>0</v>
      </c>
      <c r="K245" s="664">
        <f t="shared" si="31"/>
        <v>0</v>
      </c>
      <c r="L245" s="342">
        <v>0</v>
      </c>
      <c r="M245" s="39">
        <f t="shared" si="36"/>
        <v>0</v>
      </c>
      <c r="N245" s="117">
        <f t="shared" si="35"/>
        <v>0</v>
      </c>
      <c r="O245" s="94">
        <f t="shared" si="29"/>
        <v>0</v>
      </c>
      <c r="P245" s="240"/>
    </row>
    <row r="246" spans="1:16" s="6" customFormat="1" ht="15.75">
      <c r="A246" s="275">
        <v>155</v>
      </c>
      <c r="B246" s="176" t="s">
        <v>207</v>
      </c>
      <c r="C246" s="157">
        <v>255.8</v>
      </c>
      <c r="D246" s="255"/>
      <c r="E246" s="255"/>
      <c r="F246" s="220">
        <f t="shared" si="30"/>
        <v>255.8</v>
      </c>
      <c r="G246" s="18" t="s">
        <v>1339</v>
      </c>
      <c r="H246" s="97"/>
      <c r="I246" s="663">
        <f t="shared" si="33"/>
        <v>0</v>
      </c>
      <c r="J246" s="39">
        <f t="shared" si="34"/>
        <v>0</v>
      </c>
      <c r="K246" s="664">
        <f t="shared" si="31"/>
        <v>0</v>
      </c>
      <c r="L246" s="342">
        <v>0</v>
      </c>
      <c r="M246" s="39">
        <f t="shared" si="36"/>
        <v>0</v>
      </c>
      <c r="N246" s="117">
        <f t="shared" si="35"/>
        <v>0</v>
      </c>
      <c r="O246" s="94">
        <f t="shared" si="29"/>
        <v>0</v>
      </c>
      <c r="P246" s="240"/>
    </row>
    <row r="247" spans="1:16" s="6" customFormat="1" ht="15.75">
      <c r="A247" s="268">
        <v>156</v>
      </c>
      <c r="B247" s="176" t="s">
        <v>208</v>
      </c>
      <c r="C247" s="157">
        <v>58.3</v>
      </c>
      <c r="D247" s="255"/>
      <c r="E247" s="255"/>
      <c r="F247" s="220">
        <f t="shared" si="30"/>
        <v>58.3</v>
      </c>
      <c r="G247" s="18" t="s">
        <v>1339</v>
      </c>
      <c r="H247" s="855">
        <v>0</v>
      </c>
      <c r="I247" s="663">
        <f t="shared" si="33"/>
        <v>0</v>
      </c>
      <c r="J247" s="39">
        <f t="shared" si="34"/>
        <v>0</v>
      </c>
      <c r="K247" s="664">
        <f t="shared" si="31"/>
        <v>0</v>
      </c>
      <c r="L247" s="342">
        <v>0</v>
      </c>
      <c r="M247" s="39">
        <f t="shared" si="36"/>
        <v>0</v>
      </c>
      <c r="N247" s="117">
        <f t="shared" si="35"/>
        <v>0</v>
      </c>
      <c r="O247" s="94">
        <f t="shared" si="29"/>
        <v>0</v>
      </c>
      <c r="P247" s="240"/>
    </row>
    <row r="248" spans="1:16" s="6" customFormat="1" ht="15.75">
      <c r="A248" s="268">
        <v>157</v>
      </c>
      <c r="B248" s="176" t="s">
        <v>209</v>
      </c>
      <c r="C248" s="157">
        <v>47.2</v>
      </c>
      <c r="D248" s="255"/>
      <c r="E248" s="255"/>
      <c r="F248" s="220">
        <f t="shared" si="30"/>
        <v>47.2</v>
      </c>
      <c r="G248" s="18" t="s">
        <v>1339</v>
      </c>
      <c r="H248" s="97"/>
      <c r="I248" s="663">
        <f t="shared" si="33"/>
        <v>0</v>
      </c>
      <c r="J248" s="39">
        <f t="shared" si="34"/>
        <v>0</v>
      </c>
      <c r="K248" s="664">
        <f t="shared" si="31"/>
        <v>0</v>
      </c>
      <c r="L248" s="342">
        <v>0</v>
      </c>
      <c r="M248" s="39">
        <f t="shared" si="36"/>
        <v>0</v>
      </c>
      <c r="N248" s="117">
        <f t="shared" si="35"/>
        <v>0</v>
      </c>
      <c r="O248" s="94">
        <f t="shared" si="29"/>
        <v>0</v>
      </c>
      <c r="P248" s="240"/>
    </row>
    <row r="249" spans="1:16" s="6" customFormat="1" ht="15.75">
      <c r="A249" s="268">
        <v>158</v>
      </c>
      <c r="B249" s="176" t="s">
        <v>210</v>
      </c>
      <c r="C249" s="157">
        <v>101.5</v>
      </c>
      <c r="D249" s="255"/>
      <c r="E249" s="255"/>
      <c r="F249" s="220">
        <f t="shared" si="30"/>
        <v>101.5</v>
      </c>
      <c r="G249" s="18" t="s">
        <v>1339</v>
      </c>
      <c r="H249" s="97"/>
      <c r="I249" s="663">
        <f t="shared" si="33"/>
        <v>0</v>
      </c>
      <c r="J249" s="39">
        <f t="shared" si="34"/>
        <v>0</v>
      </c>
      <c r="K249" s="664">
        <f t="shared" si="31"/>
        <v>0</v>
      </c>
      <c r="L249" s="342">
        <v>0</v>
      </c>
      <c r="M249" s="39">
        <f t="shared" si="36"/>
        <v>0</v>
      </c>
      <c r="N249" s="117">
        <f t="shared" si="35"/>
        <v>0</v>
      </c>
      <c r="O249" s="94">
        <f t="shared" si="29"/>
        <v>0</v>
      </c>
      <c r="P249" s="240"/>
    </row>
    <row r="250" spans="1:16" s="6" customFormat="1" ht="15.75">
      <c r="A250" s="268">
        <v>159</v>
      </c>
      <c r="B250" s="176" t="s">
        <v>211</v>
      </c>
      <c r="C250" s="157">
        <v>57.8</v>
      </c>
      <c r="D250" s="255"/>
      <c r="E250" s="255"/>
      <c r="F250" s="220">
        <f t="shared" si="30"/>
        <v>57.8</v>
      </c>
      <c r="G250" s="18" t="s">
        <v>1339</v>
      </c>
      <c r="H250" s="97"/>
      <c r="I250" s="663">
        <f t="shared" si="33"/>
        <v>0</v>
      </c>
      <c r="J250" s="39">
        <f t="shared" si="34"/>
        <v>0</v>
      </c>
      <c r="K250" s="664">
        <f t="shared" si="31"/>
        <v>0</v>
      </c>
      <c r="L250" s="342">
        <v>0</v>
      </c>
      <c r="M250" s="39">
        <f t="shared" si="36"/>
        <v>0</v>
      </c>
      <c r="N250" s="117">
        <f t="shared" si="35"/>
        <v>0</v>
      </c>
      <c r="O250" s="94">
        <f t="shared" si="29"/>
        <v>0</v>
      </c>
      <c r="P250" s="240"/>
    </row>
    <row r="251" spans="1:16" s="6" customFormat="1" ht="15.75">
      <c r="A251" s="268">
        <v>160</v>
      </c>
      <c r="B251" s="122" t="s">
        <v>1203</v>
      </c>
      <c r="C251" s="55">
        <v>569.54999999999995</v>
      </c>
      <c r="D251" s="256">
        <v>76.3</v>
      </c>
      <c r="E251" s="256">
        <v>25</v>
      </c>
      <c r="F251" s="220">
        <f t="shared" si="30"/>
        <v>670.84999999999991</v>
      </c>
      <c r="G251" s="18" t="s">
        <v>1339</v>
      </c>
      <c r="H251" s="97">
        <v>685</v>
      </c>
      <c r="I251" s="663">
        <f t="shared" si="33"/>
        <v>2.3961779387745054E-2</v>
      </c>
      <c r="J251" s="39">
        <f t="shared" si="34"/>
        <v>54.372392462113936</v>
      </c>
      <c r="K251" s="664">
        <f t="shared" si="31"/>
        <v>19.992728708319294</v>
      </c>
      <c r="L251" s="39">
        <v>21.412666330847376</v>
      </c>
      <c r="M251" s="39">
        <f t="shared" si="36"/>
        <v>16.315575585115607</v>
      </c>
      <c r="N251" s="117">
        <f t="shared" si="35"/>
        <v>19.888686638255926</v>
      </c>
      <c r="O251" s="94">
        <f t="shared" si="29"/>
        <v>0.16709154518356745</v>
      </c>
      <c r="P251" s="240"/>
    </row>
    <row r="252" spans="1:16" s="6" customFormat="1" ht="15.75">
      <c r="A252" s="268">
        <v>161</v>
      </c>
      <c r="B252" s="122" t="s">
        <v>1204</v>
      </c>
      <c r="C252" s="55">
        <v>648.9</v>
      </c>
      <c r="D252" s="256"/>
      <c r="E252" s="256"/>
      <c r="F252" s="220">
        <f t="shared" si="30"/>
        <v>648.9</v>
      </c>
      <c r="G252" s="18" t="s">
        <v>1339</v>
      </c>
      <c r="H252" s="97">
        <v>570</v>
      </c>
      <c r="I252" s="663">
        <f t="shared" si="33"/>
        <v>1.9938998906590774E-2</v>
      </c>
      <c r="J252" s="39">
        <f t="shared" si="34"/>
        <v>45.244180588912329</v>
      </c>
      <c r="K252" s="664">
        <f t="shared" si="31"/>
        <v>16.636285202543064</v>
      </c>
      <c r="L252" s="39">
        <v>17.817839136617525</v>
      </c>
      <c r="M252" s="39">
        <f t="shared" si="36"/>
        <v>13.576464355497658</v>
      </c>
      <c r="N252" s="117">
        <f t="shared" si="35"/>
        <v>16.549710049351646</v>
      </c>
      <c r="O252" s="94">
        <f t="shared" si="29"/>
        <v>0.14374290227087469</v>
      </c>
      <c r="P252" s="240"/>
    </row>
    <row r="253" spans="1:16" s="6" customFormat="1" ht="15.75">
      <c r="A253" s="275">
        <v>162</v>
      </c>
      <c r="B253" s="122" t="s">
        <v>1205</v>
      </c>
      <c r="C253" s="55">
        <v>527.70000000000005</v>
      </c>
      <c r="D253" s="256">
        <v>115.4</v>
      </c>
      <c r="E253" s="256">
        <v>110</v>
      </c>
      <c r="F253" s="220">
        <f t="shared" si="30"/>
        <v>753.1</v>
      </c>
      <c r="G253" s="18" t="s">
        <v>1339</v>
      </c>
      <c r="H253" s="97">
        <v>226</v>
      </c>
      <c r="I253" s="663">
        <f t="shared" si="33"/>
        <v>7.9056381629640619E-3</v>
      </c>
      <c r="J253" s="39">
        <f t="shared" si="34"/>
        <v>17.938920724726643</v>
      </c>
      <c r="K253" s="664">
        <f t="shared" si="31"/>
        <v>6.5961411504819871</v>
      </c>
      <c r="L253" s="39">
        <v>7.0646169208343172</v>
      </c>
      <c r="M253" s="39">
        <f t="shared" si="36"/>
        <v>5.3829490251622296</v>
      </c>
      <c r="N253" s="117">
        <f t="shared" si="35"/>
        <v>6.5618148616727581</v>
      </c>
      <c r="O253" s="94">
        <f t="shared" si="29"/>
        <v>4.91071940262982E-2</v>
      </c>
      <c r="P253" s="240"/>
    </row>
    <row r="254" spans="1:16" s="6" customFormat="1" ht="15.75">
      <c r="A254" s="268">
        <v>163</v>
      </c>
      <c r="B254" s="122" t="s">
        <v>1206</v>
      </c>
      <c r="C254" s="55">
        <v>276.60000000000002</v>
      </c>
      <c r="D254" s="256"/>
      <c r="E254" s="256"/>
      <c r="F254" s="220">
        <f t="shared" si="30"/>
        <v>276.60000000000002</v>
      </c>
      <c r="G254" s="18" t="s">
        <v>1339</v>
      </c>
      <c r="H254" s="97">
        <v>261</v>
      </c>
      <c r="I254" s="663">
        <f t="shared" si="33"/>
        <v>9.1299626572284073E-3</v>
      </c>
      <c r="J254" s="39">
        <f t="shared" si="34"/>
        <v>20.717072164396697</v>
      </c>
      <c r="K254" s="664">
        <f t="shared" si="31"/>
        <v>7.6176674348486664</v>
      </c>
      <c r="L254" s="39">
        <v>8.1586947625564452</v>
      </c>
      <c r="M254" s="39">
        <f t="shared" si="36"/>
        <v>6.2165915733068227</v>
      </c>
      <c r="N254" s="117">
        <f t="shared" si="35"/>
        <v>7.5780251278610171</v>
      </c>
      <c r="O254" s="94">
        <f t="shared" si="29"/>
        <v>0.15441079513777523</v>
      </c>
      <c r="P254" s="240"/>
    </row>
    <row r="255" spans="1:16" s="6" customFormat="1" ht="15.75">
      <c r="A255" s="268">
        <v>164</v>
      </c>
      <c r="B255" s="122" t="s">
        <v>1207</v>
      </c>
      <c r="C255" s="55">
        <v>238.8</v>
      </c>
      <c r="D255" s="256"/>
      <c r="E255" s="256"/>
      <c r="F255" s="220">
        <f t="shared" si="30"/>
        <v>238.8</v>
      </c>
      <c r="G255" s="18" t="s">
        <v>1339</v>
      </c>
      <c r="H255" s="97">
        <v>236</v>
      </c>
      <c r="I255" s="663">
        <f t="shared" si="33"/>
        <v>8.2554451613253022E-3</v>
      </c>
      <c r="J255" s="39">
        <f t="shared" si="34"/>
        <v>18.732678278918083</v>
      </c>
      <c r="K255" s="664">
        <f t="shared" si="31"/>
        <v>6.8880058031581797</v>
      </c>
      <c r="L255" s="39">
        <v>7.3772105898977838</v>
      </c>
      <c r="M255" s="39">
        <f t="shared" si="36"/>
        <v>5.6211326103463977</v>
      </c>
      <c r="N255" s="117">
        <f t="shared" si="35"/>
        <v>6.8521606520122589</v>
      </c>
      <c r="O255" s="94">
        <f t="shared" si="29"/>
        <v>0.16172121977521123</v>
      </c>
      <c r="P255" s="240"/>
    </row>
    <row r="256" spans="1:16" s="6" customFormat="1" ht="15.75">
      <c r="A256" s="268">
        <v>165</v>
      </c>
      <c r="B256" s="122" t="s">
        <v>1208</v>
      </c>
      <c r="C256" s="55">
        <v>754.13</v>
      </c>
      <c r="D256" s="256"/>
      <c r="E256" s="256"/>
      <c r="F256" s="220">
        <f t="shared" si="30"/>
        <v>754.13</v>
      </c>
      <c r="G256" s="18" t="s">
        <v>1339</v>
      </c>
      <c r="H256" s="97">
        <v>346</v>
      </c>
      <c r="I256" s="663">
        <f t="shared" si="33"/>
        <v>1.2103322143298961E-2</v>
      </c>
      <c r="J256" s="39">
        <f t="shared" si="34"/>
        <v>27.464011375023972</v>
      </c>
      <c r="K256" s="664">
        <f t="shared" si="31"/>
        <v>10.098516982596315</v>
      </c>
      <c r="L256" s="39">
        <v>10.815740949595902</v>
      </c>
      <c r="M256" s="39">
        <f t="shared" si="36"/>
        <v>8.2411520473722621</v>
      </c>
      <c r="N256" s="117">
        <f t="shared" si="35"/>
        <v>10.045964345746789</v>
      </c>
      <c r="O256" s="94">
        <f t="shared" si="29"/>
        <v>7.5079126085142417E-2</v>
      </c>
      <c r="P256" s="240"/>
    </row>
    <row r="257" spans="1:16" s="6" customFormat="1" ht="15.75">
      <c r="A257" s="268">
        <v>166</v>
      </c>
      <c r="B257" s="122" t="s">
        <v>1209</v>
      </c>
      <c r="C257" s="55">
        <v>838.38</v>
      </c>
      <c r="D257" s="256">
        <v>72.7</v>
      </c>
      <c r="E257" s="256"/>
      <c r="F257" s="220">
        <f t="shared" si="30"/>
        <v>911.08</v>
      </c>
      <c r="G257" s="18" t="s">
        <v>1339</v>
      </c>
      <c r="H257" s="97">
        <v>577</v>
      </c>
      <c r="I257" s="663">
        <f t="shared" si="33"/>
        <v>2.0183863805443642E-2</v>
      </c>
      <c r="J257" s="39">
        <f t="shared" si="34"/>
        <v>45.799810876846337</v>
      </c>
      <c r="K257" s="664">
        <f t="shared" si="31"/>
        <v>16.840590459416401</v>
      </c>
      <c r="L257" s="39">
        <v>18.036654704961954</v>
      </c>
      <c r="M257" s="39">
        <f t="shared" si="36"/>
        <v>13.743192865126575</v>
      </c>
      <c r="N257" s="117">
        <f t="shared" si="35"/>
        <v>16.752952102589298</v>
      </c>
      <c r="O257" s="94">
        <f t="shared" si="29"/>
        <v>0.10363551928079999</v>
      </c>
      <c r="P257" s="240"/>
    </row>
    <row r="258" spans="1:16" s="6" customFormat="1" ht="15.75">
      <c r="A258" s="268">
        <v>167</v>
      </c>
      <c r="B258" s="122" t="s">
        <v>1210</v>
      </c>
      <c r="C258" s="55">
        <v>676.2</v>
      </c>
      <c r="D258" s="256"/>
      <c r="E258" s="256">
        <v>31.7</v>
      </c>
      <c r="F258" s="220">
        <f t="shared" si="30"/>
        <v>707.90000000000009</v>
      </c>
      <c r="G258" s="18" t="s">
        <v>1339</v>
      </c>
      <c r="H258" s="97">
        <v>370</v>
      </c>
      <c r="I258" s="663">
        <f t="shared" si="33"/>
        <v>1.2942858939365941E-2</v>
      </c>
      <c r="J258" s="39">
        <f t="shared" si="34"/>
        <v>29.369029505083439</v>
      </c>
      <c r="K258" s="664">
        <f t="shared" si="31"/>
        <v>10.798992149019181</v>
      </c>
      <c r="L258" s="39">
        <v>11.56596575534822</v>
      </c>
      <c r="M258" s="39">
        <f t="shared" si="36"/>
        <v>8.8127926518142683</v>
      </c>
      <c r="N258" s="117">
        <f t="shared" si="35"/>
        <v>10.742794242561594</v>
      </c>
      <c r="O258" s="94">
        <f t="shared" si="29"/>
        <v>8.5530131461032777E-2</v>
      </c>
      <c r="P258" s="240"/>
    </row>
    <row r="259" spans="1:16" s="6" customFormat="1" ht="15.75">
      <c r="A259" s="268">
        <v>168</v>
      </c>
      <c r="B259" s="273" t="s">
        <v>1211</v>
      </c>
      <c r="C259" s="55">
        <v>814.34</v>
      </c>
      <c r="D259" s="256"/>
      <c r="E259" s="256"/>
      <c r="F259" s="220">
        <f t="shared" si="30"/>
        <v>814.34</v>
      </c>
      <c r="G259" s="18" t="s">
        <v>1339</v>
      </c>
      <c r="H259" s="97">
        <v>634</v>
      </c>
      <c r="I259" s="663">
        <f t="shared" si="33"/>
        <v>2.217776369610272E-2</v>
      </c>
      <c r="J259" s="39">
        <f t="shared" si="34"/>
        <v>50.324228935737565</v>
      </c>
      <c r="K259" s="664">
        <f t="shared" si="31"/>
        <v>18.504218979670704</v>
      </c>
      <c r="L259" s="39">
        <v>19.818438618623702</v>
      </c>
      <c r="M259" s="39">
        <f t="shared" si="36"/>
        <v>15.100839300676341</v>
      </c>
      <c r="N259" s="117">
        <f t="shared" si="35"/>
        <v>18.407923107524461</v>
      </c>
      <c r="O259" s="94">
        <f t="shared" si="29"/>
        <v>0.12740099446755448</v>
      </c>
      <c r="P259" s="240"/>
    </row>
    <row r="260" spans="1:16" s="6" customFormat="1" ht="15.75">
      <c r="A260" s="275">
        <v>169</v>
      </c>
      <c r="B260" s="273" t="s">
        <v>1212</v>
      </c>
      <c r="C260" s="55">
        <v>562.29999999999995</v>
      </c>
      <c r="D260" s="256"/>
      <c r="E260" s="256"/>
      <c r="F260" s="220">
        <f t="shared" si="30"/>
        <v>562.29999999999995</v>
      </c>
      <c r="G260" s="18" t="s">
        <v>1339</v>
      </c>
      <c r="H260" s="97">
        <v>358</v>
      </c>
      <c r="I260" s="663">
        <f t="shared" si="33"/>
        <v>1.2523090541332452E-2</v>
      </c>
      <c r="J260" s="39">
        <f t="shared" si="34"/>
        <v>28.416520440053709</v>
      </c>
      <c r="K260" s="664">
        <f t="shared" si="31"/>
        <v>10.44875456580775</v>
      </c>
      <c r="L260" s="39">
        <v>0</v>
      </c>
      <c r="M260" s="39">
        <f t="shared" si="36"/>
        <v>8.5269723495932652</v>
      </c>
      <c r="N260" s="117">
        <f t="shared" si="35"/>
        <v>10.394379294154191</v>
      </c>
      <c r="O260" s="94">
        <f t="shared" si="29"/>
        <v>8.4282851423536781E-2</v>
      </c>
      <c r="P260" s="240"/>
    </row>
    <row r="261" spans="1:16" s="6" customFormat="1" ht="15.75">
      <c r="A261" s="268">
        <v>170</v>
      </c>
      <c r="B261" s="122" t="s">
        <v>1213</v>
      </c>
      <c r="C261" s="55">
        <v>410.5</v>
      </c>
      <c r="D261" s="256"/>
      <c r="E261" s="256"/>
      <c r="F261" s="220">
        <f t="shared" si="30"/>
        <v>410.5</v>
      </c>
      <c r="G261" s="18" t="s">
        <v>1339</v>
      </c>
      <c r="H261" s="97">
        <v>407</v>
      </c>
      <c r="I261" s="663">
        <f t="shared" si="33"/>
        <v>1.4237144833302535E-2</v>
      </c>
      <c r="J261" s="39">
        <f t="shared" si="34"/>
        <v>32.30593245559178</v>
      </c>
      <c r="K261" s="664">
        <f t="shared" si="31"/>
        <v>11.878891363921099</v>
      </c>
      <c r="L261" s="39">
        <v>12.722562330883042</v>
      </c>
      <c r="M261" s="39">
        <f t="shared" si="36"/>
        <v>9.6940719169956964</v>
      </c>
      <c r="N261" s="117">
        <f t="shared" si="35"/>
        <v>11.817073666817755</v>
      </c>
      <c r="O261" s="94">
        <f t="shared" si="29"/>
        <v>0.16224472123603317</v>
      </c>
      <c r="P261" s="240"/>
    </row>
    <row r="262" spans="1:16" s="6" customFormat="1" ht="15.75">
      <c r="A262" s="268">
        <v>171</v>
      </c>
      <c r="B262" s="122" t="s">
        <v>1214</v>
      </c>
      <c r="C262" s="55">
        <v>504.87</v>
      </c>
      <c r="D262" s="256"/>
      <c r="E262" s="256">
        <v>18.399999999999999</v>
      </c>
      <c r="F262" s="220">
        <f t="shared" si="30"/>
        <v>523.27</v>
      </c>
      <c r="G262" s="18" t="s">
        <v>1339</v>
      </c>
      <c r="H262" s="97">
        <v>400</v>
      </c>
      <c r="I262" s="663">
        <f t="shared" si="33"/>
        <v>1.3992279934449667E-2</v>
      </c>
      <c r="J262" s="39">
        <f t="shared" si="34"/>
        <v>31.750302167657775</v>
      </c>
      <c r="K262" s="664">
        <f t="shared" si="31"/>
        <v>11.674586107047764</v>
      </c>
      <c r="L262" s="39">
        <v>12.503746762538615</v>
      </c>
      <c r="M262" s="39">
        <f t="shared" si="36"/>
        <v>9.5273434073667786</v>
      </c>
      <c r="N262" s="117">
        <f t="shared" si="35"/>
        <v>11.613831613580103</v>
      </c>
      <c r="O262" s="94">
        <f t="shared" si="29"/>
        <v>0.12509025635830631</v>
      </c>
      <c r="P262" s="240"/>
    </row>
    <row r="263" spans="1:16" s="6" customFormat="1" ht="15.75">
      <c r="A263" s="268">
        <v>172</v>
      </c>
      <c r="B263" s="273" t="s">
        <v>1215</v>
      </c>
      <c r="C263" s="55">
        <v>684.1</v>
      </c>
      <c r="D263" s="256"/>
      <c r="E263" s="256"/>
      <c r="F263" s="220">
        <f t="shared" si="30"/>
        <v>684.1</v>
      </c>
      <c r="G263" s="18" t="s">
        <v>1339</v>
      </c>
      <c r="H263" s="97">
        <v>630</v>
      </c>
      <c r="I263" s="663">
        <f t="shared" si="33"/>
        <v>2.2037840896758223E-2</v>
      </c>
      <c r="J263" s="39">
        <f t="shared" si="34"/>
        <v>50.006725914060986</v>
      </c>
      <c r="K263" s="664">
        <f t="shared" si="31"/>
        <v>18.387473118600226</v>
      </c>
      <c r="L263" s="39">
        <v>19.693401150998319</v>
      </c>
      <c r="M263" s="39">
        <f t="shared" si="36"/>
        <v>15.005565866602673</v>
      </c>
      <c r="N263" s="117">
        <f t="shared" si="35"/>
        <v>18.291784791388661</v>
      </c>
      <c r="O263" s="94">
        <f t="shared" ref="O263:O326" si="37">(M263+L263+K263+J263)/F263</f>
        <v>0.15069897098415758</v>
      </c>
      <c r="P263" s="240"/>
    </row>
    <row r="264" spans="1:16" s="6" customFormat="1" ht="15.75">
      <c r="A264" s="268">
        <v>173</v>
      </c>
      <c r="B264" s="122" t="s">
        <v>1216</v>
      </c>
      <c r="C264" s="55">
        <v>525.58000000000004</v>
      </c>
      <c r="D264" s="256">
        <v>133.5</v>
      </c>
      <c r="E264" s="256"/>
      <c r="F264" s="220">
        <f t="shared" si="30"/>
        <v>659.08</v>
      </c>
      <c r="G264" s="18" t="s">
        <v>1339</v>
      </c>
      <c r="H264" s="97">
        <v>323</v>
      </c>
      <c r="I264" s="663">
        <f t="shared" si="33"/>
        <v>1.1298766047068105E-2</v>
      </c>
      <c r="J264" s="39">
        <f t="shared" si="34"/>
        <v>25.638369000383648</v>
      </c>
      <c r="K264" s="664">
        <f t="shared" si="31"/>
        <v>9.4272282814410673</v>
      </c>
      <c r="L264" s="39">
        <v>10.096775510749932</v>
      </c>
      <c r="M264" s="39">
        <f t="shared" si="36"/>
        <v>7.6933298014486722</v>
      </c>
      <c r="N264" s="117">
        <f t="shared" si="35"/>
        <v>9.3781690279659315</v>
      </c>
      <c r="O264" s="94">
        <f t="shared" si="37"/>
        <v>8.0196186493329061E-2</v>
      </c>
      <c r="P264" s="240"/>
    </row>
    <row r="265" spans="1:16" s="6" customFormat="1" ht="15.75">
      <c r="A265" s="268">
        <v>174</v>
      </c>
      <c r="B265" s="122" t="s">
        <v>1217</v>
      </c>
      <c r="C265" s="55">
        <v>418.1</v>
      </c>
      <c r="D265" s="256"/>
      <c r="E265" s="256">
        <v>48.4</v>
      </c>
      <c r="F265" s="220">
        <f t="shared" si="30"/>
        <v>466.5</v>
      </c>
      <c r="G265" s="18" t="s">
        <v>1339</v>
      </c>
      <c r="H265" s="97">
        <v>350</v>
      </c>
      <c r="I265" s="663">
        <f t="shared" si="33"/>
        <v>1.2243244942643458E-2</v>
      </c>
      <c r="J265" s="39">
        <f t="shared" si="34"/>
        <v>27.781514396700551</v>
      </c>
      <c r="K265" s="664">
        <f t="shared" si="31"/>
        <v>10.215262843666794</v>
      </c>
      <c r="L265" s="39">
        <v>10.940778417221289</v>
      </c>
      <c r="M265" s="39">
        <f t="shared" si="36"/>
        <v>8.3364254814459304</v>
      </c>
      <c r="N265" s="117">
        <f t="shared" si="35"/>
        <v>10.16210266188259</v>
      </c>
      <c r="O265" s="94">
        <f t="shared" si="37"/>
        <v>0.12277380737199263</v>
      </c>
      <c r="P265" s="240"/>
    </row>
    <row r="266" spans="1:16" s="6" customFormat="1" ht="15.75">
      <c r="A266" s="268">
        <v>175</v>
      </c>
      <c r="B266" s="122" t="s">
        <v>1218</v>
      </c>
      <c r="C266" s="55">
        <v>399.54</v>
      </c>
      <c r="D266" s="256"/>
      <c r="E266" s="256">
        <v>12.5</v>
      </c>
      <c r="F266" s="220">
        <f t="shared" si="30"/>
        <v>412.04</v>
      </c>
      <c r="G266" s="18" t="s">
        <v>1339</v>
      </c>
      <c r="H266" s="97">
        <v>390</v>
      </c>
      <c r="I266" s="663">
        <f t="shared" si="33"/>
        <v>1.3642472936088425E-2</v>
      </c>
      <c r="J266" s="39">
        <f t="shared" si="34"/>
        <v>30.956544613466328</v>
      </c>
      <c r="K266" s="664">
        <f t="shared" si="31"/>
        <v>11.38272145437157</v>
      </c>
      <c r="L266" s="39">
        <v>12.191153093475149</v>
      </c>
      <c r="M266" s="39">
        <f t="shared" si="36"/>
        <v>9.2891598221826079</v>
      </c>
      <c r="N266" s="117">
        <f t="shared" si="35"/>
        <v>11.323485823240599</v>
      </c>
      <c r="O266" s="94">
        <f t="shared" si="37"/>
        <v>0.15488685317807896</v>
      </c>
      <c r="P266" s="240"/>
    </row>
    <row r="267" spans="1:16" s="6" customFormat="1" ht="15.75">
      <c r="A267" s="275">
        <v>176</v>
      </c>
      <c r="B267" s="122" t="s">
        <v>1219</v>
      </c>
      <c r="C267" s="55">
        <v>303.5</v>
      </c>
      <c r="D267" s="256"/>
      <c r="E267" s="256"/>
      <c r="F267" s="220">
        <f t="shared" si="30"/>
        <v>303.5</v>
      </c>
      <c r="G267" s="18" t="s">
        <v>1339</v>
      </c>
      <c r="H267" s="97">
        <v>205</v>
      </c>
      <c r="I267" s="663">
        <f t="shared" si="33"/>
        <v>7.1710434664054535E-3</v>
      </c>
      <c r="J267" s="39">
        <f t="shared" si="34"/>
        <v>16.272029860924608</v>
      </c>
      <c r="K267" s="664">
        <f t="shared" si="31"/>
        <v>5.9832253798619783</v>
      </c>
      <c r="L267" s="39">
        <v>6.4081702158010403</v>
      </c>
      <c r="M267" s="39">
        <f t="shared" si="36"/>
        <v>4.8827634962754729</v>
      </c>
      <c r="N267" s="117">
        <f t="shared" si="35"/>
        <v>5.9520887019598021</v>
      </c>
      <c r="O267" s="94">
        <f t="shared" si="37"/>
        <v>0.1105311003389229</v>
      </c>
      <c r="P267" s="240"/>
    </row>
    <row r="268" spans="1:16" s="6" customFormat="1" ht="15.75">
      <c r="A268" s="268">
        <v>177</v>
      </c>
      <c r="B268" s="122" t="s">
        <v>1220</v>
      </c>
      <c r="C268" s="55">
        <v>654.13</v>
      </c>
      <c r="D268" s="256"/>
      <c r="E268" s="256"/>
      <c r="F268" s="220">
        <f t="shared" si="30"/>
        <v>654.13</v>
      </c>
      <c r="G268" s="18" t="s">
        <v>1339</v>
      </c>
      <c r="H268" s="97">
        <v>312</v>
      </c>
      <c r="I268" s="663">
        <f t="shared" si="33"/>
        <v>1.0913978348870739E-2</v>
      </c>
      <c r="J268" s="39">
        <f t="shared" si="34"/>
        <v>24.765235690773061</v>
      </c>
      <c r="K268" s="664">
        <f t="shared" si="31"/>
        <v>9.1061771634972555</v>
      </c>
      <c r="L268" s="39">
        <v>9.7529224747801191</v>
      </c>
      <c r="M268" s="39">
        <f t="shared" si="36"/>
        <v>7.4313278577460862</v>
      </c>
      <c r="N268" s="117">
        <f t="shared" si="35"/>
        <v>9.0587886585924799</v>
      </c>
      <c r="O268" s="94">
        <f t="shared" si="37"/>
        <v>7.8051248508395149E-2</v>
      </c>
      <c r="P268" s="240"/>
    </row>
    <row r="269" spans="1:16" s="6" customFormat="1" ht="15.75">
      <c r="A269" s="268">
        <v>178</v>
      </c>
      <c r="B269" s="122" t="s">
        <v>1221</v>
      </c>
      <c r="C269" s="55">
        <v>598.02</v>
      </c>
      <c r="D269" s="256"/>
      <c r="E269" s="256">
        <v>44.6</v>
      </c>
      <c r="F269" s="220">
        <f t="shared" si="30"/>
        <v>642.62</v>
      </c>
      <c r="G269" s="18" t="s">
        <v>1339</v>
      </c>
      <c r="H269" s="97">
        <v>204</v>
      </c>
      <c r="I269" s="663">
        <f t="shared" si="33"/>
        <v>7.13606276656933E-3</v>
      </c>
      <c r="J269" s="39">
        <f t="shared" si="34"/>
        <v>16.192654105505465</v>
      </c>
      <c r="K269" s="664">
        <f t="shared" si="31"/>
        <v>5.95403891459436</v>
      </c>
      <c r="L269" s="39">
        <v>6.3769108488946937</v>
      </c>
      <c r="M269" s="39">
        <f t="shared" si="36"/>
        <v>4.8589451377570567</v>
      </c>
      <c r="N269" s="117">
        <f t="shared" si="35"/>
        <v>5.9230541229258522</v>
      </c>
      <c r="O269" s="94">
        <f t="shared" si="37"/>
        <v>5.1947572448338947E-2</v>
      </c>
      <c r="P269" s="240"/>
    </row>
    <row r="270" spans="1:16" s="6" customFormat="1" ht="15.75">
      <c r="A270" s="268">
        <v>179</v>
      </c>
      <c r="B270" s="122" t="s">
        <v>1222</v>
      </c>
      <c r="C270" s="55">
        <v>278.7</v>
      </c>
      <c r="D270" s="256"/>
      <c r="E270" s="256"/>
      <c r="F270" s="220">
        <f t="shared" si="30"/>
        <v>278.7</v>
      </c>
      <c r="G270" s="18" t="s">
        <v>1339</v>
      </c>
      <c r="H270" s="97">
        <v>168</v>
      </c>
      <c r="I270" s="663">
        <f t="shared" si="33"/>
        <v>5.8767575724688595E-3</v>
      </c>
      <c r="J270" s="39">
        <f t="shared" si="34"/>
        <v>13.335126910416264</v>
      </c>
      <c r="K270" s="664">
        <f t="shared" si="31"/>
        <v>4.9033261649600606</v>
      </c>
      <c r="L270" s="39">
        <v>5.2515736402662183</v>
      </c>
      <c r="M270" s="39">
        <f t="shared" si="36"/>
        <v>4.0014842310940466</v>
      </c>
      <c r="N270" s="117">
        <f t="shared" si="35"/>
        <v>4.8778092777036433</v>
      </c>
      <c r="O270" s="94">
        <f t="shared" si="37"/>
        <v>9.8641948140425512E-2</v>
      </c>
      <c r="P270" s="240"/>
    </row>
    <row r="271" spans="1:16" s="6" customFormat="1" ht="15.75">
      <c r="A271" s="268">
        <v>180</v>
      </c>
      <c r="B271" s="122" t="s">
        <v>1223</v>
      </c>
      <c r="C271" s="55">
        <v>3583.55</v>
      </c>
      <c r="D271" s="256"/>
      <c r="E271" s="256"/>
      <c r="F271" s="220">
        <f t="shared" ref="F271:F334" si="38">C271+D271+E271</f>
        <v>3583.55</v>
      </c>
      <c r="G271" s="18" t="s">
        <v>1339</v>
      </c>
      <c r="H271" s="97">
        <v>1048</v>
      </c>
      <c r="I271" s="663">
        <f t="shared" si="33"/>
        <v>3.6659773428258123E-2</v>
      </c>
      <c r="J271" s="39">
        <f t="shared" si="34"/>
        <v>83.18579167926336</v>
      </c>
      <c r="K271" s="664">
        <f t="shared" ref="K271:K334" si="39">J271*0.3677</f>
        <v>30.587415600465139</v>
      </c>
      <c r="L271" s="39">
        <v>32.759816517851171</v>
      </c>
      <c r="M271" s="39">
        <f t="shared" si="36"/>
        <v>24.961639727300955</v>
      </c>
      <c r="N271" s="117">
        <f t="shared" si="35"/>
        <v>30.428238827579868</v>
      </c>
      <c r="O271" s="94">
        <f t="shared" si="37"/>
        <v>4.7856082243831012E-2</v>
      </c>
      <c r="P271" s="240"/>
    </row>
    <row r="272" spans="1:16" s="6" customFormat="1" ht="15.75">
      <c r="A272" s="268">
        <v>181</v>
      </c>
      <c r="B272" s="122" t="s">
        <v>1224</v>
      </c>
      <c r="C272" s="55">
        <v>486.9</v>
      </c>
      <c r="D272" s="256"/>
      <c r="E272" s="256">
        <v>26.6</v>
      </c>
      <c r="F272" s="220">
        <f t="shared" si="38"/>
        <v>513.5</v>
      </c>
      <c r="G272" s="18" t="s">
        <v>1339</v>
      </c>
      <c r="H272" s="97">
        <v>220</v>
      </c>
      <c r="I272" s="663">
        <f t="shared" si="33"/>
        <v>7.6957539639473166E-3</v>
      </c>
      <c r="J272" s="39">
        <f t="shared" si="34"/>
        <v>17.462666192211774</v>
      </c>
      <c r="K272" s="664">
        <f t="shared" si="39"/>
        <v>6.4210223588762698</v>
      </c>
      <c r="L272" s="39">
        <v>6.8770607193962379</v>
      </c>
      <c r="M272" s="39">
        <f t="shared" si="36"/>
        <v>5.2400388740517281</v>
      </c>
      <c r="N272" s="117">
        <f t="shared" si="35"/>
        <v>6.3876073874690569</v>
      </c>
      <c r="O272" s="94">
        <f t="shared" si="37"/>
        <v>7.0108642929963022E-2</v>
      </c>
      <c r="P272" s="240"/>
    </row>
    <row r="273" spans="1:16" s="6" customFormat="1" ht="15.75">
      <c r="A273" s="268">
        <v>182</v>
      </c>
      <c r="B273" s="122" t="s">
        <v>1225</v>
      </c>
      <c r="C273" s="55">
        <v>420.4</v>
      </c>
      <c r="D273" s="256"/>
      <c r="E273" s="256"/>
      <c r="F273" s="220">
        <f t="shared" si="38"/>
        <v>420.4</v>
      </c>
      <c r="G273" s="18" t="s">
        <v>1339</v>
      </c>
      <c r="H273" s="97">
        <v>68</v>
      </c>
      <c r="I273" s="663">
        <f t="shared" si="33"/>
        <v>2.3786875888564432E-3</v>
      </c>
      <c r="J273" s="39">
        <f t="shared" si="34"/>
        <v>5.397551368501821</v>
      </c>
      <c r="K273" s="664">
        <f t="shared" si="39"/>
        <v>1.9846796381981198</v>
      </c>
      <c r="L273" s="39">
        <v>2.1256369496315646</v>
      </c>
      <c r="M273" s="39">
        <f t="shared" si="36"/>
        <v>1.6196483792523522</v>
      </c>
      <c r="N273" s="117">
        <f t="shared" si="35"/>
        <v>1.9743513743086174</v>
      </c>
      <c r="O273" s="94">
        <f t="shared" si="37"/>
        <v>2.6468878058001567E-2</v>
      </c>
      <c r="P273" s="240"/>
    </row>
    <row r="274" spans="1:16" s="6" customFormat="1" ht="15.75">
      <c r="A274" s="275">
        <v>183</v>
      </c>
      <c r="B274" s="122" t="s">
        <v>1226</v>
      </c>
      <c r="C274" s="55">
        <v>313.2</v>
      </c>
      <c r="D274" s="256"/>
      <c r="E274" s="256">
        <v>31</v>
      </c>
      <c r="F274" s="220">
        <f t="shared" si="38"/>
        <v>344.2</v>
      </c>
      <c r="G274" s="18" t="s">
        <v>1339</v>
      </c>
      <c r="H274" s="97">
        <v>240</v>
      </c>
      <c r="I274" s="663">
        <f t="shared" si="33"/>
        <v>8.3953679606697997E-3</v>
      </c>
      <c r="J274" s="39">
        <f t="shared" si="34"/>
        <v>19.050181300594662</v>
      </c>
      <c r="K274" s="664">
        <f t="shared" si="39"/>
        <v>7.0047516642286576</v>
      </c>
      <c r="L274" s="39">
        <v>7.5022480575231691</v>
      </c>
      <c r="M274" s="39">
        <f t="shared" si="36"/>
        <v>5.7164060444200668</v>
      </c>
      <c r="N274" s="117">
        <f t="shared" si="35"/>
        <v>6.968298968148062</v>
      </c>
      <c r="O274" s="94">
        <f t="shared" si="37"/>
        <v>0.11410106643453385</v>
      </c>
      <c r="P274" s="240"/>
    </row>
    <row r="275" spans="1:16" s="6" customFormat="1" ht="15.75">
      <c r="A275" s="268">
        <v>184</v>
      </c>
      <c r="B275" s="122" t="s">
        <v>1227</v>
      </c>
      <c r="C275" s="55">
        <v>349.5</v>
      </c>
      <c r="D275" s="256"/>
      <c r="E275" s="256"/>
      <c r="F275" s="220">
        <f t="shared" si="38"/>
        <v>349.5</v>
      </c>
      <c r="G275" s="18" t="s">
        <v>1339</v>
      </c>
      <c r="H275" s="97">
        <v>235</v>
      </c>
      <c r="I275" s="663">
        <f t="shared" si="33"/>
        <v>8.2204644614891787E-3</v>
      </c>
      <c r="J275" s="39">
        <f t="shared" si="34"/>
        <v>18.65330252349894</v>
      </c>
      <c r="K275" s="664">
        <f t="shared" si="39"/>
        <v>6.8588193378905604</v>
      </c>
      <c r="L275" s="39">
        <v>7.3459512229914354</v>
      </c>
      <c r="M275" s="39">
        <f t="shared" si="36"/>
        <v>5.5973142518279815</v>
      </c>
      <c r="N275" s="117">
        <f t="shared" si="35"/>
        <v>6.8231260729783099</v>
      </c>
      <c r="O275" s="94">
        <f t="shared" si="37"/>
        <v>0.1100297205613989</v>
      </c>
      <c r="P275" s="240"/>
    </row>
    <row r="276" spans="1:16" s="119" customFormat="1" ht="15.75">
      <c r="A276" s="268">
        <v>185</v>
      </c>
      <c r="B276" s="122" t="s">
        <v>1228</v>
      </c>
      <c r="C276" s="348">
        <v>350</v>
      </c>
      <c r="D276" s="349">
        <v>24.5</v>
      </c>
      <c r="E276" s="349">
        <v>63.2</v>
      </c>
      <c r="F276" s="220">
        <f t="shared" si="38"/>
        <v>437.7</v>
      </c>
      <c r="G276" s="18" t="s">
        <v>1340</v>
      </c>
      <c r="H276" s="97">
        <v>345</v>
      </c>
      <c r="I276" s="663">
        <f t="shared" si="33"/>
        <v>1.2068341443462837E-2</v>
      </c>
      <c r="J276" s="39">
        <f t="shared" si="34"/>
        <v>27.384635619604829</v>
      </c>
      <c r="K276" s="664">
        <f t="shared" si="39"/>
        <v>10.069330517328696</v>
      </c>
      <c r="L276" s="39">
        <v>10.784481582689555</v>
      </c>
      <c r="M276" s="39">
        <f>I276*376.38</f>
        <v>4.5422823524905427</v>
      </c>
      <c r="N276" s="117">
        <f t="shared" si="35"/>
        <v>5.5370421876859721</v>
      </c>
      <c r="O276" s="94">
        <f t="shared" si="37"/>
        <v>0.12058654345924977</v>
      </c>
      <c r="P276" s="346"/>
    </row>
    <row r="277" spans="1:16" s="119" customFormat="1" ht="15.75">
      <c r="A277" s="268">
        <v>186</v>
      </c>
      <c r="B277" s="273" t="s">
        <v>1229</v>
      </c>
      <c r="C277" s="348">
        <v>483.54</v>
      </c>
      <c r="D277" s="349">
        <v>72.2</v>
      </c>
      <c r="E277" s="349"/>
      <c r="F277" s="220">
        <f t="shared" si="38"/>
        <v>555.74</v>
      </c>
      <c r="G277" s="18" t="s">
        <v>1340</v>
      </c>
      <c r="H277" s="97">
        <v>460</v>
      </c>
      <c r="I277" s="663">
        <f t="shared" si="33"/>
        <v>1.6091121924617115E-2</v>
      </c>
      <c r="J277" s="39">
        <f t="shared" si="34"/>
        <v>36.512847492806436</v>
      </c>
      <c r="K277" s="664">
        <f t="shared" si="39"/>
        <v>13.425774023104928</v>
      </c>
      <c r="L277" s="39">
        <v>14.379308776919407</v>
      </c>
      <c r="M277" s="39">
        <f>I277*376.38</f>
        <v>6.0563764699873897</v>
      </c>
      <c r="N277" s="117">
        <f t="shared" si="35"/>
        <v>7.3827229169146289</v>
      </c>
      <c r="O277" s="94">
        <f t="shared" si="37"/>
        <v>0.12663171044520485</v>
      </c>
      <c r="P277" s="346"/>
    </row>
    <row r="278" spans="1:16" s="119" customFormat="1" ht="15.75">
      <c r="A278" s="268">
        <v>187</v>
      </c>
      <c r="B278" s="122" t="s">
        <v>1230</v>
      </c>
      <c r="C278" s="348">
        <v>381.8</v>
      </c>
      <c r="D278" s="349"/>
      <c r="E278" s="349">
        <v>14.8</v>
      </c>
      <c r="F278" s="220">
        <f t="shared" si="38"/>
        <v>396.6</v>
      </c>
      <c r="G278" s="18" t="s">
        <v>1340</v>
      </c>
      <c r="H278" s="97">
        <v>370</v>
      </c>
      <c r="I278" s="663">
        <f t="shared" si="33"/>
        <v>1.2942858939365941E-2</v>
      </c>
      <c r="J278" s="39">
        <f t="shared" si="34"/>
        <v>29.369029505083439</v>
      </c>
      <c r="K278" s="664">
        <f t="shared" si="39"/>
        <v>10.798992149019181</v>
      </c>
      <c r="L278" s="39">
        <v>11.56596575534822</v>
      </c>
      <c r="M278" s="39">
        <f>I278*376.38</f>
        <v>4.8714332475985529</v>
      </c>
      <c r="N278" s="117">
        <f t="shared" si="35"/>
        <v>5.9382771288226364</v>
      </c>
      <c r="O278" s="94">
        <f t="shared" si="37"/>
        <v>0.14272672883774429</v>
      </c>
      <c r="P278" s="346"/>
    </row>
    <row r="279" spans="1:16" s="119" customFormat="1" ht="15.75">
      <c r="A279" s="268">
        <v>188</v>
      </c>
      <c r="B279" s="122" t="s">
        <v>1231</v>
      </c>
      <c r="C279" s="348">
        <v>1654.3</v>
      </c>
      <c r="D279" s="349">
        <v>62.7</v>
      </c>
      <c r="E279" s="349">
        <v>61.9</v>
      </c>
      <c r="F279" s="220">
        <f t="shared" si="38"/>
        <v>1778.9</v>
      </c>
      <c r="G279" s="18" t="s">
        <v>1340</v>
      </c>
      <c r="H279" s="97">
        <v>897</v>
      </c>
      <c r="I279" s="663">
        <f t="shared" si="33"/>
        <v>3.1377687753003376E-2</v>
      </c>
      <c r="J279" s="39">
        <f t="shared" si="34"/>
        <v>71.200052610972548</v>
      </c>
      <c r="K279" s="664">
        <f t="shared" si="39"/>
        <v>26.180259345054608</v>
      </c>
      <c r="L279" s="39">
        <v>28.03965211499284</v>
      </c>
      <c r="M279" s="39">
        <f>I279*376.38</f>
        <v>11.809934116475411</v>
      </c>
      <c r="N279" s="117">
        <f t="shared" si="35"/>
        <v>14.396309687983527</v>
      </c>
      <c r="O279" s="94">
        <f t="shared" si="37"/>
        <v>7.7143121135249529E-2</v>
      </c>
      <c r="P279" s="346"/>
    </row>
    <row r="280" spans="1:16" s="6" customFormat="1" ht="15.75">
      <c r="A280" s="268">
        <v>189</v>
      </c>
      <c r="B280" s="122" t="s">
        <v>1232</v>
      </c>
      <c r="C280" s="55">
        <v>709.28</v>
      </c>
      <c r="D280" s="256"/>
      <c r="E280" s="256">
        <v>22.5</v>
      </c>
      <c r="F280" s="220">
        <f t="shared" si="38"/>
        <v>731.78</v>
      </c>
      <c r="G280" s="18" t="s">
        <v>1339</v>
      </c>
      <c r="H280" s="97">
        <v>407</v>
      </c>
      <c r="I280" s="663">
        <f t="shared" si="33"/>
        <v>1.4237144833302535E-2</v>
      </c>
      <c r="J280" s="39">
        <f t="shared" si="34"/>
        <v>32.30593245559178</v>
      </c>
      <c r="K280" s="664">
        <f t="shared" si="39"/>
        <v>11.878891363921099</v>
      </c>
      <c r="L280" s="39">
        <v>12.722562330883042</v>
      </c>
      <c r="M280" s="39">
        <f t="shared" ref="M280:M327" si="40">I280*680.9</f>
        <v>9.6940719169956964</v>
      </c>
      <c r="N280" s="117">
        <f t="shared" si="35"/>
        <v>11.817073666817755</v>
      </c>
      <c r="O280" s="94">
        <f t="shared" si="37"/>
        <v>9.1012952072196049E-2</v>
      </c>
      <c r="P280" s="240"/>
    </row>
    <row r="281" spans="1:16" s="6" customFormat="1" ht="15.75">
      <c r="A281" s="275">
        <v>190</v>
      </c>
      <c r="B281" s="122" t="s">
        <v>1233</v>
      </c>
      <c r="C281" s="55">
        <v>185.4</v>
      </c>
      <c r="D281" s="256"/>
      <c r="E281" s="256"/>
      <c r="F281" s="220">
        <f t="shared" si="38"/>
        <v>185.4</v>
      </c>
      <c r="G281" s="18" t="s">
        <v>1339</v>
      </c>
      <c r="H281" s="97">
        <v>211</v>
      </c>
      <c r="I281" s="663">
        <f t="shared" si="33"/>
        <v>7.3809276654221989E-3</v>
      </c>
      <c r="J281" s="39">
        <f t="shared" si="34"/>
        <v>16.748284393439477</v>
      </c>
      <c r="K281" s="664">
        <f t="shared" si="39"/>
        <v>6.1583441714676956</v>
      </c>
      <c r="L281" s="39">
        <v>6.5957264172391197</v>
      </c>
      <c r="M281" s="39">
        <f t="shared" si="40"/>
        <v>5.0256736473859753</v>
      </c>
      <c r="N281" s="117">
        <f t="shared" si="35"/>
        <v>6.1262961761635042</v>
      </c>
      <c r="O281" s="94">
        <f t="shared" si="37"/>
        <v>0.18623532162638765</v>
      </c>
      <c r="P281" s="240"/>
    </row>
    <row r="282" spans="1:16" s="6" customFormat="1" ht="15.75">
      <c r="A282" s="268">
        <v>191</v>
      </c>
      <c r="B282" s="122" t="s">
        <v>1234</v>
      </c>
      <c r="C282" s="55">
        <v>478.6</v>
      </c>
      <c r="D282" s="256"/>
      <c r="E282" s="256"/>
      <c r="F282" s="220">
        <f t="shared" si="38"/>
        <v>478.6</v>
      </c>
      <c r="G282" s="18" t="s">
        <v>1339</v>
      </c>
      <c r="H282" s="97">
        <v>413</v>
      </c>
      <c r="I282" s="663">
        <f t="shared" si="33"/>
        <v>1.4447029032319279E-2</v>
      </c>
      <c r="J282" s="39">
        <f t="shared" si="34"/>
        <v>32.782186988106645</v>
      </c>
      <c r="K282" s="664">
        <f t="shared" si="39"/>
        <v>12.054010155526814</v>
      </c>
      <c r="L282" s="39">
        <v>12.910118532321119</v>
      </c>
      <c r="M282" s="39">
        <f t="shared" si="40"/>
        <v>9.836982068106197</v>
      </c>
      <c r="N282" s="117">
        <f t="shared" si="35"/>
        <v>11.991281141021455</v>
      </c>
      <c r="O282" s="94">
        <f t="shared" si="37"/>
        <v>0.14121040063531293</v>
      </c>
      <c r="P282" s="240"/>
    </row>
    <row r="283" spans="1:16" s="6" customFormat="1" ht="15.75">
      <c r="A283" s="268">
        <v>192</v>
      </c>
      <c r="B283" s="122" t="s">
        <v>1235</v>
      </c>
      <c r="C283" s="55">
        <v>496.38</v>
      </c>
      <c r="D283" s="256"/>
      <c r="E283" s="256"/>
      <c r="F283" s="220">
        <f t="shared" si="38"/>
        <v>496.38</v>
      </c>
      <c r="G283" s="18" t="s">
        <v>1339</v>
      </c>
      <c r="H283" s="97">
        <v>256</v>
      </c>
      <c r="I283" s="663">
        <f t="shared" si="33"/>
        <v>8.9550591580477863E-3</v>
      </c>
      <c r="J283" s="39">
        <f t="shared" si="34"/>
        <v>20.320193387300975</v>
      </c>
      <c r="K283" s="664">
        <f t="shared" si="39"/>
        <v>7.4717351085105692</v>
      </c>
      <c r="L283" s="39">
        <v>8.0023979280247133</v>
      </c>
      <c r="M283" s="39">
        <f t="shared" si="40"/>
        <v>6.0974997807147373</v>
      </c>
      <c r="N283" s="117">
        <f t="shared" si="35"/>
        <v>7.4328522326912649</v>
      </c>
      <c r="O283" s="94">
        <f t="shared" si="37"/>
        <v>8.4394669818588577E-2</v>
      </c>
      <c r="P283" s="240"/>
    </row>
    <row r="284" spans="1:16" s="6" customFormat="1" ht="15.75">
      <c r="A284" s="268">
        <v>193</v>
      </c>
      <c r="B284" s="122" t="s">
        <v>1236</v>
      </c>
      <c r="C284" s="55">
        <v>182.3</v>
      </c>
      <c r="D284" s="256"/>
      <c r="E284" s="256">
        <v>78.5</v>
      </c>
      <c r="F284" s="220">
        <f t="shared" si="38"/>
        <v>260.8</v>
      </c>
      <c r="G284" s="18" t="s">
        <v>1339</v>
      </c>
      <c r="H284" s="97">
        <v>158</v>
      </c>
      <c r="I284" s="663">
        <f t="shared" ref="I284:I347" si="41">4/114348.77*H284</f>
        <v>5.5269505741076183E-3</v>
      </c>
      <c r="J284" s="39">
        <f t="shared" si="34"/>
        <v>12.54136935622482</v>
      </c>
      <c r="K284" s="664">
        <f t="shared" si="39"/>
        <v>4.6114615122838662</v>
      </c>
      <c r="L284" s="39">
        <v>4.9389799712027527</v>
      </c>
      <c r="M284" s="39">
        <f t="shared" si="40"/>
        <v>3.7633006459098772</v>
      </c>
      <c r="N284" s="117">
        <f t="shared" si="35"/>
        <v>4.5874634873641407</v>
      </c>
      <c r="O284" s="94">
        <f t="shared" si="37"/>
        <v>9.913769741419215E-2</v>
      </c>
      <c r="P284" s="240"/>
    </row>
    <row r="285" spans="1:16" s="6" customFormat="1" ht="15.75">
      <c r="A285" s="268">
        <v>194</v>
      </c>
      <c r="B285" s="122" t="s">
        <v>1237</v>
      </c>
      <c r="C285" s="55">
        <v>282.8</v>
      </c>
      <c r="D285" s="256"/>
      <c r="E285" s="256"/>
      <c r="F285" s="220">
        <f t="shared" si="38"/>
        <v>282.8</v>
      </c>
      <c r="G285" s="18" t="s">
        <v>1339</v>
      </c>
      <c r="H285" s="97">
        <v>270</v>
      </c>
      <c r="I285" s="663">
        <f t="shared" si="41"/>
        <v>9.444788955753524E-3</v>
      </c>
      <c r="J285" s="39">
        <f t="shared" ref="J285:J348" si="42">I285*2269.13</f>
        <v>21.431453963168995</v>
      </c>
      <c r="K285" s="664">
        <f t="shared" si="39"/>
        <v>7.8803456222572397</v>
      </c>
      <c r="L285" s="39">
        <v>8.4400290647135652</v>
      </c>
      <c r="M285" s="39">
        <f t="shared" si="40"/>
        <v>6.4309567999725745</v>
      </c>
      <c r="N285" s="117">
        <f t="shared" ref="N285:N348" si="43">M285*1.219</f>
        <v>7.8393363391665689</v>
      </c>
      <c r="O285" s="94">
        <f t="shared" si="37"/>
        <v>0.15623332903151477</v>
      </c>
      <c r="P285" s="240"/>
    </row>
    <row r="286" spans="1:16" s="6" customFormat="1" ht="15.75">
      <c r="A286" s="268">
        <v>195</v>
      </c>
      <c r="B286" s="122" t="s">
        <v>1238</v>
      </c>
      <c r="C286" s="55">
        <v>227.3</v>
      </c>
      <c r="D286" s="256"/>
      <c r="E286" s="256"/>
      <c r="F286" s="220">
        <f t="shared" si="38"/>
        <v>227.3</v>
      </c>
      <c r="G286" s="18" t="s">
        <v>1339</v>
      </c>
      <c r="H286" s="97">
        <v>312</v>
      </c>
      <c r="I286" s="663">
        <f t="shared" si="41"/>
        <v>1.0913978348870739E-2</v>
      </c>
      <c r="J286" s="39">
        <f t="shared" si="42"/>
        <v>24.765235690773061</v>
      </c>
      <c r="K286" s="664">
        <f t="shared" si="39"/>
        <v>9.1061771634972555</v>
      </c>
      <c r="L286" s="39">
        <v>9.7529224747801191</v>
      </c>
      <c r="M286" s="39">
        <f t="shared" si="40"/>
        <v>7.4313278577460862</v>
      </c>
      <c r="N286" s="117">
        <f t="shared" si="43"/>
        <v>9.0587886585924799</v>
      </c>
      <c r="O286" s="94">
        <f t="shared" si="37"/>
        <v>0.22461796386624075</v>
      </c>
      <c r="P286" s="240"/>
    </row>
    <row r="287" spans="1:16" s="6" customFormat="1" ht="15.75">
      <c r="A287" s="268">
        <v>196</v>
      </c>
      <c r="B287" s="122" t="s">
        <v>1239</v>
      </c>
      <c r="C287" s="55">
        <v>7849.73</v>
      </c>
      <c r="D287" s="256"/>
      <c r="E287" s="256"/>
      <c r="F287" s="220">
        <f t="shared" si="38"/>
        <v>7849.73</v>
      </c>
      <c r="G287" s="18" t="s">
        <v>1339</v>
      </c>
      <c r="H287" s="97">
        <v>3591</v>
      </c>
      <c r="I287" s="663">
        <f t="shared" si="41"/>
        <v>0.12561569311152188</v>
      </c>
      <c r="J287" s="39">
        <f t="shared" si="42"/>
        <v>285.03833771014763</v>
      </c>
      <c r="K287" s="664">
        <f t="shared" si="39"/>
        <v>104.80859677602129</v>
      </c>
      <c r="L287" s="39">
        <v>112.25238656069041</v>
      </c>
      <c r="M287" s="39">
        <f t="shared" si="40"/>
        <v>85.531725439635238</v>
      </c>
      <c r="N287" s="117">
        <f t="shared" si="43"/>
        <v>104.26317331091536</v>
      </c>
      <c r="O287" s="94">
        <f t="shared" si="37"/>
        <v>7.4860032954827058E-2</v>
      </c>
      <c r="P287" s="240"/>
    </row>
    <row r="288" spans="1:16" s="6" customFormat="1" ht="15.75">
      <c r="A288" s="275">
        <v>197</v>
      </c>
      <c r="B288" s="122" t="s">
        <v>1240</v>
      </c>
      <c r="C288" s="55">
        <v>388.5</v>
      </c>
      <c r="D288" s="256">
        <v>24.1</v>
      </c>
      <c r="E288" s="256">
        <v>41.6</v>
      </c>
      <c r="F288" s="220">
        <f t="shared" si="38"/>
        <v>454.20000000000005</v>
      </c>
      <c r="G288" s="18" t="s">
        <v>1339</v>
      </c>
      <c r="H288" s="97">
        <v>627</v>
      </c>
      <c r="I288" s="663">
        <f t="shared" si="41"/>
        <v>2.1932898797249852E-2</v>
      </c>
      <c r="J288" s="39">
        <f t="shared" si="42"/>
        <v>49.768598647803557</v>
      </c>
      <c r="K288" s="664">
        <f t="shared" si="39"/>
        <v>18.29991372279737</v>
      </c>
      <c r="L288" s="39">
        <v>19.599623050279277</v>
      </c>
      <c r="M288" s="39">
        <f t="shared" si="40"/>
        <v>14.934110791047424</v>
      </c>
      <c r="N288" s="117">
        <f t="shared" si="43"/>
        <v>18.204681054286812</v>
      </c>
      <c r="O288" s="94">
        <f t="shared" si="37"/>
        <v>0.22589662309979658</v>
      </c>
      <c r="P288" s="240"/>
    </row>
    <row r="289" spans="1:16" s="6" customFormat="1" ht="15.75">
      <c r="A289" s="268">
        <v>198</v>
      </c>
      <c r="B289" s="122" t="s">
        <v>1241</v>
      </c>
      <c r="C289" s="55">
        <v>380</v>
      </c>
      <c r="D289" s="256">
        <v>28.6</v>
      </c>
      <c r="E289" s="256">
        <v>85.3</v>
      </c>
      <c r="F289" s="220">
        <f t="shared" si="38"/>
        <v>493.90000000000003</v>
      </c>
      <c r="G289" s="18" t="s">
        <v>1339</v>
      </c>
      <c r="H289" s="97">
        <v>319</v>
      </c>
      <c r="I289" s="663">
        <f t="shared" si="41"/>
        <v>1.1158843247723609E-2</v>
      </c>
      <c r="J289" s="39">
        <f t="shared" si="42"/>
        <v>25.320865978707072</v>
      </c>
      <c r="K289" s="664">
        <f t="shared" si="39"/>
        <v>9.3104824203705903</v>
      </c>
      <c r="L289" s="39">
        <v>9.9717380431245459</v>
      </c>
      <c r="M289" s="39">
        <f t="shared" si="40"/>
        <v>7.5980563673750048</v>
      </c>
      <c r="N289" s="117">
        <f t="shared" si="43"/>
        <v>9.2620307118301319</v>
      </c>
      <c r="O289" s="94">
        <f t="shared" si="37"/>
        <v>0.10569172466000649</v>
      </c>
      <c r="P289" s="240"/>
    </row>
    <row r="290" spans="1:16" s="6" customFormat="1" ht="15.75">
      <c r="A290" s="268">
        <v>199</v>
      </c>
      <c r="B290" s="122" t="s">
        <v>1242</v>
      </c>
      <c r="C290" s="55">
        <v>580.32000000000005</v>
      </c>
      <c r="D290" s="256"/>
      <c r="E290" s="256">
        <v>118.5</v>
      </c>
      <c r="F290" s="220">
        <f t="shared" si="38"/>
        <v>698.82</v>
      </c>
      <c r="G290" s="18" t="s">
        <v>1339</v>
      </c>
      <c r="H290" s="97">
        <v>487</v>
      </c>
      <c r="I290" s="663">
        <f t="shared" si="41"/>
        <v>1.7035600820192467E-2</v>
      </c>
      <c r="J290" s="39">
        <f t="shared" si="42"/>
        <v>38.655992889123333</v>
      </c>
      <c r="K290" s="664">
        <f t="shared" si="39"/>
        <v>14.21380858533065</v>
      </c>
      <c r="L290" s="39">
        <v>15.223311683390765</v>
      </c>
      <c r="M290" s="39">
        <f t="shared" si="40"/>
        <v>11.599540598469051</v>
      </c>
      <c r="N290" s="117">
        <f t="shared" si="43"/>
        <v>14.139839989533774</v>
      </c>
      <c r="O290" s="94">
        <f t="shared" si="37"/>
        <v>0.11403888520121605</v>
      </c>
      <c r="P290" s="240"/>
    </row>
    <row r="291" spans="1:16" s="6" customFormat="1" ht="15.75">
      <c r="A291" s="268">
        <v>200</v>
      </c>
      <c r="B291" s="122" t="s">
        <v>1243</v>
      </c>
      <c r="C291" s="55">
        <v>478.62</v>
      </c>
      <c r="D291" s="256">
        <v>27.8</v>
      </c>
      <c r="E291" s="256">
        <v>53.1</v>
      </c>
      <c r="F291" s="220">
        <f t="shared" si="38"/>
        <v>559.52</v>
      </c>
      <c r="G291" s="18" t="s">
        <v>1339</v>
      </c>
      <c r="H291" s="97">
        <v>465</v>
      </c>
      <c r="I291" s="663">
        <f t="shared" si="41"/>
        <v>1.6266025423797736E-2</v>
      </c>
      <c r="J291" s="39">
        <f t="shared" si="42"/>
        <v>36.909726269902158</v>
      </c>
      <c r="K291" s="664">
        <f t="shared" si="39"/>
        <v>13.571706349443025</v>
      </c>
      <c r="L291" s="39">
        <v>14.535605611451141</v>
      </c>
      <c r="M291" s="39">
        <f t="shared" si="40"/>
        <v>11.075536711063878</v>
      </c>
      <c r="N291" s="117">
        <f t="shared" si="43"/>
        <v>13.501079250786868</v>
      </c>
      <c r="O291" s="94">
        <f t="shared" si="37"/>
        <v>0.13599616625296718</v>
      </c>
      <c r="P291" s="240"/>
    </row>
    <row r="292" spans="1:16" s="6" customFormat="1" ht="15.75">
      <c r="A292" s="268">
        <v>201</v>
      </c>
      <c r="B292" s="122" t="s">
        <v>1244</v>
      </c>
      <c r="C292" s="55">
        <v>781.2</v>
      </c>
      <c r="D292" s="256">
        <v>176.8</v>
      </c>
      <c r="E292" s="256"/>
      <c r="F292" s="220">
        <f t="shared" si="38"/>
        <v>958</v>
      </c>
      <c r="G292" s="18" t="s">
        <v>1339</v>
      </c>
      <c r="H292" s="97">
        <v>750</v>
      </c>
      <c r="I292" s="663">
        <f t="shared" si="41"/>
        <v>2.6235524877093123E-2</v>
      </c>
      <c r="J292" s="39">
        <f t="shared" si="42"/>
        <v>59.531816564358323</v>
      </c>
      <c r="K292" s="664">
        <f t="shared" si="39"/>
        <v>21.889848950714558</v>
      </c>
      <c r="L292" s="39">
        <v>23.444525179759903</v>
      </c>
      <c r="M292" s="39">
        <f t="shared" si="40"/>
        <v>17.863768888812707</v>
      </c>
      <c r="N292" s="117">
        <f t="shared" si="43"/>
        <v>21.775934275462692</v>
      </c>
      <c r="O292" s="94">
        <f t="shared" si="37"/>
        <v>0.12811060499336691</v>
      </c>
      <c r="P292" s="240"/>
    </row>
    <row r="293" spans="1:16" s="6" customFormat="1" ht="15.75">
      <c r="A293" s="268">
        <v>202</v>
      </c>
      <c r="B293" s="122" t="s">
        <v>1245</v>
      </c>
      <c r="C293" s="55">
        <v>676.2</v>
      </c>
      <c r="D293" s="256">
        <v>23.8</v>
      </c>
      <c r="E293" s="256"/>
      <c r="F293" s="220">
        <f t="shared" si="38"/>
        <v>700</v>
      </c>
      <c r="G293" s="18" t="s">
        <v>1339</v>
      </c>
      <c r="H293" s="97">
        <v>670</v>
      </c>
      <c r="I293" s="663">
        <f t="shared" si="41"/>
        <v>2.3437068890203191E-2</v>
      </c>
      <c r="J293" s="39">
        <f t="shared" si="42"/>
        <v>53.18175613082677</v>
      </c>
      <c r="K293" s="664">
        <f t="shared" si="39"/>
        <v>19.554931729305004</v>
      </c>
      <c r="L293" s="39">
        <v>20.943775827252178</v>
      </c>
      <c r="M293" s="39">
        <f t="shared" si="40"/>
        <v>15.958300207339352</v>
      </c>
      <c r="N293" s="117">
        <f t="shared" si="43"/>
        <v>19.453167952746671</v>
      </c>
      <c r="O293" s="94">
        <f t="shared" si="37"/>
        <v>0.15662680556389041</v>
      </c>
      <c r="P293" s="240"/>
    </row>
    <row r="294" spans="1:16" s="6" customFormat="1" ht="15.75">
      <c r="A294" s="268">
        <v>203</v>
      </c>
      <c r="B294" s="122" t="s">
        <v>1246</v>
      </c>
      <c r="C294" s="55">
        <v>209.86</v>
      </c>
      <c r="D294" s="256"/>
      <c r="E294" s="256"/>
      <c r="F294" s="220">
        <f t="shared" si="38"/>
        <v>209.86</v>
      </c>
      <c r="G294" s="18" t="s">
        <v>1339</v>
      </c>
      <c r="H294" s="97">
        <v>213</v>
      </c>
      <c r="I294" s="663">
        <f t="shared" si="41"/>
        <v>7.4508890650944468E-3</v>
      </c>
      <c r="J294" s="39">
        <f t="shared" si="42"/>
        <v>16.907035904277762</v>
      </c>
      <c r="K294" s="664">
        <f t="shared" si="39"/>
        <v>6.2167171020029341</v>
      </c>
      <c r="L294" s="39">
        <v>6.6582451510518128</v>
      </c>
      <c r="M294" s="39">
        <f t="shared" si="40"/>
        <v>5.0733103644228086</v>
      </c>
      <c r="N294" s="117">
        <f t="shared" si="43"/>
        <v>6.184365334231404</v>
      </c>
      <c r="O294" s="94">
        <f t="shared" si="37"/>
        <v>0.16608838521755132</v>
      </c>
      <c r="P294" s="240"/>
    </row>
    <row r="295" spans="1:16" s="6" customFormat="1" ht="15.75">
      <c r="A295" s="275">
        <v>204</v>
      </c>
      <c r="B295" s="122" t="s">
        <v>1247</v>
      </c>
      <c r="C295" s="55">
        <v>577.53</v>
      </c>
      <c r="D295" s="256"/>
      <c r="E295" s="256"/>
      <c r="F295" s="220">
        <f t="shared" si="38"/>
        <v>577.53</v>
      </c>
      <c r="G295" s="18" t="s">
        <v>1339</v>
      </c>
      <c r="H295" s="97">
        <v>190</v>
      </c>
      <c r="I295" s="663">
        <f t="shared" si="41"/>
        <v>6.6463329688635914E-3</v>
      </c>
      <c r="J295" s="39">
        <f t="shared" si="42"/>
        <v>15.081393529637442</v>
      </c>
      <c r="K295" s="664">
        <f t="shared" si="39"/>
        <v>5.5454284008476877</v>
      </c>
      <c r="L295" s="39">
        <v>5.9392797122058418</v>
      </c>
      <c r="M295" s="39">
        <f t="shared" si="40"/>
        <v>4.5254881184992195</v>
      </c>
      <c r="N295" s="117">
        <f t="shared" si="43"/>
        <v>5.5165700164505491</v>
      </c>
      <c r="O295" s="94">
        <f t="shared" si="37"/>
        <v>5.3835454021765435E-2</v>
      </c>
      <c r="P295" s="240"/>
    </row>
    <row r="296" spans="1:16" s="6" customFormat="1" ht="15.75">
      <c r="A296" s="268">
        <v>205</v>
      </c>
      <c r="B296" s="122" t="s">
        <v>1248</v>
      </c>
      <c r="C296" s="55">
        <v>265.16000000000003</v>
      </c>
      <c r="D296" s="256"/>
      <c r="E296" s="256"/>
      <c r="F296" s="220">
        <f t="shared" si="38"/>
        <v>265.16000000000003</v>
      </c>
      <c r="G296" s="18" t="s">
        <v>1339</v>
      </c>
      <c r="H296" s="97">
        <v>188</v>
      </c>
      <c r="I296" s="663">
        <f t="shared" si="41"/>
        <v>6.5763715691913426E-3</v>
      </c>
      <c r="J296" s="39">
        <f t="shared" si="42"/>
        <v>14.922642018799152</v>
      </c>
      <c r="K296" s="664">
        <f t="shared" si="39"/>
        <v>5.4870554703124483</v>
      </c>
      <c r="L296" s="39">
        <v>5.8767609783931487</v>
      </c>
      <c r="M296" s="39">
        <f t="shared" si="40"/>
        <v>4.4778514014623854</v>
      </c>
      <c r="N296" s="117">
        <f t="shared" si="43"/>
        <v>5.4585008583826484</v>
      </c>
      <c r="O296" s="94">
        <f t="shared" si="37"/>
        <v>0.11602168452619978</v>
      </c>
      <c r="P296" s="240"/>
    </row>
    <row r="297" spans="1:16" s="6" customFormat="1" ht="15.75">
      <c r="A297" s="268">
        <v>206</v>
      </c>
      <c r="B297" s="122" t="s">
        <v>1249</v>
      </c>
      <c r="C297" s="55">
        <v>134.88</v>
      </c>
      <c r="D297" s="256"/>
      <c r="E297" s="256"/>
      <c r="F297" s="220">
        <f t="shared" si="38"/>
        <v>134.88</v>
      </c>
      <c r="G297" s="18" t="s">
        <v>1339</v>
      </c>
      <c r="H297" s="97">
        <v>115</v>
      </c>
      <c r="I297" s="663">
        <f t="shared" si="41"/>
        <v>4.0227804811542789E-3</v>
      </c>
      <c r="J297" s="39">
        <f t="shared" si="42"/>
        <v>9.1282118732016091</v>
      </c>
      <c r="K297" s="664">
        <f t="shared" si="39"/>
        <v>3.3564435057762321</v>
      </c>
      <c r="L297" s="39">
        <v>3.5948271942298518</v>
      </c>
      <c r="M297" s="39">
        <f t="shared" si="40"/>
        <v>2.7391112296179485</v>
      </c>
      <c r="N297" s="117">
        <f t="shared" si="43"/>
        <v>3.3389765889042793</v>
      </c>
      <c r="O297" s="94">
        <f t="shared" si="37"/>
        <v>0.13952100980742616</v>
      </c>
      <c r="P297" s="240"/>
    </row>
    <row r="298" spans="1:16" s="6" customFormat="1" ht="15.75">
      <c r="A298" s="268">
        <v>207</v>
      </c>
      <c r="B298" s="122" t="s">
        <v>1250</v>
      </c>
      <c r="C298" s="55">
        <v>383.74</v>
      </c>
      <c r="D298" s="256"/>
      <c r="E298" s="256">
        <v>43.6</v>
      </c>
      <c r="F298" s="220">
        <f t="shared" si="38"/>
        <v>427.34000000000003</v>
      </c>
      <c r="G298" s="18" t="s">
        <v>1339</v>
      </c>
      <c r="H298" s="97">
        <v>225</v>
      </c>
      <c r="I298" s="663">
        <f t="shared" si="41"/>
        <v>7.8706574631279367E-3</v>
      </c>
      <c r="J298" s="39">
        <f t="shared" si="42"/>
        <v>17.859544969307496</v>
      </c>
      <c r="K298" s="664">
        <f t="shared" si="39"/>
        <v>6.566954685214367</v>
      </c>
      <c r="L298" s="39">
        <v>7.0333575539279716</v>
      </c>
      <c r="M298" s="39">
        <f t="shared" si="40"/>
        <v>5.3591306666438117</v>
      </c>
      <c r="N298" s="117">
        <f t="shared" si="43"/>
        <v>6.5327802826388073</v>
      </c>
      <c r="O298" s="94">
        <f t="shared" si="37"/>
        <v>8.6158533895946188E-2</v>
      </c>
      <c r="P298" s="240"/>
    </row>
    <row r="299" spans="1:16" s="6" customFormat="1" ht="15.75">
      <c r="A299" s="268">
        <v>208</v>
      </c>
      <c r="B299" s="122" t="s">
        <v>1251</v>
      </c>
      <c r="C299" s="55">
        <v>569.4</v>
      </c>
      <c r="D299" s="256"/>
      <c r="E299" s="256">
        <v>33.6</v>
      </c>
      <c r="F299" s="220">
        <f t="shared" si="38"/>
        <v>603</v>
      </c>
      <c r="G299" s="18" t="s">
        <v>1339</v>
      </c>
      <c r="H299" s="97">
        <v>286</v>
      </c>
      <c r="I299" s="663">
        <f t="shared" si="41"/>
        <v>1.0004480153131511E-2</v>
      </c>
      <c r="J299" s="39">
        <f t="shared" si="42"/>
        <v>22.701466049875307</v>
      </c>
      <c r="K299" s="664">
        <f t="shared" si="39"/>
        <v>8.3473290665391513</v>
      </c>
      <c r="L299" s="39">
        <v>8.9401789352151102</v>
      </c>
      <c r="M299" s="39">
        <f t="shared" si="40"/>
        <v>6.812050536267245</v>
      </c>
      <c r="N299" s="117">
        <f t="shared" si="43"/>
        <v>8.3038896037097718</v>
      </c>
      <c r="O299" s="94">
        <f t="shared" si="37"/>
        <v>7.7613639449248442E-2</v>
      </c>
      <c r="P299" s="240"/>
    </row>
    <row r="300" spans="1:16" s="6" customFormat="1" ht="15.75">
      <c r="A300" s="268">
        <v>209</v>
      </c>
      <c r="B300" s="122" t="s">
        <v>1252</v>
      </c>
      <c r="C300" s="55">
        <v>340.6</v>
      </c>
      <c r="D300" s="256">
        <v>35.1</v>
      </c>
      <c r="E300" s="256"/>
      <c r="F300" s="220">
        <f t="shared" si="38"/>
        <v>375.70000000000005</v>
      </c>
      <c r="G300" s="18" t="s">
        <v>1339</v>
      </c>
      <c r="H300" s="97">
        <v>241</v>
      </c>
      <c r="I300" s="663">
        <f t="shared" si="41"/>
        <v>8.4303486605059232E-3</v>
      </c>
      <c r="J300" s="39">
        <f t="shared" si="42"/>
        <v>19.129557056013805</v>
      </c>
      <c r="K300" s="664">
        <f t="shared" si="39"/>
        <v>7.0339381294962768</v>
      </c>
      <c r="L300" s="39">
        <v>7.5335074244295157</v>
      </c>
      <c r="M300" s="39">
        <f t="shared" si="40"/>
        <v>5.740224402938483</v>
      </c>
      <c r="N300" s="117">
        <f t="shared" si="43"/>
        <v>6.9973335471820111</v>
      </c>
      <c r="O300" s="94">
        <f t="shared" si="37"/>
        <v>0.10496999471088123</v>
      </c>
      <c r="P300" s="240"/>
    </row>
    <row r="301" spans="1:16" s="6" customFormat="1" ht="15.75">
      <c r="A301" s="268">
        <v>210</v>
      </c>
      <c r="B301" s="122" t="s">
        <v>1253</v>
      </c>
      <c r="C301" s="55">
        <v>587.91999999999996</v>
      </c>
      <c r="D301" s="256"/>
      <c r="E301" s="256">
        <v>19.7</v>
      </c>
      <c r="F301" s="220">
        <f t="shared" si="38"/>
        <v>607.62</v>
      </c>
      <c r="G301" s="18" t="s">
        <v>1339</v>
      </c>
      <c r="H301" s="97">
        <v>478</v>
      </c>
      <c r="I301" s="663">
        <f t="shared" si="41"/>
        <v>1.6720774521667352E-2</v>
      </c>
      <c r="J301" s="39">
        <f t="shared" si="42"/>
        <v>37.941611090351039</v>
      </c>
      <c r="K301" s="664">
        <f t="shared" si="39"/>
        <v>13.951130397922078</v>
      </c>
      <c r="L301" s="39">
        <v>14.941977381233643</v>
      </c>
      <c r="M301" s="39">
        <f t="shared" si="40"/>
        <v>11.3851753718033</v>
      </c>
      <c r="N301" s="117">
        <f t="shared" si="43"/>
        <v>13.878528778228223</v>
      </c>
      <c r="O301" s="94">
        <f t="shared" si="37"/>
        <v>0.12873159909369353</v>
      </c>
      <c r="P301" s="240"/>
    </row>
    <row r="302" spans="1:16" s="6" customFormat="1" ht="15.75">
      <c r="A302" s="275">
        <v>211</v>
      </c>
      <c r="B302" s="122" t="s">
        <v>1254</v>
      </c>
      <c r="C302" s="55">
        <v>368.22</v>
      </c>
      <c r="D302" s="256"/>
      <c r="E302" s="256">
        <v>32.1</v>
      </c>
      <c r="F302" s="220">
        <f t="shared" si="38"/>
        <v>400.32000000000005</v>
      </c>
      <c r="G302" s="18" t="s">
        <v>1339</v>
      </c>
      <c r="H302" s="97">
        <v>380</v>
      </c>
      <c r="I302" s="663">
        <f t="shared" si="41"/>
        <v>1.3292665937727183E-2</v>
      </c>
      <c r="J302" s="39">
        <f t="shared" si="42"/>
        <v>30.162787059274883</v>
      </c>
      <c r="K302" s="664">
        <f t="shared" si="39"/>
        <v>11.090856801695375</v>
      </c>
      <c r="L302" s="39">
        <v>11.878559424411684</v>
      </c>
      <c r="M302" s="39">
        <f t="shared" si="40"/>
        <v>9.050976236998439</v>
      </c>
      <c r="N302" s="117">
        <f t="shared" si="43"/>
        <v>11.033140032901098</v>
      </c>
      <c r="O302" s="94">
        <f t="shared" si="37"/>
        <v>0.15533368186046256</v>
      </c>
      <c r="P302" s="240"/>
    </row>
    <row r="303" spans="1:16" s="6" customFormat="1" ht="15.75">
      <c r="A303" s="268">
        <v>212</v>
      </c>
      <c r="B303" s="122" t="s">
        <v>1255</v>
      </c>
      <c r="C303" s="55">
        <v>267.72000000000003</v>
      </c>
      <c r="D303" s="256"/>
      <c r="E303" s="256">
        <v>43.8</v>
      </c>
      <c r="F303" s="220">
        <f t="shared" si="38"/>
        <v>311.52000000000004</v>
      </c>
      <c r="G303" s="18" t="s">
        <v>1339</v>
      </c>
      <c r="H303" s="97">
        <v>200</v>
      </c>
      <c r="I303" s="663">
        <f t="shared" si="41"/>
        <v>6.9961399672248334E-3</v>
      </c>
      <c r="J303" s="39">
        <f t="shared" si="42"/>
        <v>15.875151083828888</v>
      </c>
      <c r="K303" s="664">
        <f t="shared" si="39"/>
        <v>5.8372930535238821</v>
      </c>
      <c r="L303" s="39">
        <v>6.2518733812693075</v>
      </c>
      <c r="M303" s="39">
        <f t="shared" si="40"/>
        <v>4.7636717036833893</v>
      </c>
      <c r="N303" s="117">
        <f t="shared" si="43"/>
        <v>5.8069158067900517</v>
      </c>
      <c r="O303" s="94">
        <f t="shared" si="37"/>
        <v>0.10505903063143768</v>
      </c>
      <c r="P303" s="240"/>
    </row>
    <row r="304" spans="1:16" s="6" customFormat="1" ht="15.75">
      <c r="A304" s="268">
        <v>213</v>
      </c>
      <c r="B304" s="122" t="s">
        <v>1256</v>
      </c>
      <c r="C304" s="55">
        <v>410.1</v>
      </c>
      <c r="D304" s="256">
        <v>41.6</v>
      </c>
      <c r="E304" s="256"/>
      <c r="F304" s="220">
        <f t="shared" si="38"/>
        <v>451.70000000000005</v>
      </c>
      <c r="G304" s="18" t="s">
        <v>1339</v>
      </c>
      <c r="H304" s="97">
        <v>480</v>
      </c>
      <c r="I304" s="663">
        <f t="shared" si="41"/>
        <v>1.6790735921339599E-2</v>
      </c>
      <c r="J304" s="39">
        <f t="shared" si="42"/>
        <v>38.100362601189325</v>
      </c>
      <c r="K304" s="664">
        <f t="shared" si="39"/>
        <v>14.009503328457315</v>
      </c>
      <c r="L304" s="39">
        <v>15.004496115046338</v>
      </c>
      <c r="M304" s="39">
        <f t="shared" si="40"/>
        <v>11.432812088840134</v>
      </c>
      <c r="N304" s="117">
        <f t="shared" si="43"/>
        <v>13.936597936296124</v>
      </c>
      <c r="O304" s="94">
        <f t="shared" si="37"/>
        <v>0.17389234919976332</v>
      </c>
      <c r="P304" s="240"/>
    </row>
    <row r="305" spans="1:16" s="6" customFormat="1" ht="15.75">
      <c r="A305" s="268">
        <v>214</v>
      </c>
      <c r="B305" s="122" t="s">
        <v>1257</v>
      </c>
      <c r="C305" s="55">
        <v>468.6</v>
      </c>
      <c r="D305" s="256">
        <v>32.299999999999997</v>
      </c>
      <c r="E305" s="256">
        <v>28.8</v>
      </c>
      <c r="F305" s="220">
        <f t="shared" si="38"/>
        <v>529.70000000000005</v>
      </c>
      <c r="G305" s="18" t="s">
        <v>1339</v>
      </c>
      <c r="H305" s="97">
        <v>418</v>
      </c>
      <c r="I305" s="663">
        <f t="shared" si="41"/>
        <v>1.46219325314999E-2</v>
      </c>
      <c r="J305" s="39">
        <f t="shared" si="42"/>
        <v>33.179065765202374</v>
      </c>
      <c r="K305" s="664">
        <f t="shared" si="39"/>
        <v>12.199942481864914</v>
      </c>
      <c r="L305" s="39">
        <v>13.066415366852853</v>
      </c>
      <c r="M305" s="39">
        <f t="shared" si="40"/>
        <v>9.9560738606982824</v>
      </c>
      <c r="N305" s="117">
        <f t="shared" si="43"/>
        <v>12.136454036191207</v>
      </c>
      <c r="O305" s="94">
        <f t="shared" si="37"/>
        <v>0.129132523078381</v>
      </c>
      <c r="P305" s="240"/>
    </row>
    <row r="306" spans="1:16" s="6" customFormat="1" ht="15.75">
      <c r="A306" s="268">
        <v>215</v>
      </c>
      <c r="B306" s="122" t="s">
        <v>1258</v>
      </c>
      <c r="C306" s="55">
        <v>267.60000000000002</v>
      </c>
      <c r="D306" s="256"/>
      <c r="E306" s="256">
        <v>38.5</v>
      </c>
      <c r="F306" s="220">
        <f t="shared" si="38"/>
        <v>306.10000000000002</v>
      </c>
      <c r="G306" s="18" t="s">
        <v>1339</v>
      </c>
      <c r="H306" s="97">
        <v>800</v>
      </c>
      <c r="I306" s="663">
        <f t="shared" si="41"/>
        <v>2.7984559868899334E-2</v>
      </c>
      <c r="J306" s="39">
        <f t="shared" si="42"/>
        <v>63.50060433531555</v>
      </c>
      <c r="K306" s="664">
        <f t="shared" si="39"/>
        <v>23.349172214095528</v>
      </c>
      <c r="L306" s="39">
        <v>25.00749352507723</v>
      </c>
      <c r="M306" s="39">
        <f t="shared" si="40"/>
        <v>19.054686814733557</v>
      </c>
      <c r="N306" s="117">
        <f t="shared" si="43"/>
        <v>23.227663227160207</v>
      </c>
      <c r="O306" s="94">
        <f t="shared" si="37"/>
        <v>0.42767708882463856</v>
      </c>
      <c r="P306" s="240"/>
    </row>
    <row r="307" spans="1:16" s="6" customFormat="1" ht="15.75">
      <c r="A307" s="268">
        <v>216</v>
      </c>
      <c r="B307" s="122" t="s">
        <v>1259</v>
      </c>
      <c r="C307" s="55">
        <v>551.6</v>
      </c>
      <c r="D307" s="256"/>
      <c r="E307" s="256"/>
      <c r="F307" s="220">
        <f t="shared" si="38"/>
        <v>551.6</v>
      </c>
      <c r="G307" s="18" t="s">
        <v>1339</v>
      </c>
      <c r="H307" s="97">
        <v>406</v>
      </c>
      <c r="I307" s="663">
        <f t="shared" si="41"/>
        <v>1.4202164133466411E-2</v>
      </c>
      <c r="J307" s="39">
        <f t="shared" si="42"/>
        <v>32.226556700172637</v>
      </c>
      <c r="K307" s="664">
        <f t="shared" si="39"/>
        <v>11.84970489865348</v>
      </c>
      <c r="L307" s="39">
        <v>12.691302963976694</v>
      </c>
      <c r="M307" s="39">
        <f t="shared" si="40"/>
        <v>9.6702535584772793</v>
      </c>
      <c r="N307" s="117">
        <f t="shared" si="43"/>
        <v>11.788039087783805</v>
      </c>
      <c r="O307" s="94">
        <f t="shared" si="37"/>
        <v>0.12044564561508354</v>
      </c>
      <c r="P307" s="240"/>
    </row>
    <row r="308" spans="1:16" s="6" customFormat="1" ht="15.75">
      <c r="A308" s="268">
        <v>217</v>
      </c>
      <c r="B308" s="122" t="s">
        <v>1260</v>
      </c>
      <c r="C308" s="55">
        <v>291.2</v>
      </c>
      <c r="D308" s="256"/>
      <c r="E308" s="256">
        <v>38</v>
      </c>
      <c r="F308" s="220">
        <f t="shared" si="38"/>
        <v>329.2</v>
      </c>
      <c r="G308" s="18" t="s">
        <v>1339</v>
      </c>
      <c r="H308" s="97">
        <v>264</v>
      </c>
      <c r="I308" s="663">
        <f t="shared" si="41"/>
        <v>9.2349047567367795E-3</v>
      </c>
      <c r="J308" s="39">
        <f t="shared" si="42"/>
        <v>20.95519943065413</v>
      </c>
      <c r="K308" s="664">
        <f t="shared" si="39"/>
        <v>7.7052268306515241</v>
      </c>
      <c r="L308" s="39">
        <v>8.2524728632754858</v>
      </c>
      <c r="M308" s="39">
        <f t="shared" si="40"/>
        <v>6.288046648862073</v>
      </c>
      <c r="N308" s="117">
        <f t="shared" si="43"/>
        <v>7.6651288649628677</v>
      </c>
      <c r="O308" s="94">
        <f t="shared" si="37"/>
        <v>0.13123009044180806</v>
      </c>
      <c r="P308" s="240"/>
    </row>
    <row r="309" spans="1:16" s="6" customFormat="1" ht="15.75">
      <c r="A309" s="275">
        <v>218</v>
      </c>
      <c r="B309" s="122" t="s">
        <v>1261</v>
      </c>
      <c r="C309" s="55">
        <v>620.70000000000005</v>
      </c>
      <c r="D309" s="256">
        <v>10.7</v>
      </c>
      <c r="E309" s="256"/>
      <c r="F309" s="220">
        <f t="shared" si="38"/>
        <v>631.40000000000009</v>
      </c>
      <c r="G309" s="18" t="s">
        <v>1339</v>
      </c>
      <c r="H309" s="97">
        <v>325</v>
      </c>
      <c r="I309" s="663">
        <f t="shared" si="41"/>
        <v>1.1368727446740353E-2</v>
      </c>
      <c r="J309" s="39">
        <f t="shared" si="42"/>
        <v>25.797120511221941</v>
      </c>
      <c r="K309" s="664">
        <f t="shared" si="39"/>
        <v>9.4856012119763076</v>
      </c>
      <c r="L309" s="39">
        <v>10.159294244562625</v>
      </c>
      <c r="M309" s="39">
        <f t="shared" si="40"/>
        <v>7.7409665184855063</v>
      </c>
      <c r="N309" s="117">
        <f t="shared" si="43"/>
        <v>9.4362381860338331</v>
      </c>
      <c r="O309" s="94">
        <f t="shared" si="37"/>
        <v>8.4230254175239744E-2</v>
      </c>
      <c r="P309" s="240"/>
    </row>
    <row r="310" spans="1:16" s="6" customFormat="1" ht="15.75">
      <c r="A310" s="268">
        <v>219</v>
      </c>
      <c r="B310" s="122" t="s">
        <v>1262</v>
      </c>
      <c r="C310" s="55">
        <v>373.3</v>
      </c>
      <c r="D310" s="256"/>
      <c r="E310" s="256"/>
      <c r="F310" s="220">
        <f t="shared" si="38"/>
        <v>373.3</v>
      </c>
      <c r="G310" s="18" t="s">
        <v>1339</v>
      </c>
      <c r="H310" s="97">
        <v>340</v>
      </c>
      <c r="I310" s="663">
        <f t="shared" si="41"/>
        <v>1.1893437944282216E-2</v>
      </c>
      <c r="J310" s="39">
        <f t="shared" si="42"/>
        <v>26.987756842509107</v>
      </c>
      <c r="K310" s="664">
        <f t="shared" si="39"/>
        <v>9.9233981909905999</v>
      </c>
      <c r="L310" s="39">
        <v>10.628184748157823</v>
      </c>
      <c r="M310" s="39">
        <f t="shared" si="40"/>
        <v>8.0982418962617615</v>
      </c>
      <c r="N310" s="117">
        <f t="shared" si="43"/>
        <v>9.8717568715430879</v>
      </c>
      <c r="O310" s="94">
        <f t="shared" si="37"/>
        <v>0.14904254400728445</v>
      </c>
      <c r="P310" s="240"/>
    </row>
    <row r="311" spans="1:16" s="6" customFormat="1" ht="15.75">
      <c r="A311" s="268">
        <v>220</v>
      </c>
      <c r="B311" s="122" t="s">
        <v>1263</v>
      </c>
      <c r="C311" s="55">
        <v>851.4</v>
      </c>
      <c r="D311" s="256"/>
      <c r="E311" s="256">
        <v>67</v>
      </c>
      <c r="F311" s="220">
        <f t="shared" si="38"/>
        <v>918.4</v>
      </c>
      <c r="G311" s="18" t="s">
        <v>1339</v>
      </c>
      <c r="H311" s="97">
        <v>741</v>
      </c>
      <c r="I311" s="663">
        <f t="shared" si="41"/>
        <v>2.5920698578568005E-2</v>
      </c>
      <c r="J311" s="39">
        <f t="shared" si="42"/>
        <v>58.817434765586022</v>
      </c>
      <c r="K311" s="664">
        <f t="shared" si="39"/>
        <v>21.627170763305983</v>
      </c>
      <c r="L311" s="39">
        <v>23.163190877602784</v>
      </c>
      <c r="M311" s="39">
        <f t="shared" si="40"/>
        <v>17.649403662146955</v>
      </c>
      <c r="N311" s="117">
        <f t="shared" si="43"/>
        <v>21.514623064157139</v>
      </c>
      <c r="O311" s="94">
        <f t="shared" si="37"/>
        <v>0.13203092341968831</v>
      </c>
      <c r="P311" s="240"/>
    </row>
    <row r="312" spans="1:16" s="6" customFormat="1" ht="15.75">
      <c r="A312" s="268">
        <v>221</v>
      </c>
      <c r="B312" s="122" t="s">
        <v>1264</v>
      </c>
      <c r="C312" s="55">
        <v>756.6</v>
      </c>
      <c r="D312" s="256"/>
      <c r="E312" s="256">
        <v>22.2</v>
      </c>
      <c r="F312" s="220">
        <f t="shared" si="38"/>
        <v>778.80000000000007</v>
      </c>
      <c r="G312" s="18" t="s">
        <v>1339</v>
      </c>
      <c r="H312" s="97">
        <v>300</v>
      </c>
      <c r="I312" s="663">
        <f t="shared" si="41"/>
        <v>1.049420995083725E-2</v>
      </c>
      <c r="J312" s="39">
        <f t="shared" si="42"/>
        <v>23.812726625743331</v>
      </c>
      <c r="K312" s="664">
        <f t="shared" si="39"/>
        <v>8.7559395802858226</v>
      </c>
      <c r="L312" s="39">
        <v>9.3778100719039621</v>
      </c>
      <c r="M312" s="39">
        <f t="shared" si="40"/>
        <v>7.1455075555250831</v>
      </c>
      <c r="N312" s="117">
        <f t="shared" si="43"/>
        <v>8.7103737101850776</v>
      </c>
      <c r="O312" s="94">
        <f t="shared" si="37"/>
        <v>6.3035418378862604E-2</v>
      </c>
      <c r="P312" s="240"/>
    </row>
    <row r="313" spans="1:16" s="6" customFormat="1" ht="15.75">
      <c r="A313" s="268">
        <v>222</v>
      </c>
      <c r="B313" s="122" t="s">
        <v>1265</v>
      </c>
      <c r="C313" s="55">
        <v>806.91</v>
      </c>
      <c r="D313" s="256"/>
      <c r="E313" s="256"/>
      <c r="F313" s="220">
        <f t="shared" si="38"/>
        <v>806.91</v>
      </c>
      <c r="G313" s="18" t="s">
        <v>1339</v>
      </c>
      <c r="H313" s="97">
        <v>298</v>
      </c>
      <c r="I313" s="663">
        <f t="shared" si="41"/>
        <v>1.0424248551165001E-2</v>
      </c>
      <c r="J313" s="39">
        <f t="shared" si="42"/>
        <v>23.653975114905041</v>
      </c>
      <c r="K313" s="664">
        <f t="shared" si="39"/>
        <v>8.6975666497505841</v>
      </c>
      <c r="L313" s="39">
        <v>9.3152913380912672</v>
      </c>
      <c r="M313" s="39">
        <f t="shared" si="40"/>
        <v>7.097870838488249</v>
      </c>
      <c r="N313" s="117">
        <f t="shared" si="43"/>
        <v>8.652304552117176</v>
      </c>
      <c r="O313" s="94">
        <f t="shared" si="37"/>
        <v>6.0433882268450187E-2</v>
      </c>
      <c r="P313" s="240"/>
    </row>
    <row r="314" spans="1:16" s="6" customFormat="1" ht="15.75">
      <c r="A314" s="268">
        <v>223</v>
      </c>
      <c r="B314" s="122" t="s">
        <v>1266</v>
      </c>
      <c r="C314" s="55">
        <v>751.2</v>
      </c>
      <c r="D314" s="256"/>
      <c r="E314" s="256">
        <v>53.8</v>
      </c>
      <c r="F314" s="220">
        <f t="shared" si="38"/>
        <v>805</v>
      </c>
      <c r="G314" s="18" t="s">
        <v>1339</v>
      </c>
      <c r="H314" s="97">
        <v>375</v>
      </c>
      <c r="I314" s="663">
        <f t="shared" si="41"/>
        <v>1.3117762438546562E-2</v>
      </c>
      <c r="J314" s="39">
        <f t="shared" si="42"/>
        <v>29.765908282179161</v>
      </c>
      <c r="K314" s="664">
        <f t="shared" si="39"/>
        <v>10.944924475357279</v>
      </c>
      <c r="L314" s="39">
        <v>11.722262589879952</v>
      </c>
      <c r="M314" s="39">
        <f t="shared" si="40"/>
        <v>8.9318844444063537</v>
      </c>
      <c r="N314" s="117">
        <f t="shared" si="43"/>
        <v>10.887967137731346</v>
      </c>
      <c r="O314" s="94">
        <f t="shared" si="37"/>
        <v>7.6229788561270495E-2</v>
      </c>
      <c r="P314" s="240"/>
    </row>
    <row r="315" spans="1:16" s="6" customFormat="1" ht="15.75">
      <c r="A315" s="268">
        <v>224</v>
      </c>
      <c r="B315" s="122" t="s">
        <v>1267</v>
      </c>
      <c r="C315" s="55">
        <v>426.8</v>
      </c>
      <c r="D315" s="256"/>
      <c r="E315" s="256">
        <v>65.099999999999994</v>
      </c>
      <c r="F315" s="220">
        <f t="shared" si="38"/>
        <v>491.9</v>
      </c>
      <c r="G315" s="18" t="s">
        <v>1339</v>
      </c>
      <c r="H315" s="97">
        <v>300</v>
      </c>
      <c r="I315" s="663">
        <f t="shared" si="41"/>
        <v>1.049420995083725E-2</v>
      </c>
      <c r="J315" s="39">
        <f t="shared" si="42"/>
        <v>23.812726625743331</v>
      </c>
      <c r="K315" s="664">
        <f t="shared" si="39"/>
        <v>8.7559395802858226</v>
      </c>
      <c r="L315" s="39">
        <v>9.3778100719039621</v>
      </c>
      <c r="M315" s="39">
        <f t="shared" si="40"/>
        <v>7.1455075555250831</v>
      </c>
      <c r="N315" s="117">
        <f t="shared" si="43"/>
        <v>8.7103737101850776</v>
      </c>
      <c r="O315" s="94">
        <f t="shared" si="37"/>
        <v>9.9800739649233999E-2</v>
      </c>
      <c r="P315" s="240"/>
    </row>
    <row r="316" spans="1:16" s="6" customFormat="1" ht="15.75">
      <c r="A316" s="275">
        <v>225</v>
      </c>
      <c r="B316" s="122" t="s">
        <v>1268</v>
      </c>
      <c r="C316" s="55">
        <v>640.20000000000005</v>
      </c>
      <c r="D316" s="256"/>
      <c r="E316" s="256"/>
      <c r="F316" s="220">
        <f t="shared" si="38"/>
        <v>640.20000000000005</v>
      </c>
      <c r="G316" s="18" t="s">
        <v>1339</v>
      </c>
      <c r="H316" s="97">
        <v>510</v>
      </c>
      <c r="I316" s="663">
        <f t="shared" si="41"/>
        <v>1.7840156916423325E-2</v>
      </c>
      <c r="J316" s="39">
        <f t="shared" si="42"/>
        <v>40.481635263763664</v>
      </c>
      <c r="K316" s="664">
        <f t="shared" si="39"/>
        <v>14.8850972864859</v>
      </c>
      <c r="L316" s="39">
        <v>15.942277122236735</v>
      </c>
      <c r="M316" s="39">
        <f t="shared" si="40"/>
        <v>12.147362844392642</v>
      </c>
      <c r="N316" s="117">
        <f t="shared" si="43"/>
        <v>14.807635307314632</v>
      </c>
      <c r="O316" s="94">
        <f t="shared" si="37"/>
        <v>0.13035984460618391</v>
      </c>
      <c r="P316" s="240"/>
    </row>
    <row r="317" spans="1:16" s="6" customFormat="1" ht="15.75">
      <c r="A317" s="268">
        <v>226</v>
      </c>
      <c r="B317" s="122" t="s">
        <v>1269</v>
      </c>
      <c r="C317" s="55">
        <v>537.94000000000005</v>
      </c>
      <c r="D317" s="256"/>
      <c r="E317" s="256"/>
      <c r="F317" s="220">
        <f t="shared" si="38"/>
        <v>537.94000000000005</v>
      </c>
      <c r="G317" s="18" t="s">
        <v>1339</v>
      </c>
      <c r="H317" s="97">
        <v>257</v>
      </c>
      <c r="I317" s="663">
        <f t="shared" si="41"/>
        <v>8.9900398578839098E-3</v>
      </c>
      <c r="J317" s="39">
        <f t="shared" si="42"/>
        <v>20.399569142720118</v>
      </c>
      <c r="K317" s="664">
        <f t="shared" si="39"/>
        <v>7.5009215737781876</v>
      </c>
      <c r="L317" s="39">
        <v>8.033657294931059</v>
      </c>
      <c r="M317" s="39">
        <f t="shared" si="40"/>
        <v>6.1213181392331544</v>
      </c>
      <c r="N317" s="117">
        <f t="shared" si="43"/>
        <v>7.4618868117252157</v>
      </c>
      <c r="O317" s="94">
        <f t="shared" si="37"/>
        <v>7.8178730249958195E-2</v>
      </c>
      <c r="P317" s="240"/>
    </row>
    <row r="318" spans="1:16" s="6" customFormat="1" ht="15.75">
      <c r="A318" s="268">
        <v>227</v>
      </c>
      <c r="B318" s="122" t="s">
        <v>1270</v>
      </c>
      <c r="C318" s="55">
        <v>905.4</v>
      </c>
      <c r="D318" s="256"/>
      <c r="E318" s="256">
        <v>24.5</v>
      </c>
      <c r="F318" s="220">
        <f t="shared" si="38"/>
        <v>929.9</v>
      </c>
      <c r="G318" s="18" t="s">
        <v>1339</v>
      </c>
      <c r="H318" s="97">
        <v>714</v>
      </c>
      <c r="I318" s="663">
        <f t="shared" si="41"/>
        <v>2.4976219682992653E-2</v>
      </c>
      <c r="J318" s="39">
        <f t="shared" si="42"/>
        <v>56.674289369269118</v>
      </c>
      <c r="K318" s="664">
        <f t="shared" si="39"/>
        <v>20.839136201080255</v>
      </c>
      <c r="L318" s="39">
        <v>22.319187971131427</v>
      </c>
      <c r="M318" s="39">
        <f t="shared" si="40"/>
        <v>17.006307982149696</v>
      </c>
      <c r="N318" s="117">
        <f t="shared" si="43"/>
        <v>20.730689430240481</v>
      </c>
      <c r="O318" s="94">
        <f t="shared" si="37"/>
        <v>0.12564675935437197</v>
      </c>
      <c r="P318" s="240"/>
    </row>
    <row r="319" spans="1:16" s="6" customFormat="1" ht="15.75">
      <c r="A319" s="268">
        <v>228</v>
      </c>
      <c r="B319" s="122" t="s">
        <v>1271</v>
      </c>
      <c r="C319" s="55">
        <v>1352.86</v>
      </c>
      <c r="D319" s="256">
        <v>33</v>
      </c>
      <c r="E319" s="256">
        <v>31.5</v>
      </c>
      <c r="F319" s="220">
        <f t="shared" si="38"/>
        <v>1417.36</v>
      </c>
      <c r="G319" s="18" t="s">
        <v>1339</v>
      </c>
      <c r="H319" s="97">
        <v>382</v>
      </c>
      <c r="I319" s="663">
        <f t="shared" si="41"/>
        <v>1.3362627337399431E-2</v>
      </c>
      <c r="J319" s="39">
        <f t="shared" si="42"/>
        <v>30.321538570113173</v>
      </c>
      <c r="K319" s="664">
        <f t="shared" si="39"/>
        <v>11.149229732230614</v>
      </c>
      <c r="L319" s="39">
        <v>11.941078158224377</v>
      </c>
      <c r="M319" s="39">
        <f t="shared" si="40"/>
        <v>9.0986129540352731</v>
      </c>
      <c r="N319" s="117">
        <f t="shared" si="43"/>
        <v>11.091209190968998</v>
      </c>
      <c r="O319" s="94">
        <f t="shared" si="37"/>
        <v>4.4103445429956707E-2</v>
      </c>
      <c r="P319" s="240"/>
    </row>
    <row r="320" spans="1:16" s="6" customFormat="1" ht="15.75">
      <c r="A320" s="268">
        <v>229</v>
      </c>
      <c r="B320" s="122" t="s">
        <v>1272</v>
      </c>
      <c r="C320" s="55">
        <v>725.18</v>
      </c>
      <c r="D320" s="256"/>
      <c r="E320" s="256">
        <v>60.8</v>
      </c>
      <c r="F320" s="220">
        <f t="shared" si="38"/>
        <v>785.9799999999999</v>
      </c>
      <c r="G320" s="18" t="s">
        <v>1339</v>
      </c>
      <c r="H320" s="97">
        <v>628</v>
      </c>
      <c r="I320" s="663">
        <f t="shared" si="41"/>
        <v>2.1967879497085976E-2</v>
      </c>
      <c r="J320" s="39">
        <f t="shared" si="42"/>
        <v>49.8479744032227</v>
      </c>
      <c r="K320" s="664">
        <f t="shared" si="39"/>
        <v>18.329100188064988</v>
      </c>
      <c r="L320" s="39">
        <v>19.630882417185628</v>
      </c>
      <c r="M320" s="39">
        <f t="shared" si="40"/>
        <v>14.957929149565841</v>
      </c>
      <c r="N320" s="117">
        <f t="shared" si="43"/>
        <v>18.23371563332076</v>
      </c>
      <c r="O320" s="94">
        <f t="shared" si="37"/>
        <v>0.13074872917636476</v>
      </c>
      <c r="P320" s="240"/>
    </row>
    <row r="321" spans="1:16" s="6" customFormat="1" ht="15.75">
      <c r="A321" s="268">
        <v>230</v>
      </c>
      <c r="B321" s="122" t="s">
        <v>1273</v>
      </c>
      <c r="C321" s="55">
        <v>426.28</v>
      </c>
      <c r="D321" s="256">
        <v>59.4</v>
      </c>
      <c r="E321" s="256"/>
      <c r="F321" s="220">
        <f t="shared" si="38"/>
        <v>485.67999999999995</v>
      </c>
      <c r="G321" s="18" t="s">
        <v>1339</v>
      </c>
      <c r="H321" s="97">
        <v>362</v>
      </c>
      <c r="I321" s="663">
        <f t="shared" si="41"/>
        <v>1.2663013340676947E-2</v>
      </c>
      <c r="J321" s="39">
        <f t="shared" si="42"/>
        <v>28.734023461730285</v>
      </c>
      <c r="K321" s="664">
        <f t="shared" si="39"/>
        <v>10.565500426878227</v>
      </c>
      <c r="L321" s="39">
        <v>11.315890820097447</v>
      </c>
      <c r="M321" s="39">
        <f t="shared" si="40"/>
        <v>8.6222457836669335</v>
      </c>
      <c r="N321" s="117">
        <f t="shared" si="43"/>
        <v>10.510517610289993</v>
      </c>
      <c r="O321" s="94">
        <f t="shared" si="37"/>
        <v>0.1219684987900941</v>
      </c>
      <c r="P321" s="240"/>
    </row>
    <row r="322" spans="1:16" s="6" customFormat="1" ht="15.75">
      <c r="A322" s="268">
        <v>231</v>
      </c>
      <c r="B322" s="122" t="s">
        <v>1274</v>
      </c>
      <c r="C322" s="55">
        <v>402.07</v>
      </c>
      <c r="D322" s="256">
        <v>59.1</v>
      </c>
      <c r="E322" s="256"/>
      <c r="F322" s="220">
        <f t="shared" si="38"/>
        <v>461.17</v>
      </c>
      <c r="G322" s="18" t="s">
        <v>1339</v>
      </c>
      <c r="H322" s="97">
        <v>383</v>
      </c>
      <c r="I322" s="663">
        <f t="shared" si="41"/>
        <v>1.3397608037235555E-2</v>
      </c>
      <c r="J322" s="39">
        <f t="shared" si="42"/>
        <v>30.400914325532316</v>
      </c>
      <c r="K322" s="664">
        <f t="shared" si="39"/>
        <v>11.178416197498233</v>
      </c>
      <c r="L322" s="39">
        <v>11.972337525130724</v>
      </c>
      <c r="M322" s="39">
        <f t="shared" si="40"/>
        <v>9.1224313125536884</v>
      </c>
      <c r="N322" s="117">
        <f t="shared" si="43"/>
        <v>11.120243770002947</v>
      </c>
      <c r="O322" s="94">
        <f t="shared" si="37"/>
        <v>0.13590237734613042</v>
      </c>
      <c r="P322" s="240"/>
    </row>
    <row r="323" spans="1:16" s="6" customFormat="1" ht="15.75">
      <c r="A323" s="275">
        <v>232</v>
      </c>
      <c r="B323" s="122" t="s">
        <v>1275</v>
      </c>
      <c r="C323" s="55">
        <v>305.37</v>
      </c>
      <c r="D323" s="256"/>
      <c r="E323" s="256"/>
      <c r="F323" s="220">
        <f t="shared" si="38"/>
        <v>305.37</v>
      </c>
      <c r="G323" s="18" t="s">
        <v>1339</v>
      </c>
      <c r="H323" s="97">
        <v>182</v>
      </c>
      <c r="I323" s="663">
        <f t="shared" si="41"/>
        <v>6.3664873701745981E-3</v>
      </c>
      <c r="J323" s="39">
        <f t="shared" si="42"/>
        <v>14.446387486284287</v>
      </c>
      <c r="K323" s="664">
        <f t="shared" si="39"/>
        <v>5.3119366787067328</v>
      </c>
      <c r="L323" s="39">
        <v>5.6892047769550693</v>
      </c>
      <c r="M323" s="39">
        <f t="shared" si="40"/>
        <v>4.3349412503518838</v>
      </c>
      <c r="N323" s="117">
        <f t="shared" si="43"/>
        <v>5.2842933841789463</v>
      </c>
      <c r="O323" s="94">
        <f t="shared" si="37"/>
        <v>9.7529129227815342E-2</v>
      </c>
      <c r="P323" s="240"/>
    </row>
    <row r="324" spans="1:16" s="6" customFormat="1" ht="15.75">
      <c r="A324" s="268">
        <v>233</v>
      </c>
      <c r="B324" s="122" t="s">
        <v>1276</v>
      </c>
      <c r="C324" s="55">
        <v>170.8</v>
      </c>
      <c r="D324" s="256"/>
      <c r="E324" s="256"/>
      <c r="F324" s="220">
        <f t="shared" si="38"/>
        <v>170.8</v>
      </c>
      <c r="G324" s="18" t="s">
        <v>1339</v>
      </c>
      <c r="H324" s="97">
        <v>164</v>
      </c>
      <c r="I324" s="663">
        <f t="shared" si="41"/>
        <v>5.7368347731243628E-3</v>
      </c>
      <c r="J324" s="39">
        <f t="shared" si="42"/>
        <v>13.017623888739687</v>
      </c>
      <c r="K324" s="664">
        <f t="shared" si="39"/>
        <v>4.7865803038895836</v>
      </c>
      <c r="L324" s="39">
        <v>5.1265361726408321</v>
      </c>
      <c r="M324" s="39">
        <f t="shared" si="40"/>
        <v>3.9062107970203783</v>
      </c>
      <c r="N324" s="117">
        <f t="shared" si="43"/>
        <v>4.7616709615678419</v>
      </c>
      <c r="O324" s="94">
        <f t="shared" si="37"/>
        <v>0.1571250068049794</v>
      </c>
      <c r="P324" s="240"/>
    </row>
    <row r="325" spans="1:16" s="6" customFormat="1" ht="15.75">
      <c r="A325" s="268">
        <v>234</v>
      </c>
      <c r="B325" s="122" t="s">
        <v>1277</v>
      </c>
      <c r="C325" s="55">
        <v>678.2</v>
      </c>
      <c r="D325" s="256"/>
      <c r="E325" s="256"/>
      <c r="F325" s="220">
        <f t="shared" si="38"/>
        <v>678.2</v>
      </c>
      <c r="G325" s="18" t="s">
        <v>1339</v>
      </c>
      <c r="H325" s="97">
        <v>464</v>
      </c>
      <c r="I325" s="663">
        <f t="shared" si="41"/>
        <v>1.6231044723961613E-2</v>
      </c>
      <c r="J325" s="39">
        <f t="shared" si="42"/>
        <v>36.830350514483015</v>
      </c>
      <c r="K325" s="664">
        <f t="shared" si="39"/>
        <v>13.542519884175405</v>
      </c>
      <c r="L325" s="39">
        <v>14.504346244544795</v>
      </c>
      <c r="M325" s="39">
        <f t="shared" si="40"/>
        <v>11.051718352545462</v>
      </c>
      <c r="N325" s="117">
        <f t="shared" si="43"/>
        <v>13.47204467175292</v>
      </c>
      <c r="O325" s="94">
        <f t="shared" si="37"/>
        <v>0.11195655410756218</v>
      </c>
      <c r="P325" s="240"/>
    </row>
    <row r="326" spans="1:16" s="6" customFormat="1" ht="15.75">
      <c r="A326" s="268">
        <v>235</v>
      </c>
      <c r="B326" s="122" t="s">
        <v>1278</v>
      </c>
      <c r="C326" s="55">
        <v>2613.27</v>
      </c>
      <c r="D326" s="256"/>
      <c r="E326" s="256"/>
      <c r="F326" s="220">
        <f t="shared" si="38"/>
        <v>2613.27</v>
      </c>
      <c r="G326" s="18" t="s">
        <v>1339</v>
      </c>
      <c r="H326" s="97">
        <v>1065</v>
      </c>
      <c r="I326" s="663">
        <f t="shared" si="41"/>
        <v>3.7254445325472237E-2</v>
      </c>
      <c r="J326" s="39">
        <f t="shared" si="42"/>
        <v>84.535179521388827</v>
      </c>
      <c r="K326" s="664">
        <f t="shared" si="39"/>
        <v>31.083585510014675</v>
      </c>
      <c r="L326" s="39">
        <v>33.291225755259063</v>
      </c>
      <c r="M326" s="39">
        <f t="shared" si="40"/>
        <v>25.366551822114044</v>
      </c>
      <c r="N326" s="117">
        <f t="shared" si="43"/>
        <v>30.921826671157021</v>
      </c>
      <c r="O326" s="94">
        <f t="shared" si="37"/>
        <v>6.6689068718033956E-2</v>
      </c>
      <c r="P326" s="240"/>
    </row>
    <row r="327" spans="1:16" s="6" customFormat="1" ht="15.75">
      <c r="A327" s="268">
        <v>236</v>
      </c>
      <c r="B327" s="122" t="s">
        <v>1279</v>
      </c>
      <c r="C327" s="55">
        <v>2055.4499999999998</v>
      </c>
      <c r="D327" s="256"/>
      <c r="E327" s="256"/>
      <c r="F327" s="220">
        <f t="shared" si="38"/>
        <v>2055.4499999999998</v>
      </c>
      <c r="G327" s="18" t="s">
        <v>1339</v>
      </c>
      <c r="H327" s="97">
        <v>760</v>
      </c>
      <c r="I327" s="663">
        <f t="shared" si="41"/>
        <v>2.6585331875454365E-2</v>
      </c>
      <c r="J327" s="39">
        <f t="shared" si="42"/>
        <v>60.325574118549767</v>
      </c>
      <c r="K327" s="664">
        <f t="shared" si="39"/>
        <v>22.181713603390751</v>
      </c>
      <c r="L327" s="39">
        <v>23.757118848823367</v>
      </c>
      <c r="M327" s="39">
        <f t="shared" si="40"/>
        <v>18.101952473996878</v>
      </c>
      <c r="N327" s="117">
        <f t="shared" si="43"/>
        <v>22.066280065802196</v>
      </c>
      <c r="O327" s="94">
        <f t="shared" ref="O327:O390" si="44">(M327+L327+K327+J327)/F327</f>
        <v>6.0505660096212881E-2</v>
      </c>
      <c r="P327" s="240"/>
    </row>
    <row r="328" spans="1:16" s="119" customFormat="1" ht="15.75">
      <c r="A328" s="268">
        <v>237</v>
      </c>
      <c r="B328" s="122" t="s">
        <v>1280</v>
      </c>
      <c r="C328" s="348">
        <v>3486.96</v>
      </c>
      <c r="D328" s="349"/>
      <c r="E328" s="349"/>
      <c r="F328" s="220">
        <f t="shared" si="38"/>
        <v>3486.96</v>
      </c>
      <c r="G328" s="18" t="s">
        <v>1340</v>
      </c>
      <c r="H328" s="97">
        <v>912</v>
      </c>
      <c r="I328" s="663">
        <f t="shared" si="41"/>
        <v>3.1902398250545236E-2</v>
      </c>
      <c r="J328" s="39">
        <f t="shared" si="42"/>
        <v>72.390688942259715</v>
      </c>
      <c r="K328" s="664">
        <f t="shared" si="39"/>
        <v>26.618056324068899</v>
      </c>
      <c r="L328" s="39">
        <v>28.508542618588038</v>
      </c>
      <c r="M328" s="39">
        <f>I328*376.38</f>
        <v>12.007424653540216</v>
      </c>
      <c r="N328" s="117">
        <f t="shared" si="43"/>
        <v>14.637050652665524</v>
      </c>
      <c r="O328" s="94">
        <f t="shared" si="44"/>
        <v>4.0013281637431133E-2</v>
      </c>
      <c r="P328" s="346"/>
    </row>
    <row r="329" spans="1:16" s="6" customFormat="1" ht="15.75">
      <c r="A329" s="268">
        <v>238</v>
      </c>
      <c r="B329" s="122" t="s">
        <v>1281</v>
      </c>
      <c r="C329" s="55">
        <v>394.94</v>
      </c>
      <c r="D329" s="256"/>
      <c r="E329" s="256"/>
      <c r="F329" s="220">
        <f t="shared" si="38"/>
        <v>394.94</v>
      </c>
      <c r="G329" s="18" t="s">
        <v>1339</v>
      </c>
      <c r="H329" s="97">
        <v>228</v>
      </c>
      <c r="I329" s="663">
        <f t="shared" si="41"/>
        <v>7.975599562636309E-3</v>
      </c>
      <c r="J329" s="39">
        <f t="shared" si="42"/>
        <v>18.097672235564929</v>
      </c>
      <c r="K329" s="664">
        <f t="shared" si="39"/>
        <v>6.6545140810172247</v>
      </c>
      <c r="L329" s="39">
        <v>7.1271356546470095</v>
      </c>
      <c r="M329" s="39">
        <f t="shared" ref="M329:M379" si="45">I329*680.9</f>
        <v>5.4305857421990629</v>
      </c>
      <c r="N329" s="117">
        <f t="shared" si="43"/>
        <v>6.6198840197406579</v>
      </c>
      <c r="O329" s="94">
        <f t="shared" si="44"/>
        <v>9.4469812410564222E-2</v>
      </c>
      <c r="P329" s="240"/>
    </row>
    <row r="330" spans="1:16" s="6" customFormat="1" ht="15.75">
      <c r="A330" s="275">
        <v>239</v>
      </c>
      <c r="B330" s="122" t="s">
        <v>1282</v>
      </c>
      <c r="C330" s="55">
        <v>333.47</v>
      </c>
      <c r="D330" s="256"/>
      <c r="E330" s="256">
        <v>18.2</v>
      </c>
      <c r="F330" s="220">
        <f t="shared" si="38"/>
        <v>351.67</v>
      </c>
      <c r="G330" s="18" t="s">
        <v>1339</v>
      </c>
      <c r="H330" s="97">
        <v>215</v>
      </c>
      <c r="I330" s="663">
        <f t="shared" si="41"/>
        <v>7.5208504647666955E-3</v>
      </c>
      <c r="J330" s="39">
        <f t="shared" si="42"/>
        <v>17.065787415116052</v>
      </c>
      <c r="K330" s="664">
        <f t="shared" si="39"/>
        <v>6.2750900325381727</v>
      </c>
      <c r="L330" s="39">
        <v>6.7207638848645059</v>
      </c>
      <c r="M330" s="39">
        <f t="shared" si="45"/>
        <v>5.1209470814596427</v>
      </c>
      <c r="N330" s="117">
        <f t="shared" si="43"/>
        <v>6.2424344922993047</v>
      </c>
      <c r="O330" s="94">
        <f t="shared" si="44"/>
        <v>0.10004432682338092</v>
      </c>
      <c r="P330" s="240"/>
    </row>
    <row r="331" spans="1:16" s="6" customFormat="1" ht="15.75">
      <c r="A331" s="268">
        <v>240</v>
      </c>
      <c r="B331" s="122" t="s">
        <v>1283</v>
      </c>
      <c r="C331" s="55">
        <v>615.6</v>
      </c>
      <c r="D331" s="256"/>
      <c r="E331" s="256"/>
      <c r="F331" s="220">
        <f t="shared" si="38"/>
        <v>615.6</v>
      </c>
      <c r="G331" s="18" t="s">
        <v>1339</v>
      </c>
      <c r="H331" s="97">
        <v>576</v>
      </c>
      <c r="I331" s="663">
        <f t="shared" si="41"/>
        <v>2.0148883105607519E-2</v>
      </c>
      <c r="J331" s="39">
        <f t="shared" si="42"/>
        <v>45.720435121427194</v>
      </c>
      <c r="K331" s="664">
        <f t="shared" si="39"/>
        <v>16.81140399414878</v>
      </c>
      <c r="L331" s="39">
        <v>18.005395338055607</v>
      </c>
      <c r="M331" s="39">
        <f t="shared" si="45"/>
        <v>13.719374506608158</v>
      </c>
      <c r="N331" s="117">
        <f t="shared" si="43"/>
        <v>16.723917523555347</v>
      </c>
      <c r="O331" s="94">
        <f t="shared" si="44"/>
        <v>0.1531133998704349</v>
      </c>
      <c r="P331" s="240"/>
    </row>
    <row r="332" spans="1:16" s="6" customFormat="1" ht="15.75">
      <c r="A332" s="268">
        <v>241</v>
      </c>
      <c r="B332" s="122" t="s">
        <v>1284</v>
      </c>
      <c r="C332" s="55">
        <v>571.49</v>
      </c>
      <c r="D332" s="256"/>
      <c r="E332" s="256"/>
      <c r="F332" s="220">
        <f t="shared" si="38"/>
        <v>571.49</v>
      </c>
      <c r="G332" s="18" t="s">
        <v>1339</v>
      </c>
      <c r="H332" s="97">
        <v>480</v>
      </c>
      <c r="I332" s="663">
        <f t="shared" si="41"/>
        <v>1.6790735921339599E-2</v>
      </c>
      <c r="J332" s="39">
        <f t="shared" si="42"/>
        <v>38.100362601189325</v>
      </c>
      <c r="K332" s="664">
        <f t="shared" si="39"/>
        <v>14.009503328457315</v>
      </c>
      <c r="L332" s="39">
        <v>15.004496115046338</v>
      </c>
      <c r="M332" s="39">
        <f t="shared" si="45"/>
        <v>11.432812088840134</v>
      </c>
      <c r="N332" s="117">
        <f t="shared" si="43"/>
        <v>13.936597936296124</v>
      </c>
      <c r="O332" s="94">
        <f t="shared" si="44"/>
        <v>0.13744277963487217</v>
      </c>
      <c r="P332" s="240"/>
    </row>
    <row r="333" spans="1:16" s="6" customFormat="1" ht="15.75">
      <c r="A333" s="268">
        <v>242</v>
      </c>
      <c r="B333" s="122" t="s">
        <v>1285</v>
      </c>
      <c r="C333" s="55">
        <v>316.76</v>
      </c>
      <c r="D333" s="256">
        <v>22.5</v>
      </c>
      <c r="E333" s="256"/>
      <c r="F333" s="220">
        <f t="shared" si="38"/>
        <v>339.26</v>
      </c>
      <c r="G333" s="18" t="s">
        <v>1339</v>
      </c>
      <c r="H333" s="97">
        <v>303</v>
      </c>
      <c r="I333" s="663">
        <f t="shared" si="41"/>
        <v>1.0599152050345622E-2</v>
      </c>
      <c r="J333" s="39">
        <f t="shared" si="42"/>
        <v>24.050853892000763</v>
      </c>
      <c r="K333" s="664">
        <f t="shared" si="39"/>
        <v>8.8434989760886804</v>
      </c>
      <c r="L333" s="39">
        <v>9.4715881726230009</v>
      </c>
      <c r="M333" s="39">
        <f t="shared" si="45"/>
        <v>7.2169626310803343</v>
      </c>
      <c r="N333" s="117">
        <f t="shared" si="43"/>
        <v>8.7974774472869282</v>
      </c>
      <c r="O333" s="94">
        <f t="shared" si="44"/>
        <v>0.14615016115012905</v>
      </c>
      <c r="P333" s="240"/>
    </row>
    <row r="334" spans="1:16" s="6" customFormat="1" ht="15.75">
      <c r="A334" s="268">
        <v>243</v>
      </c>
      <c r="B334" s="122" t="s">
        <v>1286</v>
      </c>
      <c r="C334" s="55">
        <v>364.76</v>
      </c>
      <c r="D334" s="256"/>
      <c r="E334" s="256"/>
      <c r="F334" s="220">
        <f t="shared" si="38"/>
        <v>364.76</v>
      </c>
      <c r="G334" s="18" t="s">
        <v>1339</v>
      </c>
      <c r="H334" s="97">
        <v>232</v>
      </c>
      <c r="I334" s="663">
        <f t="shared" si="41"/>
        <v>8.1155223619808065E-3</v>
      </c>
      <c r="J334" s="39">
        <f t="shared" si="42"/>
        <v>18.415175257241508</v>
      </c>
      <c r="K334" s="664">
        <f t="shared" si="39"/>
        <v>6.7712599420877027</v>
      </c>
      <c r="L334" s="39">
        <v>7.2521731222723975</v>
      </c>
      <c r="M334" s="39">
        <f t="shared" si="45"/>
        <v>5.5258591762727312</v>
      </c>
      <c r="N334" s="117">
        <f t="shared" si="43"/>
        <v>6.7360223358764602</v>
      </c>
      <c r="O334" s="94">
        <f t="shared" si="44"/>
        <v>0.10408067632929691</v>
      </c>
      <c r="P334" s="240"/>
    </row>
    <row r="335" spans="1:16" s="6" customFormat="1" ht="15.75">
      <c r="A335" s="268">
        <v>244</v>
      </c>
      <c r="B335" s="122" t="s">
        <v>1287</v>
      </c>
      <c r="C335" s="55">
        <v>303</v>
      </c>
      <c r="D335" s="256"/>
      <c r="E335" s="256">
        <v>26.3</v>
      </c>
      <c r="F335" s="220">
        <f t="shared" ref="F335:F379" si="46">C335+D335+E335</f>
        <v>329.3</v>
      </c>
      <c r="G335" s="18" t="s">
        <v>1339</v>
      </c>
      <c r="H335" s="97">
        <v>214</v>
      </c>
      <c r="I335" s="663">
        <f t="shared" si="41"/>
        <v>7.4858697649305712E-3</v>
      </c>
      <c r="J335" s="39">
        <f t="shared" si="42"/>
        <v>16.986411659696909</v>
      </c>
      <c r="K335" s="664">
        <f t="shared" ref="K335:K383" si="47">J335*0.3677</f>
        <v>6.2459035672705543</v>
      </c>
      <c r="L335" s="39">
        <v>6.6895045179581585</v>
      </c>
      <c r="M335" s="39">
        <f t="shared" si="45"/>
        <v>5.0971287229412257</v>
      </c>
      <c r="N335" s="117">
        <f t="shared" si="43"/>
        <v>6.2133999132653548</v>
      </c>
      <c r="O335" s="94">
        <f t="shared" si="44"/>
        <v>0.10634360299989933</v>
      </c>
      <c r="P335" s="240"/>
    </row>
    <row r="336" spans="1:16" s="6" customFormat="1" ht="15.75">
      <c r="A336" s="268">
        <v>245</v>
      </c>
      <c r="B336" s="122" t="s">
        <v>1288</v>
      </c>
      <c r="C336" s="55">
        <v>406.15</v>
      </c>
      <c r="D336" s="256"/>
      <c r="E336" s="256">
        <v>39.5</v>
      </c>
      <c r="F336" s="220">
        <f t="shared" si="46"/>
        <v>445.65</v>
      </c>
      <c r="G336" s="18" t="s">
        <v>1339</v>
      </c>
      <c r="H336" s="97">
        <v>367</v>
      </c>
      <c r="I336" s="663">
        <f t="shared" si="41"/>
        <v>1.2837916839857568E-2</v>
      </c>
      <c r="J336" s="39">
        <f t="shared" si="42"/>
        <v>29.130902238826007</v>
      </c>
      <c r="K336" s="664">
        <f t="shared" si="47"/>
        <v>10.711432753216323</v>
      </c>
      <c r="L336" s="39">
        <v>11.472187654629179</v>
      </c>
      <c r="M336" s="39">
        <f t="shared" si="45"/>
        <v>8.7413375762590189</v>
      </c>
      <c r="N336" s="117">
        <f t="shared" si="43"/>
        <v>10.655690505459745</v>
      </c>
      <c r="O336" s="94">
        <f t="shared" si="44"/>
        <v>0.13476014859852023</v>
      </c>
      <c r="P336" s="240"/>
    </row>
    <row r="337" spans="1:16" s="6" customFormat="1" ht="15.75">
      <c r="A337" s="275">
        <v>246</v>
      </c>
      <c r="B337" s="122" t="s">
        <v>1289</v>
      </c>
      <c r="C337" s="55">
        <v>515.54999999999995</v>
      </c>
      <c r="D337" s="256"/>
      <c r="E337" s="256"/>
      <c r="F337" s="220">
        <f t="shared" si="46"/>
        <v>515.54999999999995</v>
      </c>
      <c r="G337" s="18" t="s">
        <v>1339</v>
      </c>
      <c r="H337" s="97">
        <v>312</v>
      </c>
      <c r="I337" s="663">
        <f t="shared" si="41"/>
        <v>1.0913978348870739E-2</v>
      </c>
      <c r="J337" s="39">
        <f t="shared" si="42"/>
        <v>24.765235690773061</v>
      </c>
      <c r="K337" s="664">
        <f t="shared" si="47"/>
        <v>9.1061771634972555</v>
      </c>
      <c r="L337" s="39">
        <v>9.7529224747801191</v>
      </c>
      <c r="M337" s="39">
        <f t="shared" si="45"/>
        <v>7.4313278577460862</v>
      </c>
      <c r="N337" s="117">
        <f t="shared" si="43"/>
        <v>9.0587886585924799</v>
      </c>
      <c r="O337" s="94">
        <f t="shared" si="44"/>
        <v>9.9031448330514069E-2</v>
      </c>
      <c r="P337" s="240"/>
    </row>
    <row r="338" spans="1:16" s="6" customFormat="1" ht="15.75">
      <c r="A338" s="268">
        <v>247</v>
      </c>
      <c r="B338" s="122" t="s">
        <v>1290</v>
      </c>
      <c r="C338" s="55">
        <v>938.04</v>
      </c>
      <c r="D338" s="256">
        <v>31.8</v>
      </c>
      <c r="E338" s="256"/>
      <c r="F338" s="220">
        <f t="shared" si="46"/>
        <v>969.83999999999992</v>
      </c>
      <c r="G338" s="18" t="s">
        <v>1339</v>
      </c>
      <c r="H338" s="97">
        <v>883</v>
      </c>
      <c r="I338" s="663">
        <f t="shared" si="41"/>
        <v>3.0887957955297637E-2</v>
      </c>
      <c r="J338" s="39">
        <f t="shared" si="42"/>
        <v>70.088792035104532</v>
      </c>
      <c r="K338" s="664">
        <f t="shared" si="47"/>
        <v>25.771648831307939</v>
      </c>
      <c r="L338" s="39">
        <v>27.60202097830399</v>
      </c>
      <c r="M338" s="39">
        <f t="shared" si="45"/>
        <v>21.031610571762162</v>
      </c>
      <c r="N338" s="117">
        <f t="shared" si="43"/>
        <v>25.637533286978076</v>
      </c>
      <c r="O338" s="94">
        <f t="shared" si="44"/>
        <v>0.14898753651785721</v>
      </c>
      <c r="P338" s="240"/>
    </row>
    <row r="339" spans="1:16" s="6" customFormat="1" ht="15.75">
      <c r="A339" s="268">
        <v>248</v>
      </c>
      <c r="B339" s="122" t="s">
        <v>1291</v>
      </c>
      <c r="C339" s="55">
        <v>476.24</v>
      </c>
      <c r="D339" s="256"/>
      <c r="E339" s="256">
        <v>29</v>
      </c>
      <c r="F339" s="220">
        <f t="shared" si="46"/>
        <v>505.24</v>
      </c>
      <c r="G339" s="18" t="s">
        <v>1339</v>
      </c>
      <c r="H339" s="97">
        <v>312</v>
      </c>
      <c r="I339" s="663">
        <f t="shared" si="41"/>
        <v>1.0913978348870739E-2</v>
      </c>
      <c r="J339" s="39">
        <f t="shared" si="42"/>
        <v>24.765235690773061</v>
      </c>
      <c r="K339" s="664">
        <f t="shared" si="47"/>
        <v>9.1061771634972555</v>
      </c>
      <c r="L339" s="39">
        <v>9.7529224747801191</v>
      </c>
      <c r="M339" s="39">
        <f t="shared" si="45"/>
        <v>7.4313278577460862</v>
      </c>
      <c r="N339" s="117">
        <f t="shared" si="43"/>
        <v>9.0587886585924799</v>
      </c>
      <c r="O339" s="94">
        <f t="shared" si="44"/>
        <v>0.10105229828753963</v>
      </c>
      <c r="P339" s="240"/>
    </row>
    <row r="340" spans="1:16" s="6" customFormat="1" ht="15.75">
      <c r="A340" s="268">
        <v>249</v>
      </c>
      <c r="B340" s="122" t="s">
        <v>1292</v>
      </c>
      <c r="C340" s="55">
        <v>473.28</v>
      </c>
      <c r="D340" s="256"/>
      <c r="E340" s="256">
        <v>24.4</v>
      </c>
      <c r="F340" s="220">
        <f t="shared" si="46"/>
        <v>497.67999999999995</v>
      </c>
      <c r="G340" s="18" t="s">
        <v>1339</v>
      </c>
      <c r="H340" s="97">
        <v>350</v>
      </c>
      <c r="I340" s="663">
        <f t="shared" si="41"/>
        <v>1.2243244942643458E-2</v>
      </c>
      <c r="J340" s="39">
        <f t="shared" si="42"/>
        <v>27.781514396700551</v>
      </c>
      <c r="K340" s="664">
        <f t="shared" si="47"/>
        <v>10.215262843666794</v>
      </c>
      <c r="L340" s="39">
        <v>10.940778417221289</v>
      </c>
      <c r="M340" s="39">
        <f t="shared" si="45"/>
        <v>8.3364254814459304</v>
      </c>
      <c r="N340" s="117">
        <f t="shared" si="43"/>
        <v>10.16210266188259</v>
      </c>
      <c r="O340" s="94">
        <f t="shared" si="44"/>
        <v>0.11508194249122844</v>
      </c>
      <c r="P340" s="240"/>
    </row>
    <row r="341" spans="1:16" s="6" customFormat="1" ht="15.75">
      <c r="A341" s="268">
        <v>250</v>
      </c>
      <c r="B341" s="122" t="s">
        <v>1293</v>
      </c>
      <c r="C341" s="55">
        <v>232.2</v>
      </c>
      <c r="D341" s="256"/>
      <c r="E341" s="256">
        <v>12.6</v>
      </c>
      <c r="F341" s="220">
        <f t="shared" si="46"/>
        <v>244.79999999999998</v>
      </c>
      <c r="G341" s="18" t="s">
        <v>1339</v>
      </c>
      <c r="H341" s="97">
        <v>220</v>
      </c>
      <c r="I341" s="663">
        <f t="shared" si="41"/>
        <v>7.6957539639473166E-3</v>
      </c>
      <c r="J341" s="39">
        <f t="shared" si="42"/>
        <v>17.462666192211774</v>
      </c>
      <c r="K341" s="664">
        <f t="shared" si="47"/>
        <v>6.4210223588762698</v>
      </c>
      <c r="L341" s="39">
        <v>6.8770607193962379</v>
      </c>
      <c r="M341" s="39">
        <f t="shared" si="45"/>
        <v>5.2400388740517281</v>
      </c>
      <c r="N341" s="117">
        <f t="shared" si="43"/>
        <v>6.3876073874690569</v>
      </c>
      <c r="O341" s="94">
        <f t="shared" si="44"/>
        <v>0.14706204307408502</v>
      </c>
      <c r="P341" s="240"/>
    </row>
    <row r="342" spans="1:16" s="6" customFormat="1" ht="15.75">
      <c r="A342" s="268">
        <v>251</v>
      </c>
      <c r="B342" s="122" t="s">
        <v>1294</v>
      </c>
      <c r="C342" s="55">
        <v>553.98</v>
      </c>
      <c r="D342" s="256">
        <v>42.3</v>
      </c>
      <c r="E342" s="256">
        <v>11.2</v>
      </c>
      <c r="F342" s="220">
        <f t="shared" si="46"/>
        <v>607.48</v>
      </c>
      <c r="G342" s="18" t="s">
        <v>1339</v>
      </c>
      <c r="H342" s="97">
        <v>438</v>
      </c>
      <c r="I342" s="663">
        <f t="shared" si="41"/>
        <v>1.5321546528222384E-2</v>
      </c>
      <c r="J342" s="39">
        <f t="shared" si="42"/>
        <v>34.766580873585262</v>
      </c>
      <c r="K342" s="664">
        <f t="shared" si="47"/>
        <v>12.783671787217301</v>
      </c>
      <c r="L342" s="39">
        <v>13.691602704979783</v>
      </c>
      <c r="M342" s="39">
        <f t="shared" si="45"/>
        <v>10.432441031066622</v>
      </c>
      <c r="N342" s="117">
        <f t="shared" si="43"/>
        <v>12.717145616870214</v>
      </c>
      <c r="O342" s="94">
        <f t="shared" si="44"/>
        <v>0.11798626522165169</v>
      </c>
      <c r="P342" s="240"/>
    </row>
    <row r="343" spans="1:16" s="6" customFormat="1" ht="15.75">
      <c r="A343" s="268">
        <v>252</v>
      </c>
      <c r="B343" s="122" t="s">
        <v>1295</v>
      </c>
      <c r="C343" s="55">
        <v>419.75</v>
      </c>
      <c r="D343" s="256">
        <v>47.9</v>
      </c>
      <c r="E343" s="256">
        <v>12.7</v>
      </c>
      <c r="F343" s="220">
        <f t="shared" si="46"/>
        <v>480.34999999999997</v>
      </c>
      <c r="G343" s="18" t="s">
        <v>1339</v>
      </c>
      <c r="H343" s="97">
        <v>397</v>
      </c>
      <c r="I343" s="663">
        <f t="shared" si="41"/>
        <v>1.3887337834941293E-2</v>
      </c>
      <c r="J343" s="39">
        <f t="shared" si="42"/>
        <v>31.512174901400336</v>
      </c>
      <c r="K343" s="664">
        <f t="shared" si="47"/>
        <v>11.587026711244905</v>
      </c>
      <c r="L343" s="39">
        <v>12.409968661819576</v>
      </c>
      <c r="M343" s="39">
        <f t="shared" si="45"/>
        <v>9.4558883318115257</v>
      </c>
      <c r="N343" s="117">
        <f t="shared" si="43"/>
        <v>11.526727876478251</v>
      </c>
      <c r="O343" s="94">
        <f t="shared" si="44"/>
        <v>0.13524525576408108</v>
      </c>
      <c r="P343" s="240"/>
    </row>
    <row r="344" spans="1:16" s="6" customFormat="1" ht="15.75">
      <c r="A344" s="275">
        <v>253</v>
      </c>
      <c r="B344" s="122" t="s">
        <v>1296</v>
      </c>
      <c r="C344" s="55">
        <v>970.33</v>
      </c>
      <c r="D344" s="256">
        <v>195</v>
      </c>
      <c r="E344" s="256"/>
      <c r="F344" s="220">
        <f t="shared" si="46"/>
        <v>1165.33</v>
      </c>
      <c r="G344" s="18" t="s">
        <v>1339</v>
      </c>
      <c r="H344" s="97">
        <v>500</v>
      </c>
      <c r="I344" s="663">
        <f t="shared" si="41"/>
        <v>1.7490349918062083E-2</v>
      </c>
      <c r="J344" s="39">
        <f t="shared" si="42"/>
        <v>39.68787770957222</v>
      </c>
      <c r="K344" s="664">
        <f t="shared" si="47"/>
        <v>14.593232633809706</v>
      </c>
      <c r="L344" s="39">
        <v>15.629683453173268</v>
      </c>
      <c r="M344" s="39">
        <f t="shared" si="45"/>
        <v>11.909179259208472</v>
      </c>
      <c r="N344" s="117">
        <f t="shared" si="43"/>
        <v>14.517289516975127</v>
      </c>
      <c r="O344" s="94">
        <f t="shared" si="44"/>
        <v>7.0211848193870982E-2</v>
      </c>
      <c r="P344" s="240"/>
    </row>
    <row r="345" spans="1:16" s="6" customFormat="1" ht="15.75">
      <c r="A345" s="268">
        <v>254</v>
      </c>
      <c r="B345" s="122" t="s">
        <v>1297</v>
      </c>
      <c r="C345" s="55">
        <v>1351.02</v>
      </c>
      <c r="D345" s="256"/>
      <c r="E345" s="256">
        <v>65</v>
      </c>
      <c r="F345" s="220">
        <f t="shared" si="46"/>
        <v>1416.02</v>
      </c>
      <c r="G345" s="18" t="s">
        <v>1339</v>
      </c>
      <c r="H345" s="97">
        <v>634</v>
      </c>
      <c r="I345" s="663">
        <f t="shared" si="41"/>
        <v>2.217776369610272E-2</v>
      </c>
      <c r="J345" s="39">
        <f t="shared" si="42"/>
        <v>50.324228935737565</v>
      </c>
      <c r="K345" s="664">
        <f t="shared" si="47"/>
        <v>18.504218979670704</v>
      </c>
      <c r="L345" s="39">
        <v>19.818438618623702</v>
      </c>
      <c r="M345" s="39">
        <f t="shared" si="45"/>
        <v>15.100839300676341</v>
      </c>
      <c r="N345" s="117">
        <f t="shared" si="43"/>
        <v>18.407923107524461</v>
      </c>
      <c r="O345" s="94">
        <f t="shared" si="44"/>
        <v>7.3267133115851701E-2</v>
      </c>
      <c r="P345" s="240"/>
    </row>
    <row r="346" spans="1:16" s="6" customFormat="1" ht="15.75">
      <c r="A346" s="268">
        <v>255</v>
      </c>
      <c r="B346" s="122" t="s">
        <v>1298</v>
      </c>
      <c r="C346" s="55">
        <v>1448.01</v>
      </c>
      <c r="D346" s="256">
        <v>53.8</v>
      </c>
      <c r="E346" s="256"/>
      <c r="F346" s="220">
        <f t="shared" si="46"/>
        <v>1501.81</v>
      </c>
      <c r="G346" s="18" t="s">
        <v>1339</v>
      </c>
      <c r="H346" s="97">
        <v>640</v>
      </c>
      <c r="I346" s="663">
        <f t="shared" si="41"/>
        <v>2.2387647895119465E-2</v>
      </c>
      <c r="J346" s="39">
        <f t="shared" si="42"/>
        <v>50.80048346825243</v>
      </c>
      <c r="K346" s="664">
        <f t="shared" si="47"/>
        <v>18.679337771276419</v>
      </c>
      <c r="L346" s="39">
        <v>20.005994820061783</v>
      </c>
      <c r="M346" s="39">
        <f t="shared" si="45"/>
        <v>15.243749451786844</v>
      </c>
      <c r="N346" s="117">
        <f t="shared" si="43"/>
        <v>18.582130581728165</v>
      </c>
      <c r="O346" s="94">
        <f t="shared" si="44"/>
        <v>6.9735562761852346E-2</v>
      </c>
      <c r="P346" s="240"/>
    </row>
    <row r="347" spans="1:16" s="6" customFormat="1" ht="15.75">
      <c r="A347" s="268">
        <v>256</v>
      </c>
      <c r="B347" s="122" t="s">
        <v>1299</v>
      </c>
      <c r="C347" s="55">
        <v>938.2</v>
      </c>
      <c r="D347" s="256"/>
      <c r="E347" s="256">
        <v>31.8</v>
      </c>
      <c r="F347" s="220">
        <f t="shared" si="46"/>
        <v>970</v>
      </c>
      <c r="G347" s="18" t="s">
        <v>1339</v>
      </c>
      <c r="H347" s="97">
        <v>471</v>
      </c>
      <c r="I347" s="663">
        <f t="shared" si="41"/>
        <v>1.6475909622814481E-2</v>
      </c>
      <c r="J347" s="39">
        <f t="shared" si="42"/>
        <v>37.385980802417023</v>
      </c>
      <c r="K347" s="664">
        <f t="shared" si="47"/>
        <v>13.74682514104874</v>
      </c>
      <c r="L347" s="39">
        <v>14.723161812889218</v>
      </c>
      <c r="M347" s="39">
        <f t="shared" si="45"/>
        <v>11.21844686217438</v>
      </c>
      <c r="N347" s="117">
        <f t="shared" si="43"/>
        <v>13.675286724990571</v>
      </c>
      <c r="O347" s="94">
        <f t="shared" si="44"/>
        <v>7.9458159400545736E-2</v>
      </c>
      <c r="P347" s="240"/>
    </row>
    <row r="348" spans="1:16" s="6" customFormat="1" ht="15.75">
      <c r="A348" s="268">
        <v>257</v>
      </c>
      <c r="B348" s="122" t="s">
        <v>1300</v>
      </c>
      <c r="C348" s="55">
        <v>2158</v>
      </c>
      <c r="D348" s="256"/>
      <c r="E348" s="256"/>
      <c r="F348" s="220">
        <f t="shared" si="46"/>
        <v>2158</v>
      </c>
      <c r="G348" s="18" t="s">
        <v>1339</v>
      </c>
      <c r="H348" s="97">
        <v>992</v>
      </c>
      <c r="I348" s="663">
        <f t="shared" ref="I348:I383" si="48">4/114348.77*H348</f>
        <v>3.4700854237435172E-2</v>
      </c>
      <c r="J348" s="39">
        <f t="shared" si="42"/>
        <v>78.740749375791282</v>
      </c>
      <c r="K348" s="664">
        <f t="shared" si="47"/>
        <v>28.952973545478457</v>
      </c>
      <c r="L348" s="39">
        <v>31.009291971095767</v>
      </c>
      <c r="M348" s="39">
        <f t="shared" si="45"/>
        <v>23.627811650269607</v>
      </c>
      <c r="N348" s="117">
        <f t="shared" si="43"/>
        <v>28.802302401678652</v>
      </c>
      <c r="O348" s="94">
        <f t="shared" si="44"/>
        <v>7.5222811187504693E-2</v>
      </c>
      <c r="P348" s="240"/>
    </row>
    <row r="349" spans="1:16" s="6" customFormat="1" ht="15.75">
      <c r="A349" s="268">
        <v>258</v>
      </c>
      <c r="B349" s="122" t="s">
        <v>1301</v>
      </c>
      <c r="C349" s="55">
        <v>700</v>
      </c>
      <c r="D349" s="256"/>
      <c r="E349" s="256">
        <v>29.1</v>
      </c>
      <c r="F349" s="220">
        <f t="shared" si="46"/>
        <v>729.1</v>
      </c>
      <c r="G349" s="18" t="s">
        <v>1339</v>
      </c>
      <c r="H349" s="97">
        <v>409</v>
      </c>
      <c r="I349" s="663">
        <f t="shared" si="48"/>
        <v>1.4307106232974784E-2</v>
      </c>
      <c r="J349" s="39">
        <f t="shared" ref="J349:J384" si="49">I349*2269.13</f>
        <v>32.464683966430073</v>
      </c>
      <c r="K349" s="664">
        <f t="shared" si="47"/>
        <v>11.937264294456339</v>
      </c>
      <c r="L349" s="39">
        <v>12.785081064695733</v>
      </c>
      <c r="M349" s="39">
        <f t="shared" si="45"/>
        <v>9.7417086340325305</v>
      </c>
      <c r="N349" s="117">
        <f t="shared" ref="N349:N412" si="50">M349*1.219</f>
        <v>11.875142824885655</v>
      </c>
      <c r="O349" s="94">
        <f t="shared" si="44"/>
        <v>9.1796376299018892E-2</v>
      </c>
      <c r="P349" s="240"/>
    </row>
    <row r="350" spans="1:16" s="6" customFormat="1" ht="15.75">
      <c r="A350" s="268">
        <v>259</v>
      </c>
      <c r="B350" s="122" t="s">
        <v>1302</v>
      </c>
      <c r="C350" s="55">
        <v>913.54</v>
      </c>
      <c r="D350" s="256">
        <v>123.3</v>
      </c>
      <c r="E350" s="256">
        <v>15.2</v>
      </c>
      <c r="F350" s="220">
        <f t="shared" si="46"/>
        <v>1052.04</v>
      </c>
      <c r="G350" s="18" t="s">
        <v>1339</v>
      </c>
      <c r="H350" s="97">
        <v>635</v>
      </c>
      <c r="I350" s="663">
        <f t="shared" si="48"/>
        <v>2.2212744395938844E-2</v>
      </c>
      <c r="J350" s="39">
        <f t="shared" si="49"/>
        <v>50.403604691156708</v>
      </c>
      <c r="K350" s="664">
        <f t="shared" si="47"/>
        <v>18.533405444938325</v>
      </c>
      <c r="L350" s="39">
        <v>19.849697985530053</v>
      </c>
      <c r="M350" s="39">
        <f t="shared" si="45"/>
        <v>15.124657659194758</v>
      </c>
      <c r="N350" s="117">
        <f t="shared" si="50"/>
        <v>18.436957686558411</v>
      </c>
      <c r="O350" s="94">
        <f t="shared" si="44"/>
        <v>9.8771306966293909E-2</v>
      </c>
      <c r="P350" s="240"/>
    </row>
    <row r="351" spans="1:16" s="6" customFormat="1" ht="15.75">
      <c r="A351" s="275">
        <v>260</v>
      </c>
      <c r="B351" s="122" t="s">
        <v>1303</v>
      </c>
      <c r="C351" s="55">
        <v>608.6</v>
      </c>
      <c r="D351" s="256"/>
      <c r="E351" s="256"/>
      <c r="F351" s="220">
        <f t="shared" si="46"/>
        <v>608.6</v>
      </c>
      <c r="G351" s="18" t="s">
        <v>1339</v>
      </c>
      <c r="H351" s="97">
        <v>472</v>
      </c>
      <c r="I351" s="663">
        <f t="shared" si="48"/>
        <v>1.6510890322650604E-2</v>
      </c>
      <c r="J351" s="39">
        <f t="shared" si="49"/>
        <v>37.465356557836166</v>
      </c>
      <c r="K351" s="664">
        <f t="shared" si="47"/>
        <v>13.776011606316359</v>
      </c>
      <c r="L351" s="39">
        <v>14.754421179795568</v>
      </c>
      <c r="M351" s="39">
        <f t="shared" si="45"/>
        <v>11.242265220692795</v>
      </c>
      <c r="N351" s="117">
        <f t="shared" si="50"/>
        <v>13.704321304024518</v>
      </c>
      <c r="O351" s="94">
        <f t="shared" si="44"/>
        <v>0.12691103280420785</v>
      </c>
      <c r="P351" s="240"/>
    </row>
    <row r="352" spans="1:16" s="6" customFormat="1" ht="15.75">
      <c r="A352" s="268">
        <v>261</v>
      </c>
      <c r="B352" s="122" t="s">
        <v>1304</v>
      </c>
      <c r="C352" s="55">
        <v>415.8</v>
      </c>
      <c r="D352" s="256"/>
      <c r="E352" s="256"/>
      <c r="F352" s="220">
        <f t="shared" si="46"/>
        <v>415.8</v>
      </c>
      <c r="G352" s="18" t="s">
        <v>1339</v>
      </c>
      <c r="H352" s="97">
        <v>286</v>
      </c>
      <c r="I352" s="663">
        <f t="shared" si="48"/>
        <v>1.0004480153131511E-2</v>
      </c>
      <c r="J352" s="39">
        <f t="shared" si="49"/>
        <v>22.701466049875307</v>
      </c>
      <c r="K352" s="664">
        <f t="shared" si="47"/>
        <v>8.3473290665391513</v>
      </c>
      <c r="L352" s="39">
        <v>8.9401789352151102</v>
      </c>
      <c r="M352" s="39">
        <f t="shared" si="45"/>
        <v>6.812050536267245</v>
      </c>
      <c r="N352" s="117">
        <f t="shared" si="50"/>
        <v>8.3038896037097718</v>
      </c>
      <c r="O352" s="94">
        <f t="shared" si="44"/>
        <v>0.11255657669046852</v>
      </c>
      <c r="P352" s="240"/>
    </row>
    <row r="353" spans="1:16" s="6" customFormat="1" ht="15.75">
      <c r="A353" s="268">
        <v>262</v>
      </c>
      <c r="B353" s="122" t="s">
        <v>1305</v>
      </c>
      <c r="C353" s="55">
        <v>460.4</v>
      </c>
      <c r="D353" s="256"/>
      <c r="E353" s="256"/>
      <c r="F353" s="220">
        <f t="shared" si="46"/>
        <v>460.4</v>
      </c>
      <c r="G353" s="18" t="s">
        <v>1339</v>
      </c>
      <c r="H353" s="97">
        <v>430</v>
      </c>
      <c r="I353" s="663">
        <f t="shared" si="48"/>
        <v>1.5041700929533391E-2</v>
      </c>
      <c r="J353" s="39">
        <f t="shared" si="49"/>
        <v>34.131574830232104</v>
      </c>
      <c r="K353" s="664">
        <f t="shared" si="47"/>
        <v>12.550180065076345</v>
      </c>
      <c r="L353" s="39">
        <v>13.441527769729012</v>
      </c>
      <c r="M353" s="39">
        <f t="shared" si="45"/>
        <v>10.241894162919285</v>
      </c>
      <c r="N353" s="117">
        <f t="shared" si="50"/>
        <v>12.484868984598609</v>
      </c>
      <c r="O353" s="94">
        <f t="shared" si="44"/>
        <v>0.15283487582093125</v>
      </c>
      <c r="P353" s="240"/>
    </row>
    <row r="354" spans="1:16" s="6" customFormat="1" ht="15.75">
      <c r="A354" s="268">
        <v>263</v>
      </c>
      <c r="B354" s="122" t="s">
        <v>1306</v>
      </c>
      <c r="C354" s="55">
        <v>485</v>
      </c>
      <c r="D354" s="256">
        <v>37.9</v>
      </c>
      <c r="E354" s="256">
        <v>50.1</v>
      </c>
      <c r="F354" s="220">
        <f t="shared" si="46"/>
        <v>573</v>
      </c>
      <c r="G354" s="18" t="s">
        <v>1339</v>
      </c>
      <c r="H354" s="855">
        <v>360</v>
      </c>
      <c r="I354" s="663">
        <f t="shared" si="48"/>
        <v>1.2593051941004699E-2</v>
      </c>
      <c r="J354" s="39">
        <f t="shared" si="49"/>
        <v>28.575271950891992</v>
      </c>
      <c r="K354" s="664">
        <f t="shared" si="47"/>
        <v>10.507127496342987</v>
      </c>
      <c r="L354" s="39">
        <v>11.253372086284754</v>
      </c>
      <c r="M354" s="39">
        <f t="shared" si="45"/>
        <v>8.5746090666300994</v>
      </c>
      <c r="N354" s="117">
        <f t="shared" si="50"/>
        <v>10.452448452222091</v>
      </c>
      <c r="O354" s="94">
        <f t="shared" si="44"/>
        <v>0.10281043734755643</v>
      </c>
      <c r="P354" s="240"/>
    </row>
    <row r="355" spans="1:16" s="6" customFormat="1" ht="15.75">
      <c r="A355" s="268">
        <v>264</v>
      </c>
      <c r="B355" s="122" t="s">
        <v>1307</v>
      </c>
      <c r="C355" s="55">
        <v>791.22</v>
      </c>
      <c r="D355" s="256"/>
      <c r="E355" s="256"/>
      <c r="F355" s="220">
        <f t="shared" si="46"/>
        <v>791.22</v>
      </c>
      <c r="G355" s="18" t="s">
        <v>1339</v>
      </c>
      <c r="H355" s="97">
        <v>297</v>
      </c>
      <c r="I355" s="663">
        <f t="shared" si="48"/>
        <v>1.0389267851328878E-2</v>
      </c>
      <c r="J355" s="39">
        <f t="shared" si="49"/>
        <v>23.574599359485898</v>
      </c>
      <c r="K355" s="664">
        <f t="shared" si="47"/>
        <v>8.6683801844829649</v>
      </c>
      <c r="L355" s="39">
        <v>9.2840319711849215</v>
      </c>
      <c r="M355" s="39">
        <f t="shared" si="45"/>
        <v>7.0740524799698328</v>
      </c>
      <c r="N355" s="117">
        <f t="shared" si="50"/>
        <v>8.623269973083227</v>
      </c>
      <c r="O355" s="94">
        <f t="shared" si="44"/>
        <v>6.1425474577391379E-2</v>
      </c>
      <c r="P355" s="240"/>
    </row>
    <row r="356" spans="1:16" s="6" customFormat="1" ht="15.75">
      <c r="A356" s="268">
        <v>265</v>
      </c>
      <c r="B356" s="122" t="s">
        <v>1308</v>
      </c>
      <c r="C356" s="55">
        <v>765.5</v>
      </c>
      <c r="D356" s="256"/>
      <c r="E356" s="256"/>
      <c r="F356" s="220">
        <f t="shared" si="46"/>
        <v>765.5</v>
      </c>
      <c r="G356" s="18" t="s">
        <v>1339</v>
      </c>
      <c r="H356" s="97">
        <v>297</v>
      </c>
      <c r="I356" s="663">
        <f t="shared" si="48"/>
        <v>1.0389267851328878E-2</v>
      </c>
      <c r="J356" s="39">
        <f t="shared" si="49"/>
        <v>23.574599359485898</v>
      </c>
      <c r="K356" s="664">
        <f t="shared" si="47"/>
        <v>8.6683801844829649</v>
      </c>
      <c r="L356" s="39">
        <v>9.2840319711849215</v>
      </c>
      <c r="M356" s="39">
        <f t="shared" si="45"/>
        <v>7.0740524799698328</v>
      </c>
      <c r="N356" s="117">
        <f t="shared" si="50"/>
        <v>8.623269973083227</v>
      </c>
      <c r="O356" s="94">
        <f t="shared" si="44"/>
        <v>6.3489306329358078E-2</v>
      </c>
      <c r="P356" s="240"/>
    </row>
    <row r="357" spans="1:16" s="6" customFormat="1" ht="15.75">
      <c r="A357" s="268">
        <v>266</v>
      </c>
      <c r="B357" s="122" t="s">
        <v>1309</v>
      </c>
      <c r="C357" s="55">
        <v>777.3</v>
      </c>
      <c r="D357" s="256"/>
      <c r="E357" s="256">
        <v>28.9</v>
      </c>
      <c r="F357" s="220">
        <f t="shared" si="46"/>
        <v>806.19999999999993</v>
      </c>
      <c r="G357" s="18" t="s">
        <v>1339</v>
      </c>
      <c r="H357" s="97">
        <v>696</v>
      </c>
      <c r="I357" s="663">
        <f t="shared" si="48"/>
        <v>2.4346567085942419E-2</v>
      </c>
      <c r="J357" s="39">
        <f t="shared" si="49"/>
        <v>55.245525771724523</v>
      </c>
      <c r="K357" s="664">
        <f t="shared" si="47"/>
        <v>20.313779826263108</v>
      </c>
      <c r="L357" s="39">
        <v>21.756519366817191</v>
      </c>
      <c r="M357" s="39">
        <f t="shared" si="45"/>
        <v>16.577577528818193</v>
      </c>
      <c r="N357" s="117">
        <f t="shared" si="50"/>
        <v>20.208067007629378</v>
      </c>
      <c r="O357" s="94">
        <f t="shared" si="44"/>
        <v>0.14127189592362072</v>
      </c>
      <c r="P357" s="240"/>
    </row>
    <row r="358" spans="1:16" s="6" customFormat="1" ht="15.75">
      <c r="A358" s="275">
        <v>267</v>
      </c>
      <c r="B358" s="122" t="s">
        <v>1310</v>
      </c>
      <c r="C358" s="55">
        <v>723.6</v>
      </c>
      <c r="D358" s="256"/>
      <c r="E358" s="256">
        <v>29.4</v>
      </c>
      <c r="F358" s="220">
        <f t="shared" si="46"/>
        <v>753</v>
      </c>
      <c r="G358" s="18" t="s">
        <v>1339</v>
      </c>
      <c r="H358" s="97">
        <v>586</v>
      </c>
      <c r="I358" s="663">
        <f t="shared" si="48"/>
        <v>2.0498690103968761E-2</v>
      </c>
      <c r="J358" s="39">
        <f t="shared" si="49"/>
        <v>46.514192675618638</v>
      </c>
      <c r="K358" s="664">
        <f t="shared" si="47"/>
        <v>17.103268646824976</v>
      </c>
      <c r="L358" s="39">
        <v>18.317989007119071</v>
      </c>
      <c r="M358" s="39">
        <f t="shared" si="45"/>
        <v>13.957558091792329</v>
      </c>
      <c r="N358" s="117">
        <f t="shared" si="50"/>
        <v>17.014263313894851</v>
      </c>
      <c r="O358" s="94">
        <f t="shared" si="44"/>
        <v>0.12734795275080346</v>
      </c>
      <c r="P358" s="240"/>
    </row>
    <row r="359" spans="1:16" s="6" customFormat="1" ht="15.75">
      <c r="A359" s="268">
        <v>268</v>
      </c>
      <c r="B359" s="122" t="s">
        <v>1311</v>
      </c>
      <c r="C359" s="55">
        <v>579.6</v>
      </c>
      <c r="D359" s="256"/>
      <c r="E359" s="256">
        <v>32.6</v>
      </c>
      <c r="F359" s="220">
        <f t="shared" si="46"/>
        <v>612.20000000000005</v>
      </c>
      <c r="G359" s="18" t="s">
        <v>1339</v>
      </c>
      <c r="H359" s="97">
        <v>465</v>
      </c>
      <c r="I359" s="663">
        <f t="shared" si="48"/>
        <v>1.6266025423797736E-2</v>
      </c>
      <c r="J359" s="39">
        <f t="shared" si="49"/>
        <v>36.909726269902158</v>
      </c>
      <c r="K359" s="664">
        <f t="shared" si="47"/>
        <v>13.571706349443025</v>
      </c>
      <c r="L359" s="39">
        <v>14.535605611451141</v>
      </c>
      <c r="M359" s="39">
        <f t="shared" si="45"/>
        <v>11.075536711063878</v>
      </c>
      <c r="N359" s="117">
        <f t="shared" si="50"/>
        <v>13.501079250786868</v>
      </c>
      <c r="O359" s="94">
        <f t="shared" si="44"/>
        <v>0.12429365393966055</v>
      </c>
      <c r="P359" s="240"/>
    </row>
    <row r="360" spans="1:16" s="6" customFormat="1" ht="15.75">
      <c r="A360" s="268">
        <v>269</v>
      </c>
      <c r="B360" s="122" t="s">
        <v>1312</v>
      </c>
      <c r="C360" s="55">
        <v>611.79999999999995</v>
      </c>
      <c r="D360" s="256"/>
      <c r="E360" s="256"/>
      <c r="F360" s="220">
        <f t="shared" si="46"/>
        <v>611.79999999999995</v>
      </c>
      <c r="G360" s="18" t="s">
        <v>1339</v>
      </c>
      <c r="H360" s="97">
        <v>566</v>
      </c>
      <c r="I360" s="663">
        <f t="shared" si="48"/>
        <v>1.9799076107246277E-2</v>
      </c>
      <c r="J360" s="39">
        <f t="shared" si="49"/>
        <v>44.926677567235743</v>
      </c>
      <c r="K360" s="664">
        <f t="shared" si="47"/>
        <v>16.519539341472584</v>
      </c>
      <c r="L360" s="39">
        <v>17.692801668992139</v>
      </c>
      <c r="M360" s="39">
        <f t="shared" si="45"/>
        <v>13.481190921423989</v>
      </c>
      <c r="N360" s="117">
        <f t="shared" si="50"/>
        <v>16.433571733215842</v>
      </c>
      <c r="O360" s="94">
        <f t="shared" si="44"/>
        <v>0.15138968535326</v>
      </c>
      <c r="P360" s="240"/>
    </row>
    <row r="361" spans="1:16" s="6" customFormat="1" ht="15.75">
      <c r="A361" s="268">
        <v>270</v>
      </c>
      <c r="B361" s="122" t="s">
        <v>1313</v>
      </c>
      <c r="C361" s="55">
        <v>510.4</v>
      </c>
      <c r="D361" s="256"/>
      <c r="E361" s="256"/>
      <c r="F361" s="220">
        <f t="shared" si="46"/>
        <v>510.4</v>
      </c>
      <c r="G361" s="18" t="s">
        <v>1339</v>
      </c>
      <c r="H361" s="97">
        <v>460</v>
      </c>
      <c r="I361" s="663">
        <f t="shared" si="48"/>
        <v>1.6091121924617115E-2</v>
      </c>
      <c r="J361" s="39">
        <f t="shared" si="49"/>
        <v>36.512847492806436</v>
      </c>
      <c r="K361" s="664">
        <f t="shared" si="47"/>
        <v>13.425774023104928</v>
      </c>
      <c r="L361" s="39">
        <v>14.379308776919407</v>
      </c>
      <c r="M361" s="39">
        <f t="shared" si="45"/>
        <v>10.956444918471794</v>
      </c>
      <c r="N361" s="117">
        <f t="shared" si="50"/>
        <v>13.355906355617117</v>
      </c>
      <c r="O361" s="94">
        <f t="shared" si="44"/>
        <v>0.14748114265537335</v>
      </c>
      <c r="P361" s="240"/>
    </row>
    <row r="362" spans="1:16" s="6" customFormat="1" ht="15.75">
      <c r="A362" s="268">
        <v>271</v>
      </c>
      <c r="B362" s="122" t="s">
        <v>1314</v>
      </c>
      <c r="C362" s="55">
        <v>564</v>
      </c>
      <c r="D362" s="256">
        <v>87.5</v>
      </c>
      <c r="E362" s="256"/>
      <c r="F362" s="220">
        <f t="shared" si="46"/>
        <v>651.5</v>
      </c>
      <c r="G362" s="18" t="s">
        <v>1339</v>
      </c>
      <c r="H362" s="97">
        <v>570</v>
      </c>
      <c r="I362" s="663">
        <f t="shared" si="48"/>
        <v>1.9938998906590774E-2</v>
      </c>
      <c r="J362" s="39">
        <f t="shared" si="49"/>
        <v>45.244180588912329</v>
      </c>
      <c r="K362" s="664">
        <f t="shared" si="47"/>
        <v>16.636285202543064</v>
      </c>
      <c r="L362" s="39">
        <v>17.817839136617525</v>
      </c>
      <c r="M362" s="39">
        <f t="shared" si="45"/>
        <v>13.576464355497658</v>
      </c>
      <c r="N362" s="117">
        <f t="shared" si="50"/>
        <v>16.549710049351646</v>
      </c>
      <c r="O362" s="94">
        <f t="shared" si="44"/>
        <v>0.14316925446442144</v>
      </c>
      <c r="P362" s="240"/>
    </row>
    <row r="363" spans="1:16" s="6" customFormat="1" ht="15.75">
      <c r="A363" s="268">
        <v>272</v>
      </c>
      <c r="B363" s="273" t="s">
        <v>1315</v>
      </c>
      <c r="C363" s="55">
        <v>699.7</v>
      </c>
      <c r="D363" s="256">
        <v>90.2</v>
      </c>
      <c r="E363" s="256"/>
      <c r="F363" s="220">
        <f t="shared" si="46"/>
        <v>789.90000000000009</v>
      </c>
      <c r="G363" s="18" t="s">
        <v>1339</v>
      </c>
      <c r="H363" s="97">
        <v>570</v>
      </c>
      <c r="I363" s="663">
        <f t="shared" si="48"/>
        <v>1.9938998906590774E-2</v>
      </c>
      <c r="J363" s="39">
        <f t="shared" si="49"/>
        <v>45.244180588912329</v>
      </c>
      <c r="K363" s="664">
        <f t="shared" si="47"/>
        <v>16.636285202543064</v>
      </c>
      <c r="L363" s="39">
        <v>17.817839136617525</v>
      </c>
      <c r="M363" s="39">
        <f t="shared" si="45"/>
        <v>13.576464355497658</v>
      </c>
      <c r="N363" s="117">
        <f t="shared" si="50"/>
        <v>16.549710049351646</v>
      </c>
      <c r="O363" s="94">
        <f t="shared" si="44"/>
        <v>0.11808427558370752</v>
      </c>
      <c r="P363" s="240"/>
    </row>
    <row r="364" spans="1:16" s="6" customFormat="1" ht="15.75">
      <c r="A364" s="268">
        <v>273</v>
      </c>
      <c r="B364" s="122" t="s">
        <v>1316</v>
      </c>
      <c r="C364" s="55">
        <v>770.6</v>
      </c>
      <c r="D364" s="256"/>
      <c r="E364" s="256"/>
      <c r="F364" s="220">
        <f t="shared" si="46"/>
        <v>770.6</v>
      </c>
      <c r="G364" s="18" t="s">
        <v>1339</v>
      </c>
      <c r="H364" s="97">
        <v>680</v>
      </c>
      <c r="I364" s="663">
        <f t="shared" si="48"/>
        <v>2.3786875888564433E-2</v>
      </c>
      <c r="J364" s="39">
        <f t="shared" si="49"/>
        <v>53.975513685018214</v>
      </c>
      <c r="K364" s="664">
        <f t="shared" si="47"/>
        <v>19.8467963819812</v>
      </c>
      <c r="L364" s="39">
        <v>21.256369496315646</v>
      </c>
      <c r="M364" s="39">
        <f t="shared" si="45"/>
        <v>16.196483792523523</v>
      </c>
      <c r="N364" s="117">
        <f t="shared" si="50"/>
        <v>19.743513743086176</v>
      </c>
      <c r="O364" s="94">
        <f t="shared" si="44"/>
        <v>0.14440067915369656</v>
      </c>
      <c r="P364" s="240"/>
    </row>
    <row r="365" spans="1:16" s="6" customFormat="1" ht="15.75">
      <c r="A365" s="275">
        <v>274</v>
      </c>
      <c r="B365" s="122" t="s">
        <v>1317</v>
      </c>
      <c r="C365" s="55">
        <v>958.2</v>
      </c>
      <c r="D365" s="256"/>
      <c r="E365" s="256"/>
      <c r="F365" s="220">
        <f t="shared" si="46"/>
        <v>958.2</v>
      </c>
      <c r="G365" s="18" t="s">
        <v>1339</v>
      </c>
      <c r="H365" s="97">
        <v>780</v>
      </c>
      <c r="I365" s="663">
        <f t="shared" si="48"/>
        <v>2.728494587217685E-2</v>
      </c>
      <c r="J365" s="39">
        <f t="shared" si="49"/>
        <v>61.913089226932655</v>
      </c>
      <c r="K365" s="664">
        <f t="shared" si="47"/>
        <v>22.76544290874314</v>
      </c>
      <c r="L365" s="39">
        <v>24.382306186950299</v>
      </c>
      <c r="M365" s="39">
        <f t="shared" si="45"/>
        <v>18.578319644365216</v>
      </c>
      <c r="N365" s="117">
        <f t="shared" si="50"/>
        <v>22.646971646481198</v>
      </c>
      <c r="O365" s="94">
        <f t="shared" si="44"/>
        <v>0.13320721975265215</v>
      </c>
      <c r="P365" s="240"/>
    </row>
    <row r="366" spans="1:16" s="6" customFormat="1" ht="15.75">
      <c r="A366" s="268">
        <v>275</v>
      </c>
      <c r="B366" s="122" t="s">
        <v>1318</v>
      </c>
      <c r="C366" s="55">
        <v>950.92</v>
      </c>
      <c r="D366" s="256">
        <v>124.7</v>
      </c>
      <c r="E366" s="256">
        <v>118.8</v>
      </c>
      <c r="F366" s="220">
        <f t="shared" si="46"/>
        <v>1194.4199999999998</v>
      </c>
      <c r="G366" s="18" t="s">
        <v>1339</v>
      </c>
      <c r="H366" s="97">
        <v>540</v>
      </c>
      <c r="I366" s="663">
        <f t="shared" si="48"/>
        <v>1.8889577911507048E-2</v>
      </c>
      <c r="J366" s="39">
        <f t="shared" si="49"/>
        <v>42.862907926337989</v>
      </c>
      <c r="K366" s="664">
        <f t="shared" si="47"/>
        <v>15.760691244514479</v>
      </c>
      <c r="L366" s="39">
        <v>16.88005812942713</v>
      </c>
      <c r="M366" s="39">
        <f t="shared" si="45"/>
        <v>12.861913599945149</v>
      </c>
      <c r="N366" s="117">
        <f t="shared" si="50"/>
        <v>15.678672678333138</v>
      </c>
      <c r="O366" s="94">
        <f t="shared" si="44"/>
        <v>7.3981992013047976E-2</v>
      </c>
      <c r="P366" s="240"/>
    </row>
    <row r="367" spans="1:16" s="6" customFormat="1" ht="15.75">
      <c r="A367" s="268">
        <v>276</v>
      </c>
      <c r="B367" s="122" t="s">
        <v>1319</v>
      </c>
      <c r="C367" s="55">
        <v>290.51</v>
      </c>
      <c r="D367" s="256">
        <v>32.65</v>
      </c>
      <c r="E367" s="256">
        <v>114.7</v>
      </c>
      <c r="F367" s="220">
        <f t="shared" si="46"/>
        <v>437.85999999999996</v>
      </c>
      <c r="G367" s="18" t="s">
        <v>1339</v>
      </c>
      <c r="H367" s="97">
        <v>300</v>
      </c>
      <c r="I367" s="663">
        <f t="shared" si="48"/>
        <v>1.049420995083725E-2</v>
      </c>
      <c r="J367" s="39">
        <f t="shared" si="49"/>
        <v>23.812726625743331</v>
      </c>
      <c r="K367" s="664">
        <f t="shared" si="47"/>
        <v>8.7559395802858226</v>
      </c>
      <c r="L367" s="39">
        <v>9.3778100719039621</v>
      </c>
      <c r="M367" s="39">
        <f>I367*480.9</f>
        <v>5.0466655653576336</v>
      </c>
      <c r="N367" s="117">
        <f t="shared" si="50"/>
        <v>6.1518853241709559</v>
      </c>
      <c r="O367" s="94">
        <f t="shared" si="44"/>
        <v>0.10732458284221157</v>
      </c>
      <c r="P367" s="240"/>
    </row>
    <row r="368" spans="1:16" s="6" customFormat="1" ht="15.75">
      <c r="A368" s="268">
        <v>277</v>
      </c>
      <c r="B368" s="122" t="s">
        <v>1320</v>
      </c>
      <c r="C368" s="55">
        <v>612.5</v>
      </c>
      <c r="D368" s="256">
        <v>100</v>
      </c>
      <c r="E368" s="256"/>
      <c r="F368" s="220">
        <f t="shared" si="46"/>
        <v>712.5</v>
      </c>
      <c r="G368" s="18" t="s">
        <v>1339</v>
      </c>
      <c r="H368" s="97">
        <v>450</v>
      </c>
      <c r="I368" s="663">
        <f t="shared" si="48"/>
        <v>1.5741314926255873E-2</v>
      </c>
      <c r="J368" s="39">
        <f t="shared" si="49"/>
        <v>35.719089938614992</v>
      </c>
      <c r="K368" s="664">
        <f t="shared" si="47"/>
        <v>13.133909370428734</v>
      </c>
      <c r="L368" s="39">
        <v>14.066715107855943</v>
      </c>
      <c r="M368" s="39">
        <f t="shared" si="45"/>
        <v>10.718261333287623</v>
      </c>
      <c r="N368" s="117">
        <f t="shared" si="50"/>
        <v>13.065560565277615</v>
      </c>
      <c r="O368" s="94">
        <f t="shared" si="44"/>
        <v>0.10335154491254357</v>
      </c>
      <c r="P368" s="240"/>
    </row>
    <row r="369" spans="1:16" s="6" customFormat="1" ht="15.75">
      <c r="A369" s="268">
        <v>278</v>
      </c>
      <c r="B369" s="122" t="s">
        <v>1321</v>
      </c>
      <c r="C369" s="55">
        <v>1001.86</v>
      </c>
      <c r="D369" s="256">
        <v>33.200000000000003</v>
      </c>
      <c r="E369" s="256"/>
      <c r="F369" s="220">
        <f t="shared" si="46"/>
        <v>1035.06</v>
      </c>
      <c r="G369" s="18" t="s">
        <v>1339</v>
      </c>
      <c r="H369" s="97">
        <v>834</v>
      </c>
      <c r="I369" s="663">
        <f t="shared" si="48"/>
        <v>2.9173903663327554E-2</v>
      </c>
      <c r="J369" s="39">
        <f t="shared" si="49"/>
        <v>66.199380019566462</v>
      </c>
      <c r="K369" s="664">
        <f t="shared" si="47"/>
        <v>24.34151203319459</v>
      </c>
      <c r="L369" s="39">
        <v>26.070311999893011</v>
      </c>
      <c r="M369" s="39">
        <f t="shared" si="45"/>
        <v>19.864511004359731</v>
      </c>
      <c r="N369" s="117">
        <f t="shared" si="50"/>
        <v>24.214838914314512</v>
      </c>
      <c r="O369" s="94">
        <f t="shared" si="44"/>
        <v>0.13185295060867369</v>
      </c>
      <c r="P369" s="240"/>
    </row>
    <row r="370" spans="1:16" s="6" customFormat="1" ht="15.75">
      <c r="A370" s="268">
        <v>279</v>
      </c>
      <c r="B370" s="122" t="s">
        <v>1322</v>
      </c>
      <c r="C370" s="55">
        <v>592</v>
      </c>
      <c r="D370" s="256"/>
      <c r="E370" s="256">
        <v>92.4</v>
      </c>
      <c r="F370" s="220">
        <f t="shared" si="46"/>
        <v>684.4</v>
      </c>
      <c r="G370" s="18" t="s">
        <v>1339</v>
      </c>
      <c r="H370" s="97">
        <v>397</v>
      </c>
      <c r="I370" s="663">
        <f t="shared" si="48"/>
        <v>1.3887337834941293E-2</v>
      </c>
      <c r="J370" s="39">
        <f t="shared" si="49"/>
        <v>31.512174901400336</v>
      </c>
      <c r="K370" s="664">
        <f t="shared" si="47"/>
        <v>11.587026711244905</v>
      </c>
      <c r="L370" s="39">
        <v>12.409968661819576</v>
      </c>
      <c r="M370" s="39">
        <f t="shared" si="45"/>
        <v>9.4558883318115257</v>
      </c>
      <c r="N370" s="117">
        <f t="shared" si="50"/>
        <v>11.526727876478251</v>
      </c>
      <c r="O370" s="94">
        <f t="shared" si="44"/>
        <v>9.4922645538101036E-2</v>
      </c>
      <c r="P370" s="240"/>
    </row>
    <row r="371" spans="1:16" s="6" customFormat="1" ht="15.75">
      <c r="A371" s="268">
        <v>280</v>
      </c>
      <c r="B371" s="122" t="s">
        <v>1323</v>
      </c>
      <c r="C371" s="55">
        <v>796.45</v>
      </c>
      <c r="D371" s="256">
        <v>32.4</v>
      </c>
      <c r="E371" s="256">
        <v>30</v>
      </c>
      <c r="F371" s="220">
        <f t="shared" si="46"/>
        <v>858.85</v>
      </c>
      <c r="G371" s="18" t="s">
        <v>1339</v>
      </c>
      <c r="H371" s="97">
        <v>795</v>
      </c>
      <c r="I371" s="663">
        <f t="shared" si="48"/>
        <v>2.7809656369718713E-2</v>
      </c>
      <c r="J371" s="39">
        <f t="shared" si="49"/>
        <v>63.103725558219828</v>
      </c>
      <c r="K371" s="664">
        <f t="shared" si="47"/>
        <v>23.203239887757434</v>
      </c>
      <c r="L371" s="39">
        <v>24.851196690545496</v>
      </c>
      <c r="M371" s="39">
        <f t="shared" si="45"/>
        <v>18.93559502214147</v>
      </c>
      <c r="N371" s="117">
        <f t="shared" si="50"/>
        <v>23.082490331990453</v>
      </c>
      <c r="O371" s="94">
        <f t="shared" si="44"/>
        <v>0.15147436357764946</v>
      </c>
      <c r="P371" s="240"/>
    </row>
    <row r="372" spans="1:16" s="6" customFormat="1" ht="15.75">
      <c r="A372" s="275">
        <v>281</v>
      </c>
      <c r="B372" s="122" t="s">
        <v>1324</v>
      </c>
      <c r="C372" s="55">
        <v>711</v>
      </c>
      <c r="D372" s="256"/>
      <c r="E372" s="256">
        <v>116.7</v>
      </c>
      <c r="F372" s="220">
        <f t="shared" si="46"/>
        <v>827.7</v>
      </c>
      <c r="G372" s="18" t="s">
        <v>1339</v>
      </c>
      <c r="H372" s="97">
        <v>704</v>
      </c>
      <c r="I372" s="663">
        <f t="shared" si="48"/>
        <v>2.4626412684631411E-2</v>
      </c>
      <c r="J372" s="39">
        <f t="shared" si="49"/>
        <v>55.880531815077674</v>
      </c>
      <c r="K372" s="664">
        <f t="shared" si="47"/>
        <v>20.547271548404062</v>
      </c>
      <c r="L372" s="39">
        <v>22.006594302067963</v>
      </c>
      <c r="M372" s="39">
        <f t="shared" si="45"/>
        <v>16.768124396965526</v>
      </c>
      <c r="N372" s="117">
        <f t="shared" si="50"/>
        <v>20.440343639900977</v>
      </c>
      <c r="O372" s="94">
        <f t="shared" si="44"/>
        <v>0.13918390970462149</v>
      </c>
      <c r="P372" s="240"/>
    </row>
    <row r="373" spans="1:16" s="6" customFormat="1" ht="15.75">
      <c r="A373" s="268">
        <v>282</v>
      </c>
      <c r="B373" s="273" t="s">
        <v>1325</v>
      </c>
      <c r="C373" s="55">
        <v>837.19</v>
      </c>
      <c r="D373" s="256"/>
      <c r="E373" s="256"/>
      <c r="F373" s="220">
        <f t="shared" si="46"/>
        <v>837.19</v>
      </c>
      <c r="G373" s="18" t="s">
        <v>1339</v>
      </c>
      <c r="H373" s="97">
        <v>729</v>
      </c>
      <c r="I373" s="663">
        <f t="shared" si="48"/>
        <v>2.5500930180534516E-2</v>
      </c>
      <c r="J373" s="39">
        <f t="shared" si="49"/>
        <v>57.864925700556292</v>
      </c>
      <c r="K373" s="664">
        <f t="shared" si="47"/>
        <v>21.276933180094549</v>
      </c>
      <c r="L373" s="39">
        <v>22.788078474726625</v>
      </c>
      <c r="M373" s="39">
        <f t="shared" si="45"/>
        <v>17.363583359925951</v>
      </c>
      <c r="N373" s="117">
        <f t="shared" si="50"/>
        <v>21.166208115749736</v>
      </c>
      <c r="O373" s="94">
        <f t="shared" si="44"/>
        <v>0.14249276832654881</v>
      </c>
      <c r="P373" s="240"/>
    </row>
    <row r="374" spans="1:16" s="6" customFormat="1" ht="15.75">
      <c r="A374" s="268">
        <v>283</v>
      </c>
      <c r="B374" s="122" t="s">
        <v>1326</v>
      </c>
      <c r="C374" s="55">
        <v>325.10000000000002</v>
      </c>
      <c r="D374" s="256"/>
      <c r="E374" s="256"/>
      <c r="F374" s="220">
        <f t="shared" si="46"/>
        <v>325.10000000000002</v>
      </c>
      <c r="G374" s="18" t="s">
        <v>1339</v>
      </c>
      <c r="H374" s="97">
        <v>272</v>
      </c>
      <c r="I374" s="663">
        <f t="shared" si="48"/>
        <v>9.5147503554257728E-3</v>
      </c>
      <c r="J374" s="39">
        <f t="shared" si="49"/>
        <v>21.590205474007284</v>
      </c>
      <c r="K374" s="664">
        <f t="shared" si="47"/>
        <v>7.9387185527924791</v>
      </c>
      <c r="L374" s="39">
        <v>8.5025477985262583</v>
      </c>
      <c r="M374" s="39">
        <f t="shared" si="45"/>
        <v>6.4785935170094087</v>
      </c>
      <c r="N374" s="117">
        <f t="shared" si="50"/>
        <v>7.8974054972344696</v>
      </c>
      <c r="O374" s="94">
        <f t="shared" si="44"/>
        <v>0.13691192046242825</v>
      </c>
      <c r="P374" s="240"/>
    </row>
    <row r="375" spans="1:16" s="6" customFormat="1" ht="15.75">
      <c r="A375" s="268">
        <v>284</v>
      </c>
      <c r="B375" s="122" t="s">
        <v>1327</v>
      </c>
      <c r="C375" s="55">
        <v>456.1</v>
      </c>
      <c r="D375" s="256"/>
      <c r="E375" s="256">
        <v>56.9</v>
      </c>
      <c r="F375" s="220">
        <f t="shared" si="46"/>
        <v>513</v>
      </c>
      <c r="G375" s="18" t="s">
        <v>1339</v>
      </c>
      <c r="H375" s="97">
        <v>418</v>
      </c>
      <c r="I375" s="663">
        <f t="shared" si="48"/>
        <v>1.46219325314999E-2</v>
      </c>
      <c r="J375" s="39">
        <f t="shared" si="49"/>
        <v>33.179065765202374</v>
      </c>
      <c r="K375" s="664">
        <f t="shared" si="47"/>
        <v>12.199942481864914</v>
      </c>
      <c r="L375" s="39">
        <v>13.066415366852853</v>
      </c>
      <c r="M375" s="39">
        <f t="shared" si="45"/>
        <v>9.9560738606982824</v>
      </c>
      <c r="N375" s="117">
        <f t="shared" si="50"/>
        <v>12.136454036191207</v>
      </c>
      <c r="O375" s="94">
        <f t="shared" si="44"/>
        <v>0.13333625238717042</v>
      </c>
      <c r="P375" s="240"/>
    </row>
    <row r="376" spans="1:16" s="6" customFormat="1" ht="15.75">
      <c r="A376" s="268">
        <v>285</v>
      </c>
      <c r="B376" s="122" t="s">
        <v>1328</v>
      </c>
      <c r="C376" s="55">
        <v>1004.92</v>
      </c>
      <c r="D376" s="256"/>
      <c r="E376" s="256">
        <v>18.5</v>
      </c>
      <c r="F376" s="220">
        <f t="shared" si="46"/>
        <v>1023.42</v>
      </c>
      <c r="G376" s="18" t="s">
        <v>1339</v>
      </c>
      <c r="H376" s="97">
        <v>835</v>
      </c>
      <c r="I376" s="663">
        <f t="shared" si="48"/>
        <v>2.9208884363163677E-2</v>
      </c>
      <c r="J376" s="39">
        <f t="shared" si="49"/>
        <v>66.278755774985598</v>
      </c>
      <c r="K376" s="664">
        <f t="shared" si="47"/>
        <v>24.370698498462207</v>
      </c>
      <c r="L376" s="39">
        <v>26.101571366799359</v>
      </c>
      <c r="M376" s="39">
        <f t="shared" si="45"/>
        <v>19.888329362878146</v>
      </c>
      <c r="N376" s="117">
        <f t="shared" si="50"/>
        <v>24.243873493348463</v>
      </c>
      <c r="O376" s="94">
        <f t="shared" si="44"/>
        <v>0.13351249243040522</v>
      </c>
      <c r="P376" s="240"/>
    </row>
    <row r="377" spans="1:16" s="5" customFormat="1" ht="15.75">
      <c r="A377" s="268">
        <v>286</v>
      </c>
      <c r="B377" s="122" t="s">
        <v>1355</v>
      </c>
      <c r="C377" s="157">
        <v>74.599999999999994</v>
      </c>
      <c r="D377" s="255"/>
      <c r="E377" s="255"/>
      <c r="F377" s="220">
        <f t="shared" si="46"/>
        <v>74.599999999999994</v>
      </c>
      <c r="G377" s="18" t="s">
        <v>1339</v>
      </c>
      <c r="H377" s="856">
        <v>0</v>
      </c>
      <c r="I377" s="663">
        <f t="shared" si="48"/>
        <v>0</v>
      </c>
      <c r="J377" s="39">
        <f t="shared" si="49"/>
        <v>0</v>
      </c>
      <c r="K377" s="664">
        <f t="shared" si="47"/>
        <v>0</v>
      </c>
      <c r="L377" s="39">
        <v>0</v>
      </c>
      <c r="M377" s="39">
        <f t="shared" si="45"/>
        <v>0</v>
      </c>
      <c r="N377" s="117">
        <f t="shared" si="50"/>
        <v>0</v>
      </c>
      <c r="O377" s="94">
        <f t="shared" si="44"/>
        <v>0</v>
      </c>
      <c r="P377" s="240"/>
    </row>
    <row r="378" spans="1:16" s="6" customFormat="1" ht="15.75">
      <c r="A378" s="268">
        <v>287</v>
      </c>
      <c r="B378" s="122" t="s">
        <v>1356</v>
      </c>
      <c r="C378" s="157">
        <v>539</v>
      </c>
      <c r="D378" s="255"/>
      <c r="E378" s="255">
        <v>38.799999999999997</v>
      </c>
      <c r="F378" s="220">
        <f t="shared" si="46"/>
        <v>577.79999999999995</v>
      </c>
      <c r="G378" s="99" t="s">
        <v>1339</v>
      </c>
      <c r="H378" s="97">
        <v>177</v>
      </c>
      <c r="I378" s="663">
        <f t="shared" si="48"/>
        <v>6.1915838709939771E-3</v>
      </c>
      <c r="J378" s="39">
        <f t="shared" si="49"/>
        <v>14.049508709188563</v>
      </c>
      <c r="K378" s="664">
        <f t="shared" si="47"/>
        <v>5.1660043523686348</v>
      </c>
      <c r="L378" s="39">
        <v>5.5329079424233365</v>
      </c>
      <c r="M378" s="39">
        <f t="shared" si="45"/>
        <v>4.2158494577597985</v>
      </c>
      <c r="N378" s="117">
        <f t="shared" si="50"/>
        <v>5.139120489009195</v>
      </c>
      <c r="O378" s="94">
        <f t="shared" si="44"/>
        <v>5.0128540086085735E-2</v>
      </c>
      <c r="P378" s="240"/>
    </row>
    <row r="379" spans="1:16" s="6" customFormat="1" ht="15.75">
      <c r="A379" s="275">
        <v>288</v>
      </c>
      <c r="B379" s="122" t="s">
        <v>1357</v>
      </c>
      <c r="C379" s="157">
        <v>379.4</v>
      </c>
      <c r="D379" s="255"/>
      <c r="E379" s="255"/>
      <c r="F379" s="220">
        <f t="shared" si="46"/>
        <v>379.4</v>
      </c>
      <c r="G379" s="99" t="s">
        <v>1339</v>
      </c>
      <c r="H379" s="97">
        <v>120</v>
      </c>
      <c r="I379" s="663">
        <f t="shared" si="48"/>
        <v>4.1976839803348999E-3</v>
      </c>
      <c r="J379" s="39">
        <f t="shared" si="49"/>
        <v>9.5250906502973312</v>
      </c>
      <c r="K379" s="664">
        <f t="shared" si="47"/>
        <v>3.5023758321143288</v>
      </c>
      <c r="L379" s="39">
        <v>3.7511240287615846</v>
      </c>
      <c r="M379" s="39">
        <f t="shared" si="45"/>
        <v>2.8582030222100334</v>
      </c>
      <c r="N379" s="117">
        <f t="shared" si="50"/>
        <v>3.484149484074031</v>
      </c>
      <c r="O379" s="94">
        <f t="shared" si="44"/>
        <v>5.1757494816508376E-2</v>
      </c>
      <c r="P379" s="240"/>
    </row>
    <row r="380" spans="1:16" s="119" customFormat="1" ht="15.75">
      <c r="A380" s="268">
        <v>289</v>
      </c>
      <c r="B380" s="291" t="s">
        <v>1395</v>
      </c>
      <c r="C380" s="724">
        <f>1893+1096.4</f>
        <v>2989.4</v>
      </c>
      <c r="D380" s="725"/>
      <c r="E380" s="725"/>
      <c r="F380" s="717">
        <f>C380+D380+E380</f>
        <v>2989.4</v>
      </c>
      <c r="G380" s="345" t="s">
        <v>1399</v>
      </c>
      <c r="H380" s="344">
        <f>485+1040</f>
        <v>1525</v>
      </c>
      <c r="I380" s="663">
        <f t="shared" si="48"/>
        <v>5.3345567250089349E-2</v>
      </c>
      <c r="J380" s="39">
        <f t="shared" si="49"/>
        <v>121.04802701419526</v>
      </c>
      <c r="K380" s="664">
        <f t="shared" si="47"/>
        <v>44.5093595331196</v>
      </c>
      <c r="L380" s="39">
        <v>47.670534532178472</v>
      </c>
      <c r="M380" s="39">
        <f>I380*376.38</f>
        <v>20.078204601588627</v>
      </c>
      <c r="N380" s="117">
        <f t="shared" si="50"/>
        <v>24.475331409336537</v>
      </c>
      <c r="O380" s="94">
        <f t="shared" si="44"/>
        <v>7.804446567240314E-2</v>
      </c>
      <c r="P380" s="346"/>
    </row>
    <row r="381" spans="1:16" s="119" customFormat="1" ht="15.75">
      <c r="A381" s="268">
        <v>290</v>
      </c>
      <c r="B381" s="292" t="s">
        <v>1396</v>
      </c>
      <c r="C381" s="726">
        <v>527.29999999999995</v>
      </c>
      <c r="D381" s="350"/>
      <c r="E381" s="350"/>
      <c r="F381" s="717">
        <f>C381+D381+E381</f>
        <v>527.29999999999995</v>
      </c>
      <c r="G381" s="345" t="s">
        <v>1399</v>
      </c>
      <c r="H381" s="347">
        <v>562</v>
      </c>
      <c r="I381" s="663">
        <f t="shared" si="48"/>
        <v>1.9659153307901779E-2</v>
      </c>
      <c r="J381" s="39">
        <f t="shared" si="49"/>
        <v>44.609174545559164</v>
      </c>
      <c r="K381" s="664">
        <f t="shared" si="47"/>
        <v>16.402793480402106</v>
      </c>
      <c r="L381" s="39">
        <v>17.567764201366757</v>
      </c>
      <c r="M381" s="39">
        <f>I381*376.38</f>
        <v>7.3993121220280713</v>
      </c>
      <c r="N381" s="117">
        <f t="shared" si="50"/>
        <v>9.019761476752219</v>
      </c>
      <c r="O381" s="94">
        <f t="shared" si="44"/>
        <v>0.16305527090718017</v>
      </c>
      <c r="P381" s="346"/>
    </row>
    <row r="382" spans="1:16" s="6" customFormat="1" ht="15.75">
      <c r="A382" s="268">
        <v>291</v>
      </c>
      <c r="B382" s="301" t="s">
        <v>1400</v>
      </c>
      <c r="C382" s="538">
        <v>2299.1999999999998</v>
      </c>
      <c r="D382" s="157"/>
      <c r="E382" s="157"/>
      <c r="F382" s="717">
        <f>C382+D382+E382</f>
        <v>2299.1999999999998</v>
      </c>
      <c r="G382" s="99" t="s">
        <v>1339</v>
      </c>
      <c r="H382" s="298">
        <v>458.87</v>
      </c>
      <c r="I382" s="663">
        <f t="shared" si="48"/>
        <v>1.6051593733802296E-2</v>
      </c>
      <c r="J382" s="39">
        <f t="shared" si="49"/>
        <v>36.423152889182809</v>
      </c>
      <c r="K382" s="664">
        <f t="shared" si="47"/>
        <v>13.39279331735252</v>
      </c>
      <c r="L382" s="39">
        <v>34</v>
      </c>
      <c r="M382" s="39">
        <f>I382*680.9</f>
        <v>10.929530173345983</v>
      </c>
      <c r="N382" s="117">
        <f t="shared" si="50"/>
        <v>13.323097281308753</v>
      </c>
      <c r="O382" s="94">
        <f t="shared" si="44"/>
        <v>4.1208018606420198E-2</v>
      </c>
      <c r="P382" s="240"/>
    </row>
    <row r="383" spans="1:16" s="119" customFormat="1" ht="15.75">
      <c r="A383" s="268">
        <v>292</v>
      </c>
      <c r="B383" s="302" t="s">
        <v>1401</v>
      </c>
      <c r="C383" s="727">
        <v>292.60000000000002</v>
      </c>
      <c r="D383" s="728"/>
      <c r="E383" s="728"/>
      <c r="F383" s="717">
        <f>C383+D383+E383</f>
        <v>292.60000000000002</v>
      </c>
      <c r="G383" s="345" t="s">
        <v>1399</v>
      </c>
      <c r="H383" s="347">
        <v>189.4</v>
      </c>
      <c r="I383" s="663">
        <f t="shared" si="48"/>
        <v>6.6253445489619167E-3</v>
      </c>
      <c r="J383" s="39">
        <f t="shared" si="49"/>
        <v>15.033768076385956</v>
      </c>
      <c r="K383" s="664">
        <f t="shared" si="47"/>
        <v>5.527916521687116</v>
      </c>
      <c r="L383" s="39">
        <v>5.9205240920620348</v>
      </c>
      <c r="M383" s="39">
        <f>I383*376.38</f>
        <v>2.4936471813382863</v>
      </c>
      <c r="N383" s="117">
        <f t="shared" si="50"/>
        <v>3.0397559140513715</v>
      </c>
      <c r="O383" s="94">
        <f t="shared" si="44"/>
        <v>9.9028899082274066E-2</v>
      </c>
      <c r="P383" s="346"/>
    </row>
    <row r="384" spans="1:16" s="69" customFormat="1" ht="15.75">
      <c r="B384" s="63" t="s">
        <v>244</v>
      </c>
      <c r="C384" s="63">
        <f>SUM(C92:C383)</f>
        <v>223930.76000000007</v>
      </c>
      <c r="D384" s="63">
        <f>SUM(D92:D383)</f>
        <v>4473.8499999999995</v>
      </c>
      <c r="E384" s="63">
        <f>SUM(E92:E383)</f>
        <v>3784.1</v>
      </c>
      <c r="F384" s="63">
        <f>C384+D384+E384</f>
        <v>232188.71000000008</v>
      </c>
      <c r="G384" s="63"/>
      <c r="H384" s="63">
        <f>SUM(H92:H383)</f>
        <v>114348.76999999999</v>
      </c>
      <c r="I384" s="663">
        <f>4/114348.77*H384</f>
        <v>3.9999999999999996</v>
      </c>
      <c r="J384" s="39">
        <f t="shared" si="49"/>
        <v>9076.5199999999986</v>
      </c>
      <c r="K384" s="316">
        <f t="shared" ref="K384:K400" si="51">J384*0.3677</f>
        <v>3337.4364039999996</v>
      </c>
      <c r="L384" s="39">
        <f>SUM(L91:L383)</f>
        <v>3582.9353176746431</v>
      </c>
      <c r="M384" s="316">
        <f>SUM(M92:M383)</f>
        <v>2445.5218463652914</v>
      </c>
      <c r="N384" s="117">
        <f t="shared" si="50"/>
        <v>2981.0911307192905</v>
      </c>
      <c r="O384" s="94">
        <f t="shared" si="44"/>
        <v>7.9428554334273732E-2</v>
      </c>
      <c r="P384" s="239"/>
    </row>
    <row r="385" spans="1:16" s="209" customFormat="1" ht="15.75">
      <c r="A385" s="384" t="s">
        <v>668</v>
      </c>
      <c r="B385" s="339"/>
      <c r="C385" s="339"/>
      <c r="D385" s="339"/>
      <c r="E385" s="339"/>
      <c r="F385" s="339">
        <f t="shared" ref="F385:F448" si="52">C385+D385+E385</f>
        <v>0</v>
      </c>
      <c r="G385" s="737"/>
      <c r="J385" s="39">
        <f>I385*2077.52</f>
        <v>0</v>
      </c>
      <c r="K385" s="342"/>
      <c r="L385" s="39">
        <v>0</v>
      </c>
      <c r="M385" s="341"/>
      <c r="N385" s="117">
        <f t="shared" si="50"/>
        <v>0</v>
      </c>
      <c r="O385" s="94" t="e">
        <f t="shared" si="44"/>
        <v>#DIV/0!</v>
      </c>
      <c r="P385" s="343"/>
    </row>
    <row r="386" spans="1:16" s="6" customFormat="1" ht="15.75">
      <c r="A386" s="772">
        <v>1</v>
      </c>
      <c r="B386" s="287" t="s">
        <v>212</v>
      </c>
      <c r="C386" s="330">
        <v>4235</v>
      </c>
      <c r="D386" s="330"/>
      <c r="E386" s="330"/>
      <c r="F386" s="61">
        <f t="shared" si="52"/>
        <v>4235</v>
      </c>
      <c r="G386" s="8" t="s">
        <v>1341</v>
      </c>
      <c r="H386" s="24">
        <v>675</v>
      </c>
      <c r="I386" s="710">
        <f t="shared" ref="I386:I449" si="53">4/70919.08*H386</f>
        <v>3.807155986795091E-2</v>
      </c>
      <c r="J386" s="39">
        <f t="shared" ref="J386:J449" si="54">I386*2269.13</f>
        <v>86.389318643163449</v>
      </c>
      <c r="K386" s="37">
        <f t="shared" si="51"/>
        <v>31.765352465091201</v>
      </c>
      <c r="L386" s="39">
        <v>33.584861213600497</v>
      </c>
      <c r="M386" s="39">
        <f t="shared" ref="M386:M418" si="55">I386*376.38</f>
        <v>14.329373703099364</v>
      </c>
      <c r="N386" s="117">
        <f t="shared" si="50"/>
        <v>17.467506544078127</v>
      </c>
      <c r="O386" s="94">
        <f t="shared" si="44"/>
        <v>3.9213437077911341E-2</v>
      </c>
      <c r="P386" s="238"/>
    </row>
    <row r="387" spans="1:16" s="6" customFormat="1" ht="15.75">
      <c r="A387" s="448">
        <v>2</v>
      </c>
      <c r="B387" s="111" t="s">
        <v>213</v>
      </c>
      <c r="C387" s="330">
        <v>12601</v>
      </c>
      <c r="D387" s="330"/>
      <c r="E387" s="330"/>
      <c r="F387" s="61">
        <f t="shared" si="52"/>
        <v>12601</v>
      </c>
      <c r="G387" s="8" t="s">
        <v>1341</v>
      </c>
      <c r="H387" s="24">
        <v>1627</v>
      </c>
      <c r="I387" s="710">
        <f t="shared" si="53"/>
        <v>9.176655985949056E-2</v>
      </c>
      <c r="J387" s="39">
        <f t="shared" si="54"/>
        <v>208.23025397396583</v>
      </c>
      <c r="K387" s="37">
        <f t="shared" si="51"/>
        <v>76.566264386227246</v>
      </c>
      <c r="L387" s="39">
        <v>97.142345234716458</v>
      </c>
      <c r="M387" s="39">
        <f>I387*776.38</f>
        <v>71.245721743711286</v>
      </c>
      <c r="N387" s="117">
        <f t="shared" si="50"/>
        <v>86.848534805584066</v>
      </c>
      <c r="O387" s="94">
        <f t="shared" si="44"/>
        <v>3.5964176282725246E-2</v>
      </c>
      <c r="P387" s="238"/>
    </row>
    <row r="388" spans="1:16" s="6" customFormat="1" ht="15.75">
      <c r="A388" s="448">
        <v>3</v>
      </c>
      <c r="B388" s="111" t="s">
        <v>214</v>
      </c>
      <c r="C388" s="330">
        <v>12482</v>
      </c>
      <c r="D388" s="330"/>
      <c r="E388" s="154"/>
      <c r="F388" s="61">
        <f t="shared" si="52"/>
        <v>12482</v>
      </c>
      <c r="G388" s="8" t="s">
        <v>1341</v>
      </c>
      <c r="H388" s="24">
        <v>1627</v>
      </c>
      <c r="I388" s="710">
        <f t="shared" si="53"/>
        <v>9.176655985949056E-2</v>
      </c>
      <c r="J388" s="39">
        <f t="shared" si="54"/>
        <v>208.23025397396583</v>
      </c>
      <c r="K388" s="37">
        <f t="shared" si="51"/>
        <v>76.566264386227246</v>
      </c>
      <c r="L388" s="39">
        <v>80.95195436226372</v>
      </c>
      <c r="M388" s="39">
        <f t="shared" si="55"/>
        <v>34.539097799915055</v>
      </c>
      <c r="N388" s="117">
        <f t="shared" si="50"/>
        <v>42.103160218096455</v>
      </c>
      <c r="O388" s="94">
        <f t="shared" si="44"/>
        <v>3.2069185268576501E-2</v>
      </c>
      <c r="P388" s="238"/>
    </row>
    <row r="389" spans="1:16" s="6" customFormat="1" ht="15.75">
      <c r="A389" s="448">
        <v>4</v>
      </c>
      <c r="B389" s="111" t="s">
        <v>215</v>
      </c>
      <c r="C389" s="330">
        <v>6092</v>
      </c>
      <c r="D389" s="330"/>
      <c r="E389" s="330"/>
      <c r="F389" s="61">
        <f t="shared" si="52"/>
        <v>6092</v>
      </c>
      <c r="G389" s="8" t="s">
        <v>1341</v>
      </c>
      <c r="H389" s="24">
        <v>697</v>
      </c>
      <c r="I389" s="710">
        <f t="shared" si="53"/>
        <v>3.9312410708091529E-2</v>
      </c>
      <c r="J389" s="39">
        <f t="shared" si="54"/>
        <v>89.204970510051737</v>
      </c>
      <c r="K389" s="37">
        <f t="shared" si="51"/>
        <v>32.800667656546025</v>
      </c>
      <c r="L389" s="39">
        <v>34.67947891241414</v>
      </c>
      <c r="M389" s="39">
        <f t="shared" si="55"/>
        <v>14.796405142311489</v>
      </c>
      <c r="N389" s="117">
        <f t="shared" si="50"/>
        <v>18.036817868477705</v>
      </c>
      <c r="O389" s="94">
        <f t="shared" si="44"/>
        <v>2.8148641205076066E-2</v>
      </c>
      <c r="P389" s="238"/>
    </row>
    <row r="390" spans="1:16" s="6" customFormat="1" ht="15.75">
      <c r="A390" s="448">
        <v>5</v>
      </c>
      <c r="B390" s="111" t="s">
        <v>216</v>
      </c>
      <c r="C390" s="330">
        <v>12853.2</v>
      </c>
      <c r="D390" s="330"/>
      <c r="E390" s="330"/>
      <c r="F390" s="61">
        <f t="shared" si="52"/>
        <v>12853.2</v>
      </c>
      <c r="G390" s="8" t="s">
        <v>1341</v>
      </c>
      <c r="H390" s="24">
        <v>1627</v>
      </c>
      <c r="I390" s="710">
        <f t="shared" si="53"/>
        <v>9.176655985949056E-2</v>
      </c>
      <c r="J390" s="39">
        <f t="shared" si="54"/>
        <v>208.23025397396583</v>
      </c>
      <c r="K390" s="37">
        <f t="shared" si="51"/>
        <v>76.566264386227246</v>
      </c>
      <c r="L390" s="39">
        <v>80.95195436226372</v>
      </c>
      <c r="M390" s="39">
        <f t="shared" si="55"/>
        <v>34.539097799915055</v>
      </c>
      <c r="N390" s="117">
        <f t="shared" si="50"/>
        <v>42.103160218096455</v>
      </c>
      <c r="O390" s="94">
        <f t="shared" si="44"/>
        <v>3.1143028235954617E-2</v>
      </c>
      <c r="P390" s="238"/>
    </row>
    <row r="391" spans="1:16" s="6" customFormat="1" ht="15.75">
      <c r="A391" s="448">
        <v>6</v>
      </c>
      <c r="B391" s="111" t="s">
        <v>217</v>
      </c>
      <c r="C391" s="330">
        <v>6172</v>
      </c>
      <c r="D391" s="330">
        <v>145.1</v>
      </c>
      <c r="E391" s="330"/>
      <c r="F391" s="61">
        <f t="shared" si="52"/>
        <v>6317.1</v>
      </c>
      <c r="G391" s="8" t="s">
        <v>1341</v>
      </c>
      <c r="H391" s="24">
        <v>743</v>
      </c>
      <c r="I391" s="710">
        <f t="shared" si="53"/>
        <v>4.1906917010203742E-2</v>
      </c>
      <c r="J391" s="39">
        <f t="shared" si="54"/>
        <v>95.092242595363629</v>
      </c>
      <c r="K391" s="37">
        <f t="shared" si="51"/>
        <v>34.965417602315206</v>
      </c>
      <c r="L391" s="39">
        <v>36.96822500993359</v>
      </c>
      <c r="M391" s="39">
        <f t="shared" si="55"/>
        <v>15.772925424300485</v>
      </c>
      <c r="N391" s="117">
        <f t="shared" si="50"/>
        <v>19.227196092222293</v>
      </c>
      <c r="O391" s="94">
        <f t="shared" ref="O391:O454" si="56">(M391+L391+K391+J391)/F391</f>
        <v>2.8937140560053327E-2</v>
      </c>
      <c r="P391" s="238"/>
    </row>
    <row r="392" spans="1:16" s="6" customFormat="1" ht="15.75">
      <c r="A392" s="772">
        <v>7</v>
      </c>
      <c r="B392" s="111" t="s">
        <v>218</v>
      </c>
      <c r="C392" s="330">
        <v>6172</v>
      </c>
      <c r="D392" s="330">
        <v>71.099999999999994</v>
      </c>
      <c r="E392" s="330"/>
      <c r="F392" s="61">
        <f t="shared" si="52"/>
        <v>6243.1</v>
      </c>
      <c r="G392" s="8" t="s">
        <v>1341</v>
      </c>
      <c r="H392" s="24">
        <v>746</v>
      </c>
      <c r="I392" s="710">
        <f t="shared" si="53"/>
        <v>4.207612394295019E-2</v>
      </c>
      <c r="J392" s="39">
        <f t="shared" si="54"/>
        <v>95.476195122666567</v>
      </c>
      <c r="K392" s="37">
        <f t="shared" si="51"/>
        <v>35.106596946604498</v>
      </c>
      <c r="L392" s="39">
        <v>37.117491059771815</v>
      </c>
      <c r="M392" s="39">
        <f t="shared" si="55"/>
        <v>15.836611529647593</v>
      </c>
      <c r="N392" s="117">
        <f t="shared" si="50"/>
        <v>19.304829454640416</v>
      </c>
      <c r="O392" s="94">
        <f t="shared" si="56"/>
        <v>2.9398358933653227E-2</v>
      </c>
      <c r="P392" s="238"/>
    </row>
    <row r="393" spans="1:16" s="6" customFormat="1" ht="15.75">
      <c r="A393" s="448">
        <v>8</v>
      </c>
      <c r="B393" s="111" t="s">
        <v>219</v>
      </c>
      <c r="C393" s="330">
        <v>3918</v>
      </c>
      <c r="D393" s="330"/>
      <c r="E393" s="330"/>
      <c r="F393" s="61">
        <f t="shared" si="52"/>
        <v>3918</v>
      </c>
      <c r="G393" s="8" t="s">
        <v>1341</v>
      </c>
      <c r="H393" s="24">
        <v>945</v>
      </c>
      <c r="I393" s="710">
        <f t="shared" si="53"/>
        <v>5.3300183815131269E-2</v>
      </c>
      <c r="J393" s="39">
        <f t="shared" si="54"/>
        <v>120.94504610042883</v>
      </c>
      <c r="K393" s="37">
        <f t="shared" si="51"/>
        <v>44.471493451127685</v>
      </c>
      <c r="L393" s="39">
        <v>47.018805699040698</v>
      </c>
      <c r="M393" s="39">
        <f t="shared" si="55"/>
        <v>20.061123184339106</v>
      </c>
      <c r="N393" s="117">
        <f t="shared" si="50"/>
        <v>24.454509161709371</v>
      </c>
      <c r="O393" s="94">
        <f t="shared" si="56"/>
        <v>5.9340599396359453E-2</v>
      </c>
      <c r="P393" s="238"/>
    </row>
    <row r="394" spans="1:16" s="6" customFormat="1" ht="15.75">
      <c r="A394" s="448">
        <v>9</v>
      </c>
      <c r="B394" s="111" t="s">
        <v>220</v>
      </c>
      <c r="C394" s="330">
        <v>4332</v>
      </c>
      <c r="D394" s="330"/>
      <c r="E394" s="330"/>
      <c r="F394" s="61">
        <f t="shared" si="52"/>
        <v>4332</v>
      </c>
      <c r="G394" s="8" t="s">
        <v>1341</v>
      </c>
      <c r="H394" s="24">
        <v>1178</v>
      </c>
      <c r="I394" s="710">
        <f t="shared" si="53"/>
        <v>6.6441922258438771E-2</v>
      </c>
      <c r="J394" s="39">
        <f t="shared" si="54"/>
        <v>150.76535905429117</v>
      </c>
      <c r="K394" s="37">
        <f t="shared" si="51"/>
        <v>55.436422524262866</v>
      </c>
      <c r="L394" s="39">
        <v>58.61180223647613</v>
      </c>
      <c r="M394" s="39">
        <f t="shared" si="55"/>
        <v>25.007410699631183</v>
      </c>
      <c r="N394" s="117">
        <f t="shared" si="50"/>
        <v>30.484033642850413</v>
      </c>
      <c r="O394" s="94">
        <f t="shared" si="56"/>
        <v>6.6902353304400128E-2</v>
      </c>
      <c r="P394" s="238"/>
    </row>
    <row r="395" spans="1:16" s="6" customFormat="1" ht="15.75">
      <c r="A395" s="448">
        <v>10</v>
      </c>
      <c r="B395" s="111" t="s">
        <v>221</v>
      </c>
      <c r="C395" s="330">
        <v>3911</v>
      </c>
      <c r="D395" s="330"/>
      <c r="E395" s="330"/>
      <c r="F395" s="61">
        <f t="shared" si="52"/>
        <v>3911</v>
      </c>
      <c r="G395" s="8" t="s">
        <v>1341</v>
      </c>
      <c r="H395" s="24">
        <v>806</v>
      </c>
      <c r="I395" s="710">
        <f t="shared" si="53"/>
        <v>4.5460262597879157E-2</v>
      </c>
      <c r="J395" s="39">
        <f t="shared" si="54"/>
        <v>103.15524566872554</v>
      </c>
      <c r="K395" s="37">
        <f t="shared" si="51"/>
        <v>37.930183832390384</v>
      </c>
      <c r="L395" s="39">
        <v>40.102812056536301</v>
      </c>
      <c r="M395" s="39">
        <f t="shared" si="55"/>
        <v>17.110333636589758</v>
      </c>
      <c r="N395" s="117">
        <f t="shared" si="50"/>
        <v>20.857496703002916</v>
      </c>
      <c r="O395" s="94">
        <f t="shared" si="56"/>
        <v>5.0702780668433131E-2</v>
      </c>
      <c r="P395" s="238"/>
    </row>
    <row r="396" spans="1:16" s="6" customFormat="1" ht="15.75">
      <c r="A396" s="448">
        <v>11</v>
      </c>
      <c r="B396" s="111" t="s">
        <v>222</v>
      </c>
      <c r="C396" s="330">
        <v>3338</v>
      </c>
      <c r="D396" s="330"/>
      <c r="E396" s="330"/>
      <c r="F396" s="61">
        <f t="shared" si="52"/>
        <v>3338</v>
      </c>
      <c r="G396" s="8" t="s">
        <v>1341</v>
      </c>
      <c r="H396" s="24">
        <v>1162</v>
      </c>
      <c r="I396" s="710">
        <f t="shared" si="53"/>
        <v>6.5539485283791041E-2</v>
      </c>
      <c r="J396" s="39">
        <f t="shared" si="54"/>
        <v>148.71761224200878</v>
      </c>
      <c r="K396" s="37">
        <f t="shared" si="51"/>
        <v>54.683466021386636</v>
      </c>
      <c r="L396" s="39">
        <v>57.81571663733893</v>
      </c>
      <c r="M396" s="39">
        <f t="shared" si="55"/>
        <v>24.66775147111327</v>
      </c>
      <c r="N396" s="117">
        <f t="shared" si="50"/>
        <v>30.069989043287077</v>
      </c>
      <c r="O396" s="94">
        <f t="shared" si="56"/>
        <v>8.5645460267180229E-2</v>
      </c>
      <c r="P396" s="238"/>
    </row>
    <row r="397" spans="1:16" s="6" customFormat="1" ht="15.75">
      <c r="A397" s="448">
        <v>12</v>
      </c>
      <c r="B397" s="111" t="s">
        <v>223</v>
      </c>
      <c r="C397" s="330">
        <v>3353</v>
      </c>
      <c r="D397" s="330"/>
      <c r="E397" s="330"/>
      <c r="F397" s="61">
        <f t="shared" si="52"/>
        <v>3353</v>
      </c>
      <c r="G397" s="8" t="s">
        <v>1341</v>
      </c>
      <c r="H397" s="24">
        <v>832</v>
      </c>
      <c r="I397" s="710">
        <f t="shared" si="53"/>
        <v>4.6926722681681708E-2</v>
      </c>
      <c r="J397" s="39">
        <f t="shared" si="54"/>
        <v>106.48283423868442</v>
      </c>
      <c r="K397" s="37">
        <f t="shared" si="51"/>
        <v>39.153738149564262</v>
      </c>
      <c r="L397" s="39">
        <v>41.396451155134244</v>
      </c>
      <c r="M397" s="39">
        <f t="shared" si="55"/>
        <v>17.662279882931362</v>
      </c>
      <c r="N397" s="117">
        <f t="shared" si="50"/>
        <v>21.530319177293332</v>
      </c>
      <c r="O397" s="94">
        <f t="shared" si="56"/>
        <v>6.1048405435822933E-2</v>
      </c>
      <c r="P397" s="238"/>
    </row>
    <row r="398" spans="1:16" s="6" customFormat="1" ht="15.75">
      <c r="A398" s="772">
        <v>13</v>
      </c>
      <c r="B398" s="111" t="s">
        <v>224</v>
      </c>
      <c r="C398" s="330">
        <v>4050</v>
      </c>
      <c r="D398" s="330"/>
      <c r="E398" s="330"/>
      <c r="F398" s="61">
        <f t="shared" si="52"/>
        <v>4050</v>
      </c>
      <c r="G398" s="8" t="s">
        <v>1341</v>
      </c>
      <c r="H398" s="24">
        <v>216</v>
      </c>
      <c r="I398" s="710">
        <f t="shared" si="53"/>
        <v>1.218289915774429E-2</v>
      </c>
      <c r="J398" s="39">
        <f t="shared" si="54"/>
        <v>27.644581965812304</v>
      </c>
      <c r="K398" s="37">
        <f t="shared" si="51"/>
        <v>10.164912788829184</v>
      </c>
      <c r="L398" s="39">
        <v>10.747155588352159</v>
      </c>
      <c r="M398" s="39">
        <f t="shared" si="55"/>
        <v>4.5853995849917961</v>
      </c>
      <c r="N398" s="117">
        <f t="shared" si="50"/>
        <v>5.5896020941049995</v>
      </c>
      <c r="O398" s="94">
        <f t="shared" si="56"/>
        <v>1.3121493809379121E-2</v>
      </c>
      <c r="P398" s="238"/>
    </row>
    <row r="399" spans="1:16" s="6" customFormat="1" ht="15.75">
      <c r="A399" s="448">
        <v>14</v>
      </c>
      <c r="B399" s="111" t="s">
        <v>225</v>
      </c>
      <c r="C399" s="330">
        <v>4035</v>
      </c>
      <c r="D399" s="330"/>
      <c r="E399" s="330"/>
      <c r="F399" s="61">
        <f t="shared" si="52"/>
        <v>4035</v>
      </c>
      <c r="G399" s="8" t="s">
        <v>1341</v>
      </c>
      <c r="H399" s="24">
        <v>550</v>
      </c>
      <c r="I399" s="710">
        <f t="shared" si="53"/>
        <v>3.1021271003515555E-2</v>
      </c>
      <c r="J399" s="39">
        <f t="shared" si="54"/>
        <v>70.391296672207261</v>
      </c>
      <c r="K399" s="37">
        <f t="shared" si="51"/>
        <v>25.882879786370612</v>
      </c>
      <c r="L399" s="39">
        <v>27.365442470341147</v>
      </c>
      <c r="M399" s="39">
        <f t="shared" si="55"/>
        <v>11.675785980303184</v>
      </c>
      <c r="N399" s="117">
        <f t="shared" si="50"/>
        <v>14.232783109989581</v>
      </c>
      <c r="O399" s="94">
        <f t="shared" si="56"/>
        <v>3.3535416334379724E-2</v>
      </c>
      <c r="P399" s="238"/>
    </row>
    <row r="400" spans="1:16" s="6" customFormat="1" ht="15.75">
      <c r="A400" s="448">
        <v>15</v>
      </c>
      <c r="B400" s="111" t="s">
        <v>226</v>
      </c>
      <c r="C400" s="330">
        <v>4018</v>
      </c>
      <c r="D400" s="330"/>
      <c r="E400" s="330"/>
      <c r="F400" s="61">
        <f t="shared" si="52"/>
        <v>4018</v>
      </c>
      <c r="G400" s="8" t="s">
        <v>1341</v>
      </c>
      <c r="H400" s="24">
        <v>160</v>
      </c>
      <c r="I400" s="710">
        <f t="shared" si="53"/>
        <v>9.0243697464772524E-3</v>
      </c>
      <c r="J400" s="39">
        <f t="shared" si="54"/>
        <v>20.477468122823929</v>
      </c>
      <c r="K400" s="37">
        <f t="shared" si="51"/>
        <v>7.5295650287623594</v>
      </c>
      <c r="L400" s="39">
        <v>7.9608559913719699</v>
      </c>
      <c r="M400" s="39">
        <f t="shared" si="55"/>
        <v>3.3965922851791084</v>
      </c>
      <c r="N400" s="117">
        <f t="shared" si="50"/>
        <v>4.1404459956333337</v>
      </c>
      <c r="O400" s="94">
        <f t="shared" si="56"/>
        <v>9.79703370536022E-3</v>
      </c>
      <c r="P400" s="238"/>
    </row>
    <row r="401" spans="1:16" s="6" customFormat="1" ht="15.75">
      <c r="A401" s="448">
        <v>16</v>
      </c>
      <c r="B401" s="111" t="s">
        <v>227</v>
      </c>
      <c r="C401" s="330">
        <v>4031</v>
      </c>
      <c r="D401" s="330"/>
      <c r="E401" s="330"/>
      <c r="F401" s="61">
        <f t="shared" si="52"/>
        <v>4031</v>
      </c>
      <c r="G401" s="8" t="s">
        <v>1341</v>
      </c>
      <c r="H401" s="24">
        <v>998</v>
      </c>
      <c r="I401" s="710">
        <f t="shared" si="53"/>
        <v>5.6289506293651863E-2</v>
      </c>
      <c r="J401" s="39">
        <f t="shared" si="54"/>
        <v>127.72820741611426</v>
      </c>
      <c r="K401" s="37">
        <f t="shared" ref="K401:K464" si="57">J401*0.3677</f>
        <v>46.965661866905215</v>
      </c>
      <c r="L401" s="39">
        <v>49.655839246182666</v>
      </c>
      <c r="M401" s="39">
        <f t="shared" si="55"/>
        <v>21.186244378804687</v>
      </c>
      <c r="N401" s="117">
        <f t="shared" si="50"/>
        <v>25.826031897762917</v>
      </c>
      <c r="O401" s="94">
        <f t="shared" si="56"/>
        <v>6.0911920840487924E-2</v>
      </c>
      <c r="P401" s="238"/>
    </row>
    <row r="402" spans="1:16" s="6" customFormat="1" ht="15.75">
      <c r="A402" s="448">
        <v>17</v>
      </c>
      <c r="B402" s="111" t="s">
        <v>228</v>
      </c>
      <c r="C402" s="330">
        <v>4302</v>
      </c>
      <c r="D402" s="330"/>
      <c r="E402" s="330"/>
      <c r="F402" s="61">
        <f t="shared" si="52"/>
        <v>4302</v>
      </c>
      <c r="G402" s="8" t="s">
        <v>1341</v>
      </c>
      <c r="H402" s="24">
        <v>687</v>
      </c>
      <c r="I402" s="710">
        <f t="shared" si="53"/>
        <v>3.8748387598936701E-2</v>
      </c>
      <c r="J402" s="39">
        <f t="shared" si="54"/>
        <v>87.925128752375244</v>
      </c>
      <c r="K402" s="37">
        <f t="shared" si="57"/>
        <v>32.330069842248378</v>
      </c>
      <c r="L402" s="39">
        <v>34.181925412953397</v>
      </c>
      <c r="M402" s="39">
        <f t="shared" si="55"/>
        <v>14.584118124487796</v>
      </c>
      <c r="N402" s="117">
        <f t="shared" si="50"/>
        <v>17.778039993750625</v>
      </c>
      <c r="O402" s="94">
        <f t="shared" si="56"/>
        <v>3.9288991662497628E-2</v>
      </c>
      <c r="P402" s="238"/>
    </row>
    <row r="403" spans="1:16" s="6" customFormat="1" ht="15.75">
      <c r="A403" s="448">
        <v>18</v>
      </c>
      <c r="B403" s="111" t="s">
        <v>229</v>
      </c>
      <c r="C403" s="330">
        <v>4275</v>
      </c>
      <c r="D403" s="330"/>
      <c r="E403" s="330"/>
      <c r="F403" s="61">
        <f t="shared" si="52"/>
        <v>4275</v>
      </c>
      <c r="G403" s="8" t="s">
        <v>1341</v>
      </c>
      <c r="H403" s="24">
        <v>687</v>
      </c>
      <c r="I403" s="710">
        <f t="shared" si="53"/>
        <v>3.8748387598936701E-2</v>
      </c>
      <c r="J403" s="39">
        <f t="shared" si="54"/>
        <v>87.925128752375244</v>
      </c>
      <c r="K403" s="37">
        <f t="shared" si="57"/>
        <v>32.330069842248378</v>
      </c>
      <c r="L403" s="39">
        <v>34.181925412953397</v>
      </c>
      <c r="M403" s="39">
        <f t="shared" si="55"/>
        <v>14.584118124487796</v>
      </c>
      <c r="N403" s="117">
        <f t="shared" si="50"/>
        <v>17.778039993750625</v>
      </c>
      <c r="O403" s="94">
        <f t="shared" si="56"/>
        <v>3.9537132662471296E-2</v>
      </c>
      <c r="P403" s="238"/>
    </row>
    <row r="404" spans="1:16" s="6" customFormat="1" ht="15.75">
      <c r="A404" s="772">
        <v>19</v>
      </c>
      <c r="B404" s="111" t="s">
        <v>230</v>
      </c>
      <c r="C404" s="330">
        <v>4125</v>
      </c>
      <c r="D404" s="330"/>
      <c r="E404" s="330"/>
      <c r="F404" s="61">
        <f t="shared" si="52"/>
        <v>4125</v>
      </c>
      <c r="G404" s="8" t="s">
        <v>1341</v>
      </c>
      <c r="H404" s="24">
        <v>797</v>
      </c>
      <c r="I404" s="710">
        <f t="shared" si="53"/>
        <v>4.4952641799639814E-2</v>
      </c>
      <c r="J404" s="39">
        <f t="shared" si="54"/>
        <v>102.0033880868167</v>
      </c>
      <c r="K404" s="37">
        <f t="shared" si="57"/>
        <v>37.506645799522502</v>
      </c>
      <c r="L404" s="39">
        <v>39.655013907021626</v>
      </c>
      <c r="M404" s="39">
        <f t="shared" si="55"/>
        <v>16.919275320548433</v>
      </c>
      <c r="N404" s="117">
        <f t="shared" si="50"/>
        <v>20.624596615748541</v>
      </c>
      <c r="O404" s="94">
        <f t="shared" si="56"/>
        <v>4.753559348215982E-2</v>
      </c>
      <c r="P404" s="238"/>
    </row>
    <row r="405" spans="1:16" s="6" customFormat="1" ht="15.75">
      <c r="A405" s="448">
        <v>20</v>
      </c>
      <c r="B405" s="111" t="s">
        <v>231</v>
      </c>
      <c r="C405" s="330">
        <v>3975</v>
      </c>
      <c r="D405" s="330"/>
      <c r="E405" s="330"/>
      <c r="F405" s="61">
        <f t="shared" si="52"/>
        <v>3975</v>
      </c>
      <c r="G405" s="8" t="s">
        <v>1341</v>
      </c>
      <c r="H405" s="24">
        <v>1002</v>
      </c>
      <c r="I405" s="710">
        <f t="shared" si="53"/>
        <v>5.6515115537313788E-2</v>
      </c>
      <c r="J405" s="39">
        <f t="shared" si="54"/>
        <v>128.24014411918483</v>
      </c>
      <c r="K405" s="37">
        <f t="shared" si="57"/>
        <v>47.153900992624266</v>
      </c>
      <c r="L405" s="39">
        <v>49.854860645966966</v>
      </c>
      <c r="M405" s="39">
        <f t="shared" si="55"/>
        <v>21.271159185934163</v>
      </c>
      <c r="N405" s="117">
        <f t="shared" si="50"/>
        <v>25.929543047653748</v>
      </c>
      <c r="O405" s="94">
        <f t="shared" si="56"/>
        <v>6.201762640093339E-2</v>
      </c>
      <c r="P405" s="238"/>
    </row>
    <row r="406" spans="1:16" s="6" customFormat="1" ht="15.75">
      <c r="A406" s="448">
        <v>21</v>
      </c>
      <c r="B406" s="111" t="s">
        <v>232</v>
      </c>
      <c r="C406" s="330">
        <v>3357</v>
      </c>
      <c r="D406" s="330"/>
      <c r="E406" s="330"/>
      <c r="F406" s="61">
        <f t="shared" si="52"/>
        <v>3357</v>
      </c>
      <c r="G406" s="8" t="s">
        <v>1341</v>
      </c>
      <c r="H406" s="24">
        <v>980</v>
      </c>
      <c r="I406" s="710">
        <f t="shared" si="53"/>
        <v>5.527426469717317E-2</v>
      </c>
      <c r="J406" s="39">
        <f t="shared" si="54"/>
        <v>125.42449225229656</v>
      </c>
      <c r="K406" s="37">
        <f t="shared" si="57"/>
        <v>46.118585801169445</v>
      </c>
      <c r="L406" s="39">
        <v>48.760242947153316</v>
      </c>
      <c r="M406" s="39">
        <f t="shared" si="55"/>
        <v>20.804127746722038</v>
      </c>
      <c r="N406" s="117">
        <f t="shared" si="50"/>
        <v>25.360231723254167</v>
      </c>
      <c r="O406" s="94">
        <f t="shared" si="56"/>
        <v>7.1822296320328091E-2</v>
      </c>
      <c r="P406" s="238"/>
    </row>
    <row r="407" spans="1:16" s="6" customFormat="1" ht="15.75">
      <c r="A407" s="448">
        <v>22</v>
      </c>
      <c r="B407" s="111" t="s">
        <v>233</v>
      </c>
      <c r="C407" s="330">
        <v>6146</v>
      </c>
      <c r="D407" s="330"/>
      <c r="E407" s="330"/>
      <c r="F407" s="61">
        <f t="shared" si="52"/>
        <v>6146</v>
      </c>
      <c r="G407" s="8" t="s">
        <v>1341</v>
      </c>
      <c r="H407" s="24">
        <v>688</v>
      </c>
      <c r="I407" s="710">
        <f t="shared" si="53"/>
        <v>3.8804789909852186E-2</v>
      </c>
      <c r="J407" s="39">
        <f t="shared" si="54"/>
        <v>88.053112928142895</v>
      </c>
      <c r="K407" s="37">
        <f t="shared" si="57"/>
        <v>32.377129623678144</v>
      </c>
      <c r="L407" s="39">
        <v>34.231680762899472</v>
      </c>
      <c r="M407" s="39">
        <f t="shared" si="55"/>
        <v>14.605346826270166</v>
      </c>
      <c r="N407" s="117">
        <f t="shared" si="50"/>
        <v>17.803917781223333</v>
      </c>
      <c r="O407" s="94">
        <f t="shared" si="56"/>
        <v>2.7541046231856599E-2</v>
      </c>
      <c r="P407" s="238"/>
    </row>
    <row r="408" spans="1:16" s="6" customFormat="1" ht="15.75">
      <c r="A408" s="448">
        <v>23</v>
      </c>
      <c r="B408" s="111" t="s">
        <v>234</v>
      </c>
      <c r="C408" s="330">
        <v>983</v>
      </c>
      <c r="D408" s="330"/>
      <c r="E408" s="330"/>
      <c r="F408" s="61">
        <f t="shared" si="52"/>
        <v>983</v>
      </c>
      <c r="G408" s="8" t="s">
        <v>1341</v>
      </c>
      <c r="H408" s="24">
        <v>213</v>
      </c>
      <c r="I408" s="710">
        <f t="shared" si="53"/>
        <v>1.2013692224997843E-2</v>
      </c>
      <c r="J408" s="39">
        <f t="shared" si="54"/>
        <v>27.260629438509355</v>
      </c>
      <c r="K408" s="37">
        <f t="shared" si="57"/>
        <v>10.023733444539891</v>
      </c>
      <c r="L408" s="39">
        <v>10.597889538513936</v>
      </c>
      <c r="M408" s="39">
        <f t="shared" si="55"/>
        <v>4.5217134796446876</v>
      </c>
      <c r="N408" s="117">
        <f t="shared" si="50"/>
        <v>5.5119687316868742</v>
      </c>
      <c r="O408" s="94">
        <f t="shared" si="56"/>
        <v>5.3310239980882877E-2</v>
      </c>
      <c r="P408" s="238"/>
    </row>
    <row r="409" spans="1:16" s="6" customFormat="1" ht="15.75">
      <c r="A409" s="448">
        <v>24</v>
      </c>
      <c r="B409" s="111" t="s">
        <v>235</v>
      </c>
      <c r="C409" s="330">
        <v>3815</v>
      </c>
      <c r="D409" s="330"/>
      <c r="E409" s="330"/>
      <c r="F409" s="61">
        <f t="shared" si="52"/>
        <v>3815</v>
      </c>
      <c r="G409" s="8" t="s">
        <v>1341</v>
      </c>
      <c r="H409" s="24">
        <v>717</v>
      </c>
      <c r="I409" s="710">
        <f t="shared" si="53"/>
        <v>4.0440456926401185E-2</v>
      </c>
      <c r="J409" s="39">
        <f t="shared" si="54"/>
        <v>91.764654025404724</v>
      </c>
      <c r="K409" s="37">
        <f t="shared" si="57"/>
        <v>33.741863285141321</v>
      </c>
      <c r="L409" s="39">
        <v>35.67458591133564</v>
      </c>
      <c r="M409" s="39">
        <f t="shared" si="55"/>
        <v>15.220979177958878</v>
      </c>
      <c r="N409" s="117">
        <f t="shared" si="50"/>
        <v>18.554373617931873</v>
      </c>
      <c r="O409" s="94">
        <f t="shared" si="56"/>
        <v>4.6239077955397265E-2</v>
      </c>
      <c r="P409" s="238"/>
    </row>
    <row r="410" spans="1:16" s="6" customFormat="1" ht="15.75">
      <c r="A410" s="772">
        <v>25</v>
      </c>
      <c r="B410" s="111" t="s">
        <v>236</v>
      </c>
      <c r="C410" s="330">
        <v>4215</v>
      </c>
      <c r="D410" s="330"/>
      <c r="E410" s="330"/>
      <c r="F410" s="61">
        <f t="shared" si="52"/>
        <v>4215</v>
      </c>
      <c r="G410" s="8" t="s">
        <v>1341</v>
      </c>
      <c r="H410" s="24">
        <v>797</v>
      </c>
      <c r="I410" s="710">
        <f t="shared" si="53"/>
        <v>4.4952641799639814E-2</v>
      </c>
      <c r="J410" s="39">
        <f t="shared" si="54"/>
        <v>102.0033880868167</v>
      </c>
      <c r="K410" s="37">
        <f t="shared" si="57"/>
        <v>37.506645799522502</v>
      </c>
      <c r="L410" s="39">
        <v>39.655013907021626</v>
      </c>
      <c r="M410" s="39">
        <f t="shared" si="55"/>
        <v>16.919275320548433</v>
      </c>
      <c r="N410" s="117">
        <f t="shared" si="50"/>
        <v>20.624596615748541</v>
      </c>
      <c r="O410" s="94">
        <f t="shared" si="56"/>
        <v>4.6520598603537189E-2</v>
      </c>
      <c r="P410" s="238"/>
    </row>
    <row r="411" spans="1:16" s="6" customFormat="1" ht="15.75">
      <c r="A411" s="448">
        <v>26</v>
      </c>
      <c r="B411" s="111" t="s">
        <v>237</v>
      </c>
      <c r="C411" s="330">
        <v>12662</v>
      </c>
      <c r="D411" s="330"/>
      <c r="E411" s="330"/>
      <c r="F411" s="61">
        <f t="shared" si="52"/>
        <v>12662</v>
      </c>
      <c r="G411" s="8" t="s">
        <v>1341</v>
      </c>
      <c r="H411" s="24">
        <v>1097</v>
      </c>
      <c r="I411" s="710">
        <f t="shared" si="53"/>
        <v>6.1873335074284663E-2</v>
      </c>
      <c r="J411" s="39">
        <f t="shared" si="54"/>
        <v>140.39864081711156</v>
      </c>
      <c r="K411" s="37">
        <f t="shared" si="57"/>
        <v>51.624580228451926</v>
      </c>
      <c r="L411" s="39">
        <v>54.581618890844069</v>
      </c>
      <c r="M411" s="39">
        <f t="shared" si="55"/>
        <v>23.287885855259262</v>
      </c>
      <c r="N411" s="117">
        <f t="shared" si="50"/>
        <v>28.387932857561044</v>
      </c>
      <c r="O411" s="94">
        <f t="shared" si="56"/>
        <v>2.1315173415863749E-2</v>
      </c>
      <c r="P411" s="238"/>
    </row>
    <row r="412" spans="1:16" s="6" customFormat="1" ht="15.75">
      <c r="A412" s="448">
        <v>27</v>
      </c>
      <c r="B412" s="111" t="s">
        <v>238</v>
      </c>
      <c r="C412" s="330">
        <v>3976</v>
      </c>
      <c r="D412" s="330"/>
      <c r="E412" s="330"/>
      <c r="F412" s="61">
        <f t="shared" si="52"/>
        <v>3976</v>
      </c>
      <c r="G412" s="8" t="s">
        <v>1341</v>
      </c>
      <c r="H412" s="24">
        <v>604</v>
      </c>
      <c r="I412" s="710">
        <f t="shared" si="53"/>
        <v>3.4066995792951624E-2</v>
      </c>
      <c r="J412" s="39">
        <f t="shared" si="54"/>
        <v>77.302442163660317</v>
      </c>
      <c r="K412" s="37">
        <f t="shared" si="57"/>
        <v>28.424107983577901</v>
      </c>
      <c r="L412" s="39">
        <v>30.052231367429187</v>
      </c>
      <c r="M412" s="39">
        <f t="shared" si="55"/>
        <v>12.822135876551132</v>
      </c>
      <c r="N412" s="117">
        <f t="shared" si="50"/>
        <v>15.630183633515831</v>
      </c>
      <c r="O412" s="94">
        <f t="shared" si="56"/>
        <v>3.737447620503484E-2</v>
      </c>
      <c r="P412" s="238"/>
    </row>
    <row r="413" spans="1:16" s="6" customFormat="1" ht="15.75">
      <c r="A413" s="448">
        <v>28</v>
      </c>
      <c r="B413" s="111" t="s">
        <v>239</v>
      </c>
      <c r="C413" s="330">
        <v>12839</v>
      </c>
      <c r="D413" s="330"/>
      <c r="E413" s="330"/>
      <c r="F413" s="61">
        <f t="shared" si="52"/>
        <v>12839</v>
      </c>
      <c r="G413" s="8" t="s">
        <v>1341</v>
      </c>
      <c r="H413" s="24">
        <v>1153</v>
      </c>
      <c r="I413" s="710">
        <f t="shared" si="53"/>
        <v>6.5031864485551705E-2</v>
      </c>
      <c r="J413" s="39">
        <f t="shared" si="54"/>
        <v>147.56575466009994</v>
      </c>
      <c r="K413" s="37">
        <f t="shared" si="57"/>
        <v>54.259927988518754</v>
      </c>
      <c r="L413" s="39">
        <v>57.367918487824262</v>
      </c>
      <c r="M413" s="39">
        <f t="shared" si="55"/>
        <v>24.476693155071949</v>
      </c>
      <c r="N413" s="117">
        <f t="shared" ref="N413:N476" si="58">M413*1.219</f>
        <v>29.837088956032709</v>
      </c>
      <c r="O413" s="94">
        <f t="shared" si="56"/>
        <v>2.2094422797064795E-2</v>
      </c>
      <c r="P413" s="238"/>
    </row>
    <row r="414" spans="1:16" s="6" customFormat="1" ht="15.75">
      <c r="A414" s="448">
        <v>29</v>
      </c>
      <c r="B414" s="111" t="s">
        <v>240</v>
      </c>
      <c r="C414" s="330">
        <v>10313</v>
      </c>
      <c r="D414" s="330"/>
      <c r="E414" s="330"/>
      <c r="F414" s="61">
        <f t="shared" si="52"/>
        <v>10313</v>
      </c>
      <c r="G414" s="8" t="s">
        <v>1341</v>
      </c>
      <c r="H414" s="24">
        <v>895</v>
      </c>
      <c r="I414" s="710">
        <f t="shared" si="53"/>
        <v>5.048006826935713E-2</v>
      </c>
      <c r="J414" s="39">
        <f t="shared" si="54"/>
        <v>114.54583731204634</v>
      </c>
      <c r="K414" s="37">
        <f t="shared" si="57"/>
        <v>42.118504379639447</v>
      </c>
      <c r="L414" s="39">
        <v>44.531038201736962</v>
      </c>
      <c r="M414" s="39">
        <f t="shared" si="55"/>
        <v>18.999688095220638</v>
      </c>
      <c r="N414" s="117">
        <f t="shared" si="58"/>
        <v>23.160619788073959</v>
      </c>
      <c r="O414" s="94">
        <f t="shared" si="56"/>
        <v>2.1351213806714186E-2</v>
      </c>
      <c r="P414" s="238"/>
    </row>
    <row r="415" spans="1:16" s="6" customFormat="1" ht="15.75">
      <c r="A415" s="448">
        <v>30</v>
      </c>
      <c r="B415" s="111" t="s">
        <v>241</v>
      </c>
      <c r="C415" s="330">
        <v>6385</v>
      </c>
      <c r="D415" s="330"/>
      <c r="E415" s="330"/>
      <c r="F415" s="61">
        <f t="shared" si="52"/>
        <v>6385</v>
      </c>
      <c r="G415" s="8" t="s">
        <v>1341</v>
      </c>
      <c r="H415" s="24">
        <v>729</v>
      </c>
      <c r="I415" s="710">
        <f t="shared" si="53"/>
        <v>4.1117284657386982E-2</v>
      </c>
      <c r="J415" s="39">
        <f t="shared" si="54"/>
        <v>93.300464134616533</v>
      </c>
      <c r="K415" s="37">
        <f t="shared" si="57"/>
        <v>34.306580662298501</v>
      </c>
      <c r="L415" s="39">
        <v>36.27165011068854</v>
      </c>
      <c r="M415" s="39">
        <f t="shared" si="55"/>
        <v>15.475723599347312</v>
      </c>
      <c r="N415" s="117">
        <f t="shared" si="58"/>
        <v>18.864907067604374</v>
      </c>
      <c r="O415" s="94">
        <f t="shared" si="56"/>
        <v>2.808996374423663E-2</v>
      </c>
      <c r="P415" s="238"/>
    </row>
    <row r="416" spans="1:16" s="6" customFormat="1" ht="15.75">
      <c r="A416" s="772">
        <v>31</v>
      </c>
      <c r="B416" s="111" t="s">
        <v>242</v>
      </c>
      <c r="C416" s="330">
        <v>3031</v>
      </c>
      <c r="D416" s="330">
        <v>10.199999999999999</v>
      </c>
      <c r="E416" s="330"/>
      <c r="F416" s="61">
        <f t="shared" si="52"/>
        <v>3041.2</v>
      </c>
      <c r="G416" s="8" t="s">
        <v>1341</v>
      </c>
      <c r="H416" s="24">
        <v>518</v>
      </c>
      <c r="I416" s="710">
        <f t="shared" si="53"/>
        <v>2.9216397054220102E-2</v>
      </c>
      <c r="J416" s="39">
        <f t="shared" si="54"/>
        <v>66.295803047642465</v>
      </c>
      <c r="K416" s="37">
        <f t="shared" si="57"/>
        <v>24.376966780618137</v>
      </c>
      <c r="L416" s="39">
        <v>25.773271272066754</v>
      </c>
      <c r="M416" s="39">
        <f t="shared" si="55"/>
        <v>10.996467523267363</v>
      </c>
      <c r="N416" s="117">
        <f t="shared" si="58"/>
        <v>13.404693910862916</v>
      </c>
      <c r="O416" s="94">
        <f t="shared" si="56"/>
        <v>4.1905336256607501E-2</v>
      </c>
      <c r="P416" s="238"/>
    </row>
    <row r="417" spans="1:16" s="6" customFormat="1" ht="15.75">
      <c r="A417" s="448">
        <v>32</v>
      </c>
      <c r="B417" s="111" t="s">
        <v>243</v>
      </c>
      <c r="C417" s="330">
        <v>3886</v>
      </c>
      <c r="D417" s="330"/>
      <c r="E417" s="330"/>
      <c r="F417" s="61">
        <f t="shared" si="52"/>
        <v>3886</v>
      </c>
      <c r="G417" s="8" t="s">
        <v>1341</v>
      </c>
      <c r="H417" s="24">
        <v>711</v>
      </c>
      <c r="I417" s="710">
        <f t="shared" si="53"/>
        <v>4.0102043060908289E-2</v>
      </c>
      <c r="J417" s="39">
        <f t="shared" si="54"/>
        <v>90.996748970798834</v>
      </c>
      <c r="K417" s="37">
        <f t="shared" si="57"/>
        <v>33.459504596562731</v>
      </c>
      <c r="L417" s="39">
        <v>35.376053811659197</v>
      </c>
      <c r="M417" s="39">
        <f t="shared" si="55"/>
        <v>15.093606967264662</v>
      </c>
      <c r="N417" s="117">
        <f t="shared" si="58"/>
        <v>18.399106893095624</v>
      </c>
      <c r="O417" s="94">
        <f t="shared" si="56"/>
        <v>4.5014388663480551E-2</v>
      </c>
      <c r="P417" s="238"/>
    </row>
    <row r="418" spans="1:16" s="6" customFormat="1" ht="15.75">
      <c r="A418" s="448">
        <v>33</v>
      </c>
      <c r="B418" s="111" t="s">
        <v>762</v>
      </c>
      <c r="C418" s="330">
        <v>4071</v>
      </c>
      <c r="D418" s="330"/>
      <c r="E418" s="330"/>
      <c r="F418" s="61">
        <f t="shared" si="52"/>
        <v>4071</v>
      </c>
      <c r="G418" s="8" t="s">
        <v>1341</v>
      </c>
      <c r="H418" s="24">
        <v>634</v>
      </c>
      <c r="I418" s="710">
        <f t="shared" si="53"/>
        <v>3.5759065120416114E-2</v>
      </c>
      <c r="J418" s="39">
        <f t="shared" si="54"/>
        <v>81.141967436689825</v>
      </c>
      <c r="K418" s="37">
        <f t="shared" si="57"/>
        <v>29.835901426470851</v>
      </c>
      <c r="L418" s="39">
        <v>31.544891865811433</v>
      </c>
      <c r="M418" s="39">
        <f t="shared" si="55"/>
        <v>13.458996930022217</v>
      </c>
      <c r="N418" s="117">
        <f t="shared" si="58"/>
        <v>16.406517257697082</v>
      </c>
      <c r="O418" s="94">
        <f t="shared" si="56"/>
        <v>3.8315342092604843E-2</v>
      </c>
      <c r="P418" s="238"/>
    </row>
    <row r="419" spans="1:16" s="209" customFormat="1" ht="15.75">
      <c r="A419" s="448">
        <v>34</v>
      </c>
      <c r="B419" s="111" t="s">
        <v>750</v>
      </c>
      <c r="C419" s="330">
        <v>161.1</v>
      </c>
      <c r="D419" s="330"/>
      <c r="E419" s="330">
        <v>191.5</v>
      </c>
      <c r="F419" s="61">
        <f t="shared" si="52"/>
        <v>352.6</v>
      </c>
      <c r="G419" s="8" t="s">
        <v>1342</v>
      </c>
      <c r="H419" s="24">
        <v>303</v>
      </c>
      <c r="I419" s="710">
        <f t="shared" si="53"/>
        <v>1.7089900207391297E-2</v>
      </c>
      <c r="J419" s="39">
        <f t="shared" si="54"/>
        <v>38.779205257597816</v>
      </c>
      <c r="K419" s="37">
        <f t="shared" si="57"/>
        <v>14.259113773218719</v>
      </c>
      <c r="L419" s="39">
        <v>15.07587103366067</v>
      </c>
      <c r="M419" s="39">
        <f t="shared" ref="M419:M482" si="59">I419*680.9</f>
        <v>11.636513051212734</v>
      </c>
      <c r="N419" s="117">
        <f t="shared" si="58"/>
        <v>14.184909409428323</v>
      </c>
      <c r="O419" s="94">
        <f t="shared" si="56"/>
        <v>0.22617896516077687</v>
      </c>
      <c r="P419" s="343"/>
    </row>
    <row r="420" spans="1:16" s="209" customFormat="1" ht="15.75">
      <c r="A420" s="448">
        <v>35</v>
      </c>
      <c r="B420" s="111" t="s">
        <v>751</v>
      </c>
      <c r="C420" s="330">
        <v>656.95</v>
      </c>
      <c r="D420" s="330"/>
      <c r="E420" s="330"/>
      <c r="F420" s="61">
        <f t="shared" si="52"/>
        <v>656.95</v>
      </c>
      <c r="G420" s="8" t="s">
        <v>1342</v>
      </c>
      <c r="H420" s="24">
        <v>788</v>
      </c>
      <c r="I420" s="710">
        <f t="shared" si="53"/>
        <v>4.4445021001400464E-2</v>
      </c>
      <c r="J420" s="39">
        <f t="shared" si="54"/>
        <v>100.85153050490784</v>
      </c>
      <c r="K420" s="37">
        <f t="shared" si="57"/>
        <v>37.083107766654614</v>
      </c>
      <c r="L420" s="39">
        <v>39.207215757506951</v>
      </c>
      <c r="M420" s="39">
        <f t="shared" si="59"/>
        <v>30.262614799853576</v>
      </c>
      <c r="N420" s="117">
        <f t="shared" si="58"/>
        <v>36.890127441021512</v>
      </c>
      <c r="O420" s="94">
        <f t="shared" si="56"/>
        <v>0.31570814952267745</v>
      </c>
      <c r="P420" s="343"/>
    </row>
    <row r="421" spans="1:16" s="209" customFormat="1" ht="15.75">
      <c r="A421" s="448">
        <v>36</v>
      </c>
      <c r="B421" s="111" t="s">
        <v>752</v>
      </c>
      <c r="C421" s="330">
        <v>485.16</v>
      </c>
      <c r="D421" s="330"/>
      <c r="E421" s="330"/>
      <c r="F421" s="61">
        <f t="shared" si="52"/>
        <v>485.16</v>
      </c>
      <c r="G421" s="8" t="s">
        <v>1342</v>
      </c>
      <c r="H421" s="24">
        <v>300</v>
      </c>
      <c r="I421" s="710">
        <f t="shared" si="53"/>
        <v>1.6920693274644849E-2</v>
      </c>
      <c r="J421" s="39">
        <f t="shared" si="54"/>
        <v>38.395252730294871</v>
      </c>
      <c r="K421" s="37">
        <f t="shared" si="57"/>
        <v>14.117934428929425</v>
      </c>
      <c r="L421" s="39">
        <v>14.926604983822443</v>
      </c>
      <c r="M421" s="39">
        <f t="shared" si="59"/>
        <v>11.521300050705678</v>
      </c>
      <c r="N421" s="117">
        <f t="shared" si="58"/>
        <v>14.044464761810222</v>
      </c>
      <c r="O421" s="94">
        <f t="shared" si="56"/>
        <v>0.16275268405011217</v>
      </c>
      <c r="P421" s="343"/>
    </row>
    <row r="422" spans="1:16" s="209" customFormat="1" ht="15.75">
      <c r="A422" s="772">
        <v>37</v>
      </c>
      <c r="B422" s="111" t="s">
        <v>753</v>
      </c>
      <c r="C422" s="330">
        <v>286.92</v>
      </c>
      <c r="D422" s="330"/>
      <c r="E422" s="330"/>
      <c r="F422" s="61">
        <f t="shared" si="52"/>
        <v>286.92</v>
      </c>
      <c r="G422" s="8" t="s">
        <v>1342</v>
      </c>
      <c r="H422" s="24">
        <v>234</v>
      </c>
      <c r="I422" s="710">
        <f t="shared" si="53"/>
        <v>1.3198140754222982E-2</v>
      </c>
      <c r="J422" s="39">
        <f t="shared" si="54"/>
        <v>29.948297129629996</v>
      </c>
      <c r="K422" s="37">
        <f t="shared" si="57"/>
        <v>11.011988854564951</v>
      </c>
      <c r="L422" s="39">
        <v>11.642751887381506</v>
      </c>
      <c r="M422" s="39">
        <f t="shared" si="59"/>
        <v>8.9866140395504281</v>
      </c>
      <c r="N422" s="117">
        <f t="shared" si="58"/>
        <v>10.954682514211973</v>
      </c>
      <c r="O422" s="94">
        <f t="shared" si="56"/>
        <v>0.21465792524441266</v>
      </c>
      <c r="P422" s="343"/>
    </row>
    <row r="423" spans="1:16" s="209" customFormat="1" ht="15.75">
      <c r="A423" s="448">
        <v>38</v>
      </c>
      <c r="B423" s="111" t="s">
        <v>754</v>
      </c>
      <c r="C423" s="330">
        <v>226.94</v>
      </c>
      <c r="D423" s="330"/>
      <c r="E423" s="330"/>
      <c r="F423" s="61">
        <f t="shared" si="52"/>
        <v>226.94</v>
      </c>
      <c r="G423" s="8" t="s">
        <v>1342</v>
      </c>
      <c r="H423" s="24">
        <v>219</v>
      </c>
      <c r="I423" s="710">
        <f t="shared" si="53"/>
        <v>1.235210609049074E-2</v>
      </c>
      <c r="J423" s="39">
        <f t="shared" si="54"/>
        <v>28.028534493115252</v>
      </c>
      <c r="K423" s="37">
        <f t="shared" si="57"/>
        <v>10.306092133118479</v>
      </c>
      <c r="L423" s="39">
        <v>10.896421638190384</v>
      </c>
      <c r="M423" s="39">
        <f t="shared" si="59"/>
        <v>8.4105490370151443</v>
      </c>
      <c r="N423" s="117">
        <f t="shared" si="58"/>
        <v>10.252459276121462</v>
      </c>
      <c r="O423" s="94">
        <f t="shared" si="56"/>
        <v>0.2539948766257128</v>
      </c>
      <c r="P423" s="343"/>
    </row>
    <row r="424" spans="1:16" s="209" customFormat="1" ht="15.75">
      <c r="A424" s="448">
        <v>39</v>
      </c>
      <c r="B424" s="111" t="s">
        <v>755</v>
      </c>
      <c r="C424" s="330">
        <v>307.14999999999998</v>
      </c>
      <c r="D424" s="330"/>
      <c r="E424" s="330"/>
      <c r="F424" s="61">
        <f t="shared" si="52"/>
        <v>307.14999999999998</v>
      </c>
      <c r="G424" s="8" t="s">
        <v>1342</v>
      </c>
      <c r="H424" s="24">
        <v>303</v>
      </c>
      <c r="I424" s="710">
        <f t="shared" si="53"/>
        <v>1.7089900207391297E-2</v>
      </c>
      <c r="J424" s="39">
        <f t="shared" si="54"/>
        <v>38.779205257597816</v>
      </c>
      <c r="K424" s="37">
        <f t="shared" si="57"/>
        <v>14.259113773218719</v>
      </c>
      <c r="L424" s="39">
        <v>15.07587103366067</v>
      </c>
      <c r="M424" s="39">
        <f t="shared" si="59"/>
        <v>11.636513051212734</v>
      </c>
      <c r="N424" s="117">
        <f t="shared" si="58"/>
        <v>14.184909409428323</v>
      </c>
      <c r="O424" s="94">
        <f t="shared" si="56"/>
        <v>0.25964741369262556</v>
      </c>
      <c r="P424" s="343"/>
    </row>
    <row r="425" spans="1:16" s="209" customFormat="1" ht="15.75">
      <c r="A425" s="448">
        <v>40</v>
      </c>
      <c r="B425" s="111" t="s">
        <v>756</v>
      </c>
      <c r="C425" s="330">
        <v>329.65</v>
      </c>
      <c r="D425" s="330"/>
      <c r="E425" s="330"/>
      <c r="F425" s="61">
        <f t="shared" si="52"/>
        <v>329.65</v>
      </c>
      <c r="G425" s="8" t="s">
        <v>1342</v>
      </c>
      <c r="H425" s="24">
        <v>383</v>
      </c>
      <c r="I425" s="710">
        <f t="shared" si="53"/>
        <v>2.1602085080629923E-2</v>
      </c>
      <c r="J425" s="39">
        <f t="shared" si="54"/>
        <v>49.017939319009777</v>
      </c>
      <c r="K425" s="37">
        <f t="shared" si="57"/>
        <v>18.023896287599896</v>
      </c>
      <c r="L425" s="39">
        <v>19.056299029346654</v>
      </c>
      <c r="M425" s="39">
        <f t="shared" si="59"/>
        <v>14.708859731400914</v>
      </c>
      <c r="N425" s="117">
        <f t="shared" si="58"/>
        <v>17.930100012577714</v>
      </c>
      <c r="O425" s="94">
        <f t="shared" si="56"/>
        <v>0.30580007391887531</v>
      </c>
      <c r="P425" s="343"/>
    </row>
    <row r="426" spans="1:16" s="209" customFormat="1" ht="15.75">
      <c r="A426" s="448">
        <v>41</v>
      </c>
      <c r="B426" s="111" t="s">
        <v>757</v>
      </c>
      <c r="C426" s="330">
        <v>255.16</v>
      </c>
      <c r="D426" s="330"/>
      <c r="E426" s="330"/>
      <c r="F426" s="61">
        <f t="shared" si="52"/>
        <v>255.16</v>
      </c>
      <c r="G426" s="8" t="s">
        <v>1342</v>
      </c>
      <c r="H426" s="24">
        <v>302</v>
      </c>
      <c r="I426" s="710">
        <f t="shared" si="53"/>
        <v>1.7033497896475812E-2</v>
      </c>
      <c r="J426" s="39">
        <f t="shared" si="54"/>
        <v>38.651221081830158</v>
      </c>
      <c r="K426" s="37">
        <f t="shared" si="57"/>
        <v>14.212053991788951</v>
      </c>
      <c r="L426" s="39">
        <v>15.026115683714593</v>
      </c>
      <c r="M426" s="39">
        <f t="shared" si="59"/>
        <v>11.59810871771038</v>
      </c>
      <c r="N426" s="117">
        <f t="shared" si="58"/>
        <v>14.138094526888954</v>
      </c>
      <c r="O426" s="94">
        <f t="shared" si="56"/>
        <v>0.31152022054806427</v>
      </c>
      <c r="P426" s="343"/>
    </row>
    <row r="427" spans="1:16" s="209" customFormat="1" ht="15.75">
      <c r="A427" s="448">
        <v>42</v>
      </c>
      <c r="B427" s="111" t="s">
        <v>758</v>
      </c>
      <c r="C427" s="330">
        <v>509.32</v>
      </c>
      <c r="D427" s="330"/>
      <c r="E427" s="330"/>
      <c r="F427" s="61">
        <f t="shared" si="52"/>
        <v>509.32</v>
      </c>
      <c r="G427" s="8" t="s">
        <v>1342</v>
      </c>
      <c r="H427" s="24">
        <v>206</v>
      </c>
      <c r="I427" s="710">
        <f t="shared" si="53"/>
        <v>1.1618876048589463E-2</v>
      </c>
      <c r="J427" s="39">
        <f t="shared" si="54"/>
        <v>26.364740208135807</v>
      </c>
      <c r="K427" s="37">
        <f t="shared" si="57"/>
        <v>9.6943149745315367</v>
      </c>
      <c r="L427" s="39">
        <v>10.249602088891411</v>
      </c>
      <c r="M427" s="39">
        <f t="shared" si="59"/>
        <v>7.9112927014845651</v>
      </c>
      <c r="N427" s="117">
        <f t="shared" si="58"/>
        <v>9.6438658031096853</v>
      </c>
      <c r="O427" s="94">
        <f t="shared" si="56"/>
        <v>0.10645556815566505</v>
      </c>
      <c r="P427" s="343"/>
    </row>
    <row r="428" spans="1:16" s="209" customFormat="1" ht="15.75">
      <c r="A428" s="772">
        <v>43</v>
      </c>
      <c r="B428" s="111" t="s">
        <v>759</v>
      </c>
      <c r="C428" s="330">
        <v>509.19</v>
      </c>
      <c r="D428" s="330"/>
      <c r="E428" s="330"/>
      <c r="F428" s="61">
        <f t="shared" si="52"/>
        <v>509.19</v>
      </c>
      <c r="G428" s="8" t="s">
        <v>1342</v>
      </c>
      <c r="H428" s="24">
        <v>283</v>
      </c>
      <c r="I428" s="710">
        <f t="shared" si="53"/>
        <v>1.5961853989081641E-2</v>
      </c>
      <c r="J428" s="39">
        <f t="shared" si="54"/>
        <v>36.219521742244822</v>
      </c>
      <c r="K428" s="37">
        <f t="shared" si="57"/>
        <v>13.317918144623421</v>
      </c>
      <c r="L428" s="39">
        <v>14.080764034739174</v>
      </c>
      <c r="M428" s="39">
        <f t="shared" si="59"/>
        <v>10.868426381165689</v>
      </c>
      <c r="N428" s="117">
        <f t="shared" si="58"/>
        <v>13.248611758640976</v>
      </c>
      <c r="O428" s="94">
        <f t="shared" si="56"/>
        <v>0.14628455056614056</v>
      </c>
      <c r="P428" s="343"/>
    </row>
    <row r="429" spans="1:16" s="209" customFormat="1" ht="15.75">
      <c r="A429" s="448">
        <v>44</v>
      </c>
      <c r="B429" s="111" t="s">
        <v>760</v>
      </c>
      <c r="C429" s="330">
        <v>291.43</v>
      </c>
      <c r="D429" s="330"/>
      <c r="E429" s="330"/>
      <c r="F429" s="61">
        <f t="shared" si="52"/>
        <v>291.43</v>
      </c>
      <c r="G429" s="8" t="s">
        <v>1342</v>
      </c>
      <c r="H429" s="24">
        <v>253</v>
      </c>
      <c r="I429" s="710">
        <f t="shared" si="53"/>
        <v>1.4269784661617156E-2</v>
      </c>
      <c r="J429" s="39">
        <f t="shared" si="54"/>
        <v>32.379996469215335</v>
      </c>
      <c r="K429" s="37">
        <f t="shared" si="57"/>
        <v>11.90612470173048</v>
      </c>
      <c r="L429" s="39">
        <v>12.588103536356927</v>
      </c>
      <c r="M429" s="39">
        <f t="shared" si="59"/>
        <v>9.7162963760951211</v>
      </c>
      <c r="N429" s="117">
        <f t="shared" si="58"/>
        <v>11.844165282459953</v>
      </c>
      <c r="O429" s="94">
        <f t="shared" si="56"/>
        <v>0.22849576599319862</v>
      </c>
      <c r="P429" s="343"/>
    </row>
    <row r="430" spans="1:16" s="209" customFormat="1" ht="15.75">
      <c r="A430" s="448">
        <v>45</v>
      </c>
      <c r="B430" s="111" t="s">
        <v>761</v>
      </c>
      <c r="C430" s="330">
        <v>449.48</v>
      </c>
      <c r="D430" s="330"/>
      <c r="E430" s="330"/>
      <c r="F430" s="61">
        <f t="shared" si="52"/>
        <v>449.48</v>
      </c>
      <c r="G430" s="8" t="s">
        <v>1342</v>
      </c>
      <c r="H430" s="24">
        <v>265</v>
      </c>
      <c r="I430" s="710">
        <f t="shared" si="53"/>
        <v>1.4946612392602948E-2</v>
      </c>
      <c r="J430" s="39">
        <f t="shared" si="54"/>
        <v>33.91580657842713</v>
      </c>
      <c r="K430" s="37">
        <f t="shared" si="57"/>
        <v>12.470842078887657</v>
      </c>
      <c r="L430" s="39">
        <v>13.185167735709825</v>
      </c>
      <c r="M430" s="39">
        <f t="shared" si="59"/>
        <v>10.177148378123347</v>
      </c>
      <c r="N430" s="117">
        <f t="shared" si="58"/>
        <v>12.40594387293236</v>
      </c>
      <c r="O430" s="94">
        <f t="shared" si="56"/>
        <v>0.15517701515339496</v>
      </c>
      <c r="P430" s="343"/>
    </row>
    <row r="431" spans="1:16" s="209" customFormat="1" ht="15.75">
      <c r="A431" s="448">
        <v>46</v>
      </c>
      <c r="B431" s="111" t="s">
        <v>763</v>
      </c>
      <c r="C431" s="330">
        <v>467.46</v>
      </c>
      <c r="D431" s="330"/>
      <c r="E431" s="330"/>
      <c r="F431" s="61">
        <f t="shared" si="52"/>
        <v>467.46</v>
      </c>
      <c r="G431" s="8" t="s">
        <v>1342</v>
      </c>
      <c r="H431" s="24">
        <v>297</v>
      </c>
      <c r="I431" s="710">
        <f t="shared" si="53"/>
        <v>1.6751486341898398E-2</v>
      </c>
      <c r="J431" s="39">
        <f t="shared" si="54"/>
        <v>38.011300202991912</v>
      </c>
      <c r="K431" s="37">
        <f t="shared" si="57"/>
        <v>13.976755084640127</v>
      </c>
      <c r="L431" s="39">
        <v>14.77733893398422</v>
      </c>
      <c r="M431" s="39">
        <f t="shared" si="59"/>
        <v>11.406087050198618</v>
      </c>
      <c r="N431" s="117">
        <f t="shared" si="58"/>
        <v>13.904020114192116</v>
      </c>
      <c r="O431" s="94">
        <f t="shared" si="56"/>
        <v>0.16722603275534781</v>
      </c>
      <c r="P431" s="343"/>
    </row>
    <row r="432" spans="1:16" s="209" customFormat="1" ht="15.75">
      <c r="A432" s="448">
        <v>47</v>
      </c>
      <c r="B432" s="111" t="s">
        <v>764</v>
      </c>
      <c r="C432" s="330">
        <v>429.2</v>
      </c>
      <c r="D432" s="330"/>
      <c r="E432" s="330">
        <v>129.19999999999999</v>
      </c>
      <c r="F432" s="61">
        <f t="shared" si="52"/>
        <v>558.4</v>
      </c>
      <c r="G432" s="8" t="s">
        <v>1342</v>
      </c>
      <c r="H432" s="24">
        <v>720</v>
      </c>
      <c r="I432" s="710">
        <f t="shared" si="53"/>
        <v>4.0609663859147632E-2</v>
      </c>
      <c r="J432" s="39">
        <f t="shared" si="54"/>
        <v>92.148606552707676</v>
      </c>
      <c r="K432" s="37">
        <f t="shared" si="57"/>
        <v>33.883042629430612</v>
      </c>
      <c r="L432" s="39">
        <v>35.823851961173865</v>
      </c>
      <c r="M432" s="39">
        <f t="shared" si="59"/>
        <v>27.651120121693623</v>
      </c>
      <c r="N432" s="117">
        <f t="shared" si="58"/>
        <v>33.70671542834453</v>
      </c>
      <c r="O432" s="94">
        <f t="shared" si="56"/>
        <v>0.33937432174965221</v>
      </c>
      <c r="P432" s="343"/>
    </row>
    <row r="433" spans="1:16" s="209" customFormat="1" ht="15.75">
      <c r="A433" s="448">
        <v>48</v>
      </c>
      <c r="B433" s="111" t="s">
        <v>765</v>
      </c>
      <c r="C433" s="330">
        <v>331.42</v>
      </c>
      <c r="D433" s="330"/>
      <c r="E433" s="330"/>
      <c r="F433" s="61">
        <f t="shared" si="52"/>
        <v>331.42</v>
      </c>
      <c r="G433" s="8" t="s">
        <v>1342</v>
      </c>
      <c r="H433" s="24">
        <v>490</v>
      </c>
      <c r="I433" s="710">
        <f t="shared" si="53"/>
        <v>2.7637132348586585E-2</v>
      </c>
      <c r="J433" s="39">
        <f t="shared" si="54"/>
        <v>62.71224612614828</v>
      </c>
      <c r="K433" s="37">
        <f t="shared" si="57"/>
        <v>23.059292900584722</v>
      </c>
      <c r="L433" s="39">
        <v>24.380121473576658</v>
      </c>
      <c r="M433" s="39">
        <f t="shared" si="59"/>
        <v>18.818123416152606</v>
      </c>
      <c r="N433" s="117">
        <f t="shared" si="58"/>
        <v>22.939292444290029</v>
      </c>
      <c r="O433" s="94">
        <f t="shared" si="56"/>
        <v>0.38914303275741435</v>
      </c>
      <c r="P433" s="343"/>
    </row>
    <row r="434" spans="1:16" s="209" customFormat="1" ht="15.75">
      <c r="A434" s="772">
        <v>49</v>
      </c>
      <c r="B434" s="111" t="s">
        <v>766</v>
      </c>
      <c r="C434" s="330">
        <v>154.9</v>
      </c>
      <c r="D434" s="330"/>
      <c r="E434" s="330"/>
      <c r="F434" s="61">
        <f t="shared" si="52"/>
        <v>154.9</v>
      </c>
      <c r="G434" s="8" t="s">
        <v>1342</v>
      </c>
      <c r="H434" s="24">
        <v>280</v>
      </c>
      <c r="I434" s="710">
        <f t="shared" si="53"/>
        <v>1.579264705633519E-2</v>
      </c>
      <c r="J434" s="39">
        <f t="shared" si="54"/>
        <v>35.83556921494187</v>
      </c>
      <c r="K434" s="37">
        <f t="shared" si="57"/>
        <v>13.176738800334126</v>
      </c>
      <c r="L434" s="39">
        <v>13.931497984900947</v>
      </c>
      <c r="M434" s="39">
        <f t="shared" si="59"/>
        <v>10.753213380658631</v>
      </c>
      <c r="N434" s="117">
        <f t="shared" si="58"/>
        <v>13.108167111022871</v>
      </c>
      <c r="O434" s="94">
        <f t="shared" si="56"/>
        <v>0.47577159057995849</v>
      </c>
      <c r="P434" s="343"/>
    </row>
    <row r="435" spans="1:16" s="209" customFormat="1" ht="15.75">
      <c r="A435" s="448">
        <v>50</v>
      </c>
      <c r="B435" s="111" t="s">
        <v>767</v>
      </c>
      <c r="C435" s="330">
        <v>119.9</v>
      </c>
      <c r="D435" s="330"/>
      <c r="E435" s="330"/>
      <c r="F435" s="61">
        <f t="shared" si="52"/>
        <v>119.9</v>
      </c>
      <c r="G435" s="8" t="s">
        <v>1342</v>
      </c>
      <c r="H435" s="24">
        <v>125</v>
      </c>
      <c r="I435" s="710">
        <f t="shared" si="53"/>
        <v>7.0502888644353532E-3</v>
      </c>
      <c r="J435" s="39">
        <f t="shared" si="54"/>
        <v>15.998021970956193</v>
      </c>
      <c r="K435" s="37">
        <f t="shared" si="57"/>
        <v>5.8824726787205925</v>
      </c>
      <c r="L435" s="39">
        <v>6.219418743259352</v>
      </c>
      <c r="M435" s="39">
        <f t="shared" si="59"/>
        <v>4.8005416877940315</v>
      </c>
      <c r="N435" s="117">
        <f t="shared" si="58"/>
        <v>5.8518603174209245</v>
      </c>
      <c r="O435" s="94">
        <f t="shared" si="56"/>
        <v>0.27439912494353769</v>
      </c>
      <c r="P435" s="343"/>
    </row>
    <row r="436" spans="1:16" s="209" customFormat="1" ht="15.75">
      <c r="A436" s="448">
        <v>51</v>
      </c>
      <c r="B436" s="111" t="s">
        <v>768</v>
      </c>
      <c r="C436" s="330">
        <v>280.7</v>
      </c>
      <c r="D436" s="330"/>
      <c r="E436" s="330">
        <v>19.600000000000001</v>
      </c>
      <c r="F436" s="61">
        <f t="shared" si="52"/>
        <v>300.3</v>
      </c>
      <c r="G436" s="8" t="s">
        <v>1342</v>
      </c>
      <c r="H436" s="24">
        <v>276</v>
      </c>
      <c r="I436" s="710">
        <f t="shared" si="53"/>
        <v>1.5567037812673259E-2</v>
      </c>
      <c r="J436" s="39">
        <f t="shared" si="54"/>
        <v>35.323632511871274</v>
      </c>
      <c r="K436" s="37">
        <f t="shared" si="57"/>
        <v>12.988499674615069</v>
      </c>
      <c r="L436" s="39">
        <v>13.732476585116647</v>
      </c>
      <c r="M436" s="39">
        <f t="shared" si="59"/>
        <v>10.599596046649221</v>
      </c>
      <c r="N436" s="117">
        <f t="shared" si="58"/>
        <v>12.920907580865402</v>
      </c>
      <c r="O436" s="94">
        <f t="shared" si="56"/>
        <v>0.24190544395022379</v>
      </c>
      <c r="P436" s="343"/>
    </row>
    <row r="437" spans="1:16" s="209" customFormat="1" ht="15.75">
      <c r="A437" s="448">
        <v>52</v>
      </c>
      <c r="B437" s="111" t="s">
        <v>769</v>
      </c>
      <c r="C437" s="330">
        <v>226.84</v>
      </c>
      <c r="D437" s="330"/>
      <c r="E437" s="330"/>
      <c r="F437" s="61">
        <f t="shared" si="52"/>
        <v>226.84</v>
      </c>
      <c r="G437" s="8" t="s">
        <v>1342</v>
      </c>
      <c r="H437" s="24">
        <v>202</v>
      </c>
      <c r="I437" s="710">
        <f t="shared" si="53"/>
        <v>1.139326680492753E-2</v>
      </c>
      <c r="J437" s="39">
        <f t="shared" si="54"/>
        <v>25.852803505065207</v>
      </c>
      <c r="K437" s="37">
        <f t="shared" si="57"/>
        <v>9.5060758488124772</v>
      </c>
      <c r="L437" s="39">
        <v>10.050580689107113</v>
      </c>
      <c r="M437" s="39">
        <f t="shared" si="59"/>
        <v>7.7576753674751551</v>
      </c>
      <c r="N437" s="117">
        <f t="shared" si="58"/>
        <v>9.4566062729522145</v>
      </c>
      <c r="O437" s="94">
        <f t="shared" si="56"/>
        <v>0.23438165848377687</v>
      </c>
      <c r="P437" s="343"/>
    </row>
    <row r="438" spans="1:16" s="384" customFormat="1" ht="15.75">
      <c r="A438" s="448">
        <v>53</v>
      </c>
      <c r="B438" s="111" t="s">
        <v>770</v>
      </c>
      <c r="C438" s="330">
        <v>216.3</v>
      </c>
      <c r="D438" s="330"/>
      <c r="E438" s="330"/>
      <c r="F438" s="61">
        <f t="shared" si="52"/>
        <v>216.3</v>
      </c>
      <c r="G438" s="8" t="s">
        <v>1342</v>
      </c>
      <c r="H438" s="24">
        <v>248</v>
      </c>
      <c r="I438" s="710">
        <f t="shared" si="53"/>
        <v>1.398777310703974E-2</v>
      </c>
      <c r="J438" s="39">
        <f t="shared" si="54"/>
        <v>31.740075590377089</v>
      </c>
      <c r="K438" s="37">
        <f t="shared" si="57"/>
        <v>11.670825794581656</v>
      </c>
      <c r="L438" s="39">
        <v>12.339326786626554</v>
      </c>
      <c r="M438" s="39">
        <f t="shared" si="59"/>
        <v>9.5242747085833592</v>
      </c>
      <c r="N438" s="117">
        <f t="shared" si="58"/>
        <v>11.610090869763116</v>
      </c>
      <c r="O438" s="94">
        <f t="shared" si="56"/>
        <v>0.30177763698644777</v>
      </c>
      <c r="P438" s="343"/>
    </row>
    <row r="439" spans="1:16" s="209" customFormat="1" ht="15.75">
      <c r="A439" s="448">
        <v>54</v>
      </c>
      <c r="B439" s="111" t="s">
        <v>780</v>
      </c>
      <c r="C439" s="330">
        <v>307.64999999999998</v>
      </c>
      <c r="D439" s="330"/>
      <c r="E439" s="330"/>
      <c r="F439" s="61">
        <f t="shared" si="52"/>
        <v>307.64999999999998</v>
      </c>
      <c r="G439" s="8" t="s">
        <v>1342</v>
      </c>
      <c r="H439" s="24">
        <v>270</v>
      </c>
      <c r="I439" s="710">
        <f t="shared" si="53"/>
        <v>1.5228623947180364E-2</v>
      </c>
      <c r="J439" s="39">
        <f t="shared" si="54"/>
        <v>34.555727457265384</v>
      </c>
      <c r="K439" s="37">
        <f t="shared" si="57"/>
        <v>12.706140986036482</v>
      </c>
      <c r="L439" s="39">
        <v>13.4339444854402</v>
      </c>
      <c r="M439" s="39">
        <f t="shared" si="59"/>
        <v>10.369170045635109</v>
      </c>
      <c r="N439" s="117">
        <f t="shared" si="58"/>
        <v>12.640018285629198</v>
      </c>
      <c r="O439" s="94">
        <f t="shared" si="56"/>
        <v>0.23099295619820309</v>
      </c>
      <c r="P439" s="343"/>
    </row>
    <row r="440" spans="1:16" s="209" customFormat="1" ht="15.75">
      <c r="A440" s="772">
        <v>55</v>
      </c>
      <c r="B440" s="111" t="s">
        <v>781</v>
      </c>
      <c r="C440" s="330">
        <v>350.66</v>
      </c>
      <c r="D440" s="330"/>
      <c r="E440" s="330"/>
      <c r="F440" s="61">
        <f t="shared" si="52"/>
        <v>350.66</v>
      </c>
      <c r="G440" s="8" t="s">
        <v>1342</v>
      </c>
      <c r="H440" s="24">
        <v>380</v>
      </c>
      <c r="I440" s="710">
        <f t="shared" si="53"/>
        <v>2.1432878147883475E-2</v>
      </c>
      <c r="J440" s="39">
        <f t="shared" si="54"/>
        <v>48.633986791706832</v>
      </c>
      <c r="K440" s="37">
        <f t="shared" si="57"/>
        <v>17.882716943310605</v>
      </c>
      <c r="L440" s="39">
        <v>18.907032979508429</v>
      </c>
      <c r="M440" s="39">
        <f t="shared" si="59"/>
        <v>14.593646730893857</v>
      </c>
      <c r="N440" s="117">
        <f t="shared" si="58"/>
        <v>17.789655364959614</v>
      </c>
      <c r="O440" s="94">
        <f t="shared" si="56"/>
        <v>0.28522609777396829</v>
      </c>
      <c r="P440" s="343"/>
    </row>
    <row r="441" spans="1:16" s="209" customFormat="1" ht="15.75" customHeight="1">
      <c r="A441" s="448">
        <v>56</v>
      </c>
      <c r="B441" s="111" t="s">
        <v>782</v>
      </c>
      <c r="C441" s="330">
        <v>485.8</v>
      </c>
      <c r="D441" s="330"/>
      <c r="E441" s="330"/>
      <c r="F441" s="61">
        <f t="shared" si="52"/>
        <v>485.8</v>
      </c>
      <c r="G441" s="8" t="s">
        <v>1342</v>
      </c>
      <c r="H441" s="24">
        <v>500</v>
      </c>
      <c r="I441" s="710">
        <f t="shared" si="53"/>
        <v>2.8201155457741413E-2</v>
      </c>
      <c r="J441" s="39">
        <f t="shared" si="54"/>
        <v>63.992087883824773</v>
      </c>
      <c r="K441" s="37">
        <f t="shared" si="57"/>
        <v>23.52989071488237</v>
      </c>
      <c r="L441" s="39">
        <v>24.877674973037408</v>
      </c>
      <c r="M441" s="39">
        <f t="shared" si="59"/>
        <v>19.202166751176126</v>
      </c>
      <c r="N441" s="117">
        <f t="shared" si="58"/>
        <v>23.407441269683698</v>
      </c>
      <c r="O441" s="94">
        <f t="shared" si="56"/>
        <v>0.27089711882033896</v>
      </c>
      <c r="P441" s="343"/>
    </row>
    <row r="442" spans="1:16" s="209" customFormat="1" ht="15.75">
      <c r="A442" s="448">
        <v>57</v>
      </c>
      <c r="B442" s="111" t="s">
        <v>783</v>
      </c>
      <c r="C442" s="330">
        <v>402.96</v>
      </c>
      <c r="D442" s="330"/>
      <c r="E442" s="330"/>
      <c r="F442" s="61">
        <f t="shared" si="52"/>
        <v>402.96</v>
      </c>
      <c r="G442" s="8" t="s">
        <v>1342</v>
      </c>
      <c r="H442" s="24">
        <v>240</v>
      </c>
      <c r="I442" s="710">
        <f t="shared" si="53"/>
        <v>1.3536554619715879E-2</v>
      </c>
      <c r="J442" s="39">
        <f t="shared" si="54"/>
        <v>30.716202184235893</v>
      </c>
      <c r="K442" s="37">
        <f t="shared" si="57"/>
        <v>11.294347543143539</v>
      </c>
      <c r="L442" s="39">
        <v>11.941283987057956</v>
      </c>
      <c r="M442" s="39">
        <f t="shared" si="59"/>
        <v>9.217040040564541</v>
      </c>
      <c r="N442" s="117">
        <f t="shared" si="58"/>
        <v>11.235571809448176</v>
      </c>
      <c r="O442" s="94">
        <f t="shared" si="56"/>
        <v>0.15676214451807111</v>
      </c>
      <c r="P442" s="343"/>
    </row>
    <row r="443" spans="1:16" s="209" customFormat="1" ht="15.75">
      <c r="A443" s="448">
        <v>58</v>
      </c>
      <c r="B443" s="111" t="s">
        <v>784</v>
      </c>
      <c r="C443" s="330">
        <v>526.67999999999995</v>
      </c>
      <c r="D443" s="330"/>
      <c r="E443" s="330"/>
      <c r="F443" s="61">
        <f t="shared" si="52"/>
        <v>526.67999999999995</v>
      </c>
      <c r="G443" s="8" t="s">
        <v>1342</v>
      </c>
      <c r="H443" s="24">
        <v>337</v>
      </c>
      <c r="I443" s="710">
        <f t="shared" si="53"/>
        <v>1.9007578778517713E-2</v>
      </c>
      <c r="J443" s="39">
        <f t="shared" si="54"/>
        <v>43.130667233697899</v>
      </c>
      <c r="K443" s="37">
        <f t="shared" si="57"/>
        <v>15.859146341830719</v>
      </c>
      <c r="L443" s="39">
        <v>16.767552931827215</v>
      </c>
      <c r="M443" s="39">
        <f t="shared" si="59"/>
        <v>12.942260390292709</v>
      </c>
      <c r="N443" s="117">
        <f t="shared" si="58"/>
        <v>15.776615415766814</v>
      </c>
      <c r="O443" s="94">
        <f t="shared" si="56"/>
        <v>0.16841274948289009</v>
      </c>
      <c r="P443" s="343"/>
    </row>
    <row r="444" spans="1:16" s="209" customFormat="1" ht="15.75">
      <c r="A444" s="448">
        <v>59</v>
      </c>
      <c r="B444" s="111" t="s">
        <v>785</v>
      </c>
      <c r="C444" s="330">
        <v>198.5</v>
      </c>
      <c r="D444" s="330"/>
      <c r="E444" s="330"/>
      <c r="F444" s="61">
        <f t="shared" si="52"/>
        <v>198.5</v>
      </c>
      <c r="G444" s="8" t="s">
        <v>1342</v>
      </c>
      <c r="H444" s="24">
        <v>240</v>
      </c>
      <c r="I444" s="710">
        <f t="shared" si="53"/>
        <v>1.3536554619715879E-2</v>
      </c>
      <c r="J444" s="39">
        <f t="shared" si="54"/>
        <v>30.716202184235893</v>
      </c>
      <c r="K444" s="37">
        <f t="shared" si="57"/>
        <v>11.294347543143539</v>
      </c>
      <c r="L444" s="39">
        <v>11.941283987057956</v>
      </c>
      <c r="M444" s="39">
        <f t="shared" si="59"/>
        <v>9.217040040564541</v>
      </c>
      <c r="N444" s="117">
        <f t="shared" si="58"/>
        <v>11.235571809448176</v>
      </c>
      <c r="O444" s="94">
        <f t="shared" si="56"/>
        <v>0.31823110204031196</v>
      </c>
      <c r="P444" s="343"/>
    </row>
    <row r="445" spans="1:16" s="209" customFormat="1" ht="15.75">
      <c r="A445" s="448">
        <v>60</v>
      </c>
      <c r="B445" s="111" t="s">
        <v>786</v>
      </c>
      <c r="C445" s="330">
        <v>667.9</v>
      </c>
      <c r="D445" s="330"/>
      <c r="E445" s="330">
        <v>211.9</v>
      </c>
      <c r="F445" s="61">
        <f t="shared" si="52"/>
        <v>879.8</v>
      </c>
      <c r="G445" s="8" t="s">
        <v>1342</v>
      </c>
      <c r="H445" s="24">
        <v>427</v>
      </c>
      <c r="I445" s="710">
        <f t="shared" si="53"/>
        <v>2.4083786760911167E-2</v>
      </c>
      <c r="J445" s="39">
        <f t="shared" si="54"/>
        <v>54.64924305278636</v>
      </c>
      <c r="K445" s="37">
        <f t="shared" si="57"/>
        <v>20.094526670509545</v>
      </c>
      <c r="L445" s="39">
        <v>21.245534426973947</v>
      </c>
      <c r="M445" s="39">
        <f t="shared" si="59"/>
        <v>16.398650405504412</v>
      </c>
      <c r="N445" s="117">
        <f t="shared" si="58"/>
        <v>19.989954844309882</v>
      </c>
      <c r="O445" s="94">
        <f t="shared" si="56"/>
        <v>0.12774261713545609</v>
      </c>
      <c r="P445" s="343"/>
    </row>
    <row r="446" spans="1:16" s="209" customFormat="1" ht="15.75">
      <c r="A446" s="772">
        <v>61</v>
      </c>
      <c r="B446" s="111" t="s">
        <v>787</v>
      </c>
      <c r="C446" s="330">
        <v>1539.9</v>
      </c>
      <c r="D446" s="330">
        <v>108.1</v>
      </c>
      <c r="E446" s="330">
        <v>138.80000000000001</v>
      </c>
      <c r="F446" s="61">
        <f t="shared" si="52"/>
        <v>1786.8</v>
      </c>
      <c r="G446" s="8" t="s">
        <v>1342</v>
      </c>
      <c r="H446" s="24">
        <v>971</v>
      </c>
      <c r="I446" s="710">
        <f t="shared" si="53"/>
        <v>5.4766643898933827E-2</v>
      </c>
      <c r="J446" s="39">
        <f t="shared" si="54"/>
        <v>124.27263467038772</v>
      </c>
      <c r="K446" s="37">
        <f t="shared" si="57"/>
        <v>45.695047768301563</v>
      </c>
      <c r="L446" s="39">
        <v>48.312444797638648</v>
      </c>
      <c r="M446" s="39">
        <f t="shared" si="59"/>
        <v>37.29060783078404</v>
      </c>
      <c r="N446" s="117">
        <f t="shared" si="58"/>
        <v>45.457250945725747</v>
      </c>
      <c r="O446" s="94">
        <f t="shared" si="56"/>
        <v>0.14303264778772776</v>
      </c>
      <c r="P446" s="343"/>
    </row>
    <row r="447" spans="1:16" s="209" customFormat="1" ht="15.75">
      <c r="A447" s="448">
        <v>62</v>
      </c>
      <c r="B447" s="111" t="s">
        <v>788</v>
      </c>
      <c r="C447" s="330">
        <v>540.67999999999995</v>
      </c>
      <c r="D447" s="330">
        <v>235.6</v>
      </c>
      <c r="E447" s="330"/>
      <c r="F447" s="61">
        <f t="shared" si="52"/>
        <v>776.28</v>
      </c>
      <c r="G447" s="8" t="s">
        <v>1342</v>
      </c>
      <c r="H447" s="24">
        <v>425</v>
      </c>
      <c r="I447" s="710">
        <f t="shared" si="53"/>
        <v>2.3970982139080201E-2</v>
      </c>
      <c r="J447" s="39">
        <f t="shared" si="54"/>
        <v>54.393274701251059</v>
      </c>
      <c r="K447" s="37">
        <f t="shared" si="57"/>
        <v>20.000407107650016</v>
      </c>
      <c r="L447" s="39">
        <v>21.146023727081797</v>
      </c>
      <c r="M447" s="39">
        <f t="shared" si="59"/>
        <v>16.321841738499707</v>
      </c>
      <c r="N447" s="117">
        <f t="shared" si="58"/>
        <v>19.896325079231143</v>
      </c>
      <c r="O447" s="94">
        <f t="shared" si="56"/>
        <v>0.14409948378739962</v>
      </c>
      <c r="P447" s="343"/>
    </row>
    <row r="448" spans="1:16" s="209" customFormat="1" ht="15.75">
      <c r="A448" s="448">
        <v>63</v>
      </c>
      <c r="B448" s="111" t="s">
        <v>789</v>
      </c>
      <c r="C448" s="330">
        <v>475.29</v>
      </c>
      <c r="D448" s="330"/>
      <c r="E448" s="330"/>
      <c r="F448" s="61">
        <f t="shared" si="52"/>
        <v>475.29</v>
      </c>
      <c r="G448" s="8" t="s">
        <v>1342</v>
      </c>
      <c r="H448" s="24">
        <v>480</v>
      </c>
      <c r="I448" s="710">
        <f t="shared" si="53"/>
        <v>2.7073109239431757E-2</v>
      </c>
      <c r="J448" s="39">
        <f t="shared" si="54"/>
        <v>61.432404368471786</v>
      </c>
      <c r="K448" s="37">
        <f t="shared" si="57"/>
        <v>22.588695086287078</v>
      </c>
      <c r="L448" s="39">
        <v>23.882567974115911</v>
      </c>
      <c r="M448" s="39">
        <f t="shared" si="59"/>
        <v>18.434080081129082</v>
      </c>
      <c r="N448" s="117">
        <f t="shared" si="58"/>
        <v>22.471143618896352</v>
      </c>
      <c r="O448" s="94">
        <f t="shared" si="56"/>
        <v>0.26581192011193977</v>
      </c>
      <c r="P448" s="343"/>
    </row>
    <row r="449" spans="1:16" s="209" customFormat="1" ht="15.75">
      <c r="A449" s="448">
        <v>64</v>
      </c>
      <c r="B449" s="111" t="s">
        <v>790</v>
      </c>
      <c r="C449" s="330">
        <v>487.96</v>
      </c>
      <c r="D449" s="330"/>
      <c r="E449" s="330"/>
      <c r="F449" s="61">
        <f t="shared" ref="F449:F511" si="60">C449+D449+E449</f>
        <v>487.96</v>
      </c>
      <c r="G449" s="8" t="s">
        <v>1342</v>
      </c>
      <c r="H449" s="24">
        <v>420</v>
      </c>
      <c r="I449" s="710">
        <f t="shared" si="53"/>
        <v>2.3688970584502787E-2</v>
      </c>
      <c r="J449" s="39">
        <f t="shared" si="54"/>
        <v>53.753353822412812</v>
      </c>
      <c r="K449" s="37">
        <f t="shared" si="57"/>
        <v>19.765108200501192</v>
      </c>
      <c r="L449" s="39">
        <v>20.897246977351422</v>
      </c>
      <c r="M449" s="39">
        <f t="shared" si="59"/>
        <v>16.129820070987947</v>
      </c>
      <c r="N449" s="117">
        <f t="shared" si="58"/>
        <v>19.662250666534309</v>
      </c>
      <c r="O449" s="94">
        <f t="shared" si="56"/>
        <v>0.22654629287493522</v>
      </c>
      <c r="P449" s="343"/>
    </row>
    <row r="450" spans="1:16" s="209" customFormat="1" ht="15.75">
      <c r="A450" s="448">
        <v>65</v>
      </c>
      <c r="B450" s="111" t="s">
        <v>792</v>
      </c>
      <c r="C450" s="330">
        <v>705.64</v>
      </c>
      <c r="D450" s="330">
        <v>98.2</v>
      </c>
      <c r="E450" s="330">
        <v>255.1</v>
      </c>
      <c r="F450" s="61">
        <f t="shared" si="60"/>
        <v>1058.94</v>
      </c>
      <c r="G450" s="8" t="s">
        <v>1342</v>
      </c>
      <c r="H450" s="24">
        <v>550</v>
      </c>
      <c r="I450" s="710">
        <f t="shared" ref="I450:I513" si="61">4/70919.08*H450</f>
        <v>3.1021271003515555E-2</v>
      </c>
      <c r="J450" s="39">
        <f t="shared" ref="J450:J513" si="62">I450*2269.13</f>
        <v>70.391296672207261</v>
      </c>
      <c r="K450" s="37">
        <f t="shared" si="57"/>
        <v>25.882879786370612</v>
      </c>
      <c r="L450" s="39">
        <v>27.365442470341147</v>
      </c>
      <c r="M450" s="39">
        <f t="shared" si="59"/>
        <v>21.122383426293741</v>
      </c>
      <c r="N450" s="117">
        <f t="shared" si="58"/>
        <v>25.748185396652072</v>
      </c>
      <c r="O450" s="94">
        <f t="shared" si="56"/>
        <v>0.13670463138158229</v>
      </c>
      <c r="P450" s="343"/>
    </row>
    <row r="451" spans="1:16" s="209" customFormat="1" ht="15.75">
      <c r="A451" s="448">
        <v>66</v>
      </c>
      <c r="B451" s="111" t="s">
        <v>793</v>
      </c>
      <c r="C451" s="330">
        <v>435.39</v>
      </c>
      <c r="D451" s="330"/>
      <c r="E451" s="330"/>
      <c r="F451" s="61">
        <f t="shared" si="60"/>
        <v>435.39</v>
      </c>
      <c r="G451" s="8" t="s">
        <v>1342</v>
      </c>
      <c r="H451" s="24">
        <v>272</v>
      </c>
      <c r="I451" s="710">
        <f t="shared" si="61"/>
        <v>1.5341428569011328E-2</v>
      </c>
      <c r="J451" s="39">
        <f t="shared" si="62"/>
        <v>34.811695808800678</v>
      </c>
      <c r="K451" s="37">
        <f t="shared" si="57"/>
        <v>12.800260548896011</v>
      </c>
      <c r="L451" s="39">
        <v>13.533455185332349</v>
      </c>
      <c r="M451" s="39">
        <f t="shared" si="59"/>
        <v>10.445978712639812</v>
      </c>
      <c r="N451" s="117">
        <f t="shared" si="58"/>
        <v>12.733648050707933</v>
      </c>
      <c r="O451" s="94">
        <f t="shared" si="56"/>
        <v>0.16443048819602848</v>
      </c>
      <c r="P451" s="343"/>
    </row>
    <row r="452" spans="1:16" s="209" customFormat="1" ht="15.75">
      <c r="A452" s="772">
        <v>67</v>
      </c>
      <c r="B452" s="111" t="s">
        <v>794</v>
      </c>
      <c r="C452" s="330">
        <v>497.81</v>
      </c>
      <c r="D452" s="330"/>
      <c r="E452" s="330">
        <v>41.8</v>
      </c>
      <c r="F452" s="61">
        <f t="shared" si="60"/>
        <v>539.61</v>
      </c>
      <c r="G452" s="8" t="s">
        <v>1342</v>
      </c>
      <c r="H452" s="24">
        <v>314</v>
      </c>
      <c r="I452" s="710">
        <f t="shared" si="61"/>
        <v>1.7710325627461606E-2</v>
      </c>
      <c r="J452" s="39">
        <f t="shared" si="62"/>
        <v>40.187031191041953</v>
      </c>
      <c r="K452" s="37">
        <f t="shared" si="57"/>
        <v>14.776771368946127</v>
      </c>
      <c r="L452" s="39">
        <v>15.62317988306749</v>
      </c>
      <c r="M452" s="39">
        <f t="shared" si="59"/>
        <v>12.058960719738607</v>
      </c>
      <c r="N452" s="117">
        <f t="shared" si="58"/>
        <v>14.699873117361363</v>
      </c>
      <c r="O452" s="94">
        <f t="shared" si="56"/>
        <v>0.15315865748002105</v>
      </c>
      <c r="P452" s="343"/>
    </row>
    <row r="453" spans="1:16" s="209" customFormat="1" ht="15.75">
      <c r="A453" s="448">
        <v>68</v>
      </c>
      <c r="B453" s="111" t="s">
        <v>795</v>
      </c>
      <c r="C453" s="330">
        <v>417.85</v>
      </c>
      <c r="D453" s="330"/>
      <c r="E453" s="330">
        <v>48.5</v>
      </c>
      <c r="F453" s="61">
        <f t="shared" si="60"/>
        <v>466.35</v>
      </c>
      <c r="G453" s="8" t="s">
        <v>1342</v>
      </c>
      <c r="H453" s="24">
        <v>414</v>
      </c>
      <c r="I453" s="710">
        <f t="shared" si="61"/>
        <v>2.3350556719009891E-2</v>
      </c>
      <c r="J453" s="39">
        <f t="shared" si="62"/>
        <v>52.985448767806915</v>
      </c>
      <c r="K453" s="37">
        <f t="shared" si="57"/>
        <v>19.482749511922606</v>
      </c>
      <c r="L453" s="39">
        <v>20.598714877674972</v>
      </c>
      <c r="M453" s="39">
        <f t="shared" si="59"/>
        <v>15.899394069973834</v>
      </c>
      <c r="N453" s="117">
        <f t="shared" si="58"/>
        <v>19.381361371298105</v>
      </c>
      <c r="O453" s="94">
        <f t="shared" si="56"/>
        <v>0.23365778326874304</v>
      </c>
      <c r="P453" s="343"/>
    </row>
    <row r="454" spans="1:16" s="209" customFormat="1" ht="15.75">
      <c r="A454" s="448">
        <v>69</v>
      </c>
      <c r="B454" s="111" t="s">
        <v>796</v>
      </c>
      <c r="C454" s="330">
        <v>270.3</v>
      </c>
      <c r="D454" s="330"/>
      <c r="E454" s="330"/>
      <c r="F454" s="61">
        <f t="shared" si="60"/>
        <v>270.3</v>
      </c>
      <c r="G454" s="8" t="s">
        <v>1342</v>
      </c>
      <c r="H454" s="24">
        <v>120</v>
      </c>
      <c r="I454" s="710">
        <f t="shared" si="61"/>
        <v>6.7682773098579393E-3</v>
      </c>
      <c r="J454" s="39">
        <f t="shared" si="62"/>
        <v>15.358101092117947</v>
      </c>
      <c r="K454" s="37">
        <f t="shared" si="57"/>
        <v>5.6471737715717696</v>
      </c>
      <c r="L454" s="39">
        <v>5.9706419935289778</v>
      </c>
      <c r="M454" s="39">
        <f t="shared" si="59"/>
        <v>4.6085200202822705</v>
      </c>
      <c r="N454" s="117">
        <f t="shared" si="58"/>
        <v>5.6177859047240881</v>
      </c>
      <c r="O454" s="94">
        <f t="shared" si="56"/>
        <v>0.11684956299482413</v>
      </c>
      <c r="P454" s="343"/>
    </row>
    <row r="455" spans="1:16" s="209" customFormat="1" ht="15.75">
      <c r="A455" s="448">
        <v>70</v>
      </c>
      <c r="B455" s="111" t="s">
        <v>797</v>
      </c>
      <c r="C455" s="330">
        <v>1056.99</v>
      </c>
      <c r="D455" s="330"/>
      <c r="E455" s="330"/>
      <c r="F455" s="61">
        <f t="shared" si="60"/>
        <v>1056.99</v>
      </c>
      <c r="G455" s="8" t="s">
        <v>1342</v>
      </c>
      <c r="H455" s="24">
        <v>374</v>
      </c>
      <c r="I455" s="710">
        <f t="shared" si="61"/>
        <v>2.1094464282390576E-2</v>
      </c>
      <c r="J455" s="39">
        <f t="shared" si="62"/>
        <v>47.866081737100934</v>
      </c>
      <c r="K455" s="37">
        <f t="shared" si="57"/>
        <v>17.600358254732015</v>
      </c>
      <c r="L455" s="39">
        <v>18.608500879831979</v>
      </c>
      <c r="M455" s="39">
        <f t="shared" si="59"/>
        <v>14.363220729879743</v>
      </c>
      <c r="N455" s="117">
        <f t="shared" si="58"/>
        <v>17.508766069723407</v>
      </c>
      <c r="O455" s="94">
        <f t="shared" ref="O455:O518" si="63">(M455+L455+K455+J455)/F455</f>
        <v>9.3130646081367521E-2</v>
      </c>
      <c r="P455" s="343"/>
    </row>
    <row r="456" spans="1:16" s="209" customFormat="1" ht="15.75">
      <c r="A456" s="448">
        <v>71</v>
      </c>
      <c r="B456" s="111" t="s">
        <v>798</v>
      </c>
      <c r="C456" s="330">
        <v>322.39999999999998</v>
      </c>
      <c r="D456" s="330"/>
      <c r="E456" s="330">
        <v>31.4</v>
      </c>
      <c r="F456" s="61">
        <f t="shared" si="60"/>
        <v>353.79999999999995</v>
      </c>
      <c r="G456" s="8" t="s">
        <v>1342</v>
      </c>
      <c r="H456" s="24">
        <v>372</v>
      </c>
      <c r="I456" s="710">
        <f t="shared" si="61"/>
        <v>2.098165966055961E-2</v>
      </c>
      <c r="J456" s="39">
        <f t="shared" si="62"/>
        <v>47.610113385565633</v>
      </c>
      <c r="K456" s="37">
        <f t="shared" si="57"/>
        <v>17.506238691872486</v>
      </c>
      <c r="L456" s="39">
        <v>18.508990179939829</v>
      </c>
      <c r="M456" s="39">
        <f t="shared" si="59"/>
        <v>14.286412062875039</v>
      </c>
      <c r="N456" s="117">
        <f t="shared" si="58"/>
        <v>17.415136304644673</v>
      </c>
      <c r="O456" s="94">
        <f t="shared" si="63"/>
        <v>0.27674322871750423</v>
      </c>
      <c r="P456" s="343"/>
    </row>
    <row r="457" spans="1:16" s="209" customFormat="1" ht="15.75">
      <c r="A457" s="448">
        <v>72</v>
      </c>
      <c r="B457" s="111" t="s">
        <v>799</v>
      </c>
      <c r="C457" s="330">
        <v>239.3</v>
      </c>
      <c r="D457" s="330"/>
      <c r="E457" s="330"/>
      <c r="F457" s="61">
        <f t="shared" si="60"/>
        <v>239.3</v>
      </c>
      <c r="G457" s="8" t="s">
        <v>1342</v>
      </c>
      <c r="H457" s="24">
        <v>231</v>
      </c>
      <c r="I457" s="710">
        <f t="shared" si="61"/>
        <v>1.3028933821476532E-2</v>
      </c>
      <c r="J457" s="39">
        <f t="shared" si="62"/>
        <v>29.564344602327044</v>
      </c>
      <c r="K457" s="37">
        <f t="shared" si="57"/>
        <v>10.870809510275654</v>
      </c>
      <c r="L457" s="39">
        <v>11.493485837543282</v>
      </c>
      <c r="M457" s="39">
        <f t="shared" si="59"/>
        <v>8.87140103904337</v>
      </c>
      <c r="N457" s="117">
        <f t="shared" si="58"/>
        <v>10.814237866593869</v>
      </c>
      <c r="O457" s="94">
        <f t="shared" si="63"/>
        <v>0.25407455490676706</v>
      </c>
      <c r="P457" s="343"/>
    </row>
    <row r="458" spans="1:16" s="209" customFormat="1" ht="15.75">
      <c r="A458" s="772">
        <v>73</v>
      </c>
      <c r="B458" s="111" t="s">
        <v>800</v>
      </c>
      <c r="C458" s="330">
        <v>92.2</v>
      </c>
      <c r="D458" s="330"/>
      <c r="E458" s="330">
        <v>52.4</v>
      </c>
      <c r="F458" s="61">
        <f t="shared" si="60"/>
        <v>144.6</v>
      </c>
      <c r="G458" s="8" t="s">
        <v>1342</v>
      </c>
      <c r="H458" s="24">
        <v>125</v>
      </c>
      <c r="I458" s="710">
        <f t="shared" si="61"/>
        <v>7.0502888644353532E-3</v>
      </c>
      <c r="J458" s="39">
        <f t="shared" si="62"/>
        <v>15.998021970956193</v>
      </c>
      <c r="K458" s="37">
        <f t="shared" si="57"/>
        <v>5.8824726787205925</v>
      </c>
      <c r="L458" s="39">
        <v>8.7071862405630913</v>
      </c>
      <c r="M458" s="39">
        <f t="shared" si="59"/>
        <v>4.8005416877940315</v>
      </c>
      <c r="N458" s="117">
        <f t="shared" si="58"/>
        <v>5.8518603174209245</v>
      </c>
      <c r="O458" s="94">
        <f t="shared" si="63"/>
        <v>0.24473182972360935</v>
      </c>
      <c r="P458" s="343"/>
    </row>
    <row r="459" spans="1:16" s="384" customFormat="1" ht="15.75">
      <c r="A459" s="448">
        <v>74</v>
      </c>
      <c r="B459" s="111" t="s">
        <v>801</v>
      </c>
      <c r="C459" s="330">
        <v>375.5</v>
      </c>
      <c r="D459" s="330"/>
      <c r="E459" s="330"/>
      <c r="F459" s="61">
        <f t="shared" si="60"/>
        <v>375.5</v>
      </c>
      <c r="G459" s="8" t="s">
        <v>1342</v>
      </c>
      <c r="H459" s="24">
        <v>351</v>
      </c>
      <c r="I459" s="710">
        <f t="shared" si="61"/>
        <v>1.9797211131334473E-2</v>
      </c>
      <c r="J459" s="39">
        <f t="shared" si="62"/>
        <v>44.922445694444995</v>
      </c>
      <c r="K459" s="37">
        <f t="shared" si="57"/>
        <v>16.517983281847425</v>
      </c>
      <c r="L459" s="39">
        <v>17.464127831072261</v>
      </c>
      <c r="M459" s="39">
        <f t="shared" si="59"/>
        <v>13.479921059325642</v>
      </c>
      <c r="N459" s="117">
        <f t="shared" si="58"/>
        <v>16.432023771317958</v>
      </c>
      <c r="O459" s="94">
        <f t="shared" si="63"/>
        <v>0.24603056688865602</v>
      </c>
      <c r="P459" s="343"/>
    </row>
    <row r="460" spans="1:16" s="209" customFormat="1" ht="15.75">
      <c r="A460" s="448">
        <v>75</v>
      </c>
      <c r="B460" s="111" t="s">
        <v>802</v>
      </c>
      <c r="C460" s="330">
        <v>969.31</v>
      </c>
      <c r="D460" s="330"/>
      <c r="E460" s="330">
        <v>24.6</v>
      </c>
      <c r="F460" s="61">
        <f t="shared" si="60"/>
        <v>993.91</v>
      </c>
      <c r="G460" s="8" t="s">
        <v>1342</v>
      </c>
      <c r="H460" s="24">
        <v>360</v>
      </c>
      <c r="I460" s="710">
        <f t="shared" si="61"/>
        <v>2.0304831929573816E-2</v>
      </c>
      <c r="J460" s="39">
        <f t="shared" si="62"/>
        <v>46.074303276353838</v>
      </c>
      <c r="K460" s="37">
        <f t="shared" si="57"/>
        <v>16.941521314715306</v>
      </c>
      <c r="L460" s="39">
        <v>17.911925980586933</v>
      </c>
      <c r="M460" s="39">
        <f t="shared" si="59"/>
        <v>13.825560060846811</v>
      </c>
      <c r="N460" s="117">
        <f t="shared" si="58"/>
        <v>16.853357714172265</v>
      </c>
      <c r="O460" s="94">
        <f t="shared" si="63"/>
        <v>9.533389404725065E-2</v>
      </c>
      <c r="P460" s="343"/>
    </row>
    <row r="461" spans="1:16" s="209" customFormat="1" ht="15.75">
      <c r="A461" s="448">
        <v>76</v>
      </c>
      <c r="B461" s="111" t="s">
        <v>803</v>
      </c>
      <c r="C461" s="330">
        <v>584.29999999999995</v>
      </c>
      <c r="D461" s="330"/>
      <c r="E461" s="330">
        <v>131.9</v>
      </c>
      <c r="F461" s="61">
        <f t="shared" si="60"/>
        <v>716.19999999999993</v>
      </c>
      <c r="G461" s="8" t="s">
        <v>1342</v>
      </c>
      <c r="H461" s="24">
        <v>410</v>
      </c>
      <c r="I461" s="710">
        <f t="shared" si="61"/>
        <v>2.3124947475347959E-2</v>
      </c>
      <c r="J461" s="39">
        <f t="shared" si="62"/>
        <v>52.473512064736319</v>
      </c>
      <c r="K461" s="37">
        <f t="shared" si="57"/>
        <v>19.294510386203545</v>
      </c>
      <c r="L461" s="39">
        <v>20.399693477890672</v>
      </c>
      <c r="M461" s="39">
        <f t="shared" si="59"/>
        <v>15.745776735964425</v>
      </c>
      <c r="N461" s="117">
        <f t="shared" si="58"/>
        <v>19.194101841140636</v>
      </c>
      <c r="O461" s="94">
        <f t="shared" si="63"/>
        <v>0.15067508051493295</v>
      </c>
      <c r="P461" s="343"/>
    </row>
    <row r="462" spans="1:16" s="209" customFormat="1" ht="15.75">
      <c r="A462" s="448">
        <v>77</v>
      </c>
      <c r="B462" s="111" t="s">
        <v>804</v>
      </c>
      <c r="C462" s="330">
        <v>472.2</v>
      </c>
      <c r="D462" s="330"/>
      <c r="E462" s="330"/>
      <c r="F462" s="61">
        <f t="shared" si="60"/>
        <v>472.2</v>
      </c>
      <c r="G462" s="8" t="s">
        <v>1342</v>
      </c>
      <c r="H462" s="24">
        <v>442</v>
      </c>
      <c r="I462" s="710">
        <f t="shared" si="61"/>
        <v>2.4929821424643409E-2</v>
      </c>
      <c r="J462" s="39">
        <f t="shared" si="62"/>
        <v>56.5690056893011</v>
      </c>
      <c r="K462" s="37">
        <f t="shared" si="57"/>
        <v>20.800423391956016</v>
      </c>
      <c r="L462" s="39">
        <v>21.991864676165068</v>
      </c>
      <c r="M462" s="39">
        <f t="shared" si="59"/>
        <v>16.974715408039696</v>
      </c>
      <c r="N462" s="117">
        <f t="shared" si="58"/>
        <v>20.692178082400392</v>
      </c>
      <c r="O462" s="94">
        <f t="shared" si="63"/>
        <v>0.24637020153634454</v>
      </c>
      <c r="P462" s="343"/>
    </row>
    <row r="463" spans="1:16" s="209" customFormat="1" ht="15.75">
      <c r="A463" s="448">
        <v>78</v>
      </c>
      <c r="B463" s="111" t="s">
        <v>805</v>
      </c>
      <c r="C463" s="330">
        <v>261.7</v>
      </c>
      <c r="D463" s="330"/>
      <c r="E463" s="330">
        <v>75.599999999999994</v>
      </c>
      <c r="F463" s="61">
        <f t="shared" si="60"/>
        <v>337.29999999999995</v>
      </c>
      <c r="G463" s="8" t="s">
        <v>1342</v>
      </c>
      <c r="H463" s="24">
        <v>249</v>
      </c>
      <c r="I463" s="710">
        <f t="shared" si="61"/>
        <v>1.4044175417955223E-2</v>
      </c>
      <c r="J463" s="39">
        <f t="shared" si="62"/>
        <v>31.868059766144736</v>
      </c>
      <c r="K463" s="37">
        <f t="shared" si="57"/>
        <v>11.717885576011421</v>
      </c>
      <c r="L463" s="39">
        <v>12.389082136572629</v>
      </c>
      <c r="M463" s="39">
        <f t="shared" si="59"/>
        <v>9.562679042085712</v>
      </c>
      <c r="N463" s="117">
        <f t="shared" si="58"/>
        <v>11.656905752302483</v>
      </c>
      <c r="O463" s="94">
        <f t="shared" si="63"/>
        <v>0.19430093839553664</v>
      </c>
      <c r="P463" s="343"/>
    </row>
    <row r="464" spans="1:16" s="209" customFormat="1" ht="15.75">
      <c r="A464" s="772">
        <v>79</v>
      </c>
      <c r="B464" s="111" t="s">
        <v>806</v>
      </c>
      <c r="C464" s="330">
        <v>395.5</v>
      </c>
      <c r="D464" s="330"/>
      <c r="E464" s="330"/>
      <c r="F464" s="61">
        <f t="shared" si="60"/>
        <v>395.5</v>
      </c>
      <c r="G464" s="8" t="s">
        <v>1342</v>
      </c>
      <c r="H464" s="24">
        <v>250</v>
      </c>
      <c r="I464" s="710">
        <f t="shared" si="61"/>
        <v>1.4100577728870706E-2</v>
      </c>
      <c r="J464" s="39">
        <f t="shared" si="62"/>
        <v>31.996043941912387</v>
      </c>
      <c r="K464" s="37">
        <f t="shared" si="57"/>
        <v>11.764945357441185</v>
      </c>
      <c r="L464" s="39">
        <v>12.438837486518704</v>
      </c>
      <c r="M464" s="39">
        <f t="shared" si="59"/>
        <v>9.6010833755880629</v>
      </c>
      <c r="N464" s="117">
        <f t="shared" si="58"/>
        <v>11.703720634841849</v>
      </c>
      <c r="O464" s="94">
        <f t="shared" si="63"/>
        <v>0.16637398270912854</v>
      </c>
      <c r="P464" s="343"/>
    </row>
    <row r="465" spans="1:16" s="209" customFormat="1" ht="15.75">
      <c r="A465" s="448">
        <v>80</v>
      </c>
      <c r="B465" s="111" t="s">
        <v>807</v>
      </c>
      <c r="C465" s="330">
        <v>377.9</v>
      </c>
      <c r="D465" s="330"/>
      <c r="E465" s="330">
        <v>86.2</v>
      </c>
      <c r="F465" s="61">
        <f t="shared" si="60"/>
        <v>464.09999999999997</v>
      </c>
      <c r="G465" s="8" t="s">
        <v>1342</v>
      </c>
      <c r="H465" s="24">
        <v>358</v>
      </c>
      <c r="I465" s="710">
        <f t="shared" si="61"/>
        <v>2.0192027307742853E-2</v>
      </c>
      <c r="J465" s="39">
        <f t="shared" si="62"/>
        <v>45.818334924818544</v>
      </c>
      <c r="K465" s="37">
        <f t="shared" ref="K465:K526" si="64">J465*0.3677</f>
        <v>16.847401751855781</v>
      </c>
      <c r="L465" s="39">
        <v>17.812415280694783</v>
      </c>
      <c r="M465" s="39">
        <f t="shared" si="59"/>
        <v>13.748751393842108</v>
      </c>
      <c r="N465" s="117">
        <f t="shared" si="58"/>
        <v>16.759727949093531</v>
      </c>
      <c r="O465" s="94">
        <f t="shared" si="63"/>
        <v>0.20303146595822286</v>
      </c>
      <c r="P465" s="343"/>
    </row>
    <row r="466" spans="1:16" s="209" customFormat="1" ht="15.75">
      <c r="A466" s="448">
        <v>81</v>
      </c>
      <c r="B466" s="111" t="s">
        <v>833</v>
      </c>
      <c r="C466" s="330">
        <v>258.10000000000002</v>
      </c>
      <c r="D466" s="330"/>
      <c r="E466" s="330">
        <v>92.17</v>
      </c>
      <c r="F466" s="61">
        <f t="shared" si="60"/>
        <v>350.27000000000004</v>
      </c>
      <c r="G466" s="8" t="s">
        <v>1342</v>
      </c>
      <c r="H466" s="24">
        <v>971</v>
      </c>
      <c r="I466" s="710">
        <f t="shared" si="61"/>
        <v>5.4766643898933827E-2</v>
      </c>
      <c r="J466" s="39">
        <f t="shared" si="62"/>
        <v>124.27263467038772</v>
      </c>
      <c r="K466" s="37">
        <f t="shared" si="64"/>
        <v>45.695047768301563</v>
      </c>
      <c r="L466" s="39">
        <v>48.312444797638648</v>
      </c>
      <c r="M466" s="39">
        <f t="shared" si="59"/>
        <v>37.29060783078404</v>
      </c>
      <c r="N466" s="117">
        <f t="shared" si="58"/>
        <v>45.457250945725747</v>
      </c>
      <c r="O466" s="94">
        <f t="shared" si="63"/>
        <v>0.72963923563854149</v>
      </c>
      <c r="P466" s="343"/>
    </row>
    <row r="467" spans="1:16" s="209" customFormat="1" ht="15.75">
      <c r="A467" s="448">
        <v>82</v>
      </c>
      <c r="B467" s="111" t="s">
        <v>834</v>
      </c>
      <c r="C467" s="330">
        <v>396.61</v>
      </c>
      <c r="D467" s="330"/>
      <c r="E467" s="330"/>
      <c r="F467" s="61">
        <f t="shared" si="60"/>
        <v>396.61</v>
      </c>
      <c r="G467" s="8" t="s">
        <v>1342</v>
      </c>
      <c r="H467" s="24">
        <v>106</v>
      </c>
      <c r="I467" s="710">
        <f t="shared" si="61"/>
        <v>5.9786449570411798E-3</v>
      </c>
      <c r="J467" s="39">
        <f t="shared" si="62"/>
        <v>13.566322631370854</v>
      </c>
      <c r="K467" s="37">
        <f t="shared" si="64"/>
        <v>4.9883368315550634</v>
      </c>
      <c r="L467" s="39">
        <v>5.2740670942839305</v>
      </c>
      <c r="M467" s="39">
        <f t="shared" si="59"/>
        <v>4.0708593512493394</v>
      </c>
      <c r="N467" s="117">
        <f t="shared" si="58"/>
        <v>4.9623775491729454</v>
      </c>
      <c r="O467" s="94">
        <f t="shared" si="63"/>
        <v>7.034513983121754E-2</v>
      </c>
      <c r="P467" s="343"/>
    </row>
    <row r="468" spans="1:16" s="209" customFormat="1" ht="15.75">
      <c r="A468" s="448">
        <v>83</v>
      </c>
      <c r="B468" s="111" t="s">
        <v>835</v>
      </c>
      <c r="C468" s="330">
        <v>345.91</v>
      </c>
      <c r="D468" s="330"/>
      <c r="E468" s="330">
        <v>34.1</v>
      </c>
      <c r="F468" s="61">
        <f t="shared" si="60"/>
        <v>380.01000000000005</v>
      </c>
      <c r="G468" s="8" t="s">
        <v>1342</v>
      </c>
      <c r="H468" s="24">
        <v>235</v>
      </c>
      <c r="I468" s="710">
        <f t="shared" si="61"/>
        <v>1.3254543065138465E-2</v>
      </c>
      <c r="J468" s="39">
        <f t="shared" si="62"/>
        <v>30.076281305397647</v>
      </c>
      <c r="K468" s="37">
        <f t="shared" si="64"/>
        <v>11.059048635994715</v>
      </c>
      <c r="L468" s="39">
        <v>11.692507237327581</v>
      </c>
      <c r="M468" s="39">
        <f t="shared" si="59"/>
        <v>9.0250183730527809</v>
      </c>
      <c r="N468" s="117">
        <f t="shared" si="58"/>
        <v>11.00149739675134</v>
      </c>
      <c r="O468" s="94">
        <f t="shared" si="63"/>
        <v>0.16276638917863401</v>
      </c>
      <c r="P468" s="343"/>
    </row>
    <row r="469" spans="1:16" s="209" customFormat="1" ht="15.75">
      <c r="A469" s="448">
        <v>84</v>
      </c>
      <c r="B469" s="111" t="s">
        <v>836</v>
      </c>
      <c r="C469" s="330">
        <v>501.9</v>
      </c>
      <c r="D469" s="330"/>
      <c r="E469" s="330"/>
      <c r="F469" s="61">
        <f t="shared" si="60"/>
        <v>501.9</v>
      </c>
      <c r="G469" s="8" t="s">
        <v>1342</v>
      </c>
      <c r="H469" s="24">
        <v>307</v>
      </c>
      <c r="I469" s="710">
        <f t="shared" si="61"/>
        <v>1.7315509451053229E-2</v>
      </c>
      <c r="J469" s="39">
        <f t="shared" si="62"/>
        <v>39.291141960668419</v>
      </c>
      <c r="K469" s="37">
        <f t="shared" si="64"/>
        <v>14.447352898937778</v>
      </c>
      <c r="L469" s="39">
        <v>15.274892433444966</v>
      </c>
      <c r="M469" s="39">
        <f t="shared" si="59"/>
        <v>11.790130385222144</v>
      </c>
      <c r="N469" s="117">
        <f t="shared" si="58"/>
        <v>14.372168939585794</v>
      </c>
      <c r="O469" s="94">
        <f t="shared" si="63"/>
        <v>0.16099525339365076</v>
      </c>
      <c r="P469" s="343"/>
    </row>
    <row r="470" spans="1:16" s="209" customFormat="1" ht="15.75">
      <c r="A470" s="772">
        <v>85</v>
      </c>
      <c r="B470" s="111" t="s">
        <v>837</v>
      </c>
      <c r="C470" s="330">
        <v>406.9</v>
      </c>
      <c r="D470" s="330"/>
      <c r="E470" s="330"/>
      <c r="F470" s="61">
        <f t="shared" si="60"/>
        <v>406.9</v>
      </c>
      <c r="G470" s="8" t="s">
        <v>1342</v>
      </c>
      <c r="H470" s="24">
        <v>465</v>
      </c>
      <c r="I470" s="710">
        <f t="shared" si="61"/>
        <v>2.6227074575699515E-2</v>
      </c>
      <c r="J470" s="39">
        <f t="shared" si="62"/>
        <v>59.512641731957046</v>
      </c>
      <c r="K470" s="37">
        <f t="shared" si="64"/>
        <v>21.882798364840607</v>
      </c>
      <c r="L470" s="39">
        <v>23.13623772492479</v>
      </c>
      <c r="M470" s="39">
        <f t="shared" si="59"/>
        <v>17.858015078593798</v>
      </c>
      <c r="N470" s="117">
        <f t="shared" si="58"/>
        <v>21.768920380805842</v>
      </c>
      <c r="O470" s="94">
        <f t="shared" si="63"/>
        <v>0.30078567928315619</v>
      </c>
      <c r="P470" s="343"/>
    </row>
    <row r="471" spans="1:16" s="209" customFormat="1" ht="15.75">
      <c r="A471" s="448">
        <v>86</v>
      </c>
      <c r="B471" s="111" t="s">
        <v>838</v>
      </c>
      <c r="C471" s="330">
        <v>583.66999999999996</v>
      </c>
      <c r="D471" s="330"/>
      <c r="E471" s="330"/>
      <c r="F471" s="61">
        <f t="shared" si="60"/>
        <v>583.66999999999996</v>
      </c>
      <c r="G471" s="8" t="s">
        <v>1342</v>
      </c>
      <c r="H471" s="24">
        <v>415</v>
      </c>
      <c r="I471" s="710">
        <f t="shared" si="61"/>
        <v>2.3406959029925373E-2</v>
      </c>
      <c r="J471" s="39">
        <f t="shared" si="62"/>
        <v>53.113432943574566</v>
      </c>
      <c r="K471" s="37">
        <f t="shared" si="64"/>
        <v>19.529809293352368</v>
      </c>
      <c r="L471" s="39">
        <v>20.648470227621051</v>
      </c>
      <c r="M471" s="39">
        <f t="shared" si="59"/>
        <v>15.937798403476187</v>
      </c>
      <c r="N471" s="117">
        <f t="shared" si="58"/>
        <v>19.428176253837474</v>
      </c>
      <c r="O471" s="94">
        <f t="shared" si="63"/>
        <v>0.18714258205496972</v>
      </c>
      <c r="P471" s="343"/>
    </row>
    <row r="472" spans="1:16" s="209" customFormat="1" ht="15.75">
      <c r="A472" s="448">
        <v>87</v>
      </c>
      <c r="B472" s="111" t="s">
        <v>839</v>
      </c>
      <c r="C472" s="330">
        <v>634.80999999999995</v>
      </c>
      <c r="D472" s="330"/>
      <c r="E472" s="330"/>
      <c r="F472" s="61">
        <f t="shared" si="60"/>
        <v>634.80999999999995</v>
      </c>
      <c r="G472" s="8" t="s">
        <v>1342</v>
      </c>
      <c r="H472" s="24">
        <v>443</v>
      </c>
      <c r="I472" s="710">
        <f t="shared" si="61"/>
        <v>2.4986223735558893E-2</v>
      </c>
      <c r="J472" s="39">
        <f t="shared" si="62"/>
        <v>56.696989865068751</v>
      </c>
      <c r="K472" s="37">
        <f t="shared" si="64"/>
        <v>20.847483173385783</v>
      </c>
      <c r="L472" s="39">
        <v>22.041620026111143</v>
      </c>
      <c r="M472" s="39">
        <f t="shared" si="59"/>
        <v>17.013119741542049</v>
      </c>
      <c r="N472" s="117">
        <f t="shared" si="58"/>
        <v>20.738992964939758</v>
      </c>
      <c r="O472" s="94">
        <f t="shared" si="63"/>
        <v>0.18367576567178798</v>
      </c>
      <c r="P472" s="343"/>
    </row>
    <row r="473" spans="1:16" s="209" customFormat="1" ht="15.75">
      <c r="A473" s="448">
        <v>88</v>
      </c>
      <c r="B473" s="111" t="s">
        <v>840</v>
      </c>
      <c r="C473" s="330">
        <v>312.74</v>
      </c>
      <c r="D473" s="330"/>
      <c r="E473" s="330"/>
      <c r="F473" s="61">
        <f t="shared" si="60"/>
        <v>312.74</v>
      </c>
      <c r="G473" s="8" t="s">
        <v>1342</v>
      </c>
      <c r="H473" s="24">
        <v>430</v>
      </c>
      <c r="I473" s="710">
        <f t="shared" si="61"/>
        <v>2.4252993693657614E-2</v>
      </c>
      <c r="J473" s="39">
        <f t="shared" si="62"/>
        <v>55.033195580089306</v>
      </c>
      <c r="K473" s="37">
        <f t="shared" si="64"/>
        <v>20.23570601479884</v>
      </c>
      <c r="L473" s="39">
        <v>21.394800476812168</v>
      </c>
      <c r="M473" s="39">
        <f t="shared" si="59"/>
        <v>16.51386340601147</v>
      </c>
      <c r="N473" s="117">
        <f t="shared" si="58"/>
        <v>20.130399491927985</v>
      </c>
      <c r="O473" s="94">
        <f t="shared" si="63"/>
        <v>0.36189027779533089</v>
      </c>
      <c r="P473" s="343"/>
    </row>
    <row r="474" spans="1:16" s="209" customFormat="1" ht="15.75">
      <c r="A474" s="448">
        <v>89</v>
      </c>
      <c r="B474" s="111" t="s">
        <v>841</v>
      </c>
      <c r="C474" s="330">
        <v>359.3</v>
      </c>
      <c r="D474" s="330"/>
      <c r="E474" s="330"/>
      <c r="F474" s="61">
        <f t="shared" si="60"/>
        <v>359.3</v>
      </c>
      <c r="G474" s="8" t="s">
        <v>1342</v>
      </c>
      <c r="H474" s="24">
        <v>355</v>
      </c>
      <c r="I474" s="710">
        <f t="shared" si="61"/>
        <v>2.0022820374996402E-2</v>
      </c>
      <c r="J474" s="39">
        <f t="shared" si="62"/>
        <v>45.434382397515591</v>
      </c>
      <c r="K474" s="37">
        <f t="shared" si="64"/>
        <v>16.706222407566486</v>
      </c>
      <c r="L474" s="39">
        <v>17.663149230856561</v>
      </c>
      <c r="M474" s="39">
        <f t="shared" si="59"/>
        <v>13.63353839333505</v>
      </c>
      <c r="N474" s="117">
        <f t="shared" si="58"/>
        <v>16.619283301475427</v>
      </c>
      <c r="O474" s="94">
        <f t="shared" si="63"/>
        <v>0.26005369448726329</v>
      </c>
      <c r="P474" s="343"/>
    </row>
    <row r="475" spans="1:16" s="209" customFormat="1" ht="15.75">
      <c r="A475" s="448">
        <v>90</v>
      </c>
      <c r="B475" s="111" t="s">
        <v>842</v>
      </c>
      <c r="C475" s="330">
        <v>391.67</v>
      </c>
      <c r="D475" s="330"/>
      <c r="E475" s="330">
        <v>25.5</v>
      </c>
      <c r="F475" s="61">
        <f t="shared" si="60"/>
        <v>417.17</v>
      </c>
      <c r="G475" s="8" t="s">
        <v>1342</v>
      </c>
      <c r="H475" s="24">
        <v>393</v>
      </c>
      <c r="I475" s="710">
        <f t="shared" si="61"/>
        <v>2.2166108189784751E-2</v>
      </c>
      <c r="J475" s="39">
        <f t="shared" si="62"/>
        <v>50.297781076686277</v>
      </c>
      <c r="K475" s="37">
        <f t="shared" si="64"/>
        <v>18.494494101897544</v>
      </c>
      <c r="L475" s="39">
        <v>19.553852528807404</v>
      </c>
      <c r="M475" s="39">
        <f t="shared" si="59"/>
        <v>15.092903066424435</v>
      </c>
      <c r="N475" s="117">
        <f t="shared" si="58"/>
        <v>18.398248837971387</v>
      </c>
      <c r="O475" s="94">
        <f t="shared" si="63"/>
        <v>0.24795414524969595</v>
      </c>
      <c r="P475" s="343"/>
    </row>
    <row r="476" spans="1:16" s="209" customFormat="1" ht="15.75">
      <c r="A476" s="772">
        <v>91</v>
      </c>
      <c r="B476" s="111" t="s">
        <v>843</v>
      </c>
      <c r="C476" s="330">
        <v>195.5</v>
      </c>
      <c r="D476" s="330"/>
      <c r="E476" s="330">
        <v>53.8</v>
      </c>
      <c r="F476" s="61">
        <f t="shared" si="60"/>
        <v>249.3</v>
      </c>
      <c r="G476" s="8" t="s">
        <v>1342</v>
      </c>
      <c r="H476" s="24">
        <v>245</v>
      </c>
      <c r="I476" s="710">
        <f t="shared" si="61"/>
        <v>1.3818566174293292E-2</v>
      </c>
      <c r="J476" s="39">
        <f t="shared" si="62"/>
        <v>31.35612306307414</v>
      </c>
      <c r="K476" s="37">
        <f t="shared" si="64"/>
        <v>11.529646450292361</v>
      </c>
      <c r="L476" s="39">
        <v>12.190060736788329</v>
      </c>
      <c r="M476" s="39">
        <f t="shared" si="59"/>
        <v>9.4090617080763028</v>
      </c>
      <c r="N476" s="117">
        <f t="shared" si="58"/>
        <v>11.469646222145014</v>
      </c>
      <c r="O476" s="94">
        <f t="shared" si="63"/>
        <v>0.25866382654725684</v>
      </c>
      <c r="P476" s="343"/>
    </row>
    <row r="477" spans="1:16" s="209" customFormat="1" ht="15.75">
      <c r="A477" s="448">
        <v>92</v>
      </c>
      <c r="B477" s="111" t="s">
        <v>844</v>
      </c>
      <c r="C477" s="330">
        <v>489.94</v>
      </c>
      <c r="D477" s="330"/>
      <c r="E477" s="330">
        <v>45</v>
      </c>
      <c r="F477" s="61">
        <f t="shared" si="60"/>
        <v>534.94000000000005</v>
      </c>
      <c r="G477" s="8" t="s">
        <v>1342</v>
      </c>
      <c r="H477" s="24">
        <v>720</v>
      </c>
      <c r="I477" s="710">
        <f t="shared" si="61"/>
        <v>4.0609663859147632E-2</v>
      </c>
      <c r="J477" s="39">
        <f t="shared" si="62"/>
        <v>92.148606552707676</v>
      </c>
      <c r="K477" s="37">
        <f t="shared" si="64"/>
        <v>33.883042629430612</v>
      </c>
      <c r="L477" s="39">
        <v>35.823851961173865</v>
      </c>
      <c r="M477" s="39">
        <f t="shared" si="59"/>
        <v>27.651120121693623</v>
      </c>
      <c r="N477" s="117">
        <f t="shared" ref="N477:N540" si="65">M477*1.219</f>
        <v>33.70671542834453</v>
      </c>
      <c r="O477" s="94">
        <f t="shared" si="63"/>
        <v>0.35425771350993712</v>
      </c>
      <c r="P477" s="343"/>
    </row>
    <row r="478" spans="1:16" s="209" customFormat="1" ht="15.75">
      <c r="A478" s="448">
        <v>93</v>
      </c>
      <c r="B478" s="111" t="s">
        <v>845</v>
      </c>
      <c r="C478" s="330">
        <v>308.44</v>
      </c>
      <c r="D478" s="330"/>
      <c r="E478" s="330">
        <v>74.5</v>
      </c>
      <c r="F478" s="61">
        <f t="shared" si="60"/>
        <v>382.94</v>
      </c>
      <c r="G478" s="8" t="s">
        <v>1342</v>
      </c>
      <c r="H478" s="24">
        <v>400</v>
      </c>
      <c r="I478" s="710">
        <f t="shared" si="61"/>
        <v>2.2560924366193131E-2</v>
      </c>
      <c r="J478" s="39">
        <f t="shared" si="62"/>
        <v>51.193670307059818</v>
      </c>
      <c r="K478" s="37">
        <f t="shared" si="64"/>
        <v>18.823912571905897</v>
      </c>
      <c r="L478" s="39">
        <v>19.902139978429926</v>
      </c>
      <c r="M478" s="39">
        <f t="shared" si="59"/>
        <v>15.361733400940903</v>
      </c>
      <c r="N478" s="117">
        <f t="shared" si="65"/>
        <v>18.725953015746963</v>
      </c>
      <c r="O478" s="94">
        <f t="shared" si="63"/>
        <v>0.2749293786450529</v>
      </c>
      <c r="P478" s="343"/>
    </row>
    <row r="479" spans="1:16" s="209" customFormat="1" ht="15.75">
      <c r="A479" s="448">
        <v>94</v>
      </c>
      <c r="B479" s="111" t="s">
        <v>846</v>
      </c>
      <c r="C479" s="330">
        <v>367.5</v>
      </c>
      <c r="D479" s="330"/>
      <c r="E479" s="330"/>
      <c r="F479" s="61">
        <f t="shared" si="60"/>
        <v>367.5</v>
      </c>
      <c r="G479" s="8" t="s">
        <v>1342</v>
      </c>
      <c r="H479" s="24">
        <v>590</v>
      </c>
      <c r="I479" s="710">
        <f t="shared" si="61"/>
        <v>3.327736344013487E-2</v>
      </c>
      <c r="J479" s="39">
        <f t="shared" si="62"/>
        <v>75.510663702913249</v>
      </c>
      <c r="K479" s="37">
        <f t="shared" si="64"/>
        <v>27.765271043561203</v>
      </c>
      <c r="L479" s="39">
        <v>29.35565646818414</v>
      </c>
      <c r="M479" s="39">
        <f t="shared" si="59"/>
        <v>22.658556766387832</v>
      </c>
      <c r="N479" s="117">
        <f t="shared" si="65"/>
        <v>27.620780698226771</v>
      </c>
      <c r="O479" s="94">
        <f t="shared" si="63"/>
        <v>0.42255822579876573</v>
      </c>
      <c r="P479" s="343"/>
    </row>
    <row r="480" spans="1:16" s="209" customFormat="1" ht="15.75">
      <c r="A480" s="448">
        <v>95</v>
      </c>
      <c r="B480" s="111" t="s">
        <v>847</v>
      </c>
      <c r="C480" s="330">
        <v>131.4</v>
      </c>
      <c r="D480" s="330"/>
      <c r="E480" s="330"/>
      <c r="F480" s="61">
        <f t="shared" si="60"/>
        <v>131.4</v>
      </c>
      <c r="G480" s="8" t="s">
        <v>1342</v>
      </c>
      <c r="H480" s="24">
        <v>190</v>
      </c>
      <c r="I480" s="710">
        <f t="shared" si="61"/>
        <v>1.0716439073941738E-2</v>
      </c>
      <c r="J480" s="39">
        <f t="shared" si="62"/>
        <v>24.316993395853416</v>
      </c>
      <c r="K480" s="37">
        <f t="shared" si="64"/>
        <v>8.9413584716553025</v>
      </c>
      <c r="L480" s="39">
        <v>9.4535164897542145</v>
      </c>
      <c r="M480" s="39">
        <f t="shared" si="59"/>
        <v>7.2968233654469286</v>
      </c>
      <c r="N480" s="117">
        <f t="shared" si="65"/>
        <v>8.8948276824798072</v>
      </c>
      <c r="O480" s="94">
        <f t="shared" si="63"/>
        <v>0.38058365085776147</v>
      </c>
      <c r="P480" s="343"/>
    </row>
    <row r="481" spans="1:16" s="209" customFormat="1" ht="15.75">
      <c r="A481" s="448">
        <v>96</v>
      </c>
      <c r="B481" s="111" t="s">
        <v>848</v>
      </c>
      <c r="C481" s="330">
        <v>471.36</v>
      </c>
      <c r="D481" s="330"/>
      <c r="E481" s="330"/>
      <c r="F481" s="61">
        <f t="shared" si="60"/>
        <v>471.36</v>
      </c>
      <c r="G481" s="8" t="s">
        <v>1342</v>
      </c>
      <c r="H481" s="24">
        <v>350</v>
      </c>
      <c r="I481" s="710">
        <f t="shared" si="61"/>
        <v>1.9740808820418988E-2</v>
      </c>
      <c r="J481" s="39">
        <f t="shared" si="62"/>
        <v>44.794461518677338</v>
      </c>
      <c r="K481" s="37">
        <f t="shared" si="64"/>
        <v>16.470923500417658</v>
      </c>
      <c r="L481" s="39">
        <v>17.414372481126186</v>
      </c>
      <c r="M481" s="39">
        <f t="shared" si="59"/>
        <v>13.441516725823289</v>
      </c>
      <c r="N481" s="117">
        <f t="shared" si="65"/>
        <v>16.385208888778592</v>
      </c>
      <c r="O481" s="94">
        <f t="shared" si="63"/>
        <v>0.19543719073753496</v>
      </c>
      <c r="P481" s="343"/>
    </row>
    <row r="482" spans="1:16" s="209" customFormat="1" ht="15.75">
      <c r="A482" s="772">
        <v>97</v>
      </c>
      <c r="B482" s="111" t="s">
        <v>849</v>
      </c>
      <c r="C482" s="330">
        <v>530.79999999999995</v>
      </c>
      <c r="D482" s="330"/>
      <c r="E482" s="330"/>
      <c r="F482" s="61">
        <f t="shared" si="60"/>
        <v>530.79999999999995</v>
      </c>
      <c r="G482" s="8" t="s">
        <v>1342</v>
      </c>
      <c r="H482" s="24">
        <v>680</v>
      </c>
      <c r="I482" s="710">
        <f t="shared" si="61"/>
        <v>3.8353571422528321E-2</v>
      </c>
      <c r="J482" s="39">
        <f t="shared" si="62"/>
        <v>87.029239522001689</v>
      </c>
      <c r="K482" s="37">
        <f t="shared" si="64"/>
        <v>32.000651372240021</v>
      </c>
      <c r="L482" s="39">
        <v>33.833637963330872</v>
      </c>
      <c r="M482" s="39">
        <f t="shared" si="59"/>
        <v>26.114946781599532</v>
      </c>
      <c r="N482" s="117">
        <f t="shared" si="65"/>
        <v>31.834120126769832</v>
      </c>
      <c r="O482" s="94">
        <f t="shared" si="63"/>
        <v>0.33718627663747575</v>
      </c>
      <c r="P482" s="343"/>
    </row>
    <row r="483" spans="1:16" s="209" customFormat="1" ht="15.75">
      <c r="A483" s="448">
        <v>98</v>
      </c>
      <c r="B483" s="111" t="s">
        <v>850</v>
      </c>
      <c r="C483" s="330">
        <v>330.15</v>
      </c>
      <c r="D483" s="330"/>
      <c r="E483" s="330"/>
      <c r="F483" s="61">
        <f t="shared" si="60"/>
        <v>330.15</v>
      </c>
      <c r="G483" s="8" t="s">
        <v>1342</v>
      </c>
      <c r="H483" s="24">
        <v>332</v>
      </c>
      <c r="I483" s="710">
        <f t="shared" si="61"/>
        <v>1.8725567223940299E-2</v>
      </c>
      <c r="J483" s="39">
        <f t="shared" si="62"/>
        <v>42.490746354859652</v>
      </c>
      <c r="K483" s="37">
        <f t="shared" si="64"/>
        <v>15.623847434681895</v>
      </c>
      <c r="L483" s="39">
        <v>16.518776182096836</v>
      </c>
      <c r="M483" s="39">
        <f>I483*680.9</f>
        <v>12.750238722780949</v>
      </c>
      <c r="N483" s="117">
        <f t="shared" si="65"/>
        <v>15.542541003069978</v>
      </c>
      <c r="O483" s="94">
        <f t="shared" si="63"/>
        <v>0.26467850581377961</v>
      </c>
      <c r="P483" s="343"/>
    </row>
    <row r="484" spans="1:16" s="209" customFormat="1" ht="15.75">
      <c r="A484" s="448">
        <v>99</v>
      </c>
      <c r="B484" s="111" t="s">
        <v>851</v>
      </c>
      <c r="C484" s="330">
        <v>242.1</v>
      </c>
      <c r="D484" s="330"/>
      <c r="E484" s="330"/>
      <c r="F484" s="61">
        <f t="shared" si="60"/>
        <v>242.1</v>
      </c>
      <c r="G484" s="8" t="s">
        <v>1342</v>
      </c>
      <c r="H484" s="24">
        <v>320</v>
      </c>
      <c r="I484" s="710">
        <f t="shared" si="61"/>
        <v>1.8048739492954505E-2</v>
      </c>
      <c r="J484" s="39">
        <f t="shared" si="62"/>
        <v>40.954936245647858</v>
      </c>
      <c r="K484" s="37">
        <f t="shared" si="64"/>
        <v>15.059130057524719</v>
      </c>
      <c r="L484" s="39">
        <v>15.92171198274394</v>
      </c>
      <c r="M484" s="39">
        <f>I484*680.9</f>
        <v>12.289386720752722</v>
      </c>
      <c r="N484" s="117">
        <f t="shared" si="65"/>
        <v>14.980762412597569</v>
      </c>
      <c r="O484" s="94">
        <f t="shared" si="63"/>
        <v>0.34789411403002579</v>
      </c>
      <c r="P484" s="343"/>
    </row>
    <row r="485" spans="1:16" s="209" customFormat="1" ht="15.75">
      <c r="A485" s="448">
        <v>100</v>
      </c>
      <c r="B485" s="111" t="s">
        <v>852</v>
      </c>
      <c r="C485" s="330">
        <v>528.74</v>
      </c>
      <c r="D485" s="330"/>
      <c r="E485" s="330"/>
      <c r="F485" s="61">
        <f t="shared" si="60"/>
        <v>528.74</v>
      </c>
      <c r="G485" s="8" t="s">
        <v>1342</v>
      </c>
      <c r="H485" s="24">
        <v>338</v>
      </c>
      <c r="I485" s="710">
        <f t="shared" si="61"/>
        <v>1.9063981089433194E-2</v>
      </c>
      <c r="J485" s="39">
        <f t="shared" si="62"/>
        <v>43.258651409465543</v>
      </c>
      <c r="K485" s="37">
        <f t="shared" si="64"/>
        <v>15.906206123260482</v>
      </c>
      <c r="L485" s="39">
        <v>16.817308281773286</v>
      </c>
      <c r="M485" s="39">
        <f>I485*680.9</f>
        <v>12.980664723795062</v>
      </c>
      <c r="N485" s="117">
        <f t="shared" si="65"/>
        <v>15.823430298306182</v>
      </c>
      <c r="O485" s="94">
        <f t="shared" si="63"/>
        <v>0.16825439826435368</v>
      </c>
      <c r="P485" s="343"/>
    </row>
    <row r="486" spans="1:16" s="209" customFormat="1" ht="15.75">
      <c r="A486" s="448">
        <v>101</v>
      </c>
      <c r="B486" s="111" t="s">
        <v>853</v>
      </c>
      <c r="C486" s="330">
        <v>140.6</v>
      </c>
      <c r="D486" s="330"/>
      <c r="E486" s="330"/>
      <c r="F486" s="61">
        <f t="shared" si="60"/>
        <v>140.6</v>
      </c>
      <c r="G486" s="8" t="s">
        <v>1341</v>
      </c>
      <c r="H486" s="24">
        <v>183</v>
      </c>
      <c r="I486" s="710">
        <f t="shared" si="61"/>
        <v>1.0321622897533357E-2</v>
      </c>
      <c r="J486" s="39">
        <f t="shared" si="62"/>
        <v>23.421104165479868</v>
      </c>
      <c r="K486" s="37">
        <f t="shared" si="64"/>
        <v>8.6119400016469481</v>
      </c>
      <c r="L486" s="39">
        <v>9.1052290401316913</v>
      </c>
      <c r="M486" s="39">
        <f>I486*376.38</f>
        <v>3.8848524261736048</v>
      </c>
      <c r="N486" s="117">
        <f t="shared" si="65"/>
        <v>4.7356351075056242</v>
      </c>
      <c r="O486" s="94">
        <f t="shared" si="63"/>
        <v>0.32022137719368504</v>
      </c>
      <c r="P486" s="343"/>
    </row>
    <row r="487" spans="1:16" s="209" customFormat="1" ht="15.75">
      <c r="A487" s="448">
        <v>102</v>
      </c>
      <c r="B487" s="111" t="s">
        <v>854</v>
      </c>
      <c r="C487" s="330">
        <v>183.6</v>
      </c>
      <c r="D487" s="330"/>
      <c r="E487" s="330"/>
      <c r="F487" s="61">
        <f t="shared" si="60"/>
        <v>183.6</v>
      </c>
      <c r="G487" s="8" t="s">
        <v>1341</v>
      </c>
      <c r="H487" s="24">
        <v>290</v>
      </c>
      <c r="I487" s="710">
        <f t="shared" si="61"/>
        <v>1.6356670165490021E-2</v>
      </c>
      <c r="J487" s="39">
        <f t="shared" si="62"/>
        <v>37.115410972618371</v>
      </c>
      <c r="K487" s="37">
        <f t="shared" si="64"/>
        <v>13.647336614631776</v>
      </c>
      <c r="L487" s="39">
        <v>14.429051484361697</v>
      </c>
      <c r="M487" s="39">
        <f>I487*376.38</f>
        <v>6.1563235168871344</v>
      </c>
      <c r="N487" s="117">
        <f t="shared" si="65"/>
        <v>7.5045583670854175</v>
      </c>
      <c r="O487" s="94">
        <f t="shared" si="63"/>
        <v>0.38860633218136692</v>
      </c>
      <c r="P487" s="343"/>
    </row>
    <row r="488" spans="1:16" s="209" customFormat="1" ht="15.75">
      <c r="A488" s="772">
        <v>103</v>
      </c>
      <c r="B488" s="111" t="s">
        <v>855</v>
      </c>
      <c r="C488" s="330">
        <v>384.7</v>
      </c>
      <c r="D488" s="330"/>
      <c r="E488" s="330"/>
      <c r="F488" s="61">
        <f t="shared" si="60"/>
        <v>384.7</v>
      </c>
      <c r="G488" s="8" t="s">
        <v>1342</v>
      </c>
      <c r="H488" s="24">
        <v>435</v>
      </c>
      <c r="I488" s="710">
        <f t="shared" si="61"/>
        <v>2.4535005248235028E-2</v>
      </c>
      <c r="J488" s="39">
        <f t="shared" si="62"/>
        <v>55.673116458927552</v>
      </c>
      <c r="K488" s="37">
        <f t="shared" si="64"/>
        <v>20.471004921947664</v>
      </c>
      <c r="L488" s="39">
        <v>21.643577226542547</v>
      </c>
      <c r="M488" s="39">
        <f t="shared" ref="M488:M529" si="66">I488*680.9</f>
        <v>16.70588507352323</v>
      </c>
      <c r="N488" s="117">
        <f t="shared" si="65"/>
        <v>20.36447390462482</v>
      </c>
      <c r="O488" s="94">
        <f t="shared" si="63"/>
        <v>0.29761784164528465</v>
      </c>
      <c r="P488" s="343"/>
    </row>
    <row r="489" spans="1:16" s="209" customFormat="1" ht="15.75">
      <c r="A489" s="448">
        <v>104</v>
      </c>
      <c r="B489" s="111" t="s">
        <v>856</v>
      </c>
      <c r="C489" s="330">
        <v>1676.67</v>
      </c>
      <c r="D489" s="330"/>
      <c r="E489" s="330">
        <v>224.2</v>
      </c>
      <c r="F489" s="61">
        <f>C489+E489</f>
        <v>1900.8700000000001</v>
      </c>
      <c r="G489" s="8" t="s">
        <v>1342</v>
      </c>
      <c r="H489" s="24">
        <v>629</v>
      </c>
      <c r="I489" s="710">
        <f t="shared" si="61"/>
        <v>3.5477053565838697E-2</v>
      </c>
      <c r="J489" s="39">
        <f t="shared" si="62"/>
        <v>80.502046557851571</v>
      </c>
      <c r="K489" s="37">
        <f t="shared" si="64"/>
        <v>29.600602519322024</v>
      </c>
      <c r="L489" s="39">
        <v>31.296115116081058</v>
      </c>
      <c r="M489" s="39">
        <f t="shared" si="66"/>
        <v>24.156325772979567</v>
      </c>
      <c r="N489" s="117">
        <f t="shared" si="65"/>
        <v>29.446561117262096</v>
      </c>
      <c r="O489" s="94">
        <f t="shared" si="63"/>
        <v>8.7094377819753169E-2</v>
      </c>
      <c r="P489" s="343"/>
    </row>
    <row r="490" spans="1:16" s="209" customFormat="1" ht="15.75">
      <c r="A490" s="448">
        <v>105</v>
      </c>
      <c r="B490" s="111" t="s">
        <v>857</v>
      </c>
      <c r="C490" s="330">
        <v>362.4</v>
      </c>
      <c r="D490" s="330"/>
      <c r="E490" s="330"/>
      <c r="F490" s="61">
        <f>C490+D490+E490</f>
        <v>362.4</v>
      </c>
      <c r="G490" s="8" t="s">
        <v>1342</v>
      </c>
      <c r="H490" s="24">
        <v>585</v>
      </c>
      <c r="I490" s="710">
        <f t="shared" si="61"/>
        <v>3.2995351885557453E-2</v>
      </c>
      <c r="J490" s="39">
        <f t="shared" si="62"/>
        <v>74.870742824074981</v>
      </c>
      <c r="K490" s="37">
        <f t="shared" si="64"/>
        <v>27.529972136412372</v>
      </c>
      <c r="L490" s="39">
        <v>29.106879718453765</v>
      </c>
      <c r="M490" s="39">
        <f t="shared" si="66"/>
        <v>22.466535098876069</v>
      </c>
      <c r="N490" s="117">
        <f t="shared" si="65"/>
        <v>27.386706285529929</v>
      </c>
      <c r="O490" s="94">
        <f t="shared" si="63"/>
        <v>0.42487342653923066</v>
      </c>
      <c r="P490" s="343"/>
    </row>
    <row r="491" spans="1:16" s="209" customFormat="1" ht="15.75">
      <c r="A491" s="448">
        <v>106</v>
      </c>
      <c r="B491" s="111" t="s">
        <v>864</v>
      </c>
      <c r="C491" s="330">
        <v>156.19999999999999</v>
      </c>
      <c r="D491" s="330"/>
      <c r="E491" s="330">
        <v>39.9</v>
      </c>
      <c r="F491" s="61">
        <f t="shared" si="60"/>
        <v>196.1</v>
      </c>
      <c r="G491" s="8" t="s">
        <v>1342</v>
      </c>
      <c r="H491" s="24">
        <v>139</v>
      </c>
      <c r="I491" s="710">
        <f t="shared" si="61"/>
        <v>7.8399212172521136E-3</v>
      </c>
      <c r="J491" s="39">
        <f t="shared" si="62"/>
        <v>17.789800431703288</v>
      </c>
      <c r="K491" s="37">
        <f t="shared" si="64"/>
        <v>6.5413096187372997</v>
      </c>
      <c r="L491" s="39">
        <v>6.9159936425043984</v>
      </c>
      <c r="M491" s="39">
        <f t="shared" si="66"/>
        <v>5.3382023568269643</v>
      </c>
      <c r="N491" s="117">
        <f t="shared" si="65"/>
        <v>6.5072686729720699</v>
      </c>
      <c r="O491" s="94">
        <f t="shared" si="63"/>
        <v>0.18656453875457391</v>
      </c>
      <c r="P491" s="343"/>
    </row>
    <row r="492" spans="1:16" s="209" customFormat="1" ht="15.75">
      <c r="A492" s="448">
        <v>107</v>
      </c>
      <c r="B492" s="111" t="s">
        <v>865</v>
      </c>
      <c r="C492" s="330">
        <v>98.48</v>
      </c>
      <c r="D492" s="330"/>
      <c r="E492" s="330"/>
      <c r="F492" s="61">
        <f t="shared" si="60"/>
        <v>98.48</v>
      </c>
      <c r="G492" s="8" t="s">
        <v>1342</v>
      </c>
      <c r="H492" s="24">
        <v>160</v>
      </c>
      <c r="I492" s="710">
        <f t="shared" si="61"/>
        <v>9.0243697464772524E-3</v>
      </c>
      <c r="J492" s="39">
        <f t="shared" si="62"/>
        <v>20.477468122823929</v>
      </c>
      <c r="K492" s="37">
        <f t="shared" si="64"/>
        <v>7.5295650287623594</v>
      </c>
      <c r="L492" s="39">
        <v>7.9608559913719699</v>
      </c>
      <c r="M492" s="39">
        <f t="shared" si="66"/>
        <v>6.1446933603763609</v>
      </c>
      <c r="N492" s="117">
        <f t="shared" si="65"/>
        <v>7.4903812062987845</v>
      </c>
      <c r="O492" s="94">
        <f t="shared" si="63"/>
        <v>0.42762573622395023</v>
      </c>
      <c r="P492" s="343"/>
    </row>
    <row r="493" spans="1:16" s="209" customFormat="1" ht="15.75">
      <c r="A493" s="448">
        <v>108</v>
      </c>
      <c r="B493" s="111" t="s">
        <v>866</v>
      </c>
      <c r="C493" s="330">
        <v>2328.6</v>
      </c>
      <c r="D493" s="330"/>
      <c r="E493" s="330"/>
      <c r="F493" s="61">
        <f t="shared" si="60"/>
        <v>2328.6</v>
      </c>
      <c r="G493" s="8" t="s">
        <v>1342</v>
      </c>
      <c r="H493" s="24">
        <v>1103</v>
      </c>
      <c r="I493" s="710">
        <f t="shared" si="61"/>
        <v>6.2211748939777559E-2</v>
      </c>
      <c r="J493" s="39">
        <f t="shared" si="62"/>
        <v>141.16654587171746</v>
      </c>
      <c r="K493" s="37">
        <f t="shared" si="64"/>
        <v>51.906938917030516</v>
      </c>
      <c r="L493" s="39">
        <v>54.880150990520526</v>
      </c>
      <c r="M493" s="39">
        <f t="shared" si="66"/>
        <v>42.359979853094536</v>
      </c>
      <c r="N493" s="117">
        <f t="shared" si="65"/>
        <v>51.636815440922241</v>
      </c>
      <c r="O493" s="94">
        <f t="shared" si="63"/>
        <v>0.12467302913010524</v>
      </c>
      <c r="P493" s="343"/>
    </row>
    <row r="494" spans="1:16" s="209" customFormat="1" ht="15.75">
      <c r="A494" s="772">
        <v>109</v>
      </c>
      <c r="B494" s="111" t="s">
        <v>867</v>
      </c>
      <c r="C494" s="330">
        <v>479.01</v>
      </c>
      <c r="D494" s="330"/>
      <c r="E494" s="330"/>
      <c r="F494" s="61">
        <f t="shared" si="60"/>
        <v>479.01</v>
      </c>
      <c r="G494" s="8" t="s">
        <v>1342</v>
      </c>
      <c r="H494" s="24">
        <v>274</v>
      </c>
      <c r="I494" s="710">
        <f t="shared" si="61"/>
        <v>1.5454233190842295E-2</v>
      </c>
      <c r="J494" s="39">
        <f t="shared" si="62"/>
        <v>35.06766416033598</v>
      </c>
      <c r="K494" s="37">
        <f t="shared" si="64"/>
        <v>12.89438011175554</v>
      </c>
      <c r="L494" s="39">
        <v>13.632965885224499</v>
      </c>
      <c r="M494" s="39">
        <f t="shared" si="66"/>
        <v>10.522787379644518</v>
      </c>
      <c r="N494" s="117">
        <f t="shared" si="65"/>
        <v>12.827277815786667</v>
      </c>
      <c r="O494" s="94">
        <f t="shared" si="63"/>
        <v>0.15055593314745108</v>
      </c>
      <c r="P494" s="343"/>
    </row>
    <row r="495" spans="1:16" s="209" customFormat="1" ht="15.75">
      <c r="A495" s="448">
        <v>110</v>
      </c>
      <c r="B495" s="111" t="s">
        <v>868</v>
      </c>
      <c r="C495" s="330">
        <v>479.14</v>
      </c>
      <c r="D495" s="330"/>
      <c r="E495" s="330"/>
      <c r="F495" s="61">
        <f t="shared" si="60"/>
        <v>479.14</v>
      </c>
      <c r="G495" s="8" t="s">
        <v>1342</v>
      </c>
      <c r="H495" s="24">
        <v>289</v>
      </c>
      <c r="I495" s="710">
        <f t="shared" si="61"/>
        <v>1.6300267854574536E-2</v>
      </c>
      <c r="J495" s="39">
        <f t="shared" si="62"/>
        <v>36.98742679685072</v>
      </c>
      <c r="K495" s="37">
        <f t="shared" si="64"/>
        <v>13.600276833202011</v>
      </c>
      <c r="L495" s="39">
        <v>14.37929613441562</v>
      </c>
      <c r="M495" s="39">
        <f t="shared" si="66"/>
        <v>11.098852382179802</v>
      </c>
      <c r="N495" s="117">
        <f t="shared" si="65"/>
        <v>13.52950105387718</v>
      </c>
      <c r="O495" s="94">
        <f t="shared" si="63"/>
        <v>0.15875496127780639</v>
      </c>
      <c r="P495" s="343"/>
    </row>
    <row r="496" spans="1:16" s="209" customFormat="1" ht="15.75">
      <c r="A496" s="448">
        <v>111</v>
      </c>
      <c r="B496" s="111" t="s">
        <v>869</v>
      </c>
      <c r="C496" s="330">
        <v>1158.5899999999999</v>
      </c>
      <c r="D496" s="330"/>
      <c r="E496" s="330"/>
      <c r="F496" s="61">
        <f t="shared" si="60"/>
        <v>1158.5899999999999</v>
      </c>
      <c r="G496" s="8" t="s">
        <v>1342</v>
      </c>
      <c r="H496" s="24">
        <v>415</v>
      </c>
      <c r="I496" s="710">
        <f t="shared" si="61"/>
        <v>2.3406959029925373E-2</v>
      </c>
      <c r="J496" s="39">
        <f t="shared" si="62"/>
        <v>53.113432943574566</v>
      </c>
      <c r="K496" s="37">
        <f t="shared" si="64"/>
        <v>19.529809293352368</v>
      </c>
      <c r="L496" s="39">
        <v>20.648470227621051</v>
      </c>
      <c r="M496" s="39">
        <f t="shared" si="66"/>
        <v>15.937798403476187</v>
      </c>
      <c r="N496" s="117">
        <f t="shared" si="65"/>
        <v>19.428176253837474</v>
      </c>
      <c r="O496" s="94">
        <f t="shared" si="63"/>
        <v>9.4277967933457205E-2</v>
      </c>
      <c r="P496" s="343"/>
    </row>
    <row r="497" spans="1:17" s="209" customFormat="1" ht="15.75">
      <c r="A497" s="448">
        <v>112</v>
      </c>
      <c r="B497" s="111" t="s">
        <v>870</v>
      </c>
      <c r="C497" s="330">
        <v>368.99</v>
      </c>
      <c r="D497" s="330"/>
      <c r="E497" s="330"/>
      <c r="F497" s="61">
        <f t="shared" si="60"/>
        <v>368.99</v>
      </c>
      <c r="G497" s="8" t="s">
        <v>1342</v>
      </c>
      <c r="H497" s="24">
        <v>330</v>
      </c>
      <c r="I497" s="710">
        <f t="shared" si="61"/>
        <v>1.8612762602109333E-2</v>
      </c>
      <c r="J497" s="39">
        <f t="shared" si="62"/>
        <v>42.234778003324351</v>
      </c>
      <c r="K497" s="37">
        <f t="shared" si="64"/>
        <v>15.529727871822365</v>
      </c>
      <c r="L497" s="39">
        <v>16.41926548220469</v>
      </c>
      <c r="M497" s="39">
        <f t="shared" si="66"/>
        <v>12.673430055776244</v>
      </c>
      <c r="N497" s="117">
        <f t="shared" si="65"/>
        <v>15.448911237991242</v>
      </c>
      <c r="O497" s="94">
        <f t="shared" si="63"/>
        <v>0.23539174886345876</v>
      </c>
      <c r="P497" s="343"/>
    </row>
    <row r="498" spans="1:17" s="209" customFormat="1" ht="15.75">
      <c r="A498" s="448">
        <v>113</v>
      </c>
      <c r="B498" s="111" t="s">
        <v>871</v>
      </c>
      <c r="C498" s="330">
        <v>346.24</v>
      </c>
      <c r="D498" s="330"/>
      <c r="E498" s="330"/>
      <c r="F498" s="61">
        <f t="shared" si="60"/>
        <v>346.24</v>
      </c>
      <c r="G498" s="8" t="s">
        <v>1342</v>
      </c>
      <c r="H498" s="24">
        <v>290</v>
      </c>
      <c r="I498" s="710">
        <f t="shared" si="61"/>
        <v>1.6356670165490021E-2</v>
      </c>
      <c r="J498" s="39">
        <f t="shared" si="62"/>
        <v>37.115410972618371</v>
      </c>
      <c r="K498" s="37">
        <f t="shared" si="64"/>
        <v>13.647336614631776</v>
      </c>
      <c r="L498" s="39">
        <v>14.429051484361697</v>
      </c>
      <c r="M498" s="39">
        <f t="shared" si="66"/>
        <v>11.137256715682154</v>
      </c>
      <c r="N498" s="117">
        <f t="shared" si="65"/>
        <v>13.576315936416547</v>
      </c>
      <c r="O498" s="94">
        <f t="shared" si="63"/>
        <v>0.22045129328585372</v>
      </c>
      <c r="P498" s="343"/>
    </row>
    <row r="499" spans="1:17" s="209" customFormat="1" ht="15.75">
      <c r="A499" s="448">
        <v>114</v>
      </c>
      <c r="B499" s="111" t="s">
        <v>872</v>
      </c>
      <c r="C499" s="330">
        <v>151.5</v>
      </c>
      <c r="D499" s="330"/>
      <c r="E499" s="330"/>
      <c r="F499" s="61">
        <f t="shared" si="60"/>
        <v>151.5</v>
      </c>
      <c r="G499" s="8" t="s">
        <v>1342</v>
      </c>
      <c r="H499" s="24">
        <v>295</v>
      </c>
      <c r="I499" s="710">
        <f t="shared" si="61"/>
        <v>1.6638681720067435E-2</v>
      </c>
      <c r="J499" s="39">
        <f t="shared" si="62"/>
        <v>37.755331851456624</v>
      </c>
      <c r="K499" s="37">
        <f t="shared" si="64"/>
        <v>13.882635521780601</v>
      </c>
      <c r="L499" s="39">
        <v>14.67782823409207</v>
      </c>
      <c r="M499" s="39">
        <f t="shared" si="66"/>
        <v>11.329278383193916</v>
      </c>
      <c r="N499" s="117">
        <f t="shared" si="65"/>
        <v>13.810390349113385</v>
      </c>
      <c r="O499" s="94">
        <f t="shared" si="63"/>
        <v>0.5125087392113743</v>
      </c>
      <c r="P499" s="343"/>
    </row>
    <row r="500" spans="1:17" s="209" customFormat="1" ht="15.75">
      <c r="A500" s="772">
        <v>115</v>
      </c>
      <c r="B500" s="111" t="s">
        <v>873</v>
      </c>
      <c r="C500" s="330">
        <v>99.3</v>
      </c>
      <c r="D500" s="330"/>
      <c r="E500" s="330">
        <v>24.3</v>
      </c>
      <c r="F500" s="61">
        <f t="shared" si="60"/>
        <v>123.6</v>
      </c>
      <c r="G500" s="8" t="s">
        <v>1342</v>
      </c>
      <c r="H500" s="24">
        <v>300</v>
      </c>
      <c r="I500" s="710">
        <f t="shared" si="61"/>
        <v>1.6920693274644849E-2</v>
      </c>
      <c r="J500" s="39">
        <f t="shared" si="62"/>
        <v>38.395252730294871</v>
      </c>
      <c r="K500" s="37">
        <f t="shared" si="64"/>
        <v>14.117934428929425</v>
      </c>
      <c r="L500" s="39">
        <v>14.926604983822443</v>
      </c>
      <c r="M500" s="39">
        <f t="shared" si="66"/>
        <v>11.521300050705678</v>
      </c>
      <c r="N500" s="117">
        <f t="shared" si="65"/>
        <v>14.044464761810222</v>
      </c>
      <c r="O500" s="94">
        <f t="shared" si="63"/>
        <v>0.63884378797534325</v>
      </c>
      <c r="P500" s="343"/>
      <c r="Q500" s="209" t="e">
        <f>0.16*#REF!/0.36</f>
        <v>#REF!</v>
      </c>
    </row>
    <row r="501" spans="1:17" s="209" customFormat="1" ht="15.75">
      <c r="A501" s="448">
        <v>116</v>
      </c>
      <c r="B501" s="111" t="s">
        <v>874</v>
      </c>
      <c r="C501" s="330">
        <v>624.51</v>
      </c>
      <c r="D501" s="330"/>
      <c r="E501" s="330"/>
      <c r="F501" s="61">
        <f t="shared" si="60"/>
        <v>624.51</v>
      </c>
      <c r="G501" s="8" t="s">
        <v>1342</v>
      </c>
      <c r="H501" s="24">
        <v>374</v>
      </c>
      <c r="I501" s="710">
        <f t="shared" si="61"/>
        <v>2.1094464282390576E-2</v>
      </c>
      <c r="J501" s="39">
        <f t="shared" si="62"/>
        <v>47.866081737100934</v>
      </c>
      <c r="K501" s="37">
        <f t="shared" si="64"/>
        <v>17.600358254732015</v>
      </c>
      <c r="L501" s="39">
        <v>18.608500879831979</v>
      </c>
      <c r="M501" s="39">
        <f t="shared" si="66"/>
        <v>14.363220729879743</v>
      </c>
      <c r="N501" s="117">
        <f t="shared" si="65"/>
        <v>17.508766069723407</v>
      </c>
      <c r="O501" s="94">
        <f t="shared" si="63"/>
        <v>0.15762463627731288</v>
      </c>
      <c r="P501" s="343"/>
      <c r="Q501" s="209" t="e">
        <f>-0.17*#REF!/0.39</f>
        <v>#REF!</v>
      </c>
    </row>
    <row r="502" spans="1:17" s="209" customFormat="1" ht="15.75">
      <c r="A502" s="448">
        <v>117</v>
      </c>
      <c r="B502" s="111" t="s">
        <v>875</v>
      </c>
      <c r="C502" s="330">
        <v>202.5</v>
      </c>
      <c r="D502" s="330"/>
      <c r="E502" s="330"/>
      <c r="F502" s="61">
        <f t="shared" si="60"/>
        <v>202.5</v>
      </c>
      <c r="G502" s="8" t="s">
        <v>1342</v>
      </c>
      <c r="H502" s="24">
        <v>250</v>
      </c>
      <c r="I502" s="710">
        <f t="shared" si="61"/>
        <v>1.4100577728870706E-2</v>
      </c>
      <c r="J502" s="39">
        <f t="shared" si="62"/>
        <v>31.996043941912387</v>
      </c>
      <c r="K502" s="37">
        <f t="shared" si="64"/>
        <v>11.764945357441185</v>
      </c>
      <c r="L502" s="39">
        <v>12.438837486518704</v>
      </c>
      <c r="M502" s="39">
        <f t="shared" si="66"/>
        <v>9.6010833755880629</v>
      </c>
      <c r="N502" s="117">
        <f t="shared" si="65"/>
        <v>11.703720634841849</v>
      </c>
      <c r="O502" s="94">
        <f t="shared" si="63"/>
        <v>0.32494276622943374</v>
      </c>
      <c r="P502" s="343"/>
    </row>
    <row r="503" spans="1:17" s="209" customFormat="1" ht="15.75">
      <c r="A503" s="448">
        <v>118</v>
      </c>
      <c r="B503" s="111" t="s">
        <v>876</v>
      </c>
      <c r="C503" s="330">
        <v>132.5</v>
      </c>
      <c r="D503" s="330"/>
      <c r="E503" s="330"/>
      <c r="F503" s="61">
        <f t="shared" si="60"/>
        <v>132.5</v>
      </c>
      <c r="G503" s="8" t="s">
        <v>1342</v>
      </c>
      <c r="H503" s="24">
        <v>200</v>
      </c>
      <c r="I503" s="710">
        <f t="shared" si="61"/>
        <v>1.1280462183096565E-2</v>
      </c>
      <c r="J503" s="39">
        <f t="shared" si="62"/>
        <v>25.596835153529909</v>
      </c>
      <c r="K503" s="37">
        <f t="shared" si="64"/>
        <v>9.4119562859529484</v>
      </c>
      <c r="L503" s="39">
        <v>9.9510699892149628</v>
      </c>
      <c r="M503" s="39">
        <f t="shared" si="66"/>
        <v>7.6808667004704514</v>
      </c>
      <c r="N503" s="117">
        <f t="shared" si="65"/>
        <v>9.3629765078734817</v>
      </c>
      <c r="O503" s="94">
        <f t="shared" si="63"/>
        <v>0.39728851418240207</v>
      </c>
      <c r="P503" s="343"/>
    </row>
    <row r="504" spans="1:17" s="209" customFormat="1" ht="15.75">
      <c r="A504" s="448">
        <v>119</v>
      </c>
      <c r="B504" s="111" t="s">
        <v>877</v>
      </c>
      <c r="C504" s="330">
        <v>156.1</v>
      </c>
      <c r="D504" s="330"/>
      <c r="E504" s="330"/>
      <c r="F504" s="61">
        <f t="shared" si="60"/>
        <v>156.1</v>
      </c>
      <c r="G504" s="8" t="s">
        <v>1342</v>
      </c>
      <c r="H504" s="24">
        <v>260</v>
      </c>
      <c r="I504" s="710">
        <f t="shared" si="61"/>
        <v>1.4664600838025534E-2</v>
      </c>
      <c r="J504" s="39">
        <f t="shared" si="62"/>
        <v>33.275885699588883</v>
      </c>
      <c r="K504" s="37">
        <f t="shared" si="64"/>
        <v>12.235543171738833</v>
      </c>
      <c r="L504" s="39">
        <v>12.936390985979452</v>
      </c>
      <c r="M504" s="39">
        <f t="shared" si="66"/>
        <v>9.9851267106115866</v>
      </c>
      <c r="N504" s="117">
        <f t="shared" si="65"/>
        <v>12.171869460235525</v>
      </c>
      <c r="O504" s="94">
        <f t="shared" si="63"/>
        <v>0.438391714080197</v>
      </c>
      <c r="P504" s="343"/>
    </row>
    <row r="505" spans="1:17" s="209" customFormat="1" ht="15.75">
      <c r="A505" s="448">
        <v>120</v>
      </c>
      <c r="B505" s="111" t="s">
        <v>890</v>
      </c>
      <c r="C505" s="330">
        <v>138</v>
      </c>
      <c r="D505" s="330"/>
      <c r="E505" s="330"/>
      <c r="F505" s="61">
        <f t="shared" si="60"/>
        <v>138</v>
      </c>
      <c r="G505" s="8" t="s">
        <v>1342</v>
      </c>
      <c r="H505" s="24">
        <v>104</v>
      </c>
      <c r="I505" s="710">
        <f t="shared" si="61"/>
        <v>5.8658403352102135E-3</v>
      </c>
      <c r="J505" s="39">
        <f t="shared" si="62"/>
        <v>13.310354279835552</v>
      </c>
      <c r="K505" s="37">
        <f t="shared" si="64"/>
        <v>4.8942172686955328</v>
      </c>
      <c r="L505" s="39">
        <v>5.1745563943917805</v>
      </c>
      <c r="M505" s="39">
        <f t="shared" si="66"/>
        <v>3.9940506842446344</v>
      </c>
      <c r="N505" s="117">
        <f t="shared" si="65"/>
        <v>4.8687477840942099</v>
      </c>
      <c r="O505" s="94">
        <f t="shared" si="63"/>
        <v>0.19835636686353258</v>
      </c>
      <c r="P505" s="343"/>
    </row>
    <row r="506" spans="1:17" s="209" customFormat="1" ht="15.75">
      <c r="A506" s="772">
        <v>121</v>
      </c>
      <c r="B506" s="111" t="s">
        <v>891</v>
      </c>
      <c r="C506" s="330">
        <v>137.69999999999999</v>
      </c>
      <c r="D506" s="330"/>
      <c r="E506" s="330"/>
      <c r="F506" s="61">
        <f t="shared" si="60"/>
        <v>137.69999999999999</v>
      </c>
      <c r="G506" s="8" t="s">
        <v>1342</v>
      </c>
      <c r="H506" s="24">
        <v>170</v>
      </c>
      <c r="I506" s="710">
        <f t="shared" si="61"/>
        <v>9.5883928556320802E-3</v>
      </c>
      <c r="J506" s="39">
        <f t="shared" si="62"/>
        <v>21.757309880500422</v>
      </c>
      <c r="K506" s="37">
        <f t="shared" si="64"/>
        <v>8.0001628430600054</v>
      </c>
      <c r="L506" s="39">
        <v>8.4584094908327181</v>
      </c>
      <c r="M506" s="39">
        <f t="shared" si="66"/>
        <v>6.5287366953998829</v>
      </c>
      <c r="N506" s="117">
        <f t="shared" si="65"/>
        <v>7.9585300316924581</v>
      </c>
      <c r="O506" s="94">
        <f t="shared" si="63"/>
        <v>0.32494276622943374</v>
      </c>
      <c r="P506" s="343"/>
    </row>
    <row r="507" spans="1:17" s="209" customFormat="1" ht="15.75">
      <c r="A507" s="448">
        <v>122</v>
      </c>
      <c r="B507" s="111" t="s">
        <v>892</v>
      </c>
      <c r="C507" s="330">
        <v>184.88</v>
      </c>
      <c r="D507" s="330"/>
      <c r="E507" s="330"/>
      <c r="F507" s="61">
        <f t="shared" si="60"/>
        <v>184.88</v>
      </c>
      <c r="G507" s="8" t="s">
        <v>1342</v>
      </c>
      <c r="H507" s="24">
        <v>270</v>
      </c>
      <c r="I507" s="710">
        <f t="shared" si="61"/>
        <v>1.5228623947180364E-2</v>
      </c>
      <c r="J507" s="39">
        <f t="shared" si="62"/>
        <v>34.555727457265384</v>
      </c>
      <c r="K507" s="37">
        <f t="shared" si="64"/>
        <v>12.706140986036482</v>
      </c>
      <c r="L507" s="39">
        <v>13.4339444854402</v>
      </c>
      <c r="M507" s="39">
        <f t="shared" si="66"/>
        <v>10.369170045635109</v>
      </c>
      <c r="N507" s="117">
        <f t="shared" si="65"/>
        <v>12.640018285629198</v>
      </c>
      <c r="O507" s="94">
        <f t="shared" si="63"/>
        <v>0.38438437350917987</v>
      </c>
      <c r="P507" s="343"/>
    </row>
    <row r="508" spans="1:17" s="209" customFormat="1" ht="15.75">
      <c r="A508" s="448">
        <v>123</v>
      </c>
      <c r="B508" s="111" t="s">
        <v>893</v>
      </c>
      <c r="C508" s="330">
        <v>632.09</v>
      </c>
      <c r="D508" s="330"/>
      <c r="E508" s="330">
        <v>25.1</v>
      </c>
      <c r="F508" s="61">
        <f t="shared" si="60"/>
        <v>657.19</v>
      </c>
      <c r="G508" s="8" t="s">
        <v>1342</v>
      </c>
      <c r="H508" s="24">
        <v>575</v>
      </c>
      <c r="I508" s="710">
        <f t="shared" si="61"/>
        <v>3.2431328776402625E-2</v>
      </c>
      <c r="J508" s="39">
        <f t="shared" si="62"/>
        <v>73.590901066398487</v>
      </c>
      <c r="K508" s="37">
        <f t="shared" si="64"/>
        <v>27.059374322114724</v>
      </c>
      <c r="L508" s="39">
        <v>28.609326218993019</v>
      </c>
      <c r="M508" s="39">
        <f t="shared" si="66"/>
        <v>22.082491763852548</v>
      </c>
      <c r="N508" s="117">
        <f t="shared" si="65"/>
        <v>26.91855746013626</v>
      </c>
      <c r="O508" s="94">
        <f t="shared" si="63"/>
        <v>0.23028666500001332</v>
      </c>
      <c r="P508" s="343"/>
    </row>
    <row r="509" spans="1:17" s="209" customFormat="1" ht="15.75">
      <c r="A509" s="448">
        <v>124</v>
      </c>
      <c r="B509" s="111" t="s">
        <v>895</v>
      </c>
      <c r="C509" s="330">
        <v>815.3</v>
      </c>
      <c r="D509" s="330"/>
      <c r="E509" s="330"/>
      <c r="F509" s="61">
        <f t="shared" si="60"/>
        <v>815.3</v>
      </c>
      <c r="G509" s="8" t="s">
        <v>1342</v>
      </c>
      <c r="H509" s="24">
        <v>499</v>
      </c>
      <c r="I509" s="710">
        <f t="shared" si="61"/>
        <v>2.8144753146825931E-2</v>
      </c>
      <c r="J509" s="39">
        <f t="shared" si="62"/>
        <v>63.864103708057129</v>
      </c>
      <c r="K509" s="37">
        <f t="shared" si="64"/>
        <v>23.482830933452608</v>
      </c>
      <c r="L509" s="39">
        <v>24.827919623091333</v>
      </c>
      <c r="M509" s="39">
        <f t="shared" si="66"/>
        <v>19.163762417673777</v>
      </c>
      <c r="N509" s="117">
        <f t="shared" si="65"/>
        <v>23.360626387144336</v>
      </c>
      <c r="O509" s="94">
        <f t="shared" si="63"/>
        <v>0.16109237910250809</v>
      </c>
      <c r="P509" s="343"/>
    </row>
    <row r="510" spans="1:17" s="209" customFormat="1" ht="15.75">
      <c r="A510" s="448">
        <v>125</v>
      </c>
      <c r="B510" s="111" t="s">
        <v>896</v>
      </c>
      <c r="C510" s="330">
        <v>800.4</v>
      </c>
      <c r="D510" s="330"/>
      <c r="E510" s="330"/>
      <c r="F510" s="61">
        <f t="shared" si="60"/>
        <v>800.4</v>
      </c>
      <c r="G510" s="8" t="s">
        <v>1342</v>
      </c>
      <c r="H510" s="24">
        <v>602</v>
      </c>
      <c r="I510" s="710">
        <f t="shared" si="61"/>
        <v>3.3954191171120661E-2</v>
      </c>
      <c r="J510" s="39">
        <f t="shared" si="62"/>
        <v>77.046473812125029</v>
      </c>
      <c r="K510" s="37">
        <f t="shared" si="64"/>
        <v>28.329988420718376</v>
      </c>
      <c r="L510" s="39">
        <v>29.95272066753704</v>
      </c>
      <c r="M510" s="39">
        <f t="shared" si="66"/>
        <v>23.119408768416058</v>
      </c>
      <c r="N510" s="117">
        <f t="shared" si="65"/>
        <v>28.182559288699178</v>
      </c>
      <c r="O510" s="94">
        <f t="shared" si="63"/>
        <v>0.19796175870664232</v>
      </c>
      <c r="P510" s="343"/>
    </row>
    <row r="511" spans="1:17" s="209" customFormat="1" ht="15.75">
      <c r="A511" s="448">
        <v>126</v>
      </c>
      <c r="B511" s="111" t="s">
        <v>897</v>
      </c>
      <c r="C511" s="330">
        <v>285.10000000000002</v>
      </c>
      <c r="D511" s="330"/>
      <c r="E511" s="330"/>
      <c r="F511" s="61">
        <f t="shared" si="60"/>
        <v>285.10000000000002</v>
      </c>
      <c r="G511" s="8" t="s">
        <v>1342</v>
      </c>
      <c r="H511" s="24">
        <v>347</v>
      </c>
      <c r="I511" s="710">
        <f t="shared" si="61"/>
        <v>1.9571601887672541E-2</v>
      </c>
      <c r="J511" s="39">
        <f t="shared" si="62"/>
        <v>44.410508991374392</v>
      </c>
      <c r="K511" s="37">
        <f t="shared" si="64"/>
        <v>16.329744156128367</v>
      </c>
      <c r="L511" s="39">
        <v>17.265106431287961</v>
      </c>
      <c r="M511" s="39">
        <f t="shared" si="66"/>
        <v>13.326303725316233</v>
      </c>
      <c r="N511" s="117">
        <f t="shared" si="65"/>
        <v>16.244764241160489</v>
      </c>
      <c r="O511" s="94">
        <f t="shared" si="63"/>
        <v>0.32034957314663959</v>
      </c>
      <c r="P511" s="343"/>
    </row>
    <row r="512" spans="1:17" s="209" customFormat="1" ht="15.75">
      <c r="A512" s="772">
        <v>127</v>
      </c>
      <c r="B512" s="111" t="s">
        <v>898</v>
      </c>
      <c r="C512" s="330">
        <v>415.84</v>
      </c>
      <c r="D512" s="330"/>
      <c r="E512" s="330"/>
      <c r="F512" s="61">
        <f t="shared" ref="F512:F534" si="67">C512+D512+E512</f>
        <v>415.84</v>
      </c>
      <c r="G512" s="8" t="s">
        <v>1342</v>
      </c>
      <c r="H512" s="24">
        <v>260</v>
      </c>
      <c r="I512" s="710">
        <f t="shared" si="61"/>
        <v>1.4664600838025534E-2</v>
      </c>
      <c r="J512" s="39">
        <f t="shared" si="62"/>
        <v>33.275885699588883</v>
      </c>
      <c r="K512" s="37">
        <f t="shared" si="64"/>
        <v>12.235543171738833</v>
      </c>
      <c r="L512" s="39">
        <v>12.936390985979452</v>
      </c>
      <c r="M512" s="39">
        <f t="shared" si="66"/>
        <v>9.9851267106115866</v>
      </c>
      <c r="N512" s="117">
        <f t="shared" si="65"/>
        <v>12.171869460235525</v>
      </c>
      <c r="O512" s="94">
        <f t="shared" si="63"/>
        <v>0.16456556985359452</v>
      </c>
      <c r="P512" s="343"/>
    </row>
    <row r="513" spans="1:16" s="209" customFormat="1" ht="15.75">
      <c r="A513" s="448">
        <v>128</v>
      </c>
      <c r="B513" s="111" t="s">
        <v>899</v>
      </c>
      <c r="C513" s="330">
        <v>516.34</v>
      </c>
      <c r="D513" s="330"/>
      <c r="E513" s="330"/>
      <c r="F513" s="61">
        <f t="shared" si="67"/>
        <v>516.34</v>
      </c>
      <c r="G513" s="8" t="s">
        <v>1342</v>
      </c>
      <c r="H513" s="24">
        <v>295</v>
      </c>
      <c r="I513" s="710">
        <f t="shared" si="61"/>
        <v>1.6638681720067435E-2</v>
      </c>
      <c r="J513" s="39">
        <f t="shared" si="62"/>
        <v>37.755331851456624</v>
      </c>
      <c r="K513" s="37">
        <f t="shared" si="64"/>
        <v>13.882635521780601</v>
      </c>
      <c r="L513" s="39">
        <v>14.67782823409207</v>
      </c>
      <c r="M513" s="39">
        <f t="shared" si="66"/>
        <v>11.329278383193916</v>
      </c>
      <c r="N513" s="117">
        <f t="shared" si="65"/>
        <v>13.810390349113385</v>
      </c>
      <c r="O513" s="94">
        <f t="shared" si="63"/>
        <v>0.15037586472193359</v>
      </c>
      <c r="P513" s="343"/>
    </row>
    <row r="514" spans="1:16" s="209" customFormat="1" ht="15.75">
      <c r="A514" s="448">
        <v>129</v>
      </c>
      <c r="B514" s="111" t="s">
        <v>900</v>
      </c>
      <c r="C514" s="330">
        <v>605.14</v>
      </c>
      <c r="D514" s="330"/>
      <c r="E514" s="330"/>
      <c r="F514" s="61">
        <f t="shared" si="67"/>
        <v>605.14</v>
      </c>
      <c r="G514" s="8" t="s">
        <v>1342</v>
      </c>
      <c r="H514" s="24">
        <v>307</v>
      </c>
      <c r="I514" s="710">
        <f t="shared" ref="I514:I534" si="68">4/70919.08*H514</f>
        <v>1.7315509451053229E-2</v>
      </c>
      <c r="J514" s="39">
        <f t="shared" ref="J514:J534" si="69">I514*2269.13</f>
        <v>39.291141960668419</v>
      </c>
      <c r="K514" s="37">
        <f t="shared" si="64"/>
        <v>14.447352898937778</v>
      </c>
      <c r="L514" s="39">
        <v>15.274892433444966</v>
      </c>
      <c r="M514" s="39">
        <f t="shared" si="66"/>
        <v>11.790130385222144</v>
      </c>
      <c r="N514" s="117">
        <f t="shared" si="65"/>
        <v>14.372168939585794</v>
      </c>
      <c r="O514" s="94">
        <f t="shared" si="63"/>
        <v>0.13352863416444677</v>
      </c>
      <c r="P514" s="343"/>
    </row>
    <row r="515" spans="1:16" s="209" customFormat="1" ht="15.75">
      <c r="A515" s="448">
        <v>130</v>
      </c>
      <c r="B515" s="111" t="s">
        <v>901</v>
      </c>
      <c r="C515" s="330">
        <v>476.1</v>
      </c>
      <c r="D515" s="330"/>
      <c r="E515" s="330"/>
      <c r="F515" s="61">
        <f t="shared" si="67"/>
        <v>476.1</v>
      </c>
      <c r="G515" s="8" t="s">
        <v>1342</v>
      </c>
      <c r="H515" s="24">
        <v>319</v>
      </c>
      <c r="I515" s="710">
        <f t="shared" si="68"/>
        <v>1.799233718203902E-2</v>
      </c>
      <c r="J515" s="39">
        <f t="shared" si="69"/>
        <v>40.8269520698802</v>
      </c>
      <c r="K515" s="37">
        <f t="shared" si="64"/>
        <v>15.012070276094951</v>
      </c>
      <c r="L515" s="39">
        <v>15.871956632797867</v>
      </c>
      <c r="M515" s="39">
        <f t="shared" si="66"/>
        <v>12.250982387250367</v>
      </c>
      <c r="N515" s="117">
        <f t="shared" si="65"/>
        <v>14.933947530058198</v>
      </c>
      <c r="O515" s="94">
        <f t="shared" si="63"/>
        <v>0.17635362605760005</v>
      </c>
      <c r="P515" s="343"/>
    </row>
    <row r="516" spans="1:16" s="209" customFormat="1" ht="15.75">
      <c r="A516" s="448">
        <v>131</v>
      </c>
      <c r="B516" s="111" t="s">
        <v>902</v>
      </c>
      <c r="C516" s="330">
        <v>417.52</v>
      </c>
      <c r="D516" s="330"/>
      <c r="E516" s="330"/>
      <c r="F516" s="61">
        <f t="shared" si="67"/>
        <v>417.52</v>
      </c>
      <c r="G516" s="8" t="s">
        <v>1342</v>
      </c>
      <c r="H516" s="24">
        <v>432</v>
      </c>
      <c r="I516" s="710">
        <f t="shared" si="68"/>
        <v>2.4365798315488581E-2</v>
      </c>
      <c r="J516" s="39">
        <f t="shared" si="69"/>
        <v>55.289163931624607</v>
      </c>
      <c r="K516" s="37">
        <f t="shared" si="64"/>
        <v>20.329825577658369</v>
      </c>
      <c r="L516" s="39">
        <v>21.494311176704318</v>
      </c>
      <c r="M516" s="39">
        <f t="shared" si="66"/>
        <v>16.590672073016172</v>
      </c>
      <c r="N516" s="117">
        <f t="shared" si="65"/>
        <v>20.224029257006716</v>
      </c>
      <c r="O516" s="94">
        <f t="shared" si="63"/>
        <v>0.27233179909705757</v>
      </c>
      <c r="P516" s="343"/>
    </row>
    <row r="517" spans="1:16" s="209" customFormat="1" ht="15.75">
      <c r="A517" s="448">
        <v>132</v>
      </c>
      <c r="B517" s="111" t="s">
        <v>903</v>
      </c>
      <c r="C517" s="330">
        <v>273.56</v>
      </c>
      <c r="D517" s="330"/>
      <c r="E517" s="330"/>
      <c r="F517" s="61">
        <f t="shared" si="67"/>
        <v>273.56</v>
      </c>
      <c r="G517" s="8" t="s">
        <v>1342</v>
      </c>
      <c r="H517" s="24">
        <v>307</v>
      </c>
      <c r="I517" s="710">
        <f t="shared" si="68"/>
        <v>1.7315509451053229E-2</v>
      </c>
      <c r="J517" s="39">
        <f t="shared" si="69"/>
        <v>39.291141960668419</v>
      </c>
      <c r="K517" s="37">
        <f t="shared" si="64"/>
        <v>14.447352898937778</v>
      </c>
      <c r="L517" s="39">
        <v>15.274892433444966</v>
      </c>
      <c r="M517" s="39">
        <f t="shared" si="66"/>
        <v>11.790130385222144</v>
      </c>
      <c r="N517" s="117">
        <f t="shared" si="65"/>
        <v>14.372168939585794</v>
      </c>
      <c r="O517" s="94">
        <f t="shared" si="63"/>
        <v>0.29537767830923128</v>
      </c>
      <c r="P517" s="343"/>
    </row>
    <row r="518" spans="1:16" s="209" customFormat="1" ht="15.75">
      <c r="A518" s="772">
        <v>133</v>
      </c>
      <c r="B518" s="111" t="s">
        <v>904</v>
      </c>
      <c r="C518" s="330">
        <v>645.95000000000005</v>
      </c>
      <c r="D518" s="330"/>
      <c r="E518" s="330"/>
      <c r="F518" s="61">
        <f t="shared" si="67"/>
        <v>645.95000000000005</v>
      </c>
      <c r="G518" s="8" t="s">
        <v>1342</v>
      </c>
      <c r="H518" s="24">
        <v>377</v>
      </c>
      <c r="I518" s="710">
        <f t="shared" si="68"/>
        <v>2.1263671215137024E-2</v>
      </c>
      <c r="J518" s="39">
        <f t="shared" si="69"/>
        <v>48.25003426440388</v>
      </c>
      <c r="K518" s="37">
        <f t="shared" si="64"/>
        <v>17.741537599021306</v>
      </c>
      <c r="L518" s="39">
        <v>18.757766929670208</v>
      </c>
      <c r="M518" s="39">
        <f t="shared" si="66"/>
        <v>14.478433730386799</v>
      </c>
      <c r="N518" s="117">
        <f t="shared" si="65"/>
        <v>17.649210717341511</v>
      </c>
      <c r="O518" s="94">
        <f t="shared" si="63"/>
        <v>0.15361525276489232</v>
      </c>
      <c r="P518" s="343"/>
    </row>
    <row r="519" spans="1:16" s="209" customFormat="1" ht="15.75">
      <c r="A519" s="448">
        <v>134</v>
      </c>
      <c r="B519" s="111" t="s">
        <v>905</v>
      </c>
      <c r="C519" s="330">
        <v>867.68</v>
      </c>
      <c r="D519" s="330"/>
      <c r="E519" s="330"/>
      <c r="F519" s="61">
        <f t="shared" si="67"/>
        <v>867.68</v>
      </c>
      <c r="G519" s="8" t="s">
        <v>1342</v>
      </c>
      <c r="H519" s="24">
        <v>540</v>
      </c>
      <c r="I519" s="710">
        <f t="shared" si="68"/>
        <v>3.0457247894360728E-2</v>
      </c>
      <c r="J519" s="39">
        <f t="shared" si="69"/>
        <v>69.111454914530768</v>
      </c>
      <c r="K519" s="37">
        <f t="shared" si="64"/>
        <v>25.412281972072964</v>
      </c>
      <c r="L519" s="39">
        <v>26.867888970880401</v>
      </c>
      <c r="M519" s="39">
        <f t="shared" si="66"/>
        <v>20.738340091270217</v>
      </c>
      <c r="N519" s="117">
        <f t="shared" si="65"/>
        <v>25.280036571258396</v>
      </c>
      <c r="O519" s="94">
        <f t="shared" ref="O519:O582" si="70">(M519+L519+K519+J519)/F519</f>
        <v>0.16380458919043236</v>
      </c>
      <c r="P519" s="343"/>
    </row>
    <row r="520" spans="1:16" s="209" customFormat="1" ht="15.75">
      <c r="A520" s="448">
        <v>135</v>
      </c>
      <c r="B520" s="111" t="s">
        <v>906</v>
      </c>
      <c r="C520" s="330">
        <v>530.45000000000005</v>
      </c>
      <c r="D520" s="330"/>
      <c r="E520" s="330">
        <v>26.4</v>
      </c>
      <c r="F520" s="61">
        <f t="shared" si="67"/>
        <v>556.85</v>
      </c>
      <c r="G520" s="8" t="s">
        <v>1342</v>
      </c>
      <c r="H520" s="24">
        <v>290</v>
      </c>
      <c r="I520" s="710">
        <f t="shared" si="68"/>
        <v>1.6356670165490021E-2</v>
      </c>
      <c r="J520" s="39">
        <f t="shared" si="69"/>
        <v>37.115410972618371</v>
      </c>
      <c r="K520" s="37">
        <f t="shared" si="64"/>
        <v>13.647336614631776</v>
      </c>
      <c r="L520" s="39">
        <v>14.429051484361697</v>
      </c>
      <c r="M520" s="39">
        <f t="shared" si="66"/>
        <v>11.137256715682154</v>
      </c>
      <c r="N520" s="117">
        <f t="shared" si="65"/>
        <v>13.576315936416547</v>
      </c>
      <c r="O520" s="94">
        <f t="shared" si="70"/>
        <v>0.13707292051233544</v>
      </c>
      <c r="P520" s="343"/>
    </row>
    <row r="521" spans="1:16" s="209" customFormat="1" ht="15.75">
      <c r="A521" s="448">
        <v>136</v>
      </c>
      <c r="B521" s="111" t="s">
        <v>907</v>
      </c>
      <c r="C521" s="330">
        <v>335.18</v>
      </c>
      <c r="D521" s="330"/>
      <c r="E521" s="330"/>
      <c r="F521" s="61">
        <f t="shared" si="67"/>
        <v>335.18</v>
      </c>
      <c r="G521" s="8" t="s">
        <v>1342</v>
      </c>
      <c r="H521" s="24">
        <v>500</v>
      </c>
      <c r="I521" s="710">
        <f t="shared" si="68"/>
        <v>2.8201155457741413E-2</v>
      </c>
      <c r="J521" s="39">
        <f t="shared" si="69"/>
        <v>63.992087883824773</v>
      </c>
      <c r="K521" s="37">
        <f t="shared" si="64"/>
        <v>23.52989071488237</v>
      </c>
      <c r="L521" s="39">
        <v>24.877674973037408</v>
      </c>
      <c r="M521" s="39">
        <f t="shared" si="66"/>
        <v>19.202166751176126</v>
      </c>
      <c r="N521" s="117">
        <f t="shared" si="65"/>
        <v>23.407441269683698</v>
      </c>
      <c r="O521" s="94">
        <f t="shared" si="70"/>
        <v>0.39263028916677806</v>
      </c>
      <c r="P521" s="343"/>
    </row>
    <row r="522" spans="1:16" s="209" customFormat="1" ht="15.75">
      <c r="A522" s="448">
        <v>137</v>
      </c>
      <c r="B522" s="111" t="s">
        <v>908</v>
      </c>
      <c r="C522" s="330">
        <v>274.58999999999997</v>
      </c>
      <c r="D522" s="330"/>
      <c r="E522" s="330"/>
      <c r="F522" s="61">
        <f t="shared" si="67"/>
        <v>274.58999999999997</v>
      </c>
      <c r="G522" s="8" t="s">
        <v>1342</v>
      </c>
      <c r="H522" s="24">
        <v>254</v>
      </c>
      <c r="I522" s="710">
        <f t="shared" si="68"/>
        <v>1.4326186972532637E-2</v>
      </c>
      <c r="J522" s="39">
        <f t="shared" si="69"/>
        <v>32.507980644982986</v>
      </c>
      <c r="K522" s="37">
        <f t="shared" si="64"/>
        <v>11.953184483160245</v>
      </c>
      <c r="L522" s="39">
        <v>12.637858886303002</v>
      </c>
      <c r="M522" s="39">
        <f t="shared" si="66"/>
        <v>9.754700709597472</v>
      </c>
      <c r="N522" s="117">
        <f t="shared" si="65"/>
        <v>11.89098016499932</v>
      </c>
      <c r="O522" s="94">
        <f t="shared" si="70"/>
        <v>0.24346744136364656</v>
      </c>
      <c r="P522" s="343"/>
    </row>
    <row r="523" spans="1:16" s="209" customFormat="1" ht="15.75">
      <c r="A523" s="448">
        <v>138</v>
      </c>
      <c r="B523" s="111" t="s">
        <v>909</v>
      </c>
      <c r="C523" s="330">
        <v>345.54</v>
      </c>
      <c r="D523" s="330"/>
      <c r="E523" s="330"/>
      <c r="F523" s="61">
        <f t="shared" si="67"/>
        <v>345.54</v>
      </c>
      <c r="G523" s="8" t="s">
        <v>1342</v>
      </c>
      <c r="H523" s="24">
        <v>340</v>
      </c>
      <c r="I523" s="710">
        <f t="shared" si="68"/>
        <v>1.917678571126416E-2</v>
      </c>
      <c r="J523" s="39">
        <f t="shared" si="69"/>
        <v>43.514619761000844</v>
      </c>
      <c r="K523" s="37">
        <f t="shared" si="64"/>
        <v>16.000325686120011</v>
      </c>
      <c r="L523" s="39">
        <v>16.916818981665436</v>
      </c>
      <c r="M523" s="39">
        <f t="shared" si="66"/>
        <v>13.057473390799766</v>
      </c>
      <c r="N523" s="117">
        <f t="shared" si="65"/>
        <v>15.917060063384916</v>
      </c>
      <c r="O523" s="94">
        <f t="shared" si="70"/>
        <v>0.25898372929208208</v>
      </c>
      <c r="P523" s="343"/>
    </row>
    <row r="524" spans="1:16" s="209" customFormat="1" ht="15.75">
      <c r="A524" s="772">
        <v>139</v>
      </c>
      <c r="B524" s="111" t="s">
        <v>910</v>
      </c>
      <c r="C524" s="330">
        <v>212.4</v>
      </c>
      <c r="D524" s="330"/>
      <c r="E524" s="330"/>
      <c r="F524" s="61">
        <f t="shared" si="67"/>
        <v>212.4</v>
      </c>
      <c r="G524" s="8" t="s">
        <v>1342</v>
      </c>
      <c r="H524" s="24">
        <v>239</v>
      </c>
      <c r="I524" s="710">
        <f t="shared" si="68"/>
        <v>1.3480152308800395E-2</v>
      </c>
      <c r="J524" s="39">
        <f t="shared" si="69"/>
        <v>30.588218008468242</v>
      </c>
      <c r="K524" s="37">
        <f t="shared" si="64"/>
        <v>11.247287761713773</v>
      </c>
      <c r="L524" s="39">
        <v>11.891528637111881</v>
      </c>
      <c r="M524" s="39">
        <f t="shared" si="66"/>
        <v>9.1786357070621882</v>
      </c>
      <c r="N524" s="117">
        <f t="shared" si="65"/>
        <v>11.188756926908809</v>
      </c>
      <c r="O524" s="94">
        <f t="shared" si="70"/>
        <v>0.29616605515233563</v>
      </c>
      <c r="P524" s="343"/>
    </row>
    <row r="525" spans="1:16" s="209" customFormat="1" ht="15.75">
      <c r="A525" s="448">
        <v>140</v>
      </c>
      <c r="B525" s="111" t="s">
        <v>911</v>
      </c>
      <c r="C525" s="330">
        <v>257.2</v>
      </c>
      <c r="D525" s="330"/>
      <c r="E525" s="330"/>
      <c r="F525" s="61">
        <f t="shared" si="67"/>
        <v>257.2</v>
      </c>
      <c r="G525" s="8" t="s">
        <v>1342</v>
      </c>
      <c r="H525" s="24">
        <v>440</v>
      </c>
      <c r="I525" s="710">
        <f t="shared" si="68"/>
        <v>2.4817016802812442E-2</v>
      </c>
      <c r="J525" s="39">
        <f t="shared" si="69"/>
        <v>56.313037337765799</v>
      </c>
      <c r="K525" s="37">
        <f t="shared" si="64"/>
        <v>20.706303829096484</v>
      </c>
      <c r="L525" s="39">
        <v>21.892353976272918</v>
      </c>
      <c r="M525" s="39">
        <f t="shared" si="66"/>
        <v>16.897906741034991</v>
      </c>
      <c r="N525" s="117">
        <f t="shared" si="65"/>
        <v>20.598548317321654</v>
      </c>
      <c r="O525" s="94">
        <f t="shared" si="70"/>
        <v>0.45027061385758244</v>
      </c>
      <c r="P525" s="343"/>
    </row>
    <row r="526" spans="1:16" s="209" customFormat="1" ht="15.75">
      <c r="A526" s="448">
        <v>141</v>
      </c>
      <c r="B526" s="111" t="s">
        <v>912</v>
      </c>
      <c r="C526" s="330">
        <v>359.74</v>
      </c>
      <c r="D526" s="330"/>
      <c r="E526" s="330">
        <v>46.4</v>
      </c>
      <c r="F526" s="61">
        <f t="shared" si="67"/>
        <v>406.14</v>
      </c>
      <c r="G526" s="8" t="s">
        <v>1342</v>
      </c>
      <c r="H526" s="24">
        <v>341</v>
      </c>
      <c r="I526" s="710">
        <f t="shared" si="68"/>
        <v>1.9233188022179645E-2</v>
      </c>
      <c r="J526" s="39">
        <f t="shared" si="69"/>
        <v>43.642603936768502</v>
      </c>
      <c r="K526" s="37">
        <f t="shared" si="64"/>
        <v>16.04738546754978</v>
      </c>
      <c r="L526" s="39">
        <v>16.966574331611515</v>
      </c>
      <c r="M526" s="39">
        <f t="shared" si="66"/>
        <v>13.09587772430212</v>
      </c>
      <c r="N526" s="117">
        <f t="shared" si="65"/>
        <v>15.963874945924285</v>
      </c>
      <c r="O526" s="94">
        <f t="shared" si="70"/>
        <v>0.22098892367221137</v>
      </c>
      <c r="P526" s="343"/>
    </row>
    <row r="527" spans="1:16" s="209" customFormat="1" ht="15.75">
      <c r="A527" s="448">
        <v>142</v>
      </c>
      <c r="B527" s="111" t="s">
        <v>913</v>
      </c>
      <c r="C527" s="330">
        <v>253.51</v>
      </c>
      <c r="D527" s="330"/>
      <c r="E527" s="330"/>
      <c r="F527" s="61">
        <f t="shared" si="67"/>
        <v>253.51</v>
      </c>
      <c r="G527" s="8" t="s">
        <v>1342</v>
      </c>
      <c r="H527" s="24">
        <v>299</v>
      </c>
      <c r="I527" s="710">
        <f t="shared" si="68"/>
        <v>1.6864290963729364E-2</v>
      </c>
      <c r="J527" s="39">
        <f t="shared" si="69"/>
        <v>38.267268554527213</v>
      </c>
      <c r="K527" s="37">
        <f t="shared" ref="K527:K534" si="71">J527*0.3677</f>
        <v>14.070874647499657</v>
      </c>
      <c r="L527" s="39">
        <v>14.87684963387637</v>
      </c>
      <c r="M527" s="39">
        <f t="shared" si="66"/>
        <v>11.482895717203323</v>
      </c>
      <c r="N527" s="117">
        <f t="shared" si="65"/>
        <v>13.997649879270853</v>
      </c>
      <c r="O527" s="94">
        <f t="shared" si="70"/>
        <v>0.31043307385549512</v>
      </c>
      <c r="P527" s="343"/>
    </row>
    <row r="528" spans="1:16" s="209" customFormat="1" ht="15.75">
      <c r="A528" s="448">
        <v>143</v>
      </c>
      <c r="B528" s="111" t="s">
        <v>914</v>
      </c>
      <c r="C528" s="330">
        <v>354.64</v>
      </c>
      <c r="D528" s="330"/>
      <c r="E528" s="330"/>
      <c r="F528" s="61">
        <f t="shared" si="67"/>
        <v>354.64</v>
      </c>
      <c r="G528" s="8" t="s">
        <v>1342</v>
      </c>
      <c r="H528" s="24">
        <v>354</v>
      </c>
      <c r="I528" s="710">
        <f t="shared" si="68"/>
        <v>1.9966418064080921E-2</v>
      </c>
      <c r="J528" s="39">
        <f t="shared" si="69"/>
        <v>45.306398221747941</v>
      </c>
      <c r="K528" s="37">
        <f t="shared" si="71"/>
        <v>16.65916262613672</v>
      </c>
      <c r="L528" s="39">
        <v>17.613393880910483</v>
      </c>
      <c r="M528" s="39">
        <f t="shared" si="66"/>
        <v>13.595134059832699</v>
      </c>
      <c r="N528" s="117">
        <f t="shared" si="65"/>
        <v>16.572468418936062</v>
      </c>
      <c r="O528" s="94">
        <f t="shared" si="70"/>
        <v>0.26272865099432618</v>
      </c>
      <c r="P528" s="343"/>
    </row>
    <row r="529" spans="1:16" s="209" customFormat="1" ht="15.75">
      <c r="A529" s="448">
        <v>144</v>
      </c>
      <c r="B529" s="111" t="s">
        <v>915</v>
      </c>
      <c r="C529" s="330">
        <v>286.98</v>
      </c>
      <c r="D529" s="330"/>
      <c r="E529" s="330"/>
      <c r="F529" s="61">
        <f t="shared" si="67"/>
        <v>286.98</v>
      </c>
      <c r="G529" s="8" t="s">
        <v>1342</v>
      </c>
      <c r="H529" s="24">
        <v>296</v>
      </c>
      <c r="I529" s="710">
        <f t="shared" si="68"/>
        <v>1.6695084030982917E-2</v>
      </c>
      <c r="J529" s="39">
        <f t="shared" si="69"/>
        <v>37.883316027224268</v>
      </c>
      <c r="K529" s="37">
        <f t="shared" si="71"/>
        <v>13.929695303210364</v>
      </c>
      <c r="L529" s="39">
        <v>14.727583584038143</v>
      </c>
      <c r="M529" s="39">
        <f t="shared" si="66"/>
        <v>11.367682716696267</v>
      </c>
      <c r="N529" s="117">
        <f t="shared" si="65"/>
        <v>13.857205231652751</v>
      </c>
      <c r="O529" s="94">
        <f t="shared" si="70"/>
        <v>0.27147633156027962</v>
      </c>
      <c r="P529" s="343"/>
    </row>
    <row r="530" spans="1:16" s="209" customFormat="1" ht="15.75">
      <c r="A530" s="772">
        <v>145</v>
      </c>
      <c r="B530" s="111" t="s">
        <v>917</v>
      </c>
      <c r="C530" s="330">
        <v>128.9</v>
      </c>
      <c r="D530" s="330"/>
      <c r="E530" s="330"/>
      <c r="F530" s="61">
        <f t="shared" si="67"/>
        <v>128.9</v>
      </c>
      <c r="G530" s="8" t="s">
        <v>1341</v>
      </c>
      <c r="H530" s="24">
        <v>250</v>
      </c>
      <c r="I530" s="710">
        <f t="shared" si="68"/>
        <v>1.4100577728870706E-2</v>
      </c>
      <c r="J530" s="39">
        <f t="shared" si="69"/>
        <v>31.996043941912387</v>
      </c>
      <c r="K530" s="37">
        <f t="shared" si="71"/>
        <v>11.764945357441185</v>
      </c>
      <c r="L530" s="39">
        <v>12.438837486518704</v>
      </c>
      <c r="M530" s="39">
        <f>I530*376.38</f>
        <v>5.3071754455923568</v>
      </c>
      <c r="N530" s="117">
        <f t="shared" si="65"/>
        <v>6.4694468681770836</v>
      </c>
      <c r="O530" s="94">
        <f t="shared" si="70"/>
        <v>0.47716836486784042</v>
      </c>
      <c r="P530" s="343"/>
    </row>
    <row r="531" spans="1:16" s="209" customFormat="1" ht="15.75">
      <c r="A531" s="448">
        <v>146</v>
      </c>
      <c r="B531" s="111" t="s">
        <v>919</v>
      </c>
      <c r="C531" s="330">
        <v>2048.73</v>
      </c>
      <c r="D531" s="330"/>
      <c r="E531" s="330"/>
      <c r="F531" s="61">
        <f t="shared" si="67"/>
        <v>2048.73</v>
      </c>
      <c r="G531" s="8" t="s">
        <v>1342</v>
      </c>
      <c r="H531" s="24">
        <v>1031</v>
      </c>
      <c r="I531" s="710">
        <f t="shared" si="68"/>
        <v>5.8150782553862794E-2</v>
      </c>
      <c r="J531" s="39">
        <f t="shared" si="69"/>
        <v>131.95168521644669</v>
      </c>
      <c r="K531" s="37">
        <f t="shared" si="71"/>
        <v>48.51863465408745</v>
      </c>
      <c r="L531" s="39">
        <v>51.297765794403134</v>
      </c>
      <c r="M531" s="39">
        <f>I531*680.9</f>
        <v>39.594867840925176</v>
      </c>
      <c r="N531" s="117">
        <f t="shared" si="65"/>
        <v>48.26614389808779</v>
      </c>
      <c r="O531" s="94">
        <f t="shared" si="70"/>
        <v>0.13245422945232535</v>
      </c>
      <c r="P531" s="343"/>
    </row>
    <row r="532" spans="1:16" s="209" customFormat="1" ht="15.75">
      <c r="A532" s="448">
        <v>147</v>
      </c>
      <c r="B532" s="111" t="s">
        <v>920</v>
      </c>
      <c r="C532" s="330">
        <v>2056.27</v>
      </c>
      <c r="D532" s="330"/>
      <c r="E532" s="330"/>
      <c r="F532" s="61">
        <f t="shared" si="67"/>
        <v>2056.27</v>
      </c>
      <c r="G532" s="8" t="s">
        <v>1342</v>
      </c>
      <c r="H532" s="24">
        <v>1031</v>
      </c>
      <c r="I532" s="710">
        <f t="shared" si="68"/>
        <v>5.8150782553862794E-2</v>
      </c>
      <c r="J532" s="39">
        <f t="shared" si="69"/>
        <v>131.95168521644669</v>
      </c>
      <c r="K532" s="37">
        <f t="shared" si="71"/>
        <v>48.51863465408745</v>
      </c>
      <c r="L532" s="39">
        <v>51.297765794403134</v>
      </c>
      <c r="M532" s="39">
        <f>I532*680.9</f>
        <v>39.594867840925176</v>
      </c>
      <c r="N532" s="117">
        <f t="shared" si="65"/>
        <v>48.26614389808779</v>
      </c>
      <c r="O532" s="94">
        <f t="shared" si="70"/>
        <v>0.13196854182858403</v>
      </c>
      <c r="P532" s="343"/>
    </row>
    <row r="533" spans="1:16" s="209" customFormat="1" ht="16.5" thickBot="1">
      <c r="A533" s="448">
        <v>148</v>
      </c>
      <c r="B533" s="111" t="s">
        <v>639</v>
      </c>
      <c r="C533" s="802">
        <v>75.900000000000006</v>
      </c>
      <c r="D533" s="802"/>
      <c r="E533" s="802"/>
      <c r="F533" s="61">
        <f t="shared" si="67"/>
        <v>75.900000000000006</v>
      </c>
      <c r="G533" s="8" t="s">
        <v>1342</v>
      </c>
      <c r="H533" s="24">
        <v>110</v>
      </c>
      <c r="I533" s="710">
        <f t="shared" si="68"/>
        <v>6.2042542007031106E-3</v>
      </c>
      <c r="J533" s="39">
        <f t="shared" si="69"/>
        <v>14.07825933444145</v>
      </c>
      <c r="K533" s="37">
        <f t="shared" si="71"/>
        <v>5.176575957274121</v>
      </c>
      <c r="L533" s="39">
        <v>5.4730884940682296</v>
      </c>
      <c r="M533" s="39">
        <f>I533*680.9</f>
        <v>4.2244766852587476</v>
      </c>
      <c r="N533" s="117">
        <f t="shared" si="65"/>
        <v>5.1496370793304136</v>
      </c>
      <c r="O533" s="94">
        <f t="shared" si="70"/>
        <v>0.38145455166063963</v>
      </c>
      <c r="P533" s="343"/>
    </row>
    <row r="534" spans="1:16" s="209" customFormat="1" ht="15.75">
      <c r="A534" s="448">
        <v>149</v>
      </c>
      <c r="B534" s="111" t="s">
        <v>1394</v>
      </c>
      <c r="C534" s="146">
        <v>903</v>
      </c>
      <c r="D534" s="146"/>
      <c r="E534" s="146"/>
      <c r="F534" s="61">
        <f t="shared" si="67"/>
        <v>903</v>
      </c>
      <c r="G534" s="339" t="s">
        <v>1342</v>
      </c>
      <c r="H534" s="339">
        <v>797.08</v>
      </c>
      <c r="I534" s="710">
        <f t="shared" si="68"/>
        <v>4.4957153984513054E-2</v>
      </c>
      <c r="J534" s="39">
        <f t="shared" si="69"/>
        <v>102.01362682087812</v>
      </c>
      <c r="K534" s="37">
        <f t="shared" si="71"/>
        <v>37.510410582036883</v>
      </c>
      <c r="L534" s="39">
        <v>39.658994335017319</v>
      </c>
      <c r="M534" s="39">
        <f>I534*680.9*1.08</f>
        <v>33.060232239899335</v>
      </c>
      <c r="N534" s="117">
        <f t="shared" si="65"/>
        <v>40.300423100437293</v>
      </c>
      <c r="O534" s="94">
        <f t="shared" si="70"/>
        <v>0.23504237428331301</v>
      </c>
      <c r="P534" s="343"/>
    </row>
    <row r="535" spans="1:16" s="69" customFormat="1" ht="15.75">
      <c r="A535" s="63"/>
      <c r="B535" s="63" t="s">
        <v>244</v>
      </c>
      <c r="C535" s="63">
        <f>SUM(C386:C534)</f>
        <v>241054.44000000006</v>
      </c>
      <c r="D535" s="63">
        <f>SUM(D386:D534)</f>
        <v>668.30000000000007</v>
      </c>
      <c r="E535" s="63">
        <f>SUM(E386:E534)</f>
        <v>2149.8700000000003</v>
      </c>
      <c r="F535" s="63">
        <f>SUM(F386:F534)</f>
        <v>243872.61</v>
      </c>
      <c r="G535" s="63"/>
      <c r="H535" s="63">
        <f>SUM(H386:H534)</f>
        <v>70919.08</v>
      </c>
      <c r="I535" s="710">
        <f>4/70919.08*H535</f>
        <v>4</v>
      </c>
      <c r="J535" s="39">
        <f>I535*2269.13</f>
        <v>9076.52</v>
      </c>
      <c r="K535" s="37">
        <f>J535*0.3677</f>
        <v>3337.4364040000005</v>
      </c>
      <c r="L535" s="39">
        <f>SUM(L385:L534)</f>
        <v>3547.2818016234323</v>
      </c>
      <c r="M535" s="316">
        <f>SUM(M386:M534)</f>
        <v>2278.0420272660049</v>
      </c>
      <c r="N535" s="117">
        <f t="shared" si="65"/>
        <v>2776.9332312372603</v>
      </c>
      <c r="O535" s="94">
        <f t="shared" si="70"/>
        <v>7.4790195720993186E-2</v>
      </c>
      <c r="P535" s="239"/>
    </row>
    <row r="536" spans="1:16" s="209" customFormat="1" ht="15.75">
      <c r="A536" s="1062" t="s">
        <v>666</v>
      </c>
      <c r="B536" s="1062"/>
      <c r="C536" s="738"/>
      <c r="D536" s="738"/>
      <c r="E536" s="738"/>
      <c r="F536" s="739">
        <f t="shared" ref="F536:F594" si="72">C536+D536+E536</f>
        <v>0</v>
      </c>
      <c r="G536" s="738"/>
      <c r="H536" s="740"/>
      <c r="I536" s="739"/>
      <c r="J536" s="39"/>
      <c r="K536" s="741"/>
      <c r="L536" s="39">
        <v>0</v>
      </c>
      <c r="M536" s="341"/>
      <c r="N536" s="117">
        <f t="shared" si="65"/>
        <v>0</v>
      </c>
      <c r="O536" s="94" t="e">
        <f t="shared" si="70"/>
        <v>#DIV/0!</v>
      </c>
      <c r="P536" s="742"/>
    </row>
    <row r="537" spans="1:16" s="25" customFormat="1" ht="15.75">
      <c r="A537" s="275">
        <v>1</v>
      </c>
      <c r="B537" s="121" t="s">
        <v>246</v>
      </c>
      <c r="C537" s="789">
        <v>4327</v>
      </c>
      <c r="D537" s="789">
        <v>114</v>
      </c>
      <c r="E537" s="789">
        <v>272.8</v>
      </c>
      <c r="F537" s="220">
        <f t="shared" si="72"/>
        <v>4713.8</v>
      </c>
      <c r="G537" s="359" t="s">
        <v>1340</v>
      </c>
      <c r="H537" s="97">
        <v>965</v>
      </c>
      <c r="I537" s="711">
        <f t="shared" ref="I537:I600" si="73">2/69024.72*H537</f>
        <v>2.7960997161596599E-2</v>
      </c>
      <c r="J537" s="39">
        <f t="shared" ref="J537:J600" si="74">I537*2269.13</f>
        <v>63.447137489293695</v>
      </c>
      <c r="K537" s="664">
        <f t="shared" ref="K537:K594" si="75">J537*0.3677</f>
        <v>23.329512454813294</v>
      </c>
      <c r="L537" s="39">
        <v>24.388306568105584</v>
      </c>
      <c r="M537" s="39">
        <f t="shared" ref="M537:M552" si="76">I537*376.38</f>
        <v>10.523960111681728</v>
      </c>
      <c r="N537" s="117">
        <f t="shared" si="65"/>
        <v>12.828707376140027</v>
      </c>
      <c r="O537" s="94">
        <f t="shared" si="70"/>
        <v>2.5815460270672132E-2</v>
      </c>
      <c r="P537" s="360"/>
    </row>
    <row r="538" spans="1:16" s="25" customFormat="1" ht="15.75">
      <c r="A538" s="275">
        <v>2</v>
      </c>
      <c r="B538" s="122" t="s">
        <v>247</v>
      </c>
      <c r="C538" s="790">
        <v>14312.59</v>
      </c>
      <c r="D538" s="790"/>
      <c r="E538" s="790"/>
      <c r="F538" s="220">
        <f t="shared" si="72"/>
        <v>14312.59</v>
      </c>
      <c r="G538" s="359" t="s">
        <v>1340</v>
      </c>
      <c r="H538" s="97">
        <v>2058</v>
      </c>
      <c r="I538" s="711">
        <f t="shared" si="73"/>
        <v>5.9630810527011191E-2</v>
      </c>
      <c r="J538" s="39">
        <f t="shared" si="74"/>
        <v>135.31006109115691</v>
      </c>
      <c r="K538" s="664">
        <f t="shared" si="75"/>
        <v>49.7535094632184</v>
      </c>
      <c r="L538" s="39">
        <v>52.011538774260401</v>
      </c>
      <c r="M538" s="39">
        <f t="shared" si="76"/>
        <v>22.44384446615647</v>
      </c>
      <c r="N538" s="117">
        <f t="shared" si="65"/>
        <v>27.35904640424474</v>
      </c>
      <c r="O538" s="94">
        <f t="shared" si="70"/>
        <v>1.813221463025156E-2</v>
      </c>
      <c r="P538" s="360"/>
    </row>
    <row r="539" spans="1:16" s="25" customFormat="1" ht="15.75">
      <c r="A539" s="275">
        <v>3</v>
      </c>
      <c r="B539" s="122" t="s">
        <v>248</v>
      </c>
      <c r="C539" s="790">
        <v>4226.7</v>
      </c>
      <c r="D539" s="790"/>
      <c r="E539" s="790"/>
      <c r="F539" s="220">
        <f t="shared" si="72"/>
        <v>4226.7</v>
      </c>
      <c r="G539" s="359" t="s">
        <v>1340</v>
      </c>
      <c r="H539" s="97">
        <v>762</v>
      </c>
      <c r="I539" s="711">
        <f t="shared" si="73"/>
        <v>2.2079046463353999E-2</v>
      </c>
      <c r="J539" s="39">
        <f t="shared" si="74"/>
        <v>50.100226701390461</v>
      </c>
      <c r="K539" s="664">
        <f t="shared" si="75"/>
        <v>18.421853358101274</v>
      </c>
      <c r="L539" s="39">
        <v>19.257916689011871</v>
      </c>
      <c r="M539" s="39">
        <f t="shared" si="76"/>
        <v>8.3101115078771777</v>
      </c>
      <c r="N539" s="117">
        <f t="shared" si="65"/>
        <v>10.130025928102281</v>
      </c>
      <c r="O539" s="94">
        <f t="shared" si="70"/>
        <v>2.2734073451245836E-2</v>
      </c>
      <c r="P539" s="360"/>
    </row>
    <row r="540" spans="1:16" s="25" customFormat="1" ht="15.75">
      <c r="A540" s="275">
        <v>4</v>
      </c>
      <c r="B540" s="122" t="s">
        <v>249</v>
      </c>
      <c r="C540" s="790">
        <v>4136.82</v>
      </c>
      <c r="D540" s="790"/>
      <c r="E540" s="790"/>
      <c r="F540" s="220">
        <f t="shared" si="72"/>
        <v>4136.82</v>
      </c>
      <c r="G540" s="359" t="s">
        <v>1340</v>
      </c>
      <c r="H540" s="97">
        <v>486</v>
      </c>
      <c r="I540" s="711">
        <f t="shared" si="73"/>
        <v>1.4081911523871447E-2</v>
      </c>
      <c r="J540" s="39">
        <f t="shared" si="74"/>
        <v>31.953687896162418</v>
      </c>
      <c r="K540" s="664">
        <f t="shared" si="75"/>
        <v>11.749371039418921</v>
      </c>
      <c r="L540" s="39">
        <v>12.2826082819682</v>
      </c>
      <c r="M540" s="39">
        <f t="shared" si="76"/>
        <v>5.3001498593547351</v>
      </c>
      <c r="N540" s="117">
        <f t="shared" si="65"/>
        <v>6.460882678553423</v>
      </c>
      <c r="O540" s="94">
        <f t="shared" si="70"/>
        <v>1.4814716878400384E-2</v>
      </c>
      <c r="P540" s="360"/>
    </row>
    <row r="541" spans="1:16" s="25" customFormat="1" ht="15.75">
      <c r="A541" s="275">
        <v>5</v>
      </c>
      <c r="B541" s="122" t="s">
        <v>250</v>
      </c>
      <c r="C541" s="790">
        <v>7984.78</v>
      </c>
      <c r="D541" s="790"/>
      <c r="E541" s="790"/>
      <c r="F541" s="220">
        <f t="shared" si="72"/>
        <v>7984.78</v>
      </c>
      <c r="G541" s="359" t="s">
        <v>1340</v>
      </c>
      <c r="H541" s="97">
        <v>1108</v>
      </c>
      <c r="I541" s="711">
        <f t="shared" si="73"/>
        <v>3.2104440264299511E-2</v>
      </c>
      <c r="J541" s="39">
        <f t="shared" si="74"/>
        <v>72.849148536929945</v>
      </c>
      <c r="K541" s="664">
        <f t="shared" si="75"/>
        <v>26.786631917029144</v>
      </c>
      <c r="L541" s="39">
        <v>28.002325054363716</v>
      </c>
      <c r="M541" s="39">
        <f t="shared" si="76"/>
        <v>12.08346922667705</v>
      </c>
      <c r="N541" s="117">
        <f t="shared" ref="N541:N604" si="77">M541*1.219</f>
        <v>14.729748987319324</v>
      </c>
      <c r="O541" s="94">
        <f t="shared" si="70"/>
        <v>1.7498487714752299E-2</v>
      </c>
      <c r="P541" s="360"/>
    </row>
    <row r="542" spans="1:16" s="25" customFormat="1" ht="15.75">
      <c r="A542" s="275">
        <v>6</v>
      </c>
      <c r="B542" s="122" t="s">
        <v>251</v>
      </c>
      <c r="C542" s="790">
        <v>4209.92</v>
      </c>
      <c r="D542" s="790"/>
      <c r="E542" s="790"/>
      <c r="F542" s="220">
        <f t="shared" si="72"/>
        <v>4209.92</v>
      </c>
      <c r="G542" s="359" t="s">
        <v>1340</v>
      </c>
      <c r="H542" s="97">
        <v>486</v>
      </c>
      <c r="I542" s="711">
        <f t="shared" si="73"/>
        <v>1.4081911523871447E-2</v>
      </c>
      <c r="J542" s="39">
        <f t="shared" si="74"/>
        <v>31.953687896162418</v>
      </c>
      <c r="K542" s="664">
        <f t="shared" si="75"/>
        <v>11.749371039418921</v>
      </c>
      <c r="L542" s="39">
        <v>12.2826082819682</v>
      </c>
      <c r="M542" s="39">
        <f t="shared" si="76"/>
        <v>5.3001498593547351</v>
      </c>
      <c r="N542" s="117">
        <f t="shared" si="77"/>
        <v>6.460882678553423</v>
      </c>
      <c r="O542" s="94">
        <f t="shared" si="70"/>
        <v>1.4557477832572656E-2</v>
      </c>
      <c r="P542" s="360"/>
    </row>
    <row r="543" spans="1:16" s="25" customFormat="1" ht="15.75">
      <c r="A543" s="275">
        <v>7</v>
      </c>
      <c r="B543" s="122" t="s">
        <v>252</v>
      </c>
      <c r="C543" s="790">
        <v>8071.9</v>
      </c>
      <c r="D543" s="790"/>
      <c r="E543" s="790"/>
      <c r="F543" s="220">
        <f t="shared" si="72"/>
        <v>8071.9</v>
      </c>
      <c r="G543" s="359" t="s">
        <v>1340</v>
      </c>
      <c r="H543" s="97">
        <v>1108</v>
      </c>
      <c r="I543" s="711">
        <f t="shared" si="73"/>
        <v>3.2104440264299511E-2</v>
      </c>
      <c r="J543" s="39">
        <f t="shared" si="74"/>
        <v>72.849148536929945</v>
      </c>
      <c r="K543" s="664">
        <f t="shared" si="75"/>
        <v>26.786631917029144</v>
      </c>
      <c r="L543" s="39">
        <v>28.002325054363716</v>
      </c>
      <c r="M543" s="39">
        <f t="shared" si="76"/>
        <v>12.08346922667705</v>
      </c>
      <c r="N543" s="117">
        <f t="shared" si="77"/>
        <v>14.729748987319324</v>
      </c>
      <c r="O543" s="94">
        <f t="shared" si="70"/>
        <v>1.7309626573049696E-2</v>
      </c>
      <c r="P543" s="360"/>
    </row>
    <row r="544" spans="1:16" s="25" customFormat="1" ht="15.75">
      <c r="A544" s="275">
        <v>8</v>
      </c>
      <c r="B544" s="122" t="s">
        <v>253</v>
      </c>
      <c r="C544" s="790">
        <v>4206.5</v>
      </c>
      <c r="D544" s="790"/>
      <c r="E544" s="790">
        <v>254.7</v>
      </c>
      <c r="F544" s="220">
        <f t="shared" si="72"/>
        <v>4461.2</v>
      </c>
      <c r="G544" s="359" t="s">
        <v>1340</v>
      </c>
      <c r="H544" s="97">
        <v>966</v>
      </c>
      <c r="I544" s="711">
        <f t="shared" si="73"/>
        <v>2.7989972288188926E-2</v>
      </c>
      <c r="J544" s="39">
        <f t="shared" si="74"/>
        <v>63.512885818298138</v>
      </c>
      <c r="K544" s="664">
        <f t="shared" si="75"/>
        <v>23.353688115388227</v>
      </c>
      <c r="L544" s="39">
        <v>24.413579424652845</v>
      </c>
      <c r="M544" s="39">
        <f t="shared" si="76"/>
        <v>10.534865769828547</v>
      </c>
      <c r="N544" s="117">
        <f t="shared" si="77"/>
        <v>12.842001373421001</v>
      </c>
      <c r="O544" s="94">
        <f t="shared" si="70"/>
        <v>2.7305437803319232E-2</v>
      </c>
      <c r="P544" s="360"/>
    </row>
    <row r="545" spans="1:16" s="25" customFormat="1" ht="15.75">
      <c r="A545" s="275">
        <v>9</v>
      </c>
      <c r="B545" s="122" t="s">
        <v>254</v>
      </c>
      <c r="C545" s="790">
        <v>10161.57</v>
      </c>
      <c r="D545" s="790"/>
      <c r="E545" s="790"/>
      <c r="F545" s="220">
        <f t="shared" si="72"/>
        <v>10161.57</v>
      </c>
      <c r="G545" s="359" t="s">
        <v>1340</v>
      </c>
      <c r="H545" s="97">
        <v>1560</v>
      </c>
      <c r="I545" s="711">
        <f t="shared" si="73"/>
        <v>4.5201197484031806E-2</v>
      </c>
      <c r="J545" s="39">
        <f t="shared" si="74"/>
        <v>102.56739324694109</v>
      </c>
      <c r="K545" s="664">
        <f t="shared" si="75"/>
        <v>37.714030496900243</v>
      </c>
      <c r="L545" s="39">
        <v>39.425656213725091</v>
      </c>
      <c r="M545" s="39">
        <f t="shared" si="76"/>
        <v>17.012826709039892</v>
      </c>
      <c r="N545" s="117">
        <f t="shared" si="77"/>
        <v>20.738635758319631</v>
      </c>
      <c r="O545" s="94">
        <f t="shared" si="70"/>
        <v>1.9359204007511274E-2</v>
      </c>
      <c r="P545" s="360"/>
    </row>
    <row r="546" spans="1:16" s="25" customFormat="1" ht="15.75">
      <c r="A546" s="275">
        <v>10</v>
      </c>
      <c r="B546" s="122" t="s">
        <v>255</v>
      </c>
      <c r="C546" s="790">
        <v>7889.76</v>
      </c>
      <c r="D546" s="790"/>
      <c r="E546" s="790"/>
      <c r="F546" s="220">
        <f t="shared" si="72"/>
        <v>7889.76</v>
      </c>
      <c r="G546" s="359" t="s">
        <v>1340</v>
      </c>
      <c r="H546" s="97">
        <v>1108</v>
      </c>
      <c r="I546" s="711">
        <f t="shared" si="73"/>
        <v>3.2104440264299511E-2</v>
      </c>
      <c r="J546" s="39">
        <f t="shared" si="74"/>
        <v>72.849148536929945</v>
      </c>
      <c r="K546" s="664">
        <f t="shared" si="75"/>
        <v>26.786631917029144</v>
      </c>
      <c r="L546" s="39">
        <v>28.002325054363716</v>
      </c>
      <c r="M546" s="39">
        <f t="shared" si="76"/>
        <v>12.08346922667705</v>
      </c>
      <c r="N546" s="117">
        <f t="shared" si="77"/>
        <v>14.729748987319324</v>
      </c>
      <c r="O546" s="94">
        <f t="shared" si="70"/>
        <v>1.7709230031711973E-2</v>
      </c>
      <c r="P546" s="360"/>
    </row>
    <row r="547" spans="1:16" s="25" customFormat="1" ht="15.75">
      <c r="A547" s="275">
        <v>11</v>
      </c>
      <c r="B547" s="122" t="s">
        <v>256</v>
      </c>
      <c r="C547" s="790">
        <v>7062.05</v>
      </c>
      <c r="D547" s="790"/>
      <c r="E547" s="790">
        <v>22.5</v>
      </c>
      <c r="F547" s="220">
        <f t="shared" si="72"/>
        <v>7084.55</v>
      </c>
      <c r="G547" s="359" t="s">
        <v>1340</v>
      </c>
      <c r="H547" s="97">
        <v>1110</v>
      </c>
      <c r="I547" s="711">
        <f t="shared" si="73"/>
        <v>3.2162390517484173E-2</v>
      </c>
      <c r="J547" s="39">
        <f t="shared" si="74"/>
        <v>72.980645194938859</v>
      </c>
      <c r="K547" s="664">
        <f t="shared" si="75"/>
        <v>26.834983238179021</v>
      </c>
      <c r="L547" s="39">
        <v>28.052870767458234</v>
      </c>
      <c r="M547" s="39">
        <f t="shared" si="76"/>
        <v>12.105280542970693</v>
      </c>
      <c r="N547" s="117">
        <f t="shared" si="77"/>
        <v>14.756336981881276</v>
      </c>
      <c r="O547" s="94">
        <f t="shared" si="70"/>
        <v>1.9757610538925802E-2</v>
      </c>
      <c r="P547" s="360"/>
    </row>
    <row r="548" spans="1:16" s="25" customFormat="1" ht="15.75">
      <c r="A548" s="275">
        <v>12</v>
      </c>
      <c r="B548" s="122" t="s">
        <v>257</v>
      </c>
      <c r="C548" s="790">
        <v>4792.88</v>
      </c>
      <c r="D548" s="790"/>
      <c r="E548" s="790"/>
      <c r="F548" s="220">
        <f t="shared" si="72"/>
        <v>4792.88</v>
      </c>
      <c r="G548" s="359" t="s">
        <v>1340</v>
      </c>
      <c r="H548" s="97">
        <v>766</v>
      </c>
      <c r="I548" s="711">
        <f t="shared" si="73"/>
        <v>2.2194946969723309E-2</v>
      </c>
      <c r="J548" s="39">
        <f t="shared" si="74"/>
        <v>50.363220017408253</v>
      </c>
      <c r="K548" s="664">
        <f t="shared" si="75"/>
        <v>18.518556000401016</v>
      </c>
      <c r="L548" s="39">
        <v>19.359008115200908</v>
      </c>
      <c r="M548" s="39">
        <f t="shared" si="76"/>
        <v>8.3537341404644589</v>
      </c>
      <c r="N548" s="117">
        <f t="shared" si="77"/>
        <v>10.183201917226176</v>
      </c>
      <c r="O548" s="94">
        <f t="shared" si="70"/>
        <v>2.0153752706822334E-2</v>
      </c>
      <c r="P548" s="360"/>
    </row>
    <row r="549" spans="1:16" s="25" customFormat="1" ht="15.75">
      <c r="A549" s="275">
        <v>13</v>
      </c>
      <c r="B549" s="122" t="s">
        <v>258</v>
      </c>
      <c r="C549" s="790">
        <v>4816.47</v>
      </c>
      <c r="D549" s="790"/>
      <c r="E549" s="790"/>
      <c r="F549" s="220">
        <f t="shared" si="72"/>
        <v>4816.47</v>
      </c>
      <c r="G549" s="359" t="s">
        <v>1340</v>
      </c>
      <c r="H549" s="97">
        <v>759</v>
      </c>
      <c r="I549" s="711">
        <f t="shared" si="73"/>
        <v>2.1992121083577013E-2</v>
      </c>
      <c r="J549" s="39">
        <f t="shared" si="74"/>
        <v>49.902981714377113</v>
      </c>
      <c r="K549" s="664">
        <f t="shared" si="75"/>
        <v>18.349326376376467</v>
      </c>
      <c r="L549" s="39">
        <v>19.182098119370092</v>
      </c>
      <c r="M549" s="39">
        <f t="shared" si="76"/>
        <v>8.2773945334367163</v>
      </c>
      <c r="N549" s="117">
        <f t="shared" si="77"/>
        <v>10.090143936259357</v>
      </c>
      <c r="O549" s="94">
        <f t="shared" si="70"/>
        <v>1.9871773465538117E-2</v>
      </c>
      <c r="P549" s="360"/>
    </row>
    <row r="550" spans="1:16" s="25" customFormat="1" ht="15.75">
      <c r="A550" s="275">
        <v>14</v>
      </c>
      <c r="B550" s="122" t="s">
        <v>259</v>
      </c>
      <c r="C550" s="790">
        <v>5818.22</v>
      </c>
      <c r="D550" s="790"/>
      <c r="E550" s="790"/>
      <c r="F550" s="220">
        <f t="shared" si="72"/>
        <v>5818.22</v>
      </c>
      <c r="G550" s="359" t="s">
        <v>1340</v>
      </c>
      <c r="H550" s="97">
        <v>1634</v>
      </c>
      <c r="I550" s="711">
        <f t="shared" si="73"/>
        <v>4.7345356851864084E-2</v>
      </c>
      <c r="J550" s="39">
        <f t="shared" si="74"/>
        <v>107.43276959327035</v>
      </c>
      <c r="K550" s="664">
        <f t="shared" si="75"/>
        <v>39.503029379445508</v>
      </c>
      <c r="L550" s="39">
        <v>41.295847598222309</v>
      </c>
      <c r="M550" s="39">
        <f t="shared" si="76"/>
        <v>17.819845411904605</v>
      </c>
      <c r="N550" s="117">
        <f t="shared" si="77"/>
        <v>21.722391557111717</v>
      </c>
      <c r="O550" s="94">
        <f t="shared" si="70"/>
        <v>3.5414867774481329E-2</v>
      </c>
      <c r="P550" s="360"/>
    </row>
    <row r="551" spans="1:16" s="25" customFormat="1" ht="15.75">
      <c r="A551" s="275">
        <v>15</v>
      </c>
      <c r="B551" s="122" t="s">
        <v>260</v>
      </c>
      <c r="C551" s="790">
        <v>14736.69</v>
      </c>
      <c r="D551" s="790">
        <v>1007.3</v>
      </c>
      <c r="E551" s="790">
        <v>671</v>
      </c>
      <c r="F551" s="220">
        <f t="shared" si="72"/>
        <v>16414.989999999998</v>
      </c>
      <c r="G551" s="359" t="s">
        <v>1340</v>
      </c>
      <c r="H551" s="97">
        <v>2765</v>
      </c>
      <c r="I551" s="711">
        <f t="shared" si="73"/>
        <v>8.0116225027787147E-2</v>
      </c>
      <c r="J551" s="39">
        <f t="shared" si="74"/>
        <v>181.79412969730265</v>
      </c>
      <c r="K551" s="664">
        <f t="shared" si="75"/>
        <v>66.845701489698186</v>
      </c>
      <c r="L551" s="39">
        <v>69.879448353173004</v>
      </c>
      <c r="M551" s="39">
        <f t="shared" si="76"/>
        <v>30.154144775958525</v>
      </c>
      <c r="N551" s="117">
        <f t="shared" si="77"/>
        <v>36.757902481893446</v>
      </c>
      <c r="O551" s="94">
        <f t="shared" si="70"/>
        <v>2.1241159715365797E-2</v>
      </c>
      <c r="P551" s="360"/>
    </row>
    <row r="552" spans="1:16" s="25" customFormat="1" ht="15.75">
      <c r="A552" s="275">
        <v>16</v>
      </c>
      <c r="B552" s="122" t="s">
        <v>261</v>
      </c>
      <c r="C552" s="790">
        <v>14399.02</v>
      </c>
      <c r="D552" s="790">
        <v>210.8</v>
      </c>
      <c r="E552" s="790">
        <v>266.8</v>
      </c>
      <c r="F552" s="220">
        <f t="shared" si="72"/>
        <v>14876.619999999999</v>
      </c>
      <c r="G552" s="359" t="s">
        <v>1340</v>
      </c>
      <c r="H552" s="97">
        <v>2715</v>
      </c>
      <c r="I552" s="711">
        <f t="shared" si="73"/>
        <v>7.8667468698170734E-2</v>
      </c>
      <c r="J552" s="39">
        <f t="shared" si="74"/>
        <v>178.50671324708017</v>
      </c>
      <c r="K552" s="664">
        <f t="shared" si="75"/>
        <v>65.636918460951378</v>
      </c>
      <c r="L552" s="39">
        <v>82.338966630971996</v>
      </c>
      <c r="M552" s="39">
        <f t="shared" si="76"/>
        <v>29.608861868617499</v>
      </c>
      <c r="N552" s="117">
        <f t="shared" si="77"/>
        <v>36.093202617844732</v>
      </c>
      <c r="O552" s="94">
        <f t="shared" si="70"/>
        <v>2.3936314848911986E-2</v>
      </c>
      <c r="P552" s="360"/>
    </row>
    <row r="553" spans="1:16" s="6" customFormat="1" ht="15.75">
      <c r="A553" s="275">
        <v>17</v>
      </c>
      <c r="B553" s="122" t="s">
        <v>262</v>
      </c>
      <c r="C553" s="790">
        <v>351.06</v>
      </c>
      <c r="D553" s="790"/>
      <c r="E553" s="790"/>
      <c r="F553" s="220">
        <f t="shared" si="72"/>
        <v>351.06</v>
      </c>
      <c r="G553" s="18" t="s">
        <v>1339</v>
      </c>
      <c r="H553" s="97">
        <v>128</v>
      </c>
      <c r="I553" s="711">
        <f t="shared" si="73"/>
        <v>3.7088162038179944E-3</v>
      </c>
      <c r="J553" s="39">
        <f t="shared" si="74"/>
        <v>8.4157861125695259</v>
      </c>
      <c r="K553" s="664">
        <f t="shared" si="75"/>
        <v>3.0944845535918151</v>
      </c>
      <c r="L553" s="39">
        <v>3.8819107656590854</v>
      </c>
      <c r="M553" s="39">
        <f>I553*680.9</f>
        <v>2.5253329531796722</v>
      </c>
      <c r="N553" s="117">
        <f t="shared" si="77"/>
        <v>3.0783808699260207</v>
      </c>
      <c r="O553" s="94">
        <f t="shared" si="70"/>
        <v>5.1038325029909688E-2</v>
      </c>
      <c r="P553" s="240"/>
    </row>
    <row r="554" spans="1:16" s="6" customFormat="1" ht="15.75">
      <c r="A554" s="275">
        <v>18</v>
      </c>
      <c r="B554" s="122" t="s">
        <v>263</v>
      </c>
      <c r="C554" s="790">
        <v>377.1</v>
      </c>
      <c r="D554" s="790"/>
      <c r="E554" s="790"/>
      <c r="F554" s="220">
        <f t="shared" si="72"/>
        <v>377.1</v>
      </c>
      <c r="G554" s="18" t="s">
        <v>1339</v>
      </c>
      <c r="H554" s="97">
        <v>409</v>
      </c>
      <c r="I554" s="711">
        <f t="shared" si="73"/>
        <v>1.1850826776262185E-2</v>
      </c>
      <c r="J554" s="39">
        <f t="shared" si="74"/>
        <v>26.891066562819812</v>
      </c>
      <c r="K554" s="664">
        <f t="shared" si="75"/>
        <v>9.8878451751488452</v>
      </c>
      <c r="L554" s="39">
        <v>12.403917993395046</v>
      </c>
      <c r="M554" s="39">
        <f>I554*680.9</f>
        <v>8.0692279519569219</v>
      </c>
      <c r="N554" s="117">
        <f t="shared" si="77"/>
        <v>9.8363888734354887</v>
      </c>
      <c r="O554" s="94">
        <f t="shared" si="70"/>
        <v>0.15182195089716422</v>
      </c>
      <c r="P554" s="240"/>
    </row>
    <row r="555" spans="1:16" s="6" customFormat="1" ht="15.75">
      <c r="A555" s="275">
        <v>19</v>
      </c>
      <c r="B555" s="122" t="s">
        <v>264</v>
      </c>
      <c r="C555" s="790">
        <v>82.9</v>
      </c>
      <c r="D555" s="790"/>
      <c r="E555" s="790"/>
      <c r="F555" s="220">
        <f t="shared" si="72"/>
        <v>82.9</v>
      </c>
      <c r="G555" s="18" t="s">
        <v>1339</v>
      </c>
      <c r="H555" s="97">
        <v>148</v>
      </c>
      <c r="I555" s="711">
        <f t="shared" si="73"/>
        <v>4.2883187356645563E-3</v>
      </c>
      <c r="J555" s="39">
        <f t="shared" si="74"/>
        <v>9.7307526926585144</v>
      </c>
      <c r="K555" s="664">
        <f t="shared" si="75"/>
        <v>3.5779977650905361</v>
      </c>
      <c r="L555" s="39">
        <v>4.4884593227933181</v>
      </c>
      <c r="M555" s="39">
        <f>I555*680.9</f>
        <v>2.9199162271139962</v>
      </c>
      <c r="N555" s="117">
        <f t="shared" si="77"/>
        <v>3.5593778808519616</v>
      </c>
      <c r="O555" s="94">
        <f t="shared" si="70"/>
        <v>0.24990501818644589</v>
      </c>
      <c r="P555" s="240"/>
    </row>
    <row r="556" spans="1:16" s="6" customFormat="1" ht="15.75">
      <c r="A556" s="275">
        <v>20</v>
      </c>
      <c r="B556" s="122" t="s">
        <v>265</v>
      </c>
      <c r="C556" s="790">
        <v>56.1</v>
      </c>
      <c r="D556" s="790"/>
      <c r="E556" s="790"/>
      <c r="F556" s="220">
        <f t="shared" si="72"/>
        <v>56.1</v>
      </c>
      <c r="G556" s="18" t="s">
        <v>1339</v>
      </c>
      <c r="H556" s="97">
        <v>103</v>
      </c>
      <c r="I556" s="711">
        <f t="shared" si="73"/>
        <v>2.9844380390097922E-3</v>
      </c>
      <c r="J556" s="39">
        <f t="shared" si="74"/>
        <v>6.7720778874582903</v>
      </c>
      <c r="K556" s="664">
        <f t="shared" si="75"/>
        <v>2.4900930392184137</v>
      </c>
      <c r="L556" s="39">
        <v>3.1237250692412952</v>
      </c>
      <c r="M556" s="39">
        <f>I556*680.9</f>
        <v>2.0321038607617674</v>
      </c>
      <c r="N556" s="117">
        <f t="shared" si="77"/>
        <v>2.4771346062685948</v>
      </c>
      <c r="O556" s="94">
        <f t="shared" si="70"/>
        <v>0.25700534503885503</v>
      </c>
      <c r="P556" s="240"/>
    </row>
    <row r="557" spans="1:16" s="6" customFormat="1" ht="15.75">
      <c r="A557" s="275">
        <v>21</v>
      </c>
      <c r="B557" s="122" t="s">
        <v>266</v>
      </c>
      <c r="C557" s="790">
        <v>87</v>
      </c>
      <c r="D557" s="790"/>
      <c r="E557" s="790"/>
      <c r="F557" s="220">
        <f t="shared" si="72"/>
        <v>87</v>
      </c>
      <c r="G557" s="18" t="s">
        <v>1339</v>
      </c>
      <c r="H557" s="97">
        <v>110</v>
      </c>
      <c r="I557" s="711">
        <f t="shared" si="73"/>
        <v>3.187263925156089E-3</v>
      </c>
      <c r="J557" s="39">
        <f t="shared" si="74"/>
        <v>7.2323161904894366</v>
      </c>
      <c r="K557" s="664">
        <f t="shared" si="75"/>
        <v>2.6593226632429658</v>
      </c>
      <c r="L557" s="39">
        <v>3.3360170642382765</v>
      </c>
      <c r="M557" s="39">
        <f>I557*680.9</f>
        <v>2.1702080066387808</v>
      </c>
      <c r="N557" s="117">
        <f t="shared" si="77"/>
        <v>2.645483560092674</v>
      </c>
      <c r="O557" s="94">
        <f t="shared" si="70"/>
        <v>0.17698694166217771</v>
      </c>
      <c r="P557" s="240"/>
    </row>
    <row r="558" spans="1:16" s="25" customFormat="1" ht="15.75">
      <c r="A558" s="275">
        <v>22</v>
      </c>
      <c r="B558" s="122" t="s">
        <v>267</v>
      </c>
      <c r="C558" s="790">
        <v>4314.8999999999996</v>
      </c>
      <c r="D558" s="790"/>
      <c r="E558" s="790">
        <v>94.6</v>
      </c>
      <c r="F558" s="220">
        <f t="shared" si="72"/>
        <v>4409.5</v>
      </c>
      <c r="G558" s="359" t="s">
        <v>1340</v>
      </c>
      <c r="H558" s="97">
        <v>968</v>
      </c>
      <c r="I558" s="711">
        <f t="shared" si="73"/>
        <v>2.8047922541373581E-2</v>
      </c>
      <c r="J558" s="39">
        <f t="shared" si="74"/>
        <v>63.644382476307037</v>
      </c>
      <c r="K558" s="664">
        <f t="shared" si="75"/>
        <v>23.4020394365381</v>
      </c>
      <c r="L558" s="39">
        <v>29.356950165296833</v>
      </c>
      <c r="M558" s="39">
        <f>I558*376.38</f>
        <v>10.556677086122189</v>
      </c>
      <c r="N558" s="117">
        <f t="shared" si="77"/>
        <v>12.868589367982949</v>
      </c>
      <c r="O558" s="94">
        <f t="shared" si="70"/>
        <v>2.8792391238068749E-2</v>
      </c>
      <c r="P558" s="360"/>
    </row>
    <row r="559" spans="1:16" s="25" customFormat="1" ht="15.75">
      <c r="A559" s="275">
        <v>23</v>
      </c>
      <c r="B559" s="122" t="s">
        <v>268</v>
      </c>
      <c r="C559" s="790">
        <v>354.7</v>
      </c>
      <c r="D559" s="790"/>
      <c r="E559" s="790"/>
      <c r="F559" s="220">
        <f t="shared" si="72"/>
        <v>354.7</v>
      </c>
      <c r="G559" s="359" t="s">
        <v>1340</v>
      </c>
      <c r="H559" s="97">
        <v>253</v>
      </c>
      <c r="I559" s="711">
        <f t="shared" si="73"/>
        <v>7.3307070278590047E-3</v>
      </c>
      <c r="J559" s="39">
        <f t="shared" si="74"/>
        <v>16.634327238125703</v>
      </c>
      <c r="K559" s="664">
        <f t="shared" si="75"/>
        <v>6.1164421254588213</v>
      </c>
      <c r="L559" s="39">
        <v>7.6728392477480361</v>
      </c>
      <c r="M559" s="39">
        <f>I559*376.38</f>
        <v>2.7591315111455721</v>
      </c>
      <c r="N559" s="117">
        <f t="shared" si="77"/>
        <v>3.3633813120864526</v>
      </c>
      <c r="O559" s="94">
        <f t="shared" si="70"/>
        <v>9.3551565047866186E-2</v>
      </c>
      <c r="P559" s="360"/>
    </row>
    <row r="560" spans="1:16" s="25" customFormat="1" ht="15.75">
      <c r="A560" s="275">
        <v>24</v>
      </c>
      <c r="B560" s="122" t="s">
        <v>269</v>
      </c>
      <c r="C560" s="790">
        <v>352.4</v>
      </c>
      <c r="D560" s="790"/>
      <c r="E560" s="790"/>
      <c r="F560" s="220">
        <f t="shared" si="72"/>
        <v>352.4</v>
      </c>
      <c r="G560" s="359" t="s">
        <v>1340</v>
      </c>
      <c r="H560" s="97">
        <v>251</v>
      </c>
      <c r="I560" s="711">
        <f t="shared" si="73"/>
        <v>7.2727567746743481E-3</v>
      </c>
      <c r="J560" s="39">
        <f t="shared" si="74"/>
        <v>16.502830580116804</v>
      </c>
      <c r="K560" s="664">
        <f t="shared" si="75"/>
        <v>6.068090804308949</v>
      </c>
      <c r="L560" s="39">
        <v>7.6121843920346128</v>
      </c>
      <c r="M560" s="39">
        <f>I560*376.38</f>
        <v>2.737320194851931</v>
      </c>
      <c r="N560" s="117">
        <f t="shared" si="77"/>
        <v>3.3367933175245041</v>
      </c>
      <c r="O560" s="94">
        <f t="shared" si="70"/>
        <v>9.3417780849353857E-2</v>
      </c>
      <c r="P560" s="360"/>
    </row>
    <row r="561" spans="1:16" s="6" customFormat="1" ht="15.75">
      <c r="A561" s="275">
        <v>25</v>
      </c>
      <c r="B561" s="122" t="s">
        <v>270</v>
      </c>
      <c r="C561" s="790">
        <v>216.7</v>
      </c>
      <c r="D561" s="790"/>
      <c r="E561" s="790"/>
      <c r="F561" s="220">
        <f t="shared" si="72"/>
        <v>216.7</v>
      </c>
      <c r="G561" s="18" t="s">
        <v>1339</v>
      </c>
      <c r="H561" s="97">
        <v>205</v>
      </c>
      <c r="I561" s="711">
        <f t="shared" si="73"/>
        <v>5.939900951427257E-3</v>
      </c>
      <c r="J561" s="39">
        <f t="shared" si="74"/>
        <v>13.478407445912133</v>
      </c>
      <c r="K561" s="664">
        <f t="shared" si="75"/>
        <v>4.9560104178618918</v>
      </c>
      <c r="L561" s="39">
        <v>6.2171227106258797</v>
      </c>
      <c r="M561" s="39">
        <f t="shared" ref="M561:M616" si="78">I561*680.9</f>
        <v>4.0444785578268192</v>
      </c>
      <c r="N561" s="117">
        <f t="shared" si="77"/>
        <v>4.9302193619908925</v>
      </c>
      <c r="O561" s="94">
        <f t="shared" si="70"/>
        <v>0.13242279248835589</v>
      </c>
      <c r="P561" s="240"/>
    </row>
    <row r="562" spans="1:16" s="6" customFormat="1" ht="15.75">
      <c r="A562" s="275">
        <v>26</v>
      </c>
      <c r="B562" s="122" t="s">
        <v>271</v>
      </c>
      <c r="C562" s="790">
        <v>42.7</v>
      </c>
      <c r="D562" s="790"/>
      <c r="E562" s="790"/>
      <c r="F562" s="220">
        <f t="shared" si="72"/>
        <v>42.7</v>
      </c>
      <c r="G562" s="18" t="s">
        <v>1339</v>
      </c>
      <c r="H562" s="97">
        <v>64</v>
      </c>
      <c r="I562" s="711">
        <f t="shared" si="73"/>
        <v>1.8544081019089972E-3</v>
      </c>
      <c r="J562" s="39">
        <f t="shared" si="74"/>
        <v>4.207893056284763</v>
      </c>
      <c r="K562" s="664">
        <f t="shared" si="75"/>
        <v>1.5472422767959075</v>
      </c>
      <c r="L562" s="39">
        <v>1.9409553828295427</v>
      </c>
      <c r="M562" s="39">
        <f t="shared" si="78"/>
        <v>1.2626664765898361</v>
      </c>
      <c r="N562" s="117">
        <f t="shared" si="77"/>
        <v>1.5391904349630103</v>
      </c>
      <c r="O562" s="94">
        <f t="shared" si="70"/>
        <v>0.20980696001171073</v>
      </c>
      <c r="P562" s="240"/>
    </row>
    <row r="563" spans="1:16" s="6" customFormat="1" ht="15.75">
      <c r="A563" s="275">
        <v>27</v>
      </c>
      <c r="B563" s="122" t="s">
        <v>272</v>
      </c>
      <c r="C563" s="790">
        <v>79.7</v>
      </c>
      <c r="D563" s="790"/>
      <c r="E563" s="790"/>
      <c r="F563" s="220">
        <f t="shared" si="72"/>
        <v>79.7</v>
      </c>
      <c r="G563" s="18" t="s">
        <v>1339</v>
      </c>
      <c r="H563" s="97">
        <v>79</v>
      </c>
      <c r="I563" s="711">
        <f t="shared" si="73"/>
        <v>2.2890350007939183E-3</v>
      </c>
      <c r="J563" s="39">
        <f t="shared" si="74"/>
        <v>5.1941179913515043</v>
      </c>
      <c r="K563" s="664">
        <f t="shared" si="75"/>
        <v>1.9098771854199483</v>
      </c>
      <c r="L563" s="39">
        <v>2.3958668006802171</v>
      </c>
      <c r="M563" s="39">
        <f t="shared" si="78"/>
        <v>1.5586039320405789</v>
      </c>
      <c r="N563" s="117">
        <f t="shared" si="77"/>
        <v>1.8999381931574657</v>
      </c>
      <c r="O563" s="94">
        <f t="shared" si="70"/>
        <v>0.13875114064607588</v>
      </c>
      <c r="P563" s="240"/>
    </row>
    <row r="564" spans="1:16" s="6" customFormat="1" ht="15.75">
      <c r="A564" s="275">
        <v>28</v>
      </c>
      <c r="B564" s="122" t="s">
        <v>273</v>
      </c>
      <c r="C564" s="790">
        <v>23.5</v>
      </c>
      <c r="D564" s="790"/>
      <c r="E564" s="790"/>
      <c r="F564" s="220">
        <f t="shared" si="72"/>
        <v>23.5</v>
      </c>
      <c r="G564" s="18" t="s">
        <v>1339</v>
      </c>
      <c r="H564" s="97">
        <v>25</v>
      </c>
      <c r="I564" s="711">
        <f t="shared" si="73"/>
        <v>7.2437816480820205E-4</v>
      </c>
      <c r="J564" s="39">
        <f t="shared" si="74"/>
        <v>1.6437082251112356</v>
      </c>
      <c r="K564" s="664">
        <f t="shared" si="75"/>
        <v>0.60439151437340133</v>
      </c>
      <c r="L564" s="39">
        <v>0.7581856964177901</v>
      </c>
      <c r="M564" s="39">
        <f t="shared" si="78"/>
        <v>0.49322909241790475</v>
      </c>
      <c r="N564" s="117">
        <f t="shared" si="77"/>
        <v>0.60124626365742595</v>
      </c>
      <c r="O564" s="94">
        <f t="shared" si="70"/>
        <v>0.14891551184341839</v>
      </c>
      <c r="P564" s="240"/>
    </row>
    <row r="565" spans="1:16" s="6" customFormat="1" ht="15.75">
      <c r="A565" s="275">
        <v>29</v>
      </c>
      <c r="B565" s="122" t="s">
        <v>274</v>
      </c>
      <c r="C565" s="790">
        <v>29</v>
      </c>
      <c r="D565" s="790"/>
      <c r="E565" s="790"/>
      <c r="F565" s="220">
        <f t="shared" si="72"/>
        <v>29</v>
      </c>
      <c r="G565" s="18" t="s">
        <v>1339</v>
      </c>
      <c r="H565" s="97">
        <v>31</v>
      </c>
      <c r="I565" s="711">
        <f t="shared" si="73"/>
        <v>8.9822892436217051E-4</v>
      </c>
      <c r="J565" s="39">
        <f t="shared" si="74"/>
        <v>2.0381981991379319</v>
      </c>
      <c r="K565" s="664">
        <f t="shared" si="75"/>
        <v>0.74944547782301763</v>
      </c>
      <c r="L565" s="39">
        <v>0.94015026355805975</v>
      </c>
      <c r="M565" s="39">
        <f t="shared" si="78"/>
        <v>0.61160407459820187</v>
      </c>
      <c r="N565" s="117">
        <f t="shared" si="77"/>
        <v>0.74554536693520812</v>
      </c>
      <c r="O565" s="94">
        <f t="shared" si="70"/>
        <v>0.14963441431438659</v>
      </c>
      <c r="P565" s="240"/>
    </row>
    <row r="566" spans="1:16" s="6" customFormat="1" ht="15.75">
      <c r="A566" s="275">
        <v>30</v>
      </c>
      <c r="B566" s="122" t="s">
        <v>275</v>
      </c>
      <c r="C566" s="790">
        <v>84.7</v>
      </c>
      <c r="D566" s="790"/>
      <c r="E566" s="790"/>
      <c r="F566" s="220">
        <f t="shared" si="72"/>
        <v>84.7</v>
      </c>
      <c r="G566" s="18" t="s">
        <v>1339</v>
      </c>
      <c r="H566" s="97">
        <v>74.5</v>
      </c>
      <c r="I566" s="711">
        <f t="shared" si="73"/>
        <v>2.1586469311284419E-3</v>
      </c>
      <c r="J566" s="39">
        <f t="shared" si="74"/>
        <v>4.898250510831482</v>
      </c>
      <c r="K566" s="664">
        <f t="shared" si="75"/>
        <v>1.8010867128327361</v>
      </c>
      <c r="L566" s="39">
        <v>2.2593933753250144</v>
      </c>
      <c r="M566" s="39">
        <f t="shared" si="78"/>
        <v>1.4698226954053559</v>
      </c>
      <c r="N566" s="117">
        <f t="shared" si="77"/>
        <v>1.7917138656991289</v>
      </c>
      <c r="O566" s="94">
        <f t="shared" si="70"/>
        <v>0.123123415518236</v>
      </c>
      <c r="P566" s="240"/>
    </row>
    <row r="567" spans="1:16" s="6" customFormat="1" ht="15.75">
      <c r="A567" s="275">
        <v>31</v>
      </c>
      <c r="B567" s="122" t="s">
        <v>276</v>
      </c>
      <c r="C567" s="790">
        <v>177.23</v>
      </c>
      <c r="D567" s="790"/>
      <c r="E567" s="790"/>
      <c r="F567" s="220">
        <f t="shared" si="72"/>
        <v>177.23</v>
      </c>
      <c r="G567" s="18" t="s">
        <v>1339</v>
      </c>
      <c r="H567" s="97">
        <v>179.1</v>
      </c>
      <c r="I567" s="711">
        <f t="shared" si="73"/>
        <v>5.1894451726859593E-3</v>
      </c>
      <c r="J567" s="39">
        <f t="shared" si="74"/>
        <v>11.775525724696891</v>
      </c>
      <c r="K567" s="664">
        <f t="shared" si="75"/>
        <v>4.3298608089710475</v>
      </c>
      <c r="L567" s="39">
        <v>5.4316423291370493</v>
      </c>
      <c r="M567" s="39">
        <f t="shared" si="78"/>
        <v>3.5334932180818694</v>
      </c>
      <c r="N567" s="117">
        <f t="shared" si="77"/>
        <v>4.3073282328417992</v>
      </c>
      <c r="O567" s="94">
        <f t="shared" si="70"/>
        <v>0.1414575527895213</v>
      </c>
      <c r="P567" s="240"/>
    </row>
    <row r="568" spans="1:16" s="6" customFormat="1" ht="15.75">
      <c r="A568" s="275">
        <v>32</v>
      </c>
      <c r="B568" s="122" t="s">
        <v>277</v>
      </c>
      <c r="C568" s="790">
        <v>108.36</v>
      </c>
      <c r="D568" s="790"/>
      <c r="E568" s="790"/>
      <c r="F568" s="220">
        <f t="shared" si="72"/>
        <v>108.36</v>
      </c>
      <c r="G568" s="18" t="s">
        <v>1339</v>
      </c>
      <c r="H568" s="97">
        <v>119.4</v>
      </c>
      <c r="I568" s="711">
        <f t="shared" si="73"/>
        <v>3.4596301151239729E-3</v>
      </c>
      <c r="J568" s="39">
        <f t="shared" si="74"/>
        <v>7.8503504831312609</v>
      </c>
      <c r="K568" s="664">
        <f t="shared" si="75"/>
        <v>2.8865738726473649</v>
      </c>
      <c r="L568" s="39">
        <v>3.6210948860913659</v>
      </c>
      <c r="M568" s="39">
        <f t="shared" si="78"/>
        <v>2.355662145387913</v>
      </c>
      <c r="N568" s="117">
        <f t="shared" si="77"/>
        <v>2.871552155227866</v>
      </c>
      <c r="O568" s="94">
        <f t="shared" si="70"/>
        <v>0.15424216857934572</v>
      </c>
      <c r="P568" s="240"/>
    </row>
    <row r="569" spans="1:16" s="6" customFormat="1" ht="15.75">
      <c r="A569" s="275">
        <v>33</v>
      </c>
      <c r="B569" s="122" t="s">
        <v>278</v>
      </c>
      <c r="C569" s="790">
        <v>76.2</v>
      </c>
      <c r="D569" s="790"/>
      <c r="E569" s="790"/>
      <c r="F569" s="220">
        <f t="shared" si="72"/>
        <v>76.2</v>
      </c>
      <c r="G569" s="18" t="s">
        <v>1339</v>
      </c>
      <c r="H569" s="97">
        <v>134.80000000000001</v>
      </c>
      <c r="I569" s="711">
        <f t="shared" si="73"/>
        <v>3.9058470646458256E-3</v>
      </c>
      <c r="J569" s="39">
        <f t="shared" si="74"/>
        <v>8.8628747497997828</v>
      </c>
      <c r="K569" s="664">
        <f t="shared" si="75"/>
        <v>3.2588790455013803</v>
      </c>
      <c r="L569" s="39">
        <v>4.0881372750847254</v>
      </c>
      <c r="M569" s="39">
        <f t="shared" si="78"/>
        <v>2.6594912663173425</v>
      </c>
      <c r="N569" s="117">
        <f t="shared" si="77"/>
        <v>3.2419198536408405</v>
      </c>
      <c r="O569" s="94">
        <f t="shared" si="70"/>
        <v>0.24762968945804767</v>
      </c>
      <c r="P569" s="240"/>
    </row>
    <row r="570" spans="1:16" s="6" customFormat="1" ht="15.75">
      <c r="A570" s="275">
        <v>34</v>
      </c>
      <c r="B570" s="122" t="s">
        <v>279</v>
      </c>
      <c r="C570" s="790">
        <v>98.5</v>
      </c>
      <c r="D570" s="790"/>
      <c r="E570" s="790"/>
      <c r="F570" s="220">
        <f t="shared" si="72"/>
        <v>98.5</v>
      </c>
      <c r="G570" s="18" t="s">
        <v>1339</v>
      </c>
      <c r="H570" s="97">
        <v>106.1</v>
      </c>
      <c r="I570" s="711">
        <f t="shared" si="73"/>
        <v>3.0742609314460094E-3</v>
      </c>
      <c r="J570" s="39">
        <f t="shared" si="74"/>
        <v>6.9758977073720834</v>
      </c>
      <c r="K570" s="664">
        <f t="shared" si="75"/>
        <v>2.5650375870007154</v>
      </c>
      <c r="L570" s="39">
        <v>3.2177400955971014</v>
      </c>
      <c r="M570" s="39">
        <f t="shared" si="78"/>
        <v>2.0932642682215876</v>
      </c>
      <c r="N570" s="117">
        <f t="shared" si="77"/>
        <v>2.5516891429621156</v>
      </c>
      <c r="O570" s="94">
        <f t="shared" si="70"/>
        <v>0.15078111328113183</v>
      </c>
      <c r="P570" s="240"/>
    </row>
    <row r="571" spans="1:16" s="6" customFormat="1" ht="15.75">
      <c r="A571" s="275">
        <v>35</v>
      </c>
      <c r="B571" s="122" t="s">
        <v>280</v>
      </c>
      <c r="C571" s="790">
        <v>93.4</v>
      </c>
      <c r="D571" s="790"/>
      <c r="E571" s="790"/>
      <c r="F571" s="220">
        <f t="shared" si="72"/>
        <v>93.4</v>
      </c>
      <c r="G571" s="18" t="s">
        <v>1339</v>
      </c>
      <c r="H571" s="97">
        <v>108.1</v>
      </c>
      <c r="I571" s="711">
        <f t="shared" si="73"/>
        <v>3.1322111846306656E-3</v>
      </c>
      <c r="J571" s="39">
        <f t="shared" si="74"/>
        <v>7.1073943653809826</v>
      </c>
      <c r="K571" s="664">
        <f t="shared" si="75"/>
        <v>2.6133889081505877</v>
      </c>
      <c r="L571" s="39">
        <v>3.2783949513105246</v>
      </c>
      <c r="M571" s="39">
        <f t="shared" si="78"/>
        <v>2.1327225956150202</v>
      </c>
      <c r="N571" s="117">
        <f t="shared" si="77"/>
        <v>2.5997888440547099</v>
      </c>
      <c r="O571" s="94">
        <f t="shared" si="70"/>
        <v>0.1620117860862646</v>
      </c>
      <c r="P571" s="240"/>
    </row>
    <row r="572" spans="1:16" s="6" customFormat="1" ht="15.75">
      <c r="A572" s="275">
        <v>36</v>
      </c>
      <c r="B572" s="122" t="s">
        <v>281</v>
      </c>
      <c r="C572" s="790">
        <v>92.7</v>
      </c>
      <c r="D572" s="790"/>
      <c r="E572" s="790"/>
      <c r="F572" s="220">
        <f t="shared" si="72"/>
        <v>92.7</v>
      </c>
      <c r="G572" s="18" t="s">
        <v>1339</v>
      </c>
      <c r="H572" s="97">
        <v>92.7</v>
      </c>
      <c r="I572" s="711">
        <f t="shared" si="73"/>
        <v>2.6859942351088132E-3</v>
      </c>
      <c r="J572" s="39">
        <f t="shared" si="74"/>
        <v>6.0948700987124615</v>
      </c>
      <c r="K572" s="664">
        <f t="shared" si="75"/>
        <v>2.2410837352965722</v>
      </c>
      <c r="L572" s="39">
        <v>2.811352562317166</v>
      </c>
      <c r="M572" s="39">
        <f t="shared" si="78"/>
        <v>1.8288934746855909</v>
      </c>
      <c r="N572" s="117">
        <f t="shared" si="77"/>
        <v>2.2294211456417354</v>
      </c>
      <c r="O572" s="94">
        <f t="shared" si="70"/>
        <v>0.13998058113281325</v>
      </c>
      <c r="P572" s="240"/>
    </row>
    <row r="573" spans="1:16" s="25" customFormat="1" ht="15.75">
      <c r="A573" s="275">
        <v>37</v>
      </c>
      <c r="B573" s="122" t="s">
        <v>282</v>
      </c>
      <c r="C573" s="404">
        <v>346.6</v>
      </c>
      <c r="D573" s="404"/>
      <c r="E573" s="404"/>
      <c r="F573" s="220">
        <f t="shared" si="72"/>
        <v>346.6</v>
      </c>
      <c r="G573" s="359" t="s">
        <v>1340</v>
      </c>
      <c r="H573" s="97">
        <v>247</v>
      </c>
      <c r="I573" s="711">
        <f t="shared" si="73"/>
        <v>7.1568562683050358E-3</v>
      </c>
      <c r="J573" s="39">
        <f t="shared" si="74"/>
        <v>16.239837264099005</v>
      </c>
      <c r="K573" s="664">
        <f t="shared" si="75"/>
        <v>5.9713881620092044</v>
      </c>
      <c r="L573" s="39">
        <v>7.4908746806077673</v>
      </c>
      <c r="M573" s="39">
        <f>I573*376.38</f>
        <v>2.6936975622646493</v>
      </c>
      <c r="N573" s="117">
        <f t="shared" si="77"/>
        <v>3.2836173284006076</v>
      </c>
      <c r="O573" s="94">
        <f t="shared" si="70"/>
        <v>9.3467390851069324E-2</v>
      </c>
      <c r="P573" s="360"/>
    </row>
    <row r="574" spans="1:16" s="6" customFormat="1" ht="15.75">
      <c r="A574" s="275">
        <v>38</v>
      </c>
      <c r="B574" s="122" t="s">
        <v>283</v>
      </c>
      <c r="C574" s="790">
        <v>195</v>
      </c>
      <c r="D574" s="790"/>
      <c r="E574" s="790"/>
      <c r="F574" s="220">
        <f t="shared" si="72"/>
        <v>195</v>
      </c>
      <c r="G574" s="18" t="s">
        <v>1339</v>
      </c>
      <c r="H574" s="97">
        <v>142.80000000000001</v>
      </c>
      <c r="I574" s="711">
        <f t="shared" si="73"/>
        <v>4.1376480773844503E-3</v>
      </c>
      <c r="J574" s="39">
        <f t="shared" si="74"/>
        <v>9.3888613818353779</v>
      </c>
      <c r="K574" s="664">
        <f t="shared" si="75"/>
        <v>3.4522843301008685</v>
      </c>
      <c r="L574" s="39">
        <v>4.3307566979384182</v>
      </c>
      <c r="M574" s="39">
        <f t="shared" si="78"/>
        <v>2.8173245758910719</v>
      </c>
      <c r="N574" s="117">
        <f t="shared" si="77"/>
        <v>3.4343186580112168</v>
      </c>
      <c r="O574" s="94">
        <f t="shared" si="70"/>
        <v>0.10250885633726019</v>
      </c>
      <c r="P574" s="240"/>
    </row>
    <row r="575" spans="1:16" s="6" customFormat="1" ht="15.75">
      <c r="A575" s="275">
        <v>39</v>
      </c>
      <c r="B575" s="122" t="s">
        <v>284</v>
      </c>
      <c r="C575" s="790">
        <v>68.099999999999994</v>
      </c>
      <c r="D575" s="790"/>
      <c r="E575" s="790"/>
      <c r="F575" s="220">
        <f t="shared" si="72"/>
        <v>68.099999999999994</v>
      </c>
      <c r="G575" s="18" t="s">
        <v>1339</v>
      </c>
      <c r="H575" s="97">
        <v>71.400000000000006</v>
      </c>
      <c r="I575" s="711">
        <f t="shared" si="73"/>
        <v>2.0688240386922251E-3</v>
      </c>
      <c r="J575" s="39">
        <f t="shared" si="74"/>
        <v>4.6944306909176889</v>
      </c>
      <c r="K575" s="664">
        <f t="shared" si="75"/>
        <v>1.7261421650504343</v>
      </c>
      <c r="L575" s="39">
        <v>2.1653783489692091</v>
      </c>
      <c r="M575" s="39">
        <f t="shared" si="78"/>
        <v>1.4086622879455359</v>
      </c>
      <c r="N575" s="117">
        <f t="shared" si="77"/>
        <v>1.7171593290056084</v>
      </c>
      <c r="O575" s="94">
        <f t="shared" si="70"/>
        <v>0.14676378109960159</v>
      </c>
      <c r="P575" s="240"/>
    </row>
    <row r="576" spans="1:16" s="6" customFormat="1" ht="15.75">
      <c r="A576" s="275">
        <v>40</v>
      </c>
      <c r="B576" s="122" t="s">
        <v>285</v>
      </c>
      <c r="C576" s="790">
        <v>293.2</v>
      </c>
      <c r="D576" s="790"/>
      <c r="E576" s="790"/>
      <c r="F576" s="220">
        <f t="shared" si="72"/>
        <v>293.2</v>
      </c>
      <c r="G576" s="18" t="s">
        <v>1339</v>
      </c>
      <c r="H576" s="97">
        <v>122.4</v>
      </c>
      <c r="I576" s="711">
        <f t="shared" si="73"/>
        <v>3.5465554949009573E-3</v>
      </c>
      <c r="J576" s="39">
        <f t="shared" si="74"/>
        <v>8.0475954701446089</v>
      </c>
      <c r="K576" s="664">
        <f t="shared" si="75"/>
        <v>2.9591008543721729</v>
      </c>
      <c r="L576" s="39">
        <v>3.7120771696615007</v>
      </c>
      <c r="M576" s="39">
        <f t="shared" si="78"/>
        <v>2.4148496364780616</v>
      </c>
      <c r="N576" s="117">
        <f t="shared" si="77"/>
        <v>2.9437017068667575</v>
      </c>
      <c r="O576" s="94">
        <f t="shared" si="70"/>
        <v>5.8436640964039381E-2</v>
      </c>
      <c r="P576" s="240"/>
    </row>
    <row r="577" spans="1:16" s="6" customFormat="1" ht="15.75">
      <c r="A577" s="275">
        <v>41</v>
      </c>
      <c r="B577" s="122" t="s">
        <v>286</v>
      </c>
      <c r="C577" s="790">
        <v>95.9</v>
      </c>
      <c r="D577" s="790"/>
      <c r="E577" s="790"/>
      <c r="F577" s="220">
        <f t="shared" si="72"/>
        <v>95.9</v>
      </c>
      <c r="G577" s="18" t="s">
        <v>1339</v>
      </c>
      <c r="H577" s="97">
        <v>92.4</v>
      </c>
      <c r="I577" s="711">
        <f t="shared" si="73"/>
        <v>2.677301697131115E-3</v>
      </c>
      <c r="J577" s="39">
        <f t="shared" si="74"/>
        <v>6.075145600011127</v>
      </c>
      <c r="K577" s="664">
        <f t="shared" si="75"/>
        <v>2.2338310371240917</v>
      </c>
      <c r="L577" s="39">
        <v>2.8022543339601524</v>
      </c>
      <c r="M577" s="39">
        <f t="shared" si="78"/>
        <v>1.822974725576576</v>
      </c>
      <c r="N577" s="117">
        <f t="shared" si="77"/>
        <v>2.2222061904778463</v>
      </c>
      <c r="O577" s="94">
        <f t="shared" si="70"/>
        <v>0.13487180079949893</v>
      </c>
      <c r="P577" s="240"/>
    </row>
    <row r="578" spans="1:16" s="25" customFormat="1" ht="15.75">
      <c r="A578" s="275">
        <v>42</v>
      </c>
      <c r="B578" s="122" t="s">
        <v>287</v>
      </c>
      <c r="C578" s="790">
        <v>4501</v>
      </c>
      <c r="D578" s="790"/>
      <c r="E578" s="790"/>
      <c r="F578" s="220">
        <f t="shared" si="72"/>
        <v>4501</v>
      </c>
      <c r="G578" s="359" t="s">
        <v>1340</v>
      </c>
      <c r="H578" s="97">
        <v>649</v>
      </c>
      <c r="I578" s="711">
        <f t="shared" si="73"/>
        <v>1.8804857158420923E-2</v>
      </c>
      <c r="J578" s="39">
        <f t="shared" si="74"/>
        <v>42.670665523887671</v>
      </c>
      <c r="K578" s="664">
        <f t="shared" si="75"/>
        <v>15.690003713133498</v>
      </c>
      <c r="L578" s="39">
        <v>19.68250067900583</v>
      </c>
      <c r="M578" s="39">
        <f>I578*376.38</f>
        <v>7.077772137286467</v>
      </c>
      <c r="N578" s="117">
        <f t="shared" si="77"/>
        <v>8.6278042353522046</v>
      </c>
      <c r="O578" s="94">
        <f t="shared" si="70"/>
        <v>1.8911562331329363E-2</v>
      </c>
      <c r="P578" s="360"/>
    </row>
    <row r="579" spans="1:16" s="6" customFormat="1" ht="15.75">
      <c r="A579" s="275">
        <v>43</v>
      </c>
      <c r="B579" s="122" t="s">
        <v>288</v>
      </c>
      <c r="C579" s="790">
        <v>195.86</v>
      </c>
      <c r="D579" s="790"/>
      <c r="E579" s="790"/>
      <c r="F579" s="220">
        <f t="shared" si="72"/>
        <v>195.86</v>
      </c>
      <c r="G579" s="18" t="s">
        <v>1339</v>
      </c>
      <c r="H579" s="97">
        <v>105.4</v>
      </c>
      <c r="I579" s="711">
        <f t="shared" si="73"/>
        <v>3.0539783428313798E-3</v>
      </c>
      <c r="J579" s="39">
        <f t="shared" si="74"/>
        <v>6.9298738770689692</v>
      </c>
      <c r="K579" s="664">
        <f t="shared" si="75"/>
        <v>2.5481146245982602</v>
      </c>
      <c r="L579" s="39">
        <v>3.1965108960974038</v>
      </c>
      <c r="M579" s="39">
        <f t="shared" si="78"/>
        <v>2.0794538536338862</v>
      </c>
      <c r="N579" s="117">
        <f t="shared" si="77"/>
        <v>2.5348542475797076</v>
      </c>
      <c r="O579" s="94">
        <f t="shared" si="70"/>
        <v>7.5329078175219652E-2</v>
      </c>
      <c r="P579" s="240"/>
    </row>
    <row r="580" spans="1:16" s="6" customFormat="1" ht="15.75">
      <c r="A580" s="275">
        <v>44</v>
      </c>
      <c r="B580" s="122" t="s">
        <v>289</v>
      </c>
      <c r="C580" s="790">
        <v>148</v>
      </c>
      <c r="D580" s="790"/>
      <c r="E580" s="790"/>
      <c r="F580" s="220">
        <f t="shared" si="72"/>
        <v>148</v>
      </c>
      <c r="G580" s="18" t="s">
        <v>1339</v>
      </c>
      <c r="H580" s="97">
        <v>139.9</v>
      </c>
      <c r="I580" s="711">
        <f t="shared" si="73"/>
        <v>4.053620210266699E-3</v>
      </c>
      <c r="J580" s="39">
        <f t="shared" si="74"/>
        <v>9.1981912277224751</v>
      </c>
      <c r="K580" s="664">
        <f t="shared" si="75"/>
        <v>3.3821749144335542</v>
      </c>
      <c r="L580" s="39">
        <v>4.2428071571539538</v>
      </c>
      <c r="M580" s="39">
        <f t="shared" si="78"/>
        <v>2.7601100011705952</v>
      </c>
      <c r="N580" s="117">
        <f t="shared" si="77"/>
        <v>3.364574091426956</v>
      </c>
      <c r="O580" s="94">
        <f t="shared" si="70"/>
        <v>0.13231948176000391</v>
      </c>
      <c r="P580" s="240"/>
    </row>
    <row r="581" spans="1:16" s="6" customFormat="1" ht="15.75">
      <c r="A581" s="275">
        <v>45</v>
      </c>
      <c r="B581" s="122" t="s">
        <v>290</v>
      </c>
      <c r="C581" s="790">
        <v>74.95</v>
      </c>
      <c r="D581" s="790"/>
      <c r="E581" s="790"/>
      <c r="F581" s="220">
        <f t="shared" si="72"/>
        <v>74.95</v>
      </c>
      <c r="G581" s="18" t="s">
        <v>1339</v>
      </c>
      <c r="H581" s="97">
        <v>99.7</v>
      </c>
      <c r="I581" s="711">
        <f t="shared" si="73"/>
        <v>2.88882012125511E-3</v>
      </c>
      <c r="J581" s="39">
        <f t="shared" si="74"/>
        <v>6.5551084017436079</v>
      </c>
      <c r="K581" s="664">
        <f t="shared" si="75"/>
        <v>2.4103133593211248</v>
      </c>
      <c r="L581" s="39">
        <v>3.0236445573141473</v>
      </c>
      <c r="M581" s="39">
        <f t="shared" si="78"/>
        <v>1.9669976205626043</v>
      </c>
      <c r="N581" s="117">
        <f t="shared" si="77"/>
        <v>2.3977700994658147</v>
      </c>
      <c r="O581" s="94">
        <f t="shared" si="70"/>
        <v>0.18620498917867223</v>
      </c>
      <c r="P581" s="240"/>
    </row>
    <row r="582" spans="1:16" s="6" customFormat="1" ht="15.75">
      <c r="A582" s="275">
        <v>46</v>
      </c>
      <c r="B582" s="122" t="s">
        <v>291</v>
      </c>
      <c r="C582" s="790">
        <v>87.3</v>
      </c>
      <c r="D582" s="790"/>
      <c r="E582" s="790"/>
      <c r="F582" s="220">
        <f t="shared" si="72"/>
        <v>87.3</v>
      </c>
      <c r="G582" s="18" t="s">
        <v>1339</v>
      </c>
      <c r="H582" s="97">
        <v>79.7</v>
      </c>
      <c r="I582" s="711">
        <f t="shared" si="73"/>
        <v>2.309317589408548E-3</v>
      </c>
      <c r="J582" s="39">
        <f t="shared" si="74"/>
        <v>5.2401418216546185</v>
      </c>
      <c r="K582" s="664">
        <f t="shared" si="75"/>
        <v>1.9268001478224033</v>
      </c>
      <c r="L582" s="39">
        <v>2.4170960001799151</v>
      </c>
      <c r="M582" s="39">
        <f t="shared" si="78"/>
        <v>1.5724143466282803</v>
      </c>
      <c r="N582" s="117">
        <f t="shared" si="77"/>
        <v>1.9167730885398737</v>
      </c>
      <c r="O582" s="94">
        <f t="shared" si="70"/>
        <v>0.12779441370315256</v>
      </c>
      <c r="P582" s="240"/>
    </row>
    <row r="583" spans="1:16" s="6" customFormat="1" ht="15.75">
      <c r="A583" s="275">
        <v>47</v>
      </c>
      <c r="B583" s="122" t="s">
        <v>292</v>
      </c>
      <c r="C583" s="790">
        <v>92.6</v>
      </c>
      <c r="D583" s="790"/>
      <c r="E583" s="790"/>
      <c r="F583" s="220">
        <f t="shared" si="72"/>
        <v>92.6</v>
      </c>
      <c r="G583" s="18" t="s">
        <v>1339</v>
      </c>
      <c r="H583" s="97">
        <v>90.7</v>
      </c>
      <c r="I583" s="711">
        <f t="shared" si="73"/>
        <v>2.628043981924157E-3</v>
      </c>
      <c r="J583" s="39">
        <f t="shared" si="74"/>
        <v>5.9633734407035623</v>
      </c>
      <c r="K583" s="664">
        <f t="shared" si="75"/>
        <v>2.1927324141466999</v>
      </c>
      <c r="L583" s="39">
        <v>2.7506977066037428</v>
      </c>
      <c r="M583" s="39">
        <f t="shared" si="78"/>
        <v>1.7894351472921586</v>
      </c>
      <c r="N583" s="117">
        <f t="shared" si="77"/>
        <v>2.1813214445491416</v>
      </c>
      <c r="O583" s="94">
        <f t="shared" ref="O583:O646" si="79">(M583+L583+K583+J583)/F583</f>
        <v>0.13710840938170804</v>
      </c>
      <c r="P583" s="240"/>
    </row>
    <row r="584" spans="1:16" s="6" customFormat="1" ht="15.75">
      <c r="A584" s="275">
        <v>48</v>
      </c>
      <c r="B584" s="122" t="s">
        <v>293</v>
      </c>
      <c r="C584" s="790">
        <v>110.7</v>
      </c>
      <c r="D584" s="790"/>
      <c r="E584" s="790"/>
      <c r="F584" s="220">
        <f t="shared" si="72"/>
        <v>110.7</v>
      </c>
      <c r="G584" s="18" t="s">
        <v>1339</v>
      </c>
      <c r="H584" s="97">
        <v>119.8</v>
      </c>
      <c r="I584" s="711">
        <f t="shared" si="73"/>
        <v>3.4712201657609038E-3</v>
      </c>
      <c r="J584" s="39">
        <f t="shared" si="74"/>
        <v>7.8766498147330397</v>
      </c>
      <c r="K584" s="664">
        <f t="shared" si="75"/>
        <v>2.8962441368773391</v>
      </c>
      <c r="L584" s="39">
        <v>3.6332258572340503</v>
      </c>
      <c r="M584" s="39">
        <f t="shared" si="78"/>
        <v>2.3635538108665992</v>
      </c>
      <c r="N584" s="117">
        <f t="shared" si="77"/>
        <v>2.8811720954463844</v>
      </c>
      <c r="O584" s="94">
        <f t="shared" si="79"/>
        <v>0.15148756657372203</v>
      </c>
      <c r="P584" s="240"/>
    </row>
    <row r="585" spans="1:16" s="6" customFormat="1" ht="15.75">
      <c r="A585" s="275">
        <v>49</v>
      </c>
      <c r="B585" s="122" t="s">
        <v>294</v>
      </c>
      <c r="C585" s="790">
        <v>78.7</v>
      </c>
      <c r="D585" s="790"/>
      <c r="E585" s="790"/>
      <c r="F585" s="220">
        <f t="shared" si="72"/>
        <v>78.7</v>
      </c>
      <c r="G585" s="18" t="s">
        <v>1339</v>
      </c>
      <c r="H585" s="97">
        <v>90.7</v>
      </c>
      <c r="I585" s="711">
        <f t="shared" si="73"/>
        <v>2.628043981924157E-3</v>
      </c>
      <c r="J585" s="39">
        <f t="shared" si="74"/>
        <v>5.9633734407035623</v>
      </c>
      <c r="K585" s="664">
        <f t="shared" si="75"/>
        <v>2.1927324141466999</v>
      </c>
      <c r="L585" s="39">
        <v>2.7506977066037428</v>
      </c>
      <c r="M585" s="39">
        <f t="shared" si="78"/>
        <v>1.7894351472921586</v>
      </c>
      <c r="N585" s="117">
        <f t="shared" si="77"/>
        <v>2.1813214445491416</v>
      </c>
      <c r="O585" s="94">
        <f t="shared" si="79"/>
        <v>0.16132450709969715</v>
      </c>
      <c r="P585" s="240"/>
    </row>
    <row r="586" spans="1:16" s="6" customFormat="1" ht="15.75">
      <c r="A586" s="275">
        <v>50</v>
      </c>
      <c r="B586" s="122" t="s">
        <v>295</v>
      </c>
      <c r="C586" s="790">
        <v>114</v>
      </c>
      <c r="D586" s="790"/>
      <c r="E586" s="790"/>
      <c r="F586" s="220">
        <f t="shared" si="72"/>
        <v>114</v>
      </c>
      <c r="G586" s="18" t="s">
        <v>1339</v>
      </c>
      <c r="H586" s="97">
        <v>125.5</v>
      </c>
      <c r="I586" s="711">
        <f t="shared" si="73"/>
        <v>3.6363783873371741E-3</v>
      </c>
      <c r="J586" s="39">
        <f t="shared" si="74"/>
        <v>8.2514152900584019</v>
      </c>
      <c r="K586" s="664">
        <f t="shared" si="75"/>
        <v>3.0340454021544745</v>
      </c>
      <c r="L586" s="39">
        <v>3.8060921960173064</v>
      </c>
      <c r="M586" s="39">
        <f t="shared" si="78"/>
        <v>2.4760100439378818</v>
      </c>
      <c r="N586" s="117">
        <f t="shared" si="77"/>
        <v>3.0182562435602782</v>
      </c>
      <c r="O586" s="94">
        <f t="shared" si="79"/>
        <v>0.15410142922954445</v>
      </c>
      <c r="P586" s="240"/>
    </row>
    <row r="587" spans="1:16" s="6" customFormat="1" ht="15.75">
      <c r="A587" s="275">
        <v>51</v>
      </c>
      <c r="B587" s="122" t="s">
        <v>296</v>
      </c>
      <c r="C587" s="790">
        <v>25.1</v>
      </c>
      <c r="D587" s="790"/>
      <c r="E587" s="790"/>
      <c r="F587" s="220">
        <f t="shared" si="72"/>
        <v>25.1</v>
      </c>
      <c r="G587" s="18" t="s">
        <v>1339</v>
      </c>
      <c r="H587" s="97">
        <v>40.6</v>
      </c>
      <c r="I587" s="711">
        <f t="shared" si="73"/>
        <v>1.1763901396485202E-3</v>
      </c>
      <c r="J587" s="39">
        <f t="shared" si="74"/>
        <v>2.6693821575806469</v>
      </c>
      <c r="K587" s="664">
        <f t="shared" si="75"/>
        <v>0.98153181934240397</v>
      </c>
      <c r="L587" s="39">
        <v>1.2312935709824913</v>
      </c>
      <c r="M587" s="39">
        <f t="shared" si="78"/>
        <v>0.80100404608667741</v>
      </c>
      <c r="N587" s="117">
        <f t="shared" si="77"/>
        <v>0.97642393217965984</v>
      </c>
      <c r="O587" s="94">
        <f t="shared" si="79"/>
        <v>0.22642277266901273</v>
      </c>
      <c r="P587" s="240"/>
    </row>
    <row r="588" spans="1:16" s="6" customFormat="1" ht="15.75">
      <c r="A588" s="275">
        <v>52</v>
      </c>
      <c r="B588" s="122" t="s">
        <v>297</v>
      </c>
      <c r="C588" s="790">
        <v>66.599999999999994</v>
      </c>
      <c r="D588" s="790"/>
      <c r="E588" s="790"/>
      <c r="F588" s="220">
        <f t="shared" si="72"/>
        <v>66.599999999999994</v>
      </c>
      <c r="G588" s="18" t="s">
        <v>1339</v>
      </c>
      <c r="H588" s="97">
        <v>75.599999999999994</v>
      </c>
      <c r="I588" s="711">
        <f t="shared" si="73"/>
        <v>2.1905195703800029E-3</v>
      </c>
      <c r="J588" s="39">
        <f t="shared" si="74"/>
        <v>4.9705736727363758</v>
      </c>
      <c r="K588" s="664">
        <f t="shared" si="75"/>
        <v>1.8276799394651655</v>
      </c>
      <c r="L588" s="39">
        <v>2.2927535459673973</v>
      </c>
      <c r="M588" s="39">
        <f t="shared" si="78"/>
        <v>1.491524775471744</v>
      </c>
      <c r="N588" s="117">
        <f t="shared" si="77"/>
        <v>1.818168701300056</v>
      </c>
      <c r="O588" s="94">
        <f t="shared" si="79"/>
        <v>0.15889687588049076</v>
      </c>
      <c r="P588" s="240"/>
    </row>
    <row r="589" spans="1:16" s="6" customFormat="1" ht="15.75">
      <c r="A589" s="275">
        <v>53</v>
      </c>
      <c r="B589" s="122" t="s">
        <v>298</v>
      </c>
      <c r="C589" s="790">
        <v>156.4</v>
      </c>
      <c r="D589" s="790"/>
      <c r="E589" s="790"/>
      <c r="F589" s="220">
        <f t="shared" si="72"/>
        <v>156.4</v>
      </c>
      <c r="G589" s="18" t="s">
        <v>1339</v>
      </c>
      <c r="H589" s="97">
        <v>163.69999999999999</v>
      </c>
      <c r="I589" s="711">
        <f t="shared" si="73"/>
        <v>4.7432282231641065E-3</v>
      </c>
      <c r="J589" s="39">
        <f t="shared" si="74"/>
        <v>10.76300145802837</v>
      </c>
      <c r="K589" s="664">
        <f t="shared" si="75"/>
        <v>3.9575556361170321</v>
      </c>
      <c r="L589" s="39">
        <v>4.9645999401436898</v>
      </c>
      <c r="M589" s="39">
        <f t="shared" si="78"/>
        <v>3.22966409715244</v>
      </c>
      <c r="N589" s="117">
        <f t="shared" si="77"/>
        <v>3.9369605344288248</v>
      </c>
      <c r="O589" s="94">
        <f t="shared" si="79"/>
        <v>0.14651420160768241</v>
      </c>
      <c r="P589" s="240"/>
    </row>
    <row r="590" spans="1:16" s="6" customFormat="1" ht="15.75">
      <c r="A590" s="275">
        <v>54</v>
      </c>
      <c r="B590" s="122" t="s">
        <v>299</v>
      </c>
      <c r="C590" s="790">
        <v>72.7</v>
      </c>
      <c r="D590" s="790"/>
      <c r="E590" s="790"/>
      <c r="F590" s="220">
        <f t="shared" si="72"/>
        <v>72.7</v>
      </c>
      <c r="G590" s="18" t="s">
        <v>1339</v>
      </c>
      <c r="H590" s="97">
        <v>74</v>
      </c>
      <c r="I590" s="711">
        <f t="shared" si="73"/>
        <v>2.1441593678322782E-3</v>
      </c>
      <c r="J590" s="39">
        <f t="shared" si="74"/>
        <v>4.8653763463292572</v>
      </c>
      <c r="K590" s="664">
        <f t="shared" si="75"/>
        <v>1.7889988825452681</v>
      </c>
      <c r="L590" s="39">
        <v>2.244229661396659</v>
      </c>
      <c r="M590" s="39">
        <f t="shared" si="78"/>
        <v>1.4599581135569981</v>
      </c>
      <c r="N590" s="117">
        <f t="shared" si="77"/>
        <v>1.7796889404259808</v>
      </c>
      <c r="O590" s="94">
        <f t="shared" si="79"/>
        <v>0.14248367267989245</v>
      </c>
      <c r="P590" s="240"/>
    </row>
    <row r="591" spans="1:16" s="6" customFormat="1" ht="15.75">
      <c r="A591" s="275">
        <v>55</v>
      </c>
      <c r="B591" s="122" t="s">
        <v>300</v>
      </c>
      <c r="C591" s="790">
        <v>59.6</v>
      </c>
      <c r="D591" s="790"/>
      <c r="E591" s="790"/>
      <c r="F591" s="220">
        <f t="shared" si="72"/>
        <v>59.6</v>
      </c>
      <c r="G591" s="18" t="s">
        <v>1339</v>
      </c>
      <c r="H591" s="97">
        <v>63</v>
      </c>
      <c r="I591" s="711">
        <f t="shared" si="73"/>
        <v>1.8254329753166691E-3</v>
      </c>
      <c r="J591" s="39">
        <f t="shared" si="74"/>
        <v>4.1421447272803134</v>
      </c>
      <c r="K591" s="664">
        <f t="shared" si="75"/>
        <v>1.5230666162209714</v>
      </c>
      <c r="L591" s="39">
        <v>1.9106279549728313</v>
      </c>
      <c r="M591" s="39">
        <f t="shared" si="78"/>
        <v>1.24293731289312</v>
      </c>
      <c r="N591" s="117">
        <f t="shared" si="77"/>
        <v>1.5151405844167134</v>
      </c>
      <c r="O591" s="94">
        <f t="shared" si="79"/>
        <v>0.14796605052629588</v>
      </c>
      <c r="P591" s="240"/>
    </row>
    <row r="592" spans="1:16" s="6" customFormat="1" ht="15.75">
      <c r="A592" s="275">
        <v>56</v>
      </c>
      <c r="B592" s="122" t="s">
        <v>301</v>
      </c>
      <c r="C592" s="790">
        <v>176</v>
      </c>
      <c r="D592" s="790"/>
      <c r="E592" s="790"/>
      <c r="F592" s="220">
        <f t="shared" si="72"/>
        <v>176</v>
      </c>
      <c r="G592" s="18" t="s">
        <v>1339</v>
      </c>
      <c r="H592" s="97">
        <v>148</v>
      </c>
      <c r="I592" s="711">
        <f t="shared" si="73"/>
        <v>4.2883187356645563E-3</v>
      </c>
      <c r="J592" s="39">
        <f t="shared" si="74"/>
        <v>9.7307526926585144</v>
      </c>
      <c r="K592" s="664">
        <f t="shared" si="75"/>
        <v>3.5779977650905361</v>
      </c>
      <c r="L592" s="39">
        <v>4.4884593227933181</v>
      </c>
      <c r="M592" s="39">
        <f t="shared" si="78"/>
        <v>2.9199162271139962</v>
      </c>
      <c r="N592" s="117">
        <f t="shared" si="77"/>
        <v>3.5593778808519616</v>
      </c>
      <c r="O592" s="94">
        <f t="shared" si="79"/>
        <v>0.11771094322532026</v>
      </c>
      <c r="P592" s="240"/>
    </row>
    <row r="593" spans="1:16" s="6" customFormat="1" ht="15.75">
      <c r="A593" s="275">
        <v>57</v>
      </c>
      <c r="B593" s="122" t="s">
        <v>302</v>
      </c>
      <c r="C593" s="790">
        <v>149</v>
      </c>
      <c r="D593" s="790"/>
      <c r="E593" s="790"/>
      <c r="F593" s="220">
        <f t="shared" si="72"/>
        <v>149</v>
      </c>
      <c r="G593" s="18" t="s">
        <v>1339</v>
      </c>
      <c r="H593" s="97">
        <v>193</v>
      </c>
      <c r="I593" s="711">
        <f t="shared" si="73"/>
        <v>5.5921994323193201E-3</v>
      </c>
      <c r="J593" s="39">
        <f t="shared" si="74"/>
        <v>12.689427497858739</v>
      </c>
      <c r="K593" s="664">
        <f t="shared" si="75"/>
        <v>4.665902490962659</v>
      </c>
      <c r="L593" s="39">
        <v>5.8531935763453404</v>
      </c>
      <c r="M593" s="39">
        <f t="shared" si="78"/>
        <v>3.8077285934662251</v>
      </c>
      <c r="N593" s="117">
        <f t="shared" si="77"/>
        <v>4.6416211554353284</v>
      </c>
      <c r="O593" s="94">
        <f t="shared" si="79"/>
        <v>0.18131712858142932</v>
      </c>
      <c r="P593" s="240"/>
    </row>
    <row r="594" spans="1:16" s="6" customFormat="1" ht="15.75">
      <c r="A594" s="275">
        <v>58</v>
      </c>
      <c r="B594" s="122" t="s">
        <v>303</v>
      </c>
      <c r="C594" s="790">
        <v>224.8</v>
      </c>
      <c r="D594" s="790"/>
      <c r="E594" s="790"/>
      <c r="F594" s="220">
        <f t="shared" si="72"/>
        <v>224.8</v>
      </c>
      <c r="G594" s="18" t="s">
        <v>1339</v>
      </c>
      <c r="H594" s="97">
        <v>116</v>
      </c>
      <c r="I594" s="711">
        <f t="shared" si="73"/>
        <v>3.3611146847100574E-3</v>
      </c>
      <c r="J594" s="39">
        <f t="shared" si="74"/>
        <v>7.6268061645161334</v>
      </c>
      <c r="K594" s="664">
        <f t="shared" si="75"/>
        <v>2.8043766266925823</v>
      </c>
      <c r="L594" s="39">
        <v>3.5179816313785461</v>
      </c>
      <c r="M594" s="39">
        <f t="shared" si="78"/>
        <v>2.2885829888190781</v>
      </c>
      <c r="N594" s="117">
        <f t="shared" si="77"/>
        <v>2.7897826633704566</v>
      </c>
      <c r="O594" s="94">
        <f t="shared" si="79"/>
        <v>7.2231972470668759E-2</v>
      </c>
      <c r="P594" s="240"/>
    </row>
    <row r="595" spans="1:16" s="6" customFormat="1" ht="15.75">
      <c r="A595" s="275">
        <v>59</v>
      </c>
      <c r="B595" s="122" t="s">
        <v>304</v>
      </c>
      <c r="C595" s="790">
        <v>243.4</v>
      </c>
      <c r="D595" s="790"/>
      <c r="E595" s="790"/>
      <c r="F595" s="220">
        <f t="shared" ref="F595:F653" si="80">C595+D595+E595</f>
        <v>243.4</v>
      </c>
      <c r="G595" s="18" t="s">
        <v>1339</v>
      </c>
      <c r="H595" s="97">
        <v>162</v>
      </c>
      <c r="I595" s="711">
        <f t="shared" si="73"/>
        <v>4.693970507957149E-3</v>
      </c>
      <c r="J595" s="39">
        <f t="shared" si="74"/>
        <v>10.651229298720805</v>
      </c>
      <c r="K595" s="664">
        <f t="shared" ref="K595:K653" si="81">J595*0.3677</f>
        <v>3.9164570131396403</v>
      </c>
      <c r="L595" s="39">
        <v>4.9130433127872806</v>
      </c>
      <c r="M595" s="39">
        <f t="shared" si="78"/>
        <v>3.1961245188680225</v>
      </c>
      <c r="N595" s="117">
        <f t="shared" si="77"/>
        <v>3.8960757885001196</v>
      </c>
      <c r="O595" s="94">
        <f t="shared" si="79"/>
        <v>9.316702606210249E-2</v>
      </c>
      <c r="P595" s="240"/>
    </row>
    <row r="596" spans="1:16" s="6" customFormat="1" ht="15.75">
      <c r="A596" s="275">
        <v>60</v>
      </c>
      <c r="B596" s="122" t="s">
        <v>305</v>
      </c>
      <c r="C596" s="790">
        <v>169.9</v>
      </c>
      <c r="D596" s="790"/>
      <c r="E596" s="790"/>
      <c r="F596" s="220">
        <f t="shared" si="80"/>
        <v>169.9</v>
      </c>
      <c r="G596" s="18" t="s">
        <v>1339</v>
      </c>
      <c r="H596" s="97">
        <v>139</v>
      </c>
      <c r="I596" s="711">
        <f t="shared" si="73"/>
        <v>4.0275425963336034E-3</v>
      </c>
      <c r="J596" s="39">
        <f t="shared" si="74"/>
        <v>9.1390177316184698</v>
      </c>
      <c r="K596" s="664">
        <f t="shared" si="81"/>
        <v>3.3604168199161117</v>
      </c>
      <c r="L596" s="39">
        <v>4.2155124720829136</v>
      </c>
      <c r="M596" s="39">
        <f t="shared" si="78"/>
        <v>2.7423537538435503</v>
      </c>
      <c r="N596" s="117">
        <f t="shared" si="77"/>
        <v>3.3429292259352881</v>
      </c>
      <c r="O596" s="94">
        <f t="shared" si="79"/>
        <v>0.11452207638293729</v>
      </c>
      <c r="P596" s="240"/>
    </row>
    <row r="597" spans="1:16" s="6" customFormat="1" ht="15.75">
      <c r="A597" s="275">
        <v>61</v>
      </c>
      <c r="B597" s="122" t="s">
        <v>306</v>
      </c>
      <c r="C597" s="790">
        <v>377.1</v>
      </c>
      <c r="D597" s="790"/>
      <c r="E597" s="790"/>
      <c r="F597" s="220">
        <f t="shared" si="80"/>
        <v>377.1</v>
      </c>
      <c r="G597" s="18" t="s">
        <v>1339</v>
      </c>
      <c r="H597" s="97">
        <v>345</v>
      </c>
      <c r="I597" s="711">
        <f t="shared" si="73"/>
        <v>9.9964186743531878E-3</v>
      </c>
      <c r="J597" s="39">
        <f t="shared" si="74"/>
        <v>22.683173506535049</v>
      </c>
      <c r="K597" s="664">
        <f t="shared" si="81"/>
        <v>8.3406028983529374</v>
      </c>
      <c r="L597" s="39">
        <v>10.462962610565505</v>
      </c>
      <c r="M597" s="39">
        <f t="shared" si="78"/>
        <v>6.8065614753670856</v>
      </c>
      <c r="N597" s="117">
        <f t="shared" si="77"/>
        <v>8.2971984384724777</v>
      </c>
      <c r="O597" s="94">
        <f t="shared" si="79"/>
        <v>0.12806497080567641</v>
      </c>
      <c r="P597" s="240"/>
    </row>
    <row r="598" spans="1:16" s="6" customFormat="1" ht="15.75">
      <c r="A598" s="275">
        <v>62</v>
      </c>
      <c r="B598" s="122" t="s">
        <v>307</v>
      </c>
      <c r="C598" s="790">
        <v>87.1</v>
      </c>
      <c r="D598" s="790"/>
      <c r="E598" s="790"/>
      <c r="F598" s="220">
        <f t="shared" si="80"/>
        <v>87.1</v>
      </c>
      <c r="G598" s="18" t="s">
        <v>1339</v>
      </c>
      <c r="H598" s="97">
        <v>143</v>
      </c>
      <c r="I598" s="711">
        <f t="shared" si="73"/>
        <v>4.1434431027029157E-3</v>
      </c>
      <c r="J598" s="39">
        <f t="shared" si="74"/>
        <v>9.4020110476362682</v>
      </c>
      <c r="K598" s="664">
        <f t="shared" si="81"/>
        <v>3.4571194622158559</v>
      </c>
      <c r="L598" s="39">
        <v>4.33682218350976</v>
      </c>
      <c r="M598" s="39">
        <f t="shared" si="78"/>
        <v>2.8212704086304154</v>
      </c>
      <c r="N598" s="117">
        <f t="shared" si="77"/>
        <v>3.4391286281204767</v>
      </c>
      <c r="O598" s="94">
        <f t="shared" si="79"/>
        <v>0.2298188645464099</v>
      </c>
      <c r="P598" s="240"/>
    </row>
    <row r="599" spans="1:16" s="6" customFormat="1" ht="15.75">
      <c r="A599" s="275">
        <v>63</v>
      </c>
      <c r="B599" s="122" t="s">
        <v>308</v>
      </c>
      <c r="C599" s="790">
        <v>348.2</v>
      </c>
      <c r="D599" s="790"/>
      <c r="E599" s="790"/>
      <c r="F599" s="220">
        <f t="shared" si="80"/>
        <v>348.2</v>
      </c>
      <c r="G599" s="18" t="s">
        <v>1339</v>
      </c>
      <c r="H599" s="97">
        <v>261</v>
      </c>
      <c r="I599" s="711">
        <f t="shared" si="73"/>
        <v>7.5625080405976293E-3</v>
      </c>
      <c r="J599" s="39">
        <f t="shared" si="74"/>
        <v>17.1603138701613</v>
      </c>
      <c r="K599" s="664">
        <f t="shared" si="81"/>
        <v>6.3098474100583104</v>
      </c>
      <c r="L599" s="39">
        <v>7.915458670601728</v>
      </c>
      <c r="M599" s="39">
        <f t="shared" si="78"/>
        <v>5.1493117248429252</v>
      </c>
      <c r="N599" s="117">
        <f t="shared" si="77"/>
        <v>6.2770109925835262</v>
      </c>
      <c r="O599" s="94">
        <f t="shared" si="79"/>
        <v>0.10492513404843271</v>
      </c>
      <c r="P599" s="240"/>
    </row>
    <row r="600" spans="1:16" s="6" customFormat="1" ht="15.75">
      <c r="A600" s="275">
        <v>64</v>
      </c>
      <c r="B600" s="122" t="s">
        <v>309</v>
      </c>
      <c r="C600" s="790">
        <v>227.7</v>
      </c>
      <c r="D600" s="790"/>
      <c r="E600" s="790"/>
      <c r="F600" s="220">
        <f t="shared" si="80"/>
        <v>227.7</v>
      </c>
      <c r="G600" s="18" t="s">
        <v>1339</v>
      </c>
      <c r="H600" s="97">
        <v>193</v>
      </c>
      <c r="I600" s="711">
        <f t="shared" si="73"/>
        <v>5.5921994323193201E-3</v>
      </c>
      <c r="J600" s="39">
        <f t="shared" si="74"/>
        <v>12.689427497858739</v>
      </c>
      <c r="K600" s="664">
        <f t="shared" si="81"/>
        <v>4.665902490962659</v>
      </c>
      <c r="L600" s="39">
        <v>5.8531935763453404</v>
      </c>
      <c r="M600" s="39">
        <f t="shared" si="78"/>
        <v>3.8077285934662251</v>
      </c>
      <c r="N600" s="117">
        <f t="shared" si="77"/>
        <v>4.6416211554353284</v>
      </c>
      <c r="O600" s="94">
        <f t="shared" si="79"/>
        <v>0.11864845041121198</v>
      </c>
      <c r="P600" s="240"/>
    </row>
    <row r="601" spans="1:16" s="6" customFormat="1" ht="15.75">
      <c r="A601" s="275">
        <v>65</v>
      </c>
      <c r="B601" s="122" t="s">
        <v>310</v>
      </c>
      <c r="C601" s="790">
        <v>409.2</v>
      </c>
      <c r="D601" s="790"/>
      <c r="E601" s="790"/>
      <c r="F601" s="220">
        <f t="shared" si="80"/>
        <v>409.2</v>
      </c>
      <c r="G601" s="18" t="s">
        <v>1339</v>
      </c>
      <c r="H601" s="97">
        <v>342</v>
      </c>
      <c r="I601" s="711">
        <f t="shared" ref="I601:I664" si="82">2/69024.72*H601</f>
        <v>9.9094932945762038E-3</v>
      </c>
      <c r="J601" s="39">
        <f t="shared" ref="J601:J664" si="83">I601*2269.13</f>
        <v>22.485928519521703</v>
      </c>
      <c r="K601" s="664">
        <f t="shared" si="81"/>
        <v>8.2680759166281312</v>
      </c>
      <c r="L601" s="39">
        <v>10.371980326995368</v>
      </c>
      <c r="M601" s="39">
        <f t="shared" si="78"/>
        <v>6.7473739842769369</v>
      </c>
      <c r="N601" s="117">
        <f t="shared" si="77"/>
        <v>8.2250488868335871</v>
      </c>
      <c r="O601" s="94">
        <f t="shared" si="79"/>
        <v>0.11699256780894951</v>
      </c>
      <c r="P601" s="240"/>
    </row>
    <row r="602" spans="1:16" s="6" customFormat="1" ht="15.75">
      <c r="A602" s="275">
        <v>66</v>
      </c>
      <c r="B602" s="122" t="s">
        <v>311</v>
      </c>
      <c r="C602" s="790">
        <v>177.6</v>
      </c>
      <c r="D602" s="790"/>
      <c r="E602" s="790"/>
      <c r="F602" s="220">
        <f t="shared" si="80"/>
        <v>177.6</v>
      </c>
      <c r="G602" s="18" t="s">
        <v>1339</v>
      </c>
      <c r="H602" s="97">
        <v>146</v>
      </c>
      <c r="I602" s="711">
        <f t="shared" si="82"/>
        <v>4.2303684824798998E-3</v>
      </c>
      <c r="J602" s="39">
        <f t="shared" si="83"/>
        <v>9.5992560346496152</v>
      </c>
      <c r="K602" s="664">
        <f t="shared" si="81"/>
        <v>3.5296464439406638</v>
      </c>
      <c r="L602" s="39">
        <v>4.4278044670798939</v>
      </c>
      <c r="M602" s="39">
        <f t="shared" si="78"/>
        <v>2.8804578997205637</v>
      </c>
      <c r="N602" s="117">
        <f t="shared" si="77"/>
        <v>3.5112781797593673</v>
      </c>
      <c r="O602" s="94">
        <f t="shared" si="79"/>
        <v>0.1150741263817046</v>
      </c>
      <c r="P602" s="240"/>
    </row>
    <row r="603" spans="1:16" s="6" customFormat="1" ht="15.75">
      <c r="A603" s="275">
        <v>67</v>
      </c>
      <c r="B603" s="122" t="s">
        <v>312</v>
      </c>
      <c r="C603" s="790">
        <v>383.9</v>
      </c>
      <c r="D603" s="790"/>
      <c r="E603" s="790"/>
      <c r="F603" s="220">
        <f t="shared" si="80"/>
        <v>383.9</v>
      </c>
      <c r="G603" s="18" t="s">
        <v>1339</v>
      </c>
      <c r="H603" s="97">
        <v>342</v>
      </c>
      <c r="I603" s="711">
        <f t="shared" si="82"/>
        <v>9.9094932945762038E-3</v>
      </c>
      <c r="J603" s="39">
        <f t="shared" si="83"/>
        <v>22.485928519521703</v>
      </c>
      <c r="K603" s="664">
        <f t="shared" si="81"/>
        <v>8.2680759166281312</v>
      </c>
      <c r="L603" s="39">
        <v>10.371980326995368</v>
      </c>
      <c r="M603" s="39">
        <f t="shared" si="78"/>
        <v>6.7473739842769369</v>
      </c>
      <c r="N603" s="117">
        <f t="shared" si="77"/>
        <v>8.2250488868335871</v>
      </c>
      <c r="O603" s="94">
        <f t="shared" si="79"/>
        <v>0.12470267972759089</v>
      </c>
      <c r="P603" s="240"/>
    </row>
    <row r="604" spans="1:16" s="6" customFormat="1" ht="15.75">
      <c r="A604" s="275">
        <v>68</v>
      </c>
      <c r="B604" s="122" t="s">
        <v>313</v>
      </c>
      <c r="C604" s="790">
        <v>123.2</v>
      </c>
      <c r="D604" s="790"/>
      <c r="E604" s="790"/>
      <c r="F604" s="220">
        <f t="shared" si="80"/>
        <v>123.2</v>
      </c>
      <c r="G604" s="18" t="s">
        <v>1339</v>
      </c>
      <c r="H604" s="97">
        <v>112</v>
      </c>
      <c r="I604" s="711">
        <f t="shared" si="82"/>
        <v>3.2452141783407451E-3</v>
      </c>
      <c r="J604" s="39">
        <f t="shared" si="83"/>
        <v>7.363812848498335</v>
      </c>
      <c r="K604" s="664">
        <f t="shared" si="81"/>
        <v>2.7076739843928381</v>
      </c>
      <c r="L604" s="39">
        <v>3.3966719199516997</v>
      </c>
      <c r="M604" s="39">
        <f t="shared" si="78"/>
        <v>2.2096663340322134</v>
      </c>
      <c r="N604" s="117">
        <f t="shared" si="77"/>
        <v>2.6935832611852684</v>
      </c>
      <c r="O604" s="94">
        <f t="shared" si="79"/>
        <v>0.12725507375710296</v>
      </c>
      <c r="P604" s="240"/>
    </row>
    <row r="605" spans="1:16" s="25" customFormat="1" ht="15.75">
      <c r="A605" s="275">
        <v>69</v>
      </c>
      <c r="B605" s="122" t="s">
        <v>314</v>
      </c>
      <c r="C605" s="790">
        <v>423.7</v>
      </c>
      <c r="D605" s="790"/>
      <c r="E605" s="790"/>
      <c r="F605" s="220">
        <f t="shared" si="80"/>
        <v>423.7</v>
      </c>
      <c r="G605" s="359" t="s">
        <v>1340</v>
      </c>
      <c r="H605" s="97">
        <v>342</v>
      </c>
      <c r="I605" s="711">
        <f t="shared" si="82"/>
        <v>9.9094932945762038E-3</v>
      </c>
      <c r="J605" s="39">
        <f t="shared" si="83"/>
        <v>22.485928519521703</v>
      </c>
      <c r="K605" s="664">
        <f t="shared" si="81"/>
        <v>8.2680759166281312</v>
      </c>
      <c r="L605" s="39">
        <v>10.371980326995368</v>
      </c>
      <c r="M605" s="39">
        <f>I605*376.38</f>
        <v>3.7297350862125915</v>
      </c>
      <c r="N605" s="117">
        <f t="shared" ref="N605:N668" si="84">M605*1.219</f>
        <v>4.5465470700931494</v>
      </c>
      <c r="O605" s="94">
        <f t="shared" si="79"/>
        <v>0.10586669777993343</v>
      </c>
      <c r="P605" s="360"/>
    </row>
    <row r="606" spans="1:16" s="6" customFormat="1" ht="15.75">
      <c r="A606" s="275">
        <v>70</v>
      </c>
      <c r="B606" s="122" t="s">
        <v>315</v>
      </c>
      <c r="C606" s="790">
        <v>138.80000000000001</v>
      </c>
      <c r="D606" s="790"/>
      <c r="E606" s="790"/>
      <c r="F606" s="220">
        <f t="shared" si="80"/>
        <v>138.80000000000001</v>
      </c>
      <c r="G606" s="18" t="s">
        <v>1339</v>
      </c>
      <c r="H606" s="97">
        <v>136</v>
      </c>
      <c r="I606" s="711">
        <f t="shared" si="82"/>
        <v>3.9406172165566194E-3</v>
      </c>
      <c r="J606" s="39">
        <f t="shared" si="83"/>
        <v>8.9417727446051227</v>
      </c>
      <c r="K606" s="664">
        <f t="shared" si="81"/>
        <v>3.2878898381913038</v>
      </c>
      <c r="L606" s="39">
        <v>4.1245301885127788</v>
      </c>
      <c r="M606" s="39">
        <f t="shared" si="78"/>
        <v>2.6831662627534021</v>
      </c>
      <c r="N606" s="117">
        <f t="shared" si="84"/>
        <v>3.2707796742963975</v>
      </c>
      <c r="O606" s="94">
        <f t="shared" si="79"/>
        <v>0.13715676537509083</v>
      </c>
      <c r="P606" s="240"/>
    </row>
    <row r="607" spans="1:16" s="6" customFormat="1" ht="15.75">
      <c r="A607" s="275">
        <v>71</v>
      </c>
      <c r="B607" s="122" t="s">
        <v>316</v>
      </c>
      <c r="C607" s="790">
        <v>67.900000000000006</v>
      </c>
      <c r="D607" s="790"/>
      <c r="E607" s="790">
        <v>273.7</v>
      </c>
      <c r="F607" s="220">
        <f t="shared" si="80"/>
        <v>341.6</v>
      </c>
      <c r="G607" s="18" t="s">
        <v>1339</v>
      </c>
      <c r="H607" s="97">
        <v>77</v>
      </c>
      <c r="I607" s="711">
        <f t="shared" si="82"/>
        <v>2.2310847476092622E-3</v>
      </c>
      <c r="J607" s="39">
        <f t="shared" si="83"/>
        <v>5.0626213333426051</v>
      </c>
      <c r="K607" s="664">
        <f t="shared" si="81"/>
        <v>1.861525864270076</v>
      </c>
      <c r="L607" s="39">
        <v>2.3352119449667939</v>
      </c>
      <c r="M607" s="39">
        <f t="shared" si="78"/>
        <v>1.5191456046471465</v>
      </c>
      <c r="N607" s="117">
        <f t="shared" si="84"/>
        <v>1.8518384920648718</v>
      </c>
      <c r="O607" s="94">
        <f t="shared" si="79"/>
        <v>3.1552999845511187E-2</v>
      </c>
      <c r="P607" s="240"/>
    </row>
    <row r="608" spans="1:16" s="25" customFormat="1" ht="15.75">
      <c r="A608" s="275">
        <v>72</v>
      </c>
      <c r="B608" s="122" t="s">
        <v>317</v>
      </c>
      <c r="C608" s="790">
        <v>353.3</v>
      </c>
      <c r="D608" s="790"/>
      <c r="E608" s="790"/>
      <c r="F608" s="220">
        <f t="shared" si="80"/>
        <v>353.3</v>
      </c>
      <c r="G608" s="359" t="s">
        <v>1340</v>
      </c>
      <c r="H608" s="97">
        <v>261</v>
      </c>
      <c r="I608" s="711">
        <f t="shared" si="82"/>
        <v>7.5625080405976293E-3</v>
      </c>
      <c r="J608" s="39">
        <f t="shared" si="83"/>
        <v>17.1603138701613</v>
      </c>
      <c r="K608" s="664">
        <f t="shared" si="81"/>
        <v>6.3098474100583104</v>
      </c>
      <c r="L608" s="39">
        <v>7.915458670601728</v>
      </c>
      <c r="M608" s="39">
        <f>I608*376.38</f>
        <v>2.8463767763201355</v>
      </c>
      <c r="N608" s="117">
        <f t="shared" si="84"/>
        <v>3.4697332903342453</v>
      </c>
      <c r="O608" s="94">
        <f t="shared" si="79"/>
        <v>9.6892150374020602E-2</v>
      </c>
      <c r="P608" s="360"/>
    </row>
    <row r="609" spans="1:16" s="25" customFormat="1" ht="15.75">
      <c r="A609" s="275">
        <v>73</v>
      </c>
      <c r="B609" s="122" t="s">
        <v>318</v>
      </c>
      <c r="C609" s="790">
        <v>354.5</v>
      </c>
      <c r="D609" s="790"/>
      <c r="E609" s="790"/>
      <c r="F609" s="220">
        <f t="shared" si="80"/>
        <v>354.5</v>
      </c>
      <c r="G609" s="359" t="s">
        <v>1340</v>
      </c>
      <c r="H609" s="97">
        <v>261</v>
      </c>
      <c r="I609" s="711">
        <f t="shared" si="82"/>
        <v>7.5625080405976293E-3</v>
      </c>
      <c r="J609" s="39">
        <f t="shared" si="83"/>
        <v>17.1603138701613</v>
      </c>
      <c r="K609" s="664">
        <f t="shared" si="81"/>
        <v>6.3098474100583104</v>
      </c>
      <c r="L609" s="39">
        <v>7.915458670601728</v>
      </c>
      <c r="M609" s="39">
        <f>I609*376.38</f>
        <v>2.8463767763201355</v>
      </c>
      <c r="N609" s="117">
        <f t="shared" si="84"/>
        <v>3.4697332903342453</v>
      </c>
      <c r="O609" s="94">
        <f t="shared" si="79"/>
        <v>9.6564165661894158E-2</v>
      </c>
      <c r="P609" s="360"/>
    </row>
    <row r="610" spans="1:16" s="6" customFormat="1" ht="15.75">
      <c r="A610" s="275">
        <v>74</v>
      </c>
      <c r="B610" s="122" t="s">
        <v>319</v>
      </c>
      <c r="C610" s="790">
        <v>404.4</v>
      </c>
      <c r="D610" s="790"/>
      <c r="E610" s="790"/>
      <c r="F610" s="220">
        <f t="shared" si="80"/>
        <v>404.4</v>
      </c>
      <c r="G610" s="18" t="s">
        <v>1339</v>
      </c>
      <c r="H610" s="97">
        <v>345</v>
      </c>
      <c r="I610" s="711">
        <f t="shared" si="82"/>
        <v>9.9964186743531878E-3</v>
      </c>
      <c r="J610" s="39">
        <f t="shared" si="83"/>
        <v>22.683173506535049</v>
      </c>
      <c r="K610" s="664">
        <f t="shared" si="81"/>
        <v>8.3406028983529374</v>
      </c>
      <c r="L610" s="39">
        <v>10.462962610565505</v>
      </c>
      <c r="M610" s="39">
        <f t="shared" si="78"/>
        <v>6.8065614753670856</v>
      </c>
      <c r="N610" s="117">
        <f t="shared" si="84"/>
        <v>8.2971984384724777</v>
      </c>
      <c r="O610" s="94">
        <f t="shared" si="79"/>
        <v>0.11941963523941786</v>
      </c>
      <c r="P610" s="240"/>
    </row>
    <row r="611" spans="1:16" s="25" customFormat="1" ht="15.75">
      <c r="A611" s="275">
        <v>75</v>
      </c>
      <c r="B611" s="122" t="s">
        <v>320</v>
      </c>
      <c r="C611" s="790">
        <v>348.3</v>
      </c>
      <c r="D611" s="790"/>
      <c r="E611" s="790"/>
      <c r="F611" s="220">
        <f t="shared" si="80"/>
        <v>348.3</v>
      </c>
      <c r="G611" s="359" t="s">
        <v>1340</v>
      </c>
      <c r="H611" s="97">
        <v>261</v>
      </c>
      <c r="I611" s="711">
        <f t="shared" si="82"/>
        <v>7.5625080405976293E-3</v>
      </c>
      <c r="J611" s="39">
        <f t="shared" si="83"/>
        <v>17.1603138701613</v>
      </c>
      <c r="K611" s="664">
        <f t="shared" si="81"/>
        <v>6.3098474100583104</v>
      </c>
      <c r="L611" s="39">
        <v>7.915458670601728</v>
      </c>
      <c r="M611" s="39">
        <f>I611*376.38</f>
        <v>2.8463767763201355</v>
      </c>
      <c r="N611" s="117">
        <f t="shared" si="84"/>
        <v>3.4697332903342453</v>
      </c>
      <c r="O611" s="94">
        <f t="shared" si="79"/>
        <v>9.8283079894175937E-2</v>
      </c>
      <c r="P611" s="360"/>
    </row>
    <row r="612" spans="1:16" s="6" customFormat="1" ht="15.75">
      <c r="A612" s="275">
        <v>76</v>
      </c>
      <c r="B612" s="122" t="s">
        <v>321</v>
      </c>
      <c r="C612" s="790">
        <v>73.400000000000006</v>
      </c>
      <c r="D612" s="790"/>
      <c r="E612" s="790"/>
      <c r="F612" s="220">
        <f t="shared" si="80"/>
        <v>73.400000000000006</v>
      </c>
      <c r="G612" s="18" t="s">
        <v>1339</v>
      </c>
      <c r="H612" s="97">
        <v>101</v>
      </c>
      <c r="I612" s="711">
        <f t="shared" si="82"/>
        <v>2.9264877858251361E-3</v>
      </c>
      <c r="J612" s="39">
        <f t="shared" si="83"/>
        <v>6.6405812294493911</v>
      </c>
      <c r="K612" s="664">
        <f t="shared" si="81"/>
        <v>2.4417417180685415</v>
      </c>
      <c r="L612" s="39">
        <v>3.063070213527872</v>
      </c>
      <c r="M612" s="39">
        <f t="shared" si="78"/>
        <v>1.9926455333683351</v>
      </c>
      <c r="N612" s="117">
        <f t="shared" si="84"/>
        <v>2.4290349051760005</v>
      </c>
      <c r="O612" s="94">
        <f t="shared" si="79"/>
        <v>0.19261633098656863</v>
      </c>
      <c r="P612" s="240"/>
    </row>
    <row r="613" spans="1:16" s="6" customFormat="1" ht="15.75">
      <c r="A613" s="275">
        <v>77</v>
      </c>
      <c r="B613" s="122" t="s">
        <v>322</v>
      </c>
      <c r="C613" s="790">
        <v>117.2</v>
      </c>
      <c r="D613" s="790"/>
      <c r="E613" s="790"/>
      <c r="F613" s="220">
        <f t="shared" si="80"/>
        <v>117.2</v>
      </c>
      <c r="G613" s="18" t="s">
        <v>1339</v>
      </c>
      <c r="H613" s="97">
        <v>199</v>
      </c>
      <c r="I613" s="711">
        <f t="shared" si="82"/>
        <v>5.7660501918732881E-3</v>
      </c>
      <c r="J613" s="39">
        <f t="shared" si="83"/>
        <v>13.083917471885435</v>
      </c>
      <c r="K613" s="664">
        <f t="shared" si="81"/>
        <v>4.8109564544122749</v>
      </c>
      <c r="L613" s="39">
        <v>6.0351581434856092</v>
      </c>
      <c r="M613" s="39">
        <f t="shared" si="78"/>
        <v>3.9261035756465219</v>
      </c>
      <c r="N613" s="117">
        <f t="shared" si="84"/>
        <v>4.7859202587131104</v>
      </c>
      <c r="O613" s="94">
        <f t="shared" si="79"/>
        <v>0.23768033827158566</v>
      </c>
      <c r="P613" s="240"/>
    </row>
    <row r="614" spans="1:16" s="6" customFormat="1" ht="15.75">
      <c r="A614" s="275">
        <v>78</v>
      </c>
      <c r="B614" s="122" t="s">
        <v>323</v>
      </c>
      <c r="C614" s="790">
        <v>65.900000000000006</v>
      </c>
      <c r="D614" s="790"/>
      <c r="E614" s="790"/>
      <c r="F614" s="220">
        <f t="shared" si="80"/>
        <v>65.900000000000006</v>
      </c>
      <c r="G614" s="18" t="s">
        <v>1339</v>
      </c>
      <c r="H614" s="97">
        <v>78</v>
      </c>
      <c r="I614" s="711">
        <f t="shared" si="82"/>
        <v>2.2600598742015905E-3</v>
      </c>
      <c r="J614" s="39">
        <f t="shared" si="83"/>
        <v>5.1283696623470556</v>
      </c>
      <c r="K614" s="664">
        <f t="shared" si="81"/>
        <v>1.8857015248450124</v>
      </c>
      <c r="L614" s="39">
        <v>2.365539372823505</v>
      </c>
      <c r="M614" s="39">
        <f t="shared" si="78"/>
        <v>1.5388747683438628</v>
      </c>
      <c r="N614" s="117">
        <f t="shared" si="84"/>
        <v>1.875888342611169</v>
      </c>
      <c r="O614" s="94">
        <f t="shared" si="79"/>
        <v>0.16568263017237381</v>
      </c>
      <c r="P614" s="240"/>
    </row>
    <row r="615" spans="1:16" s="6" customFormat="1" ht="15.75">
      <c r="A615" s="275">
        <v>79</v>
      </c>
      <c r="B615" s="122" t="s">
        <v>324</v>
      </c>
      <c r="C615" s="790">
        <v>212.3</v>
      </c>
      <c r="D615" s="790"/>
      <c r="E615" s="790"/>
      <c r="F615" s="220">
        <f t="shared" si="80"/>
        <v>212.3</v>
      </c>
      <c r="G615" s="18" t="s">
        <v>1339</v>
      </c>
      <c r="H615" s="97">
        <v>98.7</v>
      </c>
      <c r="I615" s="711">
        <f t="shared" si="82"/>
        <v>2.8598449946627817E-3</v>
      </c>
      <c r="J615" s="39">
        <f t="shared" si="83"/>
        <v>6.4893600727391583</v>
      </c>
      <c r="K615" s="664">
        <f t="shared" si="81"/>
        <v>2.3861376987461886</v>
      </c>
      <c r="L615" s="39">
        <v>2.9933171294574357</v>
      </c>
      <c r="M615" s="39">
        <f t="shared" si="78"/>
        <v>1.947268456865888</v>
      </c>
      <c r="N615" s="117">
        <f t="shared" si="84"/>
        <v>2.3737202489195175</v>
      </c>
      <c r="O615" s="94">
        <f t="shared" si="79"/>
        <v>6.50781128488397E-2</v>
      </c>
      <c r="P615" s="240"/>
    </row>
    <row r="616" spans="1:16" s="6" customFormat="1" ht="15.75">
      <c r="A616" s="275">
        <v>80</v>
      </c>
      <c r="B616" s="122" t="s">
        <v>325</v>
      </c>
      <c r="C616" s="790">
        <v>200.1</v>
      </c>
      <c r="D616" s="790"/>
      <c r="E616" s="790"/>
      <c r="F616" s="220">
        <f t="shared" si="80"/>
        <v>200.1</v>
      </c>
      <c r="G616" s="18" t="s">
        <v>1339</v>
      </c>
      <c r="H616" s="97">
        <v>148.4</v>
      </c>
      <c r="I616" s="711">
        <f t="shared" si="82"/>
        <v>4.2999087863014873E-3</v>
      </c>
      <c r="J616" s="39">
        <f t="shared" si="83"/>
        <v>9.7570520242602949</v>
      </c>
      <c r="K616" s="664">
        <f t="shared" si="81"/>
        <v>3.5876680293205108</v>
      </c>
      <c r="L616" s="39">
        <v>4.5005902939360025</v>
      </c>
      <c r="M616" s="39">
        <f t="shared" si="78"/>
        <v>2.9278078925926825</v>
      </c>
      <c r="N616" s="117">
        <f t="shared" si="84"/>
        <v>3.56899782107048</v>
      </c>
      <c r="O616" s="94">
        <f t="shared" si="79"/>
        <v>0.10381368435836827</v>
      </c>
      <c r="P616" s="240"/>
    </row>
    <row r="617" spans="1:16" s="6" customFormat="1" ht="15.75">
      <c r="A617" s="275">
        <v>81</v>
      </c>
      <c r="B617" s="122" t="s">
        <v>326</v>
      </c>
      <c r="C617" s="790">
        <v>79.099999999999994</v>
      </c>
      <c r="D617" s="790"/>
      <c r="E617" s="790"/>
      <c r="F617" s="220">
        <f t="shared" si="80"/>
        <v>79.099999999999994</v>
      </c>
      <c r="G617" s="18" t="s">
        <v>1339</v>
      </c>
      <c r="H617" s="97">
        <v>67.900000000000006</v>
      </c>
      <c r="I617" s="711">
        <f t="shared" si="82"/>
        <v>1.967411095619077E-3</v>
      </c>
      <c r="J617" s="39">
        <f t="shared" si="83"/>
        <v>4.4643115394021162</v>
      </c>
      <c r="K617" s="664">
        <f t="shared" si="81"/>
        <v>1.6415273530381582</v>
      </c>
      <c r="L617" s="39">
        <v>2.059232351470718</v>
      </c>
      <c r="M617" s="39">
        <f>I617*680.9</f>
        <v>1.3396102150070295</v>
      </c>
      <c r="N617" s="117">
        <f t="shared" si="84"/>
        <v>1.632984852093569</v>
      </c>
      <c r="O617" s="94">
        <f t="shared" si="79"/>
        <v>0.1201603218573707</v>
      </c>
      <c r="P617" s="240"/>
    </row>
    <row r="618" spans="1:16" s="25" customFormat="1" ht="15.75">
      <c r="A618" s="275">
        <v>82</v>
      </c>
      <c r="B618" s="122" t="s">
        <v>327</v>
      </c>
      <c r="C618" s="790">
        <v>2958.8</v>
      </c>
      <c r="D618" s="790">
        <v>298.39999999999998</v>
      </c>
      <c r="E618" s="790"/>
      <c r="F618" s="220">
        <f t="shared" si="80"/>
        <v>3257.2000000000003</v>
      </c>
      <c r="G618" s="359" t="s">
        <v>1340</v>
      </c>
      <c r="H618" s="97">
        <v>405</v>
      </c>
      <c r="I618" s="711">
        <f t="shared" si="82"/>
        <v>1.1734926269892873E-2</v>
      </c>
      <c r="J618" s="39">
        <f t="shared" si="83"/>
        <v>26.628073246802018</v>
      </c>
      <c r="K618" s="664">
        <f t="shared" si="81"/>
        <v>9.7911425328491024</v>
      </c>
      <c r="L618" s="39">
        <v>12.282608281968201</v>
      </c>
      <c r="M618" s="39">
        <f>I618*376.38</f>
        <v>4.41679154946228</v>
      </c>
      <c r="N618" s="117">
        <f t="shared" si="84"/>
        <v>5.3840688987945198</v>
      </c>
      <c r="O618" s="94">
        <f t="shared" si="79"/>
        <v>1.6308060791809405E-2</v>
      </c>
      <c r="P618" s="360"/>
    </row>
    <row r="619" spans="1:16" s="25" customFormat="1" ht="15.75">
      <c r="A619" s="275">
        <v>83</v>
      </c>
      <c r="B619" s="122" t="s">
        <v>328</v>
      </c>
      <c r="C619" s="790">
        <v>4789.17</v>
      </c>
      <c r="D619" s="790"/>
      <c r="E619" s="790"/>
      <c r="F619" s="220">
        <f t="shared" si="80"/>
        <v>4789.17</v>
      </c>
      <c r="G619" s="359" t="s">
        <v>1340</v>
      </c>
      <c r="H619" s="97">
        <v>755</v>
      </c>
      <c r="I619" s="711">
        <f t="shared" si="82"/>
        <v>2.18762205772077E-2</v>
      </c>
      <c r="J619" s="39">
        <f t="shared" si="83"/>
        <v>49.639988398359314</v>
      </c>
      <c r="K619" s="664">
        <f t="shared" si="81"/>
        <v>18.252623734076721</v>
      </c>
      <c r="L619" s="39">
        <v>22.897208031817261</v>
      </c>
      <c r="M619" s="39">
        <f>I619*376.38</f>
        <v>8.2337719008494332</v>
      </c>
      <c r="N619" s="117">
        <f t="shared" si="84"/>
        <v>10.03696794713546</v>
      </c>
      <c r="O619" s="94">
        <f t="shared" si="79"/>
        <v>2.0676566516766519E-2</v>
      </c>
      <c r="P619" s="360"/>
    </row>
    <row r="620" spans="1:16" s="25" customFormat="1" ht="15.75">
      <c r="A620" s="275">
        <v>84</v>
      </c>
      <c r="B620" s="122" t="s">
        <v>329</v>
      </c>
      <c r="C620" s="790">
        <v>6299.44</v>
      </c>
      <c r="D620" s="790">
        <v>16.920000000000002</v>
      </c>
      <c r="E620" s="790"/>
      <c r="F620" s="220">
        <f t="shared" si="80"/>
        <v>6316.36</v>
      </c>
      <c r="G620" s="359" t="s">
        <v>1340</v>
      </c>
      <c r="H620" s="97">
        <v>1166</v>
      </c>
      <c r="I620" s="711">
        <f t="shared" si="82"/>
        <v>3.3784997606654543E-2</v>
      </c>
      <c r="J620" s="39">
        <f t="shared" si="83"/>
        <v>76.662551619188022</v>
      </c>
      <c r="K620" s="664">
        <f t="shared" si="81"/>
        <v>28.188820230375438</v>
      </c>
      <c r="L620" s="39">
        <v>35.361780880925728</v>
      </c>
      <c r="M620" s="39">
        <f>I620*376.38</f>
        <v>12.715997399192636</v>
      </c>
      <c r="N620" s="117">
        <f t="shared" si="84"/>
        <v>15.500800829615825</v>
      </c>
      <c r="O620" s="94">
        <f t="shared" si="79"/>
        <v>2.4211594989785548E-2</v>
      </c>
      <c r="P620" s="360"/>
    </row>
    <row r="621" spans="1:16" s="25" customFormat="1" ht="15.75">
      <c r="A621" s="275">
        <v>85</v>
      </c>
      <c r="B621" s="122" t="s">
        <v>330</v>
      </c>
      <c r="C621" s="790">
        <v>4812.1099999999997</v>
      </c>
      <c r="D621" s="790"/>
      <c r="E621" s="790"/>
      <c r="F621" s="220">
        <f t="shared" si="80"/>
        <v>4812.1099999999997</v>
      </c>
      <c r="G621" s="359" t="s">
        <v>1340</v>
      </c>
      <c r="H621" s="97">
        <v>757</v>
      </c>
      <c r="I621" s="711">
        <f t="shared" si="82"/>
        <v>2.1934170830392358E-2</v>
      </c>
      <c r="J621" s="39">
        <f t="shared" si="83"/>
        <v>49.771485056368213</v>
      </c>
      <c r="K621" s="664">
        <f t="shared" si="81"/>
        <v>18.300975055226594</v>
      </c>
      <c r="L621" s="39">
        <v>22.957862887530684</v>
      </c>
      <c r="M621" s="39">
        <f>I621*376.38</f>
        <v>8.2555832171430765</v>
      </c>
      <c r="N621" s="117">
        <f t="shared" si="84"/>
        <v>10.063555941697411</v>
      </c>
      <c r="O621" s="94">
        <f t="shared" si="79"/>
        <v>2.0632509692477638E-2</v>
      </c>
      <c r="P621" s="360"/>
    </row>
    <row r="622" spans="1:16" s="25" customFormat="1" ht="15.75">
      <c r="A622" s="275">
        <v>86</v>
      </c>
      <c r="B622" s="122" t="s">
        <v>331</v>
      </c>
      <c r="C622" s="790">
        <v>11145.01</v>
      </c>
      <c r="D622" s="790"/>
      <c r="E622" s="790"/>
      <c r="F622" s="220">
        <f t="shared" si="80"/>
        <v>11145.01</v>
      </c>
      <c r="G622" s="359" t="s">
        <v>1340</v>
      </c>
      <c r="H622" s="97">
        <v>1911</v>
      </c>
      <c r="I622" s="711">
        <f t="shared" si="82"/>
        <v>5.5371466917938962E-2</v>
      </c>
      <c r="J622" s="39">
        <f t="shared" si="83"/>
        <v>125.64505672750285</v>
      </c>
      <c r="K622" s="664">
        <f t="shared" si="81"/>
        <v>46.199687358702803</v>
      </c>
      <c r="L622" s="39">
        <v>57.955714634175877</v>
      </c>
      <c r="M622" s="39">
        <f>I622*376.38</f>
        <v>20.840712718573865</v>
      </c>
      <c r="N622" s="117">
        <f t="shared" si="84"/>
        <v>25.404828803941545</v>
      </c>
      <c r="O622" s="94">
        <f t="shared" si="79"/>
        <v>2.2489093454286301E-2</v>
      </c>
      <c r="P622" s="360"/>
    </row>
    <row r="623" spans="1:16" s="6" customFormat="1" ht="15.75">
      <c r="A623" s="275">
        <v>87</v>
      </c>
      <c r="B623" s="122" t="s">
        <v>332</v>
      </c>
      <c r="C623" s="790">
        <v>74.5</v>
      </c>
      <c r="D623" s="790"/>
      <c r="E623" s="790"/>
      <c r="F623" s="220">
        <f t="shared" si="80"/>
        <v>74.5</v>
      </c>
      <c r="G623" s="18" t="s">
        <v>1339</v>
      </c>
      <c r="H623" s="97">
        <v>98</v>
      </c>
      <c r="I623" s="711">
        <f t="shared" si="82"/>
        <v>2.839562406048152E-3</v>
      </c>
      <c r="J623" s="39">
        <f t="shared" si="83"/>
        <v>6.4433362424360432</v>
      </c>
      <c r="K623" s="664">
        <f t="shared" si="81"/>
        <v>2.3692147363437335</v>
      </c>
      <c r="L623" s="39">
        <v>2.9720879299577372</v>
      </c>
      <c r="M623" s="39">
        <f t="shared" ref="M623:M656" si="85">I623*680.9</f>
        <v>1.9334580422781866</v>
      </c>
      <c r="N623" s="117">
        <f t="shared" si="84"/>
        <v>2.3568853535371095</v>
      </c>
      <c r="O623" s="94">
        <f t="shared" si="79"/>
        <v>0.18413552954383491</v>
      </c>
      <c r="P623" s="240"/>
    </row>
    <row r="624" spans="1:16" s="6" customFormat="1" ht="15.75">
      <c r="A624" s="275">
        <v>88</v>
      </c>
      <c r="B624" s="122" t="s">
        <v>333</v>
      </c>
      <c r="C624" s="790">
        <v>227.9</v>
      </c>
      <c r="D624" s="790"/>
      <c r="E624" s="790"/>
      <c r="F624" s="220">
        <f t="shared" si="80"/>
        <v>227.9</v>
      </c>
      <c r="G624" s="18" t="s">
        <v>1339</v>
      </c>
      <c r="H624" s="97">
        <v>205</v>
      </c>
      <c r="I624" s="711">
        <f t="shared" si="82"/>
        <v>5.939900951427257E-3</v>
      </c>
      <c r="J624" s="39">
        <f t="shared" si="83"/>
        <v>13.478407445912133</v>
      </c>
      <c r="K624" s="664">
        <f t="shared" si="81"/>
        <v>4.9560104178618918</v>
      </c>
      <c r="L624" s="39">
        <v>6.2171227106258797</v>
      </c>
      <c r="M624" s="39">
        <f t="shared" si="85"/>
        <v>4.0444785578268192</v>
      </c>
      <c r="N624" s="117">
        <f t="shared" si="84"/>
        <v>4.9302193619908925</v>
      </c>
      <c r="O624" s="94">
        <f t="shared" si="79"/>
        <v>0.1259149588952467</v>
      </c>
      <c r="P624" s="240"/>
    </row>
    <row r="625" spans="1:16" s="6" customFormat="1" ht="15.75">
      <c r="A625" s="275">
        <v>89</v>
      </c>
      <c r="B625" s="122" t="s">
        <v>334</v>
      </c>
      <c r="C625" s="790">
        <v>374.6</v>
      </c>
      <c r="D625" s="790"/>
      <c r="E625" s="790"/>
      <c r="F625" s="220">
        <f t="shared" si="80"/>
        <v>374.6</v>
      </c>
      <c r="G625" s="18" t="s">
        <v>1339</v>
      </c>
      <c r="H625" s="97">
        <v>245</v>
      </c>
      <c r="I625" s="711">
        <f t="shared" si="82"/>
        <v>7.0989060151203801E-3</v>
      </c>
      <c r="J625" s="39">
        <f t="shared" si="83"/>
        <v>16.10834060609011</v>
      </c>
      <c r="K625" s="664">
        <f t="shared" si="81"/>
        <v>5.9230368408593339</v>
      </c>
      <c r="L625" s="39">
        <v>7.4302198248943432</v>
      </c>
      <c r="M625" s="39">
        <f t="shared" si="85"/>
        <v>4.8336451056954663</v>
      </c>
      <c r="N625" s="117">
        <f t="shared" si="84"/>
        <v>5.8922133838427735</v>
      </c>
      <c r="O625" s="94">
        <f t="shared" si="79"/>
        <v>9.1551634750505206E-2</v>
      </c>
      <c r="P625" s="240"/>
    </row>
    <row r="626" spans="1:16" s="6" customFormat="1" ht="15.75">
      <c r="A626" s="275">
        <v>90</v>
      </c>
      <c r="B626" s="125" t="s">
        <v>1102</v>
      </c>
      <c r="C626" s="790">
        <v>707.9</v>
      </c>
      <c r="D626" s="790"/>
      <c r="E626" s="790">
        <v>30.5</v>
      </c>
      <c r="F626" s="220">
        <f t="shared" si="80"/>
        <v>738.4</v>
      </c>
      <c r="G626" s="18" t="s">
        <v>1339</v>
      </c>
      <c r="H626" s="97">
        <v>445</v>
      </c>
      <c r="I626" s="711">
        <f t="shared" si="82"/>
        <v>1.2893931333585996E-2</v>
      </c>
      <c r="J626" s="39">
        <f t="shared" si="83"/>
        <v>29.258006406979995</v>
      </c>
      <c r="K626" s="664">
        <f t="shared" si="81"/>
        <v>10.758168955846545</v>
      </c>
      <c r="L626" s="39">
        <v>13.495705396236664</v>
      </c>
      <c r="M626" s="39">
        <f t="shared" si="85"/>
        <v>8.7794778450387039</v>
      </c>
      <c r="N626" s="117">
        <f t="shared" si="84"/>
        <v>10.702183493102181</v>
      </c>
      <c r="O626" s="94">
        <f t="shared" si="79"/>
        <v>8.4359911435674312E-2</v>
      </c>
      <c r="P626" s="240"/>
    </row>
    <row r="627" spans="1:16" s="6" customFormat="1" ht="15.75">
      <c r="A627" s="275">
        <v>91</v>
      </c>
      <c r="B627" s="125" t="s">
        <v>1103</v>
      </c>
      <c r="C627" s="790">
        <v>331.5</v>
      </c>
      <c r="D627" s="790"/>
      <c r="E627" s="790">
        <v>110.8</v>
      </c>
      <c r="F627" s="220">
        <f t="shared" si="80"/>
        <v>442.3</v>
      </c>
      <c r="G627" s="18" t="s">
        <v>1339</v>
      </c>
      <c r="H627" s="97">
        <v>252</v>
      </c>
      <c r="I627" s="711">
        <f t="shared" si="82"/>
        <v>7.3017319012666764E-3</v>
      </c>
      <c r="J627" s="39">
        <f t="shared" si="83"/>
        <v>16.568578909121253</v>
      </c>
      <c r="K627" s="664">
        <f t="shared" si="81"/>
        <v>6.0922664648838856</v>
      </c>
      <c r="L627" s="39">
        <v>7.6425118198913253</v>
      </c>
      <c r="M627" s="39">
        <f t="shared" si="85"/>
        <v>4.9717492515724802</v>
      </c>
      <c r="N627" s="117">
        <f t="shared" si="84"/>
        <v>6.0605623376668536</v>
      </c>
      <c r="O627" s="94">
        <f t="shared" si="79"/>
        <v>7.9753801595000992E-2</v>
      </c>
      <c r="P627" s="240"/>
    </row>
    <row r="628" spans="1:16" s="6" customFormat="1" ht="15.75">
      <c r="A628" s="275">
        <v>92</v>
      </c>
      <c r="B628" s="125" t="s">
        <v>1104</v>
      </c>
      <c r="C628" s="790">
        <v>939</v>
      </c>
      <c r="D628" s="790"/>
      <c r="E628" s="790">
        <v>104.4</v>
      </c>
      <c r="F628" s="220">
        <f t="shared" si="80"/>
        <v>1043.4000000000001</v>
      </c>
      <c r="G628" s="18" t="s">
        <v>1339</v>
      </c>
      <c r="H628" s="97">
        <v>583</v>
      </c>
      <c r="I628" s="711">
        <f t="shared" si="82"/>
        <v>1.6892498803327272E-2</v>
      </c>
      <c r="J628" s="39">
        <f t="shared" si="83"/>
        <v>38.331275809594011</v>
      </c>
      <c r="K628" s="664">
        <f t="shared" si="81"/>
        <v>14.094410115187719</v>
      </c>
      <c r="L628" s="39">
        <v>17.680890440462864</v>
      </c>
      <c r="M628" s="39">
        <f t="shared" si="85"/>
        <v>11.502102435185538</v>
      </c>
      <c r="N628" s="117">
        <f t="shared" si="84"/>
        <v>14.021062868491171</v>
      </c>
      <c r="O628" s="94">
        <f t="shared" si="79"/>
        <v>7.8214183247489105E-2</v>
      </c>
      <c r="P628" s="240"/>
    </row>
    <row r="629" spans="1:16" s="6" customFormat="1" ht="15.75">
      <c r="A629" s="275">
        <v>93</v>
      </c>
      <c r="B629" s="125" t="s">
        <v>1105</v>
      </c>
      <c r="C629" s="790">
        <v>434.3</v>
      </c>
      <c r="D629" s="790"/>
      <c r="E629" s="790">
        <v>39.299999999999997</v>
      </c>
      <c r="F629" s="220">
        <f t="shared" si="80"/>
        <v>473.6</v>
      </c>
      <c r="G629" s="18" t="s">
        <v>1339</v>
      </c>
      <c r="H629" s="97">
        <v>302</v>
      </c>
      <c r="I629" s="711">
        <f t="shared" si="82"/>
        <v>8.7504882308830807E-3</v>
      </c>
      <c r="J629" s="39">
        <f t="shared" si="83"/>
        <v>19.855995359343726</v>
      </c>
      <c r="K629" s="664">
        <f t="shared" si="81"/>
        <v>7.3010494936306891</v>
      </c>
      <c r="L629" s="39">
        <v>9.1588832127269058</v>
      </c>
      <c r="M629" s="39">
        <f t="shared" si="85"/>
        <v>5.9582074364082898</v>
      </c>
      <c r="N629" s="117">
        <f t="shared" si="84"/>
        <v>7.2630548649817053</v>
      </c>
      <c r="O629" s="94">
        <f t="shared" si="79"/>
        <v>8.9261265840603066E-2</v>
      </c>
      <c r="P629" s="240"/>
    </row>
    <row r="630" spans="1:16" s="6" customFormat="1" ht="15.75">
      <c r="A630" s="275">
        <v>94</v>
      </c>
      <c r="B630" s="125" t="s">
        <v>1106</v>
      </c>
      <c r="C630" s="790">
        <v>345.2</v>
      </c>
      <c r="D630" s="790"/>
      <c r="E630" s="790"/>
      <c r="F630" s="220">
        <f t="shared" si="80"/>
        <v>345.2</v>
      </c>
      <c r="G630" s="18" t="s">
        <v>1339</v>
      </c>
      <c r="H630" s="97">
        <v>246</v>
      </c>
      <c r="I630" s="711">
        <f t="shared" si="82"/>
        <v>7.1278811417127075E-3</v>
      </c>
      <c r="J630" s="39">
        <f t="shared" si="83"/>
        <v>16.174088935094556</v>
      </c>
      <c r="K630" s="664">
        <f t="shared" si="81"/>
        <v>5.9472125014342687</v>
      </c>
      <c r="L630" s="39">
        <v>7.4605472527510539</v>
      </c>
      <c r="M630" s="39">
        <f t="shared" si="85"/>
        <v>4.853374269392182</v>
      </c>
      <c r="N630" s="117">
        <f t="shared" si="84"/>
        <v>5.9162632343890706</v>
      </c>
      <c r="O630" s="94">
        <f t="shared" si="79"/>
        <v>9.9754411815388355E-2</v>
      </c>
      <c r="P630" s="240"/>
    </row>
    <row r="631" spans="1:16" s="6" customFormat="1" ht="15.75">
      <c r="A631" s="275">
        <v>95</v>
      </c>
      <c r="B631" s="125" t="s">
        <v>1107</v>
      </c>
      <c r="C631" s="790">
        <v>864.9</v>
      </c>
      <c r="D631" s="790"/>
      <c r="E631" s="790"/>
      <c r="F631" s="220">
        <f t="shared" si="80"/>
        <v>864.9</v>
      </c>
      <c r="G631" s="18" t="s">
        <v>1339</v>
      </c>
      <c r="H631" s="97">
        <v>592</v>
      </c>
      <c r="I631" s="711">
        <f t="shared" si="82"/>
        <v>1.7153274942658225E-2</v>
      </c>
      <c r="J631" s="39">
        <f t="shared" si="83"/>
        <v>38.923010770634058</v>
      </c>
      <c r="K631" s="664">
        <f t="shared" si="81"/>
        <v>14.311991060362145</v>
      </c>
      <c r="L631" s="39">
        <v>17.953837291173272</v>
      </c>
      <c r="M631" s="39">
        <f t="shared" si="85"/>
        <v>11.679664908455985</v>
      </c>
      <c r="N631" s="117">
        <f t="shared" si="84"/>
        <v>14.237511523407846</v>
      </c>
      <c r="O631" s="94">
        <f t="shared" si="79"/>
        <v>9.5812815389785477E-2</v>
      </c>
      <c r="P631" s="240"/>
    </row>
    <row r="632" spans="1:16" s="6" customFormat="1" ht="15.75">
      <c r="A632" s="275">
        <v>96</v>
      </c>
      <c r="B632" s="125" t="s">
        <v>1108</v>
      </c>
      <c r="C632" s="790">
        <v>1116.9000000000001</v>
      </c>
      <c r="D632" s="790"/>
      <c r="E632" s="790"/>
      <c r="F632" s="220">
        <f t="shared" si="80"/>
        <v>1116.9000000000001</v>
      </c>
      <c r="G632" s="18" t="s">
        <v>1339</v>
      </c>
      <c r="H632" s="97">
        <v>572</v>
      </c>
      <c r="I632" s="711">
        <f t="shared" si="82"/>
        <v>1.6573772410811663E-2</v>
      </c>
      <c r="J632" s="39">
        <f t="shared" si="83"/>
        <v>37.608044190545073</v>
      </c>
      <c r="K632" s="664">
        <f t="shared" si="81"/>
        <v>13.828477848863423</v>
      </c>
      <c r="L632" s="39">
        <v>17.34728873403904</v>
      </c>
      <c r="M632" s="39">
        <f t="shared" si="85"/>
        <v>11.285081634521662</v>
      </c>
      <c r="N632" s="117">
        <f t="shared" si="84"/>
        <v>13.756514512481907</v>
      </c>
      <c r="O632" s="94">
        <f t="shared" si="79"/>
        <v>7.1688506050648401E-2</v>
      </c>
      <c r="P632" s="240"/>
    </row>
    <row r="633" spans="1:16" s="6" customFormat="1" ht="15.75">
      <c r="A633" s="275">
        <v>97</v>
      </c>
      <c r="B633" s="125" t="s">
        <v>1109</v>
      </c>
      <c r="C633" s="790">
        <v>473</v>
      </c>
      <c r="D633" s="790"/>
      <c r="E633" s="790">
        <v>33.200000000000003</v>
      </c>
      <c r="F633" s="220">
        <f t="shared" si="80"/>
        <v>506.2</v>
      </c>
      <c r="G633" s="18" t="s">
        <v>1339</v>
      </c>
      <c r="H633" s="97">
        <v>360</v>
      </c>
      <c r="I633" s="711">
        <f t="shared" si="82"/>
        <v>1.043104557323811E-2</v>
      </c>
      <c r="J633" s="39">
        <f t="shared" si="83"/>
        <v>23.669398441601793</v>
      </c>
      <c r="K633" s="664">
        <f t="shared" si="81"/>
        <v>8.7032378069769791</v>
      </c>
      <c r="L633" s="39">
        <v>10.917874028416179</v>
      </c>
      <c r="M633" s="39">
        <f t="shared" si="85"/>
        <v>7.1024989308178288</v>
      </c>
      <c r="N633" s="117">
        <f t="shared" si="84"/>
        <v>8.6579461966669342</v>
      </c>
      <c r="O633" s="94">
        <f t="shared" si="79"/>
        <v>9.9551578838033949E-2</v>
      </c>
      <c r="P633" s="240"/>
    </row>
    <row r="634" spans="1:16" s="6" customFormat="1" ht="15.75">
      <c r="A634" s="275">
        <v>98</v>
      </c>
      <c r="B634" s="125" t="s">
        <v>1110</v>
      </c>
      <c r="C634" s="790">
        <v>369.5</v>
      </c>
      <c r="D634" s="790"/>
      <c r="E634" s="790"/>
      <c r="F634" s="220">
        <f t="shared" si="80"/>
        <v>369.5</v>
      </c>
      <c r="G634" s="18" t="s">
        <v>1339</v>
      </c>
      <c r="H634" s="97">
        <v>594</v>
      </c>
      <c r="I634" s="711">
        <f t="shared" si="82"/>
        <v>1.721122519584288E-2</v>
      </c>
      <c r="J634" s="39">
        <f t="shared" si="83"/>
        <v>39.054507428642957</v>
      </c>
      <c r="K634" s="664">
        <f t="shared" si="81"/>
        <v>14.360342381512016</v>
      </c>
      <c r="L634" s="39">
        <v>18.014492146886692</v>
      </c>
      <c r="M634" s="39">
        <f t="shared" si="85"/>
        <v>11.719123235849416</v>
      </c>
      <c r="N634" s="117">
        <f t="shared" si="84"/>
        <v>14.285611224500439</v>
      </c>
      <c r="O634" s="94">
        <f t="shared" si="79"/>
        <v>0.2250296757588392</v>
      </c>
      <c r="P634" s="240"/>
    </row>
    <row r="635" spans="1:16" s="6" customFormat="1" ht="15.75">
      <c r="A635" s="275">
        <v>99</v>
      </c>
      <c r="B635" s="125" t="s">
        <v>1111</v>
      </c>
      <c r="C635" s="790">
        <v>510.1</v>
      </c>
      <c r="D635" s="790"/>
      <c r="E635" s="790"/>
      <c r="F635" s="220">
        <f t="shared" si="80"/>
        <v>510.1</v>
      </c>
      <c r="G635" s="18" t="s">
        <v>1339</v>
      </c>
      <c r="H635" s="97">
        <v>356</v>
      </c>
      <c r="I635" s="711">
        <f t="shared" si="82"/>
        <v>1.0315145066868796E-2</v>
      </c>
      <c r="J635" s="39">
        <f t="shared" si="83"/>
        <v>23.406405125583994</v>
      </c>
      <c r="K635" s="664">
        <f t="shared" si="81"/>
        <v>8.6065351646772346</v>
      </c>
      <c r="L635" s="39">
        <v>10.796564316989331</v>
      </c>
      <c r="M635" s="39">
        <f t="shared" si="85"/>
        <v>7.0235822760309636</v>
      </c>
      <c r="N635" s="117">
        <f t="shared" si="84"/>
        <v>8.5617467944817456</v>
      </c>
      <c r="O635" s="94">
        <f t="shared" si="79"/>
        <v>9.7692779618273912E-2</v>
      </c>
      <c r="P635" s="240"/>
    </row>
    <row r="636" spans="1:16" s="6" customFormat="1" ht="17.25" customHeight="1">
      <c r="A636" s="275">
        <v>100</v>
      </c>
      <c r="B636" s="125" t="s">
        <v>1112</v>
      </c>
      <c r="C636" s="790">
        <v>312</v>
      </c>
      <c r="D636" s="790"/>
      <c r="E636" s="790"/>
      <c r="F636" s="220">
        <f t="shared" si="80"/>
        <v>312</v>
      </c>
      <c r="G636" s="18" t="s">
        <v>1339</v>
      </c>
      <c r="H636" s="97">
        <v>306</v>
      </c>
      <c r="I636" s="711">
        <f t="shared" si="82"/>
        <v>8.8663887372523922E-3</v>
      </c>
      <c r="J636" s="39">
        <f t="shared" si="83"/>
        <v>20.118988675361521</v>
      </c>
      <c r="K636" s="664">
        <f t="shared" si="81"/>
        <v>7.3977521359304319</v>
      </c>
      <c r="L636" s="39">
        <v>9.2801929241537504</v>
      </c>
      <c r="M636" s="39">
        <f t="shared" si="85"/>
        <v>6.037124091195154</v>
      </c>
      <c r="N636" s="117">
        <f t="shared" si="84"/>
        <v>7.359254267166893</v>
      </c>
      <c r="O636" s="94">
        <f t="shared" si="79"/>
        <v>0.13728864688025916</v>
      </c>
      <c r="P636" s="240"/>
    </row>
    <row r="637" spans="1:16" s="6" customFormat="1" ht="17.25" customHeight="1">
      <c r="A637" s="275">
        <v>101</v>
      </c>
      <c r="B637" s="125" t="s">
        <v>1113</v>
      </c>
      <c r="C637" s="790">
        <v>488.2</v>
      </c>
      <c r="D637" s="790"/>
      <c r="E637" s="790"/>
      <c r="F637" s="220">
        <f t="shared" si="80"/>
        <v>488.2</v>
      </c>
      <c r="G637" s="18" t="s">
        <v>1339</v>
      </c>
      <c r="H637" s="97">
        <v>262</v>
      </c>
      <c r="I637" s="711">
        <f t="shared" si="82"/>
        <v>7.5914831671899576E-3</v>
      </c>
      <c r="J637" s="39">
        <f t="shared" si="83"/>
        <v>17.226062199165749</v>
      </c>
      <c r="K637" s="664">
        <f t="shared" si="81"/>
        <v>6.3340230706332461</v>
      </c>
      <c r="L637" s="39">
        <v>7.9457860984584414</v>
      </c>
      <c r="M637" s="39">
        <f t="shared" si="85"/>
        <v>5.1690408885396417</v>
      </c>
      <c r="N637" s="117">
        <f t="shared" si="84"/>
        <v>6.3010608431298234</v>
      </c>
      <c r="O637" s="94">
        <f t="shared" si="79"/>
        <v>7.5122720722648667E-2</v>
      </c>
      <c r="P637" s="240"/>
    </row>
    <row r="638" spans="1:16" s="6" customFormat="1" ht="17.25" customHeight="1">
      <c r="A638" s="275">
        <v>102</v>
      </c>
      <c r="B638" s="125" t="s">
        <v>1114</v>
      </c>
      <c r="C638" s="790">
        <v>223.7</v>
      </c>
      <c r="D638" s="790"/>
      <c r="E638" s="790"/>
      <c r="F638" s="220">
        <f t="shared" si="80"/>
        <v>223.7</v>
      </c>
      <c r="G638" s="18" t="s">
        <v>1339</v>
      </c>
      <c r="H638" s="97">
        <v>105</v>
      </c>
      <c r="I638" s="711">
        <f t="shared" si="82"/>
        <v>3.0423882921944484E-3</v>
      </c>
      <c r="J638" s="39">
        <f t="shared" si="83"/>
        <v>6.9035745454671886</v>
      </c>
      <c r="K638" s="664">
        <f t="shared" si="81"/>
        <v>2.5384443603682856</v>
      </c>
      <c r="L638" s="39">
        <v>3.1843799249547189</v>
      </c>
      <c r="M638" s="39">
        <f t="shared" si="85"/>
        <v>2.0715621881552</v>
      </c>
      <c r="N638" s="117">
        <f t="shared" si="84"/>
        <v>2.5252343073611891</v>
      </c>
      <c r="O638" s="94">
        <f t="shared" si="79"/>
        <v>6.5703893692201129E-2</v>
      </c>
      <c r="P638" s="240"/>
    </row>
    <row r="639" spans="1:16" s="6" customFormat="1" ht="17.25" customHeight="1">
      <c r="A639" s="275">
        <v>103</v>
      </c>
      <c r="B639" s="125" t="s">
        <v>1115</v>
      </c>
      <c r="C639" s="790">
        <v>388.5</v>
      </c>
      <c r="D639" s="790"/>
      <c r="E639" s="790"/>
      <c r="F639" s="220">
        <f t="shared" si="80"/>
        <v>388.5</v>
      </c>
      <c r="G639" s="18" t="s">
        <v>1339</v>
      </c>
      <c r="H639" s="97">
        <v>269</v>
      </c>
      <c r="I639" s="711">
        <f t="shared" si="82"/>
        <v>7.7943090533362539E-3</v>
      </c>
      <c r="J639" s="39">
        <f t="shared" si="83"/>
        <v>17.686300502196893</v>
      </c>
      <c r="K639" s="664">
        <f t="shared" si="81"/>
        <v>6.5032526946577978</v>
      </c>
      <c r="L639" s="39">
        <v>8.1580780934554227</v>
      </c>
      <c r="M639" s="39">
        <f t="shared" si="85"/>
        <v>5.3071450344166555</v>
      </c>
      <c r="N639" s="117">
        <f t="shared" si="84"/>
        <v>6.4694097969539035</v>
      </c>
      <c r="O639" s="94">
        <f t="shared" si="79"/>
        <v>9.6923491183337887E-2</v>
      </c>
      <c r="P639" s="240"/>
    </row>
    <row r="640" spans="1:16" s="6" customFormat="1" ht="17.25" customHeight="1">
      <c r="A640" s="275">
        <v>104</v>
      </c>
      <c r="B640" s="125" t="s">
        <v>1116</v>
      </c>
      <c r="C640" s="790">
        <v>528.32000000000005</v>
      </c>
      <c r="D640" s="790"/>
      <c r="E640" s="790"/>
      <c r="F640" s="220">
        <f t="shared" si="80"/>
        <v>528.32000000000005</v>
      </c>
      <c r="G640" s="18" t="s">
        <v>1339</v>
      </c>
      <c r="H640" s="97">
        <v>298</v>
      </c>
      <c r="I640" s="711">
        <f t="shared" si="82"/>
        <v>8.6345877245137675E-3</v>
      </c>
      <c r="J640" s="39">
        <f t="shared" si="83"/>
        <v>19.593002043325928</v>
      </c>
      <c r="K640" s="664">
        <f t="shared" si="81"/>
        <v>7.2043468513309445</v>
      </c>
      <c r="L640" s="39">
        <v>9.0375735013000575</v>
      </c>
      <c r="M640" s="39">
        <f t="shared" si="85"/>
        <v>5.8792907816214237</v>
      </c>
      <c r="N640" s="117">
        <f t="shared" si="84"/>
        <v>7.1668554627965158</v>
      </c>
      <c r="O640" s="94">
        <f t="shared" si="79"/>
        <v>7.8956339297354544E-2</v>
      </c>
      <c r="P640" s="240"/>
    </row>
    <row r="641" spans="1:16" s="6" customFormat="1" ht="17.25" customHeight="1">
      <c r="A641" s="275">
        <v>105</v>
      </c>
      <c r="B641" s="125" t="s">
        <v>1117</v>
      </c>
      <c r="C641" s="790">
        <v>262.17</v>
      </c>
      <c r="D641" s="790"/>
      <c r="E641" s="790"/>
      <c r="F641" s="220">
        <f t="shared" si="80"/>
        <v>262.17</v>
      </c>
      <c r="G641" s="18" t="s">
        <v>1339</v>
      </c>
      <c r="H641" s="97">
        <v>220</v>
      </c>
      <c r="I641" s="711">
        <f t="shared" si="82"/>
        <v>6.3745278503121779E-3</v>
      </c>
      <c r="J641" s="39">
        <f t="shared" si="83"/>
        <v>14.464632380978873</v>
      </c>
      <c r="K641" s="664">
        <f t="shared" si="81"/>
        <v>5.3186453264859317</v>
      </c>
      <c r="L641" s="39">
        <v>6.672034128476553</v>
      </c>
      <c r="M641" s="39">
        <f t="shared" si="85"/>
        <v>4.3404160132775615</v>
      </c>
      <c r="N641" s="117">
        <f t="shared" si="84"/>
        <v>5.2909671201853481</v>
      </c>
      <c r="O641" s="94">
        <f t="shared" si="79"/>
        <v>0.11746472841751122</v>
      </c>
      <c r="P641" s="240"/>
    </row>
    <row r="642" spans="1:16" s="6" customFormat="1" ht="17.25" customHeight="1">
      <c r="A642" s="275">
        <v>106</v>
      </c>
      <c r="B642" s="125" t="s">
        <v>1118</v>
      </c>
      <c r="C642" s="790">
        <v>513.29999999999995</v>
      </c>
      <c r="D642" s="790"/>
      <c r="E642" s="790"/>
      <c r="F642" s="220">
        <f t="shared" si="80"/>
        <v>513.29999999999995</v>
      </c>
      <c r="G642" s="18" t="s">
        <v>1339</v>
      </c>
      <c r="H642" s="97">
        <v>339</v>
      </c>
      <c r="I642" s="711">
        <f t="shared" si="82"/>
        <v>9.8225679147992198E-3</v>
      </c>
      <c r="J642" s="39">
        <f t="shared" si="83"/>
        <v>22.288683532508355</v>
      </c>
      <c r="K642" s="664">
        <f t="shared" si="81"/>
        <v>8.1955489349033233</v>
      </c>
      <c r="L642" s="39">
        <v>10.280998043425235</v>
      </c>
      <c r="M642" s="39">
        <f t="shared" si="85"/>
        <v>6.6881864931867883</v>
      </c>
      <c r="N642" s="117">
        <f t="shared" si="84"/>
        <v>8.1528993351946948</v>
      </c>
      <c r="O642" s="94">
        <f t="shared" si="79"/>
        <v>9.2447724535405632E-2</v>
      </c>
      <c r="P642" s="240"/>
    </row>
    <row r="643" spans="1:16" s="6" customFormat="1" ht="17.25" customHeight="1">
      <c r="A643" s="275">
        <v>107</v>
      </c>
      <c r="B643" s="125" t="s">
        <v>1119</v>
      </c>
      <c r="C643" s="790">
        <v>577.70000000000005</v>
      </c>
      <c r="D643" s="790"/>
      <c r="E643" s="790"/>
      <c r="F643" s="220">
        <f t="shared" si="80"/>
        <v>577.70000000000005</v>
      </c>
      <c r="G643" s="18" t="s">
        <v>1339</v>
      </c>
      <c r="H643" s="97">
        <v>327</v>
      </c>
      <c r="I643" s="711">
        <f t="shared" si="82"/>
        <v>9.474866395691282E-3</v>
      </c>
      <c r="J643" s="39">
        <f t="shared" si="83"/>
        <v>21.499703584454959</v>
      </c>
      <c r="K643" s="664">
        <f t="shared" si="81"/>
        <v>7.9054410080040896</v>
      </c>
      <c r="L643" s="39">
        <v>9.9170689091446942</v>
      </c>
      <c r="M643" s="39">
        <f t="shared" si="85"/>
        <v>6.4514365288261937</v>
      </c>
      <c r="N643" s="117">
        <f t="shared" si="84"/>
        <v>7.8643011286391307</v>
      </c>
      <c r="O643" s="94">
        <f t="shared" si="79"/>
        <v>7.9234291207252783E-2</v>
      </c>
      <c r="P643" s="240"/>
    </row>
    <row r="644" spans="1:16" s="6" customFormat="1" ht="17.25" customHeight="1">
      <c r="A644" s="275">
        <v>108</v>
      </c>
      <c r="B644" s="125" t="s">
        <v>1120</v>
      </c>
      <c r="C644" s="790">
        <v>432.4</v>
      </c>
      <c r="D644" s="790"/>
      <c r="E644" s="790"/>
      <c r="F644" s="220">
        <f t="shared" si="80"/>
        <v>432.4</v>
      </c>
      <c r="G644" s="18" t="s">
        <v>1339</v>
      </c>
      <c r="H644" s="97">
        <v>349</v>
      </c>
      <c r="I644" s="711">
        <f t="shared" si="82"/>
        <v>1.0112319180722501E-2</v>
      </c>
      <c r="J644" s="39">
        <f t="shared" si="83"/>
        <v>22.946166822552851</v>
      </c>
      <c r="K644" s="664">
        <f t="shared" si="81"/>
        <v>8.4373055406526838</v>
      </c>
      <c r="L644" s="39">
        <v>10.58427232199235</v>
      </c>
      <c r="M644" s="39">
        <f t="shared" si="85"/>
        <v>6.8854781301539507</v>
      </c>
      <c r="N644" s="117">
        <f t="shared" si="84"/>
        <v>8.3933978406576664</v>
      </c>
      <c r="O644" s="94">
        <f t="shared" si="79"/>
        <v>0.11298155137685439</v>
      </c>
      <c r="P644" s="240"/>
    </row>
    <row r="645" spans="1:16" s="6" customFormat="1" ht="17.25" customHeight="1">
      <c r="A645" s="275">
        <v>109</v>
      </c>
      <c r="B645" s="125" t="s">
        <v>1121</v>
      </c>
      <c r="C645" s="790">
        <v>488.9</v>
      </c>
      <c r="D645" s="790"/>
      <c r="E645" s="790"/>
      <c r="F645" s="220">
        <f t="shared" si="80"/>
        <v>488.9</v>
      </c>
      <c r="G645" s="18" t="s">
        <v>1339</v>
      </c>
      <c r="H645" s="97">
        <v>205</v>
      </c>
      <c r="I645" s="711">
        <f t="shared" si="82"/>
        <v>5.939900951427257E-3</v>
      </c>
      <c r="J645" s="39">
        <f t="shared" si="83"/>
        <v>13.478407445912133</v>
      </c>
      <c r="K645" s="664">
        <f t="shared" si="81"/>
        <v>4.9560104178618918</v>
      </c>
      <c r="L645" s="39">
        <v>6.2171227106258797</v>
      </c>
      <c r="M645" s="39">
        <f t="shared" si="85"/>
        <v>4.0444785578268192</v>
      </c>
      <c r="N645" s="117">
        <f t="shared" si="84"/>
        <v>4.9302193619908925</v>
      </c>
      <c r="O645" s="94">
        <f t="shared" si="79"/>
        <v>5.8695068791627579E-2</v>
      </c>
      <c r="P645" s="240"/>
    </row>
    <row r="646" spans="1:16" s="6" customFormat="1" ht="17.25" customHeight="1">
      <c r="A646" s="275">
        <v>110</v>
      </c>
      <c r="B646" s="125" t="s">
        <v>1122</v>
      </c>
      <c r="C646" s="790">
        <v>540.1</v>
      </c>
      <c r="D646" s="790"/>
      <c r="E646" s="790"/>
      <c r="F646" s="220">
        <f t="shared" si="80"/>
        <v>540.1</v>
      </c>
      <c r="G646" s="18" t="s">
        <v>1339</v>
      </c>
      <c r="H646" s="97">
        <v>464</v>
      </c>
      <c r="I646" s="711">
        <f t="shared" si="82"/>
        <v>1.344445873884023E-2</v>
      </c>
      <c r="J646" s="39">
        <f t="shared" si="83"/>
        <v>30.507224658064533</v>
      </c>
      <c r="K646" s="664">
        <f t="shared" si="81"/>
        <v>11.217506506770329</v>
      </c>
      <c r="L646" s="39">
        <v>14.071926525514185</v>
      </c>
      <c r="M646" s="39">
        <f t="shared" si="85"/>
        <v>9.1543319552763123</v>
      </c>
      <c r="N646" s="117">
        <f t="shared" si="84"/>
        <v>11.159130653481826</v>
      </c>
      <c r="O646" s="94">
        <f t="shared" si="79"/>
        <v>0.12025734057697714</v>
      </c>
      <c r="P646" s="240"/>
    </row>
    <row r="647" spans="1:16" s="6" customFormat="1" ht="17.25" customHeight="1">
      <c r="A647" s="275">
        <v>111</v>
      </c>
      <c r="B647" s="125" t="s">
        <v>1123</v>
      </c>
      <c r="C647" s="790">
        <v>236.8</v>
      </c>
      <c r="D647" s="790"/>
      <c r="E647" s="790"/>
      <c r="F647" s="220">
        <f t="shared" si="80"/>
        <v>236.8</v>
      </c>
      <c r="G647" s="18" t="s">
        <v>1339</v>
      </c>
      <c r="H647" s="97">
        <v>252</v>
      </c>
      <c r="I647" s="711">
        <f t="shared" si="82"/>
        <v>7.3017319012666764E-3</v>
      </c>
      <c r="J647" s="39">
        <f t="shared" si="83"/>
        <v>16.568578909121253</v>
      </c>
      <c r="K647" s="664">
        <f t="shared" si="81"/>
        <v>6.0922664648838856</v>
      </c>
      <c r="L647" s="39">
        <v>7.6425118198913253</v>
      </c>
      <c r="M647" s="39">
        <f t="shared" si="85"/>
        <v>4.9717492515724802</v>
      </c>
      <c r="N647" s="117">
        <f t="shared" si="84"/>
        <v>6.0605623376668536</v>
      </c>
      <c r="O647" s="94">
        <f t="shared" ref="O647:O710" si="86">(M647+L647+K647+J647)/F647</f>
        <v>0.14896582113796006</v>
      </c>
      <c r="P647" s="240"/>
    </row>
    <row r="648" spans="1:16" s="6" customFormat="1" ht="17.25" customHeight="1">
      <c r="A648" s="275">
        <v>112</v>
      </c>
      <c r="B648" s="125" t="s">
        <v>1124</v>
      </c>
      <c r="C648" s="790">
        <v>375.5</v>
      </c>
      <c r="D648" s="790"/>
      <c r="E648" s="790"/>
      <c r="F648" s="220">
        <f t="shared" si="80"/>
        <v>375.5</v>
      </c>
      <c r="G648" s="18" t="s">
        <v>1339</v>
      </c>
      <c r="H648" s="97">
        <v>155</v>
      </c>
      <c r="I648" s="711">
        <f t="shared" si="82"/>
        <v>4.4911446218108527E-3</v>
      </c>
      <c r="J648" s="39">
        <f t="shared" si="83"/>
        <v>10.19099099568966</v>
      </c>
      <c r="K648" s="664">
        <f t="shared" si="81"/>
        <v>3.7472273891150882</v>
      </c>
      <c r="L648" s="39">
        <v>4.7007513177902984</v>
      </c>
      <c r="M648" s="39">
        <f t="shared" si="85"/>
        <v>3.0580203729910096</v>
      </c>
      <c r="N648" s="117">
        <f t="shared" si="84"/>
        <v>3.7277268346760408</v>
      </c>
      <c r="O648" s="94">
        <f t="shared" si="86"/>
        <v>5.778159807080175E-2</v>
      </c>
      <c r="P648" s="240"/>
    </row>
    <row r="649" spans="1:16" s="6" customFormat="1" ht="17.25" customHeight="1">
      <c r="A649" s="275">
        <v>113</v>
      </c>
      <c r="B649" s="125" t="s">
        <v>1125</v>
      </c>
      <c r="C649" s="790">
        <v>552.64</v>
      </c>
      <c r="D649" s="790"/>
      <c r="E649" s="790">
        <v>65.900000000000006</v>
      </c>
      <c r="F649" s="220">
        <f t="shared" si="80"/>
        <v>618.54</v>
      </c>
      <c r="G649" s="18" t="s">
        <v>1339</v>
      </c>
      <c r="H649" s="97">
        <v>282</v>
      </c>
      <c r="I649" s="711">
        <f t="shared" si="82"/>
        <v>8.1709856990365183E-3</v>
      </c>
      <c r="J649" s="39">
        <f t="shared" si="83"/>
        <v>18.541028779254734</v>
      </c>
      <c r="K649" s="664">
        <f t="shared" si="81"/>
        <v>6.8175362821319663</v>
      </c>
      <c r="L649" s="39">
        <v>8.5523346555926718</v>
      </c>
      <c r="M649" s="39">
        <f t="shared" si="85"/>
        <v>5.5636241624739649</v>
      </c>
      <c r="N649" s="117">
        <f t="shared" si="84"/>
        <v>6.7820578540557639</v>
      </c>
      <c r="O649" s="94">
        <f t="shared" si="86"/>
        <v>6.3818870047940873E-2</v>
      </c>
      <c r="P649" s="240"/>
    </row>
    <row r="650" spans="1:16" s="6" customFormat="1" ht="17.25" customHeight="1">
      <c r="A650" s="275">
        <v>114</v>
      </c>
      <c r="B650" s="125" t="s">
        <v>1126</v>
      </c>
      <c r="C650" s="790">
        <v>473.5</v>
      </c>
      <c r="D650" s="790"/>
      <c r="E650" s="790"/>
      <c r="F650" s="220">
        <f t="shared" si="80"/>
        <v>473.5</v>
      </c>
      <c r="G650" s="18" t="s">
        <v>1339</v>
      </c>
      <c r="H650" s="97">
        <v>287</v>
      </c>
      <c r="I650" s="711">
        <f t="shared" si="82"/>
        <v>8.3158613319981589E-3</v>
      </c>
      <c r="J650" s="39">
        <f t="shared" si="83"/>
        <v>18.869770424276982</v>
      </c>
      <c r="K650" s="664">
        <f t="shared" si="81"/>
        <v>6.9384145850066465</v>
      </c>
      <c r="L650" s="39">
        <v>8.7039717948762316</v>
      </c>
      <c r="M650" s="39">
        <f t="shared" si="85"/>
        <v>5.6622699809575465</v>
      </c>
      <c r="N650" s="117">
        <f t="shared" si="84"/>
        <v>6.9023071067872497</v>
      </c>
      <c r="O650" s="94">
        <f t="shared" si="86"/>
        <v>8.484567430859008E-2</v>
      </c>
      <c r="P650" s="240"/>
    </row>
    <row r="651" spans="1:16" s="6" customFormat="1" ht="17.25" customHeight="1">
      <c r="A651" s="275">
        <v>115</v>
      </c>
      <c r="B651" s="125" t="s">
        <v>1127</v>
      </c>
      <c r="C651" s="790">
        <v>281.8</v>
      </c>
      <c r="D651" s="790"/>
      <c r="E651" s="790"/>
      <c r="F651" s="220">
        <f t="shared" si="80"/>
        <v>281.8</v>
      </c>
      <c r="G651" s="18" t="s">
        <v>1339</v>
      </c>
      <c r="H651" s="97">
        <v>257</v>
      </c>
      <c r="I651" s="711">
        <f t="shared" si="82"/>
        <v>7.446607534228317E-3</v>
      </c>
      <c r="J651" s="39">
        <f t="shared" si="83"/>
        <v>16.897320554143501</v>
      </c>
      <c r="K651" s="664">
        <f t="shared" si="81"/>
        <v>6.2131447677585658</v>
      </c>
      <c r="L651" s="39">
        <v>7.7941489591748825</v>
      </c>
      <c r="M651" s="39">
        <f t="shared" si="85"/>
        <v>5.0703950700560609</v>
      </c>
      <c r="N651" s="117">
        <f t="shared" si="84"/>
        <v>6.1808115903983385</v>
      </c>
      <c r="O651" s="94">
        <f t="shared" si="86"/>
        <v>0.12766149521338896</v>
      </c>
      <c r="P651" s="240"/>
    </row>
    <row r="652" spans="1:16" s="6" customFormat="1" ht="17.25" customHeight="1">
      <c r="A652" s="275">
        <v>116</v>
      </c>
      <c r="B652" s="125" t="s">
        <v>1128</v>
      </c>
      <c r="C652" s="790">
        <v>295.89999999999998</v>
      </c>
      <c r="D652" s="790"/>
      <c r="E652" s="790"/>
      <c r="F652" s="220">
        <f t="shared" si="80"/>
        <v>295.89999999999998</v>
      </c>
      <c r="G652" s="18" t="s">
        <v>1339</v>
      </c>
      <c r="H652" s="97">
        <v>259</v>
      </c>
      <c r="I652" s="711">
        <f t="shared" si="82"/>
        <v>7.5045577874129727E-3</v>
      </c>
      <c r="J652" s="39">
        <f t="shared" si="83"/>
        <v>17.028817212152401</v>
      </c>
      <c r="K652" s="664">
        <f t="shared" si="81"/>
        <v>6.2614960889084381</v>
      </c>
      <c r="L652" s="39">
        <v>7.8548038148883057</v>
      </c>
      <c r="M652" s="39">
        <f t="shared" si="85"/>
        <v>5.1098533974494931</v>
      </c>
      <c r="N652" s="117">
        <f t="shared" si="84"/>
        <v>6.2289112914909328</v>
      </c>
      <c r="O652" s="94">
        <f t="shared" si="86"/>
        <v>0.12252440187022182</v>
      </c>
      <c r="P652" s="240"/>
    </row>
    <row r="653" spans="1:16" s="6" customFormat="1" ht="17.25" customHeight="1">
      <c r="A653" s="275">
        <v>117</v>
      </c>
      <c r="B653" s="125" t="s">
        <v>1129</v>
      </c>
      <c r="C653" s="790">
        <v>346.1</v>
      </c>
      <c r="D653" s="790"/>
      <c r="E653" s="790"/>
      <c r="F653" s="220">
        <f t="shared" si="80"/>
        <v>346.1</v>
      </c>
      <c r="G653" s="18" t="s">
        <v>1339</v>
      </c>
      <c r="H653" s="97">
        <v>65</v>
      </c>
      <c r="I653" s="711">
        <f t="shared" si="82"/>
        <v>1.8833832285013253E-3</v>
      </c>
      <c r="J653" s="39">
        <f t="shared" si="83"/>
        <v>4.2736413852892126</v>
      </c>
      <c r="K653" s="664">
        <f t="shared" si="81"/>
        <v>1.5714179373708437</v>
      </c>
      <c r="L653" s="39">
        <v>1.9712828106862543</v>
      </c>
      <c r="M653" s="39">
        <f t="shared" si="85"/>
        <v>1.2823956402865524</v>
      </c>
      <c r="N653" s="117">
        <f t="shared" si="84"/>
        <v>1.5632402855093075</v>
      </c>
      <c r="O653" s="94">
        <f t="shared" si="86"/>
        <v>2.6289331908791857E-2</v>
      </c>
      <c r="P653" s="240"/>
    </row>
    <row r="654" spans="1:16" s="6" customFormat="1" ht="17.25" customHeight="1">
      <c r="A654" s="275">
        <v>118</v>
      </c>
      <c r="B654" s="125" t="s">
        <v>1130</v>
      </c>
      <c r="C654" s="790">
        <v>632.4</v>
      </c>
      <c r="D654" s="790"/>
      <c r="E654" s="790">
        <v>33</v>
      </c>
      <c r="F654" s="220">
        <f t="shared" ref="F654:F713" si="87">C654+D654+E654</f>
        <v>665.4</v>
      </c>
      <c r="G654" s="18" t="s">
        <v>1339</v>
      </c>
      <c r="H654" s="97">
        <v>404</v>
      </c>
      <c r="I654" s="711">
        <f t="shared" si="82"/>
        <v>1.1705951143300544E-2</v>
      </c>
      <c r="J654" s="39">
        <f t="shared" si="83"/>
        <v>26.562324917797564</v>
      </c>
      <c r="K654" s="664">
        <f t="shared" ref="K654:K713" si="88">J654*0.3677</f>
        <v>9.7669668722741658</v>
      </c>
      <c r="L654" s="39">
        <v>12.252280854111488</v>
      </c>
      <c r="M654" s="39">
        <f t="shared" si="85"/>
        <v>7.9705821334733402</v>
      </c>
      <c r="N654" s="117">
        <f t="shared" si="84"/>
        <v>9.7161396207040021</v>
      </c>
      <c r="O654" s="94">
        <f t="shared" si="86"/>
        <v>8.4989712620463717E-2</v>
      </c>
      <c r="P654" s="240"/>
    </row>
    <row r="655" spans="1:16" s="6" customFormat="1" ht="17.25" customHeight="1">
      <c r="A655" s="275">
        <v>119</v>
      </c>
      <c r="B655" s="125" t="s">
        <v>1131</v>
      </c>
      <c r="C655" s="790">
        <v>415.51</v>
      </c>
      <c r="D655" s="790"/>
      <c r="E655" s="790"/>
      <c r="F655" s="220">
        <f t="shared" si="87"/>
        <v>415.51</v>
      </c>
      <c r="G655" s="18" t="s">
        <v>1339</v>
      </c>
      <c r="H655" s="97">
        <v>255</v>
      </c>
      <c r="I655" s="711">
        <f t="shared" si="82"/>
        <v>7.3886572810436604E-3</v>
      </c>
      <c r="J655" s="39">
        <f t="shared" si="83"/>
        <v>16.765823896134602</v>
      </c>
      <c r="K655" s="664">
        <f t="shared" si="88"/>
        <v>6.1647934466086936</v>
      </c>
      <c r="L655" s="39">
        <v>7.7334941034614602</v>
      </c>
      <c r="M655" s="39">
        <f t="shared" si="85"/>
        <v>5.0309367426626279</v>
      </c>
      <c r="N655" s="117">
        <f t="shared" si="84"/>
        <v>6.1327118893057442</v>
      </c>
      <c r="O655" s="94">
        <f t="shared" si="86"/>
        <v>8.5906592353655484E-2</v>
      </c>
      <c r="P655" s="240"/>
    </row>
    <row r="656" spans="1:16" s="6" customFormat="1" ht="17.25" customHeight="1">
      <c r="A656" s="275">
        <v>120</v>
      </c>
      <c r="B656" s="125" t="s">
        <v>1132</v>
      </c>
      <c r="C656" s="790">
        <v>1506.2</v>
      </c>
      <c r="D656" s="790"/>
      <c r="E656" s="790">
        <v>148.6</v>
      </c>
      <c r="F656" s="220">
        <f t="shared" si="87"/>
        <v>1654.8</v>
      </c>
      <c r="G656" s="18" t="s">
        <v>1339</v>
      </c>
      <c r="H656" s="97">
        <v>629</v>
      </c>
      <c r="I656" s="711">
        <f t="shared" si="82"/>
        <v>1.8225354626574364E-2</v>
      </c>
      <c r="J656" s="39">
        <f t="shared" si="83"/>
        <v>41.355698943798693</v>
      </c>
      <c r="K656" s="664">
        <f t="shared" si="88"/>
        <v>15.20649050163478</v>
      </c>
      <c r="L656" s="39">
        <v>19.075952121871602</v>
      </c>
      <c r="M656" s="39">
        <f t="shared" si="85"/>
        <v>12.409643965234485</v>
      </c>
      <c r="N656" s="117">
        <f t="shared" si="84"/>
        <v>15.127355993620839</v>
      </c>
      <c r="O656" s="94">
        <f t="shared" si="86"/>
        <v>5.3207508782051952E-2</v>
      </c>
      <c r="P656" s="240"/>
    </row>
    <row r="657" spans="1:16" s="25" customFormat="1" ht="17.25" customHeight="1">
      <c r="A657" s="275">
        <v>121</v>
      </c>
      <c r="B657" s="125" t="s">
        <v>1133</v>
      </c>
      <c r="C657" s="790">
        <v>3220.9</v>
      </c>
      <c r="D657" s="790"/>
      <c r="E657" s="790"/>
      <c r="F657" s="220">
        <f t="shared" si="87"/>
        <v>3220.9</v>
      </c>
      <c r="G657" s="359" t="s">
        <v>1340</v>
      </c>
      <c r="H657" s="97">
        <v>921</v>
      </c>
      <c r="I657" s="711">
        <f t="shared" si="82"/>
        <v>2.6686091591534164E-2</v>
      </c>
      <c r="J657" s="39">
        <f t="shared" si="83"/>
        <v>60.55421101309792</v>
      </c>
      <c r="K657" s="664">
        <f t="shared" si="88"/>
        <v>22.265783389516105</v>
      </c>
      <c r="L657" s="39">
        <v>27.931561056031391</v>
      </c>
      <c r="M657" s="39">
        <f>I657*376.38</f>
        <v>10.044111153221628</v>
      </c>
      <c r="N657" s="117">
        <f t="shared" si="84"/>
        <v>12.243771495777166</v>
      </c>
      <c r="O657" s="94">
        <f t="shared" si="86"/>
        <v>3.7503699777039656E-2</v>
      </c>
      <c r="P657" s="360"/>
    </row>
    <row r="658" spans="1:16" s="25" customFormat="1" ht="17.25" customHeight="1">
      <c r="A658" s="275">
        <v>122</v>
      </c>
      <c r="B658" s="125" t="s">
        <v>1134</v>
      </c>
      <c r="C658" s="790">
        <v>3593.47</v>
      </c>
      <c r="D658" s="790"/>
      <c r="E658" s="790"/>
      <c r="F658" s="220">
        <f t="shared" si="87"/>
        <v>3593.47</v>
      </c>
      <c r="G658" s="359" t="s">
        <v>1340</v>
      </c>
      <c r="H658" s="97">
        <v>921</v>
      </c>
      <c r="I658" s="711">
        <f t="shared" si="82"/>
        <v>2.6686091591534164E-2</v>
      </c>
      <c r="J658" s="39">
        <f t="shared" si="83"/>
        <v>60.55421101309792</v>
      </c>
      <c r="K658" s="664">
        <f t="shared" si="88"/>
        <v>22.265783389516105</v>
      </c>
      <c r="L658" s="39">
        <v>27.931561056031391</v>
      </c>
      <c r="M658" s="39">
        <f>I658*376.38</f>
        <v>10.044111153221628</v>
      </c>
      <c r="N658" s="117">
        <f t="shared" si="84"/>
        <v>12.243771495777166</v>
      </c>
      <c r="O658" s="94">
        <f t="shared" si="86"/>
        <v>3.3615326303508039E-2</v>
      </c>
      <c r="P658" s="360"/>
    </row>
    <row r="659" spans="1:16" s="25" customFormat="1" ht="17.25" customHeight="1">
      <c r="A659" s="275">
        <v>123</v>
      </c>
      <c r="B659" s="125" t="s">
        <v>1135</v>
      </c>
      <c r="C659" s="790">
        <v>5258.9</v>
      </c>
      <c r="D659" s="790"/>
      <c r="E659" s="790"/>
      <c r="F659" s="220">
        <f t="shared" si="87"/>
        <v>5258.9</v>
      </c>
      <c r="G659" s="359" t="s">
        <v>1340</v>
      </c>
      <c r="H659" s="97">
        <v>1392</v>
      </c>
      <c r="I659" s="711">
        <f t="shared" si="82"/>
        <v>4.0333376216520687E-2</v>
      </c>
      <c r="J659" s="39">
        <f t="shared" si="83"/>
        <v>91.52167397419359</v>
      </c>
      <c r="K659" s="664">
        <f t="shared" si="88"/>
        <v>33.652519520310989</v>
      </c>
      <c r="L659" s="39">
        <v>42.215779576542559</v>
      </c>
      <c r="M659" s="39">
        <f>I659*376.38</f>
        <v>15.180676140374056</v>
      </c>
      <c r="N659" s="117">
        <f t="shared" si="84"/>
        <v>18.505244215115976</v>
      </c>
      <c r="O659" s="94">
        <f t="shared" si="86"/>
        <v>3.4716509005955846E-2</v>
      </c>
      <c r="P659" s="360"/>
    </row>
    <row r="660" spans="1:16" s="25" customFormat="1" ht="17.25" customHeight="1">
      <c r="A660" s="275">
        <v>124</v>
      </c>
      <c r="B660" s="125" t="s">
        <v>1136</v>
      </c>
      <c r="C660" s="790">
        <v>3743.95</v>
      </c>
      <c r="D660" s="790"/>
      <c r="E660" s="790"/>
      <c r="F660" s="220">
        <f t="shared" si="87"/>
        <v>3743.95</v>
      </c>
      <c r="G660" s="359" t="s">
        <v>1340</v>
      </c>
      <c r="H660" s="97">
        <v>945</v>
      </c>
      <c r="I660" s="711">
        <f t="shared" si="82"/>
        <v>2.7381494629750036E-2</v>
      </c>
      <c r="J660" s="39">
        <f t="shared" si="83"/>
        <v>62.132170909204703</v>
      </c>
      <c r="K660" s="664">
        <f t="shared" si="88"/>
        <v>22.845999243314569</v>
      </c>
      <c r="L660" s="39">
        <v>28.65941932459247</v>
      </c>
      <c r="M660" s="39">
        <f>I660*376.38</f>
        <v>10.305846948745318</v>
      </c>
      <c r="N660" s="117">
        <f t="shared" si="84"/>
        <v>12.562827430520542</v>
      </c>
      <c r="O660" s="94">
        <f t="shared" si="86"/>
        <v>3.3104992434689853E-2</v>
      </c>
      <c r="P660" s="360"/>
    </row>
    <row r="661" spans="1:16" s="25" customFormat="1" ht="17.25" customHeight="1">
      <c r="A661" s="275">
        <v>125</v>
      </c>
      <c r="B661" s="125" t="s">
        <v>1137</v>
      </c>
      <c r="C661" s="790">
        <v>3126.07</v>
      </c>
      <c r="D661" s="790"/>
      <c r="E661" s="790">
        <v>59.5</v>
      </c>
      <c r="F661" s="220">
        <f t="shared" si="87"/>
        <v>3185.57</v>
      </c>
      <c r="G661" s="359" t="s">
        <v>1340</v>
      </c>
      <c r="H661" s="97">
        <v>518</v>
      </c>
      <c r="I661" s="711">
        <f t="shared" si="82"/>
        <v>1.5009115574825945E-2</v>
      </c>
      <c r="J661" s="39">
        <f t="shared" si="83"/>
        <v>34.057634424304801</v>
      </c>
      <c r="K661" s="664">
        <f t="shared" si="88"/>
        <v>12.522992177816876</v>
      </c>
      <c r="L661" s="39">
        <v>15.709607629776611</v>
      </c>
      <c r="M661" s="39">
        <f>I661*376.38</f>
        <v>5.6491309200529889</v>
      </c>
      <c r="N661" s="117">
        <f t="shared" si="84"/>
        <v>6.8862905915445936</v>
      </c>
      <c r="O661" s="94">
        <f t="shared" si="86"/>
        <v>2.1327224060984775E-2</v>
      </c>
      <c r="P661" s="360"/>
    </row>
    <row r="662" spans="1:16" s="6" customFormat="1" ht="17.25" customHeight="1">
      <c r="A662" s="275">
        <v>126</v>
      </c>
      <c r="B662" s="125" t="s">
        <v>1138</v>
      </c>
      <c r="C662" s="790">
        <v>272.89999999999998</v>
      </c>
      <c r="D662" s="790"/>
      <c r="E662" s="790"/>
      <c r="F662" s="220">
        <f t="shared" si="87"/>
        <v>272.89999999999998</v>
      </c>
      <c r="G662" s="18" t="s">
        <v>1339</v>
      </c>
      <c r="H662" s="97">
        <v>130</v>
      </c>
      <c r="I662" s="711">
        <f t="shared" si="82"/>
        <v>3.7667664570026505E-3</v>
      </c>
      <c r="J662" s="39">
        <f t="shared" si="83"/>
        <v>8.5472827705784251</v>
      </c>
      <c r="K662" s="664">
        <f t="shared" si="88"/>
        <v>3.1428358747416874</v>
      </c>
      <c r="L662" s="39">
        <v>3.9425656213725087</v>
      </c>
      <c r="M662" s="39">
        <f t="shared" ref="M662:M723" si="89">I662*680.9</f>
        <v>2.5647912805731048</v>
      </c>
      <c r="N662" s="117">
        <f t="shared" si="84"/>
        <v>3.126480571018615</v>
      </c>
      <c r="O662" s="94">
        <f t="shared" si="86"/>
        <v>6.66818451713658E-2</v>
      </c>
      <c r="P662" s="240"/>
    </row>
    <row r="663" spans="1:16" s="6" customFormat="1" ht="17.25" customHeight="1">
      <c r="A663" s="275">
        <v>127</v>
      </c>
      <c r="B663" s="125" t="s">
        <v>1139</v>
      </c>
      <c r="C663" s="790">
        <v>604.1</v>
      </c>
      <c r="D663" s="790"/>
      <c r="E663" s="790"/>
      <c r="F663" s="220">
        <f t="shared" si="87"/>
        <v>604.1</v>
      </c>
      <c r="G663" s="18" t="s">
        <v>1339</v>
      </c>
      <c r="H663" s="97">
        <v>364</v>
      </c>
      <c r="I663" s="711">
        <f t="shared" si="82"/>
        <v>1.0546946079607421E-2</v>
      </c>
      <c r="J663" s="39">
        <f t="shared" si="83"/>
        <v>23.932391757619587</v>
      </c>
      <c r="K663" s="664">
        <f t="shared" si="88"/>
        <v>8.7999404492767237</v>
      </c>
      <c r="L663" s="39">
        <v>11.039183739843024</v>
      </c>
      <c r="M663" s="39">
        <f t="shared" si="89"/>
        <v>7.1814155856046931</v>
      </c>
      <c r="N663" s="117">
        <f t="shared" si="84"/>
        <v>8.7541455988521211</v>
      </c>
      <c r="O663" s="94">
        <f t="shared" si="86"/>
        <v>8.4345193730084464E-2</v>
      </c>
      <c r="P663" s="240"/>
    </row>
    <row r="664" spans="1:16" s="6" customFormat="1" ht="17.25" customHeight="1">
      <c r="A664" s="275">
        <v>128</v>
      </c>
      <c r="B664" s="125" t="s">
        <v>1140</v>
      </c>
      <c r="C664" s="790">
        <v>464.8</v>
      </c>
      <c r="D664" s="790"/>
      <c r="E664" s="790"/>
      <c r="F664" s="220">
        <f t="shared" si="87"/>
        <v>464.8</v>
      </c>
      <c r="G664" s="18" t="s">
        <v>1339</v>
      </c>
      <c r="H664" s="97">
        <v>333</v>
      </c>
      <c r="I664" s="711">
        <f t="shared" si="82"/>
        <v>9.6487171552452518E-3</v>
      </c>
      <c r="J664" s="39">
        <f t="shared" si="83"/>
        <v>21.89419355848166</v>
      </c>
      <c r="K664" s="664">
        <f t="shared" si="88"/>
        <v>8.0504949714537073</v>
      </c>
      <c r="L664" s="39">
        <v>10.099033476284966</v>
      </c>
      <c r="M664" s="39">
        <f t="shared" si="89"/>
        <v>6.5698115110064919</v>
      </c>
      <c r="N664" s="117">
        <f t="shared" si="84"/>
        <v>8.0086002319169136</v>
      </c>
      <c r="O664" s="94">
        <f t="shared" si="86"/>
        <v>0.10028729242088388</v>
      </c>
      <c r="P664" s="240"/>
    </row>
    <row r="665" spans="1:16" s="6" customFormat="1" ht="17.25" customHeight="1">
      <c r="A665" s="275">
        <v>129</v>
      </c>
      <c r="B665" s="125" t="s">
        <v>1381</v>
      </c>
      <c r="C665" s="790">
        <v>83.39</v>
      </c>
      <c r="D665" s="790"/>
      <c r="E665" s="790"/>
      <c r="F665" s="220">
        <f t="shared" si="87"/>
        <v>83.39</v>
      </c>
      <c r="G665" s="18" t="s">
        <v>1339</v>
      </c>
      <c r="H665" s="97"/>
      <c r="I665" s="711">
        <f t="shared" ref="I665:I728" si="90">2/69024.72*H665</f>
        <v>0</v>
      </c>
      <c r="J665" s="39">
        <f t="shared" ref="J665:J728" si="91">I665*2269.13</f>
        <v>0</v>
      </c>
      <c r="K665" s="664">
        <f t="shared" si="88"/>
        <v>0</v>
      </c>
      <c r="L665" s="39">
        <v>0</v>
      </c>
      <c r="M665" s="39">
        <f t="shared" si="89"/>
        <v>0</v>
      </c>
      <c r="N665" s="117">
        <f t="shared" si="84"/>
        <v>0</v>
      </c>
      <c r="O665" s="94">
        <f t="shared" si="86"/>
        <v>0</v>
      </c>
      <c r="P665" s="240"/>
    </row>
    <row r="666" spans="1:16" s="6" customFormat="1" ht="17.25" customHeight="1">
      <c r="A666" s="275">
        <v>130</v>
      </c>
      <c r="B666" s="125" t="s">
        <v>1141</v>
      </c>
      <c r="C666" s="790">
        <v>489.6</v>
      </c>
      <c r="D666" s="790"/>
      <c r="E666" s="790"/>
      <c r="F666" s="220">
        <f t="shared" si="87"/>
        <v>489.6</v>
      </c>
      <c r="G666" s="18" t="s">
        <v>1339</v>
      </c>
      <c r="H666" s="97">
        <v>337</v>
      </c>
      <c r="I666" s="711">
        <f t="shared" si="90"/>
        <v>9.7646176616145632E-3</v>
      </c>
      <c r="J666" s="39">
        <f t="shared" si="91"/>
        <v>22.157186874499455</v>
      </c>
      <c r="K666" s="664">
        <f t="shared" si="88"/>
        <v>8.1471976137534501</v>
      </c>
      <c r="L666" s="39">
        <v>10.22034318771181</v>
      </c>
      <c r="M666" s="39">
        <f t="shared" si="89"/>
        <v>6.6487281657933561</v>
      </c>
      <c r="N666" s="117">
        <f t="shared" si="84"/>
        <v>8.1047996341021022</v>
      </c>
      <c r="O666" s="94">
        <f t="shared" si="86"/>
        <v>9.6351012748688861E-2</v>
      </c>
      <c r="P666" s="240"/>
    </row>
    <row r="667" spans="1:16" s="6" customFormat="1" ht="17.25" customHeight="1">
      <c r="A667" s="275">
        <v>131</v>
      </c>
      <c r="B667" s="125" t="s">
        <v>1142</v>
      </c>
      <c r="C667" s="790">
        <v>127.92</v>
      </c>
      <c r="D667" s="790"/>
      <c r="E667" s="790"/>
      <c r="F667" s="220">
        <f t="shared" si="87"/>
        <v>127.92</v>
      </c>
      <c r="G667" s="18" t="s">
        <v>1339</v>
      </c>
      <c r="H667" s="97">
        <v>120</v>
      </c>
      <c r="I667" s="711">
        <f t="shared" si="90"/>
        <v>3.4770151910793697E-3</v>
      </c>
      <c r="J667" s="39">
        <f t="shared" si="91"/>
        <v>7.8897994805339309</v>
      </c>
      <c r="K667" s="664">
        <f t="shared" si="88"/>
        <v>2.9010792689923264</v>
      </c>
      <c r="L667" s="39">
        <v>3.639291342805393</v>
      </c>
      <c r="M667" s="39">
        <f t="shared" si="89"/>
        <v>2.3674996436059428</v>
      </c>
      <c r="N667" s="117">
        <f t="shared" si="84"/>
        <v>2.8859820655556443</v>
      </c>
      <c r="O667" s="94">
        <f t="shared" si="86"/>
        <v>0.13131386597824884</v>
      </c>
      <c r="P667" s="240"/>
    </row>
    <row r="668" spans="1:16" s="6" customFormat="1" ht="17.25" customHeight="1">
      <c r="A668" s="275">
        <v>132</v>
      </c>
      <c r="B668" s="125" t="s">
        <v>1143</v>
      </c>
      <c r="C668" s="790">
        <v>129.1</v>
      </c>
      <c r="D668" s="790"/>
      <c r="E668" s="790"/>
      <c r="F668" s="220">
        <f t="shared" si="87"/>
        <v>129.1</v>
      </c>
      <c r="G668" s="18" t="s">
        <v>1339</v>
      </c>
      <c r="H668" s="97">
        <v>132</v>
      </c>
      <c r="I668" s="711">
        <f t="shared" si="90"/>
        <v>3.8247167101873067E-3</v>
      </c>
      <c r="J668" s="39">
        <f t="shared" si="91"/>
        <v>8.6787794285873243</v>
      </c>
      <c r="K668" s="664">
        <f t="shared" si="88"/>
        <v>3.1911871958915592</v>
      </c>
      <c r="L668" s="39">
        <v>4.0032204770859314</v>
      </c>
      <c r="M668" s="39">
        <f t="shared" si="89"/>
        <v>2.6042496079665369</v>
      </c>
      <c r="N668" s="117">
        <f t="shared" si="84"/>
        <v>3.1745802721112089</v>
      </c>
      <c r="O668" s="94">
        <f t="shared" si="86"/>
        <v>0.14312499387708252</v>
      </c>
      <c r="P668" s="240"/>
    </row>
    <row r="669" spans="1:16" s="6" customFormat="1" ht="17.25" customHeight="1">
      <c r="A669" s="275">
        <v>133</v>
      </c>
      <c r="B669" s="125" t="s">
        <v>1144</v>
      </c>
      <c r="C669" s="790">
        <v>136.4</v>
      </c>
      <c r="D669" s="790"/>
      <c r="E669" s="790"/>
      <c r="F669" s="220">
        <f t="shared" si="87"/>
        <v>136.4</v>
      </c>
      <c r="G669" s="18" t="s">
        <v>1339</v>
      </c>
      <c r="H669" s="97">
        <v>100</v>
      </c>
      <c r="I669" s="711">
        <f t="shared" si="90"/>
        <v>2.8975126592328082E-3</v>
      </c>
      <c r="J669" s="39">
        <f t="shared" si="91"/>
        <v>6.5748329004449424</v>
      </c>
      <c r="K669" s="664">
        <f t="shared" si="88"/>
        <v>2.4175660574936053</v>
      </c>
      <c r="L669" s="39">
        <v>3.0327427856711604</v>
      </c>
      <c r="M669" s="39">
        <f t="shared" si="89"/>
        <v>1.972916369671619</v>
      </c>
      <c r="N669" s="117">
        <f t="shared" ref="N669:N732" si="92">M669*1.219</f>
        <v>2.4049850546297038</v>
      </c>
      <c r="O669" s="94">
        <f t="shared" si="86"/>
        <v>0.10262505948153465</v>
      </c>
      <c r="P669" s="240"/>
    </row>
    <row r="670" spans="1:16" s="6" customFormat="1" ht="17.25" customHeight="1">
      <c r="A670" s="275">
        <v>134</v>
      </c>
      <c r="B670" s="125" t="s">
        <v>1145</v>
      </c>
      <c r="C670" s="790">
        <v>68.2</v>
      </c>
      <c r="D670" s="790"/>
      <c r="E670" s="790"/>
      <c r="F670" s="220">
        <f t="shared" si="87"/>
        <v>68.2</v>
      </c>
      <c r="G670" s="18" t="s">
        <v>1339</v>
      </c>
      <c r="H670" s="97">
        <v>80</v>
      </c>
      <c r="I670" s="711">
        <f t="shared" si="90"/>
        <v>2.3180101273862466E-3</v>
      </c>
      <c r="J670" s="39">
        <f t="shared" si="91"/>
        <v>5.2598663203559539</v>
      </c>
      <c r="K670" s="664">
        <f t="shared" si="88"/>
        <v>1.9340528459948845</v>
      </c>
      <c r="L670" s="39">
        <v>2.4261942285369282</v>
      </c>
      <c r="M670" s="39">
        <f t="shared" si="89"/>
        <v>1.5783330957372952</v>
      </c>
      <c r="N670" s="117">
        <f t="shared" si="92"/>
        <v>1.9239880437037629</v>
      </c>
      <c r="O670" s="94">
        <f t="shared" si="86"/>
        <v>0.16420009517045545</v>
      </c>
      <c r="P670" s="240"/>
    </row>
    <row r="671" spans="1:16" s="6" customFormat="1" ht="17.25" customHeight="1">
      <c r="A671" s="275">
        <v>135</v>
      </c>
      <c r="B671" s="125" t="s">
        <v>1146</v>
      </c>
      <c r="C671" s="790">
        <v>117.1</v>
      </c>
      <c r="D671" s="790"/>
      <c r="E671" s="790"/>
      <c r="F671" s="220">
        <f t="shared" si="87"/>
        <v>117.1</v>
      </c>
      <c r="G671" s="18" t="s">
        <v>1339</v>
      </c>
      <c r="H671" s="97">
        <v>78</v>
      </c>
      <c r="I671" s="711">
        <f t="shared" si="90"/>
        <v>2.2600598742015905E-3</v>
      </c>
      <c r="J671" s="39">
        <f t="shared" si="91"/>
        <v>5.1283696623470556</v>
      </c>
      <c r="K671" s="664">
        <f t="shared" si="88"/>
        <v>1.8857015248450124</v>
      </c>
      <c r="L671" s="39">
        <v>2.365539372823505</v>
      </c>
      <c r="M671" s="39">
        <f t="shared" si="89"/>
        <v>1.5388747683438628</v>
      </c>
      <c r="N671" s="117">
        <f t="shared" si="92"/>
        <v>1.875888342611169</v>
      </c>
      <c r="O671" s="94">
        <f t="shared" si="86"/>
        <v>9.3240694520575873E-2</v>
      </c>
      <c r="P671" s="240"/>
    </row>
    <row r="672" spans="1:16" s="6" customFormat="1" ht="17.25" customHeight="1">
      <c r="A672" s="275">
        <v>136</v>
      </c>
      <c r="B672" s="125" t="s">
        <v>1147</v>
      </c>
      <c r="C672" s="790">
        <v>291.16000000000003</v>
      </c>
      <c r="D672" s="790"/>
      <c r="E672" s="790"/>
      <c r="F672" s="220">
        <f t="shared" si="87"/>
        <v>291.16000000000003</v>
      </c>
      <c r="G672" s="18" t="s">
        <v>1339</v>
      </c>
      <c r="H672" s="97">
        <v>238</v>
      </c>
      <c r="I672" s="711">
        <f t="shared" si="90"/>
        <v>6.8960801289740829E-3</v>
      </c>
      <c r="J672" s="39">
        <f t="shared" si="91"/>
        <v>15.648102303058961</v>
      </c>
      <c r="K672" s="664">
        <f t="shared" si="88"/>
        <v>5.7538072168347805</v>
      </c>
      <c r="L672" s="39">
        <v>7.2179278298973619</v>
      </c>
      <c r="M672" s="39">
        <f t="shared" si="89"/>
        <v>4.6955409598184525</v>
      </c>
      <c r="N672" s="117">
        <f t="shared" si="92"/>
        <v>5.7238644300186943</v>
      </c>
      <c r="O672" s="94">
        <f t="shared" si="86"/>
        <v>0.1144229231680504</v>
      </c>
      <c r="P672" s="240"/>
    </row>
    <row r="673" spans="1:16" s="6" customFormat="1" ht="17.25" customHeight="1">
      <c r="A673" s="275">
        <v>137</v>
      </c>
      <c r="B673" s="125" t="s">
        <v>1148</v>
      </c>
      <c r="C673" s="790">
        <v>395.1</v>
      </c>
      <c r="D673" s="790">
        <v>60.1</v>
      </c>
      <c r="E673" s="790"/>
      <c r="F673" s="220">
        <f t="shared" si="87"/>
        <v>455.20000000000005</v>
      </c>
      <c r="G673" s="18" t="s">
        <v>1339</v>
      </c>
      <c r="H673" s="97">
        <v>226</v>
      </c>
      <c r="I673" s="711">
        <f t="shared" si="90"/>
        <v>6.548378609866146E-3</v>
      </c>
      <c r="J673" s="39">
        <f t="shared" si="91"/>
        <v>14.859122355005569</v>
      </c>
      <c r="K673" s="664">
        <f t="shared" si="88"/>
        <v>5.4636992899355485</v>
      </c>
      <c r="L673" s="39">
        <v>6.8539986956168235</v>
      </c>
      <c r="M673" s="39">
        <f t="shared" si="89"/>
        <v>4.4587909954578588</v>
      </c>
      <c r="N673" s="117">
        <f t="shared" si="92"/>
        <v>5.4352662234631302</v>
      </c>
      <c r="O673" s="94">
        <f t="shared" si="86"/>
        <v>6.949826743412961E-2</v>
      </c>
      <c r="P673" s="240"/>
    </row>
    <row r="674" spans="1:16" s="6" customFormat="1" ht="17.25" customHeight="1">
      <c r="A674" s="275">
        <v>138</v>
      </c>
      <c r="B674" s="125" t="s">
        <v>1149</v>
      </c>
      <c r="C674" s="790">
        <v>120</v>
      </c>
      <c r="D674" s="790"/>
      <c r="E674" s="790"/>
      <c r="F674" s="220">
        <f t="shared" si="87"/>
        <v>120</v>
      </c>
      <c r="G674" s="18" t="s">
        <v>1339</v>
      </c>
      <c r="H674" s="97">
        <v>55</v>
      </c>
      <c r="I674" s="711">
        <f t="shared" si="90"/>
        <v>1.5936319625780445E-3</v>
      </c>
      <c r="J674" s="39">
        <f t="shared" si="91"/>
        <v>3.6161580952447183</v>
      </c>
      <c r="K674" s="664">
        <f t="shared" si="88"/>
        <v>1.3296613316214829</v>
      </c>
      <c r="L674" s="39">
        <v>1.6680085321191382</v>
      </c>
      <c r="M674" s="39">
        <f t="shared" si="89"/>
        <v>1.0851040033193904</v>
      </c>
      <c r="N674" s="117">
        <f t="shared" si="92"/>
        <v>1.322741780046337</v>
      </c>
      <c r="O674" s="94">
        <f t="shared" si="86"/>
        <v>6.4157766352539419E-2</v>
      </c>
      <c r="P674" s="240"/>
    </row>
    <row r="675" spans="1:16" s="6" customFormat="1" ht="17.25" customHeight="1">
      <c r="A675" s="275">
        <v>139</v>
      </c>
      <c r="B675" s="125" t="s">
        <v>1150</v>
      </c>
      <c r="C675" s="790">
        <v>390.8</v>
      </c>
      <c r="D675" s="790"/>
      <c r="E675" s="790"/>
      <c r="F675" s="220">
        <f t="shared" si="87"/>
        <v>390.8</v>
      </c>
      <c r="G675" s="18" t="s">
        <v>1339</v>
      </c>
      <c r="H675" s="97">
        <v>209</v>
      </c>
      <c r="I675" s="711">
        <f t="shared" si="90"/>
        <v>6.0558014577965693E-3</v>
      </c>
      <c r="J675" s="39">
        <f t="shared" si="91"/>
        <v>13.741400761929929</v>
      </c>
      <c r="K675" s="664">
        <f t="shared" si="88"/>
        <v>5.0527130601616355</v>
      </c>
      <c r="L675" s="39">
        <v>6.3384324220527253</v>
      </c>
      <c r="M675" s="39">
        <f t="shared" si="89"/>
        <v>4.1233952126136835</v>
      </c>
      <c r="N675" s="117">
        <f t="shared" si="92"/>
        <v>5.0264187641760802</v>
      </c>
      <c r="O675" s="94">
        <f t="shared" si="86"/>
        <v>7.4861672100199519E-2</v>
      </c>
      <c r="P675" s="240"/>
    </row>
    <row r="676" spans="1:16" s="6" customFormat="1" ht="17.25" customHeight="1">
      <c r="A676" s="275">
        <v>140</v>
      </c>
      <c r="B676" s="125" t="s">
        <v>1151</v>
      </c>
      <c r="C676" s="790">
        <v>105.1</v>
      </c>
      <c r="D676" s="790"/>
      <c r="E676" s="790"/>
      <c r="F676" s="220">
        <f t="shared" si="87"/>
        <v>105.1</v>
      </c>
      <c r="G676" s="18" t="s">
        <v>1339</v>
      </c>
      <c r="H676" s="97">
        <v>58</v>
      </c>
      <c r="I676" s="711">
        <f t="shared" si="90"/>
        <v>1.6805573423550287E-3</v>
      </c>
      <c r="J676" s="39">
        <f t="shared" si="91"/>
        <v>3.8134030822580667</v>
      </c>
      <c r="K676" s="664">
        <f t="shared" si="88"/>
        <v>1.4021883133462911</v>
      </c>
      <c r="L676" s="39">
        <v>1.7589908156892731</v>
      </c>
      <c r="M676" s="39">
        <f t="shared" si="89"/>
        <v>1.144291494409539</v>
      </c>
      <c r="N676" s="117">
        <f t="shared" si="92"/>
        <v>1.3948913316852283</v>
      </c>
      <c r="O676" s="94">
        <f t="shared" si="86"/>
        <v>7.7249036210306085E-2</v>
      </c>
      <c r="P676" s="240"/>
    </row>
    <row r="677" spans="1:16" s="6" customFormat="1" ht="17.25" customHeight="1">
      <c r="A677" s="275">
        <v>141</v>
      </c>
      <c r="B677" s="125" t="s">
        <v>1152</v>
      </c>
      <c r="C677" s="790">
        <v>168.5</v>
      </c>
      <c r="D677" s="790"/>
      <c r="E677" s="790"/>
      <c r="F677" s="220">
        <f t="shared" si="87"/>
        <v>168.5</v>
      </c>
      <c r="G677" s="18" t="s">
        <v>1339</v>
      </c>
      <c r="H677" s="97">
        <v>163</v>
      </c>
      <c r="I677" s="711">
        <f t="shared" si="90"/>
        <v>4.7229456345494773E-3</v>
      </c>
      <c r="J677" s="39">
        <f t="shared" si="91"/>
        <v>10.716977627725257</v>
      </c>
      <c r="K677" s="664">
        <f t="shared" si="88"/>
        <v>3.9406326737145774</v>
      </c>
      <c r="L677" s="39">
        <v>4.9433707406439913</v>
      </c>
      <c r="M677" s="39">
        <f t="shared" si="89"/>
        <v>3.215853682564739</v>
      </c>
      <c r="N677" s="117">
        <f t="shared" si="92"/>
        <v>3.9201256390464172</v>
      </c>
      <c r="O677" s="94">
        <f t="shared" si="86"/>
        <v>0.13541148204539208</v>
      </c>
      <c r="P677" s="240"/>
    </row>
    <row r="678" spans="1:16" s="6" customFormat="1" ht="17.25" customHeight="1">
      <c r="A678" s="275">
        <v>142</v>
      </c>
      <c r="B678" s="125" t="s">
        <v>1153</v>
      </c>
      <c r="C678" s="790">
        <v>73.3</v>
      </c>
      <c r="D678" s="790"/>
      <c r="E678" s="790"/>
      <c r="F678" s="220">
        <f t="shared" si="87"/>
        <v>73.3</v>
      </c>
      <c r="G678" s="18" t="s">
        <v>1339</v>
      </c>
      <c r="H678" s="97">
        <v>55</v>
      </c>
      <c r="I678" s="711">
        <f t="shared" si="90"/>
        <v>1.5936319625780445E-3</v>
      </c>
      <c r="J678" s="39">
        <f t="shared" si="91"/>
        <v>3.6161580952447183</v>
      </c>
      <c r="K678" s="664">
        <f t="shared" si="88"/>
        <v>1.3296613316214829</v>
      </c>
      <c r="L678" s="39">
        <v>1.6680085321191382</v>
      </c>
      <c r="M678" s="39">
        <f t="shared" si="89"/>
        <v>1.0851040033193904</v>
      </c>
      <c r="N678" s="117">
        <f t="shared" si="92"/>
        <v>1.322741780046337</v>
      </c>
      <c r="O678" s="94">
        <f t="shared" si="86"/>
        <v>0.10503317820333875</v>
      </c>
      <c r="P678" s="240"/>
    </row>
    <row r="679" spans="1:16" s="6" customFormat="1" ht="17.25" customHeight="1">
      <c r="A679" s="275">
        <v>143</v>
      </c>
      <c r="B679" s="125" t="s">
        <v>1154</v>
      </c>
      <c r="C679" s="790">
        <v>87.3</v>
      </c>
      <c r="D679" s="790"/>
      <c r="E679" s="790"/>
      <c r="F679" s="220">
        <f t="shared" si="87"/>
        <v>87.3</v>
      </c>
      <c r="G679" s="18" t="s">
        <v>1339</v>
      </c>
      <c r="H679" s="97">
        <v>71</v>
      </c>
      <c r="I679" s="711">
        <f t="shared" si="90"/>
        <v>2.0572339880552937E-3</v>
      </c>
      <c r="J679" s="39">
        <f t="shared" si="91"/>
        <v>4.6681313593159093</v>
      </c>
      <c r="K679" s="664">
        <f t="shared" si="88"/>
        <v>1.7164719008204599</v>
      </c>
      <c r="L679" s="39">
        <v>2.1532473778265238</v>
      </c>
      <c r="M679" s="39">
        <f t="shared" si="89"/>
        <v>1.4007706224668495</v>
      </c>
      <c r="N679" s="117">
        <f t="shared" si="92"/>
        <v>1.7075393887870896</v>
      </c>
      <c r="O679" s="94">
        <f t="shared" si="86"/>
        <v>0.11384445888235674</v>
      </c>
      <c r="P679" s="240"/>
    </row>
    <row r="680" spans="1:16" s="6" customFormat="1" ht="17.25" customHeight="1">
      <c r="A680" s="275">
        <v>144</v>
      </c>
      <c r="B680" s="125" t="s">
        <v>1155</v>
      </c>
      <c r="C680" s="790">
        <v>227.3</v>
      </c>
      <c r="D680" s="790"/>
      <c r="E680" s="790"/>
      <c r="F680" s="220">
        <f t="shared" si="87"/>
        <v>227.3</v>
      </c>
      <c r="G680" s="18" t="s">
        <v>1339</v>
      </c>
      <c r="H680" s="97">
        <v>160</v>
      </c>
      <c r="I680" s="711">
        <f t="shared" si="90"/>
        <v>4.6360202547724933E-3</v>
      </c>
      <c r="J680" s="39">
        <f t="shared" si="91"/>
        <v>10.519732640711908</v>
      </c>
      <c r="K680" s="664">
        <f t="shared" si="88"/>
        <v>3.8681056919897689</v>
      </c>
      <c r="L680" s="39">
        <v>5.9037392894398586</v>
      </c>
      <c r="M680" s="39">
        <f t="shared" si="89"/>
        <v>3.1566661914745904</v>
      </c>
      <c r="N680" s="117">
        <f t="shared" si="92"/>
        <v>3.8479760874075257</v>
      </c>
      <c r="O680" s="94">
        <f t="shared" si="86"/>
        <v>0.10315989359267981</v>
      </c>
      <c r="P680" s="240"/>
    </row>
    <row r="681" spans="1:16" s="6" customFormat="1" ht="17.25" customHeight="1">
      <c r="A681" s="275">
        <v>145</v>
      </c>
      <c r="B681" s="125" t="s">
        <v>1156</v>
      </c>
      <c r="C681" s="790">
        <v>53.5</v>
      </c>
      <c r="D681" s="790"/>
      <c r="E681" s="790"/>
      <c r="F681" s="220">
        <f t="shared" si="87"/>
        <v>53.5</v>
      </c>
      <c r="G681" s="18" t="s">
        <v>1339</v>
      </c>
      <c r="H681" s="97">
        <v>57</v>
      </c>
      <c r="I681" s="711">
        <f t="shared" si="90"/>
        <v>1.6515822157627006E-3</v>
      </c>
      <c r="J681" s="39">
        <f t="shared" si="91"/>
        <v>3.7476547532536171</v>
      </c>
      <c r="K681" s="664">
        <f t="shared" si="88"/>
        <v>1.3780126527713552</v>
      </c>
      <c r="L681" s="39">
        <v>1.7286633878325617</v>
      </c>
      <c r="M681" s="39">
        <f t="shared" si="89"/>
        <v>1.1245623307128227</v>
      </c>
      <c r="N681" s="117">
        <f t="shared" si="92"/>
        <v>1.3708414811389311</v>
      </c>
      <c r="O681" s="94">
        <f t="shared" si="86"/>
        <v>0.14913818924430575</v>
      </c>
      <c r="P681" s="240"/>
    </row>
    <row r="682" spans="1:16" s="6" customFormat="1" ht="17.25" customHeight="1">
      <c r="A682" s="275">
        <v>146</v>
      </c>
      <c r="B682" s="125" t="s">
        <v>1157</v>
      </c>
      <c r="C682" s="790">
        <v>1851.82</v>
      </c>
      <c r="D682" s="790"/>
      <c r="E682" s="790"/>
      <c r="F682" s="220">
        <f t="shared" si="87"/>
        <v>1851.82</v>
      </c>
      <c r="G682" s="18" t="s">
        <v>1339</v>
      </c>
      <c r="H682" s="97">
        <v>496.44</v>
      </c>
      <c r="I682" s="711">
        <f t="shared" si="90"/>
        <v>1.4384411845495352E-2</v>
      </c>
      <c r="J682" s="39">
        <f t="shared" si="91"/>
        <v>32.640100450968873</v>
      </c>
      <c r="K682" s="664">
        <f t="shared" si="88"/>
        <v>12.001764935821255</v>
      </c>
      <c r="L682" s="39">
        <v>15.05574828518591</v>
      </c>
      <c r="M682" s="39">
        <f t="shared" si="89"/>
        <v>9.7943460255977843</v>
      </c>
      <c r="N682" s="117">
        <f t="shared" si="92"/>
        <v>11.9393078052037</v>
      </c>
      <c r="O682" s="94">
        <f t="shared" si="86"/>
        <v>3.7526303689113326E-2</v>
      </c>
      <c r="P682" s="240"/>
    </row>
    <row r="683" spans="1:16" s="6" customFormat="1" ht="17.25" customHeight="1">
      <c r="A683" s="275">
        <v>147</v>
      </c>
      <c r="B683" s="125" t="s">
        <v>1158</v>
      </c>
      <c r="C683" s="790">
        <v>933.25</v>
      </c>
      <c r="D683" s="790"/>
      <c r="E683" s="790"/>
      <c r="F683" s="220">
        <f t="shared" si="87"/>
        <v>933.25</v>
      </c>
      <c r="G683" s="18" t="s">
        <v>1339</v>
      </c>
      <c r="H683" s="97">
        <v>299</v>
      </c>
      <c r="I683" s="711">
        <f t="shared" si="90"/>
        <v>8.6635628511060967E-3</v>
      </c>
      <c r="J683" s="39">
        <f t="shared" si="91"/>
        <v>19.658750372330378</v>
      </c>
      <c r="K683" s="664">
        <f t="shared" si="88"/>
        <v>7.2285225119058802</v>
      </c>
      <c r="L683" s="39">
        <v>9.0679009291567692</v>
      </c>
      <c r="M683" s="39">
        <f t="shared" si="89"/>
        <v>5.8990199453181411</v>
      </c>
      <c r="N683" s="117">
        <f t="shared" si="92"/>
        <v>7.1909053133428147</v>
      </c>
      <c r="O683" s="94">
        <f t="shared" si="86"/>
        <v>4.4847783293556036E-2</v>
      </c>
      <c r="P683" s="240"/>
    </row>
    <row r="684" spans="1:16" s="6" customFormat="1" ht="17.25" customHeight="1">
      <c r="A684" s="275">
        <v>148</v>
      </c>
      <c r="B684" s="125" t="s">
        <v>1159</v>
      </c>
      <c r="C684" s="790">
        <v>1158.5</v>
      </c>
      <c r="D684" s="790"/>
      <c r="E684" s="790"/>
      <c r="F684" s="220">
        <f t="shared" si="87"/>
        <v>1158.5</v>
      </c>
      <c r="G684" s="18" t="s">
        <v>1339</v>
      </c>
      <c r="H684" s="97">
        <v>554</v>
      </c>
      <c r="I684" s="711">
        <f t="shared" si="90"/>
        <v>1.6052220132149755E-2</v>
      </c>
      <c r="J684" s="39">
        <f t="shared" si="91"/>
        <v>36.424574268464973</v>
      </c>
      <c r="K684" s="664">
        <f t="shared" si="88"/>
        <v>13.393315958514572</v>
      </c>
      <c r="L684" s="39">
        <v>16.801395032618228</v>
      </c>
      <c r="M684" s="39">
        <f t="shared" si="89"/>
        <v>10.929956687980768</v>
      </c>
      <c r="N684" s="117">
        <f t="shared" si="92"/>
        <v>13.323617202648558</v>
      </c>
      <c r="O684" s="94">
        <f t="shared" si="86"/>
        <v>6.6939354292255962E-2</v>
      </c>
      <c r="P684" s="240"/>
    </row>
    <row r="685" spans="1:16" s="6" customFormat="1" ht="17.25" customHeight="1">
      <c r="A685" s="275">
        <v>149</v>
      </c>
      <c r="B685" s="125" t="s">
        <v>1160</v>
      </c>
      <c r="C685" s="790">
        <v>3663.95</v>
      </c>
      <c r="D685" s="790"/>
      <c r="E685" s="790">
        <v>111.7</v>
      </c>
      <c r="F685" s="220">
        <f t="shared" si="87"/>
        <v>3775.6499999999996</v>
      </c>
      <c r="G685" s="18" t="s">
        <v>1339</v>
      </c>
      <c r="H685" s="97">
        <v>601.98</v>
      </c>
      <c r="I685" s="711">
        <f t="shared" si="90"/>
        <v>1.744244670604966E-2</v>
      </c>
      <c r="J685" s="39">
        <f t="shared" si="91"/>
        <v>39.579179094098464</v>
      </c>
      <c r="K685" s="664">
        <f t="shared" si="88"/>
        <v>14.553264152900006</v>
      </c>
      <c r="L685" s="39">
        <v>18.256505021183255</v>
      </c>
      <c r="M685" s="39">
        <f t="shared" si="89"/>
        <v>11.876561962149212</v>
      </c>
      <c r="N685" s="117">
        <f t="shared" si="92"/>
        <v>14.477529031859891</v>
      </c>
      <c r="O685" s="94">
        <f t="shared" si="86"/>
        <v>2.2318146605307943E-2</v>
      </c>
      <c r="P685" s="240"/>
    </row>
    <row r="686" spans="1:16" s="6" customFormat="1" ht="17.25" customHeight="1">
      <c r="A686" s="275">
        <v>150</v>
      </c>
      <c r="B686" s="125" t="s">
        <v>1161</v>
      </c>
      <c r="C686" s="790">
        <v>79.3</v>
      </c>
      <c r="D686" s="790"/>
      <c r="E686" s="790"/>
      <c r="F686" s="220">
        <f t="shared" si="87"/>
        <v>79.3</v>
      </c>
      <c r="G686" s="18" t="s">
        <v>1339</v>
      </c>
      <c r="H686" s="97">
        <v>38.9</v>
      </c>
      <c r="I686" s="711">
        <f t="shared" si="90"/>
        <v>1.1271324244415623E-3</v>
      </c>
      <c r="J686" s="39">
        <f t="shared" si="91"/>
        <v>2.5576099982730822</v>
      </c>
      <c r="K686" s="664">
        <f t="shared" si="88"/>
        <v>0.94043319636501244</v>
      </c>
      <c r="L686" s="39">
        <v>1.1797369436260816</v>
      </c>
      <c r="M686" s="39">
        <f t="shared" si="89"/>
        <v>0.76746446780225974</v>
      </c>
      <c r="N686" s="117">
        <f t="shared" si="92"/>
        <v>0.93553918625095467</v>
      </c>
      <c r="O686" s="94">
        <f t="shared" si="86"/>
        <v>6.8666388474986587E-2</v>
      </c>
      <c r="P686" s="240"/>
    </row>
    <row r="687" spans="1:16" s="6" customFormat="1" ht="17.25" customHeight="1">
      <c r="A687" s="275">
        <v>151</v>
      </c>
      <c r="B687" s="125" t="s">
        <v>1162</v>
      </c>
      <c r="C687" s="790">
        <v>377.9</v>
      </c>
      <c r="D687" s="790"/>
      <c r="E687" s="790"/>
      <c r="F687" s="220">
        <f t="shared" si="87"/>
        <v>377.9</v>
      </c>
      <c r="G687" s="18" t="s">
        <v>1339</v>
      </c>
      <c r="H687" s="97">
        <v>168.7</v>
      </c>
      <c r="I687" s="711">
        <f t="shared" si="90"/>
        <v>4.8881038561257471E-3</v>
      </c>
      <c r="J687" s="39">
        <f t="shared" si="91"/>
        <v>11.091743103050616</v>
      </c>
      <c r="K687" s="664">
        <f t="shared" si="88"/>
        <v>4.0784339389917115</v>
      </c>
      <c r="L687" s="39">
        <v>5.1162370794272478</v>
      </c>
      <c r="M687" s="39">
        <f t="shared" si="89"/>
        <v>3.3283099156360212</v>
      </c>
      <c r="N687" s="117">
        <f t="shared" si="92"/>
        <v>4.0572097871603097</v>
      </c>
      <c r="O687" s="94">
        <f t="shared" si="86"/>
        <v>6.2489346486122248E-2</v>
      </c>
      <c r="P687" s="240"/>
    </row>
    <row r="688" spans="1:16" s="6" customFormat="1" ht="17.25" customHeight="1">
      <c r="A688" s="275">
        <v>152</v>
      </c>
      <c r="B688" s="125" t="s">
        <v>1163</v>
      </c>
      <c r="C688" s="790">
        <v>86.1</v>
      </c>
      <c r="D688" s="790"/>
      <c r="E688" s="790"/>
      <c r="F688" s="220">
        <f t="shared" si="87"/>
        <v>86.1</v>
      </c>
      <c r="G688" s="18" t="s">
        <v>1339</v>
      </c>
      <c r="H688" s="97">
        <v>75</v>
      </c>
      <c r="I688" s="711">
        <f t="shared" si="90"/>
        <v>2.173134494424606E-3</v>
      </c>
      <c r="J688" s="39">
        <f t="shared" si="91"/>
        <v>4.9311246753337068</v>
      </c>
      <c r="K688" s="664">
        <f t="shared" si="88"/>
        <v>1.8131745431202042</v>
      </c>
      <c r="L688" s="39">
        <v>2.2745570892533706</v>
      </c>
      <c r="M688" s="39">
        <f t="shared" si="89"/>
        <v>1.4796872772537142</v>
      </c>
      <c r="N688" s="117">
        <f t="shared" si="92"/>
        <v>1.8037387909722777</v>
      </c>
      <c r="O688" s="94">
        <f t="shared" si="86"/>
        <v>0.12193430412265965</v>
      </c>
      <c r="P688" s="240"/>
    </row>
    <row r="689" spans="1:16" s="6" customFormat="1" ht="17.25" customHeight="1">
      <c r="A689" s="275">
        <v>153</v>
      </c>
      <c r="B689" s="125" t="s">
        <v>1164</v>
      </c>
      <c r="C689" s="790">
        <v>59.7</v>
      </c>
      <c r="D689" s="790"/>
      <c r="E689" s="790"/>
      <c r="F689" s="220">
        <f t="shared" si="87"/>
        <v>59.7</v>
      </c>
      <c r="G689" s="18" t="s">
        <v>1339</v>
      </c>
      <c r="H689" s="97">
        <v>52.9</v>
      </c>
      <c r="I689" s="711">
        <f t="shared" si="90"/>
        <v>1.5327841967341554E-3</v>
      </c>
      <c r="J689" s="39">
        <f t="shared" si="91"/>
        <v>3.478086604335374</v>
      </c>
      <c r="K689" s="664">
        <f t="shared" si="88"/>
        <v>1.2788924444141172</v>
      </c>
      <c r="L689" s="39">
        <v>1.6043209336200439</v>
      </c>
      <c r="M689" s="39">
        <f t="shared" si="89"/>
        <v>1.0436727595562862</v>
      </c>
      <c r="N689" s="117">
        <f t="shared" si="92"/>
        <v>1.272237093899113</v>
      </c>
      <c r="O689" s="94">
        <f t="shared" si="86"/>
        <v>0.12403639433711593</v>
      </c>
      <c r="P689" s="240"/>
    </row>
    <row r="690" spans="1:16" s="6" customFormat="1" ht="17.25" customHeight="1">
      <c r="A690" s="275">
        <v>154</v>
      </c>
      <c r="B690" s="125" t="s">
        <v>1165</v>
      </c>
      <c r="C690" s="790">
        <v>66.099999999999994</v>
      </c>
      <c r="D690" s="790"/>
      <c r="E690" s="790"/>
      <c r="F690" s="220">
        <f t="shared" si="87"/>
        <v>66.099999999999994</v>
      </c>
      <c r="G690" s="18" t="s">
        <v>1339</v>
      </c>
      <c r="H690" s="97">
        <v>88.8</v>
      </c>
      <c r="I690" s="711">
        <f t="shared" si="90"/>
        <v>2.5729912413987336E-3</v>
      </c>
      <c r="J690" s="39">
        <f t="shared" si="91"/>
        <v>5.8384516155951092</v>
      </c>
      <c r="K690" s="664">
        <f t="shared" si="88"/>
        <v>2.1467986590543218</v>
      </c>
      <c r="L690" s="39">
        <v>2.6930755936759909</v>
      </c>
      <c r="M690" s="39">
        <f t="shared" si="89"/>
        <v>1.7519497362683978</v>
      </c>
      <c r="N690" s="117">
        <f t="shared" si="92"/>
        <v>2.135626728511177</v>
      </c>
      <c r="O690" s="94">
        <f t="shared" si="86"/>
        <v>0.18805258100747083</v>
      </c>
      <c r="P690" s="240"/>
    </row>
    <row r="691" spans="1:16" s="6" customFormat="1" ht="17.25" customHeight="1">
      <c r="A691" s="275">
        <v>155</v>
      </c>
      <c r="B691" s="125" t="s">
        <v>1166</v>
      </c>
      <c r="C691" s="790">
        <v>111.6</v>
      </c>
      <c r="D691" s="790"/>
      <c r="E691" s="790"/>
      <c r="F691" s="220">
        <f t="shared" si="87"/>
        <v>111.6</v>
      </c>
      <c r="G691" s="18" t="s">
        <v>1339</v>
      </c>
      <c r="H691" s="97">
        <v>90</v>
      </c>
      <c r="I691" s="711">
        <f t="shared" si="90"/>
        <v>2.6077613933095274E-3</v>
      </c>
      <c r="J691" s="39">
        <f t="shared" si="91"/>
        <v>5.9173496104004482</v>
      </c>
      <c r="K691" s="664">
        <f t="shared" si="88"/>
        <v>2.1758094517442448</v>
      </c>
      <c r="L691" s="39">
        <v>2.7294685071040448</v>
      </c>
      <c r="M691" s="39">
        <f t="shared" si="89"/>
        <v>1.7756247327044572</v>
      </c>
      <c r="N691" s="117">
        <f t="shared" si="92"/>
        <v>2.1644865491667336</v>
      </c>
      <c r="O691" s="94">
        <f t="shared" si="86"/>
        <v>0.11288756542968814</v>
      </c>
      <c r="P691" s="240"/>
    </row>
    <row r="692" spans="1:16" s="6" customFormat="1" ht="17.25" customHeight="1">
      <c r="A692" s="275">
        <v>156</v>
      </c>
      <c r="B692" s="125" t="s">
        <v>1167</v>
      </c>
      <c r="C692" s="790">
        <v>119.2</v>
      </c>
      <c r="D692" s="790"/>
      <c r="E692" s="790"/>
      <c r="F692" s="220">
        <f t="shared" si="87"/>
        <v>119.2</v>
      </c>
      <c r="G692" s="18" t="s">
        <v>1339</v>
      </c>
      <c r="H692" s="97">
        <v>96.6</v>
      </c>
      <c r="I692" s="711">
        <f t="shared" si="90"/>
        <v>2.7989972288188923E-3</v>
      </c>
      <c r="J692" s="39">
        <f t="shared" si="91"/>
        <v>6.351288581829813</v>
      </c>
      <c r="K692" s="664">
        <f t="shared" si="88"/>
        <v>2.3353688115388223</v>
      </c>
      <c r="L692" s="39">
        <v>2.9296295309583407</v>
      </c>
      <c r="M692" s="39">
        <f t="shared" si="89"/>
        <v>1.9058372131027836</v>
      </c>
      <c r="N692" s="117">
        <f t="shared" si="92"/>
        <v>2.3232155627722935</v>
      </c>
      <c r="O692" s="94">
        <f t="shared" si="86"/>
        <v>0.11344063873682685</v>
      </c>
      <c r="P692" s="240"/>
    </row>
    <row r="693" spans="1:16" s="6" customFormat="1" ht="17.25" customHeight="1">
      <c r="A693" s="275">
        <v>157</v>
      </c>
      <c r="B693" s="125" t="s">
        <v>1168</v>
      </c>
      <c r="C693" s="790">
        <v>139.6</v>
      </c>
      <c r="D693" s="790"/>
      <c r="E693" s="790"/>
      <c r="F693" s="220">
        <f t="shared" si="87"/>
        <v>139.6</v>
      </c>
      <c r="G693" s="18" t="s">
        <v>1339</v>
      </c>
      <c r="H693" s="97">
        <v>161.80000000000001</v>
      </c>
      <c r="I693" s="711">
        <f t="shared" si="90"/>
        <v>4.6881754826386835E-3</v>
      </c>
      <c r="J693" s="39">
        <f t="shared" si="91"/>
        <v>10.638079632919917</v>
      </c>
      <c r="K693" s="664">
        <f t="shared" si="88"/>
        <v>3.9116218810246535</v>
      </c>
      <c r="L693" s="39">
        <v>4.9069778272159388</v>
      </c>
      <c r="M693" s="39">
        <f t="shared" si="89"/>
        <v>3.1921786861286794</v>
      </c>
      <c r="N693" s="117">
        <f t="shared" si="92"/>
        <v>3.8912658183908606</v>
      </c>
      <c r="O693" s="94">
        <f t="shared" si="86"/>
        <v>0.16224110334734376</v>
      </c>
      <c r="P693" s="240"/>
    </row>
    <row r="694" spans="1:16" s="6" customFormat="1" ht="17.25" customHeight="1">
      <c r="A694" s="275">
        <v>158</v>
      </c>
      <c r="B694" s="125" t="s">
        <v>1169</v>
      </c>
      <c r="C694" s="790">
        <v>66.5</v>
      </c>
      <c r="D694" s="790"/>
      <c r="E694" s="790"/>
      <c r="F694" s="220">
        <f t="shared" si="87"/>
        <v>66.5</v>
      </c>
      <c r="G694" s="18" t="s">
        <v>1339</v>
      </c>
      <c r="H694" s="97">
        <v>61.8</v>
      </c>
      <c r="I694" s="711">
        <f t="shared" si="90"/>
        <v>1.7906628234058753E-3</v>
      </c>
      <c r="J694" s="39">
        <f t="shared" si="91"/>
        <v>4.0632467324749744</v>
      </c>
      <c r="K694" s="664">
        <f t="shared" si="88"/>
        <v>1.4940558235310482</v>
      </c>
      <c r="L694" s="39">
        <v>1.874235041544777</v>
      </c>
      <c r="M694" s="39">
        <f t="shared" si="89"/>
        <v>1.2192623164570604</v>
      </c>
      <c r="N694" s="117">
        <f t="shared" si="92"/>
        <v>1.4862807637611568</v>
      </c>
      <c r="O694" s="94">
        <f t="shared" si="86"/>
        <v>0.13008721675199789</v>
      </c>
      <c r="P694" s="240"/>
    </row>
    <row r="695" spans="1:16" s="6" customFormat="1" ht="17.25" customHeight="1">
      <c r="A695" s="275">
        <v>159</v>
      </c>
      <c r="B695" s="125" t="s">
        <v>1170</v>
      </c>
      <c r="C695" s="790">
        <v>67</v>
      </c>
      <c r="D695" s="790"/>
      <c r="E695" s="790"/>
      <c r="F695" s="220">
        <f t="shared" si="87"/>
        <v>67</v>
      </c>
      <c r="G695" s="18" t="s">
        <v>1339</v>
      </c>
      <c r="H695" s="97">
        <v>58</v>
      </c>
      <c r="I695" s="711">
        <f t="shared" si="90"/>
        <v>1.6805573423550287E-3</v>
      </c>
      <c r="J695" s="39">
        <f t="shared" si="91"/>
        <v>3.8134030822580667</v>
      </c>
      <c r="K695" s="664">
        <f t="shared" si="88"/>
        <v>1.4021883133462911</v>
      </c>
      <c r="L695" s="39">
        <v>1.7589908156892731</v>
      </c>
      <c r="M695" s="39">
        <f t="shared" si="89"/>
        <v>1.144291494409539</v>
      </c>
      <c r="N695" s="117">
        <f t="shared" si="92"/>
        <v>1.3948913316852283</v>
      </c>
      <c r="O695" s="94">
        <f t="shared" si="86"/>
        <v>0.121177219488107</v>
      </c>
      <c r="P695" s="240"/>
    </row>
    <row r="696" spans="1:16" s="6" customFormat="1" ht="17.25" customHeight="1">
      <c r="A696" s="275">
        <v>160</v>
      </c>
      <c r="B696" s="125" t="s">
        <v>1171</v>
      </c>
      <c r="C696" s="790">
        <v>212.2</v>
      </c>
      <c r="D696" s="790"/>
      <c r="E696" s="790"/>
      <c r="F696" s="220">
        <f t="shared" si="87"/>
        <v>212.2</v>
      </c>
      <c r="G696" s="18" t="s">
        <v>1339</v>
      </c>
      <c r="H696" s="97">
        <v>35</v>
      </c>
      <c r="I696" s="711">
        <f t="shared" si="90"/>
        <v>1.0141294307314829E-3</v>
      </c>
      <c r="J696" s="39">
        <f t="shared" si="91"/>
        <v>2.3011915151557298</v>
      </c>
      <c r="K696" s="664">
        <f t="shared" si="88"/>
        <v>0.84614812012276197</v>
      </c>
      <c r="L696" s="39">
        <v>1.0614599749849063</v>
      </c>
      <c r="M696" s="39">
        <f t="shared" si="89"/>
        <v>0.6905207293850667</v>
      </c>
      <c r="N696" s="117">
        <f t="shared" si="92"/>
        <v>0.84174476912039642</v>
      </c>
      <c r="O696" s="94">
        <f t="shared" si="86"/>
        <v>2.308822026224536E-2</v>
      </c>
      <c r="P696" s="240"/>
    </row>
    <row r="697" spans="1:16" s="6" customFormat="1" ht="17.25" customHeight="1">
      <c r="A697" s="275">
        <v>161</v>
      </c>
      <c r="B697" s="125" t="s">
        <v>1172</v>
      </c>
      <c r="C697" s="790">
        <v>41.6</v>
      </c>
      <c r="D697" s="790"/>
      <c r="E697" s="790"/>
      <c r="F697" s="220">
        <f t="shared" si="87"/>
        <v>41.6</v>
      </c>
      <c r="G697" s="18" t="s">
        <v>1339</v>
      </c>
      <c r="H697" s="97">
        <v>10</v>
      </c>
      <c r="I697" s="711">
        <f t="shared" si="90"/>
        <v>2.8975126592328083E-4</v>
      </c>
      <c r="J697" s="39">
        <f t="shared" si="91"/>
        <v>0.65748329004449424</v>
      </c>
      <c r="K697" s="664">
        <f t="shared" si="88"/>
        <v>0.24175660574936056</v>
      </c>
      <c r="L697" s="39">
        <v>0.30327427856711603</v>
      </c>
      <c r="M697" s="39">
        <f t="shared" si="89"/>
        <v>0.1972916369671619</v>
      </c>
      <c r="N697" s="117">
        <f t="shared" si="92"/>
        <v>0.24049850546297036</v>
      </c>
      <c r="O697" s="94">
        <f t="shared" si="86"/>
        <v>3.3649178156926265E-2</v>
      </c>
      <c r="P697" s="240"/>
    </row>
    <row r="698" spans="1:16" s="6" customFormat="1" ht="17.25" customHeight="1">
      <c r="A698" s="275">
        <v>162</v>
      </c>
      <c r="B698" s="125" t="s">
        <v>1173</v>
      </c>
      <c r="C698" s="790">
        <v>466.8</v>
      </c>
      <c r="D698" s="790"/>
      <c r="E698" s="790"/>
      <c r="F698" s="220">
        <f t="shared" si="87"/>
        <v>466.8</v>
      </c>
      <c r="G698" s="18" t="s">
        <v>1339</v>
      </c>
      <c r="H698" s="97">
        <v>37.799999999999997</v>
      </c>
      <c r="I698" s="711">
        <f t="shared" si="90"/>
        <v>1.0952597851900015E-3</v>
      </c>
      <c r="J698" s="39">
        <f t="shared" si="91"/>
        <v>2.4852868363681879</v>
      </c>
      <c r="K698" s="664">
        <f t="shared" si="88"/>
        <v>0.91383996973258275</v>
      </c>
      <c r="L698" s="39">
        <v>1.1463767729836987</v>
      </c>
      <c r="M698" s="39">
        <f t="shared" si="89"/>
        <v>0.745762387735872</v>
      </c>
      <c r="N698" s="117">
        <f t="shared" si="92"/>
        <v>0.90908435065002802</v>
      </c>
      <c r="O698" s="94">
        <f t="shared" si="86"/>
        <v>1.1335188446487451E-2</v>
      </c>
      <c r="P698" s="240"/>
    </row>
    <row r="699" spans="1:16" s="6" customFormat="1" ht="17.25" customHeight="1">
      <c r="A699" s="275">
        <v>163</v>
      </c>
      <c r="B699" s="125" t="s">
        <v>1174</v>
      </c>
      <c r="C699" s="790">
        <v>681.36</v>
      </c>
      <c r="D699" s="790"/>
      <c r="E699" s="790"/>
      <c r="F699" s="220">
        <f t="shared" si="87"/>
        <v>681.36</v>
      </c>
      <c r="G699" s="18" t="s">
        <v>1339</v>
      </c>
      <c r="H699" s="97">
        <v>49.6</v>
      </c>
      <c r="I699" s="711">
        <f t="shared" si="90"/>
        <v>1.4371662789794729E-3</v>
      </c>
      <c r="J699" s="39">
        <f t="shared" si="91"/>
        <v>3.2611171186206915</v>
      </c>
      <c r="K699" s="664">
        <f t="shared" si="88"/>
        <v>1.1991127645168285</v>
      </c>
      <c r="L699" s="39">
        <v>1.5042404216928957</v>
      </c>
      <c r="M699" s="39">
        <f t="shared" si="89"/>
        <v>0.97856651935712302</v>
      </c>
      <c r="N699" s="117">
        <f t="shared" si="92"/>
        <v>1.192872587096333</v>
      </c>
      <c r="O699" s="94">
        <f t="shared" si="86"/>
        <v>1.0189968334195637E-2</v>
      </c>
      <c r="P699" s="240"/>
    </row>
    <row r="700" spans="1:16" s="6" customFormat="1" ht="17.25" customHeight="1">
      <c r="A700" s="275">
        <v>164</v>
      </c>
      <c r="B700" s="125" t="s">
        <v>1175</v>
      </c>
      <c r="C700" s="790">
        <v>58.2</v>
      </c>
      <c r="D700" s="790"/>
      <c r="E700" s="790"/>
      <c r="F700" s="220">
        <f t="shared" si="87"/>
        <v>58.2</v>
      </c>
      <c r="G700" s="18" t="s">
        <v>1339</v>
      </c>
      <c r="H700" s="97">
        <v>14</v>
      </c>
      <c r="I700" s="711">
        <f t="shared" si="90"/>
        <v>4.0565177229259314E-4</v>
      </c>
      <c r="J700" s="39">
        <f t="shared" si="91"/>
        <v>0.92047660606229187</v>
      </c>
      <c r="K700" s="664">
        <f t="shared" si="88"/>
        <v>0.33845924804910477</v>
      </c>
      <c r="L700" s="39">
        <v>0.42458398999396246</v>
      </c>
      <c r="M700" s="39">
        <f t="shared" si="89"/>
        <v>0.27620829175402667</v>
      </c>
      <c r="N700" s="117">
        <f t="shared" si="92"/>
        <v>0.33669790764815855</v>
      </c>
      <c r="O700" s="94">
        <f t="shared" si="86"/>
        <v>3.3672304739851985E-2</v>
      </c>
      <c r="P700" s="240"/>
    </row>
    <row r="701" spans="1:16" s="6" customFormat="1" ht="17.25" customHeight="1">
      <c r="A701" s="275">
        <v>165</v>
      </c>
      <c r="B701" s="125" t="s">
        <v>1176</v>
      </c>
      <c r="C701" s="790">
        <v>504.2</v>
      </c>
      <c r="D701" s="790"/>
      <c r="E701" s="790"/>
      <c r="F701" s="220">
        <f t="shared" si="87"/>
        <v>504.2</v>
      </c>
      <c r="G701" s="18" t="s">
        <v>1339</v>
      </c>
      <c r="H701" s="97">
        <v>103.9</v>
      </c>
      <c r="I701" s="711">
        <f t="shared" si="90"/>
        <v>3.0105156529428878E-3</v>
      </c>
      <c r="J701" s="39">
        <f t="shared" si="91"/>
        <v>6.8312513835622957</v>
      </c>
      <c r="K701" s="664">
        <f t="shared" si="88"/>
        <v>2.5118511337358562</v>
      </c>
      <c r="L701" s="39">
        <v>3.1510197543123364</v>
      </c>
      <c r="M701" s="39">
        <f t="shared" si="89"/>
        <v>2.0498601080888124</v>
      </c>
      <c r="N701" s="117">
        <f t="shared" si="92"/>
        <v>2.4987794717602623</v>
      </c>
      <c r="O701" s="94">
        <f t="shared" si="86"/>
        <v>2.8845661205274299E-2</v>
      </c>
      <c r="P701" s="240"/>
    </row>
    <row r="702" spans="1:16" s="6" customFormat="1" ht="17.25" customHeight="1">
      <c r="A702" s="275">
        <v>166</v>
      </c>
      <c r="B702" s="125" t="s">
        <v>1177</v>
      </c>
      <c r="C702" s="790">
        <v>166.6</v>
      </c>
      <c r="D702" s="790"/>
      <c r="E702" s="790"/>
      <c r="F702" s="220">
        <f t="shared" si="87"/>
        <v>166.6</v>
      </c>
      <c r="G702" s="18" t="s">
        <v>1339</v>
      </c>
      <c r="H702" s="97">
        <v>79.8</v>
      </c>
      <c r="I702" s="711">
        <f t="shared" si="90"/>
        <v>2.3122151020677807E-3</v>
      </c>
      <c r="J702" s="39">
        <f t="shared" si="91"/>
        <v>5.2467166545550636</v>
      </c>
      <c r="K702" s="664">
        <f t="shared" si="88"/>
        <v>1.9292177138798969</v>
      </c>
      <c r="L702" s="39">
        <v>2.4201287429655864</v>
      </c>
      <c r="M702" s="39">
        <f t="shared" si="89"/>
        <v>1.5743872629979518</v>
      </c>
      <c r="N702" s="117">
        <f t="shared" si="92"/>
        <v>1.9191780735945034</v>
      </c>
      <c r="O702" s="94">
        <f t="shared" si="86"/>
        <v>6.7049522055213084E-2</v>
      </c>
      <c r="P702" s="240"/>
    </row>
    <row r="703" spans="1:16" s="6" customFormat="1" ht="17.25" customHeight="1">
      <c r="A703" s="275">
        <v>167</v>
      </c>
      <c r="B703" s="125" t="s">
        <v>1178</v>
      </c>
      <c r="C703" s="790">
        <v>37.799999999999997</v>
      </c>
      <c r="D703" s="790"/>
      <c r="E703" s="790"/>
      <c r="F703" s="220">
        <f t="shared" si="87"/>
        <v>37.799999999999997</v>
      </c>
      <c r="G703" s="18" t="s">
        <v>1339</v>
      </c>
      <c r="H703" s="97">
        <v>8.4</v>
      </c>
      <c r="I703" s="711">
        <f t="shared" si="90"/>
        <v>2.4339106337555589E-4</v>
      </c>
      <c r="J703" s="39">
        <f t="shared" si="91"/>
        <v>0.55228596363737514</v>
      </c>
      <c r="K703" s="664">
        <f t="shared" si="88"/>
        <v>0.20307554882946285</v>
      </c>
      <c r="L703" s="39">
        <v>0.2547503939963775</v>
      </c>
      <c r="M703" s="39">
        <f t="shared" si="89"/>
        <v>0.16572497505241601</v>
      </c>
      <c r="N703" s="117">
        <f t="shared" si="92"/>
        <v>0.20201874458889513</v>
      </c>
      <c r="O703" s="94">
        <f t="shared" si="86"/>
        <v>3.1106795807291841E-2</v>
      </c>
      <c r="P703" s="240"/>
    </row>
    <row r="704" spans="1:16" s="6" customFormat="1" ht="17.25" customHeight="1">
      <c r="A704" s="275">
        <v>168</v>
      </c>
      <c r="B704" s="125" t="s">
        <v>1179</v>
      </c>
      <c r="C704" s="790">
        <v>55.5</v>
      </c>
      <c r="D704" s="790"/>
      <c r="E704" s="790"/>
      <c r="F704" s="220">
        <f t="shared" si="87"/>
        <v>55.5</v>
      </c>
      <c r="G704" s="18" t="s">
        <v>1339</v>
      </c>
      <c r="H704" s="97">
        <v>55.5</v>
      </c>
      <c r="I704" s="711">
        <f t="shared" si="90"/>
        <v>1.6081195258742084E-3</v>
      </c>
      <c r="J704" s="39">
        <f t="shared" si="91"/>
        <v>3.6490322597469427</v>
      </c>
      <c r="K704" s="664">
        <f t="shared" si="88"/>
        <v>1.341749161908951</v>
      </c>
      <c r="L704" s="39">
        <v>1.6831722460474943</v>
      </c>
      <c r="M704" s="39">
        <f t="shared" si="89"/>
        <v>1.0949685851677484</v>
      </c>
      <c r="N704" s="117">
        <f t="shared" si="92"/>
        <v>1.3347667053194854</v>
      </c>
      <c r="O704" s="94">
        <f t="shared" si="86"/>
        <v>0.13998058113281328</v>
      </c>
      <c r="P704" s="240"/>
    </row>
    <row r="705" spans="1:16" s="6" customFormat="1" ht="17.25" customHeight="1">
      <c r="A705" s="275">
        <v>169</v>
      </c>
      <c r="B705" s="125" t="s">
        <v>1180</v>
      </c>
      <c r="C705" s="790">
        <v>146.19999999999999</v>
      </c>
      <c r="D705" s="790"/>
      <c r="E705" s="790"/>
      <c r="F705" s="220">
        <f t="shared" si="87"/>
        <v>146.19999999999999</v>
      </c>
      <c r="G705" s="18" t="s">
        <v>1339</v>
      </c>
      <c r="H705" s="97">
        <v>101.2</v>
      </c>
      <c r="I705" s="711">
        <f t="shared" si="90"/>
        <v>2.932282811143602E-3</v>
      </c>
      <c r="J705" s="39">
        <f t="shared" si="91"/>
        <v>6.6537308952502823</v>
      </c>
      <c r="K705" s="664">
        <f t="shared" si="88"/>
        <v>2.4465768501835288</v>
      </c>
      <c r="L705" s="39">
        <v>3.0691356990992147</v>
      </c>
      <c r="M705" s="39">
        <f t="shared" si="89"/>
        <v>1.9965913661076786</v>
      </c>
      <c r="N705" s="117">
        <f t="shared" si="92"/>
        <v>2.4338448752852604</v>
      </c>
      <c r="O705" s="94">
        <f t="shared" si="86"/>
        <v>9.6894902945558858E-2</v>
      </c>
      <c r="P705" s="240"/>
    </row>
    <row r="706" spans="1:16" s="6" customFormat="1" ht="17.25" customHeight="1">
      <c r="A706" s="275">
        <v>170</v>
      </c>
      <c r="B706" s="125" t="s">
        <v>1181</v>
      </c>
      <c r="C706" s="790">
        <v>47.9</v>
      </c>
      <c r="D706" s="790"/>
      <c r="E706" s="790"/>
      <c r="F706" s="220">
        <f t="shared" si="87"/>
        <v>47.9</v>
      </c>
      <c r="G706" s="18" t="s">
        <v>1339</v>
      </c>
      <c r="H706" s="97">
        <v>25.2</v>
      </c>
      <c r="I706" s="711">
        <f t="shared" si="90"/>
        <v>7.3017319012666764E-4</v>
      </c>
      <c r="J706" s="39">
        <f t="shared" si="91"/>
        <v>1.6568578909121254</v>
      </c>
      <c r="K706" s="664">
        <f t="shared" si="88"/>
        <v>0.60922664648838853</v>
      </c>
      <c r="L706" s="39">
        <v>0.76425118198913233</v>
      </c>
      <c r="M706" s="39">
        <f t="shared" si="89"/>
        <v>0.49717492515724798</v>
      </c>
      <c r="N706" s="117">
        <f t="shared" si="92"/>
        <v>0.60605623376668538</v>
      </c>
      <c r="O706" s="94">
        <f t="shared" si="86"/>
        <v>7.3643228487409076E-2</v>
      </c>
      <c r="P706" s="240"/>
    </row>
    <row r="707" spans="1:16" s="6" customFormat="1" ht="17.25" customHeight="1">
      <c r="A707" s="275">
        <v>171</v>
      </c>
      <c r="B707" s="125" t="s">
        <v>1182</v>
      </c>
      <c r="C707" s="790">
        <v>72.400000000000006</v>
      </c>
      <c r="D707" s="790"/>
      <c r="E707" s="790"/>
      <c r="F707" s="220">
        <f t="shared" si="87"/>
        <v>72.400000000000006</v>
      </c>
      <c r="G707" s="18" t="s">
        <v>1339</v>
      </c>
      <c r="H707" s="97">
        <v>72.400000000000006</v>
      </c>
      <c r="I707" s="711">
        <f t="shared" si="90"/>
        <v>2.0977991652845534E-3</v>
      </c>
      <c r="J707" s="39">
        <f t="shared" si="91"/>
        <v>4.7601790199221385</v>
      </c>
      <c r="K707" s="664">
        <f t="shared" si="88"/>
        <v>1.7503178256253704</v>
      </c>
      <c r="L707" s="39">
        <v>2.1957057768259203</v>
      </c>
      <c r="M707" s="39">
        <f t="shared" si="89"/>
        <v>1.4283914516422525</v>
      </c>
      <c r="N707" s="117">
        <f t="shared" si="92"/>
        <v>1.7412091795519058</v>
      </c>
      <c r="O707" s="94">
        <f t="shared" si="86"/>
        <v>0.13998058113281325</v>
      </c>
      <c r="P707" s="240"/>
    </row>
    <row r="708" spans="1:16" s="6" customFormat="1" ht="17.25" customHeight="1">
      <c r="A708" s="275">
        <v>172</v>
      </c>
      <c r="B708" s="125" t="s">
        <v>1183</v>
      </c>
      <c r="C708" s="790">
        <v>73</v>
      </c>
      <c r="D708" s="790"/>
      <c r="E708" s="790"/>
      <c r="F708" s="220">
        <f t="shared" si="87"/>
        <v>73</v>
      </c>
      <c r="G708" s="18" t="s">
        <v>1339</v>
      </c>
      <c r="H708" s="97">
        <v>62.1</v>
      </c>
      <c r="I708" s="711">
        <f t="shared" si="90"/>
        <v>1.7993553613835738E-3</v>
      </c>
      <c r="J708" s="39">
        <f t="shared" si="91"/>
        <v>4.0829712311763089</v>
      </c>
      <c r="K708" s="664">
        <f t="shared" si="88"/>
        <v>1.5013085217035289</v>
      </c>
      <c r="L708" s="39">
        <v>1.8833332699017906</v>
      </c>
      <c r="M708" s="39">
        <f t="shared" si="89"/>
        <v>1.2251810655660753</v>
      </c>
      <c r="N708" s="117">
        <f t="shared" si="92"/>
        <v>1.493495718925046</v>
      </c>
      <c r="O708" s="94">
        <f t="shared" si="86"/>
        <v>0.11907937107325621</v>
      </c>
      <c r="P708" s="240"/>
    </row>
    <row r="709" spans="1:16" s="6" customFormat="1" ht="17.25" customHeight="1">
      <c r="A709" s="275">
        <v>173</v>
      </c>
      <c r="B709" s="125" t="s">
        <v>1184</v>
      </c>
      <c r="C709" s="790">
        <v>110</v>
      </c>
      <c r="D709" s="790"/>
      <c r="E709" s="790"/>
      <c r="F709" s="220">
        <f t="shared" si="87"/>
        <v>110</v>
      </c>
      <c r="G709" s="18" t="s">
        <v>1339</v>
      </c>
      <c r="H709" s="97">
        <v>72.2</v>
      </c>
      <c r="I709" s="711">
        <f t="shared" si="90"/>
        <v>2.0920041399660875E-3</v>
      </c>
      <c r="J709" s="39">
        <f t="shared" si="91"/>
        <v>4.7470293541212483</v>
      </c>
      <c r="K709" s="664">
        <f t="shared" si="88"/>
        <v>1.7454826935103831</v>
      </c>
      <c r="L709" s="39">
        <v>2.189640291254578</v>
      </c>
      <c r="M709" s="39">
        <f t="shared" si="89"/>
        <v>1.4244456189029089</v>
      </c>
      <c r="N709" s="117">
        <f t="shared" si="92"/>
        <v>1.7363992094426461</v>
      </c>
      <c r="O709" s="94">
        <f t="shared" si="86"/>
        <v>9.1878163252628348E-2</v>
      </c>
      <c r="P709" s="240"/>
    </row>
    <row r="710" spans="1:16" s="6" customFormat="1" ht="17.25" customHeight="1">
      <c r="A710" s="275">
        <v>174</v>
      </c>
      <c r="B710" s="125" t="s">
        <v>1185</v>
      </c>
      <c r="C710" s="790">
        <v>382</v>
      </c>
      <c r="D710" s="790"/>
      <c r="E710" s="790"/>
      <c r="F710" s="220">
        <f t="shared" si="87"/>
        <v>382</v>
      </c>
      <c r="G710" s="18" t="s">
        <v>1339</v>
      </c>
      <c r="H710" s="97">
        <v>206</v>
      </c>
      <c r="I710" s="711">
        <f t="shared" si="90"/>
        <v>5.9688760780195844E-3</v>
      </c>
      <c r="J710" s="39">
        <f t="shared" si="91"/>
        <v>13.544155774916581</v>
      </c>
      <c r="K710" s="664">
        <f t="shared" si="88"/>
        <v>4.9801860784368275</v>
      </c>
      <c r="L710" s="39">
        <v>6.2474501384825905</v>
      </c>
      <c r="M710" s="39">
        <f t="shared" si="89"/>
        <v>4.0642077215235348</v>
      </c>
      <c r="N710" s="117">
        <f t="shared" si="92"/>
        <v>4.9542692125371897</v>
      </c>
      <c r="O710" s="94">
        <f t="shared" si="86"/>
        <v>7.5486910244396688E-2</v>
      </c>
      <c r="P710" s="240"/>
    </row>
    <row r="711" spans="1:16" s="6" customFormat="1" ht="17.25" customHeight="1">
      <c r="A711" s="275">
        <v>175</v>
      </c>
      <c r="B711" s="125" t="s">
        <v>1186</v>
      </c>
      <c r="C711" s="790">
        <v>226.9</v>
      </c>
      <c r="D711" s="790"/>
      <c r="E711" s="790"/>
      <c r="F711" s="220">
        <f t="shared" si="87"/>
        <v>226.9</v>
      </c>
      <c r="G711" s="18" t="s">
        <v>1339</v>
      </c>
      <c r="H711" s="97">
        <v>151</v>
      </c>
      <c r="I711" s="711">
        <f t="shared" si="90"/>
        <v>4.3752441154415404E-3</v>
      </c>
      <c r="J711" s="39">
        <f t="shared" si="91"/>
        <v>9.9279976796718632</v>
      </c>
      <c r="K711" s="664">
        <f t="shared" si="88"/>
        <v>3.6505247468153446</v>
      </c>
      <c r="L711" s="39">
        <v>4.5794416063634529</v>
      </c>
      <c r="M711" s="39">
        <f t="shared" si="89"/>
        <v>2.9791037182041449</v>
      </c>
      <c r="N711" s="117">
        <f t="shared" si="92"/>
        <v>3.6315274324908526</v>
      </c>
      <c r="O711" s="94">
        <f t="shared" ref="O711:O774" si="93">(M711+L711+K711+J711)/F711</f>
        <v>9.3155873737570769E-2</v>
      </c>
      <c r="P711" s="240"/>
    </row>
    <row r="712" spans="1:16" s="6" customFormat="1" ht="17.25" customHeight="1">
      <c r="A712" s="275">
        <v>176</v>
      </c>
      <c r="B712" s="125" t="s">
        <v>1187</v>
      </c>
      <c r="C712" s="790">
        <v>142.6</v>
      </c>
      <c r="D712" s="790"/>
      <c r="E712" s="790"/>
      <c r="F712" s="220">
        <f t="shared" si="87"/>
        <v>142.6</v>
      </c>
      <c r="G712" s="18" t="s">
        <v>1339</v>
      </c>
      <c r="H712" s="97">
        <v>140</v>
      </c>
      <c r="I712" s="711">
        <f t="shared" si="90"/>
        <v>4.0565177229259317E-3</v>
      </c>
      <c r="J712" s="39">
        <f t="shared" si="91"/>
        <v>9.2047660606229194</v>
      </c>
      <c r="K712" s="664">
        <f t="shared" si="88"/>
        <v>3.3845924804910479</v>
      </c>
      <c r="L712" s="39">
        <v>4.2458398999396252</v>
      </c>
      <c r="M712" s="39">
        <f t="shared" si="89"/>
        <v>2.7620829175402668</v>
      </c>
      <c r="N712" s="117">
        <f t="shared" si="92"/>
        <v>3.3669790764815857</v>
      </c>
      <c r="O712" s="94">
        <f t="shared" si="93"/>
        <v>0.1374283405230986</v>
      </c>
      <c r="P712" s="240"/>
    </row>
    <row r="713" spans="1:16" s="6" customFormat="1" ht="17.25" customHeight="1">
      <c r="A713" s="275">
        <v>177</v>
      </c>
      <c r="B713" s="125" t="s">
        <v>1188</v>
      </c>
      <c r="C713" s="790">
        <v>428.31</v>
      </c>
      <c r="D713" s="790"/>
      <c r="E713" s="790"/>
      <c r="F713" s="220">
        <f t="shared" si="87"/>
        <v>428.31</v>
      </c>
      <c r="G713" s="18" t="s">
        <v>1339</v>
      </c>
      <c r="H713" s="97">
        <v>145</v>
      </c>
      <c r="I713" s="711">
        <f t="shared" si="90"/>
        <v>4.2013933558875715E-3</v>
      </c>
      <c r="J713" s="39">
        <f t="shared" si="91"/>
        <v>9.5335077056451656</v>
      </c>
      <c r="K713" s="664">
        <f t="shared" si="88"/>
        <v>3.5054707833657277</v>
      </c>
      <c r="L713" s="39">
        <v>4.3974770392231832</v>
      </c>
      <c r="M713" s="39">
        <f t="shared" si="89"/>
        <v>2.8607287360238471</v>
      </c>
      <c r="N713" s="117">
        <f t="shared" si="92"/>
        <v>3.4872283292130697</v>
      </c>
      <c r="O713" s="94">
        <f t="shared" si="93"/>
        <v>4.7389003908986302E-2</v>
      </c>
      <c r="P713" s="240"/>
    </row>
    <row r="714" spans="1:16" s="6" customFormat="1" ht="17.25" customHeight="1">
      <c r="A714" s="275">
        <v>178</v>
      </c>
      <c r="B714" s="125" t="s">
        <v>1189</v>
      </c>
      <c r="C714" s="790">
        <v>744.3</v>
      </c>
      <c r="D714" s="790"/>
      <c r="E714" s="790"/>
      <c r="F714" s="220">
        <f t="shared" ref="F714:F747" si="94">C714+D714+E714</f>
        <v>744.3</v>
      </c>
      <c r="G714" s="18" t="s">
        <v>1339</v>
      </c>
      <c r="H714" s="97">
        <v>614</v>
      </c>
      <c r="I714" s="711">
        <f t="shared" si="90"/>
        <v>1.7790727727689443E-2</v>
      </c>
      <c r="J714" s="39">
        <f t="shared" si="91"/>
        <v>40.369474008731949</v>
      </c>
      <c r="K714" s="664">
        <f t="shared" ref="K714:K747" si="95">J714*0.3677</f>
        <v>14.843855593010739</v>
      </c>
      <c r="L714" s="39">
        <v>18.621040704020928</v>
      </c>
      <c r="M714" s="39">
        <f t="shared" si="89"/>
        <v>12.113706509783741</v>
      </c>
      <c r="N714" s="117">
        <f t="shared" si="92"/>
        <v>14.766608235426382</v>
      </c>
      <c r="O714" s="94">
        <f t="shared" si="93"/>
        <v>0.11547504610445701</v>
      </c>
      <c r="P714" s="240"/>
    </row>
    <row r="715" spans="1:16" s="6" customFormat="1" ht="17.25" customHeight="1">
      <c r="A715" s="275">
        <v>179</v>
      </c>
      <c r="B715" s="125" t="s">
        <v>1190</v>
      </c>
      <c r="C715" s="790">
        <v>1084.5899999999999</v>
      </c>
      <c r="D715" s="790"/>
      <c r="E715" s="790"/>
      <c r="F715" s="220">
        <f t="shared" si="94"/>
        <v>1084.5899999999999</v>
      </c>
      <c r="G715" s="18" t="s">
        <v>1339</v>
      </c>
      <c r="H715" s="97">
        <v>198</v>
      </c>
      <c r="I715" s="711">
        <f t="shared" si="90"/>
        <v>5.7370750652809598E-3</v>
      </c>
      <c r="J715" s="39">
        <f t="shared" si="91"/>
        <v>13.018169142880986</v>
      </c>
      <c r="K715" s="664">
        <f t="shared" si="95"/>
        <v>4.7867807938373383</v>
      </c>
      <c r="L715" s="39">
        <v>6.0048307156288985</v>
      </c>
      <c r="M715" s="39">
        <f t="shared" si="89"/>
        <v>3.9063744119498054</v>
      </c>
      <c r="N715" s="117">
        <f t="shared" si="92"/>
        <v>4.7618704081668133</v>
      </c>
      <c r="O715" s="94">
        <f t="shared" si="93"/>
        <v>2.5554499916371189E-2</v>
      </c>
      <c r="P715" s="240"/>
    </row>
    <row r="716" spans="1:16" s="6" customFormat="1" ht="17.25" customHeight="1">
      <c r="A716" s="275">
        <v>180</v>
      </c>
      <c r="B716" s="125" t="s">
        <v>1191</v>
      </c>
      <c r="C716" s="790">
        <v>1069.71</v>
      </c>
      <c r="D716" s="790"/>
      <c r="E716" s="790"/>
      <c r="F716" s="220">
        <f t="shared" si="94"/>
        <v>1069.71</v>
      </c>
      <c r="G716" s="18" t="s">
        <v>1339</v>
      </c>
      <c r="H716" s="97">
        <v>224</v>
      </c>
      <c r="I716" s="711">
        <f t="shared" si="90"/>
        <v>6.4904283566814902E-3</v>
      </c>
      <c r="J716" s="39">
        <f t="shared" si="91"/>
        <v>14.72762569699667</v>
      </c>
      <c r="K716" s="664">
        <f t="shared" si="95"/>
        <v>5.4153479687856763</v>
      </c>
      <c r="L716" s="39">
        <v>6.7933438399033994</v>
      </c>
      <c r="M716" s="39">
        <f t="shared" si="89"/>
        <v>4.4193326680644267</v>
      </c>
      <c r="N716" s="117">
        <f t="shared" si="92"/>
        <v>5.3871665223705367</v>
      </c>
      <c r="O716" s="94">
        <f t="shared" si="93"/>
        <v>2.9312290409316703E-2</v>
      </c>
      <c r="P716" s="240"/>
    </row>
    <row r="717" spans="1:16" s="6" customFormat="1" ht="17.25" customHeight="1">
      <c r="A717" s="275">
        <v>181</v>
      </c>
      <c r="B717" s="125" t="s">
        <v>1192</v>
      </c>
      <c r="C717" s="790">
        <v>196.8</v>
      </c>
      <c r="D717" s="790"/>
      <c r="E717" s="790"/>
      <c r="F717" s="220">
        <f t="shared" si="94"/>
        <v>196.8</v>
      </c>
      <c r="G717" s="18" t="s">
        <v>1339</v>
      </c>
      <c r="H717" s="97">
        <v>26</v>
      </c>
      <c r="I717" s="711">
        <f t="shared" si="90"/>
        <v>7.5335329140053013E-4</v>
      </c>
      <c r="J717" s="39">
        <f t="shared" si="91"/>
        <v>1.709456554115685</v>
      </c>
      <c r="K717" s="664">
        <f t="shared" si="95"/>
        <v>0.62856717494833736</v>
      </c>
      <c r="L717" s="39">
        <v>0.78851312427450182</v>
      </c>
      <c r="M717" s="39">
        <f t="shared" si="89"/>
        <v>0.51295825611462098</v>
      </c>
      <c r="N717" s="117">
        <f t="shared" si="92"/>
        <v>0.625296114203723</v>
      </c>
      <c r="O717" s="94">
        <f t="shared" si="93"/>
        <v>1.849336945860338E-2</v>
      </c>
      <c r="P717" s="240"/>
    </row>
    <row r="718" spans="1:16" s="6" customFormat="1" ht="17.25" customHeight="1">
      <c r="A718" s="275">
        <v>182</v>
      </c>
      <c r="B718" s="125" t="s">
        <v>1193</v>
      </c>
      <c r="C718" s="790">
        <v>625.9</v>
      </c>
      <c r="D718" s="790"/>
      <c r="E718" s="790"/>
      <c r="F718" s="220">
        <f t="shared" si="94"/>
        <v>625.9</v>
      </c>
      <c r="G718" s="18" t="s">
        <v>1339</v>
      </c>
      <c r="H718" s="97">
        <v>26</v>
      </c>
      <c r="I718" s="711">
        <f t="shared" si="90"/>
        <v>7.5335329140053013E-4</v>
      </c>
      <c r="J718" s="39">
        <f t="shared" si="91"/>
        <v>1.709456554115685</v>
      </c>
      <c r="K718" s="664">
        <f t="shared" si="95"/>
        <v>0.62856717494833736</v>
      </c>
      <c r="L718" s="39">
        <v>0.78851312427450182</v>
      </c>
      <c r="M718" s="39">
        <f t="shared" si="89"/>
        <v>0.51295825611462098</v>
      </c>
      <c r="N718" s="117">
        <f t="shared" si="92"/>
        <v>0.625296114203723</v>
      </c>
      <c r="O718" s="94">
        <f t="shared" si="93"/>
        <v>5.8148188360011913E-3</v>
      </c>
      <c r="P718" s="240"/>
    </row>
    <row r="719" spans="1:16" s="6" customFormat="1" ht="17.25" customHeight="1">
      <c r="A719" s="275">
        <v>183</v>
      </c>
      <c r="B719" s="125" t="s">
        <v>1194</v>
      </c>
      <c r="C719" s="790">
        <v>127.5</v>
      </c>
      <c r="D719" s="790"/>
      <c r="E719" s="790"/>
      <c r="F719" s="220">
        <f t="shared" si="94"/>
        <v>127.5</v>
      </c>
      <c r="G719" s="18" t="s">
        <v>1339</v>
      </c>
      <c r="H719" s="97">
        <v>124</v>
      </c>
      <c r="I719" s="711">
        <f t="shared" si="90"/>
        <v>3.5929156974486821E-3</v>
      </c>
      <c r="J719" s="39">
        <f t="shared" si="91"/>
        <v>8.1527927965517275</v>
      </c>
      <c r="K719" s="664">
        <f t="shared" si="95"/>
        <v>2.9977819112920705</v>
      </c>
      <c r="L719" s="39">
        <v>3.760601054232239</v>
      </c>
      <c r="M719" s="39">
        <f t="shared" si="89"/>
        <v>2.4464162983928075</v>
      </c>
      <c r="N719" s="117">
        <f t="shared" si="92"/>
        <v>2.9821814677408325</v>
      </c>
      <c r="O719" s="94">
        <f t="shared" si="93"/>
        <v>0.13613797694485369</v>
      </c>
      <c r="P719" s="240"/>
    </row>
    <row r="720" spans="1:16" s="6" customFormat="1" ht="17.25" customHeight="1">
      <c r="A720" s="275">
        <v>184</v>
      </c>
      <c r="B720" s="125" t="s">
        <v>1195</v>
      </c>
      <c r="C720" s="790">
        <v>561.25</v>
      </c>
      <c r="D720" s="790"/>
      <c r="E720" s="790"/>
      <c r="F720" s="220">
        <f t="shared" si="94"/>
        <v>561.25</v>
      </c>
      <c r="G720" s="18" t="s">
        <v>1339</v>
      </c>
      <c r="H720" s="97">
        <v>98</v>
      </c>
      <c r="I720" s="711">
        <f t="shared" si="90"/>
        <v>2.839562406048152E-3</v>
      </c>
      <c r="J720" s="39">
        <f t="shared" si="91"/>
        <v>6.4433362424360432</v>
      </c>
      <c r="K720" s="664">
        <f t="shared" si="95"/>
        <v>2.3692147363437335</v>
      </c>
      <c r="L720" s="39">
        <v>2.9720879299577372</v>
      </c>
      <c r="M720" s="39">
        <f t="shared" si="89"/>
        <v>1.9334580422781866</v>
      </c>
      <c r="N720" s="117">
        <f t="shared" si="92"/>
        <v>2.3568853535371095</v>
      </c>
      <c r="O720" s="94">
        <f t="shared" si="93"/>
        <v>2.4442043565284101E-2</v>
      </c>
      <c r="P720" s="240"/>
    </row>
    <row r="721" spans="1:16" s="6" customFormat="1" ht="17.25" customHeight="1">
      <c r="A721" s="275">
        <v>185</v>
      </c>
      <c r="B721" s="125" t="s">
        <v>1196</v>
      </c>
      <c r="C721" s="790">
        <v>122.9</v>
      </c>
      <c r="D721" s="790"/>
      <c r="E721" s="790"/>
      <c r="F721" s="220">
        <f t="shared" si="94"/>
        <v>122.9</v>
      </c>
      <c r="G721" s="18" t="s">
        <v>1339</v>
      </c>
      <c r="H721" s="97">
        <v>32</v>
      </c>
      <c r="I721" s="711">
        <f t="shared" si="90"/>
        <v>9.2720405095449859E-4</v>
      </c>
      <c r="J721" s="39">
        <f t="shared" si="91"/>
        <v>2.1039465281423815</v>
      </c>
      <c r="K721" s="664">
        <f t="shared" si="95"/>
        <v>0.77362113839795377</v>
      </c>
      <c r="L721" s="39">
        <v>0.97047769141477136</v>
      </c>
      <c r="M721" s="39">
        <f t="shared" si="89"/>
        <v>0.63133323829491805</v>
      </c>
      <c r="N721" s="117">
        <f t="shared" si="92"/>
        <v>0.76959521748150517</v>
      </c>
      <c r="O721" s="94">
        <f t="shared" si="93"/>
        <v>3.6447344151749585E-2</v>
      </c>
      <c r="P721" s="240"/>
    </row>
    <row r="722" spans="1:16" s="6" customFormat="1" ht="17.25" customHeight="1">
      <c r="A722" s="275">
        <v>186</v>
      </c>
      <c r="B722" s="125" t="s">
        <v>1197</v>
      </c>
      <c r="C722" s="790">
        <v>82.5</v>
      </c>
      <c r="D722" s="790"/>
      <c r="E722" s="790"/>
      <c r="F722" s="220">
        <f t="shared" si="94"/>
        <v>82.5</v>
      </c>
      <c r="G722" s="18" t="s">
        <v>1339</v>
      </c>
      <c r="H722" s="97">
        <v>140</v>
      </c>
      <c r="I722" s="711">
        <f t="shared" si="90"/>
        <v>4.0565177229259317E-3</v>
      </c>
      <c r="J722" s="39">
        <f t="shared" si="91"/>
        <v>9.2047660606229194</v>
      </c>
      <c r="K722" s="664">
        <f t="shared" si="95"/>
        <v>3.3845924804910479</v>
      </c>
      <c r="L722" s="39">
        <v>4.2458398999396252</v>
      </c>
      <c r="M722" s="39">
        <f>I722*880.9</f>
        <v>3.5733864621254532</v>
      </c>
      <c r="N722" s="117">
        <f t="shared" si="92"/>
        <v>4.3559580973309275</v>
      </c>
      <c r="O722" s="94">
        <f t="shared" si="93"/>
        <v>0.24737678670520058</v>
      </c>
      <c r="P722" s="240"/>
    </row>
    <row r="723" spans="1:16" s="6" customFormat="1" ht="17.25" customHeight="1">
      <c r="A723" s="275">
        <v>187</v>
      </c>
      <c r="B723" s="125" t="s">
        <v>1198</v>
      </c>
      <c r="C723" s="790">
        <v>118.7</v>
      </c>
      <c r="D723" s="790"/>
      <c r="E723" s="790"/>
      <c r="F723" s="220">
        <f t="shared" si="94"/>
        <v>118.7</v>
      </c>
      <c r="G723" s="18" t="s">
        <v>1339</v>
      </c>
      <c r="H723" s="97">
        <v>72</v>
      </c>
      <c r="I723" s="711">
        <f t="shared" si="90"/>
        <v>2.086209114647622E-3</v>
      </c>
      <c r="J723" s="39">
        <f t="shared" si="91"/>
        <v>4.7338796883203589</v>
      </c>
      <c r="K723" s="664">
        <f t="shared" si="95"/>
        <v>1.740647561395396</v>
      </c>
      <c r="L723" s="39">
        <v>2.1835748056832358</v>
      </c>
      <c r="M723" s="39">
        <f t="shared" si="89"/>
        <v>1.4204997861635658</v>
      </c>
      <c r="N723" s="117">
        <f t="shared" si="92"/>
        <v>1.7315892393333867</v>
      </c>
      <c r="O723" s="94">
        <f t="shared" si="93"/>
        <v>8.4908187376264155E-2</v>
      </c>
      <c r="P723" s="240"/>
    </row>
    <row r="724" spans="1:16" s="6" customFormat="1" ht="17.25" customHeight="1">
      <c r="A724" s="275">
        <v>188</v>
      </c>
      <c r="B724" s="125" t="s">
        <v>1199</v>
      </c>
      <c r="C724" s="790">
        <v>113.8</v>
      </c>
      <c r="D724" s="790"/>
      <c r="E724" s="790"/>
      <c r="F724" s="220">
        <f t="shared" si="94"/>
        <v>113.8</v>
      </c>
      <c r="G724" s="18" t="s">
        <v>1339</v>
      </c>
      <c r="H724" s="97">
        <v>130</v>
      </c>
      <c r="I724" s="711">
        <f t="shared" si="90"/>
        <v>3.7667664570026505E-3</v>
      </c>
      <c r="J724" s="39">
        <f t="shared" si="91"/>
        <v>8.5472827705784251</v>
      </c>
      <c r="K724" s="664">
        <f t="shared" si="95"/>
        <v>3.1428358747416874</v>
      </c>
      <c r="L724" s="39">
        <v>3.9425656213725087</v>
      </c>
      <c r="M724" s="39">
        <f>I724*680.9</f>
        <v>2.5647912805731048</v>
      </c>
      <c r="N724" s="117">
        <f t="shared" si="92"/>
        <v>3.126480571018615</v>
      </c>
      <c r="O724" s="94">
        <f t="shared" si="93"/>
        <v>0.15990751799003275</v>
      </c>
      <c r="P724" s="240"/>
    </row>
    <row r="725" spans="1:16" s="6" customFormat="1" ht="17.25" customHeight="1">
      <c r="A725" s="275">
        <v>189</v>
      </c>
      <c r="B725" s="125" t="s">
        <v>1200</v>
      </c>
      <c r="C725" s="790">
        <v>294</v>
      </c>
      <c r="D725" s="790"/>
      <c r="E725" s="790"/>
      <c r="F725" s="220">
        <f t="shared" si="94"/>
        <v>294</v>
      </c>
      <c r="G725" s="18" t="s">
        <v>1339</v>
      </c>
      <c r="H725" s="97">
        <v>124</v>
      </c>
      <c r="I725" s="711">
        <f t="shared" si="90"/>
        <v>3.5929156974486821E-3</v>
      </c>
      <c r="J725" s="39">
        <f t="shared" si="91"/>
        <v>8.1527927965517275</v>
      </c>
      <c r="K725" s="664">
        <f t="shared" si="95"/>
        <v>2.9977819112920705</v>
      </c>
      <c r="L725" s="39">
        <v>3.760601054232239</v>
      </c>
      <c r="M725" s="39">
        <f>I725*680.9</f>
        <v>2.4464162983928075</v>
      </c>
      <c r="N725" s="117">
        <f t="shared" si="92"/>
        <v>2.9821814677408325</v>
      </c>
      <c r="O725" s="94">
        <f t="shared" si="93"/>
        <v>5.903942877710492E-2</v>
      </c>
      <c r="P725" s="240"/>
    </row>
    <row r="726" spans="1:16" s="6" customFormat="1" ht="17.25" customHeight="1">
      <c r="A726" s="275">
        <v>190</v>
      </c>
      <c r="B726" s="125" t="s">
        <v>1201</v>
      </c>
      <c r="C726" s="790">
        <v>38.6</v>
      </c>
      <c r="D726" s="790"/>
      <c r="E726" s="790"/>
      <c r="F726" s="220">
        <f t="shared" si="94"/>
        <v>38.6</v>
      </c>
      <c r="G726" s="18" t="s">
        <v>1339</v>
      </c>
      <c r="H726" s="97">
        <v>96</v>
      </c>
      <c r="I726" s="711">
        <f t="shared" si="90"/>
        <v>2.7816121528634959E-3</v>
      </c>
      <c r="J726" s="39">
        <f t="shared" si="91"/>
        <v>6.3118395844271449</v>
      </c>
      <c r="K726" s="664">
        <f t="shared" si="95"/>
        <v>2.3208634151938612</v>
      </c>
      <c r="L726" s="39">
        <v>2.9114330742443144</v>
      </c>
      <c r="M726" s="39">
        <f>I726*680.9</f>
        <v>1.8939997148847543</v>
      </c>
      <c r="N726" s="117">
        <f t="shared" si="92"/>
        <v>2.3087856524445156</v>
      </c>
      <c r="O726" s="94">
        <f t="shared" si="93"/>
        <v>0.34813823286917289</v>
      </c>
      <c r="P726" s="240"/>
    </row>
    <row r="727" spans="1:16" s="6" customFormat="1" ht="17.25" customHeight="1">
      <c r="A727" s="275">
        <v>191</v>
      </c>
      <c r="B727" s="125" t="s">
        <v>1202</v>
      </c>
      <c r="C727" s="790">
        <v>295.8</v>
      </c>
      <c r="D727" s="790"/>
      <c r="E727" s="790"/>
      <c r="F727" s="220">
        <f t="shared" si="94"/>
        <v>295.8</v>
      </c>
      <c r="G727" s="18" t="s">
        <v>1339</v>
      </c>
      <c r="H727" s="97">
        <v>164</v>
      </c>
      <c r="I727" s="711">
        <f t="shared" si="90"/>
        <v>4.7519207611418056E-3</v>
      </c>
      <c r="J727" s="39">
        <f t="shared" si="91"/>
        <v>10.782725956729706</v>
      </c>
      <c r="K727" s="664">
        <f t="shared" si="95"/>
        <v>3.9648083342895131</v>
      </c>
      <c r="L727" s="39">
        <v>4.9736981685007029</v>
      </c>
      <c r="M727" s="39">
        <f>I727*680.9</f>
        <v>3.2355828462614555</v>
      </c>
      <c r="N727" s="117">
        <f t="shared" si="92"/>
        <v>3.9441754895927144</v>
      </c>
      <c r="O727" s="94">
        <f t="shared" si="93"/>
        <v>7.7609247145981664E-2</v>
      </c>
      <c r="P727" s="240"/>
    </row>
    <row r="728" spans="1:16" s="25" customFormat="1" ht="17.25" customHeight="1">
      <c r="A728" s="275">
        <v>192</v>
      </c>
      <c r="B728" s="125" t="s">
        <v>1353</v>
      </c>
      <c r="C728" s="790">
        <v>2745.3</v>
      </c>
      <c r="D728" s="790"/>
      <c r="E728" s="790">
        <v>209</v>
      </c>
      <c r="F728" s="220">
        <f t="shared" si="94"/>
        <v>2954.3</v>
      </c>
      <c r="G728" s="359" t="s">
        <v>1341</v>
      </c>
      <c r="H728" s="97">
        <v>642.70000000000005</v>
      </c>
      <c r="I728" s="711">
        <f t="shared" si="90"/>
        <v>1.8622313860889261E-2</v>
      </c>
      <c r="J728" s="39">
        <f t="shared" si="91"/>
        <v>42.256451051159651</v>
      </c>
      <c r="K728" s="664">
        <f t="shared" si="95"/>
        <v>15.537697051511405</v>
      </c>
      <c r="L728" s="39">
        <v>19.491437883508549</v>
      </c>
      <c r="M728" s="39">
        <f>I728*376.38</f>
        <v>7.0090664909614997</v>
      </c>
      <c r="N728" s="117">
        <f t="shared" si="92"/>
        <v>8.5440520524820691</v>
      </c>
      <c r="O728" s="94">
        <f t="shared" si="93"/>
        <v>2.8532868184389232E-2</v>
      </c>
      <c r="P728" s="360"/>
    </row>
    <row r="729" spans="1:16" s="6" customFormat="1" ht="17.25" customHeight="1">
      <c r="A729" s="275">
        <v>193</v>
      </c>
      <c r="B729" s="125" t="s">
        <v>771</v>
      </c>
      <c r="C729" s="790">
        <v>601.58000000000004</v>
      </c>
      <c r="D729" s="790"/>
      <c r="E729" s="790"/>
      <c r="F729" s="220">
        <f t="shared" si="94"/>
        <v>601.58000000000004</v>
      </c>
      <c r="G729" s="18" t="s">
        <v>1339</v>
      </c>
      <c r="H729" s="97">
        <v>560</v>
      </c>
      <c r="I729" s="711">
        <f t="shared" ref="I729:I746" si="96">2/69024.72*H729</f>
        <v>1.6226070891703727E-2</v>
      </c>
      <c r="J729" s="39">
        <f t="shared" ref="J729:J746" si="97">I729*2269.13</f>
        <v>36.819064242491677</v>
      </c>
      <c r="K729" s="664">
        <f t="shared" si="95"/>
        <v>13.538369921964192</v>
      </c>
      <c r="L729" s="39">
        <v>16.983359599758501</v>
      </c>
      <c r="M729" s="39">
        <f t="shared" ref="M729:M744" si="98">I729*680.9</f>
        <v>11.048331670161067</v>
      </c>
      <c r="N729" s="117">
        <f t="shared" si="92"/>
        <v>13.467916305926343</v>
      </c>
      <c r="O729" s="94">
        <f t="shared" si="93"/>
        <v>0.13030540482458766</v>
      </c>
      <c r="P729" s="240"/>
    </row>
    <row r="730" spans="1:16" s="6" customFormat="1" ht="17.25" customHeight="1">
      <c r="A730" s="275">
        <v>194</v>
      </c>
      <c r="B730" s="125" t="s">
        <v>772</v>
      </c>
      <c r="C730" s="790">
        <v>392.31</v>
      </c>
      <c r="D730" s="790"/>
      <c r="E730" s="790"/>
      <c r="F730" s="220">
        <f t="shared" si="94"/>
        <v>392.31</v>
      </c>
      <c r="G730" s="18" t="s">
        <v>1339</v>
      </c>
      <c r="H730" s="97">
        <v>371</v>
      </c>
      <c r="I730" s="711">
        <f t="shared" si="96"/>
        <v>1.0749771965753718E-2</v>
      </c>
      <c r="J730" s="39">
        <f t="shared" si="97"/>
        <v>24.392630060650735</v>
      </c>
      <c r="K730" s="664">
        <f t="shared" si="95"/>
        <v>8.9691700733012762</v>
      </c>
      <c r="L730" s="39">
        <v>11.251475734840005</v>
      </c>
      <c r="M730" s="39">
        <f t="shared" si="98"/>
        <v>7.3195197314817069</v>
      </c>
      <c r="N730" s="117">
        <f t="shared" si="92"/>
        <v>8.9224945526762021</v>
      </c>
      <c r="O730" s="94">
        <f t="shared" si="93"/>
        <v>0.13237693558735111</v>
      </c>
      <c r="P730" s="240"/>
    </row>
    <row r="731" spans="1:16" s="6" customFormat="1" ht="17.25" customHeight="1">
      <c r="A731" s="275">
        <v>195</v>
      </c>
      <c r="B731" s="125" t="s">
        <v>773</v>
      </c>
      <c r="C731" s="790">
        <v>600.88</v>
      </c>
      <c r="D731" s="790"/>
      <c r="E731" s="790"/>
      <c r="F731" s="220">
        <f t="shared" si="94"/>
        <v>600.88</v>
      </c>
      <c r="G731" s="18" t="s">
        <v>1339</v>
      </c>
      <c r="H731" s="97">
        <v>430</v>
      </c>
      <c r="I731" s="711">
        <f t="shared" si="96"/>
        <v>1.2459304434701075E-2</v>
      </c>
      <c r="J731" s="39">
        <f t="shared" si="97"/>
        <v>28.271781471913251</v>
      </c>
      <c r="K731" s="664">
        <f t="shared" si="95"/>
        <v>10.395534047222503</v>
      </c>
      <c r="L731" s="39">
        <v>13.04079397838599</v>
      </c>
      <c r="M731" s="39">
        <f t="shared" si="98"/>
        <v>8.4835403895879615</v>
      </c>
      <c r="N731" s="117">
        <f t="shared" si="92"/>
        <v>10.341435734907726</v>
      </c>
      <c r="O731" s="94">
        <f t="shared" si="93"/>
        <v>0.10017249681651862</v>
      </c>
      <c r="P731" s="240"/>
    </row>
    <row r="732" spans="1:16" s="6" customFormat="1" ht="17.25" customHeight="1">
      <c r="A732" s="275">
        <v>196</v>
      </c>
      <c r="B732" s="125" t="s">
        <v>774</v>
      </c>
      <c r="C732" s="790">
        <v>307.3</v>
      </c>
      <c r="D732" s="790"/>
      <c r="E732" s="790"/>
      <c r="F732" s="220">
        <f t="shared" si="94"/>
        <v>307.3</v>
      </c>
      <c r="G732" s="18" t="s">
        <v>1339</v>
      </c>
      <c r="H732" s="97">
        <v>285</v>
      </c>
      <c r="I732" s="711">
        <f t="shared" si="96"/>
        <v>8.2579110788135023E-3</v>
      </c>
      <c r="J732" s="39">
        <f t="shared" si="97"/>
        <v>18.738273766268083</v>
      </c>
      <c r="K732" s="664">
        <f t="shared" si="95"/>
        <v>6.8900632638567743</v>
      </c>
      <c r="L732" s="39">
        <v>8.6433169391628084</v>
      </c>
      <c r="M732" s="39">
        <f t="shared" si="98"/>
        <v>5.6228116535641135</v>
      </c>
      <c r="N732" s="117">
        <f t="shared" si="92"/>
        <v>6.8542074056946545</v>
      </c>
      <c r="O732" s="94">
        <f t="shared" si="93"/>
        <v>0.12982253700895471</v>
      </c>
      <c r="P732" s="240"/>
    </row>
    <row r="733" spans="1:16" s="6" customFormat="1" ht="17.25" customHeight="1">
      <c r="A733" s="275">
        <v>197</v>
      </c>
      <c r="B733" s="125" t="s">
        <v>775</v>
      </c>
      <c r="C733" s="790">
        <v>763</v>
      </c>
      <c r="D733" s="790"/>
      <c r="E733" s="790">
        <v>37.1</v>
      </c>
      <c r="F733" s="220">
        <f t="shared" si="94"/>
        <v>800.1</v>
      </c>
      <c r="G733" s="18" t="s">
        <v>1339</v>
      </c>
      <c r="H733" s="97">
        <v>564</v>
      </c>
      <c r="I733" s="711">
        <f t="shared" si="96"/>
        <v>1.6341971398073037E-2</v>
      </c>
      <c r="J733" s="39">
        <f t="shared" si="97"/>
        <v>37.082057558509469</v>
      </c>
      <c r="K733" s="664">
        <f t="shared" si="95"/>
        <v>13.635072564263933</v>
      </c>
      <c r="L733" s="39">
        <v>17.104669311185344</v>
      </c>
      <c r="M733" s="39">
        <f t="shared" si="98"/>
        <v>11.12724832494793</v>
      </c>
      <c r="N733" s="117">
        <f t="shared" ref="N733:N747" si="99">M733*1.219</f>
        <v>13.564115708111528</v>
      </c>
      <c r="O733" s="94">
        <f t="shared" si="93"/>
        <v>9.8673975451701895E-2</v>
      </c>
      <c r="P733" s="240"/>
    </row>
    <row r="734" spans="1:16" s="6" customFormat="1" ht="17.25" customHeight="1">
      <c r="A734" s="275">
        <v>198</v>
      </c>
      <c r="B734" s="125" t="s">
        <v>776</v>
      </c>
      <c r="C734" s="790">
        <v>325.2</v>
      </c>
      <c r="D734" s="790"/>
      <c r="E734" s="790"/>
      <c r="F734" s="220">
        <f t="shared" si="94"/>
        <v>325.2</v>
      </c>
      <c r="G734" s="18" t="s">
        <v>1339</v>
      </c>
      <c r="H734" s="97">
        <v>248</v>
      </c>
      <c r="I734" s="711">
        <f t="shared" si="96"/>
        <v>7.1858313948973641E-3</v>
      </c>
      <c r="J734" s="39">
        <f t="shared" si="97"/>
        <v>16.305585593103455</v>
      </c>
      <c r="K734" s="664">
        <f t="shared" si="95"/>
        <v>5.995563822584141</v>
      </c>
      <c r="L734" s="39">
        <v>7.521202108464478</v>
      </c>
      <c r="M734" s="39">
        <f t="shared" si="98"/>
        <v>4.892832596785615</v>
      </c>
      <c r="N734" s="117">
        <f t="shared" si="99"/>
        <v>5.964362935481665</v>
      </c>
      <c r="O734" s="94">
        <f t="shared" si="93"/>
        <v>0.10675025867447015</v>
      </c>
      <c r="P734" s="240"/>
    </row>
    <row r="735" spans="1:16" s="6" customFormat="1" ht="17.25" customHeight="1">
      <c r="A735" s="275">
        <v>199</v>
      </c>
      <c r="B735" s="125" t="s">
        <v>777</v>
      </c>
      <c r="C735" s="790">
        <v>366.35</v>
      </c>
      <c r="D735" s="790"/>
      <c r="E735" s="790">
        <v>53.9</v>
      </c>
      <c r="F735" s="220">
        <f t="shared" si="94"/>
        <v>420.25</v>
      </c>
      <c r="G735" s="18" t="s">
        <v>1339</v>
      </c>
      <c r="H735" s="97">
        <v>216</v>
      </c>
      <c r="I735" s="711">
        <f t="shared" si="96"/>
        <v>6.2586273439428656E-3</v>
      </c>
      <c r="J735" s="39">
        <f t="shared" si="97"/>
        <v>14.201639064961075</v>
      </c>
      <c r="K735" s="664">
        <f t="shared" si="95"/>
        <v>5.221942684186188</v>
      </c>
      <c r="L735" s="39">
        <v>6.5507244170497074</v>
      </c>
      <c r="M735" s="39">
        <f t="shared" si="98"/>
        <v>4.2614993584906973</v>
      </c>
      <c r="N735" s="117">
        <f t="shared" si="99"/>
        <v>5.1947677180001604</v>
      </c>
      <c r="O735" s="94">
        <f t="shared" si="93"/>
        <v>7.1947187447204436E-2</v>
      </c>
      <c r="P735" s="240"/>
    </row>
    <row r="736" spans="1:16" s="6" customFormat="1" ht="17.25" customHeight="1">
      <c r="A736" s="275">
        <v>200</v>
      </c>
      <c r="B736" s="125" t="s">
        <v>778</v>
      </c>
      <c r="C736" s="790">
        <v>468.48</v>
      </c>
      <c r="D736" s="790"/>
      <c r="E736" s="790"/>
      <c r="F736" s="220">
        <f t="shared" si="94"/>
        <v>468.48</v>
      </c>
      <c r="G736" s="18" t="s">
        <v>1339</v>
      </c>
      <c r="H736" s="97">
        <v>412</v>
      </c>
      <c r="I736" s="711">
        <f t="shared" si="96"/>
        <v>1.1937752156039169E-2</v>
      </c>
      <c r="J736" s="39">
        <f t="shared" si="97"/>
        <v>27.088311549833161</v>
      </c>
      <c r="K736" s="664">
        <f t="shared" si="95"/>
        <v>9.960372156873655</v>
      </c>
      <c r="L736" s="39">
        <v>12.494900276965181</v>
      </c>
      <c r="M736" s="39">
        <f t="shared" si="98"/>
        <v>8.1284154430470696</v>
      </c>
      <c r="N736" s="117">
        <f t="shared" si="99"/>
        <v>9.9085384250743793</v>
      </c>
      <c r="O736" s="94">
        <f t="shared" si="93"/>
        <v>0.12310450697301713</v>
      </c>
      <c r="P736" s="240"/>
    </row>
    <row r="737" spans="1:17" s="6" customFormat="1" ht="17.25" customHeight="1">
      <c r="A737" s="275">
        <v>201</v>
      </c>
      <c r="B737" s="125" t="s">
        <v>779</v>
      </c>
      <c r="C737" s="790">
        <v>996.98</v>
      </c>
      <c r="D737" s="790"/>
      <c r="E737" s="790">
        <v>29.1</v>
      </c>
      <c r="F737" s="220">
        <f t="shared" si="94"/>
        <v>1026.08</v>
      </c>
      <c r="G737" s="18" t="s">
        <v>1339</v>
      </c>
      <c r="H737" s="97">
        <v>549</v>
      </c>
      <c r="I737" s="711">
        <f t="shared" si="96"/>
        <v>1.5907344499188115E-2</v>
      </c>
      <c r="J737" s="39">
        <f t="shared" si="97"/>
        <v>36.095832623442732</v>
      </c>
      <c r="K737" s="664">
        <f t="shared" si="95"/>
        <v>13.272437655639893</v>
      </c>
      <c r="L737" s="39">
        <v>16.649757893334673</v>
      </c>
      <c r="M737" s="39">
        <f t="shared" si="98"/>
        <v>10.831310869497187</v>
      </c>
      <c r="N737" s="117">
        <f t="shared" si="99"/>
        <v>13.203367949917073</v>
      </c>
      <c r="O737" s="94">
        <f t="shared" si="93"/>
        <v>7.4896050056442467E-2</v>
      </c>
      <c r="P737" s="240"/>
    </row>
    <row r="738" spans="1:17" s="6" customFormat="1" ht="17.25" customHeight="1">
      <c r="A738" s="275">
        <v>202</v>
      </c>
      <c r="B738" s="125" t="s">
        <v>791</v>
      </c>
      <c r="C738" s="790">
        <v>1115.1199999999999</v>
      </c>
      <c r="D738" s="790"/>
      <c r="E738" s="790">
        <v>126.9</v>
      </c>
      <c r="F738" s="220">
        <f t="shared" si="94"/>
        <v>1242.02</v>
      </c>
      <c r="G738" s="18" t="s">
        <v>1339</v>
      </c>
      <c r="H738" s="97">
        <v>528</v>
      </c>
      <c r="I738" s="711">
        <f t="shared" si="96"/>
        <v>1.5298866840749227E-2</v>
      </c>
      <c r="J738" s="39">
        <f t="shared" si="97"/>
        <v>34.715117714349297</v>
      </c>
      <c r="K738" s="664">
        <f t="shared" si="95"/>
        <v>12.764748783566237</v>
      </c>
      <c r="L738" s="39">
        <v>16.012881908343726</v>
      </c>
      <c r="M738" s="39">
        <f t="shared" si="98"/>
        <v>10.416998431866148</v>
      </c>
      <c r="N738" s="117">
        <f t="shared" si="99"/>
        <v>12.698321088444835</v>
      </c>
      <c r="O738" s="94">
        <f t="shared" si="93"/>
        <v>5.9507694592780644E-2</v>
      </c>
      <c r="P738" s="240"/>
    </row>
    <row r="739" spans="1:17" s="6" customFormat="1" ht="17.25" customHeight="1">
      <c r="A739" s="275">
        <v>203</v>
      </c>
      <c r="B739" s="125" t="s">
        <v>858</v>
      </c>
      <c r="C739" s="790">
        <v>678.82</v>
      </c>
      <c r="D739" s="790"/>
      <c r="E739" s="790">
        <v>148.19999999999999</v>
      </c>
      <c r="F739" s="220">
        <f t="shared" si="94"/>
        <v>827.02</v>
      </c>
      <c r="G739" s="18" t="s">
        <v>1339</v>
      </c>
      <c r="H739" s="97">
        <v>360</v>
      </c>
      <c r="I739" s="711">
        <f t="shared" si="96"/>
        <v>1.043104557323811E-2</v>
      </c>
      <c r="J739" s="39">
        <f t="shared" si="97"/>
        <v>23.669398441601793</v>
      </c>
      <c r="K739" s="664">
        <f t="shared" si="95"/>
        <v>8.7032378069769791</v>
      </c>
      <c r="L739" s="39">
        <v>10.917874028416179</v>
      </c>
      <c r="M739" s="39">
        <f t="shared" si="98"/>
        <v>7.1024989308178288</v>
      </c>
      <c r="N739" s="117">
        <f t="shared" si="99"/>
        <v>8.6579461966669342</v>
      </c>
      <c r="O739" s="94">
        <f t="shared" si="93"/>
        <v>6.0933241285353178E-2</v>
      </c>
      <c r="P739" s="240"/>
    </row>
    <row r="740" spans="1:17" s="6" customFormat="1" ht="17.25" customHeight="1">
      <c r="A740" s="275">
        <v>204</v>
      </c>
      <c r="B740" s="125" t="s">
        <v>859</v>
      </c>
      <c r="C740" s="790">
        <v>487.41</v>
      </c>
      <c r="D740" s="790"/>
      <c r="E740" s="790"/>
      <c r="F740" s="220">
        <f t="shared" si="94"/>
        <v>487.41</v>
      </c>
      <c r="G740" s="18" t="s">
        <v>1339</v>
      </c>
      <c r="H740" s="97">
        <v>380</v>
      </c>
      <c r="I740" s="711">
        <f t="shared" si="96"/>
        <v>1.101054810508467E-2</v>
      </c>
      <c r="J740" s="39">
        <f t="shared" si="97"/>
        <v>24.984365021690778</v>
      </c>
      <c r="K740" s="664">
        <f t="shared" si="95"/>
        <v>9.1867510184757002</v>
      </c>
      <c r="L740" s="39">
        <v>11.524422585550411</v>
      </c>
      <c r="M740" s="39">
        <f t="shared" si="98"/>
        <v>7.4970822047521519</v>
      </c>
      <c r="N740" s="117">
        <f t="shared" si="99"/>
        <v>9.1389432075928738</v>
      </c>
      <c r="O740" s="94">
        <f t="shared" si="93"/>
        <v>0.1091332160408466</v>
      </c>
      <c r="P740" s="240"/>
    </row>
    <row r="741" spans="1:17" s="6" customFormat="1" ht="17.25" customHeight="1">
      <c r="A741" s="275">
        <v>205</v>
      </c>
      <c r="B741" s="125" t="s">
        <v>860</v>
      </c>
      <c r="C741" s="790">
        <v>436.5</v>
      </c>
      <c r="D741" s="790">
        <v>103.3</v>
      </c>
      <c r="E741" s="790">
        <v>145.19999999999999</v>
      </c>
      <c r="F741" s="220">
        <f t="shared" si="94"/>
        <v>685</v>
      </c>
      <c r="G741" s="18" t="s">
        <v>1339</v>
      </c>
      <c r="H741" s="97">
        <v>761</v>
      </c>
      <c r="I741" s="711">
        <f t="shared" si="96"/>
        <v>2.2050071336761668E-2</v>
      </c>
      <c r="J741" s="39">
        <f t="shared" si="97"/>
        <v>50.034478372386005</v>
      </c>
      <c r="K741" s="664">
        <f t="shared" si="95"/>
        <v>18.397677697526337</v>
      </c>
      <c r="L741" s="39">
        <v>23.07917259895753</v>
      </c>
      <c r="M741" s="39">
        <f t="shared" si="98"/>
        <v>15.013893573201019</v>
      </c>
      <c r="N741" s="117">
        <f t="shared" si="99"/>
        <v>18.301936265732042</v>
      </c>
      <c r="O741" s="94">
        <f t="shared" si="93"/>
        <v>0.15551127334608891</v>
      </c>
      <c r="P741" s="240"/>
    </row>
    <row r="742" spans="1:17" s="6" customFormat="1" ht="17.25" customHeight="1">
      <c r="A742" s="275">
        <v>206</v>
      </c>
      <c r="B742" s="125" t="s">
        <v>861</v>
      </c>
      <c r="C742" s="790">
        <v>636.55999999999995</v>
      </c>
      <c r="D742" s="790"/>
      <c r="E742" s="790"/>
      <c r="F742" s="220">
        <f t="shared" si="94"/>
        <v>636.55999999999995</v>
      </c>
      <c r="G742" s="18" t="s">
        <v>1339</v>
      </c>
      <c r="H742" s="97">
        <v>415</v>
      </c>
      <c r="I742" s="711">
        <f t="shared" si="96"/>
        <v>1.2024677535816153E-2</v>
      </c>
      <c r="J742" s="39">
        <f t="shared" si="97"/>
        <v>27.285556536846507</v>
      </c>
      <c r="K742" s="664">
        <f t="shared" si="95"/>
        <v>10.032899138598461</v>
      </c>
      <c r="L742" s="39">
        <v>12.585882560535316</v>
      </c>
      <c r="M742" s="39">
        <f t="shared" si="98"/>
        <v>8.1876029341372174</v>
      </c>
      <c r="N742" s="117">
        <f t="shared" si="99"/>
        <v>9.9806879767132681</v>
      </c>
      <c r="O742" s="94">
        <f t="shared" si="93"/>
        <v>9.1259176150115473E-2</v>
      </c>
      <c r="P742" s="240"/>
    </row>
    <row r="743" spans="1:17" s="6" customFormat="1" ht="17.25" customHeight="1">
      <c r="A743" s="275">
        <v>207</v>
      </c>
      <c r="B743" s="125" t="s">
        <v>862</v>
      </c>
      <c r="C743" s="790">
        <v>495</v>
      </c>
      <c r="D743" s="790">
        <v>10.1</v>
      </c>
      <c r="E743" s="790"/>
      <c r="F743" s="220">
        <f t="shared" si="94"/>
        <v>505.1</v>
      </c>
      <c r="G743" s="18" t="s">
        <v>1339</v>
      </c>
      <c r="H743" s="97">
        <v>293</v>
      </c>
      <c r="I743" s="711">
        <f t="shared" si="96"/>
        <v>8.4897120915521269E-3</v>
      </c>
      <c r="J743" s="39">
        <f t="shared" si="97"/>
        <v>19.26426039830368</v>
      </c>
      <c r="K743" s="664">
        <f t="shared" si="95"/>
        <v>7.0834685484562634</v>
      </c>
      <c r="L743" s="39">
        <v>8.8859363620165013</v>
      </c>
      <c r="M743" s="39">
        <f t="shared" si="98"/>
        <v>5.7806449631378429</v>
      </c>
      <c r="N743" s="117">
        <f t="shared" si="99"/>
        <v>7.0466062100650309</v>
      </c>
      <c r="O743" s="94">
        <f t="shared" si="93"/>
        <v>8.1200376701473537E-2</v>
      </c>
      <c r="P743" s="240"/>
    </row>
    <row r="744" spans="1:17" s="6" customFormat="1" ht="17.25" customHeight="1">
      <c r="A744" s="275">
        <v>208</v>
      </c>
      <c r="B744" s="126" t="s">
        <v>863</v>
      </c>
      <c r="C744" s="791">
        <v>536.88</v>
      </c>
      <c r="D744" s="790"/>
      <c r="E744" s="790"/>
      <c r="F744" s="220">
        <f t="shared" si="94"/>
        <v>536.88</v>
      </c>
      <c r="G744" s="18" t="s">
        <v>1339</v>
      </c>
      <c r="H744" s="97">
        <v>341</v>
      </c>
      <c r="I744" s="711">
        <f t="shared" si="96"/>
        <v>9.8805181679838764E-3</v>
      </c>
      <c r="J744" s="39">
        <f t="shared" si="97"/>
        <v>22.420180190517254</v>
      </c>
      <c r="K744" s="664">
        <f t="shared" si="95"/>
        <v>8.2439002560531947</v>
      </c>
      <c r="L744" s="39">
        <v>10.341652899138657</v>
      </c>
      <c r="M744" s="39">
        <f t="shared" si="98"/>
        <v>6.7276448205802213</v>
      </c>
      <c r="N744" s="117">
        <f t="shared" si="99"/>
        <v>8.2009990362872909</v>
      </c>
      <c r="O744" s="94">
        <f t="shared" si="93"/>
        <v>8.8908840273970585E-2</v>
      </c>
      <c r="P744" s="240"/>
    </row>
    <row r="745" spans="1:17" s="6" customFormat="1" ht="17.25" customHeight="1">
      <c r="A745" s="275">
        <v>209</v>
      </c>
      <c r="B745" s="337" t="s">
        <v>1349</v>
      </c>
      <c r="C745" s="146"/>
      <c r="D745" s="146">
        <v>132.6</v>
      </c>
      <c r="E745" s="146"/>
      <c r="F745" s="220">
        <f t="shared" si="94"/>
        <v>132.6</v>
      </c>
      <c r="G745" s="18" t="s">
        <v>1339</v>
      </c>
      <c r="H745" s="97">
        <v>0</v>
      </c>
      <c r="I745" s="711">
        <f t="shared" si="96"/>
        <v>0</v>
      </c>
      <c r="J745" s="39">
        <f t="shared" si="97"/>
        <v>0</v>
      </c>
      <c r="K745" s="664">
        <f t="shared" si="95"/>
        <v>0</v>
      </c>
      <c r="L745" s="39">
        <v>0</v>
      </c>
      <c r="M745" s="39">
        <f>I745*680.9*1.08</f>
        <v>0</v>
      </c>
      <c r="N745" s="117">
        <f t="shared" si="99"/>
        <v>0</v>
      </c>
      <c r="O745" s="94">
        <f t="shared" si="93"/>
        <v>0</v>
      </c>
      <c r="P745" s="240"/>
    </row>
    <row r="746" spans="1:17" s="6" customFormat="1" ht="17.25" customHeight="1">
      <c r="A746" s="943">
        <v>210</v>
      </c>
      <c r="B746" s="942" t="s">
        <v>894</v>
      </c>
      <c r="C746" s="146">
        <v>380.2</v>
      </c>
      <c r="D746" s="146"/>
      <c r="E746" s="146"/>
      <c r="F746" s="95">
        <f t="shared" si="94"/>
        <v>380.2</v>
      </c>
      <c r="G746" s="18" t="s">
        <v>1339</v>
      </c>
      <c r="H746" s="97">
        <v>336</v>
      </c>
      <c r="I746" s="711">
        <f t="shared" si="96"/>
        <v>9.7356425350222358E-3</v>
      </c>
      <c r="J746" s="39">
        <f t="shared" si="97"/>
        <v>22.091438545495006</v>
      </c>
      <c r="K746" s="664">
        <f t="shared" si="95"/>
        <v>8.1230219531785135</v>
      </c>
      <c r="L746" s="39">
        <v>10</v>
      </c>
      <c r="M746" s="39">
        <f>I746*680.9*1.08</f>
        <v>7.1593189222643723</v>
      </c>
      <c r="N746" s="117">
        <f t="shared" si="99"/>
        <v>8.7272097662402697</v>
      </c>
      <c r="O746" s="94">
        <f t="shared" si="93"/>
        <v>0.12460226044433954</v>
      </c>
      <c r="P746" s="240"/>
    </row>
    <row r="747" spans="1:17" s="107" customFormat="1" ht="15.75">
      <c r="A747" s="392">
        <v>1</v>
      </c>
      <c r="B747" s="174" t="s">
        <v>681</v>
      </c>
      <c r="C747" s="153">
        <f>SUM(C537:C745)</f>
        <v>241028.47000000006</v>
      </c>
      <c r="D747" s="153">
        <f>SUM(D537:D745)</f>
        <v>1953.5199999999998</v>
      </c>
      <c r="E747" s="153">
        <f>SUM(E537:E745)</f>
        <v>3342.3999999999992</v>
      </c>
      <c r="F747" s="101">
        <f t="shared" si="94"/>
        <v>246324.39000000004</v>
      </c>
      <c r="G747" s="101">
        <f>SUM(G537:G744)</f>
        <v>0</v>
      </c>
      <c r="H747" s="101">
        <f>SUM(H537:H746)</f>
        <v>69024.720000000016</v>
      </c>
      <c r="I747" s="711">
        <f>2/69024.72*H747</f>
        <v>2.0000000000000004</v>
      </c>
      <c r="J747" s="39">
        <f>I747*2269.13</f>
        <v>4538.2600000000011</v>
      </c>
      <c r="K747" s="712">
        <f t="shared" si="95"/>
        <v>1668.7182020000005</v>
      </c>
      <c r="L747" s="39">
        <f>SUM(L536:L746)</f>
        <v>2005.035858732188</v>
      </c>
      <c r="M747" s="39">
        <f>SUM(M537:M746)</f>
        <v>1061.5303803043316</v>
      </c>
      <c r="N747" s="117">
        <f t="shared" si="99"/>
        <v>1294.0055335909803</v>
      </c>
      <c r="O747" s="94">
        <f t="shared" si="93"/>
        <v>3.764769067747014E-2</v>
      </c>
      <c r="P747" s="241"/>
    </row>
    <row r="748" spans="1:17" s="209" customFormat="1" ht="15.75">
      <c r="A748" s="384" t="s">
        <v>335</v>
      </c>
      <c r="C748" s="339"/>
      <c r="D748" s="339"/>
      <c r="E748" s="339"/>
      <c r="F748" s="339"/>
      <c r="G748" s="737"/>
      <c r="J748" s="39">
        <f>I748*2077.52</f>
        <v>0</v>
      </c>
      <c r="K748" s="342"/>
      <c r="L748" s="39">
        <v>0</v>
      </c>
      <c r="M748" s="341"/>
      <c r="N748" s="341"/>
      <c r="O748" s="94" t="e">
        <f t="shared" si="93"/>
        <v>#DIV/0!</v>
      </c>
      <c r="P748" s="343"/>
    </row>
    <row r="749" spans="1:17" s="6" customFormat="1" ht="15.75">
      <c r="A749" s="8">
        <v>1</v>
      </c>
      <c r="B749" s="8" t="s">
        <v>336</v>
      </c>
      <c r="C749" s="8">
        <v>4275.08</v>
      </c>
      <c r="D749" s="142"/>
      <c r="E749" s="142"/>
      <c r="F749" s="61">
        <f t="shared" ref="F749:F810" si="100">C749+D749+E749</f>
        <v>4275.08</v>
      </c>
      <c r="G749" s="8" t="s">
        <v>1339</v>
      </c>
      <c r="H749" s="24">
        <v>729</v>
      </c>
      <c r="I749" s="663">
        <f t="shared" ref="I749:I812" si="101">4/71354*H749</f>
        <v>4.0866664798049165E-2</v>
      </c>
      <c r="J749" s="39">
        <f t="shared" ref="J749:J812" si="102">I749*2269.13</f>
        <v>92.731775093197314</v>
      </c>
      <c r="K749" s="37">
        <f t="shared" ref="K749:K810" si="103">J749*0.3677</f>
        <v>34.097473701768656</v>
      </c>
      <c r="L749" s="39">
        <v>35.622569963206601</v>
      </c>
      <c r="M749" s="39">
        <f>I749*680.9</f>
        <v>27.826112060991676</v>
      </c>
      <c r="N749" s="39"/>
      <c r="O749" s="94">
        <f t="shared" si="93"/>
        <v>4.450862459162501E-2</v>
      </c>
      <c r="P749" s="8" t="s">
        <v>660</v>
      </c>
      <c r="Q749" s="8"/>
    </row>
    <row r="750" spans="1:17" s="6" customFormat="1" ht="15.75">
      <c r="A750" s="8">
        <v>2</v>
      </c>
      <c r="B750" s="8" t="s">
        <v>337</v>
      </c>
      <c r="C750" s="8">
        <v>4574.41</v>
      </c>
      <c r="D750" s="55"/>
      <c r="E750" s="55"/>
      <c r="F750" s="61">
        <f t="shared" si="100"/>
        <v>4574.41</v>
      </c>
      <c r="G750" s="8" t="s">
        <v>1339</v>
      </c>
      <c r="H750" s="24">
        <v>729</v>
      </c>
      <c r="I750" s="663">
        <f t="shared" si="101"/>
        <v>4.0866664798049165E-2</v>
      </c>
      <c r="J750" s="39">
        <f t="shared" si="102"/>
        <v>92.731775093197314</v>
      </c>
      <c r="K750" s="37">
        <f t="shared" si="103"/>
        <v>34.097473701768656</v>
      </c>
      <c r="L750" s="39">
        <v>35.622569963206601</v>
      </c>
      <c r="M750" s="39">
        <f>I750*680.9</f>
        <v>27.826112060991676</v>
      </c>
      <c r="N750" s="39"/>
      <c r="O750" s="94">
        <f t="shared" si="93"/>
        <v>4.159616886531034E-2</v>
      </c>
      <c r="P750" s="8"/>
      <c r="Q750" s="8"/>
    </row>
    <row r="751" spans="1:17" s="363" customFormat="1" ht="15.75">
      <c r="A751" s="361">
        <v>3</v>
      </c>
      <c r="B751" s="361" t="s">
        <v>338</v>
      </c>
      <c r="C751" s="361">
        <v>8527.85</v>
      </c>
      <c r="D751" s="362"/>
      <c r="E751" s="362"/>
      <c r="F751" s="61">
        <f t="shared" si="100"/>
        <v>8527.85</v>
      </c>
      <c r="G751" s="8" t="s">
        <v>1341</v>
      </c>
      <c r="H751" s="24">
        <v>1595</v>
      </c>
      <c r="I751" s="663">
        <f t="shared" si="101"/>
        <v>8.9413347534826354E-2</v>
      </c>
      <c r="J751" s="39">
        <f t="shared" si="102"/>
        <v>202.89050929170054</v>
      </c>
      <c r="K751" s="37">
        <f t="shared" si="103"/>
        <v>74.602840266558289</v>
      </c>
      <c r="L751" s="39">
        <v>77.939642100568634</v>
      </c>
      <c r="M751" s="39">
        <f>I751*376.38</f>
        <v>33.653395745157944</v>
      </c>
      <c r="N751" s="39"/>
      <c r="O751" s="94">
        <f t="shared" si="93"/>
        <v>4.5625378894326864E-2</v>
      </c>
      <c r="P751" s="361"/>
      <c r="Q751" s="361"/>
    </row>
    <row r="752" spans="1:17" s="6" customFormat="1" ht="15.75">
      <c r="A752" s="8">
        <v>4</v>
      </c>
      <c r="B752" s="8" t="s">
        <v>339</v>
      </c>
      <c r="C752" s="8">
        <v>5131.3999999999996</v>
      </c>
      <c r="D752" s="55"/>
      <c r="E752" s="55"/>
      <c r="F752" s="61">
        <f t="shared" si="100"/>
        <v>5131.3999999999996</v>
      </c>
      <c r="G752" s="8" t="s">
        <v>1339</v>
      </c>
      <c r="H752" s="24">
        <v>900</v>
      </c>
      <c r="I752" s="663">
        <f t="shared" si="101"/>
        <v>5.0452672590184156E-2</v>
      </c>
      <c r="J752" s="39">
        <f t="shared" si="102"/>
        <v>114.48367295456458</v>
      </c>
      <c r="K752" s="37">
        <f t="shared" si="103"/>
        <v>42.0956465453934</v>
      </c>
      <c r="L752" s="39">
        <v>43.978481436057528</v>
      </c>
      <c r="M752" s="39">
        <f t="shared" ref="M752:M760" si="104">I752*680.9</f>
        <v>34.353224766656389</v>
      </c>
      <c r="N752" s="39"/>
      <c r="O752" s="94">
        <f t="shared" si="93"/>
        <v>4.5779129614271337E-2</v>
      </c>
      <c r="P752" s="8"/>
      <c r="Q752" s="8"/>
    </row>
    <row r="753" spans="1:17" s="6" customFormat="1" ht="15.75">
      <c r="A753" s="8">
        <v>5</v>
      </c>
      <c r="B753" s="8" t="s">
        <v>340</v>
      </c>
      <c r="C753" s="8">
        <v>4290.1499999999996</v>
      </c>
      <c r="D753" s="55"/>
      <c r="E753" s="55"/>
      <c r="F753" s="61">
        <f t="shared" si="100"/>
        <v>4290.1499999999996</v>
      </c>
      <c r="G753" s="8" t="s">
        <v>1339</v>
      </c>
      <c r="H753" s="24">
        <v>658</v>
      </c>
      <c r="I753" s="663">
        <f t="shared" si="101"/>
        <v>3.6886509515934633E-2</v>
      </c>
      <c r="J753" s="39">
        <f t="shared" si="102"/>
        <v>83.700285337892751</v>
      </c>
      <c r="K753" s="37">
        <f t="shared" si="103"/>
        <v>30.776594918743168</v>
      </c>
      <c r="L753" s="39">
        <v>32.153156427695393</v>
      </c>
      <c r="M753" s="39">
        <f t="shared" si="104"/>
        <v>25.116024329399892</v>
      </c>
      <c r="N753" s="39"/>
      <c r="O753" s="94">
        <f t="shared" si="93"/>
        <v>4.0032647113441538E-2</v>
      </c>
      <c r="P753" s="8" t="s">
        <v>574</v>
      </c>
      <c r="Q753" s="8" t="s">
        <v>649</v>
      </c>
    </row>
    <row r="754" spans="1:17" s="6" customFormat="1" ht="15.75">
      <c r="A754" s="8">
        <v>6</v>
      </c>
      <c r="B754" s="8" t="s">
        <v>341</v>
      </c>
      <c r="C754" s="8">
        <v>5185.3900000000003</v>
      </c>
      <c r="D754" s="55"/>
      <c r="E754" s="55"/>
      <c r="F754" s="61">
        <f t="shared" si="100"/>
        <v>5185.3900000000003</v>
      </c>
      <c r="G754" s="8" t="s">
        <v>1339</v>
      </c>
      <c r="H754" s="24">
        <v>658</v>
      </c>
      <c r="I754" s="663">
        <f t="shared" si="101"/>
        <v>3.6886509515934633E-2</v>
      </c>
      <c r="J754" s="39">
        <f t="shared" si="102"/>
        <v>83.700285337892751</v>
      </c>
      <c r="K754" s="37">
        <f t="shared" si="103"/>
        <v>30.776594918743168</v>
      </c>
      <c r="L754" s="39">
        <v>32.153156427695393</v>
      </c>
      <c r="M754" s="39">
        <f t="shared" si="104"/>
        <v>25.116024329399892</v>
      </c>
      <c r="N754" s="39"/>
      <c r="O754" s="94">
        <f t="shared" si="93"/>
        <v>3.3121146338796349E-2</v>
      </c>
      <c r="P754" s="8">
        <v>1</v>
      </c>
      <c r="Q754" s="8" t="s">
        <v>650</v>
      </c>
    </row>
    <row r="755" spans="1:17" s="6" customFormat="1" ht="15.75">
      <c r="A755" s="8">
        <v>7</v>
      </c>
      <c r="B755" s="8" t="s">
        <v>342</v>
      </c>
      <c r="C755" s="8">
        <v>4246.38</v>
      </c>
      <c r="D755" s="55"/>
      <c r="E755" s="55"/>
      <c r="F755" s="61">
        <f t="shared" si="100"/>
        <v>4246.38</v>
      </c>
      <c r="G755" s="8" t="s">
        <v>1339</v>
      </c>
      <c r="H755" s="24">
        <v>658</v>
      </c>
      <c r="I755" s="663">
        <f t="shared" si="101"/>
        <v>3.6886509515934633E-2</v>
      </c>
      <c r="J755" s="39">
        <f t="shared" si="102"/>
        <v>83.700285337892751</v>
      </c>
      <c r="K755" s="37">
        <f t="shared" si="103"/>
        <v>30.776594918743168</v>
      </c>
      <c r="L755" s="39">
        <v>32.153156427695393</v>
      </c>
      <c r="M755" s="39">
        <f t="shared" si="104"/>
        <v>25.116024329399892</v>
      </c>
      <c r="N755" s="39"/>
      <c r="O755" s="94">
        <f t="shared" si="93"/>
        <v>4.0445287754212106E-2</v>
      </c>
      <c r="P755" s="8"/>
      <c r="Q755" s="8" t="s">
        <v>651</v>
      </c>
    </row>
    <row r="756" spans="1:17" s="6" customFormat="1" ht="15.75">
      <c r="A756" s="8">
        <v>8</v>
      </c>
      <c r="B756" s="8" t="s">
        <v>343</v>
      </c>
      <c r="C756" s="8">
        <v>4446.42</v>
      </c>
      <c r="D756" s="55"/>
      <c r="E756" s="55"/>
      <c r="F756" s="61">
        <f t="shared" si="100"/>
        <v>4446.42</v>
      </c>
      <c r="G756" s="8" t="s">
        <v>1339</v>
      </c>
      <c r="H756" s="24">
        <v>658</v>
      </c>
      <c r="I756" s="663">
        <f t="shared" si="101"/>
        <v>3.6886509515934633E-2</v>
      </c>
      <c r="J756" s="39">
        <f t="shared" si="102"/>
        <v>83.700285337892751</v>
      </c>
      <c r="K756" s="37">
        <f t="shared" si="103"/>
        <v>30.776594918743168</v>
      </c>
      <c r="L756" s="39">
        <v>32.153156427695393</v>
      </c>
      <c r="M756" s="39">
        <f t="shared" si="104"/>
        <v>25.116024329399892</v>
      </c>
      <c r="N756" s="39"/>
      <c r="O756" s="94">
        <f t="shared" si="93"/>
        <v>3.8625694606836784E-2</v>
      </c>
      <c r="P756" s="8"/>
      <c r="Q756" s="8" t="s">
        <v>652</v>
      </c>
    </row>
    <row r="757" spans="1:17" s="6" customFormat="1" ht="15.75">
      <c r="A757" s="8">
        <v>9</v>
      </c>
      <c r="B757" s="8" t="s">
        <v>344</v>
      </c>
      <c r="C757" s="8">
        <v>2920.24</v>
      </c>
      <c r="D757" s="55"/>
      <c r="E757" s="55"/>
      <c r="F757" s="61">
        <f t="shared" si="100"/>
        <v>2920.24</v>
      </c>
      <c r="G757" s="8" t="s">
        <v>1339</v>
      </c>
      <c r="H757" s="24">
        <v>320</v>
      </c>
      <c r="I757" s="663">
        <f t="shared" si="101"/>
        <v>1.7938728032065476E-2</v>
      </c>
      <c r="J757" s="39">
        <f t="shared" si="102"/>
        <v>40.705305939400738</v>
      </c>
      <c r="K757" s="37">
        <f t="shared" si="103"/>
        <v>14.967340993917652</v>
      </c>
      <c r="L757" s="39">
        <v>15.636793399487123</v>
      </c>
      <c r="M757" s="39">
        <f t="shared" si="104"/>
        <v>12.214479917033382</v>
      </c>
      <c r="N757" s="39"/>
      <c r="O757" s="94">
        <f t="shared" si="93"/>
        <v>2.8601731450099616E-2</v>
      </c>
      <c r="P757" s="8"/>
      <c r="Q757" s="8" t="s">
        <v>653</v>
      </c>
    </row>
    <row r="758" spans="1:17" s="6" customFormat="1" ht="15.75">
      <c r="A758" s="8">
        <v>10</v>
      </c>
      <c r="B758" s="8" t="s">
        <v>345</v>
      </c>
      <c r="C758" s="8">
        <v>4278.99</v>
      </c>
      <c r="D758" s="55"/>
      <c r="E758" s="55"/>
      <c r="F758" s="61">
        <f t="shared" si="100"/>
        <v>4278.99</v>
      </c>
      <c r="G758" s="8" t="s">
        <v>1339</v>
      </c>
      <c r="H758" s="24">
        <v>658</v>
      </c>
      <c r="I758" s="663">
        <f t="shared" si="101"/>
        <v>3.6886509515934633E-2</v>
      </c>
      <c r="J758" s="39">
        <f t="shared" si="102"/>
        <v>83.700285337892751</v>
      </c>
      <c r="K758" s="37">
        <f t="shared" si="103"/>
        <v>30.776594918743168</v>
      </c>
      <c r="L758" s="39">
        <v>32.153156427695393</v>
      </c>
      <c r="M758" s="39">
        <f t="shared" si="104"/>
        <v>25.116024329399892</v>
      </c>
      <c r="N758" s="39"/>
      <c r="O758" s="94">
        <f t="shared" si="93"/>
        <v>4.0137055943980052E-2</v>
      </c>
      <c r="P758" s="8">
        <v>2</v>
      </c>
      <c r="Q758" s="8" t="s">
        <v>654</v>
      </c>
    </row>
    <row r="759" spans="1:17" s="6" customFormat="1" ht="15.75">
      <c r="A759" s="8">
        <v>11</v>
      </c>
      <c r="B759" s="8" t="s">
        <v>346</v>
      </c>
      <c r="C759" s="8">
        <v>8595.7800000000007</v>
      </c>
      <c r="D759" s="55"/>
      <c r="E759" s="55"/>
      <c r="F759" s="61">
        <f t="shared" si="100"/>
        <v>8595.7800000000007</v>
      </c>
      <c r="G759" s="8" t="s">
        <v>1339</v>
      </c>
      <c r="H759" s="24">
        <v>1414</v>
      </c>
      <c r="I759" s="663">
        <f t="shared" si="101"/>
        <v>7.9266754491689323E-2</v>
      </c>
      <c r="J759" s="39">
        <f t="shared" si="102"/>
        <v>179.86657061972701</v>
      </c>
      <c r="K759" s="37">
        <f t="shared" si="103"/>
        <v>66.136938016873628</v>
      </c>
      <c r="L759" s="39">
        <v>69.095080833983729</v>
      </c>
      <c r="M759" s="39">
        <f t="shared" si="104"/>
        <v>53.972733133391259</v>
      </c>
      <c r="N759" s="39"/>
      <c r="O759" s="94">
        <f t="shared" si="93"/>
        <v>4.2936338831842558E-2</v>
      </c>
      <c r="P759" s="8"/>
      <c r="Q759" s="8" t="s">
        <v>658</v>
      </c>
    </row>
    <row r="760" spans="1:17" s="6" customFormat="1" ht="15.75">
      <c r="A760" s="8">
        <v>12</v>
      </c>
      <c r="B760" s="8" t="s">
        <v>347</v>
      </c>
      <c r="C760" s="8">
        <v>4516.6000000000004</v>
      </c>
      <c r="D760" s="55"/>
      <c r="E760" s="55"/>
      <c r="F760" s="61">
        <f t="shared" si="100"/>
        <v>4516.6000000000004</v>
      </c>
      <c r="G760" s="8" t="s">
        <v>1339</v>
      </c>
      <c r="H760" s="24">
        <v>658</v>
      </c>
      <c r="I760" s="663">
        <f t="shared" si="101"/>
        <v>3.6886509515934633E-2</v>
      </c>
      <c r="J760" s="39">
        <f t="shared" si="102"/>
        <v>83.700285337892751</v>
      </c>
      <c r="K760" s="37">
        <f t="shared" si="103"/>
        <v>30.776594918743168</v>
      </c>
      <c r="L760" s="39">
        <v>32.153156427695393</v>
      </c>
      <c r="M760" s="39">
        <f t="shared" si="104"/>
        <v>25.116024329399892</v>
      </c>
      <c r="N760" s="39"/>
      <c r="O760" s="94">
        <f t="shared" si="93"/>
        <v>3.8025519420300934E-2</v>
      </c>
      <c r="P760" s="8"/>
      <c r="Q760" s="8" t="s">
        <v>656</v>
      </c>
    </row>
    <row r="761" spans="1:17" s="363" customFormat="1" ht="15.75">
      <c r="A761" s="361">
        <v>13</v>
      </c>
      <c r="B761" s="361" t="s">
        <v>348</v>
      </c>
      <c r="C761" s="361">
        <v>5874.29</v>
      </c>
      <c r="D761" s="362"/>
      <c r="E761" s="362"/>
      <c r="F761" s="61">
        <f t="shared" si="100"/>
        <v>5874.29</v>
      </c>
      <c r="G761" s="8" t="s">
        <v>1341</v>
      </c>
      <c r="H761" s="24">
        <v>1508</v>
      </c>
      <c r="I761" s="663">
        <f t="shared" si="101"/>
        <v>8.4536255851108563E-2</v>
      </c>
      <c r="J761" s="39">
        <f t="shared" si="102"/>
        <v>191.82375423942599</v>
      </c>
      <c r="K761" s="37">
        <f t="shared" si="103"/>
        <v>70.533594433836939</v>
      </c>
      <c r="L761" s="39">
        <v>73.688388895083065</v>
      </c>
      <c r="M761" s="39">
        <f>I761*376.38</f>
        <v>31.817755977240239</v>
      </c>
      <c r="N761" s="39"/>
      <c r="O761" s="94">
        <f t="shared" si="93"/>
        <v>6.2622630742708699E-2</v>
      </c>
      <c r="P761" s="361">
        <v>3</v>
      </c>
      <c r="Q761" s="361" t="s">
        <v>657</v>
      </c>
    </row>
    <row r="762" spans="1:17" s="363" customFormat="1" ht="15.75">
      <c r="A762" s="361">
        <v>14</v>
      </c>
      <c r="B762" s="361" t="s">
        <v>349</v>
      </c>
      <c r="C762" s="361">
        <v>5810.95</v>
      </c>
      <c r="D762" s="362"/>
      <c r="E762" s="362"/>
      <c r="F762" s="61">
        <f t="shared" si="100"/>
        <v>5810.95</v>
      </c>
      <c r="G762" s="8" t="s">
        <v>1341</v>
      </c>
      <c r="H762" s="24">
        <v>1508</v>
      </c>
      <c r="I762" s="663">
        <f t="shared" si="101"/>
        <v>8.4536255851108563E-2</v>
      </c>
      <c r="J762" s="39">
        <f t="shared" si="102"/>
        <v>191.82375423942599</v>
      </c>
      <c r="K762" s="37">
        <f t="shared" si="103"/>
        <v>70.533594433836939</v>
      </c>
      <c r="L762" s="39">
        <v>73.688388895083065</v>
      </c>
      <c r="M762" s="39">
        <f>I762*376.38</f>
        <v>31.817755977240239</v>
      </c>
      <c r="N762" s="39"/>
      <c r="O762" s="94">
        <f t="shared" si="93"/>
        <v>6.3305224368749732E-2</v>
      </c>
      <c r="P762" s="361"/>
      <c r="Q762" s="361" t="s">
        <v>651</v>
      </c>
    </row>
    <row r="763" spans="1:17" s="363" customFormat="1" ht="15.75">
      <c r="A763" s="361">
        <v>15</v>
      </c>
      <c r="B763" s="361" t="s">
        <v>350</v>
      </c>
      <c r="C763" s="361">
        <v>4315.22</v>
      </c>
      <c r="D763" s="362"/>
      <c r="E763" s="362">
        <v>220.4</v>
      </c>
      <c r="F763" s="61">
        <f t="shared" si="100"/>
        <v>4535.62</v>
      </c>
      <c r="G763" s="8" t="s">
        <v>1341</v>
      </c>
      <c r="H763" s="24">
        <v>650</v>
      </c>
      <c r="I763" s="663">
        <f t="shared" si="101"/>
        <v>3.6438041315133E-2</v>
      </c>
      <c r="J763" s="39">
        <f t="shared" si="102"/>
        <v>82.682652689407746</v>
      </c>
      <c r="K763" s="37">
        <f t="shared" si="103"/>
        <v>30.402411393895232</v>
      </c>
      <c r="L763" s="39">
        <v>31.762236592708216</v>
      </c>
      <c r="M763" s="39">
        <f>I763*376.38</f>
        <v>13.714549990189759</v>
      </c>
      <c r="N763" s="39"/>
      <c r="O763" s="94">
        <f t="shared" si="93"/>
        <v>3.4959244968979092E-2</v>
      </c>
      <c r="P763" s="361"/>
      <c r="Q763" s="361" t="s">
        <v>655</v>
      </c>
    </row>
    <row r="764" spans="1:17" s="363" customFormat="1" ht="15.75">
      <c r="A764" s="361">
        <v>16</v>
      </c>
      <c r="B764" s="361" t="s">
        <v>351</v>
      </c>
      <c r="C764" s="361">
        <v>6019.4</v>
      </c>
      <c r="D764" s="362"/>
      <c r="E764" s="362">
        <v>951.1</v>
      </c>
      <c r="F764" s="61">
        <f t="shared" si="100"/>
        <v>6970.5</v>
      </c>
      <c r="G764" s="8" t="s">
        <v>1341</v>
      </c>
      <c r="H764" s="24">
        <v>1790</v>
      </c>
      <c r="I764" s="663">
        <f t="shared" si="101"/>
        <v>0.10034475992936626</v>
      </c>
      <c r="J764" s="39">
        <f t="shared" si="102"/>
        <v>227.69530509852285</v>
      </c>
      <c r="K764" s="37">
        <f t="shared" si="103"/>
        <v>83.723563684726855</v>
      </c>
      <c r="L764" s="39">
        <v>87.468313078381101</v>
      </c>
      <c r="M764" s="39">
        <f>I764*376.38</f>
        <v>37.767760742214868</v>
      </c>
      <c r="N764" s="39"/>
      <c r="O764" s="94">
        <f t="shared" si="93"/>
        <v>6.2643274170266938E-2</v>
      </c>
      <c r="P764" s="361"/>
      <c r="Q764" s="361" t="s">
        <v>653</v>
      </c>
    </row>
    <row r="765" spans="1:17" s="6" customFormat="1" ht="15.75">
      <c r="A765" s="8">
        <v>17</v>
      </c>
      <c r="B765" s="8" t="s">
        <v>352</v>
      </c>
      <c r="C765" s="8">
        <v>7260.15</v>
      </c>
      <c r="D765" s="55"/>
      <c r="E765" s="55">
        <v>68.5</v>
      </c>
      <c r="F765" s="61">
        <f t="shared" si="100"/>
        <v>7328.65</v>
      </c>
      <c r="G765" s="8" t="s">
        <v>1339</v>
      </c>
      <c r="H765" s="24">
        <v>987</v>
      </c>
      <c r="I765" s="663">
        <f t="shared" si="101"/>
        <v>5.5329764273901953E-2</v>
      </c>
      <c r="J765" s="39">
        <f t="shared" si="102"/>
        <v>125.55042800683914</v>
      </c>
      <c r="K765" s="37">
        <f t="shared" si="103"/>
        <v>46.164892378114757</v>
      </c>
      <c r="L765" s="39">
        <v>48.229734641543097</v>
      </c>
      <c r="M765" s="39">
        <f>I765*680.9</f>
        <v>37.674036494099838</v>
      </c>
      <c r="N765" s="39"/>
      <c r="O765" s="94">
        <f t="shared" si="93"/>
        <v>3.5152325669884202E-2</v>
      </c>
      <c r="P765" s="8">
        <v>4</v>
      </c>
      <c r="Q765" s="8" t="s">
        <v>659</v>
      </c>
    </row>
    <row r="766" spans="1:17" s="6" customFormat="1" ht="15.75">
      <c r="A766" s="8">
        <v>18</v>
      </c>
      <c r="B766" s="8" t="s">
        <v>353</v>
      </c>
      <c r="C766" s="8">
        <v>6364.4</v>
      </c>
      <c r="D766" s="55"/>
      <c r="E766" s="55">
        <v>171.2</v>
      </c>
      <c r="F766" s="61">
        <f t="shared" si="100"/>
        <v>6535.5999999999995</v>
      </c>
      <c r="G766" s="8" t="s">
        <v>1339</v>
      </c>
      <c r="H766" s="24">
        <v>987</v>
      </c>
      <c r="I766" s="663">
        <f t="shared" si="101"/>
        <v>5.5329764273901953E-2</v>
      </c>
      <c r="J766" s="39">
        <f t="shared" si="102"/>
        <v>125.55042800683914</v>
      </c>
      <c r="K766" s="37">
        <f t="shared" si="103"/>
        <v>46.164892378114757</v>
      </c>
      <c r="L766" s="39">
        <v>48.229734641543097</v>
      </c>
      <c r="M766" s="39">
        <f>I766*680.9</f>
        <v>37.674036494099838</v>
      </c>
      <c r="N766" s="39"/>
      <c r="O766" s="94">
        <f t="shared" si="93"/>
        <v>3.9417818030570546E-2</v>
      </c>
      <c r="P766" s="8"/>
      <c r="Q766" s="8" t="s">
        <v>651</v>
      </c>
    </row>
    <row r="767" spans="1:17" s="363" customFormat="1" ht="15.75">
      <c r="A767" s="361">
        <v>19</v>
      </c>
      <c r="B767" s="361" t="s">
        <v>354</v>
      </c>
      <c r="C767" s="361">
        <v>11062.33</v>
      </c>
      <c r="D767" s="362"/>
      <c r="E767" s="362"/>
      <c r="F767" s="61">
        <f t="shared" si="100"/>
        <v>11062.33</v>
      </c>
      <c r="G767" s="8" t="s">
        <v>1341</v>
      </c>
      <c r="H767" s="24">
        <v>1899</v>
      </c>
      <c r="I767" s="663">
        <f t="shared" si="101"/>
        <v>0.10645513916528856</v>
      </c>
      <c r="J767" s="39">
        <f t="shared" si="102"/>
        <v>241.56054993413125</v>
      </c>
      <c r="K767" s="37">
        <f t="shared" si="103"/>
        <v>88.821814210780062</v>
      </c>
      <c r="L767" s="39">
        <v>92.794595830081391</v>
      </c>
      <c r="M767" s="39">
        <f>I767*376.38</f>
        <v>40.067585279031313</v>
      </c>
      <c r="N767" s="39"/>
      <c r="O767" s="94">
        <f t="shared" si="93"/>
        <v>4.1875856646296394E-2</v>
      </c>
      <c r="P767" s="361"/>
      <c r="Q767" s="361" t="s">
        <v>655</v>
      </c>
    </row>
    <row r="768" spans="1:17" s="6" customFormat="1" ht="15.75">
      <c r="A768" s="8">
        <v>20</v>
      </c>
      <c r="B768" s="8" t="s">
        <v>355</v>
      </c>
      <c r="C768" s="8">
        <v>8492.94</v>
      </c>
      <c r="D768" s="55"/>
      <c r="E768" s="55"/>
      <c r="F768" s="61">
        <f t="shared" si="100"/>
        <v>8492.94</v>
      </c>
      <c r="G768" s="8" t="s">
        <v>1339</v>
      </c>
      <c r="H768" s="24">
        <v>1474</v>
      </c>
      <c r="I768" s="663">
        <f t="shared" si="101"/>
        <v>8.2630265997701596E-2</v>
      </c>
      <c r="J768" s="39">
        <f t="shared" si="102"/>
        <v>187.49881548336464</v>
      </c>
      <c r="K768" s="37">
        <f t="shared" si="103"/>
        <v>68.943314453233185</v>
      </c>
      <c r="L768" s="39">
        <v>72.026979596387562</v>
      </c>
      <c r="M768" s="39">
        <f>I768*680.9</f>
        <v>56.262948117835016</v>
      </c>
      <c r="N768" s="39"/>
      <c r="O768" s="94">
        <f t="shared" si="93"/>
        <v>4.5300220848236344E-2</v>
      </c>
      <c r="P768" s="8"/>
      <c r="Q768" s="8" t="s">
        <v>653</v>
      </c>
    </row>
    <row r="769" spans="1:15" s="363" customFormat="1" ht="15.75">
      <c r="A769" s="361">
        <v>21</v>
      </c>
      <c r="B769" s="361" t="s">
        <v>365</v>
      </c>
      <c r="C769" s="361">
        <v>3876.37</v>
      </c>
      <c r="D769" s="362"/>
      <c r="E769" s="362"/>
      <c r="F769" s="61">
        <f t="shared" si="100"/>
        <v>3876.37</v>
      </c>
      <c r="G769" s="8" t="s">
        <v>1341</v>
      </c>
      <c r="H769" s="24">
        <v>1028</v>
      </c>
      <c r="I769" s="663">
        <f t="shared" si="101"/>
        <v>5.7628163803010342E-2</v>
      </c>
      <c r="J769" s="39">
        <f t="shared" si="102"/>
        <v>130.76579533032486</v>
      </c>
      <c r="K769" s="37">
        <f t="shared" si="103"/>
        <v>48.082582942960457</v>
      </c>
      <c r="L769" s="39">
        <v>50.233198795852381</v>
      </c>
      <c r="M769" s="39">
        <f>I769*376.38</f>
        <v>21.690088292177034</v>
      </c>
      <c r="N769" s="39"/>
      <c r="O769" s="94">
        <f t="shared" si="93"/>
        <v>6.4692396587868212E-2</v>
      </c>
    </row>
    <row r="770" spans="1:15" s="6" customFormat="1" ht="15.75">
      <c r="A770" s="8">
        <v>22</v>
      </c>
      <c r="B770" s="8" t="s">
        <v>366</v>
      </c>
      <c r="C770" s="8">
        <v>5649.66</v>
      </c>
      <c r="D770" s="55"/>
      <c r="E770" s="55">
        <v>46.1</v>
      </c>
      <c r="F770" s="61">
        <f t="shared" si="100"/>
        <v>5695.76</v>
      </c>
      <c r="G770" s="8" t="s">
        <v>1339</v>
      </c>
      <c r="H770" s="24">
        <v>1508</v>
      </c>
      <c r="I770" s="663">
        <f t="shared" si="101"/>
        <v>8.4536255851108563E-2</v>
      </c>
      <c r="J770" s="39">
        <f t="shared" si="102"/>
        <v>191.82375423942599</v>
      </c>
      <c r="K770" s="37">
        <f t="shared" si="103"/>
        <v>70.533594433836939</v>
      </c>
      <c r="L770" s="39">
        <v>73.688388895083065</v>
      </c>
      <c r="M770" s="39">
        <f>I770*680.9</f>
        <v>57.56073660901982</v>
      </c>
      <c r="N770" s="39"/>
      <c r="O770" s="94">
        <f t="shared" si="93"/>
        <v>6.9105171948496039E-2</v>
      </c>
    </row>
    <row r="771" spans="1:15" s="363" customFormat="1" ht="15.75">
      <c r="A771" s="361">
        <v>23</v>
      </c>
      <c r="B771" s="361" t="s">
        <v>367</v>
      </c>
      <c r="C771" s="361">
        <v>5815.2</v>
      </c>
      <c r="D771" s="362"/>
      <c r="E771" s="362"/>
      <c r="F771" s="61">
        <f t="shared" si="100"/>
        <v>5815.2</v>
      </c>
      <c r="G771" s="8" t="s">
        <v>1341</v>
      </c>
      <c r="H771" s="24">
        <v>1508</v>
      </c>
      <c r="I771" s="663">
        <f t="shared" si="101"/>
        <v>8.4536255851108563E-2</v>
      </c>
      <c r="J771" s="39">
        <f t="shared" si="102"/>
        <v>191.82375423942599</v>
      </c>
      <c r="K771" s="37">
        <f t="shared" si="103"/>
        <v>70.533594433836939</v>
      </c>
      <c r="L771" s="39">
        <v>73.688388895083065</v>
      </c>
      <c r="M771" s="39">
        <f t="shared" ref="M771:M777" si="105">I771*376.38</f>
        <v>31.817755977240239</v>
      </c>
      <c r="N771" s="39"/>
      <c r="O771" s="94">
        <f t="shared" si="93"/>
        <v>6.3258958169209359E-2</v>
      </c>
    </row>
    <row r="772" spans="1:15" s="363" customFormat="1" ht="15.75">
      <c r="A772" s="361">
        <v>24</v>
      </c>
      <c r="B772" s="361" t="s">
        <v>368</v>
      </c>
      <c r="C772" s="361">
        <v>5690.31</v>
      </c>
      <c r="D772" s="362"/>
      <c r="E772" s="362"/>
      <c r="F772" s="61">
        <f t="shared" si="100"/>
        <v>5690.31</v>
      </c>
      <c r="G772" s="8" t="s">
        <v>1341</v>
      </c>
      <c r="H772" s="24">
        <v>1508</v>
      </c>
      <c r="I772" s="663">
        <f t="shared" si="101"/>
        <v>8.4536255851108563E-2</v>
      </c>
      <c r="J772" s="39">
        <f t="shared" si="102"/>
        <v>191.82375423942599</v>
      </c>
      <c r="K772" s="37">
        <f t="shared" si="103"/>
        <v>70.533594433836939</v>
      </c>
      <c r="L772" s="39">
        <v>73.688388895083065</v>
      </c>
      <c r="M772" s="39">
        <f t="shared" si="105"/>
        <v>31.817755977240239</v>
      </c>
      <c r="N772" s="39"/>
      <c r="O772" s="94">
        <f t="shared" si="93"/>
        <v>6.4647355512368609E-2</v>
      </c>
    </row>
    <row r="773" spans="1:15" s="363" customFormat="1" ht="15.75">
      <c r="A773" s="361">
        <v>25</v>
      </c>
      <c r="B773" s="361" t="s">
        <v>369</v>
      </c>
      <c r="C773" s="361">
        <v>3955.02</v>
      </c>
      <c r="D773" s="362"/>
      <c r="E773" s="362"/>
      <c r="F773" s="61">
        <f t="shared" si="100"/>
        <v>3955.02</v>
      </c>
      <c r="G773" s="8" t="s">
        <v>1341</v>
      </c>
      <c r="H773" s="24">
        <v>1028</v>
      </c>
      <c r="I773" s="663">
        <f t="shared" si="101"/>
        <v>5.7628163803010342E-2</v>
      </c>
      <c r="J773" s="39">
        <f t="shared" si="102"/>
        <v>130.76579533032486</v>
      </c>
      <c r="K773" s="37">
        <f t="shared" si="103"/>
        <v>48.082582942960457</v>
      </c>
      <c r="L773" s="39">
        <v>50.233198795852381</v>
      </c>
      <c r="M773" s="39">
        <f t="shared" si="105"/>
        <v>21.690088292177034</v>
      </c>
      <c r="N773" s="39"/>
      <c r="O773" s="94">
        <f t="shared" si="93"/>
        <v>6.3405915864221854E-2</v>
      </c>
    </row>
    <row r="774" spans="1:15" s="363" customFormat="1" ht="15.75">
      <c r="A774" s="361">
        <v>26</v>
      </c>
      <c r="B774" s="361" t="s">
        <v>370</v>
      </c>
      <c r="C774" s="361">
        <v>3905.27</v>
      </c>
      <c r="D774" s="362"/>
      <c r="E774" s="362"/>
      <c r="F774" s="61">
        <f t="shared" si="100"/>
        <v>3905.27</v>
      </c>
      <c r="G774" s="8" t="s">
        <v>1341</v>
      </c>
      <c r="H774" s="24">
        <v>1028</v>
      </c>
      <c r="I774" s="663">
        <f t="shared" si="101"/>
        <v>5.7628163803010342E-2</v>
      </c>
      <c r="J774" s="39">
        <f t="shared" si="102"/>
        <v>130.76579533032486</v>
      </c>
      <c r="K774" s="37">
        <f t="shared" si="103"/>
        <v>48.082582942960457</v>
      </c>
      <c r="L774" s="39">
        <v>50.233198795852381</v>
      </c>
      <c r="M774" s="39">
        <f t="shared" si="105"/>
        <v>21.690088292177034</v>
      </c>
      <c r="N774" s="39"/>
      <c r="O774" s="94">
        <f t="shared" si="93"/>
        <v>6.4213656254577714E-2</v>
      </c>
    </row>
    <row r="775" spans="1:15" s="363" customFormat="1" ht="15.75">
      <c r="A775" s="361">
        <v>27</v>
      </c>
      <c r="B775" s="361" t="s">
        <v>371</v>
      </c>
      <c r="C775" s="361">
        <v>4170.17</v>
      </c>
      <c r="D775" s="362"/>
      <c r="E775" s="362">
        <v>689.1</v>
      </c>
      <c r="F775" s="61">
        <f t="shared" si="100"/>
        <v>4859.2700000000004</v>
      </c>
      <c r="G775" s="8" t="s">
        <v>1341</v>
      </c>
      <c r="H775" s="24">
        <v>1514</v>
      </c>
      <c r="I775" s="663">
        <f t="shared" si="101"/>
        <v>8.4872607001709788E-2</v>
      </c>
      <c r="J775" s="39">
        <f t="shared" si="102"/>
        <v>192.58697872578975</v>
      </c>
      <c r="K775" s="37">
        <f t="shared" si="103"/>
        <v>70.814232077472894</v>
      </c>
      <c r="L775" s="39">
        <v>73.981578771323456</v>
      </c>
      <c r="M775" s="39">
        <f t="shared" si="105"/>
        <v>31.944351823303531</v>
      </c>
      <c r="N775" s="39"/>
      <c r="O775" s="94">
        <f t="shared" ref="O775:O838" si="106">(M775+L775+K775+J775)/F775</f>
        <v>7.6004655307873314E-2</v>
      </c>
    </row>
    <row r="776" spans="1:15" s="363" customFormat="1" ht="15.75">
      <c r="A776" s="361">
        <v>28</v>
      </c>
      <c r="B776" s="361" t="s">
        <v>372</v>
      </c>
      <c r="C776" s="361">
        <v>4268.12</v>
      </c>
      <c r="D776" s="362">
        <v>216.9</v>
      </c>
      <c r="E776" s="362">
        <v>468.4</v>
      </c>
      <c r="F776" s="61">
        <f t="shared" si="100"/>
        <v>4953.4199999999992</v>
      </c>
      <c r="G776" s="8" t="s">
        <v>1341</v>
      </c>
      <c r="H776" s="24">
        <v>1514</v>
      </c>
      <c r="I776" s="663">
        <f t="shared" si="101"/>
        <v>8.4872607001709788E-2</v>
      </c>
      <c r="J776" s="39">
        <f t="shared" si="102"/>
        <v>192.58697872578975</v>
      </c>
      <c r="K776" s="37">
        <f t="shared" si="103"/>
        <v>70.814232077472894</v>
      </c>
      <c r="L776" s="39">
        <v>73.981578771323456</v>
      </c>
      <c r="M776" s="39">
        <f t="shared" si="105"/>
        <v>31.944351823303531</v>
      </c>
      <c r="N776" s="39"/>
      <c r="O776" s="94">
        <f t="shared" si="106"/>
        <v>7.4560029514535345E-2</v>
      </c>
    </row>
    <row r="777" spans="1:15" s="363" customFormat="1" ht="15.75">
      <c r="A777" s="361">
        <v>29</v>
      </c>
      <c r="B777" s="361" t="s">
        <v>373</v>
      </c>
      <c r="C777" s="361">
        <v>10932.24</v>
      </c>
      <c r="D777" s="362"/>
      <c r="E777" s="362"/>
      <c r="F777" s="61">
        <f t="shared" si="100"/>
        <v>10932.24</v>
      </c>
      <c r="G777" s="8" t="s">
        <v>1341</v>
      </c>
      <c r="H777" s="24">
        <v>1899</v>
      </c>
      <c r="I777" s="663">
        <f t="shared" si="101"/>
        <v>0.10645513916528856</v>
      </c>
      <c r="J777" s="39">
        <f t="shared" si="102"/>
        <v>241.56054993413125</v>
      </c>
      <c r="K777" s="37">
        <f t="shared" si="103"/>
        <v>88.821814210780062</v>
      </c>
      <c r="L777" s="39">
        <v>92.794595830081391</v>
      </c>
      <c r="M777" s="39">
        <f t="shared" si="105"/>
        <v>40.067585279031313</v>
      </c>
      <c r="N777" s="39"/>
      <c r="O777" s="94">
        <f t="shared" si="106"/>
        <v>4.2374165336108979E-2</v>
      </c>
    </row>
    <row r="778" spans="1:15" s="6" customFormat="1" ht="15.75">
      <c r="A778" s="8">
        <v>30</v>
      </c>
      <c r="B778" s="8" t="s">
        <v>374</v>
      </c>
      <c r="C778" s="8">
        <v>4713.08</v>
      </c>
      <c r="D778" s="55"/>
      <c r="E778" s="55"/>
      <c r="F778" s="61">
        <f t="shared" si="100"/>
        <v>4713.08</v>
      </c>
      <c r="G778" s="8" t="s">
        <v>1339</v>
      </c>
      <c r="H778" s="24">
        <v>1514</v>
      </c>
      <c r="I778" s="663">
        <f t="shared" si="101"/>
        <v>8.4872607001709788E-2</v>
      </c>
      <c r="J778" s="39">
        <f t="shared" si="102"/>
        <v>192.58697872578975</v>
      </c>
      <c r="K778" s="37">
        <f t="shared" si="103"/>
        <v>70.814232077472894</v>
      </c>
      <c r="L778" s="39">
        <v>73.981578771323456</v>
      </c>
      <c r="M778" s="39">
        <f t="shared" ref="M778:M783" si="107">I778*680.9</f>
        <v>57.789758107464195</v>
      </c>
      <c r="N778" s="39"/>
      <c r="O778" s="94">
        <f t="shared" si="106"/>
        <v>8.3845924041614048E-2</v>
      </c>
    </row>
    <row r="779" spans="1:15" s="6" customFormat="1" ht="15.75">
      <c r="A779" s="8">
        <v>31</v>
      </c>
      <c r="B779" s="8" t="s">
        <v>375</v>
      </c>
      <c r="C779" s="8">
        <v>4688.58</v>
      </c>
      <c r="D779" s="55"/>
      <c r="E779" s="55"/>
      <c r="F779" s="61">
        <f t="shared" si="100"/>
        <v>4688.58</v>
      </c>
      <c r="G779" s="8" t="s">
        <v>1339</v>
      </c>
      <c r="H779" s="24">
        <v>658</v>
      </c>
      <c r="I779" s="663">
        <f t="shared" si="101"/>
        <v>3.6886509515934633E-2</v>
      </c>
      <c r="J779" s="39">
        <f t="shared" si="102"/>
        <v>83.700285337892751</v>
      </c>
      <c r="K779" s="37">
        <f t="shared" si="103"/>
        <v>30.776594918743168</v>
      </c>
      <c r="L779" s="39">
        <v>32.153156427695393</v>
      </c>
      <c r="M779" s="39">
        <f t="shared" si="107"/>
        <v>25.116024329399892</v>
      </c>
      <c r="N779" s="39"/>
      <c r="O779" s="94">
        <f t="shared" si="106"/>
        <v>3.663071996504938E-2</v>
      </c>
    </row>
    <row r="780" spans="1:15" s="6" customFormat="1" ht="15.75">
      <c r="A780" s="8">
        <v>32</v>
      </c>
      <c r="B780" s="8" t="s">
        <v>376</v>
      </c>
      <c r="C780" s="8">
        <v>2330.62</v>
      </c>
      <c r="D780" s="55"/>
      <c r="E780" s="55"/>
      <c r="F780" s="61">
        <f t="shared" si="100"/>
        <v>2330.62</v>
      </c>
      <c r="G780" s="8" t="s">
        <v>1339</v>
      </c>
      <c r="H780" s="24">
        <v>329</v>
      </c>
      <c r="I780" s="663">
        <f t="shared" si="101"/>
        <v>1.8443254757967317E-2</v>
      </c>
      <c r="J780" s="39">
        <f t="shared" si="102"/>
        <v>41.850142668946376</v>
      </c>
      <c r="K780" s="37">
        <f t="shared" si="103"/>
        <v>15.388297459371584</v>
      </c>
      <c r="L780" s="39">
        <v>16.076578213847696</v>
      </c>
      <c r="M780" s="39">
        <f t="shared" si="107"/>
        <v>12.558012164699946</v>
      </c>
      <c r="N780" s="39"/>
      <c r="O780" s="94">
        <f t="shared" si="106"/>
        <v>3.6845573498410555E-2</v>
      </c>
    </row>
    <row r="781" spans="1:15" s="6" customFormat="1" ht="15.75">
      <c r="A781" s="8">
        <v>33</v>
      </c>
      <c r="B781" s="8" t="s">
        <v>377</v>
      </c>
      <c r="C781" s="8">
        <v>2305.7800000000002</v>
      </c>
      <c r="D781" s="55"/>
      <c r="E781" s="55"/>
      <c r="F781" s="61">
        <f t="shared" si="100"/>
        <v>2305.7800000000002</v>
      </c>
      <c r="G781" s="8" t="s">
        <v>1339</v>
      </c>
      <c r="H781" s="24">
        <v>329</v>
      </c>
      <c r="I781" s="663">
        <f t="shared" si="101"/>
        <v>1.8443254757967317E-2</v>
      </c>
      <c r="J781" s="39">
        <f t="shared" si="102"/>
        <v>41.850142668946376</v>
      </c>
      <c r="K781" s="37">
        <f t="shared" si="103"/>
        <v>15.388297459371584</v>
      </c>
      <c r="L781" s="39">
        <v>16.076578213847696</v>
      </c>
      <c r="M781" s="39">
        <f t="shared" si="107"/>
        <v>12.558012164699946</v>
      </c>
      <c r="N781" s="39"/>
      <c r="O781" s="94">
        <f t="shared" si="106"/>
        <v>3.7242508178085332E-2</v>
      </c>
    </row>
    <row r="782" spans="1:15" s="6" customFormat="1" ht="15.75">
      <c r="A782" s="8">
        <v>34</v>
      </c>
      <c r="B782" s="8" t="s">
        <v>378</v>
      </c>
      <c r="C782" s="8">
        <v>2216.46</v>
      </c>
      <c r="D782" s="55"/>
      <c r="E782" s="55"/>
      <c r="F782" s="61">
        <f t="shared" si="100"/>
        <v>2216.46</v>
      </c>
      <c r="G782" s="8" t="s">
        <v>1339</v>
      </c>
      <c r="H782" s="24">
        <v>329</v>
      </c>
      <c r="I782" s="663">
        <f t="shared" si="101"/>
        <v>1.8443254757967317E-2</v>
      </c>
      <c r="J782" s="39">
        <f t="shared" si="102"/>
        <v>41.850142668946376</v>
      </c>
      <c r="K782" s="37">
        <f t="shared" si="103"/>
        <v>15.388297459371584</v>
      </c>
      <c r="L782" s="39">
        <v>16.076578213847696</v>
      </c>
      <c r="M782" s="39">
        <f t="shared" si="107"/>
        <v>12.558012164699946</v>
      </c>
      <c r="N782" s="39"/>
      <c r="O782" s="94">
        <f t="shared" si="106"/>
        <v>3.8743325170255992E-2</v>
      </c>
    </row>
    <row r="783" spans="1:15" s="6" customFormat="1" ht="15.75">
      <c r="A783" s="8">
        <v>35</v>
      </c>
      <c r="B783" s="8" t="s">
        <v>379</v>
      </c>
      <c r="C783" s="8">
        <v>5733.87</v>
      </c>
      <c r="D783" s="55"/>
      <c r="E783" s="55">
        <v>119.9</v>
      </c>
      <c r="F783" s="61">
        <f t="shared" si="100"/>
        <v>5853.7699999999995</v>
      </c>
      <c r="G783" s="8" t="s">
        <v>1339</v>
      </c>
      <c r="H783" s="24">
        <v>1790</v>
      </c>
      <c r="I783" s="663">
        <f t="shared" si="101"/>
        <v>0.10034475992936626</v>
      </c>
      <c r="J783" s="39">
        <f t="shared" si="102"/>
        <v>227.69530509852285</v>
      </c>
      <c r="K783" s="37">
        <f t="shared" si="103"/>
        <v>83.723563684726855</v>
      </c>
      <c r="L783" s="39">
        <v>87.468313078381101</v>
      </c>
      <c r="M783" s="39">
        <f t="shared" si="107"/>
        <v>68.324747035905474</v>
      </c>
      <c r="N783" s="39"/>
      <c r="O783" s="94">
        <f t="shared" si="106"/>
        <v>7.9813851397908753E-2</v>
      </c>
    </row>
    <row r="784" spans="1:15" s="363" customFormat="1" ht="15.75">
      <c r="A784" s="361">
        <v>36</v>
      </c>
      <c r="B784" s="361" t="s">
        <v>380</v>
      </c>
      <c r="C784" s="361">
        <v>4616.67</v>
      </c>
      <c r="D784" s="362"/>
      <c r="E784" s="362">
        <v>516.1</v>
      </c>
      <c r="F784" s="61">
        <f t="shared" si="100"/>
        <v>5132.7700000000004</v>
      </c>
      <c r="G784" s="8" t="s">
        <v>1341</v>
      </c>
      <c r="H784" s="24">
        <v>1790</v>
      </c>
      <c r="I784" s="663">
        <f t="shared" si="101"/>
        <v>0.10034475992936626</v>
      </c>
      <c r="J784" s="39">
        <f t="shared" si="102"/>
        <v>227.69530509852285</v>
      </c>
      <c r="K784" s="37">
        <f t="shared" si="103"/>
        <v>83.723563684726855</v>
      </c>
      <c r="L784" s="39">
        <v>87.468313078381101</v>
      </c>
      <c r="M784" s="39">
        <f>I784*376.38</f>
        <v>37.767760742214868</v>
      </c>
      <c r="N784" s="39"/>
      <c r="O784" s="94">
        <f t="shared" si="106"/>
        <v>8.5071986978540959E-2</v>
      </c>
    </row>
    <row r="785" spans="1:15" s="363" customFormat="1" ht="15.75">
      <c r="A785" s="361">
        <v>37</v>
      </c>
      <c r="B785" s="361" t="s">
        <v>381</v>
      </c>
      <c r="C785" s="361">
        <v>4459.21</v>
      </c>
      <c r="D785" s="362"/>
      <c r="E785" s="362">
        <v>199.1</v>
      </c>
      <c r="F785" s="61">
        <f t="shared" si="100"/>
        <v>4658.3100000000004</v>
      </c>
      <c r="G785" s="8" t="s">
        <v>1341</v>
      </c>
      <c r="H785" s="24">
        <v>650</v>
      </c>
      <c r="I785" s="663">
        <f t="shared" si="101"/>
        <v>3.6438041315133E-2</v>
      </c>
      <c r="J785" s="39">
        <f t="shared" si="102"/>
        <v>82.682652689407746</v>
      </c>
      <c r="K785" s="37">
        <f t="shared" si="103"/>
        <v>30.402411393895232</v>
      </c>
      <c r="L785" s="39">
        <v>31.762236592708216</v>
      </c>
      <c r="M785" s="39">
        <f>I785*376.38</f>
        <v>13.714549990189759</v>
      </c>
      <c r="N785" s="39"/>
      <c r="O785" s="94">
        <f t="shared" si="106"/>
        <v>3.4038492643512545E-2</v>
      </c>
    </row>
    <row r="786" spans="1:15" s="6" customFormat="1" ht="15.75">
      <c r="A786" s="8">
        <v>38</v>
      </c>
      <c r="B786" s="8" t="s">
        <v>382</v>
      </c>
      <c r="C786" s="8">
        <v>4519.6099999999997</v>
      </c>
      <c r="D786" s="55"/>
      <c r="E786" s="55"/>
      <c r="F786" s="61">
        <f t="shared" si="100"/>
        <v>4519.6099999999997</v>
      </c>
      <c r="G786" s="8" t="s">
        <v>1339</v>
      </c>
      <c r="H786" s="24">
        <v>658</v>
      </c>
      <c r="I786" s="663">
        <f t="shared" si="101"/>
        <v>3.6886509515934633E-2</v>
      </c>
      <c r="J786" s="39">
        <f t="shared" si="102"/>
        <v>83.700285337892751</v>
      </c>
      <c r="K786" s="37">
        <f t="shared" si="103"/>
        <v>30.776594918743168</v>
      </c>
      <c r="L786" s="39">
        <v>32.153156427695393</v>
      </c>
      <c r="M786" s="39">
        <f t="shared" ref="M786:M792" si="108">I786*680.9</f>
        <v>25.116024329399892</v>
      </c>
      <c r="N786" s="39"/>
      <c r="O786" s="94">
        <f t="shared" si="106"/>
        <v>3.8000194931361607E-2</v>
      </c>
    </row>
    <row r="787" spans="1:15" s="6" customFormat="1" ht="15.75">
      <c r="A787" s="8">
        <v>39</v>
      </c>
      <c r="B787" s="8" t="s">
        <v>383</v>
      </c>
      <c r="C787" s="8">
        <v>7164.75</v>
      </c>
      <c r="D787" s="55"/>
      <c r="E787" s="55"/>
      <c r="F787" s="61">
        <f t="shared" si="100"/>
        <v>7164.75</v>
      </c>
      <c r="G787" s="8" t="s">
        <v>1339</v>
      </c>
      <c r="H787" s="24">
        <v>954</v>
      </c>
      <c r="I787" s="663">
        <f t="shared" si="101"/>
        <v>5.3479832945595204E-2</v>
      </c>
      <c r="J787" s="39">
        <f t="shared" si="102"/>
        <v>121.35269333183845</v>
      </c>
      <c r="K787" s="37">
        <f t="shared" si="103"/>
        <v>44.621385338117001</v>
      </c>
      <c r="L787" s="39">
        <v>46.617190322220985</v>
      </c>
      <c r="M787" s="39">
        <f t="shared" si="108"/>
        <v>36.414418252655771</v>
      </c>
      <c r="N787" s="39"/>
      <c r="O787" s="94">
        <f t="shared" si="106"/>
        <v>3.4754274363352836E-2</v>
      </c>
    </row>
    <row r="788" spans="1:15" s="6" customFormat="1" ht="15.75">
      <c r="A788" s="8">
        <v>40</v>
      </c>
      <c r="B788" s="8" t="s">
        <v>384</v>
      </c>
      <c r="C788" s="8">
        <v>4422.5</v>
      </c>
      <c r="D788" s="55"/>
      <c r="E788" s="55"/>
      <c r="F788" s="61">
        <f t="shared" si="100"/>
        <v>4422.5</v>
      </c>
      <c r="G788" s="8" t="s">
        <v>1339</v>
      </c>
      <c r="H788" s="24">
        <v>658</v>
      </c>
      <c r="I788" s="663">
        <f t="shared" si="101"/>
        <v>3.6886509515934633E-2</v>
      </c>
      <c r="J788" s="39">
        <f t="shared" si="102"/>
        <v>83.700285337892751</v>
      </c>
      <c r="K788" s="37">
        <f t="shared" si="103"/>
        <v>30.776594918743168</v>
      </c>
      <c r="L788" s="39">
        <v>32.153156427695393</v>
      </c>
      <c r="M788" s="39">
        <f t="shared" si="108"/>
        <v>25.116024329399892</v>
      </c>
      <c r="N788" s="39"/>
      <c r="O788" s="94">
        <f t="shared" si="106"/>
        <v>3.8834609613053975E-2</v>
      </c>
    </row>
    <row r="789" spans="1:15" s="6" customFormat="1" ht="15.75">
      <c r="A789" s="8">
        <v>41</v>
      </c>
      <c r="B789" s="8" t="s">
        <v>385</v>
      </c>
      <c r="C789" s="8">
        <v>9048.7900000000009</v>
      </c>
      <c r="D789" s="55"/>
      <c r="E789" s="55"/>
      <c r="F789" s="61">
        <f t="shared" si="100"/>
        <v>9048.7900000000009</v>
      </c>
      <c r="G789" s="8" t="s">
        <v>1339</v>
      </c>
      <c r="H789" s="24">
        <v>1595</v>
      </c>
      <c r="I789" s="663">
        <f t="shared" si="101"/>
        <v>8.9413347534826354E-2</v>
      </c>
      <c r="J789" s="39">
        <f t="shared" si="102"/>
        <v>202.89050929170054</v>
      </c>
      <c r="K789" s="37">
        <f t="shared" si="103"/>
        <v>74.602840266558289</v>
      </c>
      <c r="L789" s="39">
        <v>77.939642100568634</v>
      </c>
      <c r="M789" s="39">
        <f t="shared" si="108"/>
        <v>60.881548336463261</v>
      </c>
      <c r="N789" s="39"/>
      <c r="O789" s="94">
        <f t="shared" si="106"/>
        <v>4.6007757942806794E-2</v>
      </c>
    </row>
    <row r="790" spans="1:15" s="6" customFormat="1" ht="15.75">
      <c r="A790" s="8">
        <v>42</v>
      </c>
      <c r="B790" s="8" t="s">
        <v>386</v>
      </c>
      <c r="C790" s="32">
        <v>4583.33</v>
      </c>
      <c r="D790" s="55"/>
      <c r="E790" s="55"/>
      <c r="F790" s="61">
        <f t="shared" si="100"/>
        <v>4583.33</v>
      </c>
      <c r="G790" s="8" t="s">
        <v>1339</v>
      </c>
      <c r="H790" s="24">
        <v>658</v>
      </c>
      <c r="I790" s="663">
        <f t="shared" si="101"/>
        <v>3.6886509515934633E-2</v>
      </c>
      <c r="J790" s="39">
        <f t="shared" si="102"/>
        <v>83.700285337892751</v>
      </c>
      <c r="K790" s="37">
        <f t="shared" si="103"/>
        <v>30.776594918743168</v>
      </c>
      <c r="L790" s="39">
        <v>32.153156427695393</v>
      </c>
      <c r="M790" s="39">
        <f t="shared" si="108"/>
        <v>25.116024329399892</v>
      </c>
      <c r="N790" s="39"/>
      <c r="O790" s="94">
        <f t="shared" si="106"/>
        <v>3.7471895109828707E-2</v>
      </c>
    </row>
    <row r="791" spans="1:15" s="6" customFormat="1" ht="15.75">
      <c r="A791" s="8">
        <v>43</v>
      </c>
      <c r="B791" s="8" t="s">
        <v>387</v>
      </c>
      <c r="C791" s="32">
        <v>2091.96</v>
      </c>
      <c r="D791" s="55"/>
      <c r="E791" s="55">
        <v>121.7</v>
      </c>
      <c r="F791" s="61">
        <f t="shared" si="100"/>
        <v>2213.66</v>
      </c>
      <c r="G791" s="8" t="s">
        <v>1339</v>
      </c>
      <c r="H791" s="24">
        <v>658</v>
      </c>
      <c r="I791" s="663">
        <f t="shared" si="101"/>
        <v>3.6886509515934633E-2</v>
      </c>
      <c r="J791" s="39">
        <f t="shared" si="102"/>
        <v>83.700285337892751</v>
      </c>
      <c r="K791" s="37">
        <f t="shared" si="103"/>
        <v>30.776594918743168</v>
      </c>
      <c r="L791" s="39">
        <v>32.153156427695393</v>
      </c>
      <c r="M791" s="39">
        <f t="shared" si="108"/>
        <v>25.116024329399892</v>
      </c>
      <c r="N791" s="39"/>
      <c r="O791" s="94">
        <f t="shared" si="106"/>
        <v>7.758466115561162E-2</v>
      </c>
    </row>
    <row r="792" spans="1:15" s="6" customFormat="1" ht="15.75">
      <c r="A792" s="8">
        <v>44</v>
      </c>
      <c r="B792" s="8" t="s">
        <v>388</v>
      </c>
      <c r="C792" s="32">
        <v>41.2</v>
      </c>
      <c r="D792" s="55"/>
      <c r="E792" s="55"/>
      <c r="F792" s="61">
        <f t="shared" si="100"/>
        <v>41.2</v>
      </c>
      <c r="G792" s="8" t="s">
        <v>1339</v>
      </c>
      <c r="H792" s="24">
        <v>97</v>
      </c>
      <c r="I792" s="663">
        <f t="shared" si="101"/>
        <v>5.4376769347198473E-3</v>
      </c>
      <c r="J792" s="39">
        <f t="shared" si="102"/>
        <v>12.338795862880847</v>
      </c>
      <c r="K792" s="37">
        <f t="shared" si="103"/>
        <v>4.5369752387812881</v>
      </c>
      <c r="L792" s="39">
        <v>4.7399029992195345</v>
      </c>
      <c r="M792" s="39">
        <f t="shared" si="108"/>
        <v>3.7025142248507441</v>
      </c>
      <c r="N792" s="39"/>
      <c r="O792" s="94">
        <v>0</v>
      </c>
    </row>
    <row r="793" spans="1:15" s="363" customFormat="1" ht="15.75">
      <c r="A793" s="361">
        <v>45</v>
      </c>
      <c r="B793" s="361" t="s">
        <v>389</v>
      </c>
      <c r="C793" s="361">
        <v>21</v>
      </c>
      <c r="D793" s="362"/>
      <c r="E793" s="362"/>
      <c r="F793" s="61">
        <f t="shared" si="100"/>
        <v>21</v>
      </c>
      <c r="G793" s="8" t="s">
        <v>1341</v>
      </c>
      <c r="H793" s="24">
        <v>53</v>
      </c>
      <c r="I793" s="663">
        <f t="shared" si="101"/>
        <v>2.9711018303108447E-3</v>
      </c>
      <c r="J793" s="39">
        <f t="shared" si="102"/>
        <v>6.7418162962132477</v>
      </c>
      <c r="K793" s="37">
        <f t="shared" si="103"/>
        <v>2.4789658521176112</v>
      </c>
      <c r="L793" s="39">
        <v>2.5898439067900547</v>
      </c>
      <c r="M793" s="39">
        <f>I793*376.38</f>
        <v>1.1182633068923957</v>
      </c>
      <c r="N793" s="39"/>
      <c r="O793" s="94">
        <v>0</v>
      </c>
    </row>
    <row r="794" spans="1:15" s="6" customFormat="1" ht="15.75">
      <c r="A794" s="8">
        <v>46</v>
      </c>
      <c r="B794" s="8" t="s">
        <v>390</v>
      </c>
      <c r="C794" s="32">
        <v>113.2</v>
      </c>
      <c r="D794" s="55"/>
      <c r="E794" s="55"/>
      <c r="F794" s="61">
        <f t="shared" si="100"/>
        <v>113.2</v>
      </c>
      <c r="G794" s="8" t="s">
        <v>1339</v>
      </c>
      <c r="H794" s="24">
        <v>158</v>
      </c>
      <c r="I794" s="663">
        <f t="shared" si="101"/>
        <v>8.85724696583233E-3</v>
      </c>
      <c r="J794" s="39">
        <f t="shared" si="102"/>
        <v>20.098244807579118</v>
      </c>
      <c r="K794" s="37">
        <f t="shared" si="103"/>
        <v>7.3901246157468421</v>
      </c>
      <c r="L794" s="39">
        <v>7.7206667409967666</v>
      </c>
      <c r="M794" s="39">
        <f t="shared" ref="M794:M854" si="109">I794*680.9</f>
        <v>6.0308994590352336</v>
      </c>
      <c r="N794" s="39"/>
      <c r="O794" s="94">
        <v>0</v>
      </c>
    </row>
    <row r="795" spans="1:15" s="6" customFormat="1" ht="15.75">
      <c r="A795" s="8">
        <v>47</v>
      </c>
      <c r="B795" s="8" t="s">
        <v>391</v>
      </c>
      <c r="C795" s="32">
        <v>149.19999999999999</v>
      </c>
      <c r="D795" s="55"/>
      <c r="E795" s="55"/>
      <c r="F795" s="61">
        <f t="shared" si="100"/>
        <v>149.19999999999999</v>
      </c>
      <c r="G795" s="8" t="s">
        <v>1339</v>
      </c>
      <c r="H795" s="24">
        <v>150</v>
      </c>
      <c r="I795" s="663">
        <f t="shared" si="101"/>
        <v>8.408778765030692E-3</v>
      </c>
      <c r="J795" s="39">
        <f t="shared" si="102"/>
        <v>19.080612159094095</v>
      </c>
      <c r="K795" s="37">
        <f t="shared" si="103"/>
        <v>7.0159410908988988</v>
      </c>
      <c r="L795" s="39">
        <v>7.3297469060095892</v>
      </c>
      <c r="M795" s="39">
        <f t="shared" si="109"/>
        <v>5.7255374611093979</v>
      </c>
      <c r="N795" s="39"/>
      <c r="O795" s="94">
        <f t="shared" si="106"/>
        <v>0.26241178027554946</v>
      </c>
    </row>
    <row r="796" spans="1:15" s="6" customFormat="1" ht="15.75">
      <c r="A796" s="8">
        <v>49</v>
      </c>
      <c r="B796" s="8" t="s">
        <v>808</v>
      </c>
      <c r="C796" s="32">
        <v>613.9</v>
      </c>
      <c r="D796" s="55"/>
      <c r="E796" s="55">
        <v>71.099999999999994</v>
      </c>
      <c r="F796" s="61">
        <f t="shared" si="100"/>
        <v>685</v>
      </c>
      <c r="G796" s="8" t="s">
        <v>1339</v>
      </c>
      <c r="H796" s="24">
        <v>500</v>
      </c>
      <c r="I796" s="663">
        <f t="shared" si="101"/>
        <v>2.8029262550102307E-2</v>
      </c>
      <c r="J796" s="39">
        <f t="shared" si="102"/>
        <v>63.602040530313651</v>
      </c>
      <c r="K796" s="37">
        <f t="shared" si="103"/>
        <v>23.386470302996333</v>
      </c>
      <c r="L796" s="39">
        <v>24.432489686698627</v>
      </c>
      <c r="M796" s="39">
        <f t="shared" si="109"/>
        <v>19.085124870364659</v>
      </c>
      <c r="N796" s="39"/>
      <c r="O796" s="94">
        <f t="shared" si="106"/>
        <v>0.19051989108083686</v>
      </c>
    </row>
    <row r="797" spans="1:15" s="6" customFormat="1" ht="15.75">
      <c r="A797" s="8">
        <v>50</v>
      </c>
      <c r="B797" s="8" t="s">
        <v>809</v>
      </c>
      <c r="C797" s="32">
        <v>451.16</v>
      </c>
      <c r="D797" s="55"/>
      <c r="E797" s="55">
        <v>29.4</v>
      </c>
      <c r="F797" s="61">
        <f t="shared" si="100"/>
        <v>480.56</v>
      </c>
      <c r="G797" s="8" t="s">
        <v>1339</v>
      </c>
      <c r="H797" s="24">
        <v>233</v>
      </c>
      <c r="I797" s="663">
        <f t="shared" si="101"/>
        <v>1.3061636348347675E-2</v>
      </c>
      <c r="J797" s="39">
        <f t="shared" si="102"/>
        <v>29.638550887126161</v>
      </c>
      <c r="K797" s="37">
        <f t="shared" si="103"/>
        <v>10.89809516119629</v>
      </c>
      <c r="L797" s="39">
        <v>11.38554019400156</v>
      </c>
      <c r="M797" s="39">
        <f t="shared" si="109"/>
        <v>8.8936681895899312</v>
      </c>
      <c r="N797" s="39"/>
      <c r="O797" s="94">
        <f t="shared" si="106"/>
        <v>0.12655205267170375</v>
      </c>
    </row>
    <row r="798" spans="1:15" s="6" customFormat="1" ht="15.75">
      <c r="A798" s="8">
        <v>51</v>
      </c>
      <c r="B798" s="8" t="s">
        <v>810</v>
      </c>
      <c r="C798" s="32">
        <v>514.09</v>
      </c>
      <c r="D798" s="55"/>
      <c r="E798" s="55"/>
      <c r="F798" s="61">
        <f t="shared" si="100"/>
        <v>514.09</v>
      </c>
      <c r="G798" s="8" t="s">
        <v>1339</v>
      </c>
      <c r="H798" s="24">
        <v>338</v>
      </c>
      <c r="I798" s="663">
        <f t="shared" si="101"/>
        <v>1.894778148386916E-2</v>
      </c>
      <c r="J798" s="39">
        <f t="shared" si="102"/>
        <v>42.994979398492028</v>
      </c>
      <c r="K798" s="37">
        <f t="shared" si="103"/>
        <v>15.809253924825519</v>
      </c>
      <c r="L798" s="39">
        <v>16.516363028208271</v>
      </c>
      <c r="M798" s="39">
        <f t="shared" si="109"/>
        <v>12.90154441236651</v>
      </c>
      <c r="N798" s="39"/>
      <c r="O798" s="94">
        <f t="shared" si="106"/>
        <v>0.17160835799936261</v>
      </c>
    </row>
    <row r="799" spans="1:15" s="6" customFormat="1" ht="15.75">
      <c r="A799" s="8">
        <v>52</v>
      </c>
      <c r="B799" s="8" t="s">
        <v>811</v>
      </c>
      <c r="C799" s="32">
        <v>522.29999999999995</v>
      </c>
      <c r="D799" s="55"/>
      <c r="E799" s="55">
        <v>27.8</v>
      </c>
      <c r="F799" s="61">
        <f t="shared" si="100"/>
        <v>550.09999999999991</v>
      </c>
      <c r="G799" s="8" t="s">
        <v>1339</v>
      </c>
      <c r="H799" s="24">
        <v>241</v>
      </c>
      <c r="I799" s="663">
        <f t="shared" si="101"/>
        <v>1.3510104549149311E-2</v>
      </c>
      <c r="J799" s="39">
        <f t="shared" si="102"/>
        <v>30.656183535611177</v>
      </c>
      <c r="K799" s="37">
        <f t="shared" si="103"/>
        <v>11.272278686044231</v>
      </c>
      <c r="L799" s="39">
        <v>11.77646002898874</v>
      </c>
      <c r="M799" s="39">
        <f t="shared" si="109"/>
        <v>9.1990301875157652</v>
      </c>
      <c r="N799" s="39"/>
      <c r="O799" s="94">
        <f t="shared" si="106"/>
        <v>0.11435003169998167</v>
      </c>
    </row>
    <row r="800" spans="1:15" s="6" customFormat="1" ht="15.75">
      <c r="A800" s="8">
        <v>53</v>
      </c>
      <c r="B800" s="8" t="s">
        <v>812</v>
      </c>
      <c r="C800" s="32">
        <v>1211.25</v>
      </c>
      <c r="D800" s="55"/>
      <c r="E800" s="55"/>
      <c r="F800" s="61">
        <f t="shared" si="100"/>
        <v>1211.25</v>
      </c>
      <c r="G800" s="8" t="s">
        <v>1339</v>
      </c>
      <c r="H800" s="24">
        <v>904</v>
      </c>
      <c r="I800" s="663">
        <f t="shared" si="101"/>
        <v>5.0676906690584972E-2</v>
      </c>
      <c r="J800" s="39">
        <f t="shared" si="102"/>
        <v>114.99248927880708</v>
      </c>
      <c r="K800" s="37">
        <f t="shared" si="103"/>
        <v>42.282738307817368</v>
      </c>
      <c r="L800" s="39">
        <v>44.173941353551122</v>
      </c>
      <c r="M800" s="39">
        <f t="shared" si="109"/>
        <v>34.505905765619303</v>
      </c>
      <c r="N800" s="39"/>
      <c r="O800" s="94">
        <f t="shared" si="106"/>
        <v>0.19480295125349423</v>
      </c>
    </row>
    <row r="801" spans="1:15" s="6" customFormat="1" ht="15.75">
      <c r="A801" s="8">
        <v>54</v>
      </c>
      <c r="B801" s="8" t="s">
        <v>813</v>
      </c>
      <c r="C801" s="32">
        <v>306.17</v>
      </c>
      <c r="D801" s="55"/>
      <c r="E801" s="55">
        <v>31.2</v>
      </c>
      <c r="F801" s="61">
        <f t="shared" si="100"/>
        <v>337.37</v>
      </c>
      <c r="G801" s="8" t="s">
        <v>1339</v>
      </c>
      <c r="H801" s="24">
        <v>195</v>
      </c>
      <c r="I801" s="663">
        <f t="shared" si="101"/>
        <v>1.09314123945399E-2</v>
      </c>
      <c r="J801" s="39">
        <f t="shared" si="102"/>
        <v>24.804795806822327</v>
      </c>
      <c r="K801" s="37">
        <f t="shared" si="103"/>
        <v>9.1207234181685699</v>
      </c>
      <c r="L801" s="39">
        <v>9.5286709778124656</v>
      </c>
      <c r="M801" s="39">
        <f t="shared" si="109"/>
        <v>7.4431986994422177</v>
      </c>
      <c r="N801" s="39"/>
      <c r="O801" s="94">
        <f t="shared" si="106"/>
        <v>0.15086518926474074</v>
      </c>
    </row>
    <row r="802" spans="1:15" s="6" customFormat="1" ht="15.75">
      <c r="A802" s="8">
        <v>55</v>
      </c>
      <c r="B802" s="8" t="s">
        <v>814</v>
      </c>
      <c r="C802" s="32">
        <v>209.58</v>
      </c>
      <c r="D802" s="55"/>
      <c r="E802" s="55">
        <v>29.1</v>
      </c>
      <c r="F802" s="61">
        <f t="shared" si="100"/>
        <v>238.68</v>
      </c>
      <c r="G802" s="8" t="s">
        <v>1339</v>
      </c>
      <c r="H802" s="24">
        <v>174</v>
      </c>
      <c r="I802" s="663">
        <f t="shared" si="101"/>
        <v>9.7541833674356024E-3</v>
      </c>
      <c r="J802" s="39">
        <f t="shared" si="102"/>
        <v>22.133510104549149</v>
      </c>
      <c r="K802" s="37">
        <f t="shared" si="103"/>
        <v>8.1384916654427233</v>
      </c>
      <c r="L802" s="39">
        <v>8.5025064109711224</v>
      </c>
      <c r="M802" s="39">
        <f t="shared" si="109"/>
        <v>6.6416234548869015</v>
      </c>
      <c r="N802" s="39"/>
      <c r="O802" s="94">
        <f t="shared" si="106"/>
        <v>0.19028042414885996</v>
      </c>
    </row>
    <row r="803" spans="1:15" s="6" customFormat="1" ht="15.75">
      <c r="A803" s="8">
        <v>56</v>
      </c>
      <c r="B803" s="8" t="s">
        <v>815</v>
      </c>
      <c r="C803" s="32">
        <v>468.77</v>
      </c>
      <c r="D803" s="55"/>
      <c r="E803" s="55">
        <v>272.5</v>
      </c>
      <c r="F803" s="61">
        <f t="shared" si="100"/>
        <v>741.27</v>
      </c>
      <c r="G803" s="8" t="s">
        <v>1339</v>
      </c>
      <c r="H803" s="24">
        <v>443</v>
      </c>
      <c r="I803" s="663">
        <f t="shared" si="101"/>
        <v>2.4833926619390646E-2</v>
      </c>
      <c r="J803" s="39">
        <f t="shared" si="102"/>
        <v>56.351407909857897</v>
      </c>
      <c r="K803" s="37">
        <f t="shared" si="103"/>
        <v>20.720412688454751</v>
      </c>
      <c r="L803" s="39">
        <v>21.647185862414986</v>
      </c>
      <c r="M803" s="39">
        <f t="shared" si="109"/>
        <v>16.909420635143089</v>
      </c>
      <c r="N803" s="39"/>
      <c r="O803" s="94">
        <f t="shared" si="106"/>
        <v>0.15598692392228303</v>
      </c>
    </row>
    <row r="804" spans="1:15" s="6" customFormat="1" ht="15.75">
      <c r="A804" s="8">
        <v>57</v>
      </c>
      <c r="B804" s="8" t="s">
        <v>816</v>
      </c>
      <c r="C804" s="32">
        <v>599.20000000000005</v>
      </c>
      <c r="D804" s="55"/>
      <c r="E804" s="55">
        <v>134.4</v>
      </c>
      <c r="F804" s="61">
        <f t="shared" si="100"/>
        <v>733.6</v>
      </c>
      <c r="G804" s="8" t="s">
        <v>1339</v>
      </c>
      <c r="H804" s="24">
        <v>637</v>
      </c>
      <c r="I804" s="663">
        <f t="shared" si="101"/>
        <v>3.570928048883034E-2</v>
      </c>
      <c r="J804" s="39">
        <f t="shared" si="102"/>
        <v>81.028999635619599</v>
      </c>
      <c r="K804" s="37">
        <f t="shared" si="103"/>
        <v>29.79436316601733</v>
      </c>
      <c r="L804" s="39">
        <v>31.126991860854051</v>
      </c>
      <c r="M804" s="39">
        <f t="shared" si="109"/>
        <v>24.314449084844579</v>
      </c>
      <c r="N804" s="39"/>
      <c r="O804" s="94">
        <f t="shared" si="106"/>
        <v>0.22664231699473225</v>
      </c>
    </row>
    <row r="805" spans="1:15" s="6" customFormat="1" ht="15.75">
      <c r="A805" s="8">
        <v>58</v>
      </c>
      <c r="B805" s="8" t="s">
        <v>817</v>
      </c>
      <c r="C805" s="32">
        <v>220.5</v>
      </c>
      <c r="D805" s="55"/>
      <c r="E805" s="55"/>
      <c r="F805" s="61">
        <f t="shared" si="100"/>
        <v>220.5</v>
      </c>
      <c r="G805" s="8" t="s">
        <v>1339</v>
      </c>
      <c r="H805" s="24">
        <v>180</v>
      </c>
      <c r="I805" s="663">
        <f t="shared" si="101"/>
        <v>1.009053451803683E-2</v>
      </c>
      <c r="J805" s="39">
        <f t="shared" si="102"/>
        <v>22.896734590912914</v>
      </c>
      <c r="K805" s="37">
        <f t="shared" si="103"/>
        <v>8.419129309078679</v>
      </c>
      <c r="L805" s="39">
        <v>8.7956962872115056</v>
      </c>
      <c r="M805" s="39">
        <f t="shared" si="109"/>
        <v>6.8706449533312774</v>
      </c>
      <c r="N805" s="39"/>
      <c r="O805" s="94">
        <f t="shared" si="106"/>
        <v>0.21307122512714002</v>
      </c>
    </row>
    <row r="806" spans="1:15" s="6" customFormat="1" ht="15.75">
      <c r="A806" s="8">
        <v>59</v>
      </c>
      <c r="B806" s="8" t="s">
        <v>818</v>
      </c>
      <c r="C806" s="32">
        <v>330.61</v>
      </c>
      <c r="D806" s="55"/>
      <c r="E806" s="55"/>
      <c r="F806" s="61">
        <f t="shared" si="100"/>
        <v>330.61</v>
      </c>
      <c r="G806" s="8" t="s">
        <v>1339</v>
      </c>
      <c r="H806" s="24">
        <v>252</v>
      </c>
      <c r="I806" s="663">
        <f t="shared" si="101"/>
        <v>1.4126748325251563E-2</v>
      </c>
      <c r="J806" s="39">
        <f t="shared" si="102"/>
        <v>32.055428427278081</v>
      </c>
      <c r="K806" s="37">
        <f t="shared" si="103"/>
        <v>11.786781032710151</v>
      </c>
      <c r="L806" s="39">
        <v>12.313974802096109</v>
      </c>
      <c r="M806" s="39">
        <f t="shared" si="109"/>
        <v>9.6189029346637884</v>
      </c>
      <c r="N806" s="39"/>
      <c r="O806" s="94">
        <f t="shared" si="106"/>
        <v>0.19895068871706278</v>
      </c>
    </row>
    <row r="807" spans="1:15" s="6" customFormat="1" ht="15.75">
      <c r="A807" s="8">
        <v>60</v>
      </c>
      <c r="B807" s="8" t="s">
        <v>819</v>
      </c>
      <c r="C807" s="32">
        <v>949</v>
      </c>
      <c r="D807" s="55"/>
      <c r="E807" s="55">
        <v>88.5</v>
      </c>
      <c r="F807" s="61">
        <f t="shared" si="100"/>
        <v>1037.5</v>
      </c>
      <c r="G807" s="8" t="s">
        <v>1339</v>
      </c>
      <c r="H807" s="24">
        <v>942</v>
      </c>
      <c r="I807" s="663">
        <f t="shared" si="101"/>
        <v>5.2807130644392748E-2</v>
      </c>
      <c r="J807" s="39">
        <f t="shared" si="102"/>
        <v>119.82624435911092</v>
      </c>
      <c r="K807" s="37">
        <f t="shared" si="103"/>
        <v>44.06011005084509</v>
      </c>
      <c r="L807" s="39">
        <v>46.030810569740218</v>
      </c>
      <c r="M807" s="39">
        <f t="shared" si="109"/>
        <v>35.956375255767021</v>
      </c>
      <c r="N807" s="39"/>
      <c r="O807" s="94">
        <f t="shared" si="106"/>
        <v>0.23698654480526579</v>
      </c>
    </row>
    <row r="808" spans="1:15" s="6" customFormat="1" ht="15.75">
      <c r="A808" s="8">
        <v>61</v>
      </c>
      <c r="B808" s="8" t="s">
        <v>820</v>
      </c>
      <c r="C808" s="8">
        <v>211.8</v>
      </c>
      <c r="D808" s="55"/>
      <c r="E808" s="55">
        <v>18.3</v>
      </c>
      <c r="F808" s="61">
        <f t="shared" si="100"/>
        <v>230.10000000000002</v>
      </c>
      <c r="G808" s="8" t="s">
        <v>1339</v>
      </c>
      <c r="H808" s="24">
        <v>400</v>
      </c>
      <c r="I808" s="663">
        <f t="shared" si="101"/>
        <v>2.2423410040081845E-2</v>
      </c>
      <c r="J808" s="39">
        <f t="shared" si="102"/>
        <v>50.881632424250917</v>
      </c>
      <c r="K808" s="37">
        <f t="shared" si="103"/>
        <v>18.709176242397064</v>
      </c>
      <c r="L808" s="39">
        <v>19.545991749358905</v>
      </c>
      <c r="M808" s="39">
        <f t="shared" si="109"/>
        <v>15.268099896291728</v>
      </c>
      <c r="N808" s="39"/>
      <c r="O808" s="94">
        <f t="shared" si="106"/>
        <v>0.45373707219599568</v>
      </c>
    </row>
    <row r="809" spans="1:15" s="6" customFormat="1" ht="15.75">
      <c r="A809" s="8">
        <v>62</v>
      </c>
      <c r="B809" s="8" t="s">
        <v>821</v>
      </c>
      <c r="C809" s="8">
        <v>1331.77</v>
      </c>
      <c r="D809" s="55"/>
      <c r="E809" s="55"/>
      <c r="F809" s="61">
        <f t="shared" si="100"/>
        <v>1331.77</v>
      </c>
      <c r="G809" s="8" t="s">
        <v>1339</v>
      </c>
      <c r="H809" s="24">
        <v>1027</v>
      </c>
      <c r="I809" s="663">
        <f t="shared" si="101"/>
        <v>5.7572105277910138E-2</v>
      </c>
      <c r="J809" s="39">
        <f t="shared" si="102"/>
        <v>130.63859124926424</v>
      </c>
      <c r="K809" s="37">
        <f t="shared" si="103"/>
        <v>48.035810002354467</v>
      </c>
      <c r="L809" s="39">
        <v>50.184333816478983</v>
      </c>
      <c r="M809" s="39">
        <f t="shared" si="109"/>
        <v>39.200846483729009</v>
      </c>
      <c r="N809" s="39"/>
      <c r="O809" s="94">
        <f t="shared" si="106"/>
        <v>0.20128068777028066</v>
      </c>
    </row>
    <row r="810" spans="1:15" s="6" customFormat="1" ht="15.75">
      <c r="A810" s="8">
        <v>63</v>
      </c>
      <c r="B810" s="8" t="s">
        <v>822</v>
      </c>
      <c r="C810" s="8">
        <v>483.9</v>
      </c>
      <c r="D810" s="55"/>
      <c r="E810" s="55"/>
      <c r="F810" s="61">
        <f t="shared" si="100"/>
        <v>483.9</v>
      </c>
      <c r="G810" s="8" t="s">
        <v>1339</v>
      </c>
      <c r="H810" s="24">
        <v>355</v>
      </c>
      <c r="I810" s="663">
        <f t="shared" si="101"/>
        <v>1.9900776410572637E-2</v>
      </c>
      <c r="J810" s="39">
        <f t="shared" si="102"/>
        <v>45.157448776522692</v>
      </c>
      <c r="K810" s="37">
        <f t="shared" si="103"/>
        <v>16.604393915127396</v>
      </c>
      <c r="L810" s="39">
        <v>17.347067677556026</v>
      </c>
      <c r="M810" s="39">
        <f t="shared" si="109"/>
        <v>13.550438657958908</v>
      </c>
      <c r="N810" s="39"/>
      <c r="O810" s="94">
        <f t="shared" si="106"/>
        <v>0.19148449891953923</v>
      </c>
    </row>
    <row r="811" spans="1:15" s="6" customFormat="1" ht="15.75">
      <c r="A811" s="8">
        <v>64</v>
      </c>
      <c r="B811" s="8" t="s">
        <v>823</v>
      </c>
      <c r="C811" s="8">
        <v>665.8</v>
      </c>
      <c r="D811" s="55"/>
      <c r="E811" s="55"/>
      <c r="F811" s="61">
        <f t="shared" ref="F811:F871" si="110">C811+D811+E811</f>
        <v>665.8</v>
      </c>
      <c r="G811" s="8" t="s">
        <v>1339</v>
      </c>
      <c r="H811" s="24">
        <v>650</v>
      </c>
      <c r="I811" s="663">
        <f t="shared" si="101"/>
        <v>3.6438041315133E-2</v>
      </c>
      <c r="J811" s="39">
        <f t="shared" si="102"/>
        <v>82.682652689407746</v>
      </c>
      <c r="K811" s="37">
        <f t="shared" ref="K811:K871" si="111">J811*0.3677</f>
        <v>30.402411393895232</v>
      </c>
      <c r="L811" s="39">
        <v>31.762236592708216</v>
      </c>
      <c r="M811" s="39">
        <f t="shared" si="109"/>
        <v>24.81066233147406</v>
      </c>
      <c r="N811" s="39"/>
      <c r="O811" s="94">
        <f t="shared" si="106"/>
        <v>0.25481820818186429</v>
      </c>
    </row>
    <row r="812" spans="1:15" s="6" customFormat="1" ht="15.75">
      <c r="A812" s="8">
        <v>65</v>
      </c>
      <c r="B812" s="8" t="s">
        <v>824</v>
      </c>
      <c r="C812" s="8">
        <v>59.2</v>
      </c>
      <c r="D812" s="55"/>
      <c r="E812" s="55"/>
      <c r="F812" s="61">
        <f t="shared" si="110"/>
        <v>59.2</v>
      </c>
      <c r="G812" s="8" t="s">
        <v>1339</v>
      </c>
      <c r="H812" s="24">
        <v>60</v>
      </c>
      <c r="I812" s="663">
        <f t="shared" si="101"/>
        <v>3.3635115060122768E-3</v>
      </c>
      <c r="J812" s="39">
        <f t="shared" si="102"/>
        <v>7.6322448636376379</v>
      </c>
      <c r="K812" s="37">
        <f t="shared" si="111"/>
        <v>2.8063764363595598</v>
      </c>
      <c r="L812" s="39">
        <v>2.9318987624038355</v>
      </c>
      <c r="M812" s="39">
        <f t="shared" si="109"/>
        <v>2.2902149844437591</v>
      </c>
      <c r="N812" s="39"/>
      <c r="O812" s="94">
        <f t="shared" si="106"/>
        <v>0.2645394433588647</v>
      </c>
    </row>
    <row r="813" spans="1:15" s="6" customFormat="1" ht="15.75">
      <c r="A813" s="8">
        <v>66</v>
      </c>
      <c r="B813" s="8" t="s">
        <v>825</v>
      </c>
      <c r="C813" s="8">
        <v>363.78</v>
      </c>
      <c r="D813" s="55"/>
      <c r="E813" s="55">
        <v>58</v>
      </c>
      <c r="F813" s="61">
        <f t="shared" si="110"/>
        <v>421.78</v>
      </c>
      <c r="G813" s="8" t="s">
        <v>1339</v>
      </c>
      <c r="H813" s="24">
        <v>250</v>
      </c>
      <c r="I813" s="663">
        <f t="shared" ref="I813:I876" si="112">4/71354*H813</f>
        <v>1.4014631275051153E-2</v>
      </c>
      <c r="J813" s="39">
        <f t="shared" ref="J813:J876" si="113">I813*2269.13</f>
        <v>31.801020265156826</v>
      </c>
      <c r="K813" s="37">
        <f t="shared" si="111"/>
        <v>11.693235151498167</v>
      </c>
      <c r="L813" s="39">
        <v>12.216244843349314</v>
      </c>
      <c r="M813" s="39">
        <f t="shared" si="109"/>
        <v>9.5425624351823295</v>
      </c>
      <c r="N813" s="39"/>
      <c r="O813" s="94">
        <f t="shared" si="106"/>
        <v>0.15470876451037657</v>
      </c>
    </row>
    <row r="814" spans="1:15" s="6" customFormat="1" ht="15.75">
      <c r="A814" s="8">
        <v>67</v>
      </c>
      <c r="B814" s="8" t="s">
        <v>826</v>
      </c>
      <c r="C814" s="8">
        <v>185.8</v>
      </c>
      <c r="D814" s="55"/>
      <c r="E814" s="55">
        <v>26.8</v>
      </c>
      <c r="F814" s="61">
        <f t="shared" si="110"/>
        <v>212.60000000000002</v>
      </c>
      <c r="G814" s="8" t="s">
        <v>1339</v>
      </c>
      <c r="H814" s="24">
        <v>181</v>
      </c>
      <c r="I814" s="663">
        <f t="shared" si="112"/>
        <v>1.0146593043137035E-2</v>
      </c>
      <c r="J814" s="39">
        <f t="shared" si="113"/>
        <v>23.023938671973539</v>
      </c>
      <c r="K814" s="37">
        <f t="shared" si="111"/>
        <v>8.465902249684671</v>
      </c>
      <c r="L814" s="39">
        <v>8.844561266584904</v>
      </c>
      <c r="M814" s="39">
        <f t="shared" si="109"/>
        <v>6.9088152030720069</v>
      </c>
      <c r="N814" s="39"/>
      <c r="O814" s="94">
        <f t="shared" si="106"/>
        <v>0.22221645057062614</v>
      </c>
    </row>
    <row r="815" spans="1:15" s="6" customFormat="1" ht="15.75">
      <c r="A815" s="8">
        <v>68</v>
      </c>
      <c r="B815" s="8" t="s">
        <v>827</v>
      </c>
      <c r="C815" s="8">
        <v>205.2</v>
      </c>
      <c r="D815" s="55"/>
      <c r="E815" s="55"/>
      <c r="F815" s="61">
        <f t="shared" si="110"/>
        <v>205.2</v>
      </c>
      <c r="G815" s="8" t="s">
        <v>1339</v>
      </c>
      <c r="H815" s="24">
        <v>178</v>
      </c>
      <c r="I815" s="663">
        <f t="shared" si="112"/>
        <v>9.9784174678364222E-3</v>
      </c>
      <c r="J815" s="39">
        <f t="shared" si="113"/>
        <v>22.642326428791662</v>
      </c>
      <c r="K815" s="37">
        <f t="shared" si="111"/>
        <v>8.3255834278666949</v>
      </c>
      <c r="L815" s="39">
        <v>8.6979663284647124</v>
      </c>
      <c r="M815" s="39">
        <f t="shared" si="109"/>
        <v>6.7943044538498194</v>
      </c>
      <c r="N815" s="39"/>
      <c r="O815" s="94">
        <f t="shared" si="106"/>
        <v>0.2264141356675092</v>
      </c>
    </row>
    <row r="816" spans="1:15" s="6" customFormat="1" ht="15.75">
      <c r="A816" s="8">
        <v>69</v>
      </c>
      <c r="B816" s="8" t="s">
        <v>828</v>
      </c>
      <c r="C816" s="8">
        <v>177.45</v>
      </c>
      <c r="D816" s="55"/>
      <c r="E816" s="55"/>
      <c r="F816" s="61">
        <f t="shared" si="110"/>
        <v>177.45</v>
      </c>
      <c r="G816" s="8" t="s">
        <v>1339</v>
      </c>
      <c r="H816" s="24">
        <v>345</v>
      </c>
      <c r="I816" s="663">
        <f t="shared" si="112"/>
        <v>1.9340191159570592E-2</v>
      </c>
      <c r="J816" s="39">
        <f t="shared" si="113"/>
        <v>43.885407965916421</v>
      </c>
      <c r="K816" s="37">
        <f t="shared" si="111"/>
        <v>16.136664509067469</v>
      </c>
      <c r="L816" s="39">
        <v>16.858417883822057</v>
      </c>
      <c r="M816" s="39">
        <f t="shared" si="109"/>
        <v>13.168736160551616</v>
      </c>
      <c r="N816" s="39"/>
      <c r="O816" s="94">
        <f t="shared" si="106"/>
        <v>0.5074625332170053</v>
      </c>
    </row>
    <row r="817" spans="1:15" s="6" customFormat="1" ht="15.75">
      <c r="A817" s="8">
        <v>70</v>
      </c>
      <c r="B817" s="8" t="s">
        <v>829</v>
      </c>
      <c r="C817" s="8">
        <v>200</v>
      </c>
      <c r="D817" s="55"/>
      <c r="E817" s="55"/>
      <c r="F817" s="61">
        <f t="shared" si="110"/>
        <v>200</v>
      </c>
      <c r="G817" s="8" t="s">
        <v>1339</v>
      </c>
      <c r="H817" s="24">
        <v>243</v>
      </c>
      <c r="I817" s="663">
        <f t="shared" si="112"/>
        <v>1.3622221599349721E-2</v>
      </c>
      <c r="J817" s="39">
        <f t="shared" si="113"/>
        <v>30.910591697732436</v>
      </c>
      <c r="K817" s="37">
        <f t="shared" si="111"/>
        <v>11.365824567256217</v>
      </c>
      <c r="L817" s="39">
        <v>11.874189987735534</v>
      </c>
      <c r="M817" s="39">
        <f t="shared" si="109"/>
        <v>9.2753706869972241</v>
      </c>
      <c r="N817" s="39"/>
      <c r="O817" s="94">
        <f t="shared" si="106"/>
        <v>0.31712988469860703</v>
      </c>
    </row>
    <row r="818" spans="1:15" s="6" customFormat="1" ht="15.75">
      <c r="A818" s="8">
        <v>71</v>
      </c>
      <c r="B818" s="8" t="s">
        <v>830</v>
      </c>
      <c r="C818" s="8">
        <v>401.38</v>
      </c>
      <c r="D818" s="55"/>
      <c r="E818" s="55">
        <v>140.80000000000001</v>
      </c>
      <c r="F818" s="61">
        <f t="shared" si="110"/>
        <v>542.18000000000006</v>
      </c>
      <c r="G818" s="8" t="s">
        <v>1339</v>
      </c>
      <c r="H818" s="24">
        <v>499</v>
      </c>
      <c r="I818" s="663">
        <f t="shared" si="112"/>
        <v>2.7973204025002103E-2</v>
      </c>
      <c r="J818" s="39">
        <f t="shared" si="113"/>
        <v>63.474836449253026</v>
      </c>
      <c r="K818" s="37">
        <f t="shared" si="111"/>
        <v>23.339697362390339</v>
      </c>
      <c r="L818" s="39">
        <v>24.383624707325232</v>
      </c>
      <c r="M818" s="39">
        <f t="shared" si="109"/>
        <v>19.046954620623932</v>
      </c>
      <c r="N818" s="39"/>
      <c r="O818" s="94">
        <f t="shared" si="106"/>
        <v>0.24022485731600668</v>
      </c>
    </row>
    <row r="819" spans="1:15" s="6" customFormat="1" ht="15.75">
      <c r="A819" s="8">
        <v>72</v>
      </c>
      <c r="B819" s="8" t="s">
        <v>831</v>
      </c>
      <c r="C819" s="8">
        <v>204.3</v>
      </c>
      <c r="D819" s="55"/>
      <c r="E819" s="55"/>
      <c r="F819" s="61">
        <f t="shared" si="110"/>
        <v>204.3</v>
      </c>
      <c r="G819" s="8" t="s">
        <v>1339</v>
      </c>
      <c r="H819" s="24">
        <v>346</v>
      </c>
      <c r="I819" s="663">
        <f t="shared" si="112"/>
        <v>1.9396249684670797E-2</v>
      </c>
      <c r="J819" s="39">
        <f t="shared" si="113"/>
        <v>44.012612046977047</v>
      </c>
      <c r="K819" s="37">
        <f t="shared" si="111"/>
        <v>16.183437449673463</v>
      </c>
      <c r="L819" s="39">
        <v>16.907282863195451</v>
      </c>
      <c r="M819" s="39">
        <f t="shared" si="109"/>
        <v>13.206906410292344</v>
      </c>
      <c r="N819" s="39"/>
      <c r="O819" s="94">
        <f t="shared" si="106"/>
        <v>0.44204717949162164</v>
      </c>
    </row>
    <row r="820" spans="1:15" s="6" customFormat="1" ht="15.75">
      <c r="A820" s="8">
        <v>73</v>
      </c>
      <c r="B820" s="8" t="s">
        <v>832</v>
      </c>
      <c r="C820" s="8">
        <v>306.39999999999998</v>
      </c>
      <c r="D820" s="55"/>
      <c r="E820" s="55"/>
      <c r="F820" s="61">
        <f t="shared" si="110"/>
        <v>306.39999999999998</v>
      </c>
      <c r="G820" s="8" t="s">
        <v>1339</v>
      </c>
      <c r="H820" s="24">
        <v>238</v>
      </c>
      <c r="I820" s="663">
        <f t="shared" si="112"/>
        <v>1.3341928973848699E-2</v>
      </c>
      <c r="J820" s="39">
        <f t="shared" si="113"/>
        <v>30.2745712924293</v>
      </c>
      <c r="K820" s="37">
        <f t="shared" si="111"/>
        <v>11.131959864226255</v>
      </c>
      <c r="L820" s="39">
        <v>11.629865090868547</v>
      </c>
      <c r="M820" s="39">
        <f t="shared" si="109"/>
        <v>9.0845194382935794</v>
      </c>
      <c r="N820" s="39"/>
      <c r="O820" s="94">
        <f t="shared" si="106"/>
        <v>0.20274450289104987</v>
      </c>
    </row>
    <row r="821" spans="1:15" s="6" customFormat="1" ht="15.75">
      <c r="A821" s="8">
        <v>74</v>
      </c>
      <c r="B821" s="8" t="s">
        <v>878</v>
      </c>
      <c r="C821" s="8">
        <v>301.42</v>
      </c>
      <c r="D821" s="55"/>
      <c r="E821" s="55"/>
      <c r="F821" s="61">
        <f t="shared" si="110"/>
        <v>301.42</v>
      </c>
      <c r="G821" s="8" t="s">
        <v>1339</v>
      </c>
      <c r="H821" s="24">
        <v>290</v>
      </c>
      <c r="I821" s="663">
        <f t="shared" si="112"/>
        <v>1.625697227905934E-2</v>
      </c>
      <c r="J821" s="39">
        <f t="shared" si="113"/>
        <v>36.889183507581919</v>
      </c>
      <c r="K821" s="37">
        <f t="shared" si="111"/>
        <v>13.564152775737872</v>
      </c>
      <c r="L821" s="39">
        <v>14.170844018285207</v>
      </c>
      <c r="M821" s="39">
        <f t="shared" si="109"/>
        <v>11.069372424811505</v>
      </c>
      <c r="N821" s="39"/>
      <c r="O821" s="94">
        <f t="shared" si="106"/>
        <v>0.25112319264287869</v>
      </c>
    </row>
    <row r="822" spans="1:15" s="6" customFormat="1" ht="15.75">
      <c r="A822" s="8">
        <v>75</v>
      </c>
      <c r="B822" s="8" t="s">
        <v>879</v>
      </c>
      <c r="C822" s="8">
        <v>394.72</v>
      </c>
      <c r="D822" s="55"/>
      <c r="E822" s="55"/>
      <c r="F822" s="61">
        <f t="shared" si="110"/>
        <v>394.72</v>
      </c>
      <c r="G822" s="8" t="s">
        <v>1339</v>
      </c>
      <c r="H822" s="24">
        <v>235</v>
      </c>
      <c r="I822" s="663">
        <f t="shared" si="112"/>
        <v>1.3173753398548085E-2</v>
      </c>
      <c r="J822" s="39">
        <f t="shared" si="113"/>
        <v>29.892959049247416</v>
      </c>
      <c r="K822" s="37">
        <f t="shared" si="111"/>
        <v>10.991641042408276</v>
      </c>
      <c r="L822" s="39">
        <v>11.483270152748355</v>
      </c>
      <c r="M822" s="39">
        <f t="shared" si="109"/>
        <v>8.9700086890713902</v>
      </c>
      <c r="N822" s="39"/>
      <c r="O822" s="94">
        <f t="shared" si="106"/>
        <v>0.15539592352420814</v>
      </c>
    </row>
    <row r="823" spans="1:15" s="6" customFormat="1" ht="15.75">
      <c r="A823" s="8">
        <v>76</v>
      </c>
      <c r="B823" s="8" t="s">
        <v>880</v>
      </c>
      <c r="C823" s="8">
        <v>680.89</v>
      </c>
      <c r="D823" s="55"/>
      <c r="E823" s="55"/>
      <c r="F823" s="61">
        <f t="shared" si="110"/>
        <v>680.89</v>
      </c>
      <c r="G823" s="8" t="s">
        <v>1339</v>
      </c>
      <c r="H823" s="24">
        <v>276</v>
      </c>
      <c r="I823" s="663">
        <f t="shared" si="112"/>
        <v>1.5472152927656474E-2</v>
      </c>
      <c r="J823" s="39">
        <f t="shared" si="113"/>
        <v>35.108326372733138</v>
      </c>
      <c r="K823" s="37">
        <f t="shared" si="111"/>
        <v>12.909331607253977</v>
      </c>
      <c r="L823" s="39">
        <v>13.486734307057642</v>
      </c>
      <c r="M823" s="39">
        <f t="shared" si="109"/>
        <v>10.534988928441292</v>
      </c>
      <c r="N823" s="39"/>
      <c r="O823" s="94">
        <f t="shared" si="106"/>
        <v>0.10580179062034403</v>
      </c>
    </row>
    <row r="824" spans="1:15" s="6" customFormat="1" ht="15.75">
      <c r="A824" s="8">
        <v>77</v>
      </c>
      <c r="B824" s="8" t="s">
        <v>881</v>
      </c>
      <c r="C824" s="8">
        <v>581.98</v>
      </c>
      <c r="D824" s="55"/>
      <c r="E824" s="55"/>
      <c r="F824" s="61">
        <f t="shared" si="110"/>
        <v>581.98</v>
      </c>
      <c r="G824" s="8" t="s">
        <v>1339</v>
      </c>
      <c r="H824" s="24">
        <v>399</v>
      </c>
      <c r="I824" s="663">
        <f t="shared" si="112"/>
        <v>2.2367351514981641E-2</v>
      </c>
      <c r="J824" s="39">
        <f t="shared" si="113"/>
        <v>50.754428343190291</v>
      </c>
      <c r="K824" s="37">
        <f t="shared" si="111"/>
        <v>18.66240330179107</v>
      </c>
      <c r="L824" s="39">
        <v>19.497126769985506</v>
      </c>
      <c r="M824" s="39">
        <f t="shared" si="109"/>
        <v>15.229929646551</v>
      </c>
      <c r="N824" s="39"/>
      <c r="O824" s="94">
        <f t="shared" si="106"/>
        <v>0.17894753782177714</v>
      </c>
    </row>
    <row r="825" spans="1:15" s="6" customFormat="1" ht="15.75">
      <c r="A825" s="8">
        <v>78</v>
      </c>
      <c r="B825" s="8" t="s">
        <v>882</v>
      </c>
      <c r="C825" s="8">
        <v>260.39999999999998</v>
      </c>
      <c r="D825" s="55"/>
      <c r="E825" s="55"/>
      <c r="F825" s="61">
        <f t="shared" si="110"/>
        <v>260.39999999999998</v>
      </c>
      <c r="G825" s="8" t="s">
        <v>1339</v>
      </c>
      <c r="H825" s="24">
        <v>157</v>
      </c>
      <c r="I825" s="663">
        <f t="shared" si="112"/>
        <v>8.8011884407321241E-3</v>
      </c>
      <c r="J825" s="39">
        <f t="shared" si="113"/>
        <v>19.971040726518485</v>
      </c>
      <c r="K825" s="37">
        <f t="shared" si="111"/>
        <v>7.3433516751408474</v>
      </c>
      <c r="L825" s="39">
        <v>7.6718017616233691</v>
      </c>
      <c r="M825" s="39">
        <f t="shared" si="109"/>
        <v>5.9927292092945033</v>
      </c>
      <c r="N825" s="39"/>
      <c r="O825" s="94">
        <f t="shared" si="106"/>
        <v>0.15736913737548852</v>
      </c>
    </row>
    <row r="826" spans="1:15" s="6" customFormat="1" ht="15.75">
      <c r="A826" s="8">
        <v>79</v>
      </c>
      <c r="B826" s="8" t="s">
        <v>883</v>
      </c>
      <c r="C826" s="8">
        <v>135.71</v>
      </c>
      <c r="D826" s="55"/>
      <c r="E826" s="55"/>
      <c r="F826" s="61">
        <f t="shared" si="110"/>
        <v>135.71</v>
      </c>
      <c r="G826" s="8" t="s">
        <v>1339</v>
      </c>
      <c r="H826" s="24">
        <v>178</v>
      </c>
      <c r="I826" s="663">
        <f t="shared" si="112"/>
        <v>9.9784174678364222E-3</v>
      </c>
      <c r="J826" s="39">
        <f t="shared" si="113"/>
        <v>22.642326428791662</v>
      </c>
      <c r="K826" s="37">
        <f t="shared" si="111"/>
        <v>8.3255834278666949</v>
      </c>
      <c r="L826" s="39">
        <v>8.6979663284647124</v>
      </c>
      <c r="M826" s="39">
        <f t="shared" si="109"/>
        <v>6.7943044538498194</v>
      </c>
      <c r="N826" s="39"/>
      <c r="O826" s="94">
        <f t="shared" si="106"/>
        <v>0.34234898414982595</v>
      </c>
    </row>
    <row r="827" spans="1:15" s="6" customFormat="1" ht="15.75">
      <c r="A827" s="8">
        <v>80</v>
      </c>
      <c r="B827" s="8" t="s">
        <v>884</v>
      </c>
      <c r="C827" s="8">
        <v>201.8</v>
      </c>
      <c r="D827" s="55"/>
      <c r="E827" s="55"/>
      <c r="F827" s="61">
        <f t="shared" si="110"/>
        <v>201.8</v>
      </c>
      <c r="G827" s="8" t="s">
        <v>1339</v>
      </c>
      <c r="H827" s="24">
        <v>273</v>
      </c>
      <c r="I827" s="663">
        <f t="shared" si="112"/>
        <v>1.530397735235586E-2</v>
      </c>
      <c r="J827" s="39">
        <f t="shared" si="113"/>
        <v>34.726714129551254</v>
      </c>
      <c r="K827" s="37">
        <f t="shared" si="111"/>
        <v>12.769012785435997</v>
      </c>
      <c r="L827" s="39">
        <v>13.340139368937452</v>
      </c>
      <c r="M827" s="39">
        <f t="shared" si="109"/>
        <v>10.420478179219105</v>
      </c>
      <c r="N827" s="39"/>
      <c r="O827" s="94">
        <f t="shared" si="106"/>
        <v>0.3531037882217235</v>
      </c>
    </row>
    <row r="828" spans="1:15" s="6" customFormat="1" ht="15.75">
      <c r="A828" s="8">
        <v>81</v>
      </c>
      <c r="B828" s="8" t="s">
        <v>885</v>
      </c>
      <c r="C828" s="8">
        <v>1437.1</v>
      </c>
      <c r="D828" s="55"/>
      <c r="E828" s="55"/>
      <c r="F828" s="61">
        <f t="shared" si="110"/>
        <v>1437.1</v>
      </c>
      <c r="G828" s="8" t="s">
        <v>1339</v>
      </c>
      <c r="H828" s="24">
        <v>520</v>
      </c>
      <c r="I828" s="663">
        <f t="shared" si="112"/>
        <v>2.9150433052106399E-2</v>
      </c>
      <c r="J828" s="39">
        <f t="shared" si="113"/>
        <v>66.1461221515262</v>
      </c>
      <c r="K828" s="37">
        <f t="shared" si="111"/>
        <v>24.321929115116184</v>
      </c>
      <c r="L828" s="39">
        <v>25.409789274166574</v>
      </c>
      <c r="M828" s="39">
        <f t="shared" si="109"/>
        <v>19.848529865179245</v>
      </c>
      <c r="N828" s="39"/>
      <c r="O828" s="94">
        <f t="shared" si="106"/>
        <v>9.4444624873695773E-2</v>
      </c>
    </row>
    <row r="829" spans="1:15" s="6" customFormat="1" ht="15.75">
      <c r="A829" s="8">
        <v>82</v>
      </c>
      <c r="B829" s="8" t="s">
        <v>886</v>
      </c>
      <c r="C829" s="8">
        <v>197.86</v>
      </c>
      <c r="D829" s="55"/>
      <c r="E829" s="55">
        <v>16</v>
      </c>
      <c r="F829" s="61">
        <f t="shared" si="110"/>
        <v>213.86</v>
      </c>
      <c r="G829" s="8" t="s">
        <v>1339</v>
      </c>
      <c r="H829" s="24">
        <v>204</v>
      </c>
      <c r="I829" s="663">
        <f t="shared" si="112"/>
        <v>1.1435939120441741E-2</v>
      </c>
      <c r="J829" s="39">
        <f t="shared" si="113"/>
        <v>25.949632536367968</v>
      </c>
      <c r="K829" s="37">
        <f t="shared" si="111"/>
        <v>9.5416798836225034</v>
      </c>
      <c r="L829" s="39">
        <v>9.9684557921730406</v>
      </c>
      <c r="M829" s="39">
        <f t="shared" si="109"/>
        <v>7.7867309471087811</v>
      </c>
      <c r="N829" s="39"/>
      <c r="O829" s="94">
        <f t="shared" si="106"/>
        <v>0.24897829963187265</v>
      </c>
    </row>
    <row r="830" spans="1:15" s="6" customFormat="1" ht="15.75">
      <c r="A830" s="8">
        <v>83</v>
      </c>
      <c r="B830" s="8" t="s">
        <v>887</v>
      </c>
      <c r="C830" s="8">
        <v>397.89</v>
      </c>
      <c r="D830" s="55"/>
      <c r="E830" s="55"/>
      <c r="F830" s="61">
        <f t="shared" si="110"/>
        <v>397.89</v>
      </c>
      <c r="G830" s="8" t="s">
        <v>1339</v>
      </c>
      <c r="H830" s="24">
        <v>267</v>
      </c>
      <c r="I830" s="663">
        <f t="shared" si="112"/>
        <v>1.4967626201754632E-2</v>
      </c>
      <c r="J830" s="39">
        <f t="shared" si="113"/>
        <v>33.963489643187486</v>
      </c>
      <c r="K830" s="37">
        <f t="shared" si="111"/>
        <v>12.48837514180004</v>
      </c>
      <c r="L830" s="39">
        <v>13.046949492697069</v>
      </c>
      <c r="M830" s="39">
        <f t="shared" si="109"/>
        <v>10.191456680774728</v>
      </c>
      <c r="N830" s="39"/>
      <c r="O830" s="94">
        <f t="shared" si="106"/>
        <v>0.17514959149126474</v>
      </c>
    </row>
    <row r="831" spans="1:15" s="6" customFormat="1" ht="15.75">
      <c r="A831" s="8">
        <v>84</v>
      </c>
      <c r="B831" s="8" t="s">
        <v>888</v>
      </c>
      <c r="C831" s="8">
        <v>352.17</v>
      </c>
      <c r="D831" s="55"/>
      <c r="E831" s="55"/>
      <c r="F831" s="61">
        <f t="shared" si="110"/>
        <v>352.17</v>
      </c>
      <c r="G831" s="8" t="s">
        <v>1339</v>
      </c>
      <c r="H831" s="24">
        <v>157</v>
      </c>
      <c r="I831" s="663">
        <f t="shared" si="112"/>
        <v>8.8011884407321241E-3</v>
      </c>
      <c r="J831" s="39">
        <f t="shared" si="113"/>
        <v>19.971040726518485</v>
      </c>
      <c r="K831" s="37">
        <f t="shared" si="111"/>
        <v>7.3433516751408474</v>
      </c>
      <c r="L831" s="39">
        <v>7.6718017616233691</v>
      </c>
      <c r="M831" s="39">
        <f t="shared" si="109"/>
        <v>5.9927292092945033</v>
      </c>
      <c r="N831" s="39"/>
      <c r="O831" s="94">
        <f t="shared" si="106"/>
        <v>0.11636119877495869</v>
      </c>
    </row>
    <row r="832" spans="1:15" s="6" customFormat="1" ht="15.75">
      <c r="A832" s="8">
        <v>85</v>
      </c>
      <c r="B832" s="8" t="s">
        <v>889</v>
      </c>
      <c r="C832" s="8">
        <v>653.07000000000005</v>
      </c>
      <c r="D832" s="55"/>
      <c r="E832" s="55"/>
      <c r="F832" s="61">
        <f t="shared" si="110"/>
        <v>653.07000000000005</v>
      </c>
      <c r="G832" s="8" t="s">
        <v>1339</v>
      </c>
      <c r="H832" s="24">
        <v>409</v>
      </c>
      <c r="I832" s="663">
        <f t="shared" si="112"/>
        <v>2.2927936765983689E-2</v>
      </c>
      <c r="J832" s="39">
        <f t="shared" si="113"/>
        <v>52.026469153796569</v>
      </c>
      <c r="K832" s="37">
        <f t="shared" si="111"/>
        <v>19.130132707851001</v>
      </c>
      <c r="L832" s="39">
        <v>19.98577656371948</v>
      </c>
      <c r="M832" s="39">
        <f t="shared" si="109"/>
        <v>15.611632143958293</v>
      </c>
      <c r="N832" s="39"/>
      <c r="O832" s="94">
        <f t="shared" si="106"/>
        <v>0.16346488212492588</v>
      </c>
    </row>
    <row r="833" spans="1:15" s="6" customFormat="1" ht="15.75">
      <c r="A833" s="8">
        <v>87</v>
      </c>
      <c r="B833" s="8" t="s">
        <v>916</v>
      </c>
      <c r="C833" s="8">
        <v>786.94</v>
      </c>
      <c r="D833" s="55"/>
      <c r="E833" s="55"/>
      <c r="F833" s="61">
        <f t="shared" si="110"/>
        <v>786.94</v>
      </c>
      <c r="G833" s="8" t="s">
        <v>1339</v>
      </c>
      <c r="H833" s="24">
        <v>448</v>
      </c>
      <c r="I833" s="663">
        <f t="shared" si="112"/>
        <v>2.5114219244891666E-2</v>
      </c>
      <c r="J833" s="39">
        <f t="shared" si="113"/>
        <v>56.987428315161026</v>
      </c>
      <c r="K833" s="37">
        <f t="shared" si="111"/>
        <v>20.954277391484709</v>
      </c>
      <c r="L833" s="39">
        <v>21.891510759281971</v>
      </c>
      <c r="M833" s="39">
        <f t="shared" si="109"/>
        <v>17.100271883846734</v>
      </c>
      <c r="N833" s="39"/>
      <c r="O833" s="94">
        <f t="shared" si="106"/>
        <v>0.14859263520697186</v>
      </c>
    </row>
    <row r="834" spans="1:15" s="6" customFormat="1" ht="15.75">
      <c r="A834" s="8">
        <v>89</v>
      </c>
      <c r="B834" s="8" t="s">
        <v>918</v>
      </c>
      <c r="C834" s="8">
        <v>3273.28</v>
      </c>
      <c r="D834" s="55"/>
      <c r="E834" s="55">
        <v>69.5</v>
      </c>
      <c r="F834" s="61">
        <f t="shared" si="110"/>
        <v>3342.78</v>
      </c>
      <c r="G834" s="8" t="s">
        <v>1339</v>
      </c>
      <c r="H834" s="24">
        <v>1290</v>
      </c>
      <c r="I834" s="663">
        <f t="shared" si="112"/>
        <v>7.231549737926396E-2</v>
      </c>
      <c r="J834" s="39">
        <f t="shared" si="113"/>
        <v>164.09326456820924</v>
      </c>
      <c r="K834" s="37">
        <f t="shared" si="111"/>
        <v>60.33709338173054</v>
      </c>
      <c r="L834" s="39">
        <v>63.03582339168247</v>
      </c>
      <c r="M834" s="39">
        <f t="shared" si="109"/>
        <v>49.23962216554083</v>
      </c>
      <c r="N834" s="39"/>
      <c r="O834" s="94">
        <f t="shared" si="106"/>
        <v>0.10072628276678784</v>
      </c>
    </row>
    <row r="835" spans="1:15" s="6" customFormat="1" ht="15.75">
      <c r="A835" s="8">
        <v>90</v>
      </c>
      <c r="B835" s="8" t="s">
        <v>921</v>
      </c>
      <c r="C835" s="8">
        <v>139.80000000000001</v>
      </c>
      <c r="D835" s="55"/>
      <c r="E835" s="55"/>
      <c r="F835" s="61">
        <f t="shared" si="110"/>
        <v>139.80000000000001</v>
      </c>
      <c r="G835" s="8" t="s">
        <v>1339</v>
      </c>
      <c r="H835" s="24">
        <v>200</v>
      </c>
      <c r="I835" s="663">
        <f t="shared" si="112"/>
        <v>1.1211705020040923E-2</v>
      </c>
      <c r="J835" s="39">
        <f t="shared" si="113"/>
        <v>25.440816212125458</v>
      </c>
      <c r="K835" s="37">
        <f t="shared" si="111"/>
        <v>9.3545881211985318</v>
      </c>
      <c r="L835" s="39">
        <v>9.7729958746794523</v>
      </c>
      <c r="M835" s="39">
        <f t="shared" si="109"/>
        <v>7.6340499481458641</v>
      </c>
      <c r="N835" s="39"/>
      <c r="O835" s="94">
        <f t="shared" si="106"/>
        <v>0.37340808409262738</v>
      </c>
    </row>
    <row r="836" spans="1:15" s="6" customFormat="1" ht="15.75">
      <c r="A836" s="8">
        <v>91</v>
      </c>
      <c r="B836" s="8" t="s">
        <v>922</v>
      </c>
      <c r="C836" s="8">
        <v>2876.7</v>
      </c>
      <c r="D836" s="55"/>
      <c r="E836" s="55">
        <v>258.60000000000002</v>
      </c>
      <c r="F836" s="61">
        <f t="shared" si="110"/>
        <v>3135.2999999999997</v>
      </c>
      <c r="G836" s="8" t="s">
        <v>1339</v>
      </c>
      <c r="H836" s="24">
        <v>900</v>
      </c>
      <c r="I836" s="663">
        <f t="shared" si="112"/>
        <v>5.0452672590184156E-2</v>
      </c>
      <c r="J836" s="39">
        <f t="shared" si="113"/>
        <v>114.48367295456458</v>
      </c>
      <c r="K836" s="37">
        <f t="shared" si="111"/>
        <v>42.0956465453934</v>
      </c>
      <c r="L836" s="39">
        <v>43.978481436057528</v>
      </c>
      <c r="M836" s="39">
        <f t="shared" si="109"/>
        <v>34.353224766656389</v>
      </c>
      <c r="N836" s="39"/>
      <c r="O836" s="94">
        <f t="shared" si="106"/>
        <v>7.4924576819657432E-2</v>
      </c>
    </row>
    <row r="837" spans="1:15" s="6" customFormat="1" ht="15.75">
      <c r="A837" s="8">
        <v>92</v>
      </c>
      <c r="B837" s="8" t="s">
        <v>923</v>
      </c>
      <c r="C837" s="8">
        <v>230.5</v>
      </c>
      <c r="D837" s="55"/>
      <c r="E837" s="55"/>
      <c r="F837" s="61">
        <f t="shared" si="110"/>
        <v>230.5</v>
      </c>
      <c r="G837" s="8" t="s">
        <v>1339</v>
      </c>
      <c r="H837" s="24">
        <v>268</v>
      </c>
      <c r="I837" s="663">
        <f t="shared" si="112"/>
        <v>1.5023684726854837E-2</v>
      </c>
      <c r="J837" s="39">
        <f t="shared" si="113"/>
        <v>34.090693724248119</v>
      </c>
      <c r="K837" s="37">
        <f t="shared" si="111"/>
        <v>12.535148082406034</v>
      </c>
      <c r="L837" s="39">
        <v>13.095814472070465</v>
      </c>
      <c r="M837" s="39">
        <f t="shared" si="109"/>
        <v>10.229626930515458</v>
      </c>
      <c r="N837" s="39"/>
      <c r="O837" s="94">
        <f t="shared" si="106"/>
        <v>0.30347628290342765</v>
      </c>
    </row>
    <row r="838" spans="1:15" s="6" customFormat="1" ht="15.75">
      <c r="A838" s="8">
        <v>93</v>
      </c>
      <c r="B838" s="8" t="s">
        <v>924</v>
      </c>
      <c r="C838" s="8">
        <v>65.900000000000006</v>
      </c>
      <c r="D838" s="55"/>
      <c r="E838" s="55"/>
      <c r="F838" s="61">
        <f t="shared" si="110"/>
        <v>65.900000000000006</v>
      </c>
      <c r="G838" s="8" t="s">
        <v>1339</v>
      </c>
      <c r="H838" s="24">
        <v>79</v>
      </c>
      <c r="I838" s="663">
        <f t="shared" si="112"/>
        <v>4.428623482916165E-3</v>
      </c>
      <c r="J838" s="39">
        <f t="shared" si="113"/>
        <v>10.049122403789559</v>
      </c>
      <c r="K838" s="37">
        <f t="shared" si="111"/>
        <v>3.695062307873421</v>
      </c>
      <c r="L838" s="39">
        <v>3.8603333704983833</v>
      </c>
      <c r="M838" s="39">
        <f t="shared" si="109"/>
        <v>3.0154497295176168</v>
      </c>
      <c r="N838" s="39"/>
      <c r="O838" s="94">
        <f t="shared" si="106"/>
        <v>0.31289784236235174</v>
      </c>
    </row>
    <row r="839" spans="1:15" s="6" customFormat="1" ht="15.75">
      <c r="A839" s="8">
        <v>94</v>
      </c>
      <c r="B839" s="8" t="s">
        <v>16</v>
      </c>
      <c r="C839" s="8">
        <v>75.900000000000006</v>
      </c>
      <c r="D839" s="55"/>
      <c r="E839" s="55"/>
      <c r="F839" s="61">
        <f t="shared" si="110"/>
        <v>75.900000000000006</v>
      </c>
      <c r="G839" s="8" t="s">
        <v>1339</v>
      </c>
      <c r="H839" s="24">
        <v>54</v>
      </c>
      <c r="I839" s="663">
        <f t="shared" si="112"/>
        <v>3.0271603554110492E-3</v>
      </c>
      <c r="J839" s="39">
        <f t="shared" si="113"/>
        <v>6.8690203772738743</v>
      </c>
      <c r="K839" s="37">
        <f t="shared" si="111"/>
        <v>2.5257387927236037</v>
      </c>
      <c r="L839" s="39">
        <v>2.6387088861634518</v>
      </c>
      <c r="M839" s="39">
        <f t="shared" si="109"/>
        <v>2.0611934859993832</v>
      </c>
      <c r="N839" s="39"/>
      <c r="O839" s="94">
        <f t="shared" ref="O839:O902" si="114">(M839+L839+K839+J839)/F839</f>
        <v>0.18570041557523467</v>
      </c>
    </row>
    <row r="840" spans="1:15" s="6" customFormat="1" ht="15.75">
      <c r="A840" s="8">
        <v>95</v>
      </c>
      <c r="B840" s="8" t="s">
        <v>17</v>
      </c>
      <c r="C840" s="8">
        <v>115.8</v>
      </c>
      <c r="D840" s="55"/>
      <c r="E840" s="55"/>
      <c r="F840" s="61">
        <f t="shared" si="110"/>
        <v>115.8</v>
      </c>
      <c r="G840" s="8" t="s">
        <v>1339</v>
      </c>
      <c r="H840" s="24">
        <v>99</v>
      </c>
      <c r="I840" s="663">
        <f t="shared" si="112"/>
        <v>5.5497939849202572E-3</v>
      </c>
      <c r="J840" s="39">
        <f t="shared" si="113"/>
        <v>12.593204025002104</v>
      </c>
      <c r="K840" s="37">
        <f t="shared" si="111"/>
        <v>4.6305211199932739</v>
      </c>
      <c r="L840" s="39">
        <v>4.8376329579663286</v>
      </c>
      <c r="M840" s="39">
        <f t="shared" si="109"/>
        <v>3.778854724332203</v>
      </c>
      <c r="N840" s="39"/>
      <c r="O840" s="94">
        <f t="shared" si="114"/>
        <v>0.22314518849131185</v>
      </c>
    </row>
    <row r="841" spans="1:15" s="6" customFormat="1" ht="15.75">
      <c r="A841" s="8">
        <v>96</v>
      </c>
      <c r="B841" s="8" t="s">
        <v>18</v>
      </c>
      <c r="C841" s="8">
        <v>43.6</v>
      </c>
      <c r="D841" s="55"/>
      <c r="E841" s="55"/>
      <c r="F841" s="61">
        <f t="shared" si="110"/>
        <v>43.6</v>
      </c>
      <c r="G841" s="8" t="s">
        <v>1339</v>
      </c>
      <c r="H841" s="24">
        <v>57</v>
      </c>
      <c r="I841" s="663">
        <f t="shared" si="112"/>
        <v>3.1953359307116632E-3</v>
      </c>
      <c r="J841" s="39">
        <f t="shared" si="113"/>
        <v>7.2506326204557565</v>
      </c>
      <c r="K841" s="37">
        <f t="shared" si="111"/>
        <v>2.666057614541582</v>
      </c>
      <c r="L841" s="39">
        <v>2.7853038242836439</v>
      </c>
      <c r="M841" s="39">
        <f t="shared" si="109"/>
        <v>2.1757042352215716</v>
      </c>
      <c r="N841" s="39"/>
      <c r="O841" s="94">
        <f t="shared" si="114"/>
        <v>0.34123161225923287</v>
      </c>
    </row>
    <row r="842" spans="1:15" s="6" customFormat="1" ht="15.75">
      <c r="A842" s="8">
        <v>97</v>
      </c>
      <c r="B842" s="8" t="s">
        <v>19</v>
      </c>
      <c r="C842" s="8">
        <v>229.9</v>
      </c>
      <c r="D842" s="55"/>
      <c r="E842" s="55"/>
      <c r="F842" s="61">
        <f t="shared" si="110"/>
        <v>229.9</v>
      </c>
      <c r="G842" s="8" t="s">
        <v>1339</v>
      </c>
      <c r="H842" s="24">
        <v>211</v>
      </c>
      <c r="I842" s="663">
        <f t="shared" si="112"/>
        <v>1.1828348796143173E-2</v>
      </c>
      <c r="J842" s="39">
        <f t="shared" si="113"/>
        <v>26.840061103792358</v>
      </c>
      <c r="K842" s="37">
        <f t="shared" si="111"/>
        <v>9.8690904678644511</v>
      </c>
      <c r="L842" s="39">
        <v>10.310510647786822</v>
      </c>
      <c r="M842" s="39">
        <f t="shared" si="109"/>
        <v>8.0539226952938865</v>
      </c>
      <c r="N842" s="39"/>
      <c r="O842" s="94">
        <f t="shared" si="114"/>
        <v>0.23955452333509142</v>
      </c>
    </row>
    <row r="843" spans="1:15" s="6" customFormat="1" ht="15.75">
      <c r="A843" s="8">
        <v>98</v>
      </c>
      <c r="B843" s="8" t="s">
        <v>20</v>
      </c>
      <c r="C843" s="8">
        <v>274.3</v>
      </c>
      <c r="D843" s="55"/>
      <c r="E843" s="55"/>
      <c r="F843" s="61">
        <f t="shared" si="110"/>
        <v>274.3</v>
      </c>
      <c r="G843" s="8" t="s">
        <v>1339</v>
      </c>
      <c r="H843" s="24">
        <v>370</v>
      </c>
      <c r="I843" s="663">
        <f t="shared" si="112"/>
        <v>2.0741654287075709E-2</v>
      </c>
      <c r="J843" s="39">
        <f t="shared" si="113"/>
        <v>47.065509992432105</v>
      </c>
      <c r="K843" s="37">
        <f t="shared" si="111"/>
        <v>17.305988024217285</v>
      </c>
      <c r="L843" s="39">
        <v>18.080042368156985</v>
      </c>
      <c r="M843" s="39">
        <f t="shared" si="109"/>
        <v>14.12299240406985</v>
      </c>
      <c r="N843" s="39"/>
      <c r="O843" s="94">
        <f t="shared" si="114"/>
        <v>0.35207631348478391</v>
      </c>
    </row>
    <row r="844" spans="1:15" s="6" customFormat="1" ht="15.75">
      <c r="A844" s="8">
        <v>99</v>
      </c>
      <c r="B844" s="8" t="s">
        <v>21</v>
      </c>
      <c r="C844" s="8">
        <v>282</v>
      </c>
      <c r="D844" s="55"/>
      <c r="E844" s="55"/>
      <c r="F844" s="61">
        <f t="shared" si="110"/>
        <v>282</v>
      </c>
      <c r="G844" s="8" t="s">
        <v>1339</v>
      </c>
      <c r="H844" s="24">
        <v>202</v>
      </c>
      <c r="I844" s="663">
        <f t="shared" si="112"/>
        <v>1.1323822070241333E-2</v>
      </c>
      <c r="J844" s="39">
        <f t="shared" si="113"/>
        <v>25.695224374246717</v>
      </c>
      <c r="K844" s="37">
        <f t="shared" si="111"/>
        <v>9.4481340024105176</v>
      </c>
      <c r="L844" s="39">
        <v>9.8707258334262455</v>
      </c>
      <c r="M844" s="39">
        <f t="shared" si="109"/>
        <v>7.7103904476273231</v>
      </c>
      <c r="N844" s="39"/>
      <c r="O844" s="94">
        <f t="shared" si="114"/>
        <v>0.18696622219046383</v>
      </c>
    </row>
    <row r="845" spans="1:15" s="6" customFormat="1" ht="15.75">
      <c r="A845" s="8">
        <v>100</v>
      </c>
      <c r="B845" s="8" t="s">
        <v>22</v>
      </c>
      <c r="C845" s="8">
        <v>181.2</v>
      </c>
      <c r="D845" s="55"/>
      <c r="E845" s="55"/>
      <c r="F845" s="61">
        <f t="shared" si="110"/>
        <v>181.2</v>
      </c>
      <c r="G845" s="8" t="s">
        <v>1339</v>
      </c>
      <c r="H845" s="24">
        <v>156</v>
      </c>
      <c r="I845" s="663">
        <f t="shared" si="112"/>
        <v>8.74512991563192E-3</v>
      </c>
      <c r="J845" s="39">
        <f t="shared" si="113"/>
        <v>19.843836645457859</v>
      </c>
      <c r="K845" s="37">
        <f t="shared" si="111"/>
        <v>7.2965787345348554</v>
      </c>
      <c r="L845" s="39">
        <v>7.6229367822499725</v>
      </c>
      <c r="M845" s="39">
        <f t="shared" si="109"/>
        <v>5.9545589595537738</v>
      </c>
      <c r="N845" s="39"/>
      <c r="O845" s="94">
        <f t="shared" si="114"/>
        <v>0.2247125337847487</v>
      </c>
    </row>
    <row r="846" spans="1:15" s="6" customFormat="1" ht="15.75">
      <c r="A846" s="8">
        <v>101</v>
      </c>
      <c r="B846" s="8" t="s">
        <v>23</v>
      </c>
      <c r="C846" s="8">
        <v>171</v>
      </c>
      <c r="D846" s="55"/>
      <c r="E846" s="55"/>
      <c r="F846" s="61">
        <f t="shared" si="110"/>
        <v>171</v>
      </c>
      <c r="G846" s="8" t="s">
        <v>1339</v>
      </c>
      <c r="H846" s="24">
        <v>149</v>
      </c>
      <c r="I846" s="663">
        <f t="shared" si="112"/>
        <v>8.3527202399304879E-3</v>
      </c>
      <c r="J846" s="39">
        <f t="shared" si="113"/>
        <v>18.953408078033469</v>
      </c>
      <c r="K846" s="37">
        <f t="shared" si="111"/>
        <v>6.9691681502929068</v>
      </c>
      <c r="L846" s="39">
        <v>7.2808819266361917</v>
      </c>
      <c r="M846" s="39">
        <f t="shared" si="109"/>
        <v>5.6873672113686693</v>
      </c>
      <c r="N846" s="39"/>
      <c r="O846" s="94">
        <f t="shared" si="114"/>
        <v>0.22743172728848676</v>
      </c>
    </row>
    <row r="847" spans="1:15" s="6" customFormat="1" ht="15.75">
      <c r="A847" s="8">
        <v>102</v>
      </c>
      <c r="B847" s="8" t="s">
        <v>24</v>
      </c>
      <c r="C847" s="8">
        <v>160.5</v>
      </c>
      <c r="D847" s="55"/>
      <c r="E847" s="55"/>
      <c r="F847" s="61">
        <f t="shared" si="110"/>
        <v>160.5</v>
      </c>
      <c r="G847" s="8" t="s">
        <v>1339</v>
      </c>
      <c r="H847" s="24">
        <v>143</v>
      </c>
      <c r="I847" s="663">
        <f t="shared" si="112"/>
        <v>8.0163690893292599E-3</v>
      </c>
      <c r="J847" s="39">
        <f t="shared" si="113"/>
        <v>18.190183591669705</v>
      </c>
      <c r="K847" s="37">
        <f t="shared" si="111"/>
        <v>6.6885305066569511</v>
      </c>
      <c r="L847" s="39">
        <v>6.9876920503958084</v>
      </c>
      <c r="M847" s="39">
        <f t="shared" si="109"/>
        <v>5.4583457129242925</v>
      </c>
      <c r="N847" s="39"/>
      <c r="O847" s="94">
        <f t="shared" si="114"/>
        <v>0.23255297110060286</v>
      </c>
    </row>
    <row r="848" spans="1:15" s="6" customFormat="1" ht="15.75">
      <c r="A848" s="8">
        <v>103</v>
      </c>
      <c r="B848" s="8" t="s">
        <v>25</v>
      </c>
      <c r="C848" s="8">
        <v>165.6</v>
      </c>
      <c r="D848" s="55"/>
      <c r="E848" s="55"/>
      <c r="F848" s="61">
        <f t="shared" si="110"/>
        <v>165.6</v>
      </c>
      <c r="G848" s="8" t="s">
        <v>1339</v>
      </c>
      <c r="H848" s="24">
        <v>142</v>
      </c>
      <c r="I848" s="663">
        <f t="shared" si="112"/>
        <v>7.9603105642290558E-3</v>
      </c>
      <c r="J848" s="39">
        <f t="shared" si="113"/>
        <v>18.062979510609079</v>
      </c>
      <c r="K848" s="37">
        <f t="shared" si="111"/>
        <v>6.6417575660509591</v>
      </c>
      <c r="L848" s="39">
        <v>6.9388270710224109</v>
      </c>
      <c r="M848" s="39">
        <f t="shared" si="109"/>
        <v>5.4201754631835639</v>
      </c>
      <c r="N848" s="39"/>
      <c r="O848" s="94">
        <f t="shared" si="114"/>
        <v>0.22381485272262083</v>
      </c>
    </row>
    <row r="849" spans="1:15" s="6" customFormat="1" ht="15.75">
      <c r="A849" s="8">
        <v>104</v>
      </c>
      <c r="B849" s="8" t="s">
        <v>26</v>
      </c>
      <c r="C849" s="8">
        <v>158.6</v>
      </c>
      <c r="D849" s="55"/>
      <c r="E849" s="55"/>
      <c r="F849" s="61">
        <f t="shared" si="110"/>
        <v>158.6</v>
      </c>
      <c r="G849" s="8" t="s">
        <v>1339</v>
      </c>
      <c r="H849" s="24">
        <v>137</v>
      </c>
      <c r="I849" s="663">
        <f t="shared" si="112"/>
        <v>7.6800179387280319E-3</v>
      </c>
      <c r="J849" s="39">
        <f t="shared" si="113"/>
        <v>17.42695910530594</v>
      </c>
      <c r="K849" s="37">
        <f t="shared" si="111"/>
        <v>6.4078928630209946</v>
      </c>
      <c r="L849" s="39">
        <v>6.6945021741554243</v>
      </c>
      <c r="M849" s="39">
        <f t="shared" si="109"/>
        <v>5.2293242144799166</v>
      </c>
      <c r="N849" s="39"/>
      <c r="O849" s="94">
        <f t="shared" si="114"/>
        <v>0.22546455458362094</v>
      </c>
    </row>
    <row r="850" spans="1:15" s="6" customFormat="1" ht="15.75">
      <c r="A850" s="8">
        <v>105</v>
      </c>
      <c r="B850" s="8" t="s">
        <v>27</v>
      </c>
      <c r="C850" s="8">
        <v>414.61</v>
      </c>
      <c r="D850" s="55"/>
      <c r="E850" s="55"/>
      <c r="F850" s="61">
        <f t="shared" si="110"/>
        <v>414.61</v>
      </c>
      <c r="G850" s="8" t="s">
        <v>1339</v>
      </c>
      <c r="H850" s="24">
        <v>560</v>
      </c>
      <c r="I850" s="663">
        <f t="shared" si="112"/>
        <v>3.1392774056114583E-2</v>
      </c>
      <c r="J850" s="39">
        <f t="shared" si="113"/>
        <v>71.234285393951282</v>
      </c>
      <c r="K850" s="37">
        <f t="shared" si="111"/>
        <v>26.19284673935589</v>
      </c>
      <c r="L850" s="39">
        <v>27.364388449102464</v>
      </c>
      <c r="M850" s="39">
        <f t="shared" si="109"/>
        <v>21.37533985480842</v>
      </c>
      <c r="N850" s="39"/>
      <c r="O850" s="94">
        <f t="shared" si="114"/>
        <v>0.35254060547796251</v>
      </c>
    </row>
    <row r="851" spans="1:15" s="6" customFormat="1" ht="15.75">
      <c r="A851" s="8">
        <v>106</v>
      </c>
      <c r="B851" s="8" t="s">
        <v>28</v>
      </c>
      <c r="C851" s="8">
        <v>148.1</v>
      </c>
      <c r="D851" s="55"/>
      <c r="E851" s="55"/>
      <c r="F851" s="61">
        <f t="shared" si="110"/>
        <v>148.1</v>
      </c>
      <c r="G851" s="8" t="s">
        <v>1339</v>
      </c>
      <c r="H851" s="24">
        <v>143</v>
      </c>
      <c r="I851" s="663">
        <f t="shared" si="112"/>
        <v>8.0163690893292599E-3</v>
      </c>
      <c r="J851" s="39">
        <f t="shared" si="113"/>
        <v>18.190183591669705</v>
      </c>
      <c r="K851" s="37">
        <f t="shared" si="111"/>
        <v>6.6885305066569511</v>
      </c>
      <c r="L851" s="39">
        <v>6.9876920503958084</v>
      </c>
      <c r="M851" s="39">
        <f t="shared" si="109"/>
        <v>5.4583457129242925</v>
      </c>
      <c r="N851" s="39"/>
      <c r="O851" s="94">
        <f t="shared" si="114"/>
        <v>0.25202398286054534</v>
      </c>
    </row>
    <row r="852" spans="1:15" s="6" customFormat="1" ht="15.75">
      <c r="A852" s="8">
        <v>107</v>
      </c>
      <c r="B852" s="8" t="s">
        <v>29</v>
      </c>
      <c r="C852" s="8">
        <v>27.8</v>
      </c>
      <c r="D852" s="55"/>
      <c r="E852" s="55"/>
      <c r="F852" s="61">
        <f t="shared" si="110"/>
        <v>27.8</v>
      </c>
      <c r="G852" s="8" t="s">
        <v>1339</v>
      </c>
      <c r="H852" s="24">
        <v>56</v>
      </c>
      <c r="I852" s="663">
        <f t="shared" si="112"/>
        <v>3.1392774056114583E-3</v>
      </c>
      <c r="J852" s="39">
        <f t="shared" si="113"/>
        <v>7.1234285393951282</v>
      </c>
      <c r="K852" s="37">
        <f t="shared" si="111"/>
        <v>2.6192846739355886</v>
      </c>
      <c r="L852" s="39">
        <v>2.7364388449102464</v>
      </c>
      <c r="M852" s="39">
        <f t="shared" si="109"/>
        <v>2.1375339854808417</v>
      </c>
      <c r="N852" s="39"/>
      <c r="O852" s="94">
        <f t="shared" si="114"/>
        <v>0.52578007351517286</v>
      </c>
    </row>
    <row r="853" spans="1:15" s="6" customFormat="1" ht="15.75">
      <c r="A853" s="8">
        <v>108</v>
      </c>
      <c r="B853" s="8" t="s">
        <v>30</v>
      </c>
      <c r="C853" s="8">
        <v>140.9</v>
      </c>
      <c r="D853" s="55"/>
      <c r="E853" s="55"/>
      <c r="F853" s="61">
        <f t="shared" si="110"/>
        <v>140.9</v>
      </c>
      <c r="G853" s="8" t="s">
        <v>1339</v>
      </c>
      <c r="H853" s="24">
        <v>144</v>
      </c>
      <c r="I853" s="663">
        <f t="shared" si="112"/>
        <v>8.072427614429464E-3</v>
      </c>
      <c r="J853" s="39">
        <f t="shared" si="113"/>
        <v>18.31738767273033</v>
      </c>
      <c r="K853" s="37">
        <f t="shared" si="111"/>
        <v>6.7353034472629432</v>
      </c>
      <c r="L853" s="39">
        <v>7.0365570297692059</v>
      </c>
      <c r="M853" s="39">
        <f t="shared" si="109"/>
        <v>5.496515962665022</v>
      </c>
      <c r="N853" s="39"/>
      <c r="O853" s="94">
        <f t="shared" si="114"/>
        <v>0.26675489079082682</v>
      </c>
    </row>
    <row r="854" spans="1:15" s="6" customFormat="1" ht="15.75">
      <c r="A854" s="8">
        <v>109</v>
      </c>
      <c r="B854" s="8" t="s">
        <v>31</v>
      </c>
      <c r="C854" s="8">
        <v>66.599999999999994</v>
      </c>
      <c r="D854" s="55"/>
      <c r="E854" s="55"/>
      <c r="F854" s="61">
        <f t="shared" si="110"/>
        <v>66.599999999999994</v>
      </c>
      <c r="G854" s="8" t="s">
        <v>1339</v>
      </c>
      <c r="H854" s="24">
        <v>97</v>
      </c>
      <c r="I854" s="663">
        <f t="shared" si="112"/>
        <v>5.4376769347198473E-3</v>
      </c>
      <c r="J854" s="39">
        <f t="shared" si="113"/>
        <v>12.338795862880847</v>
      </c>
      <c r="K854" s="37">
        <f t="shared" si="111"/>
        <v>4.5369752387812881</v>
      </c>
      <c r="L854" s="39">
        <v>4.7399029992195345</v>
      </c>
      <c r="M854" s="39">
        <f t="shared" si="109"/>
        <v>3.7025142248507441</v>
      </c>
      <c r="N854" s="39"/>
      <c r="O854" s="94">
        <f t="shared" si="114"/>
        <v>0.38015297786385011</v>
      </c>
    </row>
    <row r="855" spans="1:15" s="6" customFormat="1" ht="15.75">
      <c r="A855" s="8">
        <v>110</v>
      </c>
      <c r="B855" s="8" t="s">
        <v>32</v>
      </c>
      <c r="C855" s="8">
        <v>97.5</v>
      </c>
      <c r="D855" s="55"/>
      <c r="E855" s="55"/>
      <c r="F855" s="61">
        <f t="shared" si="110"/>
        <v>97.5</v>
      </c>
      <c r="G855" s="8" t="s">
        <v>1339</v>
      </c>
      <c r="H855" s="24">
        <v>122</v>
      </c>
      <c r="I855" s="663">
        <f t="shared" si="112"/>
        <v>6.8391400622249627E-3</v>
      </c>
      <c r="J855" s="39">
        <f t="shared" si="113"/>
        <v>15.518897889396531</v>
      </c>
      <c r="K855" s="37">
        <f t="shared" si="111"/>
        <v>5.7062987539311045</v>
      </c>
      <c r="L855" s="39">
        <v>5.9615274835544652</v>
      </c>
      <c r="M855" s="39">
        <f>I855*680.9</f>
        <v>4.6567704683689772</v>
      </c>
      <c r="N855" s="39"/>
      <c r="O855" s="94">
        <f t="shared" si="114"/>
        <v>0.32659994456667774</v>
      </c>
    </row>
    <row r="856" spans="1:15" s="6" customFormat="1" ht="15.75">
      <c r="A856" s="8">
        <v>111</v>
      </c>
      <c r="B856" s="8" t="s">
        <v>33</v>
      </c>
      <c r="C856" s="8">
        <v>522.6</v>
      </c>
      <c r="D856" s="55"/>
      <c r="E856" s="55"/>
      <c r="F856" s="61">
        <f t="shared" si="110"/>
        <v>522.6</v>
      </c>
      <c r="G856" s="8" t="s">
        <v>1339</v>
      </c>
      <c r="H856" s="24">
        <v>473</v>
      </c>
      <c r="I856" s="663">
        <f t="shared" si="112"/>
        <v>2.6515682372396782E-2</v>
      </c>
      <c r="J856" s="39">
        <f t="shared" si="113"/>
        <v>60.167530341676716</v>
      </c>
      <c r="K856" s="37">
        <f t="shared" si="111"/>
        <v>22.123600906634529</v>
      </c>
      <c r="L856" s="39">
        <v>23.113135243616902</v>
      </c>
      <c r="M856" s="39">
        <f>I856*680.9</f>
        <v>18.054528127364968</v>
      </c>
      <c r="N856" s="39"/>
      <c r="O856" s="94">
        <f t="shared" si="114"/>
        <v>0.23623956107786664</v>
      </c>
    </row>
    <row r="857" spans="1:15" s="363" customFormat="1" ht="15.75">
      <c r="A857" s="361">
        <v>112</v>
      </c>
      <c r="B857" s="361" t="s">
        <v>34</v>
      </c>
      <c r="C857" s="361">
        <v>71.8</v>
      </c>
      <c r="D857" s="362"/>
      <c r="E857" s="362"/>
      <c r="F857" s="61">
        <f t="shared" si="110"/>
        <v>71.8</v>
      </c>
      <c r="G857" s="8" t="s">
        <v>1341</v>
      </c>
      <c r="H857" s="24">
        <v>202</v>
      </c>
      <c r="I857" s="663">
        <f t="shared" si="112"/>
        <v>1.1323822070241333E-2</v>
      </c>
      <c r="J857" s="39">
        <f t="shared" si="113"/>
        <v>25.695224374246717</v>
      </c>
      <c r="K857" s="37">
        <f t="shared" si="111"/>
        <v>9.4481340024105176</v>
      </c>
      <c r="L857" s="39">
        <v>9.8707258334262455</v>
      </c>
      <c r="M857" s="39">
        <f>I857*376.38</f>
        <v>4.2620601507974323</v>
      </c>
      <c r="N857" s="39"/>
      <c r="O857" s="94">
        <f t="shared" si="114"/>
        <v>0.68629727522118256</v>
      </c>
    </row>
    <row r="858" spans="1:15" s="6" customFormat="1" ht="15.75">
      <c r="A858" s="8">
        <v>113</v>
      </c>
      <c r="B858" s="8" t="s">
        <v>35</v>
      </c>
      <c r="C858" s="8">
        <v>199</v>
      </c>
      <c r="D858" s="55"/>
      <c r="E858" s="55"/>
      <c r="F858" s="61">
        <f t="shared" si="110"/>
        <v>199</v>
      </c>
      <c r="G858" s="8" t="s">
        <v>1339</v>
      </c>
      <c r="H858" s="24">
        <v>96</v>
      </c>
      <c r="I858" s="663">
        <f t="shared" si="112"/>
        <v>5.3816184096196432E-3</v>
      </c>
      <c r="J858" s="39">
        <f t="shared" si="113"/>
        <v>12.211591781820221</v>
      </c>
      <c r="K858" s="37">
        <f t="shared" si="111"/>
        <v>4.490202298175296</v>
      </c>
      <c r="L858" s="39">
        <v>4.691038019846137</v>
      </c>
      <c r="M858" s="39">
        <f>I858*680.9</f>
        <v>3.6643439751100151</v>
      </c>
      <c r="N858" s="39"/>
      <c r="O858" s="94">
        <f t="shared" si="114"/>
        <v>0.12591545766307372</v>
      </c>
    </row>
    <row r="859" spans="1:15" s="6" customFormat="1" ht="15.75">
      <c r="A859" s="8">
        <v>114</v>
      </c>
      <c r="B859" s="8" t="s">
        <v>36</v>
      </c>
      <c r="C859" s="8">
        <v>128.5</v>
      </c>
      <c r="D859" s="55"/>
      <c r="E859" s="55"/>
      <c r="F859" s="61">
        <f t="shared" si="110"/>
        <v>128.5</v>
      </c>
      <c r="G859" s="8" t="s">
        <v>1339</v>
      </c>
      <c r="H859" s="24">
        <v>132</v>
      </c>
      <c r="I859" s="663">
        <f t="shared" si="112"/>
        <v>7.3997253132270088E-3</v>
      </c>
      <c r="J859" s="39">
        <f t="shared" si="113"/>
        <v>16.790938700002805</v>
      </c>
      <c r="K859" s="37">
        <f t="shared" si="111"/>
        <v>6.1740281599910318</v>
      </c>
      <c r="L859" s="39">
        <v>6.4501772772884385</v>
      </c>
      <c r="M859" s="39">
        <f>I859*680.9</f>
        <v>5.0384729657762701</v>
      </c>
      <c r="N859" s="39"/>
      <c r="O859" s="94">
        <f t="shared" si="114"/>
        <v>0.26812153387594201</v>
      </c>
    </row>
    <row r="860" spans="1:15" s="363" customFormat="1" ht="15.75">
      <c r="A860" s="361">
        <v>115</v>
      </c>
      <c r="B860" s="361" t="s">
        <v>37</v>
      </c>
      <c r="C860" s="361">
        <v>43.4</v>
      </c>
      <c r="D860" s="362"/>
      <c r="E860" s="362"/>
      <c r="F860" s="61">
        <f t="shared" si="110"/>
        <v>43.4</v>
      </c>
      <c r="G860" s="8" t="s">
        <v>1341</v>
      </c>
      <c r="H860" s="24">
        <v>119</v>
      </c>
      <c r="I860" s="663">
        <f t="shared" si="112"/>
        <v>6.6709644869243495E-3</v>
      </c>
      <c r="J860" s="39">
        <f t="shared" si="113"/>
        <v>15.13728564621465</v>
      </c>
      <c r="K860" s="37">
        <f t="shared" si="111"/>
        <v>5.5659799321131276</v>
      </c>
      <c r="L860" s="39">
        <v>5.8149325454342735</v>
      </c>
      <c r="M860" s="39">
        <f>I860*376.38</f>
        <v>2.5108176135885865</v>
      </c>
      <c r="N860" s="39"/>
      <c r="O860" s="94">
        <f t="shared" si="114"/>
        <v>0.66887133035370128</v>
      </c>
    </row>
    <row r="861" spans="1:15" s="6" customFormat="1" ht="15.75">
      <c r="A861" s="8">
        <v>116</v>
      </c>
      <c r="B861" s="8" t="s">
        <v>38</v>
      </c>
      <c r="C861" s="8">
        <v>35.4</v>
      </c>
      <c r="D861" s="55"/>
      <c r="E861" s="55"/>
      <c r="F861" s="61">
        <f t="shared" si="110"/>
        <v>35.4</v>
      </c>
      <c r="G861" s="8" t="s">
        <v>1339</v>
      </c>
      <c r="H861" s="24">
        <v>67</v>
      </c>
      <c r="I861" s="663">
        <f t="shared" si="112"/>
        <v>3.7559211817137094E-3</v>
      </c>
      <c r="J861" s="39">
        <f t="shared" si="113"/>
        <v>8.5226734310620298</v>
      </c>
      <c r="K861" s="37">
        <f t="shared" si="111"/>
        <v>3.1337870206015084</v>
      </c>
      <c r="L861" s="39">
        <v>3.2739536180176163</v>
      </c>
      <c r="M861" s="39">
        <f t="shared" ref="M861:M872" si="115">I861*680.9</f>
        <v>2.5574067326288645</v>
      </c>
      <c r="N861" s="39"/>
      <c r="O861" s="94">
        <f t="shared" si="114"/>
        <v>0.49400623735339039</v>
      </c>
    </row>
    <row r="862" spans="1:15" s="6" customFormat="1" ht="15.75">
      <c r="A862" s="8">
        <v>117</v>
      </c>
      <c r="B862" s="8" t="s">
        <v>39</v>
      </c>
      <c r="C862" s="8">
        <v>407.14</v>
      </c>
      <c r="D862" s="55"/>
      <c r="E862" s="55"/>
      <c r="F862" s="61">
        <f t="shared" si="110"/>
        <v>407.14</v>
      </c>
      <c r="G862" s="8" t="s">
        <v>1339</v>
      </c>
      <c r="H862" s="24">
        <v>300</v>
      </c>
      <c r="I862" s="663">
        <f t="shared" si="112"/>
        <v>1.6817557530061384E-2</v>
      </c>
      <c r="J862" s="39">
        <f t="shared" si="113"/>
        <v>38.161224318188189</v>
      </c>
      <c r="K862" s="37">
        <f t="shared" si="111"/>
        <v>14.031882181797798</v>
      </c>
      <c r="L862" s="39">
        <v>14.659493812019178</v>
      </c>
      <c r="M862" s="39">
        <f t="shared" si="115"/>
        <v>11.451074922218796</v>
      </c>
      <c r="N862" s="39"/>
      <c r="O862" s="94">
        <f t="shared" si="114"/>
        <v>0.19232616602206604</v>
      </c>
    </row>
    <row r="863" spans="1:15" s="6" customFormat="1" ht="15.75">
      <c r="A863" s="8">
        <v>118</v>
      </c>
      <c r="B863" s="8" t="s">
        <v>40</v>
      </c>
      <c r="C863" s="8">
        <v>207.4</v>
      </c>
      <c r="D863" s="55"/>
      <c r="E863" s="55"/>
      <c r="F863" s="61">
        <f t="shared" si="110"/>
        <v>207.4</v>
      </c>
      <c r="G863" s="8" t="s">
        <v>1339</v>
      </c>
      <c r="H863" s="24">
        <v>285</v>
      </c>
      <c r="I863" s="663">
        <f t="shared" si="112"/>
        <v>1.5976679653558316E-2</v>
      </c>
      <c r="J863" s="39">
        <f t="shared" si="113"/>
        <v>36.253163102278783</v>
      </c>
      <c r="K863" s="37">
        <f t="shared" si="111"/>
        <v>13.33028807270791</v>
      </c>
      <c r="L863" s="39">
        <v>13.926519121418218</v>
      </c>
      <c r="M863" s="39">
        <f t="shared" si="115"/>
        <v>10.878521176107856</v>
      </c>
      <c r="N863" s="39"/>
      <c r="O863" s="94">
        <f t="shared" si="114"/>
        <v>0.35867160787132479</v>
      </c>
    </row>
    <row r="864" spans="1:15" s="6" customFormat="1" ht="15.75">
      <c r="A864" s="8">
        <v>119</v>
      </c>
      <c r="B864" s="8" t="s">
        <v>41</v>
      </c>
      <c r="C864" s="8">
        <v>388.5</v>
      </c>
      <c r="D864" s="55"/>
      <c r="E864" s="55">
        <v>230.8</v>
      </c>
      <c r="F864" s="61">
        <f t="shared" si="110"/>
        <v>619.29999999999995</v>
      </c>
      <c r="G864" s="8" t="s">
        <v>1339</v>
      </c>
      <c r="H864" s="24">
        <v>487</v>
      </c>
      <c r="I864" s="663">
        <f t="shared" si="112"/>
        <v>2.7300501723799647E-2</v>
      </c>
      <c r="J864" s="39">
        <f t="shared" si="113"/>
        <v>61.948387476525497</v>
      </c>
      <c r="K864" s="37">
        <f t="shared" si="111"/>
        <v>22.778422075118428</v>
      </c>
      <c r="L864" s="39">
        <v>23.797244954844462</v>
      </c>
      <c r="M864" s="39">
        <f t="shared" si="115"/>
        <v>18.588911623735179</v>
      </c>
      <c r="N864" s="39"/>
      <c r="O864" s="94">
        <f t="shared" si="114"/>
        <v>0.20525264997614012</v>
      </c>
    </row>
    <row r="865" spans="1:16" s="6" customFormat="1" ht="15.75">
      <c r="A865" s="8">
        <v>120</v>
      </c>
      <c r="B865" s="8" t="s">
        <v>42</v>
      </c>
      <c r="C865" s="8">
        <v>326.7</v>
      </c>
      <c r="D865" s="55"/>
      <c r="E865" s="55"/>
      <c r="F865" s="61">
        <f t="shared" si="110"/>
        <v>326.7</v>
      </c>
      <c r="G865" s="8" t="s">
        <v>1339</v>
      </c>
      <c r="H865" s="24">
        <v>210</v>
      </c>
      <c r="I865" s="663">
        <f t="shared" si="112"/>
        <v>1.1772290271042969E-2</v>
      </c>
      <c r="J865" s="39">
        <f t="shared" si="113"/>
        <v>26.712857022731733</v>
      </c>
      <c r="K865" s="37">
        <f t="shared" si="111"/>
        <v>9.8223175272584591</v>
      </c>
      <c r="L865" s="39">
        <v>10.261645668413424</v>
      </c>
      <c r="M865" s="39">
        <f t="shared" si="115"/>
        <v>8.0157524455531579</v>
      </c>
      <c r="N865" s="39"/>
      <c r="O865" s="94">
        <f t="shared" si="114"/>
        <v>0.16777646973969015</v>
      </c>
    </row>
    <row r="866" spans="1:16" s="6" customFormat="1" ht="15.75">
      <c r="A866" s="8">
        <v>121</v>
      </c>
      <c r="B866" s="8" t="s">
        <v>43</v>
      </c>
      <c r="C866" s="8">
        <v>485.4</v>
      </c>
      <c r="D866" s="55"/>
      <c r="E866" s="55"/>
      <c r="F866" s="61">
        <f t="shared" si="110"/>
        <v>485.4</v>
      </c>
      <c r="G866" s="8" t="s">
        <v>1339</v>
      </c>
      <c r="H866" s="24">
        <v>303</v>
      </c>
      <c r="I866" s="663">
        <f t="shared" si="112"/>
        <v>1.6985733105362E-2</v>
      </c>
      <c r="J866" s="39">
        <f t="shared" si="113"/>
        <v>38.542836561370073</v>
      </c>
      <c r="K866" s="37">
        <f t="shared" si="111"/>
        <v>14.172201003615777</v>
      </c>
      <c r="L866" s="39">
        <v>14.806088750139368</v>
      </c>
      <c r="M866" s="39">
        <f t="shared" si="115"/>
        <v>11.565585671440985</v>
      </c>
      <c r="N866" s="39"/>
      <c r="O866" s="94">
        <f t="shared" si="114"/>
        <v>0.16293100944904451</v>
      </c>
    </row>
    <row r="867" spans="1:16" s="6" customFormat="1" ht="15.75">
      <c r="A867" s="8">
        <v>122</v>
      </c>
      <c r="B867" s="8" t="s">
        <v>44</v>
      </c>
      <c r="C867" s="8">
        <v>133.6</v>
      </c>
      <c r="D867" s="55"/>
      <c r="E867" s="55"/>
      <c r="F867" s="61">
        <f t="shared" si="110"/>
        <v>133.6</v>
      </c>
      <c r="G867" s="8" t="s">
        <v>1339</v>
      </c>
      <c r="H867" s="24">
        <v>128</v>
      </c>
      <c r="I867" s="663">
        <f t="shared" si="112"/>
        <v>7.1754912128261907E-3</v>
      </c>
      <c r="J867" s="39">
        <f t="shared" si="113"/>
        <v>16.282122375760295</v>
      </c>
      <c r="K867" s="37">
        <f t="shared" si="111"/>
        <v>5.9869363975670611</v>
      </c>
      <c r="L867" s="39">
        <v>6.2547173597948493</v>
      </c>
      <c r="M867" s="39">
        <f t="shared" si="115"/>
        <v>4.8857919668133531</v>
      </c>
      <c r="N867" s="39"/>
      <c r="O867" s="94">
        <f t="shared" si="114"/>
        <v>0.2500716175144877</v>
      </c>
    </row>
    <row r="868" spans="1:16" s="6" customFormat="1" ht="15.75">
      <c r="A868" s="8">
        <v>123</v>
      </c>
      <c r="B868" s="8" t="s">
        <v>45</v>
      </c>
      <c r="C868" s="8">
        <v>562.28</v>
      </c>
      <c r="D868" s="55"/>
      <c r="E868" s="55"/>
      <c r="F868" s="61">
        <f t="shared" si="110"/>
        <v>562.28</v>
      </c>
      <c r="G868" s="8" t="s">
        <v>1339</v>
      </c>
      <c r="H868" s="24">
        <v>265</v>
      </c>
      <c r="I868" s="663">
        <f t="shared" si="112"/>
        <v>1.4855509151554223E-2</v>
      </c>
      <c r="J868" s="39">
        <f t="shared" si="113"/>
        <v>33.709081481066235</v>
      </c>
      <c r="K868" s="37">
        <f t="shared" si="111"/>
        <v>12.394829260588056</v>
      </c>
      <c r="L868" s="39">
        <v>12.949219533950272</v>
      </c>
      <c r="M868" s="39">
        <f t="shared" si="115"/>
        <v>10.115116181293271</v>
      </c>
      <c r="N868" s="39"/>
      <c r="O868" s="94">
        <f t="shared" si="114"/>
        <v>0.12301388357561684</v>
      </c>
    </row>
    <row r="869" spans="1:16" s="6" customFormat="1" ht="15.75">
      <c r="A869" s="8">
        <v>124</v>
      </c>
      <c r="B869" s="8" t="s">
        <v>46</v>
      </c>
      <c r="C869" s="8">
        <v>156.78</v>
      </c>
      <c r="D869" s="55"/>
      <c r="E869" s="55"/>
      <c r="F869" s="61">
        <f t="shared" si="110"/>
        <v>156.78</v>
      </c>
      <c r="G869" s="8" t="s">
        <v>1339</v>
      </c>
      <c r="H869" s="24">
        <v>146</v>
      </c>
      <c r="I869" s="663">
        <f t="shared" si="112"/>
        <v>8.1845446646298739E-3</v>
      </c>
      <c r="J869" s="39">
        <f t="shared" si="113"/>
        <v>18.571795834851585</v>
      </c>
      <c r="K869" s="37">
        <f t="shared" si="111"/>
        <v>6.8288493284749281</v>
      </c>
      <c r="L869" s="39">
        <v>7.1342869885159992</v>
      </c>
      <c r="M869" s="39">
        <f t="shared" si="115"/>
        <v>5.5728564621464809</v>
      </c>
      <c r="N869" s="39"/>
      <c r="O869" s="94">
        <f t="shared" si="114"/>
        <v>0.2430653693965365</v>
      </c>
    </row>
    <row r="870" spans="1:16" s="6" customFormat="1" ht="15.75">
      <c r="A870" s="8">
        <v>125</v>
      </c>
      <c r="B870" s="8" t="s">
        <v>47</v>
      </c>
      <c r="C870" s="8">
        <v>169.82</v>
      </c>
      <c r="D870" s="55"/>
      <c r="E870" s="55"/>
      <c r="F870" s="61">
        <f t="shared" si="110"/>
        <v>169.82</v>
      </c>
      <c r="G870" s="8" t="s">
        <v>1339</v>
      </c>
      <c r="H870" s="24">
        <v>135</v>
      </c>
      <c r="I870" s="663">
        <f t="shared" si="112"/>
        <v>7.5679008885276228E-3</v>
      </c>
      <c r="J870" s="39">
        <f t="shared" si="113"/>
        <v>17.172550943184685</v>
      </c>
      <c r="K870" s="37">
        <f t="shared" si="111"/>
        <v>6.3143469818090088</v>
      </c>
      <c r="L870" s="39">
        <v>6.5967722154086301</v>
      </c>
      <c r="M870" s="39">
        <f t="shared" si="115"/>
        <v>5.1529837149984585</v>
      </c>
      <c r="N870" s="39"/>
      <c r="O870" s="94">
        <f t="shared" si="114"/>
        <v>0.20749413411494985</v>
      </c>
    </row>
    <row r="871" spans="1:16" s="6" customFormat="1" ht="15.75">
      <c r="A871" s="8">
        <v>126</v>
      </c>
      <c r="B871" s="8" t="s">
        <v>48</v>
      </c>
      <c r="C871" s="8">
        <v>263.20999999999998</v>
      </c>
      <c r="D871" s="55"/>
      <c r="E871" s="55"/>
      <c r="F871" s="61">
        <f t="shared" si="110"/>
        <v>263.20999999999998</v>
      </c>
      <c r="G871" s="8" t="s">
        <v>1339</v>
      </c>
      <c r="H871" s="24">
        <v>180</v>
      </c>
      <c r="I871" s="663">
        <f t="shared" si="112"/>
        <v>1.009053451803683E-2</v>
      </c>
      <c r="J871" s="39">
        <f t="shared" si="113"/>
        <v>22.896734590912914</v>
      </c>
      <c r="K871" s="37">
        <f t="shared" si="111"/>
        <v>8.419129309078679</v>
      </c>
      <c r="L871" s="39">
        <v>8.7956962872115056</v>
      </c>
      <c r="M871" s="39">
        <f t="shared" si="115"/>
        <v>6.8706449533312774</v>
      </c>
      <c r="N871" s="39"/>
      <c r="O871" s="94">
        <f t="shared" si="114"/>
        <v>0.17849703712068074</v>
      </c>
    </row>
    <row r="872" spans="1:16" s="6" customFormat="1" ht="15.75">
      <c r="A872" s="8">
        <v>127</v>
      </c>
      <c r="B872" s="8" t="s">
        <v>49</v>
      </c>
      <c r="C872" s="32">
        <v>83.5</v>
      </c>
      <c r="D872" s="55"/>
      <c r="E872" s="55"/>
      <c r="F872" s="61">
        <f t="shared" ref="F872:F878" si="116">C872+D872+E872</f>
        <v>83.5</v>
      </c>
      <c r="G872" s="8" t="s">
        <v>1339</v>
      </c>
      <c r="H872" s="24">
        <v>108</v>
      </c>
      <c r="I872" s="663">
        <f t="shared" si="112"/>
        <v>6.0543207108220984E-3</v>
      </c>
      <c r="J872" s="39">
        <f t="shared" si="113"/>
        <v>13.738040754547749</v>
      </c>
      <c r="K872" s="37">
        <f t="shared" ref="K872:K879" si="117">J872*0.3677</f>
        <v>5.0514775854472074</v>
      </c>
      <c r="L872" s="39">
        <v>5.2774177723269036</v>
      </c>
      <c r="M872" s="39">
        <f t="shared" si="115"/>
        <v>4.1223869719987665</v>
      </c>
      <c r="N872" s="39"/>
      <c r="O872" s="94">
        <f t="shared" si="114"/>
        <v>0.33759668364455842</v>
      </c>
    </row>
    <row r="873" spans="1:16" s="363" customFormat="1" ht="15.75">
      <c r="A873" s="361">
        <v>128</v>
      </c>
      <c r="B873" s="362" t="s">
        <v>1372</v>
      </c>
      <c r="C873" s="364">
        <v>1770.4</v>
      </c>
      <c r="D873" s="362"/>
      <c r="E873" s="362"/>
      <c r="F873" s="61">
        <f t="shared" si="116"/>
        <v>1770.4</v>
      </c>
      <c r="G873" s="8" t="s">
        <v>1341</v>
      </c>
      <c r="H873" s="787">
        <v>1000</v>
      </c>
      <c r="I873" s="663">
        <f t="shared" si="112"/>
        <v>5.6058525100204613E-2</v>
      </c>
      <c r="J873" s="39">
        <f t="shared" si="113"/>
        <v>127.2040810606273</v>
      </c>
      <c r="K873" s="37">
        <f t="shared" si="117"/>
        <v>46.772940605992666</v>
      </c>
      <c r="L873" s="39">
        <v>48.864979373397254</v>
      </c>
      <c r="M873" s="39">
        <f>I873*376.38</f>
        <v>21.099307677215013</v>
      </c>
      <c r="N873" s="39"/>
      <c r="O873" s="94">
        <f t="shared" si="114"/>
        <v>0.13778880971375521</v>
      </c>
    </row>
    <row r="874" spans="1:16" s="363" customFormat="1" ht="15.75">
      <c r="A874" s="361">
        <v>129</v>
      </c>
      <c r="B874" s="362" t="s">
        <v>1373</v>
      </c>
      <c r="C874" s="364">
        <v>4227</v>
      </c>
      <c r="D874" s="362"/>
      <c r="E874" s="362">
        <v>534.20000000000005</v>
      </c>
      <c r="F874" s="61">
        <f t="shared" si="116"/>
        <v>4761.2</v>
      </c>
      <c r="G874" s="8" t="s">
        <v>1341</v>
      </c>
      <c r="H874" s="787">
        <v>1514</v>
      </c>
      <c r="I874" s="663">
        <f t="shared" si="112"/>
        <v>8.4872607001709788E-2</v>
      </c>
      <c r="J874" s="39">
        <f t="shared" si="113"/>
        <v>192.58697872578975</v>
      </c>
      <c r="K874" s="37">
        <f t="shared" si="117"/>
        <v>70.814232077472894</v>
      </c>
      <c r="L874" s="39">
        <v>73.981578771323456</v>
      </c>
      <c r="M874" s="39">
        <f>I874*376.38</f>
        <v>31.944351823303531</v>
      </c>
      <c r="N874" s="39"/>
      <c r="O874" s="94">
        <f t="shared" si="114"/>
        <v>7.7570180080208689E-2</v>
      </c>
    </row>
    <row r="875" spans="1:16" s="363" customFormat="1" ht="15.75">
      <c r="A875" s="361">
        <v>130</v>
      </c>
      <c r="B875" s="365" t="s">
        <v>1382</v>
      </c>
      <c r="C875" s="731">
        <v>725.2</v>
      </c>
      <c r="D875" s="732"/>
      <c r="E875" s="732"/>
      <c r="F875" s="61">
        <f t="shared" si="116"/>
        <v>725.2</v>
      </c>
      <c r="G875" s="8" t="s">
        <v>1341</v>
      </c>
      <c r="H875" s="787">
        <v>710</v>
      </c>
      <c r="I875" s="663">
        <f t="shared" si="112"/>
        <v>3.9801552821145274E-2</v>
      </c>
      <c r="J875" s="39">
        <f t="shared" si="113"/>
        <v>90.314897553045384</v>
      </c>
      <c r="K875" s="37">
        <f t="shared" si="117"/>
        <v>33.208787830254792</v>
      </c>
      <c r="L875" s="39">
        <v>34.694135355112053</v>
      </c>
      <c r="M875" s="39">
        <f>I875*376.38</f>
        <v>14.980508450822658</v>
      </c>
      <c r="N875" s="39"/>
      <c r="O875" s="94">
        <f t="shared" si="114"/>
        <v>0.23882836347109054</v>
      </c>
    </row>
    <row r="876" spans="1:16" s="363" customFormat="1" ht="16.5">
      <c r="A876" s="811">
        <v>131</v>
      </c>
      <c r="B876" s="812" t="s">
        <v>142</v>
      </c>
      <c r="C876" s="410">
        <v>2870.81</v>
      </c>
      <c r="D876" s="404"/>
      <c r="E876" s="404">
        <v>41</v>
      </c>
      <c r="F876" s="61">
        <f t="shared" si="116"/>
        <v>2911.81</v>
      </c>
      <c r="G876" s="361" t="s">
        <v>1341</v>
      </c>
      <c r="H876" s="364">
        <v>320</v>
      </c>
      <c r="I876" s="663">
        <f t="shared" si="112"/>
        <v>1.7938728032065476E-2</v>
      </c>
      <c r="J876" s="39">
        <f t="shared" si="113"/>
        <v>40.705305939400738</v>
      </c>
      <c r="K876" s="37">
        <f t="shared" si="117"/>
        <v>14.967340993917652</v>
      </c>
      <c r="L876" s="39">
        <v>48.864979373397254</v>
      </c>
      <c r="M876" s="39">
        <f t="shared" ref="M876:M881" si="118">I876*376.38</f>
        <v>6.7517784567088039</v>
      </c>
      <c r="N876" s="39"/>
      <c r="O876" s="94">
        <f t="shared" si="114"/>
        <v>3.8220009122650327E-2</v>
      </c>
    </row>
    <row r="877" spans="1:16" s="363" customFormat="1" ht="16.5">
      <c r="A877" s="813">
        <v>132</v>
      </c>
      <c r="B877" s="812" t="s">
        <v>143</v>
      </c>
      <c r="C877" s="410">
        <v>2933</v>
      </c>
      <c r="D877" s="404"/>
      <c r="E877" s="404"/>
      <c r="F877" s="61">
        <f t="shared" si="116"/>
        <v>2933</v>
      </c>
      <c r="G877" s="361" t="s">
        <v>1341</v>
      </c>
      <c r="H877" s="364">
        <v>320</v>
      </c>
      <c r="I877" s="663">
        <f>4/71354*H877</f>
        <v>1.7938728032065476E-2</v>
      </c>
      <c r="J877" s="39">
        <f>I877*2269.13</f>
        <v>40.705305939400738</v>
      </c>
      <c r="K877" s="37">
        <f t="shared" si="117"/>
        <v>14.967340993917652</v>
      </c>
      <c r="L877" s="39">
        <v>73.981578771323456</v>
      </c>
      <c r="M877" s="39">
        <f t="shared" si="118"/>
        <v>6.7517784567088039</v>
      </c>
      <c r="N877" s="39"/>
      <c r="O877" s="94">
        <f t="shared" si="114"/>
        <v>4.6507331797255594E-2</v>
      </c>
    </row>
    <row r="878" spans="1:16" s="363" customFormat="1" ht="16.5">
      <c r="A878" s="813">
        <v>134</v>
      </c>
      <c r="B878" s="812" t="s">
        <v>144</v>
      </c>
      <c r="C878" s="410">
        <v>3120.67</v>
      </c>
      <c r="D878" s="404"/>
      <c r="E878" s="404"/>
      <c r="F878" s="61">
        <f t="shared" si="116"/>
        <v>3120.67</v>
      </c>
      <c r="G878" s="361" t="s">
        <v>1341</v>
      </c>
      <c r="H878" s="364">
        <v>700</v>
      </c>
      <c r="I878" s="663">
        <f>4/71354*H878</f>
        <v>3.9240967570143233E-2</v>
      </c>
      <c r="J878" s="39">
        <f>I878*2269.13</f>
        <v>89.042856742439113</v>
      </c>
      <c r="K878" s="37">
        <f t="shared" si="117"/>
        <v>32.741058424194861</v>
      </c>
      <c r="L878" s="39">
        <v>34.694135355112053</v>
      </c>
      <c r="M878" s="39">
        <f t="shared" si="118"/>
        <v>14.76951537405051</v>
      </c>
      <c r="N878" s="39"/>
      <c r="O878" s="94">
        <f t="shared" si="114"/>
        <v>5.4875256241703391E-2</v>
      </c>
    </row>
    <row r="879" spans="1:16" s="69" customFormat="1" ht="17.25" customHeight="1">
      <c r="A879" s="63"/>
      <c r="B879" s="63" t="s">
        <v>681</v>
      </c>
      <c r="C879" s="63">
        <f>SUM(C749:C875)</f>
        <v>265493.51999999984</v>
      </c>
      <c r="D879" s="63">
        <f>SUM(D749:D875)</f>
        <v>216.9</v>
      </c>
      <c r="E879" s="63">
        <f>SUM(E749:E875)</f>
        <v>5608.6</v>
      </c>
      <c r="F879" s="63">
        <f t="shared" ref="F879:F941" si="119">C879+D879+E879</f>
        <v>271319.01999999984</v>
      </c>
      <c r="G879" s="63"/>
      <c r="H879" s="63">
        <f>SUM(H749:H874)</f>
        <v>71354</v>
      </c>
      <c r="I879" s="663">
        <f>4/71354*H879</f>
        <v>4</v>
      </c>
      <c r="J879" s="39">
        <f>I879*2269.13</f>
        <v>9076.52</v>
      </c>
      <c r="K879" s="316">
        <f t="shared" si="117"/>
        <v>3337.4364040000005</v>
      </c>
      <c r="L879" s="39">
        <f>SUM(L748:L875)</f>
        <v>3521.4058735644971</v>
      </c>
      <c r="M879" s="39">
        <f t="shared" si="118"/>
        <v>1505.52</v>
      </c>
      <c r="N879" s="39"/>
      <c r="O879" s="94">
        <f t="shared" si="114"/>
        <v>6.4281826897224198E-2</v>
      </c>
      <c r="P879" s="239"/>
    </row>
    <row r="880" spans="1:16" s="209" customFormat="1" ht="21.75" customHeight="1">
      <c r="A880" s="384" t="s">
        <v>392</v>
      </c>
      <c r="C880" s="339"/>
      <c r="D880" s="339"/>
      <c r="E880" s="339"/>
      <c r="F880" s="339">
        <f t="shared" si="119"/>
        <v>0</v>
      </c>
      <c r="G880" s="737"/>
      <c r="J880" s="39">
        <f>I880*2077.52</f>
        <v>0</v>
      </c>
      <c r="K880" s="342"/>
      <c r="L880" s="39">
        <v>0</v>
      </c>
      <c r="M880" s="341">
        <f t="shared" si="118"/>
        <v>0</v>
      </c>
      <c r="N880" s="341"/>
      <c r="O880" s="94" t="e">
        <f t="shared" si="114"/>
        <v>#DIV/0!</v>
      </c>
      <c r="P880" s="343"/>
    </row>
    <row r="881" spans="1:17" s="6" customFormat="1" ht="15.75">
      <c r="A881" s="285">
        <v>1</v>
      </c>
      <c r="B881" s="284" t="s">
        <v>393</v>
      </c>
      <c r="C881" s="803">
        <v>4265.91</v>
      </c>
      <c r="D881" s="804"/>
      <c r="E881" s="804"/>
      <c r="F881" s="61">
        <f t="shared" si="119"/>
        <v>4265.91</v>
      </c>
      <c r="G881" s="8" t="s">
        <v>1341</v>
      </c>
      <c r="H881" s="804">
        <v>517</v>
      </c>
      <c r="I881" s="178">
        <f>4/87044.4*H881</f>
        <v>2.3757990175129015E-2</v>
      </c>
      <c r="J881" s="39">
        <f t="shared" ref="J881:J944" si="120">I881*2269.13</f>
        <v>53.909968246090507</v>
      </c>
      <c r="K881" s="37">
        <f t="shared" ref="K881:K943" si="121">J881*0.3677</f>
        <v>19.82269532408748</v>
      </c>
      <c r="L881" s="39">
        <v>20.548160206038787</v>
      </c>
      <c r="M881" s="39">
        <f t="shared" si="118"/>
        <v>8.9420323421150592</v>
      </c>
      <c r="N881" s="39">
        <f>M881*1.219</f>
        <v>10.900337425038257</v>
      </c>
      <c r="O881" s="94">
        <f t="shared" si="114"/>
        <v>2.4197148115720171E-2</v>
      </c>
      <c r="P881" s="8" t="s">
        <v>1383</v>
      </c>
      <c r="Q881" s="8"/>
    </row>
    <row r="882" spans="1:17" s="6" customFormat="1" ht="15.75">
      <c r="A882" s="285">
        <v>2</v>
      </c>
      <c r="B882" s="285" t="s">
        <v>394</v>
      </c>
      <c r="C882" s="803">
        <v>9865.73</v>
      </c>
      <c r="D882" s="804"/>
      <c r="E882" s="804"/>
      <c r="F882" s="61">
        <f t="shared" si="119"/>
        <v>9865.73</v>
      </c>
      <c r="G882" s="8" t="s">
        <v>1341</v>
      </c>
      <c r="H882" s="804">
        <v>1502</v>
      </c>
      <c r="I882" s="178">
        <f t="shared" ref="I882:I945" si="122">4/87044.4*H882</f>
        <v>6.9022246118073075E-2</v>
      </c>
      <c r="J882" s="39">
        <f t="shared" si="120"/>
        <v>156.62044933390317</v>
      </c>
      <c r="K882" s="37">
        <f t="shared" si="121"/>
        <v>57.589339220076198</v>
      </c>
      <c r="L882" s="39">
        <v>59.696976072476325</v>
      </c>
      <c r="M882" s="39">
        <f>I882*1376.38</f>
        <v>95.000839111993429</v>
      </c>
      <c r="N882" s="39">
        <f t="shared" ref="N882:N945" si="123">M882*1.219</f>
        <v>115.80602287751999</v>
      </c>
      <c r="O882" s="94">
        <f t="shared" si="114"/>
        <v>3.739283395536358E-2</v>
      </c>
      <c r="P882" s="8"/>
      <c r="Q882" s="8"/>
    </row>
    <row r="883" spans="1:17" s="6" customFormat="1" ht="15.75">
      <c r="A883" s="285">
        <v>3</v>
      </c>
      <c r="B883" s="285" t="s">
        <v>395</v>
      </c>
      <c r="C883" s="803">
        <v>4252.49</v>
      </c>
      <c r="D883" s="804"/>
      <c r="E883" s="804"/>
      <c r="F883" s="61">
        <f t="shared" si="119"/>
        <v>4252.49</v>
      </c>
      <c r="G883" s="8" t="s">
        <v>1341</v>
      </c>
      <c r="H883" s="804">
        <v>517</v>
      </c>
      <c r="I883" s="178">
        <f t="shared" si="122"/>
        <v>2.3757990175129015E-2</v>
      </c>
      <c r="J883" s="39">
        <f t="shared" si="120"/>
        <v>53.909968246090507</v>
      </c>
      <c r="K883" s="37">
        <f t="shared" si="121"/>
        <v>19.82269532408748</v>
      </c>
      <c r="L883" s="39">
        <v>20.548160206038787</v>
      </c>
      <c r="M883" s="39">
        <f t="shared" ref="M883:M893" si="124">I883*376.38</f>
        <v>8.9420323421150592</v>
      </c>
      <c r="N883" s="39">
        <f t="shared" si="123"/>
        <v>10.900337425038257</v>
      </c>
      <c r="O883" s="94">
        <f t="shared" si="114"/>
        <v>2.4273509430552884E-2</v>
      </c>
      <c r="P883" s="8"/>
      <c r="Q883" s="8"/>
    </row>
    <row r="884" spans="1:17" s="6" customFormat="1" ht="15.75">
      <c r="A884" s="285">
        <v>4</v>
      </c>
      <c r="B884" s="285" t="s">
        <v>396</v>
      </c>
      <c r="C884" s="803">
        <v>5944.1</v>
      </c>
      <c r="D884" s="804"/>
      <c r="E884" s="804">
        <v>7.2</v>
      </c>
      <c r="F884" s="61">
        <f t="shared" si="119"/>
        <v>5951.3</v>
      </c>
      <c r="G884" s="8" t="s">
        <v>1341</v>
      </c>
      <c r="H884" s="804">
        <v>955</v>
      </c>
      <c r="I884" s="178">
        <f t="shared" si="122"/>
        <v>4.3885649162955918E-2</v>
      </c>
      <c r="J884" s="39">
        <f t="shared" si="120"/>
        <v>99.582243085138174</v>
      </c>
      <c r="K884" s="37">
        <f t="shared" si="121"/>
        <v>36.616390782405311</v>
      </c>
      <c r="L884" s="39">
        <v>37.956466144617103</v>
      </c>
      <c r="M884" s="39">
        <f t="shared" si="124"/>
        <v>16.517680631953347</v>
      </c>
      <c r="N884" s="39">
        <f t="shared" si="123"/>
        <v>20.135052690351131</v>
      </c>
      <c r="O884" s="94">
        <f t="shared" si="114"/>
        <v>3.2038845402536244E-2</v>
      </c>
      <c r="P884" s="8"/>
      <c r="Q884" s="8"/>
    </row>
    <row r="885" spans="1:17" s="6" customFormat="1" ht="15.75">
      <c r="A885" s="285">
        <v>5</v>
      </c>
      <c r="B885" s="285" t="s">
        <v>397</v>
      </c>
      <c r="C885" s="803">
        <v>4295.57</v>
      </c>
      <c r="D885" s="804"/>
      <c r="E885" s="804"/>
      <c r="F885" s="61">
        <f t="shared" si="119"/>
        <v>4295.57</v>
      </c>
      <c r="G885" s="8" t="s">
        <v>1341</v>
      </c>
      <c r="H885" s="804">
        <v>517</v>
      </c>
      <c r="I885" s="178">
        <f t="shared" si="122"/>
        <v>2.3757990175129015E-2</v>
      </c>
      <c r="J885" s="39">
        <f t="shared" si="120"/>
        <v>53.909968246090507</v>
      </c>
      <c r="K885" s="37">
        <f t="shared" si="121"/>
        <v>19.82269532408748</v>
      </c>
      <c r="L885" s="39">
        <v>20.548160206038787</v>
      </c>
      <c r="M885" s="39">
        <f t="shared" si="124"/>
        <v>8.9420323421150592</v>
      </c>
      <c r="N885" s="39">
        <f t="shared" si="123"/>
        <v>10.900337425038257</v>
      </c>
      <c r="O885" s="94">
        <f t="shared" si="114"/>
        <v>2.4030071938842074E-2</v>
      </c>
      <c r="P885" s="8" t="s">
        <v>574</v>
      </c>
      <c r="Q885" s="8" t="s">
        <v>649</v>
      </c>
    </row>
    <row r="886" spans="1:17" s="6" customFormat="1" ht="15.75">
      <c r="A886" s="285">
        <v>6</v>
      </c>
      <c r="B886" s="285" t="s">
        <v>403</v>
      </c>
      <c r="C886" s="803">
        <v>7972.34</v>
      </c>
      <c r="D886" s="804"/>
      <c r="E886" s="804"/>
      <c r="F886" s="61">
        <f t="shared" si="119"/>
        <v>7972.34</v>
      </c>
      <c r="G886" s="8" t="s">
        <v>1341</v>
      </c>
      <c r="H886" s="804">
        <v>1465</v>
      </c>
      <c r="I886" s="178">
        <f t="shared" si="122"/>
        <v>6.7321964422754357E-2</v>
      </c>
      <c r="J886" s="39">
        <f t="shared" si="120"/>
        <v>152.76228913060461</v>
      </c>
      <c r="K886" s="37">
        <f t="shared" si="121"/>
        <v>56.170693713323324</v>
      </c>
      <c r="L886" s="39">
        <v>58.226411415564456</v>
      </c>
      <c r="M886" s="39">
        <f t="shared" si="124"/>
        <v>25.338640969436284</v>
      </c>
      <c r="N886" s="39">
        <f t="shared" si="123"/>
        <v>30.887803341742831</v>
      </c>
      <c r="O886" s="94">
        <f t="shared" si="114"/>
        <v>3.6689106991037591E-2</v>
      </c>
      <c r="P886" s="8">
        <v>1</v>
      </c>
      <c r="Q886" s="8" t="s">
        <v>650</v>
      </c>
    </row>
    <row r="887" spans="1:17" s="6" customFormat="1" ht="15.75">
      <c r="A887" s="285">
        <v>7</v>
      </c>
      <c r="B887" s="285" t="s">
        <v>398</v>
      </c>
      <c r="C887" s="803">
        <v>3939.69</v>
      </c>
      <c r="D887" s="804"/>
      <c r="E887" s="804">
        <v>7.2</v>
      </c>
      <c r="F887" s="61">
        <f t="shared" si="119"/>
        <v>3946.89</v>
      </c>
      <c r="G887" s="8" t="s">
        <v>1341</v>
      </c>
      <c r="H887" s="804">
        <v>641</v>
      </c>
      <c r="I887" s="178">
        <f t="shared" si="122"/>
        <v>2.9456231532413342E-2</v>
      </c>
      <c r="J887" s="39">
        <f t="shared" si="120"/>
        <v>66.840018657145094</v>
      </c>
      <c r="K887" s="37">
        <f t="shared" si="121"/>
        <v>24.577074860232251</v>
      </c>
      <c r="L887" s="39">
        <v>25.47653905622991</v>
      </c>
      <c r="M887" s="39">
        <f t="shared" si="124"/>
        <v>11.086736424169734</v>
      </c>
      <c r="N887" s="39">
        <f t="shared" si="123"/>
        <v>13.514731701062907</v>
      </c>
      <c r="O887" s="94">
        <f t="shared" si="114"/>
        <v>3.2425623465000795E-2</v>
      </c>
      <c r="P887" s="8"/>
      <c r="Q887" s="8" t="s">
        <v>651</v>
      </c>
    </row>
    <row r="888" spans="1:17" s="6" customFormat="1" ht="15.75">
      <c r="A888" s="285">
        <v>8</v>
      </c>
      <c r="B888" s="285" t="s">
        <v>404</v>
      </c>
      <c r="C888" s="803">
        <v>8036.22</v>
      </c>
      <c r="D888" s="804"/>
      <c r="E888" s="804"/>
      <c r="F888" s="61">
        <f t="shared" si="119"/>
        <v>8036.22</v>
      </c>
      <c r="G888" s="8" t="s">
        <v>1341</v>
      </c>
      <c r="H888" s="804">
        <v>1378</v>
      </c>
      <c r="I888" s="178">
        <f t="shared" si="122"/>
        <v>6.3324004760788741E-2</v>
      </c>
      <c r="J888" s="39">
        <f t="shared" si="120"/>
        <v>143.69039892284857</v>
      </c>
      <c r="K888" s="37">
        <f t="shared" si="121"/>
        <v>52.834959683931423</v>
      </c>
      <c r="L888" s="39">
        <v>54.768597222285202</v>
      </c>
      <c r="M888" s="39">
        <f t="shared" si="124"/>
        <v>23.833888911865667</v>
      </c>
      <c r="N888" s="39">
        <f t="shared" si="123"/>
        <v>29.05351058356425</v>
      </c>
      <c r="O888" s="94">
        <f t="shared" si="114"/>
        <v>3.4235977205817024E-2</v>
      </c>
      <c r="P888" s="8"/>
      <c r="Q888" s="8" t="s">
        <v>652</v>
      </c>
    </row>
    <row r="889" spans="1:17" s="6" customFormat="1" ht="15.75">
      <c r="A889" s="285">
        <v>9</v>
      </c>
      <c r="B889" s="285" t="s">
        <v>405</v>
      </c>
      <c r="C889" s="803">
        <v>3993.05</v>
      </c>
      <c r="D889" s="804"/>
      <c r="E889" s="804"/>
      <c r="F889" s="61">
        <f t="shared" si="119"/>
        <v>3993.05</v>
      </c>
      <c r="G889" s="8" t="s">
        <v>1341</v>
      </c>
      <c r="H889" s="804">
        <v>687</v>
      </c>
      <c r="I889" s="178">
        <f t="shared" si="122"/>
        <v>3.1570095261728499E-2</v>
      </c>
      <c r="J889" s="39">
        <f t="shared" si="120"/>
        <v>71.63665026124599</v>
      </c>
      <c r="K889" s="37">
        <f t="shared" si="121"/>
        <v>26.340796301060152</v>
      </c>
      <c r="L889" s="39">
        <v>27.304808629687905</v>
      </c>
      <c r="M889" s="39">
        <f t="shared" si="124"/>
        <v>11.882352454609373</v>
      </c>
      <c r="N889" s="39">
        <f t="shared" si="123"/>
        <v>14.484587642168828</v>
      </c>
      <c r="O889" s="94">
        <f t="shared" si="114"/>
        <v>3.4350836490052321E-2</v>
      </c>
      <c r="P889" s="8"/>
      <c r="Q889" s="8" t="s">
        <v>653</v>
      </c>
    </row>
    <row r="890" spans="1:17" s="6" customFormat="1" ht="15.75">
      <c r="A890" s="285">
        <v>10</v>
      </c>
      <c r="B890" s="285" t="s">
        <v>399</v>
      </c>
      <c r="C890" s="803">
        <v>8196.09</v>
      </c>
      <c r="D890" s="804"/>
      <c r="E890" s="804"/>
      <c r="F890" s="61">
        <f t="shared" si="119"/>
        <v>8196.09</v>
      </c>
      <c r="G890" s="8" t="s">
        <v>1341</v>
      </c>
      <c r="H890" s="804">
        <v>1355</v>
      </c>
      <c r="I890" s="178">
        <f t="shared" si="122"/>
        <v>6.2267072896131169E-2</v>
      </c>
      <c r="J890" s="39">
        <f t="shared" si="120"/>
        <v>141.29208312079814</v>
      </c>
      <c r="K890" s="37">
        <f t="shared" si="121"/>
        <v>51.953098963517476</v>
      </c>
      <c r="L890" s="39">
        <v>53.854462435556201</v>
      </c>
      <c r="M890" s="39">
        <f t="shared" si="124"/>
        <v>23.436080896645848</v>
      </c>
      <c r="N890" s="39">
        <f t="shared" si="123"/>
        <v>28.568582613011291</v>
      </c>
      <c r="O890" s="94">
        <f t="shared" si="114"/>
        <v>3.300790076933241E-2</v>
      </c>
      <c r="P890" s="8">
        <v>2</v>
      </c>
      <c r="Q890" s="8" t="s">
        <v>654</v>
      </c>
    </row>
    <row r="891" spans="1:17" s="6" customFormat="1" ht="15.75">
      <c r="A891" s="285">
        <v>11</v>
      </c>
      <c r="B891" s="285" t="s">
        <v>401</v>
      </c>
      <c r="C891" s="803">
        <v>3935.64</v>
      </c>
      <c r="D891" s="804"/>
      <c r="E891" s="804"/>
      <c r="F891" s="61">
        <f t="shared" si="119"/>
        <v>3935.64</v>
      </c>
      <c r="G891" s="8" t="s">
        <v>1341</v>
      </c>
      <c r="H891" s="804">
        <v>742</v>
      </c>
      <c r="I891" s="178">
        <f t="shared" si="122"/>
        <v>3.4097541025040097E-2</v>
      </c>
      <c r="J891" s="39">
        <f t="shared" si="120"/>
        <v>77.371753266149241</v>
      </c>
      <c r="K891" s="37">
        <f t="shared" si="121"/>
        <v>28.449593675963079</v>
      </c>
      <c r="L891" s="39">
        <v>29.490783119692029</v>
      </c>
      <c r="M891" s="39">
        <f t="shared" si="124"/>
        <v>12.833632491004591</v>
      </c>
      <c r="N891" s="39">
        <f t="shared" si="123"/>
        <v>15.644198006534598</v>
      </c>
      <c r="O891" s="94">
        <f t="shared" si="114"/>
        <v>3.7642102060353323E-2</v>
      </c>
      <c r="P891" s="8"/>
      <c r="Q891" s="8" t="s">
        <v>658</v>
      </c>
    </row>
    <row r="892" spans="1:17" s="6" customFormat="1" ht="15.75">
      <c r="A892" s="285">
        <v>12</v>
      </c>
      <c r="B892" s="285" t="s">
        <v>400</v>
      </c>
      <c r="C892" s="803">
        <v>3954.6</v>
      </c>
      <c r="D892" s="804"/>
      <c r="E892" s="804">
        <v>173.8</v>
      </c>
      <c r="F892" s="61">
        <f t="shared" si="119"/>
        <v>4128.3999999999996</v>
      </c>
      <c r="G892" s="8" t="s">
        <v>1341</v>
      </c>
      <c r="H892" s="804">
        <v>671</v>
      </c>
      <c r="I892" s="178">
        <f t="shared" si="122"/>
        <v>3.0834838312401486E-2</v>
      </c>
      <c r="J892" s="39">
        <f t="shared" si="120"/>
        <v>69.968256659819588</v>
      </c>
      <c r="K892" s="37">
        <f t="shared" si="121"/>
        <v>25.727327973815665</v>
      </c>
      <c r="L892" s="39">
        <v>26.668888778050341</v>
      </c>
      <c r="M892" s="39">
        <f t="shared" si="124"/>
        <v>11.60561644402167</v>
      </c>
      <c r="N892" s="39">
        <f t="shared" si="123"/>
        <v>14.147246445262418</v>
      </c>
      <c r="O892" s="94">
        <f t="shared" si="114"/>
        <v>3.2450850173361905E-2</v>
      </c>
      <c r="P892" s="8"/>
      <c r="Q892" s="8" t="s">
        <v>656</v>
      </c>
    </row>
    <row r="893" spans="1:17" s="6" customFormat="1" ht="15.75">
      <c r="A893" s="285">
        <v>13</v>
      </c>
      <c r="B893" s="285" t="s">
        <v>402</v>
      </c>
      <c r="C893" s="803">
        <v>17941.13</v>
      </c>
      <c r="D893" s="804">
        <v>230</v>
      </c>
      <c r="E893" s="804"/>
      <c r="F893" s="61">
        <f t="shared" si="119"/>
        <v>18171.13</v>
      </c>
      <c r="G893" s="8" t="s">
        <v>1341</v>
      </c>
      <c r="H893" s="804">
        <v>2983</v>
      </c>
      <c r="I893" s="178">
        <f t="shared" si="122"/>
        <v>0.13707946749015446</v>
      </c>
      <c r="J893" s="39">
        <f t="shared" si="120"/>
        <v>311.05113206593421</v>
      </c>
      <c r="K893" s="37">
        <f t="shared" si="121"/>
        <v>114.37350126064402</v>
      </c>
      <c r="L893" s="39">
        <v>118.55930733967834</v>
      </c>
      <c r="M893" s="39">
        <f t="shared" si="124"/>
        <v>51.593969973944333</v>
      </c>
      <c r="N893" s="39">
        <f t="shared" si="123"/>
        <v>62.893049398238148</v>
      </c>
      <c r="O893" s="94">
        <f t="shared" si="114"/>
        <v>3.2776052487665921E-2</v>
      </c>
      <c r="P893" s="8"/>
      <c r="Q893" s="8" t="s">
        <v>651</v>
      </c>
    </row>
    <row r="894" spans="1:17" s="6" customFormat="1" ht="15.75">
      <c r="A894" s="285">
        <v>14</v>
      </c>
      <c r="B894" s="285" t="s">
        <v>406</v>
      </c>
      <c r="C894" s="803">
        <v>3212.3</v>
      </c>
      <c r="D894" s="804"/>
      <c r="E894" s="804"/>
      <c r="F894" s="61">
        <f t="shared" si="119"/>
        <v>3212.3</v>
      </c>
      <c r="G894" s="8" t="s">
        <v>1341</v>
      </c>
      <c r="H894" s="804">
        <v>839</v>
      </c>
      <c r="I894" s="178">
        <f t="shared" si="122"/>
        <v>3.8555036280335096E-2</v>
      </c>
      <c r="J894" s="39">
        <f t="shared" si="120"/>
        <v>87.486389474796781</v>
      </c>
      <c r="K894" s="37">
        <f t="shared" si="121"/>
        <v>32.168745409882781</v>
      </c>
      <c r="L894" s="39">
        <v>33.346047220244763</v>
      </c>
      <c r="M894" s="39">
        <f>I894*1376.38</f>
        <v>53.066380835527625</v>
      </c>
      <c r="N894" s="39">
        <f t="shared" si="123"/>
        <v>64.687918238508175</v>
      </c>
      <c r="O894" s="94">
        <f t="shared" si="114"/>
        <v>6.4149538629782996E-2</v>
      </c>
      <c r="P894" s="8"/>
      <c r="Q894" s="8" t="s">
        <v>655</v>
      </c>
    </row>
    <row r="895" spans="1:17" s="6" customFormat="1" ht="15.75">
      <c r="A895" s="285">
        <v>15</v>
      </c>
      <c r="B895" s="285" t="s">
        <v>407</v>
      </c>
      <c r="C895" s="803">
        <v>3998.81</v>
      </c>
      <c r="D895" s="805">
        <v>182.8</v>
      </c>
      <c r="E895" s="805"/>
      <c r="F895" s="61">
        <f t="shared" si="119"/>
        <v>4181.6099999999997</v>
      </c>
      <c r="G895" s="8" t="s">
        <v>1341</v>
      </c>
      <c r="H895" s="804">
        <v>747</v>
      </c>
      <c r="I895" s="178">
        <f t="shared" si="122"/>
        <v>3.4327308821704788E-2</v>
      </c>
      <c r="J895" s="39">
        <f t="shared" si="120"/>
        <v>77.89312626659499</v>
      </c>
      <c r="K895" s="37">
        <f t="shared" si="121"/>
        <v>28.64130252822698</v>
      </c>
      <c r="L895" s="39">
        <v>29.689508073328771</v>
      </c>
      <c r="M895" s="39">
        <f>I895*376.38</f>
        <v>12.920112494313248</v>
      </c>
      <c r="N895" s="39">
        <f t="shared" si="123"/>
        <v>15.749617130567851</v>
      </c>
      <c r="O895" s="94">
        <f t="shared" si="114"/>
        <v>3.5666656948511219E-2</v>
      </c>
      <c r="P895" s="8"/>
      <c r="Q895" s="8" t="s">
        <v>653</v>
      </c>
    </row>
    <row r="896" spans="1:17" s="6" customFormat="1" ht="15.75">
      <c r="A896" s="285">
        <v>16</v>
      </c>
      <c r="B896" s="285" t="s">
        <v>408</v>
      </c>
      <c r="C896" s="803">
        <v>6299.01</v>
      </c>
      <c r="D896" s="804"/>
      <c r="E896" s="804"/>
      <c r="F896" s="61">
        <f t="shared" si="119"/>
        <v>6299.01</v>
      </c>
      <c r="G896" s="8" t="s">
        <v>1341</v>
      </c>
      <c r="H896" s="804">
        <v>504</v>
      </c>
      <c r="I896" s="178">
        <f t="shared" si="122"/>
        <v>2.3160593903800819E-2</v>
      </c>
      <c r="J896" s="39">
        <f t="shared" si="120"/>
        <v>52.554398444931557</v>
      </c>
      <c r="K896" s="37">
        <f t="shared" si="121"/>
        <v>19.324252308201334</v>
      </c>
      <c r="L896" s="39">
        <v>20.031475326583266</v>
      </c>
      <c r="M896" s="39">
        <f>I896*376.38</f>
        <v>8.7171843335125523</v>
      </c>
      <c r="N896" s="39">
        <f t="shared" si="123"/>
        <v>10.626247702551803</v>
      </c>
      <c r="O896" s="94">
        <f t="shared" si="114"/>
        <v>1.5975099327232171E-2</v>
      </c>
      <c r="P896" s="8">
        <v>4</v>
      </c>
      <c r="Q896" s="8" t="s">
        <v>659</v>
      </c>
    </row>
    <row r="897" spans="1:17" s="6" customFormat="1" ht="15.75">
      <c r="A897" s="285">
        <v>17</v>
      </c>
      <c r="B897" s="285" t="s">
        <v>409</v>
      </c>
      <c r="C897" s="803">
        <v>147.65</v>
      </c>
      <c r="D897" s="804"/>
      <c r="E897" s="804"/>
      <c r="F897" s="61">
        <f t="shared" si="119"/>
        <v>147.65</v>
      </c>
      <c r="G897" s="8" t="s">
        <v>1341</v>
      </c>
      <c r="H897" s="804">
        <v>98</v>
      </c>
      <c r="I897" s="178">
        <f t="shared" si="122"/>
        <v>4.5034488146279373E-3</v>
      </c>
      <c r="J897" s="39">
        <f t="shared" si="120"/>
        <v>10.218910808736691</v>
      </c>
      <c r="K897" s="37">
        <f t="shared" si="121"/>
        <v>3.7574935043724818</v>
      </c>
      <c r="L897" s="39">
        <v>3.8950090912800794</v>
      </c>
      <c r="M897" s="39">
        <f>I897*376.38</f>
        <v>1.695008064849663</v>
      </c>
      <c r="N897" s="39">
        <f t="shared" si="123"/>
        <v>2.0662148310517394</v>
      </c>
      <c r="O897" s="94">
        <f t="shared" si="114"/>
        <v>0.13251893985261709</v>
      </c>
      <c r="P897" s="8"/>
      <c r="Q897" s="8" t="s">
        <v>651</v>
      </c>
    </row>
    <row r="898" spans="1:17" s="6" customFormat="1" ht="15.75">
      <c r="A898" s="285">
        <v>18</v>
      </c>
      <c r="B898" s="285" t="s">
        <v>410</v>
      </c>
      <c r="C898" s="803">
        <v>4248.3</v>
      </c>
      <c r="D898" s="804"/>
      <c r="E898" s="804"/>
      <c r="F898" s="61">
        <f t="shared" si="119"/>
        <v>4248.3</v>
      </c>
      <c r="G898" s="8" t="s">
        <v>1341</v>
      </c>
      <c r="H898" s="804">
        <v>747</v>
      </c>
      <c r="I898" s="178">
        <f t="shared" si="122"/>
        <v>3.4327308821704788E-2</v>
      </c>
      <c r="J898" s="39">
        <f t="shared" si="120"/>
        <v>77.89312626659499</v>
      </c>
      <c r="K898" s="37">
        <f t="shared" si="121"/>
        <v>28.64130252822698</v>
      </c>
      <c r="L898" s="39">
        <v>29.689508073328771</v>
      </c>
      <c r="M898" s="39">
        <f>I898*376.38</f>
        <v>12.920112494313248</v>
      </c>
      <c r="N898" s="39">
        <f t="shared" si="123"/>
        <v>15.749617130567851</v>
      </c>
      <c r="O898" s="94">
        <f t="shared" si="114"/>
        <v>3.51067602011308E-2</v>
      </c>
      <c r="P898" s="8"/>
      <c r="Q898" s="8" t="s">
        <v>655</v>
      </c>
    </row>
    <row r="899" spans="1:17" s="6" customFormat="1" ht="15.75">
      <c r="A899" s="285">
        <v>19</v>
      </c>
      <c r="B899" s="285" t="s">
        <v>411</v>
      </c>
      <c r="C899" s="803">
        <v>4085.47</v>
      </c>
      <c r="D899" s="804"/>
      <c r="E899" s="804"/>
      <c r="F899" s="61">
        <f t="shared" si="119"/>
        <v>4085.47</v>
      </c>
      <c r="G899" s="8" t="s">
        <v>1341</v>
      </c>
      <c r="H899" s="804">
        <v>658</v>
      </c>
      <c r="I899" s="178">
        <f t="shared" si="122"/>
        <v>3.023744204107329E-2</v>
      </c>
      <c r="J899" s="39">
        <f t="shared" si="120"/>
        <v>68.612686858660638</v>
      </c>
      <c r="K899" s="37">
        <f t="shared" si="121"/>
        <v>25.22888495792952</v>
      </c>
      <c r="L899" s="39">
        <v>26.15220389859482</v>
      </c>
      <c r="M899" s="39">
        <f>I899*1376.38</f>
        <v>41.618210476492457</v>
      </c>
      <c r="N899" s="39">
        <f t="shared" si="123"/>
        <v>50.73259857084431</v>
      </c>
      <c r="O899" s="94">
        <f t="shared" si="114"/>
        <v>3.9557746401681429E-2</v>
      </c>
      <c r="P899" s="8"/>
      <c r="Q899" s="8" t="s">
        <v>653</v>
      </c>
    </row>
    <row r="900" spans="1:17" s="6" customFormat="1" ht="15.75">
      <c r="A900" s="285">
        <v>20</v>
      </c>
      <c r="B900" s="285" t="s">
        <v>412</v>
      </c>
      <c r="C900" s="803">
        <v>3953.65</v>
      </c>
      <c r="D900" s="804">
        <v>147.30000000000001</v>
      </c>
      <c r="E900" s="804"/>
      <c r="F900" s="61">
        <f t="shared" si="119"/>
        <v>4100.95</v>
      </c>
      <c r="G900" s="8" t="s">
        <v>1341</v>
      </c>
      <c r="H900" s="804">
        <v>790</v>
      </c>
      <c r="I900" s="178">
        <f t="shared" si="122"/>
        <v>3.6303311873021125E-2</v>
      </c>
      <c r="J900" s="39">
        <f t="shared" si="120"/>
        <v>82.376934070428433</v>
      </c>
      <c r="K900" s="37">
        <f t="shared" si="121"/>
        <v>30.289998657696536</v>
      </c>
      <c r="L900" s="39">
        <v>31.398542674604723</v>
      </c>
      <c r="M900" s="39">
        <f>I900*376.38</f>
        <v>13.663840522767691</v>
      </c>
      <c r="N900" s="39">
        <f t="shared" si="123"/>
        <v>16.656221597253815</v>
      </c>
      <c r="O900" s="94">
        <f t="shared" si="114"/>
        <v>3.8461653013447471E-2</v>
      </c>
      <c r="P900" s="8"/>
      <c r="Q900" s="8" t="s">
        <v>681</v>
      </c>
    </row>
    <row r="901" spans="1:17" s="6" customFormat="1" ht="15.75">
      <c r="A901" s="285">
        <v>21</v>
      </c>
      <c r="B901" s="285" t="s">
        <v>413</v>
      </c>
      <c r="C901" s="803">
        <v>7076.23</v>
      </c>
      <c r="D901" s="804"/>
      <c r="E901" s="804"/>
      <c r="F901" s="61">
        <f t="shared" si="119"/>
        <v>7076.23</v>
      </c>
      <c r="G901" s="8" t="s">
        <v>1341</v>
      </c>
      <c r="H901" s="804">
        <v>1043</v>
      </c>
      <c r="I901" s="178">
        <f t="shared" si="122"/>
        <v>4.792956238425447E-2</v>
      </c>
      <c r="J901" s="39">
        <f t="shared" si="120"/>
        <v>108.75840789298336</v>
      </c>
      <c r="K901" s="37">
        <f t="shared" si="121"/>
        <v>39.990466582249987</v>
      </c>
      <c r="L901" s="39">
        <v>41.454025328623707</v>
      </c>
      <c r="M901" s="39">
        <f>I901*1376.38</f>
        <v>65.969291074440179</v>
      </c>
      <c r="N901" s="39">
        <f t="shared" si="123"/>
        <v>80.416565819742587</v>
      </c>
      <c r="O901" s="94">
        <f t="shared" si="114"/>
        <v>3.6201789777649575E-2</v>
      </c>
    </row>
    <row r="902" spans="1:17" s="6" customFormat="1" ht="15.75">
      <c r="A902" s="285">
        <v>22</v>
      </c>
      <c r="B902" s="285" t="s">
        <v>414</v>
      </c>
      <c r="C902" s="803">
        <v>4062.74</v>
      </c>
      <c r="D902" s="804"/>
      <c r="E902" s="804"/>
      <c r="F902" s="61">
        <f t="shared" si="119"/>
        <v>4062.74</v>
      </c>
      <c r="G902" s="8" t="s">
        <v>1341</v>
      </c>
      <c r="H902" s="804">
        <v>804</v>
      </c>
      <c r="I902" s="178">
        <f t="shared" si="122"/>
        <v>3.6946661703682257E-2</v>
      </c>
      <c r="J902" s="39">
        <f t="shared" si="120"/>
        <v>83.836778471676524</v>
      </c>
      <c r="K902" s="37">
        <f t="shared" si="121"/>
        <v>30.82678344403546</v>
      </c>
      <c r="L902" s="39">
        <v>31.954972544787591</v>
      </c>
      <c r="M902" s="39">
        <f>I902*1376.38</f>
        <v>50.85264623571419</v>
      </c>
      <c r="N902" s="39">
        <f t="shared" si="123"/>
        <v>61.989375761335602</v>
      </c>
      <c r="O902" s="94">
        <f t="shared" si="114"/>
        <v>4.8605419174304478E-2</v>
      </c>
    </row>
    <row r="903" spans="1:17" s="6" customFormat="1" ht="15.75">
      <c r="A903" s="285">
        <v>23</v>
      </c>
      <c r="B903" s="285" t="s">
        <v>415</v>
      </c>
      <c r="C903" s="803">
        <v>6379.08</v>
      </c>
      <c r="D903" s="804"/>
      <c r="E903" s="804"/>
      <c r="F903" s="61">
        <f t="shared" si="119"/>
        <v>6379.08</v>
      </c>
      <c r="G903" s="8" t="s">
        <v>1341</v>
      </c>
      <c r="H903" s="804">
        <v>1270</v>
      </c>
      <c r="I903" s="178">
        <f t="shared" si="122"/>
        <v>5.836102035283143E-2</v>
      </c>
      <c r="J903" s="39">
        <f t="shared" si="120"/>
        <v>132.42874211322038</v>
      </c>
      <c r="K903" s="37">
        <f t="shared" si="121"/>
        <v>48.694048475031138</v>
      </c>
      <c r="L903" s="39">
        <v>50.476138223731645</v>
      </c>
      <c r="M903" s="39">
        <f>I903*2376.38</f>
        <v>138.68796154606156</v>
      </c>
      <c r="N903" s="39">
        <f t="shared" si="123"/>
        <v>169.06062512464905</v>
      </c>
      <c r="O903" s="94">
        <f t="shared" ref="O903:O966" si="125">(M903+L903+K903+J903)/F903</f>
        <v>5.8047067971877565E-2</v>
      </c>
    </row>
    <row r="904" spans="1:17" s="6" customFormat="1" ht="15.75">
      <c r="A904" s="285">
        <v>24</v>
      </c>
      <c r="B904" s="285" t="s">
        <v>416</v>
      </c>
      <c r="C904" s="803">
        <v>6489.94</v>
      </c>
      <c r="D904" s="804"/>
      <c r="E904" s="804">
        <v>19.399999999999999</v>
      </c>
      <c r="F904" s="61">
        <f t="shared" si="119"/>
        <v>6509.3399999999992</v>
      </c>
      <c r="G904" s="8" t="s">
        <v>1341</v>
      </c>
      <c r="H904" s="804">
        <v>1260</v>
      </c>
      <c r="I904" s="178">
        <f t="shared" si="122"/>
        <v>5.7901484759502048E-2</v>
      </c>
      <c r="J904" s="39">
        <f t="shared" si="120"/>
        <v>131.38599611232888</v>
      </c>
      <c r="K904" s="37">
        <f t="shared" si="121"/>
        <v>48.31063077050333</v>
      </c>
      <c r="L904" s="39">
        <v>50.07868831645817</v>
      </c>
      <c r="M904" s="39">
        <f>I904*2376.38</f>
        <v>137.59593035278547</v>
      </c>
      <c r="N904" s="39">
        <f t="shared" si="123"/>
        <v>167.72943910004551</v>
      </c>
      <c r="O904" s="94">
        <f t="shared" si="125"/>
        <v>5.6437556734181327E-2</v>
      </c>
    </row>
    <row r="905" spans="1:17" s="6" customFormat="1" ht="15.75">
      <c r="A905" s="285">
        <v>25</v>
      </c>
      <c r="B905" s="285" t="s">
        <v>417</v>
      </c>
      <c r="C905" s="803">
        <v>4249.6000000000004</v>
      </c>
      <c r="D905" s="804"/>
      <c r="E905" s="804"/>
      <c r="F905" s="61">
        <f t="shared" si="119"/>
        <v>4249.6000000000004</v>
      </c>
      <c r="G905" s="8" t="s">
        <v>1341</v>
      </c>
      <c r="H905" s="804">
        <v>810</v>
      </c>
      <c r="I905" s="178">
        <f t="shared" si="122"/>
        <v>3.7222383059679884E-2</v>
      </c>
      <c r="J905" s="39">
        <f t="shared" si="120"/>
        <v>84.462426072211414</v>
      </c>
      <c r="K905" s="37">
        <f t="shared" si="121"/>
        <v>31.056834066752138</v>
      </c>
      <c r="L905" s="39">
        <v>32.193442489151678</v>
      </c>
      <c r="M905" s="39">
        <f>I905*1276.38</f>
        <v>47.509905289714212</v>
      </c>
      <c r="N905" s="39">
        <f t="shared" si="123"/>
        <v>57.914574548161625</v>
      </c>
      <c r="O905" s="94">
        <f t="shared" si="125"/>
        <v>4.593905495054345E-2</v>
      </c>
    </row>
    <row r="906" spans="1:17" s="6" customFormat="1" ht="15.75">
      <c r="A906" s="285">
        <v>26</v>
      </c>
      <c r="B906" s="285" t="s">
        <v>418</v>
      </c>
      <c r="C906" s="803">
        <v>2807.52</v>
      </c>
      <c r="D906" s="804"/>
      <c r="E906" s="804"/>
      <c r="F906" s="61">
        <f t="shared" si="119"/>
        <v>2807.52</v>
      </c>
      <c r="G906" s="8" t="s">
        <v>1341</v>
      </c>
      <c r="H906" s="804">
        <v>506</v>
      </c>
      <c r="I906" s="178">
        <f t="shared" si="122"/>
        <v>2.3252501022466694E-2</v>
      </c>
      <c r="J906" s="39">
        <f t="shared" si="120"/>
        <v>52.762947645109854</v>
      </c>
      <c r="K906" s="37">
        <f t="shared" si="121"/>
        <v>19.400935849106894</v>
      </c>
      <c r="L906" s="39">
        <v>20.110965308037962</v>
      </c>
      <c r="M906" s="39">
        <f>I906*376.38</f>
        <v>8.7517763348360145</v>
      </c>
      <c r="N906" s="39">
        <f t="shared" si="123"/>
        <v>10.668415352165102</v>
      </c>
      <c r="O906" s="94">
        <f t="shared" si="125"/>
        <v>3.5984294016459625E-2</v>
      </c>
    </row>
    <row r="907" spans="1:17" s="6" customFormat="1" ht="15.75">
      <c r="A907" s="285">
        <v>27</v>
      </c>
      <c r="B907" s="285" t="s">
        <v>419</v>
      </c>
      <c r="C907" s="803">
        <v>4226.7</v>
      </c>
      <c r="D907" s="804"/>
      <c r="E907" s="804"/>
      <c r="F907" s="61">
        <f t="shared" si="119"/>
        <v>4226.7</v>
      </c>
      <c r="G907" s="8" t="s">
        <v>1341</v>
      </c>
      <c r="H907" s="804">
        <v>606</v>
      </c>
      <c r="I907" s="178">
        <f t="shared" si="122"/>
        <v>2.784785695576051E-2</v>
      </c>
      <c r="J907" s="39">
        <f t="shared" si="120"/>
        <v>63.190407654024845</v>
      </c>
      <c r="K907" s="37">
        <f t="shared" si="121"/>
        <v>23.235112894384937</v>
      </c>
      <c r="L907" s="39">
        <v>24.085464380772738</v>
      </c>
      <c r="M907" s="39">
        <f>I907*1376.38</f>
        <v>38.329233356769656</v>
      </c>
      <c r="N907" s="39">
        <f t="shared" si="123"/>
        <v>46.723335461902217</v>
      </c>
      <c r="O907" s="94">
        <f t="shared" si="125"/>
        <v>3.5214284970769671E-2</v>
      </c>
    </row>
    <row r="908" spans="1:17" s="6" customFormat="1" ht="15.75">
      <c r="A908" s="285">
        <v>28</v>
      </c>
      <c r="B908" s="285" t="s">
        <v>420</v>
      </c>
      <c r="C908" s="803">
        <v>4709.3599999999997</v>
      </c>
      <c r="D908" s="804"/>
      <c r="E908" s="804"/>
      <c r="F908" s="61">
        <f t="shared" si="119"/>
        <v>4709.3599999999997</v>
      </c>
      <c r="G908" s="8" t="s">
        <v>1341</v>
      </c>
      <c r="H908" s="804">
        <v>606</v>
      </c>
      <c r="I908" s="178">
        <f t="shared" si="122"/>
        <v>2.784785695576051E-2</v>
      </c>
      <c r="J908" s="39">
        <f t="shared" si="120"/>
        <v>63.190407654024845</v>
      </c>
      <c r="K908" s="37">
        <f t="shared" si="121"/>
        <v>23.235112894384937</v>
      </c>
      <c r="L908" s="39">
        <v>24.085464380772738</v>
      </c>
      <c r="M908" s="39">
        <f>I908*1376.38</f>
        <v>38.329233356769656</v>
      </c>
      <c r="N908" s="39">
        <f t="shared" si="123"/>
        <v>46.723335461902217</v>
      </c>
      <c r="O908" s="94">
        <f t="shared" si="125"/>
        <v>3.1605190150243809E-2</v>
      </c>
    </row>
    <row r="909" spans="1:17" s="6" customFormat="1" ht="15.75">
      <c r="A909" s="285">
        <v>29</v>
      </c>
      <c r="B909" s="285" t="s">
        <v>1358</v>
      </c>
      <c r="C909" s="803">
        <v>5719.55</v>
      </c>
      <c r="D909" s="804"/>
      <c r="E909" s="804">
        <v>30.7</v>
      </c>
      <c r="F909" s="733">
        <v>5649.9</v>
      </c>
      <c r="G909" s="8" t="s">
        <v>1341</v>
      </c>
      <c r="H909" s="804">
        <v>1534</v>
      </c>
      <c r="I909" s="178">
        <f t="shared" si="122"/>
        <v>7.0492760016727093E-2</v>
      </c>
      <c r="J909" s="39">
        <f t="shared" si="120"/>
        <v>159.95723653675597</v>
      </c>
      <c r="K909" s="37">
        <f t="shared" si="121"/>
        <v>58.816275874565171</v>
      </c>
      <c r="L909" s="39">
        <v>60.968815775751452</v>
      </c>
      <c r="M909" s="39">
        <f>I909*1376.38</f>
        <v>97.024825031822843</v>
      </c>
      <c r="N909" s="39">
        <f t="shared" si="123"/>
        <v>118.27326171379205</v>
      </c>
      <c r="O909" s="94">
        <f t="shared" si="125"/>
        <v>6.6685632173825296E-2</v>
      </c>
    </row>
    <row r="910" spans="1:17" s="6" customFormat="1" ht="15.75">
      <c r="A910" s="285">
        <v>30</v>
      </c>
      <c r="B910" s="285" t="s">
        <v>421</v>
      </c>
      <c r="C910" s="803">
        <v>3555.12</v>
      </c>
      <c r="D910" s="804"/>
      <c r="E910" s="804"/>
      <c r="F910" s="61">
        <f t="shared" si="119"/>
        <v>3555.12</v>
      </c>
      <c r="G910" s="8" t="s">
        <v>1341</v>
      </c>
      <c r="H910" s="804">
        <v>605</v>
      </c>
      <c r="I910" s="178">
        <f t="shared" si="122"/>
        <v>2.7801903396427571E-2</v>
      </c>
      <c r="J910" s="39">
        <f t="shared" si="120"/>
        <v>63.086133053935697</v>
      </c>
      <c r="K910" s="37">
        <f t="shared" si="121"/>
        <v>23.196771123932159</v>
      </c>
      <c r="L910" s="39">
        <v>24.045719390045392</v>
      </c>
      <c r="M910" s="39">
        <f>I910*1376.38</f>
        <v>38.265983796774982</v>
      </c>
      <c r="N910" s="39">
        <f t="shared" si="123"/>
        <v>46.646234248268705</v>
      </c>
      <c r="O910" s="94">
        <f t="shared" si="125"/>
        <v>4.1797353497121957E-2</v>
      </c>
    </row>
    <row r="911" spans="1:17" s="6" customFormat="1" ht="15.75">
      <c r="A911" s="285">
        <v>31</v>
      </c>
      <c r="B911" s="285" t="s">
        <v>422</v>
      </c>
      <c r="C911" s="803">
        <v>342.6</v>
      </c>
      <c r="D911" s="804"/>
      <c r="E911" s="804"/>
      <c r="F911" s="61">
        <f t="shared" si="119"/>
        <v>342.6</v>
      </c>
      <c r="G911" s="8" t="s">
        <v>1341</v>
      </c>
      <c r="H911" s="804">
        <v>250</v>
      </c>
      <c r="I911" s="178">
        <f t="shared" si="122"/>
        <v>1.1488389833234533E-2</v>
      </c>
      <c r="J911" s="39">
        <f t="shared" si="120"/>
        <v>26.068650022287478</v>
      </c>
      <c r="K911" s="37">
        <f t="shared" si="121"/>
        <v>9.5854426131951058</v>
      </c>
      <c r="L911" s="39">
        <v>9.9362476818369387</v>
      </c>
      <c r="M911" s="39">
        <f>I911*1876.38</f>
        <v>21.556584915284613</v>
      </c>
      <c r="N911" s="39">
        <f t="shared" si="123"/>
        <v>26.277477011731946</v>
      </c>
      <c r="O911" s="94">
        <f t="shared" si="125"/>
        <v>0.1959921927396501</v>
      </c>
    </row>
    <row r="912" spans="1:17" s="6" customFormat="1" ht="15.75">
      <c r="A912" s="285">
        <v>32</v>
      </c>
      <c r="B912" s="285" t="s">
        <v>423</v>
      </c>
      <c r="C912" s="803">
        <v>361.6</v>
      </c>
      <c r="D912" s="804"/>
      <c r="E912" s="804"/>
      <c r="F912" s="61">
        <f t="shared" si="119"/>
        <v>361.6</v>
      </c>
      <c r="G912" s="8" t="s">
        <v>1341</v>
      </c>
      <c r="H912" s="804">
        <v>160</v>
      </c>
      <c r="I912" s="178">
        <f t="shared" si="122"/>
        <v>7.3525694932701016E-3</v>
      </c>
      <c r="J912" s="39">
        <f t="shared" si="120"/>
        <v>16.683936014263985</v>
      </c>
      <c r="K912" s="37">
        <f t="shared" si="121"/>
        <v>6.1346832724448674</v>
      </c>
      <c r="L912" s="39">
        <v>6.3591985163756402</v>
      </c>
      <c r="M912" s="39">
        <f>I912*1876.38</f>
        <v>13.796214345782154</v>
      </c>
      <c r="N912" s="39">
        <f t="shared" si="123"/>
        <v>16.817585287508447</v>
      </c>
      <c r="O912" s="94">
        <f t="shared" si="125"/>
        <v>0.11884411545593652</v>
      </c>
    </row>
    <row r="913" spans="1:16" s="6" customFormat="1" ht="15.75">
      <c r="A913" s="285">
        <v>33</v>
      </c>
      <c r="B913" s="285" t="s">
        <v>424</v>
      </c>
      <c r="C913" s="803">
        <v>7724.75</v>
      </c>
      <c r="D913" s="804"/>
      <c r="E913" s="804">
        <v>201.9</v>
      </c>
      <c r="F913" s="61">
        <f t="shared" si="119"/>
        <v>7926.65</v>
      </c>
      <c r="G913" s="8" t="s">
        <v>1341</v>
      </c>
      <c r="H913" s="804">
        <v>1043</v>
      </c>
      <c r="I913" s="178">
        <f t="shared" si="122"/>
        <v>4.792956238425447E-2</v>
      </c>
      <c r="J913" s="39">
        <f t="shared" si="120"/>
        <v>108.75840789298336</v>
      </c>
      <c r="K913" s="37">
        <f t="shared" si="121"/>
        <v>39.990466582249987</v>
      </c>
      <c r="L913" s="39">
        <v>41.454025328623707</v>
      </c>
      <c r="M913" s="39">
        <f>I913*2376.38</f>
        <v>113.89885345869465</v>
      </c>
      <c r="N913" s="39">
        <f t="shared" si="123"/>
        <v>138.84270236614879</v>
      </c>
      <c r="O913" s="94">
        <f t="shared" si="125"/>
        <v>3.8364473423520874E-2</v>
      </c>
    </row>
    <row r="914" spans="1:16" s="6" customFormat="1" ht="15.75">
      <c r="A914" s="285">
        <v>34</v>
      </c>
      <c r="B914" s="285" t="s">
        <v>425</v>
      </c>
      <c r="C914" s="803">
        <v>4021.5</v>
      </c>
      <c r="D914" s="804"/>
      <c r="E914" s="804"/>
      <c r="F914" s="61">
        <f t="shared" si="119"/>
        <v>4021.5</v>
      </c>
      <c r="G914" s="8" t="s">
        <v>1341</v>
      </c>
      <c r="H914" s="804">
        <v>802</v>
      </c>
      <c r="I914" s="178">
        <f t="shared" si="122"/>
        <v>3.6854754585016379E-2</v>
      </c>
      <c r="J914" s="39">
        <f t="shared" si="120"/>
        <v>83.628229271498213</v>
      </c>
      <c r="K914" s="37">
        <f t="shared" si="121"/>
        <v>30.750099903129897</v>
      </c>
      <c r="L914" s="39">
        <v>31.875482563332895</v>
      </c>
      <c r="M914" s="39">
        <f>I914*376.38</f>
        <v>13.871392530708464</v>
      </c>
      <c r="N914" s="39">
        <f t="shared" si="123"/>
        <v>16.909227494933617</v>
      </c>
      <c r="O914" s="94">
        <f t="shared" si="125"/>
        <v>3.9817283170127928E-2</v>
      </c>
    </row>
    <row r="915" spans="1:16" s="6" customFormat="1" ht="15.75">
      <c r="A915" s="285">
        <v>35</v>
      </c>
      <c r="B915" s="285" t="s">
        <v>426</v>
      </c>
      <c r="C915" s="803">
        <v>4138.7700000000004</v>
      </c>
      <c r="D915" s="804"/>
      <c r="E915" s="804"/>
      <c r="F915" s="61">
        <f t="shared" si="119"/>
        <v>4138.7700000000004</v>
      </c>
      <c r="G915" s="8" t="s">
        <v>1341</v>
      </c>
      <c r="H915" s="804">
        <v>802</v>
      </c>
      <c r="I915" s="178">
        <f t="shared" si="122"/>
        <v>3.6854754585016379E-2</v>
      </c>
      <c r="J915" s="39">
        <f t="shared" si="120"/>
        <v>83.628229271498213</v>
      </c>
      <c r="K915" s="37">
        <f t="shared" si="121"/>
        <v>30.750099903129897</v>
      </c>
      <c r="L915" s="39">
        <v>31.875482563332895</v>
      </c>
      <c r="M915" s="39">
        <f>I915*376.38</f>
        <v>13.871392530708464</v>
      </c>
      <c r="N915" s="39">
        <f t="shared" si="123"/>
        <v>16.909227494933617</v>
      </c>
      <c r="O915" s="94">
        <f t="shared" si="125"/>
        <v>3.868908015392724E-2</v>
      </c>
    </row>
    <row r="916" spans="1:16" s="6" customFormat="1" ht="15.75">
      <c r="A916" s="285">
        <v>36</v>
      </c>
      <c r="B916" s="285" t="s">
        <v>427</v>
      </c>
      <c r="C916" s="803">
        <v>361.5</v>
      </c>
      <c r="D916" s="804"/>
      <c r="E916" s="804"/>
      <c r="F916" s="61">
        <f t="shared" si="119"/>
        <v>361.5</v>
      </c>
      <c r="G916" s="8" t="s">
        <v>1341</v>
      </c>
      <c r="H916" s="804">
        <v>145</v>
      </c>
      <c r="I916" s="178">
        <f t="shared" si="122"/>
        <v>6.6632661032760294E-3</v>
      </c>
      <c r="J916" s="39">
        <f t="shared" si="120"/>
        <v>15.119817012926736</v>
      </c>
      <c r="K916" s="37">
        <f t="shared" si="121"/>
        <v>5.5595567156531613</v>
      </c>
      <c r="L916" s="39">
        <v>5.7630236554654237</v>
      </c>
      <c r="M916" s="39">
        <f>I916*1376.38</f>
        <v>9.171186199227062</v>
      </c>
      <c r="N916" s="39">
        <f t="shared" si="123"/>
        <v>11.179675976857789</v>
      </c>
      <c r="O916" s="94">
        <f t="shared" si="125"/>
        <v>9.8516137159812972E-2</v>
      </c>
    </row>
    <row r="917" spans="1:16" s="6" customFormat="1" ht="15.75">
      <c r="A917" s="285">
        <v>37</v>
      </c>
      <c r="B917" s="285" t="s">
        <v>428</v>
      </c>
      <c r="C917" s="803">
        <v>5685.06</v>
      </c>
      <c r="D917" s="804"/>
      <c r="E917" s="804">
        <v>179.5</v>
      </c>
      <c r="F917" s="61">
        <f t="shared" si="119"/>
        <v>5864.56</v>
      </c>
      <c r="G917" s="8" t="s">
        <v>1341</v>
      </c>
      <c r="H917" s="804">
        <v>800</v>
      </c>
      <c r="I917" s="178">
        <f t="shared" si="122"/>
        <v>3.6762847466350508E-2</v>
      </c>
      <c r="J917" s="39">
        <f t="shared" si="120"/>
        <v>83.419680071319931</v>
      </c>
      <c r="K917" s="37">
        <f t="shared" si="121"/>
        <v>30.673416362224341</v>
      </c>
      <c r="L917" s="39">
        <v>31.795992581878199</v>
      </c>
      <c r="M917" s="39">
        <f>I917*376.38</f>
        <v>13.836800529385004</v>
      </c>
      <c r="N917" s="39">
        <f t="shared" si="123"/>
        <v>16.86705984532032</v>
      </c>
      <c r="O917" s="94">
        <f t="shared" si="125"/>
        <v>2.72357840221274E-2</v>
      </c>
      <c r="P917" s="39">
        <f>L917*1376.38</f>
        <v>43763.368269845516</v>
      </c>
    </row>
    <row r="918" spans="1:16" s="6" customFormat="1" ht="15.75">
      <c r="A918" s="285">
        <v>38</v>
      </c>
      <c r="B918" s="285" t="s">
        <v>429</v>
      </c>
      <c r="C918" s="803">
        <v>135.35</v>
      </c>
      <c r="D918" s="804"/>
      <c r="E918" s="804"/>
      <c r="F918" s="61">
        <f t="shared" si="119"/>
        <v>135.35</v>
      </c>
      <c r="G918" s="8" t="s">
        <v>1341</v>
      </c>
      <c r="H918" s="804">
        <v>106</v>
      </c>
      <c r="I918" s="178">
        <f t="shared" si="122"/>
        <v>4.8710772892914421E-3</v>
      </c>
      <c r="J918" s="39">
        <f t="shared" si="120"/>
        <v>11.05310760944989</v>
      </c>
      <c r="K918" s="37">
        <f t="shared" si="121"/>
        <v>4.0642276679947251</v>
      </c>
      <c r="L918" s="39">
        <v>4.2129690170988612</v>
      </c>
      <c r="M918" s="39">
        <f>I918*376.38</f>
        <v>1.8333760701435129</v>
      </c>
      <c r="N918" s="39">
        <f t="shared" si="123"/>
        <v>2.2348854295049425</v>
      </c>
      <c r="O918" s="94">
        <f t="shared" si="125"/>
        <v>0.15636261813584773</v>
      </c>
    </row>
    <row r="919" spans="1:16" s="6" customFormat="1" ht="15.75">
      <c r="A919" s="285">
        <v>39</v>
      </c>
      <c r="B919" s="285" t="s">
        <v>430</v>
      </c>
      <c r="C919" s="803">
        <v>37.4</v>
      </c>
      <c r="D919" s="804"/>
      <c r="E919" s="804"/>
      <c r="F919" s="61">
        <f t="shared" si="119"/>
        <v>37.4</v>
      </c>
      <c r="G919" s="8" t="s">
        <v>1341</v>
      </c>
      <c r="H919" s="804">
        <v>37</v>
      </c>
      <c r="I919" s="178">
        <f t="shared" si="122"/>
        <v>1.7002816953187109E-3</v>
      </c>
      <c r="J919" s="39">
        <f t="shared" si="120"/>
        <v>3.8581602032985467</v>
      </c>
      <c r="K919" s="37">
        <f t="shared" si="121"/>
        <v>1.4186455067528758</v>
      </c>
      <c r="L919" s="39">
        <v>1.4705646569118667</v>
      </c>
      <c r="M919" s="39">
        <f>I919*376.38</f>
        <v>0.63995202448405641</v>
      </c>
      <c r="N919" s="39">
        <f t="shared" si="123"/>
        <v>0.78010151784606485</v>
      </c>
      <c r="O919" s="94">
        <f t="shared" si="125"/>
        <v>0.19752198907613225</v>
      </c>
    </row>
    <row r="920" spans="1:16" s="6" customFormat="1" ht="15.75">
      <c r="A920" s="285">
        <v>40</v>
      </c>
      <c r="B920" s="285" t="s">
        <v>431</v>
      </c>
      <c r="C920" s="803">
        <v>210.4</v>
      </c>
      <c r="D920" s="804"/>
      <c r="E920" s="804">
        <v>26.5</v>
      </c>
      <c r="F920" s="61">
        <f t="shared" si="119"/>
        <v>236.9</v>
      </c>
      <c r="G920" s="8" t="s">
        <v>1341</v>
      </c>
      <c r="H920" s="804">
        <v>98</v>
      </c>
      <c r="I920" s="178">
        <f t="shared" si="122"/>
        <v>4.5034488146279373E-3</v>
      </c>
      <c r="J920" s="39">
        <f t="shared" si="120"/>
        <v>10.218910808736691</v>
      </c>
      <c r="K920" s="37">
        <f t="shared" si="121"/>
        <v>3.7574935043724818</v>
      </c>
      <c r="L920" s="39">
        <v>3.8950090912800794</v>
      </c>
      <c r="M920" s="39">
        <f>I920*1376.38</f>
        <v>6.1984568794776012</v>
      </c>
      <c r="N920" s="39">
        <f t="shared" si="123"/>
        <v>7.555918936083196</v>
      </c>
      <c r="O920" s="94">
        <f t="shared" si="125"/>
        <v>0.10160350478626785</v>
      </c>
    </row>
    <row r="921" spans="1:16" s="6" customFormat="1" ht="15.75">
      <c r="A921" s="285">
        <v>41</v>
      </c>
      <c r="B921" s="285" t="s">
        <v>432</v>
      </c>
      <c r="C921" s="803">
        <v>297.2</v>
      </c>
      <c r="D921" s="804"/>
      <c r="E921" s="804">
        <v>65.400000000000006</v>
      </c>
      <c r="F921" s="61">
        <f t="shared" si="119"/>
        <v>362.6</v>
      </c>
      <c r="G921" s="8" t="s">
        <v>1341</v>
      </c>
      <c r="H921" s="804">
        <v>290</v>
      </c>
      <c r="I921" s="178">
        <f t="shared" si="122"/>
        <v>1.3326532206552059E-2</v>
      </c>
      <c r="J921" s="39">
        <f t="shared" si="120"/>
        <v>30.239634025853473</v>
      </c>
      <c r="K921" s="37">
        <f t="shared" si="121"/>
        <v>11.119113431306323</v>
      </c>
      <c r="L921" s="39">
        <v>11.526047310930847</v>
      </c>
      <c r="M921" s="39">
        <f>I921*376.38</f>
        <v>5.0158401919020639</v>
      </c>
      <c r="N921" s="39">
        <f t="shared" si="123"/>
        <v>6.1143091939286167</v>
      </c>
      <c r="O921" s="94">
        <f t="shared" si="125"/>
        <v>0.15968183938221925</v>
      </c>
    </row>
    <row r="922" spans="1:16" s="6" customFormat="1" ht="15.75">
      <c r="A922" s="285">
        <v>42</v>
      </c>
      <c r="B922" s="285" t="s">
        <v>433</v>
      </c>
      <c r="C922" s="803">
        <v>494.9</v>
      </c>
      <c r="D922" s="804"/>
      <c r="E922" s="804"/>
      <c r="F922" s="61">
        <f t="shared" si="119"/>
        <v>494.9</v>
      </c>
      <c r="G922" s="8" t="s">
        <v>1341</v>
      </c>
      <c r="H922" s="804">
        <v>110</v>
      </c>
      <c r="I922" s="178">
        <f t="shared" si="122"/>
        <v>5.0548915266231944E-3</v>
      </c>
      <c r="J922" s="39">
        <f t="shared" si="120"/>
        <v>11.470206009806489</v>
      </c>
      <c r="K922" s="37">
        <f t="shared" si="121"/>
        <v>4.2175947498058459</v>
      </c>
      <c r="L922" s="39">
        <v>4.3719489800082529</v>
      </c>
      <c r="M922" s="39">
        <f>I922*2076.38</f>
        <v>10.495875668049869</v>
      </c>
      <c r="N922" s="39">
        <f t="shared" si="123"/>
        <v>12.794472439352791</v>
      </c>
      <c r="O922" s="94">
        <f t="shared" si="125"/>
        <v>6.174100910824501E-2</v>
      </c>
    </row>
    <row r="923" spans="1:16" s="6" customFormat="1" ht="15.75">
      <c r="A923" s="285">
        <v>43</v>
      </c>
      <c r="B923" s="285" t="s">
        <v>434</v>
      </c>
      <c r="C923" s="803">
        <v>277.2</v>
      </c>
      <c r="D923" s="804"/>
      <c r="E923" s="804"/>
      <c r="F923" s="61">
        <f t="shared" si="119"/>
        <v>277.2</v>
      </c>
      <c r="G923" s="8" t="s">
        <v>1341</v>
      </c>
      <c r="H923" s="804">
        <v>40</v>
      </c>
      <c r="I923" s="178">
        <f t="shared" si="122"/>
        <v>1.8381423733175254E-3</v>
      </c>
      <c r="J923" s="39">
        <f t="shared" si="120"/>
        <v>4.1709840035659962</v>
      </c>
      <c r="K923" s="37">
        <f t="shared" si="121"/>
        <v>1.5336708181112169</v>
      </c>
      <c r="L923" s="39">
        <v>1.58979962909391</v>
      </c>
      <c r="M923" s="39">
        <f>I923*2376.38</f>
        <v>4.3681247731043014</v>
      </c>
      <c r="N923" s="39">
        <f t="shared" si="123"/>
        <v>5.3247440984141434</v>
      </c>
      <c r="O923" s="94">
        <f t="shared" si="125"/>
        <v>4.2072796622927219E-2</v>
      </c>
    </row>
    <row r="924" spans="1:16" s="6" customFormat="1" ht="15.75">
      <c r="A924" s="285">
        <v>44</v>
      </c>
      <c r="B924" s="285" t="s">
        <v>435</v>
      </c>
      <c r="C924" s="803">
        <v>7127.52</v>
      </c>
      <c r="D924" s="804"/>
      <c r="E924" s="804"/>
      <c r="F924" s="61">
        <f t="shared" si="119"/>
        <v>7127.52</v>
      </c>
      <c r="G924" s="8" t="s">
        <v>1341</v>
      </c>
      <c r="H924" s="804">
        <v>1053</v>
      </c>
      <c r="I924" s="178">
        <f t="shared" si="122"/>
        <v>4.8389097977583853E-2</v>
      </c>
      <c r="J924" s="39">
        <f t="shared" si="120"/>
        <v>109.80115389387485</v>
      </c>
      <c r="K924" s="37">
        <f t="shared" si="121"/>
        <v>40.373884286777788</v>
      </c>
      <c r="L924" s="39">
        <v>41.851475235897183</v>
      </c>
      <c r="M924" s="39">
        <f>I924*2376.38</f>
        <v>114.99088465197072</v>
      </c>
      <c r="N924" s="39">
        <f t="shared" si="123"/>
        <v>140.17388839075232</v>
      </c>
      <c r="O924" s="94">
        <f t="shared" si="125"/>
        <v>4.3074926211153462E-2</v>
      </c>
    </row>
    <row r="925" spans="1:16" s="6" customFormat="1" ht="15.75">
      <c r="A925" s="285">
        <v>45</v>
      </c>
      <c r="B925" s="285" t="s">
        <v>436</v>
      </c>
      <c r="C925" s="803">
        <v>52.9</v>
      </c>
      <c r="D925" s="804"/>
      <c r="E925" s="804"/>
      <c r="F925" s="61">
        <f t="shared" si="119"/>
        <v>52.9</v>
      </c>
      <c r="G925" s="8" t="s">
        <v>1341</v>
      </c>
      <c r="H925" s="804">
        <v>53</v>
      </c>
      <c r="I925" s="178">
        <f t="shared" si="122"/>
        <v>2.435538644645721E-3</v>
      </c>
      <c r="J925" s="39">
        <f t="shared" si="120"/>
        <v>5.5265538047249452</v>
      </c>
      <c r="K925" s="37">
        <f t="shared" si="121"/>
        <v>2.0321138339973626</v>
      </c>
      <c r="L925" s="39">
        <v>2.1064845085494306</v>
      </c>
      <c r="M925" s="39">
        <f t="shared" ref="M925:M930" si="126">I925*1376.38</f>
        <v>3.3522266797174778</v>
      </c>
      <c r="N925" s="39">
        <f t="shared" si="123"/>
        <v>4.0863643225756059</v>
      </c>
      <c r="O925" s="94">
        <f t="shared" si="125"/>
        <v>0.24607521412077912</v>
      </c>
    </row>
    <row r="926" spans="1:16" s="6" customFormat="1" ht="15.75">
      <c r="A926" s="285">
        <v>46</v>
      </c>
      <c r="B926" s="285" t="s">
        <v>437</v>
      </c>
      <c r="C926" s="803">
        <v>119.9</v>
      </c>
      <c r="D926" s="804"/>
      <c r="E926" s="804"/>
      <c r="F926" s="61">
        <f t="shared" si="119"/>
        <v>119.9</v>
      </c>
      <c r="G926" s="8" t="s">
        <v>1341</v>
      </c>
      <c r="H926" s="804">
        <v>119</v>
      </c>
      <c r="I926" s="178">
        <f t="shared" si="122"/>
        <v>5.4684735606196381E-3</v>
      </c>
      <c r="J926" s="39">
        <f t="shared" si="120"/>
        <v>12.40867741060884</v>
      </c>
      <c r="K926" s="37">
        <f t="shared" si="121"/>
        <v>4.5626706838808708</v>
      </c>
      <c r="L926" s="39">
        <v>4.7296538965543826</v>
      </c>
      <c r="M926" s="39">
        <f t="shared" si="126"/>
        <v>7.5266976393656577</v>
      </c>
      <c r="N926" s="39">
        <f t="shared" si="123"/>
        <v>9.1750444223867369</v>
      </c>
      <c r="O926" s="94">
        <f t="shared" si="125"/>
        <v>0.24376730300591953</v>
      </c>
    </row>
    <row r="927" spans="1:16" s="6" customFormat="1" ht="15.75">
      <c r="A927" s="285">
        <v>47</v>
      </c>
      <c r="B927" s="285" t="s">
        <v>438</v>
      </c>
      <c r="C927" s="803">
        <v>75.3</v>
      </c>
      <c r="D927" s="804"/>
      <c r="E927" s="804"/>
      <c r="F927" s="61">
        <f t="shared" si="119"/>
        <v>75.3</v>
      </c>
      <c r="G927" s="8" t="s">
        <v>1341</v>
      </c>
      <c r="H927" s="804">
        <v>39</v>
      </c>
      <c r="I927" s="178">
        <f t="shared" si="122"/>
        <v>1.7921888139845871E-3</v>
      </c>
      <c r="J927" s="39">
        <f t="shared" si="120"/>
        <v>4.0667094034768461</v>
      </c>
      <c r="K927" s="37">
        <f t="shared" si="121"/>
        <v>1.4953290476584364</v>
      </c>
      <c r="L927" s="39">
        <v>1.5500546383665623</v>
      </c>
      <c r="M927" s="39">
        <f t="shared" si="126"/>
        <v>2.466732839792106</v>
      </c>
      <c r="N927" s="39">
        <f t="shared" si="123"/>
        <v>3.0069473317065776</v>
      </c>
      <c r="O927" s="94">
        <f t="shared" si="125"/>
        <v>0.12720884368252258</v>
      </c>
    </row>
    <row r="928" spans="1:16" s="6" customFormat="1" ht="15.75">
      <c r="A928" s="285">
        <v>48</v>
      </c>
      <c r="B928" s="285" t="s">
        <v>439</v>
      </c>
      <c r="C928" s="803">
        <v>120.8</v>
      </c>
      <c r="D928" s="804"/>
      <c r="E928" s="804"/>
      <c r="F928" s="61">
        <f t="shared" si="119"/>
        <v>120.8</v>
      </c>
      <c r="G928" s="8" t="s">
        <v>1341</v>
      </c>
      <c r="H928" s="804">
        <v>101</v>
      </c>
      <c r="I928" s="178">
        <f t="shared" si="122"/>
        <v>4.6413094926267516E-3</v>
      </c>
      <c r="J928" s="39">
        <f t="shared" si="120"/>
        <v>10.531734609004141</v>
      </c>
      <c r="K928" s="37">
        <f t="shared" si="121"/>
        <v>3.8725188157308232</v>
      </c>
      <c r="L928" s="39">
        <v>4.0142440634621224</v>
      </c>
      <c r="M928" s="39">
        <f t="shared" si="126"/>
        <v>6.3882055594616087</v>
      </c>
      <c r="N928" s="39">
        <f t="shared" si="123"/>
        <v>7.7872225769837016</v>
      </c>
      <c r="O928" s="94">
        <f t="shared" si="125"/>
        <v>0.20535350205015476</v>
      </c>
    </row>
    <row r="929" spans="1:15" s="6" customFormat="1" ht="15.75">
      <c r="A929" s="285">
        <v>49</v>
      </c>
      <c r="B929" s="285" t="s">
        <v>440</v>
      </c>
      <c r="C929" s="803">
        <v>429.7</v>
      </c>
      <c r="D929" s="804"/>
      <c r="E929" s="804"/>
      <c r="F929" s="61">
        <f t="shared" si="119"/>
        <v>429.7</v>
      </c>
      <c r="G929" s="8" t="s">
        <v>1341</v>
      </c>
      <c r="H929" s="804">
        <v>372</v>
      </c>
      <c r="I929" s="178">
        <f t="shared" si="122"/>
        <v>1.7094724071852984E-2</v>
      </c>
      <c r="J929" s="39">
        <f t="shared" si="120"/>
        <v>38.790151233163762</v>
      </c>
      <c r="K929" s="37">
        <f t="shared" si="121"/>
        <v>14.263138608434316</v>
      </c>
      <c r="L929" s="39">
        <v>14.785136550573363</v>
      </c>
      <c r="M929" s="39">
        <f t="shared" si="126"/>
        <v>23.528836318017014</v>
      </c>
      <c r="N929" s="39">
        <f t="shared" si="123"/>
        <v>28.681651471662743</v>
      </c>
      <c r="O929" s="94">
        <f t="shared" si="125"/>
        <v>0.21263035306071318</v>
      </c>
    </row>
    <row r="930" spans="1:15" s="6" customFormat="1" ht="15.75">
      <c r="A930" s="285">
        <v>50</v>
      </c>
      <c r="B930" s="285" t="s">
        <v>441</v>
      </c>
      <c r="C930" s="803">
        <v>249.1</v>
      </c>
      <c r="D930" s="804"/>
      <c r="E930" s="804"/>
      <c r="F930" s="61">
        <f t="shared" si="119"/>
        <v>249.1</v>
      </c>
      <c r="G930" s="8" t="s">
        <v>1341</v>
      </c>
      <c r="H930" s="804">
        <v>62</v>
      </c>
      <c r="I930" s="178">
        <f t="shared" si="122"/>
        <v>2.8491206786421643E-3</v>
      </c>
      <c r="J930" s="39">
        <f t="shared" si="120"/>
        <v>6.4650252055272945</v>
      </c>
      <c r="K930" s="37">
        <f t="shared" si="121"/>
        <v>2.3771897680723866</v>
      </c>
      <c r="L930" s="39">
        <v>2.4641894250955607</v>
      </c>
      <c r="M930" s="39">
        <f t="shared" si="126"/>
        <v>3.9214727196695023</v>
      </c>
      <c r="N930" s="39">
        <f t="shared" si="123"/>
        <v>4.7802752452771236</v>
      </c>
      <c r="O930" s="94">
        <f t="shared" si="125"/>
        <v>6.1131582169268346E-2</v>
      </c>
    </row>
    <row r="931" spans="1:15" s="6" customFormat="1" ht="15.75">
      <c r="A931" s="285">
        <v>51</v>
      </c>
      <c r="B931" s="285" t="s">
        <v>442</v>
      </c>
      <c r="C931" s="803">
        <v>50.8</v>
      </c>
      <c r="D931" s="804"/>
      <c r="E931" s="804">
        <v>52.2</v>
      </c>
      <c r="F931" s="61">
        <f t="shared" si="119"/>
        <v>103</v>
      </c>
      <c r="G931" s="8" t="s">
        <v>1341</v>
      </c>
      <c r="H931" s="804">
        <v>22</v>
      </c>
      <c r="I931" s="178">
        <f t="shared" si="122"/>
        <v>1.0109783053246389E-3</v>
      </c>
      <c r="J931" s="39">
        <f t="shared" si="120"/>
        <v>2.2940412019612979</v>
      </c>
      <c r="K931" s="37">
        <f t="shared" si="121"/>
        <v>0.84351894996116927</v>
      </c>
      <c r="L931" s="39">
        <v>0.87438979600165057</v>
      </c>
      <c r="M931" s="39">
        <f>I931*2876.38</f>
        <v>2.9079577778696848</v>
      </c>
      <c r="N931" s="39">
        <f t="shared" si="123"/>
        <v>3.5448005312231459</v>
      </c>
      <c r="O931" s="94">
        <f t="shared" si="125"/>
        <v>6.7183570153337882E-2</v>
      </c>
    </row>
    <row r="932" spans="1:15" s="6" customFormat="1" ht="15.75">
      <c r="A932" s="285">
        <v>52</v>
      </c>
      <c r="B932" s="285" t="s">
        <v>443</v>
      </c>
      <c r="C932" s="803">
        <v>71.400000000000006</v>
      </c>
      <c r="D932" s="804">
        <v>105.1</v>
      </c>
      <c r="E932" s="804"/>
      <c r="F932" s="61">
        <f t="shared" si="119"/>
        <v>176.5</v>
      </c>
      <c r="G932" s="8" t="s">
        <v>1341</v>
      </c>
      <c r="H932" s="804">
        <v>57</v>
      </c>
      <c r="I932" s="178">
        <f t="shared" si="122"/>
        <v>2.6193528819774734E-3</v>
      </c>
      <c r="J932" s="39">
        <f t="shared" si="120"/>
        <v>5.9436522050815448</v>
      </c>
      <c r="K932" s="37">
        <f t="shared" si="121"/>
        <v>2.1854809158084842</v>
      </c>
      <c r="L932" s="39">
        <v>2.2654644714588219</v>
      </c>
      <c r="M932" s="39">
        <f>I932*2876.38</f>
        <v>7.5342542426623655</v>
      </c>
      <c r="N932" s="39">
        <f t="shared" si="123"/>
        <v>9.1842559218054234</v>
      </c>
      <c r="O932" s="94">
        <f t="shared" si="125"/>
        <v>0.10157989708221651</v>
      </c>
    </row>
    <row r="933" spans="1:15" s="6" customFormat="1" ht="15.75">
      <c r="A933" s="285">
        <v>53</v>
      </c>
      <c r="B933" s="285" t="s">
        <v>444</v>
      </c>
      <c r="C933" s="803">
        <v>109.5</v>
      </c>
      <c r="D933" s="804"/>
      <c r="E933" s="804"/>
      <c r="F933" s="61">
        <f t="shared" si="119"/>
        <v>109.5</v>
      </c>
      <c r="G933" s="8" t="s">
        <v>1341</v>
      </c>
      <c r="H933" s="804">
        <v>109</v>
      </c>
      <c r="I933" s="178">
        <f t="shared" si="122"/>
        <v>5.0089379672902563E-3</v>
      </c>
      <c r="J933" s="39">
        <f t="shared" si="120"/>
        <v>11.365931409717341</v>
      </c>
      <c r="K933" s="37">
        <f t="shared" si="121"/>
        <v>4.1792529793530662</v>
      </c>
      <c r="L933" s="39">
        <v>4.332203989280905</v>
      </c>
      <c r="M933" s="39">
        <f t="shared" ref="M933:M938" si="127">I933*376.38</f>
        <v>1.8852640721287066</v>
      </c>
      <c r="N933" s="39">
        <f t="shared" si="123"/>
        <v>2.2981369039248936</v>
      </c>
      <c r="O933" s="94">
        <f t="shared" si="125"/>
        <v>0.19874568447926957</v>
      </c>
    </row>
    <row r="934" spans="1:15" s="6" customFormat="1" ht="15.75">
      <c r="A934" s="285">
        <v>54</v>
      </c>
      <c r="B934" s="285" t="s">
        <v>445</v>
      </c>
      <c r="C934" s="803">
        <v>111.4</v>
      </c>
      <c r="D934" s="804"/>
      <c r="E934" s="804"/>
      <c r="F934" s="61">
        <f t="shared" si="119"/>
        <v>111.4</v>
      </c>
      <c r="G934" s="8" t="s">
        <v>1341</v>
      </c>
      <c r="H934" s="804">
        <v>51</v>
      </c>
      <c r="I934" s="178">
        <f t="shared" si="122"/>
        <v>2.3436315259798448E-3</v>
      </c>
      <c r="J934" s="39">
        <f t="shared" si="120"/>
        <v>5.3180046045466458</v>
      </c>
      <c r="K934" s="37">
        <f t="shared" si="121"/>
        <v>1.9554302930918017</v>
      </c>
      <c r="L934" s="39">
        <v>2.0269945270947352</v>
      </c>
      <c r="M934" s="39">
        <f t="shared" si="127"/>
        <v>0.88209603374829404</v>
      </c>
      <c r="N934" s="39">
        <f t="shared" si="123"/>
        <v>1.0752750651391705</v>
      </c>
      <c r="O934" s="94">
        <f t="shared" si="125"/>
        <v>9.1405075928918098E-2</v>
      </c>
    </row>
    <row r="935" spans="1:15" s="6" customFormat="1" ht="15.75">
      <c r="A935" s="285">
        <v>55</v>
      </c>
      <c r="B935" s="285" t="s">
        <v>446</v>
      </c>
      <c r="C935" s="803">
        <v>92.9</v>
      </c>
      <c r="D935" s="804"/>
      <c r="E935" s="804"/>
      <c r="F935" s="61">
        <f t="shared" si="119"/>
        <v>92.9</v>
      </c>
      <c r="G935" s="8" t="s">
        <v>1341</v>
      </c>
      <c r="H935" s="804">
        <v>83</v>
      </c>
      <c r="I935" s="178">
        <f t="shared" si="122"/>
        <v>3.8141454246338651E-3</v>
      </c>
      <c r="J935" s="39">
        <f t="shared" si="120"/>
        <v>8.6547918073994428</v>
      </c>
      <c r="K935" s="37">
        <f t="shared" si="121"/>
        <v>3.1823669475807752</v>
      </c>
      <c r="L935" s="39">
        <v>3.2988342303698635</v>
      </c>
      <c r="M935" s="39">
        <f t="shared" si="127"/>
        <v>1.4355680549236942</v>
      </c>
      <c r="N935" s="39">
        <f t="shared" si="123"/>
        <v>1.7499574589519833</v>
      </c>
      <c r="O935" s="94">
        <f t="shared" si="125"/>
        <v>0.17838063552501374</v>
      </c>
    </row>
    <row r="936" spans="1:15" s="6" customFormat="1" ht="15.75">
      <c r="A936" s="285">
        <v>56</v>
      </c>
      <c r="B936" s="285" t="s">
        <v>447</v>
      </c>
      <c r="C936" s="803">
        <v>101.8</v>
      </c>
      <c r="D936" s="804"/>
      <c r="E936" s="804"/>
      <c r="F936" s="61">
        <f t="shared" si="119"/>
        <v>101.8</v>
      </c>
      <c r="G936" s="8" t="s">
        <v>1341</v>
      </c>
      <c r="H936" s="804">
        <v>88</v>
      </c>
      <c r="I936" s="178">
        <f t="shared" si="122"/>
        <v>4.0439132212985555E-3</v>
      </c>
      <c r="J936" s="39">
        <f t="shared" si="120"/>
        <v>9.1761648078451916</v>
      </c>
      <c r="K936" s="37">
        <f t="shared" si="121"/>
        <v>3.3740757998446771</v>
      </c>
      <c r="L936" s="39">
        <v>3.4975591840066023</v>
      </c>
      <c r="M936" s="39">
        <f t="shared" si="127"/>
        <v>1.5220480582323503</v>
      </c>
      <c r="N936" s="39">
        <f t="shared" si="123"/>
        <v>1.8553765829852351</v>
      </c>
      <c r="O936" s="94">
        <f t="shared" si="125"/>
        <v>0.17259182563780767</v>
      </c>
    </row>
    <row r="937" spans="1:15" s="6" customFormat="1" ht="15.75">
      <c r="A937" s="285">
        <v>57</v>
      </c>
      <c r="B937" s="285" t="s">
        <v>448</v>
      </c>
      <c r="C937" s="803">
        <v>202</v>
      </c>
      <c r="D937" s="804"/>
      <c r="E937" s="804"/>
      <c r="F937" s="61">
        <f t="shared" si="119"/>
        <v>202</v>
      </c>
      <c r="G937" s="8" t="s">
        <v>1341</v>
      </c>
      <c r="H937" s="804">
        <v>160</v>
      </c>
      <c r="I937" s="178">
        <f t="shared" si="122"/>
        <v>7.3525694932701016E-3</v>
      </c>
      <c r="J937" s="39">
        <f t="shared" si="120"/>
        <v>16.683936014263985</v>
      </c>
      <c r="K937" s="37">
        <f t="shared" si="121"/>
        <v>6.1346832724448674</v>
      </c>
      <c r="L937" s="39">
        <v>6.3591985163756402</v>
      </c>
      <c r="M937" s="39">
        <f t="shared" si="127"/>
        <v>2.767360105877001</v>
      </c>
      <c r="N937" s="39">
        <f t="shared" si="123"/>
        <v>3.3734119690640645</v>
      </c>
      <c r="O937" s="94">
        <f t="shared" si="125"/>
        <v>0.15814444509386877</v>
      </c>
    </row>
    <row r="938" spans="1:15" s="6" customFormat="1" ht="15.75">
      <c r="A938" s="285">
        <v>58</v>
      </c>
      <c r="B938" s="285" t="s">
        <v>449</v>
      </c>
      <c r="C938" s="803">
        <v>214.1</v>
      </c>
      <c r="D938" s="804"/>
      <c r="E938" s="804"/>
      <c r="F938" s="61">
        <f t="shared" si="119"/>
        <v>214.1</v>
      </c>
      <c r="G938" s="8" t="s">
        <v>1341</v>
      </c>
      <c r="H938" s="804">
        <v>103</v>
      </c>
      <c r="I938" s="178">
        <f t="shared" si="122"/>
        <v>4.7332166112926278E-3</v>
      </c>
      <c r="J938" s="39">
        <f t="shared" si="120"/>
        <v>10.740283809182442</v>
      </c>
      <c r="K938" s="37">
        <f t="shared" si="121"/>
        <v>3.9492023566363841</v>
      </c>
      <c r="L938" s="39">
        <v>4.0937340449168182</v>
      </c>
      <c r="M938" s="39">
        <f t="shared" si="127"/>
        <v>1.7814880681583192</v>
      </c>
      <c r="N938" s="39">
        <f t="shared" si="123"/>
        <v>2.171633955084991</v>
      </c>
      <c r="O938" s="94">
        <f t="shared" si="125"/>
        <v>9.6051883600625707E-2</v>
      </c>
    </row>
    <row r="939" spans="1:15" s="6" customFormat="1" ht="15.75">
      <c r="A939" s="285">
        <v>59</v>
      </c>
      <c r="B939" s="285" t="s">
        <v>450</v>
      </c>
      <c r="C939" s="803">
        <v>161.19999999999999</v>
      </c>
      <c r="D939" s="804"/>
      <c r="E939" s="804"/>
      <c r="F939" s="61">
        <f t="shared" si="119"/>
        <v>161.19999999999999</v>
      </c>
      <c r="G939" s="8" t="s">
        <v>1341</v>
      </c>
      <c r="H939" s="804">
        <v>109</v>
      </c>
      <c r="I939" s="178">
        <f t="shared" si="122"/>
        <v>5.0089379672902563E-3</v>
      </c>
      <c r="J939" s="39">
        <f t="shared" si="120"/>
        <v>11.365931409717341</v>
      </c>
      <c r="K939" s="37">
        <f t="shared" si="121"/>
        <v>4.1792529793530662</v>
      </c>
      <c r="L939" s="39">
        <v>4.332203989280905</v>
      </c>
      <c r="M939" s="39">
        <f>I939*1376.38</f>
        <v>6.8942020394189631</v>
      </c>
      <c r="N939" s="39">
        <f t="shared" si="123"/>
        <v>8.4040322860517165</v>
      </c>
      <c r="O939" s="94">
        <f t="shared" si="125"/>
        <v>0.16607686363381066</v>
      </c>
    </row>
    <row r="940" spans="1:15" s="6" customFormat="1" ht="15.75">
      <c r="A940" s="285">
        <v>60</v>
      </c>
      <c r="B940" s="285" t="s">
        <v>451</v>
      </c>
      <c r="C940" s="803">
        <v>134.9</v>
      </c>
      <c r="D940" s="804"/>
      <c r="E940" s="804"/>
      <c r="F940" s="61">
        <f t="shared" si="119"/>
        <v>134.9</v>
      </c>
      <c r="G940" s="8" t="s">
        <v>1341</v>
      </c>
      <c r="H940" s="804">
        <v>101</v>
      </c>
      <c r="I940" s="178">
        <f t="shared" si="122"/>
        <v>4.6413094926267516E-3</v>
      </c>
      <c r="J940" s="39">
        <f t="shared" si="120"/>
        <v>10.531734609004141</v>
      </c>
      <c r="K940" s="37">
        <f t="shared" si="121"/>
        <v>3.8725188157308232</v>
      </c>
      <c r="L940" s="39">
        <v>4.0142440634621224</v>
      </c>
      <c r="M940" s="39">
        <f>I940*1376.38</f>
        <v>6.3882055594616087</v>
      </c>
      <c r="N940" s="39">
        <f t="shared" si="123"/>
        <v>7.7872225769837016</v>
      </c>
      <c r="O940" s="94">
        <f t="shared" si="125"/>
        <v>0.18388957040517934</v>
      </c>
    </row>
    <row r="941" spans="1:15" s="6" customFormat="1" ht="15.75">
      <c r="A941" s="285">
        <v>61</v>
      </c>
      <c r="B941" s="285" t="s">
        <v>452</v>
      </c>
      <c r="C941" s="803">
        <v>80.599999999999994</v>
      </c>
      <c r="D941" s="804"/>
      <c r="E941" s="804"/>
      <c r="F941" s="61">
        <f t="shared" si="119"/>
        <v>80.599999999999994</v>
      </c>
      <c r="G941" s="8" t="s">
        <v>1341</v>
      </c>
      <c r="H941" s="804">
        <v>80</v>
      </c>
      <c r="I941" s="178">
        <f t="shared" si="122"/>
        <v>3.6762847466350508E-3</v>
      </c>
      <c r="J941" s="39">
        <f t="shared" si="120"/>
        <v>8.3419680071319924</v>
      </c>
      <c r="K941" s="37">
        <f t="shared" si="121"/>
        <v>3.0673416362224337</v>
      </c>
      <c r="L941" s="39">
        <v>3.1795992581878201</v>
      </c>
      <c r="M941" s="39">
        <f>I941*1376.38</f>
        <v>5.0599647995735513</v>
      </c>
      <c r="N941" s="39">
        <f t="shared" si="123"/>
        <v>6.1680970906801598</v>
      </c>
      <c r="O941" s="94">
        <f t="shared" si="125"/>
        <v>0.2437825521230248</v>
      </c>
    </row>
    <row r="942" spans="1:15" s="6" customFormat="1" ht="15.75">
      <c r="A942" s="285">
        <v>62</v>
      </c>
      <c r="B942" s="285" t="s">
        <v>453</v>
      </c>
      <c r="C942" s="803">
        <v>249.4</v>
      </c>
      <c r="D942" s="804"/>
      <c r="E942" s="804"/>
      <c r="F942" s="61">
        <f t="shared" ref="F942:F1000" si="128">C942+D942+E942</f>
        <v>249.4</v>
      </c>
      <c r="G942" s="8" t="s">
        <v>1341</v>
      </c>
      <c r="H942" s="804">
        <v>168</v>
      </c>
      <c r="I942" s="178">
        <f t="shared" si="122"/>
        <v>7.7201979679336064E-3</v>
      </c>
      <c r="J942" s="39">
        <f t="shared" si="120"/>
        <v>17.518132814977186</v>
      </c>
      <c r="K942" s="37">
        <f t="shared" si="121"/>
        <v>6.4414174360671117</v>
      </c>
      <c r="L942" s="39">
        <v>6.6771584421944219</v>
      </c>
      <c r="M942" s="39">
        <f>I942*2076.38</f>
        <v>16.030064656657981</v>
      </c>
      <c r="N942" s="39">
        <f t="shared" si="123"/>
        <v>19.540648816466081</v>
      </c>
      <c r="O942" s="94">
        <f t="shared" si="125"/>
        <v>0.18711617221289775</v>
      </c>
    </row>
    <row r="943" spans="1:15" s="6" customFormat="1" ht="15.75">
      <c r="A943" s="285">
        <v>63</v>
      </c>
      <c r="B943" s="285" t="s">
        <v>454</v>
      </c>
      <c r="C943" s="803">
        <v>110.5</v>
      </c>
      <c r="D943" s="804"/>
      <c r="E943" s="804"/>
      <c r="F943" s="61">
        <f t="shared" si="128"/>
        <v>110.5</v>
      </c>
      <c r="G943" s="8" t="s">
        <v>1341</v>
      </c>
      <c r="H943" s="804">
        <v>110</v>
      </c>
      <c r="I943" s="178">
        <f t="shared" si="122"/>
        <v>5.0548915266231944E-3</v>
      </c>
      <c r="J943" s="39">
        <f t="shared" si="120"/>
        <v>11.470206009806489</v>
      </c>
      <c r="K943" s="37">
        <f t="shared" si="121"/>
        <v>4.2175947498058459</v>
      </c>
      <c r="L943" s="39">
        <v>4.3719489800082529</v>
      </c>
      <c r="M943" s="39">
        <f>I943*376.38</f>
        <v>1.9025600727904379</v>
      </c>
      <c r="N943" s="39">
        <f t="shared" si="123"/>
        <v>2.3192207287315441</v>
      </c>
      <c r="O943" s="94">
        <f t="shared" si="125"/>
        <v>0.19875393495394592</v>
      </c>
    </row>
    <row r="944" spans="1:15" s="6" customFormat="1" ht="15.75">
      <c r="A944" s="285">
        <v>64</v>
      </c>
      <c r="B944" s="285" t="s">
        <v>455</v>
      </c>
      <c r="C944" s="803">
        <v>168.5</v>
      </c>
      <c r="D944" s="804"/>
      <c r="E944" s="804"/>
      <c r="F944" s="61">
        <f t="shared" si="128"/>
        <v>168.5</v>
      </c>
      <c r="G944" s="8" t="s">
        <v>1341</v>
      </c>
      <c r="H944" s="804">
        <v>103</v>
      </c>
      <c r="I944" s="178">
        <f t="shared" si="122"/>
        <v>4.7332166112926278E-3</v>
      </c>
      <c r="J944" s="39">
        <f t="shared" si="120"/>
        <v>10.740283809182442</v>
      </c>
      <c r="K944" s="37">
        <f t="shared" ref="K944:K1002" si="129">J944*0.3677</f>
        <v>3.9492023566363841</v>
      </c>
      <c r="L944" s="39">
        <v>4.0937340449168182</v>
      </c>
      <c r="M944" s="39">
        <f>I944*376.38</f>
        <v>1.7814880681583192</v>
      </c>
      <c r="N944" s="39">
        <f t="shared" si="123"/>
        <v>2.171633955084991</v>
      </c>
      <c r="O944" s="94">
        <f t="shared" si="125"/>
        <v>0.12204574646227871</v>
      </c>
    </row>
    <row r="945" spans="1:15" s="6" customFormat="1" ht="15.75">
      <c r="A945" s="285">
        <v>65</v>
      </c>
      <c r="B945" s="285" t="s">
        <v>456</v>
      </c>
      <c r="C945" s="806">
        <v>130</v>
      </c>
      <c r="D945" s="804"/>
      <c r="E945" s="804"/>
      <c r="F945" s="61">
        <f t="shared" si="128"/>
        <v>130</v>
      </c>
      <c r="G945" s="8" t="s">
        <v>1341</v>
      </c>
      <c r="H945" s="804">
        <v>100</v>
      </c>
      <c r="I945" s="178">
        <f t="shared" si="122"/>
        <v>4.5953559332938135E-3</v>
      </c>
      <c r="J945" s="39">
        <f t="shared" ref="J945:J1008" si="130">I945*2269.13</f>
        <v>10.427460008914991</v>
      </c>
      <c r="K945" s="37">
        <f t="shared" si="129"/>
        <v>3.8341770452780426</v>
      </c>
      <c r="L945" s="39">
        <v>3.9744990727347749</v>
      </c>
      <c r="M945" s="39">
        <f>I945*376.38</f>
        <v>1.7296000661731254</v>
      </c>
      <c r="N945" s="39">
        <f t="shared" si="123"/>
        <v>2.10838248066504</v>
      </c>
      <c r="O945" s="94">
        <f t="shared" si="125"/>
        <v>0.15358258610077641</v>
      </c>
    </row>
    <row r="946" spans="1:15" s="6" customFormat="1" ht="15.75">
      <c r="A946" s="285">
        <v>66</v>
      </c>
      <c r="B946" s="285" t="s">
        <v>457</v>
      </c>
      <c r="C946" s="803">
        <v>175.8</v>
      </c>
      <c r="D946" s="804"/>
      <c r="E946" s="804"/>
      <c r="F946" s="61">
        <f t="shared" si="128"/>
        <v>175.8</v>
      </c>
      <c r="G946" s="8" t="s">
        <v>1341</v>
      </c>
      <c r="H946" s="804">
        <v>101</v>
      </c>
      <c r="I946" s="178">
        <f t="shared" ref="I946:I1009" si="131">4/87044.4*H946</f>
        <v>4.6413094926267516E-3</v>
      </c>
      <c r="J946" s="39">
        <f t="shared" si="130"/>
        <v>10.531734609004141</v>
      </c>
      <c r="K946" s="37">
        <f t="shared" si="129"/>
        <v>3.8725188157308232</v>
      </c>
      <c r="L946" s="39">
        <v>4.0142440634621224</v>
      </c>
      <c r="M946" s="39">
        <f>I946*376.38</f>
        <v>1.7468960668348568</v>
      </c>
      <c r="N946" s="39">
        <f t="shared" ref="N946:N1009" si="132">M946*1.219</f>
        <v>2.1294663054716905</v>
      </c>
      <c r="O946" s="94">
        <f t="shared" si="125"/>
        <v>0.11470644798084154</v>
      </c>
    </row>
    <row r="947" spans="1:15" s="6" customFormat="1" ht="15.75">
      <c r="A947" s="285">
        <v>67</v>
      </c>
      <c r="B947" s="285" t="s">
        <v>458</v>
      </c>
      <c r="C947" s="803">
        <v>129.80000000000001</v>
      </c>
      <c r="D947" s="804"/>
      <c r="E947" s="804"/>
      <c r="F947" s="61">
        <f t="shared" si="128"/>
        <v>129.80000000000001</v>
      </c>
      <c r="G947" s="8" t="s">
        <v>1341</v>
      </c>
      <c r="H947" s="804">
        <v>103</v>
      </c>
      <c r="I947" s="178">
        <f t="shared" si="131"/>
        <v>4.7332166112926278E-3</v>
      </c>
      <c r="J947" s="39">
        <f t="shared" si="130"/>
        <v>10.740283809182442</v>
      </c>
      <c r="K947" s="37">
        <f t="shared" si="129"/>
        <v>3.9492023566363841</v>
      </c>
      <c r="L947" s="39">
        <v>4.0937340449168182</v>
      </c>
      <c r="M947" s="39">
        <f>I947*376.38</f>
        <v>1.7814880681583192</v>
      </c>
      <c r="N947" s="39">
        <f t="shared" si="132"/>
        <v>2.171633955084991</v>
      </c>
      <c r="O947" s="94">
        <f t="shared" si="125"/>
        <v>0.15843380800380555</v>
      </c>
    </row>
    <row r="948" spans="1:15" s="6" customFormat="1" ht="15.75">
      <c r="A948" s="285">
        <v>68</v>
      </c>
      <c r="B948" s="285" t="s">
        <v>459</v>
      </c>
      <c r="C948" s="803">
        <v>152.30000000000001</v>
      </c>
      <c r="D948" s="804"/>
      <c r="E948" s="804"/>
      <c r="F948" s="61">
        <f t="shared" si="128"/>
        <v>152.30000000000001</v>
      </c>
      <c r="G948" s="8" t="s">
        <v>1341</v>
      </c>
      <c r="H948" s="804">
        <v>63</v>
      </c>
      <c r="I948" s="178">
        <f t="shared" si="131"/>
        <v>2.8950742379751024E-3</v>
      </c>
      <c r="J948" s="39">
        <f t="shared" si="130"/>
        <v>6.5692998056164447</v>
      </c>
      <c r="K948" s="37">
        <f t="shared" si="129"/>
        <v>2.4155315385251668</v>
      </c>
      <c r="L948" s="39">
        <v>2.5039344158229082</v>
      </c>
      <c r="M948" s="39">
        <f>I948*1376.38</f>
        <v>3.9847222796641719</v>
      </c>
      <c r="N948" s="39">
        <f t="shared" si="132"/>
        <v>4.8573764589106263</v>
      </c>
      <c r="O948" s="94">
        <f t="shared" si="125"/>
        <v>0.10159873959047072</v>
      </c>
    </row>
    <row r="949" spans="1:15" s="6" customFormat="1" ht="15.75">
      <c r="A949" s="285">
        <v>69</v>
      </c>
      <c r="B949" s="285" t="s">
        <v>460</v>
      </c>
      <c r="C949" s="803">
        <v>239.4</v>
      </c>
      <c r="D949" s="804"/>
      <c r="E949" s="804"/>
      <c r="F949" s="61">
        <f t="shared" si="128"/>
        <v>239.4</v>
      </c>
      <c r="G949" s="8" t="s">
        <v>1341</v>
      </c>
      <c r="H949" s="804">
        <v>58</v>
      </c>
      <c r="I949" s="178">
        <f t="shared" si="131"/>
        <v>2.6653064413104115E-3</v>
      </c>
      <c r="J949" s="39">
        <f t="shared" si="130"/>
        <v>6.047926805170694</v>
      </c>
      <c r="K949" s="37">
        <f t="shared" si="129"/>
        <v>2.2238226862612644</v>
      </c>
      <c r="L949" s="39">
        <v>2.3052094621861698</v>
      </c>
      <c r="M949" s="39">
        <f>I949*1376.38</f>
        <v>3.6684744796908246</v>
      </c>
      <c r="N949" s="39">
        <f t="shared" si="132"/>
        <v>4.4718703907431152</v>
      </c>
      <c r="O949" s="94">
        <f t="shared" si="125"/>
        <v>5.9504734474974744E-2</v>
      </c>
    </row>
    <row r="950" spans="1:15" s="6" customFormat="1" ht="15.75">
      <c r="A950" s="285">
        <v>70</v>
      </c>
      <c r="B950" s="285" t="s">
        <v>461</v>
      </c>
      <c r="C950" s="803">
        <v>84.2</v>
      </c>
      <c r="D950" s="804"/>
      <c r="E950" s="804"/>
      <c r="F950" s="61">
        <f t="shared" si="128"/>
        <v>84.2</v>
      </c>
      <c r="G950" s="8" t="s">
        <v>1341</v>
      </c>
      <c r="H950" s="804">
        <v>67</v>
      </c>
      <c r="I950" s="178">
        <f t="shared" si="131"/>
        <v>3.0788884753068547E-3</v>
      </c>
      <c r="J950" s="39">
        <f t="shared" si="130"/>
        <v>6.9863982059730434</v>
      </c>
      <c r="K950" s="37">
        <f t="shared" si="129"/>
        <v>2.5688986203362885</v>
      </c>
      <c r="L950" s="39">
        <v>2.6629143787322995</v>
      </c>
      <c r="M950" s="39">
        <f>I950*1376.38</f>
        <v>4.2377205196428491</v>
      </c>
      <c r="N950" s="39">
        <f t="shared" si="132"/>
        <v>5.1657813134446338</v>
      </c>
      <c r="O950" s="94">
        <f t="shared" si="125"/>
        <v>0.19543861905801044</v>
      </c>
    </row>
    <row r="951" spans="1:15" s="6" customFormat="1" ht="15.75">
      <c r="A951" s="285">
        <v>71</v>
      </c>
      <c r="B951" s="285" t="s">
        <v>462</v>
      </c>
      <c r="C951" s="803">
        <v>193.9</v>
      </c>
      <c r="D951" s="804"/>
      <c r="E951" s="804"/>
      <c r="F951" s="61">
        <f t="shared" si="128"/>
        <v>193.9</v>
      </c>
      <c r="G951" s="8" t="s">
        <v>1341</v>
      </c>
      <c r="H951" s="804">
        <v>194</v>
      </c>
      <c r="I951" s="178">
        <f t="shared" si="131"/>
        <v>8.9149905105899985E-3</v>
      </c>
      <c r="J951" s="39">
        <f t="shared" si="130"/>
        <v>20.229272417295086</v>
      </c>
      <c r="K951" s="37">
        <f t="shared" si="129"/>
        <v>7.4383034678394031</v>
      </c>
      <c r="L951" s="39">
        <v>7.710528201105463</v>
      </c>
      <c r="M951" s="39">
        <f>I951*1376.38</f>
        <v>12.270414638965864</v>
      </c>
      <c r="N951" s="39">
        <f t="shared" si="132"/>
        <v>14.95763544489939</v>
      </c>
      <c r="O951" s="94">
        <f t="shared" si="125"/>
        <v>0.24573759012483659</v>
      </c>
    </row>
    <row r="952" spans="1:15" s="6" customFormat="1" ht="15.75">
      <c r="A952" s="285">
        <v>72</v>
      </c>
      <c r="B952" s="285" t="s">
        <v>463</v>
      </c>
      <c r="C952" s="803">
        <v>252.4</v>
      </c>
      <c r="D952" s="804"/>
      <c r="E952" s="804"/>
      <c r="F952" s="61">
        <f t="shared" si="128"/>
        <v>252.4</v>
      </c>
      <c r="G952" s="8" t="s">
        <v>1341</v>
      </c>
      <c r="H952" s="804">
        <v>45</v>
      </c>
      <c r="I952" s="178">
        <f t="shared" si="131"/>
        <v>2.0679101699822159E-3</v>
      </c>
      <c r="J952" s="39">
        <f t="shared" si="130"/>
        <v>4.6923570040117459</v>
      </c>
      <c r="K952" s="37">
        <f t="shared" si="129"/>
        <v>1.7253796703751192</v>
      </c>
      <c r="L952" s="39">
        <v>1.7885245827306488</v>
      </c>
      <c r="M952" s="39">
        <f>I952*376.38</f>
        <v>0.77832002977790637</v>
      </c>
      <c r="N952" s="39">
        <f t="shared" si="132"/>
        <v>0.94877211629926794</v>
      </c>
      <c r="O952" s="94">
        <f t="shared" si="125"/>
        <v>3.5596597808618936E-2</v>
      </c>
    </row>
    <row r="953" spans="1:15" s="6" customFormat="1" ht="15.75">
      <c r="A953" s="285">
        <v>73</v>
      </c>
      <c r="B953" s="285" t="s">
        <v>464</v>
      </c>
      <c r="C953" s="807">
        <v>79</v>
      </c>
      <c r="D953" s="804"/>
      <c r="E953" s="804"/>
      <c r="F953" s="61">
        <f t="shared" si="128"/>
        <v>79</v>
      </c>
      <c r="G953" s="8" t="s">
        <v>1341</v>
      </c>
      <c r="H953" s="804">
        <v>79</v>
      </c>
      <c r="I953" s="178">
        <f t="shared" si="131"/>
        <v>3.6303311873021123E-3</v>
      </c>
      <c r="J953" s="39">
        <f t="shared" si="130"/>
        <v>8.2376934070428423</v>
      </c>
      <c r="K953" s="37">
        <f t="shared" si="129"/>
        <v>3.0289998657696535</v>
      </c>
      <c r="L953" s="39">
        <v>3.1398542674604726</v>
      </c>
      <c r="M953" s="39">
        <f t="shared" ref="M953:M959" si="133">I953*1376.38</f>
        <v>4.9967152395788821</v>
      </c>
      <c r="N953" s="39">
        <f t="shared" si="132"/>
        <v>6.0909958770466579</v>
      </c>
      <c r="O953" s="94">
        <f t="shared" si="125"/>
        <v>0.24561092126394748</v>
      </c>
    </row>
    <row r="954" spans="1:15" s="6" customFormat="1" ht="15.75">
      <c r="A954" s="285">
        <v>74</v>
      </c>
      <c r="B954" s="285" t="s">
        <v>465</v>
      </c>
      <c r="C954" s="803">
        <v>549.69000000000005</v>
      </c>
      <c r="D954" s="804"/>
      <c r="E954" s="804"/>
      <c r="F954" s="61">
        <f t="shared" si="128"/>
        <v>549.69000000000005</v>
      </c>
      <c r="G954" s="8" t="s">
        <v>1341</v>
      </c>
      <c r="H954" s="804">
        <v>263</v>
      </c>
      <c r="I954" s="178">
        <f t="shared" si="131"/>
        <v>1.2085786104562729E-2</v>
      </c>
      <c r="J954" s="39">
        <f t="shared" si="130"/>
        <v>27.424219823446428</v>
      </c>
      <c r="K954" s="37">
        <f t="shared" si="129"/>
        <v>10.083885629081253</v>
      </c>
      <c r="L954" s="39">
        <v>10.452932561292458</v>
      </c>
      <c r="M954" s="39">
        <f t="shared" si="133"/>
        <v>16.63463427859805</v>
      </c>
      <c r="N954" s="39">
        <f t="shared" si="132"/>
        <v>20.277619185611023</v>
      </c>
      <c r="O954" s="94">
        <f t="shared" si="125"/>
        <v>0.11751291144539318</v>
      </c>
    </row>
    <row r="955" spans="1:15" s="6" customFormat="1" ht="15.75">
      <c r="A955" s="285">
        <v>75</v>
      </c>
      <c r="B955" s="285" t="s">
        <v>466</v>
      </c>
      <c r="C955" s="803">
        <v>192.1</v>
      </c>
      <c r="D955" s="804"/>
      <c r="E955" s="804"/>
      <c r="F955" s="61">
        <f t="shared" si="128"/>
        <v>192.1</v>
      </c>
      <c r="G955" s="8" t="s">
        <v>1341</v>
      </c>
      <c r="H955" s="804">
        <v>118</v>
      </c>
      <c r="I955" s="178">
        <f t="shared" si="131"/>
        <v>5.4225200012867E-3</v>
      </c>
      <c r="J955" s="39">
        <f t="shared" si="130"/>
        <v>12.30440281051969</v>
      </c>
      <c r="K955" s="37">
        <f t="shared" si="129"/>
        <v>4.5243289134280902</v>
      </c>
      <c r="L955" s="39">
        <v>4.6899089058270347</v>
      </c>
      <c r="M955" s="39">
        <f t="shared" si="133"/>
        <v>7.4634480793709885</v>
      </c>
      <c r="N955" s="39">
        <f t="shared" si="132"/>
        <v>9.0979432087532359</v>
      </c>
      <c r="O955" s="94">
        <f t="shared" si="125"/>
        <v>0.15086980067228425</v>
      </c>
    </row>
    <row r="956" spans="1:15" s="6" customFormat="1" ht="15.75">
      <c r="A956" s="285">
        <v>76</v>
      </c>
      <c r="B956" s="285" t="s">
        <v>467</v>
      </c>
      <c r="C956" s="803">
        <v>166.8</v>
      </c>
      <c r="D956" s="804"/>
      <c r="E956" s="804"/>
      <c r="F956" s="61">
        <f t="shared" si="128"/>
        <v>166.8</v>
      </c>
      <c r="G956" s="8" t="s">
        <v>1341</v>
      </c>
      <c r="H956" s="804">
        <v>88</v>
      </c>
      <c r="I956" s="178">
        <f t="shared" si="131"/>
        <v>4.0439132212985555E-3</v>
      </c>
      <c r="J956" s="39">
        <f t="shared" si="130"/>
        <v>9.1761648078451916</v>
      </c>
      <c r="K956" s="37">
        <f t="shared" si="129"/>
        <v>3.3740757998446771</v>
      </c>
      <c r="L956" s="39">
        <v>3.4975591840066023</v>
      </c>
      <c r="M956" s="39">
        <f t="shared" si="133"/>
        <v>5.5659612795309066</v>
      </c>
      <c r="N956" s="39">
        <f t="shared" si="132"/>
        <v>6.7849067997481756</v>
      </c>
      <c r="O956" s="94">
        <f t="shared" si="125"/>
        <v>0.12957890330472049</v>
      </c>
    </row>
    <row r="957" spans="1:15" s="6" customFormat="1" ht="15.75">
      <c r="A957" s="285">
        <v>77</v>
      </c>
      <c r="B957" s="285" t="s">
        <v>468</v>
      </c>
      <c r="C957" s="803">
        <v>119.9</v>
      </c>
      <c r="D957" s="804"/>
      <c r="E957" s="804"/>
      <c r="F957" s="61">
        <f t="shared" si="128"/>
        <v>119.9</v>
      </c>
      <c r="G957" s="8" t="s">
        <v>1341</v>
      </c>
      <c r="H957" s="804">
        <v>117</v>
      </c>
      <c r="I957" s="178">
        <f t="shared" si="131"/>
        <v>5.3765664419537611E-3</v>
      </c>
      <c r="J957" s="39">
        <f t="shared" si="130"/>
        <v>12.200128210430538</v>
      </c>
      <c r="K957" s="37">
        <f t="shared" si="129"/>
        <v>4.4859871429753095</v>
      </c>
      <c r="L957" s="39">
        <v>4.6501639150996867</v>
      </c>
      <c r="M957" s="39">
        <f t="shared" si="133"/>
        <v>7.4001985193763185</v>
      </c>
      <c r="N957" s="39">
        <f t="shared" si="132"/>
        <v>9.0208419951197332</v>
      </c>
      <c r="O957" s="94">
        <f t="shared" si="125"/>
        <v>0.23967037354363513</v>
      </c>
    </row>
    <row r="958" spans="1:15" s="6" customFormat="1" ht="15.75">
      <c r="A958" s="285">
        <v>78</v>
      </c>
      <c r="B958" s="285" t="s">
        <v>469</v>
      </c>
      <c r="C958" s="803">
        <v>188.7</v>
      </c>
      <c r="D958" s="804"/>
      <c r="E958" s="804"/>
      <c r="F958" s="61">
        <f t="shared" si="128"/>
        <v>188.7</v>
      </c>
      <c r="G958" s="8" t="s">
        <v>1341</v>
      </c>
      <c r="H958" s="804">
        <v>145</v>
      </c>
      <c r="I958" s="178">
        <f t="shared" si="131"/>
        <v>6.6632661032760294E-3</v>
      </c>
      <c r="J958" s="39">
        <f t="shared" si="130"/>
        <v>15.119817012926736</v>
      </c>
      <c r="K958" s="37">
        <f t="shared" si="129"/>
        <v>5.5595567156531613</v>
      </c>
      <c r="L958" s="39">
        <v>5.7630236554654237</v>
      </c>
      <c r="M958" s="39">
        <f t="shared" si="133"/>
        <v>9.171186199227062</v>
      </c>
      <c r="N958" s="39">
        <f t="shared" si="132"/>
        <v>11.179675976857789</v>
      </c>
      <c r="O958" s="94">
        <f t="shared" si="125"/>
        <v>0.18873123255576252</v>
      </c>
    </row>
    <row r="959" spans="1:15" s="6" customFormat="1" ht="15.75">
      <c r="A959" s="285">
        <v>79</v>
      </c>
      <c r="B959" s="285" t="s">
        <v>470</v>
      </c>
      <c r="C959" s="803">
        <v>4734.5</v>
      </c>
      <c r="D959" s="804"/>
      <c r="E959" s="804"/>
      <c r="F959" s="61">
        <f t="shared" si="128"/>
        <v>4734.5</v>
      </c>
      <c r="G959" s="8" t="s">
        <v>1341</v>
      </c>
      <c r="H959" s="804">
        <v>702</v>
      </c>
      <c r="I959" s="178">
        <f t="shared" si="131"/>
        <v>3.2259398651722566E-2</v>
      </c>
      <c r="J959" s="39">
        <f t="shared" si="130"/>
        <v>73.200769262583236</v>
      </c>
      <c r="K959" s="37">
        <f t="shared" si="129"/>
        <v>26.915922857851857</v>
      </c>
      <c r="L959" s="39">
        <v>27.900983490598122</v>
      </c>
      <c r="M959" s="39">
        <f t="shared" si="133"/>
        <v>44.401191116257912</v>
      </c>
      <c r="N959" s="39">
        <f t="shared" si="132"/>
        <v>54.125051970718403</v>
      </c>
      <c r="O959" s="94">
        <f t="shared" si="125"/>
        <v>3.6417544984114716E-2</v>
      </c>
    </row>
    <row r="960" spans="1:15" s="6" customFormat="1" ht="15.75">
      <c r="A960" s="285">
        <v>80</v>
      </c>
      <c r="B960" s="285" t="s">
        <v>471</v>
      </c>
      <c r="C960" s="803">
        <v>66.3</v>
      </c>
      <c r="D960" s="804"/>
      <c r="E960" s="804"/>
      <c r="F960" s="61">
        <f t="shared" si="128"/>
        <v>66.3</v>
      </c>
      <c r="G960" s="8" t="s">
        <v>1341</v>
      </c>
      <c r="H960" s="804">
        <v>46</v>
      </c>
      <c r="I960" s="178">
        <f t="shared" si="131"/>
        <v>2.113863729315154E-3</v>
      </c>
      <c r="J960" s="39">
        <f t="shared" si="130"/>
        <v>4.7966316041008952</v>
      </c>
      <c r="K960" s="37">
        <f t="shared" si="129"/>
        <v>1.7637214408278994</v>
      </c>
      <c r="L960" s="39">
        <v>1.8282695734579966</v>
      </c>
      <c r="M960" s="39">
        <f t="shared" ref="M960:M968" si="134">I960*376.38</f>
        <v>0.79561603043963769</v>
      </c>
      <c r="N960" s="39">
        <f t="shared" si="132"/>
        <v>0.96985594110591844</v>
      </c>
      <c r="O960" s="94">
        <f t="shared" si="125"/>
        <v>0.13852546981638658</v>
      </c>
    </row>
    <row r="961" spans="1:15" s="6" customFormat="1" ht="15.75">
      <c r="A961" s="285">
        <v>81</v>
      </c>
      <c r="B961" s="285" t="s">
        <v>472</v>
      </c>
      <c r="C961" s="803">
        <v>19.8</v>
      </c>
      <c r="D961" s="804"/>
      <c r="E961" s="804"/>
      <c r="F961" s="61">
        <f t="shared" si="128"/>
        <v>19.8</v>
      </c>
      <c r="G961" s="8" t="s">
        <v>1341</v>
      </c>
      <c r="H961" s="804">
        <v>20</v>
      </c>
      <c r="I961" s="178">
        <f t="shared" si="131"/>
        <v>9.190711866587627E-4</v>
      </c>
      <c r="J961" s="39">
        <f t="shared" si="130"/>
        <v>2.0854920017829981</v>
      </c>
      <c r="K961" s="37">
        <f t="shared" si="129"/>
        <v>0.76683540905560843</v>
      </c>
      <c r="L961" s="39">
        <v>0.79489981454695502</v>
      </c>
      <c r="M961" s="39">
        <f t="shared" si="134"/>
        <v>0.34592001323462512</v>
      </c>
      <c r="N961" s="39">
        <f t="shared" si="132"/>
        <v>0.42167649613300806</v>
      </c>
      <c r="O961" s="94">
        <f t="shared" si="125"/>
        <v>0.20167410296061547</v>
      </c>
    </row>
    <row r="962" spans="1:15" s="6" customFormat="1" ht="15.75">
      <c r="A962" s="285">
        <v>82</v>
      </c>
      <c r="B962" s="285" t="s">
        <v>473</v>
      </c>
      <c r="C962" s="803">
        <v>61.2</v>
      </c>
      <c r="D962" s="804"/>
      <c r="E962" s="804"/>
      <c r="F962" s="61">
        <f t="shared" si="128"/>
        <v>61.2</v>
      </c>
      <c r="G962" s="8" t="s">
        <v>1341</v>
      </c>
      <c r="H962" s="804">
        <v>61</v>
      </c>
      <c r="I962" s="178">
        <f t="shared" si="131"/>
        <v>2.8031671193092262E-3</v>
      </c>
      <c r="J962" s="39">
        <f t="shared" si="130"/>
        <v>6.3607506054381444</v>
      </c>
      <c r="K962" s="37">
        <f t="shared" si="129"/>
        <v>2.3388479976196059</v>
      </c>
      <c r="L962" s="39">
        <v>2.4244444343682128</v>
      </c>
      <c r="M962" s="39">
        <f t="shared" si="134"/>
        <v>1.0550560403656066</v>
      </c>
      <c r="N962" s="39">
        <f t="shared" si="132"/>
        <v>1.2861133132056746</v>
      </c>
      <c r="O962" s="94">
        <f t="shared" si="125"/>
        <v>0.19900488689201909</v>
      </c>
    </row>
    <row r="963" spans="1:15" s="6" customFormat="1" ht="15.75">
      <c r="A963" s="285">
        <v>83</v>
      </c>
      <c r="B963" s="285" t="s">
        <v>474</v>
      </c>
      <c r="C963" s="803">
        <v>47.1</v>
      </c>
      <c r="D963" s="804"/>
      <c r="E963" s="804"/>
      <c r="F963" s="61">
        <f t="shared" si="128"/>
        <v>47.1</v>
      </c>
      <c r="G963" s="8" t="s">
        <v>1341</v>
      </c>
      <c r="H963" s="804">
        <v>39</v>
      </c>
      <c r="I963" s="178">
        <f t="shared" si="131"/>
        <v>1.7921888139845871E-3</v>
      </c>
      <c r="J963" s="39">
        <f t="shared" si="130"/>
        <v>4.0667094034768461</v>
      </c>
      <c r="K963" s="37">
        <f t="shared" si="129"/>
        <v>1.4953290476584364</v>
      </c>
      <c r="L963" s="39">
        <v>1.5500546383665623</v>
      </c>
      <c r="M963" s="39">
        <f>I963*876.38</f>
        <v>1.5706384327998124</v>
      </c>
      <c r="N963" s="39">
        <f t="shared" si="132"/>
        <v>1.9146082495829715</v>
      </c>
      <c r="O963" s="94">
        <f t="shared" si="125"/>
        <v>0.18434674145014135</v>
      </c>
    </row>
    <row r="964" spans="1:15" s="6" customFormat="1" ht="15.75">
      <c r="A964" s="285">
        <v>84</v>
      </c>
      <c r="B964" s="285" t="s">
        <v>475</v>
      </c>
      <c r="C964" s="803">
        <v>282.8</v>
      </c>
      <c r="D964" s="804"/>
      <c r="E964" s="804"/>
      <c r="F964" s="61">
        <f t="shared" si="128"/>
        <v>282.8</v>
      </c>
      <c r="G964" s="8" t="s">
        <v>1341</v>
      </c>
      <c r="H964" s="804">
        <v>119</v>
      </c>
      <c r="I964" s="178">
        <f t="shared" si="131"/>
        <v>5.4684735606196381E-3</v>
      </c>
      <c r="J964" s="39">
        <f t="shared" si="130"/>
        <v>12.40867741060884</v>
      </c>
      <c r="K964" s="37">
        <f t="shared" si="129"/>
        <v>4.5626706838808708</v>
      </c>
      <c r="L964" s="39">
        <v>4.7296538965543826</v>
      </c>
      <c r="M964" s="39">
        <f>I964*2376.38</f>
        <v>12.995171199985297</v>
      </c>
      <c r="N964" s="39">
        <f t="shared" si="132"/>
        <v>15.841113692782077</v>
      </c>
      <c r="O964" s="94">
        <f t="shared" si="125"/>
        <v>0.12268802401354097</v>
      </c>
    </row>
    <row r="965" spans="1:15" s="6" customFormat="1" ht="15.75">
      <c r="A965" s="285">
        <v>85</v>
      </c>
      <c r="B965" s="285" t="s">
        <v>476</v>
      </c>
      <c r="C965" s="803">
        <v>46.6</v>
      </c>
      <c r="D965" s="804"/>
      <c r="E965" s="804"/>
      <c r="F965" s="61">
        <f t="shared" si="128"/>
        <v>46.6</v>
      </c>
      <c r="G965" s="8" t="s">
        <v>1341</v>
      </c>
      <c r="H965" s="804">
        <v>42</v>
      </c>
      <c r="I965" s="178">
        <f t="shared" si="131"/>
        <v>1.9300494919834016E-3</v>
      </c>
      <c r="J965" s="39">
        <f t="shared" si="130"/>
        <v>4.3795332037442964</v>
      </c>
      <c r="K965" s="37">
        <f t="shared" si="129"/>
        <v>1.6103543590167779</v>
      </c>
      <c r="L965" s="39">
        <v>1.6692896105486055</v>
      </c>
      <c r="M965" s="39">
        <f t="shared" si="134"/>
        <v>0.72643202779271265</v>
      </c>
      <c r="N965" s="39">
        <f t="shared" si="132"/>
        <v>0.88552064187931678</v>
      </c>
      <c r="O965" s="94">
        <f t="shared" si="125"/>
        <v>0.17994869530262644</v>
      </c>
    </row>
    <row r="966" spans="1:15" s="6" customFormat="1" ht="15.75">
      <c r="A966" s="285">
        <v>86</v>
      </c>
      <c r="B966" s="285" t="s">
        <v>477</v>
      </c>
      <c r="C966" s="803">
        <v>3266.45</v>
      </c>
      <c r="D966" s="804"/>
      <c r="E966" s="804"/>
      <c r="F966" s="61">
        <f t="shared" si="128"/>
        <v>3266.45</v>
      </c>
      <c r="G966" s="8" t="s">
        <v>1341</v>
      </c>
      <c r="H966" s="804">
        <v>750</v>
      </c>
      <c r="I966" s="178">
        <f t="shared" si="131"/>
        <v>3.4465169499703602E-2</v>
      </c>
      <c r="J966" s="39">
        <f t="shared" si="130"/>
        <v>78.205950066862442</v>
      </c>
      <c r="K966" s="37">
        <f t="shared" si="129"/>
        <v>28.756327839585321</v>
      </c>
      <c r="L966" s="39">
        <v>29.808743045510813</v>
      </c>
      <c r="M966" s="39">
        <f>I966*1376.38</f>
        <v>47.437169996002048</v>
      </c>
      <c r="N966" s="39">
        <f t="shared" si="132"/>
        <v>57.825910225126499</v>
      </c>
      <c r="O966" s="94">
        <f t="shared" si="125"/>
        <v>5.6394002953653252E-2</v>
      </c>
    </row>
    <row r="967" spans="1:15" s="6" customFormat="1" ht="15.75">
      <c r="A967" s="285">
        <v>87</v>
      </c>
      <c r="B967" s="285" t="s">
        <v>478</v>
      </c>
      <c r="C967" s="803">
        <v>3257.47</v>
      </c>
      <c r="D967" s="804"/>
      <c r="E967" s="804"/>
      <c r="F967" s="61">
        <f t="shared" si="128"/>
        <v>3257.47</v>
      </c>
      <c r="G967" s="8" t="s">
        <v>1341</v>
      </c>
      <c r="H967" s="804">
        <v>750</v>
      </c>
      <c r="I967" s="178">
        <f t="shared" si="131"/>
        <v>3.4465169499703602E-2</v>
      </c>
      <c r="J967" s="39">
        <f t="shared" si="130"/>
        <v>78.205950066862442</v>
      </c>
      <c r="K967" s="37">
        <f t="shared" si="129"/>
        <v>28.756327839585321</v>
      </c>
      <c r="L967" s="39">
        <v>29.808743045510813</v>
      </c>
      <c r="M967" s="39">
        <f>I967*1376.38</f>
        <v>47.437169996002048</v>
      </c>
      <c r="N967" s="39">
        <f t="shared" si="132"/>
        <v>57.825910225126499</v>
      </c>
      <c r="O967" s="94">
        <f t="shared" ref="O967:O1030" si="135">(M967+L967+K967+J967)/F967</f>
        <v>5.6549466594615037E-2</v>
      </c>
    </row>
    <row r="968" spans="1:15" s="6" customFormat="1" ht="15.75">
      <c r="A968" s="285">
        <v>88</v>
      </c>
      <c r="B968" s="285" t="s">
        <v>479</v>
      </c>
      <c r="C968" s="803">
        <v>24.3</v>
      </c>
      <c r="D968" s="804"/>
      <c r="E968" s="804"/>
      <c r="F968" s="61">
        <f t="shared" si="128"/>
        <v>24.3</v>
      </c>
      <c r="G968" s="8" t="s">
        <v>1341</v>
      </c>
      <c r="H968" s="804">
        <v>18</v>
      </c>
      <c r="I968" s="178">
        <f t="shared" si="131"/>
        <v>8.2716406799288641E-4</v>
      </c>
      <c r="J968" s="39">
        <f t="shared" si="130"/>
        <v>1.8769428016046985</v>
      </c>
      <c r="K968" s="37">
        <f t="shared" si="129"/>
        <v>0.6901518681500477</v>
      </c>
      <c r="L968" s="39">
        <v>0.71540983309225947</v>
      </c>
      <c r="M968" s="39">
        <f t="shared" si="134"/>
        <v>0.31132801191116261</v>
      </c>
      <c r="N968" s="39">
        <f t="shared" si="132"/>
        <v>0.37950884651970723</v>
      </c>
      <c r="O968" s="94">
        <f t="shared" si="135"/>
        <v>0.14789434217111805</v>
      </c>
    </row>
    <row r="969" spans="1:15" s="6" customFormat="1" ht="15.75">
      <c r="A969" s="285">
        <v>89</v>
      </c>
      <c r="B969" s="285" t="s">
        <v>643</v>
      </c>
      <c r="C969" s="803">
        <v>4202.6000000000004</v>
      </c>
      <c r="D969" s="804"/>
      <c r="E969" s="804">
        <v>369.8</v>
      </c>
      <c r="F969" s="61">
        <f t="shared" si="128"/>
        <v>4572.4000000000005</v>
      </c>
      <c r="G969" s="8" t="s">
        <v>1341</v>
      </c>
      <c r="H969" s="804">
        <v>1148</v>
      </c>
      <c r="I969" s="178">
        <f t="shared" si="131"/>
        <v>5.2754686114212974E-2</v>
      </c>
      <c r="J969" s="39">
        <f t="shared" si="130"/>
        <v>119.7072409023441</v>
      </c>
      <c r="K969" s="37">
        <f t="shared" si="129"/>
        <v>44.016352479791927</v>
      </c>
      <c r="L969" s="39">
        <v>45.627249354995215</v>
      </c>
      <c r="M969" s="39">
        <f>I969*2376.38</f>
        <v>125.36518098809343</v>
      </c>
      <c r="N969" s="39">
        <f t="shared" si="132"/>
        <v>152.82015562448589</v>
      </c>
      <c r="O969" s="94">
        <f t="shared" si="135"/>
        <v>7.3203574430326435E-2</v>
      </c>
    </row>
    <row r="970" spans="1:15" s="363" customFormat="1" ht="15.75">
      <c r="A970" s="285">
        <v>90</v>
      </c>
      <c r="B970" s="285" t="s">
        <v>925</v>
      </c>
      <c r="C970" s="803">
        <v>140.30000000000001</v>
      </c>
      <c r="D970" s="8"/>
      <c r="E970" s="8"/>
      <c r="F970" s="61">
        <f t="shared" si="128"/>
        <v>140.30000000000001</v>
      </c>
      <c r="G970" s="8" t="s">
        <v>1361</v>
      </c>
      <c r="H970" s="804">
        <v>130</v>
      </c>
      <c r="I970" s="178">
        <f t="shared" si="131"/>
        <v>5.9739627132819571E-3</v>
      </c>
      <c r="J970" s="39">
        <f t="shared" si="130"/>
        <v>13.555698011589488</v>
      </c>
      <c r="K970" s="37">
        <f t="shared" si="129"/>
        <v>4.9844301588614552</v>
      </c>
      <c r="L970" s="39">
        <v>5.1668487945552073</v>
      </c>
      <c r="M970" s="39">
        <f t="shared" ref="M970:M1014" si="136">I970*680.9</f>
        <v>4.0676712114736846</v>
      </c>
      <c r="N970" s="39">
        <f t="shared" si="132"/>
        <v>4.9584912067864222</v>
      </c>
      <c r="O970" s="94">
        <f t="shared" si="135"/>
        <v>0.19796613097989904</v>
      </c>
    </row>
    <row r="971" spans="1:15" s="363" customFormat="1" ht="15.75">
      <c r="A971" s="285">
        <v>91</v>
      </c>
      <c r="B971" s="329" t="s">
        <v>926</v>
      </c>
      <c r="C971" s="803">
        <v>427.4</v>
      </c>
      <c r="D971" s="56"/>
      <c r="E971" s="330"/>
      <c r="F971" s="61">
        <f t="shared" si="128"/>
        <v>427.4</v>
      </c>
      <c r="G971" s="8" t="s">
        <v>1361</v>
      </c>
      <c r="H971" s="804">
        <v>433</v>
      </c>
      <c r="I971" s="178">
        <f t="shared" si="131"/>
        <v>1.9897891191162212E-2</v>
      </c>
      <c r="J971" s="39">
        <f t="shared" si="130"/>
        <v>45.150901838601911</v>
      </c>
      <c r="K971" s="37">
        <f t="shared" si="129"/>
        <v>16.601986606053924</v>
      </c>
      <c r="L971" s="39">
        <v>17.209580984941578</v>
      </c>
      <c r="M971" s="39">
        <f t="shared" ref="M971:M977" si="137">I971*376.38</f>
        <v>7.4891682865296332</v>
      </c>
      <c r="N971" s="39">
        <f t="shared" si="132"/>
        <v>9.1292961412796227</v>
      </c>
      <c r="O971" s="94">
        <f t="shared" si="135"/>
        <v>0.20227336854498607</v>
      </c>
    </row>
    <row r="972" spans="1:15" s="363" customFormat="1" ht="15.75">
      <c r="A972" s="285">
        <v>92</v>
      </c>
      <c r="B972" s="329" t="s">
        <v>927</v>
      </c>
      <c r="C972" s="803">
        <v>954</v>
      </c>
      <c r="D972" s="804"/>
      <c r="E972" s="804"/>
      <c r="F972" s="61">
        <f t="shared" si="128"/>
        <v>954</v>
      </c>
      <c r="G972" s="8" t="s">
        <v>1361</v>
      </c>
      <c r="H972" s="804">
        <v>630</v>
      </c>
      <c r="I972" s="178">
        <f t="shared" si="131"/>
        <v>2.8950742379751024E-2</v>
      </c>
      <c r="J972" s="39">
        <f t="shared" si="130"/>
        <v>65.692998056164441</v>
      </c>
      <c r="K972" s="37">
        <f t="shared" si="129"/>
        <v>24.155315385251665</v>
      </c>
      <c r="L972" s="39">
        <v>25.039344158229085</v>
      </c>
      <c r="M972" s="39">
        <f t="shared" si="137"/>
        <v>10.896480416890689</v>
      </c>
      <c r="N972" s="39">
        <f t="shared" si="132"/>
        <v>13.282809628189751</v>
      </c>
      <c r="O972" s="94">
        <f t="shared" si="135"/>
        <v>0.13184920127519484</v>
      </c>
    </row>
    <row r="973" spans="1:15" s="363" customFormat="1" ht="15.75">
      <c r="A973" s="285">
        <v>93</v>
      </c>
      <c r="B973" s="329" t="s">
        <v>928</v>
      </c>
      <c r="C973" s="803">
        <v>202.5</v>
      </c>
      <c r="D973" s="804"/>
      <c r="E973" s="804"/>
      <c r="F973" s="61">
        <f t="shared" si="128"/>
        <v>202.5</v>
      </c>
      <c r="G973" s="8" t="s">
        <v>1361</v>
      </c>
      <c r="H973" s="804">
        <v>207</v>
      </c>
      <c r="I973" s="178">
        <f t="shared" si="131"/>
        <v>9.5123867819181928E-3</v>
      </c>
      <c r="J973" s="39">
        <f t="shared" si="130"/>
        <v>21.584842218454028</v>
      </c>
      <c r="K973" s="37">
        <f t="shared" si="129"/>
        <v>7.936746483725547</v>
      </c>
      <c r="L973" s="39">
        <v>8.2272130805609844</v>
      </c>
      <c r="M973" s="39">
        <f t="shared" si="137"/>
        <v>3.5802721369783694</v>
      </c>
      <c r="N973" s="39">
        <f t="shared" si="132"/>
        <v>4.3643517349766325</v>
      </c>
      <c r="O973" s="94">
        <f t="shared" si="135"/>
        <v>0.20409419219614286</v>
      </c>
    </row>
    <row r="974" spans="1:15" s="363" customFormat="1" ht="15.75">
      <c r="A974" s="285">
        <v>94</v>
      </c>
      <c r="B974" s="329" t="s">
        <v>929</v>
      </c>
      <c r="C974" s="803">
        <v>308.2</v>
      </c>
      <c r="D974" s="804"/>
      <c r="E974" s="804"/>
      <c r="F974" s="61">
        <f t="shared" si="128"/>
        <v>308.2</v>
      </c>
      <c r="G974" s="8" t="s">
        <v>1361</v>
      </c>
      <c r="H974" s="804">
        <v>168</v>
      </c>
      <c r="I974" s="178">
        <f t="shared" si="131"/>
        <v>7.7201979679336064E-3</v>
      </c>
      <c r="J974" s="39">
        <f t="shared" si="130"/>
        <v>17.518132814977186</v>
      </c>
      <c r="K974" s="37">
        <f t="shared" si="129"/>
        <v>6.4414174360671117</v>
      </c>
      <c r="L974" s="39">
        <v>6.6771584421944219</v>
      </c>
      <c r="M974" s="39">
        <f t="shared" si="137"/>
        <v>2.9057281111708506</v>
      </c>
      <c r="N974" s="39">
        <f t="shared" si="132"/>
        <v>3.5420825675172671</v>
      </c>
      <c r="O974" s="94">
        <f t="shared" si="135"/>
        <v>0.10883334459574812</v>
      </c>
    </row>
    <row r="975" spans="1:15" s="363" customFormat="1" ht="15.75">
      <c r="A975" s="285">
        <v>95</v>
      </c>
      <c r="B975" s="329" t="s">
        <v>930</v>
      </c>
      <c r="C975" s="803">
        <v>44.1</v>
      </c>
      <c r="D975" s="804"/>
      <c r="E975" s="804"/>
      <c r="F975" s="61">
        <f t="shared" si="128"/>
        <v>44.1</v>
      </c>
      <c r="G975" s="8" t="s">
        <v>1361</v>
      </c>
      <c r="H975" s="804">
        <v>78</v>
      </c>
      <c r="I975" s="178">
        <f t="shared" si="131"/>
        <v>3.5843776279691742E-3</v>
      </c>
      <c r="J975" s="39">
        <f t="shared" si="130"/>
        <v>8.1334188069536921</v>
      </c>
      <c r="K975" s="37">
        <f t="shared" si="129"/>
        <v>2.9906580953168729</v>
      </c>
      <c r="L975" s="39">
        <v>3.1001092767331246</v>
      </c>
      <c r="M975" s="39">
        <f t="shared" si="137"/>
        <v>1.3490880516150379</v>
      </c>
      <c r="N975" s="39">
        <f t="shared" si="132"/>
        <v>1.6445383349187312</v>
      </c>
      <c r="O975" s="94">
        <f t="shared" si="135"/>
        <v>0.35313547008205731</v>
      </c>
    </row>
    <row r="976" spans="1:15" s="363" customFormat="1" ht="15.75">
      <c r="A976" s="285">
        <v>96</v>
      </c>
      <c r="B976" s="329" t="s">
        <v>931</v>
      </c>
      <c r="C976" s="803">
        <v>236.79</v>
      </c>
      <c r="D976" s="804"/>
      <c r="E976" s="804"/>
      <c r="F976" s="61">
        <f t="shared" si="128"/>
        <v>236.79</v>
      </c>
      <c r="G976" s="8" t="s">
        <v>1361</v>
      </c>
      <c r="H976" s="804">
        <v>299</v>
      </c>
      <c r="I976" s="178">
        <f t="shared" si="131"/>
        <v>1.3740114240548502E-2</v>
      </c>
      <c r="J976" s="39">
        <f t="shared" si="130"/>
        <v>31.178105426655826</v>
      </c>
      <c r="K976" s="37">
        <f t="shared" si="129"/>
        <v>11.464189365381348</v>
      </c>
      <c r="L976" s="39">
        <v>11.883752227476979</v>
      </c>
      <c r="M976" s="39">
        <f t="shared" si="137"/>
        <v>5.1715041978576455</v>
      </c>
      <c r="N976" s="39">
        <f t="shared" si="132"/>
        <v>6.3040636171884703</v>
      </c>
      <c r="O976" s="94">
        <f t="shared" si="135"/>
        <v>0.25211179195646688</v>
      </c>
    </row>
    <row r="977" spans="1:15" s="6" customFormat="1" ht="15.75">
      <c r="A977" s="285">
        <v>97</v>
      </c>
      <c r="B977" s="329" t="s">
        <v>932</v>
      </c>
      <c r="C977" s="803">
        <v>571.4</v>
      </c>
      <c r="D977" s="804"/>
      <c r="E977" s="804"/>
      <c r="F977" s="61">
        <f t="shared" si="128"/>
        <v>571.4</v>
      </c>
      <c r="G977" s="8" t="s">
        <v>1342</v>
      </c>
      <c r="H977" s="804">
        <v>372</v>
      </c>
      <c r="I977" s="178">
        <f t="shared" si="131"/>
        <v>1.7094724071852984E-2</v>
      </c>
      <c r="J977" s="39">
        <f t="shared" si="130"/>
        <v>38.790151233163762</v>
      </c>
      <c r="K977" s="37">
        <f t="shared" si="129"/>
        <v>14.263138608434316</v>
      </c>
      <c r="L977" s="39">
        <v>14.785136550573363</v>
      </c>
      <c r="M977" s="39">
        <f t="shared" si="137"/>
        <v>6.4341122461640259</v>
      </c>
      <c r="N977" s="39">
        <f t="shared" si="132"/>
        <v>7.8431828280739477</v>
      </c>
      <c r="O977" s="94">
        <f t="shared" si="135"/>
        <v>0.12998344178917653</v>
      </c>
    </row>
    <row r="978" spans="1:15" s="6" customFormat="1" ht="15.75">
      <c r="A978" s="285">
        <v>98</v>
      </c>
      <c r="B978" s="329" t="s">
        <v>933</v>
      </c>
      <c r="C978" s="803">
        <v>654.29999999999995</v>
      </c>
      <c r="D978" s="804"/>
      <c r="E978" s="804"/>
      <c r="F978" s="61">
        <f t="shared" si="128"/>
        <v>654.29999999999995</v>
      </c>
      <c r="G978" s="8" t="s">
        <v>1342</v>
      </c>
      <c r="H978" s="804">
        <v>403</v>
      </c>
      <c r="I978" s="178">
        <f t="shared" si="131"/>
        <v>1.8519284411174067E-2</v>
      </c>
      <c r="J978" s="39">
        <f t="shared" si="130"/>
        <v>42.022663835927411</v>
      </c>
      <c r="K978" s="37">
        <f t="shared" si="129"/>
        <v>15.45173349247051</v>
      </c>
      <c r="L978" s="39">
        <v>16.017231263121143</v>
      </c>
      <c r="M978" s="39">
        <f>I978*1680.9</f>
        <v>31.129065166742492</v>
      </c>
      <c r="N978" s="39">
        <f t="shared" si="132"/>
        <v>37.946330438259103</v>
      </c>
      <c r="O978" s="94">
        <f t="shared" si="135"/>
        <v>0.15989713244423287</v>
      </c>
    </row>
    <row r="979" spans="1:15" s="6" customFormat="1" ht="15.75">
      <c r="A979" s="285">
        <v>99</v>
      </c>
      <c r="B979" s="329" t="s">
        <v>934</v>
      </c>
      <c r="C979" s="803">
        <v>559.79999999999995</v>
      </c>
      <c r="D979" s="391"/>
      <c r="E979" s="804"/>
      <c r="F979" s="61">
        <f t="shared" si="128"/>
        <v>559.79999999999995</v>
      </c>
      <c r="G979" s="8" t="s">
        <v>1342</v>
      </c>
      <c r="H979" s="330">
        <v>446</v>
      </c>
      <c r="I979" s="178">
        <f t="shared" si="131"/>
        <v>2.0495287462490408E-2</v>
      </c>
      <c r="J979" s="39">
        <f t="shared" si="130"/>
        <v>46.506471639760861</v>
      </c>
      <c r="K979" s="37">
        <f t="shared" si="129"/>
        <v>17.100429621940069</v>
      </c>
      <c r="L979" s="39">
        <v>17.726265864397099</v>
      </c>
      <c r="M979" s="39">
        <f>I979*1680.9</f>
        <v>34.450528695700129</v>
      </c>
      <c r="N979" s="39">
        <f t="shared" si="132"/>
        <v>41.995194480058458</v>
      </c>
      <c r="O979" s="94">
        <f t="shared" si="135"/>
        <v>0.20683046770596314</v>
      </c>
    </row>
    <row r="980" spans="1:15" s="6" customFormat="1" ht="15.75">
      <c r="A980" s="285">
        <v>100</v>
      </c>
      <c r="B980" s="329" t="s">
        <v>935</v>
      </c>
      <c r="C980" s="803">
        <v>629.1</v>
      </c>
      <c r="D980" s="804"/>
      <c r="E980" s="391">
        <v>51.9</v>
      </c>
      <c r="F980" s="61">
        <f t="shared" si="128"/>
        <v>681</v>
      </c>
      <c r="G980" s="8" t="s">
        <v>1361</v>
      </c>
      <c r="H980" s="804">
        <v>396</v>
      </c>
      <c r="I980" s="178">
        <f t="shared" si="131"/>
        <v>1.8197609495843502E-2</v>
      </c>
      <c r="J980" s="39">
        <f t="shared" si="130"/>
        <v>41.292741635303365</v>
      </c>
      <c r="K980" s="37">
        <f t="shared" si="129"/>
        <v>15.183341099301048</v>
      </c>
      <c r="L980" s="39">
        <v>15.73901632802971</v>
      </c>
      <c r="M980" s="39">
        <f t="shared" si="136"/>
        <v>12.39075230571984</v>
      </c>
      <c r="N980" s="39">
        <f t="shared" si="132"/>
        <v>15.104327060672485</v>
      </c>
      <c r="O980" s="94">
        <f t="shared" si="135"/>
        <v>0.12423766720756824</v>
      </c>
    </row>
    <row r="981" spans="1:15" s="6" customFormat="1" ht="15.75">
      <c r="A981" s="285">
        <v>101</v>
      </c>
      <c r="B981" s="329" t="s">
        <v>936</v>
      </c>
      <c r="C981" s="803">
        <v>373.3</v>
      </c>
      <c r="D981" s="391"/>
      <c r="E981" s="804"/>
      <c r="F981" s="61">
        <f t="shared" si="128"/>
        <v>373.3</v>
      </c>
      <c r="G981" s="8" t="s">
        <v>1361</v>
      </c>
      <c r="H981" s="804">
        <v>241</v>
      </c>
      <c r="I981" s="178">
        <f t="shared" si="131"/>
        <v>1.107480779923809E-2</v>
      </c>
      <c r="J981" s="39">
        <f t="shared" si="130"/>
        <v>25.130178621485129</v>
      </c>
      <c r="K981" s="37">
        <f t="shared" si="129"/>
        <v>9.2403666791200827</v>
      </c>
      <c r="L981" s="39">
        <v>9.5785427652908091</v>
      </c>
      <c r="M981" s="39">
        <f t="shared" si="136"/>
        <v>7.5408366305012153</v>
      </c>
      <c r="N981" s="39">
        <f t="shared" si="132"/>
        <v>9.1922798525809828</v>
      </c>
      <c r="O981" s="94">
        <f t="shared" si="135"/>
        <v>0.13793175648646461</v>
      </c>
    </row>
    <row r="982" spans="1:15" s="6" customFormat="1" ht="15.75">
      <c r="A982" s="285">
        <v>102</v>
      </c>
      <c r="B982" s="329" t="s">
        <v>937</v>
      </c>
      <c r="C982" s="803">
        <v>395.4</v>
      </c>
      <c r="D982" s="391"/>
      <c r="E982" s="804"/>
      <c r="F982" s="61">
        <f t="shared" si="128"/>
        <v>395.4</v>
      </c>
      <c r="G982" s="8" t="s">
        <v>1361</v>
      </c>
      <c r="H982" s="804">
        <v>262</v>
      </c>
      <c r="I982" s="178">
        <f t="shared" si="131"/>
        <v>1.203983254522979E-2</v>
      </c>
      <c r="J982" s="39">
        <f t="shared" si="130"/>
        <v>27.319945223357276</v>
      </c>
      <c r="K982" s="37">
        <f t="shared" si="129"/>
        <v>10.045543858628472</v>
      </c>
      <c r="L982" s="39">
        <v>10.41318757056511</v>
      </c>
      <c r="M982" s="39">
        <f t="shared" si="136"/>
        <v>8.1979219800469636</v>
      </c>
      <c r="N982" s="39">
        <f t="shared" si="132"/>
        <v>9.9932668936772497</v>
      </c>
      <c r="O982" s="94">
        <f t="shared" si="135"/>
        <v>0.14156954636468849</v>
      </c>
    </row>
    <row r="983" spans="1:15" s="6" customFormat="1" ht="15.75">
      <c r="A983" s="285">
        <v>103</v>
      </c>
      <c r="B983" s="329" t="s">
        <v>938</v>
      </c>
      <c r="C983" s="803">
        <v>359.5</v>
      </c>
      <c r="D983" s="391"/>
      <c r="E983" s="804"/>
      <c r="F983" s="61">
        <f t="shared" si="128"/>
        <v>359.5</v>
      </c>
      <c r="G983" s="19" t="s">
        <v>1342</v>
      </c>
      <c r="H983" s="804">
        <v>260</v>
      </c>
      <c r="I983" s="178">
        <f t="shared" si="131"/>
        <v>1.1947925426563914E-2</v>
      </c>
      <c r="J983" s="39">
        <f t="shared" si="130"/>
        <v>27.111396023178976</v>
      </c>
      <c r="K983" s="37">
        <f t="shared" si="129"/>
        <v>9.9688603177229105</v>
      </c>
      <c r="L983" s="39">
        <v>10.333697589110415</v>
      </c>
      <c r="M983" s="39">
        <f>I983*376.38</f>
        <v>4.4969601720501258</v>
      </c>
      <c r="N983" s="39">
        <f t="shared" si="132"/>
        <v>5.4817944497291036</v>
      </c>
      <c r="O983" s="94">
        <f t="shared" si="135"/>
        <v>0.14439753574982594</v>
      </c>
    </row>
    <row r="984" spans="1:15" s="6" customFormat="1" ht="15.75">
      <c r="A984" s="285">
        <v>104</v>
      </c>
      <c r="B984" s="329" t="s">
        <v>939</v>
      </c>
      <c r="C984" s="803">
        <v>477</v>
      </c>
      <c r="D984" s="804"/>
      <c r="E984" s="391">
        <v>104.7</v>
      </c>
      <c r="F984" s="61">
        <f t="shared" si="128"/>
        <v>581.70000000000005</v>
      </c>
      <c r="G984" s="8" t="s">
        <v>1361</v>
      </c>
      <c r="H984" s="804">
        <v>740</v>
      </c>
      <c r="I984" s="178">
        <f t="shared" si="131"/>
        <v>3.4005633906374219E-2</v>
      </c>
      <c r="J984" s="39">
        <f t="shared" si="130"/>
        <v>77.16320406597093</v>
      </c>
      <c r="K984" s="37">
        <f t="shared" si="129"/>
        <v>28.372910135057513</v>
      </c>
      <c r="L984" s="39">
        <v>29.411293138237337</v>
      </c>
      <c r="M984" s="39">
        <f>I984*1280.9</f>
        <v>43.557816470674737</v>
      </c>
      <c r="N984" s="39">
        <f t="shared" si="132"/>
        <v>53.096978277752505</v>
      </c>
      <c r="O984" s="94">
        <f t="shared" si="135"/>
        <v>0.30686818602362126</v>
      </c>
    </row>
    <row r="985" spans="1:15" s="6" customFormat="1" ht="15.75">
      <c r="A985" s="285">
        <v>105</v>
      </c>
      <c r="B985" s="329" t="s">
        <v>940</v>
      </c>
      <c r="C985" s="803">
        <v>397</v>
      </c>
      <c r="D985" s="391"/>
      <c r="E985" s="804"/>
      <c r="F985" s="61">
        <f t="shared" si="128"/>
        <v>397</v>
      </c>
      <c r="G985" s="8" t="s">
        <v>1342</v>
      </c>
      <c r="H985" s="804">
        <v>457</v>
      </c>
      <c r="I985" s="178">
        <f t="shared" si="131"/>
        <v>2.1000776615152726E-2</v>
      </c>
      <c r="J985" s="39">
        <f t="shared" si="130"/>
        <v>47.653492240741507</v>
      </c>
      <c r="K985" s="37">
        <f t="shared" si="129"/>
        <v>17.522189096920652</v>
      </c>
      <c r="L985" s="39">
        <v>18.163460762397925</v>
      </c>
      <c r="M985" s="39">
        <f t="shared" si="136"/>
        <v>14.299428797257491</v>
      </c>
      <c r="N985" s="39">
        <f t="shared" si="132"/>
        <v>17.431003703856884</v>
      </c>
      <c r="O985" s="94">
        <f t="shared" si="135"/>
        <v>0.24594098462800398</v>
      </c>
    </row>
    <row r="986" spans="1:15" s="6" customFormat="1" ht="15.75">
      <c r="A986" s="285">
        <v>106</v>
      </c>
      <c r="B986" s="329" t="s">
        <v>941</v>
      </c>
      <c r="C986" s="803">
        <v>271.5</v>
      </c>
      <c r="D986" s="391"/>
      <c r="E986" s="804"/>
      <c r="F986" s="61">
        <f t="shared" si="128"/>
        <v>271.5</v>
      </c>
      <c r="G986" s="8" t="s">
        <v>1342</v>
      </c>
      <c r="H986" s="804">
        <v>372</v>
      </c>
      <c r="I986" s="178">
        <f t="shared" si="131"/>
        <v>1.7094724071852984E-2</v>
      </c>
      <c r="J986" s="39">
        <f t="shared" si="130"/>
        <v>38.790151233163762</v>
      </c>
      <c r="K986" s="37">
        <f t="shared" si="129"/>
        <v>14.263138608434316</v>
      </c>
      <c r="L986" s="39">
        <v>14.785136550573363</v>
      </c>
      <c r="M986" s="39">
        <f>I986*376.38</f>
        <v>6.4341122461640259</v>
      </c>
      <c r="N986" s="39">
        <f t="shared" si="132"/>
        <v>7.8431828280739477</v>
      </c>
      <c r="O986" s="94">
        <f t="shared" si="135"/>
        <v>0.27356367822591338</v>
      </c>
    </row>
    <row r="987" spans="1:15" s="6" customFormat="1" ht="15.75">
      <c r="A987" s="285">
        <v>107</v>
      </c>
      <c r="B987" s="329" t="s">
        <v>942</v>
      </c>
      <c r="C987" s="803">
        <v>258.60000000000002</v>
      </c>
      <c r="D987" s="391"/>
      <c r="E987" s="804"/>
      <c r="F987" s="61">
        <f t="shared" si="128"/>
        <v>258.60000000000002</v>
      </c>
      <c r="G987" s="8" t="s">
        <v>1361</v>
      </c>
      <c r="H987" s="804">
        <v>167</v>
      </c>
      <c r="I987" s="178">
        <f t="shared" si="131"/>
        <v>7.6742444086006683E-3</v>
      </c>
      <c r="J987" s="39">
        <f t="shared" si="130"/>
        <v>17.413858214888034</v>
      </c>
      <c r="K987" s="37">
        <f t="shared" si="129"/>
        <v>6.4030756656143302</v>
      </c>
      <c r="L987" s="39">
        <v>6.6374134514670748</v>
      </c>
      <c r="M987" s="39">
        <f>I987*376.38</f>
        <v>2.8884321105091195</v>
      </c>
      <c r="N987" s="39">
        <f t="shared" si="132"/>
        <v>3.5209987427106171</v>
      </c>
      <c r="O987" s="94">
        <f t="shared" si="135"/>
        <v>0.12893572870254663</v>
      </c>
    </row>
    <row r="988" spans="1:15" s="6" customFormat="1" ht="15.75">
      <c r="A988" s="285">
        <v>108</v>
      </c>
      <c r="B988" s="329" t="s">
        <v>943</v>
      </c>
      <c r="C988" s="803">
        <v>737.4</v>
      </c>
      <c r="D988" s="391"/>
      <c r="E988" s="804"/>
      <c r="F988" s="61">
        <f t="shared" si="128"/>
        <v>737.4</v>
      </c>
      <c r="G988" s="8" t="s">
        <v>1361</v>
      </c>
      <c r="H988" s="804">
        <v>521</v>
      </c>
      <c r="I988" s="178">
        <f t="shared" si="131"/>
        <v>2.3941804412460767E-2</v>
      </c>
      <c r="J988" s="39">
        <f t="shared" si="130"/>
        <v>54.327066646447101</v>
      </c>
      <c r="K988" s="37">
        <f t="shared" si="129"/>
        <v>19.976062405898599</v>
      </c>
      <c r="L988" s="39">
        <v>20.707140168948179</v>
      </c>
      <c r="M988" s="39">
        <f t="shared" si="136"/>
        <v>16.301974624444536</v>
      </c>
      <c r="N988" s="39">
        <f t="shared" si="132"/>
        <v>19.872107067197891</v>
      </c>
      <c r="O988" s="94">
        <f t="shared" si="135"/>
        <v>0.15095232417377055</v>
      </c>
    </row>
    <row r="989" spans="1:15" s="6" customFormat="1" ht="15.75">
      <c r="A989" s="285">
        <v>109</v>
      </c>
      <c r="B989" s="329" t="s">
        <v>944</v>
      </c>
      <c r="C989" s="803">
        <v>473.4</v>
      </c>
      <c r="D989" s="391"/>
      <c r="E989" s="804"/>
      <c r="F989" s="61">
        <f t="shared" si="128"/>
        <v>473.4</v>
      </c>
      <c r="G989" s="19" t="s">
        <v>1342</v>
      </c>
      <c r="H989" s="804">
        <v>321</v>
      </c>
      <c r="I989" s="178">
        <f t="shared" si="131"/>
        <v>1.475109254587314E-2</v>
      </c>
      <c r="J989" s="39">
        <f t="shared" si="130"/>
        <v>33.472146628617118</v>
      </c>
      <c r="K989" s="37">
        <f t="shared" si="129"/>
        <v>12.307708315342515</v>
      </c>
      <c r="L989" s="39">
        <v>12.758142023478628</v>
      </c>
      <c r="M989" s="39">
        <f t="shared" si="136"/>
        <v>10.04401891448502</v>
      </c>
      <c r="N989" s="39">
        <f t="shared" si="132"/>
        <v>12.243659056757242</v>
      </c>
      <c r="O989" s="94">
        <f t="shared" si="135"/>
        <v>0.14487117845780162</v>
      </c>
    </row>
    <row r="990" spans="1:15" s="6" customFormat="1" ht="15.75">
      <c r="A990" s="285">
        <v>110</v>
      </c>
      <c r="B990" s="329" t="s">
        <v>945</v>
      </c>
      <c r="C990" s="803">
        <v>320.60000000000002</v>
      </c>
      <c r="D990" s="391"/>
      <c r="E990" s="804"/>
      <c r="F990" s="61">
        <f t="shared" si="128"/>
        <v>320.60000000000002</v>
      </c>
      <c r="G990" s="8" t="s">
        <v>1361</v>
      </c>
      <c r="H990" s="804">
        <v>308</v>
      </c>
      <c r="I990" s="178">
        <f t="shared" si="131"/>
        <v>1.4153696274544944E-2</v>
      </c>
      <c r="J990" s="39">
        <f t="shared" si="130"/>
        <v>32.116576827458168</v>
      </c>
      <c r="K990" s="37">
        <f t="shared" si="129"/>
        <v>11.809265299456369</v>
      </c>
      <c r="L990" s="39">
        <v>12.241457144023109</v>
      </c>
      <c r="M990" s="39">
        <f t="shared" si="136"/>
        <v>9.6372517933376525</v>
      </c>
      <c r="N990" s="39">
        <f t="shared" si="132"/>
        <v>11.7478099360786</v>
      </c>
      <c r="O990" s="94">
        <f t="shared" si="135"/>
        <v>0.20525437013186307</v>
      </c>
    </row>
    <row r="991" spans="1:15" s="6" customFormat="1" ht="15.75">
      <c r="A991" s="285">
        <v>111</v>
      </c>
      <c r="B991" s="329" t="s">
        <v>946</v>
      </c>
      <c r="C991" s="803">
        <v>963.8</v>
      </c>
      <c r="D991" s="391"/>
      <c r="E991" s="804"/>
      <c r="F991" s="61">
        <f t="shared" si="128"/>
        <v>963.8</v>
      </c>
      <c r="G991" s="8" t="s">
        <v>1361</v>
      </c>
      <c r="H991" s="804">
        <v>432</v>
      </c>
      <c r="I991" s="178">
        <f t="shared" si="131"/>
        <v>1.9851937631829273E-2</v>
      </c>
      <c r="J991" s="39">
        <f t="shared" si="130"/>
        <v>45.046627238512762</v>
      </c>
      <c r="K991" s="37">
        <f t="shared" si="129"/>
        <v>16.563644835601146</v>
      </c>
      <c r="L991" s="39">
        <v>17.169835994214232</v>
      </c>
      <c r="M991" s="39">
        <f t="shared" si="136"/>
        <v>13.517184333512551</v>
      </c>
      <c r="N991" s="39">
        <f t="shared" si="132"/>
        <v>16.4774477025518</v>
      </c>
      <c r="O991" s="94">
        <f t="shared" si="135"/>
        <v>9.5763947293879118E-2</v>
      </c>
    </row>
    <row r="992" spans="1:15" s="6" customFormat="1" ht="15.75">
      <c r="A992" s="285">
        <v>112</v>
      </c>
      <c r="B992" s="329" t="s">
        <v>947</v>
      </c>
      <c r="C992" s="803">
        <v>143.69999999999999</v>
      </c>
      <c r="D992" s="391"/>
      <c r="E992" s="804"/>
      <c r="F992" s="61">
        <f t="shared" si="128"/>
        <v>143.69999999999999</v>
      </c>
      <c r="G992" s="8" t="s">
        <v>1361</v>
      </c>
      <c r="H992" s="804">
        <v>146</v>
      </c>
      <c r="I992" s="178">
        <f t="shared" si="131"/>
        <v>6.7092196626089675E-3</v>
      </c>
      <c r="J992" s="39">
        <f t="shared" si="130"/>
        <v>15.224091613015887</v>
      </c>
      <c r="K992" s="37">
        <f t="shared" si="129"/>
        <v>5.597898486105942</v>
      </c>
      <c r="L992" s="39">
        <v>5.8027686461927717</v>
      </c>
      <c r="M992" s="39">
        <f>I992*1680.9</f>
        <v>11.277527330879414</v>
      </c>
      <c r="N992" s="39">
        <f t="shared" si="132"/>
        <v>13.747305816342006</v>
      </c>
      <c r="O992" s="94">
        <f t="shared" si="135"/>
        <v>0.26375981959773154</v>
      </c>
    </row>
    <row r="993" spans="1:15" s="6" customFormat="1" ht="15.75">
      <c r="A993" s="285">
        <v>113</v>
      </c>
      <c r="B993" s="329" t="s">
        <v>948</v>
      </c>
      <c r="C993" s="803">
        <v>136.80000000000001</v>
      </c>
      <c r="D993" s="391"/>
      <c r="E993" s="804"/>
      <c r="F993" s="61">
        <f t="shared" si="128"/>
        <v>136.80000000000001</v>
      </c>
      <c r="G993" s="8" t="s">
        <v>1361</v>
      </c>
      <c r="H993" s="804">
        <v>142</v>
      </c>
      <c r="I993" s="178">
        <f t="shared" si="131"/>
        <v>6.5254054252772151E-3</v>
      </c>
      <c r="J993" s="39">
        <f t="shared" si="130"/>
        <v>14.806993212659288</v>
      </c>
      <c r="K993" s="37">
        <f t="shared" si="129"/>
        <v>5.4445314042948203</v>
      </c>
      <c r="L993" s="39">
        <v>5.6437886832833808</v>
      </c>
      <c r="M993" s="39">
        <f>I993*1680.9</f>
        <v>10.968553979348471</v>
      </c>
      <c r="N993" s="39">
        <f t="shared" si="132"/>
        <v>13.370667300825787</v>
      </c>
      <c r="O993" s="94">
        <f t="shared" si="135"/>
        <v>0.26947271403206108</v>
      </c>
    </row>
    <row r="994" spans="1:15" s="6" customFormat="1" ht="15.75">
      <c r="A994" s="285">
        <v>114</v>
      </c>
      <c r="B994" s="329" t="s">
        <v>949</v>
      </c>
      <c r="C994" s="803">
        <v>128.1</v>
      </c>
      <c r="D994" s="391"/>
      <c r="E994" s="804"/>
      <c r="F994" s="61">
        <f t="shared" si="128"/>
        <v>128.1</v>
      </c>
      <c r="G994" s="8" t="s">
        <v>1361</v>
      </c>
      <c r="H994" s="804">
        <v>122</v>
      </c>
      <c r="I994" s="178">
        <f t="shared" si="131"/>
        <v>5.6063342386184524E-3</v>
      </c>
      <c r="J994" s="39">
        <f t="shared" si="130"/>
        <v>12.721501210876289</v>
      </c>
      <c r="K994" s="37">
        <f t="shared" si="129"/>
        <v>4.6776959952392119</v>
      </c>
      <c r="L994" s="39">
        <v>4.8488888687364256</v>
      </c>
      <c r="M994" s="39">
        <f t="shared" si="136"/>
        <v>3.8173529830753039</v>
      </c>
      <c r="N994" s="39">
        <f t="shared" si="132"/>
        <v>4.6533532863687954</v>
      </c>
      <c r="O994" s="94">
        <f t="shared" si="135"/>
        <v>0.20347727601816729</v>
      </c>
    </row>
    <row r="995" spans="1:15" s="6" customFormat="1" ht="15.75">
      <c r="A995" s="285">
        <v>115</v>
      </c>
      <c r="B995" s="329" t="s">
        <v>950</v>
      </c>
      <c r="C995" s="803">
        <v>72.5</v>
      </c>
      <c r="D995" s="391"/>
      <c r="E995" s="804"/>
      <c r="F995" s="61">
        <f t="shared" si="128"/>
        <v>72.5</v>
      </c>
      <c r="G995" s="8" t="s">
        <v>1361</v>
      </c>
      <c r="H995" s="804">
        <v>83</v>
      </c>
      <c r="I995" s="178">
        <f t="shared" si="131"/>
        <v>3.8141454246338651E-3</v>
      </c>
      <c r="J995" s="39">
        <f t="shared" si="130"/>
        <v>8.6547918073994428</v>
      </c>
      <c r="K995" s="37">
        <f t="shared" si="129"/>
        <v>3.1823669475807752</v>
      </c>
      <c r="L995" s="39">
        <v>3.2988342303698635</v>
      </c>
      <c r="M995" s="39">
        <f t="shared" si="136"/>
        <v>2.5970516196331985</v>
      </c>
      <c r="N995" s="39">
        <f t="shared" si="132"/>
        <v>3.1658059243328691</v>
      </c>
      <c r="O995" s="94">
        <f t="shared" si="135"/>
        <v>0.24459371868942451</v>
      </c>
    </row>
    <row r="996" spans="1:15" s="6" customFormat="1" ht="15.75">
      <c r="A996" s="285">
        <v>116</v>
      </c>
      <c r="B996" s="329" t="s">
        <v>951</v>
      </c>
      <c r="C996" s="803">
        <v>237.6</v>
      </c>
      <c r="D996" s="391"/>
      <c r="E996" s="804"/>
      <c r="F996" s="61">
        <f t="shared" si="128"/>
        <v>237.6</v>
      </c>
      <c r="G996" s="8" t="s">
        <v>1361</v>
      </c>
      <c r="H996" s="804">
        <v>232</v>
      </c>
      <c r="I996" s="178">
        <f t="shared" si="131"/>
        <v>1.0661225765241646E-2</v>
      </c>
      <c r="J996" s="39">
        <f t="shared" si="130"/>
        <v>24.191707220682776</v>
      </c>
      <c r="K996" s="37">
        <f t="shared" si="129"/>
        <v>8.8952907450450578</v>
      </c>
      <c r="L996" s="39">
        <v>9.2208378487446794</v>
      </c>
      <c r="M996" s="39">
        <f t="shared" si="136"/>
        <v>7.2592286235530361</v>
      </c>
      <c r="N996" s="39">
        <f t="shared" si="132"/>
        <v>8.8489996921111516</v>
      </c>
      <c r="O996" s="94">
        <f t="shared" si="135"/>
        <v>0.20861559106913113</v>
      </c>
    </row>
    <row r="997" spans="1:15" s="6" customFormat="1" ht="15.75">
      <c r="A997" s="285">
        <v>117</v>
      </c>
      <c r="B997" s="329" t="s">
        <v>952</v>
      </c>
      <c r="C997" s="803">
        <v>106.4</v>
      </c>
      <c r="D997" s="391"/>
      <c r="E997" s="804"/>
      <c r="F997" s="61">
        <f t="shared" si="128"/>
        <v>106.4</v>
      </c>
      <c r="G997" s="8" t="s">
        <v>1361</v>
      </c>
      <c r="H997" s="804">
        <v>172</v>
      </c>
      <c r="I997" s="178">
        <f t="shared" si="131"/>
        <v>7.9040122052653587E-3</v>
      </c>
      <c r="J997" s="39">
        <f t="shared" si="130"/>
        <v>17.935231215333783</v>
      </c>
      <c r="K997" s="37">
        <f t="shared" si="129"/>
        <v>6.5947845178782325</v>
      </c>
      <c r="L997" s="39">
        <v>6.8361384051038137</v>
      </c>
      <c r="M997" s="39">
        <f>I997*376.38</f>
        <v>2.9749121138177759</v>
      </c>
      <c r="N997" s="39">
        <f t="shared" si="132"/>
        <v>3.6264178667438691</v>
      </c>
      <c r="O997" s="94">
        <f t="shared" si="135"/>
        <v>0.32275438206892482</v>
      </c>
    </row>
    <row r="998" spans="1:15" s="6" customFormat="1" ht="15.75">
      <c r="A998" s="285">
        <v>118</v>
      </c>
      <c r="B998" s="329" t="s">
        <v>953</v>
      </c>
      <c r="C998" s="803">
        <v>348.62</v>
      </c>
      <c r="D998" s="391"/>
      <c r="E998" s="804"/>
      <c r="F998" s="61">
        <f t="shared" si="128"/>
        <v>348.62</v>
      </c>
      <c r="G998" s="8" t="s">
        <v>1361</v>
      </c>
      <c r="H998" s="804">
        <v>286</v>
      </c>
      <c r="I998" s="178">
        <f t="shared" si="131"/>
        <v>1.3142717969220306E-2</v>
      </c>
      <c r="J998" s="39">
        <f t="shared" si="130"/>
        <v>29.822535625496876</v>
      </c>
      <c r="K998" s="37">
        <f t="shared" si="129"/>
        <v>10.965746349495202</v>
      </c>
      <c r="L998" s="39">
        <v>11.367067348021456</v>
      </c>
      <c r="M998" s="39">
        <f>I998*376.38</f>
        <v>4.9466561892551386</v>
      </c>
      <c r="N998" s="39">
        <f t="shared" si="132"/>
        <v>6.0299738947020147</v>
      </c>
      <c r="O998" s="94">
        <f t="shared" si="135"/>
        <v>0.1637944051180904</v>
      </c>
    </row>
    <row r="999" spans="1:15" s="6" customFormat="1" ht="15.75">
      <c r="A999" s="285">
        <v>119</v>
      </c>
      <c r="B999" s="329" t="s">
        <v>954</v>
      </c>
      <c r="C999" s="803">
        <v>360.12</v>
      </c>
      <c r="D999" s="391"/>
      <c r="E999" s="804"/>
      <c r="F999" s="61">
        <f t="shared" si="128"/>
        <v>360.12</v>
      </c>
      <c r="G999" s="8" t="s">
        <v>1361</v>
      </c>
      <c r="H999" s="804">
        <v>292</v>
      </c>
      <c r="I999" s="178">
        <f t="shared" si="131"/>
        <v>1.3418439325217935E-2</v>
      </c>
      <c r="J999" s="39">
        <f t="shared" si="130"/>
        <v>30.448183226031773</v>
      </c>
      <c r="K999" s="37">
        <f t="shared" si="129"/>
        <v>11.195796972211884</v>
      </c>
      <c r="L999" s="39">
        <v>11.605537292385543</v>
      </c>
      <c r="M999" s="39">
        <f t="shared" si="136"/>
        <v>9.136615336540892</v>
      </c>
      <c r="N999" s="39">
        <f t="shared" si="132"/>
        <v>11.137534095243348</v>
      </c>
      <c r="O999" s="94">
        <f t="shared" si="135"/>
        <v>0.17323706771956593</v>
      </c>
    </row>
    <row r="1000" spans="1:15" s="6" customFormat="1" ht="15.75">
      <c r="A1000" s="285">
        <v>120</v>
      </c>
      <c r="B1000" s="329" t="s">
        <v>955</v>
      </c>
      <c r="C1000" s="803">
        <v>301.69</v>
      </c>
      <c r="D1000" s="391"/>
      <c r="E1000" s="804"/>
      <c r="F1000" s="61">
        <f t="shared" si="128"/>
        <v>301.69</v>
      </c>
      <c r="G1000" s="8" t="s">
        <v>1361</v>
      </c>
      <c r="H1000" s="804">
        <v>186</v>
      </c>
      <c r="I1000" s="178">
        <f t="shared" si="131"/>
        <v>8.547362035926492E-3</v>
      </c>
      <c r="J1000" s="39">
        <f t="shared" si="130"/>
        <v>19.395075616581881</v>
      </c>
      <c r="K1000" s="37">
        <f t="shared" si="129"/>
        <v>7.131569304217158</v>
      </c>
      <c r="L1000" s="39">
        <v>7.3925682752866813</v>
      </c>
      <c r="M1000" s="39">
        <f t="shared" si="136"/>
        <v>5.8198988102623481</v>
      </c>
      <c r="N1000" s="39">
        <f t="shared" si="132"/>
        <v>7.0944566497098025</v>
      </c>
      <c r="O1000" s="94">
        <f t="shared" si="135"/>
        <v>0.1317216745876498</v>
      </c>
    </row>
    <row r="1001" spans="1:15" s="6" customFormat="1" ht="15.75">
      <c r="A1001" s="285">
        <v>121</v>
      </c>
      <c r="B1001" s="329" t="s">
        <v>956</v>
      </c>
      <c r="C1001" s="803">
        <v>136.1</v>
      </c>
      <c r="D1001" s="391"/>
      <c r="E1001" s="804"/>
      <c r="F1001" s="61">
        <f t="shared" ref="F1001:F1062" si="138">C1001+D1001+E1001</f>
        <v>136.1</v>
      </c>
      <c r="G1001" s="8" t="s">
        <v>1361</v>
      </c>
      <c r="H1001" s="804">
        <v>131</v>
      </c>
      <c r="I1001" s="178">
        <f t="shared" si="131"/>
        <v>6.0199162726148952E-3</v>
      </c>
      <c r="J1001" s="39">
        <f t="shared" si="130"/>
        <v>13.659972611678638</v>
      </c>
      <c r="K1001" s="37">
        <f t="shared" si="129"/>
        <v>5.0227719293142359</v>
      </c>
      <c r="L1001" s="39">
        <v>5.2065937852825552</v>
      </c>
      <c r="M1001" s="39">
        <f>I1001*376.38</f>
        <v>2.2657760866867944</v>
      </c>
      <c r="N1001" s="39">
        <f t="shared" si="132"/>
        <v>2.7619810496712027</v>
      </c>
      <c r="O1001" s="94">
        <f t="shared" si="135"/>
        <v>0.19217571207172832</v>
      </c>
    </row>
    <row r="1002" spans="1:15" s="6" customFormat="1" ht="15.75">
      <c r="A1002" s="285">
        <v>122</v>
      </c>
      <c r="B1002" s="329" t="s">
        <v>957</v>
      </c>
      <c r="C1002" s="803">
        <v>113.9</v>
      </c>
      <c r="D1002" s="391"/>
      <c r="E1002" s="804"/>
      <c r="F1002" s="61">
        <f t="shared" si="138"/>
        <v>113.9</v>
      </c>
      <c r="G1002" s="8" t="s">
        <v>1361</v>
      </c>
      <c r="H1002" s="804">
        <v>199</v>
      </c>
      <c r="I1002" s="178">
        <f t="shared" si="131"/>
        <v>9.1447583072546881E-3</v>
      </c>
      <c r="J1002" s="39">
        <f t="shared" si="130"/>
        <v>20.750645417740831</v>
      </c>
      <c r="K1002" s="37">
        <f t="shared" si="129"/>
        <v>7.6300123201033037</v>
      </c>
      <c r="L1002" s="39">
        <v>7.9092531547422018</v>
      </c>
      <c r="M1002" s="39">
        <f t="shared" si="136"/>
        <v>6.226665931409717</v>
      </c>
      <c r="N1002" s="39">
        <f t="shared" si="132"/>
        <v>7.5903057703884453</v>
      </c>
      <c r="O1002" s="94">
        <f t="shared" si="135"/>
        <v>0.37327986676028141</v>
      </c>
    </row>
    <row r="1003" spans="1:15" s="6" customFormat="1" ht="15.75">
      <c r="A1003" s="285">
        <v>123</v>
      </c>
      <c r="B1003" s="329" t="s">
        <v>958</v>
      </c>
      <c r="C1003" s="803">
        <v>566.45000000000005</v>
      </c>
      <c r="D1003" s="391"/>
      <c r="E1003" s="804"/>
      <c r="F1003" s="61">
        <f t="shared" si="138"/>
        <v>566.45000000000005</v>
      </c>
      <c r="G1003" s="19" t="s">
        <v>1342</v>
      </c>
      <c r="H1003" s="804">
        <v>515</v>
      </c>
      <c r="I1003" s="178">
        <f t="shared" si="131"/>
        <v>2.3666083056463137E-2</v>
      </c>
      <c r="J1003" s="39">
        <f t="shared" si="130"/>
        <v>53.701419045912203</v>
      </c>
      <c r="K1003" s="37">
        <f t="shared" ref="K1003:K1064" si="139">J1003*0.3677</f>
        <v>19.746011783181917</v>
      </c>
      <c r="L1003" s="39">
        <v>20.468670224584091</v>
      </c>
      <c r="M1003" s="39">
        <f>I1003*376.38</f>
        <v>8.9074403407915952</v>
      </c>
      <c r="N1003" s="39">
        <f t="shared" si="132"/>
        <v>10.858169775424955</v>
      </c>
      <c r="O1003" s="94">
        <f t="shared" si="135"/>
        <v>0.1815227140868034</v>
      </c>
    </row>
    <row r="1004" spans="1:15" s="6" customFormat="1" ht="15.75">
      <c r="A1004" s="285">
        <v>124</v>
      </c>
      <c r="B1004" s="329" t="s">
        <v>959</v>
      </c>
      <c r="C1004" s="803">
        <v>760.45</v>
      </c>
      <c r="D1004" s="391"/>
      <c r="E1004" s="804"/>
      <c r="F1004" s="61">
        <f t="shared" si="138"/>
        <v>760.45</v>
      </c>
      <c r="G1004" s="8" t="s">
        <v>1361</v>
      </c>
      <c r="H1004" s="804">
        <v>625</v>
      </c>
      <c r="I1004" s="178">
        <f t="shared" si="131"/>
        <v>2.8720974583086332E-2</v>
      </c>
      <c r="J1004" s="39">
        <f t="shared" si="130"/>
        <v>65.171625055718692</v>
      </c>
      <c r="K1004" s="37">
        <f t="shared" si="139"/>
        <v>23.963606532987765</v>
      </c>
      <c r="L1004" s="39">
        <v>24.840619204592347</v>
      </c>
      <c r="M1004" s="39">
        <f t="shared" si="136"/>
        <v>19.556111593623484</v>
      </c>
      <c r="N1004" s="39">
        <f t="shared" si="132"/>
        <v>23.838900032627027</v>
      </c>
      <c r="O1004" s="94">
        <f t="shared" si="135"/>
        <v>0.17559597920563125</v>
      </c>
    </row>
    <row r="1005" spans="1:15" s="6" customFormat="1" ht="15.75">
      <c r="A1005" s="285">
        <v>125</v>
      </c>
      <c r="B1005" s="329" t="s">
        <v>960</v>
      </c>
      <c r="C1005" s="803">
        <v>275.3</v>
      </c>
      <c r="D1005" s="391"/>
      <c r="E1005" s="804"/>
      <c r="F1005" s="61">
        <f t="shared" si="138"/>
        <v>275.3</v>
      </c>
      <c r="G1005" s="8" t="s">
        <v>1361</v>
      </c>
      <c r="H1005" s="804">
        <v>196</v>
      </c>
      <c r="I1005" s="178">
        <f t="shared" si="131"/>
        <v>9.0068976292558747E-3</v>
      </c>
      <c r="J1005" s="39">
        <f t="shared" si="130"/>
        <v>20.437821617473382</v>
      </c>
      <c r="K1005" s="37">
        <f t="shared" si="139"/>
        <v>7.5149870087449635</v>
      </c>
      <c r="L1005" s="39">
        <v>7.7900181825601589</v>
      </c>
      <c r="M1005" s="39">
        <f t="shared" si="136"/>
        <v>6.1327965957603245</v>
      </c>
      <c r="N1005" s="39">
        <f t="shared" si="132"/>
        <v>7.4758790502318364</v>
      </c>
      <c r="O1005" s="94">
        <f t="shared" si="135"/>
        <v>0.15210905704518279</v>
      </c>
    </row>
    <row r="1006" spans="1:15" s="6" customFormat="1" ht="15.75">
      <c r="A1006" s="285">
        <v>126</v>
      </c>
      <c r="B1006" s="329" t="s">
        <v>961</v>
      </c>
      <c r="C1006" s="803">
        <v>384.4</v>
      </c>
      <c r="D1006" s="391"/>
      <c r="E1006" s="804"/>
      <c r="F1006" s="61">
        <f t="shared" si="138"/>
        <v>384.4</v>
      </c>
      <c r="G1006" s="8" t="s">
        <v>1361</v>
      </c>
      <c r="H1006" s="804">
        <v>184</v>
      </c>
      <c r="I1006" s="178">
        <f t="shared" si="131"/>
        <v>8.4554549172606158E-3</v>
      </c>
      <c r="J1006" s="39">
        <f t="shared" si="130"/>
        <v>19.186526416403581</v>
      </c>
      <c r="K1006" s="37">
        <f t="shared" si="139"/>
        <v>7.0548857633115976</v>
      </c>
      <c r="L1006" s="39">
        <v>7.3130782938319863</v>
      </c>
      <c r="M1006" s="39">
        <f t="shared" si="136"/>
        <v>5.7573192531627528</v>
      </c>
      <c r="N1006" s="39">
        <f t="shared" si="132"/>
        <v>7.0181721696053962</v>
      </c>
      <c r="O1006" s="94">
        <f t="shared" si="135"/>
        <v>0.10226797535564496</v>
      </c>
    </row>
    <row r="1007" spans="1:15" s="6" customFormat="1" ht="15.75">
      <c r="A1007" s="285">
        <v>127</v>
      </c>
      <c r="B1007" s="329" t="s">
        <v>962</v>
      </c>
      <c r="C1007" s="803">
        <v>207.2</v>
      </c>
      <c r="D1007" s="391"/>
      <c r="E1007" s="804"/>
      <c r="F1007" s="61">
        <f t="shared" si="138"/>
        <v>207.2</v>
      </c>
      <c r="G1007" s="8" t="s">
        <v>1361</v>
      </c>
      <c r="H1007" s="804">
        <v>124</v>
      </c>
      <c r="I1007" s="178">
        <f t="shared" si="131"/>
        <v>5.6982413572843286E-3</v>
      </c>
      <c r="J1007" s="39">
        <f t="shared" si="130"/>
        <v>12.930050411054589</v>
      </c>
      <c r="K1007" s="37">
        <f t="shared" si="139"/>
        <v>4.7543795361447732</v>
      </c>
      <c r="L1007" s="39">
        <v>4.9283788501911214</v>
      </c>
      <c r="M1007" s="39">
        <f t="shared" si="136"/>
        <v>3.8799325401748992</v>
      </c>
      <c r="N1007" s="39">
        <f t="shared" si="132"/>
        <v>4.7296377664732026</v>
      </c>
      <c r="O1007" s="94">
        <f t="shared" si="135"/>
        <v>0.12786072074114568</v>
      </c>
    </row>
    <row r="1008" spans="1:15" s="6" customFormat="1" ht="15.75">
      <c r="A1008" s="285">
        <v>128</v>
      </c>
      <c r="B1008" s="329" t="s">
        <v>963</v>
      </c>
      <c r="C1008" s="803">
        <v>603.70000000000005</v>
      </c>
      <c r="D1008" s="391"/>
      <c r="E1008" s="804"/>
      <c r="F1008" s="61">
        <f t="shared" si="138"/>
        <v>603.70000000000005</v>
      </c>
      <c r="G1008" s="19" t="s">
        <v>1342</v>
      </c>
      <c r="H1008" s="804">
        <v>378</v>
      </c>
      <c r="I1008" s="178">
        <f t="shared" si="131"/>
        <v>1.7370445427850614E-2</v>
      </c>
      <c r="J1008" s="39">
        <f t="shared" si="130"/>
        <v>39.415798833698666</v>
      </c>
      <c r="K1008" s="37">
        <f t="shared" si="139"/>
        <v>14.493189231151</v>
      </c>
      <c r="L1008" s="39">
        <v>15.02360649493745</v>
      </c>
      <c r="M1008" s="39">
        <f t="shared" si="136"/>
        <v>11.827536291823483</v>
      </c>
      <c r="N1008" s="39">
        <f t="shared" si="132"/>
        <v>14.417766739732826</v>
      </c>
      <c r="O1008" s="94">
        <f t="shared" si="135"/>
        <v>0.13377527058408248</v>
      </c>
    </row>
    <row r="1009" spans="1:15" s="6" customFormat="1" ht="15.75">
      <c r="A1009" s="285">
        <v>129</v>
      </c>
      <c r="B1009" s="329" t="s">
        <v>964</v>
      </c>
      <c r="C1009" s="803">
        <v>477.8</v>
      </c>
      <c r="D1009" s="391"/>
      <c r="E1009" s="804"/>
      <c r="F1009" s="61">
        <f t="shared" si="138"/>
        <v>477.8</v>
      </c>
      <c r="G1009" s="8" t="s">
        <v>1361</v>
      </c>
      <c r="H1009" s="804">
        <v>287</v>
      </c>
      <c r="I1009" s="178">
        <f t="shared" si="131"/>
        <v>1.3188671528553244E-2</v>
      </c>
      <c r="J1009" s="39">
        <f t="shared" ref="J1009:J1072" si="140">I1009*2269.13</f>
        <v>29.926810225586024</v>
      </c>
      <c r="K1009" s="37">
        <f t="shared" si="139"/>
        <v>11.004088119947982</v>
      </c>
      <c r="L1009" s="39">
        <v>11.406812338748804</v>
      </c>
      <c r="M1009" s="39">
        <f t="shared" si="136"/>
        <v>8.9801664437919033</v>
      </c>
      <c r="N1009" s="39">
        <f t="shared" si="132"/>
        <v>10.946822894982331</v>
      </c>
      <c r="O1009" s="94">
        <f t="shared" si="135"/>
        <v>0.12833377381346736</v>
      </c>
    </row>
    <row r="1010" spans="1:15" s="6" customFormat="1" ht="15.75">
      <c r="A1010" s="285">
        <v>130</v>
      </c>
      <c r="B1010" s="329" t="s">
        <v>965</v>
      </c>
      <c r="C1010" s="803">
        <v>481.5</v>
      </c>
      <c r="D1010" s="391"/>
      <c r="E1010" s="804"/>
      <c r="F1010" s="61">
        <f t="shared" si="138"/>
        <v>481.5</v>
      </c>
      <c r="G1010" s="8" t="s">
        <v>1342</v>
      </c>
      <c r="H1010" s="804">
        <v>290</v>
      </c>
      <c r="I1010" s="178">
        <f t="shared" ref="I1010:I1073" si="141">4/87044.4*H1010</f>
        <v>1.3326532206552059E-2</v>
      </c>
      <c r="J1010" s="39">
        <f t="shared" si="140"/>
        <v>30.239634025853473</v>
      </c>
      <c r="K1010" s="37">
        <f t="shared" si="139"/>
        <v>11.119113431306323</v>
      </c>
      <c r="L1010" s="39">
        <v>11.526047310930847</v>
      </c>
      <c r="M1010" s="39">
        <f>I1010*1280.9</f>
        <v>17.069955103372532</v>
      </c>
      <c r="N1010" s="39">
        <f t="shared" ref="N1010:N1073" si="142">M1010*1.219</f>
        <v>20.808275271011119</v>
      </c>
      <c r="O1010" s="94">
        <f t="shared" si="135"/>
        <v>0.14528504646202114</v>
      </c>
    </row>
    <row r="1011" spans="1:15" s="6" customFormat="1" ht="15.75">
      <c r="A1011" s="285">
        <v>131</v>
      </c>
      <c r="B1011" s="329" t="s">
        <v>966</v>
      </c>
      <c r="C1011" s="803">
        <v>539.4</v>
      </c>
      <c r="D1011" s="391"/>
      <c r="E1011" s="804"/>
      <c r="F1011" s="61">
        <f t="shared" si="138"/>
        <v>539.4</v>
      </c>
      <c r="G1011" s="8" t="s">
        <v>1342</v>
      </c>
      <c r="H1011" s="804">
        <v>251</v>
      </c>
      <c r="I1011" s="178">
        <f t="shared" si="141"/>
        <v>1.1534343392567471E-2</v>
      </c>
      <c r="J1011" s="39">
        <f t="shared" si="140"/>
        <v>26.172924622376627</v>
      </c>
      <c r="K1011" s="37">
        <f t="shared" si="139"/>
        <v>9.6237843836478856</v>
      </c>
      <c r="L1011" s="39">
        <v>9.9759926725642849</v>
      </c>
      <c r="M1011" s="39">
        <f t="shared" si="136"/>
        <v>7.8537344159991909</v>
      </c>
      <c r="N1011" s="39">
        <f t="shared" si="142"/>
        <v>9.5737022531030149</v>
      </c>
      <c r="O1011" s="94">
        <f t="shared" si="135"/>
        <v>9.9418680190189082E-2</v>
      </c>
    </row>
    <row r="1012" spans="1:15" s="6" customFormat="1" ht="15.75">
      <c r="A1012" s="285">
        <v>132</v>
      </c>
      <c r="B1012" s="329" t="s">
        <v>967</v>
      </c>
      <c r="C1012" s="803">
        <v>120.6</v>
      </c>
      <c r="D1012" s="391"/>
      <c r="E1012" s="804"/>
      <c r="F1012" s="61">
        <f t="shared" si="138"/>
        <v>120.6</v>
      </c>
      <c r="G1012" s="8" t="s">
        <v>1361</v>
      </c>
      <c r="H1012" s="804">
        <v>114</v>
      </c>
      <c r="I1012" s="178">
        <f t="shared" si="141"/>
        <v>5.2387057639549468E-3</v>
      </c>
      <c r="J1012" s="39">
        <f t="shared" si="140"/>
        <v>11.88730441016309</v>
      </c>
      <c r="K1012" s="37">
        <f t="shared" si="139"/>
        <v>4.3709618316169685</v>
      </c>
      <c r="L1012" s="39">
        <v>4.5309289429176438</v>
      </c>
      <c r="M1012" s="39">
        <f t="shared" si="136"/>
        <v>3.5670347546769232</v>
      </c>
      <c r="N1012" s="39">
        <f t="shared" si="142"/>
        <v>4.3482153659511695</v>
      </c>
      <c r="O1012" s="94">
        <f t="shared" si="135"/>
        <v>0.20195878888370336</v>
      </c>
    </row>
    <row r="1013" spans="1:15" s="6" customFormat="1" ht="15.75">
      <c r="A1013" s="285">
        <v>133</v>
      </c>
      <c r="B1013" s="329" t="s">
        <v>968</v>
      </c>
      <c r="C1013" s="803">
        <v>98.1</v>
      </c>
      <c r="D1013" s="391"/>
      <c r="E1013" s="804"/>
      <c r="F1013" s="61">
        <f t="shared" si="138"/>
        <v>98.1</v>
      </c>
      <c r="G1013" s="8" t="s">
        <v>1361</v>
      </c>
      <c r="H1013" s="804">
        <v>86</v>
      </c>
      <c r="I1013" s="178">
        <f t="shared" si="141"/>
        <v>3.9520061026326794E-3</v>
      </c>
      <c r="J1013" s="39">
        <f t="shared" si="140"/>
        <v>8.9676156076668914</v>
      </c>
      <c r="K1013" s="37">
        <f t="shared" si="139"/>
        <v>3.2973922589391162</v>
      </c>
      <c r="L1013" s="39">
        <v>3.4180692025519068</v>
      </c>
      <c r="M1013" s="39">
        <f t="shared" si="136"/>
        <v>2.6909209552825915</v>
      </c>
      <c r="N1013" s="39">
        <f t="shared" si="142"/>
        <v>3.2802326444894794</v>
      </c>
      <c r="O1013" s="94">
        <f t="shared" si="135"/>
        <v>0.18729865468338944</v>
      </c>
    </row>
    <row r="1014" spans="1:15" s="6" customFormat="1" ht="15.75">
      <c r="A1014" s="285">
        <v>134</v>
      </c>
      <c r="B1014" s="329" t="s">
        <v>969</v>
      </c>
      <c r="C1014" s="803">
        <v>95.2</v>
      </c>
      <c r="D1014" s="391"/>
      <c r="E1014" s="804"/>
      <c r="F1014" s="61">
        <f t="shared" si="138"/>
        <v>95.2</v>
      </c>
      <c r="G1014" s="8" t="s">
        <v>1361</v>
      </c>
      <c r="H1014" s="804">
        <v>73</v>
      </c>
      <c r="I1014" s="178">
        <f t="shared" si="141"/>
        <v>3.3546098313044837E-3</v>
      </c>
      <c r="J1014" s="39">
        <f t="shared" si="140"/>
        <v>7.6120458065079433</v>
      </c>
      <c r="K1014" s="37">
        <f t="shared" si="139"/>
        <v>2.798949243052971</v>
      </c>
      <c r="L1014" s="39">
        <v>2.9013843230963858</v>
      </c>
      <c r="M1014" s="39">
        <f t="shared" si="136"/>
        <v>2.284153834135223</v>
      </c>
      <c r="N1014" s="39">
        <f t="shared" si="142"/>
        <v>2.784383523810837</v>
      </c>
      <c r="O1014" s="94">
        <f t="shared" si="135"/>
        <v>0.16382913032345087</v>
      </c>
    </row>
    <row r="1015" spans="1:15" s="6" customFormat="1" ht="15.75">
      <c r="A1015" s="285">
        <v>135</v>
      </c>
      <c r="B1015" s="329" t="s">
        <v>970</v>
      </c>
      <c r="C1015" s="803">
        <v>2329.16</v>
      </c>
      <c r="D1015" s="391"/>
      <c r="E1015" s="804"/>
      <c r="F1015" s="61">
        <f t="shared" si="138"/>
        <v>2329.16</v>
      </c>
      <c r="G1015" s="19" t="s">
        <v>1341</v>
      </c>
      <c r="H1015" s="804">
        <v>620</v>
      </c>
      <c r="I1015" s="178">
        <f t="shared" si="141"/>
        <v>2.8491206786421641E-2</v>
      </c>
      <c r="J1015" s="39">
        <f t="shared" si="140"/>
        <v>64.650252055272944</v>
      </c>
      <c r="K1015" s="37">
        <f t="shared" si="139"/>
        <v>23.771897680723864</v>
      </c>
      <c r="L1015" s="39">
        <v>24.641894250955605</v>
      </c>
      <c r="M1015" s="39">
        <f>I1015*1376.38</f>
        <v>39.214727196695023</v>
      </c>
      <c r="N1015" s="39">
        <f t="shared" si="142"/>
        <v>47.802752452771237</v>
      </c>
      <c r="O1015" s="94">
        <f t="shared" si="135"/>
        <v>6.5379265994456134E-2</v>
      </c>
    </row>
    <row r="1016" spans="1:15" s="6" customFormat="1" ht="15.75">
      <c r="A1016" s="285">
        <v>136</v>
      </c>
      <c r="B1016" s="329" t="s">
        <v>971</v>
      </c>
      <c r="C1016" s="806">
        <v>188</v>
      </c>
      <c r="D1016" s="391"/>
      <c r="E1016" s="804"/>
      <c r="F1016" s="61">
        <f t="shared" si="138"/>
        <v>188</v>
      </c>
      <c r="G1016" s="8" t="s">
        <v>1361</v>
      </c>
      <c r="H1016" s="804">
        <v>125</v>
      </c>
      <c r="I1016" s="178">
        <f t="shared" si="141"/>
        <v>5.7441949166172667E-3</v>
      </c>
      <c r="J1016" s="39">
        <f t="shared" si="140"/>
        <v>13.034325011143739</v>
      </c>
      <c r="K1016" s="37">
        <f t="shared" si="139"/>
        <v>4.7927213065975529</v>
      </c>
      <c r="L1016" s="39">
        <v>4.9681238409184694</v>
      </c>
      <c r="M1016" s="39">
        <f>I1016*680.9</f>
        <v>3.9112223187246968</v>
      </c>
      <c r="N1016" s="39">
        <f t="shared" si="142"/>
        <v>4.7677800065254061</v>
      </c>
      <c r="O1016" s="94">
        <f t="shared" si="135"/>
        <v>0.14205527913502372</v>
      </c>
    </row>
    <row r="1017" spans="1:15" s="6" customFormat="1" ht="15.75">
      <c r="A1017" s="285">
        <v>137</v>
      </c>
      <c r="B1017" s="329" t="s">
        <v>972</v>
      </c>
      <c r="C1017" s="803">
        <v>110.1</v>
      </c>
      <c r="D1017" s="391"/>
      <c r="E1017" s="804"/>
      <c r="F1017" s="61">
        <f t="shared" si="138"/>
        <v>110.1</v>
      </c>
      <c r="G1017" s="8" t="s">
        <v>1361</v>
      </c>
      <c r="H1017" s="804">
        <v>114</v>
      </c>
      <c r="I1017" s="178">
        <f t="shared" si="141"/>
        <v>5.2387057639549468E-3</v>
      </c>
      <c r="J1017" s="39">
        <f t="shared" si="140"/>
        <v>11.88730441016309</v>
      </c>
      <c r="K1017" s="37">
        <f t="shared" si="139"/>
        <v>4.3709618316169685</v>
      </c>
      <c r="L1017" s="39">
        <v>4.5309289429176438</v>
      </c>
      <c r="M1017" s="39">
        <f>I1017*680.9</f>
        <v>3.5670347546769232</v>
      </c>
      <c r="N1017" s="39">
        <f t="shared" si="142"/>
        <v>4.3482153659511695</v>
      </c>
      <c r="O1017" s="94">
        <f t="shared" si="135"/>
        <v>0.22121916384536444</v>
      </c>
    </row>
    <row r="1018" spans="1:15" s="6" customFormat="1" ht="15.75">
      <c r="A1018" s="285">
        <v>138</v>
      </c>
      <c r="B1018" s="329" t="s">
        <v>973</v>
      </c>
      <c r="C1018" s="803">
        <v>215.8</v>
      </c>
      <c r="D1018" s="391"/>
      <c r="E1018" s="804"/>
      <c r="F1018" s="61">
        <f t="shared" si="138"/>
        <v>215.8</v>
      </c>
      <c r="G1018" s="8" t="s">
        <v>1361</v>
      </c>
      <c r="H1018" s="804">
        <v>153</v>
      </c>
      <c r="I1018" s="178">
        <f t="shared" si="141"/>
        <v>7.0308945779395341E-3</v>
      </c>
      <c r="J1018" s="39">
        <f t="shared" si="140"/>
        <v>15.954013813639936</v>
      </c>
      <c r="K1018" s="37">
        <f t="shared" si="139"/>
        <v>5.8662908792754047</v>
      </c>
      <c r="L1018" s="39">
        <v>6.0809835812842064</v>
      </c>
      <c r="M1018" s="39">
        <f>I1018*680.9</f>
        <v>4.787336118119029</v>
      </c>
      <c r="N1018" s="39">
        <f t="shared" si="142"/>
        <v>5.8357627279870972</v>
      </c>
      <c r="O1018" s="94">
        <f t="shared" si="135"/>
        <v>0.15147648003854761</v>
      </c>
    </row>
    <row r="1019" spans="1:15" s="6" customFormat="1" ht="15.75">
      <c r="A1019" s="285">
        <v>139</v>
      </c>
      <c r="B1019" s="329" t="s">
        <v>974</v>
      </c>
      <c r="C1019" s="803">
        <v>1481.3</v>
      </c>
      <c r="D1019" s="391"/>
      <c r="E1019" s="804"/>
      <c r="F1019" s="61">
        <f t="shared" si="138"/>
        <v>1481.3</v>
      </c>
      <c r="G1019" s="19" t="s">
        <v>1341</v>
      </c>
      <c r="H1019" s="804">
        <v>522</v>
      </c>
      <c r="I1019" s="178">
        <f t="shared" si="141"/>
        <v>2.3987757971793706E-2</v>
      </c>
      <c r="J1019" s="39">
        <f t="shared" si="140"/>
        <v>54.431341246536256</v>
      </c>
      <c r="K1019" s="37">
        <f t="shared" si="139"/>
        <v>20.014404176351384</v>
      </c>
      <c r="L1019" s="39">
        <v>20.746885159675525</v>
      </c>
      <c r="M1019" s="39">
        <f>I1019*376.38</f>
        <v>9.0285123454237155</v>
      </c>
      <c r="N1019" s="39">
        <f t="shared" si="142"/>
        <v>11.00575654907151</v>
      </c>
      <c r="O1019" s="94">
        <f t="shared" si="135"/>
        <v>7.0357890317955099E-2</v>
      </c>
    </row>
    <row r="1020" spans="1:15" s="6" customFormat="1" ht="15.75">
      <c r="A1020" s="285">
        <v>140</v>
      </c>
      <c r="B1020" s="329" t="s">
        <v>975</v>
      </c>
      <c r="C1020" s="803">
        <v>152.6</v>
      </c>
      <c r="D1020" s="391"/>
      <c r="E1020" s="804"/>
      <c r="F1020" s="61">
        <f t="shared" si="138"/>
        <v>152.6</v>
      </c>
      <c r="G1020" s="8" t="s">
        <v>1361</v>
      </c>
      <c r="H1020" s="804">
        <v>142</v>
      </c>
      <c r="I1020" s="178">
        <f t="shared" si="141"/>
        <v>6.5254054252772151E-3</v>
      </c>
      <c r="J1020" s="39">
        <f t="shared" si="140"/>
        <v>14.806993212659288</v>
      </c>
      <c r="K1020" s="37">
        <f t="shared" si="139"/>
        <v>5.4445314042948203</v>
      </c>
      <c r="L1020" s="39">
        <v>5.6437886832833808</v>
      </c>
      <c r="M1020" s="39">
        <f t="shared" ref="M1020:M1081" si="143">I1020*680.9</f>
        <v>4.4431485540712554</v>
      </c>
      <c r="N1020" s="39">
        <f t="shared" si="142"/>
        <v>5.4161980874128606</v>
      </c>
      <c r="O1020" s="94">
        <f t="shared" si="135"/>
        <v>0.19881036601775065</v>
      </c>
    </row>
    <row r="1021" spans="1:15" s="6" customFormat="1" ht="15.75">
      <c r="A1021" s="285">
        <v>141</v>
      </c>
      <c r="B1021" s="329" t="s">
        <v>976</v>
      </c>
      <c r="C1021" s="803">
        <v>110.9</v>
      </c>
      <c r="D1021" s="391"/>
      <c r="E1021" s="804"/>
      <c r="F1021" s="61">
        <f t="shared" si="138"/>
        <v>110.9</v>
      </c>
      <c r="G1021" s="8" t="s">
        <v>1361</v>
      </c>
      <c r="H1021" s="804">
        <v>112</v>
      </c>
      <c r="I1021" s="178">
        <f t="shared" si="141"/>
        <v>5.1467986452890706E-3</v>
      </c>
      <c r="J1021" s="39">
        <f t="shared" si="140"/>
        <v>11.678755209984789</v>
      </c>
      <c r="K1021" s="37">
        <f t="shared" si="139"/>
        <v>4.2942782907114072</v>
      </c>
      <c r="L1021" s="39">
        <v>4.4514389614629488</v>
      </c>
      <c r="M1021" s="39">
        <f>I1021*1680.9</f>
        <v>8.6512538428663994</v>
      </c>
      <c r="N1021" s="39">
        <f t="shared" si="142"/>
        <v>10.545878434454142</v>
      </c>
      <c r="O1021" s="94">
        <f t="shared" si="135"/>
        <v>0.26217967813368387</v>
      </c>
    </row>
    <row r="1022" spans="1:15" s="6" customFormat="1" ht="15.75">
      <c r="A1022" s="285">
        <v>142</v>
      </c>
      <c r="B1022" s="329" t="s">
        <v>977</v>
      </c>
      <c r="C1022" s="803">
        <v>59.5</v>
      </c>
      <c r="D1022" s="391"/>
      <c r="E1022" s="804"/>
      <c r="F1022" s="61">
        <f t="shared" si="138"/>
        <v>59.5</v>
      </c>
      <c r="G1022" s="8" t="s">
        <v>1361</v>
      </c>
      <c r="H1022" s="804">
        <v>110</v>
      </c>
      <c r="I1022" s="178">
        <f t="shared" si="141"/>
        <v>5.0548915266231944E-3</v>
      </c>
      <c r="J1022" s="39">
        <f t="shared" si="140"/>
        <v>11.470206009806489</v>
      </c>
      <c r="K1022" s="37">
        <f t="shared" si="139"/>
        <v>4.2175947498058459</v>
      </c>
      <c r="L1022" s="39">
        <v>4.3719489800082529</v>
      </c>
      <c r="M1022" s="39">
        <f t="shared" si="143"/>
        <v>3.4418756404777331</v>
      </c>
      <c r="N1022" s="39">
        <f t="shared" si="142"/>
        <v>4.195646405742357</v>
      </c>
      <c r="O1022" s="94">
        <f t="shared" si="135"/>
        <v>0.39498530050585412</v>
      </c>
    </row>
    <row r="1023" spans="1:15" s="6" customFormat="1" ht="15.75">
      <c r="A1023" s="285">
        <v>143</v>
      </c>
      <c r="B1023" s="329" t="s">
        <v>978</v>
      </c>
      <c r="C1023" s="803">
        <v>38.700000000000003</v>
      </c>
      <c r="D1023" s="391"/>
      <c r="E1023" s="804"/>
      <c r="F1023" s="61">
        <f t="shared" si="138"/>
        <v>38.700000000000003</v>
      </c>
      <c r="G1023" s="8" t="s">
        <v>1361</v>
      </c>
      <c r="H1023" s="804">
        <v>41</v>
      </c>
      <c r="I1023" s="178">
        <f t="shared" si="141"/>
        <v>1.8840959326504635E-3</v>
      </c>
      <c r="J1023" s="39">
        <f t="shared" si="140"/>
        <v>4.2752586036551463</v>
      </c>
      <c r="K1023" s="37">
        <f t="shared" si="139"/>
        <v>1.5720125885639975</v>
      </c>
      <c r="L1023" s="39">
        <v>1.6295446198212578</v>
      </c>
      <c r="M1023" s="39">
        <f t="shared" si="143"/>
        <v>1.2828809205417004</v>
      </c>
      <c r="N1023" s="39">
        <f t="shared" si="142"/>
        <v>1.563831842140333</v>
      </c>
      <c r="O1023" s="94">
        <f t="shared" si="135"/>
        <v>0.22634875277989924</v>
      </c>
    </row>
    <row r="1024" spans="1:15" s="6" customFormat="1" ht="15.75">
      <c r="A1024" s="285">
        <v>144</v>
      </c>
      <c r="B1024" s="329" t="s">
        <v>979</v>
      </c>
      <c r="C1024" s="803">
        <v>72.3</v>
      </c>
      <c r="D1024" s="391"/>
      <c r="E1024" s="804"/>
      <c r="F1024" s="61">
        <f t="shared" si="138"/>
        <v>72.3</v>
      </c>
      <c r="G1024" s="19" t="s">
        <v>1342</v>
      </c>
      <c r="H1024" s="804">
        <v>103</v>
      </c>
      <c r="I1024" s="178">
        <f t="shared" si="141"/>
        <v>4.7332166112926278E-3</v>
      </c>
      <c r="J1024" s="39">
        <f t="shared" si="140"/>
        <v>10.740283809182442</v>
      </c>
      <c r="K1024" s="37">
        <f t="shared" si="139"/>
        <v>3.9492023566363841</v>
      </c>
      <c r="L1024" s="39">
        <v>4.0937340449168182</v>
      </c>
      <c r="M1024" s="39">
        <f t="shared" si="143"/>
        <v>3.22284719062915</v>
      </c>
      <c r="N1024" s="39">
        <f t="shared" si="142"/>
        <v>3.9286507253769343</v>
      </c>
      <c r="O1024" s="94">
        <f t="shared" si="135"/>
        <v>0.30437160997738305</v>
      </c>
    </row>
    <row r="1025" spans="1:15" s="6" customFormat="1" ht="15.75">
      <c r="A1025" s="285">
        <v>145</v>
      </c>
      <c r="B1025" s="329" t="s">
        <v>980</v>
      </c>
      <c r="C1025" s="803">
        <v>99.09</v>
      </c>
      <c r="D1025" s="391"/>
      <c r="E1025" s="804"/>
      <c r="F1025" s="61">
        <f t="shared" si="138"/>
        <v>99.09</v>
      </c>
      <c r="G1025" s="8" t="s">
        <v>1361</v>
      </c>
      <c r="H1025" s="804">
        <v>88</v>
      </c>
      <c r="I1025" s="178">
        <f t="shared" si="141"/>
        <v>4.0439132212985555E-3</v>
      </c>
      <c r="J1025" s="39">
        <f t="shared" si="140"/>
        <v>9.1761648078451916</v>
      </c>
      <c r="K1025" s="37">
        <f t="shared" si="139"/>
        <v>3.3740757998446771</v>
      </c>
      <c r="L1025" s="39">
        <v>3.4975591840066023</v>
      </c>
      <c r="M1025" s="39">
        <f t="shared" si="143"/>
        <v>2.7535005123821863</v>
      </c>
      <c r="N1025" s="39">
        <f t="shared" si="142"/>
        <v>3.3565171245938852</v>
      </c>
      <c r="O1025" s="94">
        <f t="shared" si="135"/>
        <v>0.18973963370752506</v>
      </c>
    </row>
    <row r="1026" spans="1:15" s="6" customFormat="1" ht="15.75">
      <c r="A1026" s="285">
        <v>146</v>
      </c>
      <c r="B1026" s="329" t="s">
        <v>981</v>
      </c>
      <c r="C1026" s="803">
        <v>78.7</v>
      </c>
      <c r="D1026" s="391"/>
      <c r="E1026" s="804"/>
      <c r="F1026" s="61">
        <f t="shared" si="138"/>
        <v>78.7</v>
      </c>
      <c r="G1026" s="8" t="s">
        <v>1361</v>
      </c>
      <c r="H1026" s="804">
        <v>92</v>
      </c>
      <c r="I1026" s="178">
        <f t="shared" si="141"/>
        <v>4.2277274586303079E-3</v>
      </c>
      <c r="J1026" s="39">
        <f t="shared" si="140"/>
        <v>9.5932632082017903</v>
      </c>
      <c r="K1026" s="37">
        <f t="shared" si="139"/>
        <v>3.5274428816557988</v>
      </c>
      <c r="L1026" s="39">
        <v>3.6565391469159931</v>
      </c>
      <c r="M1026" s="39">
        <f t="shared" si="143"/>
        <v>2.8786596265813764</v>
      </c>
      <c r="N1026" s="39">
        <f t="shared" si="142"/>
        <v>3.5090860848026981</v>
      </c>
      <c r="O1026" s="94">
        <f t="shared" si="135"/>
        <v>0.24975736802229934</v>
      </c>
    </row>
    <row r="1027" spans="1:15" s="6" customFormat="1" ht="15.75">
      <c r="A1027" s="285">
        <v>147</v>
      </c>
      <c r="B1027" s="329" t="s">
        <v>982</v>
      </c>
      <c r="C1027" s="803">
        <v>557.9</v>
      </c>
      <c r="D1027" s="391"/>
      <c r="E1027" s="804"/>
      <c r="F1027" s="61">
        <f t="shared" si="138"/>
        <v>557.9</v>
      </c>
      <c r="G1027" s="8" t="s">
        <v>1361</v>
      </c>
      <c r="H1027" s="804">
        <v>291</v>
      </c>
      <c r="I1027" s="178">
        <f t="shared" si="141"/>
        <v>1.3372485765884996E-2</v>
      </c>
      <c r="J1027" s="39">
        <f t="shared" si="140"/>
        <v>30.343908625942621</v>
      </c>
      <c r="K1027" s="37">
        <f t="shared" si="139"/>
        <v>11.157455201759102</v>
      </c>
      <c r="L1027" s="39">
        <v>11.565792301658195</v>
      </c>
      <c r="M1027" s="39">
        <f t="shared" si="143"/>
        <v>9.1053255579910939</v>
      </c>
      <c r="N1027" s="39">
        <f t="shared" si="142"/>
        <v>11.099391855191143</v>
      </c>
      <c r="O1027" s="94">
        <f t="shared" si="135"/>
        <v>0.11144018943780429</v>
      </c>
    </row>
    <row r="1028" spans="1:15" s="6" customFormat="1" ht="15.75">
      <c r="A1028" s="285">
        <v>148</v>
      </c>
      <c r="B1028" s="329" t="s">
        <v>983</v>
      </c>
      <c r="C1028" s="803">
        <v>122.5</v>
      </c>
      <c r="D1028" s="391"/>
      <c r="E1028" s="804"/>
      <c r="F1028" s="61">
        <f t="shared" si="138"/>
        <v>122.5</v>
      </c>
      <c r="G1028" s="8" t="s">
        <v>1361</v>
      </c>
      <c r="H1028" s="804">
        <v>151</v>
      </c>
      <c r="I1028" s="178">
        <f t="shared" si="141"/>
        <v>6.9389874592736579E-3</v>
      </c>
      <c r="J1028" s="39">
        <f t="shared" si="140"/>
        <v>15.745464613461635</v>
      </c>
      <c r="K1028" s="37">
        <f t="shared" si="139"/>
        <v>5.7896073383698434</v>
      </c>
      <c r="L1028" s="39">
        <v>6.0014935998295105</v>
      </c>
      <c r="M1028" s="39">
        <f>I1028*376.38</f>
        <v>2.6116960999214194</v>
      </c>
      <c r="N1028" s="39">
        <f t="shared" si="142"/>
        <v>3.1836575458042105</v>
      </c>
      <c r="O1028" s="94">
        <f t="shared" si="135"/>
        <v>0.24610825838026457</v>
      </c>
    </row>
    <row r="1029" spans="1:15" s="6" customFormat="1" ht="15.75">
      <c r="A1029" s="285">
        <v>149</v>
      </c>
      <c r="B1029" s="329" t="s">
        <v>985</v>
      </c>
      <c r="C1029" s="803">
        <v>245.6</v>
      </c>
      <c r="D1029" s="391">
        <v>29.9</v>
      </c>
      <c r="E1029" s="804"/>
      <c r="F1029" s="61">
        <f t="shared" si="138"/>
        <v>275.5</v>
      </c>
      <c r="G1029" s="8" t="s">
        <v>1361</v>
      </c>
      <c r="H1029" s="804">
        <v>186</v>
      </c>
      <c r="I1029" s="178">
        <f t="shared" si="141"/>
        <v>8.547362035926492E-3</v>
      </c>
      <c r="J1029" s="39">
        <f t="shared" si="140"/>
        <v>19.395075616581881</v>
      </c>
      <c r="K1029" s="37">
        <f t="shared" si="139"/>
        <v>7.131569304217158</v>
      </c>
      <c r="L1029" s="39">
        <v>7.3925682752866813</v>
      </c>
      <c r="M1029" s="39">
        <f t="shared" si="143"/>
        <v>5.8198988102623481</v>
      </c>
      <c r="N1029" s="39">
        <f t="shared" si="142"/>
        <v>7.0944566497098025</v>
      </c>
      <c r="O1029" s="94">
        <f t="shared" si="135"/>
        <v>0.14424360074899478</v>
      </c>
    </row>
    <row r="1030" spans="1:15" s="6" customFormat="1" ht="15.75">
      <c r="A1030" s="285">
        <v>150</v>
      </c>
      <c r="B1030" s="329" t="s">
        <v>986</v>
      </c>
      <c r="C1030" s="803">
        <v>189.1</v>
      </c>
      <c r="D1030" s="391"/>
      <c r="E1030" s="804"/>
      <c r="F1030" s="61">
        <f t="shared" si="138"/>
        <v>189.1</v>
      </c>
      <c r="G1030" s="361" t="s">
        <v>1361</v>
      </c>
      <c r="H1030" s="804">
        <v>132</v>
      </c>
      <c r="I1030" s="178">
        <f t="shared" si="141"/>
        <v>6.0658698319478333E-3</v>
      </c>
      <c r="J1030" s="39">
        <f t="shared" si="140"/>
        <v>13.764247211767788</v>
      </c>
      <c r="K1030" s="37">
        <f t="shared" si="139"/>
        <v>5.0611136997670165</v>
      </c>
      <c r="L1030" s="39">
        <v>5.2463387760099032</v>
      </c>
      <c r="M1030" s="39">
        <f t="shared" si="143"/>
        <v>4.1302507685732799</v>
      </c>
      <c r="N1030" s="39">
        <f t="shared" si="142"/>
        <v>5.0347756868908284</v>
      </c>
      <c r="O1030" s="94">
        <f t="shared" si="135"/>
        <v>0.14913776021215225</v>
      </c>
    </row>
    <row r="1031" spans="1:15" s="6" customFormat="1" ht="15.75">
      <c r="A1031" s="285">
        <v>151</v>
      </c>
      <c r="B1031" s="329" t="s">
        <v>987</v>
      </c>
      <c r="C1031" s="803">
        <v>590.4</v>
      </c>
      <c r="D1031" s="391"/>
      <c r="E1031" s="804"/>
      <c r="F1031" s="61">
        <f t="shared" si="138"/>
        <v>590.4</v>
      </c>
      <c r="G1031" s="19" t="s">
        <v>1342</v>
      </c>
      <c r="H1031" s="804">
        <v>462</v>
      </c>
      <c r="I1031" s="178">
        <f t="shared" si="141"/>
        <v>2.1230544411817417E-2</v>
      </c>
      <c r="J1031" s="39">
        <f t="shared" si="140"/>
        <v>48.174865241187256</v>
      </c>
      <c r="K1031" s="37">
        <f t="shared" si="139"/>
        <v>17.713897949184556</v>
      </c>
      <c r="L1031" s="39">
        <v>18.362185716034663</v>
      </c>
      <c r="M1031" s="39">
        <f>I1031*1680.9</f>
        <v>35.686422101823901</v>
      </c>
      <c r="N1031" s="39">
        <f t="shared" si="142"/>
        <v>43.501748542123337</v>
      </c>
      <c r="O1031" s="94">
        <f t="shared" ref="O1031:O1094" si="144">(M1031+L1031+K1031+J1031)/F1031</f>
        <v>0.20314595360472626</v>
      </c>
    </row>
    <row r="1032" spans="1:15" s="6" customFormat="1" ht="15.75">
      <c r="A1032" s="285">
        <v>152</v>
      </c>
      <c r="B1032" s="329" t="s">
        <v>988</v>
      </c>
      <c r="C1032" s="803">
        <v>761.4</v>
      </c>
      <c r="D1032" s="391"/>
      <c r="E1032" s="804"/>
      <c r="F1032" s="61">
        <f t="shared" si="138"/>
        <v>761.4</v>
      </c>
      <c r="G1032" s="361" t="s">
        <v>1361</v>
      </c>
      <c r="H1032" s="804">
        <v>513</v>
      </c>
      <c r="I1032" s="178">
        <f t="shared" si="141"/>
        <v>2.3574175937797263E-2</v>
      </c>
      <c r="J1032" s="39">
        <f t="shared" si="140"/>
        <v>53.492869845733907</v>
      </c>
      <c r="K1032" s="37">
        <f t="shared" si="139"/>
        <v>19.669328242276357</v>
      </c>
      <c r="L1032" s="39">
        <v>20.389180243129395</v>
      </c>
      <c r="M1032" s="39">
        <f>I1032*1680.9</f>
        <v>39.62583233384342</v>
      </c>
      <c r="N1032" s="39">
        <f t="shared" si="142"/>
        <v>48.303889614955132</v>
      </c>
      <c r="O1032" s="94">
        <f t="shared" si="144"/>
        <v>0.17491096751376817</v>
      </c>
    </row>
    <row r="1033" spans="1:15" s="6" customFormat="1" ht="15.75">
      <c r="A1033" s="285">
        <v>153</v>
      </c>
      <c r="B1033" s="329" t="s">
        <v>989</v>
      </c>
      <c r="C1033" s="803">
        <v>538.82000000000005</v>
      </c>
      <c r="D1033" s="391"/>
      <c r="E1033" s="804">
        <v>38.299999999999997</v>
      </c>
      <c r="F1033" s="61">
        <f t="shared" si="138"/>
        <v>577.12</v>
      </c>
      <c r="G1033" s="19" t="s">
        <v>1342</v>
      </c>
      <c r="H1033" s="804">
        <v>298</v>
      </c>
      <c r="I1033" s="178">
        <f t="shared" si="141"/>
        <v>1.3694160681215563E-2</v>
      </c>
      <c r="J1033" s="39">
        <f t="shared" si="140"/>
        <v>31.073830826566674</v>
      </c>
      <c r="K1033" s="37">
        <f t="shared" si="139"/>
        <v>11.425847594928566</v>
      </c>
      <c r="L1033" s="39">
        <v>11.844007236749629</v>
      </c>
      <c r="M1033" s="39">
        <f t="shared" si="143"/>
        <v>9.3243540078396769</v>
      </c>
      <c r="N1033" s="39">
        <f t="shared" si="142"/>
        <v>11.366387535556568</v>
      </c>
      <c r="O1033" s="94">
        <f t="shared" si="144"/>
        <v>0.11032027943250027</v>
      </c>
    </row>
    <row r="1034" spans="1:15" s="6" customFormat="1" ht="15.75">
      <c r="A1034" s="285">
        <v>154</v>
      </c>
      <c r="B1034" s="329" t="s">
        <v>990</v>
      </c>
      <c r="C1034" s="803">
        <v>102.8</v>
      </c>
      <c r="D1034" s="391"/>
      <c r="E1034" s="808">
        <v>34</v>
      </c>
      <c r="F1034" s="61">
        <f t="shared" si="138"/>
        <v>136.80000000000001</v>
      </c>
      <c r="G1034" s="361" t="s">
        <v>1361</v>
      </c>
      <c r="H1034" s="804">
        <v>112</v>
      </c>
      <c r="I1034" s="178">
        <f t="shared" si="141"/>
        <v>5.1467986452890706E-3</v>
      </c>
      <c r="J1034" s="39">
        <f t="shared" si="140"/>
        <v>11.678755209984789</v>
      </c>
      <c r="K1034" s="37">
        <f t="shared" si="139"/>
        <v>4.2942782907114072</v>
      </c>
      <c r="L1034" s="39">
        <v>4.4514389614629488</v>
      </c>
      <c r="M1034" s="39">
        <f t="shared" si="143"/>
        <v>3.5044551975773279</v>
      </c>
      <c r="N1034" s="39">
        <f t="shared" si="142"/>
        <v>4.2719308858467633</v>
      </c>
      <c r="O1034" s="94">
        <f t="shared" si="144"/>
        <v>0.17491906184017889</v>
      </c>
    </row>
    <row r="1035" spans="1:15" s="6" customFormat="1" ht="15.75">
      <c r="A1035" s="285">
        <v>155</v>
      </c>
      <c r="B1035" s="329" t="s">
        <v>991</v>
      </c>
      <c r="C1035" s="803">
        <v>578</v>
      </c>
      <c r="D1035" s="391"/>
      <c r="E1035" s="804"/>
      <c r="F1035" s="61">
        <f t="shared" si="138"/>
        <v>578</v>
      </c>
      <c r="G1035" s="361" t="s">
        <v>1361</v>
      </c>
      <c r="H1035" s="804">
        <v>377</v>
      </c>
      <c r="I1035" s="178">
        <f t="shared" si="141"/>
        <v>1.7324491868517675E-2</v>
      </c>
      <c r="J1035" s="39">
        <f t="shared" si="140"/>
        <v>39.311524233609518</v>
      </c>
      <c r="K1035" s="37">
        <f t="shared" si="139"/>
        <v>14.45484746069822</v>
      </c>
      <c r="L1035" s="39">
        <v>14.983861504210102</v>
      </c>
      <c r="M1035" s="39">
        <f t="shared" si="143"/>
        <v>11.796246513273685</v>
      </c>
      <c r="N1035" s="39">
        <f t="shared" si="142"/>
        <v>14.379624499680624</v>
      </c>
      <c r="O1035" s="94">
        <f t="shared" si="144"/>
        <v>0.139353771127667</v>
      </c>
    </row>
    <row r="1036" spans="1:15" s="6" customFormat="1" ht="15.75">
      <c r="A1036" s="285">
        <v>156</v>
      </c>
      <c r="B1036" s="329" t="s">
        <v>992</v>
      </c>
      <c r="C1036" s="803">
        <v>150</v>
      </c>
      <c r="D1036" s="391"/>
      <c r="E1036" s="804"/>
      <c r="F1036" s="61">
        <f t="shared" si="138"/>
        <v>150</v>
      </c>
      <c r="G1036" s="19" t="s">
        <v>1342</v>
      </c>
      <c r="H1036" s="804">
        <v>228</v>
      </c>
      <c r="I1036" s="178">
        <f t="shared" si="141"/>
        <v>1.0477411527909894E-2</v>
      </c>
      <c r="J1036" s="39">
        <f t="shared" si="140"/>
        <v>23.774608820326179</v>
      </c>
      <c r="K1036" s="37">
        <f t="shared" si="139"/>
        <v>8.741923663233937</v>
      </c>
      <c r="L1036" s="39">
        <v>9.0618578858352876</v>
      </c>
      <c r="M1036" s="39">
        <f t="shared" si="143"/>
        <v>7.1340695093538464</v>
      </c>
      <c r="N1036" s="39">
        <f t="shared" si="142"/>
        <v>8.6964307319023391</v>
      </c>
      <c r="O1036" s="94">
        <f t="shared" si="144"/>
        <v>0.32474973252499501</v>
      </c>
    </row>
    <row r="1037" spans="1:15" s="6" customFormat="1" ht="15.75">
      <c r="A1037" s="285">
        <v>157</v>
      </c>
      <c r="B1037" s="329" t="s">
        <v>993</v>
      </c>
      <c r="C1037" s="803">
        <v>106.6</v>
      </c>
      <c r="D1037" s="391"/>
      <c r="E1037" s="804"/>
      <c r="F1037" s="61">
        <f t="shared" si="138"/>
        <v>106.6</v>
      </c>
      <c r="G1037" s="361" t="s">
        <v>1361</v>
      </c>
      <c r="H1037" s="804">
        <v>174</v>
      </c>
      <c r="I1037" s="178">
        <f t="shared" si="141"/>
        <v>7.9959193239312349E-3</v>
      </c>
      <c r="J1037" s="39">
        <f t="shared" si="140"/>
        <v>18.143780415512083</v>
      </c>
      <c r="K1037" s="37">
        <f t="shared" si="139"/>
        <v>6.6714680587837938</v>
      </c>
      <c r="L1037" s="39">
        <v>6.9156283865585086</v>
      </c>
      <c r="M1037" s="39">
        <f t="shared" si="143"/>
        <v>5.4444214676647773</v>
      </c>
      <c r="N1037" s="39">
        <f t="shared" si="142"/>
        <v>6.6367497690833641</v>
      </c>
      <c r="O1037" s="94">
        <f t="shared" si="144"/>
        <v>0.34873638206866009</v>
      </c>
    </row>
    <row r="1038" spans="1:15" s="6" customFormat="1" ht="15.75">
      <c r="A1038" s="285">
        <v>158</v>
      </c>
      <c r="B1038" s="329" t="s">
        <v>994</v>
      </c>
      <c r="C1038" s="803">
        <v>128.4</v>
      </c>
      <c r="D1038" s="391"/>
      <c r="E1038" s="804"/>
      <c r="F1038" s="61">
        <f t="shared" si="138"/>
        <v>128.4</v>
      </c>
      <c r="G1038" s="361" t="s">
        <v>1361</v>
      </c>
      <c r="H1038" s="804">
        <v>207</v>
      </c>
      <c r="I1038" s="178">
        <f t="shared" si="141"/>
        <v>9.5123867819181928E-3</v>
      </c>
      <c r="J1038" s="39">
        <f t="shared" si="140"/>
        <v>21.584842218454028</v>
      </c>
      <c r="K1038" s="37">
        <f t="shared" si="139"/>
        <v>7.936746483725547</v>
      </c>
      <c r="L1038" s="39">
        <v>8.2272130805609844</v>
      </c>
      <c r="M1038" s="39">
        <f t="shared" si="143"/>
        <v>6.4769841598080973</v>
      </c>
      <c r="N1038" s="39">
        <f t="shared" si="142"/>
        <v>7.8954436908060712</v>
      </c>
      <c r="O1038" s="94">
        <f t="shared" si="144"/>
        <v>0.34443758522234152</v>
      </c>
    </row>
    <row r="1039" spans="1:15" s="6" customFormat="1" ht="15.75">
      <c r="A1039" s="285">
        <v>159</v>
      </c>
      <c r="B1039" s="329" t="s">
        <v>995</v>
      </c>
      <c r="C1039" s="803">
        <v>57.7</v>
      </c>
      <c r="D1039" s="391"/>
      <c r="E1039" s="804"/>
      <c r="F1039" s="61">
        <f t="shared" si="138"/>
        <v>57.7</v>
      </c>
      <c r="G1039" s="361" t="s">
        <v>1361</v>
      </c>
      <c r="H1039" s="804">
        <v>73</v>
      </c>
      <c r="I1039" s="178">
        <f t="shared" si="141"/>
        <v>3.3546098313044837E-3</v>
      </c>
      <c r="J1039" s="39">
        <f t="shared" si="140"/>
        <v>7.6120458065079433</v>
      </c>
      <c r="K1039" s="37">
        <f t="shared" si="139"/>
        <v>2.798949243052971</v>
      </c>
      <c r="L1039" s="39">
        <v>2.9013843230963858</v>
      </c>
      <c r="M1039" s="39">
        <f>I1039*1680.9</f>
        <v>5.6387636654397069</v>
      </c>
      <c r="N1039" s="39">
        <f t="shared" si="142"/>
        <v>6.8736529081710032</v>
      </c>
      <c r="O1039" s="94">
        <f t="shared" si="144"/>
        <v>0.32844268696875228</v>
      </c>
    </row>
    <row r="1040" spans="1:15" s="6" customFormat="1" ht="15.75">
      <c r="A1040" s="285">
        <v>160</v>
      </c>
      <c r="B1040" s="329" t="s">
        <v>996</v>
      </c>
      <c r="C1040" s="803">
        <v>221.8</v>
      </c>
      <c r="D1040" s="804"/>
      <c r="E1040" s="391">
        <v>34.700000000000003</v>
      </c>
      <c r="F1040" s="61">
        <f t="shared" si="138"/>
        <v>256.5</v>
      </c>
      <c r="G1040" s="361" t="s">
        <v>1361</v>
      </c>
      <c r="H1040" s="804">
        <v>235</v>
      </c>
      <c r="I1040" s="178">
        <f t="shared" si="141"/>
        <v>1.0799086443240461E-2</v>
      </c>
      <c r="J1040" s="39">
        <f t="shared" si="140"/>
        <v>24.504531020950228</v>
      </c>
      <c r="K1040" s="37">
        <f t="shared" si="139"/>
        <v>9.0103160564033988</v>
      </c>
      <c r="L1040" s="39">
        <v>9.3400728209267214</v>
      </c>
      <c r="M1040" s="39">
        <f t="shared" si="143"/>
        <v>7.3530979592024295</v>
      </c>
      <c r="N1040" s="39">
        <f t="shared" si="142"/>
        <v>8.9634264122677614</v>
      </c>
      <c r="O1040" s="94">
        <f t="shared" si="144"/>
        <v>0.19574275967829541</v>
      </c>
    </row>
    <row r="1041" spans="1:15" s="6" customFormat="1" ht="15.75">
      <c r="A1041" s="285">
        <v>161</v>
      </c>
      <c r="B1041" s="329" t="s">
        <v>997</v>
      </c>
      <c r="C1041" s="803">
        <v>90.7</v>
      </c>
      <c r="D1041" s="804"/>
      <c r="E1041" s="391">
        <v>27.8</v>
      </c>
      <c r="F1041" s="61">
        <f t="shared" si="138"/>
        <v>118.5</v>
      </c>
      <c r="G1041" s="361" t="s">
        <v>1361</v>
      </c>
      <c r="H1041" s="804">
        <v>172</v>
      </c>
      <c r="I1041" s="178">
        <f t="shared" si="141"/>
        <v>7.9040122052653587E-3</v>
      </c>
      <c r="J1041" s="39">
        <f t="shared" si="140"/>
        <v>17.935231215333783</v>
      </c>
      <c r="K1041" s="37">
        <f t="shared" si="139"/>
        <v>6.5947845178782325</v>
      </c>
      <c r="L1041" s="39">
        <v>6.8361384051038137</v>
      </c>
      <c r="M1041" s="39">
        <f t="shared" si="143"/>
        <v>5.3818419105651829</v>
      </c>
      <c r="N1041" s="39">
        <f t="shared" si="142"/>
        <v>6.5604652889789588</v>
      </c>
      <c r="O1041" s="94">
        <f t="shared" si="144"/>
        <v>0.31010967129857392</v>
      </c>
    </row>
    <row r="1042" spans="1:15" s="6" customFormat="1" ht="15.75">
      <c r="A1042" s="285">
        <v>162</v>
      </c>
      <c r="B1042" s="329" t="s">
        <v>998</v>
      </c>
      <c r="C1042" s="803">
        <v>142.1</v>
      </c>
      <c r="D1042" s="391"/>
      <c r="E1042" s="804"/>
      <c r="F1042" s="61">
        <f t="shared" si="138"/>
        <v>142.1</v>
      </c>
      <c r="G1042" s="361" t="s">
        <v>1361</v>
      </c>
      <c r="H1042" s="804">
        <v>158</v>
      </c>
      <c r="I1042" s="178">
        <f t="shared" si="141"/>
        <v>7.2606623746042246E-3</v>
      </c>
      <c r="J1042" s="39">
        <f t="shared" si="140"/>
        <v>16.475386814085685</v>
      </c>
      <c r="K1042" s="37">
        <f t="shared" si="139"/>
        <v>6.057999731539307</v>
      </c>
      <c r="L1042" s="39">
        <v>6.2797085349209452</v>
      </c>
      <c r="M1042" s="39">
        <f t="shared" si="143"/>
        <v>4.9437850108680159</v>
      </c>
      <c r="N1042" s="39">
        <f t="shared" si="142"/>
        <v>6.0264739282481115</v>
      </c>
      <c r="O1042" s="94">
        <f t="shared" si="144"/>
        <v>0.23755721387342685</v>
      </c>
    </row>
    <row r="1043" spans="1:15" s="6" customFormat="1" ht="15.75">
      <c r="A1043" s="285">
        <v>163</v>
      </c>
      <c r="B1043" s="329" t="s">
        <v>999</v>
      </c>
      <c r="C1043" s="803">
        <v>259.7</v>
      </c>
      <c r="D1043" s="391"/>
      <c r="E1043" s="804"/>
      <c r="F1043" s="61">
        <f t="shared" si="138"/>
        <v>259.7</v>
      </c>
      <c r="G1043" s="19" t="s">
        <v>1342</v>
      </c>
      <c r="H1043" s="804">
        <v>242</v>
      </c>
      <c r="I1043" s="178">
        <f t="shared" si="141"/>
        <v>1.1120761358571029E-2</v>
      </c>
      <c r="J1043" s="39">
        <f t="shared" si="140"/>
        <v>25.234453221574281</v>
      </c>
      <c r="K1043" s="37">
        <f t="shared" si="139"/>
        <v>9.2787084495728642</v>
      </c>
      <c r="L1043" s="39">
        <v>9.618287756018157</v>
      </c>
      <c r="M1043" s="39">
        <f t="shared" si="143"/>
        <v>7.5721264090510134</v>
      </c>
      <c r="N1043" s="39">
        <f t="shared" si="142"/>
        <v>9.2304220926331855</v>
      </c>
      <c r="O1043" s="94">
        <f t="shared" si="144"/>
        <v>0.19908962586144135</v>
      </c>
    </row>
    <row r="1044" spans="1:15" s="6" customFormat="1" ht="15.75">
      <c r="A1044" s="285">
        <v>164</v>
      </c>
      <c r="B1044" s="329" t="s">
        <v>1000</v>
      </c>
      <c r="C1044" s="803">
        <v>204.3</v>
      </c>
      <c r="D1044" s="804"/>
      <c r="E1044" s="391">
        <v>105.1</v>
      </c>
      <c r="F1044" s="61">
        <f t="shared" si="138"/>
        <v>309.39999999999998</v>
      </c>
      <c r="G1044" s="361" t="s">
        <v>1361</v>
      </c>
      <c r="H1044" s="804">
        <v>239</v>
      </c>
      <c r="I1044" s="178">
        <f t="shared" si="141"/>
        <v>1.0982900680572213E-2</v>
      </c>
      <c r="J1044" s="39">
        <f t="shared" si="140"/>
        <v>24.921629421306829</v>
      </c>
      <c r="K1044" s="37">
        <f t="shared" si="139"/>
        <v>9.1636831382145214</v>
      </c>
      <c r="L1044" s="39">
        <v>9.4990527838361132</v>
      </c>
      <c r="M1044" s="39">
        <f>I1044*376.38</f>
        <v>4.1337441581537693</v>
      </c>
      <c r="N1044" s="39">
        <f t="shared" si="142"/>
        <v>5.0390341287894449</v>
      </c>
      <c r="O1044" s="94">
        <f t="shared" si="144"/>
        <v>0.15422789108439314</v>
      </c>
    </row>
    <row r="1045" spans="1:15" s="6" customFormat="1" ht="15.75">
      <c r="A1045" s="285">
        <v>165</v>
      </c>
      <c r="B1045" s="329" t="s">
        <v>1001</v>
      </c>
      <c r="C1045" s="803">
        <v>432.1</v>
      </c>
      <c r="D1045" s="391"/>
      <c r="E1045" s="804"/>
      <c r="F1045" s="61">
        <f t="shared" si="138"/>
        <v>432.1</v>
      </c>
      <c r="G1045" s="8" t="s">
        <v>1342</v>
      </c>
      <c r="H1045" s="804">
        <v>430</v>
      </c>
      <c r="I1045" s="178">
        <f t="shared" si="141"/>
        <v>1.9760030513163399E-2</v>
      </c>
      <c r="J1045" s="39">
        <f t="shared" si="140"/>
        <v>44.838078038334466</v>
      </c>
      <c r="K1045" s="37">
        <f t="shared" si="139"/>
        <v>16.486961294695583</v>
      </c>
      <c r="L1045" s="39">
        <v>17.090346012759536</v>
      </c>
      <c r="M1045" s="39">
        <f t="shared" si="143"/>
        <v>13.454604776412957</v>
      </c>
      <c r="N1045" s="39">
        <f t="shared" si="142"/>
        <v>16.401163222447394</v>
      </c>
      <c r="O1045" s="94">
        <f t="shared" si="144"/>
        <v>0.21261279824624518</v>
      </c>
    </row>
    <row r="1046" spans="1:15" s="6" customFormat="1" ht="15.75">
      <c r="A1046" s="285">
        <v>166</v>
      </c>
      <c r="B1046" s="329" t="s">
        <v>1002</v>
      </c>
      <c r="C1046" s="803">
        <v>164.2</v>
      </c>
      <c r="D1046" s="804"/>
      <c r="E1046" s="391">
        <v>77.7</v>
      </c>
      <c r="F1046" s="61">
        <f t="shared" si="138"/>
        <v>241.89999999999998</v>
      </c>
      <c r="G1046" s="8" t="s">
        <v>1342</v>
      </c>
      <c r="H1046" s="804">
        <v>247</v>
      </c>
      <c r="I1046" s="178">
        <f t="shared" si="141"/>
        <v>1.1350529155235718E-2</v>
      </c>
      <c r="J1046" s="39">
        <f t="shared" si="140"/>
        <v>25.755826222020026</v>
      </c>
      <c r="K1046" s="37">
        <f t="shared" si="139"/>
        <v>9.4704173018367648</v>
      </c>
      <c r="L1046" s="39">
        <v>9.8170127096548949</v>
      </c>
      <c r="M1046" s="39">
        <f t="shared" si="143"/>
        <v>7.7285753018000003</v>
      </c>
      <c r="N1046" s="39">
        <f t="shared" si="142"/>
        <v>9.4211332928942007</v>
      </c>
      <c r="O1046" s="94">
        <f t="shared" si="144"/>
        <v>0.21815556649570772</v>
      </c>
    </row>
    <row r="1047" spans="1:15" s="6" customFormat="1" ht="15.75">
      <c r="A1047" s="285">
        <v>167</v>
      </c>
      <c r="B1047" s="329" t="s">
        <v>1003</v>
      </c>
      <c r="C1047" s="803">
        <v>278.3</v>
      </c>
      <c r="D1047" s="391"/>
      <c r="E1047" s="804"/>
      <c r="F1047" s="61">
        <f t="shared" si="138"/>
        <v>278.3</v>
      </c>
      <c r="G1047" s="361" t="s">
        <v>1361</v>
      </c>
      <c r="H1047" s="804">
        <v>276</v>
      </c>
      <c r="I1047" s="178">
        <f t="shared" si="141"/>
        <v>1.2683182375890924E-2</v>
      </c>
      <c r="J1047" s="39">
        <f t="shared" si="140"/>
        <v>28.779789624605375</v>
      </c>
      <c r="K1047" s="37">
        <f t="shared" si="139"/>
        <v>10.582328644967397</v>
      </c>
      <c r="L1047" s="39">
        <v>10.96961744074798</v>
      </c>
      <c r="M1047" s="39">
        <f t="shared" si="143"/>
        <v>8.6359788797441297</v>
      </c>
      <c r="N1047" s="39">
        <f t="shared" si="142"/>
        <v>10.527258254408094</v>
      </c>
      <c r="O1047" s="94">
        <f t="shared" si="144"/>
        <v>0.21188542791974446</v>
      </c>
    </row>
    <row r="1048" spans="1:15" s="6" customFormat="1" ht="15.75">
      <c r="A1048" s="285">
        <v>168</v>
      </c>
      <c r="B1048" s="329" t="s">
        <v>1004</v>
      </c>
      <c r="C1048" s="806">
        <v>150</v>
      </c>
      <c r="D1048" s="391"/>
      <c r="E1048" s="804"/>
      <c r="F1048" s="61">
        <f t="shared" si="138"/>
        <v>150</v>
      </c>
      <c r="G1048" s="361" t="s">
        <v>1361</v>
      </c>
      <c r="H1048" s="804">
        <v>192</v>
      </c>
      <c r="I1048" s="178">
        <f t="shared" si="141"/>
        <v>8.8230833919241206E-3</v>
      </c>
      <c r="J1048" s="39">
        <f t="shared" si="140"/>
        <v>20.020723217116782</v>
      </c>
      <c r="K1048" s="37">
        <f t="shared" si="139"/>
        <v>7.3616199269338409</v>
      </c>
      <c r="L1048" s="39">
        <v>7.631038219650768</v>
      </c>
      <c r="M1048" s="39">
        <f t="shared" si="143"/>
        <v>6.0076374815611331</v>
      </c>
      <c r="N1048" s="39">
        <f t="shared" si="142"/>
        <v>7.3233100900230221</v>
      </c>
      <c r="O1048" s="94">
        <f t="shared" si="144"/>
        <v>0.27347345896841685</v>
      </c>
    </row>
    <row r="1049" spans="1:15" s="6" customFormat="1" ht="15.75">
      <c r="A1049" s="285">
        <v>169</v>
      </c>
      <c r="B1049" s="329" t="s">
        <v>1005</v>
      </c>
      <c r="C1049" s="803">
        <v>140.6</v>
      </c>
      <c r="D1049" s="391"/>
      <c r="E1049" s="804"/>
      <c r="F1049" s="61">
        <f t="shared" si="138"/>
        <v>140.6</v>
      </c>
      <c r="G1049" s="361" t="s">
        <v>1361</v>
      </c>
      <c r="H1049" s="804">
        <v>143</v>
      </c>
      <c r="I1049" s="178">
        <f t="shared" si="141"/>
        <v>6.5713589846101532E-3</v>
      </c>
      <c r="J1049" s="39">
        <f t="shared" si="140"/>
        <v>14.911267812748438</v>
      </c>
      <c r="K1049" s="37">
        <f t="shared" si="139"/>
        <v>5.4828731747476009</v>
      </c>
      <c r="L1049" s="39">
        <v>5.6835336740107278</v>
      </c>
      <c r="M1049" s="39">
        <f t="shared" si="143"/>
        <v>4.4744383326210535</v>
      </c>
      <c r="N1049" s="39">
        <f t="shared" si="142"/>
        <v>5.454340327465065</v>
      </c>
      <c r="O1049" s="94">
        <f t="shared" si="144"/>
        <v>0.21729810095396743</v>
      </c>
    </row>
    <row r="1050" spans="1:15" s="6" customFormat="1" ht="15.75">
      <c r="A1050" s="285">
        <v>170</v>
      </c>
      <c r="B1050" s="329" t="s">
        <v>1006</v>
      </c>
      <c r="C1050" s="803">
        <v>209.1</v>
      </c>
      <c r="D1050" s="391"/>
      <c r="E1050" s="804"/>
      <c r="F1050" s="61">
        <f t="shared" si="138"/>
        <v>209.1</v>
      </c>
      <c r="G1050" s="361" t="s">
        <v>1361</v>
      </c>
      <c r="H1050" s="804">
        <v>180</v>
      </c>
      <c r="I1050" s="178">
        <f t="shared" si="141"/>
        <v>8.2716406799288635E-3</v>
      </c>
      <c r="J1050" s="39">
        <f t="shared" si="140"/>
        <v>18.769428016046984</v>
      </c>
      <c r="K1050" s="37">
        <f t="shared" si="139"/>
        <v>6.9015186815004768</v>
      </c>
      <c r="L1050" s="39">
        <v>7.1540983309225954</v>
      </c>
      <c r="M1050" s="39">
        <f t="shared" si="143"/>
        <v>5.6321601389635632</v>
      </c>
      <c r="N1050" s="39">
        <f t="shared" si="142"/>
        <v>6.8656032093965838</v>
      </c>
      <c r="O1050" s="94">
        <f t="shared" si="144"/>
        <v>0.1839177674195773</v>
      </c>
    </row>
    <row r="1051" spans="1:15" s="6" customFormat="1" ht="15.75">
      <c r="A1051" s="285">
        <v>171</v>
      </c>
      <c r="B1051" s="329" t="s">
        <v>1007</v>
      </c>
      <c r="C1051" s="803">
        <v>463.5</v>
      </c>
      <c r="D1051" s="391"/>
      <c r="E1051" s="804"/>
      <c r="F1051" s="61">
        <f t="shared" si="138"/>
        <v>463.5</v>
      </c>
      <c r="G1051" s="361" t="s">
        <v>1361</v>
      </c>
      <c r="H1051" s="804">
        <v>115</v>
      </c>
      <c r="I1051" s="178">
        <f t="shared" si="141"/>
        <v>5.2846593232878849E-3</v>
      </c>
      <c r="J1051" s="39">
        <f t="shared" si="140"/>
        <v>11.991579010252238</v>
      </c>
      <c r="K1051" s="37">
        <f t="shared" si="139"/>
        <v>4.4093036020697483</v>
      </c>
      <c r="L1051" s="39">
        <v>4.5706739336449917</v>
      </c>
      <c r="M1051" s="39">
        <f>I1051*1680.9</f>
        <v>8.8829838565146062</v>
      </c>
      <c r="N1051" s="39">
        <f t="shared" si="142"/>
        <v>10.828357321091305</v>
      </c>
      <c r="O1051" s="94">
        <f t="shared" si="144"/>
        <v>6.4411090404491014E-2</v>
      </c>
    </row>
    <row r="1052" spans="1:15" s="6" customFormat="1" ht="15.75">
      <c r="A1052" s="285">
        <v>172</v>
      </c>
      <c r="B1052" s="329" t="s">
        <v>1008</v>
      </c>
      <c r="C1052" s="803">
        <v>126</v>
      </c>
      <c r="D1052" s="391"/>
      <c r="E1052" s="804"/>
      <c r="F1052" s="61">
        <f t="shared" si="138"/>
        <v>126</v>
      </c>
      <c r="G1052" s="8" t="s">
        <v>1342</v>
      </c>
      <c r="H1052" s="804">
        <v>145</v>
      </c>
      <c r="I1052" s="178">
        <f t="shared" si="141"/>
        <v>6.6632661032760294E-3</v>
      </c>
      <c r="J1052" s="39">
        <f t="shared" si="140"/>
        <v>15.119817012926736</v>
      </c>
      <c r="K1052" s="37">
        <f t="shared" si="139"/>
        <v>5.5595567156531613</v>
      </c>
      <c r="L1052" s="39">
        <v>5.7630236554654237</v>
      </c>
      <c r="M1052" s="39">
        <f>I1052*1680.9</f>
        <v>11.200283992996678</v>
      </c>
      <c r="N1052" s="39">
        <f t="shared" si="142"/>
        <v>13.653146187462951</v>
      </c>
      <c r="O1052" s="94">
        <f t="shared" si="144"/>
        <v>0.29875143950033334</v>
      </c>
    </row>
    <row r="1053" spans="1:15" s="6" customFormat="1" ht="15.75">
      <c r="A1053" s="285">
        <v>173</v>
      </c>
      <c r="B1053" s="329" t="s">
        <v>1009</v>
      </c>
      <c r="C1053" s="803">
        <v>725.1</v>
      </c>
      <c r="D1053" s="391"/>
      <c r="E1053" s="804"/>
      <c r="F1053" s="61">
        <f t="shared" si="138"/>
        <v>725.1</v>
      </c>
      <c r="G1053" s="8" t="s">
        <v>1342</v>
      </c>
      <c r="H1053" s="804">
        <v>460</v>
      </c>
      <c r="I1053" s="178">
        <f t="shared" si="141"/>
        <v>2.113863729315154E-2</v>
      </c>
      <c r="J1053" s="39">
        <f t="shared" si="140"/>
        <v>47.966316041008952</v>
      </c>
      <c r="K1053" s="37">
        <f t="shared" si="139"/>
        <v>17.637214408278993</v>
      </c>
      <c r="L1053" s="39">
        <v>18.282695734579967</v>
      </c>
      <c r="M1053" s="39">
        <f t="shared" si="143"/>
        <v>14.393298132906883</v>
      </c>
      <c r="N1053" s="39">
        <f t="shared" si="142"/>
        <v>17.545430424013492</v>
      </c>
      <c r="O1053" s="94">
        <f t="shared" si="144"/>
        <v>0.13553926950320616</v>
      </c>
    </row>
    <row r="1054" spans="1:15" s="6" customFormat="1" ht="15.75">
      <c r="A1054" s="285">
        <v>174</v>
      </c>
      <c r="B1054" s="329" t="s">
        <v>1359</v>
      </c>
      <c r="C1054" s="803">
        <v>466.88</v>
      </c>
      <c r="D1054" s="391"/>
      <c r="E1054" s="804"/>
      <c r="F1054" s="61">
        <f t="shared" si="138"/>
        <v>466.88</v>
      </c>
      <c r="G1054" s="8" t="s">
        <v>1342</v>
      </c>
      <c r="H1054" s="804">
        <v>539.70000000000005</v>
      </c>
      <c r="I1054" s="178">
        <f t="shared" si="141"/>
        <v>2.4801135971986712E-2</v>
      </c>
      <c r="J1054" s="39">
        <f t="shared" si="140"/>
        <v>56.27700166811421</v>
      </c>
      <c r="K1054" s="37">
        <f t="shared" si="139"/>
        <v>20.693053513365598</v>
      </c>
      <c r="L1054" s="39">
        <v>21.450371495549582</v>
      </c>
      <c r="M1054" s="39">
        <f t="shared" si="143"/>
        <v>16.887093483325753</v>
      </c>
      <c r="N1054" s="39">
        <f t="shared" si="142"/>
        <v>20.585366956174095</v>
      </c>
      <c r="O1054" s="94">
        <f t="shared" si="144"/>
        <v>0.24697464050795737</v>
      </c>
    </row>
    <row r="1055" spans="1:15" s="6" customFormat="1" ht="15.75">
      <c r="A1055" s="285">
        <v>175</v>
      </c>
      <c r="B1055" s="329" t="s">
        <v>1010</v>
      </c>
      <c r="C1055" s="803">
        <v>138.1</v>
      </c>
      <c r="D1055" s="391"/>
      <c r="E1055" s="804"/>
      <c r="F1055" s="61">
        <f t="shared" si="138"/>
        <v>138.1</v>
      </c>
      <c r="G1055" s="361" t="s">
        <v>1361</v>
      </c>
      <c r="H1055" s="804">
        <v>136</v>
      </c>
      <c r="I1055" s="178">
        <f t="shared" si="141"/>
        <v>6.2496840692795857E-3</v>
      </c>
      <c r="J1055" s="39">
        <f t="shared" si="140"/>
        <v>14.181345612124387</v>
      </c>
      <c r="K1055" s="37">
        <f t="shared" si="139"/>
        <v>5.2144807815781373</v>
      </c>
      <c r="L1055" s="39">
        <v>5.405318738919294</v>
      </c>
      <c r="M1055" s="39">
        <f t="shared" si="143"/>
        <v>4.2554098827724696</v>
      </c>
      <c r="N1055" s="39">
        <f t="shared" si="142"/>
        <v>5.1873446470996409</v>
      </c>
      <c r="O1055" s="94">
        <f t="shared" si="144"/>
        <v>0.21040228106730116</v>
      </c>
    </row>
    <row r="1056" spans="1:15" s="6" customFormat="1" ht="15.75">
      <c r="A1056" s="285">
        <v>176</v>
      </c>
      <c r="B1056" s="329" t="s">
        <v>1011</v>
      </c>
      <c r="C1056" s="803">
        <v>139.30000000000001</v>
      </c>
      <c r="D1056" s="391"/>
      <c r="E1056" s="804"/>
      <c r="F1056" s="61">
        <f t="shared" si="138"/>
        <v>139.30000000000001</v>
      </c>
      <c r="G1056" s="361" t="s">
        <v>1361</v>
      </c>
      <c r="H1056" s="804">
        <v>110</v>
      </c>
      <c r="I1056" s="178">
        <f t="shared" si="141"/>
        <v>5.0548915266231944E-3</v>
      </c>
      <c r="J1056" s="39">
        <f t="shared" si="140"/>
        <v>11.470206009806489</v>
      </c>
      <c r="K1056" s="37">
        <f t="shared" si="139"/>
        <v>4.2175947498058459</v>
      </c>
      <c r="L1056" s="39">
        <v>4.3719489800082529</v>
      </c>
      <c r="M1056" s="39">
        <f t="shared" si="143"/>
        <v>3.4418756404777331</v>
      </c>
      <c r="N1056" s="39">
        <f t="shared" si="142"/>
        <v>4.195646405742357</v>
      </c>
      <c r="O1056" s="94">
        <f t="shared" si="144"/>
        <v>0.16871231428642008</v>
      </c>
    </row>
    <row r="1057" spans="1:15" s="6" customFormat="1" ht="15.75">
      <c r="A1057" s="285">
        <v>177</v>
      </c>
      <c r="B1057" s="329" t="s">
        <v>1012</v>
      </c>
      <c r="C1057" s="803">
        <v>807</v>
      </c>
      <c r="D1057" s="391"/>
      <c r="E1057" s="804"/>
      <c r="F1057" s="61">
        <f t="shared" si="138"/>
        <v>807</v>
      </c>
      <c r="G1057" s="8" t="s">
        <v>1342</v>
      </c>
      <c r="H1057" s="804">
        <v>700</v>
      </c>
      <c r="I1057" s="178">
        <f t="shared" si="141"/>
        <v>3.2167491533056695E-2</v>
      </c>
      <c r="J1057" s="39">
        <f t="shared" si="140"/>
        <v>72.99222006240494</v>
      </c>
      <c r="K1057" s="37">
        <f t="shared" si="139"/>
        <v>26.839239316946298</v>
      </c>
      <c r="L1057" s="39">
        <v>27.821493509143426</v>
      </c>
      <c r="M1057" s="39">
        <f>I1057*1680.9</f>
        <v>54.070336517915003</v>
      </c>
      <c r="N1057" s="39">
        <f t="shared" si="142"/>
        <v>65.911740215338398</v>
      </c>
      <c r="O1057" s="94">
        <f t="shared" si="144"/>
        <v>0.22518375391128831</v>
      </c>
    </row>
    <row r="1058" spans="1:15" s="6" customFormat="1" ht="15.75">
      <c r="A1058" s="285">
        <v>178</v>
      </c>
      <c r="B1058" s="329" t="s">
        <v>1013</v>
      </c>
      <c r="C1058" s="803">
        <v>1555.2</v>
      </c>
      <c r="D1058" s="391"/>
      <c r="E1058" s="804"/>
      <c r="F1058" s="61">
        <f t="shared" si="138"/>
        <v>1555.2</v>
      </c>
      <c r="G1058" s="8" t="s">
        <v>1342</v>
      </c>
      <c r="H1058" s="804">
        <v>534</v>
      </c>
      <c r="I1058" s="178">
        <f t="shared" si="141"/>
        <v>2.4539200683788964E-2</v>
      </c>
      <c r="J1058" s="39">
        <f t="shared" si="140"/>
        <v>55.68263644760605</v>
      </c>
      <c r="K1058" s="37">
        <f t="shared" si="139"/>
        <v>20.474505421784745</v>
      </c>
      <c r="L1058" s="39">
        <v>21.2238250484037</v>
      </c>
      <c r="M1058" s="39">
        <f t="shared" si="143"/>
        <v>16.708741745591905</v>
      </c>
      <c r="N1058" s="39">
        <f t="shared" si="142"/>
        <v>20.367956187876533</v>
      </c>
      <c r="O1058" s="94">
        <f t="shared" si="144"/>
        <v>7.3360152175531379E-2</v>
      </c>
    </row>
    <row r="1059" spans="1:15" s="6" customFormat="1" ht="15.75">
      <c r="A1059" s="285">
        <v>179</v>
      </c>
      <c r="B1059" s="329" t="s">
        <v>1014</v>
      </c>
      <c r="C1059" s="803">
        <v>1514.3</v>
      </c>
      <c r="D1059" s="391"/>
      <c r="E1059" s="804"/>
      <c r="F1059" s="61">
        <f t="shared" si="138"/>
        <v>1514.3</v>
      </c>
      <c r="G1059" s="8" t="s">
        <v>1342</v>
      </c>
      <c r="H1059" s="804">
        <v>525</v>
      </c>
      <c r="I1059" s="178">
        <f t="shared" si="141"/>
        <v>2.412561864979252E-2</v>
      </c>
      <c r="J1059" s="39">
        <f t="shared" si="140"/>
        <v>54.744165046803701</v>
      </c>
      <c r="K1059" s="37">
        <f t="shared" si="139"/>
        <v>20.129429487709722</v>
      </c>
      <c r="L1059" s="39">
        <v>20.866120131857571</v>
      </c>
      <c r="M1059" s="39">
        <f t="shared" si="143"/>
        <v>16.427133738643725</v>
      </c>
      <c r="N1059" s="39">
        <f t="shared" si="142"/>
        <v>20.024676027406702</v>
      </c>
      <c r="O1059" s="94">
        <f t="shared" si="144"/>
        <v>7.4071748269837367E-2</v>
      </c>
    </row>
    <row r="1060" spans="1:15" s="6" customFormat="1" ht="15.75">
      <c r="A1060" s="285">
        <v>180</v>
      </c>
      <c r="B1060" s="329" t="s">
        <v>1015</v>
      </c>
      <c r="C1060" s="806">
        <v>394</v>
      </c>
      <c r="D1060" s="391"/>
      <c r="E1060" s="804"/>
      <c r="F1060" s="61">
        <f t="shared" si="138"/>
        <v>394</v>
      </c>
      <c r="G1060" s="361" t="s">
        <v>1361</v>
      </c>
      <c r="H1060" s="804">
        <v>256</v>
      </c>
      <c r="I1060" s="178">
        <f t="shared" si="141"/>
        <v>1.1764111189232162E-2</v>
      </c>
      <c r="J1060" s="39">
        <f t="shared" si="140"/>
        <v>26.694297622822376</v>
      </c>
      <c r="K1060" s="37">
        <f t="shared" si="139"/>
        <v>9.8154932359117879</v>
      </c>
      <c r="L1060" s="39">
        <v>10.174717626201025</v>
      </c>
      <c r="M1060" s="39">
        <f t="shared" si="143"/>
        <v>8.0101833087481786</v>
      </c>
      <c r="N1060" s="39">
        <f t="shared" si="142"/>
        <v>9.7644134533640301</v>
      </c>
      <c r="O1060" s="94">
        <f t="shared" si="144"/>
        <v>0.13881901470478011</v>
      </c>
    </row>
    <row r="1061" spans="1:15" s="6" customFormat="1" ht="15.75">
      <c r="A1061" s="285">
        <v>181</v>
      </c>
      <c r="B1061" s="329" t="s">
        <v>1360</v>
      </c>
      <c r="C1061" s="803">
        <v>572.5</v>
      </c>
      <c r="D1061" s="391"/>
      <c r="E1061" s="804"/>
      <c r="F1061" s="61">
        <f t="shared" si="138"/>
        <v>572.5</v>
      </c>
      <c r="G1061" s="361" t="s">
        <v>1361</v>
      </c>
      <c r="H1061" s="804">
        <v>308</v>
      </c>
      <c r="I1061" s="178">
        <f t="shared" si="141"/>
        <v>1.4153696274544944E-2</v>
      </c>
      <c r="J1061" s="39">
        <f t="shared" si="140"/>
        <v>32.116576827458168</v>
      </c>
      <c r="K1061" s="37">
        <f t="shared" si="139"/>
        <v>11.809265299456369</v>
      </c>
      <c r="L1061" s="39">
        <v>12.241457144023109</v>
      </c>
      <c r="M1061" s="39">
        <f t="shared" si="143"/>
        <v>9.6372517933376525</v>
      </c>
      <c r="N1061" s="39">
        <f t="shared" si="142"/>
        <v>11.7478099360786</v>
      </c>
      <c r="O1061" s="94">
        <f t="shared" si="144"/>
        <v>0.11494244727384333</v>
      </c>
    </row>
    <row r="1062" spans="1:15" s="6" customFormat="1" ht="15.75">
      <c r="A1062" s="285">
        <v>182</v>
      </c>
      <c r="B1062" s="329" t="s">
        <v>1016</v>
      </c>
      <c r="C1062" s="803">
        <v>351.9</v>
      </c>
      <c r="D1062" s="391"/>
      <c r="E1062" s="804"/>
      <c r="F1062" s="61">
        <f t="shared" si="138"/>
        <v>351.9</v>
      </c>
      <c r="G1062" s="361" t="s">
        <v>1361</v>
      </c>
      <c r="H1062" s="804">
        <v>215</v>
      </c>
      <c r="I1062" s="178">
        <f t="shared" si="141"/>
        <v>9.8800152565816993E-3</v>
      </c>
      <c r="J1062" s="39">
        <f t="shared" si="140"/>
        <v>22.419039019167233</v>
      </c>
      <c r="K1062" s="37">
        <f t="shared" si="139"/>
        <v>8.2434806473477913</v>
      </c>
      <c r="L1062" s="39">
        <v>8.545173006379768</v>
      </c>
      <c r="M1062" s="39">
        <f t="shared" si="143"/>
        <v>6.7273023882064784</v>
      </c>
      <c r="N1062" s="39">
        <f t="shared" si="142"/>
        <v>8.2005816112236971</v>
      </c>
      <c r="O1062" s="94">
        <f t="shared" si="144"/>
        <v>0.13053422864763081</v>
      </c>
    </row>
    <row r="1063" spans="1:15" s="6" customFormat="1" ht="15.75">
      <c r="A1063" s="285">
        <v>183</v>
      </c>
      <c r="B1063" s="329" t="s">
        <v>1017</v>
      </c>
      <c r="C1063" s="803">
        <v>449.4</v>
      </c>
      <c r="D1063" s="391"/>
      <c r="E1063" s="804"/>
      <c r="F1063" s="61">
        <f t="shared" ref="F1063:F1125" si="145">C1063+D1063+E1063</f>
        <v>449.4</v>
      </c>
      <c r="G1063" s="361" t="s">
        <v>1361</v>
      </c>
      <c r="H1063" s="804">
        <v>287</v>
      </c>
      <c r="I1063" s="178">
        <f t="shared" si="141"/>
        <v>1.3188671528553244E-2</v>
      </c>
      <c r="J1063" s="39">
        <f t="shared" si="140"/>
        <v>29.926810225586024</v>
      </c>
      <c r="K1063" s="37">
        <f t="shared" si="139"/>
        <v>11.004088119947982</v>
      </c>
      <c r="L1063" s="39">
        <v>11.406812338748804</v>
      </c>
      <c r="M1063" s="39">
        <f t="shared" si="143"/>
        <v>8.9801664437919033</v>
      </c>
      <c r="N1063" s="39">
        <f t="shared" si="142"/>
        <v>10.946822894982331</v>
      </c>
      <c r="O1063" s="94">
        <f t="shared" si="144"/>
        <v>0.13644387433928509</v>
      </c>
    </row>
    <row r="1064" spans="1:15" s="6" customFormat="1" ht="15.75">
      <c r="A1064" s="285">
        <v>184</v>
      </c>
      <c r="B1064" s="329" t="s">
        <v>1018</v>
      </c>
      <c r="C1064" s="803">
        <v>1394.3</v>
      </c>
      <c r="D1064" s="391"/>
      <c r="E1064" s="804"/>
      <c r="F1064" s="61">
        <f t="shared" si="145"/>
        <v>1394.3</v>
      </c>
      <c r="G1064" s="19" t="s">
        <v>1342</v>
      </c>
      <c r="H1064" s="804">
        <v>734</v>
      </c>
      <c r="I1064" s="178">
        <f t="shared" si="141"/>
        <v>3.3729912550376592E-2</v>
      </c>
      <c r="J1064" s="39">
        <f t="shared" si="140"/>
        <v>76.53755646543604</v>
      </c>
      <c r="K1064" s="37">
        <f t="shared" si="139"/>
        <v>28.142859512340834</v>
      </c>
      <c r="L1064" s="39">
        <v>29.172823193873249</v>
      </c>
      <c r="M1064" s="39">
        <f t="shared" si="143"/>
        <v>22.966697455551422</v>
      </c>
      <c r="N1064" s="39">
        <f t="shared" si="142"/>
        <v>27.996404198317187</v>
      </c>
      <c r="O1064" s="94">
        <f t="shared" si="144"/>
        <v>0.11247216282521806</v>
      </c>
    </row>
    <row r="1065" spans="1:15" s="6" customFormat="1" ht="15.75">
      <c r="A1065" s="285">
        <v>185</v>
      </c>
      <c r="B1065" s="329" t="s">
        <v>1019</v>
      </c>
      <c r="C1065" s="803">
        <v>398.7</v>
      </c>
      <c r="D1065" s="391"/>
      <c r="E1065" s="804"/>
      <c r="F1065" s="61">
        <f t="shared" si="145"/>
        <v>398.7</v>
      </c>
      <c r="G1065" s="361" t="s">
        <v>1361</v>
      </c>
      <c r="H1065" s="804">
        <v>248</v>
      </c>
      <c r="I1065" s="178">
        <f t="shared" si="141"/>
        <v>1.1396482714568657E-2</v>
      </c>
      <c r="J1065" s="39">
        <f t="shared" si="140"/>
        <v>25.860100822109178</v>
      </c>
      <c r="K1065" s="37">
        <f t="shared" ref="K1065:K1127" si="146">J1065*0.3677</f>
        <v>9.5087590722895463</v>
      </c>
      <c r="L1065" s="39">
        <v>9.8567577003822429</v>
      </c>
      <c r="M1065" s="39">
        <f t="shared" si="143"/>
        <v>7.7598650803497984</v>
      </c>
      <c r="N1065" s="39">
        <f t="shared" si="142"/>
        <v>9.4592755329464051</v>
      </c>
      <c r="O1065" s="94">
        <f t="shared" si="144"/>
        <v>0.13289561744452161</v>
      </c>
    </row>
    <row r="1066" spans="1:15" s="6" customFormat="1" ht="15.75">
      <c r="A1066" s="285">
        <v>186</v>
      </c>
      <c r="B1066" s="329" t="s">
        <v>1020</v>
      </c>
      <c r="C1066" s="803">
        <v>359.4</v>
      </c>
      <c r="D1066" s="391"/>
      <c r="E1066" s="804"/>
      <c r="F1066" s="61">
        <f t="shared" si="145"/>
        <v>359.4</v>
      </c>
      <c r="G1066" s="361" t="s">
        <v>1361</v>
      </c>
      <c r="H1066" s="804">
        <v>262</v>
      </c>
      <c r="I1066" s="178">
        <f t="shared" si="141"/>
        <v>1.203983254522979E-2</v>
      </c>
      <c r="J1066" s="39">
        <f t="shared" si="140"/>
        <v>27.319945223357276</v>
      </c>
      <c r="K1066" s="37">
        <f t="shared" si="146"/>
        <v>10.045543858628472</v>
      </c>
      <c r="L1066" s="39">
        <v>10.41318757056511</v>
      </c>
      <c r="M1066" s="39">
        <f>I1066*376.38</f>
        <v>4.5315521733735888</v>
      </c>
      <c r="N1066" s="39">
        <f t="shared" si="142"/>
        <v>5.5239620993424055</v>
      </c>
      <c r="O1066" s="94">
        <f t="shared" si="144"/>
        <v>0.14554877247057443</v>
      </c>
    </row>
    <row r="1067" spans="1:15" s="6" customFormat="1" ht="15.75">
      <c r="A1067" s="285">
        <v>187</v>
      </c>
      <c r="B1067" s="329" t="s">
        <v>1021</v>
      </c>
      <c r="C1067" s="803">
        <v>694.9</v>
      </c>
      <c r="D1067" s="391"/>
      <c r="E1067" s="804"/>
      <c r="F1067" s="61">
        <f t="shared" si="145"/>
        <v>694.9</v>
      </c>
      <c r="G1067" s="8" t="s">
        <v>1342</v>
      </c>
      <c r="H1067" s="804">
        <v>483</v>
      </c>
      <c r="I1067" s="178">
        <f t="shared" si="141"/>
        <v>2.2195569157809118E-2</v>
      </c>
      <c r="J1067" s="39">
        <f t="shared" si="140"/>
        <v>50.364631843059406</v>
      </c>
      <c r="K1067" s="37">
        <f t="shared" si="146"/>
        <v>18.519075128692943</v>
      </c>
      <c r="L1067" s="39">
        <v>19.196830521308964</v>
      </c>
      <c r="M1067" s="39">
        <f t="shared" si="143"/>
        <v>15.112963039552229</v>
      </c>
      <c r="N1067" s="39">
        <f t="shared" si="142"/>
        <v>18.422701945214168</v>
      </c>
      <c r="O1067" s="94">
        <f t="shared" si="144"/>
        <v>0.14850122396404308</v>
      </c>
    </row>
    <row r="1068" spans="1:15" s="6" customFormat="1" ht="15.75">
      <c r="A1068" s="285">
        <v>188</v>
      </c>
      <c r="B1068" s="329" t="s">
        <v>1022</v>
      </c>
      <c r="C1068" s="803">
        <v>629.6</v>
      </c>
      <c r="D1068" s="391"/>
      <c r="E1068" s="804"/>
      <c r="F1068" s="61">
        <f t="shared" si="145"/>
        <v>629.6</v>
      </c>
      <c r="G1068" s="8" t="s">
        <v>1342</v>
      </c>
      <c r="H1068" s="804">
        <v>257</v>
      </c>
      <c r="I1068" s="178">
        <f t="shared" si="141"/>
        <v>1.1810064748565101E-2</v>
      </c>
      <c r="J1068" s="39">
        <f t="shared" si="140"/>
        <v>26.798572222911528</v>
      </c>
      <c r="K1068" s="37">
        <f t="shared" si="146"/>
        <v>9.8538350063645694</v>
      </c>
      <c r="L1068" s="39">
        <v>10.214462616928373</v>
      </c>
      <c r="M1068" s="39">
        <f>I1068*1680.9</f>
        <v>19.851537835863081</v>
      </c>
      <c r="N1068" s="39">
        <f t="shared" si="142"/>
        <v>24.199024621917097</v>
      </c>
      <c r="O1068" s="94">
        <f t="shared" si="144"/>
        <v>0.1059695166487731</v>
      </c>
    </row>
    <row r="1069" spans="1:15" s="6" customFormat="1" ht="15.75">
      <c r="A1069" s="285">
        <v>189</v>
      </c>
      <c r="B1069" s="329" t="s">
        <v>1023</v>
      </c>
      <c r="C1069" s="803">
        <v>969.07</v>
      </c>
      <c r="D1069" s="391"/>
      <c r="E1069" s="804"/>
      <c r="F1069" s="61">
        <f t="shared" si="145"/>
        <v>969.07</v>
      </c>
      <c r="G1069" s="361" t="s">
        <v>1361</v>
      </c>
      <c r="H1069" s="804">
        <v>586</v>
      </c>
      <c r="I1069" s="178">
        <f t="shared" si="141"/>
        <v>2.6928785769101744E-2</v>
      </c>
      <c r="J1069" s="39">
        <f t="shared" si="140"/>
        <v>61.104915652241843</v>
      </c>
      <c r="K1069" s="37">
        <f t="shared" si="146"/>
        <v>22.468277485329327</v>
      </c>
      <c r="L1069" s="39">
        <v>23.290564566225783</v>
      </c>
      <c r="M1069" s="39">
        <f t="shared" si="143"/>
        <v>18.335810230181377</v>
      </c>
      <c r="N1069" s="39">
        <f t="shared" si="142"/>
        <v>22.351352670591101</v>
      </c>
      <c r="O1069" s="94">
        <f t="shared" si="144"/>
        <v>0.12919558745392831</v>
      </c>
    </row>
    <row r="1070" spans="1:15" s="6" customFormat="1" ht="15.75">
      <c r="A1070" s="285">
        <v>190</v>
      </c>
      <c r="B1070" s="329" t="s">
        <v>1024</v>
      </c>
      <c r="C1070" s="803">
        <v>315.7</v>
      </c>
      <c r="D1070" s="391"/>
      <c r="E1070" s="804"/>
      <c r="F1070" s="61">
        <f t="shared" si="145"/>
        <v>315.7</v>
      </c>
      <c r="G1070" s="361" t="s">
        <v>1361</v>
      </c>
      <c r="H1070" s="804">
        <v>257</v>
      </c>
      <c r="I1070" s="178">
        <f t="shared" si="141"/>
        <v>1.1810064748565101E-2</v>
      </c>
      <c r="J1070" s="39">
        <f t="shared" si="140"/>
        <v>26.798572222911528</v>
      </c>
      <c r="K1070" s="37">
        <f t="shared" si="146"/>
        <v>9.8538350063645694</v>
      </c>
      <c r="L1070" s="39">
        <v>10.214462616928373</v>
      </c>
      <c r="M1070" s="39">
        <f t="shared" si="143"/>
        <v>8.0414730872979767</v>
      </c>
      <c r="N1070" s="39">
        <f t="shared" si="142"/>
        <v>9.8025556934162346</v>
      </c>
      <c r="O1070" s="94">
        <f t="shared" si="144"/>
        <v>0.17392569823725831</v>
      </c>
    </row>
    <row r="1071" spans="1:15" s="6" customFormat="1" ht="15.75">
      <c r="A1071" s="285">
        <v>191</v>
      </c>
      <c r="B1071" s="329" t="s">
        <v>1025</v>
      </c>
      <c r="C1071" s="803">
        <v>677.4</v>
      </c>
      <c r="D1071" s="391"/>
      <c r="E1071" s="804"/>
      <c r="F1071" s="61">
        <f t="shared" si="145"/>
        <v>677.4</v>
      </c>
      <c r="G1071" s="361" t="s">
        <v>1361</v>
      </c>
      <c r="H1071" s="804">
        <v>349</v>
      </c>
      <c r="I1071" s="178">
        <f t="shared" si="141"/>
        <v>1.6037792207195409E-2</v>
      </c>
      <c r="J1071" s="39">
        <f t="shared" si="140"/>
        <v>36.391835431113321</v>
      </c>
      <c r="K1071" s="37">
        <f t="shared" si="146"/>
        <v>13.381277888020369</v>
      </c>
      <c r="L1071" s="39">
        <v>13.871001763844365</v>
      </c>
      <c r="M1071" s="39">
        <f t="shared" si="143"/>
        <v>10.920132713879353</v>
      </c>
      <c r="N1071" s="39">
        <f t="shared" si="142"/>
        <v>13.311641778218933</v>
      </c>
      <c r="O1071" s="94">
        <f t="shared" si="144"/>
        <v>0.11007417743852586</v>
      </c>
    </row>
    <row r="1072" spans="1:15" s="6" customFormat="1" ht="15.75">
      <c r="A1072" s="285">
        <v>192</v>
      </c>
      <c r="B1072" s="329" t="s">
        <v>1026</v>
      </c>
      <c r="C1072" s="803">
        <v>255.8</v>
      </c>
      <c r="D1072" s="391"/>
      <c r="E1072" s="804"/>
      <c r="F1072" s="61">
        <f t="shared" si="145"/>
        <v>255.8</v>
      </c>
      <c r="G1072" s="361" t="s">
        <v>1361</v>
      </c>
      <c r="H1072" s="804">
        <v>267</v>
      </c>
      <c r="I1072" s="178">
        <f t="shared" si="141"/>
        <v>1.2269600341894482E-2</v>
      </c>
      <c r="J1072" s="39">
        <f t="shared" si="140"/>
        <v>27.841318223803025</v>
      </c>
      <c r="K1072" s="37">
        <f t="shared" si="146"/>
        <v>10.237252710892372</v>
      </c>
      <c r="L1072" s="39">
        <v>10.61191252420185</v>
      </c>
      <c r="M1072" s="39">
        <f>I1072*1680.9</f>
        <v>20.623971214690435</v>
      </c>
      <c r="N1072" s="39">
        <f t="shared" si="142"/>
        <v>25.140620910707643</v>
      </c>
      <c r="O1072" s="94">
        <f t="shared" si="144"/>
        <v>0.27097128488501826</v>
      </c>
    </row>
    <row r="1073" spans="1:15" s="6" customFormat="1" ht="15.75">
      <c r="A1073" s="285">
        <v>193</v>
      </c>
      <c r="B1073" s="329" t="s">
        <v>1027</v>
      </c>
      <c r="C1073" s="803">
        <v>167.8</v>
      </c>
      <c r="D1073" s="391">
        <v>184.7</v>
      </c>
      <c r="E1073" s="804"/>
      <c r="F1073" s="61">
        <f t="shared" si="145"/>
        <v>352.5</v>
      </c>
      <c r="G1073" s="361" t="s">
        <v>1361</v>
      </c>
      <c r="H1073" s="804">
        <v>122</v>
      </c>
      <c r="I1073" s="178">
        <f t="shared" si="141"/>
        <v>5.6063342386184524E-3</v>
      </c>
      <c r="J1073" s="39">
        <f t="shared" ref="J1073:J1136" si="147">I1073*2269.13</f>
        <v>12.721501210876289</v>
      </c>
      <c r="K1073" s="37">
        <f t="shared" si="146"/>
        <v>4.6776959952392119</v>
      </c>
      <c r="L1073" s="39">
        <v>4.8488888687364256</v>
      </c>
      <c r="M1073" s="39">
        <f>I1073*2680.9</f>
        <v>15.030021460312209</v>
      </c>
      <c r="N1073" s="39">
        <f t="shared" si="142"/>
        <v>18.321596160120585</v>
      </c>
      <c r="O1073" s="94">
        <f t="shared" si="144"/>
        <v>0.10575349655365714</v>
      </c>
    </row>
    <row r="1074" spans="1:15" s="6" customFormat="1" ht="15.75">
      <c r="A1074" s="285">
        <v>194</v>
      </c>
      <c r="B1074" s="329" t="s">
        <v>1030</v>
      </c>
      <c r="C1074" s="803">
        <v>642.9</v>
      </c>
      <c r="D1074" s="391"/>
      <c r="E1074" s="804"/>
      <c r="F1074" s="61">
        <f t="shared" si="145"/>
        <v>642.9</v>
      </c>
      <c r="G1074" s="361" t="s">
        <v>1361</v>
      </c>
      <c r="H1074" s="804">
        <v>373</v>
      </c>
      <c r="I1074" s="178">
        <f t="shared" ref="I1074:I1137" si="148">4/87044.4*H1074</f>
        <v>1.7140677631185923E-2</v>
      </c>
      <c r="J1074" s="39">
        <f t="shared" si="147"/>
        <v>38.894425833252917</v>
      </c>
      <c r="K1074" s="37">
        <f t="shared" si="146"/>
        <v>14.301480378887099</v>
      </c>
      <c r="L1074" s="39">
        <v>14.82488154130071</v>
      </c>
      <c r="M1074" s="39">
        <f t="shared" si="143"/>
        <v>11.671087399074494</v>
      </c>
      <c r="N1074" s="39">
        <f t="shared" ref="N1074:N1137" si="149">M1074*1.219</f>
        <v>14.227055539471809</v>
      </c>
      <c r="O1074" s="94">
        <f t="shared" si="144"/>
        <v>0.12395687533444583</v>
      </c>
    </row>
    <row r="1075" spans="1:15" s="6" customFormat="1" ht="15.75">
      <c r="A1075" s="285">
        <v>195</v>
      </c>
      <c r="B1075" s="329" t="s">
        <v>1031</v>
      </c>
      <c r="C1075" s="803">
        <v>324.39999999999998</v>
      </c>
      <c r="D1075" s="391"/>
      <c r="E1075" s="804"/>
      <c r="F1075" s="61">
        <f t="shared" si="145"/>
        <v>324.39999999999998</v>
      </c>
      <c r="G1075" s="19" t="s">
        <v>1342</v>
      </c>
      <c r="H1075" s="804">
        <v>190</v>
      </c>
      <c r="I1075" s="178">
        <f t="shared" si="148"/>
        <v>8.7311762732582444E-3</v>
      </c>
      <c r="J1075" s="39">
        <f t="shared" si="147"/>
        <v>19.812174016938481</v>
      </c>
      <c r="K1075" s="37">
        <f t="shared" si="146"/>
        <v>7.2849363860282805</v>
      </c>
      <c r="L1075" s="39">
        <v>7.5515482381960721</v>
      </c>
      <c r="M1075" s="39">
        <f t="shared" si="143"/>
        <v>5.9450579244615387</v>
      </c>
      <c r="N1075" s="39">
        <f t="shared" si="149"/>
        <v>7.2470256099186159</v>
      </c>
      <c r="O1075" s="94">
        <f t="shared" si="144"/>
        <v>0.12513476129970524</v>
      </c>
    </row>
    <row r="1076" spans="1:15" s="6" customFormat="1" ht="15.75">
      <c r="A1076" s="285">
        <v>196</v>
      </c>
      <c r="B1076" s="329" t="s">
        <v>1032</v>
      </c>
      <c r="C1076" s="806">
        <v>505</v>
      </c>
      <c r="D1076" s="391"/>
      <c r="E1076" s="804"/>
      <c r="F1076" s="61">
        <f t="shared" si="145"/>
        <v>505</v>
      </c>
      <c r="G1076" s="361" t="s">
        <v>1361</v>
      </c>
      <c r="H1076" s="804">
        <v>306</v>
      </c>
      <c r="I1076" s="178">
        <f t="shared" si="148"/>
        <v>1.4061789155879068E-2</v>
      </c>
      <c r="J1076" s="39">
        <f t="shared" si="147"/>
        <v>31.908027627279871</v>
      </c>
      <c r="K1076" s="37">
        <f t="shared" si="146"/>
        <v>11.732581758550809</v>
      </c>
      <c r="L1076" s="39">
        <v>12.161967162568413</v>
      </c>
      <c r="M1076" s="39">
        <f>I1076*376.38</f>
        <v>5.292576202489764</v>
      </c>
      <c r="N1076" s="39">
        <f t="shared" si="149"/>
        <v>6.4516503908350229</v>
      </c>
      <c r="O1076" s="94">
        <f t="shared" si="144"/>
        <v>0.12098050049680961</v>
      </c>
    </row>
    <row r="1077" spans="1:15" s="6" customFormat="1" ht="15.75">
      <c r="A1077" s="285">
        <v>197</v>
      </c>
      <c r="B1077" s="329" t="s">
        <v>1033</v>
      </c>
      <c r="C1077" s="803">
        <v>548.70000000000005</v>
      </c>
      <c r="D1077" s="391"/>
      <c r="E1077" s="804"/>
      <c r="F1077" s="61">
        <f t="shared" si="145"/>
        <v>548.70000000000005</v>
      </c>
      <c r="G1077" s="19" t="s">
        <v>1342</v>
      </c>
      <c r="H1077" s="804">
        <v>348</v>
      </c>
      <c r="I1077" s="178">
        <f t="shared" si="148"/>
        <v>1.599183864786247E-2</v>
      </c>
      <c r="J1077" s="39">
        <f t="shared" si="147"/>
        <v>36.287560831024166</v>
      </c>
      <c r="K1077" s="37">
        <f t="shared" si="146"/>
        <v>13.342936117567588</v>
      </c>
      <c r="L1077" s="39">
        <v>13.831256773117017</v>
      </c>
      <c r="M1077" s="39">
        <f t="shared" si="143"/>
        <v>10.888842935329555</v>
      </c>
      <c r="N1077" s="39">
        <f t="shared" si="149"/>
        <v>13.273499538166728</v>
      </c>
      <c r="O1077" s="94">
        <f t="shared" si="144"/>
        <v>0.13550318326414856</v>
      </c>
    </row>
    <row r="1078" spans="1:15" s="6" customFormat="1" ht="15.75">
      <c r="A1078" s="285">
        <v>198</v>
      </c>
      <c r="B1078" s="329" t="s">
        <v>1034</v>
      </c>
      <c r="C1078" s="803">
        <v>222.33</v>
      </c>
      <c r="D1078" s="391"/>
      <c r="E1078" s="804"/>
      <c r="F1078" s="61">
        <f t="shared" si="145"/>
        <v>222.33</v>
      </c>
      <c r="G1078" s="361" t="s">
        <v>1361</v>
      </c>
      <c r="H1078" s="804">
        <v>253</v>
      </c>
      <c r="I1078" s="178">
        <f t="shared" si="148"/>
        <v>1.1626250511233347E-2</v>
      </c>
      <c r="J1078" s="39">
        <f t="shared" si="147"/>
        <v>26.381473822554927</v>
      </c>
      <c r="K1078" s="37">
        <f t="shared" si="146"/>
        <v>9.7004679245534469</v>
      </c>
      <c r="L1078" s="39">
        <v>10.055482654018981</v>
      </c>
      <c r="M1078" s="39">
        <f t="shared" si="143"/>
        <v>7.9163139730987853</v>
      </c>
      <c r="N1078" s="39">
        <f t="shared" si="149"/>
        <v>9.6499867332074203</v>
      </c>
      <c r="O1078" s="94">
        <f t="shared" si="144"/>
        <v>0.24312390758883703</v>
      </c>
    </row>
    <row r="1079" spans="1:15" s="6" customFormat="1" ht="15.75">
      <c r="A1079" s="285">
        <v>199</v>
      </c>
      <c r="B1079" s="329" t="s">
        <v>1035</v>
      </c>
      <c r="C1079" s="803">
        <v>461.2</v>
      </c>
      <c r="D1079" s="391"/>
      <c r="E1079" s="804"/>
      <c r="F1079" s="61">
        <f t="shared" si="145"/>
        <v>461.2</v>
      </c>
      <c r="G1079" s="8" t="s">
        <v>1342</v>
      </c>
      <c r="H1079" s="804">
        <v>433</v>
      </c>
      <c r="I1079" s="178">
        <f t="shared" si="148"/>
        <v>1.9897891191162212E-2</v>
      </c>
      <c r="J1079" s="39">
        <f t="shared" si="147"/>
        <v>45.150901838601911</v>
      </c>
      <c r="K1079" s="37">
        <f t="shared" si="146"/>
        <v>16.601986606053924</v>
      </c>
      <c r="L1079" s="39">
        <v>17.209580984941578</v>
      </c>
      <c r="M1079" s="39">
        <f>I1079*1680.9</f>
        <v>33.446365303224567</v>
      </c>
      <c r="N1079" s="39">
        <f t="shared" si="149"/>
        <v>40.771119304630751</v>
      </c>
      <c r="O1079" s="94">
        <f t="shared" si="144"/>
        <v>0.24373121147619686</v>
      </c>
    </row>
    <row r="1080" spans="1:15" s="6" customFormat="1" ht="15.75">
      <c r="A1080" s="285">
        <v>200</v>
      </c>
      <c r="B1080" s="329" t="s">
        <v>1036</v>
      </c>
      <c r="C1080" s="803">
        <v>446.5</v>
      </c>
      <c r="D1080" s="391"/>
      <c r="E1080" s="804"/>
      <c r="F1080" s="61">
        <f t="shared" si="145"/>
        <v>446.5</v>
      </c>
      <c r="G1080" s="8" t="s">
        <v>1342</v>
      </c>
      <c r="H1080" s="804">
        <v>218</v>
      </c>
      <c r="I1080" s="178">
        <f t="shared" si="148"/>
        <v>1.0017875934580513E-2</v>
      </c>
      <c r="J1080" s="39">
        <f t="shared" si="147"/>
        <v>22.731862819434681</v>
      </c>
      <c r="K1080" s="37">
        <f t="shared" si="146"/>
        <v>8.3585059587061323</v>
      </c>
      <c r="L1080" s="39">
        <v>8.66440797856181</v>
      </c>
      <c r="M1080" s="39">
        <f t="shared" si="143"/>
        <v>6.8211717238558709</v>
      </c>
      <c r="N1080" s="39">
        <f t="shared" si="149"/>
        <v>8.3150083313803069</v>
      </c>
      <c r="O1080" s="94">
        <f t="shared" si="144"/>
        <v>0.10431343444693952</v>
      </c>
    </row>
    <row r="1081" spans="1:15" s="6" customFormat="1" ht="15.75">
      <c r="A1081" s="285">
        <v>201</v>
      </c>
      <c r="B1081" s="329" t="s">
        <v>1037</v>
      </c>
      <c r="C1081" s="803">
        <v>291.5</v>
      </c>
      <c r="D1081" s="391"/>
      <c r="E1081" s="804"/>
      <c r="F1081" s="61">
        <f t="shared" si="145"/>
        <v>291.5</v>
      </c>
      <c r="G1081" s="8" t="s">
        <v>1342</v>
      </c>
      <c r="H1081" s="804">
        <v>296</v>
      </c>
      <c r="I1081" s="178">
        <f t="shared" si="148"/>
        <v>1.3602253562549687E-2</v>
      </c>
      <c r="J1081" s="39">
        <f t="shared" si="147"/>
        <v>30.865281626388374</v>
      </c>
      <c r="K1081" s="37">
        <f t="shared" si="146"/>
        <v>11.349164054023007</v>
      </c>
      <c r="L1081" s="39">
        <v>11.764517255294933</v>
      </c>
      <c r="M1081" s="39">
        <f t="shared" si="143"/>
        <v>9.2617744507400825</v>
      </c>
      <c r="N1081" s="39">
        <f t="shared" si="149"/>
        <v>11.290103055452162</v>
      </c>
      <c r="O1081" s="94">
        <f t="shared" si="144"/>
        <v>0.21694935638575094</v>
      </c>
    </row>
    <row r="1082" spans="1:15" s="6" customFormat="1" ht="15.75">
      <c r="A1082" s="285">
        <v>202</v>
      </c>
      <c r="B1082" s="329" t="s">
        <v>1038</v>
      </c>
      <c r="C1082" s="803">
        <v>361.5</v>
      </c>
      <c r="D1082" s="391"/>
      <c r="E1082" s="804"/>
      <c r="F1082" s="61">
        <f t="shared" si="145"/>
        <v>361.5</v>
      </c>
      <c r="G1082" s="8" t="s">
        <v>1342</v>
      </c>
      <c r="H1082" s="804">
        <v>241</v>
      </c>
      <c r="I1082" s="178">
        <f t="shared" si="148"/>
        <v>1.107480779923809E-2</v>
      </c>
      <c r="J1082" s="39">
        <f t="shared" si="147"/>
        <v>25.130178621485129</v>
      </c>
      <c r="K1082" s="37">
        <f t="shared" si="146"/>
        <v>9.2403666791200827</v>
      </c>
      <c r="L1082" s="39">
        <v>9.5785427652908091</v>
      </c>
      <c r="M1082" s="39">
        <f>I1082*1680.9</f>
        <v>18.615644429739305</v>
      </c>
      <c r="N1082" s="39">
        <f t="shared" si="149"/>
        <v>22.692470559852215</v>
      </c>
      <c r="O1082" s="94">
        <f t="shared" si="144"/>
        <v>0.17306979943467588</v>
      </c>
    </row>
    <row r="1083" spans="1:15" s="6" customFormat="1" ht="15.75">
      <c r="A1083" s="285">
        <v>203</v>
      </c>
      <c r="B1083" s="329" t="s">
        <v>1039</v>
      </c>
      <c r="C1083" s="803">
        <v>474.6</v>
      </c>
      <c r="D1083" s="804"/>
      <c r="E1083" s="391">
        <v>11.3</v>
      </c>
      <c r="F1083" s="61">
        <f t="shared" si="145"/>
        <v>485.90000000000003</v>
      </c>
      <c r="G1083" s="8" t="s">
        <v>1342</v>
      </c>
      <c r="H1083" s="804">
        <v>291</v>
      </c>
      <c r="I1083" s="178">
        <f t="shared" si="148"/>
        <v>1.3372485765884996E-2</v>
      </c>
      <c r="J1083" s="39">
        <f t="shared" si="147"/>
        <v>30.343908625942621</v>
      </c>
      <c r="K1083" s="37">
        <f t="shared" si="146"/>
        <v>11.157455201759102</v>
      </c>
      <c r="L1083" s="39">
        <v>11.565792301658195</v>
      </c>
      <c r="M1083" s="39">
        <f t="shared" ref="M1083:M1144" si="150">I1083*680.9</f>
        <v>9.1053255579910939</v>
      </c>
      <c r="N1083" s="39">
        <f t="shared" si="149"/>
        <v>11.099391855191143</v>
      </c>
      <c r="O1083" s="94">
        <f t="shared" si="144"/>
        <v>0.12795324488032725</v>
      </c>
    </row>
    <row r="1084" spans="1:15" s="6" customFormat="1" ht="15.75">
      <c r="A1084" s="285">
        <v>204</v>
      </c>
      <c r="B1084" s="329" t="s">
        <v>1040</v>
      </c>
      <c r="C1084" s="803">
        <v>399.3</v>
      </c>
      <c r="D1084" s="804"/>
      <c r="E1084" s="391">
        <v>31.2</v>
      </c>
      <c r="F1084" s="61">
        <f t="shared" si="145"/>
        <v>430.5</v>
      </c>
      <c r="G1084" s="8" t="s">
        <v>1342</v>
      </c>
      <c r="H1084" s="804">
        <v>420</v>
      </c>
      <c r="I1084" s="178">
        <f t="shared" si="148"/>
        <v>1.9300494919834016E-2</v>
      </c>
      <c r="J1084" s="39">
        <f t="shared" si="147"/>
        <v>43.795332037442961</v>
      </c>
      <c r="K1084" s="37">
        <f t="shared" si="146"/>
        <v>16.103543590167778</v>
      </c>
      <c r="L1084" s="39">
        <v>16.692896105486053</v>
      </c>
      <c r="M1084" s="39">
        <f t="shared" si="150"/>
        <v>13.141706990914981</v>
      </c>
      <c r="N1084" s="39">
        <f t="shared" si="149"/>
        <v>16.019740821925364</v>
      </c>
      <c r="O1084" s="94">
        <f t="shared" si="144"/>
        <v>0.20844013640885431</v>
      </c>
    </row>
    <row r="1085" spans="1:15" s="6" customFormat="1" ht="15.75">
      <c r="A1085" s="285">
        <v>205</v>
      </c>
      <c r="B1085" s="329" t="s">
        <v>1041</v>
      </c>
      <c r="C1085" s="803">
        <v>96.4</v>
      </c>
      <c r="D1085" s="391"/>
      <c r="E1085" s="804"/>
      <c r="F1085" s="61">
        <f t="shared" si="145"/>
        <v>96.4</v>
      </c>
      <c r="G1085" s="361" t="s">
        <v>1361</v>
      </c>
      <c r="H1085" s="804">
        <v>53</v>
      </c>
      <c r="I1085" s="178">
        <f t="shared" si="148"/>
        <v>2.435538644645721E-3</v>
      </c>
      <c r="J1085" s="39">
        <f t="shared" si="147"/>
        <v>5.5265538047249452</v>
      </c>
      <c r="K1085" s="37">
        <f t="shared" si="146"/>
        <v>2.0321138339973626</v>
      </c>
      <c r="L1085" s="39">
        <v>2.1064845085494306</v>
      </c>
      <c r="M1085" s="39">
        <f t="shared" si="150"/>
        <v>1.6583582631392715</v>
      </c>
      <c r="N1085" s="39">
        <f t="shared" si="149"/>
        <v>2.0215387227667723</v>
      </c>
      <c r="O1085" s="94">
        <f t="shared" si="144"/>
        <v>0.11746380093787355</v>
      </c>
    </row>
    <row r="1086" spans="1:15" s="6" customFormat="1" ht="15.75">
      <c r="A1086" s="285">
        <v>206</v>
      </c>
      <c r="B1086" s="329" t="s">
        <v>1042</v>
      </c>
      <c r="C1086" s="803">
        <v>76.2</v>
      </c>
      <c r="D1086" s="391"/>
      <c r="E1086" s="804"/>
      <c r="F1086" s="61">
        <f t="shared" si="145"/>
        <v>76.2</v>
      </c>
      <c r="G1086" s="361" t="s">
        <v>1361</v>
      </c>
      <c r="H1086" s="804">
        <v>72</v>
      </c>
      <c r="I1086" s="178">
        <f t="shared" si="148"/>
        <v>3.3086562719715456E-3</v>
      </c>
      <c r="J1086" s="39">
        <f t="shared" si="147"/>
        <v>7.507771206418794</v>
      </c>
      <c r="K1086" s="37">
        <f t="shared" si="146"/>
        <v>2.7606074726001908</v>
      </c>
      <c r="L1086" s="39">
        <v>2.8616393323690379</v>
      </c>
      <c r="M1086" s="39">
        <f t="shared" si="150"/>
        <v>2.2528640555854254</v>
      </c>
      <c r="N1086" s="39">
        <f t="shared" si="149"/>
        <v>2.7462412837586339</v>
      </c>
      <c r="O1086" s="94">
        <f t="shared" si="144"/>
        <v>0.20187509274243368</v>
      </c>
    </row>
    <row r="1087" spans="1:15" s="6" customFormat="1" ht="15.75">
      <c r="A1087" s="285">
        <v>207</v>
      </c>
      <c r="B1087" s="329" t="s">
        <v>1043</v>
      </c>
      <c r="C1087" s="803">
        <v>84.3</v>
      </c>
      <c r="D1087" s="391"/>
      <c r="E1087" s="804"/>
      <c r="F1087" s="61">
        <f t="shared" si="145"/>
        <v>84.3</v>
      </c>
      <c r="G1087" s="361" t="s">
        <v>1361</v>
      </c>
      <c r="H1087" s="804">
        <v>100</v>
      </c>
      <c r="I1087" s="178">
        <f t="shared" si="148"/>
        <v>4.5953559332938135E-3</v>
      </c>
      <c r="J1087" s="39">
        <f t="shared" si="147"/>
        <v>10.427460008914991</v>
      </c>
      <c r="K1087" s="37">
        <f t="shared" si="146"/>
        <v>3.8341770452780426</v>
      </c>
      <c r="L1087" s="39">
        <v>3.9744990727347749</v>
      </c>
      <c r="M1087" s="39">
        <f t="shared" si="150"/>
        <v>3.1289778549797576</v>
      </c>
      <c r="N1087" s="39">
        <f t="shared" si="149"/>
        <v>3.8142240052203249</v>
      </c>
      <c r="O1087" s="94">
        <f t="shared" si="144"/>
        <v>0.25344144699771726</v>
      </c>
    </row>
    <row r="1088" spans="1:15" s="6" customFormat="1" ht="15.75">
      <c r="A1088" s="285">
        <v>208</v>
      </c>
      <c r="B1088" s="329" t="s">
        <v>1044</v>
      </c>
      <c r="C1088" s="803">
        <v>236.4</v>
      </c>
      <c r="D1088" s="391"/>
      <c r="E1088" s="804"/>
      <c r="F1088" s="61">
        <f t="shared" si="145"/>
        <v>236.4</v>
      </c>
      <c r="G1088" s="361" t="s">
        <v>1361</v>
      </c>
      <c r="H1088" s="804">
        <v>96</v>
      </c>
      <c r="I1088" s="178">
        <f t="shared" si="148"/>
        <v>4.4115416959620603E-3</v>
      </c>
      <c r="J1088" s="39">
        <f t="shared" si="147"/>
        <v>10.010361608558391</v>
      </c>
      <c r="K1088" s="37">
        <f t="shared" si="146"/>
        <v>3.6808099634669205</v>
      </c>
      <c r="L1088" s="39">
        <v>3.815519109825384</v>
      </c>
      <c r="M1088" s="39">
        <f t="shared" si="150"/>
        <v>3.0038187407805665</v>
      </c>
      <c r="N1088" s="39">
        <f t="shared" si="149"/>
        <v>3.6616550450115111</v>
      </c>
      <c r="O1088" s="94">
        <f t="shared" si="144"/>
        <v>8.6761884190487568E-2</v>
      </c>
    </row>
    <row r="1089" spans="1:15" s="6" customFormat="1" ht="15.75">
      <c r="A1089" s="285">
        <v>209</v>
      </c>
      <c r="B1089" s="329" t="s">
        <v>1045</v>
      </c>
      <c r="C1089" s="803">
        <v>84.3</v>
      </c>
      <c r="D1089" s="391"/>
      <c r="E1089" s="804"/>
      <c r="F1089" s="61">
        <f t="shared" si="145"/>
        <v>84.3</v>
      </c>
      <c r="G1089" s="361" t="s">
        <v>1361</v>
      </c>
      <c r="H1089" s="804">
        <v>103</v>
      </c>
      <c r="I1089" s="178">
        <f t="shared" si="148"/>
        <v>4.7332166112926278E-3</v>
      </c>
      <c r="J1089" s="39">
        <f t="shared" si="147"/>
        <v>10.740283809182442</v>
      </c>
      <c r="K1089" s="37">
        <f t="shared" si="146"/>
        <v>3.9492023566363841</v>
      </c>
      <c r="L1089" s="39">
        <v>4.0937340449168182</v>
      </c>
      <c r="M1089" s="39">
        <f t="shared" si="150"/>
        <v>3.22284719062915</v>
      </c>
      <c r="N1089" s="39">
        <f t="shared" si="149"/>
        <v>3.9286507253769343</v>
      </c>
      <c r="O1089" s="94">
        <f t="shared" si="144"/>
        <v>0.26104469040764883</v>
      </c>
    </row>
    <row r="1090" spans="1:15" s="6" customFormat="1" ht="15.75">
      <c r="A1090" s="285">
        <v>210</v>
      </c>
      <c r="B1090" s="329" t="s">
        <v>1046</v>
      </c>
      <c r="C1090" s="803">
        <v>84.3</v>
      </c>
      <c r="D1090" s="391"/>
      <c r="E1090" s="804"/>
      <c r="F1090" s="61">
        <f t="shared" si="145"/>
        <v>84.3</v>
      </c>
      <c r="G1090" s="361" t="s">
        <v>1361</v>
      </c>
      <c r="H1090" s="804">
        <v>142</v>
      </c>
      <c r="I1090" s="178">
        <f t="shared" si="148"/>
        <v>6.5254054252772151E-3</v>
      </c>
      <c r="J1090" s="39">
        <f t="shared" si="147"/>
        <v>14.806993212659288</v>
      </c>
      <c r="K1090" s="37">
        <f t="shared" si="146"/>
        <v>5.4445314042948203</v>
      </c>
      <c r="L1090" s="39">
        <v>5.6437886832833808</v>
      </c>
      <c r="M1090" s="39">
        <f t="shared" si="150"/>
        <v>4.4431485540712554</v>
      </c>
      <c r="N1090" s="39">
        <f t="shared" si="149"/>
        <v>5.4161980874128606</v>
      </c>
      <c r="O1090" s="94">
        <f t="shared" si="144"/>
        <v>0.35988685473675858</v>
      </c>
    </row>
    <row r="1091" spans="1:15" s="6" customFormat="1" ht="15.75">
      <c r="A1091" s="285">
        <v>211</v>
      </c>
      <c r="B1091" s="329" t="s">
        <v>1047</v>
      </c>
      <c r="C1091" s="803">
        <v>176.6</v>
      </c>
      <c r="D1091" s="391"/>
      <c r="E1091" s="804"/>
      <c r="F1091" s="61">
        <f t="shared" si="145"/>
        <v>176.6</v>
      </c>
      <c r="G1091" s="19" t="s">
        <v>1342</v>
      </c>
      <c r="H1091" s="804">
        <v>196</v>
      </c>
      <c r="I1091" s="178">
        <f t="shared" si="148"/>
        <v>9.0068976292558747E-3</v>
      </c>
      <c r="J1091" s="39">
        <f t="shared" si="147"/>
        <v>20.437821617473382</v>
      </c>
      <c r="K1091" s="37">
        <f t="shared" si="146"/>
        <v>7.5149870087449635</v>
      </c>
      <c r="L1091" s="39">
        <v>7.7900181825601589</v>
      </c>
      <c r="M1091" s="39">
        <f>I1091*1680.9</f>
        <v>15.1396942250162</v>
      </c>
      <c r="N1091" s="39">
        <f t="shared" si="149"/>
        <v>18.45528726029475</v>
      </c>
      <c r="O1091" s="94">
        <f t="shared" si="144"/>
        <v>0.28812299566135169</v>
      </c>
    </row>
    <row r="1092" spans="1:15" s="6" customFormat="1" ht="15.75">
      <c r="A1092" s="285">
        <v>212</v>
      </c>
      <c r="B1092" s="329" t="s">
        <v>1048</v>
      </c>
      <c r="C1092" s="803">
        <v>111.5</v>
      </c>
      <c r="D1092" s="391"/>
      <c r="E1092" s="804"/>
      <c r="F1092" s="61">
        <f t="shared" si="145"/>
        <v>111.5</v>
      </c>
      <c r="G1092" s="361" t="s">
        <v>1361</v>
      </c>
      <c r="H1092" s="804">
        <v>167</v>
      </c>
      <c r="I1092" s="178">
        <f t="shared" si="148"/>
        <v>7.6742444086006683E-3</v>
      </c>
      <c r="J1092" s="39">
        <f t="shared" si="147"/>
        <v>17.413858214888034</v>
      </c>
      <c r="K1092" s="37">
        <f t="shared" si="146"/>
        <v>6.4030756656143302</v>
      </c>
      <c r="L1092" s="39">
        <v>6.6374134514670748</v>
      </c>
      <c r="M1092" s="39">
        <f t="shared" si="150"/>
        <v>5.2253930178161951</v>
      </c>
      <c r="N1092" s="39">
        <f t="shared" si="149"/>
        <v>6.3697540887179427</v>
      </c>
      <c r="O1092" s="94">
        <f t="shared" si="144"/>
        <v>0.31999767129852585</v>
      </c>
    </row>
    <row r="1093" spans="1:15" s="6" customFormat="1" ht="15.75">
      <c r="A1093" s="285">
        <v>213</v>
      </c>
      <c r="B1093" s="329" t="s">
        <v>1049</v>
      </c>
      <c r="C1093" s="803">
        <v>94.2</v>
      </c>
      <c r="D1093" s="391"/>
      <c r="E1093" s="804"/>
      <c r="F1093" s="61">
        <f t="shared" si="145"/>
        <v>94.2</v>
      </c>
      <c r="G1093" s="361" t="s">
        <v>1361</v>
      </c>
      <c r="H1093" s="804">
        <v>144</v>
      </c>
      <c r="I1093" s="178">
        <f t="shared" si="148"/>
        <v>6.6173125439430913E-3</v>
      </c>
      <c r="J1093" s="39">
        <f t="shared" si="147"/>
        <v>15.015542412837588</v>
      </c>
      <c r="K1093" s="37">
        <f t="shared" si="146"/>
        <v>5.5212149452003816</v>
      </c>
      <c r="L1093" s="39">
        <v>5.7232786647380758</v>
      </c>
      <c r="M1093" s="39">
        <f>I1093*1680.9</f>
        <v>11.123040655113943</v>
      </c>
      <c r="N1093" s="39">
        <f t="shared" si="149"/>
        <v>13.558986558583898</v>
      </c>
      <c r="O1093" s="94">
        <f t="shared" si="144"/>
        <v>0.39684794774830134</v>
      </c>
    </row>
    <row r="1094" spans="1:15" s="6" customFormat="1" ht="15.75">
      <c r="A1094" s="285">
        <v>214</v>
      </c>
      <c r="B1094" s="329" t="s">
        <v>1050</v>
      </c>
      <c r="C1094" s="803">
        <v>131.4</v>
      </c>
      <c r="D1094" s="391"/>
      <c r="E1094" s="804"/>
      <c r="F1094" s="61">
        <f t="shared" si="145"/>
        <v>131.4</v>
      </c>
      <c r="G1094" s="361" t="s">
        <v>1361</v>
      </c>
      <c r="H1094" s="804">
        <v>143</v>
      </c>
      <c r="I1094" s="178">
        <f t="shared" si="148"/>
        <v>6.5713589846101532E-3</v>
      </c>
      <c r="J1094" s="39">
        <f t="shared" si="147"/>
        <v>14.911267812748438</v>
      </c>
      <c r="K1094" s="37">
        <f t="shared" si="146"/>
        <v>5.4828731747476009</v>
      </c>
      <c r="L1094" s="39">
        <v>5.6835336740107278</v>
      </c>
      <c r="M1094" s="39">
        <f t="shared" si="150"/>
        <v>4.4744383326210535</v>
      </c>
      <c r="N1094" s="39">
        <f t="shared" si="149"/>
        <v>5.454340327465065</v>
      </c>
      <c r="O1094" s="94">
        <f t="shared" si="144"/>
        <v>0.23251227544998337</v>
      </c>
    </row>
    <row r="1095" spans="1:15" s="6" customFormat="1" ht="15.75">
      <c r="A1095" s="285">
        <v>215</v>
      </c>
      <c r="B1095" s="329" t="s">
        <v>1051</v>
      </c>
      <c r="C1095" s="803">
        <v>87.9</v>
      </c>
      <c r="D1095" s="391"/>
      <c r="E1095" s="804"/>
      <c r="F1095" s="61">
        <f t="shared" si="145"/>
        <v>87.9</v>
      </c>
      <c r="G1095" s="361" t="s">
        <v>1361</v>
      </c>
      <c r="H1095" s="804">
        <v>124</v>
      </c>
      <c r="I1095" s="178">
        <f t="shared" si="148"/>
        <v>5.6982413572843286E-3</v>
      </c>
      <c r="J1095" s="39">
        <f t="shared" si="147"/>
        <v>12.930050411054589</v>
      </c>
      <c r="K1095" s="37">
        <f t="shared" si="146"/>
        <v>4.7543795361447732</v>
      </c>
      <c r="L1095" s="39">
        <v>4.9283788501911214</v>
      </c>
      <c r="M1095" s="39">
        <f t="shared" si="150"/>
        <v>3.8799325401748992</v>
      </c>
      <c r="N1095" s="39">
        <f t="shared" si="149"/>
        <v>4.7296377664732026</v>
      </c>
      <c r="O1095" s="94">
        <f t="shared" ref="O1095:O1158" si="151">(M1095+L1095+K1095+J1095)/F1095</f>
        <v>0.30139637471632974</v>
      </c>
    </row>
    <row r="1096" spans="1:15" s="6" customFormat="1" ht="15.75">
      <c r="A1096" s="285">
        <v>216</v>
      </c>
      <c r="B1096" s="329" t="s">
        <v>1052</v>
      </c>
      <c r="C1096" s="803">
        <v>69.599999999999994</v>
      </c>
      <c r="D1096" s="391"/>
      <c r="E1096" s="804"/>
      <c r="F1096" s="61">
        <f t="shared" si="145"/>
        <v>69.599999999999994</v>
      </c>
      <c r="G1096" s="361" t="s">
        <v>1361</v>
      </c>
      <c r="H1096" s="804">
        <v>107</v>
      </c>
      <c r="I1096" s="178">
        <f t="shared" si="148"/>
        <v>4.9170308486243802E-3</v>
      </c>
      <c r="J1096" s="39">
        <f t="shared" si="147"/>
        <v>11.15738220953904</v>
      </c>
      <c r="K1096" s="37">
        <f t="shared" si="146"/>
        <v>4.1025694384475058</v>
      </c>
      <c r="L1096" s="39">
        <v>4.25271400782621</v>
      </c>
      <c r="M1096" s="39">
        <f t="shared" si="150"/>
        <v>3.3480063048283402</v>
      </c>
      <c r="N1096" s="39">
        <f t="shared" si="149"/>
        <v>4.0812196855857472</v>
      </c>
      <c r="O1096" s="94">
        <f t="shared" si="151"/>
        <v>0.32845793046898131</v>
      </c>
    </row>
    <row r="1097" spans="1:15" s="6" customFormat="1" ht="15.75">
      <c r="A1097" s="285">
        <v>217</v>
      </c>
      <c r="B1097" s="329" t="s">
        <v>1053</v>
      </c>
      <c r="C1097" s="803">
        <v>101.5</v>
      </c>
      <c r="D1097" s="391"/>
      <c r="E1097" s="804"/>
      <c r="F1097" s="61">
        <f t="shared" si="145"/>
        <v>101.5</v>
      </c>
      <c r="G1097" s="361" t="s">
        <v>1361</v>
      </c>
      <c r="H1097" s="804">
        <v>110.7</v>
      </c>
      <c r="I1097" s="178">
        <f t="shared" si="148"/>
        <v>5.0870590181562514E-3</v>
      </c>
      <c r="J1097" s="39">
        <f t="shared" si="147"/>
        <v>11.543198229868896</v>
      </c>
      <c r="K1097" s="37">
        <f t="shared" si="146"/>
        <v>4.2444339891227933</v>
      </c>
      <c r="L1097" s="39">
        <v>4.3997704735173961</v>
      </c>
      <c r="M1097" s="39">
        <f t="shared" si="150"/>
        <v>3.4637784854625915</v>
      </c>
      <c r="N1097" s="39">
        <f t="shared" si="149"/>
        <v>4.2223459737788991</v>
      </c>
      <c r="O1097" s="94">
        <f t="shared" si="151"/>
        <v>0.23301656332977019</v>
      </c>
    </row>
    <row r="1098" spans="1:15" s="6" customFormat="1" ht="15.75">
      <c r="A1098" s="285">
        <v>218</v>
      </c>
      <c r="B1098" s="329" t="s">
        <v>1054</v>
      </c>
      <c r="C1098" s="803">
        <v>237.8</v>
      </c>
      <c r="D1098" s="391"/>
      <c r="E1098" s="804"/>
      <c r="F1098" s="61">
        <f t="shared" si="145"/>
        <v>237.8</v>
      </c>
      <c r="G1098" s="361" t="s">
        <v>1361</v>
      </c>
      <c r="H1098" s="804">
        <v>136</v>
      </c>
      <c r="I1098" s="178">
        <f t="shared" si="148"/>
        <v>6.2496840692795857E-3</v>
      </c>
      <c r="J1098" s="39">
        <f t="shared" si="147"/>
        <v>14.181345612124387</v>
      </c>
      <c r="K1098" s="37">
        <f t="shared" si="146"/>
        <v>5.2144807815781373</v>
      </c>
      <c r="L1098" s="39">
        <v>5.405318738919294</v>
      </c>
      <c r="M1098" s="39">
        <f t="shared" si="150"/>
        <v>4.2554098827724696</v>
      </c>
      <c r="N1098" s="39">
        <f t="shared" si="149"/>
        <v>5.1873446470996409</v>
      </c>
      <c r="O1098" s="94">
        <f t="shared" si="151"/>
        <v>0.12218904548105251</v>
      </c>
    </row>
    <row r="1099" spans="1:15" s="6" customFormat="1" ht="15.75">
      <c r="A1099" s="285">
        <v>219</v>
      </c>
      <c r="B1099" s="329" t="s">
        <v>1055</v>
      </c>
      <c r="C1099" s="803">
        <v>96.6</v>
      </c>
      <c r="D1099" s="391"/>
      <c r="E1099" s="804"/>
      <c r="F1099" s="61">
        <f t="shared" si="145"/>
        <v>96.6</v>
      </c>
      <c r="G1099" s="19" t="s">
        <v>1342</v>
      </c>
      <c r="H1099" s="804">
        <v>151</v>
      </c>
      <c r="I1099" s="178">
        <f t="shared" si="148"/>
        <v>6.9389874592736579E-3</v>
      </c>
      <c r="J1099" s="39">
        <f t="shared" si="147"/>
        <v>15.745464613461635</v>
      </c>
      <c r="K1099" s="37">
        <f t="shared" si="146"/>
        <v>5.7896073383698434</v>
      </c>
      <c r="L1099" s="39">
        <v>6.0014935998295105</v>
      </c>
      <c r="M1099" s="39">
        <f t="shared" si="150"/>
        <v>4.7247565610194338</v>
      </c>
      <c r="N1099" s="39">
        <f t="shared" si="149"/>
        <v>5.75947824788269</v>
      </c>
      <c r="O1099" s="94">
        <f t="shared" si="151"/>
        <v>0.33396813781242679</v>
      </c>
    </row>
    <row r="1100" spans="1:15" s="6" customFormat="1" ht="15.75">
      <c r="A1100" s="285">
        <v>220</v>
      </c>
      <c r="B1100" s="329" t="s">
        <v>1056</v>
      </c>
      <c r="C1100" s="803">
        <v>120.2</v>
      </c>
      <c r="D1100" s="391"/>
      <c r="E1100" s="804"/>
      <c r="F1100" s="61">
        <f t="shared" si="145"/>
        <v>120.2</v>
      </c>
      <c r="G1100" s="361" t="s">
        <v>1361</v>
      </c>
      <c r="H1100" s="804">
        <v>86</v>
      </c>
      <c r="I1100" s="178">
        <f t="shared" si="148"/>
        <v>3.9520061026326794E-3</v>
      </c>
      <c r="J1100" s="39">
        <f t="shared" si="147"/>
        <v>8.9676156076668914</v>
      </c>
      <c r="K1100" s="37">
        <f t="shared" si="146"/>
        <v>3.2973922589391162</v>
      </c>
      <c r="L1100" s="39">
        <v>3.4180692025519068</v>
      </c>
      <c r="M1100" s="39">
        <f t="shared" si="150"/>
        <v>2.6909209552825915</v>
      </c>
      <c r="N1100" s="39">
        <f t="shared" si="149"/>
        <v>3.2802326444894794</v>
      </c>
      <c r="O1100" s="94">
        <f t="shared" si="151"/>
        <v>0.1528618804029992</v>
      </c>
    </row>
    <row r="1101" spans="1:15" s="6" customFormat="1" ht="15.75">
      <c r="A1101" s="285">
        <v>221</v>
      </c>
      <c r="B1101" s="329" t="s">
        <v>1057</v>
      </c>
      <c r="C1101" s="803">
        <v>340.3</v>
      </c>
      <c r="D1101" s="391"/>
      <c r="E1101" s="804"/>
      <c r="F1101" s="61">
        <f t="shared" si="145"/>
        <v>340.3</v>
      </c>
      <c r="G1101" s="8" t="s">
        <v>1342</v>
      </c>
      <c r="H1101" s="804">
        <v>292</v>
      </c>
      <c r="I1101" s="178">
        <f t="shared" si="148"/>
        <v>1.3418439325217935E-2</v>
      </c>
      <c r="J1101" s="39">
        <f t="shared" si="147"/>
        <v>30.448183226031773</v>
      </c>
      <c r="K1101" s="37">
        <f t="shared" si="146"/>
        <v>11.195796972211884</v>
      </c>
      <c r="L1101" s="39">
        <v>11.605537292385543</v>
      </c>
      <c r="M1101" s="39">
        <f t="shared" si="150"/>
        <v>9.136615336540892</v>
      </c>
      <c r="N1101" s="39">
        <f t="shared" si="149"/>
        <v>11.137534095243348</v>
      </c>
      <c r="O1101" s="94">
        <f t="shared" si="151"/>
        <v>0.18332686696200437</v>
      </c>
    </row>
    <row r="1102" spans="1:15" s="6" customFormat="1" ht="15.75">
      <c r="A1102" s="285">
        <v>222</v>
      </c>
      <c r="B1102" s="329" t="s">
        <v>1058</v>
      </c>
      <c r="C1102" s="803">
        <v>264.89999999999998</v>
      </c>
      <c r="D1102" s="391"/>
      <c r="E1102" s="804"/>
      <c r="F1102" s="61">
        <f t="shared" si="145"/>
        <v>264.89999999999998</v>
      </c>
      <c r="G1102" s="8" t="s">
        <v>1342</v>
      </c>
      <c r="H1102" s="804">
        <v>216</v>
      </c>
      <c r="I1102" s="178">
        <f t="shared" si="148"/>
        <v>9.9259688159146365E-3</v>
      </c>
      <c r="J1102" s="39">
        <f t="shared" si="147"/>
        <v>22.523313619256381</v>
      </c>
      <c r="K1102" s="37">
        <f t="shared" si="146"/>
        <v>8.2818224178005728</v>
      </c>
      <c r="L1102" s="39">
        <v>8.5849179971071159</v>
      </c>
      <c r="M1102" s="39">
        <f t="shared" si="150"/>
        <v>6.7585921667562756</v>
      </c>
      <c r="N1102" s="39">
        <f t="shared" si="149"/>
        <v>8.2387238512758998</v>
      </c>
      <c r="O1102" s="94">
        <f t="shared" si="151"/>
        <v>0.17421157493741166</v>
      </c>
    </row>
    <row r="1103" spans="1:15" s="6" customFormat="1" ht="15.75">
      <c r="A1103" s="285">
        <v>223</v>
      </c>
      <c r="B1103" s="329" t="s">
        <v>1059</v>
      </c>
      <c r="C1103" s="803">
        <v>299.7</v>
      </c>
      <c r="D1103" s="391"/>
      <c r="E1103" s="804"/>
      <c r="F1103" s="61">
        <f t="shared" si="145"/>
        <v>299.7</v>
      </c>
      <c r="G1103" s="361" t="s">
        <v>1361</v>
      </c>
      <c r="H1103" s="804">
        <v>278</v>
      </c>
      <c r="I1103" s="178">
        <f t="shared" si="148"/>
        <v>1.2775089494556802E-2</v>
      </c>
      <c r="J1103" s="39">
        <f t="shared" si="147"/>
        <v>28.988338824783678</v>
      </c>
      <c r="K1103" s="37">
        <f t="shared" si="146"/>
        <v>10.659012185872959</v>
      </c>
      <c r="L1103" s="39">
        <v>11.049107422202674</v>
      </c>
      <c r="M1103" s="39">
        <f>I1103*1680.9</f>
        <v>21.473647931400528</v>
      </c>
      <c r="N1103" s="39">
        <f t="shared" si="149"/>
        <v>26.176376828377247</v>
      </c>
      <c r="O1103" s="94">
        <f t="shared" si="151"/>
        <v>0.24080782904324272</v>
      </c>
    </row>
    <row r="1104" spans="1:15" s="6" customFormat="1" ht="15.75">
      <c r="A1104" s="285">
        <v>224</v>
      </c>
      <c r="B1104" s="329" t="s">
        <v>1060</v>
      </c>
      <c r="C1104" s="803">
        <v>143.69999999999999</v>
      </c>
      <c r="D1104" s="391"/>
      <c r="E1104" s="804"/>
      <c r="F1104" s="61">
        <f t="shared" si="145"/>
        <v>143.69999999999999</v>
      </c>
      <c r="G1104" s="361" t="s">
        <v>1361</v>
      </c>
      <c r="H1104" s="804">
        <v>127</v>
      </c>
      <c r="I1104" s="178">
        <f t="shared" si="148"/>
        <v>5.8361020352831429E-3</v>
      </c>
      <c r="J1104" s="39">
        <f t="shared" si="147"/>
        <v>13.242874211322039</v>
      </c>
      <c r="K1104" s="37">
        <f t="shared" si="146"/>
        <v>4.8694048475031142</v>
      </c>
      <c r="L1104" s="39">
        <v>5.0476138223731644</v>
      </c>
      <c r="M1104" s="39">
        <f t="shared" si="150"/>
        <v>3.9738018758242917</v>
      </c>
      <c r="N1104" s="39">
        <f t="shared" si="149"/>
        <v>4.8440644866298115</v>
      </c>
      <c r="O1104" s="94">
        <f t="shared" si="151"/>
        <v>0.18882181459305925</v>
      </c>
    </row>
    <row r="1105" spans="1:15" s="6" customFormat="1" ht="15.75">
      <c r="A1105" s="285">
        <v>225</v>
      </c>
      <c r="B1105" s="329" t="s">
        <v>1061</v>
      </c>
      <c r="C1105" s="803">
        <v>295.10000000000002</v>
      </c>
      <c r="D1105" s="391"/>
      <c r="E1105" s="804"/>
      <c r="F1105" s="61">
        <f t="shared" si="145"/>
        <v>295.10000000000002</v>
      </c>
      <c r="G1105" s="19" t="s">
        <v>1342</v>
      </c>
      <c r="H1105" s="804">
        <v>282</v>
      </c>
      <c r="I1105" s="178">
        <f t="shared" si="148"/>
        <v>1.2958903731888554E-2</v>
      </c>
      <c r="J1105" s="39">
        <f t="shared" si="147"/>
        <v>29.405437225140275</v>
      </c>
      <c r="K1105" s="37">
        <f t="shared" si="146"/>
        <v>10.812379267684079</v>
      </c>
      <c r="L1105" s="39">
        <v>11.208087385112066</v>
      </c>
      <c r="M1105" s="39">
        <f>I1105*1280.9</f>
        <v>16.599059790176049</v>
      </c>
      <c r="N1105" s="39">
        <f t="shared" si="149"/>
        <v>20.234253884224607</v>
      </c>
      <c r="O1105" s="94">
        <f t="shared" si="151"/>
        <v>0.23051495651681619</v>
      </c>
    </row>
    <row r="1106" spans="1:15" s="6" customFormat="1" ht="15.75">
      <c r="A1106" s="285">
        <v>226</v>
      </c>
      <c r="B1106" s="329" t="s">
        <v>1062</v>
      </c>
      <c r="C1106" s="803">
        <v>148.69999999999999</v>
      </c>
      <c r="D1106" s="391"/>
      <c r="E1106" s="804"/>
      <c r="F1106" s="61">
        <f t="shared" si="145"/>
        <v>148.69999999999999</v>
      </c>
      <c r="G1106" s="361" t="s">
        <v>1361</v>
      </c>
      <c r="H1106" s="804">
        <v>123</v>
      </c>
      <c r="I1106" s="178">
        <f t="shared" si="148"/>
        <v>5.6522877979513905E-3</v>
      </c>
      <c r="J1106" s="39">
        <f t="shared" si="147"/>
        <v>12.825775810965439</v>
      </c>
      <c r="K1106" s="37">
        <f t="shared" si="146"/>
        <v>4.7160377656919925</v>
      </c>
      <c r="L1106" s="39">
        <v>4.8886338594637735</v>
      </c>
      <c r="M1106" s="39">
        <f t="shared" si="150"/>
        <v>3.8486427616251015</v>
      </c>
      <c r="N1106" s="39">
        <f t="shared" si="149"/>
        <v>4.691495526420999</v>
      </c>
      <c r="O1106" s="94">
        <f t="shared" si="151"/>
        <v>0.1767255561381729</v>
      </c>
    </row>
    <row r="1107" spans="1:15" s="6" customFormat="1" ht="15.75">
      <c r="A1107" s="285">
        <v>227</v>
      </c>
      <c r="B1107" s="329" t="s">
        <v>1063</v>
      </c>
      <c r="C1107" s="803">
        <v>339.7</v>
      </c>
      <c r="D1107" s="391"/>
      <c r="E1107" s="804"/>
      <c r="F1107" s="61">
        <f t="shared" si="145"/>
        <v>339.7</v>
      </c>
      <c r="G1107" s="19" t="s">
        <v>1342</v>
      </c>
      <c r="H1107" s="804">
        <v>348</v>
      </c>
      <c r="I1107" s="178">
        <f t="shared" si="148"/>
        <v>1.599183864786247E-2</v>
      </c>
      <c r="J1107" s="39">
        <f t="shared" si="147"/>
        <v>36.287560831024166</v>
      </c>
      <c r="K1107" s="37">
        <f t="shared" si="146"/>
        <v>13.342936117567588</v>
      </c>
      <c r="L1107" s="39">
        <v>13.831256773117017</v>
      </c>
      <c r="M1107" s="39">
        <f>I1107*1680.9</f>
        <v>26.880681583192025</v>
      </c>
      <c r="N1107" s="39">
        <f t="shared" si="149"/>
        <v>32.767550849911082</v>
      </c>
      <c r="O1107" s="94">
        <f t="shared" si="151"/>
        <v>0.26594770475390284</v>
      </c>
    </row>
    <row r="1108" spans="1:15" s="6" customFormat="1" ht="15.75">
      <c r="A1108" s="285">
        <v>228</v>
      </c>
      <c r="B1108" s="329" t="s">
        <v>1064</v>
      </c>
      <c r="C1108" s="803">
        <v>197.6</v>
      </c>
      <c r="D1108" s="391"/>
      <c r="E1108" s="804"/>
      <c r="F1108" s="61">
        <f t="shared" si="145"/>
        <v>197.6</v>
      </c>
      <c r="G1108" s="361" t="s">
        <v>1361</v>
      </c>
      <c r="H1108" s="804">
        <v>191</v>
      </c>
      <c r="I1108" s="178">
        <f t="shared" si="148"/>
        <v>8.7771298325911833E-3</v>
      </c>
      <c r="J1108" s="39">
        <f t="shared" si="147"/>
        <v>19.916448617027633</v>
      </c>
      <c r="K1108" s="37">
        <f t="shared" si="146"/>
        <v>7.3232781564810612</v>
      </c>
      <c r="L1108" s="39">
        <v>7.5912932289234201</v>
      </c>
      <c r="M1108" s="39">
        <f t="shared" si="150"/>
        <v>5.9763477030113368</v>
      </c>
      <c r="N1108" s="39">
        <f t="shared" si="149"/>
        <v>7.2851678499708203</v>
      </c>
      <c r="O1108" s="94">
        <f t="shared" si="151"/>
        <v>0.20651501875224421</v>
      </c>
    </row>
    <row r="1109" spans="1:15" s="6" customFormat="1" ht="15.75">
      <c r="A1109" s="285">
        <v>229</v>
      </c>
      <c r="B1109" s="329" t="s">
        <v>1065</v>
      </c>
      <c r="C1109" s="806">
        <v>251</v>
      </c>
      <c r="D1109" s="391"/>
      <c r="E1109" s="804"/>
      <c r="F1109" s="61">
        <f t="shared" si="145"/>
        <v>251</v>
      </c>
      <c r="G1109" s="8" t="s">
        <v>1342</v>
      </c>
      <c r="H1109" s="804">
        <v>152</v>
      </c>
      <c r="I1109" s="178">
        <f t="shared" si="148"/>
        <v>6.984941018606596E-3</v>
      </c>
      <c r="J1109" s="39">
        <f t="shared" si="147"/>
        <v>15.849739213550786</v>
      </c>
      <c r="K1109" s="37">
        <f t="shared" si="146"/>
        <v>5.8279491088226241</v>
      </c>
      <c r="L1109" s="39">
        <v>6.0412385905568584</v>
      </c>
      <c r="M1109" s="39">
        <f t="shared" si="150"/>
        <v>4.756046339569231</v>
      </c>
      <c r="N1109" s="39">
        <f t="shared" si="149"/>
        <v>5.7976204879348927</v>
      </c>
      <c r="O1109" s="94">
        <f t="shared" si="151"/>
        <v>0.12938236355577487</v>
      </c>
    </row>
    <row r="1110" spans="1:15" s="6" customFormat="1" ht="15.75">
      <c r="A1110" s="285">
        <v>230</v>
      </c>
      <c r="B1110" s="329" t="s">
        <v>1066</v>
      </c>
      <c r="C1110" s="803">
        <v>172.7</v>
      </c>
      <c r="D1110" s="391"/>
      <c r="E1110" s="804"/>
      <c r="F1110" s="61">
        <f t="shared" si="145"/>
        <v>172.7</v>
      </c>
      <c r="G1110" s="8" t="s">
        <v>1342</v>
      </c>
      <c r="H1110" s="804">
        <v>244</v>
      </c>
      <c r="I1110" s="178">
        <f t="shared" si="148"/>
        <v>1.1212668477236905E-2</v>
      </c>
      <c r="J1110" s="39">
        <f t="shared" si="147"/>
        <v>25.443002421752578</v>
      </c>
      <c r="K1110" s="37">
        <f t="shared" si="146"/>
        <v>9.3553919904784237</v>
      </c>
      <c r="L1110" s="39">
        <v>9.6977777374728511</v>
      </c>
      <c r="M1110" s="39">
        <f t="shared" si="150"/>
        <v>7.6347059661506078</v>
      </c>
      <c r="N1110" s="39">
        <f t="shared" si="149"/>
        <v>9.3067065727375908</v>
      </c>
      <c r="O1110" s="94">
        <f t="shared" si="151"/>
        <v>0.30185800877738539</v>
      </c>
    </row>
    <row r="1111" spans="1:15" s="6" customFormat="1" ht="15.75">
      <c r="A1111" s="285">
        <v>231</v>
      </c>
      <c r="B1111" s="329" t="s">
        <v>1067</v>
      </c>
      <c r="C1111" s="803">
        <v>294.2</v>
      </c>
      <c r="D1111" s="391"/>
      <c r="E1111" s="804"/>
      <c r="F1111" s="61">
        <f t="shared" si="145"/>
        <v>294.2</v>
      </c>
      <c r="G1111" s="8" t="s">
        <v>1342</v>
      </c>
      <c r="H1111" s="804">
        <v>201</v>
      </c>
      <c r="I1111" s="178">
        <f t="shared" si="148"/>
        <v>9.2366654259205642E-3</v>
      </c>
      <c r="J1111" s="39">
        <f t="shared" si="147"/>
        <v>20.959194617919131</v>
      </c>
      <c r="K1111" s="37">
        <f t="shared" si="146"/>
        <v>7.7066958610088649</v>
      </c>
      <c r="L1111" s="39">
        <v>7.9887431361968977</v>
      </c>
      <c r="M1111" s="39">
        <f t="shared" si="150"/>
        <v>6.2892454885093123</v>
      </c>
      <c r="N1111" s="39">
        <f t="shared" si="149"/>
        <v>7.6665902504928525</v>
      </c>
      <c r="O1111" s="94">
        <f t="shared" si="151"/>
        <v>0.14596831782336575</v>
      </c>
    </row>
    <row r="1112" spans="1:15" s="6" customFormat="1" ht="15.75">
      <c r="A1112" s="285">
        <v>232</v>
      </c>
      <c r="B1112" s="329" t="s">
        <v>1068</v>
      </c>
      <c r="C1112" s="803">
        <v>200.9</v>
      </c>
      <c r="D1112" s="391"/>
      <c r="E1112" s="804"/>
      <c r="F1112" s="61">
        <f t="shared" si="145"/>
        <v>200.9</v>
      </c>
      <c r="G1112" s="8" t="s">
        <v>1342</v>
      </c>
      <c r="H1112" s="804">
        <v>336</v>
      </c>
      <c r="I1112" s="178">
        <f t="shared" si="148"/>
        <v>1.5440395935867213E-2</v>
      </c>
      <c r="J1112" s="39">
        <f t="shared" si="147"/>
        <v>35.036265629954372</v>
      </c>
      <c r="K1112" s="37">
        <f t="shared" si="146"/>
        <v>12.882834872134223</v>
      </c>
      <c r="L1112" s="39">
        <v>13.354316884388844</v>
      </c>
      <c r="M1112" s="39">
        <f t="shared" si="150"/>
        <v>10.513365592731985</v>
      </c>
      <c r="N1112" s="39">
        <f t="shared" si="149"/>
        <v>12.815792657540291</v>
      </c>
      <c r="O1112" s="94">
        <f t="shared" si="151"/>
        <v>0.3573259481294645</v>
      </c>
    </row>
    <row r="1113" spans="1:15" s="6" customFormat="1" ht="15.75">
      <c r="A1113" s="285">
        <v>233</v>
      </c>
      <c r="B1113" s="329" t="s">
        <v>1069</v>
      </c>
      <c r="C1113" s="803">
        <v>297.8</v>
      </c>
      <c r="D1113" s="391"/>
      <c r="E1113" s="804"/>
      <c r="F1113" s="61">
        <f t="shared" si="145"/>
        <v>297.8</v>
      </c>
      <c r="G1113" s="361" t="s">
        <v>1361</v>
      </c>
      <c r="H1113" s="804">
        <v>184</v>
      </c>
      <c r="I1113" s="178">
        <f t="shared" si="148"/>
        <v>8.4554549172606158E-3</v>
      </c>
      <c r="J1113" s="39">
        <f t="shared" si="147"/>
        <v>19.186526416403581</v>
      </c>
      <c r="K1113" s="37">
        <f t="shared" si="146"/>
        <v>7.0548857633115976</v>
      </c>
      <c r="L1113" s="39">
        <v>7.3130782938319863</v>
      </c>
      <c r="M1113" s="39">
        <f>I1113*1680.9</f>
        <v>14.212774170423369</v>
      </c>
      <c r="N1113" s="39">
        <f t="shared" si="149"/>
        <v>17.325371713746087</v>
      </c>
      <c r="O1113" s="94">
        <f t="shared" si="151"/>
        <v>0.16040048570843027</v>
      </c>
    </row>
    <row r="1114" spans="1:15" s="6" customFormat="1" ht="15.75">
      <c r="A1114" s="285">
        <v>234</v>
      </c>
      <c r="B1114" s="329" t="s">
        <v>1070</v>
      </c>
      <c r="C1114" s="803">
        <v>124.6</v>
      </c>
      <c r="D1114" s="391"/>
      <c r="E1114" s="804"/>
      <c r="F1114" s="61">
        <f t="shared" si="145"/>
        <v>124.6</v>
      </c>
      <c r="G1114" s="361" t="s">
        <v>1361</v>
      </c>
      <c r="H1114" s="804">
        <v>128</v>
      </c>
      <c r="I1114" s="178">
        <f t="shared" si="148"/>
        <v>5.8820555946160809E-3</v>
      </c>
      <c r="J1114" s="39">
        <f t="shared" si="147"/>
        <v>13.347148811411188</v>
      </c>
      <c r="K1114" s="37">
        <f t="shared" si="146"/>
        <v>4.907746617955894</v>
      </c>
      <c r="L1114" s="39">
        <v>5.0873588131005123</v>
      </c>
      <c r="M1114" s="39">
        <f t="shared" si="150"/>
        <v>4.0050916543740893</v>
      </c>
      <c r="N1114" s="39">
        <f t="shared" si="149"/>
        <v>4.8822067266820151</v>
      </c>
      <c r="O1114" s="94">
        <f t="shared" si="151"/>
        <v>0.21948110671622539</v>
      </c>
    </row>
    <row r="1115" spans="1:15" s="6" customFormat="1" ht="15.75">
      <c r="A1115" s="285">
        <v>235</v>
      </c>
      <c r="B1115" s="329" t="s">
        <v>1071</v>
      </c>
      <c r="C1115" s="803">
        <v>132.19999999999999</v>
      </c>
      <c r="D1115" s="391"/>
      <c r="E1115" s="804"/>
      <c r="F1115" s="61">
        <f t="shared" si="145"/>
        <v>132.19999999999999</v>
      </c>
      <c r="G1115" s="361" t="s">
        <v>1361</v>
      </c>
      <c r="H1115" s="804">
        <v>186</v>
      </c>
      <c r="I1115" s="178">
        <f t="shared" si="148"/>
        <v>8.547362035926492E-3</v>
      </c>
      <c r="J1115" s="39">
        <f t="shared" si="147"/>
        <v>19.395075616581881</v>
      </c>
      <c r="K1115" s="37">
        <f t="shared" si="146"/>
        <v>7.131569304217158</v>
      </c>
      <c r="L1115" s="39">
        <v>7.3925682752866813</v>
      </c>
      <c r="M1115" s="39">
        <f>I1115*376.38</f>
        <v>3.2170561230820129</v>
      </c>
      <c r="N1115" s="39">
        <f t="shared" si="149"/>
        <v>3.9215914140369739</v>
      </c>
      <c r="O1115" s="94">
        <f t="shared" si="151"/>
        <v>0.28090975279249425</v>
      </c>
    </row>
    <row r="1116" spans="1:15" s="6" customFormat="1" ht="15.75">
      <c r="A1116" s="285">
        <v>236</v>
      </c>
      <c r="B1116" s="329" t="s">
        <v>1072</v>
      </c>
      <c r="C1116" s="803">
        <v>225.4</v>
      </c>
      <c r="D1116" s="391"/>
      <c r="E1116" s="804"/>
      <c r="F1116" s="61">
        <f t="shared" si="145"/>
        <v>225.4</v>
      </c>
      <c r="G1116" s="361" t="s">
        <v>1361</v>
      </c>
      <c r="H1116" s="804">
        <v>180</v>
      </c>
      <c r="I1116" s="178">
        <f t="shared" si="148"/>
        <v>8.2716406799288635E-3</v>
      </c>
      <c r="J1116" s="39">
        <f t="shared" si="147"/>
        <v>18.769428016046984</v>
      </c>
      <c r="K1116" s="37">
        <f t="shared" si="146"/>
        <v>6.9015186815004768</v>
      </c>
      <c r="L1116" s="39">
        <v>7.1540983309225954</v>
      </c>
      <c r="M1116" s="39">
        <f t="shared" si="150"/>
        <v>5.6321601389635632</v>
      </c>
      <c r="N1116" s="39">
        <f t="shared" si="149"/>
        <v>6.8656032093965838</v>
      </c>
      <c r="O1116" s="94">
        <f t="shared" si="151"/>
        <v>0.17061759169225205</v>
      </c>
    </row>
    <row r="1117" spans="1:15" s="6" customFormat="1" ht="15.75">
      <c r="A1117" s="285">
        <v>237</v>
      </c>
      <c r="B1117" s="329" t="s">
        <v>1073</v>
      </c>
      <c r="C1117" s="803">
        <v>415.6</v>
      </c>
      <c r="D1117" s="391"/>
      <c r="E1117" s="804"/>
      <c r="F1117" s="61">
        <f t="shared" si="145"/>
        <v>415.6</v>
      </c>
      <c r="G1117" s="8" t="s">
        <v>1342</v>
      </c>
      <c r="H1117" s="804">
        <v>300</v>
      </c>
      <c r="I1117" s="178">
        <f t="shared" si="148"/>
        <v>1.378606779988144E-2</v>
      </c>
      <c r="J1117" s="39">
        <f t="shared" si="147"/>
        <v>31.282380026744974</v>
      </c>
      <c r="K1117" s="37">
        <f t="shared" si="146"/>
        <v>11.502531135834127</v>
      </c>
      <c r="L1117" s="39">
        <v>11.923497218204327</v>
      </c>
      <c r="M1117" s="39">
        <f t="shared" si="150"/>
        <v>9.3869335649392713</v>
      </c>
      <c r="N1117" s="39">
        <f t="shared" si="149"/>
        <v>11.442672015660973</v>
      </c>
      <c r="O1117" s="94">
        <f t="shared" si="151"/>
        <v>0.15422363317065135</v>
      </c>
    </row>
    <row r="1118" spans="1:15" s="6" customFormat="1" ht="15.75">
      <c r="A1118" s="285">
        <v>238</v>
      </c>
      <c r="B1118" s="329" t="s">
        <v>1074</v>
      </c>
      <c r="C1118" s="803">
        <v>1495</v>
      </c>
      <c r="D1118" s="391"/>
      <c r="E1118" s="804"/>
      <c r="F1118" s="61">
        <f t="shared" si="145"/>
        <v>1495</v>
      </c>
      <c r="G1118" s="8" t="s">
        <v>1342</v>
      </c>
      <c r="H1118" s="804">
        <v>526</v>
      </c>
      <c r="I1118" s="178">
        <f t="shared" si="148"/>
        <v>2.4171572209125459E-2</v>
      </c>
      <c r="J1118" s="39">
        <f t="shared" si="147"/>
        <v>54.848439646892857</v>
      </c>
      <c r="K1118" s="37">
        <f t="shared" si="146"/>
        <v>20.167771258162507</v>
      </c>
      <c r="L1118" s="39">
        <v>20.905865122584917</v>
      </c>
      <c r="M1118" s="39">
        <f>I1118*1280.9</f>
        <v>30.961366842668802</v>
      </c>
      <c r="N1118" s="39">
        <f t="shared" si="149"/>
        <v>37.741906181213274</v>
      </c>
      <c r="O1118" s="94">
        <f t="shared" si="151"/>
        <v>8.4871868140674975E-2</v>
      </c>
    </row>
    <row r="1119" spans="1:15" s="6" customFormat="1" ht="15.75">
      <c r="A1119" s="285">
        <v>239</v>
      </c>
      <c r="B1119" s="329" t="s">
        <v>1075</v>
      </c>
      <c r="C1119" s="803">
        <v>288.60000000000002</v>
      </c>
      <c r="D1119" s="391"/>
      <c r="E1119" s="804"/>
      <c r="F1119" s="61">
        <f t="shared" si="145"/>
        <v>288.60000000000002</v>
      </c>
      <c r="G1119" s="361" t="s">
        <v>1361</v>
      </c>
      <c r="H1119" s="804">
        <v>237</v>
      </c>
      <c r="I1119" s="178">
        <f t="shared" si="148"/>
        <v>1.0890993561906337E-2</v>
      </c>
      <c r="J1119" s="39">
        <f t="shared" si="147"/>
        <v>24.713080221128529</v>
      </c>
      <c r="K1119" s="37">
        <f t="shared" si="146"/>
        <v>9.0869995973089601</v>
      </c>
      <c r="L1119" s="39">
        <v>9.4195628023814173</v>
      </c>
      <c r="M1119" s="39">
        <f t="shared" si="150"/>
        <v>7.4156775163020248</v>
      </c>
      <c r="N1119" s="39">
        <f t="shared" si="149"/>
        <v>9.0397108923721685</v>
      </c>
      <c r="O1119" s="94">
        <f t="shared" si="151"/>
        <v>0.17545155972668372</v>
      </c>
    </row>
    <row r="1120" spans="1:15" s="6" customFormat="1" ht="15.75">
      <c r="A1120" s="285">
        <v>240</v>
      </c>
      <c r="B1120" s="329" t="s">
        <v>1076</v>
      </c>
      <c r="C1120" s="803">
        <v>272.10000000000002</v>
      </c>
      <c r="D1120" s="391"/>
      <c r="E1120" s="804"/>
      <c r="F1120" s="61">
        <f t="shared" si="145"/>
        <v>272.10000000000002</v>
      </c>
      <c r="G1120" s="19" t="s">
        <v>1342</v>
      </c>
      <c r="H1120" s="804">
        <v>233</v>
      </c>
      <c r="I1120" s="178">
        <f t="shared" si="148"/>
        <v>1.0707179324574585E-2</v>
      </c>
      <c r="J1120" s="39">
        <f t="shared" si="147"/>
        <v>24.295981820771928</v>
      </c>
      <c r="K1120" s="37">
        <f t="shared" si="146"/>
        <v>8.9336325154978393</v>
      </c>
      <c r="L1120" s="39">
        <v>9.2605828394720273</v>
      </c>
      <c r="M1120" s="39">
        <f t="shared" si="150"/>
        <v>7.2905184021028342</v>
      </c>
      <c r="N1120" s="39">
        <f t="shared" si="149"/>
        <v>8.887141932163356</v>
      </c>
      <c r="O1120" s="94">
        <f t="shared" si="151"/>
        <v>0.18295007562603685</v>
      </c>
    </row>
    <row r="1121" spans="1:15" s="6" customFormat="1" ht="15.75">
      <c r="A1121" s="285">
        <v>241</v>
      </c>
      <c r="B1121" s="329" t="s">
        <v>1077</v>
      </c>
      <c r="C1121" s="803">
        <v>287.89999999999998</v>
      </c>
      <c r="D1121" s="391"/>
      <c r="E1121" s="804">
        <v>25.8</v>
      </c>
      <c r="F1121" s="61">
        <f t="shared" si="145"/>
        <v>313.7</v>
      </c>
      <c r="G1121" s="361" t="s">
        <v>1361</v>
      </c>
      <c r="H1121" s="804">
        <v>281</v>
      </c>
      <c r="I1121" s="178">
        <f t="shared" si="148"/>
        <v>1.2912950172555615E-2</v>
      </c>
      <c r="J1121" s="39">
        <f t="shared" si="147"/>
        <v>29.301162625051123</v>
      </c>
      <c r="K1121" s="37">
        <f t="shared" si="146"/>
        <v>10.7740374972313</v>
      </c>
      <c r="L1121" s="39">
        <v>11.168342394384718</v>
      </c>
      <c r="M1121" s="39">
        <f>I1121*376.38</f>
        <v>4.8601761859464823</v>
      </c>
      <c r="N1121" s="39">
        <f t="shared" si="149"/>
        <v>5.9245547706687622</v>
      </c>
      <c r="O1121" s="94">
        <f t="shared" si="151"/>
        <v>0.17884513453176162</v>
      </c>
    </row>
    <row r="1122" spans="1:15" s="6" customFormat="1" ht="15.75">
      <c r="A1122" s="285">
        <v>242</v>
      </c>
      <c r="B1122" s="329" t="s">
        <v>1078</v>
      </c>
      <c r="C1122" s="803">
        <v>731.71</v>
      </c>
      <c r="D1122" s="391"/>
      <c r="E1122" s="804">
        <v>128.69999999999999</v>
      </c>
      <c r="F1122" s="61">
        <f t="shared" si="145"/>
        <v>860.41000000000008</v>
      </c>
      <c r="G1122" s="19" t="s">
        <v>1342</v>
      </c>
      <c r="H1122" s="804">
        <v>416</v>
      </c>
      <c r="I1122" s="178">
        <f t="shared" si="148"/>
        <v>1.9116680682502264E-2</v>
      </c>
      <c r="J1122" s="39">
        <f t="shared" si="147"/>
        <v>43.37823363708636</v>
      </c>
      <c r="K1122" s="37">
        <f t="shared" si="146"/>
        <v>15.950176508356655</v>
      </c>
      <c r="L1122" s="39">
        <v>16.533916142576665</v>
      </c>
      <c r="M1122" s="39">
        <f>I1122*376.38</f>
        <v>7.1951362752802019</v>
      </c>
      <c r="N1122" s="39">
        <f t="shared" si="149"/>
        <v>8.7708711195665661</v>
      </c>
      <c r="O1122" s="94">
        <f t="shared" si="151"/>
        <v>9.6532423569344702E-2</v>
      </c>
    </row>
    <row r="1123" spans="1:15" s="6" customFormat="1" ht="15.75">
      <c r="A1123" s="285">
        <v>243</v>
      </c>
      <c r="B1123" s="329" t="s">
        <v>1079</v>
      </c>
      <c r="C1123" s="806">
        <v>294</v>
      </c>
      <c r="D1123" s="391"/>
      <c r="E1123" s="804"/>
      <c r="F1123" s="61">
        <f t="shared" si="145"/>
        <v>294</v>
      </c>
      <c r="G1123" s="361" t="s">
        <v>1361</v>
      </c>
      <c r="H1123" s="804">
        <v>289</v>
      </c>
      <c r="I1123" s="178">
        <f t="shared" si="148"/>
        <v>1.328057864721912E-2</v>
      </c>
      <c r="J1123" s="39">
        <f t="shared" si="147"/>
        <v>30.135359425764324</v>
      </c>
      <c r="K1123" s="37">
        <f t="shared" si="146"/>
        <v>11.080771660853543</v>
      </c>
      <c r="L1123" s="39">
        <v>11.4863023202035</v>
      </c>
      <c r="M1123" s="39">
        <f>I1123*376.38</f>
        <v>4.9985441912403319</v>
      </c>
      <c r="N1123" s="39">
        <f t="shared" si="149"/>
        <v>6.0932253691219653</v>
      </c>
      <c r="O1123" s="94">
        <f t="shared" si="151"/>
        <v>0.19626182856483571</v>
      </c>
    </row>
    <row r="1124" spans="1:15" s="6" customFormat="1" ht="15.75">
      <c r="A1124" s="285">
        <v>244</v>
      </c>
      <c r="B1124" s="329" t="s">
        <v>1080</v>
      </c>
      <c r="C1124" s="803">
        <v>1119.54</v>
      </c>
      <c r="D1124" s="391"/>
      <c r="E1124" s="804"/>
      <c r="F1124" s="61">
        <f t="shared" si="145"/>
        <v>1119.54</v>
      </c>
      <c r="G1124" s="361" t="s">
        <v>1361</v>
      </c>
      <c r="H1124" s="804">
        <v>470</v>
      </c>
      <c r="I1124" s="178">
        <f t="shared" si="148"/>
        <v>2.1598172886480922E-2</v>
      </c>
      <c r="J1124" s="39">
        <f t="shared" si="147"/>
        <v>49.009062041900457</v>
      </c>
      <c r="K1124" s="37">
        <f t="shared" si="146"/>
        <v>18.020632112806798</v>
      </c>
      <c r="L1124" s="39">
        <v>18.680145641853443</v>
      </c>
      <c r="M1124" s="39">
        <f>I1124*1680.9</f>
        <v>36.304368804885783</v>
      </c>
      <c r="N1124" s="39">
        <f t="shared" si="149"/>
        <v>44.25502557315577</v>
      </c>
      <c r="O1124" s="94">
        <f t="shared" si="151"/>
        <v>0.10898601979513593</v>
      </c>
    </row>
    <row r="1125" spans="1:15" s="6" customFormat="1" ht="15.75">
      <c r="A1125" s="285">
        <v>245</v>
      </c>
      <c r="B1125" s="329" t="s">
        <v>1081</v>
      </c>
      <c r="C1125" s="803">
        <v>542.66</v>
      </c>
      <c r="D1125" s="391"/>
      <c r="E1125" s="804"/>
      <c r="F1125" s="61">
        <f t="shared" si="145"/>
        <v>542.66</v>
      </c>
      <c r="G1125" s="361" t="s">
        <v>1361</v>
      </c>
      <c r="H1125" s="804">
        <v>449</v>
      </c>
      <c r="I1125" s="178">
        <f t="shared" si="148"/>
        <v>2.0633148140489221E-2</v>
      </c>
      <c r="J1125" s="39">
        <f t="shared" si="147"/>
        <v>46.819295440028313</v>
      </c>
      <c r="K1125" s="37">
        <f t="shared" si="146"/>
        <v>17.21545493329841</v>
      </c>
      <c r="L1125" s="39">
        <v>17.845500836579141</v>
      </c>
      <c r="M1125" s="39">
        <f t="shared" si="150"/>
        <v>14.04911056885911</v>
      </c>
      <c r="N1125" s="39">
        <f t="shared" si="149"/>
        <v>17.125865783439256</v>
      </c>
      <c r="O1125" s="94">
        <f t="shared" si="151"/>
        <v>0.176776179889369</v>
      </c>
    </row>
    <row r="1126" spans="1:15" s="6" customFormat="1" ht="15.75">
      <c r="A1126" s="285">
        <v>246</v>
      </c>
      <c r="B1126" s="329" t="s">
        <v>1082</v>
      </c>
      <c r="C1126" s="803">
        <v>507.72</v>
      </c>
      <c r="D1126" s="391"/>
      <c r="E1126" s="804"/>
      <c r="F1126" s="61">
        <f t="shared" ref="F1126:F1145" si="152">C1126+D1126+E1126</f>
        <v>507.72</v>
      </c>
      <c r="G1126" s="361" t="s">
        <v>1361</v>
      </c>
      <c r="H1126" s="804">
        <v>277</v>
      </c>
      <c r="I1126" s="178">
        <f t="shared" si="148"/>
        <v>1.2729135935223863E-2</v>
      </c>
      <c r="J1126" s="39">
        <f t="shared" si="147"/>
        <v>28.884064224694527</v>
      </c>
      <c r="K1126" s="37">
        <f t="shared" si="146"/>
        <v>10.620670415420179</v>
      </c>
      <c r="L1126" s="39">
        <v>11.009362431475326</v>
      </c>
      <c r="M1126" s="39">
        <f t="shared" si="150"/>
        <v>8.6672686582939278</v>
      </c>
      <c r="N1126" s="39">
        <f t="shared" si="149"/>
        <v>10.565400494460299</v>
      </c>
      <c r="O1126" s="94">
        <f t="shared" si="151"/>
        <v>0.11656299875893003</v>
      </c>
    </row>
    <row r="1127" spans="1:15" s="6" customFormat="1" ht="15.75">
      <c r="A1127" s="285">
        <v>247</v>
      </c>
      <c r="B1127" s="329" t="s">
        <v>1083</v>
      </c>
      <c r="C1127" s="803">
        <v>517.03</v>
      </c>
      <c r="D1127" s="391"/>
      <c r="E1127" s="804"/>
      <c r="F1127" s="61">
        <f t="shared" si="152"/>
        <v>517.03</v>
      </c>
      <c r="G1127" s="19" t="s">
        <v>1342</v>
      </c>
      <c r="H1127" s="804">
        <v>479</v>
      </c>
      <c r="I1127" s="178">
        <f t="shared" si="148"/>
        <v>2.2011754920477366E-2</v>
      </c>
      <c r="J1127" s="39">
        <f t="shared" si="147"/>
        <v>49.947533442702806</v>
      </c>
      <c r="K1127" s="37">
        <f t="shared" si="146"/>
        <v>18.365708046881824</v>
      </c>
      <c r="L1127" s="39">
        <v>19.037850558399573</v>
      </c>
      <c r="M1127" s="39">
        <f>I1127*376.38</f>
        <v>8.2847843169692705</v>
      </c>
      <c r="N1127" s="39">
        <f t="shared" si="149"/>
        <v>10.099152082385542</v>
      </c>
      <c r="O1127" s="94">
        <f t="shared" si="151"/>
        <v>0.18497161937402759</v>
      </c>
    </row>
    <row r="1128" spans="1:15" s="6" customFormat="1" ht="15.75">
      <c r="A1128" s="285">
        <v>248</v>
      </c>
      <c r="B1128" s="329" t="s">
        <v>1084</v>
      </c>
      <c r="C1128" s="803">
        <v>497.81</v>
      </c>
      <c r="D1128" s="391"/>
      <c r="E1128" s="804"/>
      <c r="F1128" s="61">
        <f t="shared" si="152"/>
        <v>497.81</v>
      </c>
      <c r="G1128" s="361" t="s">
        <v>1361</v>
      </c>
      <c r="H1128" s="804">
        <v>301</v>
      </c>
      <c r="I1128" s="178">
        <f t="shared" si="148"/>
        <v>1.3832021359214379E-2</v>
      </c>
      <c r="J1128" s="39">
        <f t="shared" si="147"/>
        <v>31.386654626834126</v>
      </c>
      <c r="K1128" s="37">
        <f t="shared" ref="K1128:K1144" si="153">J1128*0.3677</f>
        <v>11.540872906286909</v>
      </c>
      <c r="L1128" s="39">
        <v>11.963242208931675</v>
      </c>
      <c r="M1128" s="39">
        <f>I1128*376.38</f>
        <v>5.2060961991811077</v>
      </c>
      <c r="N1128" s="39">
        <f t="shared" si="149"/>
        <v>6.3462312668017704</v>
      </c>
      <c r="O1128" s="94">
        <f t="shared" si="151"/>
        <v>0.1207224964167731</v>
      </c>
    </row>
    <row r="1129" spans="1:15" s="6" customFormat="1" ht="15.75">
      <c r="A1129" s="285">
        <v>249</v>
      </c>
      <c r="B1129" s="329" t="s">
        <v>1085</v>
      </c>
      <c r="C1129" s="803">
        <v>301.3</v>
      </c>
      <c r="D1129" s="391"/>
      <c r="E1129" s="804"/>
      <c r="F1129" s="61">
        <f t="shared" si="152"/>
        <v>301.3</v>
      </c>
      <c r="G1129" s="361" t="s">
        <v>1361</v>
      </c>
      <c r="H1129" s="804">
        <v>300</v>
      </c>
      <c r="I1129" s="178">
        <f t="shared" si="148"/>
        <v>1.378606779988144E-2</v>
      </c>
      <c r="J1129" s="39">
        <f t="shared" si="147"/>
        <v>31.282380026744974</v>
      </c>
      <c r="K1129" s="37">
        <f t="shared" si="153"/>
        <v>11.502531135834127</v>
      </c>
      <c r="L1129" s="39">
        <v>11.923497218204327</v>
      </c>
      <c r="M1129" s="39">
        <f t="shared" si="150"/>
        <v>9.3869335649392713</v>
      </c>
      <c r="N1129" s="39">
        <f t="shared" si="149"/>
        <v>11.442672015660973</v>
      </c>
      <c r="O1129" s="94">
        <f t="shared" si="151"/>
        <v>0.21272931279695553</v>
      </c>
    </row>
    <row r="1130" spans="1:15" s="6" customFormat="1" ht="15.75">
      <c r="A1130" s="285">
        <v>250</v>
      </c>
      <c r="B1130" s="329" t="s">
        <v>1086</v>
      </c>
      <c r="C1130" s="803">
        <v>493.5</v>
      </c>
      <c r="D1130" s="391"/>
      <c r="E1130" s="804"/>
      <c r="F1130" s="61">
        <f t="shared" si="152"/>
        <v>493.5</v>
      </c>
      <c r="G1130" s="19" t="s">
        <v>1342</v>
      </c>
      <c r="H1130" s="804">
        <v>310</v>
      </c>
      <c r="I1130" s="178">
        <f t="shared" si="148"/>
        <v>1.4245603393210821E-2</v>
      </c>
      <c r="J1130" s="39">
        <f t="shared" si="147"/>
        <v>32.325126027636472</v>
      </c>
      <c r="K1130" s="37">
        <f t="shared" si="153"/>
        <v>11.885948840361932</v>
      </c>
      <c r="L1130" s="39">
        <v>12.320947125477803</v>
      </c>
      <c r="M1130" s="39">
        <f>I1130*1680.9</f>
        <v>23.945434743648068</v>
      </c>
      <c r="N1130" s="39">
        <f t="shared" si="149"/>
        <v>29.189484952506998</v>
      </c>
      <c r="O1130" s="94">
        <f t="shared" si="151"/>
        <v>0.16307488700531766</v>
      </c>
    </row>
    <row r="1131" spans="1:15" s="6" customFormat="1" ht="15.75">
      <c r="A1131" s="285">
        <v>251</v>
      </c>
      <c r="B1131" s="329" t="s">
        <v>1087</v>
      </c>
      <c r="C1131" s="803">
        <v>264.8</v>
      </c>
      <c r="D1131" s="391"/>
      <c r="E1131" s="804"/>
      <c r="F1131" s="61">
        <f t="shared" si="152"/>
        <v>264.8</v>
      </c>
      <c r="G1131" s="361" t="s">
        <v>1361</v>
      </c>
      <c r="H1131" s="804">
        <v>260</v>
      </c>
      <c r="I1131" s="178">
        <f t="shared" si="148"/>
        <v>1.1947925426563914E-2</v>
      </c>
      <c r="J1131" s="39">
        <f t="shared" si="147"/>
        <v>27.111396023178976</v>
      </c>
      <c r="K1131" s="37">
        <f t="shared" si="153"/>
        <v>9.9688603177229105</v>
      </c>
      <c r="L1131" s="39">
        <v>10.333697589110415</v>
      </c>
      <c r="M1131" s="39">
        <f t="shared" si="150"/>
        <v>8.1353424229473692</v>
      </c>
      <c r="N1131" s="39">
        <f t="shared" si="149"/>
        <v>9.9169824135728444</v>
      </c>
      <c r="O1131" s="94">
        <f t="shared" si="151"/>
        <v>0.20977830949002896</v>
      </c>
    </row>
    <row r="1132" spans="1:15" s="6" customFormat="1" ht="15.75">
      <c r="A1132" s="285">
        <v>252</v>
      </c>
      <c r="B1132" s="329" t="s">
        <v>1088</v>
      </c>
      <c r="C1132" s="803">
        <v>544.79999999999995</v>
      </c>
      <c r="D1132" s="391"/>
      <c r="E1132" s="804"/>
      <c r="F1132" s="61">
        <f t="shared" si="152"/>
        <v>544.79999999999995</v>
      </c>
      <c r="G1132" s="8" t="s">
        <v>1342</v>
      </c>
      <c r="H1132" s="804">
        <v>350</v>
      </c>
      <c r="I1132" s="178">
        <f t="shared" si="148"/>
        <v>1.6083745766528348E-2</v>
      </c>
      <c r="J1132" s="39">
        <f t="shared" si="147"/>
        <v>36.49611003120247</v>
      </c>
      <c r="K1132" s="37">
        <f t="shared" si="153"/>
        <v>13.419619658473149</v>
      </c>
      <c r="L1132" s="39">
        <v>13.910746754571713</v>
      </c>
      <c r="M1132" s="39">
        <f>I1132*376.38</f>
        <v>6.0536002316059392</v>
      </c>
      <c r="N1132" s="39">
        <f t="shared" si="149"/>
        <v>7.3793386823276403</v>
      </c>
      <c r="O1132" s="94">
        <f t="shared" si="151"/>
        <v>0.12826739477946639</v>
      </c>
    </row>
    <row r="1133" spans="1:15" s="6" customFormat="1" ht="15.75">
      <c r="A1133" s="285">
        <v>253</v>
      </c>
      <c r="B1133" s="329" t="s">
        <v>1089</v>
      </c>
      <c r="C1133" s="806">
        <v>205</v>
      </c>
      <c r="D1133" s="391"/>
      <c r="E1133" s="804"/>
      <c r="F1133" s="61">
        <f t="shared" si="152"/>
        <v>205</v>
      </c>
      <c r="G1133" s="8" t="s">
        <v>1342</v>
      </c>
      <c r="H1133" s="804">
        <v>211</v>
      </c>
      <c r="I1133" s="178">
        <f t="shared" si="148"/>
        <v>9.6962010192499452E-3</v>
      </c>
      <c r="J1133" s="39">
        <f t="shared" si="147"/>
        <v>22.001940618810629</v>
      </c>
      <c r="K1133" s="37">
        <f t="shared" si="153"/>
        <v>8.0901135655366687</v>
      </c>
      <c r="L1133" s="39">
        <v>8.3861930434703744</v>
      </c>
      <c r="M1133" s="39">
        <f>I1133*1680.9</f>
        <v>16.298344293257234</v>
      </c>
      <c r="N1133" s="39">
        <f t="shared" si="149"/>
        <v>19.86768169348057</v>
      </c>
      <c r="O1133" s="94">
        <f t="shared" si="151"/>
        <v>0.26720288546865806</v>
      </c>
    </row>
    <row r="1134" spans="1:15" s="6" customFormat="1" ht="15.75">
      <c r="A1134" s="285">
        <v>254</v>
      </c>
      <c r="B1134" s="329" t="s">
        <v>1090</v>
      </c>
      <c r="C1134" s="803">
        <v>577.32000000000005</v>
      </c>
      <c r="D1134" s="391"/>
      <c r="E1134" s="804"/>
      <c r="F1134" s="61">
        <f t="shared" si="152"/>
        <v>577.32000000000005</v>
      </c>
      <c r="G1134" s="361" t="s">
        <v>1361</v>
      </c>
      <c r="H1134" s="804">
        <v>343</v>
      </c>
      <c r="I1134" s="178">
        <f t="shared" si="148"/>
        <v>1.5762070851197778E-2</v>
      </c>
      <c r="J1134" s="39">
        <f t="shared" si="147"/>
        <v>35.766187830578417</v>
      </c>
      <c r="K1134" s="37">
        <f t="shared" si="153"/>
        <v>13.151227265303685</v>
      </c>
      <c r="L1134" s="39">
        <v>13.632531819480279</v>
      </c>
      <c r="M1134" s="39">
        <f>I1134*1680.9</f>
        <v>26.494464893778346</v>
      </c>
      <c r="N1134" s="39">
        <f t="shared" si="149"/>
        <v>32.296752705515807</v>
      </c>
      <c r="O1134" s="94">
        <f t="shared" si="151"/>
        <v>0.15423753171402466</v>
      </c>
    </row>
    <row r="1135" spans="1:15" s="6" customFormat="1" ht="15.75">
      <c r="A1135" s="285">
        <v>255</v>
      </c>
      <c r="B1135" s="329" t="s">
        <v>1091</v>
      </c>
      <c r="C1135" s="807">
        <v>353</v>
      </c>
      <c r="D1135" s="391"/>
      <c r="E1135" s="804"/>
      <c r="F1135" s="61">
        <f t="shared" si="152"/>
        <v>353</v>
      </c>
      <c r="G1135" s="19" t="s">
        <v>1342</v>
      </c>
      <c r="H1135" s="804">
        <v>345</v>
      </c>
      <c r="I1135" s="178">
        <f t="shared" si="148"/>
        <v>1.5853977969863656E-2</v>
      </c>
      <c r="J1135" s="39">
        <f t="shared" si="147"/>
        <v>35.974737030756721</v>
      </c>
      <c r="K1135" s="37">
        <f t="shared" si="153"/>
        <v>13.227910806209247</v>
      </c>
      <c r="L1135" s="39">
        <v>13.712021800934973</v>
      </c>
      <c r="M1135" s="39">
        <f t="shared" si="150"/>
        <v>10.794973599680164</v>
      </c>
      <c r="N1135" s="39">
        <f t="shared" si="149"/>
        <v>13.15907281801012</v>
      </c>
      <c r="O1135" s="94">
        <f t="shared" si="151"/>
        <v>0.20880918764187281</v>
      </c>
    </row>
    <row r="1136" spans="1:15" s="6" customFormat="1" ht="15.75">
      <c r="A1136" s="285">
        <v>256</v>
      </c>
      <c r="B1136" s="329" t="s">
        <v>1092</v>
      </c>
      <c r="C1136" s="803">
        <v>623.29999999999995</v>
      </c>
      <c r="D1136" s="804"/>
      <c r="E1136" s="809">
        <v>23</v>
      </c>
      <c r="F1136" s="61">
        <f t="shared" si="152"/>
        <v>646.29999999999995</v>
      </c>
      <c r="G1136" s="361" t="s">
        <v>1361</v>
      </c>
      <c r="H1136" s="804">
        <v>300</v>
      </c>
      <c r="I1136" s="178">
        <f t="shared" si="148"/>
        <v>1.378606779988144E-2</v>
      </c>
      <c r="J1136" s="39">
        <f t="shared" si="147"/>
        <v>31.282380026744974</v>
      </c>
      <c r="K1136" s="37">
        <f t="shared" si="153"/>
        <v>11.502531135834127</v>
      </c>
      <c r="L1136" s="39">
        <v>11.923497218204327</v>
      </c>
      <c r="M1136" s="39">
        <f t="shared" si="150"/>
        <v>9.3869335649392713</v>
      </c>
      <c r="N1136" s="39">
        <f t="shared" si="149"/>
        <v>11.442672015660973</v>
      </c>
      <c r="O1136" s="94">
        <f t="shared" si="151"/>
        <v>9.9172740129541567E-2</v>
      </c>
    </row>
    <row r="1137" spans="1:17" s="6" customFormat="1" ht="15.75">
      <c r="A1137" s="285">
        <v>257</v>
      </c>
      <c r="B1137" s="329" t="s">
        <v>1093</v>
      </c>
      <c r="C1137" s="803">
        <v>281.89999999999998</v>
      </c>
      <c r="D1137" s="391"/>
      <c r="E1137" s="804"/>
      <c r="F1137" s="61">
        <f t="shared" si="152"/>
        <v>281.89999999999998</v>
      </c>
      <c r="G1137" s="19" t="s">
        <v>1342</v>
      </c>
      <c r="H1137" s="804">
        <v>305</v>
      </c>
      <c r="I1137" s="178">
        <f t="shared" si="148"/>
        <v>1.4015835596546131E-2</v>
      </c>
      <c r="J1137" s="39">
        <f t="shared" ref="J1137:J1145" si="154">I1137*2269.13</f>
        <v>31.803753027190723</v>
      </c>
      <c r="K1137" s="37">
        <f t="shared" si="153"/>
        <v>11.69423998809803</v>
      </c>
      <c r="L1137" s="39">
        <v>12.122222171841065</v>
      </c>
      <c r="M1137" s="39">
        <f t="shared" si="150"/>
        <v>9.54338245768826</v>
      </c>
      <c r="N1137" s="39">
        <f t="shared" si="149"/>
        <v>11.63338321592199</v>
      </c>
      <c r="O1137" s="94">
        <f t="shared" si="151"/>
        <v>0.23115855851301201</v>
      </c>
    </row>
    <row r="1138" spans="1:17" s="6" customFormat="1" ht="15.75">
      <c r="A1138" s="285">
        <v>258</v>
      </c>
      <c r="B1138" s="329" t="s">
        <v>1094</v>
      </c>
      <c r="C1138" s="803">
        <v>305.10000000000002</v>
      </c>
      <c r="D1138" s="391"/>
      <c r="E1138" s="804"/>
      <c r="F1138" s="61">
        <f t="shared" si="152"/>
        <v>305.10000000000002</v>
      </c>
      <c r="G1138" s="361" t="s">
        <v>1361</v>
      </c>
      <c r="H1138" s="804">
        <v>290</v>
      </c>
      <c r="I1138" s="178">
        <f t="shared" ref="I1138:I1146" si="155">4/87044.4*H1138</f>
        <v>1.3326532206552059E-2</v>
      </c>
      <c r="J1138" s="39">
        <f t="shared" si="154"/>
        <v>30.239634025853473</v>
      </c>
      <c r="K1138" s="37">
        <f t="shared" si="153"/>
        <v>11.119113431306323</v>
      </c>
      <c r="L1138" s="39">
        <v>11.526047310930847</v>
      </c>
      <c r="M1138" s="39">
        <f t="shared" si="150"/>
        <v>9.0740357794412958</v>
      </c>
      <c r="N1138" s="39">
        <f t="shared" ref="N1138:N1146" si="156">M1138*1.219</f>
        <v>11.061249615138941</v>
      </c>
      <c r="O1138" s="94">
        <f t="shared" si="151"/>
        <v>0.20307712404959666</v>
      </c>
    </row>
    <row r="1139" spans="1:17" s="6" customFormat="1" ht="15.75">
      <c r="A1139" s="285">
        <v>259</v>
      </c>
      <c r="B1139" s="329" t="s">
        <v>1095</v>
      </c>
      <c r="C1139" s="803">
        <v>369.45</v>
      </c>
      <c r="D1139" s="391"/>
      <c r="E1139" s="804"/>
      <c r="F1139" s="61">
        <f t="shared" si="152"/>
        <v>369.45</v>
      </c>
      <c r="G1139" s="361" t="s">
        <v>1361</v>
      </c>
      <c r="H1139" s="804">
        <v>371</v>
      </c>
      <c r="I1139" s="178">
        <f t="shared" si="155"/>
        <v>1.7048770512520049E-2</v>
      </c>
      <c r="J1139" s="39">
        <f t="shared" si="154"/>
        <v>38.685876633074621</v>
      </c>
      <c r="K1139" s="37">
        <f t="shared" si="153"/>
        <v>14.22479683798154</v>
      </c>
      <c r="L1139" s="39">
        <v>14.745391559846015</v>
      </c>
      <c r="M1139" s="39">
        <f t="shared" si="150"/>
        <v>11.6085078419749</v>
      </c>
      <c r="N1139" s="39">
        <f t="shared" si="156"/>
        <v>14.150771059367404</v>
      </c>
      <c r="O1139" s="94">
        <f t="shared" si="151"/>
        <v>0.21454749728752759</v>
      </c>
    </row>
    <row r="1140" spans="1:17" s="6" customFormat="1" ht="15.75">
      <c r="A1140" s="285">
        <v>260</v>
      </c>
      <c r="B1140" s="329" t="s">
        <v>1096</v>
      </c>
      <c r="C1140" s="803">
        <v>453.11</v>
      </c>
      <c r="D1140" s="391"/>
      <c r="E1140" s="804"/>
      <c r="F1140" s="61">
        <f t="shared" si="152"/>
        <v>453.11</v>
      </c>
      <c r="G1140" s="8" t="s">
        <v>1342</v>
      </c>
      <c r="H1140" s="804">
        <v>342</v>
      </c>
      <c r="I1140" s="178">
        <f t="shared" si="155"/>
        <v>1.5716117291864843E-2</v>
      </c>
      <c r="J1140" s="39">
        <f t="shared" si="154"/>
        <v>35.661913230489276</v>
      </c>
      <c r="K1140" s="37">
        <f t="shared" si="153"/>
        <v>13.112885494850907</v>
      </c>
      <c r="L1140" s="39">
        <v>13.592786828752931</v>
      </c>
      <c r="M1140" s="39">
        <f t="shared" si="150"/>
        <v>10.701104264030771</v>
      </c>
      <c r="N1140" s="39">
        <f t="shared" si="156"/>
        <v>13.04464609785351</v>
      </c>
      <c r="O1140" s="94">
        <f t="shared" si="151"/>
        <v>0.16126037787319611</v>
      </c>
    </row>
    <row r="1141" spans="1:17" s="6" customFormat="1" ht="15.75">
      <c r="A1141" s="285">
        <v>261</v>
      </c>
      <c r="B1141" s="329" t="s">
        <v>1097</v>
      </c>
      <c r="C1141" s="803">
        <v>351.1</v>
      </c>
      <c r="D1141" s="391">
        <v>377.9</v>
      </c>
      <c r="E1141" s="804"/>
      <c r="F1141" s="61">
        <f t="shared" si="152"/>
        <v>729</v>
      </c>
      <c r="G1141" s="8" t="s">
        <v>1342</v>
      </c>
      <c r="H1141" s="804">
        <v>354</v>
      </c>
      <c r="I1141" s="178">
        <f t="shared" si="155"/>
        <v>1.62675600038601E-2</v>
      </c>
      <c r="J1141" s="39">
        <f t="shared" si="154"/>
        <v>36.91320843155907</v>
      </c>
      <c r="K1141" s="37">
        <f t="shared" si="153"/>
        <v>13.572986740284271</v>
      </c>
      <c r="L1141" s="39">
        <v>14.069726717481103</v>
      </c>
      <c r="M1141" s="39">
        <f>I1141*2480.9</f>
        <v>40.358189613576521</v>
      </c>
      <c r="N1141" s="39">
        <f t="shared" si="156"/>
        <v>49.196633138949785</v>
      </c>
      <c r="O1141" s="94">
        <f t="shared" si="151"/>
        <v>0.14391510494225099</v>
      </c>
    </row>
    <row r="1142" spans="1:17" s="6" customFormat="1" ht="15.75">
      <c r="A1142" s="285">
        <v>262</v>
      </c>
      <c r="B1142" s="329" t="s">
        <v>1098</v>
      </c>
      <c r="C1142" s="803">
        <v>422.76</v>
      </c>
      <c r="D1142" s="391"/>
      <c r="E1142" s="804"/>
      <c r="F1142" s="61">
        <f t="shared" si="152"/>
        <v>422.76</v>
      </c>
      <c r="G1142" s="8" t="s">
        <v>1342</v>
      </c>
      <c r="H1142" s="804">
        <v>333</v>
      </c>
      <c r="I1142" s="178">
        <f t="shared" si="155"/>
        <v>1.5302535257868398E-2</v>
      </c>
      <c r="J1142" s="39">
        <f t="shared" si="154"/>
        <v>34.723441829686919</v>
      </c>
      <c r="K1142" s="37">
        <f t="shared" si="153"/>
        <v>12.767809560775881</v>
      </c>
      <c r="L1142" s="39">
        <v>13.235081912206802</v>
      </c>
      <c r="M1142" s="39">
        <f t="shared" si="150"/>
        <v>10.419496257082592</v>
      </c>
      <c r="N1142" s="39">
        <f t="shared" si="156"/>
        <v>12.701365937383681</v>
      </c>
      <c r="O1142" s="94">
        <f t="shared" si="151"/>
        <v>0.16828893357874966</v>
      </c>
    </row>
    <row r="1143" spans="1:17" s="6" customFormat="1" ht="15.75">
      <c r="A1143" s="285">
        <v>263</v>
      </c>
      <c r="B1143" s="329" t="s">
        <v>1099</v>
      </c>
      <c r="C1143" s="803">
        <v>152.30000000000001</v>
      </c>
      <c r="D1143" s="391"/>
      <c r="E1143" s="804"/>
      <c r="F1143" s="61">
        <f t="shared" si="152"/>
        <v>152.30000000000001</v>
      </c>
      <c r="G1143" s="361" t="s">
        <v>1361</v>
      </c>
      <c r="H1143" s="804">
        <v>221</v>
      </c>
      <c r="I1143" s="178">
        <f t="shared" si="155"/>
        <v>1.0155736612579328E-2</v>
      </c>
      <c r="J1143" s="39">
        <f t="shared" si="154"/>
        <v>23.04468661970213</v>
      </c>
      <c r="K1143" s="37">
        <f t="shared" si="153"/>
        <v>8.4735312700644734</v>
      </c>
      <c r="L1143" s="39">
        <v>8.7836429507438538</v>
      </c>
      <c r="M1143" s="39">
        <f t="shared" si="150"/>
        <v>6.9150410595052643</v>
      </c>
      <c r="N1143" s="39">
        <f t="shared" si="156"/>
        <v>8.4294350515369185</v>
      </c>
      <c r="O1143" s="94">
        <f t="shared" si="151"/>
        <v>0.31002561982938753</v>
      </c>
    </row>
    <row r="1144" spans="1:17" s="6" customFormat="1" ht="15.75">
      <c r="A1144" s="285">
        <v>264</v>
      </c>
      <c r="B1144" s="329" t="s">
        <v>1100</v>
      </c>
      <c r="C1144" s="864">
        <v>252.6</v>
      </c>
      <c r="D1144" s="391"/>
      <c r="E1144" s="804"/>
      <c r="F1144" s="61">
        <f t="shared" si="152"/>
        <v>252.6</v>
      </c>
      <c r="G1144" s="361" t="s">
        <v>1361</v>
      </c>
      <c r="H1144" s="804">
        <v>230</v>
      </c>
      <c r="I1144" s="178">
        <f t="shared" si="155"/>
        <v>1.056931864657577E-2</v>
      </c>
      <c r="J1144" s="39">
        <f t="shared" si="154"/>
        <v>23.983158020504476</v>
      </c>
      <c r="K1144" s="37">
        <f t="shared" si="153"/>
        <v>8.8186072041394965</v>
      </c>
      <c r="L1144" s="39">
        <v>9.1413478672899835</v>
      </c>
      <c r="M1144" s="39">
        <f t="shared" si="150"/>
        <v>7.1966490664534417</v>
      </c>
      <c r="N1144" s="39">
        <f t="shared" si="156"/>
        <v>8.7727152120067462</v>
      </c>
      <c r="O1144" s="94">
        <f t="shared" si="151"/>
        <v>0.19453587552805779</v>
      </c>
    </row>
    <row r="1145" spans="1:17" s="6" customFormat="1" ht="15.75">
      <c r="A1145" s="285">
        <v>265</v>
      </c>
      <c r="B1145" s="285" t="s">
        <v>1101</v>
      </c>
      <c r="C1145" s="803">
        <v>143.69999999999999</v>
      </c>
      <c r="D1145" s="8"/>
      <c r="E1145" s="8"/>
      <c r="F1145" s="61">
        <f t="shared" si="152"/>
        <v>143.69999999999999</v>
      </c>
      <c r="G1145" s="361" t="s">
        <v>1361</v>
      </c>
      <c r="H1145" s="804">
        <v>142</v>
      </c>
      <c r="I1145" s="178">
        <f t="shared" si="155"/>
        <v>6.5254054252772151E-3</v>
      </c>
      <c r="J1145" s="39">
        <f t="shared" si="154"/>
        <v>14.806993212659288</v>
      </c>
      <c r="K1145" s="37">
        <f>J1145*0.3677</f>
        <v>5.4445314042948203</v>
      </c>
      <c r="L1145" s="39">
        <v>5.6437886832833808</v>
      </c>
      <c r="M1145" s="39">
        <f>I1145*680.9</f>
        <v>4.4431485540712554</v>
      </c>
      <c r="N1145" s="39">
        <f t="shared" si="156"/>
        <v>5.4161980874128606</v>
      </c>
      <c r="O1145" s="94">
        <f t="shared" si="151"/>
        <v>0.21112360371822372</v>
      </c>
    </row>
    <row r="1146" spans="1:17" s="69" customFormat="1" ht="15.75">
      <c r="A1146" s="152"/>
      <c r="B1146" s="174" t="s">
        <v>681</v>
      </c>
      <c r="C1146" s="332">
        <f>SUM(C881:C1145)</f>
        <v>279334.62999999971</v>
      </c>
      <c r="D1146" s="332">
        <f>SUM(D881:D1145)</f>
        <v>1257.6999999999998</v>
      </c>
      <c r="E1146" s="332">
        <f>SUM(E881:E1145)</f>
        <v>1827.8000000000002</v>
      </c>
      <c r="F1146" s="63">
        <f t="shared" ref="F1146:F1201" si="157">C1146+D1146+E1146</f>
        <v>282420.12999999971</v>
      </c>
      <c r="G1146" s="63"/>
      <c r="H1146" s="63">
        <f>SUM(H881:H1145)</f>
        <v>87044.4</v>
      </c>
      <c r="I1146" s="178">
        <f t="shared" si="155"/>
        <v>3.9999999999999996</v>
      </c>
      <c r="J1146" s="39">
        <f>I1146*2269.13</f>
        <v>9076.5199999999986</v>
      </c>
      <c r="K1146" s="316">
        <f t="shared" ref="K1146:K1201" si="158">J1146*0.3677</f>
        <v>3337.4364039999996</v>
      </c>
      <c r="L1146" s="39">
        <f>SUM(L880:L1145)</f>
        <v>3459.5788708675527</v>
      </c>
      <c r="M1146" s="39">
        <f>SUM(M880:M1145)</f>
        <v>3707.8435483500384</v>
      </c>
      <c r="N1146" s="39">
        <f t="shared" si="156"/>
        <v>4519.8612854386975</v>
      </c>
      <c r="O1146" s="94">
        <f t="shared" si="151"/>
        <v>6.9334217866189679E-2</v>
      </c>
      <c r="P1146" s="239"/>
    </row>
    <row r="1147" spans="1:17" s="209" customFormat="1" ht="15.75">
      <c r="A1147" s="384" t="s">
        <v>617</v>
      </c>
      <c r="C1147" s="339"/>
      <c r="D1147" s="339"/>
      <c r="E1147" s="339"/>
      <c r="F1147" s="339">
        <f t="shared" si="157"/>
        <v>0</v>
      </c>
      <c r="G1147" s="737"/>
      <c r="J1147" s="39">
        <f>I1147*2077.52</f>
        <v>0</v>
      </c>
      <c r="K1147" s="342"/>
      <c r="L1147" s="39"/>
      <c r="M1147" s="341"/>
      <c r="N1147" s="341"/>
      <c r="O1147" s="94" t="e">
        <f t="shared" si="151"/>
        <v>#DIV/0!</v>
      </c>
      <c r="P1147" s="343"/>
    </row>
    <row r="1148" spans="1:17" s="209" customFormat="1" ht="18">
      <c r="A1148" s="374">
        <v>1</v>
      </c>
      <c r="B1148" s="339" t="s">
        <v>480</v>
      </c>
      <c r="C1148" s="386">
        <v>219.1</v>
      </c>
      <c r="D1148" s="386"/>
      <c r="E1148" s="386"/>
      <c r="F1148" s="61">
        <f t="shared" si="157"/>
        <v>219.1</v>
      </c>
      <c r="G1148" s="339" t="s">
        <v>1341</v>
      </c>
      <c r="H1148" s="24">
        <v>122</v>
      </c>
      <c r="I1148" s="661">
        <f t="shared" ref="I1148:I1201" si="159">2/30878.2*H1148</f>
        <v>7.9020150138285252E-3</v>
      </c>
      <c r="J1148" s="39">
        <f t="shared" ref="J1148:J1201" si="160">I1148*2269.13</f>
        <v>17.930699328328721</v>
      </c>
      <c r="K1148" s="37">
        <f t="shared" si="158"/>
        <v>6.5931181430264711</v>
      </c>
      <c r="L1148" s="39">
        <v>6.8758844180394272</v>
      </c>
      <c r="M1148" s="39">
        <f t="shared" ref="M1148:M1201" si="161">I1148*376.38</f>
        <v>2.9741604109047803</v>
      </c>
      <c r="N1148" s="39"/>
      <c r="O1148" s="94">
        <f t="shared" si="151"/>
        <v>0.15688663760976448</v>
      </c>
      <c r="P1148" s="339"/>
      <c r="Q1148" s="339"/>
    </row>
    <row r="1149" spans="1:17" s="209" customFormat="1" ht="18">
      <c r="A1149" s="374">
        <v>2</v>
      </c>
      <c r="B1149" s="339" t="s">
        <v>481</v>
      </c>
      <c r="C1149" s="330">
        <v>265.10000000000002</v>
      </c>
      <c r="D1149" s="330"/>
      <c r="E1149" s="330"/>
      <c r="F1149" s="61">
        <f t="shared" si="157"/>
        <v>265.10000000000002</v>
      </c>
      <c r="G1149" s="339" t="s">
        <v>1341</v>
      </c>
      <c r="H1149" s="24">
        <v>214</v>
      </c>
      <c r="I1149" s="661">
        <f t="shared" si="159"/>
        <v>1.3860911581633644E-2</v>
      </c>
      <c r="J1149" s="39">
        <f t="shared" si="160"/>
        <v>31.452210297232352</v>
      </c>
      <c r="K1149" s="37">
        <f t="shared" si="158"/>
        <v>11.564977726292337</v>
      </c>
      <c r="L1149" s="39">
        <v>12.060977585741291</v>
      </c>
      <c r="M1149" s="39">
        <f t="shared" si="161"/>
        <v>5.216969901095271</v>
      </c>
      <c r="N1149" s="39"/>
      <c r="O1149" s="94">
        <f t="shared" si="151"/>
        <v>0.22744298570487079</v>
      </c>
      <c r="P1149" s="339"/>
      <c r="Q1149" s="339"/>
    </row>
    <row r="1150" spans="1:17" s="209" customFormat="1" ht="18">
      <c r="A1150" s="374">
        <v>3</v>
      </c>
      <c r="B1150" s="339" t="s">
        <v>482</v>
      </c>
      <c r="C1150" s="330">
        <v>352.7</v>
      </c>
      <c r="D1150" s="330"/>
      <c r="E1150" s="330"/>
      <c r="F1150" s="61">
        <f t="shared" si="157"/>
        <v>352.7</v>
      </c>
      <c r="G1150" s="339" t="s">
        <v>1341</v>
      </c>
      <c r="H1150" s="24">
        <v>164</v>
      </c>
      <c r="I1150" s="661">
        <f t="shared" si="159"/>
        <v>1.0622380838261298E-2</v>
      </c>
      <c r="J1150" s="39">
        <f t="shared" si="160"/>
        <v>24.103563031523858</v>
      </c>
      <c r="K1150" s="37">
        <f t="shared" si="158"/>
        <v>8.8628801266913229</v>
      </c>
      <c r="L1150" s="39">
        <v>9.2429921685120178</v>
      </c>
      <c r="M1150" s="39">
        <f t="shared" si="161"/>
        <v>3.9980516999047873</v>
      </c>
      <c r="N1150" s="39"/>
      <c r="O1150" s="94">
        <f t="shared" si="151"/>
        <v>0.13101073724590864</v>
      </c>
      <c r="P1150" s="339" t="s">
        <v>574</v>
      </c>
      <c r="Q1150" s="339" t="s">
        <v>649</v>
      </c>
    </row>
    <row r="1151" spans="1:17" s="209" customFormat="1" ht="18">
      <c r="A1151" s="374">
        <v>4</v>
      </c>
      <c r="B1151" s="339" t="s">
        <v>483</v>
      </c>
      <c r="C1151" s="330">
        <v>350.15</v>
      </c>
      <c r="D1151" s="330"/>
      <c r="E1151" s="330"/>
      <c r="F1151" s="61">
        <f t="shared" si="157"/>
        <v>350.15</v>
      </c>
      <c r="G1151" s="339" t="s">
        <v>1341</v>
      </c>
      <c r="H1151" s="24">
        <v>152</v>
      </c>
      <c r="I1151" s="661">
        <f t="shared" si="159"/>
        <v>9.8451334598519333E-3</v>
      </c>
      <c r="J1151" s="39">
        <f t="shared" si="160"/>
        <v>22.339887687753819</v>
      </c>
      <c r="K1151" s="37">
        <f t="shared" si="158"/>
        <v>8.2143767027870798</v>
      </c>
      <c r="L1151" s="39">
        <v>8.5666756683769911</v>
      </c>
      <c r="M1151" s="39">
        <f t="shared" si="161"/>
        <v>3.7055113316190704</v>
      </c>
      <c r="N1151" s="39"/>
      <c r="O1151" s="94">
        <f t="shared" si="151"/>
        <v>0.12230887159942014</v>
      </c>
      <c r="P1151" s="339">
        <v>1</v>
      </c>
      <c r="Q1151" s="339" t="s">
        <v>650</v>
      </c>
    </row>
    <row r="1152" spans="1:17" s="209" customFormat="1" ht="18">
      <c r="A1152" s="374">
        <v>5</v>
      </c>
      <c r="B1152" s="339" t="s">
        <v>484</v>
      </c>
      <c r="C1152" s="330">
        <v>348.6</v>
      </c>
      <c r="D1152" s="330"/>
      <c r="E1152" s="330"/>
      <c r="F1152" s="61">
        <f t="shared" si="157"/>
        <v>348.6</v>
      </c>
      <c r="G1152" s="339" t="s">
        <v>1341</v>
      </c>
      <c r="H1152" s="24">
        <v>155</v>
      </c>
      <c r="I1152" s="661">
        <f t="shared" si="159"/>
        <v>1.0039445304454275E-2</v>
      </c>
      <c r="J1152" s="39">
        <f t="shared" si="160"/>
        <v>22.780806523696331</v>
      </c>
      <c r="K1152" s="37">
        <f t="shared" si="158"/>
        <v>8.376502558763141</v>
      </c>
      <c r="L1152" s="39">
        <v>8.7357547934107487</v>
      </c>
      <c r="M1152" s="39">
        <f t="shared" si="161"/>
        <v>3.7786464236905002</v>
      </c>
      <c r="N1152" s="39"/>
      <c r="O1152" s="94">
        <f t="shared" si="151"/>
        <v>0.12527742484096591</v>
      </c>
      <c r="P1152" s="339"/>
      <c r="Q1152" s="339" t="s">
        <v>651</v>
      </c>
    </row>
    <row r="1153" spans="1:17" s="209" customFormat="1" ht="18">
      <c r="A1153" s="374">
        <v>6</v>
      </c>
      <c r="B1153" s="339" t="s">
        <v>485</v>
      </c>
      <c r="C1153" s="330">
        <v>430.37</v>
      </c>
      <c r="D1153" s="330"/>
      <c r="E1153" s="330"/>
      <c r="F1153" s="61">
        <f t="shared" si="157"/>
        <v>430.37</v>
      </c>
      <c r="G1153" s="339" t="s">
        <v>1341</v>
      </c>
      <c r="H1153" s="24">
        <v>206</v>
      </c>
      <c r="I1153" s="661">
        <f t="shared" si="159"/>
        <v>1.3342746662694069E-2</v>
      </c>
      <c r="J1153" s="39">
        <f t="shared" si="160"/>
        <v>30.276426734718992</v>
      </c>
      <c r="K1153" s="37">
        <f t="shared" si="158"/>
        <v>11.132642110356175</v>
      </c>
      <c r="L1153" s="39">
        <v>11.610099918984607</v>
      </c>
      <c r="M1153" s="39">
        <f t="shared" si="161"/>
        <v>5.0219429889047937</v>
      </c>
      <c r="N1153" s="39"/>
      <c r="O1153" s="94">
        <f t="shared" si="151"/>
        <v>0.13486328450627266</v>
      </c>
      <c r="P1153" s="339"/>
      <c r="Q1153" s="339" t="s">
        <v>652</v>
      </c>
    </row>
    <row r="1154" spans="1:17" s="6" customFormat="1" ht="18">
      <c r="A1154" s="105">
        <v>7</v>
      </c>
      <c r="B1154" s="32" t="s">
        <v>486</v>
      </c>
      <c r="C1154" s="330">
        <v>79.3</v>
      </c>
      <c r="D1154" s="330"/>
      <c r="E1154" s="330"/>
      <c r="F1154" s="61">
        <f t="shared" si="157"/>
        <v>79.3</v>
      </c>
      <c r="G1154" s="8" t="s">
        <v>1342</v>
      </c>
      <c r="H1154" s="24">
        <v>98</v>
      </c>
      <c r="I1154" s="661">
        <f t="shared" si="159"/>
        <v>6.3475202570097995E-3</v>
      </c>
      <c r="J1154" s="39">
        <f t="shared" si="160"/>
        <v>14.403348640788646</v>
      </c>
      <c r="K1154" s="37">
        <f t="shared" si="158"/>
        <v>5.2961112952179858</v>
      </c>
      <c r="L1154" s="39">
        <v>5.5232514177693766</v>
      </c>
      <c r="M1154" s="39">
        <f>I1154*680.9</f>
        <v>4.3220265429979721</v>
      </c>
      <c r="N1154" s="39"/>
      <c r="O1154" s="94">
        <f t="shared" si="151"/>
        <v>0.3725692042468346</v>
      </c>
      <c r="P1154" s="8"/>
      <c r="Q1154" s="8" t="s">
        <v>653</v>
      </c>
    </row>
    <row r="1155" spans="1:17" s="6" customFormat="1" ht="18">
      <c r="A1155" s="105">
        <v>8</v>
      </c>
      <c r="B1155" s="32" t="s">
        <v>487</v>
      </c>
      <c r="C1155" s="330">
        <v>70.099999999999994</v>
      </c>
      <c r="D1155" s="330"/>
      <c r="E1155" s="330"/>
      <c r="F1155" s="61">
        <f t="shared" si="157"/>
        <v>70.099999999999994</v>
      </c>
      <c r="G1155" s="8" t="s">
        <v>1342</v>
      </c>
      <c r="H1155" s="24">
        <v>126</v>
      </c>
      <c r="I1155" s="661">
        <f t="shared" si="159"/>
        <v>8.1610974732983128E-3</v>
      </c>
      <c r="J1155" s="39">
        <f t="shared" si="160"/>
        <v>18.518591109585401</v>
      </c>
      <c r="K1155" s="37">
        <f t="shared" si="158"/>
        <v>6.8092859509945525</v>
      </c>
      <c r="L1155" s="39">
        <v>7.1013232514177691</v>
      </c>
      <c r="M1155" s="39">
        <f>I1155*680.9</f>
        <v>5.5568912695688208</v>
      </c>
      <c r="N1155" s="39"/>
      <c r="O1155" s="94">
        <f t="shared" si="151"/>
        <v>0.54188433069281805</v>
      </c>
      <c r="P1155" s="8">
        <v>2</v>
      </c>
      <c r="Q1155" s="8" t="s">
        <v>654</v>
      </c>
    </row>
    <row r="1156" spans="1:17" s="209" customFormat="1" ht="18">
      <c r="A1156" s="374">
        <v>9</v>
      </c>
      <c r="B1156" s="339" t="s">
        <v>488</v>
      </c>
      <c r="C1156" s="330">
        <v>326.92</v>
      </c>
      <c r="D1156" s="330"/>
      <c r="E1156" s="330"/>
      <c r="F1156" s="61">
        <f t="shared" si="157"/>
        <v>326.92</v>
      </c>
      <c r="G1156" s="339" t="s">
        <v>1341</v>
      </c>
      <c r="H1156" s="24">
        <v>155</v>
      </c>
      <c r="I1156" s="661">
        <f t="shared" si="159"/>
        <v>1.0039445304454275E-2</v>
      </c>
      <c r="J1156" s="39">
        <f t="shared" si="160"/>
        <v>22.780806523696331</v>
      </c>
      <c r="K1156" s="37">
        <f t="shared" si="158"/>
        <v>8.376502558763141</v>
      </c>
      <c r="L1156" s="39">
        <v>8.7357547934107487</v>
      </c>
      <c r="M1156" s="39">
        <f t="shared" si="161"/>
        <v>3.7786464236905002</v>
      </c>
      <c r="N1156" s="39"/>
      <c r="O1156" s="94">
        <f t="shared" si="151"/>
        <v>0.13358531230747803</v>
      </c>
      <c r="P1156" s="339"/>
      <c r="Q1156" s="339" t="s">
        <v>658</v>
      </c>
    </row>
    <row r="1157" spans="1:17" s="209" customFormat="1" ht="18">
      <c r="A1157" s="374">
        <v>10</v>
      </c>
      <c r="B1157" s="339" t="s">
        <v>489</v>
      </c>
      <c r="C1157" s="330">
        <v>322.55</v>
      </c>
      <c r="D1157" s="330"/>
      <c r="E1157" s="330"/>
      <c r="F1157" s="61">
        <f t="shared" si="157"/>
        <v>322.55</v>
      </c>
      <c r="G1157" s="339" t="s">
        <v>1341</v>
      </c>
      <c r="H1157" s="24">
        <v>153</v>
      </c>
      <c r="I1157" s="661">
        <f t="shared" si="159"/>
        <v>9.9099040747193806E-3</v>
      </c>
      <c r="J1157" s="39">
        <f t="shared" si="160"/>
        <v>22.486860633067991</v>
      </c>
      <c r="K1157" s="37">
        <f t="shared" si="158"/>
        <v>8.2684186547791008</v>
      </c>
      <c r="L1157" s="39">
        <v>8.6230353767215782</v>
      </c>
      <c r="M1157" s="39">
        <f t="shared" si="161"/>
        <v>3.7298896956428806</v>
      </c>
      <c r="N1157" s="39"/>
      <c r="O1157" s="94">
        <f t="shared" si="151"/>
        <v>0.13364813008901427</v>
      </c>
      <c r="P1157" s="339"/>
      <c r="Q1157" s="339" t="s">
        <v>656</v>
      </c>
    </row>
    <row r="1158" spans="1:17" s="6" customFormat="1" ht="18">
      <c r="A1158" s="105">
        <v>11</v>
      </c>
      <c r="B1158" s="32" t="s">
        <v>490</v>
      </c>
      <c r="C1158" s="330">
        <v>415.5</v>
      </c>
      <c r="D1158" s="330"/>
      <c r="E1158" s="330"/>
      <c r="F1158" s="61">
        <f t="shared" si="157"/>
        <v>415.5</v>
      </c>
      <c r="G1158" s="8" t="s">
        <v>1342</v>
      </c>
      <c r="H1158" s="24">
        <v>237</v>
      </c>
      <c r="I1158" s="661">
        <f t="shared" si="159"/>
        <v>1.5350635723584923E-2</v>
      </c>
      <c r="J1158" s="39">
        <f t="shared" si="160"/>
        <v>34.832588039458258</v>
      </c>
      <c r="K1158" s="37">
        <f t="shared" si="158"/>
        <v>12.807942622108802</v>
      </c>
      <c r="L1158" s="39">
        <v>13.357250877666758</v>
      </c>
      <c r="M1158" s="39">
        <f>I1158*680.9</f>
        <v>10.452247864188973</v>
      </c>
      <c r="N1158" s="39"/>
      <c r="O1158" s="94">
        <f t="shared" si="151"/>
        <v>0.17196156294445919</v>
      </c>
      <c r="P1158" s="8">
        <v>3</v>
      </c>
      <c r="Q1158" s="8" t="s">
        <v>657</v>
      </c>
    </row>
    <row r="1159" spans="1:17" s="6" customFormat="1" ht="18">
      <c r="A1159" s="105">
        <v>12</v>
      </c>
      <c r="B1159" s="32" t="s">
        <v>491</v>
      </c>
      <c r="C1159" s="330">
        <v>372.82</v>
      </c>
      <c r="D1159" s="330"/>
      <c r="E1159" s="330"/>
      <c r="F1159" s="61">
        <f t="shared" si="157"/>
        <v>372.82</v>
      </c>
      <c r="G1159" s="8" t="s">
        <v>1342</v>
      </c>
      <c r="H1159" s="24">
        <v>142</v>
      </c>
      <c r="I1159" s="661">
        <f t="shared" si="159"/>
        <v>9.1974273111774651E-3</v>
      </c>
      <c r="J1159" s="39">
        <f t="shared" si="160"/>
        <v>20.870158234612123</v>
      </c>
      <c r="K1159" s="37">
        <f t="shared" si="158"/>
        <v>7.6739571828668787</v>
      </c>
      <c r="L1159" s="39">
        <v>8.0030785849311368</v>
      </c>
      <c r="M1159" s="39">
        <f>I1159*680.9</f>
        <v>6.2625282561807358</v>
      </c>
      <c r="N1159" s="39"/>
      <c r="O1159" s="94">
        <f t="shared" ref="O1159:O1222" si="162">(M1159+L1159+K1159+J1159)/F1159</f>
        <v>0.11482678573732867</v>
      </c>
      <c r="P1159" s="8"/>
      <c r="Q1159" s="8" t="s">
        <v>651</v>
      </c>
    </row>
    <row r="1160" spans="1:17" s="6" customFormat="1" ht="18">
      <c r="A1160" s="105">
        <v>13</v>
      </c>
      <c r="B1160" s="32" t="s">
        <v>492</v>
      </c>
      <c r="C1160" s="330">
        <v>282.76</v>
      </c>
      <c r="D1160" s="330"/>
      <c r="E1160" s="330"/>
      <c r="F1160" s="61">
        <f t="shared" si="157"/>
        <v>282.76</v>
      </c>
      <c r="G1160" s="8" t="s">
        <v>1342</v>
      </c>
      <c r="H1160" s="24">
        <v>0</v>
      </c>
      <c r="I1160" s="661">
        <f t="shared" si="159"/>
        <v>0</v>
      </c>
      <c r="J1160" s="39">
        <f t="shared" si="160"/>
        <v>0</v>
      </c>
      <c r="K1160" s="37">
        <f t="shared" si="158"/>
        <v>0</v>
      </c>
      <c r="L1160" s="39">
        <v>0</v>
      </c>
      <c r="M1160" s="39">
        <f>I1160*680.9</f>
        <v>0</v>
      </c>
      <c r="N1160" s="39"/>
      <c r="O1160" s="94">
        <v>0</v>
      </c>
      <c r="P1160" s="8"/>
      <c r="Q1160" s="8" t="s">
        <v>655</v>
      </c>
    </row>
    <row r="1161" spans="1:17" s="6" customFormat="1" ht="18">
      <c r="A1161" s="105">
        <v>15</v>
      </c>
      <c r="B1161" s="32" t="s">
        <v>493</v>
      </c>
      <c r="C1161" s="330">
        <v>180.5</v>
      </c>
      <c r="D1161" s="330"/>
      <c r="E1161" s="330"/>
      <c r="F1161" s="61">
        <f t="shared" si="157"/>
        <v>180.5</v>
      </c>
      <c r="G1161" s="8" t="s">
        <v>1342</v>
      </c>
      <c r="H1161" s="24">
        <v>192</v>
      </c>
      <c r="I1161" s="661">
        <f t="shared" si="159"/>
        <v>1.2435958054549811E-2</v>
      </c>
      <c r="J1161" s="39">
        <f t="shared" si="160"/>
        <v>28.218805500320613</v>
      </c>
      <c r="K1161" s="37">
        <f t="shared" si="158"/>
        <v>10.376054782467889</v>
      </c>
      <c r="L1161" s="39">
        <v>10.82106400216041</v>
      </c>
      <c r="M1161" s="39">
        <f>I1161*680.9</f>
        <v>8.4676438393429656</v>
      </c>
      <c r="N1161" s="39"/>
      <c r="O1161" s="94">
        <f t="shared" si="162"/>
        <v>0.3206845879462154</v>
      </c>
      <c r="P1161" s="8">
        <v>4</v>
      </c>
      <c r="Q1161" s="8" t="s">
        <v>659</v>
      </c>
    </row>
    <row r="1162" spans="1:17" s="209" customFormat="1" ht="18">
      <c r="A1162" s="374">
        <v>17</v>
      </c>
      <c r="B1162" s="339" t="s">
        <v>494</v>
      </c>
      <c r="C1162" s="330">
        <v>5520.77</v>
      </c>
      <c r="D1162" s="330"/>
      <c r="E1162" s="330"/>
      <c r="F1162" s="61">
        <f t="shared" si="157"/>
        <v>5520.77</v>
      </c>
      <c r="G1162" s="339" t="s">
        <v>1341</v>
      </c>
      <c r="H1162" s="24">
        <v>927</v>
      </c>
      <c r="I1162" s="661">
        <f t="shared" si="159"/>
        <v>6.004235998212331E-2</v>
      </c>
      <c r="J1162" s="39">
        <f t="shared" si="160"/>
        <v>136.24392030623548</v>
      </c>
      <c r="K1162" s="37">
        <f t="shared" si="158"/>
        <v>50.096889496602792</v>
      </c>
      <c r="L1162" s="39">
        <v>52.245449635430731</v>
      </c>
      <c r="M1162" s="39">
        <f t="shared" si="161"/>
        <v>22.59874345007157</v>
      </c>
      <c r="N1162" s="39"/>
      <c r="O1162" s="94">
        <f t="shared" si="162"/>
        <v>4.730952437582811E-2</v>
      </c>
    </row>
    <row r="1163" spans="1:17" s="209" customFormat="1" ht="18">
      <c r="A1163" s="374">
        <v>18</v>
      </c>
      <c r="B1163" s="339" t="s">
        <v>495</v>
      </c>
      <c r="C1163" s="330">
        <v>5310.85</v>
      </c>
      <c r="D1163" s="330"/>
      <c r="E1163" s="330"/>
      <c r="F1163" s="61">
        <f t="shared" si="157"/>
        <v>5310.85</v>
      </c>
      <c r="G1163" s="339" t="s">
        <v>1341</v>
      </c>
      <c r="H1163" s="24">
        <v>927</v>
      </c>
      <c r="I1163" s="661">
        <f t="shared" si="159"/>
        <v>6.004235998212331E-2</v>
      </c>
      <c r="J1163" s="39">
        <f t="shared" si="160"/>
        <v>136.24392030623548</v>
      </c>
      <c r="K1163" s="37">
        <f t="shared" si="158"/>
        <v>50.096889496602792</v>
      </c>
      <c r="L1163" s="39">
        <v>52.245449635430731</v>
      </c>
      <c r="M1163" s="39">
        <f t="shared" si="161"/>
        <v>22.59874345007157</v>
      </c>
      <c r="N1163" s="39"/>
      <c r="O1163" s="94">
        <f t="shared" si="162"/>
        <v>4.9179510415157758E-2</v>
      </c>
    </row>
    <row r="1164" spans="1:17" s="209" customFormat="1" ht="18">
      <c r="A1164" s="374">
        <v>19</v>
      </c>
      <c r="B1164" s="339" t="s">
        <v>496</v>
      </c>
      <c r="C1164" s="330">
        <v>5405.43</v>
      </c>
      <c r="D1164" s="330"/>
      <c r="E1164" s="330"/>
      <c r="F1164" s="61">
        <f t="shared" si="157"/>
        <v>5405.43</v>
      </c>
      <c r="G1164" s="339" t="s">
        <v>1341</v>
      </c>
      <c r="H1164" s="24">
        <v>927.6</v>
      </c>
      <c r="I1164" s="661">
        <f t="shared" si="159"/>
        <v>6.0081222351043774E-2</v>
      </c>
      <c r="J1164" s="39">
        <f t="shared" si="160"/>
        <v>136.33210407342398</v>
      </c>
      <c r="K1164" s="37">
        <f t="shared" si="158"/>
        <v>50.129314667797999</v>
      </c>
      <c r="L1164" s="39">
        <v>52.279265460437486</v>
      </c>
      <c r="M1164" s="39">
        <f t="shared" si="161"/>
        <v>22.613370468485854</v>
      </c>
      <c r="N1164" s="39"/>
      <c r="O1164" s="94">
        <f t="shared" si="162"/>
        <v>4.8350280120202337E-2</v>
      </c>
    </row>
    <row r="1165" spans="1:17" s="209" customFormat="1" ht="18">
      <c r="A1165" s="374">
        <v>20</v>
      </c>
      <c r="B1165" s="339" t="s">
        <v>497</v>
      </c>
      <c r="C1165" s="330">
        <v>349.2</v>
      </c>
      <c r="D1165" s="330"/>
      <c r="E1165" s="330"/>
      <c r="F1165" s="61">
        <f t="shared" si="157"/>
        <v>349.2</v>
      </c>
      <c r="G1165" s="339" t="s">
        <v>1341</v>
      </c>
      <c r="H1165" s="24">
        <v>147</v>
      </c>
      <c r="I1165" s="661">
        <f t="shared" si="159"/>
        <v>9.5212803855147E-3</v>
      </c>
      <c r="J1165" s="39">
        <f t="shared" si="160"/>
        <v>21.605022961182971</v>
      </c>
      <c r="K1165" s="37">
        <f t="shared" si="158"/>
        <v>7.9441669428269792</v>
      </c>
      <c r="L1165" s="39">
        <v>8.2848771266540648</v>
      </c>
      <c r="M1165" s="39">
        <f t="shared" si="161"/>
        <v>3.5836195115000229</v>
      </c>
      <c r="N1165" s="39"/>
      <c r="O1165" s="94">
        <f t="shared" si="162"/>
        <v>0.11860734977710205</v>
      </c>
    </row>
    <row r="1166" spans="1:17" s="209" customFormat="1" ht="18">
      <c r="A1166" s="374">
        <v>21</v>
      </c>
      <c r="B1166" s="339" t="s">
        <v>498</v>
      </c>
      <c r="C1166" s="330">
        <v>433.4</v>
      </c>
      <c r="D1166" s="330"/>
      <c r="E1166" s="330"/>
      <c r="F1166" s="61">
        <f t="shared" si="157"/>
        <v>433.4</v>
      </c>
      <c r="G1166" s="339" t="s">
        <v>1341</v>
      </c>
      <c r="H1166" s="24">
        <v>162</v>
      </c>
      <c r="I1166" s="661">
        <f t="shared" si="159"/>
        <v>1.0492839608526403E-2</v>
      </c>
      <c r="J1166" s="39">
        <f t="shared" si="160"/>
        <v>23.809617140895519</v>
      </c>
      <c r="K1166" s="37">
        <f t="shared" si="158"/>
        <v>8.7547962227072826</v>
      </c>
      <c r="L1166" s="39">
        <v>9.1302727518228473</v>
      </c>
      <c r="M1166" s="39">
        <f t="shared" si="161"/>
        <v>3.9492949718571677</v>
      </c>
      <c r="N1166" s="39"/>
      <c r="O1166" s="94">
        <f t="shared" si="162"/>
        <v>0.10531606157656397</v>
      </c>
    </row>
    <row r="1167" spans="1:17" s="209" customFormat="1" ht="18">
      <c r="A1167" s="374">
        <v>22</v>
      </c>
      <c r="B1167" s="339" t="s">
        <v>499</v>
      </c>
      <c r="C1167" s="330">
        <v>360.2</v>
      </c>
      <c r="D1167" s="330"/>
      <c r="E1167" s="330"/>
      <c r="F1167" s="61">
        <f t="shared" si="157"/>
        <v>360.2</v>
      </c>
      <c r="G1167" s="339" t="s">
        <v>1341</v>
      </c>
      <c r="H1167" s="24">
        <v>146</v>
      </c>
      <c r="I1167" s="661">
        <f t="shared" si="159"/>
        <v>9.4565097706472527E-3</v>
      </c>
      <c r="J1167" s="39">
        <f t="shared" si="160"/>
        <v>21.458050015868803</v>
      </c>
      <c r="K1167" s="37">
        <f t="shared" si="158"/>
        <v>7.8901249908349591</v>
      </c>
      <c r="L1167" s="39">
        <v>8.2285174183094796</v>
      </c>
      <c r="M1167" s="39">
        <f t="shared" si="161"/>
        <v>3.5592411474762131</v>
      </c>
      <c r="N1167" s="39"/>
      <c r="O1167" s="94">
        <f t="shared" si="162"/>
        <v>0.11420303601468476</v>
      </c>
    </row>
    <row r="1168" spans="1:17" s="6" customFormat="1" ht="18">
      <c r="A1168" s="105">
        <v>23</v>
      </c>
      <c r="B1168" s="32" t="s">
        <v>500</v>
      </c>
      <c r="C1168" s="330">
        <v>31.8</v>
      </c>
      <c r="D1168" s="330"/>
      <c r="E1168" s="330"/>
      <c r="F1168" s="61">
        <f t="shared" si="157"/>
        <v>31.8</v>
      </c>
      <c r="G1168" s="8" t="s">
        <v>1342</v>
      </c>
      <c r="H1168" s="24">
        <v>42</v>
      </c>
      <c r="I1168" s="661">
        <f t="shared" si="159"/>
        <v>2.7203658244327714E-3</v>
      </c>
      <c r="J1168" s="39">
        <f t="shared" si="160"/>
        <v>6.1728637031951346</v>
      </c>
      <c r="K1168" s="37">
        <f t="shared" si="158"/>
        <v>2.2697619836648513</v>
      </c>
      <c r="L1168" s="39">
        <v>2.3671077504725901</v>
      </c>
      <c r="M1168" s="39">
        <f>I1168*680.9</f>
        <v>1.8522970898562741</v>
      </c>
      <c r="N1168" s="39"/>
      <c r="O1168" s="94">
        <f t="shared" si="162"/>
        <v>0.39817706060342295</v>
      </c>
    </row>
    <row r="1169" spans="1:15" s="209" customFormat="1" ht="18">
      <c r="A1169" s="374">
        <v>24</v>
      </c>
      <c r="B1169" s="339" t="s">
        <v>501</v>
      </c>
      <c r="C1169" s="330">
        <v>357.19</v>
      </c>
      <c r="D1169" s="330"/>
      <c r="E1169" s="330"/>
      <c r="F1169" s="61">
        <f t="shared" si="157"/>
        <v>357.19</v>
      </c>
      <c r="G1169" s="339" t="s">
        <v>1341</v>
      </c>
      <c r="H1169" s="24">
        <v>181</v>
      </c>
      <c r="I1169" s="661">
        <f t="shared" si="159"/>
        <v>1.1723481291007896E-2</v>
      </c>
      <c r="J1169" s="39">
        <f t="shared" si="160"/>
        <v>26.602103101864749</v>
      </c>
      <c r="K1169" s="37">
        <f t="shared" si="158"/>
        <v>9.7815933105556692</v>
      </c>
      <c r="L1169" s="39">
        <v>10.201107210369971</v>
      </c>
      <c r="M1169" s="39">
        <f t="shared" si="161"/>
        <v>4.4124838883095521</v>
      </c>
      <c r="N1169" s="39"/>
      <c r="O1169" s="94">
        <f t="shared" si="162"/>
        <v>0.14277355892130222</v>
      </c>
    </row>
    <row r="1170" spans="1:15" s="209" customFormat="1" ht="18">
      <c r="A1170" s="374">
        <v>25</v>
      </c>
      <c r="B1170" s="339" t="s">
        <v>502</v>
      </c>
      <c r="C1170" s="330">
        <v>306.39999999999998</v>
      </c>
      <c r="D1170" s="330"/>
      <c r="E1170" s="330"/>
      <c r="F1170" s="61">
        <f t="shared" si="157"/>
        <v>306.39999999999998</v>
      </c>
      <c r="G1170" s="339" t="s">
        <v>1341</v>
      </c>
      <c r="H1170" s="24">
        <v>149</v>
      </c>
      <c r="I1170" s="661">
        <f t="shared" si="159"/>
        <v>9.650821615249593E-3</v>
      </c>
      <c r="J1170" s="39">
        <f t="shared" si="160"/>
        <v>21.898968851811311</v>
      </c>
      <c r="K1170" s="37">
        <f t="shared" si="158"/>
        <v>8.0522508468110203</v>
      </c>
      <c r="L1170" s="39">
        <v>8.3975965433432354</v>
      </c>
      <c r="M1170" s="39">
        <f t="shared" si="161"/>
        <v>3.6323762395476415</v>
      </c>
      <c r="N1170" s="39"/>
      <c r="O1170" s="94">
        <f t="shared" si="162"/>
        <v>0.13701433577517366</v>
      </c>
    </row>
    <row r="1171" spans="1:15" s="209" customFormat="1" ht="18">
      <c r="A1171" s="374">
        <v>26</v>
      </c>
      <c r="B1171" s="339" t="s">
        <v>503</v>
      </c>
      <c r="C1171" s="330">
        <v>407.2</v>
      </c>
      <c r="D1171" s="330"/>
      <c r="E1171" s="330"/>
      <c r="F1171" s="61">
        <f t="shared" si="157"/>
        <v>407.2</v>
      </c>
      <c r="G1171" s="339" t="s">
        <v>1341</v>
      </c>
      <c r="H1171" s="24">
        <v>205</v>
      </c>
      <c r="I1171" s="661">
        <f t="shared" si="159"/>
        <v>1.3277976047826621E-2</v>
      </c>
      <c r="J1171" s="39">
        <f t="shared" si="160"/>
        <v>30.129453789404824</v>
      </c>
      <c r="K1171" s="37">
        <f t="shared" si="158"/>
        <v>11.078600158364155</v>
      </c>
      <c r="L1171" s="39">
        <v>11.553740210640022</v>
      </c>
      <c r="M1171" s="39">
        <f t="shared" si="161"/>
        <v>4.997564624880984</v>
      </c>
      <c r="N1171" s="39"/>
      <c r="O1171" s="94">
        <f t="shared" si="162"/>
        <v>0.14184518365248031</v>
      </c>
    </row>
    <row r="1172" spans="1:15" s="6" customFormat="1" ht="18">
      <c r="A1172" s="105">
        <v>27</v>
      </c>
      <c r="B1172" s="32" t="s">
        <v>504</v>
      </c>
      <c r="C1172" s="330">
        <v>52.3</v>
      </c>
      <c r="D1172" s="330"/>
      <c r="E1172" s="330"/>
      <c r="F1172" s="61">
        <f t="shared" si="157"/>
        <v>52.3</v>
      </c>
      <c r="G1172" s="8" t="s">
        <v>1342</v>
      </c>
      <c r="H1172" s="24">
        <v>69</v>
      </c>
      <c r="I1172" s="661">
        <f t="shared" si="159"/>
        <v>4.4691724258538387E-3</v>
      </c>
      <c r="J1172" s="39">
        <f t="shared" si="160"/>
        <v>10.141133226677722</v>
      </c>
      <c r="K1172" s="37">
        <f t="shared" si="158"/>
        <v>3.7288946874493987</v>
      </c>
      <c r="L1172" s="39">
        <v>3.8888198757763974</v>
      </c>
      <c r="M1172" s="39">
        <f>I1172*680.9</f>
        <v>3.0430595047638787</v>
      </c>
      <c r="N1172" s="39"/>
      <c r="O1172" s="94">
        <f t="shared" si="162"/>
        <v>0.39774201328235936</v>
      </c>
    </row>
    <row r="1173" spans="1:15" s="6" customFormat="1" ht="18">
      <c r="A1173" s="105">
        <v>28</v>
      </c>
      <c r="B1173" s="32" t="s">
        <v>505</v>
      </c>
      <c r="C1173" s="330">
        <v>122.2</v>
      </c>
      <c r="D1173" s="330"/>
      <c r="E1173" s="330"/>
      <c r="F1173" s="61">
        <f t="shared" si="157"/>
        <v>122.2</v>
      </c>
      <c r="G1173" s="8" t="s">
        <v>1342</v>
      </c>
      <c r="H1173" s="24">
        <v>122</v>
      </c>
      <c r="I1173" s="661">
        <f t="shared" si="159"/>
        <v>7.9020150138285252E-3</v>
      </c>
      <c r="J1173" s="39">
        <f t="shared" si="160"/>
        <v>17.930699328328721</v>
      </c>
      <c r="K1173" s="37">
        <f t="shared" si="158"/>
        <v>6.5931181430264711</v>
      </c>
      <c r="L1173" s="39">
        <v>6.8758844180394272</v>
      </c>
      <c r="M1173" s="39">
        <f>I1173*680.9</f>
        <v>5.3804820229158423</v>
      </c>
      <c r="N1173" s="39"/>
      <c r="O1173" s="94">
        <f t="shared" si="162"/>
        <v>0.30098350173740152</v>
      </c>
    </row>
    <row r="1174" spans="1:15" s="6" customFormat="1" ht="18">
      <c r="A1174" s="105">
        <v>29</v>
      </c>
      <c r="B1174" s="32" t="s">
        <v>506</v>
      </c>
      <c r="C1174" s="330">
        <v>77.900000000000006</v>
      </c>
      <c r="D1174" s="330"/>
      <c r="E1174" s="330"/>
      <c r="F1174" s="61">
        <f t="shared" si="157"/>
        <v>77.900000000000006</v>
      </c>
      <c r="G1174" s="8" t="s">
        <v>1342</v>
      </c>
      <c r="H1174" s="24">
        <v>68</v>
      </c>
      <c r="I1174" s="661">
        <f t="shared" si="159"/>
        <v>4.4044018109863914E-3</v>
      </c>
      <c r="J1174" s="39">
        <f t="shared" si="160"/>
        <v>9.9941602813635502</v>
      </c>
      <c r="K1174" s="37">
        <f t="shared" si="158"/>
        <v>3.6748527354573777</v>
      </c>
      <c r="L1174" s="39">
        <v>3.8324601674318126</v>
      </c>
      <c r="M1174" s="39">
        <f>I1174*680.9</f>
        <v>2.9989571931006336</v>
      </c>
      <c r="N1174" s="39"/>
      <c r="O1174" s="94">
        <f t="shared" si="162"/>
        <v>0.26316341947822047</v>
      </c>
    </row>
    <row r="1175" spans="1:15" s="209" customFormat="1" ht="18">
      <c r="A1175" s="374">
        <v>30</v>
      </c>
      <c r="B1175" s="339" t="s">
        <v>507</v>
      </c>
      <c r="C1175" s="330">
        <v>205.19</v>
      </c>
      <c r="D1175" s="330"/>
      <c r="E1175" s="330"/>
      <c r="F1175" s="61">
        <f t="shared" si="157"/>
        <v>205.19</v>
      </c>
      <c r="G1175" s="339" t="s">
        <v>1341</v>
      </c>
      <c r="H1175" s="24">
        <v>98</v>
      </c>
      <c r="I1175" s="661">
        <f t="shared" si="159"/>
        <v>6.3475202570097995E-3</v>
      </c>
      <c r="J1175" s="39">
        <f t="shared" si="160"/>
        <v>14.403348640788646</v>
      </c>
      <c r="K1175" s="37">
        <f t="shared" si="158"/>
        <v>5.2961112952179858</v>
      </c>
      <c r="L1175" s="39">
        <v>5.5232514177693766</v>
      </c>
      <c r="M1175" s="39">
        <f t="shared" si="161"/>
        <v>2.3890796743333484</v>
      </c>
      <c r="N1175" s="39"/>
      <c r="O1175" s="94">
        <f t="shared" si="162"/>
        <v>0.13456694297046326</v>
      </c>
    </row>
    <row r="1176" spans="1:15" s="209" customFormat="1" ht="18">
      <c r="A1176" s="374">
        <v>31</v>
      </c>
      <c r="B1176" s="339" t="s">
        <v>508</v>
      </c>
      <c r="C1176" s="330">
        <v>289.10000000000002</v>
      </c>
      <c r="D1176" s="330"/>
      <c r="E1176" s="330"/>
      <c r="F1176" s="61">
        <f t="shared" si="157"/>
        <v>289.10000000000002</v>
      </c>
      <c r="G1176" s="339" t="s">
        <v>1341</v>
      </c>
      <c r="H1176" s="24">
        <v>120</v>
      </c>
      <c r="I1176" s="661">
        <f t="shared" si="159"/>
        <v>7.7724737840936323E-3</v>
      </c>
      <c r="J1176" s="39">
        <f t="shared" si="160"/>
        <v>17.636753437700385</v>
      </c>
      <c r="K1176" s="37">
        <f t="shared" si="158"/>
        <v>6.4850342390424318</v>
      </c>
      <c r="L1176" s="39">
        <v>6.7631650013502567</v>
      </c>
      <c r="M1176" s="39">
        <f t="shared" si="161"/>
        <v>2.9254036828571612</v>
      </c>
      <c r="N1176" s="39"/>
      <c r="O1176" s="94">
        <f t="shared" si="162"/>
        <v>0.11695038519872097</v>
      </c>
    </row>
    <row r="1177" spans="1:15" s="6" customFormat="1" ht="18">
      <c r="A1177" s="105">
        <v>32</v>
      </c>
      <c r="B1177" s="32" t="s">
        <v>509</v>
      </c>
      <c r="C1177" s="330">
        <v>117.92</v>
      </c>
      <c r="D1177" s="330"/>
      <c r="E1177" s="330"/>
      <c r="F1177" s="61">
        <f t="shared" si="157"/>
        <v>117.92</v>
      </c>
      <c r="G1177" s="8" t="s">
        <v>1342</v>
      </c>
      <c r="H1177" s="24">
        <v>117</v>
      </c>
      <c r="I1177" s="661">
        <f t="shared" si="159"/>
        <v>7.5781619394912911E-3</v>
      </c>
      <c r="J1177" s="39">
        <f t="shared" si="160"/>
        <v>17.195834601757873</v>
      </c>
      <c r="K1177" s="37">
        <f t="shared" si="158"/>
        <v>6.3229083830663706</v>
      </c>
      <c r="L1177" s="39">
        <v>6.5940858763165</v>
      </c>
      <c r="M1177" s="39">
        <f>I1177*680.9</f>
        <v>5.1599704645996196</v>
      </c>
      <c r="N1177" s="39"/>
      <c r="O1177" s="94">
        <f t="shared" si="162"/>
        <v>0.29912482467554585</v>
      </c>
    </row>
    <row r="1178" spans="1:15" s="209" customFormat="1" ht="18">
      <c r="A1178" s="374">
        <v>33</v>
      </c>
      <c r="B1178" s="339" t="s">
        <v>510</v>
      </c>
      <c r="C1178" s="330">
        <v>242.85</v>
      </c>
      <c r="D1178" s="330"/>
      <c r="E1178" s="330"/>
      <c r="F1178" s="61">
        <f t="shared" si="157"/>
        <v>242.85</v>
      </c>
      <c r="G1178" s="339" t="s">
        <v>1341</v>
      </c>
      <c r="H1178" s="24">
        <v>137</v>
      </c>
      <c r="I1178" s="661">
        <f t="shared" si="159"/>
        <v>8.8735742368402301E-3</v>
      </c>
      <c r="J1178" s="39">
        <f t="shared" si="160"/>
        <v>20.135293508041272</v>
      </c>
      <c r="K1178" s="37">
        <f t="shared" si="158"/>
        <v>7.4037474229067763</v>
      </c>
      <c r="L1178" s="39">
        <v>7.7212800432082096</v>
      </c>
      <c r="M1178" s="39">
        <f t="shared" si="161"/>
        <v>3.3398358712619256</v>
      </c>
      <c r="N1178" s="39"/>
      <c r="O1178" s="94">
        <f t="shared" si="162"/>
        <v>0.15894649720163964</v>
      </c>
    </row>
    <row r="1179" spans="1:15" s="6" customFormat="1" ht="18">
      <c r="A1179" s="105">
        <v>34</v>
      </c>
      <c r="B1179" s="32" t="s">
        <v>511</v>
      </c>
      <c r="C1179" s="330">
        <v>415.2</v>
      </c>
      <c r="D1179" s="330"/>
      <c r="E1179" s="330"/>
      <c r="F1179" s="61">
        <f t="shared" si="157"/>
        <v>415.2</v>
      </c>
      <c r="G1179" s="8" t="s">
        <v>1342</v>
      </c>
      <c r="H1179" s="24">
        <v>0</v>
      </c>
      <c r="I1179" s="661">
        <f t="shared" si="159"/>
        <v>0</v>
      </c>
      <c r="J1179" s="39">
        <f t="shared" si="160"/>
        <v>0</v>
      </c>
      <c r="K1179" s="37">
        <f t="shared" si="158"/>
        <v>0</v>
      </c>
      <c r="L1179" s="39">
        <v>0</v>
      </c>
      <c r="M1179" s="39">
        <f>I1179*680.9</f>
        <v>0</v>
      </c>
      <c r="N1179" s="39"/>
      <c r="O1179" s="94">
        <f t="shared" si="162"/>
        <v>0</v>
      </c>
    </row>
    <row r="1180" spans="1:15" s="209" customFormat="1" ht="18">
      <c r="A1180" s="374">
        <v>35</v>
      </c>
      <c r="B1180" s="339" t="s">
        <v>512</v>
      </c>
      <c r="C1180" s="330">
        <v>8111.75</v>
      </c>
      <c r="D1180" s="330"/>
      <c r="E1180" s="330"/>
      <c r="F1180" s="61">
        <f t="shared" si="157"/>
        <v>8111.75</v>
      </c>
      <c r="G1180" s="339" t="s">
        <v>1341</v>
      </c>
      <c r="H1180" s="24">
        <v>1454</v>
      </c>
      <c r="I1180" s="661">
        <f t="shared" si="159"/>
        <v>9.4176474017267836E-2</v>
      </c>
      <c r="J1180" s="39">
        <f t="shared" si="160"/>
        <v>213.69866248680299</v>
      </c>
      <c r="K1180" s="37">
        <f t="shared" si="158"/>
        <v>78.576998196397469</v>
      </c>
      <c r="L1180" s="39">
        <v>81.947015933027288</v>
      </c>
      <c r="M1180" s="39">
        <f t="shared" si="161"/>
        <v>35.446141290619266</v>
      </c>
      <c r="N1180" s="39"/>
      <c r="O1180" s="94">
        <f t="shared" si="162"/>
        <v>5.0503136549677571E-2</v>
      </c>
    </row>
    <row r="1181" spans="1:15" s="209" customFormat="1" ht="18">
      <c r="A1181" s="374">
        <v>36</v>
      </c>
      <c r="B1181" s="339" t="s">
        <v>513</v>
      </c>
      <c r="C1181" s="330">
        <v>6280.23</v>
      </c>
      <c r="D1181" s="330"/>
      <c r="E1181" s="330"/>
      <c r="F1181" s="61">
        <f t="shared" si="157"/>
        <v>6280.23</v>
      </c>
      <c r="G1181" s="339" t="s">
        <v>1341</v>
      </c>
      <c r="H1181" s="24">
        <v>1111</v>
      </c>
      <c r="I1181" s="661">
        <f t="shared" si="159"/>
        <v>7.1960153117733544E-2</v>
      </c>
      <c r="J1181" s="39">
        <f t="shared" si="160"/>
        <v>163.28694224404273</v>
      </c>
      <c r="K1181" s="37">
        <f t="shared" si="158"/>
        <v>60.04060866313452</v>
      </c>
      <c r="L1181" s="39">
        <v>62.615635970834454</v>
      </c>
      <c r="M1181" s="39">
        <f t="shared" si="161"/>
        <v>27.084362430452551</v>
      </c>
      <c r="N1181" s="39"/>
      <c r="O1181" s="94">
        <f t="shared" si="162"/>
        <v>4.9843325691648913E-2</v>
      </c>
    </row>
    <row r="1182" spans="1:15" s="209" customFormat="1" ht="18">
      <c r="A1182" s="374">
        <v>37</v>
      </c>
      <c r="B1182" s="339" t="s">
        <v>514</v>
      </c>
      <c r="C1182" s="330">
        <v>8361.6299999999992</v>
      </c>
      <c r="D1182" s="330"/>
      <c r="E1182" s="330"/>
      <c r="F1182" s="61">
        <f t="shared" si="157"/>
        <v>8361.6299999999992</v>
      </c>
      <c r="G1182" s="339" t="s">
        <v>1341</v>
      </c>
      <c r="H1182" s="24">
        <v>1499</v>
      </c>
      <c r="I1182" s="661">
        <f t="shared" si="159"/>
        <v>9.7091151686302959E-2</v>
      </c>
      <c r="J1182" s="39">
        <f t="shared" si="160"/>
        <v>220.31244502594063</v>
      </c>
      <c r="K1182" s="37">
        <f t="shared" si="158"/>
        <v>81.008886036038376</v>
      </c>
      <c r="L1182" s="39">
        <v>84.483202808533619</v>
      </c>
      <c r="M1182" s="39">
        <f t="shared" si="161"/>
        <v>36.543167671690711</v>
      </c>
      <c r="N1182" s="39"/>
      <c r="O1182" s="94">
        <f t="shared" si="162"/>
        <v>5.0510211710181316E-2</v>
      </c>
    </row>
    <row r="1183" spans="1:15" s="209" customFormat="1" ht="18">
      <c r="A1183" s="374">
        <v>38</v>
      </c>
      <c r="B1183" s="339" t="s">
        <v>515</v>
      </c>
      <c r="C1183" s="330">
        <v>6675.9</v>
      </c>
      <c r="D1183" s="330"/>
      <c r="E1183" s="330"/>
      <c r="F1183" s="61">
        <f t="shared" si="157"/>
        <v>6675.9</v>
      </c>
      <c r="G1183" s="339" t="s">
        <v>1341</v>
      </c>
      <c r="H1183" s="24">
        <v>1200</v>
      </c>
      <c r="I1183" s="661">
        <f t="shared" si="159"/>
        <v>7.7724737840936323E-2</v>
      </c>
      <c r="J1183" s="39">
        <f t="shared" si="160"/>
        <v>176.36753437700384</v>
      </c>
      <c r="K1183" s="37">
        <f t="shared" si="158"/>
        <v>64.850342390424316</v>
      </c>
      <c r="L1183" s="39">
        <v>67.631650013502565</v>
      </c>
      <c r="M1183" s="39">
        <f t="shared" si="161"/>
        <v>29.254036828571614</v>
      </c>
      <c r="N1183" s="39"/>
      <c r="O1183" s="94">
        <f t="shared" si="162"/>
        <v>5.0645390675340005E-2</v>
      </c>
    </row>
    <row r="1184" spans="1:15" s="209" customFormat="1" ht="18">
      <c r="A1184" s="374">
        <v>39</v>
      </c>
      <c r="B1184" s="339" t="s">
        <v>516</v>
      </c>
      <c r="C1184" s="330">
        <v>4489.2299999999996</v>
      </c>
      <c r="D1184" s="330"/>
      <c r="E1184" s="330">
        <v>48.5</v>
      </c>
      <c r="F1184" s="61">
        <f t="shared" si="157"/>
        <v>4537.7299999999996</v>
      </c>
      <c r="G1184" s="339" t="s">
        <v>1341</v>
      </c>
      <c r="H1184" s="24">
        <v>738</v>
      </c>
      <c r="I1184" s="661">
        <f t="shared" si="159"/>
        <v>4.7800713772175839E-2</v>
      </c>
      <c r="J1184" s="39">
        <f t="shared" si="160"/>
        <v>108.46603364185736</v>
      </c>
      <c r="K1184" s="37">
        <f t="shared" si="158"/>
        <v>39.882960570110953</v>
      </c>
      <c r="L1184" s="39">
        <v>41.59346475830408</v>
      </c>
      <c r="M1184" s="39">
        <f t="shared" si="161"/>
        <v>17.991232649571543</v>
      </c>
      <c r="N1184" s="39"/>
      <c r="O1184" s="94">
        <f t="shared" si="162"/>
        <v>4.5823284245612668E-2</v>
      </c>
    </row>
    <row r="1185" spans="1:15" s="209" customFormat="1" ht="18">
      <c r="A1185" s="374">
        <v>40</v>
      </c>
      <c r="B1185" s="339" t="s">
        <v>517</v>
      </c>
      <c r="C1185" s="330">
        <v>4352.13</v>
      </c>
      <c r="D1185" s="330"/>
      <c r="E1185" s="330"/>
      <c r="F1185" s="61">
        <f t="shared" si="157"/>
        <v>4352.13</v>
      </c>
      <c r="G1185" s="339" t="s">
        <v>1341</v>
      </c>
      <c r="H1185" s="24">
        <v>768</v>
      </c>
      <c r="I1185" s="661">
        <f t="shared" si="159"/>
        <v>4.9743832218199245E-2</v>
      </c>
      <c r="J1185" s="39">
        <f t="shared" si="160"/>
        <v>112.87522200128245</v>
      </c>
      <c r="K1185" s="37">
        <f t="shared" si="158"/>
        <v>41.504219129871558</v>
      </c>
      <c r="L1185" s="39">
        <v>43.284256008641641</v>
      </c>
      <c r="M1185" s="39">
        <f t="shared" si="161"/>
        <v>18.722583570285831</v>
      </c>
      <c r="N1185" s="39"/>
      <c r="O1185" s="94">
        <f t="shared" si="162"/>
        <v>4.9719627104448043E-2</v>
      </c>
    </row>
    <row r="1186" spans="1:15" s="209" customFormat="1" ht="18">
      <c r="A1186" s="374">
        <v>41</v>
      </c>
      <c r="B1186" s="339" t="s">
        <v>518</v>
      </c>
      <c r="C1186" s="330">
        <v>4481.0200000000004</v>
      </c>
      <c r="D1186" s="330"/>
      <c r="E1186" s="330">
        <v>48.33</v>
      </c>
      <c r="F1186" s="61">
        <f t="shared" si="157"/>
        <v>4529.3500000000004</v>
      </c>
      <c r="G1186" s="339" t="s">
        <v>1341</v>
      </c>
      <c r="H1186" s="24">
        <v>738</v>
      </c>
      <c r="I1186" s="661">
        <f t="shared" si="159"/>
        <v>4.7800713772175839E-2</v>
      </c>
      <c r="J1186" s="39">
        <f t="shared" si="160"/>
        <v>108.46603364185736</v>
      </c>
      <c r="K1186" s="37">
        <f t="shared" si="158"/>
        <v>39.882960570110953</v>
      </c>
      <c r="L1186" s="39">
        <v>41.59346475830408</v>
      </c>
      <c r="M1186" s="39">
        <f t="shared" si="161"/>
        <v>17.991232649571543</v>
      </c>
      <c r="N1186" s="39"/>
      <c r="O1186" s="94">
        <f t="shared" si="162"/>
        <v>4.5908064428636326E-2</v>
      </c>
    </row>
    <row r="1187" spans="1:15" s="209" customFormat="1" ht="18">
      <c r="A1187" s="374">
        <v>42</v>
      </c>
      <c r="B1187" s="339" t="s">
        <v>519</v>
      </c>
      <c r="C1187" s="330">
        <v>4132.3900000000003</v>
      </c>
      <c r="D1187" s="330"/>
      <c r="E1187" s="330">
        <v>18.8</v>
      </c>
      <c r="F1187" s="61">
        <f t="shared" si="157"/>
        <v>4151.1900000000005</v>
      </c>
      <c r="G1187" s="339" t="s">
        <v>1341</v>
      </c>
      <c r="H1187" s="24">
        <v>706</v>
      </c>
      <c r="I1187" s="661">
        <f t="shared" si="159"/>
        <v>4.5728054096417538E-2</v>
      </c>
      <c r="J1187" s="39">
        <f t="shared" si="160"/>
        <v>103.76289939180393</v>
      </c>
      <c r="K1187" s="37">
        <f t="shared" si="158"/>
        <v>38.153618106366309</v>
      </c>
      <c r="L1187" s="39">
        <v>39.789954091277345</v>
      </c>
      <c r="M1187" s="39">
        <f t="shared" si="161"/>
        <v>17.211125000809634</v>
      </c>
      <c r="N1187" s="39"/>
      <c r="O1187" s="94">
        <f t="shared" si="162"/>
        <v>4.7918210583051415E-2</v>
      </c>
    </row>
    <row r="1188" spans="1:15" s="209" customFormat="1" ht="18">
      <c r="A1188" s="374">
        <v>43</v>
      </c>
      <c r="B1188" s="339" t="s">
        <v>520</v>
      </c>
      <c r="C1188" s="330">
        <v>8136.02</v>
      </c>
      <c r="D1188" s="330"/>
      <c r="E1188" s="330"/>
      <c r="F1188" s="61">
        <f t="shared" si="157"/>
        <v>8136.02</v>
      </c>
      <c r="G1188" s="339" t="s">
        <v>1341</v>
      </c>
      <c r="H1188" s="24">
        <v>1424</v>
      </c>
      <c r="I1188" s="661">
        <f t="shared" si="159"/>
        <v>9.223335557124443E-2</v>
      </c>
      <c r="J1188" s="39">
        <f t="shared" si="160"/>
        <v>209.28947412737787</v>
      </c>
      <c r="K1188" s="37">
        <f t="shared" si="158"/>
        <v>76.955739636636849</v>
      </c>
      <c r="L1188" s="39">
        <v>80.256224682689719</v>
      </c>
      <c r="M1188" s="39">
        <f t="shared" si="161"/>
        <v>34.714790369904975</v>
      </c>
      <c r="N1188" s="39"/>
      <c r="O1188" s="94">
        <f t="shared" si="162"/>
        <v>4.931357455077659E-2</v>
      </c>
    </row>
    <row r="1189" spans="1:15" s="6" customFormat="1" ht="18">
      <c r="A1189" s="105">
        <v>44</v>
      </c>
      <c r="B1189" s="32" t="s">
        <v>521</v>
      </c>
      <c r="C1189" s="330">
        <v>5922.13</v>
      </c>
      <c r="D1189" s="330">
        <v>77.599999999999994</v>
      </c>
      <c r="E1189" s="330">
        <v>240.4</v>
      </c>
      <c r="F1189" s="61">
        <f t="shared" si="157"/>
        <v>6240.13</v>
      </c>
      <c r="G1189" s="8" t="s">
        <v>1341</v>
      </c>
      <c r="H1189" s="24">
        <v>1042</v>
      </c>
      <c r="I1189" s="661">
        <f t="shared" si="159"/>
        <v>6.7490980691879698E-2</v>
      </c>
      <c r="J1189" s="39">
        <f t="shared" si="160"/>
        <v>153.145809017365</v>
      </c>
      <c r="K1189" s="37">
        <f t="shared" si="158"/>
        <v>56.311713975685116</v>
      </c>
      <c r="L1189" s="39">
        <v>58.726816095058062</v>
      </c>
      <c r="M1189" s="39">
        <f t="shared" si="161"/>
        <v>25.402255312809679</v>
      </c>
      <c r="N1189" s="39"/>
      <c r="O1189" s="94">
        <f t="shared" si="162"/>
        <v>4.7048153548230227E-2</v>
      </c>
    </row>
    <row r="1190" spans="1:15" s="6" customFormat="1" ht="18">
      <c r="A1190" s="105">
        <v>45</v>
      </c>
      <c r="B1190" s="32" t="s">
        <v>522</v>
      </c>
      <c r="C1190" s="330">
        <v>5641.92</v>
      </c>
      <c r="D1190" s="330">
        <v>100.4</v>
      </c>
      <c r="E1190" s="330">
        <v>535.70000000000005</v>
      </c>
      <c r="F1190" s="61">
        <f t="shared" si="157"/>
        <v>6278.0199999999995</v>
      </c>
      <c r="G1190" s="8" t="s">
        <v>1341</v>
      </c>
      <c r="H1190" s="24">
        <v>1064</v>
      </c>
      <c r="I1190" s="661">
        <f t="shared" si="159"/>
        <v>6.891593421896354E-2</v>
      </c>
      <c r="J1190" s="39">
        <f t="shared" si="160"/>
        <v>156.37921381427674</v>
      </c>
      <c r="K1190" s="37">
        <f t="shared" si="158"/>
        <v>57.50063691950956</v>
      </c>
      <c r="L1190" s="39">
        <v>59.227932379053257</v>
      </c>
      <c r="M1190" s="39">
        <f t="shared" si="161"/>
        <v>25.938579321333496</v>
      </c>
      <c r="N1190" s="39"/>
      <c r="O1190" s="94">
        <f t="shared" si="162"/>
        <v>4.7633865842124277E-2</v>
      </c>
    </row>
    <row r="1191" spans="1:15" s="6" customFormat="1" ht="18">
      <c r="A1191" s="105">
        <v>46</v>
      </c>
      <c r="B1191" s="32" t="s">
        <v>523</v>
      </c>
      <c r="C1191" s="330">
        <f>3994.79-6.68</f>
        <v>3988.11</v>
      </c>
      <c r="D1191" s="330"/>
      <c r="E1191" s="330"/>
      <c r="F1191" s="61">
        <f t="shared" si="157"/>
        <v>3988.11</v>
      </c>
      <c r="G1191" s="8" t="s">
        <v>1341</v>
      </c>
      <c r="H1191" s="24">
        <v>704</v>
      </c>
      <c r="I1191" s="661">
        <f t="shared" si="159"/>
        <v>4.5598512866682643E-2</v>
      </c>
      <c r="J1191" s="39">
        <f t="shared" si="160"/>
        <v>103.46895350117559</v>
      </c>
      <c r="K1191" s="37">
        <f t="shared" si="158"/>
        <v>38.045534202382271</v>
      </c>
      <c r="L1191" s="39">
        <v>39.1884063861405</v>
      </c>
      <c r="M1191" s="39">
        <f>I1191*176.38</f>
        <v>8.0426656994254841</v>
      </c>
      <c r="N1191" s="39"/>
      <c r="O1191" s="94">
        <f t="shared" si="162"/>
        <v>4.732706966185081E-2</v>
      </c>
    </row>
    <row r="1192" spans="1:15" s="6" customFormat="1" ht="18">
      <c r="A1192" s="105">
        <v>47</v>
      </c>
      <c r="B1192" s="32" t="s">
        <v>524</v>
      </c>
      <c r="C1192" s="330">
        <v>4150.55</v>
      </c>
      <c r="D1192" s="330"/>
      <c r="E1192" s="330"/>
      <c r="F1192" s="61">
        <f t="shared" si="157"/>
        <v>4150.55</v>
      </c>
      <c r="G1192" s="8" t="s">
        <v>1341</v>
      </c>
      <c r="H1192" s="24">
        <v>742</v>
      </c>
      <c r="I1192" s="661">
        <f t="shared" si="159"/>
        <v>4.8059796231645628E-2</v>
      </c>
      <c r="J1192" s="39">
        <f t="shared" si="160"/>
        <v>109.05392542311405</v>
      </c>
      <c r="K1192" s="37">
        <f t="shared" si="158"/>
        <v>40.099128378079037</v>
      </c>
      <c r="L1192" s="39">
        <v>41.303689685392399</v>
      </c>
      <c r="M1192" s="39">
        <f t="shared" si="161"/>
        <v>18.088746105666782</v>
      </c>
      <c r="N1192" s="39"/>
      <c r="O1192" s="94">
        <f t="shared" si="162"/>
        <v>5.0245266191770319E-2</v>
      </c>
    </row>
    <row r="1193" spans="1:15" s="6" customFormat="1" ht="18">
      <c r="A1193" s="105">
        <v>48</v>
      </c>
      <c r="B1193" s="32" t="s">
        <v>525</v>
      </c>
      <c r="C1193" s="330">
        <v>14374.02</v>
      </c>
      <c r="D1193" s="330"/>
      <c r="E1193" s="330"/>
      <c r="F1193" s="61">
        <f t="shared" si="157"/>
        <v>14374.02</v>
      </c>
      <c r="G1193" s="8" t="s">
        <v>1341</v>
      </c>
      <c r="H1193" s="24">
        <v>2498</v>
      </c>
      <c r="I1193" s="661">
        <f t="shared" si="159"/>
        <v>0.16179699593888244</v>
      </c>
      <c r="J1193" s="39">
        <f t="shared" si="160"/>
        <v>367.13841739479636</v>
      </c>
      <c r="K1193" s="37">
        <f t="shared" si="158"/>
        <v>134.99679607606663</v>
      </c>
      <c r="L1193" s="39">
        <v>139.05204425082238</v>
      </c>
      <c r="M1193" s="39">
        <f t="shared" si="161"/>
        <v>60.897153331476574</v>
      </c>
      <c r="N1193" s="39"/>
      <c r="O1193" s="94">
        <f t="shared" si="162"/>
        <v>4.8843984567515694E-2</v>
      </c>
    </row>
    <row r="1194" spans="1:15" s="6" customFormat="1" ht="18">
      <c r="A1194" s="105">
        <v>49</v>
      </c>
      <c r="B1194" s="32" t="s">
        <v>526</v>
      </c>
      <c r="C1194" s="330">
        <v>4120.28</v>
      </c>
      <c r="D1194" s="330"/>
      <c r="E1194" s="330"/>
      <c r="F1194" s="61">
        <f t="shared" si="157"/>
        <v>4120.28</v>
      </c>
      <c r="G1194" s="8" t="s">
        <v>1341</v>
      </c>
      <c r="H1194" s="24">
        <v>720</v>
      </c>
      <c r="I1194" s="661">
        <f t="shared" si="159"/>
        <v>4.6634842704561794E-2</v>
      </c>
      <c r="J1194" s="39">
        <f t="shared" si="160"/>
        <v>105.82052062620231</v>
      </c>
      <c r="K1194" s="37">
        <f t="shared" si="158"/>
        <v>38.910205434254593</v>
      </c>
      <c r="L1194" s="39">
        <v>40.079051985825508</v>
      </c>
      <c r="M1194" s="39">
        <f t="shared" si="161"/>
        <v>17.552422097142969</v>
      </c>
      <c r="N1194" s="39"/>
      <c r="O1194" s="94">
        <f t="shared" si="162"/>
        <v>4.9113701045420552E-2</v>
      </c>
    </row>
    <row r="1195" spans="1:15" s="6" customFormat="1" ht="18">
      <c r="A1195" s="105">
        <v>50</v>
      </c>
      <c r="B1195" s="32" t="s">
        <v>527</v>
      </c>
      <c r="C1195" s="330">
        <v>14371.39</v>
      </c>
      <c r="D1195" s="330"/>
      <c r="E1195" s="330"/>
      <c r="F1195" s="61">
        <f t="shared" si="157"/>
        <v>14371.39</v>
      </c>
      <c r="G1195" s="8" t="s">
        <v>1341</v>
      </c>
      <c r="H1195" s="24">
        <v>2420</v>
      </c>
      <c r="I1195" s="661">
        <f t="shared" si="159"/>
        <v>0.15674488797922159</v>
      </c>
      <c r="J1195" s="39">
        <f t="shared" si="160"/>
        <v>355.67452766029112</v>
      </c>
      <c r="K1195" s="37">
        <f t="shared" si="158"/>
        <v>130.78152382068905</v>
      </c>
      <c r="L1195" s="39">
        <v>134.71014695235797</v>
      </c>
      <c r="M1195" s="39">
        <f t="shared" si="161"/>
        <v>58.99564093761942</v>
      </c>
      <c r="N1195" s="39"/>
      <c r="O1195" s="94">
        <f t="shared" si="162"/>
        <v>4.7327491590650424E-2</v>
      </c>
    </row>
    <row r="1196" spans="1:15" s="6" customFormat="1" ht="18">
      <c r="A1196" s="105">
        <v>51</v>
      </c>
      <c r="B1196" s="32" t="s">
        <v>528</v>
      </c>
      <c r="C1196" s="330">
        <v>9061.4</v>
      </c>
      <c r="D1196" s="330"/>
      <c r="E1196" s="330">
        <v>2450</v>
      </c>
      <c r="F1196" s="61">
        <f t="shared" si="157"/>
        <v>11511.4</v>
      </c>
      <c r="G1196" s="8" t="s">
        <v>1341</v>
      </c>
      <c r="H1196" s="24">
        <v>1538</v>
      </c>
      <c r="I1196" s="661">
        <f t="shared" si="159"/>
        <v>9.9617205666133385E-2</v>
      </c>
      <c r="J1196" s="39">
        <f t="shared" si="160"/>
        <v>226.04438989319326</v>
      </c>
      <c r="K1196" s="37">
        <f t="shared" si="158"/>
        <v>83.116522163727169</v>
      </c>
      <c r="L1196" s="39">
        <v>85.613308269721713</v>
      </c>
      <c r="M1196" s="39">
        <f t="shared" si="161"/>
        <v>37.493923868619284</v>
      </c>
      <c r="N1196" s="39"/>
      <c r="O1196" s="94">
        <f t="shared" si="162"/>
        <v>3.7551309501473451E-2</v>
      </c>
    </row>
    <row r="1197" spans="1:15" s="6" customFormat="1" ht="18">
      <c r="A1197" s="105">
        <v>52</v>
      </c>
      <c r="B1197" s="32" t="s">
        <v>529</v>
      </c>
      <c r="C1197" s="330">
        <v>6826.1</v>
      </c>
      <c r="D1197" s="330"/>
      <c r="E1197" s="330">
        <v>98.1</v>
      </c>
      <c r="F1197" s="61">
        <f t="shared" si="157"/>
        <v>6924.2000000000007</v>
      </c>
      <c r="G1197" s="8" t="s">
        <v>1341</v>
      </c>
      <c r="H1197" s="24">
        <v>789</v>
      </c>
      <c r="I1197" s="661">
        <f t="shared" si="159"/>
        <v>5.1104015130415632E-2</v>
      </c>
      <c r="J1197" s="39">
        <f t="shared" si="160"/>
        <v>115.96165385288003</v>
      </c>
      <c r="K1197" s="37">
        <f t="shared" si="158"/>
        <v>42.63910012170399</v>
      </c>
      <c r="L1197" s="39">
        <v>43.919961134467123</v>
      </c>
      <c r="M1197" s="39">
        <f t="shared" si="161"/>
        <v>19.234529214785834</v>
      </c>
      <c r="N1197" s="39"/>
      <c r="O1197" s="94">
        <f t="shared" si="162"/>
        <v>3.2026117721012819E-2</v>
      </c>
    </row>
    <row r="1198" spans="1:15" s="6" customFormat="1" ht="18">
      <c r="A1198" s="105">
        <v>53</v>
      </c>
      <c r="B1198" s="32" t="s">
        <v>530</v>
      </c>
      <c r="C1198" s="330">
        <v>9038.0300000000007</v>
      </c>
      <c r="D1198" s="330"/>
      <c r="E1198" s="330">
        <v>1829.2</v>
      </c>
      <c r="F1198" s="61">
        <f t="shared" si="157"/>
        <v>10867.230000000001</v>
      </c>
      <c r="G1198" s="8" t="s">
        <v>1341</v>
      </c>
      <c r="H1198" s="24">
        <v>1538</v>
      </c>
      <c r="I1198" s="661">
        <f t="shared" si="159"/>
        <v>9.9617205666133385E-2</v>
      </c>
      <c r="J1198" s="39">
        <f t="shared" si="160"/>
        <v>226.04438989319326</v>
      </c>
      <c r="K1198" s="37">
        <f t="shared" si="158"/>
        <v>83.116522163727169</v>
      </c>
      <c r="L1198" s="39">
        <v>85.613308269721713</v>
      </c>
      <c r="M1198" s="39">
        <f t="shared" si="161"/>
        <v>37.493923868619284</v>
      </c>
      <c r="N1198" s="39"/>
      <c r="O1198" s="94">
        <f t="shared" si="162"/>
        <v>3.9777215002835258E-2</v>
      </c>
    </row>
    <row r="1199" spans="1:15" s="6" customFormat="1" ht="18">
      <c r="A1199" s="105">
        <v>54</v>
      </c>
      <c r="B1199" s="32" t="s">
        <v>531</v>
      </c>
      <c r="C1199" s="330">
        <v>6690.6</v>
      </c>
      <c r="D1199" s="330"/>
      <c r="E1199" s="330">
        <v>855.4</v>
      </c>
      <c r="F1199" s="61">
        <f t="shared" si="157"/>
        <v>7546</v>
      </c>
      <c r="G1199" s="8" t="s">
        <v>1341</v>
      </c>
      <c r="H1199" s="24">
        <v>789</v>
      </c>
      <c r="I1199" s="661">
        <f t="shared" si="159"/>
        <v>5.1104015130415632E-2</v>
      </c>
      <c r="J1199" s="39">
        <f t="shared" si="160"/>
        <v>115.96165385288003</v>
      </c>
      <c r="K1199" s="37">
        <f t="shared" si="158"/>
        <v>42.63910012170399</v>
      </c>
      <c r="L1199" s="39">
        <v>43.919961134467123</v>
      </c>
      <c r="M1199" s="39">
        <f t="shared" si="161"/>
        <v>19.234529214785834</v>
      </c>
      <c r="N1199" s="39"/>
      <c r="O1199" s="94">
        <f t="shared" si="162"/>
        <v>2.9387124877264373E-2</v>
      </c>
    </row>
    <row r="1200" spans="1:15" s="6" customFormat="1" ht="18">
      <c r="A1200" s="105">
        <v>55</v>
      </c>
      <c r="B1200" s="32" t="s">
        <v>1370</v>
      </c>
      <c r="C1200" s="330">
        <v>2503.4</v>
      </c>
      <c r="D1200" s="330"/>
      <c r="E1200" s="330"/>
      <c r="F1200" s="61">
        <f t="shared" si="157"/>
        <v>2503.4</v>
      </c>
      <c r="G1200" s="8" t="s">
        <v>1341</v>
      </c>
      <c r="H1200" s="24">
        <v>500.6</v>
      </c>
      <c r="I1200" s="661">
        <f t="shared" si="159"/>
        <v>3.2424169802643933E-2</v>
      </c>
      <c r="J1200" s="39">
        <f t="shared" si="160"/>
        <v>73.574656424273428</v>
      </c>
      <c r="K1200" s="37">
        <f t="shared" si="158"/>
        <v>27.05340116720534</v>
      </c>
      <c r="L1200" s="39">
        <v>27.866074200144794</v>
      </c>
      <c r="M1200" s="39">
        <f t="shared" si="161"/>
        <v>12.203809030319123</v>
      </c>
      <c r="N1200" s="39"/>
      <c r="O1200" s="94">
        <f t="shared" si="162"/>
        <v>5.6202740601558943E-2</v>
      </c>
    </row>
    <row r="1201" spans="1:16" s="6" customFormat="1" ht="18">
      <c r="A1201" s="105">
        <v>56</v>
      </c>
      <c r="B1201" s="32" t="s">
        <v>1371</v>
      </c>
      <c r="C1201" s="330">
        <v>1175</v>
      </c>
      <c r="D1201" s="330"/>
      <c r="E1201" s="330"/>
      <c r="F1201" s="61">
        <f t="shared" si="157"/>
        <v>1175</v>
      </c>
      <c r="G1201" s="8" t="s">
        <v>1341</v>
      </c>
      <c r="H1201" s="24">
        <v>235</v>
      </c>
      <c r="I1201" s="661">
        <f t="shared" si="159"/>
        <v>1.522109449385003E-2</v>
      </c>
      <c r="J1201" s="39">
        <f t="shared" si="160"/>
        <v>34.538642148829922</v>
      </c>
      <c r="K1201" s="37">
        <f t="shared" si="158"/>
        <v>12.699858718124764</v>
      </c>
      <c r="L1201" s="39">
        <v>13.081357245373605</v>
      </c>
      <c r="M1201" s="39">
        <f t="shared" si="161"/>
        <v>5.7289155455952745</v>
      </c>
      <c r="N1201" s="39"/>
      <c r="O1201" s="94">
        <f t="shared" si="162"/>
        <v>5.6211722262062606E-2</v>
      </c>
    </row>
    <row r="1202" spans="1:16" s="69" customFormat="1" ht="15.75">
      <c r="A1202" s="63"/>
      <c r="B1202" s="63" t="s">
        <v>681</v>
      </c>
      <c r="C1202" s="153">
        <f>SUM(C1148:C1201)</f>
        <v>166904.80000000002</v>
      </c>
      <c r="D1202" s="153">
        <f>SUM(D1148:D1201)</f>
        <v>178</v>
      </c>
      <c r="E1202" s="153">
        <f>SUM(E1148:E1201)</f>
        <v>6124.4299999999994</v>
      </c>
      <c r="F1202" s="63">
        <f t="shared" ref="F1202:F1232" si="163">C1202+D1202+E1202</f>
        <v>173207.23</v>
      </c>
      <c r="G1202" s="63"/>
      <c r="H1202" s="63">
        <f>SUM(H1148:H1201)</f>
        <v>30878.199999999997</v>
      </c>
      <c r="I1202" s="661">
        <f>2/30878.2*H1202</f>
        <v>1.9999999999999998</v>
      </c>
      <c r="J1202" s="39">
        <f>I1202*2269.13</f>
        <v>4538.2599999999993</v>
      </c>
      <c r="K1202" s="316">
        <f t="shared" ref="K1202:K1232" si="164">J1202*0.3677</f>
        <v>1668.7182019999998</v>
      </c>
      <c r="L1202" s="39">
        <f>SUM(L1148:L1201)</f>
        <v>1730.8864004136065</v>
      </c>
      <c r="M1202" s="317">
        <f>SUM(M1148:M1201)</f>
        <v>767.56544591329828</v>
      </c>
      <c r="N1202" s="317"/>
      <c r="O1202" s="94">
        <f t="shared" si="162"/>
        <v>5.0260200156349723E-2</v>
      </c>
      <c r="P1202" s="239"/>
    </row>
    <row r="1203" spans="1:16" s="209" customFormat="1" ht="15.75">
      <c r="A1203" s="510" t="s">
        <v>618</v>
      </c>
      <c r="B1203" s="339"/>
      <c r="C1203" s="339"/>
      <c r="D1203" s="339"/>
      <c r="E1203" s="339"/>
      <c r="F1203" s="339">
        <f t="shared" si="163"/>
        <v>0</v>
      </c>
      <c r="G1203" s="339"/>
      <c r="H1203" s="339"/>
      <c r="I1203" s="339"/>
      <c r="J1203" s="39">
        <f>I1203*2077.52</f>
        <v>0</v>
      </c>
      <c r="K1203" s="342"/>
      <c r="L1203" s="39">
        <v>0</v>
      </c>
      <c r="M1203" s="341"/>
      <c r="N1203" s="341"/>
      <c r="O1203" s="94" t="e">
        <f t="shared" si="162"/>
        <v>#DIV/0!</v>
      </c>
      <c r="P1203" s="343"/>
    </row>
    <row r="1204" spans="1:16" s="6" customFormat="1" ht="15.75">
      <c r="A1204" s="8">
        <v>1</v>
      </c>
      <c r="B1204" s="8" t="s">
        <v>532</v>
      </c>
      <c r="C1204" s="142">
        <v>3898.29</v>
      </c>
      <c r="D1204" s="142">
        <v>123.1</v>
      </c>
      <c r="E1204" s="142">
        <v>374.5</v>
      </c>
      <c r="F1204" s="61">
        <f t="shared" si="163"/>
        <v>4395.8899999999994</v>
      </c>
      <c r="G1204" s="8" t="s">
        <v>1341</v>
      </c>
      <c r="H1204" s="24">
        <v>433.1</v>
      </c>
      <c r="I1204" s="221">
        <f t="shared" ref="I1204:I1231" si="165">1/13191.7*H1204</f>
        <v>3.2831249952621724E-2</v>
      </c>
      <c r="J1204" s="39">
        <f t="shared" ref="J1204:J1231" si="166">I1204*2269.13</f>
        <v>74.498374204992544</v>
      </c>
      <c r="K1204" s="37">
        <f t="shared" si="164"/>
        <v>27.393052195175759</v>
      </c>
      <c r="L1204" s="39">
        <v>28.725425172899111</v>
      </c>
      <c r="M1204" s="39">
        <f t="shared" ref="M1204:M1231" si="167">I1204*376.38</f>
        <v>12.357025857167764</v>
      </c>
      <c r="N1204" s="39"/>
      <c r="O1204" s="94">
        <f t="shared" si="162"/>
        <v>3.2524443839640024E-2</v>
      </c>
      <c r="P1204" s="238"/>
    </row>
    <row r="1205" spans="1:16" s="6" customFormat="1" ht="15.75">
      <c r="A1205" s="8">
        <v>2</v>
      </c>
      <c r="B1205" s="8" t="s">
        <v>533</v>
      </c>
      <c r="C1205" s="55">
        <v>3600.73</v>
      </c>
      <c r="D1205" s="55"/>
      <c r="E1205" s="55">
        <v>290.5</v>
      </c>
      <c r="F1205" s="61">
        <f t="shared" si="163"/>
        <v>3891.23</v>
      </c>
      <c r="G1205" s="8" t="s">
        <v>1341</v>
      </c>
      <c r="H1205" s="24">
        <v>400.1</v>
      </c>
      <c r="I1205" s="221">
        <f t="shared" si="165"/>
        <v>3.0329676993867356E-2</v>
      </c>
      <c r="J1205" s="39">
        <f t="shared" si="166"/>
        <v>68.821979957094243</v>
      </c>
      <c r="K1205" s="37">
        <f t="shared" si="164"/>
        <v>25.305842030223555</v>
      </c>
      <c r="L1205" s="39">
        <v>26.536695016571077</v>
      </c>
      <c r="M1205" s="39">
        <f t="shared" si="167"/>
        <v>11.415483826951796</v>
      </c>
      <c r="N1205" s="39"/>
      <c r="O1205" s="94">
        <f t="shared" si="162"/>
        <v>3.3942995102021901E-2</v>
      </c>
      <c r="P1205" s="238"/>
    </row>
    <row r="1206" spans="1:16" s="6" customFormat="1" ht="15.75">
      <c r="A1206" s="8">
        <v>3</v>
      </c>
      <c r="B1206" s="8" t="s">
        <v>534</v>
      </c>
      <c r="C1206" s="55">
        <v>5868.42</v>
      </c>
      <c r="D1206" s="55">
        <v>489.8</v>
      </c>
      <c r="E1206" s="55"/>
      <c r="F1206" s="61">
        <f t="shared" si="163"/>
        <v>6358.22</v>
      </c>
      <c r="G1206" s="8" t="s">
        <v>1341</v>
      </c>
      <c r="H1206" s="24">
        <v>652</v>
      </c>
      <c r="I1206" s="221">
        <f t="shared" si="165"/>
        <v>4.9425017245692364E-2</v>
      </c>
      <c r="J1206" s="39">
        <f t="shared" si="166"/>
        <v>112.15178938271792</v>
      </c>
      <c r="K1206" s="37">
        <f t="shared" si="164"/>
        <v>41.238212956025386</v>
      </c>
      <c r="L1206" s="39">
        <v>43.244001876541716</v>
      </c>
      <c r="M1206" s="39">
        <f t="shared" si="167"/>
        <v>18.602587990933692</v>
      </c>
      <c r="N1206" s="39"/>
      <c r="O1206" s="94">
        <f t="shared" si="162"/>
        <v>3.3851705698484592E-2</v>
      </c>
      <c r="P1206" s="238"/>
    </row>
    <row r="1207" spans="1:16" s="6" customFormat="1" ht="15.75">
      <c r="A1207" s="8">
        <v>4</v>
      </c>
      <c r="B1207" s="8" t="s">
        <v>535</v>
      </c>
      <c r="C1207" s="55">
        <v>4090.86</v>
      </c>
      <c r="D1207" s="55"/>
      <c r="E1207" s="55"/>
      <c r="F1207" s="61">
        <f t="shared" si="163"/>
        <v>4090.86</v>
      </c>
      <c r="G1207" s="8" t="s">
        <v>1341</v>
      </c>
      <c r="H1207" s="24">
        <v>454.5</v>
      </c>
      <c r="I1207" s="221">
        <f t="shared" si="165"/>
        <v>3.4453482113753341E-2</v>
      </c>
      <c r="J1207" s="39">
        <f t="shared" si="166"/>
        <v>78.179429868781128</v>
      </c>
      <c r="K1207" s="37">
        <f t="shared" si="164"/>
        <v>28.746576362750822</v>
      </c>
      <c r="L1207" s="39">
        <v>30.144783516699711</v>
      </c>
      <c r="M1207" s="39">
        <f t="shared" si="167"/>
        <v>12.967601597974483</v>
      </c>
      <c r="N1207" s="39"/>
      <c r="O1207" s="94">
        <f t="shared" si="162"/>
        <v>3.6676491335857528E-2</v>
      </c>
      <c r="P1207" s="238"/>
    </row>
    <row r="1208" spans="1:16" s="6" customFormat="1" ht="15.75">
      <c r="A1208" s="8">
        <v>5</v>
      </c>
      <c r="B1208" s="8" t="s">
        <v>536</v>
      </c>
      <c r="C1208" s="55">
        <v>3274.15</v>
      </c>
      <c r="D1208" s="55"/>
      <c r="E1208" s="55"/>
      <c r="F1208" s="61">
        <f t="shared" si="163"/>
        <v>3274.15</v>
      </c>
      <c r="G1208" s="8" t="s">
        <v>1341</v>
      </c>
      <c r="H1208" s="24">
        <v>654.79999999999995</v>
      </c>
      <c r="I1208" s="221">
        <f t="shared" si="165"/>
        <v>4.9637271920980608E-2</v>
      </c>
      <c r="J1208" s="39">
        <f t="shared" si="166"/>
        <v>112.63342283405473</v>
      </c>
      <c r="K1208" s="37">
        <f t="shared" si="164"/>
        <v>41.415309576081924</v>
      </c>
      <c r="L1208" s="39">
        <v>43.429712314048338</v>
      </c>
      <c r="M1208" s="39">
        <f t="shared" si="167"/>
        <v>18.682476405618679</v>
      </c>
      <c r="N1208" s="39"/>
      <c r="O1208" s="94">
        <f t="shared" si="162"/>
        <v>6.602046977988292E-2</v>
      </c>
      <c r="P1208" s="238"/>
    </row>
    <row r="1209" spans="1:16" s="6" customFormat="1" ht="15.75">
      <c r="A1209" s="8">
        <v>6</v>
      </c>
      <c r="B1209" s="8" t="s">
        <v>537</v>
      </c>
      <c r="C1209" s="55">
        <v>6596</v>
      </c>
      <c r="D1209" s="55"/>
      <c r="E1209" s="55"/>
      <c r="F1209" s="61">
        <f t="shared" si="163"/>
        <v>6596</v>
      </c>
      <c r="G1209" s="8" t="s">
        <v>1341</v>
      </c>
      <c r="H1209" s="24">
        <v>732.9</v>
      </c>
      <c r="I1209" s="221">
        <f t="shared" si="165"/>
        <v>5.5557661256699281E-2</v>
      </c>
      <c r="J1209" s="39">
        <f t="shared" si="166"/>
        <v>126.06755588741404</v>
      </c>
      <c r="K1209" s="37">
        <f t="shared" si="164"/>
        <v>46.355040299802148</v>
      </c>
      <c r="L1209" s="39">
        <v>48.609707017358012</v>
      </c>
      <c r="M1209" s="39">
        <f t="shared" si="167"/>
        <v>20.910792543796475</v>
      </c>
      <c r="N1209" s="39"/>
      <c r="O1209" s="94">
        <f t="shared" si="162"/>
        <v>3.6680275280225993E-2</v>
      </c>
      <c r="P1209" s="238"/>
    </row>
    <row r="1210" spans="1:16" s="6" customFormat="1" ht="15.75">
      <c r="A1210" s="8">
        <v>7</v>
      </c>
      <c r="B1210" s="8" t="s">
        <v>538</v>
      </c>
      <c r="C1210" s="55">
        <v>7101.2</v>
      </c>
      <c r="D1210" s="55"/>
      <c r="E1210" s="55"/>
      <c r="F1210" s="61">
        <f t="shared" si="163"/>
        <v>7101.2</v>
      </c>
      <c r="G1210" s="8" t="s">
        <v>1341</v>
      </c>
      <c r="H1210" s="24">
        <v>789</v>
      </c>
      <c r="I1210" s="221">
        <f t="shared" si="165"/>
        <v>5.9810335286581709E-2</v>
      </c>
      <c r="J1210" s="39">
        <f t="shared" si="166"/>
        <v>135.71742610884115</v>
      </c>
      <c r="K1210" s="37">
        <f t="shared" si="164"/>
        <v>49.903297580220894</v>
      </c>
      <c r="L1210" s="39">
        <v>52.330548283115668</v>
      </c>
      <c r="M1210" s="39">
        <f t="shared" si="167"/>
        <v>22.511413995163622</v>
      </c>
      <c r="N1210" s="39"/>
      <c r="O1210" s="94">
        <f t="shared" si="162"/>
        <v>3.6678686132955177E-2</v>
      </c>
      <c r="P1210" s="238"/>
    </row>
    <row r="1211" spans="1:16" s="6" customFormat="1" ht="15.75">
      <c r="A1211" s="8">
        <v>8</v>
      </c>
      <c r="B1211" s="8" t="s">
        <v>539</v>
      </c>
      <c r="C1211" s="55">
        <v>7470.48</v>
      </c>
      <c r="D1211" s="55"/>
      <c r="E1211" s="55"/>
      <c r="F1211" s="61">
        <f t="shared" si="163"/>
        <v>7470.48</v>
      </c>
      <c r="G1211" s="8" t="s">
        <v>1341</v>
      </c>
      <c r="H1211" s="24">
        <v>830.1</v>
      </c>
      <c r="I1211" s="221">
        <f t="shared" si="165"/>
        <v>6.2925930698848512E-2</v>
      </c>
      <c r="J1211" s="39">
        <f t="shared" si="166"/>
        <v>142.78711712667814</v>
      </c>
      <c r="K1211" s="37">
        <f t="shared" si="164"/>
        <v>52.502822967479553</v>
      </c>
      <c r="L1211" s="39">
        <v>55.056512205087849</v>
      </c>
      <c r="M1211" s="39">
        <f t="shared" si="167"/>
        <v>23.684061796432601</v>
      </c>
      <c r="N1211" s="39"/>
      <c r="O1211" s="94">
        <f t="shared" si="162"/>
        <v>3.6681781370899613E-2</v>
      </c>
      <c r="P1211" s="238"/>
    </row>
    <row r="1212" spans="1:16" s="6" customFormat="1" ht="15.75">
      <c r="A1212" s="8">
        <v>9</v>
      </c>
      <c r="B1212" s="8" t="s">
        <v>540</v>
      </c>
      <c r="C1212" s="55">
        <v>2276.6</v>
      </c>
      <c r="D1212" s="55"/>
      <c r="E1212" s="55"/>
      <c r="F1212" s="61">
        <f t="shared" si="163"/>
        <v>2276.6</v>
      </c>
      <c r="G1212" s="8" t="s">
        <v>1341</v>
      </c>
      <c r="H1212" s="24">
        <v>253</v>
      </c>
      <c r="I1212" s="221">
        <f t="shared" si="165"/>
        <v>1.9178726017116822E-2</v>
      </c>
      <c r="J1212" s="39">
        <f t="shared" si="166"/>
        <v>43.519022567220297</v>
      </c>
      <c r="K1212" s="37">
        <f t="shared" si="164"/>
        <v>16.001944597966904</v>
      </c>
      <c r="L1212" s="39">
        <v>16.780264531848243</v>
      </c>
      <c r="M1212" s="39">
        <f t="shared" si="167"/>
        <v>7.2184888983224296</v>
      </c>
      <c r="N1212" s="39"/>
      <c r="O1212" s="94">
        <f t="shared" si="162"/>
        <v>3.6686163838776195E-2</v>
      </c>
      <c r="P1212" s="238"/>
    </row>
    <row r="1213" spans="1:16" s="6" customFormat="1" ht="15.75">
      <c r="A1213" s="8">
        <v>10</v>
      </c>
      <c r="B1213" s="8" t="s">
        <v>541</v>
      </c>
      <c r="C1213" s="55">
        <v>4642.43</v>
      </c>
      <c r="D1213" s="55"/>
      <c r="E1213" s="55"/>
      <c r="F1213" s="61">
        <f t="shared" si="163"/>
        <v>4642.43</v>
      </c>
      <c r="G1213" s="8" t="s">
        <v>1341</v>
      </c>
      <c r="H1213" s="24">
        <v>515.79999999999995</v>
      </c>
      <c r="I1213" s="221">
        <f t="shared" si="165"/>
        <v>3.9100343397742515E-2</v>
      </c>
      <c r="J1213" s="39">
        <f t="shared" si="166"/>
        <v>88.723762214119475</v>
      </c>
      <c r="K1213" s="37">
        <f t="shared" si="164"/>
        <v>32.623727366131732</v>
      </c>
      <c r="L1213" s="39">
        <v>34.210515594969657</v>
      </c>
      <c r="M1213" s="39">
        <f t="shared" si="167"/>
        <v>14.716587248042329</v>
      </c>
      <c r="N1213" s="39"/>
      <c r="O1213" s="94">
        <f t="shared" si="162"/>
        <v>3.6677901965837541E-2</v>
      </c>
      <c r="P1213" s="238"/>
    </row>
    <row r="1214" spans="1:16" s="6" customFormat="1" ht="15.75">
      <c r="A1214" s="8">
        <v>11</v>
      </c>
      <c r="B1214" s="8" t="s">
        <v>542</v>
      </c>
      <c r="C1214" s="55">
        <v>3634.2</v>
      </c>
      <c r="D1214" s="55"/>
      <c r="E1214" s="55"/>
      <c r="F1214" s="61">
        <f t="shared" si="163"/>
        <v>3634.2</v>
      </c>
      <c r="G1214" s="8" t="s">
        <v>1341</v>
      </c>
      <c r="H1214" s="24">
        <v>605.70000000000005</v>
      </c>
      <c r="I1214" s="221">
        <f t="shared" si="165"/>
        <v>4.5915234579318814E-2</v>
      </c>
      <c r="J1214" s="39">
        <f t="shared" si="166"/>
        <v>104.18763624096971</v>
      </c>
      <c r="K1214" s="37">
        <f t="shared" si="164"/>
        <v>38.309793845804563</v>
      </c>
      <c r="L1214" s="39">
        <v>40.173147142057239</v>
      </c>
      <c r="M1214" s="39">
        <f t="shared" si="167"/>
        <v>17.281575990964015</v>
      </c>
      <c r="N1214" s="39"/>
      <c r="O1214" s="94">
        <f t="shared" si="162"/>
        <v>5.5019578784820736E-2</v>
      </c>
      <c r="P1214" s="238"/>
    </row>
    <row r="1215" spans="1:16" s="6" customFormat="1" ht="15.75">
      <c r="A1215" s="8">
        <v>12</v>
      </c>
      <c r="B1215" s="8" t="s">
        <v>543</v>
      </c>
      <c r="C1215" s="55">
        <v>5551.35</v>
      </c>
      <c r="D1215" s="55"/>
      <c r="E1215" s="55"/>
      <c r="F1215" s="61">
        <f t="shared" si="163"/>
        <v>5551.35</v>
      </c>
      <c r="G1215" s="8" t="s">
        <v>1341</v>
      </c>
      <c r="H1215" s="24">
        <v>1110.3</v>
      </c>
      <c r="I1215" s="221">
        <f t="shared" si="165"/>
        <v>8.4166559275908326E-2</v>
      </c>
      <c r="J1215" s="39">
        <f t="shared" si="166"/>
        <v>190.98486464974187</v>
      </c>
      <c r="K1215" s="37">
        <f t="shared" si="164"/>
        <v>70.225134731710085</v>
      </c>
      <c r="L1215" s="39">
        <v>73.64082098700041</v>
      </c>
      <c r="M1215" s="39">
        <f t="shared" si="167"/>
        <v>31.678609580266375</v>
      </c>
      <c r="N1215" s="39"/>
      <c r="O1215" s="94">
        <f t="shared" si="162"/>
        <v>6.6025278526614023E-2</v>
      </c>
      <c r="P1215" s="238"/>
    </row>
    <row r="1216" spans="1:16" s="6" customFormat="1" ht="15.75">
      <c r="A1216" s="8">
        <v>13</v>
      </c>
      <c r="B1216" s="8" t="s">
        <v>545</v>
      </c>
      <c r="C1216" s="55">
        <v>4556.37</v>
      </c>
      <c r="D1216" s="55"/>
      <c r="E1216" s="55"/>
      <c r="F1216" s="61">
        <f t="shared" si="163"/>
        <v>4556.37</v>
      </c>
      <c r="G1216" s="8" t="s">
        <v>1341</v>
      </c>
      <c r="H1216" s="24">
        <v>600.70000000000005</v>
      </c>
      <c r="I1216" s="221">
        <f t="shared" si="165"/>
        <v>4.5536208373446942E-2</v>
      </c>
      <c r="J1216" s="39">
        <f t="shared" si="166"/>
        <v>103.32757650643967</v>
      </c>
      <c r="K1216" s="37">
        <f t="shared" si="164"/>
        <v>37.99354988141787</v>
      </c>
      <c r="L1216" s="39">
        <v>39.841521360795419</v>
      </c>
      <c r="M1216" s="39">
        <f t="shared" si="167"/>
        <v>17.138918107597959</v>
      </c>
      <c r="N1216" s="39"/>
      <c r="O1216" s="94">
        <f t="shared" si="162"/>
        <v>4.352183116302033E-2</v>
      </c>
      <c r="P1216" s="238"/>
    </row>
    <row r="1217" spans="1:16" s="6" customFormat="1" ht="15.75">
      <c r="A1217" s="8">
        <v>14</v>
      </c>
      <c r="B1217" s="8" t="s">
        <v>546</v>
      </c>
      <c r="C1217" s="55">
        <v>4596.6099999999997</v>
      </c>
      <c r="D1217" s="55"/>
      <c r="E1217" s="55"/>
      <c r="F1217" s="61">
        <f t="shared" si="163"/>
        <v>4596.6099999999997</v>
      </c>
      <c r="G1217" s="8" t="s">
        <v>1341</v>
      </c>
      <c r="H1217" s="24">
        <v>510.7</v>
      </c>
      <c r="I1217" s="221">
        <f t="shared" si="165"/>
        <v>3.8713736667753205E-2</v>
      </c>
      <c r="J1217" s="39">
        <f t="shared" si="166"/>
        <v>87.846501284898835</v>
      </c>
      <c r="K1217" s="37">
        <f t="shared" si="164"/>
        <v>32.301158522457307</v>
      </c>
      <c r="L1217" s="39">
        <v>33.872257298082602</v>
      </c>
      <c r="M1217" s="39">
        <f t="shared" si="167"/>
        <v>14.571076207008952</v>
      </c>
      <c r="N1217" s="39"/>
      <c r="O1217" s="94">
        <f t="shared" si="162"/>
        <v>3.6677245472739192E-2</v>
      </c>
      <c r="P1217" s="238"/>
    </row>
    <row r="1218" spans="1:16" s="6" customFormat="1" ht="15.75">
      <c r="A1218" s="8">
        <v>15</v>
      </c>
      <c r="B1218" s="8" t="s">
        <v>567</v>
      </c>
      <c r="C1218" s="55">
        <v>4490.43</v>
      </c>
      <c r="D1218" s="55"/>
      <c r="E1218" s="55"/>
      <c r="F1218" s="61">
        <f t="shared" si="163"/>
        <v>4490.43</v>
      </c>
      <c r="G1218" s="8" t="s">
        <v>1341</v>
      </c>
      <c r="H1218" s="24">
        <v>498.9</v>
      </c>
      <c r="I1218" s="221">
        <f t="shared" si="165"/>
        <v>3.781923482189558E-2</v>
      </c>
      <c r="J1218" s="39">
        <f t="shared" si="166"/>
        <v>85.816760311407918</v>
      </c>
      <c r="K1218" s="37">
        <f t="shared" si="164"/>
        <v>31.554822766504692</v>
      </c>
      <c r="L1218" s="39">
        <v>33.089620454304701</v>
      </c>
      <c r="M1218" s="39">
        <f t="shared" si="167"/>
        <v>14.234403602265058</v>
      </c>
      <c r="N1218" s="39"/>
      <c r="O1218" s="94">
        <f t="shared" si="162"/>
        <v>3.6677023611209253E-2</v>
      </c>
      <c r="P1218" s="238"/>
    </row>
    <row r="1219" spans="1:16" s="6" customFormat="1" ht="15.75">
      <c r="A1219" s="8">
        <v>16</v>
      </c>
      <c r="B1219" s="8" t="s">
        <v>568</v>
      </c>
      <c r="C1219" s="55">
        <v>4338.5</v>
      </c>
      <c r="D1219" s="55"/>
      <c r="E1219" s="55"/>
      <c r="F1219" s="61">
        <f t="shared" si="163"/>
        <v>4338.5</v>
      </c>
      <c r="G1219" s="8" t="s">
        <v>1341</v>
      </c>
      <c r="H1219" s="24">
        <v>867.7</v>
      </c>
      <c r="I1219" s="221">
        <f t="shared" si="165"/>
        <v>6.5776207767005004E-2</v>
      </c>
      <c r="J1219" s="39">
        <f t="shared" si="166"/>
        <v>149.25476633034407</v>
      </c>
      <c r="K1219" s="37">
        <f t="shared" si="164"/>
        <v>54.880977579667515</v>
      </c>
      <c r="L1219" s="39">
        <v>57.550338080176765</v>
      </c>
      <c r="M1219" s="39">
        <f t="shared" si="167"/>
        <v>24.756849079345344</v>
      </c>
      <c r="N1219" s="39"/>
      <c r="O1219" s="94">
        <f t="shared" si="162"/>
        <v>6.6023494541784883E-2</v>
      </c>
      <c r="P1219" s="238"/>
    </row>
    <row r="1220" spans="1:16" s="6" customFormat="1" ht="15.75">
      <c r="A1220" s="8">
        <v>17</v>
      </c>
      <c r="B1220" s="8" t="s">
        <v>569</v>
      </c>
      <c r="C1220" s="55">
        <v>3131.06</v>
      </c>
      <c r="D1220" s="55"/>
      <c r="E1220" s="55"/>
      <c r="F1220" s="61">
        <f t="shared" si="163"/>
        <v>3131.06</v>
      </c>
      <c r="G1220" s="8" t="s">
        <v>1341</v>
      </c>
      <c r="H1220" s="24">
        <v>626.20000000000005</v>
      </c>
      <c r="I1220" s="221">
        <f t="shared" si="165"/>
        <v>4.7469242023393497E-2</v>
      </c>
      <c r="J1220" s="39">
        <f t="shared" si="166"/>
        <v>107.7138811525429</v>
      </c>
      <c r="K1220" s="37">
        <f t="shared" si="164"/>
        <v>39.606394099790023</v>
      </c>
      <c r="L1220" s="39">
        <v>41.532812845230715</v>
      </c>
      <c r="M1220" s="39">
        <f t="shared" si="167"/>
        <v>17.866473312764843</v>
      </c>
      <c r="N1220" s="39"/>
      <c r="O1220" s="94">
        <f t="shared" si="162"/>
        <v>6.6022229344160924E-2</v>
      </c>
      <c r="P1220" s="238"/>
    </row>
    <row r="1221" spans="1:16" s="6" customFormat="1" ht="15.75">
      <c r="A1221" s="8">
        <v>18</v>
      </c>
      <c r="B1221" s="8" t="s">
        <v>570</v>
      </c>
      <c r="C1221" s="55">
        <v>3376.98</v>
      </c>
      <c r="D1221" s="55"/>
      <c r="E1221" s="55"/>
      <c r="F1221" s="61">
        <f t="shared" si="163"/>
        <v>3376.98</v>
      </c>
      <c r="G1221" s="8" t="s">
        <v>1341</v>
      </c>
      <c r="H1221" s="24">
        <v>675.4</v>
      </c>
      <c r="I1221" s="221">
        <f t="shared" si="165"/>
        <v>5.1198859889172735E-2</v>
      </c>
      <c r="J1221" s="39">
        <f t="shared" si="166"/>
        <v>116.17686894031853</v>
      </c>
      <c r="K1221" s="37">
        <f t="shared" si="164"/>
        <v>42.718234709355123</v>
      </c>
      <c r="L1221" s="39">
        <v>44.796010532847049</v>
      </c>
      <c r="M1221" s="39">
        <f t="shared" si="167"/>
        <v>19.270226885086835</v>
      </c>
      <c r="N1221" s="39"/>
      <c r="O1221" s="94">
        <f t="shared" si="162"/>
        <v>6.6023885562723955E-2</v>
      </c>
      <c r="P1221" s="238"/>
    </row>
    <row r="1222" spans="1:16" s="6" customFormat="1" ht="15.75">
      <c r="A1222" s="8">
        <v>20</v>
      </c>
      <c r="B1222" s="8" t="s">
        <v>571</v>
      </c>
      <c r="C1222" s="55">
        <v>50.5</v>
      </c>
      <c r="D1222" s="55"/>
      <c r="E1222" s="55"/>
      <c r="F1222" s="61">
        <f t="shared" si="163"/>
        <v>50.5</v>
      </c>
      <c r="G1222" s="8" t="s">
        <v>1341</v>
      </c>
      <c r="H1222" s="24"/>
      <c r="I1222" s="221">
        <f t="shared" si="165"/>
        <v>0</v>
      </c>
      <c r="J1222" s="39">
        <f t="shared" si="166"/>
        <v>0</v>
      </c>
      <c r="K1222" s="37">
        <f t="shared" si="164"/>
        <v>0</v>
      </c>
      <c r="L1222" s="39">
        <v>0</v>
      </c>
      <c r="M1222" s="39">
        <f t="shared" si="167"/>
        <v>0</v>
      </c>
      <c r="N1222" s="39"/>
      <c r="O1222" s="94">
        <f t="shared" si="162"/>
        <v>0</v>
      </c>
      <c r="P1222" s="238"/>
    </row>
    <row r="1223" spans="1:16" s="6" customFormat="1" ht="15.75">
      <c r="A1223" s="8">
        <v>22</v>
      </c>
      <c r="B1223" s="8" t="s">
        <v>356</v>
      </c>
      <c r="C1223" s="55">
        <v>306.8</v>
      </c>
      <c r="D1223" s="55"/>
      <c r="E1223" s="55"/>
      <c r="F1223" s="61">
        <f t="shared" si="163"/>
        <v>306.8</v>
      </c>
      <c r="G1223" s="8" t="s">
        <v>1341</v>
      </c>
      <c r="H1223" s="24">
        <v>204</v>
      </c>
      <c r="I1223" s="221">
        <f t="shared" si="165"/>
        <v>1.5464269199572458E-2</v>
      </c>
      <c r="J1223" s="39">
        <f t="shared" si="166"/>
        <v>35.090437168825858</v>
      </c>
      <c r="K1223" s="37">
        <f t="shared" si="164"/>
        <v>12.902753746977268</v>
      </c>
      <c r="L1223" s="39">
        <v>13.530331875482378</v>
      </c>
      <c r="M1223" s="39">
        <f t="shared" si="167"/>
        <v>5.8204416413350817</v>
      </c>
      <c r="N1223" s="39"/>
      <c r="O1223" s="94">
        <f t="shared" ref="O1223:O1232" si="168">(M1223+L1223+K1223+J1223)/F1223</f>
        <v>0.21950444730319618</v>
      </c>
      <c r="P1223" s="238"/>
    </row>
    <row r="1224" spans="1:16" s="6" customFormat="1" ht="15.75">
      <c r="A1224" s="8">
        <v>23</v>
      </c>
      <c r="B1224" s="8" t="s">
        <v>357</v>
      </c>
      <c r="C1224" s="55">
        <v>304.18</v>
      </c>
      <c r="D1224" s="55"/>
      <c r="E1224" s="55"/>
      <c r="F1224" s="61">
        <f t="shared" si="163"/>
        <v>304.18</v>
      </c>
      <c r="G1224" s="8" t="s">
        <v>1341</v>
      </c>
      <c r="H1224" s="24">
        <v>204</v>
      </c>
      <c r="I1224" s="221">
        <f t="shared" si="165"/>
        <v>1.5464269199572458E-2</v>
      </c>
      <c r="J1224" s="39">
        <f t="shared" si="166"/>
        <v>35.090437168825858</v>
      </c>
      <c r="K1224" s="37">
        <f t="shared" si="164"/>
        <v>12.902753746977268</v>
      </c>
      <c r="L1224" s="39">
        <v>13.530331875482378</v>
      </c>
      <c r="M1224" s="39">
        <f t="shared" si="167"/>
        <v>5.8204416413350817</v>
      </c>
      <c r="N1224" s="39"/>
      <c r="O1224" s="94">
        <f t="shared" si="168"/>
        <v>0.22139510958189426</v>
      </c>
      <c r="P1224" s="238"/>
    </row>
    <row r="1225" spans="1:16" s="6" customFormat="1" ht="15.75">
      <c r="A1225" s="8">
        <v>24</v>
      </c>
      <c r="B1225" s="8" t="s">
        <v>358</v>
      </c>
      <c r="C1225" s="55">
        <v>823.48</v>
      </c>
      <c r="D1225" s="55"/>
      <c r="E1225" s="55"/>
      <c r="F1225" s="61">
        <f t="shared" si="163"/>
        <v>823.48</v>
      </c>
      <c r="G1225" s="8" t="s">
        <v>1341</v>
      </c>
      <c r="H1225" s="24">
        <v>210</v>
      </c>
      <c r="I1225" s="221">
        <f t="shared" si="165"/>
        <v>1.5919100646618705E-2</v>
      </c>
      <c r="J1225" s="39">
        <f t="shared" si="166"/>
        <v>36.122508850261902</v>
      </c>
      <c r="K1225" s="37">
        <f t="shared" si="164"/>
        <v>13.282246504241302</v>
      </c>
      <c r="L1225" s="39">
        <v>13.928282812996564</v>
      </c>
      <c r="M1225" s="39">
        <f t="shared" si="167"/>
        <v>5.991631101374348</v>
      </c>
      <c r="N1225" s="39"/>
      <c r="O1225" s="94">
        <f t="shared" si="168"/>
        <v>8.418500664117419E-2</v>
      </c>
      <c r="P1225" s="238"/>
    </row>
    <row r="1226" spans="1:16" s="6" customFormat="1" ht="15.75">
      <c r="A1226" s="8">
        <v>25</v>
      </c>
      <c r="B1226" s="8" t="s">
        <v>359</v>
      </c>
      <c r="C1226" s="55">
        <v>733.47</v>
      </c>
      <c r="D1226" s="55"/>
      <c r="E1226" s="55">
        <v>70</v>
      </c>
      <c r="F1226" s="61">
        <f t="shared" si="163"/>
        <v>803.47</v>
      </c>
      <c r="G1226" s="8" t="s">
        <v>1341</v>
      </c>
      <c r="H1226" s="24">
        <v>210</v>
      </c>
      <c r="I1226" s="221">
        <f t="shared" si="165"/>
        <v>1.5919100646618705E-2</v>
      </c>
      <c r="J1226" s="39">
        <f t="shared" si="166"/>
        <v>36.122508850261902</v>
      </c>
      <c r="K1226" s="37">
        <f t="shared" si="164"/>
        <v>13.282246504241302</v>
      </c>
      <c r="L1226" s="39">
        <v>13.928282812996564</v>
      </c>
      <c r="M1226" s="39">
        <f t="shared" si="167"/>
        <v>5.991631101374348</v>
      </c>
      <c r="N1226" s="39"/>
      <c r="O1226" s="94">
        <f t="shared" si="168"/>
        <v>8.6281590188649379E-2</v>
      </c>
      <c r="P1226" s="238"/>
    </row>
    <row r="1227" spans="1:16" s="6" customFormat="1" ht="15.75">
      <c r="A1227" s="8">
        <v>26</v>
      </c>
      <c r="B1227" s="8" t="s">
        <v>360</v>
      </c>
      <c r="C1227" s="55">
        <v>4465.32</v>
      </c>
      <c r="D1227" s="55"/>
      <c r="E1227" s="55"/>
      <c r="F1227" s="61">
        <f t="shared" si="163"/>
        <v>4465.32</v>
      </c>
      <c r="G1227" s="8" t="s">
        <v>1341</v>
      </c>
      <c r="H1227" s="24">
        <v>658</v>
      </c>
      <c r="I1227" s="221">
        <f t="shared" si="165"/>
        <v>4.9879848692738614E-2</v>
      </c>
      <c r="J1227" s="39">
        <f t="shared" si="166"/>
        <v>113.18386106415397</v>
      </c>
      <c r="K1227" s="37">
        <f t="shared" si="164"/>
        <v>41.617705713289418</v>
      </c>
      <c r="L1227" s="39">
        <v>43.641952814055905</v>
      </c>
      <c r="M1227" s="39">
        <f t="shared" si="167"/>
        <v>18.773777450972958</v>
      </c>
      <c r="N1227" s="39"/>
      <c r="O1227" s="94">
        <f t="shared" si="168"/>
        <v>4.8645404370229288E-2</v>
      </c>
      <c r="P1227" s="238"/>
    </row>
    <row r="1228" spans="1:16" s="6" customFormat="1" ht="15.75">
      <c r="A1228" s="8">
        <v>27</v>
      </c>
      <c r="B1228" s="8" t="s">
        <v>361</v>
      </c>
      <c r="C1228" s="55">
        <v>2218.6799999999998</v>
      </c>
      <c r="D1228" s="55"/>
      <c r="E1228" s="55"/>
      <c r="F1228" s="61">
        <f t="shared" si="163"/>
        <v>2218.6799999999998</v>
      </c>
      <c r="G1228" s="8" t="s">
        <v>1341</v>
      </c>
      <c r="H1228" s="24">
        <v>329</v>
      </c>
      <c r="I1228" s="221">
        <f t="shared" si="165"/>
        <v>2.4939924346369307E-2</v>
      </c>
      <c r="J1228" s="39">
        <f t="shared" si="166"/>
        <v>56.591930532076987</v>
      </c>
      <c r="K1228" s="37">
        <f t="shared" si="164"/>
        <v>20.808852856644709</v>
      </c>
      <c r="L1228" s="39">
        <v>21.820976407027953</v>
      </c>
      <c r="M1228" s="39">
        <f t="shared" si="167"/>
        <v>9.3868887254864788</v>
      </c>
      <c r="N1228" s="39"/>
      <c r="O1228" s="94">
        <f t="shared" si="168"/>
        <v>4.8951921196944186E-2</v>
      </c>
      <c r="P1228" s="238"/>
    </row>
    <row r="1229" spans="1:16" s="6" customFormat="1" ht="15.75">
      <c r="A1229" s="8">
        <v>28</v>
      </c>
      <c r="B1229" s="8" t="s">
        <v>362</v>
      </c>
      <c r="C1229" s="55">
        <v>120.8</v>
      </c>
      <c r="D1229" s="55"/>
      <c r="E1229" s="55"/>
      <c r="F1229" s="61">
        <f t="shared" si="163"/>
        <v>120.8</v>
      </c>
      <c r="G1229" s="8" t="s">
        <v>1341</v>
      </c>
      <c r="H1229" s="24">
        <v>92.3</v>
      </c>
      <c r="I1229" s="221">
        <f t="shared" si="165"/>
        <v>6.9968237603947932E-3</v>
      </c>
      <c r="J1229" s="39">
        <f t="shared" si="166"/>
        <v>15.876702699424637</v>
      </c>
      <c r="K1229" s="37">
        <f t="shared" si="164"/>
        <v>5.8378635825784393</v>
      </c>
      <c r="L1229" s="39">
        <v>6.1218119220932525</v>
      </c>
      <c r="M1229" s="39">
        <f t="shared" si="167"/>
        <v>2.6334645269373924</v>
      </c>
      <c r="N1229" s="39"/>
      <c r="O1229" s="94">
        <f t="shared" si="168"/>
        <v>0.25223379744233215</v>
      </c>
      <c r="P1229" s="238"/>
    </row>
    <row r="1230" spans="1:16" s="6" customFormat="1" ht="15.75">
      <c r="A1230" s="8">
        <v>30</v>
      </c>
      <c r="B1230" s="8" t="s">
        <v>363</v>
      </c>
      <c r="C1230" s="55">
        <v>174.6</v>
      </c>
      <c r="D1230" s="55"/>
      <c r="E1230" s="55"/>
      <c r="F1230" s="61">
        <f t="shared" si="163"/>
        <v>174.6</v>
      </c>
      <c r="G1230" s="8" t="s">
        <v>1341</v>
      </c>
      <c r="H1230" s="24">
        <v>31.2</v>
      </c>
      <c r="I1230" s="221">
        <f t="shared" si="165"/>
        <v>2.3651235246404936E-3</v>
      </c>
      <c r="J1230" s="39">
        <f t="shared" si="166"/>
        <v>5.3667727434674832</v>
      </c>
      <c r="K1230" s="37">
        <f t="shared" si="164"/>
        <v>1.9733623377729936</v>
      </c>
      <c r="L1230" s="39">
        <v>2.0693448750737753</v>
      </c>
      <c r="M1230" s="39">
        <f t="shared" si="167"/>
        <v>0.89018519220418901</v>
      </c>
      <c r="N1230" s="39"/>
      <c r="O1230" s="94">
        <f t="shared" si="168"/>
        <v>5.8990063851766562E-2</v>
      </c>
      <c r="P1230" s="238"/>
    </row>
    <row r="1231" spans="1:16" s="6" customFormat="1" ht="15.75">
      <c r="A1231" s="8">
        <v>31</v>
      </c>
      <c r="B1231" s="8" t="s">
        <v>364</v>
      </c>
      <c r="C1231" s="55">
        <v>139.19999999999999</v>
      </c>
      <c r="D1231" s="55"/>
      <c r="E1231" s="55"/>
      <c r="F1231" s="61">
        <f t="shared" si="163"/>
        <v>139.19999999999999</v>
      </c>
      <c r="G1231" s="8" t="s">
        <v>1341</v>
      </c>
      <c r="H1231" s="24">
        <v>42.3</v>
      </c>
      <c r="I1231" s="221">
        <f t="shared" si="165"/>
        <v>3.2065617016760533E-3</v>
      </c>
      <c r="J1231" s="39">
        <f t="shared" si="166"/>
        <v>7.2761053541241836</v>
      </c>
      <c r="K1231" s="37">
        <f t="shared" si="164"/>
        <v>2.6754239387114627</v>
      </c>
      <c r="L1231" s="39">
        <v>2.8055541094750223</v>
      </c>
      <c r="M1231" s="39">
        <f t="shared" si="167"/>
        <v>1.206885693276833</v>
      </c>
      <c r="N1231" s="39"/>
      <c r="O1231" s="94">
        <f t="shared" si="168"/>
        <v>0.10031586993956539</v>
      </c>
      <c r="P1231" s="238"/>
    </row>
    <row r="1232" spans="1:16" s="69" customFormat="1" ht="15.75">
      <c r="A1232" s="63"/>
      <c r="B1232" s="63" t="s">
        <v>572</v>
      </c>
      <c r="C1232" s="63">
        <f>SUM(C1204:C1231)</f>
        <v>91831.689999999973</v>
      </c>
      <c r="D1232" s="63">
        <f>SUM(D1204:D1231)</f>
        <v>612.9</v>
      </c>
      <c r="E1232" s="63">
        <f>SUM(E1204:E1231)</f>
        <v>735</v>
      </c>
      <c r="F1232" s="63">
        <f t="shared" si="163"/>
        <v>93179.589999999967</v>
      </c>
      <c r="G1232" s="63"/>
      <c r="H1232" s="64">
        <f>SUM(H1204:H1231)</f>
        <v>13191.7</v>
      </c>
      <c r="I1232" s="221">
        <f>1/13191.7*H1232</f>
        <v>1</v>
      </c>
      <c r="J1232" s="39">
        <f>I1232*2269.13</f>
        <v>2269.13</v>
      </c>
      <c r="K1232" s="64">
        <f t="shared" si="164"/>
        <v>834.35910100000012</v>
      </c>
      <c r="L1232" s="39">
        <f>SUM(L1203:L1231)</f>
        <v>874.94156373431815</v>
      </c>
      <c r="M1232" s="64">
        <f>SUM(M1204:M1231)</f>
        <v>376.38000000000005</v>
      </c>
      <c r="N1232" s="64"/>
      <c r="O1232" s="94">
        <f t="shared" si="168"/>
        <v>4.6735671027682349E-2</v>
      </c>
      <c r="P1232" s="239"/>
    </row>
    <row r="1233" spans="1:17" s="6" customFormat="1" ht="15.75">
      <c r="F1233" s="67"/>
      <c r="H1233" s="25"/>
      <c r="I1233" s="34"/>
      <c r="J1233" s="34"/>
      <c r="K1233" s="34"/>
      <c r="L1233" s="34"/>
      <c r="M1233" s="34"/>
      <c r="N1233" s="34"/>
      <c r="O1233" s="45"/>
      <c r="P1233" s="238"/>
    </row>
    <row r="1234" spans="1:17" s="325" customFormat="1" ht="15.75">
      <c r="A1234" s="1060" t="s">
        <v>624</v>
      </c>
      <c r="B1234" s="1061"/>
      <c r="C1234" s="327">
        <f t="shared" ref="C1234:O1234" si="169">C1232+C1202+C1146+C879+C747+C535+C384+C67+C90</f>
        <v>1871681.0599999996</v>
      </c>
      <c r="D1234" s="327">
        <f t="shared" si="169"/>
        <v>10680.369999999999</v>
      </c>
      <c r="E1234" s="327">
        <f t="shared" si="169"/>
        <v>25132.499999999996</v>
      </c>
      <c r="F1234" s="718">
        <f t="shared" si="169"/>
        <v>1907493.9299999997</v>
      </c>
      <c r="G1234" s="327">
        <f t="shared" si="169"/>
        <v>0</v>
      </c>
      <c r="H1234" s="327">
        <f t="shared" si="169"/>
        <v>530435.67000000004</v>
      </c>
      <c r="I1234" s="713">
        <f t="shared" si="169"/>
        <v>24</v>
      </c>
      <c r="J1234" s="713">
        <f t="shared" si="169"/>
        <v>54459.12</v>
      </c>
      <c r="K1234" s="713">
        <f t="shared" si="169"/>
        <v>20024.618424</v>
      </c>
      <c r="L1234" s="713">
        <f t="shared" si="169"/>
        <v>21745.667143793729</v>
      </c>
      <c r="M1234" s="713">
        <f t="shared" si="169"/>
        <v>13403.802859505118</v>
      </c>
      <c r="N1234" s="713"/>
      <c r="O1234" s="713">
        <f t="shared" si="169"/>
        <v>0.49791872838477819</v>
      </c>
      <c r="P1234" s="326"/>
    </row>
    <row r="1235" spans="1:17" s="6" customFormat="1" ht="15.75">
      <c r="F1235" s="67"/>
      <c r="H1235" s="25"/>
      <c r="I1235" s="34"/>
      <c r="J1235" s="34"/>
      <c r="K1235" s="34"/>
      <c r="L1235" s="34"/>
      <c r="M1235" s="34"/>
      <c r="N1235" s="34"/>
      <c r="O1235" s="110"/>
      <c r="P1235" s="110"/>
    </row>
    <row r="1236" spans="1:17" s="6" customFormat="1" ht="15.75">
      <c r="A1236" s="743"/>
      <c r="B1236" s="743"/>
      <c r="C1236" s="743"/>
      <c r="D1236" s="743"/>
      <c r="E1236" s="743"/>
      <c r="F1236" s="743"/>
      <c r="G1236" s="743"/>
      <c r="H1236" s="743"/>
      <c r="I1236" s="743"/>
      <c r="J1236" s="743"/>
      <c r="K1236" s="743"/>
      <c r="L1236" s="743"/>
      <c r="M1236" s="743"/>
      <c r="N1236" s="743"/>
      <c r="O1236" s="744"/>
      <c r="P1236" s="744"/>
      <c r="Q1236" s="743"/>
    </row>
    <row r="1237" spans="1:17" s="6" customFormat="1" ht="15.75">
      <c r="A1237" s="743"/>
      <c r="B1237" s="743"/>
      <c r="C1237" s="743"/>
      <c r="D1237" s="743"/>
      <c r="E1237" s="743"/>
      <c r="F1237" s="743"/>
      <c r="G1237" s="743"/>
      <c r="H1237" s="743"/>
      <c r="I1237" s="743"/>
      <c r="J1237" s="743"/>
      <c r="K1237" s="743"/>
      <c r="L1237" s="743"/>
      <c r="M1237" s="743"/>
      <c r="N1237" s="743"/>
      <c r="O1237" s="744"/>
      <c r="P1237" s="744"/>
      <c r="Q1237" s="743"/>
    </row>
    <row r="1238" spans="1:17" s="6" customFormat="1" ht="15.75">
      <c r="A1238" s="743"/>
      <c r="B1238" s="743"/>
      <c r="C1238" s="743"/>
      <c r="D1238" s="743"/>
      <c r="E1238" s="743"/>
      <c r="F1238" s="743"/>
      <c r="G1238" s="743"/>
      <c r="H1238" s="743"/>
      <c r="I1238" s="743"/>
      <c r="J1238" s="743"/>
      <c r="K1238" s="743"/>
      <c r="L1238" s="743"/>
      <c r="M1238" s="743"/>
      <c r="N1238" s="743"/>
      <c r="O1238" s="744"/>
      <c r="P1238" s="744"/>
      <c r="Q1238" s="743"/>
    </row>
    <row r="1239" spans="1:17" s="6" customFormat="1" ht="15.75">
      <c r="A1239" s="743"/>
      <c r="B1239" s="743"/>
      <c r="C1239" s="743"/>
      <c r="D1239" s="743"/>
      <c r="E1239" s="743"/>
      <c r="F1239" s="743"/>
      <c r="G1239" s="743"/>
      <c r="H1239" s="743"/>
      <c r="I1239" s="743"/>
      <c r="J1239" s="743"/>
      <c r="K1239" s="743"/>
      <c r="L1239" s="743"/>
      <c r="M1239" s="743"/>
      <c r="N1239" s="743"/>
      <c r="O1239" s="744"/>
      <c r="P1239" s="744"/>
      <c r="Q1239" s="743"/>
    </row>
    <row r="1240" spans="1:17" s="6" customFormat="1" ht="15.75">
      <c r="A1240" s="743"/>
      <c r="B1240" s="743"/>
      <c r="C1240" s="743"/>
      <c r="D1240" s="743"/>
      <c r="E1240" s="743"/>
      <c r="F1240" s="743"/>
      <c r="G1240" s="743"/>
      <c r="H1240" s="743"/>
      <c r="I1240" s="743"/>
      <c r="J1240" s="743"/>
      <c r="K1240" s="743"/>
      <c r="L1240" s="743"/>
      <c r="M1240" s="743"/>
      <c r="N1240" s="743"/>
      <c r="O1240" s="744"/>
      <c r="P1240" s="744"/>
      <c r="Q1240" s="743"/>
    </row>
    <row r="1241" spans="1:17" s="6" customFormat="1" ht="15.75">
      <c r="A1241" s="743"/>
      <c r="B1241" s="743"/>
      <c r="C1241" s="743"/>
      <c r="D1241" s="743"/>
      <c r="E1241" s="743"/>
      <c r="F1241" s="743"/>
      <c r="G1241" s="743"/>
      <c r="H1241" s="743"/>
      <c r="I1241" s="743"/>
      <c r="J1241" s="743"/>
      <c r="K1241" s="743"/>
      <c r="L1241" s="743"/>
      <c r="M1241" s="743"/>
      <c r="N1241" s="743"/>
      <c r="O1241" s="744"/>
      <c r="P1241" s="744"/>
      <c r="Q1241" s="743"/>
    </row>
    <row r="1242" spans="1:17" s="6" customFormat="1" ht="15.75">
      <c r="A1242" s="743"/>
      <c r="B1242" s="743"/>
      <c r="C1242" s="743"/>
      <c r="D1242" s="743"/>
      <c r="E1242" s="743"/>
      <c r="F1242" s="743"/>
      <c r="G1242" s="743"/>
      <c r="H1242" s="743"/>
      <c r="I1242" s="743"/>
      <c r="J1242" s="743"/>
      <c r="K1242" s="743"/>
      <c r="L1242" s="743"/>
      <c r="M1242" s="743"/>
      <c r="N1242" s="743"/>
      <c r="O1242" s="744"/>
      <c r="P1242" s="744"/>
      <c r="Q1242" s="743"/>
    </row>
    <row r="1243" spans="1:17" s="6" customFormat="1" ht="15.75">
      <c r="A1243" s="743"/>
      <c r="B1243" s="743"/>
      <c r="C1243" s="743"/>
      <c r="D1243" s="743"/>
      <c r="E1243" s="743"/>
      <c r="F1243" s="743"/>
      <c r="G1243" s="743"/>
      <c r="H1243" s="743"/>
      <c r="I1243" s="743"/>
      <c r="J1243" s="743"/>
      <c r="K1243" s="743"/>
      <c r="L1243" s="743"/>
      <c r="M1243" s="743"/>
      <c r="N1243" s="743"/>
      <c r="O1243" s="744"/>
      <c r="P1243" s="744"/>
      <c r="Q1243" s="743"/>
    </row>
    <row r="1244" spans="1:17" s="6" customFormat="1" ht="15.75">
      <c r="A1244" s="743"/>
      <c r="B1244" s="743"/>
      <c r="C1244" s="743"/>
      <c r="D1244" s="743"/>
      <c r="E1244" s="743"/>
      <c r="F1244" s="743"/>
      <c r="G1244" s="743"/>
      <c r="H1244" s="743"/>
      <c r="I1244" s="743"/>
      <c r="J1244" s="743"/>
      <c r="K1244" s="743"/>
      <c r="L1244" s="743"/>
      <c r="M1244" s="743"/>
      <c r="N1244" s="743"/>
      <c r="O1244" s="744"/>
      <c r="P1244" s="744"/>
      <c r="Q1244" s="743"/>
    </row>
    <row r="1245" spans="1:17" s="6" customFormat="1" ht="15.75">
      <c r="A1245" s="743"/>
      <c r="B1245" s="743"/>
      <c r="C1245" s="743"/>
      <c r="D1245" s="743"/>
      <c r="E1245" s="743"/>
      <c r="F1245" s="743"/>
      <c r="G1245" s="743"/>
      <c r="H1245" s="743"/>
      <c r="I1245" s="743"/>
      <c r="J1245" s="743"/>
      <c r="K1245" s="743"/>
      <c r="L1245" s="743"/>
      <c r="M1245" s="743"/>
      <c r="N1245" s="743"/>
      <c r="O1245" s="744"/>
      <c r="P1245" s="744"/>
      <c r="Q1245" s="743"/>
    </row>
    <row r="1246" spans="1:17" s="6" customFormat="1" ht="15.75">
      <c r="A1246" s="743"/>
      <c r="B1246" s="743"/>
      <c r="C1246" s="743"/>
      <c r="D1246" s="743"/>
      <c r="E1246" s="743"/>
      <c r="F1246" s="743"/>
      <c r="G1246" s="743"/>
      <c r="H1246" s="743"/>
      <c r="I1246" s="743"/>
      <c r="J1246" s="743"/>
      <c r="K1246" s="743"/>
      <c r="L1246" s="743"/>
      <c r="M1246" s="743"/>
      <c r="N1246" s="743"/>
      <c r="O1246" s="744"/>
      <c r="P1246" s="744"/>
      <c r="Q1246" s="743"/>
    </row>
    <row r="1247" spans="1:17" s="6" customFormat="1" ht="15.75">
      <c r="A1247" s="743"/>
      <c r="B1247" s="743"/>
      <c r="C1247" s="743"/>
      <c r="D1247" s="743"/>
      <c r="E1247" s="743"/>
      <c r="F1247" s="743"/>
      <c r="G1247" s="743"/>
      <c r="H1247" s="743"/>
      <c r="I1247" s="743"/>
      <c r="J1247" s="743"/>
      <c r="K1247" s="743"/>
      <c r="L1247" s="743"/>
      <c r="M1247" s="743"/>
      <c r="N1247" s="743"/>
      <c r="O1247" s="744"/>
      <c r="P1247" s="744"/>
      <c r="Q1247" s="743"/>
    </row>
    <row r="1248" spans="1:17" s="6" customFormat="1" ht="15.75">
      <c r="A1248" s="743"/>
      <c r="B1248" s="743"/>
      <c r="C1248" s="743"/>
      <c r="D1248" s="743"/>
      <c r="E1248" s="743"/>
      <c r="F1248" s="743"/>
      <c r="G1248" s="743"/>
      <c r="H1248" s="743"/>
      <c r="I1248" s="743"/>
      <c r="J1248" s="743"/>
      <c r="K1248" s="743"/>
      <c r="L1248" s="743"/>
      <c r="M1248" s="743"/>
      <c r="N1248" s="743"/>
      <c r="O1248" s="744"/>
      <c r="P1248" s="744"/>
      <c r="Q1248" s="743"/>
    </row>
    <row r="1249" spans="1:17" s="6" customFormat="1" ht="15.75">
      <c r="A1249" s="743"/>
      <c r="B1249" s="743"/>
      <c r="C1249" s="743"/>
      <c r="D1249" s="743"/>
      <c r="E1249" s="743"/>
      <c r="F1249" s="743"/>
      <c r="G1249" s="743"/>
      <c r="H1249" s="743"/>
      <c r="I1249" s="743"/>
      <c r="J1249" s="743"/>
      <c r="K1249" s="743"/>
      <c r="L1249" s="743"/>
      <c r="M1249" s="743"/>
      <c r="N1249" s="743"/>
      <c r="O1249" s="744"/>
      <c r="P1249" s="744"/>
      <c r="Q1249" s="743"/>
    </row>
    <row r="1250" spans="1:17" s="6" customFormat="1" ht="15.75">
      <c r="A1250" s="743"/>
      <c r="B1250" s="743"/>
      <c r="C1250" s="743"/>
      <c r="D1250" s="743"/>
      <c r="E1250" s="743"/>
      <c r="F1250" s="743"/>
      <c r="G1250" s="743"/>
      <c r="H1250" s="743"/>
      <c r="I1250" s="743"/>
      <c r="J1250" s="743"/>
      <c r="K1250" s="743"/>
      <c r="L1250" s="743"/>
      <c r="M1250" s="743"/>
      <c r="N1250" s="743"/>
      <c r="O1250" s="744"/>
      <c r="P1250" s="744"/>
      <c r="Q1250" s="743"/>
    </row>
    <row r="1251" spans="1:17" s="6" customFormat="1" ht="15.75">
      <c r="A1251" s="743"/>
      <c r="B1251" s="743"/>
      <c r="C1251" s="743"/>
      <c r="D1251" s="743"/>
      <c r="E1251" s="743"/>
      <c r="F1251" s="743"/>
      <c r="G1251" s="743"/>
      <c r="H1251" s="743"/>
      <c r="I1251" s="743"/>
      <c r="J1251" s="743"/>
      <c r="K1251" s="743"/>
      <c r="L1251" s="743"/>
      <c r="M1251" s="743"/>
      <c r="N1251" s="743"/>
      <c r="O1251" s="745"/>
      <c r="P1251" s="745"/>
      <c r="Q1251" s="743"/>
    </row>
    <row r="1252" spans="1:17" s="6" customFormat="1" ht="15.75">
      <c r="A1252" s="743"/>
      <c r="B1252" s="743"/>
      <c r="C1252" s="743"/>
      <c r="D1252" s="743"/>
      <c r="E1252" s="743"/>
      <c r="F1252" s="743"/>
      <c r="G1252" s="743"/>
      <c r="H1252" s="743"/>
      <c r="I1252" s="743"/>
      <c r="J1252" s="743"/>
      <c r="K1252" s="743"/>
      <c r="L1252" s="743"/>
      <c r="M1252" s="743"/>
      <c r="N1252" s="743"/>
      <c r="O1252" s="745"/>
      <c r="P1252" s="745"/>
      <c r="Q1252" s="743"/>
    </row>
    <row r="1253" spans="1:17" s="6" customFormat="1" ht="15.75">
      <c r="A1253" s="743"/>
      <c r="B1253" s="743"/>
      <c r="C1253" s="743"/>
      <c r="D1253" s="743"/>
      <c r="E1253" s="743"/>
      <c r="F1253" s="743"/>
      <c r="G1253" s="743"/>
      <c r="H1253" s="743"/>
      <c r="I1253" s="743"/>
      <c r="J1253" s="743"/>
      <c r="K1253" s="743"/>
      <c r="L1253" s="743"/>
      <c r="M1253" s="743"/>
      <c r="N1253" s="743"/>
      <c r="O1253" s="745"/>
      <c r="P1253" s="745"/>
      <c r="Q1253" s="743"/>
    </row>
    <row r="1254" spans="1:17" s="6" customFormat="1" ht="15.75">
      <c r="A1254" s="743"/>
      <c r="B1254" s="743"/>
      <c r="C1254" s="743"/>
      <c r="D1254" s="743"/>
      <c r="E1254" s="743"/>
      <c r="F1254" s="743"/>
      <c r="G1254" s="743"/>
      <c r="H1254" s="743"/>
      <c r="I1254" s="743"/>
      <c r="J1254" s="743"/>
      <c r="K1254" s="743"/>
      <c r="L1254" s="743"/>
      <c r="M1254" s="743"/>
      <c r="N1254" s="743"/>
      <c r="O1254" s="745"/>
      <c r="P1254" s="745"/>
      <c r="Q1254" s="743"/>
    </row>
    <row r="1255" spans="1:17" s="6" customFormat="1" ht="15.75">
      <c r="A1255" s="743"/>
      <c r="B1255" s="743"/>
      <c r="C1255" s="743"/>
      <c r="D1255" s="743"/>
      <c r="E1255" s="743"/>
      <c r="F1255" s="743"/>
      <c r="G1255" s="743"/>
      <c r="H1255" s="743"/>
      <c r="I1255" s="743"/>
      <c r="J1255" s="743"/>
      <c r="K1255" s="743"/>
      <c r="L1255" s="743"/>
      <c r="M1255" s="743"/>
      <c r="N1255" s="743"/>
      <c r="O1255" s="745"/>
      <c r="P1255" s="745"/>
      <c r="Q1255" s="743"/>
    </row>
    <row r="1256" spans="1:17" s="6" customFormat="1" ht="15.75">
      <c r="A1256" s="743"/>
      <c r="B1256" s="743"/>
      <c r="C1256" s="743"/>
      <c r="D1256" s="743"/>
      <c r="E1256" s="743"/>
      <c r="F1256" s="743"/>
      <c r="G1256" s="743"/>
      <c r="H1256" s="743"/>
      <c r="I1256" s="743"/>
      <c r="J1256" s="743"/>
      <c r="K1256" s="743"/>
      <c r="L1256" s="743"/>
      <c r="M1256" s="743"/>
      <c r="N1256" s="743"/>
      <c r="O1256" s="745"/>
      <c r="P1256" s="745"/>
      <c r="Q1256" s="743"/>
    </row>
    <row r="1257" spans="1:17" s="6" customFormat="1" ht="15.75">
      <c r="A1257" s="743"/>
      <c r="B1257" s="743"/>
      <c r="C1257" s="743"/>
      <c r="D1257" s="743"/>
      <c r="E1257" s="743"/>
      <c r="F1257" s="743"/>
      <c r="G1257" s="743"/>
      <c r="H1257" s="743"/>
      <c r="I1257" s="743"/>
      <c r="J1257" s="743"/>
      <c r="K1257" s="743"/>
      <c r="L1257" s="743"/>
      <c r="M1257" s="743"/>
      <c r="N1257" s="743"/>
      <c r="O1257" s="745"/>
      <c r="P1257" s="745"/>
      <c r="Q1257" s="743"/>
    </row>
    <row r="1258" spans="1:17" s="6" customFormat="1" ht="15.75">
      <c r="A1258" s="743"/>
      <c r="B1258" s="743"/>
      <c r="C1258" s="743"/>
      <c r="D1258" s="743"/>
      <c r="E1258" s="743"/>
      <c r="F1258" s="743"/>
      <c r="G1258" s="743"/>
      <c r="H1258" s="743"/>
      <c r="I1258" s="743"/>
      <c r="J1258" s="743"/>
      <c r="K1258" s="743"/>
      <c r="L1258" s="743"/>
      <c r="M1258" s="743"/>
      <c r="N1258" s="743"/>
      <c r="O1258" s="745"/>
      <c r="P1258" s="745"/>
      <c r="Q1258" s="743"/>
    </row>
    <row r="1259" spans="1:17" s="6" customFormat="1" ht="15.75">
      <c r="A1259" s="743"/>
      <c r="B1259" s="743"/>
      <c r="C1259" s="743"/>
      <c r="D1259" s="743"/>
      <c r="E1259" s="743"/>
      <c r="F1259" s="743"/>
      <c r="G1259" s="743"/>
      <c r="H1259" s="743"/>
      <c r="I1259" s="743"/>
      <c r="J1259" s="743"/>
      <c r="K1259" s="743"/>
      <c r="L1259" s="743"/>
      <c r="M1259" s="743"/>
      <c r="N1259" s="743"/>
      <c r="O1259" s="745"/>
      <c r="P1259" s="745"/>
      <c r="Q1259" s="743"/>
    </row>
    <row r="1260" spans="1:17" s="6" customFormat="1" ht="15.75">
      <c r="A1260" s="743"/>
      <c r="B1260" s="743"/>
      <c r="C1260" s="743"/>
      <c r="D1260" s="743"/>
      <c r="E1260" s="743"/>
      <c r="F1260" s="743"/>
      <c r="G1260" s="743"/>
      <c r="H1260" s="743"/>
      <c r="I1260" s="743"/>
      <c r="J1260" s="743"/>
      <c r="K1260" s="743"/>
      <c r="L1260" s="743"/>
      <c r="M1260" s="743"/>
      <c r="N1260" s="743"/>
      <c r="O1260" s="745"/>
      <c r="P1260" s="745"/>
      <c r="Q1260" s="743"/>
    </row>
    <row r="1261" spans="1:17" s="6" customFormat="1" ht="15.75">
      <c r="A1261" s="743"/>
      <c r="B1261" s="743"/>
      <c r="C1261" s="743"/>
      <c r="D1261" s="743"/>
      <c r="E1261" s="743"/>
      <c r="F1261" s="743"/>
      <c r="G1261" s="743"/>
      <c r="H1261" s="743"/>
      <c r="I1261" s="743"/>
      <c r="J1261" s="743"/>
      <c r="K1261" s="743"/>
      <c r="L1261" s="743"/>
      <c r="M1261" s="743"/>
      <c r="N1261" s="743"/>
      <c r="O1261" s="745"/>
      <c r="P1261" s="745"/>
      <c r="Q1261" s="743"/>
    </row>
    <row r="1262" spans="1:17" s="6" customFormat="1" ht="15.75">
      <c r="A1262" s="743"/>
      <c r="B1262" s="743"/>
      <c r="C1262" s="743"/>
      <c r="D1262" s="743"/>
      <c r="E1262" s="743"/>
      <c r="F1262" s="743"/>
      <c r="G1262" s="743"/>
      <c r="H1262" s="743"/>
      <c r="I1262" s="743"/>
      <c r="J1262" s="743"/>
      <c r="K1262" s="743"/>
      <c r="L1262" s="743"/>
      <c r="M1262" s="743"/>
      <c r="N1262" s="743"/>
      <c r="O1262" s="745"/>
      <c r="P1262" s="745"/>
      <c r="Q1262" s="743"/>
    </row>
    <row r="1263" spans="1:17" s="6" customFormat="1" ht="15.75">
      <c r="A1263" s="743"/>
      <c r="B1263" s="743"/>
      <c r="C1263" s="743"/>
      <c r="D1263" s="743"/>
      <c r="E1263" s="743"/>
      <c r="F1263" s="743"/>
      <c r="G1263" s="743"/>
      <c r="H1263" s="743"/>
      <c r="I1263" s="743"/>
      <c r="J1263" s="743"/>
      <c r="K1263" s="743"/>
      <c r="L1263" s="743"/>
      <c r="M1263" s="743"/>
      <c r="N1263" s="743"/>
      <c r="O1263" s="745"/>
      <c r="P1263" s="745"/>
      <c r="Q1263" s="743"/>
    </row>
    <row r="1264" spans="1:17" s="6" customFormat="1" ht="15.75">
      <c r="A1264" s="743"/>
      <c r="B1264" s="743"/>
      <c r="C1264" s="743"/>
      <c r="D1264" s="743"/>
      <c r="E1264" s="743"/>
      <c r="F1264" s="743"/>
      <c r="G1264" s="743"/>
      <c r="H1264" s="743"/>
      <c r="I1264" s="743"/>
      <c r="J1264" s="743"/>
      <c r="K1264" s="743"/>
      <c r="L1264" s="743"/>
      <c r="M1264" s="743"/>
      <c r="N1264" s="743"/>
      <c r="O1264" s="745"/>
      <c r="P1264" s="745"/>
      <c r="Q1264" s="743"/>
    </row>
    <row r="1265" spans="1:17" s="6" customFormat="1" ht="15.75">
      <c r="A1265" s="743"/>
      <c r="B1265" s="743"/>
      <c r="C1265" s="743"/>
      <c r="D1265" s="743"/>
      <c r="E1265" s="743"/>
      <c r="F1265" s="743"/>
      <c r="G1265" s="743"/>
      <c r="H1265" s="743"/>
      <c r="I1265" s="743"/>
      <c r="J1265" s="743"/>
      <c r="K1265" s="743"/>
      <c r="L1265" s="743"/>
      <c r="M1265" s="743"/>
      <c r="N1265" s="743"/>
      <c r="O1265" s="745"/>
      <c r="P1265" s="745"/>
      <c r="Q1265" s="743"/>
    </row>
    <row r="1266" spans="1:17" s="6" customFormat="1" ht="15.75">
      <c r="A1266" s="743"/>
      <c r="B1266" s="743"/>
      <c r="C1266" s="743"/>
      <c r="D1266" s="743"/>
      <c r="E1266" s="743"/>
      <c r="F1266" s="743"/>
      <c r="G1266" s="743"/>
      <c r="H1266" s="743"/>
      <c r="I1266" s="743"/>
      <c r="J1266" s="743"/>
      <c r="K1266" s="743"/>
      <c r="L1266" s="743"/>
      <c r="M1266" s="743"/>
      <c r="N1266" s="743"/>
      <c r="O1266" s="745"/>
      <c r="P1266" s="745"/>
      <c r="Q1266" s="743"/>
    </row>
    <row r="1267" spans="1:17" s="6" customFormat="1" ht="15.75">
      <c r="A1267" s="743"/>
      <c r="B1267" s="743"/>
      <c r="C1267" s="743"/>
      <c r="D1267" s="743"/>
      <c r="E1267" s="743"/>
      <c r="F1267" s="743"/>
      <c r="G1267" s="743"/>
      <c r="H1267" s="743"/>
      <c r="I1267" s="743"/>
      <c r="J1267" s="743"/>
      <c r="K1267" s="743"/>
      <c r="L1267" s="743"/>
      <c r="M1267" s="743"/>
      <c r="N1267" s="743"/>
      <c r="O1267" s="745"/>
      <c r="P1267" s="745"/>
      <c r="Q1267" s="743"/>
    </row>
    <row r="1268" spans="1:17" s="6" customFormat="1" ht="15.75">
      <c r="A1268" s="743"/>
      <c r="B1268" s="743"/>
      <c r="C1268" s="743"/>
      <c r="D1268" s="743"/>
      <c r="E1268" s="743"/>
      <c r="F1268" s="743"/>
      <c r="G1268" s="743"/>
      <c r="H1268" s="743"/>
      <c r="I1268" s="743"/>
      <c r="J1268" s="743"/>
      <c r="K1268" s="743"/>
      <c r="L1268" s="743"/>
      <c r="M1268" s="743"/>
      <c r="N1268" s="743"/>
      <c r="O1268" s="745"/>
      <c r="P1268" s="745"/>
      <c r="Q1268" s="743"/>
    </row>
    <row r="1269" spans="1:17" s="6" customFormat="1" ht="15.75">
      <c r="A1269" s="743"/>
      <c r="B1269" s="743"/>
      <c r="C1269" s="743"/>
      <c r="D1269" s="743"/>
      <c r="E1269" s="743"/>
      <c r="F1269" s="743"/>
      <c r="G1269" s="743"/>
      <c r="H1269" s="743"/>
      <c r="I1269" s="743"/>
      <c r="J1269" s="743"/>
      <c r="K1269" s="743"/>
      <c r="L1269" s="743"/>
      <c r="M1269" s="743"/>
      <c r="N1269" s="743"/>
      <c r="O1269" s="745"/>
      <c r="P1269" s="745"/>
      <c r="Q1269" s="743"/>
    </row>
    <row r="1270" spans="1:17" s="6" customFormat="1" ht="15.75">
      <c r="A1270" s="743"/>
      <c r="B1270" s="743"/>
      <c r="C1270" s="743"/>
      <c r="D1270" s="743"/>
      <c r="E1270" s="743"/>
      <c r="F1270" s="743"/>
      <c r="G1270" s="743"/>
      <c r="H1270" s="743"/>
      <c r="I1270" s="743"/>
      <c r="J1270" s="743"/>
      <c r="K1270" s="743"/>
      <c r="L1270" s="743"/>
      <c r="M1270" s="743"/>
      <c r="N1270" s="743"/>
      <c r="O1270" s="745"/>
      <c r="P1270" s="745"/>
      <c r="Q1270" s="743"/>
    </row>
    <row r="1271" spans="1:17" s="6" customFormat="1" ht="15.75">
      <c r="A1271" s="743"/>
      <c r="B1271" s="743"/>
      <c r="C1271" s="743"/>
      <c r="D1271" s="743"/>
      <c r="E1271" s="743"/>
      <c r="F1271" s="743"/>
      <c r="G1271" s="743"/>
      <c r="H1271" s="743"/>
      <c r="I1271" s="743"/>
      <c r="J1271" s="743"/>
      <c r="K1271" s="743"/>
      <c r="L1271" s="743"/>
      <c r="M1271" s="743"/>
      <c r="N1271" s="743"/>
      <c r="O1271" s="745"/>
      <c r="P1271" s="745"/>
      <c r="Q1271" s="743"/>
    </row>
    <row r="1272" spans="1:17" s="6" customFormat="1" ht="15.75">
      <c r="A1272" s="743"/>
      <c r="B1272" s="743"/>
      <c r="C1272" s="743"/>
      <c r="D1272" s="743"/>
      <c r="E1272" s="743"/>
      <c r="F1272" s="743"/>
      <c r="G1272" s="743"/>
      <c r="H1272" s="743"/>
      <c r="I1272" s="743"/>
      <c r="J1272" s="743"/>
      <c r="K1272" s="743"/>
      <c r="L1272" s="743"/>
      <c r="M1272" s="743"/>
      <c r="N1272" s="743"/>
      <c r="O1272" s="745"/>
      <c r="P1272" s="745"/>
      <c r="Q1272" s="743"/>
    </row>
    <row r="1273" spans="1:17" s="6" customFormat="1" ht="15.75">
      <c r="A1273" s="743"/>
      <c r="B1273" s="743"/>
      <c r="C1273" s="743"/>
      <c r="D1273" s="743"/>
      <c r="E1273" s="743"/>
      <c r="F1273" s="743"/>
      <c r="G1273" s="743"/>
      <c r="H1273" s="743"/>
      <c r="I1273" s="743"/>
      <c r="J1273" s="743"/>
      <c r="K1273" s="743"/>
      <c r="L1273" s="743"/>
      <c r="M1273" s="743"/>
      <c r="N1273" s="743"/>
      <c r="O1273" s="745"/>
      <c r="P1273" s="745"/>
      <c r="Q1273" s="743"/>
    </row>
    <row r="1274" spans="1:17" s="6" customFormat="1" ht="15.75">
      <c r="A1274" s="743"/>
      <c r="B1274" s="743"/>
      <c r="C1274" s="743"/>
      <c r="D1274" s="743"/>
      <c r="E1274" s="743"/>
      <c r="F1274" s="743"/>
      <c r="G1274" s="743"/>
      <c r="H1274" s="743"/>
      <c r="I1274" s="743"/>
      <c r="J1274" s="743"/>
      <c r="K1274" s="743"/>
      <c r="L1274" s="743"/>
      <c r="M1274" s="743"/>
      <c r="N1274" s="743"/>
      <c r="O1274" s="745"/>
      <c r="P1274" s="745"/>
      <c r="Q1274" s="743"/>
    </row>
    <row r="1275" spans="1:17" s="6" customFormat="1" ht="15.75">
      <c r="A1275" s="743"/>
      <c r="B1275" s="743"/>
      <c r="C1275" s="743"/>
      <c r="D1275" s="743"/>
      <c r="E1275" s="743"/>
      <c r="F1275" s="743"/>
      <c r="G1275" s="743"/>
      <c r="H1275" s="743"/>
      <c r="I1275" s="743"/>
      <c r="J1275" s="743"/>
      <c r="K1275" s="743"/>
      <c r="L1275" s="743"/>
      <c r="M1275" s="743"/>
      <c r="N1275" s="743"/>
      <c r="O1275" s="745"/>
      <c r="P1275" s="745"/>
      <c r="Q1275" s="743"/>
    </row>
    <row r="1276" spans="1:17" s="6" customFormat="1" ht="15.75">
      <c r="A1276" s="743"/>
      <c r="B1276" s="743"/>
      <c r="C1276" s="743"/>
      <c r="D1276" s="743"/>
      <c r="E1276" s="743"/>
      <c r="F1276" s="743"/>
      <c r="G1276" s="743"/>
      <c r="H1276" s="743"/>
      <c r="I1276" s="743"/>
      <c r="J1276" s="743"/>
      <c r="K1276" s="743"/>
      <c r="L1276" s="743"/>
      <c r="M1276" s="743"/>
      <c r="N1276" s="743"/>
      <c r="O1276" s="745"/>
      <c r="P1276" s="745"/>
      <c r="Q1276" s="743"/>
    </row>
    <row r="1277" spans="1:17" s="6" customFormat="1" ht="15.75">
      <c r="A1277" s="743"/>
      <c r="B1277" s="743"/>
      <c r="C1277" s="743"/>
      <c r="D1277" s="743"/>
      <c r="E1277" s="743"/>
      <c r="F1277" s="743"/>
      <c r="G1277" s="743"/>
      <c r="H1277" s="743"/>
      <c r="I1277" s="743"/>
      <c r="J1277" s="743"/>
      <c r="K1277" s="743"/>
      <c r="L1277" s="743"/>
      <c r="M1277" s="743"/>
      <c r="N1277" s="743"/>
      <c r="O1277" s="745"/>
      <c r="P1277" s="745"/>
      <c r="Q1277" s="743"/>
    </row>
    <row r="1278" spans="1:17" s="6" customFormat="1" ht="15.75">
      <c r="A1278" s="743"/>
      <c r="B1278" s="743"/>
      <c r="C1278" s="743"/>
      <c r="D1278" s="743"/>
      <c r="E1278" s="743"/>
      <c r="F1278" s="743"/>
      <c r="G1278" s="743"/>
      <c r="H1278" s="743"/>
      <c r="I1278" s="743"/>
      <c r="J1278" s="743"/>
      <c r="K1278" s="743"/>
      <c r="L1278" s="743"/>
      <c r="M1278" s="743"/>
      <c r="N1278" s="743"/>
      <c r="O1278" s="745"/>
      <c r="P1278" s="745"/>
      <c r="Q1278" s="743"/>
    </row>
    <row r="1279" spans="1:17" s="6" customFormat="1" ht="15.75">
      <c r="A1279" s="743"/>
      <c r="B1279" s="743"/>
      <c r="C1279" s="743"/>
      <c r="D1279" s="743"/>
      <c r="E1279" s="743"/>
      <c r="F1279" s="743"/>
      <c r="G1279" s="743"/>
      <c r="H1279" s="743"/>
      <c r="I1279" s="743"/>
      <c r="J1279" s="743"/>
      <c r="K1279" s="743"/>
      <c r="L1279" s="743"/>
      <c r="M1279" s="743"/>
      <c r="N1279" s="743"/>
      <c r="O1279" s="745"/>
      <c r="P1279" s="745"/>
      <c r="Q1279" s="743"/>
    </row>
    <row r="1280" spans="1:17" s="6" customFormat="1" ht="15.75">
      <c r="A1280" s="743"/>
      <c r="B1280" s="743"/>
      <c r="C1280" s="743"/>
      <c r="D1280" s="743"/>
      <c r="E1280" s="743"/>
      <c r="F1280" s="743"/>
      <c r="G1280" s="743"/>
      <c r="H1280" s="743"/>
      <c r="I1280" s="743"/>
      <c r="J1280" s="743"/>
      <c r="K1280" s="743"/>
      <c r="L1280" s="743"/>
      <c r="M1280" s="743"/>
      <c r="N1280" s="743"/>
      <c r="O1280" s="745"/>
      <c r="P1280" s="745"/>
      <c r="Q1280" s="743"/>
    </row>
    <row r="1281" spans="1:17" s="6" customFormat="1" ht="15.75">
      <c r="A1281" s="743"/>
      <c r="B1281" s="743"/>
      <c r="C1281" s="743"/>
      <c r="D1281" s="743"/>
      <c r="E1281" s="743"/>
      <c r="F1281" s="743"/>
      <c r="G1281" s="743"/>
      <c r="H1281" s="743"/>
      <c r="I1281" s="743"/>
      <c r="J1281" s="743"/>
      <c r="K1281" s="743"/>
      <c r="L1281" s="743"/>
      <c r="M1281" s="743"/>
      <c r="N1281" s="743"/>
      <c r="O1281" s="745"/>
      <c r="P1281" s="745"/>
      <c r="Q1281" s="743"/>
    </row>
    <row r="1282" spans="1:17" s="6" customFormat="1" ht="15.75">
      <c r="A1282" s="743"/>
      <c r="B1282" s="743"/>
      <c r="C1282" s="743"/>
      <c r="D1282" s="743"/>
      <c r="E1282" s="743"/>
      <c r="F1282" s="743"/>
      <c r="G1282" s="743"/>
      <c r="H1282" s="743"/>
      <c r="I1282" s="743"/>
      <c r="J1282" s="743"/>
      <c r="K1282" s="743"/>
      <c r="L1282" s="743"/>
      <c r="M1282" s="743"/>
      <c r="N1282" s="743"/>
      <c r="O1282" s="745"/>
      <c r="P1282" s="745"/>
      <c r="Q1282" s="743"/>
    </row>
    <row r="1283" spans="1:17" s="6" customFormat="1" ht="15.75">
      <c r="A1283" s="743"/>
      <c r="B1283" s="743"/>
      <c r="C1283" s="743"/>
      <c r="D1283" s="743"/>
      <c r="E1283" s="743"/>
      <c r="F1283" s="743"/>
      <c r="G1283" s="743"/>
      <c r="H1283" s="743"/>
      <c r="I1283" s="743"/>
      <c r="J1283" s="743"/>
      <c r="K1283" s="743"/>
      <c r="L1283" s="743"/>
      <c r="M1283" s="743"/>
      <c r="N1283" s="743"/>
      <c r="O1283" s="745"/>
      <c r="P1283" s="745"/>
      <c r="Q1283" s="743"/>
    </row>
    <row r="1284" spans="1:17" s="6" customFormat="1" ht="15.75">
      <c r="A1284" s="743"/>
      <c r="B1284" s="743"/>
      <c r="C1284" s="743"/>
      <c r="D1284" s="743"/>
      <c r="E1284" s="743"/>
      <c r="F1284" s="743"/>
      <c r="G1284" s="743"/>
      <c r="H1284" s="743"/>
      <c r="I1284" s="743"/>
      <c r="J1284" s="743"/>
      <c r="K1284" s="743"/>
      <c r="L1284" s="743"/>
      <c r="M1284" s="743"/>
      <c r="N1284" s="743"/>
      <c r="O1284" s="745"/>
      <c r="P1284" s="745"/>
      <c r="Q1284" s="743"/>
    </row>
    <row r="1285" spans="1:17" s="6" customFormat="1" ht="15.75">
      <c r="A1285" s="743"/>
      <c r="B1285" s="743"/>
      <c r="C1285" s="743"/>
      <c r="D1285" s="743"/>
      <c r="E1285" s="743"/>
      <c r="F1285" s="743"/>
      <c r="G1285" s="743"/>
      <c r="H1285" s="743"/>
      <c r="I1285" s="743"/>
      <c r="J1285" s="743"/>
      <c r="K1285" s="743"/>
      <c r="L1285" s="743"/>
      <c r="M1285" s="743"/>
      <c r="N1285" s="743"/>
      <c r="O1285" s="745"/>
      <c r="P1285" s="745"/>
      <c r="Q1285" s="743"/>
    </row>
    <row r="1286" spans="1:17" s="6" customFormat="1" ht="15.75">
      <c r="A1286" s="743"/>
      <c r="B1286" s="743"/>
      <c r="C1286" s="743"/>
      <c r="D1286" s="743"/>
      <c r="E1286" s="743"/>
      <c r="F1286" s="743"/>
      <c r="G1286" s="743"/>
      <c r="H1286" s="743"/>
      <c r="I1286" s="743"/>
      <c r="J1286" s="743"/>
      <c r="K1286" s="743"/>
      <c r="L1286" s="743"/>
      <c r="M1286" s="743"/>
      <c r="N1286" s="743"/>
      <c r="O1286" s="745"/>
      <c r="P1286" s="745"/>
      <c r="Q1286" s="743"/>
    </row>
    <row r="1287" spans="1:17" s="6" customFormat="1" ht="15.75">
      <c r="A1287" s="743"/>
      <c r="B1287" s="743"/>
      <c r="C1287" s="743"/>
      <c r="D1287" s="743"/>
      <c r="E1287" s="743"/>
      <c r="F1287" s="743"/>
      <c r="G1287" s="743"/>
      <c r="H1287" s="743"/>
      <c r="I1287" s="743"/>
      <c r="J1287" s="743"/>
      <c r="K1287" s="743"/>
      <c r="L1287" s="743"/>
      <c r="M1287" s="743"/>
      <c r="N1287" s="743"/>
      <c r="O1287" s="745"/>
      <c r="P1287" s="745"/>
      <c r="Q1287" s="743"/>
    </row>
    <row r="1288" spans="1:17" s="6" customFormat="1" ht="15.75">
      <c r="A1288" s="743"/>
      <c r="B1288" s="743"/>
      <c r="C1288" s="743"/>
      <c r="D1288" s="743"/>
      <c r="E1288" s="743"/>
      <c r="F1288" s="743"/>
      <c r="G1288" s="743"/>
      <c r="H1288" s="743"/>
      <c r="I1288" s="743"/>
      <c r="J1288" s="743"/>
      <c r="K1288" s="743"/>
      <c r="L1288" s="743"/>
      <c r="M1288" s="743"/>
      <c r="N1288" s="743"/>
      <c r="O1288" s="745"/>
      <c r="P1288" s="745"/>
      <c r="Q1288" s="743"/>
    </row>
    <row r="1289" spans="1:17" s="6" customFormat="1" ht="15.75">
      <c r="A1289" s="743"/>
      <c r="B1289" s="743"/>
      <c r="C1289" s="743"/>
      <c r="D1289" s="743"/>
      <c r="E1289" s="743"/>
      <c r="F1289" s="743"/>
      <c r="G1289" s="743"/>
      <c r="H1289" s="743"/>
      <c r="I1289" s="743"/>
      <c r="J1289" s="743"/>
      <c r="K1289" s="743"/>
      <c r="L1289" s="743"/>
      <c r="M1289" s="743"/>
      <c r="N1289" s="743"/>
      <c r="O1289" s="745"/>
      <c r="P1289" s="745"/>
      <c r="Q1289" s="743"/>
    </row>
    <row r="1290" spans="1:17" s="6" customFormat="1" ht="15.75">
      <c r="A1290" s="743"/>
      <c r="B1290" s="743"/>
      <c r="C1290" s="743"/>
      <c r="D1290" s="743"/>
      <c r="E1290" s="743"/>
      <c r="F1290" s="743"/>
      <c r="G1290" s="743"/>
      <c r="H1290" s="743"/>
      <c r="I1290" s="743"/>
      <c r="J1290" s="743"/>
      <c r="K1290" s="743"/>
      <c r="L1290" s="743"/>
      <c r="M1290" s="743"/>
      <c r="N1290" s="743"/>
      <c r="O1290" s="745"/>
      <c r="P1290" s="745"/>
      <c r="Q1290" s="743"/>
    </row>
    <row r="1291" spans="1:17" s="6" customFormat="1" ht="15.75">
      <c r="A1291" s="743"/>
      <c r="B1291" s="743"/>
      <c r="C1291" s="743"/>
      <c r="D1291" s="743"/>
      <c r="E1291" s="743"/>
      <c r="F1291" s="743"/>
      <c r="G1291" s="743"/>
      <c r="H1291" s="743"/>
      <c r="I1291" s="743"/>
      <c r="J1291" s="743"/>
      <c r="K1291" s="743"/>
      <c r="L1291" s="743"/>
      <c r="M1291" s="743"/>
      <c r="N1291" s="743"/>
      <c r="O1291" s="745"/>
      <c r="P1291" s="745"/>
      <c r="Q1291" s="743"/>
    </row>
    <row r="1292" spans="1:17" s="6" customFormat="1" ht="15.75">
      <c r="A1292" s="743"/>
      <c r="B1292" s="743"/>
      <c r="C1292" s="743"/>
      <c r="D1292" s="743"/>
      <c r="E1292" s="743"/>
      <c r="F1292" s="743"/>
      <c r="G1292" s="743"/>
      <c r="H1292" s="743"/>
      <c r="I1292" s="743"/>
      <c r="J1292" s="743"/>
      <c r="K1292" s="743"/>
      <c r="L1292" s="743"/>
      <c r="M1292" s="743"/>
      <c r="N1292" s="743"/>
      <c r="O1292" s="745"/>
      <c r="P1292" s="745"/>
      <c r="Q1292" s="743"/>
    </row>
    <row r="1293" spans="1:17" s="6" customFormat="1" ht="15.75">
      <c r="A1293" s="743"/>
      <c r="B1293" s="743"/>
      <c r="C1293" s="743"/>
      <c r="D1293" s="743"/>
      <c r="E1293" s="743"/>
      <c r="F1293" s="743"/>
      <c r="G1293" s="743"/>
      <c r="H1293" s="743"/>
      <c r="I1293" s="743"/>
      <c r="J1293" s="743"/>
      <c r="K1293" s="743"/>
      <c r="L1293" s="743"/>
      <c r="M1293" s="743"/>
      <c r="N1293" s="743"/>
      <c r="O1293" s="745"/>
      <c r="P1293" s="745"/>
      <c r="Q1293" s="743"/>
    </row>
    <row r="1294" spans="1:17" s="6" customFormat="1" ht="15.75">
      <c r="A1294" s="743"/>
      <c r="B1294" s="743"/>
      <c r="C1294" s="743"/>
      <c r="D1294" s="743"/>
      <c r="E1294" s="743"/>
      <c r="F1294" s="743"/>
      <c r="G1294" s="743"/>
      <c r="H1294" s="743"/>
      <c r="I1294" s="743"/>
      <c r="J1294" s="743"/>
      <c r="K1294" s="743"/>
      <c r="L1294" s="743"/>
      <c r="M1294" s="743"/>
      <c r="N1294" s="743"/>
      <c r="O1294" s="745"/>
      <c r="P1294" s="745"/>
      <c r="Q1294" s="743"/>
    </row>
    <row r="1295" spans="1:17" s="6" customFormat="1" ht="15.75">
      <c r="A1295" s="743"/>
      <c r="B1295" s="743"/>
      <c r="C1295" s="743"/>
      <c r="D1295" s="743"/>
      <c r="E1295" s="743"/>
      <c r="F1295" s="743"/>
      <c r="G1295" s="743"/>
      <c r="H1295" s="743"/>
      <c r="I1295" s="743"/>
      <c r="J1295" s="743"/>
      <c r="K1295" s="743"/>
      <c r="L1295" s="743"/>
      <c r="M1295" s="743"/>
      <c r="N1295" s="743"/>
      <c r="O1295" s="745"/>
      <c r="P1295" s="745"/>
      <c r="Q1295" s="743"/>
    </row>
    <row r="1296" spans="1:17" s="6" customFormat="1" ht="15.75">
      <c r="A1296" s="743"/>
      <c r="B1296" s="743"/>
      <c r="C1296" s="743"/>
      <c r="D1296" s="743"/>
      <c r="E1296" s="743"/>
      <c r="F1296" s="743"/>
      <c r="G1296" s="743"/>
      <c r="H1296" s="743"/>
      <c r="I1296" s="743"/>
      <c r="J1296" s="743"/>
      <c r="K1296" s="743"/>
      <c r="L1296" s="743"/>
      <c r="M1296" s="743"/>
      <c r="N1296" s="743"/>
      <c r="O1296" s="745"/>
      <c r="P1296" s="745"/>
      <c r="Q1296" s="743"/>
    </row>
    <row r="1297" spans="1:17" s="6" customFormat="1" ht="15.75">
      <c r="A1297" s="743"/>
      <c r="B1297" s="743"/>
      <c r="C1297" s="743"/>
      <c r="D1297" s="743"/>
      <c r="E1297" s="743"/>
      <c r="F1297" s="743"/>
      <c r="G1297" s="743"/>
      <c r="H1297" s="743"/>
      <c r="I1297" s="743"/>
      <c r="J1297" s="743"/>
      <c r="K1297" s="743"/>
      <c r="L1297" s="743"/>
      <c r="M1297" s="743"/>
      <c r="N1297" s="743"/>
      <c r="O1297" s="745"/>
      <c r="P1297" s="745"/>
      <c r="Q1297" s="743"/>
    </row>
    <row r="1298" spans="1:17" s="6" customFormat="1" ht="15.75">
      <c r="A1298" s="743"/>
      <c r="B1298" s="743"/>
      <c r="C1298" s="743"/>
      <c r="D1298" s="743"/>
      <c r="E1298" s="743"/>
      <c r="F1298" s="743"/>
      <c r="G1298" s="743"/>
      <c r="H1298" s="743"/>
      <c r="I1298" s="743"/>
      <c r="J1298" s="743"/>
      <c r="K1298" s="743"/>
      <c r="L1298" s="743"/>
      <c r="M1298" s="743"/>
      <c r="N1298" s="743"/>
      <c r="O1298" s="745"/>
      <c r="P1298" s="745"/>
      <c r="Q1298" s="743"/>
    </row>
    <row r="1299" spans="1:17" s="6" customFormat="1" ht="15.75">
      <c r="A1299" s="743"/>
      <c r="B1299" s="743"/>
      <c r="C1299" s="743"/>
      <c r="D1299" s="743"/>
      <c r="E1299" s="743"/>
      <c r="F1299" s="743"/>
      <c r="G1299" s="743"/>
      <c r="H1299" s="743"/>
      <c r="I1299" s="743"/>
      <c r="J1299" s="743"/>
      <c r="K1299" s="743"/>
      <c r="L1299" s="743"/>
      <c r="M1299" s="743"/>
      <c r="N1299" s="743"/>
      <c r="O1299" s="745"/>
      <c r="P1299" s="745"/>
      <c r="Q1299" s="743"/>
    </row>
    <row r="1300" spans="1:17" s="6" customFormat="1" ht="15.75">
      <c r="A1300" s="743"/>
      <c r="B1300" s="743"/>
      <c r="C1300" s="743"/>
      <c r="D1300" s="743"/>
      <c r="E1300" s="743"/>
      <c r="F1300" s="743"/>
      <c r="G1300" s="743"/>
      <c r="H1300" s="743"/>
      <c r="I1300" s="743"/>
      <c r="J1300" s="743"/>
      <c r="K1300" s="743"/>
      <c r="L1300" s="743"/>
      <c r="M1300" s="743"/>
      <c r="N1300" s="743"/>
      <c r="O1300" s="745"/>
      <c r="P1300" s="745"/>
      <c r="Q1300" s="743"/>
    </row>
    <row r="1301" spans="1:17" s="6" customFormat="1" ht="15.75">
      <c r="A1301" s="743"/>
      <c r="B1301" s="743"/>
      <c r="C1301" s="743"/>
      <c r="D1301" s="743"/>
      <c r="E1301" s="743"/>
      <c r="F1301" s="743"/>
      <c r="G1301" s="743"/>
      <c r="H1301" s="743"/>
      <c r="I1301" s="743"/>
      <c r="J1301" s="743"/>
      <c r="K1301" s="743"/>
      <c r="L1301" s="743"/>
      <c r="M1301" s="743"/>
      <c r="N1301" s="743"/>
      <c r="O1301" s="745"/>
      <c r="P1301" s="745"/>
      <c r="Q1301" s="743"/>
    </row>
    <row r="1302" spans="1:17" s="6" customFormat="1" ht="15.75">
      <c r="A1302" s="743"/>
      <c r="B1302" s="743"/>
      <c r="C1302" s="743"/>
      <c r="D1302" s="743"/>
      <c r="E1302" s="743"/>
      <c r="F1302" s="743"/>
      <c r="G1302" s="743"/>
      <c r="H1302" s="743"/>
      <c r="I1302" s="743"/>
      <c r="J1302" s="743"/>
      <c r="K1302" s="743"/>
      <c r="L1302" s="743"/>
      <c r="M1302" s="743"/>
      <c r="N1302" s="743"/>
      <c r="O1302" s="745"/>
      <c r="P1302" s="745"/>
      <c r="Q1302" s="743"/>
    </row>
    <row r="1303" spans="1:17" s="6" customFormat="1" ht="15.75">
      <c r="A1303" s="743"/>
      <c r="B1303" s="743"/>
      <c r="C1303" s="743"/>
      <c r="D1303" s="743"/>
      <c r="E1303" s="743"/>
      <c r="F1303" s="743"/>
      <c r="G1303" s="743"/>
      <c r="H1303" s="743"/>
      <c r="I1303" s="743"/>
      <c r="J1303" s="743"/>
      <c r="K1303" s="743"/>
      <c r="L1303" s="743"/>
      <c r="M1303" s="743"/>
      <c r="N1303" s="743"/>
      <c r="O1303" s="745"/>
      <c r="P1303" s="745"/>
      <c r="Q1303" s="743"/>
    </row>
    <row r="1304" spans="1:17" s="6" customFormat="1" ht="15.75">
      <c r="A1304" s="743"/>
      <c r="B1304" s="743"/>
      <c r="C1304" s="743"/>
      <c r="D1304" s="743"/>
      <c r="E1304" s="743"/>
      <c r="F1304" s="743"/>
      <c r="G1304" s="743"/>
      <c r="H1304" s="743"/>
      <c r="I1304" s="743"/>
      <c r="J1304" s="743"/>
      <c r="K1304" s="743"/>
      <c r="L1304" s="743"/>
      <c r="M1304" s="743"/>
      <c r="N1304" s="743"/>
      <c r="O1304" s="745"/>
      <c r="P1304" s="745"/>
      <c r="Q1304" s="743"/>
    </row>
    <row r="1305" spans="1:17" s="6" customFormat="1" ht="15.75">
      <c r="A1305" s="743"/>
      <c r="B1305" s="743"/>
      <c r="C1305" s="743"/>
      <c r="D1305" s="743"/>
      <c r="E1305" s="743"/>
      <c r="F1305" s="743"/>
      <c r="G1305" s="743"/>
      <c r="H1305" s="743"/>
      <c r="I1305" s="743"/>
      <c r="J1305" s="743"/>
      <c r="K1305" s="743"/>
      <c r="L1305" s="743"/>
      <c r="M1305" s="743"/>
      <c r="N1305" s="743"/>
      <c r="O1305" s="745"/>
      <c r="P1305" s="745"/>
      <c r="Q1305" s="743"/>
    </row>
    <row r="1306" spans="1:17" s="6" customFormat="1" ht="15.75">
      <c r="A1306" s="743"/>
      <c r="B1306" s="743"/>
      <c r="C1306" s="743"/>
      <c r="D1306" s="743"/>
      <c r="E1306" s="743"/>
      <c r="F1306" s="743"/>
      <c r="G1306" s="743"/>
      <c r="H1306" s="743"/>
      <c r="I1306" s="743"/>
      <c r="J1306" s="743"/>
      <c r="K1306" s="743"/>
      <c r="L1306" s="743"/>
      <c r="M1306" s="743"/>
      <c r="N1306" s="743"/>
      <c r="O1306" s="745"/>
      <c r="P1306" s="745"/>
      <c r="Q1306" s="743"/>
    </row>
    <row r="1307" spans="1:17" s="6" customFormat="1" ht="15.75">
      <c r="A1307" s="743"/>
      <c r="B1307" s="743"/>
      <c r="C1307" s="743"/>
      <c r="D1307" s="743"/>
      <c r="E1307" s="743"/>
      <c r="F1307" s="743"/>
      <c r="G1307" s="743"/>
      <c r="H1307" s="743"/>
      <c r="I1307" s="743"/>
      <c r="J1307" s="743"/>
      <c r="K1307" s="743"/>
      <c r="L1307" s="743"/>
      <c r="M1307" s="743"/>
      <c r="N1307" s="743"/>
      <c r="O1307" s="745"/>
      <c r="P1307" s="745"/>
      <c r="Q1307" s="743"/>
    </row>
    <row r="1308" spans="1:17" s="6" customFormat="1" ht="15.75">
      <c r="A1308" s="743"/>
      <c r="B1308" s="743"/>
      <c r="C1308" s="743"/>
      <c r="D1308" s="743"/>
      <c r="E1308" s="743"/>
      <c r="F1308" s="743"/>
      <c r="G1308" s="743"/>
      <c r="H1308" s="743"/>
      <c r="I1308" s="743"/>
      <c r="J1308" s="743"/>
      <c r="K1308" s="743"/>
      <c r="L1308" s="743"/>
      <c r="M1308" s="743"/>
      <c r="N1308" s="743"/>
      <c r="O1308" s="745"/>
      <c r="P1308" s="745"/>
      <c r="Q1308" s="743"/>
    </row>
    <row r="1309" spans="1:17" s="6" customFormat="1" ht="15.75">
      <c r="A1309" s="743"/>
      <c r="B1309" s="743"/>
      <c r="C1309" s="743"/>
      <c r="D1309" s="743"/>
      <c r="E1309" s="743"/>
      <c r="F1309" s="743"/>
      <c r="G1309" s="743"/>
      <c r="H1309" s="743"/>
      <c r="I1309" s="743"/>
      <c r="J1309" s="743"/>
      <c r="K1309" s="743"/>
      <c r="L1309" s="743"/>
      <c r="M1309" s="743"/>
      <c r="N1309" s="743"/>
      <c r="O1309" s="745"/>
      <c r="P1309" s="745"/>
      <c r="Q1309" s="743"/>
    </row>
    <row r="1310" spans="1:17" s="6" customFormat="1" ht="15.75">
      <c r="A1310" s="743"/>
      <c r="B1310" s="743"/>
      <c r="C1310" s="743"/>
      <c r="D1310" s="743"/>
      <c r="E1310" s="743"/>
      <c r="F1310" s="743"/>
      <c r="G1310" s="743"/>
      <c r="H1310" s="743"/>
      <c r="I1310" s="743"/>
      <c r="J1310" s="743"/>
      <c r="K1310" s="743"/>
      <c r="L1310" s="743"/>
      <c r="M1310" s="743"/>
      <c r="N1310" s="743"/>
      <c r="O1310" s="745"/>
      <c r="P1310" s="745"/>
      <c r="Q1310" s="743"/>
    </row>
    <row r="1311" spans="1:17" s="6" customFormat="1" ht="15.75">
      <c r="A1311" s="743"/>
      <c r="B1311" s="743"/>
      <c r="C1311" s="743"/>
      <c r="D1311" s="743"/>
      <c r="E1311" s="743"/>
      <c r="F1311" s="743"/>
      <c r="G1311" s="743"/>
      <c r="H1311" s="743"/>
      <c r="I1311" s="743"/>
      <c r="J1311" s="743"/>
      <c r="K1311" s="743"/>
      <c r="L1311" s="743"/>
      <c r="M1311" s="743"/>
      <c r="N1311" s="743"/>
      <c r="O1311" s="745"/>
      <c r="P1311" s="745"/>
      <c r="Q1311" s="743"/>
    </row>
    <row r="1312" spans="1:17" s="6" customFormat="1" ht="15.75">
      <c r="A1312" s="743"/>
      <c r="B1312" s="743"/>
      <c r="C1312" s="743"/>
      <c r="D1312" s="743"/>
      <c r="E1312" s="743"/>
      <c r="F1312" s="743"/>
      <c r="G1312" s="743"/>
      <c r="H1312" s="743"/>
      <c r="I1312" s="743"/>
      <c r="J1312" s="743"/>
      <c r="K1312" s="743"/>
      <c r="L1312" s="743"/>
      <c r="M1312" s="743"/>
      <c r="N1312" s="743"/>
      <c r="O1312" s="745"/>
      <c r="P1312" s="745"/>
      <c r="Q1312" s="743"/>
    </row>
    <row r="1313" spans="1:17" s="6" customFormat="1" ht="15.75">
      <c r="A1313" s="743"/>
      <c r="B1313" s="743"/>
      <c r="C1313" s="743"/>
      <c r="D1313" s="743"/>
      <c r="E1313" s="743"/>
      <c r="F1313" s="743"/>
      <c r="G1313" s="743"/>
      <c r="H1313" s="743"/>
      <c r="I1313" s="743"/>
      <c r="J1313" s="743"/>
      <c r="K1313" s="743"/>
      <c r="L1313" s="743"/>
      <c r="M1313" s="743"/>
      <c r="N1313" s="743"/>
      <c r="O1313" s="745"/>
      <c r="P1313" s="745"/>
      <c r="Q1313" s="743"/>
    </row>
    <row r="1314" spans="1:17" s="6" customFormat="1" ht="15.75">
      <c r="A1314" s="743"/>
      <c r="B1314" s="743"/>
      <c r="C1314" s="743"/>
      <c r="D1314" s="743"/>
      <c r="E1314" s="743"/>
      <c r="F1314" s="743"/>
      <c r="G1314" s="743"/>
      <c r="H1314" s="743"/>
      <c r="I1314" s="743"/>
      <c r="J1314" s="743"/>
      <c r="K1314" s="743"/>
      <c r="L1314" s="743"/>
      <c r="M1314" s="743"/>
      <c r="N1314" s="743"/>
      <c r="O1314" s="745"/>
      <c r="P1314" s="745"/>
      <c r="Q1314" s="743"/>
    </row>
    <row r="1315" spans="1:17" s="6" customFormat="1" ht="15.75">
      <c r="A1315" s="743"/>
      <c r="B1315" s="743"/>
      <c r="C1315" s="743"/>
      <c r="D1315" s="743"/>
      <c r="E1315" s="743"/>
      <c r="F1315" s="743"/>
      <c r="G1315" s="743"/>
      <c r="H1315" s="743"/>
      <c r="I1315" s="743"/>
      <c r="J1315" s="743"/>
      <c r="K1315" s="743"/>
      <c r="L1315" s="743"/>
      <c r="M1315" s="743"/>
      <c r="N1315" s="743"/>
      <c r="O1315" s="745"/>
      <c r="P1315" s="745"/>
      <c r="Q1315" s="743"/>
    </row>
    <row r="1316" spans="1:17" s="6" customFormat="1" ht="15.75">
      <c r="A1316" s="743"/>
      <c r="B1316" s="743"/>
      <c r="C1316" s="743"/>
      <c r="D1316" s="743"/>
      <c r="E1316" s="743"/>
      <c r="F1316" s="743"/>
      <c r="G1316" s="743"/>
      <c r="H1316" s="743"/>
      <c r="I1316" s="743"/>
      <c r="J1316" s="743"/>
      <c r="K1316" s="743"/>
      <c r="L1316" s="743"/>
      <c r="M1316" s="743"/>
      <c r="N1316" s="743"/>
      <c r="O1316" s="745"/>
      <c r="P1316" s="745"/>
      <c r="Q1316" s="743"/>
    </row>
    <row r="1317" spans="1:17" s="6" customFormat="1" ht="15.75">
      <c r="A1317" s="743"/>
      <c r="B1317" s="743"/>
      <c r="C1317" s="743"/>
      <c r="D1317" s="743"/>
      <c r="E1317" s="743"/>
      <c r="F1317" s="743"/>
      <c r="G1317" s="743"/>
      <c r="H1317" s="743"/>
      <c r="I1317" s="743"/>
      <c r="J1317" s="743"/>
      <c r="K1317" s="743"/>
      <c r="L1317" s="743"/>
      <c r="M1317" s="743"/>
      <c r="N1317" s="743"/>
      <c r="O1317" s="745"/>
      <c r="P1317" s="745"/>
      <c r="Q1317" s="743"/>
    </row>
    <row r="1318" spans="1:17" s="6" customFormat="1" ht="15.75">
      <c r="A1318" s="743"/>
      <c r="B1318" s="743"/>
      <c r="C1318" s="743"/>
      <c r="D1318" s="743"/>
      <c r="E1318" s="743"/>
      <c r="F1318" s="743"/>
      <c r="G1318" s="743"/>
      <c r="H1318" s="743"/>
      <c r="I1318" s="743"/>
      <c r="J1318" s="743"/>
      <c r="K1318" s="743"/>
      <c r="L1318" s="743"/>
      <c r="M1318" s="743"/>
      <c r="N1318" s="743"/>
      <c r="O1318" s="745"/>
      <c r="P1318" s="745"/>
      <c r="Q1318" s="743"/>
    </row>
    <row r="1319" spans="1:17" s="6" customFormat="1" ht="15.75">
      <c r="A1319" s="743"/>
      <c r="B1319" s="743"/>
      <c r="C1319" s="743"/>
      <c r="D1319" s="743"/>
      <c r="E1319" s="743"/>
      <c r="F1319" s="743"/>
      <c r="G1319" s="743"/>
      <c r="H1319" s="743"/>
      <c r="I1319" s="743"/>
      <c r="J1319" s="743"/>
      <c r="K1319" s="743"/>
      <c r="L1319" s="743"/>
      <c r="M1319" s="743"/>
      <c r="N1319" s="743"/>
      <c r="O1319" s="745"/>
      <c r="P1319" s="745"/>
      <c r="Q1319" s="743"/>
    </row>
    <row r="1320" spans="1:17" s="6" customFormat="1" ht="15.75">
      <c r="A1320" s="743"/>
      <c r="B1320" s="743"/>
      <c r="C1320" s="743"/>
      <c r="D1320" s="743"/>
      <c r="E1320" s="743"/>
      <c r="F1320" s="743"/>
      <c r="G1320" s="743"/>
      <c r="H1320" s="743"/>
      <c r="I1320" s="743"/>
      <c r="J1320" s="743"/>
      <c r="K1320" s="743"/>
      <c r="L1320" s="743"/>
      <c r="M1320" s="743"/>
      <c r="N1320" s="743"/>
      <c r="O1320" s="745"/>
      <c r="P1320" s="745"/>
      <c r="Q1320" s="743"/>
    </row>
    <row r="1321" spans="1:17" s="6" customFormat="1" ht="15.75">
      <c r="A1321" s="743"/>
      <c r="B1321" s="743"/>
      <c r="C1321" s="743"/>
      <c r="D1321" s="743"/>
      <c r="E1321" s="743"/>
      <c r="F1321" s="743"/>
      <c r="G1321" s="743"/>
      <c r="H1321" s="743"/>
      <c r="I1321" s="743"/>
      <c r="J1321" s="743"/>
      <c r="K1321" s="743"/>
      <c r="L1321" s="743"/>
      <c r="M1321" s="743"/>
      <c r="N1321" s="743"/>
      <c r="O1321" s="745"/>
      <c r="P1321" s="745"/>
      <c r="Q1321" s="743"/>
    </row>
    <row r="1322" spans="1:17" s="6" customFormat="1" ht="15.75">
      <c r="A1322" s="743"/>
      <c r="B1322" s="743"/>
      <c r="C1322" s="743"/>
      <c r="D1322" s="743"/>
      <c r="E1322" s="743"/>
      <c r="F1322" s="743"/>
      <c r="G1322" s="743"/>
      <c r="H1322" s="743"/>
      <c r="I1322" s="743"/>
      <c r="J1322" s="743"/>
      <c r="K1322" s="743"/>
      <c r="L1322" s="743"/>
      <c r="M1322" s="743"/>
      <c r="N1322" s="743"/>
      <c r="O1322" s="745"/>
      <c r="P1322" s="745"/>
      <c r="Q1322" s="743"/>
    </row>
    <row r="1323" spans="1:17" s="6" customFormat="1" ht="15.75">
      <c r="A1323" s="743"/>
      <c r="B1323" s="743"/>
      <c r="C1323" s="743"/>
      <c r="D1323" s="743"/>
      <c r="E1323" s="743"/>
      <c r="F1323" s="743"/>
      <c r="G1323" s="743"/>
      <c r="H1323" s="743"/>
      <c r="I1323" s="743"/>
      <c r="J1323" s="743"/>
      <c r="K1323" s="743"/>
      <c r="L1323" s="743"/>
      <c r="M1323" s="743"/>
      <c r="N1323" s="743"/>
      <c r="O1323" s="745"/>
      <c r="P1323" s="745"/>
      <c r="Q1323" s="743"/>
    </row>
    <row r="1324" spans="1:17" s="6" customFormat="1" ht="15.75">
      <c r="A1324" s="743"/>
      <c r="B1324" s="743"/>
      <c r="C1324" s="743"/>
      <c r="D1324" s="743"/>
      <c r="E1324" s="743"/>
      <c r="F1324" s="743"/>
      <c r="G1324" s="743"/>
      <c r="H1324" s="743"/>
      <c r="I1324" s="743"/>
      <c r="J1324" s="743"/>
      <c r="K1324" s="743"/>
      <c r="L1324" s="743"/>
      <c r="M1324" s="743"/>
      <c r="N1324" s="743"/>
      <c r="O1324" s="745"/>
      <c r="P1324" s="745"/>
      <c r="Q1324" s="743"/>
    </row>
    <row r="1325" spans="1:17" s="6" customFormat="1" ht="15.75">
      <c r="A1325" s="743"/>
      <c r="B1325" s="743"/>
      <c r="C1325" s="743"/>
      <c r="D1325" s="743"/>
      <c r="E1325" s="743"/>
      <c r="F1325" s="743"/>
      <c r="G1325" s="743"/>
      <c r="H1325" s="743"/>
      <c r="I1325" s="743"/>
      <c r="J1325" s="743"/>
      <c r="K1325" s="743"/>
      <c r="L1325" s="743"/>
      <c r="M1325" s="743"/>
      <c r="N1325" s="743"/>
      <c r="O1325" s="745"/>
      <c r="P1325" s="745"/>
      <c r="Q1325" s="743"/>
    </row>
    <row r="1326" spans="1:17" s="6" customFormat="1" ht="15.75">
      <c r="A1326" s="743"/>
      <c r="B1326" s="743"/>
      <c r="C1326" s="743"/>
      <c r="D1326" s="743"/>
      <c r="E1326" s="743"/>
      <c r="F1326" s="743"/>
      <c r="G1326" s="743"/>
      <c r="H1326" s="743"/>
      <c r="I1326" s="743"/>
      <c r="J1326" s="743"/>
      <c r="K1326" s="743"/>
      <c r="L1326" s="743"/>
      <c r="M1326" s="743"/>
      <c r="N1326" s="743"/>
      <c r="O1326" s="745"/>
      <c r="P1326" s="745"/>
      <c r="Q1326" s="743"/>
    </row>
    <row r="1327" spans="1:17" s="6" customFormat="1" ht="15.75">
      <c r="A1327" s="743"/>
      <c r="B1327" s="743"/>
      <c r="C1327" s="743"/>
      <c r="D1327" s="743"/>
      <c r="E1327" s="743"/>
      <c r="F1327" s="743"/>
      <c r="G1327" s="743"/>
      <c r="H1327" s="743"/>
      <c r="I1327" s="743"/>
      <c r="J1327" s="743"/>
      <c r="K1327" s="743"/>
      <c r="L1327" s="743"/>
      <c r="M1327" s="743"/>
      <c r="N1327" s="743"/>
      <c r="O1327" s="745"/>
      <c r="P1327" s="745"/>
      <c r="Q1327" s="743"/>
    </row>
    <row r="1328" spans="1:17" s="6" customFormat="1" ht="15.75">
      <c r="A1328" s="743"/>
      <c r="B1328" s="743"/>
      <c r="C1328" s="743"/>
      <c r="D1328" s="743"/>
      <c r="E1328" s="743"/>
      <c r="F1328" s="743"/>
      <c r="G1328" s="743"/>
      <c r="H1328" s="743"/>
      <c r="I1328" s="743"/>
      <c r="J1328" s="743"/>
      <c r="K1328" s="743"/>
      <c r="L1328" s="743"/>
      <c r="M1328" s="743"/>
      <c r="N1328" s="743"/>
      <c r="O1328" s="745"/>
      <c r="P1328" s="745"/>
      <c r="Q1328" s="743"/>
    </row>
    <row r="1329" spans="1:17" s="6" customFormat="1" ht="15.75">
      <c r="A1329" s="743"/>
      <c r="B1329" s="743"/>
      <c r="C1329" s="743"/>
      <c r="D1329" s="743"/>
      <c r="E1329" s="743"/>
      <c r="F1329" s="743"/>
      <c r="G1329" s="743"/>
      <c r="H1329" s="743"/>
      <c r="I1329" s="743"/>
      <c r="J1329" s="743"/>
      <c r="K1329" s="743"/>
      <c r="L1329" s="743"/>
      <c r="M1329" s="743"/>
      <c r="N1329" s="743"/>
      <c r="O1329" s="745"/>
      <c r="P1329" s="745"/>
      <c r="Q1329" s="743"/>
    </row>
    <row r="1330" spans="1:17" s="6" customFormat="1" ht="15.75">
      <c r="A1330" s="743"/>
      <c r="B1330" s="743"/>
      <c r="C1330" s="743"/>
      <c r="D1330" s="743"/>
      <c r="E1330" s="743"/>
      <c r="F1330" s="743"/>
      <c r="G1330" s="743"/>
      <c r="H1330" s="743"/>
      <c r="I1330" s="743"/>
      <c r="J1330" s="743"/>
      <c r="K1330" s="743"/>
      <c r="L1330" s="743"/>
      <c r="M1330" s="743"/>
      <c r="N1330" s="743"/>
      <c r="O1330" s="745"/>
      <c r="P1330" s="745"/>
      <c r="Q1330" s="743"/>
    </row>
    <row r="1331" spans="1:17" s="6" customFormat="1" ht="15.75">
      <c r="A1331" s="743"/>
      <c r="B1331" s="743"/>
      <c r="C1331" s="743"/>
      <c r="D1331" s="743"/>
      <c r="E1331" s="743"/>
      <c r="F1331" s="743"/>
      <c r="G1331" s="743"/>
      <c r="H1331" s="743"/>
      <c r="I1331" s="743"/>
      <c r="J1331" s="743"/>
      <c r="K1331" s="743"/>
      <c r="L1331" s="743"/>
      <c r="M1331" s="743"/>
      <c r="N1331" s="743"/>
      <c r="O1331" s="745"/>
      <c r="P1331" s="745"/>
      <c r="Q1331" s="743"/>
    </row>
    <row r="1332" spans="1:17" s="6" customFormat="1" ht="15.75">
      <c r="A1332" s="743"/>
      <c r="B1332" s="743"/>
      <c r="C1332" s="743"/>
      <c r="D1332" s="743"/>
      <c r="E1332" s="743"/>
      <c r="F1332" s="743"/>
      <c r="G1332" s="743"/>
      <c r="H1332" s="743"/>
      <c r="I1332" s="743"/>
      <c r="J1332" s="743"/>
      <c r="K1332" s="743"/>
      <c r="L1332" s="743"/>
      <c r="M1332" s="743"/>
      <c r="N1332" s="743"/>
      <c r="O1332" s="745"/>
      <c r="P1332" s="745"/>
      <c r="Q1332" s="743"/>
    </row>
    <row r="1333" spans="1:17" s="6" customFormat="1" ht="15.75">
      <c r="A1333" s="743"/>
      <c r="B1333" s="743"/>
      <c r="C1333" s="743"/>
      <c r="D1333" s="743"/>
      <c r="E1333" s="743"/>
      <c r="F1333" s="743"/>
      <c r="G1333" s="743"/>
      <c r="H1333" s="743"/>
      <c r="I1333" s="743"/>
      <c r="J1333" s="743"/>
      <c r="K1333" s="743"/>
      <c r="L1333" s="743"/>
      <c r="M1333" s="743"/>
      <c r="N1333" s="743"/>
      <c r="O1333" s="745"/>
      <c r="P1333" s="745"/>
      <c r="Q1333" s="743"/>
    </row>
    <row r="1334" spans="1:17" s="6" customFormat="1" ht="15.75">
      <c r="A1334" s="743"/>
      <c r="B1334" s="743"/>
      <c r="C1334" s="743"/>
      <c r="D1334" s="743"/>
      <c r="E1334" s="743"/>
      <c r="F1334" s="743"/>
      <c r="G1334" s="743"/>
      <c r="H1334" s="743"/>
      <c r="I1334" s="743"/>
      <c r="J1334" s="743"/>
      <c r="K1334" s="743"/>
      <c r="L1334" s="743"/>
      <c r="M1334" s="743"/>
      <c r="N1334" s="743"/>
      <c r="O1334" s="745"/>
      <c r="P1334" s="745"/>
      <c r="Q1334" s="743"/>
    </row>
    <row r="1335" spans="1:17" s="6" customFormat="1" ht="15.75">
      <c r="A1335" s="743"/>
      <c r="B1335" s="743"/>
      <c r="C1335" s="743"/>
      <c r="D1335" s="743"/>
      <c r="E1335" s="743"/>
      <c r="F1335" s="743"/>
      <c r="G1335" s="743"/>
      <c r="H1335" s="743"/>
      <c r="I1335" s="743"/>
      <c r="J1335" s="743"/>
      <c r="K1335" s="743"/>
      <c r="L1335" s="743"/>
      <c r="M1335" s="743"/>
      <c r="N1335" s="743"/>
      <c r="O1335" s="745"/>
      <c r="P1335" s="745"/>
      <c r="Q1335" s="743"/>
    </row>
    <row r="1336" spans="1:17" s="6" customFormat="1" ht="15.75">
      <c r="A1336" s="743"/>
      <c r="B1336" s="743"/>
      <c r="C1336" s="743"/>
      <c r="D1336" s="743"/>
      <c r="E1336" s="743"/>
      <c r="F1336" s="743"/>
      <c r="G1336" s="743"/>
      <c r="H1336" s="743"/>
      <c r="I1336" s="743"/>
      <c r="J1336" s="743"/>
      <c r="K1336" s="743"/>
      <c r="L1336" s="743"/>
      <c r="M1336" s="743"/>
      <c r="N1336" s="743"/>
      <c r="O1336" s="745"/>
      <c r="P1336" s="745"/>
      <c r="Q1336" s="743"/>
    </row>
    <row r="1337" spans="1:17" s="6" customFormat="1" ht="15.75">
      <c r="A1337" s="743"/>
      <c r="B1337" s="743"/>
      <c r="C1337" s="743"/>
      <c r="D1337" s="743"/>
      <c r="E1337" s="743"/>
      <c r="F1337" s="743"/>
      <c r="G1337" s="743"/>
      <c r="H1337" s="743"/>
      <c r="I1337" s="743"/>
      <c r="J1337" s="743"/>
      <c r="K1337" s="743"/>
      <c r="L1337" s="743"/>
      <c r="M1337" s="743"/>
      <c r="N1337" s="743"/>
      <c r="O1337" s="745"/>
      <c r="P1337" s="745"/>
      <c r="Q1337" s="743"/>
    </row>
    <row r="1338" spans="1:17" s="6" customFormat="1" ht="15.75">
      <c r="A1338" s="743"/>
      <c r="B1338" s="743"/>
      <c r="C1338" s="743"/>
      <c r="D1338" s="743"/>
      <c r="E1338" s="743"/>
      <c r="F1338" s="743"/>
      <c r="G1338" s="743"/>
      <c r="H1338" s="743"/>
      <c r="I1338" s="743"/>
      <c r="J1338" s="743"/>
      <c r="K1338" s="743"/>
      <c r="L1338" s="743"/>
      <c r="M1338" s="743"/>
      <c r="N1338" s="743"/>
      <c r="O1338" s="745"/>
      <c r="P1338" s="745"/>
      <c r="Q1338" s="743"/>
    </row>
    <row r="1339" spans="1:17" s="6" customFormat="1" ht="15.75">
      <c r="A1339" s="743"/>
      <c r="B1339" s="743"/>
      <c r="C1339" s="743"/>
      <c r="D1339" s="743"/>
      <c r="E1339" s="743"/>
      <c r="F1339" s="743"/>
      <c r="G1339" s="743"/>
      <c r="H1339" s="743"/>
      <c r="I1339" s="743"/>
      <c r="J1339" s="743"/>
      <c r="K1339" s="743"/>
      <c r="L1339" s="743"/>
      <c r="M1339" s="743"/>
      <c r="N1339" s="743"/>
      <c r="O1339" s="745"/>
      <c r="P1339" s="745"/>
      <c r="Q1339" s="743"/>
    </row>
    <row r="1340" spans="1:17" s="6" customFormat="1" ht="15.75">
      <c r="A1340" s="743"/>
      <c r="B1340" s="743"/>
      <c r="C1340" s="743"/>
      <c r="D1340" s="743"/>
      <c r="E1340" s="743"/>
      <c r="F1340" s="743"/>
      <c r="G1340" s="743"/>
      <c r="H1340" s="743"/>
      <c r="I1340" s="743"/>
      <c r="J1340" s="743"/>
      <c r="K1340" s="743"/>
      <c r="L1340" s="743"/>
      <c r="M1340" s="743"/>
      <c r="N1340" s="743"/>
      <c r="O1340" s="745"/>
      <c r="P1340" s="745"/>
      <c r="Q1340" s="743"/>
    </row>
    <row r="1341" spans="1:17" s="6" customFormat="1" ht="15.75">
      <c r="A1341" s="743"/>
      <c r="B1341" s="743"/>
      <c r="C1341" s="743"/>
      <c r="D1341" s="743"/>
      <c r="E1341" s="743"/>
      <c r="F1341" s="743"/>
      <c r="G1341" s="743"/>
      <c r="H1341" s="743"/>
      <c r="I1341" s="743"/>
      <c r="J1341" s="743"/>
      <c r="K1341" s="743"/>
      <c r="L1341" s="743"/>
      <c r="M1341" s="743"/>
      <c r="N1341" s="743"/>
      <c r="O1341" s="745"/>
      <c r="P1341" s="745"/>
      <c r="Q1341" s="743"/>
    </row>
    <row r="1342" spans="1:17" s="6" customFormat="1" ht="15.75">
      <c r="A1342" s="743"/>
      <c r="B1342" s="743"/>
      <c r="C1342" s="743"/>
      <c r="D1342" s="743"/>
      <c r="E1342" s="743"/>
      <c r="F1342" s="743"/>
      <c r="G1342" s="743"/>
      <c r="H1342" s="743"/>
      <c r="I1342" s="743"/>
      <c r="J1342" s="743"/>
      <c r="K1342" s="743"/>
      <c r="L1342" s="743"/>
      <c r="M1342" s="743"/>
      <c r="N1342" s="743"/>
      <c r="O1342" s="745"/>
      <c r="P1342" s="745"/>
      <c r="Q1342" s="743"/>
    </row>
    <row r="1343" spans="1:17" s="6" customFormat="1" ht="15.75">
      <c r="A1343" s="743"/>
      <c r="B1343" s="743"/>
      <c r="C1343" s="743"/>
      <c r="D1343" s="743"/>
      <c r="E1343" s="743"/>
      <c r="F1343" s="743"/>
      <c r="G1343" s="743"/>
      <c r="H1343" s="743"/>
      <c r="I1343" s="743"/>
      <c r="J1343" s="743"/>
      <c r="K1343" s="743"/>
      <c r="L1343" s="743"/>
      <c r="M1343" s="743"/>
      <c r="N1343" s="743"/>
      <c r="O1343" s="745"/>
      <c r="P1343" s="745"/>
      <c r="Q1343" s="743"/>
    </row>
    <row r="1344" spans="1:17" s="6" customFormat="1" ht="15.75">
      <c r="A1344" s="743"/>
      <c r="B1344" s="743"/>
      <c r="C1344" s="743"/>
      <c r="D1344" s="743"/>
      <c r="E1344" s="743"/>
      <c r="F1344" s="743"/>
      <c r="G1344" s="743"/>
      <c r="H1344" s="743"/>
      <c r="I1344" s="743"/>
      <c r="J1344" s="743"/>
      <c r="K1344" s="743"/>
      <c r="L1344" s="743"/>
      <c r="M1344" s="743"/>
      <c r="N1344" s="743"/>
      <c r="O1344" s="745"/>
      <c r="P1344" s="745"/>
      <c r="Q1344" s="743"/>
    </row>
    <row r="1345" spans="1:17" s="6" customFormat="1" ht="15.75">
      <c r="A1345" s="743"/>
      <c r="B1345" s="743"/>
      <c r="C1345" s="743"/>
      <c r="D1345" s="743"/>
      <c r="E1345" s="743"/>
      <c r="F1345" s="743"/>
      <c r="G1345" s="743"/>
      <c r="H1345" s="743"/>
      <c r="I1345" s="743"/>
      <c r="J1345" s="743"/>
      <c r="K1345" s="743"/>
      <c r="L1345" s="743"/>
      <c r="M1345" s="743"/>
      <c r="N1345" s="743"/>
      <c r="O1345" s="745"/>
      <c r="P1345" s="745"/>
      <c r="Q1345" s="743"/>
    </row>
    <row r="1346" spans="1:17" s="6" customFormat="1" ht="15.75">
      <c r="A1346" s="743"/>
      <c r="B1346" s="743"/>
      <c r="C1346" s="743"/>
      <c r="D1346" s="743"/>
      <c r="E1346" s="743"/>
      <c r="F1346" s="743"/>
      <c r="G1346" s="743"/>
      <c r="H1346" s="743"/>
      <c r="I1346" s="743"/>
      <c r="J1346" s="743"/>
      <c r="K1346" s="743"/>
      <c r="L1346" s="743"/>
      <c r="M1346" s="743"/>
      <c r="N1346" s="743"/>
      <c r="O1346" s="745"/>
      <c r="P1346" s="745"/>
      <c r="Q1346" s="743"/>
    </row>
    <row r="1347" spans="1:17" s="6" customFormat="1" ht="15.75">
      <c r="A1347" s="743"/>
      <c r="B1347" s="743"/>
      <c r="C1347" s="743"/>
      <c r="D1347" s="743"/>
      <c r="E1347" s="743"/>
      <c r="F1347" s="743"/>
      <c r="G1347" s="743"/>
      <c r="H1347" s="743"/>
      <c r="I1347" s="743"/>
      <c r="J1347" s="743"/>
      <c r="K1347" s="743"/>
      <c r="L1347" s="743"/>
      <c r="M1347" s="743"/>
      <c r="N1347" s="743"/>
      <c r="O1347" s="745"/>
      <c r="P1347" s="745"/>
      <c r="Q1347" s="743"/>
    </row>
    <row r="1348" spans="1:17" s="6" customFormat="1" ht="15.75">
      <c r="A1348" s="743"/>
      <c r="B1348" s="743"/>
      <c r="C1348" s="743"/>
      <c r="D1348" s="743"/>
      <c r="E1348" s="743"/>
      <c r="F1348" s="743"/>
      <c r="G1348" s="743"/>
      <c r="H1348" s="743"/>
      <c r="I1348" s="743"/>
      <c r="J1348" s="743"/>
      <c r="K1348" s="743"/>
      <c r="L1348" s="743"/>
      <c r="M1348" s="743"/>
      <c r="N1348" s="743"/>
      <c r="O1348" s="745"/>
      <c r="P1348" s="745"/>
      <c r="Q1348" s="743"/>
    </row>
    <row r="1349" spans="1:17" s="6" customFormat="1" ht="15.75">
      <c r="A1349" s="743"/>
      <c r="B1349" s="743"/>
      <c r="C1349" s="743"/>
      <c r="D1349" s="743"/>
      <c r="E1349" s="743"/>
      <c r="F1349" s="743"/>
      <c r="G1349" s="743"/>
      <c r="H1349" s="743"/>
      <c r="I1349" s="743"/>
      <c r="J1349" s="743"/>
      <c r="K1349" s="743"/>
      <c r="L1349" s="743"/>
      <c r="M1349" s="743"/>
      <c r="N1349" s="743"/>
      <c r="O1349" s="745"/>
      <c r="P1349" s="745"/>
      <c r="Q1349" s="743"/>
    </row>
    <row r="1350" spans="1:17" s="6" customFormat="1" ht="15.75">
      <c r="A1350" s="743"/>
      <c r="B1350" s="743"/>
      <c r="C1350" s="743"/>
      <c r="D1350" s="743"/>
      <c r="E1350" s="743"/>
      <c r="F1350" s="743"/>
      <c r="G1350" s="743"/>
      <c r="H1350" s="743"/>
      <c r="I1350" s="743"/>
      <c r="J1350" s="743"/>
      <c r="K1350" s="743"/>
      <c r="L1350" s="743"/>
      <c r="M1350" s="743"/>
      <c r="N1350" s="743"/>
      <c r="O1350" s="745"/>
      <c r="P1350" s="745"/>
      <c r="Q1350" s="743"/>
    </row>
    <row r="1351" spans="1:17" s="6" customFormat="1" ht="15.75">
      <c r="A1351" s="743"/>
      <c r="B1351" s="743"/>
      <c r="C1351" s="743"/>
      <c r="D1351" s="743"/>
      <c r="E1351" s="743"/>
      <c r="F1351" s="743"/>
      <c r="G1351" s="743"/>
      <c r="H1351" s="743"/>
      <c r="I1351" s="743"/>
      <c r="J1351" s="743"/>
      <c r="K1351" s="743"/>
      <c r="L1351" s="743"/>
      <c r="M1351" s="743"/>
      <c r="N1351" s="743"/>
      <c r="O1351" s="745"/>
      <c r="P1351" s="745"/>
      <c r="Q1351" s="743"/>
    </row>
    <row r="1352" spans="1:17" s="6" customFormat="1" ht="15.75">
      <c r="A1352" s="743"/>
      <c r="B1352" s="743"/>
      <c r="C1352" s="743"/>
      <c r="D1352" s="743"/>
      <c r="E1352" s="743"/>
      <c r="F1352" s="743"/>
      <c r="G1352" s="743"/>
      <c r="H1352" s="743"/>
      <c r="I1352" s="743"/>
      <c r="J1352" s="743"/>
      <c r="K1352" s="743"/>
      <c r="L1352" s="743"/>
      <c r="M1352" s="743"/>
      <c r="N1352" s="743"/>
      <c r="O1352" s="745"/>
      <c r="P1352" s="745"/>
      <c r="Q1352" s="743"/>
    </row>
    <row r="1353" spans="1:17" s="6" customFormat="1" ht="15.75">
      <c r="A1353" s="743"/>
      <c r="B1353" s="743"/>
      <c r="C1353" s="743"/>
      <c r="D1353" s="743"/>
      <c r="E1353" s="743"/>
      <c r="F1353" s="743"/>
      <c r="G1353" s="743"/>
      <c r="H1353" s="743"/>
      <c r="I1353" s="743"/>
      <c r="J1353" s="743"/>
      <c r="K1353" s="743"/>
      <c r="L1353" s="743"/>
      <c r="M1353" s="743"/>
      <c r="N1353" s="743"/>
      <c r="O1353" s="745"/>
      <c r="P1353" s="745"/>
      <c r="Q1353" s="743"/>
    </row>
    <row r="1354" spans="1:17" s="6" customFormat="1" ht="15.75">
      <c r="A1354" s="743"/>
      <c r="B1354" s="743"/>
      <c r="C1354" s="743"/>
      <c r="D1354" s="743"/>
      <c r="E1354" s="743"/>
      <c r="F1354" s="743"/>
      <c r="G1354" s="743"/>
      <c r="H1354" s="743"/>
      <c r="I1354" s="743"/>
      <c r="J1354" s="743"/>
      <c r="K1354" s="743"/>
      <c r="L1354" s="743"/>
      <c r="M1354" s="743"/>
      <c r="N1354" s="743"/>
      <c r="O1354" s="745"/>
      <c r="P1354" s="745"/>
      <c r="Q1354" s="743"/>
    </row>
    <row r="1355" spans="1:17" s="6" customFormat="1" ht="15.75">
      <c r="A1355" s="743"/>
      <c r="B1355" s="743"/>
      <c r="C1355" s="743"/>
      <c r="D1355" s="743"/>
      <c r="E1355" s="743"/>
      <c r="F1355" s="743"/>
      <c r="G1355" s="743"/>
      <c r="H1355" s="743"/>
      <c r="I1355" s="743"/>
      <c r="J1355" s="743"/>
      <c r="K1355" s="743"/>
      <c r="L1355" s="743"/>
      <c r="M1355" s="743"/>
      <c r="N1355" s="743"/>
      <c r="O1355" s="745"/>
      <c r="P1355" s="745"/>
      <c r="Q1355" s="743"/>
    </row>
    <row r="1356" spans="1:17" s="6" customFormat="1" ht="15.75">
      <c r="A1356" s="743"/>
      <c r="B1356" s="743"/>
      <c r="C1356" s="743"/>
      <c r="D1356" s="743"/>
      <c r="E1356" s="743"/>
      <c r="F1356" s="743"/>
      <c r="G1356" s="743"/>
      <c r="H1356" s="743"/>
      <c r="I1356" s="743"/>
      <c r="J1356" s="743"/>
      <c r="K1356" s="743"/>
      <c r="L1356" s="743"/>
      <c r="M1356" s="743"/>
      <c r="N1356" s="743"/>
      <c r="O1356" s="745"/>
      <c r="P1356" s="745"/>
      <c r="Q1356" s="743"/>
    </row>
    <row r="1357" spans="1:17" s="6" customFormat="1" ht="15.75">
      <c r="A1357" s="743"/>
      <c r="B1357" s="743"/>
      <c r="C1357" s="743"/>
      <c r="D1357" s="743"/>
      <c r="E1357" s="743"/>
      <c r="F1357" s="743"/>
      <c r="G1357" s="743"/>
      <c r="H1357" s="743"/>
      <c r="I1357" s="743"/>
      <c r="J1357" s="743"/>
      <c r="K1357" s="743"/>
      <c r="L1357" s="743"/>
      <c r="M1357" s="743"/>
      <c r="N1357" s="743"/>
      <c r="O1357" s="745"/>
      <c r="P1357" s="745"/>
      <c r="Q1357" s="743"/>
    </row>
    <row r="1358" spans="1:17" s="6" customFormat="1" ht="15.75">
      <c r="A1358" s="743"/>
      <c r="B1358" s="743"/>
      <c r="C1358" s="743"/>
      <c r="D1358" s="743"/>
      <c r="E1358" s="743"/>
      <c r="F1358" s="743"/>
      <c r="G1358" s="743"/>
      <c r="H1358" s="743"/>
      <c r="I1358" s="743"/>
      <c r="J1358" s="743"/>
      <c r="K1358" s="743"/>
      <c r="L1358" s="743"/>
      <c r="M1358" s="743"/>
      <c r="N1358" s="743"/>
      <c r="O1358" s="745"/>
      <c r="P1358" s="745"/>
      <c r="Q1358" s="743"/>
    </row>
    <row r="1359" spans="1:17" s="6" customFormat="1" ht="15.75">
      <c r="A1359" s="743"/>
      <c r="B1359" s="743"/>
      <c r="C1359" s="743"/>
      <c r="D1359" s="743"/>
      <c r="E1359" s="743"/>
      <c r="F1359" s="743"/>
      <c r="G1359" s="743"/>
      <c r="H1359" s="743"/>
      <c r="I1359" s="743"/>
      <c r="J1359" s="743"/>
      <c r="K1359" s="743"/>
      <c r="L1359" s="743"/>
      <c r="M1359" s="743"/>
      <c r="N1359" s="743"/>
      <c r="O1359" s="745"/>
      <c r="P1359" s="745"/>
      <c r="Q1359" s="743"/>
    </row>
    <row r="1360" spans="1:17" s="6" customFormat="1" ht="15.75">
      <c r="A1360" s="743"/>
      <c r="B1360" s="743"/>
      <c r="C1360" s="743"/>
      <c r="D1360" s="743"/>
      <c r="E1360" s="743"/>
      <c r="F1360" s="743"/>
      <c r="G1360" s="743"/>
      <c r="H1360" s="743"/>
      <c r="I1360" s="743"/>
      <c r="J1360" s="743"/>
      <c r="K1360" s="743"/>
      <c r="L1360" s="743"/>
      <c r="M1360" s="743"/>
      <c r="N1360" s="743"/>
      <c r="O1360" s="745"/>
      <c r="P1360" s="745"/>
      <c r="Q1360" s="743"/>
    </row>
    <row r="1361" spans="1:17" s="6" customFormat="1" ht="15.75">
      <c r="A1361" s="743"/>
      <c r="B1361" s="743"/>
      <c r="C1361" s="743"/>
      <c r="D1361" s="743"/>
      <c r="E1361" s="743"/>
      <c r="F1361" s="743"/>
      <c r="G1361" s="743"/>
      <c r="H1361" s="743"/>
      <c r="I1361" s="743"/>
      <c r="J1361" s="743"/>
      <c r="K1361" s="743"/>
      <c r="L1361" s="743"/>
      <c r="M1361" s="743"/>
      <c r="N1361" s="743"/>
      <c r="O1361" s="745"/>
      <c r="P1361" s="745"/>
      <c r="Q1361" s="743"/>
    </row>
    <row r="1362" spans="1:17" s="6" customFormat="1" ht="15.75">
      <c r="A1362" s="743"/>
      <c r="B1362" s="743"/>
      <c r="C1362" s="743"/>
      <c r="D1362" s="743"/>
      <c r="E1362" s="743"/>
      <c r="F1362" s="743"/>
      <c r="G1362" s="743"/>
      <c r="H1362" s="743"/>
      <c r="I1362" s="743"/>
      <c r="J1362" s="743"/>
      <c r="K1362" s="743"/>
      <c r="L1362" s="743"/>
      <c r="M1362" s="743"/>
      <c r="N1362" s="743"/>
      <c r="O1362" s="745"/>
      <c r="P1362" s="745"/>
      <c r="Q1362" s="743"/>
    </row>
    <row r="1363" spans="1:17" s="6" customFormat="1" ht="15.75">
      <c r="A1363" s="743"/>
      <c r="B1363" s="743"/>
      <c r="C1363" s="743"/>
      <c r="D1363" s="743"/>
      <c r="E1363" s="743"/>
      <c r="F1363" s="743"/>
      <c r="G1363" s="743"/>
      <c r="H1363" s="743"/>
      <c r="I1363" s="743"/>
      <c r="J1363" s="743"/>
      <c r="K1363" s="743"/>
      <c r="L1363" s="743"/>
      <c r="M1363" s="743"/>
      <c r="N1363" s="743"/>
      <c r="O1363" s="745"/>
      <c r="P1363" s="745"/>
      <c r="Q1363" s="743"/>
    </row>
    <row r="1364" spans="1:17" s="6" customFormat="1" ht="15.75">
      <c r="A1364" s="743"/>
      <c r="B1364" s="743"/>
      <c r="C1364" s="743"/>
      <c r="D1364" s="743"/>
      <c r="E1364" s="743"/>
      <c r="F1364" s="743"/>
      <c r="G1364" s="743"/>
      <c r="H1364" s="743"/>
      <c r="I1364" s="743"/>
      <c r="J1364" s="743"/>
      <c r="K1364" s="743"/>
      <c r="L1364" s="743"/>
      <c r="M1364" s="743"/>
      <c r="N1364" s="743"/>
      <c r="O1364" s="745"/>
      <c r="P1364" s="745"/>
      <c r="Q1364" s="743"/>
    </row>
    <row r="1365" spans="1:17" s="6" customFormat="1" ht="15.75">
      <c r="A1365" s="743"/>
      <c r="B1365" s="743"/>
      <c r="C1365" s="743"/>
      <c r="D1365" s="743"/>
      <c r="E1365" s="743"/>
      <c r="F1365" s="743"/>
      <c r="G1365" s="743"/>
      <c r="H1365" s="743"/>
      <c r="I1365" s="743"/>
      <c r="J1365" s="743"/>
      <c r="K1365" s="743"/>
      <c r="L1365" s="743"/>
      <c r="M1365" s="743"/>
      <c r="N1365" s="743"/>
      <c r="O1365" s="745"/>
      <c r="P1365" s="745"/>
      <c r="Q1365" s="743"/>
    </row>
    <row r="1366" spans="1:17" s="6" customFormat="1" ht="15.75">
      <c r="A1366" s="743"/>
      <c r="B1366" s="743"/>
      <c r="C1366" s="743"/>
      <c r="D1366" s="743"/>
      <c r="E1366" s="743"/>
      <c r="F1366" s="743"/>
      <c r="G1366" s="743"/>
      <c r="H1366" s="743"/>
      <c r="I1366" s="743"/>
      <c r="J1366" s="743"/>
      <c r="K1366" s="743"/>
      <c r="L1366" s="743"/>
      <c r="M1366" s="743"/>
      <c r="N1366" s="743"/>
      <c r="O1366" s="745"/>
      <c r="P1366" s="745"/>
      <c r="Q1366" s="743"/>
    </row>
    <row r="1367" spans="1:17">
      <c r="A1367" s="746"/>
      <c r="B1367" s="746"/>
      <c r="C1367" s="746"/>
      <c r="D1367" s="746"/>
      <c r="E1367" s="746"/>
      <c r="F1367" s="746"/>
      <c r="G1367" s="746"/>
      <c r="H1367" s="746"/>
      <c r="I1367" s="747"/>
      <c r="J1367" s="746"/>
      <c r="K1367" s="746"/>
      <c r="L1367" s="746"/>
      <c r="M1367" s="746"/>
      <c r="N1367" s="746"/>
      <c r="O1367" s="748"/>
      <c r="P1367" s="748"/>
      <c r="Q1367" s="746"/>
    </row>
    <row r="1368" spans="1:17">
      <c r="A1368" s="746"/>
      <c r="B1368" s="746"/>
      <c r="C1368" s="746"/>
      <c r="D1368" s="746"/>
      <c r="E1368" s="746"/>
      <c r="F1368" s="746"/>
      <c r="G1368" s="746"/>
      <c r="H1368" s="746"/>
      <c r="I1368" s="747"/>
      <c r="J1368" s="746"/>
      <c r="K1368" s="746"/>
      <c r="L1368" s="746"/>
      <c r="M1368" s="746"/>
      <c r="N1368" s="746"/>
      <c r="O1368" s="748"/>
      <c r="P1368" s="748"/>
      <c r="Q1368" s="746"/>
    </row>
    <row r="1369" spans="1:17">
      <c r="A1369" s="746"/>
      <c r="B1369" s="746"/>
      <c r="C1369" s="746"/>
      <c r="D1369" s="746"/>
      <c r="E1369" s="746"/>
      <c r="F1369" s="746"/>
      <c r="G1369" s="746"/>
      <c r="H1369" s="746"/>
      <c r="I1369" s="747"/>
      <c r="J1369" s="746"/>
      <c r="K1369" s="746"/>
      <c r="L1369" s="746"/>
      <c r="M1369" s="746"/>
      <c r="N1369" s="746"/>
      <c r="O1369" s="748"/>
      <c r="P1369" s="748"/>
      <c r="Q1369" s="746"/>
    </row>
    <row r="1370" spans="1:17">
      <c r="A1370" s="746"/>
      <c r="B1370" s="746"/>
      <c r="C1370" s="746"/>
      <c r="D1370" s="746"/>
      <c r="E1370" s="746"/>
      <c r="F1370" s="746"/>
      <c r="G1370" s="746"/>
      <c r="H1370" s="746"/>
      <c r="I1370" s="747"/>
      <c r="J1370" s="746"/>
      <c r="K1370" s="746"/>
      <c r="L1370" s="746"/>
      <c r="M1370" s="746"/>
      <c r="N1370" s="746"/>
      <c r="O1370" s="748"/>
      <c r="P1370" s="748"/>
      <c r="Q1370" s="746"/>
    </row>
    <row r="1371" spans="1:17">
      <c r="A1371" s="746"/>
      <c r="B1371" s="746"/>
      <c r="C1371" s="746"/>
      <c r="D1371" s="746"/>
      <c r="E1371" s="746"/>
      <c r="F1371" s="746"/>
      <c r="G1371" s="746"/>
      <c r="H1371" s="746"/>
      <c r="I1371" s="747"/>
      <c r="J1371" s="746"/>
      <c r="K1371" s="746"/>
      <c r="L1371" s="746"/>
      <c r="M1371" s="746"/>
      <c r="N1371" s="746"/>
      <c r="O1371" s="748"/>
      <c r="P1371" s="748"/>
      <c r="Q1371" s="746"/>
    </row>
    <row r="1372" spans="1:17">
      <c r="A1372" s="746"/>
      <c r="B1372" s="746"/>
      <c r="C1372" s="746"/>
      <c r="D1372" s="746"/>
      <c r="E1372" s="746"/>
      <c r="F1372" s="746"/>
      <c r="G1372" s="746"/>
      <c r="H1372" s="746"/>
      <c r="I1372" s="747"/>
      <c r="J1372" s="746"/>
      <c r="K1372" s="746"/>
      <c r="L1372" s="746"/>
      <c r="M1372" s="746"/>
      <c r="N1372" s="746"/>
      <c r="O1372" s="748"/>
      <c r="P1372" s="748"/>
      <c r="Q1372" s="746"/>
    </row>
    <row r="1373" spans="1:17">
      <c r="A1373" s="746"/>
      <c r="B1373" s="746"/>
      <c r="C1373" s="746"/>
      <c r="D1373" s="746"/>
      <c r="E1373" s="746"/>
      <c r="F1373" s="746"/>
      <c r="G1373" s="746"/>
      <c r="H1373" s="746"/>
      <c r="I1373" s="747"/>
      <c r="J1373" s="746"/>
      <c r="K1373" s="746"/>
      <c r="L1373" s="746"/>
      <c r="M1373" s="746"/>
      <c r="N1373" s="746"/>
      <c r="O1373" s="748"/>
      <c r="P1373" s="748"/>
      <c r="Q1373" s="746"/>
    </row>
    <row r="1374" spans="1:17">
      <c r="A1374" s="746"/>
      <c r="B1374" s="746"/>
      <c r="C1374" s="746"/>
      <c r="D1374" s="746"/>
      <c r="E1374" s="746"/>
      <c r="F1374" s="746"/>
      <c r="G1374" s="746"/>
      <c r="H1374" s="746"/>
      <c r="I1374" s="747"/>
      <c r="J1374" s="746"/>
      <c r="K1374" s="746"/>
      <c r="L1374" s="746"/>
      <c r="M1374" s="746"/>
      <c r="N1374" s="746"/>
      <c r="O1374" s="748"/>
      <c r="P1374" s="748"/>
      <c r="Q1374" s="746"/>
    </row>
    <row r="1375" spans="1:17">
      <c r="A1375" s="746"/>
      <c r="B1375" s="746"/>
      <c r="C1375" s="746"/>
      <c r="D1375" s="746"/>
      <c r="E1375" s="746"/>
      <c r="F1375" s="746"/>
      <c r="G1375" s="746"/>
      <c r="H1375" s="746"/>
      <c r="I1375" s="747"/>
      <c r="J1375" s="746"/>
      <c r="K1375" s="746"/>
      <c r="L1375" s="746"/>
      <c r="M1375" s="746"/>
      <c r="N1375" s="746"/>
      <c r="O1375" s="748"/>
      <c r="P1375" s="748"/>
      <c r="Q1375" s="746"/>
    </row>
    <row r="1376" spans="1:17">
      <c r="A1376" s="746"/>
      <c r="B1376" s="746"/>
      <c r="C1376" s="746"/>
      <c r="D1376" s="746"/>
      <c r="E1376" s="746"/>
      <c r="F1376" s="746"/>
      <c r="G1376" s="746"/>
      <c r="H1376" s="746"/>
      <c r="I1376" s="747"/>
      <c r="J1376" s="746"/>
      <c r="K1376" s="746"/>
      <c r="L1376" s="746"/>
      <c r="M1376" s="746"/>
      <c r="N1376" s="746"/>
      <c r="O1376" s="748"/>
      <c r="P1376" s="748"/>
      <c r="Q1376" s="746"/>
    </row>
    <row r="1377" spans="1:17">
      <c r="A1377" s="746"/>
      <c r="B1377" s="746"/>
      <c r="C1377" s="746"/>
      <c r="D1377" s="746"/>
      <c r="E1377" s="746"/>
      <c r="F1377" s="746"/>
      <c r="G1377" s="746"/>
      <c r="H1377" s="746"/>
      <c r="I1377" s="747"/>
      <c r="J1377" s="746"/>
      <c r="K1377" s="746"/>
      <c r="L1377" s="746"/>
      <c r="M1377" s="746"/>
      <c r="N1377" s="746"/>
      <c r="O1377" s="748"/>
      <c r="P1377" s="748"/>
      <c r="Q1377" s="746"/>
    </row>
    <row r="1378" spans="1:17">
      <c r="A1378" s="746"/>
      <c r="B1378" s="746"/>
      <c r="C1378" s="746"/>
      <c r="D1378" s="746"/>
      <c r="E1378" s="746"/>
      <c r="F1378" s="746"/>
      <c r="G1378" s="746"/>
      <c r="H1378" s="746"/>
      <c r="I1378" s="747"/>
      <c r="J1378" s="746"/>
      <c r="K1378" s="746"/>
      <c r="L1378" s="746"/>
      <c r="M1378" s="746"/>
      <c r="N1378" s="746"/>
      <c r="O1378" s="748"/>
      <c r="P1378" s="748"/>
      <c r="Q1378" s="746"/>
    </row>
    <row r="1379" spans="1:17">
      <c r="A1379" s="746"/>
      <c r="B1379" s="746"/>
      <c r="C1379" s="746"/>
      <c r="D1379" s="746"/>
      <c r="E1379" s="746"/>
      <c r="F1379" s="746"/>
      <c r="G1379" s="746"/>
      <c r="H1379" s="746"/>
      <c r="I1379" s="747"/>
      <c r="J1379" s="746"/>
      <c r="K1379" s="746"/>
      <c r="L1379" s="746"/>
      <c r="M1379" s="746"/>
      <c r="N1379" s="746"/>
      <c r="O1379" s="748"/>
      <c r="P1379" s="748"/>
      <c r="Q1379" s="746"/>
    </row>
    <row r="1380" spans="1:17">
      <c r="A1380" s="746"/>
      <c r="B1380" s="746"/>
      <c r="C1380" s="746"/>
      <c r="D1380" s="746"/>
      <c r="E1380" s="746"/>
      <c r="F1380" s="746"/>
      <c r="G1380" s="746"/>
      <c r="H1380" s="746"/>
      <c r="I1380" s="747"/>
      <c r="J1380" s="746"/>
      <c r="K1380" s="746"/>
      <c r="L1380" s="746"/>
      <c r="M1380" s="746"/>
      <c r="N1380" s="746"/>
      <c r="O1380" s="748"/>
      <c r="P1380" s="748"/>
      <c r="Q1380" s="746"/>
    </row>
    <row r="1381" spans="1:17">
      <c r="A1381" s="746"/>
      <c r="B1381" s="746"/>
      <c r="C1381" s="746"/>
      <c r="D1381" s="746"/>
      <c r="E1381" s="746"/>
      <c r="F1381" s="746"/>
      <c r="G1381" s="746"/>
      <c r="H1381" s="746"/>
      <c r="I1381" s="747"/>
      <c r="J1381" s="746"/>
      <c r="K1381" s="746"/>
      <c r="L1381" s="746"/>
      <c r="M1381" s="746"/>
      <c r="N1381" s="746"/>
      <c r="O1381" s="748"/>
      <c r="P1381" s="748"/>
      <c r="Q1381" s="746"/>
    </row>
    <row r="1382" spans="1:17">
      <c r="A1382" s="746"/>
      <c r="B1382" s="746"/>
      <c r="C1382" s="746"/>
      <c r="D1382" s="746"/>
      <c r="E1382" s="746"/>
      <c r="F1382" s="746"/>
      <c r="G1382" s="746"/>
      <c r="H1382" s="746"/>
      <c r="I1382" s="747"/>
      <c r="J1382" s="746"/>
      <c r="K1382" s="746"/>
      <c r="L1382" s="746"/>
      <c r="M1382" s="746"/>
      <c r="N1382" s="746"/>
      <c r="O1382" s="748"/>
      <c r="P1382" s="748"/>
      <c r="Q1382" s="746"/>
    </row>
    <row r="1383" spans="1:17">
      <c r="A1383" s="746"/>
      <c r="B1383" s="746"/>
      <c r="C1383" s="746"/>
      <c r="D1383" s="746"/>
      <c r="E1383" s="746"/>
      <c r="F1383" s="746"/>
      <c r="G1383" s="746"/>
      <c r="H1383" s="746"/>
      <c r="I1383" s="747"/>
      <c r="J1383" s="746"/>
      <c r="K1383" s="746"/>
      <c r="L1383" s="746"/>
      <c r="M1383" s="746"/>
      <c r="N1383" s="746"/>
      <c r="O1383" s="748"/>
      <c r="P1383" s="748"/>
      <c r="Q1383" s="746"/>
    </row>
    <row r="1384" spans="1:17">
      <c r="A1384" s="746"/>
      <c r="B1384" s="746"/>
      <c r="C1384" s="746"/>
      <c r="D1384" s="746"/>
      <c r="E1384" s="746"/>
      <c r="F1384" s="746"/>
      <c r="G1384" s="746"/>
      <c r="H1384" s="746"/>
      <c r="I1384" s="747"/>
      <c r="J1384" s="746"/>
      <c r="K1384" s="746"/>
      <c r="L1384" s="746"/>
      <c r="M1384" s="746"/>
      <c r="N1384" s="746"/>
      <c r="O1384" s="748"/>
      <c r="P1384" s="748"/>
      <c r="Q1384" s="746"/>
    </row>
    <row r="1385" spans="1:17">
      <c r="A1385" s="746"/>
      <c r="B1385" s="746"/>
      <c r="C1385" s="746"/>
      <c r="D1385" s="746"/>
      <c r="E1385" s="746"/>
      <c r="F1385" s="746"/>
      <c r="G1385" s="746"/>
      <c r="H1385" s="746"/>
      <c r="I1385" s="747"/>
      <c r="J1385" s="746"/>
      <c r="K1385" s="746"/>
      <c r="L1385" s="746"/>
      <c r="M1385" s="746"/>
      <c r="N1385" s="746"/>
      <c r="O1385" s="748"/>
      <c r="P1385" s="748"/>
      <c r="Q1385" s="746"/>
    </row>
    <row r="1386" spans="1:17">
      <c r="A1386" s="746"/>
      <c r="B1386" s="746"/>
      <c r="C1386" s="746"/>
      <c r="D1386" s="746"/>
      <c r="E1386" s="746"/>
      <c r="F1386" s="746"/>
      <c r="G1386" s="746"/>
      <c r="H1386" s="746"/>
      <c r="I1386" s="747"/>
      <c r="J1386" s="746"/>
      <c r="K1386" s="746"/>
      <c r="L1386" s="746"/>
      <c r="M1386" s="746"/>
      <c r="N1386" s="746"/>
      <c r="O1386" s="748"/>
      <c r="P1386" s="748"/>
      <c r="Q1386" s="746"/>
    </row>
    <row r="1387" spans="1:17">
      <c r="A1387" s="746"/>
      <c r="B1387" s="746"/>
      <c r="C1387" s="746"/>
      <c r="D1387" s="746"/>
      <c r="E1387" s="746"/>
      <c r="F1387" s="746"/>
      <c r="G1387" s="746"/>
      <c r="H1387" s="746"/>
      <c r="I1387" s="747"/>
      <c r="J1387" s="746"/>
      <c r="K1387" s="746"/>
      <c r="L1387" s="746"/>
      <c r="M1387" s="746"/>
      <c r="N1387" s="746"/>
      <c r="O1387" s="748"/>
      <c r="P1387" s="748"/>
      <c r="Q1387" s="746"/>
    </row>
    <row r="1388" spans="1:17">
      <c r="A1388" s="746"/>
      <c r="B1388" s="746"/>
      <c r="C1388" s="746"/>
      <c r="D1388" s="746"/>
      <c r="E1388" s="746"/>
      <c r="F1388" s="746"/>
      <c r="G1388" s="746"/>
      <c r="H1388" s="746"/>
      <c r="I1388" s="747"/>
      <c r="J1388" s="746"/>
      <c r="K1388" s="746"/>
      <c r="L1388" s="746"/>
      <c r="M1388" s="746"/>
      <c r="N1388" s="746"/>
      <c r="O1388" s="748"/>
      <c r="P1388" s="748"/>
      <c r="Q1388" s="746"/>
    </row>
    <row r="1389" spans="1:17">
      <c r="A1389" s="746"/>
      <c r="B1389" s="746"/>
      <c r="C1389" s="746"/>
      <c r="D1389" s="746"/>
      <c r="E1389" s="746"/>
      <c r="F1389" s="746"/>
      <c r="G1389" s="746"/>
      <c r="H1389" s="746"/>
      <c r="I1389" s="747"/>
      <c r="J1389" s="746"/>
      <c r="K1389" s="746"/>
      <c r="L1389" s="746"/>
      <c r="M1389" s="746"/>
      <c r="N1389" s="746"/>
      <c r="O1389" s="748"/>
      <c r="P1389" s="748"/>
      <c r="Q1389" s="746"/>
    </row>
    <row r="1390" spans="1:17">
      <c r="A1390" s="746"/>
      <c r="B1390" s="746"/>
      <c r="C1390" s="746"/>
      <c r="D1390" s="746"/>
      <c r="E1390" s="746"/>
      <c r="F1390" s="746"/>
      <c r="G1390" s="746"/>
      <c r="H1390" s="746"/>
      <c r="I1390" s="747"/>
      <c r="J1390" s="746"/>
      <c r="K1390" s="746"/>
      <c r="L1390" s="746"/>
      <c r="M1390" s="746"/>
      <c r="N1390" s="746"/>
      <c r="O1390" s="748"/>
      <c r="P1390" s="748"/>
      <c r="Q1390" s="746"/>
    </row>
    <row r="1391" spans="1:17">
      <c r="A1391" s="746"/>
      <c r="B1391" s="746"/>
      <c r="C1391" s="746"/>
      <c r="D1391" s="746"/>
      <c r="E1391" s="746"/>
      <c r="F1391" s="746"/>
      <c r="G1391" s="746"/>
      <c r="H1391" s="746"/>
      <c r="I1391" s="747"/>
      <c r="J1391" s="746"/>
      <c r="K1391" s="746"/>
      <c r="L1391" s="746"/>
      <c r="M1391" s="746"/>
      <c r="N1391" s="746"/>
      <c r="O1391" s="748"/>
      <c r="P1391" s="748"/>
      <c r="Q1391" s="746"/>
    </row>
    <row r="1392" spans="1:17">
      <c r="A1392" s="746"/>
      <c r="B1392" s="746"/>
      <c r="C1392" s="746"/>
      <c r="D1392" s="746"/>
      <c r="E1392" s="746"/>
      <c r="F1392" s="746"/>
      <c r="G1392" s="746"/>
      <c r="H1392" s="746"/>
      <c r="I1392" s="747"/>
      <c r="J1392" s="746"/>
      <c r="K1392" s="746"/>
      <c r="L1392" s="746"/>
      <c r="M1392" s="746"/>
      <c r="N1392" s="746"/>
      <c r="O1392" s="748"/>
      <c r="P1392" s="748"/>
      <c r="Q1392" s="746"/>
    </row>
    <row r="1393" spans="1:17">
      <c r="A1393" s="746"/>
      <c r="B1393" s="746"/>
      <c r="C1393" s="746"/>
      <c r="D1393" s="746"/>
      <c r="E1393" s="746"/>
      <c r="F1393" s="746"/>
      <c r="G1393" s="746"/>
      <c r="H1393" s="746"/>
      <c r="I1393" s="747"/>
      <c r="J1393" s="746"/>
      <c r="K1393" s="746"/>
      <c r="L1393" s="746"/>
      <c r="M1393" s="746"/>
      <c r="N1393" s="746"/>
      <c r="O1393" s="748"/>
      <c r="P1393" s="748"/>
      <c r="Q1393" s="746"/>
    </row>
    <row r="1394" spans="1:17">
      <c r="A1394" s="746"/>
      <c r="B1394" s="746"/>
      <c r="C1394" s="746"/>
      <c r="D1394" s="746"/>
      <c r="E1394" s="746"/>
      <c r="F1394" s="746"/>
      <c r="G1394" s="746"/>
      <c r="H1394" s="746"/>
      <c r="I1394" s="747"/>
      <c r="J1394" s="746"/>
      <c r="K1394" s="746"/>
      <c r="L1394" s="746"/>
      <c r="M1394" s="746"/>
      <c r="N1394" s="746"/>
      <c r="O1394" s="748"/>
      <c r="P1394" s="748"/>
      <c r="Q1394" s="746"/>
    </row>
    <row r="1395" spans="1:17">
      <c r="A1395" s="746"/>
      <c r="B1395" s="746"/>
      <c r="C1395" s="746"/>
      <c r="D1395" s="746"/>
      <c r="E1395" s="746"/>
      <c r="F1395" s="746"/>
      <c r="G1395" s="746"/>
      <c r="H1395" s="746"/>
      <c r="I1395" s="747"/>
      <c r="J1395" s="746"/>
      <c r="K1395" s="746"/>
      <c r="L1395" s="746"/>
      <c r="M1395" s="746"/>
      <c r="N1395" s="746"/>
      <c r="O1395" s="748"/>
      <c r="P1395" s="748"/>
      <c r="Q1395" s="746"/>
    </row>
    <row r="1396" spans="1:17">
      <c r="A1396" s="746"/>
      <c r="B1396" s="746"/>
      <c r="C1396" s="746"/>
      <c r="D1396" s="746"/>
      <c r="E1396" s="746"/>
      <c r="F1396" s="746"/>
      <c r="G1396" s="746"/>
      <c r="H1396" s="746"/>
      <c r="I1396" s="747"/>
      <c r="J1396" s="746"/>
      <c r="K1396" s="746"/>
      <c r="L1396" s="746"/>
      <c r="M1396" s="746"/>
      <c r="N1396" s="746"/>
      <c r="O1396" s="748"/>
      <c r="P1396" s="748"/>
      <c r="Q1396" s="746"/>
    </row>
    <row r="1397" spans="1:17">
      <c r="A1397" s="746"/>
      <c r="B1397" s="746"/>
      <c r="C1397" s="746"/>
      <c r="D1397" s="746"/>
      <c r="E1397" s="746"/>
      <c r="F1397" s="746"/>
      <c r="G1397" s="746"/>
      <c r="H1397" s="746"/>
      <c r="I1397" s="747"/>
      <c r="J1397" s="746"/>
      <c r="K1397" s="746"/>
      <c r="L1397" s="746"/>
      <c r="M1397" s="746"/>
      <c r="N1397" s="746"/>
      <c r="O1397" s="748"/>
      <c r="P1397" s="748"/>
      <c r="Q1397" s="746"/>
    </row>
    <row r="1398" spans="1:17">
      <c r="A1398" s="746"/>
      <c r="B1398" s="746"/>
      <c r="C1398" s="746"/>
      <c r="D1398" s="746"/>
      <c r="E1398" s="746"/>
      <c r="F1398" s="746"/>
      <c r="G1398" s="746"/>
      <c r="H1398" s="746"/>
      <c r="I1398" s="747"/>
      <c r="J1398" s="746"/>
      <c r="K1398" s="746"/>
      <c r="L1398" s="746"/>
      <c r="M1398" s="746"/>
      <c r="N1398" s="746"/>
      <c r="O1398" s="748"/>
      <c r="P1398" s="748"/>
      <c r="Q1398" s="746"/>
    </row>
    <row r="1399" spans="1:17">
      <c r="A1399" s="746"/>
      <c r="B1399" s="746"/>
      <c r="C1399" s="746"/>
      <c r="D1399" s="746"/>
      <c r="E1399" s="746"/>
      <c r="F1399" s="746"/>
      <c r="G1399" s="746"/>
      <c r="H1399" s="746"/>
      <c r="I1399" s="747"/>
      <c r="J1399" s="746"/>
      <c r="K1399" s="746"/>
      <c r="L1399" s="746"/>
      <c r="M1399" s="746"/>
      <c r="N1399" s="746"/>
      <c r="O1399" s="748"/>
      <c r="P1399" s="748"/>
      <c r="Q1399" s="746"/>
    </row>
    <row r="1400" spans="1:17">
      <c r="A1400" s="746"/>
      <c r="B1400" s="746"/>
      <c r="C1400" s="746"/>
      <c r="D1400" s="746"/>
      <c r="E1400" s="746"/>
      <c r="F1400" s="746"/>
      <c r="G1400" s="746"/>
      <c r="H1400" s="746"/>
      <c r="I1400" s="747"/>
      <c r="J1400" s="746"/>
      <c r="K1400" s="746"/>
      <c r="L1400" s="746"/>
      <c r="M1400" s="746"/>
      <c r="N1400" s="746"/>
      <c r="O1400" s="748"/>
      <c r="P1400" s="748"/>
      <c r="Q1400" s="746"/>
    </row>
    <row r="1401" spans="1:17">
      <c r="A1401" s="746"/>
      <c r="B1401" s="746"/>
      <c r="C1401" s="746"/>
      <c r="D1401" s="746"/>
      <c r="E1401" s="746"/>
      <c r="F1401" s="746"/>
      <c r="G1401" s="746"/>
      <c r="H1401" s="746"/>
      <c r="I1401" s="747"/>
      <c r="J1401" s="746"/>
      <c r="K1401" s="746"/>
      <c r="L1401" s="746"/>
      <c r="M1401" s="746"/>
      <c r="N1401" s="746"/>
      <c r="O1401" s="748"/>
      <c r="P1401" s="748"/>
      <c r="Q1401" s="746"/>
    </row>
    <row r="1402" spans="1:17">
      <c r="A1402" s="746"/>
      <c r="B1402" s="746"/>
      <c r="C1402" s="746"/>
      <c r="D1402" s="746"/>
      <c r="E1402" s="746"/>
      <c r="F1402" s="746"/>
      <c r="G1402" s="746"/>
      <c r="H1402" s="746"/>
      <c r="I1402" s="747"/>
      <c r="J1402" s="746"/>
      <c r="K1402" s="746"/>
      <c r="L1402" s="746"/>
      <c r="M1402" s="746"/>
      <c r="N1402" s="746"/>
      <c r="O1402" s="748"/>
      <c r="P1402" s="748"/>
      <c r="Q1402" s="746"/>
    </row>
    <row r="1403" spans="1:17">
      <c r="A1403" s="746"/>
      <c r="B1403" s="746"/>
      <c r="C1403" s="746"/>
      <c r="D1403" s="746"/>
      <c r="E1403" s="746"/>
      <c r="F1403" s="746"/>
      <c r="G1403" s="746"/>
      <c r="H1403" s="746"/>
      <c r="I1403" s="747"/>
      <c r="J1403" s="746"/>
      <c r="K1403" s="746"/>
      <c r="L1403" s="746"/>
      <c r="M1403" s="746"/>
      <c r="N1403" s="746"/>
      <c r="O1403" s="748"/>
      <c r="P1403" s="748"/>
      <c r="Q1403" s="746"/>
    </row>
    <row r="1404" spans="1:17">
      <c r="A1404" s="746"/>
      <c r="B1404" s="746"/>
      <c r="C1404" s="746"/>
      <c r="D1404" s="746"/>
      <c r="E1404" s="746"/>
      <c r="F1404" s="746"/>
      <c r="G1404" s="746"/>
      <c r="H1404" s="746"/>
      <c r="I1404" s="747"/>
      <c r="J1404" s="746"/>
      <c r="K1404" s="746"/>
      <c r="L1404" s="746"/>
      <c r="M1404" s="746"/>
      <c r="N1404" s="746"/>
      <c r="O1404" s="748"/>
      <c r="P1404" s="748"/>
      <c r="Q1404" s="746"/>
    </row>
    <row r="1405" spans="1:17">
      <c r="A1405" s="746"/>
      <c r="B1405" s="746"/>
      <c r="C1405" s="746"/>
      <c r="D1405" s="746"/>
      <c r="E1405" s="746"/>
      <c r="F1405" s="746"/>
      <c r="G1405" s="746"/>
      <c r="H1405" s="746"/>
      <c r="I1405" s="747"/>
      <c r="J1405" s="746"/>
      <c r="K1405" s="746"/>
      <c r="L1405" s="746"/>
      <c r="M1405" s="746"/>
      <c r="N1405" s="746"/>
      <c r="O1405" s="748"/>
      <c r="P1405" s="748"/>
      <c r="Q1405" s="746"/>
    </row>
    <row r="1406" spans="1:17">
      <c r="A1406" s="746"/>
      <c r="B1406" s="746"/>
      <c r="C1406" s="746"/>
      <c r="D1406" s="746"/>
      <c r="E1406" s="746"/>
      <c r="F1406" s="746"/>
      <c r="G1406" s="746"/>
      <c r="H1406" s="746"/>
      <c r="I1406" s="747"/>
      <c r="J1406" s="746"/>
      <c r="K1406" s="746"/>
      <c r="L1406" s="746"/>
      <c r="M1406" s="746"/>
      <c r="N1406" s="746"/>
      <c r="O1406" s="748"/>
      <c r="P1406" s="748"/>
      <c r="Q1406" s="746"/>
    </row>
    <row r="1407" spans="1:17">
      <c r="A1407" s="746"/>
      <c r="B1407" s="746"/>
      <c r="C1407" s="746"/>
      <c r="D1407" s="746"/>
      <c r="E1407" s="746"/>
      <c r="F1407" s="746"/>
      <c r="G1407" s="746"/>
      <c r="H1407" s="746"/>
      <c r="I1407" s="747"/>
      <c r="J1407" s="746"/>
      <c r="K1407" s="746"/>
      <c r="L1407" s="746"/>
      <c r="M1407" s="746"/>
      <c r="N1407" s="746"/>
      <c r="O1407" s="748"/>
      <c r="P1407" s="748"/>
      <c r="Q1407" s="746"/>
    </row>
    <row r="1408" spans="1:17">
      <c r="A1408" s="746"/>
      <c r="B1408" s="746"/>
      <c r="C1408" s="746"/>
      <c r="D1408" s="746"/>
      <c r="E1408" s="746"/>
      <c r="F1408" s="746"/>
      <c r="G1408" s="746"/>
      <c r="H1408" s="746"/>
      <c r="I1408" s="747"/>
      <c r="J1408" s="746"/>
      <c r="K1408" s="746"/>
      <c r="L1408" s="746"/>
      <c r="M1408" s="746"/>
      <c r="N1408" s="746"/>
      <c r="O1408" s="748"/>
      <c r="P1408" s="748"/>
      <c r="Q1408" s="746"/>
    </row>
    <row r="1409" spans="1:17">
      <c r="A1409" s="746"/>
      <c r="B1409" s="746"/>
      <c r="C1409" s="746"/>
      <c r="D1409" s="746"/>
      <c r="E1409" s="746"/>
      <c r="F1409" s="746"/>
      <c r="G1409" s="746"/>
      <c r="H1409" s="746"/>
      <c r="I1409" s="747"/>
      <c r="J1409" s="746"/>
      <c r="K1409" s="746"/>
      <c r="L1409" s="746"/>
      <c r="M1409" s="746"/>
      <c r="N1409" s="746"/>
      <c r="O1409" s="748"/>
      <c r="P1409" s="748"/>
      <c r="Q1409" s="746"/>
    </row>
    <row r="1410" spans="1:17">
      <c r="A1410" s="746"/>
      <c r="B1410" s="746"/>
      <c r="C1410" s="746"/>
      <c r="D1410" s="746"/>
      <c r="E1410" s="746"/>
      <c r="F1410" s="746"/>
      <c r="G1410" s="746"/>
      <c r="H1410" s="746"/>
      <c r="I1410" s="747"/>
      <c r="J1410" s="746"/>
      <c r="K1410" s="746"/>
      <c r="L1410" s="746"/>
      <c r="M1410" s="746"/>
      <c r="N1410" s="746"/>
      <c r="O1410" s="748"/>
      <c r="P1410" s="748"/>
      <c r="Q1410" s="746"/>
    </row>
    <row r="1411" spans="1:17">
      <c r="A1411" s="746"/>
      <c r="B1411" s="746"/>
      <c r="C1411" s="746"/>
      <c r="D1411" s="746"/>
      <c r="E1411" s="746"/>
      <c r="F1411" s="746"/>
      <c r="G1411" s="746"/>
      <c r="H1411" s="746"/>
      <c r="I1411" s="747"/>
      <c r="J1411" s="746"/>
      <c r="K1411" s="746"/>
      <c r="L1411" s="746"/>
      <c r="M1411" s="746"/>
      <c r="N1411" s="746"/>
      <c r="O1411" s="748"/>
      <c r="P1411" s="748"/>
      <c r="Q1411" s="746"/>
    </row>
    <row r="1412" spans="1:17">
      <c r="A1412" s="746"/>
      <c r="B1412" s="746"/>
      <c r="C1412" s="746"/>
      <c r="D1412" s="746"/>
      <c r="E1412" s="746"/>
      <c r="F1412" s="746"/>
      <c r="G1412" s="746"/>
      <c r="H1412" s="746"/>
      <c r="I1412" s="747"/>
      <c r="J1412" s="746"/>
      <c r="K1412" s="746"/>
      <c r="L1412" s="746"/>
      <c r="M1412" s="746"/>
      <c r="N1412" s="746"/>
      <c r="O1412" s="748"/>
      <c r="P1412" s="748"/>
      <c r="Q1412" s="746"/>
    </row>
    <row r="1413" spans="1:17">
      <c r="A1413" s="746"/>
      <c r="B1413" s="746"/>
      <c r="C1413" s="746"/>
      <c r="D1413" s="746"/>
      <c r="E1413" s="746"/>
      <c r="F1413" s="746"/>
      <c r="G1413" s="746"/>
      <c r="H1413" s="746"/>
      <c r="I1413" s="747"/>
      <c r="J1413" s="746"/>
      <c r="K1413" s="746"/>
      <c r="L1413" s="746"/>
      <c r="M1413" s="746"/>
      <c r="N1413" s="746"/>
      <c r="O1413" s="748"/>
      <c r="P1413" s="748"/>
      <c r="Q1413" s="746"/>
    </row>
    <row r="1414" spans="1:17">
      <c r="A1414" s="746"/>
      <c r="B1414" s="746"/>
      <c r="C1414" s="746"/>
      <c r="D1414" s="746"/>
      <c r="E1414" s="746"/>
      <c r="F1414" s="746"/>
      <c r="G1414" s="746"/>
      <c r="H1414" s="746"/>
      <c r="I1414" s="747"/>
      <c r="J1414" s="746"/>
      <c r="K1414" s="746"/>
      <c r="L1414" s="746"/>
      <c r="M1414" s="746"/>
      <c r="N1414" s="746"/>
      <c r="O1414" s="748"/>
      <c r="P1414" s="748"/>
      <c r="Q1414" s="746"/>
    </row>
  </sheetData>
  <mergeCells count="2">
    <mergeCell ref="A1234:B1234"/>
    <mergeCell ref="A536:B536"/>
  </mergeCells>
  <phoneticPr fontId="0" type="noConversion"/>
  <pageMargins left="0.75" right="0.75" top="1" bottom="1" header="0.5" footer="0.5"/>
  <pageSetup paperSize="9" scale="49" orientation="portrait" r:id="rId1"/>
  <headerFooter alignWithMargins="0"/>
  <rowBreaks count="4" manualBreakCount="4">
    <brk id="90" max="16383" man="1"/>
    <brk id="224" max="37" man="1"/>
    <brk id="535" max="16383" man="1"/>
    <brk id="1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ЗВЕДЕНА</vt:lpstr>
      <vt:lpstr>cходова</vt:lpstr>
      <vt:lpstr>прибуд.</vt:lpstr>
      <vt:lpstr>дератизац.</vt:lpstr>
      <vt:lpstr>підготовка до зими</vt:lpstr>
      <vt:lpstr>електрики</vt:lpstr>
      <vt:lpstr>зварювальн</vt:lpstr>
      <vt:lpstr>димоканал</vt:lpstr>
      <vt:lpstr>покрівлі</vt:lpstr>
      <vt:lpstr>Лист1</vt:lpstr>
      <vt:lpstr>майстерні</vt:lpstr>
      <vt:lpstr>маляри</vt:lpstr>
      <vt:lpstr>гар.вода</vt:lpstr>
      <vt:lpstr>ц.о.</vt:lpstr>
      <vt:lpstr>хол.вода</vt:lpstr>
      <vt:lpstr>каналізація</vt:lpstr>
      <vt:lpstr>аварійні</vt:lpstr>
      <vt:lpstr>ЗВЕДЕНА!Заголовки_для_печати</vt:lpstr>
      <vt:lpstr>прибуд.!Заголовки_для_печати</vt:lpstr>
      <vt:lpstr>cходова!Область_печати</vt:lpstr>
      <vt:lpstr>ЗВЕДЕНА!Область_печати</vt:lpstr>
      <vt:lpstr>'підготовка до зими'!Область_печати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Kolodka.Iryna</cp:lastModifiedBy>
  <cp:lastPrinted>2014-10-21T15:01:23Z</cp:lastPrinted>
  <dcterms:created xsi:type="dcterms:W3CDTF">1996-10-08T23:32:33Z</dcterms:created>
  <dcterms:modified xsi:type="dcterms:W3CDTF">2014-10-27T15:27:02Z</dcterms:modified>
</cp:coreProperties>
</file>